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D:\Unibit\Diplomna\Final Project\materiali\материали\"/>
    </mc:Choice>
  </mc:AlternateContent>
  <xr:revisionPtr revIDLastSave="0" documentId="13_ncr:1_{7F799F44-FB7E-41D5-A62B-34EF0F8E1024}" xr6:coauthVersionLast="45" xr6:coauthVersionMax="46" xr10:uidLastSave="{00000000-0000-0000-0000-000000000000}"/>
  <bookViews>
    <workbookView xWindow="-120" yWindow="-120" windowWidth="29040" windowHeight="15840" firstSheet="1" activeTab="1" xr2:uid="{00000000-000D-0000-FFFF-FFFF00000000}"/>
  </bookViews>
  <sheets>
    <sheet name="1.1-1.6 Учебна" sheetId="3" state="hidden" r:id="rId1"/>
    <sheet name="2.1 Публикации НЕподадени в НАЦ" sheetId="6" r:id="rId2"/>
    <sheet name="DB" sheetId="11" state="hidden" r:id="rId3"/>
    <sheet name="All_publications" sheetId="12" state="hidden" r:id="rId4"/>
  </sheets>
  <definedNames>
    <definedName name="ОК_ОТЧЕТ">#REF!</definedName>
    <definedName name="ОК_РАЗДЕЛИ">#REF!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8184" i="12" l="1"/>
  <c r="D8184" i="12"/>
  <c r="C8184" i="12"/>
  <c r="B8184" i="12"/>
  <c r="A8184" i="12"/>
  <c r="F8183" i="12"/>
  <c r="E8183" i="12"/>
  <c r="D8183" i="12"/>
  <c r="C8183" i="12"/>
  <c r="B8183" i="12"/>
  <c r="A8183" i="12"/>
  <c r="E8182" i="12"/>
  <c r="D8182" i="12"/>
  <c r="C8182" i="12"/>
  <c r="B8182" i="12"/>
  <c r="A8182" i="12"/>
  <c r="F8181" i="12"/>
  <c r="E8181" i="12"/>
  <c r="D8181" i="12"/>
  <c r="C8181" i="12"/>
  <c r="B8181" i="12"/>
  <c r="A8181" i="12"/>
  <c r="E8180" i="12"/>
  <c r="D8180" i="12"/>
  <c r="C8180" i="12"/>
  <c r="B8180" i="12"/>
  <c r="A8180" i="12"/>
  <c r="E8179" i="12"/>
  <c r="D8179" i="12"/>
  <c r="C8179" i="12"/>
  <c r="B8179" i="12"/>
  <c r="A8179" i="12"/>
  <c r="E8178" i="12"/>
  <c r="D8178" i="12"/>
  <c r="C8178" i="12"/>
  <c r="B8178" i="12"/>
  <c r="A8178" i="12"/>
  <c r="E8177" i="12"/>
  <c r="D8177" i="12"/>
  <c r="C8177" i="12"/>
  <c r="B8177" i="12"/>
  <c r="A8177" i="12"/>
  <c r="E8176" i="12"/>
  <c r="D8176" i="12"/>
  <c r="C8176" i="12"/>
  <c r="B8176" i="12"/>
  <c r="A8176" i="12"/>
  <c r="E8175" i="12"/>
  <c r="D8175" i="12"/>
  <c r="C8175" i="12"/>
  <c r="B8175" i="12"/>
  <c r="A8175" i="12"/>
  <c r="E8174" i="12"/>
  <c r="D8174" i="12"/>
  <c r="C8174" i="12"/>
  <c r="B8174" i="12"/>
  <c r="A8174" i="12"/>
  <c r="E8173" i="12"/>
  <c r="D8173" i="12"/>
  <c r="C8173" i="12"/>
  <c r="B8173" i="12"/>
  <c r="A8173" i="12"/>
  <c r="F8172" i="12"/>
  <c r="E8172" i="12"/>
  <c r="D8172" i="12"/>
  <c r="C8172" i="12"/>
  <c r="B8172" i="12"/>
  <c r="A8172" i="12"/>
  <c r="E8171" i="12"/>
  <c r="D8171" i="12"/>
  <c r="C8171" i="12"/>
  <c r="B8171" i="12"/>
  <c r="A8171" i="12"/>
  <c r="E8170" i="12"/>
  <c r="D8170" i="12"/>
  <c r="C8170" i="12"/>
  <c r="B8170" i="12"/>
  <c r="A8170" i="12"/>
  <c r="E8169" i="12"/>
  <c r="D8169" i="12"/>
  <c r="C8169" i="12"/>
  <c r="B8169" i="12"/>
  <c r="A8169" i="12"/>
  <c r="E8168" i="12"/>
  <c r="D8168" i="12"/>
  <c r="C8168" i="12"/>
  <c r="B8168" i="12"/>
  <c r="A8168" i="12"/>
  <c r="E8167" i="12"/>
  <c r="D8167" i="12"/>
  <c r="C8167" i="12"/>
  <c r="B8167" i="12"/>
  <c r="A8167" i="12"/>
  <c r="E8166" i="12"/>
  <c r="D8166" i="12"/>
  <c r="C8166" i="12"/>
  <c r="B8166" i="12"/>
  <c r="A8166" i="12"/>
  <c r="E8165" i="12"/>
  <c r="D8165" i="12"/>
  <c r="C8165" i="12"/>
  <c r="B8165" i="12"/>
  <c r="A8165" i="12"/>
  <c r="E8164" i="12"/>
  <c r="D8164" i="12"/>
  <c r="C8164" i="12"/>
  <c r="B8164" i="12"/>
  <c r="A8164" i="12"/>
  <c r="E8163" i="12"/>
  <c r="D8163" i="12"/>
  <c r="C8163" i="12"/>
  <c r="B8163" i="12"/>
  <c r="A8163" i="12"/>
  <c r="F8162" i="12"/>
  <c r="E8162" i="12"/>
  <c r="D8162" i="12"/>
  <c r="C8162" i="12"/>
  <c r="B8162" i="12"/>
  <c r="A8162" i="12"/>
  <c r="E8161" i="12"/>
  <c r="D8161" i="12"/>
  <c r="C8161" i="12"/>
  <c r="B8161" i="12"/>
  <c r="A8161" i="12"/>
  <c r="F8160" i="12"/>
  <c r="E8160" i="12"/>
  <c r="D8160" i="12"/>
  <c r="C8160" i="12"/>
  <c r="B8160" i="12"/>
  <c r="A8160" i="12"/>
  <c r="E8159" i="12"/>
  <c r="D8159" i="12"/>
  <c r="C8159" i="12"/>
  <c r="B8159" i="12"/>
  <c r="A8159" i="12"/>
  <c r="E8158" i="12"/>
  <c r="D8158" i="12"/>
  <c r="C8158" i="12"/>
  <c r="B8158" i="12"/>
  <c r="A8158" i="12"/>
  <c r="F8157" i="12"/>
  <c r="E8157" i="12"/>
  <c r="D8157" i="12"/>
  <c r="C8157" i="12"/>
  <c r="B8157" i="12"/>
  <c r="A8157" i="12"/>
  <c r="E8156" i="12"/>
  <c r="D8156" i="12"/>
  <c r="C8156" i="12"/>
  <c r="B8156" i="12"/>
  <c r="A8156" i="12"/>
  <c r="E8155" i="12"/>
  <c r="D8155" i="12"/>
  <c r="C8155" i="12"/>
  <c r="B8155" i="12"/>
  <c r="A8155" i="12"/>
  <c r="F8154" i="12"/>
  <c r="E8154" i="12"/>
  <c r="D8154" i="12"/>
  <c r="C8154" i="12"/>
  <c r="B8154" i="12"/>
  <c r="A8154" i="12"/>
  <c r="F8153" i="12"/>
  <c r="E8153" i="12"/>
  <c r="D8153" i="12"/>
  <c r="C8153" i="12"/>
  <c r="B8153" i="12"/>
  <c r="A8153" i="12"/>
  <c r="E8152" i="12"/>
  <c r="D8152" i="12"/>
  <c r="C8152" i="12"/>
  <c r="B8152" i="12"/>
  <c r="A8152" i="12"/>
  <c r="F8151" i="12"/>
  <c r="E8151" i="12"/>
  <c r="D8151" i="12"/>
  <c r="C8151" i="12"/>
  <c r="B8151" i="12"/>
  <c r="A8151" i="12"/>
  <c r="E8150" i="12"/>
  <c r="D8150" i="12"/>
  <c r="C8150" i="12"/>
  <c r="B8150" i="12"/>
  <c r="A8150" i="12"/>
  <c r="F8149" i="12"/>
  <c r="E8149" i="12"/>
  <c r="D8149" i="12"/>
  <c r="C8149" i="12"/>
  <c r="B8149" i="12"/>
  <c r="A8149" i="12"/>
  <c r="F8148" i="12"/>
  <c r="E8148" i="12"/>
  <c r="D8148" i="12"/>
  <c r="C8148" i="12"/>
  <c r="B8148" i="12"/>
  <c r="A8148" i="12"/>
  <c r="F8147" i="12"/>
  <c r="E8147" i="12"/>
  <c r="D8147" i="12"/>
  <c r="C8147" i="12"/>
  <c r="B8147" i="12"/>
  <c r="A8147" i="12"/>
  <c r="E8146" i="12"/>
  <c r="D8146" i="12"/>
  <c r="C8146" i="12"/>
  <c r="B8146" i="12"/>
  <c r="A8146" i="12"/>
  <c r="F8145" i="12"/>
  <c r="E8145" i="12"/>
  <c r="D8145" i="12"/>
  <c r="C8145" i="12"/>
  <c r="B8145" i="12"/>
  <c r="A8145" i="12"/>
  <c r="F8144" i="12"/>
  <c r="E8144" i="12"/>
  <c r="D8144" i="12"/>
  <c r="C8144" i="12"/>
  <c r="B8144" i="12"/>
  <c r="A8144" i="12"/>
  <c r="F8143" i="12"/>
  <c r="E8143" i="12"/>
  <c r="D8143" i="12"/>
  <c r="C8143" i="12"/>
  <c r="B8143" i="12"/>
  <c r="A8143" i="12"/>
  <c r="E8142" i="12"/>
  <c r="D8142" i="12"/>
  <c r="C8142" i="12"/>
  <c r="B8142" i="12"/>
  <c r="A8142" i="12"/>
  <c r="E8141" i="12"/>
  <c r="D8141" i="12"/>
  <c r="C8141" i="12"/>
  <c r="B8141" i="12"/>
  <c r="A8141" i="12"/>
  <c r="E8140" i="12"/>
  <c r="D8140" i="12"/>
  <c r="C8140" i="12"/>
  <c r="B8140" i="12"/>
  <c r="A8140" i="12"/>
  <c r="E8139" i="12"/>
  <c r="D8139" i="12"/>
  <c r="C8139" i="12"/>
  <c r="B8139" i="12"/>
  <c r="A8139" i="12"/>
  <c r="F8138" i="12"/>
  <c r="E8138" i="12"/>
  <c r="D8138" i="12"/>
  <c r="C8138" i="12"/>
  <c r="B8138" i="12"/>
  <c r="A8138" i="12"/>
  <c r="E8137" i="12"/>
  <c r="D8137" i="12"/>
  <c r="C8137" i="12"/>
  <c r="B8137" i="12"/>
  <c r="A8137" i="12"/>
  <c r="E8136" i="12"/>
  <c r="D8136" i="12"/>
  <c r="C8136" i="12"/>
  <c r="B8136" i="12"/>
  <c r="A8136" i="12"/>
  <c r="E8135" i="12"/>
  <c r="D8135" i="12"/>
  <c r="C8135" i="12"/>
  <c r="B8135" i="12"/>
  <c r="A8135" i="12"/>
  <c r="E8134" i="12"/>
  <c r="D8134" i="12"/>
  <c r="C8134" i="12"/>
  <c r="B8134" i="12"/>
  <c r="A8134" i="12"/>
  <c r="E8133" i="12"/>
  <c r="D8133" i="12"/>
  <c r="C8133" i="12"/>
  <c r="B8133" i="12"/>
  <c r="A8133" i="12"/>
  <c r="E8132" i="12"/>
  <c r="D8132" i="12"/>
  <c r="C8132" i="12"/>
  <c r="B8132" i="12"/>
  <c r="A8132" i="12"/>
  <c r="E8131" i="12"/>
  <c r="D8131" i="12"/>
  <c r="C8131" i="12"/>
  <c r="B8131" i="12"/>
  <c r="A8131" i="12"/>
  <c r="E8130" i="12"/>
  <c r="D8130" i="12"/>
  <c r="C8130" i="12"/>
  <c r="B8130" i="12"/>
  <c r="A8130" i="12"/>
  <c r="E8129" i="12"/>
  <c r="D8129" i="12"/>
  <c r="C8129" i="12"/>
  <c r="B8129" i="12"/>
  <c r="A8129" i="12"/>
  <c r="E8128" i="12"/>
  <c r="D8128" i="12"/>
  <c r="C8128" i="12"/>
  <c r="B8128" i="12"/>
  <c r="A8128" i="12"/>
  <c r="E8127" i="12"/>
  <c r="D8127" i="12"/>
  <c r="C8127" i="12"/>
  <c r="B8127" i="12"/>
  <c r="A8127" i="12"/>
  <c r="E8126" i="12"/>
  <c r="D8126" i="12"/>
  <c r="C8126" i="12"/>
  <c r="B8126" i="12"/>
  <c r="A8126" i="12"/>
  <c r="E8125" i="12"/>
  <c r="D8125" i="12"/>
  <c r="C8125" i="12"/>
  <c r="B8125" i="12"/>
  <c r="A8125" i="12"/>
  <c r="E8124" i="12"/>
  <c r="D8124" i="12"/>
  <c r="C8124" i="12"/>
  <c r="B8124" i="12"/>
  <c r="A8124" i="12"/>
  <c r="E8123" i="12"/>
  <c r="D8123" i="12"/>
  <c r="C8123" i="12"/>
  <c r="B8123" i="12"/>
  <c r="A8123" i="12"/>
  <c r="E8122" i="12"/>
  <c r="D8122" i="12"/>
  <c r="C8122" i="12"/>
  <c r="B8122" i="12"/>
  <c r="A8122" i="12"/>
  <c r="E8121" i="12"/>
  <c r="D8121" i="12"/>
  <c r="C8121" i="12"/>
  <c r="B8121" i="12"/>
  <c r="A8121" i="12"/>
  <c r="E8120" i="12"/>
  <c r="D8120" i="12"/>
  <c r="C8120" i="12"/>
  <c r="B8120" i="12"/>
  <c r="A8120" i="12"/>
  <c r="E8119" i="12"/>
  <c r="D8119" i="12"/>
  <c r="C8119" i="12"/>
  <c r="B8119" i="12"/>
  <c r="A8119" i="12"/>
  <c r="E8118" i="12"/>
  <c r="D8118" i="12"/>
  <c r="C8118" i="12"/>
  <c r="B8118" i="12"/>
  <c r="A8118" i="12"/>
  <c r="E8117" i="12"/>
  <c r="D8117" i="12"/>
  <c r="C8117" i="12"/>
  <c r="B8117" i="12"/>
  <c r="A8117" i="12"/>
  <c r="E8116" i="12"/>
  <c r="D8116" i="12"/>
  <c r="C8116" i="12"/>
  <c r="B8116" i="12"/>
  <c r="A8116" i="12"/>
  <c r="E8115" i="12"/>
  <c r="D8115" i="12"/>
  <c r="C8115" i="12"/>
  <c r="B8115" i="12"/>
  <c r="A8115" i="12"/>
  <c r="E8114" i="12"/>
  <c r="D8114" i="12"/>
  <c r="C8114" i="12"/>
  <c r="B8114" i="12"/>
  <c r="A8114" i="12"/>
  <c r="E8113" i="12"/>
  <c r="D8113" i="12"/>
  <c r="C8113" i="12"/>
  <c r="B8113" i="12"/>
  <c r="A8113" i="12"/>
  <c r="E8112" i="12"/>
  <c r="D8112" i="12"/>
  <c r="C8112" i="12"/>
  <c r="B8112" i="12"/>
  <c r="A8112" i="12"/>
  <c r="E8111" i="12"/>
  <c r="D8111" i="12"/>
  <c r="C8111" i="12"/>
  <c r="B8111" i="12"/>
  <c r="A8111" i="12"/>
  <c r="E8110" i="12"/>
  <c r="D8110" i="12"/>
  <c r="C8110" i="12"/>
  <c r="B8110" i="12"/>
  <c r="A8110" i="12"/>
  <c r="E8109" i="12"/>
  <c r="D8109" i="12"/>
  <c r="C8109" i="12"/>
  <c r="B8109" i="12"/>
  <c r="A8109" i="12"/>
  <c r="E8108" i="12"/>
  <c r="D8108" i="12"/>
  <c r="C8108" i="12"/>
  <c r="B8108" i="12"/>
  <c r="A8108" i="12"/>
  <c r="E8107" i="12"/>
  <c r="D8107" i="12"/>
  <c r="C8107" i="12"/>
  <c r="B8107" i="12"/>
  <c r="A8107" i="12"/>
  <c r="E8106" i="12"/>
  <c r="D8106" i="12"/>
  <c r="C8106" i="12"/>
  <c r="B8106" i="12"/>
  <c r="A8106" i="12"/>
  <c r="E8105" i="12"/>
  <c r="D8105" i="12"/>
  <c r="C8105" i="12"/>
  <c r="B8105" i="12"/>
  <c r="A8105" i="12"/>
  <c r="E8104" i="12"/>
  <c r="D8104" i="12"/>
  <c r="C8104" i="12"/>
  <c r="B8104" i="12"/>
  <c r="A8104" i="12"/>
  <c r="E8103" i="12"/>
  <c r="D8103" i="12"/>
  <c r="C8103" i="12"/>
  <c r="B8103" i="12"/>
  <c r="A8103" i="12"/>
  <c r="E8102" i="12"/>
  <c r="D8102" i="12"/>
  <c r="C8102" i="12"/>
  <c r="B8102" i="12"/>
  <c r="A8102" i="12"/>
  <c r="E8101" i="12"/>
  <c r="D8101" i="12"/>
  <c r="C8101" i="12"/>
  <c r="B8101" i="12"/>
  <c r="A8101" i="12"/>
  <c r="E8100" i="12"/>
  <c r="D8100" i="12"/>
  <c r="C8100" i="12"/>
  <c r="B8100" i="12"/>
  <c r="A8100" i="12"/>
  <c r="E8099" i="12"/>
  <c r="D8099" i="12"/>
  <c r="C8099" i="12"/>
  <c r="B8099" i="12"/>
  <c r="A8099" i="12"/>
  <c r="E8098" i="12"/>
  <c r="D8098" i="12"/>
  <c r="C8098" i="12"/>
  <c r="B8098" i="12"/>
  <c r="A8098" i="12"/>
  <c r="F8097" i="12"/>
  <c r="E8097" i="12"/>
  <c r="D8097" i="12"/>
  <c r="C8097" i="12"/>
  <c r="B8097" i="12"/>
  <c r="A8097" i="12"/>
  <c r="E8096" i="12"/>
  <c r="D8096" i="12"/>
  <c r="C8096" i="12"/>
  <c r="B8096" i="12"/>
  <c r="A8096" i="12"/>
  <c r="E8095" i="12"/>
  <c r="D8095" i="12"/>
  <c r="C8095" i="12"/>
  <c r="B8095" i="12"/>
  <c r="A8095" i="12"/>
  <c r="E8094" i="12"/>
  <c r="D8094" i="12"/>
  <c r="C8094" i="12"/>
  <c r="B8094" i="12"/>
  <c r="A8094" i="12"/>
  <c r="F8093" i="12"/>
  <c r="E8093" i="12"/>
  <c r="D8093" i="12"/>
  <c r="C8093" i="12"/>
  <c r="B8093" i="12"/>
  <c r="A8093" i="12"/>
  <c r="E8092" i="12"/>
  <c r="D8092" i="12"/>
  <c r="C8092" i="12"/>
  <c r="B8092" i="12"/>
  <c r="A8092" i="12"/>
  <c r="E8091" i="12"/>
  <c r="D8091" i="12"/>
  <c r="C8091" i="12"/>
  <c r="B8091" i="12"/>
  <c r="A8091" i="12"/>
  <c r="E8090" i="12"/>
  <c r="D8090" i="12"/>
  <c r="C8090" i="12"/>
  <c r="B8090" i="12"/>
  <c r="A8090" i="12"/>
  <c r="E8089" i="12"/>
  <c r="D8089" i="12"/>
  <c r="C8089" i="12"/>
  <c r="B8089" i="12"/>
  <c r="A8089" i="12"/>
  <c r="E8088" i="12"/>
  <c r="D8088" i="12"/>
  <c r="C8088" i="12"/>
  <c r="B8088" i="12"/>
  <c r="A8088" i="12"/>
  <c r="F8087" i="12"/>
  <c r="E8087" i="12"/>
  <c r="D8087" i="12"/>
  <c r="C8087" i="12"/>
  <c r="B8087" i="12"/>
  <c r="A8087" i="12"/>
  <c r="E8086" i="12"/>
  <c r="D8086" i="12"/>
  <c r="C8086" i="12"/>
  <c r="B8086" i="12"/>
  <c r="A8086" i="12"/>
  <c r="E8085" i="12"/>
  <c r="D8085" i="12"/>
  <c r="C8085" i="12"/>
  <c r="B8085" i="12"/>
  <c r="A8085" i="12"/>
  <c r="E8084" i="12"/>
  <c r="D8084" i="12"/>
  <c r="C8084" i="12"/>
  <c r="B8084" i="12"/>
  <c r="A8084" i="12"/>
  <c r="E8083" i="12"/>
  <c r="D8083" i="12"/>
  <c r="C8083" i="12"/>
  <c r="B8083" i="12"/>
  <c r="A8083" i="12"/>
  <c r="E8082" i="12"/>
  <c r="D8082" i="12"/>
  <c r="C8082" i="12"/>
  <c r="B8082" i="12"/>
  <c r="A8082" i="12"/>
  <c r="E8081" i="12"/>
  <c r="D8081" i="12"/>
  <c r="C8081" i="12"/>
  <c r="B8081" i="12"/>
  <c r="A8081" i="12"/>
  <c r="F8080" i="12"/>
  <c r="E8080" i="12"/>
  <c r="D8080" i="12"/>
  <c r="C8080" i="12"/>
  <c r="B8080" i="12"/>
  <c r="A8080" i="12"/>
  <c r="E8079" i="12"/>
  <c r="D8079" i="12"/>
  <c r="C8079" i="12"/>
  <c r="B8079" i="12"/>
  <c r="A8079" i="12"/>
  <c r="E8078" i="12"/>
  <c r="D8078" i="12"/>
  <c r="C8078" i="12"/>
  <c r="B8078" i="12"/>
  <c r="A8078" i="12"/>
  <c r="E8077" i="12"/>
  <c r="D8077" i="12"/>
  <c r="C8077" i="12"/>
  <c r="B8077" i="12"/>
  <c r="A8077" i="12"/>
  <c r="E8076" i="12"/>
  <c r="D8076" i="12"/>
  <c r="C8076" i="12"/>
  <c r="B8076" i="12"/>
  <c r="A8076" i="12"/>
  <c r="E8075" i="12"/>
  <c r="D8075" i="12"/>
  <c r="C8075" i="12"/>
  <c r="B8075" i="12"/>
  <c r="A8075" i="12"/>
  <c r="E8074" i="12"/>
  <c r="D8074" i="12"/>
  <c r="C8074" i="12"/>
  <c r="B8074" i="12"/>
  <c r="A8074" i="12"/>
  <c r="E8073" i="12"/>
  <c r="D8073" i="12"/>
  <c r="C8073" i="12"/>
  <c r="B8073" i="12"/>
  <c r="A8073" i="12"/>
  <c r="E8072" i="12"/>
  <c r="D8072" i="12"/>
  <c r="C8072" i="12"/>
  <c r="B8072" i="12"/>
  <c r="A8072" i="12"/>
  <c r="F8071" i="12"/>
  <c r="E8071" i="12"/>
  <c r="D8071" i="12"/>
  <c r="C8071" i="12"/>
  <c r="B8071" i="12"/>
  <c r="A8071" i="12"/>
  <c r="E8070" i="12"/>
  <c r="D8070" i="12"/>
  <c r="C8070" i="12"/>
  <c r="B8070" i="12"/>
  <c r="A8070" i="12"/>
  <c r="E8069" i="12"/>
  <c r="D8069" i="12"/>
  <c r="C8069" i="12"/>
  <c r="B8069" i="12"/>
  <c r="A8069" i="12"/>
  <c r="E8068" i="12"/>
  <c r="D8068" i="12"/>
  <c r="C8068" i="12"/>
  <c r="B8068" i="12"/>
  <c r="A8068" i="12"/>
  <c r="E8067" i="12"/>
  <c r="D8067" i="12"/>
  <c r="C8067" i="12"/>
  <c r="B8067" i="12"/>
  <c r="A8067" i="12"/>
  <c r="E8066" i="12"/>
  <c r="D8066" i="12"/>
  <c r="C8066" i="12"/>
  <c r="B8066" i="12"/>
  <c r="A8066" i="12"/>
  <c r="E8065" i="12"/>
  <c r="D8065" i="12"/>
  <c r="C8065" i="12"/>
  <c r="B8065" i="12"/>
  <c r="A8065" i="12"/>
  <c r="E8064" i="12"/>
  <c r="D8064" i="12"/>
  <c r="C8064" i="12"/>
  <c r="B8064" i="12"/>
  <c r="A8064" i="12"/>
  <c r="E8063" i="12"/>
  <c r="D8063" i="12"/>
  <c r="C8063" i="12"/>
  <c r="B8063" i="12"/>
  <c r="A8063" i="12"/>
  <c r="E8062" i="12"/>
  <c r="D8062" i="12"/>
  <c r="C8062" i="12"/>
  <c r="B8062" i="12"/>
  <c r="A8062" i="12"/>
  <c r="E8061" i="12"/>
  <c r="D8061" i="12"/>
  <c r="C8061" i="12"/>
  <c r="B8061" i="12"/>
  <c r="A8061" i="12"/>
  <c r="G8060" i="12"/>
  <c r="E8060" i="12"/>
  <c r="D8060" i="12"/>
  <c r="C8060" i="12"/>
  <c r="B8060" i="12"/>
  <c r="A8060" i="12"/>
  <c r="E8059" i="12"/>
  <c r="D8059" i="12"/>
  <c r="C8059" i="12"/>
  <c r="B8059" i="12"/>
  <c r="A8059" i="12"/>
  <c r="G8058" i="12"/>
  <c r="E8058" i="12"/>
  <c r="D8058" i="12"/>
  <c r="C8058" i="12"/>
  <c r="B8058" i="12"/>
  <c r="A8058" i="12"/>
  <c r="E8057" i="12"/>
  <c r="D8057" i="12"/>
  <c r="C8057" i="12"/>
  <c r="B8057" i="12"/>
  <c r="A8057" i="12"/>
  <c r="G8056" i="12"/>
  <c r="E8056" i="12"/>
  <c r="D8056" i="12"/>
  <c r="C8056" i="12"/>
  <c r="B8056" i="12"/>
  <c r="A8056" i="12"/>
  <c r="G8055" i="12"/>
  <c r="E8055" i="12"/>
  <c r="D8055" i="12"/>
  <c r="C8055" i="12"/>
  <c r="B8055" i="12"/>
  <c r="A8055" i="12"/>
  <c r="E8054" i="12"/>
  <c r="D8054" i="12"/>
  <c r="C8054" i="12"/>
  <c r="B8054" i="12"/>
  <c r="A8054" i="12"/>
  <c r="E8053" i="12"/>
  <c r="D8053" i="12"/>
  <c r="C8053" i="12"/>
  <c r="B8053" i="12"/>
  <c r="A8053" i="12"/>
  <c r="E8052" i="12"/>
  <c r="D8052" i="12"/>
  <c r="C8052" i="12"/>
  <c r="B8052" i="12"/>
  <c r="A8052" i="12"/>
  <c r="E8051" i="12"/>
  <c r="D8051" i="12"/>
  <c r="C8051" i="12"/>
  <c r="B8051" i="12"/>
  <c r="A8051" i="12"/>
  <c r="E8050" i="12"/>
  <c r="D8050" i="12"/>
  <c r="C8050" i="12"/>
  <c r="B8050" i="12"/>
  <c r="A8050" i="12"/>
  <c r="E8049" i="12"/>
  <c r="D8049" i="12"/>
  <c r="C8049" i="12"/>
  <c r="B8049" i="12"/>
  <c r="A8049" i="12"/>
  <c r="E8048" i="12"/>
  <c r="D8048" i="12"/>
  <c r="C8048" i="12"/>
  <c r="B8048" i="12"/>
  <c r="A8048" i="12"/>
  <c r="E8047" i="12"/>
  <c r="D8047" i="12"/>
  <c r="C8047" i="12"/>
  <c r="B8047" i="12"/>
  <c r="A8047" i="12"/>
  <c r="E8046" i="12"/>
  <c r="D8046" i="12"/>
  <c r="C8046" i="12"/>
  <c r="B8046" i="12"/>
  <c r="A8046" i="12"/>
  <c r="E8045" i="12"/>
  <c r="D8045" i="12"/>
  <c r="C8045" i="12"/>
  <c r="B8045" i="12"/>
  <c r="A8045" i="12"/>
  <c r="E8044" i="12"/>
  <c r="D8044" i="12"/>
  <c r="C8044" i="12"/>
  <c r="B8044" i="12"/>
  <c r="A8044" i="12"/>
  <c r="E8043" i="12"/>
  <c r="D8043" i="12"/>
  <c r="C8043" i="12"/>
  <c r="B8043" i="12"/>
  <c r="A8043" i="12"/>
  <c r="E8042" i="12"/>
  <c r="D8042" i="12"/>
  <c r="C8042" i="12"/>
  <c r="B8042" i="12"/>
  <c r="A8042" i="12"/>
  <c r="E8041" i="12"/>
  <c r="D8041" i="12"/>
  <c r="C8041" i="12"/>
  <c r="B8041" i="12"/>
  <c r="A8041" i="12"/>
  <c r="E8040" i="12"/>
  <c r="D8040" i="12"/>
  <c r="C8040" i="12"/>
  <c r="B8040" i="12"/>
  <c r="A8040" i="12"/>
  <c r="E8039" i="12"/>
  <c r="D8039" i="12"/>
  <c r="C8039" i="12"/>
  <c r="B8039" i="12"/>
  <c r="A8039" i="12"/>
  <c r="E8038" i="12"/>
  <c r="D8038" i="12"/>
  <c r="C8038" i="12"/>
  <c r="B8038" i="12"/>
  <c r="A8038" i="12"/>
  <c r="E8037" i="12"/>
  <c r="D8037" i="12"/>
  <c r="C8037" i="12"/>
  <c r="B8037" i="12"/>
  <c r="A8037" i="12"/>
  <c r="E8036" i="12"/>
  <c r="D8036" i="12"/>
  <c r="C8036" i="12"/>
  <c r="B8036" i="12"/>
  <c r="A8036" i="12"/>
  <c r="E8035" i="12"/>
  <c r="D8035" i="12"/>
  <c r="C8035" i="12"/>
  <c r="B8035" i="12"/>
  <c r="A8035" i="12"/>
  <c r="E8034" i="12"/>
  <c r="D8034" i="12"/>
  <c r="C8034" i="12"/>
  <c r="B8034" i="12"/>
  <c r="A8034" i="12"/>
  <c r="E8033" i="12"/>
  <c r="D8033" i="12"/>
  <c r="C8033" i="12"/>
  <c r="B8033" i="12"/>
  <c r="A8033" i="12"/>
  <c r="E8032" i="12"/>
  <c r="D8032" i="12"/>
  <c r="C8032" i="12"/>
  <c r="B8032" i="12"/>
  <c r="A8032" i="12"/>
  <c r="E8031" i="12"/>
  <c r="D8031" i="12"/>
  <c r="C8031" i="12"/>
  <c r="B8031" i="12"/>
  <c r="A8031" i="12"/>
  <c r="E8030" i="12"/>
  <c r="D8030" i="12"/>
  <c r="C8030" i="12"/>
  <c r="B8030" i="12"/>
  <c r="A8030" i="12"/>
  <c r="E8029" i="12"/>
  <c r="D8029" i="12"/>
  <c r="C8029" i="12"/>
  <c r="B8029" i="12"/>
  <c r="A8029" i="12"/>
  <c r="E8028" i="12"/>
  <c r="D8028" i="12"/>
  <c r="C8028" i="12"/>
  <c r="B8028" i="12"/>
  <c r="A8028" i="12"/>
  <c r="E8027" i="12"/>
  <c r="D8027" i="12"/>
  <c r="C8027" i="12"/>
  <c r="B8027" i="12"/>
  <c r="A8027" i="12"/>
  <c r="E8026" i="12"/>
  <c r="D8026" i="12"/>
  <c r="C8026" i="12"/>
  <c r="B8026" i="12"/>
  <c r="A8026" i="12"/>
  <c r="E8025" i="12"/>
  <c r="D8025" i="12"/>
  <c r="C8025" i="12"/>
  <c r="B8025" i="12"/>
  <c r="A8025" i="12"/>
  <c r="E8024" i="12"/>
  <c r="D8024" i="12"/>
  <c r="C8024" i="12"/>
  <c r="B8024" i="12"/>
  <c r="A8024" i="12"/>
  <c r="E8023" i="12"/>
  <c r="D8023" i="12"/>
  <c r="C8023" i="12"/>
  <c r="B8023" i="12"/>
  <c r="A8023" i="12"/>
  <c r="E8022" i="12"/>
  <c r="D8022" i="12"/>
  <c r="C8022" i="12"/>
  <c r="B8022" i="12"/>
  <c r="A8022" i="12"/>
  <c r="E8021" i="12"/>
  <c r="D8021" i="12"/>
  <c r="C8021" i="12"/>
  <c r="B8021" i="12"/>
  <c r="A8021" i="12"/>
  <c r="E8020" i="12"/>
  <c r="D8020" i="12"/>
  <c r="C8020" i="12"/>
  <c r="B8020" i="12"/>
  <c r="A8020" i="12"/>
  <c r="E8019" i="12"/>
  <c r="D8019" i="12"/>
  <c r="C8019" i="12"/>
  <c r="B8019" i="12"/>
  <c r="A8019" i="12"/>
  <c r="E8018" i="12"/>
  <c r="D8018" i="12"/>
  <c r="C8018" i="12"/>
  <c r="B8018" i="12"/>
  <c r="A8018" i="12"/>
  <c r="E8017" i="12"/>
  <c r="D8017" i="12"/>
  <c r="C8017" i="12"/>
  <c r="B8017" i="12"/>
  <c r="A8017" i="12"/>
  <c r="E8016" i="12"/>
  <c r="D8016" i="12"/>
  <c r="C8016" i="12"/>
  <c r="B8016" i="12"/>
  <c r="A8016" i="12"/>
  <c r="E8015" i="12"/>
  <c r="D8015" i="12"/>
  <c r="C8015" i="12"/>
  <c r="B8015" i="12"/>
  <c r="A8015" i="12"/>
  <c r="G8014" i="12"/>
  <c r="E8014" i="12"/>
  <c r="D8014" i="12"/>
  <c r="C8014" i="12"/>
  <c r="B8014" i="12"/>
  <c r="A8014" i="12"/>
  <c r="E8013" i="12"/>
  <c r="D8013" i="12"/>
  <c r="C8013" i="12"/>
  <c r="B8013" i="12"/>
  <c r="A8013" i="12"/>
  <c r="E8012" i="12"/>
  <c r="D8012" i="12"/>
  <c r="C8012" i="12"/>
  <c r="B8012" i="12"/>
  <c r="A8012" i="12"/>
  <c r="E8011" i="12"/>
  <c r="D8011" i="12"/>
  <c r="C8011" i="12"/>
  <c r="B8011" i="12"/>
  <c r="A8011" i="12"/>
  <c r="E8010" i="12"/>
  <c r="D8010" i="12"/>
  <c r="C8010" i="12"/>
  <c r="B8010" i="12"/>
  <c r="A8010" i="12"/>
  <c r="E8009" i="12"/>
  <c r="D8009" i="12"/>
  <c r="C8009" i="12"/>
  <c r="B8009" i="12"/>
  <c r="A8009" i="12"/>
  <c r="E8008" i="12"/>
  <c r="D8008" i="12"/>
  <c r="C8008" i="12"/>
  <c r="B8008" i="12"/>
  <c r="A8008" i="12"/>
  <c r="E8007" i="12"/>
  <c r="D8007" i="12"/>
  <c r="C8007" i="12"/>
  <c r="B8007" i="12"/>
  <c r="A8007" i="12"/>
  <c r="E8006" i="12"/>
  <c r="D8006" i="12"/>
  <c r="C8006" i="12"/>
  <c r="B8006" i="12"/>
  <c r="A8006" i="12"/>
  <c r="E8005" i="12"/>
  <c r="D8005" i="12"/>
  <c r="C8005" i="12"/>
  <c r="B8005" i="12"/>
  <c r="A8005" i="12"/>
  <c r="G8004" i="12"/>
  <c r="E8004" i="12"/>
  <c r="D8004" i="12"/>
  <c r="C8004" i="12"/>
  <c r="B8004" i="12"/>
  <c r="A8004" i="12"/>
  <c r="E8003" i="12"/>
  <c r="D8003" i="12"/>
  <c r="C8003" i="12"/>
  <c r="B8003" i="12"/>
  <c r="A8003" i="12"/>
  <c r="E8002" i="12"/>
  <c r="D8002" i="12"/>
  <c r="C8002" i="12"/>
  <c r="B8002" i="12"/>
  <c r="A8002" i="12"/>
  <c r="E8001" i="12"/>
  <c r="D8001" i="12"/>
  <c r="C8001" i="12"/>
  <c r="B8001" i="12"/>
  <c r="A8001" i="12"/>
  <c r="E8000" i="12"/>
  <c r="D8000" i="12"/>
  <c r="C8000" i="12"/>
  <c r="B8000" i="12"/>
  <c r="A8000" i="12"/>
  <c r="E7999" i="12"/>
  <c r="D7999" i="12"/>
  <c r="C7999" i="12"/>
  <c r="B7999" i="12"/>
  <c r="A7999" i="12"/>
  <c r="E7998" i="12"/>
  <c r="D7998" i="12"/>
  <c r="C7998" i="12"/>
  <c r="B7998" i="12"/>
  <c r="A7998" i="12"/>
  <c r="E7997" i="12"/>
  <c r="D7997" i="12"/>
  <c r="C7997" i="12"/>
  <c r="B7997" i="12"/>
  <c r="A7997" i="12"/>
  <c r="E7996" i="12"/>
  <c r="D7996" i="12"/>
  <c r="C7996" i="12"/>
  <c r="B7996" i="12"/>
  <c r="A7996" i="12"/>
  <c r="E7995" i="12"/>
  <c r="D7995" i="12"/>
  <c r="C7995" i="12"/>
  <c r="B7995" i="12"/>
  <c r="A7995" i="12"/>
  <c r="E7994" i="12"/>
  <c r="D7994" i="12"/>
  <c r="C7994" i="12"/>
  <c r="B7994" i="12"/>
  <c r="A7994" i="12"/>
  <c r="E7993" i="12"/>
  <c r="D7993" i="12"/>
  <c r="C7993" i="12"/>
  <c r="B7993" i="12"/>
  <c r="A7993" i="12"/>
  <c r="F7992" i="12"/>
  <c r="E7992" i="12"/>
  <c r="D7992" i="12"/>
  <c r="C7992" i="12"/>
  <c r="B7992" i="12"/>
  <c r="A7992" i="12"/>
  <c r="E7991" i="12"/>
  <c r="D7991" i="12"/>
  <c r="C7991" i="12"/>
  <c r="B7991" i="12"/>
  <c r="A7991" i="12"/>
  <c r="E7990" i="12"/>
  <c r="D7990" i="12"/>
  <c r="C7990" i="12"/>
  <c r="B7990" i="12"/>
  <c r="A7990" i="12"/>
  <c r="E7989" i="12"/>
  <c r="D7989" i="12"/>
  <c r="C7989" i="12"/>
  <c r="B7989" i="12"/>
  <c r="A7989" i="12"/>
  <c r="E7988" i="12"/>
  <c r="D7988" i="12"/>
  <c r="C7988" i="12"/>
  <c r="B7988" i="12"/>
  <c r="A7988" i="12"/>
  <c r="E7987" i="12"/>
  <c r="D7987" i="12"/>
  <c r="C7987" i="12"/>
  <c r="B7987" i="12"/>
  <c r="A7987" i="12"/>
  <c r="F7986" i="12"/>
  <c r="E7986" i="12"/>
  <c r="D7986" i="12"/>
  <c r="C7986" i="12"/>
  <c r="B7986" i="12"/>
  <c r="A7986" i="12"/>
  <c r="F7985" i="12"/>
  <c r="E7985" i="12"/>
  <c r="D7985" i="12"/>
  <c r="C7985" i="12"/>
  <c r="B7985" i="12"/>
  <c r="A7985" i="12"/>
  <c r="F7984" i="12"/>
  <c r="E7984" i="12"/>
  <c r="D7984" i="12"/>
  <c r="C7984" i="12"/>
  <c r="B7984" i="12"/>
  <c r="A7984" i="12"/>
  <c r="F7983" i="12"/>
  <c r="E7983" i="12"/>
  <c r="D7983" i="12"/>
  <c r="C7983" i="12"/>
  <c r="B7983" i="12"/>
  <c r="A7983" i="12"/>
  <c r="E7982" i="12"/>
  <c r="D7982" i="12"/>
  <c r="C7982" i="12"/>
  <c r="B7982" i="12"/>
  <c r="A7982" i="12"/>
  <c r="E7981" i="12"/>
  <c r="D7981" i="12"/>
  <c r="C7981" i="12"/>
  <c r="B7981" i="12"/>
  <c r="A7981" i="12"/>
  <c r="F7980" i="12"/>
  <c r="E7980" i="12"/>
  <c r="D7980" i="12"/>
  <c r="C7980" i="12"/>
  <c r="B7980" i="12"/>
  <c r="A7980" i="12"/>
  <c r="E7979" i="12"/>
  <c r="D7979" i="12"/>
  <c r="C7979" i="12"/>
  <c r="B7979" i="12"/>
  <c r="A7979" i="12"/>
  <c r="E7978" i="12"/>
  <c r="D7978" i="12"/>
  <c r="C7978" i="12"/>
  <c r="B7978" i="12"/>
  <c r="A7978" i="12"/>
  <c r="F7977" i="12"/>
  <c r="E7977" i="12"/>
  <c r="D7977" i="12"/>
  <c r="C7977" i="12"/>
  <c r="B7977" i="12"/>
  <c r="A7977" i="12"/>
  <c r="F7976" i="12"/>
  <c r="E7976" i="12"/>
  <c r="D7976" i="12"/>
  <c r="C7976" i="12"/>
  <c r="B7976" i="12"/>
  <c r="A7976" i="12"/>
  <c r="E7975" i="12"/>
  <c r="D7975" i="12"/>
  <c r="C7975" i="12"/>
  <c r="B7975" i="12"/>
  <c r="A7975" i="12"/>
  <c r="E7974" i="12"/>
  <c r="D7974" i="12"/>
  <c r="C7974" i="12"/>
  <c r="B7974" i="12"/>
  <c r="A7974" i="12"/>
  <c r="E7973" i="12"/>
  <c r="D7973" i="12"/>
  <c r="C7973" i="12"/>
  <c r="B7973" i="12"/>
  <c r="A7973" i="12"/>
  <c r="E7972" i="12"/>
  <c r="D7972" i="12"/>
  <c r="C7972" i="12"/>
  <c r="B7972" i="12"/>
  <c r="A7972" i="12"/>
  <c r="E7971" i="12"/>
  <c r="D7971" i="12"/>
  <c r="C7971" i="12"/>
  <c r="B7971" i="12"/>
  <c r="A7971" i="12"/>
  <c r="E7970" i="12"/>
  <c r="D7970" i="12"/>
  <c r="C7970" i="12"/>
  <c r="B7970" i="12"/>
  <c r="A7970" i="12"/>
  <c r="F7969" i="12"/>
  <c r="E7969" i="12"/>
  <c r="D7969" i="12"/>
  <c r="C7969" i="12"/>
  <c r="B7969" i="12"/>
  <c r="A7969" i="12"/>
  <c r="E7968" i="12"/>
  <c r="D7968" i="12"/>
  <c r="C7968" i="12"/>
  <c r="B7968" i="12"/>
  <c r="A7968" i="12"/>
  <c r="E7967" i="12"/>
  <c r="D7967" i="12"/>
  <c r="C7967" i="12"/>
  <c r="B7967" i="12"/>
  <c r="A7967" i="12"/>
  <c r="E7966" i="12"/>
  <c r="D7966" i="12"/>
  <c r="C7966" i="12"/>
  <c r="B7966" i="12"/>
  <c r="A7966" i="12"/>
  <c r="E7965" i="12"/>
  <c r="D7965" i="12"/>
  <c r="C7965" i="12"/>
  <c r="B7965" i="12"/>
  <c r="A7965" i="12"/>
  <c r="G7964" i="12"/>
  <c r="E7964" i="12"/>
  <c r="D7964" i="12"/>
  <c r="C7964" i="12"/>
  <c r="B7964" i="12"/>
  <c r="A7964" i="12"/>
  <c r="E7963" i="12"/>
  <c r="D7963" i="12"/>
  <c r="C7963" i="12"/>
  <c r="B7963" i="12"/>
  <c r="A7963" i="12"/>
  <c r="E7962" i="12"/>
  <c r="D7962" i="12"/>
  <c r="C7962" i="12"/>
  <c r="B7962" i="12"/>
  <c r="A7962" i="12"/>
  <c r="E7961" i="12"/>
  <c r="D7961" i="12"/>
  <c r="C7961" i="12"/>
  <c r="B7961" i="12"/>
  <c r="A7961" i="12"/>
  <c r="E7960" i="12"/>
  <c r="D7960" i="12"/>
  <c r="C7960" i="12"/>
  <c r="B7960" i="12"/>
  <c r="A7960" i="12"/>
  <c r="E7959" i="12"/>
  <c r="D7959" i="12"/>
  <c r="C7959" i="12"/>
  <c r="B7959" i="12"/>
  <c r="A7959" i="12"/>
  <c r="E7958" i="12"/>
  <c r="D7958" i="12"/>
  <c r="C7958" i="12"/>
  <c r="B7958" i="12"/>
  <c r="A7958" i="12"/>
  <c r="G7957" i="12"/>
  <c r="E7957" i="12"/>
  <c r="D7957" i="12"/>
  <c r="C7957" i="12"/>
  <c r="B7957" i="12"/>
  <c r="A7957" i="12"/>
  <c r="E7956" i="12"/>
  <c r="D7956" i="12"/>
  <c r="C7956" i="12"/>
  <c r="B7956" i="12"/>
  <c r="A7956" i="12"/>
  <c r="E7955" i="12"/>
  <c r="D7955" i="12"/>
  <c r="C7955" i="12"/>
  <c r="B7955" i="12"/>
  <c r="A7955" i="12"/>
  <c r="E7954" i="12"/>
  <c r="D7954" i="12"/>
  <c r="C7954" i="12"/>
  <c r="B7954" i="12"/>
  <c r="A7954" i="12"/>
  <c r="E7953" i="12"/>
  <c r="D7953" i="12"/>
  <c r="C7953" i="12"/>
  <c r="B7953" i="12"/>
  <c r="A7953" i="12"/>
  <c r="E7952" i="12"/>
  <c r="D7952" i="12"/>
  <c r="C7952" i="12"/>
  <c r="B7952" i="12"/>
  <c r="A7952" i="12"/>
  <c r="E7951" i="12"/>
  <c r="D7951" i="12"/>
  <c r="C7951" i="12"/>
  <c r="B7951" i="12"/>
  <c r="A7951" i="12"/>
  <c r="E7950" i="12"/>
  <c r="D7950" i="12"/>
  <c r="C7950" i="12"/>
  <c r="B7950" i="12"/>
  <c r="A7950" i="12"/>
  <c r="G7949" i="12"/>
  <c r="E7949" i="12"/>
  <c r="D7949" i="12"/>
  <c r="C7949" i="12"/>
  <c r="B7949" i="12"/>
  <c r="A7949" i="12"/>
  <c r="E7948" i="12"/>
  <c r="D7948" i="12"/>
  <c r="C7948" i="12"/>
  <c r="A7948" i="12"/>
  <c r="E7947" i="12"/>
  <c r="D7947" i="12"/>
  <c r="C7947" i="12"/>
  <c r="B7947" i="12"/>
  <c r="A7947" i="12"/>
  <c r="E7946" i="12"/>
  <c r="D7946" i="12"/>
  <c r="C7946" i="12"/>
  <c r="B7946" i="12"/>
  <c r="A7946" i="12"/>
  <c r="E7945" i="12"/>
  <c r="D7945" i="12"/>
  <c r="C7945" i="12"/>
  <c r="B7945" i="12"/>
  <c r="A7945" i="12"/>
  <c r="G7944" i="12"/>
  <c r="E7944" i="12"/>
  <c r="D7944" i="12"/>
  <c r="C7944" i="12"/>
  <c r="B7944" i="12"/>
  <c r="A7944" i="12"/>
  <c r="E7943" i="12"/>
  <c r="D7943" i="12"/>
  <c r="C7943" i="12"/>
  <c r="B7943" i="12"/>
  <c r="A7943" i="12"/>
  <c r="E7942" i="12"/>
  <c r="D7942" i="12"/>
  <c r="C7942" i="12"/>
  <c r="B7942" i="12"/>
  <c r="A7942" i="12"/>
  <c r="E7941" i="12"/>
  <c r="D7941" i="12"/>
  <c r="C7941" i="12"/>
  <c r="B7941" i="12"/>
  <c r="A7941" i="12"/>
  <c r="E7940" i="12"/>
  <c r="D7940" i="12"/>
  <c r="C7940" i="12"/>
  <c r="B7940" i="12"/>
  <c r="A7940" i="12"/>
  <c r="E7939" i="12"/>
  <c r="D7939" i="12"/>
  <c r="C7939" i="12"/>
  <c r="B7939" i="12"/>
  <c r="A7939" i="12"/>
  <c r="E7938" i="12"/>
  <c r="D7938" i="12"/>
  <c r="C7938" i="12"/>
  <c r="B7938" i="12"/>
  <c r="A7938" i="12"/>
  <c r="E7937" i="12"/>
  <c r="D7937" i="12"/>
  <c r="C7937" i="12"/>
  <c r="B7937" i="12"/>
  <c r="A7937" i="12"/>
  <c r="E7936" i="12"/>
  <c r="D7936" i="12"/>
  <c r="C7936" i="12"/>
  <c r="B7936" i="12"/>
  <c r="A7936" i="12"/>
  <c r="E7935" i="12"/>
  <c r="D7935" i="12"/>
  <c r="C7935" i="12"/>
  <c r="B7935" i="12"/>
  <c r="A7935" i="12"/>
  <c r="E7934" i="12"/>
  <c r="D7934" i="12"/>
  <c r="C7934" i="12"/>
  <c r="B7934" i="12"/>
  <c r="A7934" i="12"/>
  <c r="E7933" i="12"/>
  <c r="D7933" i="12"/>
  <c r="C7933" i="12"/>
  <c r="B7933" i="12"/>
  <c r="A7933" i="12"/>
  <c r="E7932" i="12"/>
  <c r="D7932" i="12"/>
  <c r="C7932" i="12"/>
  <c r="B7932" i="12"/>
  <c r="A7932" i="12"/>
  <c r="E7931" i="12"/>
  <c r="D7931" i="12"/>
  <c r="C7931" i="12"/>
  <c r="B7931" i="12"/>
  <c r="A7931" i="12"/>
  <c r="E7930" i="12"/>
  <c r="D7930" i="12"/>
  <c r="C7930" i="12"/>
  <c r="B7930" i="12"/>
  <c r="A7930" i="12"/>
  <c r="E7929" i="12"/>
  <c r="D7929" i="12"/>
  <c r="C7929" i="12"/>
  <c r="B7929" i="12"/>
  <c r="A7929" i="12"/>
  <c r="E7928" i="12"/>
  <c r="D7928" i="12"/>
  <c r="C7928" i="12"/>
  <c r="B7928" i="12"/>
  <c r="A7928" i="12"/>
  <c r="E7927" i="12"/>
  <c r="D7927" i="12"/>
  <c r="C7927" i="12"/>
  <c r="B7927" i="12"/>
  <c r="A7927" i="12"/>
  <c r="E7926" i="12"/>
  <c r="D7926" i="12"/>
  <c r="C7926" i="12"/>
  <c r="A7926" i="12"/>
  <c r="E7925" i="12"/>
  <c r="D7925" i="12"/>
  <c r="C7925" i="12"/>
  <c r="B7925" i="12"/>
  <c r="A7925" i="12"/>
  <c r="G7924" i="12"/>
  <c r="E7924" i="12"/>
  <c r="D7924" i="12"/>
  <c r="C7924" i="12"/>
  <c r="B7924" i="12"/>
  <c r="A7924" i="12"/>
  <c r="E7923" i="12"/>
  <c r="D7923" i="12"/>
  <c r="C7923" i="12"/>
  <c r="B7923" i="12"/>
  <c r="A7923" i="12"/>
  <c r="E7922" i="12"/>
  <c r="D7922" i="12"/>
  <c r="C7922" i="12"/>
  <c r="B7922" i="12"/>
  <c r="A7922" i="12"/>
  <c r="E7921" i="12"/>
  <c r="D7921" i="12"/>
  <c r="C7921" i="12"/>
  <c r="B7921" i="12"/>
  <c r="A7921" i="12"/>
  <c r="E7920" i="12"/>
  <c r="D7920" i="12"/>
  <c r="C7920" i="12"/>
  <c r="B7920" i="12"/>
  <c r="A7920" i="12"/>
  <c r="E7919" i="12"/>
  <c r="D7919" i="12"/>
  <c r="C7919" i="12"/>
  <c r="B7919" i="12"/>
  <c r="A7919" i="12"/>
  <c r="E7918" i="12"/>
  <c r="D7918" i="12"/>
  <c r="C7918" i="12"/>
  <c r="B7918" i="12"/>
  <c r="A7918" i="12"/>
  <c r="G7917" i="12"/>
  <c r="E7917" i="12"/>
  <c r="D7917" i="12"/>
  <c r="C7917" i="12"/>
  <c r="B7917" i="12"/>
  <c r="A7917" i="12"/>
  <c r="E7916" i="12"/>
  <c r="D7916" i="12"/>
  <c r="C7916" i="12"/>
  <c r="B7916" i="12"/>
  <c r="A7916" i="12"/>
  <c r="E7915" i="12"/>
  <c r="D7915" i="12"/>
  <c r="C7915" i="12"/>
  <c r="B7915" i="12"/>
  <c r="A7915" i="12"/>
  <c r="E7914" i="12"/>
  <c r="D7914" i="12"/>
  <c r="C7914" i="12"/>
  <c r="B7914" i="12"/>
  <c r="A7914" i="12"/>
  <c r="E7913" i="12"/>
  <c r="D7913" i="12"/>
  <c r="C7913" i="12"/>
  <c r="B7913" i="12"/>
  <c r="A7913" i="12"/>
  <c r="E7912" i="12"/>
  <c r="D7912" i="12"/>
  <c r="C7912" i="12"/>
  <c r="B7912" i="12"/>
  <c r="A7912" i="12"/>
  <c r="E7911" i="12"/>
  <c r="D7911" i="12"/>
  <c r="C7911" i="12"/>
  <c r="B7911" i="12"/>
  <c r="A7911" i="12"/>
  <c r="G7910" i="12"/>
  <c r="E7910" i="12"/>
  <c r="D7910" i="12"/>
  <c r="C7910" i="12"/>
  <c r="B7910" i="12"/>
  <c r="A7910" i="12"/>
  <c r="E7909" i="12"/>
  <c r="D7909" i="12"/>
  <c r="C7909" i="12"/>
  <c r="B7909" i="12"/>
  <c r="A7909" i="12"/>
  <c r="E7908" i="12"/>
  <c r="D7908" i="12"/>
  <c r="C7908" i="12"/>
  <c r="B7908" i="12"/>
  <c r="A7908" i="12"/>
  <c r="E7907" i="12"/>
  <c r="D7907" i="12"/>
  <c r="C7907" i="12"/>
  <c r="B7907" i="12"/>
  <c r="A7907" i="12"/>
  <c r="E7906" i="12"/>
  <c r="D7906" i="12"/>
  <c r="C7906" i="12"/>
  <c r="B7906" i="12"/>
  <c r="A7906" i="12"/>
  <c r="G7905" i="12"/>
  <c r="E7905" i="12"/>
  <c r="D7905" i="12"/>
  <c r="C7905" i="12"/>
  <c r="B7905" i="12"/>
  <c r="A7905" i="12"/>
  <c r="E7904" i="12"/>
  <c r="D7904" i="12"/>
  <c r="C7904" i="12"/>
  <c r="B7904" i="12"/>
  <c r="A7904" i="12"/>
  <c r="E7903" i="12"/>
  <c r="D7903" i="12"/>
  <c r="C7903" i="12"/>
  <c r="B7903" i="12"/>
  <c r="A7903" i="12"/>
  <c r="E7902" i="12"/>
  <c r="D7902" i="12"/>
  <c r="C7902" i="12"/>
  <c r="B7902" i="12"/>
  <c r="A7902" i="12"/>
  <c r="G7901" i="12"/>
  <c r="E7901" i="12"/>
  <c r="D7901" i="12"/>
  <c r="C7901" i="12"/>
  <c r="B7901" i="12"/>
  <c r="A7901" i="12"/>
  <c r="G7900" i="12"/>
  <c r="E7900" i="12"/>
  <c r="D7900" i="12"/>
  <c r="C7900" i="12"/>
  <c r="B7900" i="12"/>
  <c r="A7900" i="12"/>
  <c r="G7899" i="12"/>
  <c r="E7899" i="12"/>
  <c r="D7899" i="12"/>
  <c r="C7899" i="12"/>
  <c r="B7899" i="12"/>
  <c r="A7899" i="12"/>
  <c r="G7898" i="12"/>
  <c r="E7898" i="12"/>
  <c r="D7898" i="12"/>
  <c r="C7898" i="12"/>
  <c r="B7898" i="12"/>
  <c r="A7898" i="12"/>
  <c r="E7897" i="12"/>
  <c r="D7897" i="12"/>
  <c r="C7897" i="12"/>
  <c r="B7897" i="12"/>
  <c r="A7897" i="12"/>
  <c r="G7896" i="12"/>
  <c r="E7896" i="12"/>
  <c r="D7896" i="12"/>
  <c r="C7896" i="12"/>
  <c r="B7896" i="12"/>
  <c r="A7896" i="12"/>
  <c r="G7895" i="12"/>
  <c r="E7895" i="12"/>
  <c r="D7895" i="12"/>
  <c r="C7895" i="12"/>
  <c r="B7895" i="12"/>
  <c r="A7895" i="12"/>
  <c r="G7894" i="12"/>
  <c r="E7894" i="12"/>
  <c r="D7894" i="12"/>
  <c r="C7894" i="12"/>
  <c r="B7894" i="12"/>
  <c r="A7894" i="12"/>
  <c r="G7893" i="12"/>
  <c r="E7893" i="12"/>
  <c r="D7893" i="12"/>
  <c r="C7893" i="12"/>
  <c r="B7893" i="12"/>
  <c r="A7893" i="12"/>
  <c r="G7892" i="12"/>
  <c r="E7892" i="12"/>
  <c r="D7892" i="12"/>
  <c r="C7892" i="12"/>
  <c r="B7892" i="12"/>
  <c r="A7892" i="12"/>
  <c r="G7891" i="12"/>
  <c r="E7891" i="12"/>
  <c r="D7891" i="12"/>
  <c r="C7891" i="12"/>
  <c r="B7891" i="12"/>
  <c r="A7891" i="12"/>
  <c r="G7890" i="12"/>
  <c r="E7890" i="12"/>
  <c r="D7890" i="12"/>
  <c r="C7890" i="12"/>
  <c r="B7890" i="12"/>
  <c r="A7890" i="12"/>
  <c r="G7889" i="12"/>
  <c r="E7889" i="12"/>
  <c r="D7889" i="12"/>
  <c r="C7889" i="12"/>
  <c r="B7889" i="12"/>
  <c r="A7889" i="12"/>
  <c r="G7888" i="12"/>
  <c r="E7888" i="12"/>
  <c r="D7888" i="12"/>
  <c r="C7888" i="12"/>
  <c r="B7888" i="12"/>
  <c r="A7888" i="12"/>
  <c r="G7887" i="12"/>
  <c r="E7887" i="12"/>
  <c r="D7887" i="12"/>
  <c r="C7887" i="12"/>
  <c r="B7887" i="12"/>
  <c r="A7887" i="12"/>
  <c r="G7886" i="12"/>
  <c r="E7886" i="12"/>
  <c r="D7886" i="12"/>
  <c r="C7886" i="12"/>
  <c r="B7886" i="12"/>
  <c r="A7886" i="12"/>
  <c r="G7885" i="12"/>
  <c r="E7885" i="12"/>
  <c r="D7885" i="12"/>
  <c r="C7885" i="12"/>
  <c r="B7885" i="12"/>
  <c r="A7885" i="12"/>
  <c r="G7884" i="12"/>
  <c r="E7884" i="12"/>
  <c r="D7884" i="12"/>
  <c r="C7884" i="12"/>
  <c r="B7884" i="12"/>
  <c r="A7884" i="12"/>
  <c r="G7883" i="12"/>
  <c r="E7883" i="12"/>
  <c r="D7883" i="12"/>
  <c r="C7883" i="12"/>
  <c r="B7883" i="12"/>
  <c r="A7883" i="12"/>
  <c r="G7882" i="12"/>
  <c r="E7882" i="12"/>
  <c r="D7882" i="12"/>
  <c r="C7882" i="12"/>
  <c r="B7882" i="12"/>
  <c r="A7882" i="12"/>
  <c r="G7881" i="12"/>
  <c r="E7881" i="12"/>
  <c r="D7881" i="12"/>
  <c r="C7881" i="12"/>
  <c r="B7881" i="12"/>
  <c r="A7881" i="12"/>
  <c r="G7880" i="12"/>
  <c r="E7880" i="12"/>
  <c r="D7880" i="12"/>
  <c r="C7880" i="12"/>
  <c r="B7880" i="12"/>
  <c r="A7880" i="12"/>
  <c r="G7879" i="12"/>
  <c r="E7879" i="12"/>
  <c r="D7879" i="12"/>
  <c r="C7879" i="12"/>
  <c r="B7879" i="12"/>
  <c r="A7879" i="12"/>
  <c r="E7878" i="12"/>
  <c r="D7878" i="12"/>
  <c r="C7878" i="12"/>
  <c r="B7878" i="12"/>
  <c r="A7878" i="12"/>
  <c r="E7877" i="12"/>
  <c r="D7877" i="12"/>
  <c r="C7877" i="12"/>
  <c r="B7877" i="12"/>
  <c r="A7877" i="12"/>
  <c r="E7876" i="12"/>
  <c r="D7876" i="12"/>
  <c r="C7876" i="12"/>
  <c r="B7876" i="12"/>
  <c r="A7876" i="12"/>
  <c r="E7875" i="12"/>
  <c r="D7875" i="12"/>
  <c r="C7875" i="12"/>
  <c r="B7875" i="12"/>
  <c r="A7875" i="12"/>
  <c r="E7874" i="12"/>
  <c r="D7874" i="12"/>
  <c r="C7874" i="12"/>
  <c r="B7874" i="12"/>
  <c r="A7874" i="12"/>
  <c r="E7873" i="12"/>
  <c r="D7873" i="12"/>
  <c r="C7873" i="12"/>
  <c r="B7873" i="12"/>
  <c r="A7873" i="12"/>
  <c r="E7872" i="12"/>
  <c r="D7872" i="12"/>
  <c r="C7872" i="12"/>
  <c r="B7872" i="12"/>
  <c r="A7872" i="12"/>
  <c r="E7871" i="12"/>
  <c r="D7871" i="12"/>
  <c r="C7871" i="12"/>
  <c r="B7871" i="12"/>
  <c r="A7871" i="12"/>
  <c r="E7870" i="12"/>
  <c r="D7870" i="12"/>
  <c r="C7870" i="12"/>
  <c r="B7870" i="12"/>
  <c r="A7870" i="12"/>
  <c r="G7869" i="12"/>
  <c r="E7869" i="12"/>
  <c r="D7869" i="12"/>
  <c r="C7869" i="12"/>
  <c r="B7869" i="12"/>
  <c r="A7869" i="12"/>
  <c r="E7868" i="12"/>
  <c r="D7868" i="12"/>
  <c r="C7868" i="12"/>
  <c r="B7868" i="12"/>
  <c r="A7868" i="12"/>
  <c r="E7867" i="12"/>
  <c r="D7867" i="12"/>
  <c r="C7867" i="12"/>
  <c r="B7867" i="12"/>
  <c r="A7867" i="12"/>
  <c r="E7866" i="12"/>
  <c r="D7866" i="12"/>
  <c r="C7866" i="12"/>
  <c r="B7866" i="12"/>
  <c r="A7866" i="12"/>
  <c r="E7865" i="12"/>
  <c r="D7865" i="12"/>
  <c r="C7865" i="12"/>
  <c r="B7865" i="12"/>
  <c r="A7865" i="12"/>
  <c r="E7864" i="12"/>
  <c r="D7864" i="12"/>
  <c r="C7864" i="12"/>
  <c r="B7864" i="12"/>
  <c r="A7864" i="12"/>
  <c r="E7863" i="12"/>
  <c r="D7863" i="12"/>
  <c r="C7863" i="12"/>
  <c r="B7863" i="12"/>
  <c r="A7863" i="12"/>
  <c r="E7862" i="12"/>
  <c r="D7862" i="12"/>
  <c r="C7862" i="12"/>
  <c r="B7862" i="12"/>
  <c r="A7862" i="12"/>
  <c r="F7861" i="12"/>
  <c r="E7861" i="12"/>
  <c r="D7861" i="12"/>
  <c r="C7861" i="12"/>
  <c r="B7861" i="12"/>
  <c r="A7861" i="12"/>
  <c r="E7860" i="12"/>
  <c r="D7860" i="12"/>
  <c r="C7860" i="12"/>
  <c r="B7860" i="12"/>
  <c r="A7860" i="12"/>
  <c r="E7859" i="12"/>
  <c r="D7859" i="12"/>
  <c r="C7859" i="12"/>
  <c r="B7859" i="12"/>
  <c r="A7859" i="12"/>
  <c r="F7858" i="12"/>
  <c r="E7858" i="12"/>
  <c r="D7858" i="12"/>
  <c r="C7858" i="12"/>
  <c r="B7858" i="12"/>
  <c r="A7858" i="12"/>
  <c r="F7857" i="12"/>
  <c r="E7857" i="12"/>
  <c r="D7857" i="12"/>
  <c r="C7857" i="12"/>
  <c r="B7857" i="12"/>
  <c r="A7857" i="12"/>
  <c r="G7856" i="12"/>
  <c r="E7856" i="12"/>
  <c r="D7856" i="12"/>
  <c r="C7856" i="12"/>
  <c r="B7856" i="12"/>
  <c r="A7856" i="12"/>
  <c r="E7855" i="12"/>
  <c r="D7855" i="12"/>
  <c r="C7855" i="12"/>
  <c r="B7855" i="12"/>
  <c r="A7855" i="12"/>
  <c r="F7854" i="12"/>
  <c r="E7854" i="12"/>
  <c r="D7854" i="12"/>
  <c r="C7854" i="12"/>
  <c r="B7854" i="12"/>
  <c r="A7854" i="12"/>
  <c r="F7853" i="12"/>
  <c r="E7853" i="12"/>
  <c r="D7853" i="12"/>
  <c r="C7853" i="12"/>
  <c r="B7853" i="12"/>
  <c r="A7853" i="12"/>
  <c r="E7852" i="12"/>
  <c r="D7852" i="12"/>
  <c r="C7852" i="12"/>
  <c r="B7852" i="12"/>
  <c r="A7852" i="12"/>
  <c r="E7851" i="12"/>
  <c r="D7851" i="12"/>
  <c r="C7851" i="12"/>
  <c r="B7851" i="12"/>
  <c r="A7851" i="12"/>
  <c r="E7850" i="12"/>
  <c r="D7850" i="12"/>
  <c r="C7850" i="12"/>
  <c r="B7850" i="12"/>
  <c r="A7850" i="12"/>
  <c r="F7849" i="12"/>
  <c r="E7849" i="12"/>
  <c r="D7849" i="12"/>
  <c r="C7849" i="12"/>
  <c r="B7849" i="12"/>
  <c r="A7849" i="12"/>
  <c r="E7848" i="12"/>
  <c r="D7848" i="12"/>
  <c r="C7848" i="12"/>
  <c r="B7848" i="12"/>
  <c r="A7848" i="12"/>
  <c r="F7847" i="12"/>
  <c r="E7847" i="12"/>
  <c r="D7847" i="12"/>
  <c r="C7847" i="12"/>
  <c r="B7847" i="12"/>
  <c r="A7847" i="12"/>
  <c r="E7846" i="12"/>
  <c r="D7846" i="12"/>
  <c r="C7846" i="12"/>
  <c r="B7846" i="12"/>
  <c r="A7846" i="12"/>
  <c r="E7845" i="12"/>
  <c r="D7845" i="12"/>
  <c r="C7845" i="12"/>
  <c r="B7845" i="12"/>
  <c r="A7845" i="12"/>
  <c r="F7844" i="12"/>
  <c r="E7844" i="12"/>
  <c r="D7844" i="12"/>
  <c r="C7844" i="12"/>
  <c r="B7844" i="12"/>
  <c r="A7844" i="12"/>
  <c r="E7843" i="12"/>
  <c r="D7843" i="12"/>
  <c r="C7843" i="12"/>
  <c r="B7843" i="12"/>
  <c r="A7843" i="12"/>
  <c r="F7842" i="12"/>
  <c r="E7842" i="12"/>
  <c r="D7842" i="12"/>
  <c r="C7842" i="12"/>
  <c r="B7842" i="12"/>
  <c r="A7842" i="12"/>
  <c r="E7841" i="12"/>
  <c r="D7841" i="12"/>
  <c r="C7841" i="12"/>
  <c r="B7841" i="12"/>
  <c r="A7841" i="12"/>
  <c r="F7840" i="12"/>
  <c r="E7840" i="12"/>
  <c r="D7840" i="12"/>
  <c r="C7840" i="12"/>
  <c r="B7840" i="12"/>
  <c r="A7840" i="12"/>
  <c r="E7839" i="12"/>
  <c r="D7839" i="12"/>
  <c r="C7839" i="12"/>
  <c r="B7839" i="12"/>
  <c r="A7839" i="12"/>
  <c r="E7838" i="12"/>
  <c r="D7838" i="12"/>
  <c r="C7838" i="12"/>
  <c r="B7838" i="12"/>
  <c r="A7838" i="12"/>
  <c r="G7837" i="12"/>
  <c r="E7837" i="12"/>
  <c r="D7837" i="12"/>
  <c r="C7837" i="12"/>
  <c r="B7837" i="12"/>
  <c r="A7837" i="12"/>
  <c r="F7836" i="12"/>
  <c r="E7836" i="12"/>
  <c r="D7836" i="12"/>
  <c r="C7836" i="12"/>
  <c r="B7836" i="12"/>
  <c r="A7836" i="12"/>
  <c r="G7835" i="12"/>
  <c r="E7835" i="12"/>
  <c r="D7835" i="12"/>
  <c r="C7835" i="12"/>
  <c r="B7835" i="12"/>
  <c r="A7835" i="12"/>
  <c r="G7834" i="12"/>
  <c r="E7834" i="12"/>
  <c r="D7834" i="12"/>
  <c r="C7834" i="12"/>
  <c r="B7834" i="12"/>
  <c r="A7834" i="12"/>
  <c r="E7833" i="12"/>
  <c r="D7833" i="12"/>
  <c r="C7833" i="12"/>
  <c r="B7833" i="12"/>
  <c r="A7833" i="12"/>
  <c r="E7832" i="12"/>
  <c r="D7832" i="12"/>
  <c r="C7832" i="12"/>
  <c r="B7832" i="12"/>
  <c r="A7832" i="12"/>
  <c r="E7831" i="12"/>
  <c r="D7831" i="12"/>
  <c r="C7831" i="12"/>
  <c r="B7831" i="12"/>
  <c r="A7831" i="12"/>
  <c r="E7830" i="12"/>
  <c r="D7830" i="12"/>
  <c r="C7830" i="12"/>
  <c r="B7830" i="12"/>
  <c r="A7830" i="12"/>
  <c r="E7829" i="12"/>
  <c r="D7829" i="12"/>
  <c r="C7829" i="12"/>
  <c r="B7829" i="12"/>
  <c r="A7829" i="12"/>
  <c r="G7828" i="12"/>
  <c r="F7828" i="12"/>
  <c r="E7828" i="12"/>
  <c r="D7828" i="12"/>
  <c r="C7828" i="12"/>
  <c r="B7828" i="12"/>
  <c r="A7828" i="12"/>
  <c r="G7827" i="12"/>
  <c r="E7827" i="12"/>
  <c r="D7827" i="12"/>
  <c r="C7827" i="12"/>
  <c r="B7827" i="12"/>
  <c r="A7827" i="12"/>
  <c r="G7826" i="12"/>
  <c r="E7826" i="12"/>
  <c r="D7826" i="12"/>
  <c r="C7826" i="12"/>
  <c r="B7826" i="12"/>
  <c r="A7826" i="12"/>
  <c r="E7825" i="12"/>
  <c r="D7825" i="12"/>
  <c r="C7825" i="12"/>
  <c r="B7825" i="12"/>
  <c r="A7825" i="12"/>
  <c r="F7824" i="12"/>
  <c r="E7824" i="12"/>
  <c r="D7824" i="12"/>
  <c r="C7824" i="12"/>
  <c r="B7824" i="12"/>
  <c r="A7824" i="12"/>
  <c r="G7823" i="12"/>
  <c r="F7823" i="12"/>
  <c r="E7823" i="12"/>
  <c r="D7823" i="12"/>
  <c r="C7823" i="12"/>
  <c r="B7823" i="12"/>
  <c r="A7823" i="12"/>
  <c r="F7822" i="12"/>
  <c r="E7822" i="12"/>
  <c r="D7822" i="12"/>
  <c r="C7822" i="12"/>
  <c r="B7822" i="12"/>
  <c r="A7822" i="12"/>
  <c r="F7821" i="12"/>
  <c r="E7821" i="12"/>
  <c r="D7821" i="12"/>
  <c r="C7821" i="12"/>
  <c r="B7821" i="12"/>
  <c r="A7821" i="12"/>
  <c r="F7820" i="12"/>
  <c r="E7820" i="12"/>
  <c r="D7820" i="12"/>
  <c r="C7820" i="12"/>
  <c r="B7820" i="12"/>
  <c r="A7820" i="12"/>
  <c r="G7819" i="12"/>
  <c r="F7819" i="12"/>
  <c r="E7819" i="12"/>
  <c r="D7819" i="12"/>
  <c r="C7819" i="12"/>
  <c r="B7819" i="12"/>
  <c r="A7819" i="12"/>
  <c r="F7818" i="12"/>
  <c r="E7818" i="12"/>
  <c r="D7818" i="12"/>
  <c r="C7818" i="12"/>
  <c r="B7818" i="12"/>
  <c r="A7818" i="12"/>
  <c r="F7817" i="12"/>
  <c r="E7817" i="12"/>
  <c r="D7817" i="12"/>
  <c r="C7817" i="12"/>
  <c r="B7817" i="12"/>
  <c r="A7817" i="12"/>
  <c r="G7816" i="12"/>
  <c r="F7816" i="12"/>
  <c r="E7816" i="12"/>
  <c r="D7816" i="12"/>
  <c r="C7816" i="12"/>
  <c r="B7816" i="12"/>
  <c r="A7816" i="12"/>
  <c r="G7815" i="12"/>
  <c r="F7815" i="12"/>
  <c r="E7815" i="12"/>
  <c r="D7815" i="12"/>
  <c r="C7815" i="12"/>
  <c r="B7815" i="12"/>
  <c r="A7815" i="12"/>
  <c r="G7814" i="12"/>
  <c r="F7814" i="12"/>
  <c r="E7814" i="12"/>
  <c r="D7814" i="12"/>
  <c r="C7814" i="12"/>
  <c r="B7814" i="12"/>
  <c r="A7814" i="12"/>
  <c r="G7813" i="12"/>
  <c r="F7813" i="12"/>
  <c r="E7813" i="12"/>
  <c r="D7813" i="12"/>
  <c r="C7813" i="12"/>
  <c r="B7813" i="12"/>
  <c r="A7813" i="12"/>
  <c r="E7812" i="12"/>
  <c r="D7812" i="12"/>
  <c r="C7812" i="12"/>
  <c r="B7812" i="12"/>
  <c r="A7812" i="12"/>
  <c r="F7811" i="12"/>
  <c r="E7811" i="12"/>
  <c r="D7811" i="12"/>
  <c r="C7811" i="12"/>
  <c r="B7811" i="12"/>
  <c r="A7811" i="12"/>
  <c r="E7810" i="12"/>
  <c r="D7810" i="12"/>
  <c r="C7810" i="12"/>
  <c r="B7810" i="12"/>
  <c r="A7810" i="12"/>
  <c r="G7809" i="12"/>
  <c r="F7809" i="12"/>
  <c r="E7809" i="12"/>
  <c r="D7809" i="12"/>
  <c r="C7809" i="12"/>
  <c r="B7809" i="12"/>
  <c r="A7809" i="12"/>
  <c r="E7808" i="12"/>
  <c r="D7808" i="12"/>
  <c r="C7808" i="12"/>
  <c r="B7808" i="12"/>
  <c r="A7808" i="12"/>
  <c r="G7807" i="12"/>
  <c r="E7807" i="12"/>
  <c r="D7807" i="12"/>
  <c r="C7807" i="12"/>
  <c r="B7807" i="12"/>
  <c r="A7807" i="12"/>
  <c r="E7806" i="12"/>
  <c r="D7806" i="12"/>
  <c r="C7806" i="12"/>
  <c r="B7806" i="12"/>
  <c r="A7806" i="12"/>
  <c r="E7805" i="12"/>
  <c r="D7805" i="12"/>
  <c r="C7805" i="12"/>
  <c r="B7805" i="12"/>
  <c r="A7805" i="12"/>
  <c r="G7804" i="12"/>
  <c r="E7804" i="12"/>
  <c r="D7804" i="12"/>
  <c r="C7804" i="12"/>
  <c r="B7804" i="12"/>
  <c r="A7804" i="12"/>
  <c r="G7803" i="12"/>
  <c r="E7803" i="12"/>
  <c r="D7803" i="12"/>
  <c r="C7803" i="12"/>
  <c r="B7803" i="12"/>
  <c r="A7803" i="12"/>
  <c r="E7802" i="12"/>
  <c r="D7802" i="12"/>
  <c r="C7802" i="12"/>
  <c r="B7802" i="12"/>
  <c r="A7802" i="12"/>
  <c r="G7801" i="12"/>
  <c r="E7801" i="12"/>
  <c r="D7801" i="12"/>
  <c r="C7801" i="12"/>
  <c r="B7801" i="12"/>
  <c r="A7801" i="12"/>
  <c r="E7800" i="12"/>
  <c r="D7800" i="12"/>
  <c r="C7800" i="12"/>
  <c r="B7800" i="12"/>
  <c r="A7800" i="12"/>
  <c r="G7799" i="12"/>
  <c r="E7799" i="12"/>
  <c r="D7799" i="12"/>
  <c r="C7799" i="12"/>
  <c r="B7799" i="12"/>
  <c r="A7799" i="12"/>
  <c r="E7798" i="12"/>
  <c r="D7798" i="12"/>
  <c r="C7798" i="12"/>
  <c r="B7798" i="12"/>
  <c r="A7798" i="12"/>
  <c r="E7797" i="12"/>
  <c r="D7797" i="12"/>
  <c r="C7797" i="12"/>
  <c r="B7797" i="12"/>
  <c r="A7797" i="12"/>
  <c r="E7796" i="12"/>
  <c r="D7796" i="12"/>
  <c r="C7796" i="12"/>
  <c r="B7796" i="12"/>
  <c r="A7796" i="12"/>
  <c r="E7795" i="12"/>
  <c r="D7795" i="12"/>
  <c r="C7795" i="12"/>
  <c r="B7795" i="12"/>
  <c r="A7795" i="12"/>
  <c r="E7794" i="12"/>
  <c r="D7794" i="12"/>
  <c r="C7794" i="12"/>
  <c r="B7794" i="12"/>
  <c r="A7794" i="12"/>
  <c r="G7793" i="12"/>
  <c r="E7793" i="12"/>
  <c r="D7793" i="12"/>
  <c r="C7793" i="12"/>
  <c r="B7793" i="12"/>
  <c r="A7793" i="12"/>
  <c r="E7792" i="12"/>
  <c r="D7792" i="12"/>
  <c r="C7792" i="12"/>
  <c r="B7792" i="12"/>
  <c r="A7792" i="12"/>
  <c r="E7791" i="12"/>
  <c r="D7791" i="12"/>
  <c r="C7791" i="12"/>
  <c r="B7791" i="12"/>
  <c r="A7791" i="12"/>
  <c r="E7790" i="12"/>
  <c r="D7790" i="12"/>
  <c r="C7790" i="12"/>
  <c r="B7790" i="12"/>
  <c r="A7790" i="12"/>
  <c r="E7789" i="12"/>
  <c r="D7789" i="12"/>
  <c r="C7789" i="12"/>
  <c r="B7789" i="12"/>
  <c r="A7789" i="12"/>
  <c r="E7788" i="12"/>
  <c r="D7788" i="12"/>
  <c r="C7788" i="12"/>
  <c r="B7788" i="12"/>
  <c r="A7788" i="12"/>
  <c r="G7787" i="12"/>
  <c r="E7787" i="12"/>
  <c r="D7787" i="12"/>
  <c r="C7787" i="12"/>
  <c r="B7787" i="12"/>
  <c r="A7787" i="12"/>
  <c r="E7786" i="12"/>
  <c r="D7786" i="12"/>
  <c r="C7786" i="12"/>
  <c r="B7786" i="12"/>
  <c r="A7786" i="12"/>
  <c r="E7785" i="12"/>
  <c r="D7785" i="12"/>
  <c r="C7785" i="12"/>
  <c r="B7785" i="12"/>
  <c r="A7785" i="12"/>
  <c r="G7784" i="12"/>
  <c r="E7784" i="12"/>
  <c r="D7784" i="12"/>
  <c r="C7784" i="12"/>
  <c r="B7784" i="12"/>
  <c r="A7784" i="12"/>
  <c r="E7783" i="12"/>
  <c r="D7783" i="12"/>
  <c r="C7783" i="12"/>
  <c r="B7783" i="12"/>
  <c r="A7783" i="12"/>
  <c r="E7782" i="12"/>
  <c r="D7782" i="12"/>
  <c r="C7782" i="12"/>
  <c r="B7782" i="12"/>
  <c r="A7782" i="12"/>
  <c r="G7781" i="12"/>
  <c r="E7781" i="12"/>
  <c r="D7781" i="12"/>
  <c r="C7781" i="12"/>
  <c r="B7781" i="12"/>
  <c r="A7781" i="12"/>
  <c r="G7780" i="12"/>
  <c r="E7780" i="12"/>
  <c r="D7780" i="12"/>
  <c r="C7780" i="12"/>
  <c r="B7780" i="12"/>
  <c r="A7780" i="12"/>
  <c r="G7779" i="12"/>
  <c r="E7779" i="12"/>
  <c r="D7779" i="12"/>
  <c r="C7779" i="12"/>
  <c r="B7779" i="12"/>
  <c r="A7779" i="12"/>
  <c r="E7778" i="12"/>
  <c r="D7778" i="12"/>
  <c r="C7778" i="12"/>
  <c r="B7778" i="12"/>
  <c r="A7778" i="12"/>
  <c r="G7777" i="12"/>
  <c r="E7777" i="12"/>
  <c r="D7777" i="12"/>
  <c r="C7777" i="12"/>
  <c r="B7777" i="12"/>
  <c r="A7777" i="12"/>
  <c r="E7776" i="12"/>
  <c r="D7776" i="12"/>
  <c r="C7776" i="12"/>
  <c r="B7776" i="12"/>
  <c r="A7776" i="12"/>
  <c r="G7775" i="12"/>
  <c r="F7775" i="12"/>
  <c r="E7775" i="12"/>
  <c r="D7775" i="12"/>
  <c r="C7775" i="12"/>
  <c r="B7775" i="12"/>
  <c r="A7775" i="12"/>
  <c r="G7774" i="12"/>
  <c r="E7774" i="12"/>
  <c r="D7774" i="12"/>
  <c r="C7774" i="12"/>
  <c r="B7774" i="12"/>
  <c r="A7774" i="12"/>
  <c r="G7773" i="12"/>
  <c r="E7773" i="12"/>
  <c r="D7773" i="12"/>
  <c r="C7773" i="12"/>
  <c r="B7773" i="12"/>
  <c r="A7773" i="12"/>
  <c r="G7772" i="12"/>
  <c r="E7772" i="12"/>
  <c r="D7772" i="12"/>
  <c r="C7772" i="12"/>
  <c r="B7772" i="12"/>
  <c r="A7772" i="12"/>
  <c r="G7771" i="12"/>
  <c r="E7771" i="12"/>
  <c r="D7771" i="12"/>
  <c r="C7771" i="12"/>
  <c r="B7771" i="12"/>
  <c r="A7771" i="12"/>
  <c r="G7770" i="12"/>
  <c r="E7770" i="12"/>
  <c r="D7770" i="12"/>
  <c r="C7770" i="12"/>
  <c r="B7770" i="12"/>
  <c r="A7770" i="12"/>
  <c r="G7769" i="12"/>
  <c r="E7769" i="12"/>
  <c r="D7769" i="12"/>
  <c r="C7769" i="12"/>
  <c r="B7769" i="12"/>
  <c r="A7769" i="12"/>
  <c r="G7768" i="12"/>
  <c r="E7768" i="12"/>
  <c r="D7768" i="12"/>
  <c r="C7768" i="12"/>
  <c r="B7768" i="12"/>
  <c r="A7768" i="12"/>
  <c r="G7767" i="12"/>
  <c r="E7767" i="12"/>
  <c r="D7767" i="12"/>
  <c r="C7767" i="12"/>
  <c r="B7767" i="12"/>
  <c r="A7767" i="12"/>
  <c r="E7766" i="12"/>
  <c r="D7766" i="12"/>
  <c r="C7766" i="12"/>
  <c r="B7766" i="12"/>
  <c r="A7766" i="12"/>
  <c r="G7765" i="12"/>
  <c r="E7765" i="12"/>
  <c r="D7765" i="12"/>
  <c r="C7765" i="12"/>
  <c r="B7765" i="12"/>
  <c r="A7765" i="12"/>
  <c r="G7764" i="12"/>
  <c r="E7764" i="12"/>
  <c r="D7764" i="12"/>
  <c r="C7764" i="12"/>
  <c r="B7764" i="12"/>
  <c r="A7764" i="12"/>
  <c r="E7763" i="12"/>
  <c r="D7763" i="12"/>
  <c r="C7763" i="12"/>
  <c r="B7763" i="12"/>
  <c r="A7763" i="12"/>
  <c r="G7762" i="12"/>
  <c r="E7762" i="12"/>
  <c r="D7762" i="12"/>
  <c r="C7762" i="12"/>
  <c r="B7762" i="12"/>
  <c r="A7762" i="12"/>
  <c r="E7761" i="12"/>
  <c r="D7761" i="12"/>
  <c r="C7761" i="12"/>
  <c r="B7761" i="12"/>
  <c r="A7761" i="12"/>
  <c r="E7760" i="12"/>
  <c r="D7760" i="12"/>
  <c r="C7760" i="12"/>
  <c r="B7760" i="12"/>
  <c r="A7760" i="12"/>
  <c r="G7759" i="12"/>
  <c r="E7759" i="12"/>
  <c r="D7759" i="12"/>
  <c r="C7759" i="12"/>
  <c r="B7759" i="12"/>
  <c r="A7759" i="12"/>
  <c r="E7758" i="12"/>
  <c r="D7758" i="12"/>
  <c r="C7758" i="12"/>
  <c r="B7758" i="12"/>
  <c r="A7758" i="12"/>
  <c r="E7757" i="12"/>
  <c r="D7757" i="12"/>
  <c r="C7757" i="12"/>
  <c r="B7757" i="12"/>
  <c r="A7757" i="12"/>
  <c r="E7756" i="12"/>
  <c r="D7756" i="12"/>
  <c r="C7756" i="12"/>
  <c r="B7756" i="12"/>
  <c r="A7756" i="12"/>
  <c r="E7755" i="12"/>
  <c r="D7755" i="12"/>
  <c r="C7755" i="12"/>
  <c r="B7755" i="12"/>
  <c r="A7755" i="12"/>
  <c r="E7754" i="12"/>
  <c r="D7754" i="12"/>
  <c r="C7754" i="12"/>
  <c r="B7754" i="12"/>
  <c r="A7754" i="12"/>
  <c r="E7753" i="12"/>
  <c r="D7753" i="12"/>
  <c r="C7753" i="12"/>
  <c r="B7753" i="12"/>
  <c r="A7753" i="12"/>
  <c r="E7752" i="12"/>
  <c r="D7752" i="12"/>
  <c r="C7752" i="12"/>
  <c r="B7752" i="12"/>
  <c r="A7752" i="12"/>
  <c r="E7751" i="12"/>
  <c r="D7751" i="12"/>
  <c r="C7751" i="12"/>
  <c r="B7751" i="12"/>
  <c r="A7751" i="12"/>
  <c r="E7750" i="12"/>
  <c r="D7750" i="12"/>
  <c r="C7750" i="12"/>
  <c r="B7750" i="12"/>
  <c r="A7750" i="12"/>
  <c r="E7749" i="12"/>
  <c r="D7749" i="12"/>
  <c r="C7749" i="12"/>
  <c r="B7749" i="12"/>
  <c r="A7749" i="12"/>
  <c r="G7748" i="12"/>
  <c r="E7748" i="12"/>
  <c r="D7748" i="12"/>
  <c r="C7748" i="12"/>
  <c r="B7748" i="12"/>
  <c r="A7748" i="12"/>
  <c r="E7747" i="12"/>
  <c r="D7747" i="12"/>
  <c r="C7747" i="12"/>
  <c r="B7747" i="12"/>
  <c r="A7747" i="12"/>
  <c r="E7746" i="12"/>
  <c r="D7746" i="12"/>
  <c r="C7746" i="12"/>
  <c r="B7746" i="12"/>
  <c r="A7746" i="12"/>
  <c r="G7745" i="12"/>
  <c r="E7745" i="12"/>
  <c r="D7745" i="12"/>
  <c r="C7745" i="12"/>
  <c r="B7745" i="12"/>
  <c r="A7745" i="12"/>
  <c r="E7744" i="12"/>
  <c r="D7744" i="12"/>
  <c r="C7744" i="12"/>
  <c r="B7744" i="12"/>
  <c r="A7744" i="12"/>
  <c r="E7743" i="12"/>
  <c r="D7743" i="12"/>
  <c r="C7743" i="12"/>
  <c r="B7743" i="12"/>
  <c r="A7743" i="12"/>
  <c r="E7742" i="12"/>
  <c r="D7742" i="12"/>
  <c r="C7742" i="12"/>
  <c r="B7742" i="12"/>
  <c r="A7742" i="12"/>
  <c r="F7741" i="12"/>
  <c r="E7741" i="12"/>
  <c r="D7741" i="12"/>
  <c r="C7741" i="12"/>
  <c r="B7741" i="12"/>
  <c r="A7741" i="12"/>
  <c r="E7740" i="12"/>
  <c r="D7740" i="12"/>
  <c r="C7740" i="12"/>
  <c r="B7740" i="12"/>
  <c r="A7740" i="12"/>
  <c r="E7739" i="12"/>
  <c r="D7739" i="12"/>
  <c r="C7739" i="12"/>
  <c r="B7739" i="12"/>
  <c r="A7739" i="12"/>
  <c r="E7738" i="12"/>
  <c r="D7738" i="12"/>
  <c r="C7738" i="12"/>
  <c r="B7738" i="12"/>
  <c r="A7738" i="12"/>
  <c r="F7737" i="12"/>
  <c r="E7737" i="12"/>
  <c r="D7737" i="12"/>
  <c r="C7737" i="12"/>
  <c r="B7737" i="12"/>
  <c r="A7737" i="12"/>
  <c r="F7736" i="12"/>
  <c r="E7736" i="12"/>
  <c r="D7736" i="12"/>
  <c r="C7736" i="12"/>
  <c r="B7736" i="12"/>
  <c r="A7736" i="12"/>
  <c r="F7735" i="12"/>
  <c r="E7735" i="12"/>
  <c r="D7735" i="12"/>
  <c r="C7735" i="12"/>
  <c r="B7735" i="12"/>
  <c r="A7735" i="12"/>
  <c r="E7734" i="12"/>
  <c r="D7734" i="12"/>
  <c r="C7734" i="12"/>
  <c r="B7734" i="12"/>
  <c r="A7734" i="12"/>
  <c r="E7733" i="12"/>
  <c r="D7733" i="12"/>
  <c r="C7733" i="12"/>
  <c r="B7733" i="12"/>
  <c r="A7733" i="12"/>
  <c r="G7732" i="12"/>
  <c r="D7732" i="12"/>
  <c r="C7732" i="12"/>
  <c r="A7732" i="12"/>
  <c r="E7731" i="12"/>
  <c r="D7731" i="12"/>
  <c r="C7731" i="12"/>
  <c r="B7731" i="12"/>
  <c r="A7731" i="12"/>
  <c r="E7730" i="12"/>
  <c r="D7730" i="12"/>
  <c r="C7730" i="12"/>
  <c r="B7730" i="12"/>
  <c r="A7730" i="12"/>
  <c r="E7729" i="12"/>
  <c r="D7729" i="12"/>
  <c r="C7729" i="12"/>
  <c r="B7729" i="12"/>
  <c r="A7729" i="12"/>
  <c r="E7728" i="12"/>
  <c r="D7728" i="12"/>
  <c r="C7728" i="12"/>
  <c r="B7728" i="12"/>
  <c r="A7728" i="12"/>
  <c r="E7727" i="12"/>
  <c r="D7727" i="12"/>
  <c r="C7727" i="12"/>
  <c r="B7727" i="12"/>
  <c r="A7727" i="12"/>
  <c r="E7726" i="12"/>
  <c r="D7726" i="12"/>
  <c r="C7726" i="12"/>
  <c r="B7726" i="12"/>
  <c r="A7726" i="12"/>
  <c r="E7725" i="12"/>
  <c r="D7725" i="12"/>
  <c r="C7725" i="12"/>
  <c r="B7725" i="12"/>
  <c r="A7725" i="12"/>
  <c r="E7724" i="12"/>
  <c r="D7724" i="12"/>
  <c r="C7724" i="12"/>
  <c r="B7724" i="12"/>
  <c r="A7724" i="12"/>
  <c r="E7723" i="12"/>
  <c r="D7723" i="12"/>
  <c r="C7723" i="12"/>
  <c r="B7723" i="12"/>
  <c r="A7723" i="12"/>
  <c r="E7722" i="12"/>
  <c r="D7722" i="12"/>
  <c r="C7722" i="12"/>
  <c r="B7722" i="12"/>
  <c r="A7722" i="12"/>
  <c r="E7721" i="12"/>
  <c r="D7721" i="12"/>
  <c r="C7721" i="12"/>
  <c r="B7721" i="12"/>
  <c r="A7721" i="12"/>
  <c r="E7720" i="12"/>
  <c r="D7720" i="12"/>
  <c r="C7720" i="12"/>
  <c r="B7720" i="12"/>
  <c r="A7720" i="12"/>
  <c r="E7719" i="12"/>
  <c r="D7719" i="12"/>
  <c r="C7719" i="12"/>
  <c r="B7719" i="12"/>
  <c r="A7719" i="12"/>
  <c r="E7718" i="12"/>
  <c r="D7718" i="12"/>
  <c r="C7718" i="12"/>
  <c r="B7718" i="12"/>
  <c r="A7718" i="12"/>
  <c r="E7717" i="12"/>
  <c r="D7717" i="12"/>
  <c r="C7717" i="12"/>
  <c r="B7717" i="12"/>
  <c r="A7717" i="12"/>
  <c r="E7716" i="12"/>
  <c r="D7716" i="12"/>
  <c r="C7716" i="12"/>
  <c r="B7716" i="12"/>
  <c r="A7716" i="12"/>
  <c r="E7715" i="12"/>
  <c r="D7715" i="12"/>
  <c r="C7715" i="12"/>
  <c r="B7715" i="12"/>
  <c r="A7715" i="12"/>
  <c r="G7714" i="12"/>
  <c r="E7714" i="12"/>
  <c r="D7714" i="12"/>
  <c r="C7714" i="12"/>
  <c r="B7714" i="12"/>
  <c r="A7714" i="12"/>
  <c r="E7713" i="12"/>
  <c r="D7713" i="12"/>
  <c r="C7713" i="12"/>
  <c r="B7713" i="12"/>
  <c r="A7713" i="12"/>
  <c r="E7712" i="12"/>
  <c r="D7712" i="12"/>
  <c r="C7712" i="12"/>
  <c r="B7712" i="12"/>
  <c r="A7712" i="12"/>
  <c r="E7711" i="12"/>
  <c r="D7711" i="12"/>
  <c r="C7711" i="12"/>
  <c r="B7711" i="12"/>
  <c r="A7711" i="12"/>
  <c r="E7710" i="12"/>
  <c r="D7710" i="12"/>
  <c r="C7710" i="12"/>
  <c r="B7710" i="12"/>
  <c r="A7710" i="12"/>
  <c r="E7709" i="12"/>
  <c r="D7709" i="12"/>
  <c r="C7709" i="12"/>
  <c r="B7709" i="12"/>
  <c r="A7709" i="12"/>
  <c r="G7708" i="12"/>
  <c r="E7708" i="12"/>
  <c r="D7708" i="12"/>
  <c r="C7708" i="12"/>
  <c r="B7708" i="12"/>
  <c r="A7708" i="12"/>
  <c r="G7707" i="12"/>
  <c r="F7707" i="12"/>
  <c r="E7707" i="12"/>
  <c r="D7707" i="12"/>
  <c r="C7707" i="12"/>
  <c r="B7707" i="12"/>
  <c r="A7707" i="12"/>
  <c r="E7706" i="12"/>
  <c r="D7706" i="12"/>
  <c r="C7706" i="12"/>
  <c r="B7706" i="12"/>
  <c r="A7706" i="12"/>
  <c r="G7705" i="12"/>
  <c r="E7705" i="12"/>
  <c r="D7705" i="12"/>
  <c r="C7705" i="12"/>
  <c r="B7705" i="12"/>
  <c r="A7705" i="12"/>
  <c r="E7704" i="12"/>
  <c r="D7704" i="12"/>
  <c r="C7704" i="12"/>
  <c r="B7704" i="12"/>
  <c r="A7704" i="12"/>
  <c r="E7703" i="12"/>
  <c r="D7703" i="12"/>
  <c r="C7703" i="12"/>
  <c r="B7703" i="12"/>
  <c r="A7703" i="12"/>
  <c r="E7702" i="12"/>
  <c r="D7702" i="12"/>
  <c r="C7702" i="12"/>
  <c r="B7702" i="12"/>
  <c r="A7702" i="12"/>
  <c r="E7701" i="12"/>
  <c r="D7701" i="12"/>
  <c r="C7701" i="12"/>
  <c r="B7701" i="12"/>
  <c r="A7701" i="12"/>
  <c r="E7700" i="12"/>
  <c r="D7700" i="12"/>
  <c r="C7700" i="12"/>
  <c r="B7700" i="12"/>
  <c r="A7700" i="12"/>
  <c r="E7699" i="12"/>
  <c r="D7699" i="12"/>
  <c r="C7699" i="12"/>
  <c r="B7699" i="12"/>
  <c r="A7699" i="12"/>
  <c r="E7698" i="12"/>
  <c r="D7698" i="12"/>
  <c r="C7698" i="12"/>
  <c r="B7698" i="12"/>
  <c r="A7698" i="12"/>
  <c r="E7697" i="12"/>
  <c r="D7697" i="12"/>
  <c r="C7697" i="12"/>
  <c r="B7697" i="12"/>
  <c r="A7697" i="12"/>
  <c r="G7696" i="12"/>
  <c r="E7696" i="12"/>
  <c r="D7696" i="12"/>
  <c r="C7696" i="12"/>
  <c r="B7696" i="12"/>
  <c r="A7696" i="12"/>
  <c r="G7695" i="12"/>
  <c r="E7695" i="12"/>
  <c r="D7695" i="12"/>
  <c r="C7695" i="12"/>
  <c r="B7695" i="12"/>
  <c r="A7695" i="12"/>
  <c r="E7694" i="12"/>
  <c r="D7694" i="12"/>
  <c r="C7694" i="12"/>
  <c r="B7694" i="12"/>
  <c r="A7694" i="12"/>
  <c r="G7693" i="12"/>
  <c r="E7693" i="12"/>
  <c r="D7693" i="12"/>
  <c r="C7693" i="12"/>
  <c r="B7693" i="12"/>
  <c r="A7693" i="12"/>
  <c r="E7692" i="12"/>
  <c r="D7692" i="12"/>
  <c r="C7692" i="12"/>
  <c r="B7692" i="12"/>
  <c r="A7692" i="12"/>
  <c r="G7691" i="12"/>
  <c r="E7691" i="12"/>
  <c r="D7691" i="12"/>
  <c r="C7691" i="12"/>
  <c r="B7691" i="12"/>
  <c r="A7691" i="12"/>
  <c r="E7690" i="12"/>
  <c r="D7690" i="12"/>
  <c r="C7690" i="12"/>
  <c r="B7690" i="12"/>
  <c r="A7690" i="12"/>
  <c r="E7689" i="12"/>
  <c r="D7689" i="12"/>
  <c r="C7689" i="12"/>
  <c r="B7689" i="12"/>
  <c r="A7689" i="12"/>
  <c r="E7688" i="12"/>
  <c r="D7688" i="12"/>
  <c r="C7688" i="12"/>
  <c r="B7688" i="12"/>
  <c r="A7688" i="12"/>
  <c r="E7687" i="12"/>
  <c r="D7687" i="12"/>
  <c r="C7687" i="12"/>
  <c r="B7687" i="12"/>
  <c r="A7687" i="12"/>
  <c r="G7686" i="12"/>
  <c r="E7686" i="12"/>
  <c r="D7686" i="12"/>
  <c r="C7686" i="12"/>
  <c r="B7686" i="12"/>
  <c r="A7686" i="12"/>
  <c r="E7685" i="12"/>
  <c r="D7685" i="12"/>
  <c r="C7685" i="12"/>
  <c r="B7685" i="12"/>
  <c r="A7685" i="12"/>
  <c r="E7684" i="12"/>
  <c r="D7684" i="12"/>
  <c r="C7684" i="12"/>
  <c r="B7684" i="12"/>
  <c r="A7684" i="12"/>
  <c r="E7683" i="12"/>
  <c r="D7683" i="12"/>
  <c r="C7683" i="12"/>
  <c r="B7683" i="12"/>
  <c r="A7683" i="12"/>
  <c r="G7682" i="12"/>
  <c r="E7682" i="12"/>
  <c r="D7682" i="12"/>
  <c r="C7682" i="12"/>
  <c r="B7682" i="12"/>
  <c r="A7682" i="12"/>
  <c r="G7681" i="12"/>
  <c r="E7681" i="12"/>
  <c r="D7681" i="12"/>
  <c r="C7681" i="12"/>
  <c r="B7681" i="12"/>
  <c r="A7681" i="12"/>
  <c r="G7680" i="12"/>
  <c r="E7680" i="12"/>
  <c r="D7680" i="12"/>
  <c r="C7680" i="12"/>
  <c r="B7680" i="12"/>
  <c r="A7680" i="12"/>
  <c r="E7679" i="12"/>
  <c r="D7679" i="12"/>
  <c r="C7679" i="12"/>
  <c r="B7679" i="12"/>
  <c r="A7679" i="12"/>
  <c r="E7678" i="12"/>
  <c r="D7678" i="12"/>
  <c r="C7678" i="12"/>
  <c r="B7678" i="12"/>
  <c r="A7678" i="12"/>
  <c r="G7677" i="12"/>
  <c r="E7677" i="12"/>
  <c r="D7677" i="12"/>
  <c r="C7677" i="12"/>
  <c r="B7677" i="12"/>
  <c r="A7677" i="12"/>
  <c r="E7676" i="12"/>
  <c r="D7676" i="12"/>
  <c r="C7676" i="12"/>
  <c r="B7676" i="12"/>
  <c r="A7676" i="12"/>
  <c r="E7675" i="12"/>
  <c r="D7675" i="12"/>
  <c r="C7675" i="12"/>
  <c r="B7675" i="12"/>
  <c r="A7675" i="12"/>
  <c r="E7674" i="12"/>
  <c r="D7674" i="12"/>
  <c r="C7674" i="12"/>
  <c r="B7674" i="12"/>
  <c r="A7674" i="12"/>
  <c r="G7673" i="12"/>
  <c r="E7673" i="12"/>
  <c r="D7673" i="12"/>
  <c r="C7673" i="12"/>
  <c r="B7673" i="12"/>
  <c r="A7673" i="12"/>
  <c r="G7672" i="12"/>
  <c r="E7672" i="12"/>
  <c r="D7672" i="12"/>
  <c r="C7672" i="12"/>
  <c r="B7672" i="12"/>
  <c r="A7672" i="12"/>
  <c r="G7671" i="12"/>
  <c r="E7671" i="12"/>
  <c r="D7671" i="12"/>
  <c r="C7671" i="12"/>
  <c r="B7671" i="12"/>
  <c r="A7671" i="12"/>
  <c r="G7670" i="12"/>
  <c r="E7670" i="12"/>
  <c r="D7670" i="12"/>
  <c r="C7670" i="12"/>
  <c r="B7670" i="12"/>
  <c r="A7670" i="12"/>
  <c r="E7669" i="12"/>
  <c r="D7669" i="12"/>
  <c r="C7669" i="12"/>
  <c r="B7669" i="12"/>
  <c r="A7669" i="12"/>
  <c r="G7668" i="12"/>
  <c r="E7668" i="12"/>
  <c r="D7668" i="12"/>
  <c r="C7668" i="12"/>
  <c r="B7668" i="12"/>
  <c r="A7668" i="12"/>
  <c r="G7667" i="12"/>
  <c r="E7667" i="12"/>
  <c r="D7667" i="12"/>
  <c r="C7667" i="12"/>
  <c r="B7667" i="12"/>
  <c r="A7667" i="12"/>
  <c r="E7666" i="12"/>
  <c r="D7666" i="12"/>
  <c r="C7666" i="12"/>
  <c r="B7666" i="12"/>
  <c r="A7666" i="12"/>
  <c r="E7665" i="12"/>
  <c r="D7665" i="12"/>
  <c r="C7665" i="12"/>
  <c r="B7665" i="12"/>
  <c r="A7665" i="12"/>
  <c r="E7664" i="12"/>
  <c r="D7664" i="12"/>
  <c r="C7664" i="12"/>
  <c r="B7664" i="12"/>
  <c r="A7664" i="12"/>
  <c r="E7663" i="12"/>
  <c r="D7663" i="12"/>
  <c r="C7663" i="12"/>
  <c r="B7663" i="12"/>
  <c r="A7663" i="12"/>
  <c r="E7662" i="12"/>
  <c r="D7662" i="12"/>
  <c r="C7662" i="12"/>
  <c r="B7662" i="12"/>
  <c r="A7662" i="12"/>
  <c r="G7661" i="12"/>
  <c r="E7661" i="12"/>
  <c r="D7661" i="12"/>
  <c r="C7661" i="12"/>
  <c r="B7661" i="12"/>
  <c r="A7661" i="12"/>
  <c r="G7660" i="12"/>
  <c r="E7660" i="12"/>
  <c r="D7660" i="12"/>
  <c r="C7660" i="12"/>
  <c r="B7660" i="12"/>
  <c r="A7660" i="12"/>
  <c r="E7659" i="12"/>
  <c r="D7659" i="12"/>
  <c r="C7659" i="12"/>
  <c r="B7659" i="12"/>
  <c r="A7659" i="12"/>
  <c r="G7658" i="12"/>
  <c r="E7658" i="12"/>
  <c r="D7658" i="12"/>
  <c r="C7658" i="12"/>
  <c r="B7658" i="12"/>
  <c r="A7658" i="12"/>
  <c r="G7657" i="12"/>
  <c r="F7657" i="12"/>
  <c r="E7657" i="12"/>
  <c r="D7657" i="12"/>
  <c r="C7657" i="12"/>
  <c r="B7657" i="12"/>
  <c r="A7657" i="12"/>
  <c r="G7656" i="12"/>
  <c r="E7656" i="12"/>
  <c r="D7656" i="12"/>
  <c r="C7656" i="12"/>
  <c r="B7656" i="12"/>
  <c r="A7656" i="12"/>
  <c r="G7655" i="12"/>
  <c r="E7655" i="12"/>
  <c r="D7655" i="12"/>
  <c r="C7655" i="12"/>
  <c r="B7655" i="12"/>
  <c r="A7655" i="12"/>
  <c r="E7654" i="12"/>
  <c r="D7654" i="12"/>
  <c r="C7654" i="12"/>
  <c r="B7654" i="12"/>
  <c r="A7654" i="12"/>
  <c r="G7653" i="12"/>
  <c r="E7653" i="12"/>
  <c r="D7653" i="12"/>
  <c r="C7653" i="12"/>
  <c r="B7653" i="12"/>
  <c r="A7653" i="12"/>
  <c r="G7652" i="12"/>
  <c r="E7652" i="12"/>
  <c r="D7652" i="12"/>
  <c r="C7652" i="12"/>
  <c r="B7652" i="12"/>
  <c r="A7652" i="12"/>
  <c r="G7651" i="12"/>
  <c r="F7651" i="12"/>
  <c r="E7651" i="12"/>
  <c r="D7651" i="12"/>
  <c r="C7651" i="12"/>
  <c r="B7651" i="12"/>
  <c r="A7651" i="12"/>
  <c r="E7650" i="12"/>
  <c r="D7650" i="12"/>
  <c r="C7650" i="12"/>
  <c r="B7650" i="12"/>
  <c r="A7650" i="12"/>
  <c r="G7649" i="12"/>
  <c r="E7649" i="12"/>
  <c r="D7649" i="12"/>
  <c r="C7649" i="12"/>
  <c r="B7649" i="12"/>
  <c r="A7649" i="12"/>
  <c r="G7648" i="12"/>
  <c r="E7648" i="12"/>
  <c r="D7648" i="12"/>
  <c r="C7648" i="12"/>
  <c r="B7648" i="12"/>
  <c r="A7648" i="12"/>
  <c r="G7647" i="12"/>
  <c r="F7647" i="12"/>
  <c r="E7647" i="12"/>
  <c r="D7647" i="12"/>
  <c r="C7647" i="12"/>
  <c r="B7647" i="12"/>
  <c r="A7647" i="12"/>
  <c r="G7646" i="12"/>
  <c r="E7646" i="12"/>
  <c r="D7646" i="12"/>
  <c r="C7646" i="12"/>
  <c r="B7646" i="12"/>
  <c r="A7646" i="12"/>
  <c r="G7645" i="12"/>
  <c r="F7645" i="12"/>
  <c r="E7645" i="12"/>
  <c r="D7645" i="12"/>
  <c r="C7645" i="12"/>
  <c r="B7645" i="12"/>
  <c r="A7645" i="12"/>
  <c r="G7644" i="12"/>
  <c r="E7644" i="12"/>
  <c r="D7644" i="12"/>
  <c r="C7644" i="12"/>
  <c r="B7644" i="12"/>
  <c r="A7644" i="12"/>
  <c r="E7643" i="12"/>
  <c r="D7643" i="12"/>
  <c r="C7643" i="12"/>
  <c r="B7643" i="12"/>
  <c r="A7643" i="12"/>
  <c r="G7642" i="12"/>
  <c r="E7642" i="12"/>
  <c r="D7642" i="12"/>
  <c r="C7642" i="12"/>
  <c r="B7642" i="12"/>
  <c r="A7642" i="12"/>
  <c r="E7641" i="12"/>
  <c r="D7641" i="12"/>
  <c r="C7641" i="12"/>
  <c r="B7641" i="12"/>
  <c r="A7641" i="12"/>
  <c r="E7640" i="12"/>
  <c r="D7640" i="12"/>
  <c r="C7640" i="12"/>
  <c r="B7640" i="12"/>
  <c r="A7640" i="12"/>
  <c r="G7639" i="12"/>
  <c r="E7639" i="12"/>
  <c r="D7639" i="12"/>
  <c r="C7639" i="12"/>
  <c r="B7639" i="12"/>
  <c r="A7639" i="12"/>
  <c r="G7638" i="12"/>
  <c r="F7638" i="12"/>
  <c r="E7638" i="12"/>
  <c r="D7638" i="12"/>
  <c r="C7638" i="12"/>
  <c r="B7638" i="12"/>
  <c r="A7638" i="12"/>
  <c r="G7637" i="12"/>
  <c r="E7637" i="12"/>
  <c r="D7637" i="12"/>
  <c r="C7637" i="12"/>
  <c r="B7637" i="12"/>
  <c r="A7637" i="12"/>
  <c r="E7636" i="12"/>
  <c r="D7636" i="12"/>
  <c r="C7636" i="12"/>
  <c r="B7636" i="12"/>
  <c r="A7636" i="12"/>
  <c r="G7635" i="12"/>
  <c r="E7635" i="12"/>
  <c r="D7635" i="12"/>
  <c r="C7635" i="12"/>
  <c r="B7635" i="12"/>
  <c r="A7635" i="12"/>
  <c r="G7634" i="12"/>
  <c r="F7634" i="12"/>
  <c r="E7634" i="12"/>
  <c r="D7634" i="12"/>
  <c r="C7634" i="12"/>
  <c r="B7634" i="12"/>
  <c r="A7634" i="12"/>
  <c r="E7633" i="12"/>
  <c r="D7633" i="12"/>
  <c r="C7633" i="12"/>
  <c r="B7633" i="12"/>
  <c r="A7633" i="12"/>
  <c r="G7632" i="12"/>
  <c r="F7632" i="12"/>
  <c r="E7632" i="12"/>
  <c r="D7632" i="12"/>
  <c r="C7632" i="12"/>
  <c r="B7632" i="12"/>
  <c r="A7632" i="12"/>
  <c r="G7631" i="12"/>
  <c r="F7631" i="12"/>
  <c r="E7631" i="12"/>
  <c r="D7631" i="12"/>
  <c r="C7631" i="12"/>
  <c r="B7631" i="12"/>
  <c r="A7631" i="12"/>
  <c r="G7630" i="12"/>
  <c r="F7630" i="12"/>
  <c r="E7630" i="12"/>
  <c r="D7630" i="12"/>
  <c r="C7630" i="12"/>
  <c r="B7630" i="12"/>
  <c r="A7630" i="12"/>
  <c r="G7629" i="12"/>
  <c r="F7629" i="12"/>
  <c r="E7629" i="12"/>
  <c r="D7629" i="12"/>
  <c r="C7629" i="12"/>
  <c r="B7629" i="12"/>
  <c r="A7629" i="12"/>
  <c r="G7628" i="12"/>
  <c r="E7628" i="12"/>
  <c r="D7628" i="12"/>
  <c r="C7628" i="12"/>
  <c r="B7628" i="12"/>
  <c r="A7628" i="12"/>
  <c r="G7627" i="12"/>
  <c r="E7627" i="12"/>
  <c r="D7627" i="12"/>
  <c r="C7627" i="12"/>
  <c r="B7627" i="12"/>
  <c r="A7627" i="12"/>
  <c r="E7626" i="12"/>
  <c r="D7626" i="12"/>
  <c r="C7626" i="12"/>
  <c r="B7626" i="12"/>
  <c r="A7626" i="12"/>
  <c r="G7625" i="12"/>
  <c r="E7625" i="12"/>
  <c r="D7625" i="12"/>
  <c r="C7625" i="12"/>
  <c r="B7625" i="12"/>
  <c r="A7625" i="12"/>
  <c r="G7624" i="12"/>
  <c r="E7624" i="12"/>
  <c r="D7624" i="12"/>
  <c r="C7624" i="12"/>
  <c r="B7624" i="12"/>
  <c r="A7624" i="12"/>
  <c r="G7623" i="12"/>
  <c r="F7623" i="12"/>
  <c r="E7623" i="12"/>
  <c r="D7623" i="12"/>
  <c r="C7623" i="12"/>
  <c r="B7623" i="12"/>
  <c r="A7623" i="12"/>
  <c r="G7622" i="12"/>
  <c r="F7622" i="12"/>
  <c r="E7622" i="12"/>
  <c r="D7622" i="12"/>
  <c r="C7622" i="12"/>
  <c r="B7622" i="12"/>
  <c r="A7622" i="12"/>
  <c r="E7621" i="12"/>
  <c r="D7621" i="12"/>
  <c r="C7621" i="12"/>
  <c r="B7621" i="12"/>
  <c r="A7621" i="12"/>
  <c r="G7620" i="12"/>
  <c r="F7620" i="12"/>
  <c r="E7620" i="12"/>
  <c r="D7620" i="12"/>
  <c r="C7620" i="12"/>
  <c r="B7620" i="12"/>
  <c r="A7620" i="12"/>
  <c r="G7619" i="12"/>
  <c r="F7619" i="12"/>
  <c r="E7619" i="12"/>
  <c r="D7619" i="12"/>
  <c r="C7619" i="12"/>
  <c r="B7619" i="12"/>
  <c r="A7619" i="12"/>
  <c r="G7618" i="12"/>
  <c r="F7618" i="12"/>
  <c r="E7618" i="12"/>
  <c r="D7618" i="12"/>
  <c r="C7618" i="12"/>
  <c r="B7618" i="12"/>
  <c r="A7618" i="12"/>
  <c r="F7617" i="12"/>
  <c r="E7617" i="12"/>
  <c r="D7617" i="12"/>
  <c r="C7617" i="12"/>
  <c r="B7617" i="12"/>
  <c r="A7617" i="12"/>
  <c r="G7616" i="12"/>
  <c r="F7616" i="12"/>
  <c r="E7616" i="12"/>
  <c r="D7616" i="12"/>
  <c r="C7616" i="12"/>
  <c r="B7616" i="12"/>
  <c r="A7616" i="12"/>
  <c r="G7615" i="12"/>
  <c r="F7615" i="12"/>
  <c r="E7615" i="12"/>
  <c r="D7615" i="12"/>
  <c r="C7615" i="12"/>
  <c r="B7615" i="12"/>
  <c r="A7615" i="12"/>
  <c r="G7614" i="12"/>
  <c r="F7614" i="12"/>
  <c r="E7614" i="12"/>
  <c r="D7614" i="12"/>
  <c r="C7614" i="12"/>
  <c r="B7614" i="12"/>
  <c r="A7614" i="12"/>
  <c r="G7613" i="12"/>
  <c r="F7613" i="12"/>
  <c r="E7613" i="12"/>
  <c r="D7613" i="12"/>
  <c r="C7613" i="12"/>
  <c r="B7613" i="12"/>
  <c r="A7613" i="12"/>
  <c r="G7612" i="12"/>
  <c r="F7612" i="12"/>
  <c r="E7612" i="12"/>
  <c r="D7612" i="12"/>
  <c r="C7612" i="12"/>
  <c r="B7612" i="12"/>
  <c r="A7612" i="12"/>
  <c r="G7611" i="12"/>
  <c r="F7611" i="12"/>
  <c r="E7611" i="12"/>
  <c r="D7611" i="12"/>
  <c r="C7611" i="12"/>
  <c r="B7611" i="12"/>
  <c r="A7611" i="12"/>
  <c r="F7610" i="12"/>
  <c r="E7610" i="12"/>
  <c r="D7610" i="12"/>
  <c r="C7610" i="12"/>
  <c r="B7610" i="12"/>
  <c r="A7610" i="12"/>
  <c r="G7609" i="12"/>
  <c r="F7609" i="12"/>
  <c r="E7609" i="12"/>
  <c r="D7609" i="12"/>
  <c r="C7609" i="12"/>
  <c r="B7609" i="12"/>
  <c r="A7609" i="12"/>
  <c r="G7608" i="12"/>
  <c r="F7608" i="12"/>
  <c r="E7608" i="12"/>
  <c r="D7608" i="12"/>
  <c r="C7608" i="12"/>
  <c r="B7608" i="12"/>
  <c r="A7608" i="12"/>
  <c r="G7607" i="12"/>
  <c r="F7607" i="12"/>
  <c r="E7607" i="12"/>
  <c r="D7607" i="12"/>
  <c r="C7607" i="12"/>
  <c r="B7607" i="12"/>
  <c r="A7607" i="12"/>
  <c r="G7606" i="12"/>
  <c r="F7606" i="12"/>
  <c r="E7606" i="12"/>
  <c r="D7606" i="12"/>
  <c r="C7606" i="12"/>
  <c r="B7606" i="12"/>
  <c r="A7606" i="12"/>
  <c r="G7605" i="12"/>
  <c r="F7605" i="12"/>
  <c r="E7605" i="12"/>
  <c r="D7605" i="12"/>
  <c r="C7605" i="12"/>
  <c r="B7605" i="12"/>
  <c r="A7605" i="12"/>
  <c r="G7604" i="12"/>
  <c r="F7604" i="12"/>
  <c r="E7604" i="12"/>
  <c r="D7604" i="12"/>
  <c r="C7604" i="12"/>
  <c r="B7604" i="12"/>
  <c r="A7604" i="12"/>
  <c r="G7603" i="12"/>
  <c r="F7603" i="12"/>
  <c r="E7603" i="12"/>
  <c r="D7603" i="12"/>
  <c r="C7603" i="12"/>
  <c r="B7603" i="12"/>
  <c r="A7603" i="12"/>
  <c r="G7602" i="12"/>
  <c r="F7602" i="12"/>
  <c r="E7602" i="12"/>
  <c r="D7602" i="12"/>
  <c r="C7602" i="12"/>
  <c r="B7602" i="12"/>
  <c r="A7602" i="12"/>
  <c r="G7601" i="12"/>
  <c r="F7601" i="12"/>
  <c r="E7601" i="12"/>
  <c r="D7601" i="12"/>
  <c r="C7601" i="12"/>
  <c r="B7601" i="12"/>
  <c r="A7601" i="12"/>
  <c r="G7600" i="12"/>
  <c r="F7600" i="12"/>
  <c r="E7600" i="12"/>
  <c r="D7600" i="12"/>
  <c r="C7600" i="12"/>
  <c r="B7600" i="12"/>
  <c r="A7600" i="12"/>
  <c r="G7599" i="12"/>
  <c r="F7599" i="12"/>
  <c r="E7599" i="12"/>
  <c r="D7599" i="12"/>
  <c r="C7599" i="12"/>
  <c r="B7599" i="12"/>
  <c r="A7599" i="12"/>
  <c r="G7598" i="12"/>
  <c r="F7598" i="12"/>
  <c r="E7598" i="12"/>
  <c r="D7598" i="12"/>
  <c r="C7598" i="12"/>
  <c r="B7598" i="12"/>
  <c r="A7598" i="12"/>
  <c r="G7597" i="12"/>
  <c r="F7597" i="12"/>
  <c r="E7597" i="12"/>
  <c r="D7597" i="12"/>
  <c r="C7597" i="12"/>
  <c r="B7597" i="12"/>
  <c r="A7597" i="12"/>
  <c r="G7596" i="12"/>
  <c r="F7596" i="12"/>
  <c r="E7596" i="12"/>
  <c r="D7596" i="12"/>
  <c r="C7596" i="12"/>
  <c r="B7596" i="12"/>
  <c r="A7596" i="12"/>
  <c r="G7595" i="12"/>
  <c r="F7595" i="12"/>
  <c r="E7595" i="12"/>
  <c r="D7595" i="12"/>
  <c r="C7595" i="12"/>
  <c r="B7595" i="12"/>
  <c r="A7595" i="12"/>
  <c r="G7594" i="12"/>
  <c r="F7594" i="12"/>
  <c r="E7594" i="12"/>
  <c r="D7594" i="12"/>
  <c r="C7594" i="12"/>
  <c r="B7594" i="12"/>
  <c r="A7594" i="12"/>
  <c r="G7593" i="12"/>
  <c r="F7593" i="12"/>
  <c r="E7593" i="12"/>
  <c r="D7593" i="12"/>
  <c r="C7593" i="12"/>
  <c r="B7593" i="12"/>
  <c r="A7593" i="12"/>
  <c r="E7592" i="12"/>
  <c r="D7592" i="12"/>
  <c r="C7592" i="12"/>
  <c r="B7592" i="12"/>
  <c r="A7592" i="12"/>
  <c r="F7591" i="12"/>
  <c r="E7591" i="12"/>
  <c r="D7591" i="12"/>
  <c r="C7591" i="12"/>
  <c r="B7591" i="12"/>
  <c r="A7591" i="12"/>
  <c r="G7590" i="12"/>
  <c r="F7590" i="12"/>
  <c r="E7590" i="12"/>
  <c r="D7590" i="12"/>
  <c r="C7590" i="12"/>
  <c r="B7590" i="12"/>
  <c r="A7590" i="12"/>
  <c r="G7589" i="12"/>
  <c r="E7589" i="12"/>
  <c r="D7589" i="12"/>
  <c r="C7589" i="12"/>
  <c r="B7589" i="12"/>
  <c r="A7589" i="12"/>
  <c r="G7588" i="12"/>
  <c r="F7588" i="12"/>
  <c r="E7588" i="12"/>
  <c r="D7588" i="12"/>
  <c r="C7588" i="12"/>
  <c r="B7588" i="12"/>
  <c r="A7588" i="12"/>
  <c r="G7587" i="12"/>
  <c r="F7587" i="12"/>
  <c r="E7587" i="12"/>
  <c r="D7587" i="12"/>
  <c r="C7587" i="12"/>
  <c r="B7587" i="12"/>
  <c r="A7587" i="12"/>
  <c r="G7586" i="12"/>
  <c r="F7586" i="12"/>
  <c r="E7586" i="12"/>
  <c r="D7586" i="12"/>
  <c r="C7586" i="12"/>
  <c r="B7586" i="12"/>
  <c r="A7586" i="12"/>
  <c r="E7585" i="12"/>
  <c r="D7585" i="12"/>
  <c r="C7585" i="12"/>
  <c r="A7585" i="12"/>
  <c r="E7584" i="12"/>
  <c r="D7584" i="12"/>
  <c r="C7584" i="12"/>
  <c r="B7584" i="12"/>
  <c r="A7584" i="12"/>
  <c r="G7583" i="12"/>
  <c r="E7583" i="12"/>
  <c r="D7583" i="12"/>
  <c r="C7583" i="12"/>
  <c r="B7583" i="12"/>
  <c r="A7583" i="12"/>
  <c r="E7582" i="12"/>
  <c r="D7582" i="12"/>
  <c r="C7582" i="12"/>
  <c r="B7582" i="12"/>
  <c r="A7582" i="12"/>
  <c r="E7581" i="12"/>
  <c r="D7581" i="12"/>
  <c r="C7581" i="12"/>
  <c r="B7581" i="12"/>
  <c r="A7581" i="12"/>
  <c r="G7580" i="12"/>
  <c r="E7580" i="12"/>
  <c r="D7580" i="12"/>
  <c r="C7580" i="12"/>
  <c r="B7580" i="12"/>
  <c r="A7580" i="12"/>
  <c r="F7579" i="12"/>
  <c r="E7579" i="12"/>
  <c r="D7579" i="12"/>
  <c r="C7579" i="12"/>
  <c r="B7579" i="12"/>
  <c r="A7579" i="12"/>
  <c r="G7578" i="12"/>
  <c r="F7578" i="12"/>
  <c r="E7578" i="12"/>
  <c r="D7578" i="12"/>
  <c r="C7578" i="12"/>
  <c r="B7578" i="12"/>
  <c r="A7578" i="12"/>
  <c r="F7577" i="12"/>
  <c r="E7577" i="12"/>
  <c r="D7577" i="12"/>
  <c r="C7577" i="12"/>
  <c r="B7577" i="12"/>
  <c r="A7577" i="12"/>
  <c r="G7576" i="12"/>
  <c r="F7576" i="12"/>
  <c r="E7576" i="12"/>
  <c r="D7576" i="12"/>
  <c r="C7576" i="12"/>
  <c r="B7576" i="12"/>
  <c r="A7576" i="12"/>
  <c r="F7575" i="12"/>
  <c r="E7575" i="12"/>
  <c r="D7575" i="12"/>
  <c r="C7575" i="12"/>
  <c r="B7575" i="12"/>
  <c r="A7575" i="12"/>
  <c r="E7574" i="12"/>
  <c r="D7574" i="12"/>
  <c r="C7574" i="12"/>
  <c r="B7574" i="12"/>
  <c r="A7574" i="12"/>
  <c r="F7573" i="12"/>
  <c r="E7573" i="12"/>
  <c r="D7573" i="12"/>
  <c r="C7573" i="12"/>
  <c r="B7573" i="12"/>
  <c r="A7573" i="12"/>
  <c r="F7572" i="12"/>
  <c r="E7572" i="12"/>
  <c r="D7572" i="12"/>
  <c r="C7572" i="12"/>
  <c r="B7572" i="12"/>
  <c r="A7572" i="12"/>
  <c r="G7571" i="12"/>
  <c r="F7571" i="12"/>
  <c r="E7571" i="12"/>
  <c r="D7571" i="12"/>
  <c r="C7571" i="12"/>
  <c r="B7571" i="12"/>
  <c r="A7571" i="12"/>
  <c r="F7570" i="12"/>
  <c r="E7570" i="12"/>
  <c r="D7570" i="12"/>
  <c r="C7570" i="12"/>
  <c r="B7570" i="12"/>
  <c r="A7570" i="12"/>
  <c r="G7569" i="12"/>
  <c r="F7569" i="12"/>
  <c r="E7569" i="12"/>
  <c r="D7569" i="12"/>
  <c r="C7569" i="12"/>
  <c r="B7569" i="12"/>
  <c r="A7569" i="12"/>
  <c r="F7568" i="12"/>
  <c r="E7568" i="12"/>
  <c r="D7568" i="12"/>
  <c r="C7568" i="12"/>
  <c r="B7568" i="12"/>
  <c r="A7568" i="12"/>
  <c r="F7567" i="12"/>
  <c r="E7567" i="12"/>
  <c r="D7567" i="12"/>
  <c r="C7567" i="12"/>
  <c r="B7567" i="12"/>
  <c r="A7567" i="12"/>
  <c r="F7566" i="12"/>
  <c r="E7566" i="12"/>
  <c r="D7566" i="12"/>
  <c r="C7566" i="12"/>
  <c r="B7566" i="12"/>
  <c r="A7566" i="12"/>
  <c r="G7565" i="12"/>
  <c r="F7565" i="12"/>
  <c r="E7565" i="12"/>
  <c r="D7565" i="12"/>
  <c r="C7565" i="12"/>
  <c r="B7565" i="12"/>
  <c r="A7565" i="12"/>
  <c r="G7564" i="12"/>
  <c r="F7564" i="12"/>
  <c r="E7564" i="12"/>
  <c r="D7564" i="12"/>
  <c r="C7564" i="12"/>
  <c r="B7564" i="12"/>
  <c r="A7564" i="12"/>
  <c r="F7563" i="12"/>
  <c r="E7563" i="12"/>
  <c r="D7563" i="12"/>
  <c r="C7563" i="12"/>
  <c r="B7563" i="12"/>
  <c r="A7563" i="12"/>
  <c r="G7562" i="12"/>
  <c r="F7562" i="12"/>
  <c r="E7562" i="12"/>
  <c r="D7562" i="12"/>
  <c r="C7562" i="12"/>
  <c r="B7562" i="12"/>
  <c r="A7562" i="12"/>
  <c r="F7561" i="12"/>
  <c r="E7561" i="12"/>
  <c r="D7561" i="12"/>
  <c r="C7561" i="12"/>
  <c r="B7561" i="12"/>
  <c r="A7561" i="12"/>
  <c r="G7560" i="12"/>
  <c r="F7560" i="12"/>
  <c r="E7560" i="12"/>
  <c r="D7560" i="12"/>
  <c r="C7560" i="12"/>
  <c r="B7560" i="12"/>
  <c r="A7560" i="12"/>
  <c r="G7559" i="12"/>
  <c r="F7559" i="12"/>
  <c r="E7559" i="12"/>
  <c r="D7559" i="12"/>
  <c r="C7559" i="12"/>
  <c r="B7559" i="12"/>
  <c r="A7559" i="12"/>
  <c r="E7558" i="12"/>
  <c r="D7558" i="12"/>
  <c r="C7558" i="12"/>
  <c r="B7558" i="12"/>
  <c r="A7558" i="12"/>
  <c r="F7557" i="12"/>
  <c r="E7557" i="12"/>
  <c r="D7557" i="12"/>
  <c r="C7557" i="12"/>
  <c r="B7557" i="12"/>
  <c r="A7557" i="12"/>
  <c r="G7556" i="12"/>
  <c r="F7556" i="12"/>
  <c r="E7556" i="12"/>
  <c r="D7556" i="12"/>
  <c r="C7556" i="12"/>
  <c r="B7556" i="12"/>
  <c r="A7556" i="12"/>
  <c r="F7555" i="12"/>
  <c r="E7555" i="12"/>
  <c r="D7555" i="12"/>
  <c r="C7555" i="12"/>
  <c r="B7555" i="12"/>
  <c r="A7555" i="12"/>
  <c r="F7554" i="12"/>
  <c r="E7554" i="12"/>
  <c r="D7554" i="12"/>
  <c r="C7554" i="12"/>
  <c r="B7554" i="12"/>
  <c r="A7554" i="12"/>
  <c r="G7553" i="12"/>
  <c r="F7553" i="12"/>
  <c r="E7553" i="12"/>
  <c r="D7553" i="12"/>
  <c r="C7553" i="12"/>
  <c r="B7553" i="12"/>
  <c r="A7553" i="12"/>
  <c r="G7552" i="12"/>
  <c r="E7552" i="12"/>
  <c r="D7552" i="12"/>
  <c r="C7552" i="12"/>
  <c r="B7552" i="12"/>
  <c r="A7552" i="12"/>
  <c r="G7551" i="12"/>
  <c r="F7551" i="12"/>
  <c r="E7551" i="12"/>
  <c r="D7551" i="12"/>
  <c r="C7551" i="12"/>
  <c r="B7551" i="12"/>
  <c r="A7551" i="12"/>
  <c r="G7550" i="12"/>
  <c r="E7550" i="12"/>
  <c r="D7550" i="12"/>
  <c r="C7550" i="12"/>
  <c r="B7550" i="12"/>
  <c r="A7550" i="12"/>
  <c r="F7549" i="12"/>
  <c r="E7549" i="12"/>
  <c r="D7549" i="12"/>
  <c r="C7549" i="12"/>
  <c r="B7549" i="12"/>
  <c r="A7549" i="12"/>
  <c r="E7548" i="12"/>
  <c r="D7548" i="12"/>
  <c r="C7548" i="12"/>
  <c r="B7548" i="12"/>
  <c r="A7548" i="12"/>
  <c r="G7547" i="12"/>
  <c r="E7547" i="12"/>
  <c r="D7547" i="12"/>
  <c r="C7547" i="12"/>
  <c r="B7547" i="12"/>
  <c r="A7547" i="12"/>
  <c r="E7546" i="12"/>
  <c r="D7546" i="12"/>
  <c r="C7546" i="12"/>
  <c r="B7546" i="12"/>
  <c r="A7546" i="12"/>
  <c r="G7545" i="12"/>
  <c r="E7545" i="12"/>
  <c r="D7545" i="12"/>
  <c r="C7545" i="12"/>
  <c r="B7545" i="12"/>
  <c r="A7545" i="12"/>
  <c r="G7544" i="12"/>
  <c r="E7544" i="12"/>
  <c r="D7544" i="12"/>
  <c r="C7544" i="12"/>
  <c r="B7544" i="12"/>
  <c r="A7544" i="12"/>
  <c r="G7543" i="12"/>
  <c r="E7543" i="12"/>
  <c r="D7543" i="12"/>
  <c r="C7543" i="12"/>
  <c r="B7543" i="12"/>
  <c r="A7543" i="12"/>
  <c r="F7542" i="12"/>
  <c r="E7542" i="12"/>
  <c r="D7542" i="12"/>
  <c r="C7542" i="12"/>
  <c r="B7542" i="12"/>
  <c r="A7542" i="12"/>
  <c r="G7541" i="12"/>
  <c r="F7541" i="12"/>
  <c r="E7541" i="12"/>
  <c r="D7541" i="12"/>
  <c r="C7541" i="12"/>
  <c r="B7541" i="12"/>
  <c r="A7541" i="12"/>
  <c r="G7540" i="12"/>
  <c r="F7540" i="12"/>
  <c r="E7540" i="12"/>
  <c r="D7540" i="12"/>
  <c r="C7540" i="12"/>
  <c r="B7540" i="12"/>
  <c r="A7540" i="12"/>
  <c r="G7539" i="12"/>
  <c r="E7539" i="12"/>
  <c r="D7539" i="12"/>
  <c r="C7539" i="12"/>
  <c r="B7539" i="12"/>
  <c r="A7539" i="12"/>
  <c r="F7538" i="12"/>
  <c r="E7538" i="12"/>
  <c r="D7538" i="12"/>
  <c r="C7538" i="12"/>
  <c r="B7538" i="12"/>
  <c r="A7538" i="12"/>
  <c r="E7537" i="12"/>
  <c r="D7537" i="12"/>
  <c r="C7537" i="12"/>
  <c r="B7537" i="12"/>
  <c r="A7537" i="12"/>
  <c r="E7536" i="12"/>
  <c r="D7536" i="12"/>
  <c r="C7536" i="12"/>
  <c r="B7536" i="12"/>
  <c r="A7536" i="12"/>
  <c r="G7535" i="12"/>
  <c r="F7535" i="12"/>
  <c r="E7535" i="12"/>
  <c r="D7535" i="12"/>
  <c r="C7535" i="12"/>
  <c r="B7535" i="12"/>
  <c r="A7535" i="12"/>
  <c r="F7534" i="12"/>
  <c r="E7534" i="12"/>
  <c r="D7534" i="12"/>
  <c r="C7534" i="12"/>
  <c r="B7534" i="12"/>
  <c r="A7534" i="12"/>
  <c r="G7533" i="12"/>
  <c r="F7533" i="12"/>
  <c r="E7533" i="12"/>
  <c r="D7533" i="12"/>
  <c r="C7533" i="12"/>
  <c r="B7533" i="12"/>
  <c r="A7533" i="12"/>
  <c r="G7532" i="12"/>
  <c r="F7532" i="12"/>
  <c r="E7532" i="12"/>
  <c r="D7532" i="12"/>
  <c r="C7532" i="12"/>
  <c r="B7532" i="12"/>
  <c r="A7532" i="12"/>
  <c r="G7531" i="12"/>
  <c r="F7531" i="12"/>
  <c r="E7531" i="12"/>
  <c r="D7531" i="12"/>
  <c r="C7531" i="12"/>
  <c r="B7531" i="12"/>
  <c r="A7531" i="12"/>
  <c r="F7530" i="12"/>
  <c r="E7530" i="12"/>
  <c r="D7530" i="12"/>
  <c r="C7530" i="12"/>
  <c r="B7530" i="12"/>
  <c r="A7530" i="12"/>
  <c r="G7529" i="12"/>
  <c r="E7529" i="12"/>
  <c r="D7529" i="12"/>
  <c r="C7529" i="12"/>
  <c r="B7529" i="12"/>
  <c r="A7529" i="12"/>
  <c r="G7528" i="12"/>
  <c r="E7528" i="12"/>
  <c r="D7528" i="12"/>
  <c r="C7528" i="12"/>
  <c r="B7528" i="12"/>
  <c r="A7528" i="12"/>
  <c r="G7527" i="12"/>
  <c r="F7527" i="12"/>
  <c r="E7527" i="12"/>
  <c r="D7527" i="12"/>
  <c r="C7527" i="12"/>
  <c r="B7527" i="12"/>
  <c r="A7527" i="12"/>
  <c r="G7526" i="12"/>
  <c r="F7526" i="12"/>
  <c r="E7526" i="12"/>
  <c r="D7526" i="12"/>
  <c r="C7526" i="12"/>
  <c r="B7526" i="12"/>
  <c r="A7526" i="12"/>
  <c r="F7525" i="12"/>
  <c r="E7525" i="12"/>
  <c r="D7525" i="12"/>
  <c r="C7525" i="12"/>
  <c r="B7525" i="12"/>
  <c r="A7525" i="12"/>
  <c r="G7524" i="12"/>
  <c r="F7524" i="12"/>
  <c r="E7524" i="12"/>
  <c r="D7524" i="12"/>
  <c r="C7524" i="12"/>
  <c r="B7524" i="12"/>
  <c r="A7524" i="12"/>
  <c r="F7523" i="12"/>
  <c r="E7523" i="12"/>
  <c r="D7523" i="12"/>
  <c r="C7523" i="12"/>
  <c r="B7523" i="12"/>
  <c r="A7523" i="12"/>
  <c r="G7522" i="12"/>
  <c r="F7522" i="12"/>
  <c r="E7522" i="12"/>
  <c r="D7522" i="12"/>
  <c r="C7522" i="12"/>
  <c r="B7522" i="12"/>
  <c r="A7522" i="12"/>
  <c r="F7521" i="12"/>
  <c r="E7521" i="12"/>
  <c r="D7521" i="12"/>
  <c r="C7521" i="12"/>
  <c r="B7521" i="12"/>
  <c r="A7521" i="12"/>
  <c r="G7520" i="12"/>
  <c r="F7520" i="12"/>
  <c r="E7520" i="12"/>
  <c r="D7520" i="12"/>
  <c r="C7520" i="12"/>
  <c r="B7520" i="12"/>
  <c r="A7520" i="12"/>
  <c r="E7519" i="12"/>
  <c r="D7519" i="12"/>
  <c r="C7519" i="12"/>
  <c r="B7519" i="12"/>
  <c r="A7519" i="12"/>
  <c r="F7518" i="12"/>
  <c r="E7518" i="12"/>
  <c r="D7518" i="12"/>
  <c r="C7518" i="12"/>
  <c r="B7518" i="12"/>
  <c r="A7518" i="12"/>
  <c r="F7517" i="12"/>
  <c r="E7517" i="12"/>
  <c r="D7517" i="12"/>
  <c r="C7517" i="12"/>
  <c r="B7517" i="12"/>
  <c r="A7517" i="12"/>
  <c r="G7516" i="12"/>
  <c r="F7516" i="12"/>
  <c r="E7516" i="12"/>
  <c r="D7516" i="12"/>
  <c r="C7516" i="12"/>
  <c r="B7516" i="12"/>
  <c r="A7516" i="12"/>
  <c r="G7515" i="12"/>
  <c r="F7515" i="12"/>
  <c r="E7515" i="12"/>
  <c r="D7515" i="12"/>
  <c r="C7515" i="12"/>
  <c r="B7515" i="12"/>
  <c r="A7515" i="12"/>
  <c r="G7514" i="12"/>
  <c r="F7514" i="12"/>
  <c r="E7514" i="12"/>
  <c r="D7514" i="12"/>
  <c r="C7514" i="12"/>
  <c r="B7514" i="12"/>
  <c r="A7514" i="12"/>
  <c r="G7513" i="12"/>
  <c r="F7513" i="12"/>
  <c r="E7513" i="12"/>
  <c r="D7513" i="12"/>
  <c r="C7513" i="12"/>
  <c r="B7513" i="12"/>
  <c r="A7513" i="12"/>
  <c r="G7512" i="12"/>
  <c r="F7512" i="12"/>
  <c r="E7512" i="12"/>
  <c r="D7512" i="12"/>
  <c r="C7512" i="12"/>
  <c r="B7512" i="12"/>
  <c r="A7512" i="12"/>
  <c r="G7511" i="12"/>
  <c r="F7511" i="12"/>
  <c r="E7511" i="12"/>
  <c r="D7511" i="12"/>
  <c r="C7511" i="12"/>
  <c r="B7511" i="12"/>
  <c r="A7511" i="12"/>
  <c r="G7510" i="12"/>
  <c r="F7510" i="12"/>
  <c r="E7510" i="12"/>
  <c r="D7510" i="12"/>
  <c r="C7510" i="12"/>
  <c r="B7510" i="12"/>
  <c r="A7510" i="12"/>
  <c r="G7509" i="12"/>
  <c r="F7509" i="12"/>
  <c r="E7509" i="12"/>
  <c r="D7509" i="12"/>
  <c r="C7509" i="12"/>
  <c r="B7509" i="12"/>
  <c r="A7509" i="12"/>
  <c r="G7508" i="12"/>
  <c r="F7508" i="12"/>
  <c r="E7508" i="12"/>
  <c r="D7508" i="12"/>
  <c r="C7508" i="12"/>
  <c r="B7508" i="12"/>
  <c r="A7508" i="12"/>
  <c r="F7507" i="12"/>
  <c r="E7507" i="12"/>
  <c r="D7507" i="12"/>
  <c r="C7507" i="12"/>
  <c r="B7507" i="12"/>
  <c r="A7507" i="12"/>
  <c r="G7506" i="12"/>
  <c r="F7506" i="12"/>
  <c r="E7506" i="12"/>
  <c r="D7506" i="12"/>
  <c r="C7506" i="12"/>
  <c r="B7506" i="12"/>
  <c r="A7506" i="12"/>
  <c r="F7505" i="12"/>
  <c r="E7505" i="12"/>
  <c r="D7505" i="12"/>
  <c r="C7505" i="12"/>
  <c r="B7505" i="12"/>
  <c r="A7505" i="12"/>
  <c r="G7504" i="12"/>
  <c r="F7504" i="12"/>
  <c r="E7504" i="12"/>
  <c r="D7504" i="12"/>
  <c r="C7504" i="12"/>
  <c r="B7504" i="12"/>
  <c r="A7504" i="12"/>
  <c r="G7503" i="12"/>
  <c r="F7503" i="12"/>
  <c r="E7503" i="12"/>
  <c r="D7503" i="12"/>
  <c r="C7503" i="12"/>
  <c r="B7503" i="12"/>
  <c r="A7503" i="12"/>
  <c r="G7502" i="12"/>
  <c r="F7502" i="12"/>
  <c r="E7502" i="12"/>
  <c r="D7502" i="12"/>
  <c r="C7502" i="12"/>
  <c r="B7502" i="12"/>
  <c r="A7502" i="12"/>
  <c r="G7501" i="12"/>
  <c r="F7501" i="12"/>
  <c r="E7501" i="12"/>
  <c r="D7501" i="12"/>
  <c r="C7501" i="12"/>
  <c r="B7501" i="12"/>
  <c r="A7501" i="12"/>
  <c r="F7500" i="12"/>
  <c r="E7500" i="12"/>
  <c r="D7500" i="12"/>
  <c r="C7500" i="12"/>
  <c r="B7500" i="12"/>
  <c r="A7500" i="12"/>
  <c r="G7499" i="12"/>
  <c r="F7499" i="12"/>
  <c r="E7499" i="12"/>
  <c r="D7499" i="12"/>
  <c r="C7499" i="12"/>
  <c r="B7499" i="12"/>
  <c r="A7499" i="12"/>
  <c r="F7498" i="12"/>
  <c r="E7498" i="12"/>
  <c r="D7498" i="12"/>
  <c r="C7498" i="12"/>
  <c r="B7498" i="12"/>
  <c r="A7498" i="12"/>
  <c r="F7497" i="12"/>
  <c r="E7497" i="12"/>
  <c r="D7497" i="12"/>
  <c r="C7497" i="12"/>
  <c r="B7497" i="12"/>
  <c r="A7497" i="12"/>
  <c r="G7496" i="12"/>
  <c r="F7496" i="12"/>
  <c r="E7496" i="12"/>
  <c r="D7496" i="12"/>
  <c r="C7496" i="12"/>
  <c r="B7496" i="12"/>
  <c r="A7496" i="12"/>
  <c r="G7495" i="12"/>
  <c r="F7495" i="12"/>
  <c r="E7495" i="12"/>
  <c r="D7495" i="12"/>
  <c r="C7495" i="12"/>
  <c r="B7495" i="12"/>
  <c r="A7495" i="12"/>
  <c r="F7494" i="12"/>
  <c r="E7494" i="12"/>
  <c r="D7494" i="12"/>
  <c r="C7494" i="12"/>
  <c r="B7494" i="12"/>
  <c r="A7494" i="12"/>
  <c r="F7493" i="12"/>
  <c r="E7493" i="12"/>
  <c r="D7493" i="12"/>
  <c r="C7493" i="12"/>
  <c r="B7493" i="12"/>
  <c r="A7493" i="12"/>
  <c r="G7492" i="12"/>
  <c r="F7492" i="12"/>
  <c r="E7492" i="12"/>
  <c r="D7492" i="12"/>
  <c r="C7492" i="12"/>
  <c r="B7492" i="12"/>
  <c r="A7492" i="12"/>
  <c r="G7491" i="12"/>
  <c r="F7491" i="12"/>
  <c r="E7491" i="12"/>
  <c r="D7491" i="12"/>
  <c r="C7491" i="12"/>
  <c r="B7491" i="12"/>
  <c r="A7491" i="12"/>
  <c r="F7490" i="12"/>
  <c r="E7490" i="12"/>
  <c r="D7490" i="12"/>
  <c r="C7490" i="12"/>
  <c r="B7490" i="12"/>
  <c r="A7490" i="12"/>
  <c r="F7489" i="12"/>
  <c r="E7489" i="12"/>
  <c r="D7489" i="12"/>
  <c r="C7489" i="12"/>
  <c r="B7489" i="12"/>
  <c r="A7489" i="12"/>
  <c r="G7488" i="12"/>
  <c r="E7488" i="12"/>
  <c r="D7488" i="12"/>
  <c r="C7488" i="12"/>
  <c r="B7488" i="12"/>
  <c r="A7488" i="12"/>
  <c r="G7487" i="12"/>
  <c r="F7487" i="12"/>
  <c r="E7487" i="12"/>
  <c r="D7487" i="12"/>
  <c r="C7487" i="12"/>
  <c r="B7487" i="12"/>
  <c r="A7487" i="12"/>
  <c r="F7486" i="12"/>
  <c r="E7486" i="12"/>
  <c r="D7486" i="12"/>
  <c r="C7486" i="12"/>
  <c r="B7486" i="12"/>
  <c r="A7486" i="12"/>
  <c r="F7485" i="12"/>
  <c r="E7485" i="12"/>
  <c r="D7485" i="12"/>
  <c r="C7485" i="12"/>
  <c r="B7485" i="12"/>
  <c r="A7485" i="12"/>
  <c r="F7484" i="12"/>
  <c r="E7484" i="12"/>
  <c r="D7484" i="12"/>
  <c r="C7484" i="12"/>
  <c r="B7484" i="12"/>
  <c r="A7484" i="12"/>
  <c r="G7483" i="12"/>
  <c r="F7483" i="12"/>
  <c r="E7483" i="12"/>
  <c r="D7483" i="12"/>
  <c r="C7483" i="12"/>
  <c r="B7483" i="12"/>
  <c r="A7483" i="12"/>
  <c r="G7482" i="12"/>
  <c r="F7482" i="12"/>
  <c r="E7482" i="12"/>
  <c r="D7482" i="12"/>
  <c r="C7482" i="12"/>
  <c r="B7482" i="12"/>
  <c r="A7482" i="12"/>
  <c r="E7481" i="12"/>
  <c r="D7481" i="12"/>
  <c r="C7481" i="12"/>
  <c r="B7481" i="12"/>
  <c r="A7481" i="12"/>
  <c r="G7480" i="12"/>
  <c r="F7480" i="12"/>
  <c r="E7480" i="12"/>
  <c r="D7480" i="12"/>
  <c r="C7480" i="12"/>
  <c r="B7480" i="12"/>
  <c r="A7480" i="12"/>
  <c r="F7479" i="12"/>
  <c r="E7479" i="12"/>
  <c r="D7479" i="12"/>
  <c r="C7479" i="12"/>
  <c r="B7479" i="12"/>
  <c r="A7479" i="12"/>
  <c r="G7478" i="12"/>
  <c r="F7478" i="12"/>
  <c r="E7478" i="12"/>
  <c r="D7478" i="12"/>
  <c r="C7478" i="12"/>
  <c r="B7478" i="12"/>
  <c r="A7478" i="12"/>
  <c r="G7477" i="12"/>
  <c r="F7477" i="12"/>
  <c r="E7477" i="12"/>
  <c r="D7477" i="12"/>
  <c r="C7477" i="12"/>
  <c r="B7477" i="12"/>
  <c r="A7477" i="12"/>
  <c r="E7476" i="12"/>
  <c r="D7476" i="12"/>
  <c r="C7476" i="12"/>
  <c r="B7476" i="12"/>
  <c r="A7476" i="12"/>
  <c r="G7475" i="12"/>
  <c r="F7475" i="12"/>
  <c r="E7475" i="12"/>
  <c r="D7475" i="12"/>
  <c r="C7475" i="12"/>
  <c r="B7475" i="12"/>
  <c r="A7475" i="12"/>
  <c r="G7474" i="12"/>
  <c r="F7474" i="12"/>
  <c r="E7474" i="12"/>
  <c r="D7474" i="12"/>
  <c r="C7474" i="12"/>
  <c r="B7474" i="12"/>
  <c r="A7474" i="12"/>
  <c r="G7473" i="12"/>
  <c r="F7473" i="12"/>
  <c r="E7473" i="12"/>
  <c r="D7473" i="12"/>
  <c r="C7473" i="12"/>
  <c r="B7473" i="12"/>
  <c r="A7473" i="12"/>
  <c r="F7472" i="12"/>
  <c r="E7472" i="12"/>
  <c r="D7472" i="12"/>
  <c r="C7472" i="12"/>
  <c r="B7472" i="12"/>
  <c r="A7472" i="12"/>
  <c r="F7471" i="12"/>
  <c r="E7471" i="12"/>
  <c r="D7471" i="12"/>
  <c r="C7471" i="12"/>
  <c r="B7471" i="12"/>
  <c r="A7471" i="12"/>
  <c r="F7470" i="12"/>
  <c r="E7470" i="12"/>
  <c r="D7470" i="12"/>
  <c r="C7470" i="12"/>
  <c r="B7470" i="12"/>
  <c r="A7470" i="12"/>
  <c r="G7469" i="12"/>
  <c r="F7469" i="12"/>
  <c r="E7469" i="12"/>
  <c r="D7469" i="12"/>
  <c r="C7469" i="12"/>
  <c r="B7469" i="12"/>
  <c r="A7469" i="12"/>
  <c r="G7468" i="12"/>
  <c r="F7468" i="12"/>
  <c r="E7468" i="12"/>
  <c r="D7468" i="12"/>
  <c r="C7468" i="12"/>
  <c r="B7468" i="12"/>
  <c r="A7468" i="12"/>
  <c r="E7467" i="12"/>
  <c r="D7467" i="12"/>
  <c r="C7467" i="12"/>
  <c r="B7467" i="12"/>
  <c r="A7467" i="12"/>
  <c r="G7466" i="12"/>
  <c r="F7466" i="12"/>
  <c r="E7466" i="12"/>
  <c r="D7466" i="12"/>
  <c r="C7466" i="12"/>
  <c r="B7466" i="12"/>
  <c r="A7466" i="12"/>
  <c r="G7465" i="12"/>
  <c r="F7465" i="12"/>
  <c r="E7465" i="12"/>
  <c r="D7465" i="12"/>
  <c r="C7465" i="12"/>
  <c r="B7465" i="12"/>
  <c r="A7465" i="12"/>
  <c r="E7464" i="12"/>
  <c r="D7464" i="12"/>
  <c r="C7464" i="12"/>
  <c r="B7464" i="12"/>
  <c r="A7464" i="12"/>
  <c r="F7463" i="12"/>
  <c r="E7463" i="12"/>
  <c r="D7463" i="12"/>
  <c r="C7463" i="12"/>
  <c r="B7463" i="12"/>
  <c r="A7463" i="12"/>
  <c r="G7462" i="12"/>
  <c r="F7462" i="12"/>
  <c r="E7462" i="12"/>
  <c r="D7462" i="12"/>
  <c r="C7462" i="12"/>
  <c r="B7462" i="12"/>
  <c r="A7462" i="12"/>
  <c r="F7461" i="12"/>
  <c r="E7461" i="12"/>
  <c r="D7461" i="12"/>
  <c r="C7461" i="12"/>
  <c r="B7461" i="12"/>
  <c r="A7461" i="12"/>
  <c r="G7460" i="12"/>
  <c r="F7460" i="12"/>
  <c r="E7460" i="12"/>
  <c r="D7460" i="12"/>
  <c r="C7460" i="12"/>
  <c r="B7460" i="12"/>
  <c r="A7460" i="12"/>
  <c r="E7459" i="12"/>
  <c r="D7459" i="12"/>
  <c r="C7459" i="12"/>
  <c r="B7459" i="12"/>
  <c r="A7459" i="12"/>
  <c r="F7458" i="12"/>
  <c r="E7458" i="12"/>
  <c r="D7458" i="12"/>
  <c r="C7458" i="12"/>
  <c r="B7458" i="12"/>
  <c r="A7458" i="12"/>
  <c r="G7457" i="12"/>
  <c r="E7457" i="12"/>
  <c r="D7457" i="12"/>
  <c r="C7457" i="12"/>
  <c r="B7457" i="12"/>
  <c r="A7457" i="12"/>
  <c r="F7456" i="12"/>
  <c r="E7456" i="12"/>
  <c r="D7456" i="12"/>
  <c r="C7456" i="12"/>
  <c r="B7456" i="12"/>
  <c r="A7456" i="12"/>
  <c r="F7455" i="12"/>
  <c r="E7455" i="12"/>
  <c r="D7455" i="12"/>
  <c r="C7455" i="12"/>
  <c r="B7455" i="12"/>
  <c r="A7455" i="12"/>
  <c r="F7454" i="12"/>
  <c r="E7454" i="12"/>
  <c r="D7454" i="12"/>
  <c r="C7454" i="12"/>
  <c r="B7454" i="12"/>
  <c r="A7454" i="12"/>
  <c r="G7453" i="12"/>
  <c r="F7453" i="12"/>
  <c r="E7453" i="12"/>
  <c r="D7453" i="12"/>
  <c r="C7453" i="12"/>
  <c r="B7453" i="12"/>
  <c r="A7453" i="12"/>
  <c r="F7452" i="12"/>
  <c r="E7452" i="12"/>
  <c r="D7452" i="12"/>
  <c r="C7452" i="12"/>
  <c r="B7452" i="12"/>
  <c r="A7452" i="12"/>
  <c r="F7451" i="12"/>
  <c r="E7451" i="12"/>
  <c r="D7451" i="12"/>
  <c r="C7451" i="12"/>
  <c r="B7451" i="12"/>
  <c r="A7451" i="12"/>
  <c r="F7450" i="12"/>
  <c r="E7450" i="12"/>
  <c r="D7450" i="12"/>
  <c r="C7450" i="12"/>
  <c r="B7450" i="12"/>
  <c r="A7450" i="12"/>
  <c r="E7449" i="12"/>
  <c r="D7449" i="12"/>
  <c r="C7449" i="12"/>
  <c r="B7449" i="12"/>
  <c r="A7449" i="12"/>
  <c r="G7448" i="12"/>
  <c r="F7448" i="12"/>
  <c r="E7448" i="12"/>
  <c r="D7448" i="12"/>
  <c r="C7448" i="12"/>
  <c r="B7448" i="12"/>
  <c r="A7448" i="12"/>
  <c r="G7447" i="12"/>
  <c r="F7447" i="12"/>
  <c r="E7447" i="12"/>
  <c r="D7447" i="12"/>
  <c r="C7447" i="12"/>
  <c r="B7447" i="12"/>
  <c r="A7447" i="12"/>
  <c r="G7446" i="12"/>
  <c r="E7446" i="12"/>
  <c r="D7446" i="12"/>
  <c r="C7446" i="12"/>
  <c r="B7446" i="12"/>
  <c r="A7446" i="12"/>
  <c r="F7445" i="12"/>
  <c r="E7445" i="12"/>
  <c r="D7445" i="12"/>
  <c r="C7445" i="12"/>
  <c r="B7445" i="12"/>
  <c r="A7445" i="12"/>
  <c r="F7444" i="12"/>
  <c r="E7444" i="12"/>
  <c r="D7444" i="12"/>
  <c r="C7444" i="12"/>
  <c r="B7444" i="12"/>
  <c r="A7444" i="12"/>
  <c r="E7443" i="12"/>
  <c r="D7443" i="12"/>
  <c r="C7443" i="12"/>
  <c r="B7443" i="12"/>
  <c r="A7443" i="12"/>
  <c r="E7442" i="12"/>
  <c r="D7442" i="12"/>
  <c r="C7442" i="12"/>
  <c r="B7442" i="12"/>
  <c r="A7442" i="12"/>
  <c r="E7441" i="12"/>
  <c r="D7441" i="12"/>
  <c r="C7441" i="12"/>
  <c r="B7441" i="12"/>
  <c r="A7441" i="12"/>
  <c r="F7440" i="12"/>
  <c r="E7440" i="12"/>
  <c r="D7440" i="12"/>
  <c r="C7440" i="12"/>
  <c r="B7440" i="12"/>
  <c r="A7440" i="12"/>
  <c r="F7439" i="12"/>
  <c r="E7439" i="12"/>
  <c r="D7439" i="12"/>
  <c r="C7439" i="12"/>
  <c r="B7439" i="12"/>
  <c r="A7439" i="12"/>
  <c r="E7438" i="12"/>
  <c r="D7438" i="12"/>
  <c r="C7438" i="12"/>
  <c r="B7438" i="12"/>
  <c r="A7438" i="12"/>
  <c r="G7437" i="12"/>
  <c r="E7437" i="12"/>
  <c r="D7437" i="12"/>
  <c r="C7437" i="12"/>
  <c r="B7437" i="12"/>
  <c r="A7437" i="12"/>
  <c r="E7436" i="12"/>
  <c r="D7436" i="12"/>
  <c r="C7436" i="12"/>
  <c r="B7436" i="12"/>
  <c r="A7436" i="12"/>
  <c r="G7435" i="12"/>
  <c r="F7435" i="12"/>
  <c r="E7435" i="12"/>
  <c r="D7435" i="12"/>
  <c r="C7435" i="12"/>
  <c r="B7435" i="12"/>
  <c r="A7435" i="12"/>
  <c r="F7434" i="12"/>
  <c r="E7434" i="12"/>
  <c r="D7434" i="12"/>
  <c r="C7434" i="12"/>
  <c r="B7434" i="12"/>
  <c r="A7434" i="12"/>
  <c r="F7433" i="12"/>
  <c r="E7433" i="12"/>
  <c r="D7433" i="12"/>
  <c r="C7433" i="12"/>
  <c r="B7433" i="12"/>
  <c r="A7433" i="12"/>
  <c r="F7432" i="12"/>
  <c r="E7432" i="12"/>
  <c r="D7432" i="12"/>
  <c r="C7432" i="12"/>
  <c r="B7432" i="12"/>
  <c r="A7432" i="12"/>
  <c r="G7431" i="12"/>
  <c r="F7431" i="12"/>
  <c r="E7431" i="12"/>
  <c r="D7431" i="12"/>
  <c r="C7431" i="12"/>
  <c r="B7431" i="12"/>
  <c r="A7431" i="12"/>
  <c r="G7430" i="12"/>
  <c r="E7430" i="12"/>
  <c r="D7430" i="12"/>
  <c r="C7430" i="12"/>
  <c r="B7430" i="12"/>
  <c r="A7430" i="12"/>
  <c r="E7429" i="12"/>
  <c r="D7429" i="12"/>
  <c r="C7429" i="12"/>
  <c r="B7429" i="12"/>
  <c r="A7429" i="12"/>
  <c r="G7428" i="12"/>
  <c r="E7428" i="12"/>
  <c r="D7428" i="12"/>
  <c r="C7428" i="12"/>
  <c r="B7428" i="12"/>
  <c r="A7428" i="12"/>
  <c r="E7427" i="12"/>
  <c r="D7427" i="12"/>
  <c r="C7427" i="12"/>
  <c r="B7427" i="12"/>
  <c r="A7427" i="12"/>
  <c r="G7426" i="12"/>
  <c r="E7426" i="12"/>
  <c r="D7426" i="12"/>
  <c r="C7426" i="12"/>
  <c r="B7426" i="12"/>
  <c r="A7426" i="12"/>
  <c r="G7425" i="12"/>
  <c r="E7425" i="12"/>
  <c r="D7425" i="12"/>
  <c r="C7425" i="12"/>
  <c r="B7425" i="12"/>
  <c r="A7425" i="12"/>
  <c r="F7424" i="12"/>
  <c r="E7424" i="12"/>
  <c r="D7424" i="12"/>
  <c r="C7424" i="12"/>
  <c r="B7424" i="12"/>
  <c r="A7424" i="12"/>
  <c r="G7423" i="12"/>
  <c r="F7423" i="12"/>
  <c r="E7423" i="12"/>
  <c r="D7423" i="12"/>
  <c r="C7423" i="12"/>
  <c r="B7423" i="12"/>
  <c r="A7423" i="12"/>
  <c r="G7422" i="12"/>
  <c r="E7422" i="12"/>
  <c r="D7422" i="12"/>
  <c r="C7422" i="12"/>
  <c r="B7422" i="12"/>
  <c r="A7422" i="12"/>
  <c r="G7421" i="12"/>
  <c r="E7421" i="12"/>
  <c r="D7421" i="12"/>
  <c r="C7421" i="12"/>
  <c r="B7421" i="12"/>
  <c r="A7421" i="12"/>
  <c r="G7420" i="12"/>
  <c r="F7420" i="12"/>
  <c r="E7420" i="12"/>
  <c r="D7420" i="12"/>
  <c r="C7420" i="12"/>
  <c r="B7420" i="12"/>
  <c r="A7420" i="12"/>
  <c r="G7419" i="12"/>
  <c r="E7419" i="12"/>
  <c r="D7419" i="12"/>
  <c r="C7419" i="12"/>
  <c r="B7419" i="12"/>
  <c r="A7419" i="12"/>
  <c r="G7418" i="12"/>
  <c r="E7418" i="12"/>
  <c r="D7418" i="12"/>
  <c r="C7418" i="12"/>
  <c r="B7418" i="12"/>
  <c r="A7418" i="12"/>
  <c r="G7417" i="12"/>
  <c r="E7417" i="12"/>
  <c r="D7417" i="12"/>
  <c r="C7417" i="12"/>
  <c r="B7417" i="12"/>
  <c r="A7417" i="12"/>
  <c r="G7416" i="12"/>
  <c r="F7416" i="12"/>
  <c r="E7416" i="12"/>
  <c r="D7416" i="12"/>
  <c r="C7416" i="12"/>
  <c r="B7416" i="12"/>
  <c r="A7416" i="12"/>
  <c r="G7415" i="12"/>
  <c r="F7415" i="12"/>
  <c r="E7415" i="12"/>
  <c r="D7415" i="12"/>
  <c r="C7415" i="12"/>
  <c r="B7415" i="12"/>
  <c r="A7415" i="12"/>
  <c r="G7414" i="12"/>
  <c r="F7414" i="12"/>
  <c r="E7414" i="12"/>
  <c r="D7414" i="12"/>
  <c r="C7414" i="12"/>
  <c r="B7414" i="12"/>
  <c r="A7414" i="12"/>
  <c r="E7413" i="12"/>
  <c r="D7413" i="12"/>
  <c r="C7413" i="12"/>
  <c r="B7413" i="12"/>
  <c r="A7413" i="12"/>
  <c r="F7412" i="12"/>
  <c r="E7412" i="12"/>
  <c r="D7412" i="12"/>
  <c r="C7412" i="12"/>
  <c r="B7412" i="12"/>
  <c r="A7412" i="12"/>
  <c r="F7411" i="12"/>
  <c r="E7411" i="12"/>
  <c r="D7411" i="12"/>
  <c r="C7411" i="12"/>
  <c r="B7411" i="12"/>
  <c r="A7411" i="12"/>
  <c r="E7410" i="12"/>
  <c r="D7410" i="12"/>
  <c r="C7410" i="12"/>
  <c r="B7410" i="12"/>
  <c r="A7410" i="12"/>
  <c r="G7409" i="12"/>
  <c r="F7409" i="12"/>
  <c r="E7409" i="12"/>
  <c r="D7409" i="12"/>
  <c r="C7409" i="12"/>
  <c r="B7409" i="12"/>
  <c r="A7409" i="12"/>
  <c r="G7408" i="12"/>
  <c r="E7408" i="12"/>
  <c r="D7408" i="12"/>
  <c r="C7408" i="12"/>
  <c r="B7408" i="12"/>
  <c r="A7408" i="12"/>
  <c r="G7407" i="12"/>
  <c r="E7407" i="12"/>
  <c r="D7407" i="12"/>
  <c r="C7407" i="12"/>
  <c r="B7407" i="12"/>
  <c r="A7407" i="12"/>
  <c r="G7406" i="12"/>
  <c r="E7406" i="12"/>
  <c r="D7406" i="12"/>
  <c r="C7406" i="12"/>
  <c r="B7406" i="12"/>
  <c r="A7406" i="12"/>
  <c r="F7405" i="12"/>
  <c r="E7405" i="12"/>
  <c r="D7405" i="12"/>
  <c r="C7405" i="12"/>
  <c r="B7405" i="12"/>
  <c r="A7405" i="12"/>
  <c r="G7404" i="12"/>
  <c r="F7404" i="12"/>
  <c r="E7404" i="12"/>
  <c r="D7404" i="12"/>
  <c r="C7404" i="12"/>
  <c r="B7404" i="12"/>
  <c r="A7404" i="12"/>
  <c r="F7403" i="12"/>
  <c r="E7403" i="12"/>
  <c r="D7403" i="12"/>
  <c r="C7403" i="12"/>
  <c r="B7403" i="12"/>
  <c r="A7403" i="12"/>
  <c r="F7402" i="12"/>
  <c r="E7402" i="12"/>
  <c r="D7402" i="12"/>
  <c r="C7402" i="12"/>
  <c r="B7402" i="12"/>
  <c r="A7402" i="12"/>
  <c r="G7401" i="12"/>
  <c r="F7401" i="12"/>
  <c r="E7401" i="12"/>
  <c r="D7401" i="12"/>
  <c r="C7401" i="12"/>
  <c r="B7401" i="12"/>
  <c r="A7401" i="12"/>
  <c r="G7400" i="12"/>
  <c r="E7400" i="12"/>
  <c r="D7400" i="12"/>
  <c r="C7400" i="12"/>
  <c r="B7400" i="12"/>
  <c r="A7400" i="12"/>
  <c r="F7399" i="12"/>
  <c r="E7399" i="12"/>
  <c r="D7399" i="12"/>
  <c r="C7399" i="12"/>
  <c r="B7399" i="12"/>
  <c r="A7399" i="12"/>
  <c r="E7398" i="12"/>
  <c r="D7398" i="12"/>
  <c r="C7398" i="12"/>
  <c r="B7398" i="12"/>
  <c r="A7398" i="12"/>
  <c r="F7397" i="12"/>
  <c r="E7397" i="12"/>
  <c r="D7397" i="12"/>
  <c r="C7397" i="12"/>
  <c r="B7397" i="12"/>
  <c r="A7397" i="12"/>
  <c r="G7396" i="12"/>
  <c r="E7396" i="12"/>
  <c r="D7396" i="12"/>
  <c r="C7396" i="12"/>
  <c r="B7396" i="12"/>
  <c r="A7396" i="12"/>
  <c r="E7395" i="12"/>
  <c r="D7395" i="12"/>
  <c r="C7395" i="12"/>
  <c r="B7395" i="12"/>
  <c r="A7395" i="12"/>
  <c r="E7394" i="12"/>
  <c r="D7394" i="12"/>
  <c r="C7394" i="12"/>
  <c r="B7394" i="12"/>
  <c r="A7394" i="12"/>
  <c r="G7393" i="12"/>
  <c r="E7393" i="12"/>
  <c r="D7393" i="12"/>
  <c r="C7393" i="12"/>
  <c r="B7393" i="12"/>
  <c r="A7393" i="12"/>
  <c r="F7392" i="12"/>
  <c r="E7392" i="12"/>
  <c r="D7392" i="12"/>
  <c r="C7392" i="12"/>
  <c r="B7392" i="12"/>
  <c r="A7392" i="12"/>
  <c r="G7391" i="12"/>
  <c r="F7391" i="12"/>
  <c r="E7391" i="12"/>
  <c r="D7391" i="12"/>
  <c r="C7391" i="12"/>
  <c r="B7391" i="12"/>
  <c r="A7391" i="12"/>
  <c r="F7390" i="12"/>
  <c r="E7390" i="12"/>
  <c r="D7390" i="12"/>
  <c r="C7390" i="12"/>
  <c r="B7390" i="12"/>
  <c r="A7390" i="12"/>
  <c r="G7389" i="12"/>
  <c r="E7389" i="12"/>
  <c r="D7389" i="12"/>
  <c r="C7389" i="12"/>
  <c r="B7389" i="12"/>
  <c r="A7389" i="12"/>
  <c r="G7388" i="12"/>
  <c r="F7388" i="12"/>
  <c r="E7388" i="12"/>
  <c r="D7388" i="12"/>
  <c r="C7388" i="12"/>
  <c r="B7388" i="12"/>
  <c r="A7388" i="12"/>
  <c r="F7387" i="12"/>
  <c r="E7387" i="12"/>
  <c r="D7387" i="12"/>
  <c r="C7387" i="12"/>
  <c r="B7387" i="12"/>
  <c r="A7387" i="12"/>
  <c r="G7386" i="12"/>
  <c r="F7386" i="12"/>
  <c r="E7386" i="12"/>
  <c r="D7386" i="12"/>
  <c r="C7386" i="12"/>
  <c r="B7386" i="12"/>
  <c r="A7386" i="12"/>
  <c r="G7385" i="12"/>
  <c r="F7385" i="12"/>
  <c r="E7385" i="12"/>
  <c r="D7385" i="12"/>
  <c r="C7385" i="12"/>
  <c r="B7385" i="12"/>
  <c r="A7385" i="12"/>
  <c r="G7384" i="12"/>
  <c r="F7384" i="12"/>
  <c r="E7384" i="12"/>
  <c r="D7384" i="12"/>
  <c r="C7384" i="12"/>
  <c r="B7384" i="12"/>
  <c r="A7384" i="12"/>
  <c r="F7383" i="12"/>
  <c r="E7383" i="12"/>
  <c r="D7383" i="12"/>
  <c r="C7383" i="12"/>
  <c r="B7383" i="12"/>
  <c r="A7383" i="12"/>
  <c r="F7382" i="12"/>
  <c r="E7382" i="12"/>
  <c r="D7382" i="12"/>
  <c r="C7382" i="12"/>
  <c r="B7382" i="12"/>
  <c r="A7382" i="12"/>
  <c r="F7381" i="12"/>
  <c r="E7381" i="12"/>
  <c r="D7381" i="12"/>
  <c r="C7381" i="12"/>
  <c r="B7381" i="12"/>
  <c r="A7381" i="12"/>
  <c r="F7380" i="12"/>
  <c r="E7380" i="12"/>
  <c r="D7380" i="12"/>
  <c r="C7380" i="12"/>
  <c r="B7380" i="12"/>
  <c r="A7380" i="12"/>
  <c r="F7379" i="12"/>
  <c r="E7379" i="12"/>
  <c r="D7379" i="12"/>
  <c r="C7379" i="12"/>
  <c r="B7379" i="12"/>
  <c r="A7379" i="12"/>
  <c r="E7378" i="12"/>
  <c r="D7378" i="12"/>
  <c r="C7378" i="12"/>
  <c r="B7378" i="12"/>
  <c r="A7378" i="12"/>
  <c r="E7377" i="12"/>
  <c r="D7377" i="12"/>
  <c r="C7377" i="12"/>
  <c r="B7377" i="12"/>
  <c r="A7377" i="12"/>
  <c r="G7376" i="12"/>
  <c r="E7376" i="12"/>
  <c r="D7376" i="12"/>
  <c r="C7376" i="12"/>
  <c r="B7376" i="12"/>
  <c r="A7376" i="12"/>
  <c r="E7375" i="12"/>
  <c r="D7375" i="12"/>
  <c r="C7375" i="12"/>
  <c r="B7375" i="12"/>
  <c r="A7375" i="12"/>
  <c r="F7374" i="12"/>
  <c r="E7374" i="12"/>
  <c r="D7374" i="12"/>
  <c r="C7374" i="12"/>
  <c r="B7374" i="12"/>
  <c r="A7374" i="12"/>
  <c r="G7373" i="12"/>
  <c r="F7373" i="12"/>
  <c r="E7373" i="12"/>
  <c r="D7373" i="12"/>
  <c r="C7373" i="12"/>
  <c r="B7373" i="12"/>
  <c r="A7373" i="12"/>
  <c r="G7372" i="12"/>
  <c r="F7372" i="12"/>
  <c r="E7372" i="12"/>
  <c r="D7372" i="12"/>
  <c r="C7372" i="12"/>
  <c r="B7372" i="12"/>
  <c r="A7372" i="12"/>
  <c r="G7371" i="12"/>
  <c r="F7371" i="12"/>
  <c r="E7371" i="12"/>
  <c r="D7371" i="12"/>
  <c r="C7371" i="12"/>
  <c r="B7371" i="12"/>
  <c r="A7371" i="12"/>
  <c r="G7370" i="12"/>
  <c r="E7370" i="12"/>
  <c r="D7370" i="12"/>
  <c r="C7370" i="12"/>
  <c r="B7370" i="12"/>
  <c r="A7370" i="12"/>
  <c r="G7369" i="12"/>
  <c r="F7369" i="12"/>
  <c r="E7369" i="12"/>
  <c r="D7369" i="12"/>
  <c r="C7369" i="12"/>
  <c r="B7369" i="12"/>
  <c r="A7369" i="12"/>
  <c r="G7368" i="12"/>
  <c r="F7368" i="12"/>
  <c r="E7368" i="12"/>
  <c r="D7368" i="12"/>
  <c r="C7368" i="12"/>
  <c r="B7368" i="12"/>
  <c r="A7368" i="12"/>
  <c r="F7367" i="12"/>
  <c r="E7367" i="12"/>
  <c r="D7367" i="12"/>
  <c r="C7367" i="12"/>
  <c r="B7367" i="12"/>
  <c r="A7367" i="12"/>
  <c r="G7366" i="12"/>
  <c r="F7366" i="12"/>
  <c r="E7366" i="12"/>
  <c r="D7366" i="12"/>
  <c r="C7366" i="12"/>
  <c r="B7366" i="12"/>
  <c r="A7366" i="12"/>
  <c r="F7365" i="12"/>
  <c r="E7365" i="12"/>
  <c r="D7365" i="12"/>
  <c r="C7365" i="12"/>
  <c r="B7365" i="12"/>
  <c r="A7365" i="12"/>
  <c r="E7364" i="12"/>
  <c r="D7364" i="12"/>
  <c r="C7364" i="12"/>
  <c r="B7364" i="12"/>
  <c r="A7364" i="12"/>
  <c r="G7363" i="12"/>
  <c r="E7363" i="12"/>
  <c r="D7363" i="12"/>
  <c r="C7363" i="12"/>
  <c r="B7363" i="12"/>
  <c r="A7363" i="12"/>
  <c r="E7362" i="12"/>
  <c r="D7362" i="12"/>
  <c r="C7362" i="12"/>
  <c r="B7362" i="12"/>
  <c r="A7362" i="12"/>
  <c r="G7361" i="12"/>
  <c r="E7361" i="12"/>
  <c r="D7361" i="12"/>
  <c r="C7361" i="12"/>
  <c r="B7361" i="12"/>
  <c r="A7361" i="12"/>
  <c r="E7360" i="12"/>
  <c r="D7360" i="12"/>
  <c r="C7360" i="12"/>
  <c r="B7360" i="12"/>
  <c r="A7360" i="12"/>
  <c r="E7359" i="12"/>
  <c r="D7359" i="12"/>
  <c r="C7359" i="12"/>
  <c r="B7359" i="12"/>
  <c r="A7359" i="12"/>
  <c r="G7358" i="12"/>
  <c r="E7358" i="12"/>
  <c r="D7358" i="12"/>
  <c r="C7358" i="12"/>
  <c r="B7358" i="12"/>
  <c r="A7358" i="12"/>
  <c r="E7357" i="12"/>
  <c r="D7357" i="12"/>
  <c r="C7357" i="12"/>
  <c r="B7357" i="12"/>
  <c r="A7357" i="12"/>
  <c r="G7356" i="12"/>
  <c r="E7356" i="12"/>
  <c r="D7356" i="12"/>
  <c r="C7356" i="12"/>
  <c r="B7356" i="12"/>
  <c r="A7356" i="12"/>
  <c r="G7355" i="12"/>
  <c r="E7355" i="12"/>
  <c r="D7355" i="12"/>
  <c r="C7355" i="12"/>
  <c r="B7355" i="12"/>
  <c r="A7355" i="12"/>
  <c r="G7354" i="12"/>
  <c r="E7354" i="12"/>
  <c r="D7354" i="12"/>
  <c r="C7354" i="12"/>
  <c r="B7354" i="12"/>
  <c r="A7354" i="12"/>
  <c r="G7353" i="12"/>
  <c r="E7353" i="12"/>
  <c r="D7353" i="12"/>
  <c r="C7353" i="12"/>
  <c r="B7353" i="12"/>
  <c r="A7353" i="12"/>
  <c r="G7352" i="12"/>
  <c r="E7352" i="12"/>
  <c r="D7352" i="12"/>
  <c r="C7352" i="12"/>
  <c r="B7352" i="12"/>
  <c r="A7352" i="12"/>
  <c r="G7351" i="12"/>
  <c r="E7351" i="12"/>
  <c r="D7351" i="12"/>
  <c r="C7351" i="12"/>
  <c r="B7351" i="12"/>
  <c r="A7351" i="12"/>
  <c r="G7350" i="12"/>
  <c r="E7350" i="12"/>
  <c r="D7350" i="12"/>
  <c r="C7350" i="12"/>
  <c r="B7350" i="12"/>
  <c r="A7350" i="12"/>
  <c r="G7349" i="12"/>
  <c r="E7349" i="12"/>
  <c r="D7349" i="12"/>
  <c r="C7349" i="12"/>
  <c r="B7349" i="12"/>
  <c r="A7349" i="12"/>
  <c r="G7348" i="12"/>
  <c r="E7348" i="12"/>
  <c r="D7348" i="12"/>
  <c r="C7348" i="12"/>
  <c r="B7348" i="12"/>
  <c r="A7348" i="12"/>
  <c r="G7347" i="12"/>
  <c r="E7347" i="12"/>
  <c r="D7347" i="12"/>
  <c r="C7347" i="12"/>
  <c r="B7347" i="12"/>
  <c r="A7347" i="12"/>
  <c r="E7346" i="12"/>
  <c r="D7346" i="12"/>
  <c r="C7346" i="12"/>
  <c r="B7346" i="12"/>
  <c r="A7346" i="12"/>
  <c r="G7345" i="12"/>
  <c r="E7345" i="12"/>
  <c r="D7345" i="12"/>
  <c r="C7345" i="12"/>
  <c r="B7345" i="12"/>
  <c r="A7345" i="12"/>
  <c r="G7344" i="12"/>
  <c r="E7344" i="12"/>
  <c r="D7344" i="12"/>
  <c r="C7344" i="12"/>
  <c r="B7344" i="12"/>
  <c r="A7344" i="12"/>
  <c r="G7343" i="12"/>
  <c r="E7343" i="12"/>
  <c r="D7343" i="12"/>
  <c r="C7343" i="12"/>
  <c r="B7343" i="12"/>
  <c r="A7343" i="12"/>
  <c r="G7342" i="12"/>
  <c r="E7342" i="12"/>
  <c r="D7342" i="12"/>
  <c r="C7342" i="12"/>
  <c r="B7342" i="12"/>
  <c r="A7342" i="12"/>
  <c r="E7341" i="12"/>
  <c r="D7341" i="12"/>
  <c r="C7341" i="12"/>
  <c r="B7341" i="12"/>
  <c r="A7341" i="12"/>
  <c r="G7340" i="12"/>
  <c r="E7340" i="12"/>
  <c r="D7340" i="12"/>
  <c r="C7340" i="12"/>
  <c r="B7340" i="12"/>
  <c r="A7340" i="12"/>
  <c r="G7339" i="12"/>
  <c r="E7339" i="12"/>
  <c r="D7339" i="12"/>
  <c r="C7339" i="12"/>
  <c r="B7339" i="12"/>
  <c r="A7339" i="12"/>
  <c r="G7338" i="12"/>
  <c r="E7338" i="12"/>
  <c r="D7338" i="12"/>
  <c r="C7338" i="12"/>
  <c r="B7338" i="12"/>
  <c r="A7338" i="12"/>
  <c r="E7337" i="12"/>
  <c r="D7337" i="12"/>
  <c r="C7337" i="12"/>
  <c r="B7337" i="12"/>
  <c r="A7337" i="12"/>
  <c r="G7336" i="12"/>
  <c r="E7336" i="12"/>
  <c r="D7336" i="12"/>
  <c r="C7336" i="12"/>
  <c r="B7336" i="12"/>
  <c r="A7336" i="12"/>
  <c r="G7335" i="12"/>
  <c r="E7335" i="12"/>
  <c r="D7335" i="12"/>
  <c r="C7335" i="12"/>
  <c r="B7335" i="12"/>
  <c r="A7335" i="12"/>
  <c r="G7334" i="12"/>
  <c r="E7334" i="12"/>
  <c r="D7334" i="12"/>
  <c r="C7334" i="12"/>
  <c r="B7334" i="12"/>
  <c r="A7334" i="12"/>
  <c r="G7333" i="12"/>
  <c r="E7333" i="12"/>
  <c r="D7333" i="12"/>
  <c r="C7333" i="12"/>
  <c r="B7333" i="12"/>
  <c r="A7333" i="12"/>
  <c r="E7332" i="12"/>
  <c r="D7332" i="12"/>
  <c r="C7332" i="12"/>
  <c r="B7332" i="12"/>
  <c r="A7332" i="12"/>
  <c r="E7331" i="12"/>
  <c r="D7331" i="12"/>
  <c r="C7331" i="12"/>
  <c r="B7331" i="12"/>
  <c r="A7331" i="12"/>
  <c r="G7330" i="12"/>
  <c r="E7330" i="12"/>
  <c r="D7330" i="12"/>
  <c r="C7330" i="12"/>
  <c r="B7330" i="12"/>
  <c r="A7330" i="12"/>
  <c r="G7329" i="12"/>
  <c r="E7329" i="12"/>
  <c r="D7329" i="12"/>
  <c r="C7329" i="12"/>
  <c r="B7329" i="12"/>
  <c r="A7329" i="12"/>
  <c r="G7328" i="12"/>
  <c r="E7328" i="12"/>
  <c r="D7328" i="12"/>
  <c r="C7328" i="12"/>
  <c r="B7328" i="12"/>
  <c r="A7328" i="12"/>
  <c r="G7327" i="12"/>
  <c r="E7327" i="12"/>
  <c r="D7327" i="12"/>
  <c r="C7327" i="12"/>
  <c r="B7327" i="12"/>
  <c r="A7327" i="12"/>
  <c r="G7326" i="12"/>
  <c r="E7326" i="12"/>
  <c r="D7326" i="12"/>
  <c r="C7326" i="12"/>
  <c r="B7326" i="12"/>
  <c r="A7326" i="12"/>
  <c r="G7325" i="12"/>
  <c r="E7325" i="12"/>
  <c r="D7325" i="12"/>
  <c r="C7325" i="12"/>
  <c r="B7325" i="12"/>
  <c r="A7325" i="12"/>
  <c r="G7324" i="12"/>
  <c r="E7324" i="12"/>
  <c r="D7324" i="12"/>
  <c r="C7324" i="12"/>
  <c r="B7324" i="12"/>
  <c r="A7324" i="12"/>
  <c r="G7323" i="12"/>
  <c r="E7323" i="12"/>
  <c r="D7323" i="12"/>
  <c r="C7323" i="12"/>
  <c r="B7323" i="12"/>
  <c r="A7323" i="12"/>
  <c r="G7322" i="12"/>
  <c r="E7322" i="12"/>
  <c r="D7322" i="12"/>
  <c r="C7322" i="12"/>
  <c r="B7322" i="12"/>
  <c r="A7322" i="12"/>
  <c r="G7321" i="12"/>
  <c r="E7321" i="12"/>
  <c r="D7321" i="12"/>
  <c r="C7321" i="12"/>
  <c r="B7321" i="12"/>
  <c r="A7321" i="12"/>
  <c r="G7320" i="12"/>
  <c r="E7320" i="12"/>
  <c r="D7320" i="12"/>
  <c r="C7320" i="12"/>
  <c r="B7320" i="12"/>
  <c r="A7320" i="12"/>
  <c r="G7319" i="12"/>
  <c r="E7319" i="12"/>
  <c r="D7319" i="12"/>
  <c r="C7319" i="12"/>
  <c r="B7319" i="12"/>
  <c r="A7319" i="12"/>
  <c r="G7318" i="12"/>
  <c r="E7318" i="12"/>
  <c r="D7318" i="12"/>
  <c r="C7318" i="12"/>
  <c r="B7318" i="12"/>
  <c r="A7318" i="12"/>
  <c r="G7317" i="12"/>
  <c r="E7317" i="12"/>
  <c r="D7317" i="12"/>
  <c r="C7317" i="12"/>
  <c r="B7317" i="12"/>
  <c r="A7317" i="12"/>
  <c r="G7316" i="12"/>
  <c r="E7316" i="12"/>
  <c r="D7316" i="12"/>
  <c r="C7316" i="12"/>
  <c r="B7316" i="12"/>
  <c r="A7316" i="12"/>
  <c r="G7315" i="12"/>
  <c r="F7315" i="12"/>
  <c r="E7315" i="12"/>
  <c r="D7315" i="12"/>
  <c r="C7315" i="12"/>
  <c r="B7315" i="12"/>
  <c r="A7315" i="12"/>
  <c r="G7314" i="12"/>
  <c r="E7314" i="12"/>
  <c r="D7314" i="12"/>
  <c r="C7314" i="12"/>
  <c r="B7314" i="12"/>
  <c r="A7314" i="12"/>
  <c r="G7313" i="12"/>
  <c r="E7313" i="12"/>
  <c r="D7313" i="12"/>
  <c r="C7313" i="12"/>
  <c r="B7313" i="12"/>
  <c r="A7313" i="12"/>
  <c r="G7312" i="12"/>
  <c r="F7312" i="12"/>
  <c r="E7312" i="12"/>
  <c r="D7312" i="12"/>
  <c r="C7312" i="12"/>
  <c r="B7312" i="12"/>
  <c r="A7312" i="12"/>
  <c r="G7311" i="12"/>
  <c r="E7311" i="12"/>
  <c r="D7311" i="12"/>
  <c r="C7311" i="12"/>
  <c r="B7311" i="12"/>
  <c r="A7311" i="12"/>
  <c r="G7310" i="12"/>
  <c r="E7310" i="12"/>
  <c r="D7310" i="12"/>
  <c r="C7310" i="12"/>
  <c r="B7310" i="12"/>
  <c r="A7310" i="12"/>
  <c r="G7309" i="12"/>
  <c r="E7309" i="12"/>
  <c r="D7309" i="12"/>
  <c r="C7309" i="12"/>
  <c r="B7309" i="12"/>
  <c r="A7309" i="12"/>
  <c r="G7308" i="12"/>
  <c r="E7308" i="12"/>
  <c r="D7308" i="12"/>
  <c r="C7308" i="12"/>
  <c r="B7308" i="12"/>
  <c r="A7308" i="12"/>
  <c r="G7307" i="12"/>
  <c r="E7307" i="12"/>
  <c r="D7307" i="12"/>
  <c r="C7307" i="12"/>
  <c r="B7307" i="12"/>
  <c r="A7307" i="12"/>
  <c r="G7306" i="12"/>
  <c r="E7306" i="12"/>
  <c r="D7306" i="12"/>
  <c r="C7306" i="12"/>
  <c r="B7306" i="12"/>
  <c r="A7306" i="12"/>
  <c r="G7305" i="12"/>
  <c r="E7305" i="12"/>
  <c r="D7305" i="12"/>
  <c r="C7305" i="12"/>
  <c r="B7305" i="12"/>
  <c r="A7305" i="12"/>
  <c r="E7304" i="12"/>
  <c r="D7304" i="12"/>
  <c r="C7304" i="12"/>
  <c r="B7304" i="12"/>
  <c r="A7304" i="12"/>
  <c r="G7303" i="12"/>
  <c r="E7303" i="12"/>
  <c r="D7303" i="12"/>
  <c r="C7303" i="12"/>
  <c r="B7303" i="12"/>
  <c r="A7303" i="12"/>
  <c r="G7302" i="12"/>
  <c r="E7302" i="12"/>
  <c r="D7302" i="12"/>
  <c r="C7302" i="12"/>
  <c r="B7302" i="12"/>
  <c r="A7302" i="12"/>
  <c r="G7301" i="12"/>
  <c r="E7301" i="12"/>
  <c r="D7301" i="12"/>
  <c r="C7301" i="12"/>
  <c r="B7301" i="12"/>
  <c r="A7301" i="12"/>
  <c r="G7300" i="12"/>
  <c r="E7300" i="12"/>
  <c r="D7300" i="12"/>
  <c r="C7300" i="12"/>
  <c r="B7300" i="12"/>
  <c r="A7300" i="12"/>
  <c r="E7299" i="12"/>
  <c r="D7299" i="12"/>
  <c r="C7299" i="12"/>
  <c r="B7299" i="12"/>
  <c r="A7299" i="12"/>
  <c r="G7298" i="12"/>
  <c r="E7298" i="12"/>
  <c r="D7298" i="12"/>
  <c r="C7298" i="12"/>
  <c r="B7298" i="12"/>
  <c r="A7298" i="12"/>
  <c r="G7297" i="12"/>
  <c r="F7297" i="12"/>
  <c r="E7297" i="12"/>
  <c r="D7297" i="12"/>
  <c r="C7297" i="12"/>
  <c r="B7297" i="12"/>
  <c r="A7297" i="12"/>
  <c r="G7296" i="12"/>
  <c r="E7296" i="12"/>
  <c r="D7296" i="12"/>
  <c r="C7296" i="12"/>
  <c r="B7296" i="12"/>
  <c r="A7296" i="12"/>
  <c r="G7295" i="12"/>
  <c r="E7295" i="12"/>
  <c r="D7295" i="12"/>
  <c r="C7295" i="12"/>
  <c r="B7295" i="12"/>
  <c r="A7295" i="12"/>
  <c r="G7294" i="12"/>
  <c r="E7294" i="12"/>
  <c r="D7294" i="12"/>
  <c r="C7294" i="12"/>
  <c r="B7294" i="12"/>
  <c r="A7294" i="12"/>
  <c r="G7293" i="12"/>
  <c r="F7293" i="12"/>
  <c r="E7293" i="12"/>
  <c r="D7293" i="12"/>
  <c r="C7293" i="12"/>
  <c r="B7293" i="12"/>
  <c r="A7293" i="12"/>
  <c r="G7292" i="12"/>
  <c r="F7292" i="12"/>
  <c r="E7292" i="12"/>
  <c r="D7292" i="12"/>
  <c r="C7292" i="12"/>
  <c r="B7292" i="12"/>
  <c r="A7292" i="12"/>
  <c r="G7291" i="12"/>
  <c r="E7291" i="12"/>
  <c r="D7291" i="12"/>
  <c r="C7291" i="12"/>
  <c r="B7291" i="12"/>
  <c r="A7291" i="12"/>
  <c r="G7290" i="12"/>
  <c r="E7290" i="12"/>
  <c r="D7290" i="12"/>
  <c r="C7290" i="12"/>
  <c r="B7290" i="12"/>
  <c r="A7290" i="12"/>
  <c r="G7289" i="12"/>
  <c r="E7289" i="12"/>
  <c r="D7289" i="12"/>
  <c r="C7289" i="12"/>
  <c r="B7289" i="12"/>
  <c r="A7289" i="12"/>
  <c r="G7288" i="12"/>
  <c r="E7288" i="12"/>
  <c r="D7288" i="12"/>
  <c r="C7288" i="12"/>
  <c r="B7288" i="12"/>
  <c r="A7288" i="12"/>
  <c r="G7287" i="12"/>
  <c r="F7287" i="12"/>
  <c r="E7287" i="12"/>
  <c r="D7287" i="12"/>
  <c r="C7287" i="12"/>
  <c r="B7287" i="12"/>
  <c r="A7287" i="12"/>
  <c r="G7286" i="12"/>
  <c r="F7286" i="12"/>
  <c r="E7286" i="12"/>
  <c r="D7286" i="12"/>
  <c r="C7286" i="12"/>
  <c r="B7286" i="12"/>
  <c r="A7286" i="12"/>
  <c r="G7285" i="12"/>
  <c r="F7285" i="12"/>
  <c r="E7285" i="12"/>
  <c r="D7285" i="12"/>
  <c r="C7285" i="12"/>
  <c r="B7285" i="12"/>
  <c r="A7285" i="12"/>
  <c r="G7284" i="12"/>
  <c r="F7284" i="12"/>
  <c r="E7284" i="12"/>
  <c r="D7284" i="12"/>
  <c r="C7284" i="12"/>
  <c r="B7284" i="12"/>
  <c r="A7284" i="12"/>
  <c r="G7283" i="12"/>
  <c r="F7283" i="12"/>
  <c r="E7283" i="12"/>
  <c r="D7283" i="12"/>
  <c r="C7283" i="12"/>
  <c r="B7283" i="12"/>
  <c r="A7283" i="12"/>
  <c r="G7282" i="12"/>
  <c r="F7282" i="12"/>
  <c r="E7282" i="12"/>
  <c r="D7282" i="12"/>
  <c r="C7282" i="12"/>
  <c r="B7282" i="12"/>
  <c r="A7282" i="12"/>
  <c r="G7281" i="12"/>
  <c r="F7281" i="12"/>
  <c r="E7281" i="12"/>
  <c r="D7281" i="12"/>
  <c r="C7281" i="12"/>
  <c r="B7281" i="12"/>
  <c r="A7281" i="12"/>
  <c r="G7280" i="12"/>
  <c r="F7280" i="12"/>
  <c r="E7280" i="12"/>
  <c r="D7280" i="12"/>
  <c r="C7280" i="12"/>
  <c r="B7280" i="12"/>
  <c r="A7280" i="12"/>
  <c r="G7279" i="12"/>
  <c r="F7279" i="12"/>
  <c r="E7279" i="12"/>
  <c r="D7279" i="12"/>
  <c r="C7279" i="12"/>
  <c r="B7279" i="12"/>
  <c r="A7279" i="12"/>
  <c r="G7278" i="12"/>
  <c r="E7278" i="12"/>
  <c r="D7278" i="12"/>
  <c r="C7278" i="12"/>
  <c r="B7278" i="12"/>
  <c r="A7278" i="12"/>
  <c r="G7277" i="12"/>
  <c r="E7277" i="12"/>
  <c r="D7277" i="12"/>
  <c r="C7277" i="12"/>
  <c r="B7277" i="12"/>
  <c r="A7277" i="12"/>
  <c r="G7276" i="12"/>
  <c r="E7276" i="12"/>
  <c r="D7276" i="12"/>
  <c r="C7276" i="12"/>
  <c r="B7276" i="12"/>
  <c r="A7276" i="12"/>
  <c r="G7275" i="12"/>
  <c r="F7275" i="12"/>
  <c r="E7275" i="12"/>
  <c r="D7275" i="12"/>
  <c r="C7275" i="12"/>
  <c r="B7275" i="12"/>
  <c r="A7275" i="12"/>
  <c r="G7274" i="12"/>
  <c r="F7274" i="12"/>
  <c r="E7274" i="12"/>
  <c r="D7274" i="12"/>
  <c r="C7274" i="12"/>
  <c r="B7274" i="12"/>
  <c r="A7274" i="12"/>
  <c r="G7273" i="12"/>
  <c r="F7273" i="12"/>
  <c r="E7273" i="12"/>
  <c r="D7273" i="12"/>
  <c r="C7273" i="12"/>
  <c r="B7273" i="12"/>
  <c r="A7273" i="12"/>
  <c r="G7272" i="12"/>
  <c r="E7272" i="12"/>
  <c r="D7272" i="12"/>
  <c r="C7272" i="12"/>
  <c r="B7272" i="12"/>
  <c r="A7272" i="12"/>
  <c r="G7271" i="12"/>
  <c r="F7271" i="12"/>
  <c r="E7271" i="12"/>
  <c r="D7271" i="12"/>
  <c r="C7271" i="12"/>
  <c r="B7271" i="12"/>
  <c r="A7271" i="12"/>
  <c r="G7270" i="12"/>
  <c r="E7270" i="12"/>
  <c r="D7270" i="12"/>
  <c r="C7270" i="12"/>
  <c r="B7270" i="12"/>
  <c r="A7270" i="12"/>
  <c r="G7269" i="12"/>
  <c r="E7269" i="12"/>
  <c r="D7269" i="12"/>
  <c r="C7269" i="12"/>
  <c r="B7269" i="12"/>
  <c r="A7269" i="12"/>
  <c r="G7268" i="12"/>
  <c r="F7268" i="12"/>
  <c r="E7268" i="12"/>
  <c r="D7268" i="12"/>
  <c r="C7268" i="12"/>
  <c r="B7268" i="12"/>
  <c r="A7268" i="12"/>
  <c r="G7267" i="12"/>
  <c r="F7267" i="12"/>
  <c r="E7267" i="12"/>
  <c r="D7267" i="12"/>
  <c r="C7267" i="12"/>
  <c r="B7267" i="12"/>
  <c r="A7267" i="12"/>
  <c r="G7266" i="12"/>
  <c r="F7266" i="12"/>
  <c r="E7266" i="12"/>
  <c r="D7266" i="12"/>
  <c r="C7266" i="12"/>
  <c r="B7266" i="12"/>
  <c r="A7266" i="12"/>
  <c r="G7265" i="12"/>
  <c r="E7265" i="12"/>
  <c r="D7265" i="12"/>
  <c r="C7265" i="12"/>
  <c r="B7265" i="12"/>
  <c r="A7265" i="12"/>
  <c r="G7264" i="12"/>
  <c r="E7264" i="12"/>
  <c r="D7264" i="12"/>
  <c r="C7264" i="12"/>
  <c r="B7264" i="12"/>
  <c r="A7264" i="12"/>
  <c r="G7263" i="12"/>
  <c r="E7263" i="12"/>
  <c r="D7263" i="12"/>
  <c r="C7263" i="12"/>
  <c r="B7263" i="12"/>
  <c r="A7263" i="12"/>
  <c r="E7262" i="12"/>
  <c r="D7262" i="12"/>
  <c r="C7262" i="12"/>
  <c r="B7262" i="12"/>
  <c r="A7262" i="12"/>
  <c r="E7261" i="12"/>
  <c r="D7261" i="12"/>
  <c r="C7261" i="12"/>
  <c r="B7261" i="12"/>
  <c r="A7261" i="12"/>
  <c r="E7260" i="12"/>
  <c r="D7260" i="12"/>
  <c r="C7260" i="12"/>
  <c r="B7260" i="12"/>
  <c r="A7260" i="12"/>
  <c r="G7259" i="12"/>
  <c r="E7259" i="12"/>
  <c r="D7259" i="12"/>
  <c r="C7259" i="12"/>
  <c r="B7259" i="12"/>
  <c r="A7259" i="12"/>
  <c r="F7258" i="12"/>
  <c r="E7258" i="12"/>
  <c r="D7258" i="12"/>
  <c r="C7258" i="12"/>
  <c r="B7258" i="12"/>
  <c r="A7258" i="12"/>
  <c r="F7257" i="12"/>
  <c r="E7257" i="12"/>
  <c r="D7257" i="12"/>
  <c r="C7257" i="12"/>
  <c r="B7257" i="12"/>
  <c r="A7257" i="12"/>
  <c r="G7256" i="12"/>
  <c r="F7256" i="12"/>
  <c r="E7256" i="12"/>
  <c r="D7256" i="12"/>
  <c r="C7256" i="12"/>
  <c r="B7256" i="12"/>
  <c r="A7256" i="12"/>
  <c r="G7255" i="12"/>
  <c r="F7255" i="12"/>
  <c r="E7255" i="12"/>
  <c r="D7255" i="12"/>
  <c r="C7255" i="12"/>
  <c r="B7255" i="12"/>
  <c r="A7255" i="12"/>
  <c r="G7254" i="12"/>
  <c r="F7254" i="12"/>
  <c r="E7254" i="12"/>
  <c r="D7254" i="12"/>
  <c r="C7254" i="12"/>
  <c r="B7254" i="12"/>
  <c r="A7254" i="12"/>
  <c r="G7253" i="12"/>
  <c r="E7253" i="12"/>
  <c r="D7253" i="12"/>
  <c r="C7253" i="12"/>
  <c r="B7253" i="12"/>
  <c r="A7253" i="12"/>
  <c r="E7252" i="12"/>
  <c r="D7252" i="12"/>
  <c r="C7252" i="12"/>
  <c r="B7252" i="12"/>
  <c r="A7252" i="12"/>
  <c r="G7251" i="12"/>
  <c r="F7251" i="12"/>
  <c r="E7251" i="12"/>
  <c r="D7251" i="12"/>
  <c r="C7251" i="12"/>
  <c r="B7251" i="12"/>
  <c r="A7251" i="12"/>
  <c r="G7250" i="12"/>
  <c r="F7250" i="12"/>
  <c r="E7250" i="12"/>
  <c r="D7250" i="12"/>
  <c r="C7250" i="12"/>
  <c r="B7250" i="12"/>
  <c r="A7250" i="12"/>
  <c r="G7249" i="12"/>
  <c r="F7249" i="12"/>
  <c r="E7249" i="12"/>
  <c r="D7249" i="12"/>
  <c r="C7249" i="12"/>
  <c r="B7249" i="12"/>
  <c r="A7249" i="12"/>
  <c r="G7248" i="12"/>
  <c r="E7248" i="12"/>
  <c r="D7248" i="12"/>
  <c r="C7248" i="12"/>
  <c r="B7248" i="12"/>
  <c r="A7248" i="12"/>
  <c r="E7247" i="12"/>
  <c r="D7247" i="12"/>
  <c r="C7247" i="12"/>
  <c r="B7247" i="12"/>
  <c r="A7247" i="12"/>
  <c r="G7246" i="12"/>
  <c r="F7246" i="12"/>
  <c r="E7246" i="12"/>
  <c r="D7246" i="12"/>
  <c r="C7246" i="12"/>
  <c r="B7246" i="12"/>
  <c r="A7246" i="12"/>
  <c r="G7245" i="12"/>
  <c r="F7245" i="12"/>
  <c r="E7245" i="12"/>
  <c r="D7245" i="12"/>
  <c r="C7245" i="12"/>
  <c r="B7245" i="12"/>
  <c r="A7245" i="12"/>
  <c r="E7244" i="12"/>
  <c r="D7244" i="12"/>
  <c r="C7244" i="12"/>
  <c r="B7244" i="12"/>
  <c r="A7244" i="12"/>
  <c r="G7243" i="12"/>
  <c r="E7243" i="12"/>
  <c r="D7243" i="12"/>
  <c r="C7243" i="12"/>
  <c r="B7243" i="12"/>
  <c r="A7243" i="12"/>
  <c r="G7242" i="12"/>
  <c r="F7242" i="12"/>
  <c r="E7242" i="12"/>
  <c r="D7242" i="12"/>
  <c r="C7242" i="12"/>
  <c r="B7242" i="12"/>
  <c r="A7242" i="12"/>
  <c r="G7241" i="12"/>
  <c r="F7241" i="12"/>
  <c r="E7241" i="12"/>
  <c r="D7241" i="12"/>
  <c r="C7241" i="12"/>
  <c r="B7241" i="12"/>
  <c r="A7241" i="12"/>
  <c r="G7240" i="12"/>
  <c r="F7240" i="12"/>
  <c r="E7240" i="12"/>
  <c r="D7240" i="12"/>
  <c r="C7240" i="12"/>
  <c r="B7240" i="12"/>
  <c r="A7240" i="12"/>
  <c r="G7239" i="12"/>
  <c r="E7239" i="12"/>
  <c r="D7239" i="12"/>
  <c r="C7239" i="12"/>
  <c r="B7239" i="12"/>
  <c r="A7239" i="12"/>
  <c r="G7238" i="12"/>
  <c r="F7238" i="12"/>
  <c r="E7238" i="12"/>
  <c r="D7238" i="12"/>
  <c r="C7238" i="12"/>
  <c r="B7238" i="12"/>
  <c r="A7238" i="12"/>
  <c r="G7237" i="12"/>
  <c r="E7237" i="12"/>
  <c r="D7237" i="12"/>
  <c r="C7237" i="12"/>
  <c r="B7237" i="12"/>
  <c r="A7237" i="12"/>
  <c r="G7236" i="12"/>
  <c r="E7236" i="12"/>
  <c r="D7236" i="12"/>
  <c r="C7236" i="12"/>
  <c r="B7236" i="12"/>
  <c r="A7236" i="12"/>
  <c r="G7235" i="12"/>
  <c r="E7235" i="12"/>
  <c r="D7235" i="12"/>
  <c r="C7235" i="12"/>
  <c r="B7235" i="12"/>
  <c r="A7235" i="12"/>
  <c r="G7234" i="12"/>
  <c r="F7234" i="12"/>
  <c r="E7234" i="12"/>
  <c r="D7234" i="12"/>
  <c r="C7234" i="12"/>
  <c r="B7234" i="12"/>
  <c r="A7234" i="12"/>
  <c r="G7233" i="12"/>
  <c r="F7233" i="12"/>
  <c r="E7233" i="12"/>
  <c r="D7233" i="12"/>
  <c r="C7233" i="12"/>
  <c r="B7233" i="12"/>
  <c r="A7233" i="12"/>
  <c r="G7232" i="12"/>
  <c r="E7232" i="12"/>
  <c r="D7232" i="12"/>
  <c r="C7232" i="12"/>
  <c r="B7232" i="12"/>
  <c r="A7232" i="12"/>
  <c r="G7231" i="12"/>
  <c r="E7231" i="12"/>
  <c r="D7231" i="12"/>
  <c r="C7231" i="12"/>
  <c r="B7231" i="12"/>
  <c r="A7231" i="12"/>
  <c r="G7230" i="12"/>
  <c r="E7230" i="12"/>
  <c r="D7230" i="12"/>
  <c r="C7230" i="12"/>
  <c r="B7230" i="12"/>
  <c r="A7230" i="12"/>
  <c r="G7229" i="12"/>
  <c r="E7229" i="12"/>
  <c r="D7229" i="12"/>
  <c r="C7229" i="12"/>
  <c r="B7229" i="12"/>
  <c r="A7229" i="12"/>
  <c r="G7228" i="12"/>
  <c r="E7228" i="12"/>
  <c r="D7228" i="12"/>
  <c r="C7228" i="12"/>
  <c r="B7228" i="12"/>
  <c r="A7228" i="12"/>
  <c r="G7227" i="12"/>
  <c r="E7227" i="12"/>
  <c r="D7227" i="12"/>
  <c r="C7227" i="12"/>
  <c r="B7227" i="12"/>
  <c r="A7227" i="12"/>
  <c r="G7226" i="12"/>
  <c r="E7226" i="12"/>
  <c r="D7226" i="12"/>
  <c r="C7226" i="12"/>
  <c r="B7226" i="12"/>
  <c r="A7226" i="12"/>
  <c r="G7225" i="12"/>
  <c r="E7225" i="12"/>
  <c r="D7225" i="12"/>
  <c r="C7225" i="12"/>
  <c r="B7225" i="12"/>
  <c r="A7225" i="12"/>
  <c r="G7224" i="12"/>
  <c r="E7224" i="12"/>
  <c r="D7224" i="12"/>
  <c r="C7224" i="12"/>
  <c r="B7224" i="12"/>
  <c r="A7224" i="12"/>
  <c r="E7223" i="12"/>
  <c r="D7223" i="12"/>
  <c r="C7223" i="12"/>
  <c r="B7223" i="12"/>
  <c r="A7223" i="12"/>
  <c r="G7222" i="12"/>
  <c r="E7222" i="12"/>
  <c r="D7222" i="12"/>
  <c r="C7222" i="12"/>
  <c r="B7222" i="12"/>
  <c r="A7222" i="12"/>
  <c r="G7221" i="12"/>
  <c r="E7221" i="12"/>
  <c r="D7221" i="12"/>
  <c r="C7221" i="12"/>
  <c r="B7221" i="12"/>
  <c r="A7221" i="12"/>
  <c r="G7220" i="12"/>
  <c r="E7220" i="12"/>
  <c r="D7220" i="12"/>
  <c r="C7220" i="12"/>
  <c r="B7220" i="12"/>
  <c r="A7220" i="12"/>
  <c r="G7219" i="12"/>
  <c r="E7219" i="12"/>
  <c r="D7219" i="12"/>
  <c r="C7219" i="12"/>
  <c r="B7219" i="12"/>
  <c r="A7219" i="12"/>
  <c r="G7218" i="12"/>
  <c r="E7218" i="12"/>
  <c r="D7218" i="12"/>
  <c r="C7218" i="12"/>
  <c r="B7218" i="12"/>
  <c r="A7218" i="12"/>
  <c r="G7217" i="12"/>
  <c r="E7217" i="12"/>
  <c r="D7217" i="12"/>
  <c r="C7217" i="12"/>
  <c r="B7217" i="12"/>
  <c r="A7217" i="12"/>
  <c r="G7216" i="12"/>
  <c r="E7216" i="12"/>
  <c r="D7216" i="12"/>
  <c r="C7216" i="12"/>
  <c r="B7216" i="12"/>
  <c r="A7216" i="12"/>
  <c r="G7215" i="12"/>
  <c r="E7215" i="12"/>
  <c r="D7215" i="12"/>
  <c r="C7215" i="12"/>
  <c r="B7215" i="12"/>
  <c r="A7215" i="12"/>
  <c r="G7214" i="12"/>
  <c r="E7214" i="12"/>
  <c r="D7214" i="12"/>
  <c r="C7214" i="12"/>
  <c r="B7214" i="12"/>
  <c r="A7214" i="12"/>
  <c r="G7213" i="12"/>
  <c r="E7213" i="12"/>
  <c r="D7213" i="12"/>
  <c r="C7213" i="12"/>
  <c r="B7213" i="12"/>
  <c r="A7213" i="12"/>
  <c r="E7212" i="12"/>
  <c r="D7212" i="12"/>
  <c r="C7212" i="12"/>
  <c r="B7212" i="12"/>
  <c r="A7212" i="12"/>
  <c r="G7211" i="12"/>
  <c r="E7211" i="12"/>
  <c r="D7211" i="12"/>
  <c r="C7211" i="12"/>
  <c r="B7211" i="12"/>
  <c r="A7211" i="12"/>
  <c r="G7210" i="12"/>
  <c r="E7210" i="12"/>
  <c r="D7210" i="12"/>
  <c r="C7210" i="12"/>
  <c r="B7210" i="12"/>
  <c r="A7210" i="12"/>
  <c r="G7209" i="12"/>
  <c r="E7209" i="12"/>
  <c r="D7209" i="12"/>
  <c r="C7209" i="12"/>
  <c r="B7209" i="12"/>
  <c r="A7209" i="12"/>
  <c r="G7208" i="12"/>
  <c r="E7208" i="12"/>
  <c r="D7208" i="12"/>
  <c r="C7208" i="12"/>
  <c r="B7208" i="12"/>
  <c r="A7208" i="12"/>
  <c r="G7207" i="12"/>
  <c r="E7207" i="12"/>
  <c r="D7207" i="12"/>
  <c r="C7207" i="12"/>
  <c r="B7207" i="12"/>
  <c r="A7207" i="12"/>
  <c r="G7206" i="12"/>
  <c r="E7206" i="12"/>
  <c r="D7206" i="12"/>
  <c r="C7206" i="12"/>
  <c r="B7206" i="12"/>
  <c r="A7206" i="12"/>
  <c r="G7205" i="12"/>
  <c r="E7205" i="12"/>
  <c r="D7205" i="12"/>
  <c r="C7205" i="12"/>
  <c r="B7205" i="12"/>
  <c r="A7205" i="12"/>
  <c r="G7204" i="12"/>
  <c r="E7204" i="12"/>
  <c r="D7204" i="12"/>
  <c r="C7204" i="12"/>
  <c r="B7204" i="12"/>
  <c r="A7204" i="12"/>
  <c r="G7203" i="12"/>
  <c r="E7203" i="12"/>
  <c r="D7203" i="12"/>
  <c r="C7203" i="12"/>
  <c r="B7203" i="12"/>
  <c r="A7203" i="12"/>
  <c r="G7202" i="12"/>
  <c r="E7202" i="12"/>
  <c r="D7202" i="12"/>
  <c r="C7202" i="12"/>
  <c r="B7202" i="12"/>
  <c r="A7202" i="12"/>
  <c r="G7201" i="12"/>
  <c r="E7201" i="12"/>
  <c r="D7201" i="12"/>
  <c r="C7201" i="12"/>
  <c r="B7201" i="12"/>
  <c r="A7201" i="12"/>
  <c r="G7200" i="12"/>
  <c r="E7200" i="12"/>
  <c r="D7200" i="12"/>
  <c r="C7200" i="12"/>
  <c r="B7200" i="12"/>
  <c r="A7200" i="12"/>
  <c r="G7199" i="12"/>
  <c r="E7199" i="12"/>
  <c r="D7199" i="12"/>
  <c r="C7199" i="12"/>
  <c r="B7199" i="12"/>
  <c r="A7199" i="12"/>
  <c r="G7198" i="12"/>
  <c r="E7198" i="12"/>
  <c r="D7198" i="12"/>
  <c r="C7198" i="12"/>
  <c r="B7198" i="12"/>
  <c r="A7198" i="12"/>
  <c r="G7197" i="12"/>
  <c r="F7197" i="12"/>
  <c r="E7197" i="12"/>
  <c r="D7197" i="12"/>
  <c r="C7197" i="12"/>
  <c r="B7197" i="12"/>
  <c r="A7197" i="12"/>
  <c r="G7196" i="12"/>
  <c r="E7196" i="12"/>
  <c r="D7196" i="12"/>
  <c r="C7196" i="12"/>
  <c r="B7196" i="12"/>
  <c r="A7196" i="12"/>
  <c r="G7195" i="12"/>
  <c r="F7195" i="12"/>
  <c r="E7195" i="12"/>
  <c r="D7195" i="12"/>
  <c r="C7195" i="12"/>
  <c r="B7195" i="12"/>
  <c r="A7195" i="12"/>
  <c r="E7194" i="12"/>
  <c r="D7194" i="12"/>
  <c r="C7194" i="12"/>
  <c r="B7194" i="12"/>
  <c r="A7194" i="12"/>
  <c r="E7193" i="12"/>
  <c r="D7193" i="12"/>
  <c r="C7193" i="12"/>
  <c r="B7193" i="12"/>
  <c r="A7193" i="12"/>
  <c r="E7192" i="12"/>
  <c r="D7192" i="12"/>
  <c r="C7192" i="12"/>
  <c r="B7192" i="12"/>
  <c r="A7192" i="12"/>
  <c r="F7191" i="12"/>
  <c r="E7191" i="12"/>
  <c r="D7191" i="12"/>
  <c r="C7191" i="12"/>
  <c r="B7191" i="12"/>
  <c r="A7191" i="12"/>
  <c r="E7190" i="12"/>
  <c r="D7190" i="12"/>
  <c r="C7190" i="12"/>
  <c r="B7190" i="12"/>
  <c r="A7190" i="12"/>
  <c r="G7189" i="12"/>
  <c r="F7189" i="12"/>
  <c r="E7189" i="12"/>
  <c r="D7189" i="12"/>
  <c r="C7189" i="12"/>
  <c r="B7189" i="12"/>
  <c r="A7189" i="12"/>
  <c r="G7188" i="12"/>
  <c r="F7188" i="12"/>
  <c r="E7188" i="12"/>
  <c r="D7188" i="12"/>
  <c r="C7188" i="12"/>
  <c r="B7188" i="12"/>
  <c r="A7188" i="12"/>
  <c r="G7187" i="12"/>
  <c r="E7187" i="12"/>
  <c r="D7187" i="12"/>
  <c r="C7187" i="12"/>
  <c r="B7187" i="12"/>
  <c r="A7187" i="12"/>
  <c r="G7186" i="12"/>
  <c r="E7186" i="12"/>
  <c r="D7186" i="12"/>
  <c r="C7186" i="12"/>
  <c r="B7186" i="12"/>
  <c r="A7186" i="12"/>
  <c r="G7185" i="12"/>
  <c r="E7185" i="12"/>
  <c r="D7185" i="12"/>
  <c r="C7185" i="12"/>
  <c r="B7185" i="12"/>
  <c r="A7185" i="12"/>
  <c r="G7184" i="12"/>
  <c r="E7184" i="12"/>
  <c r="D7184" i="12"/>
  <c r="C7184" i="12"/>
  <c r="B7184" i="12"/>
  <c r="A7184" i="12"/>
  <c r="G7183" i="12"/>
  <c r="F7183" i="12"/>
  <c r="E7183" i="12"/>
  <c r="D7183" i="12"/>
  <c r="C7183" i="12"/>
  <c r="B7183" i="12"/>
  <c r="A7183" i="12"/>
  <c r="G7182" i="12"/>
  <c r="E7182" i="12"/>
  <c r="D7182" i="12"/>
  <c r="C7182" i="12"/>
  <c r="B7182" i="12"/>
  <c r="A7182" i="12"/>
  <c r="G7181" i="12"/>
  <c r="E7181" i="12"/>
  <c r="D7181" i="12"/>
  <c r="C7181" i="12"/>
  <c r="B7181" i="12"/>
  <c r="A7181" i="12"/>
  <c r="G7180" i="12"/>
  <c r="F7180" i="12"/>
  <c r="E7180" i="12"/>
  <c r="D7180" i="12"/>
  <c r="C7180" i="12"/>
  <c r="B7180" i="12"/>
  <c r="A7180" i="12"/>
  <c r="G7179" i="12"/>
  <c r="E7179" i="12"/>
  <c r="D7179" i="12"/>
  <c r="C7179" i="12"/>
  <c r="B7179" i="12"/>
  <c r="A7179" i="12"/>
  <c r="G7178" i="12"/>
  <c r="E7178" i="12"/>
  <c r="D7178" i="12"/>
  <c r="C7178" i="12"/>
  <c r="B7178" i="12"/>
  <c r="A7178" i="12"/>
  <c r="G7177" i="12"/>
  <c r="E7177" i="12"/>
  <c r="D7177" i="12"/>
  <c r="C7177" i="12"/>
  <c r="B7177" i="12"/>
  <c r="A7177" i="12"/>
  <c r="G7176" i="12"/>
  <c r="E7176" i="12"/>
  <c r="D7176" i="12"/>
  <c r="C7176" i="12"/>
  <c r="B7176" i="12"/>
  <c r="A7176" i="12"/>
  <c r="G7175" i="12"/>
  <c r="E7175" i="12"/>
  <c r="D7175" i="12"/>
  <c r="C7175" i="12"/>
  <c r="B7175" i="12"/>
  <c r="A7175" i="12"/>
  <c r="G7174" i="12"/>
  <c r="E7174" i="12"/>
  <c r="D7174" i="12"/>
  <c r="C7174" i="12"/>
  <c r="B7174" i="12"/>
  <c r="A7174" i="12"/>
  <c r="G7173" i="12"/>
  <c r="E7173" i="12"/>
  <c r="D7173" i="12"/>
  <c r="C7173" i="12"/>
  <c r="B7173" i="12"/>
  <c r="A7173" i="12"/>
  <c r="G7172" i="12"/>
  <c r="F7172" i="12"/>
  <c r="E7172" i="12"/>
  <c r="D7172" i="12"/>
  <c r="C7172" i="12"/>
  <c r="B7172" i="12"/>
  <c r="A7172" i="12"/>
  <c r="G7171" i="12"/>
  <c r="F7171" i="12"/>
  <c r="E7171" i="12"/>
  <c r="D7171" i="12"/>
  <c r="C7171" i="12"/>
  <c r="B7171" i="12"/>
  <c r="A7171" i="12"/>
  <c r="G7170" i="12"/>
  <c r="F7170" i="12"/>
  <c r="E7170" i="12"/>
  <c r="D7170" i="12"/>
  <c r="C7170" i="12"/>
  <c r="B7170" i="12"/>
  <c r="A7170" i="12"/>
  <c r="G7169" i="12"/>
  <c r="E7169" i="12"/>
  <c r="D7169" i="12"/>
  <c r="C7169" i="12"/>
  <c r="B7169" i="12"/>
  <c r="A7169" i="12"/>
  <c r="G7168" i="12"/>
  <c r="E7168" i="12"/>
  <c r="D7168" i="12"/>
  <c r="C7168" i="12"/>
  <c r="B7168" i="12"/>
  <c r="A7168" i="12"/>
  <c r="G7167" i="12"/>
  <c r="E7167" i="12"/>
  <c r="D7167" i="12"/>
  <c r="C7167" i="12"/>
  <c r="B7167" i="12"/>
  <c r="A7167" i="12"/>
  <c r="G7166" i="12"/>
  <c r="F7166" i="12"/>
  <c r="E7166" i="12"/>
  <c r="D7166" i="12"/>
  <c r="C7166" i="12"/>
  <c r="B7166" i="12"/>
  <c r="A7166" i="12"/>
  <c r="G7165" i="12"/>
  <c r="E7165" i="12"/>
  <c r="D7165" i="12"/>
  <c r="C7165" i="12"/>
  <c r="B7165" i="12"/>
  <c r="A7165" i="12"/>
  <c r="G7164" i="12"/>
  <c r="F7164" i="12"/>
  <c r="E7164" i="12"/>
  <c r="D7164" i="12"/>
  <c r="C7164" i="12"/>
  <c r="B7164" i="12"/>
  <c r="A7164" i="12"/>
  <c r="G7163" i="12"/>
  <c r="F7163" i="12"/>
  <c r="E7163" i="12"/>
  <c r="D7163" i="12"/>
  <c r="C7163" i="12"/>
  <c r="B7163" i="12"/>
  <c r="A7163" i="12"/>
  <c r="G7162" i="12"/>
  <c r="E7162" i="12"/>
  <c r="D7162" i="12"/>
  <c r="C7162" i="12"/>
  <c r="B7162" i="12"/>
  <c r="A7162" i="12"/>
  <c r="G7161" i="12"/>
  <c r="E7161" i="12"/>
  <c r="D7161" i="12"/>
  <c r="C7161" i="12"/>
  <c r="B7161" i="12"/>
  <c r="A7161" i="12"/>
  <c r="G7160" i="12"/>
  <c r="E7160" i="12"/>
  <c r="D7160" i="12"/>
  <c r="C7160" i="12"/>
  <c r="B7160" i="12"/>
  <c r="A7160" i="12"/>
  <c r="G7159" i="12"/>
  <c r="E7159" i="12"/>
  <c r="D7159" i="12"/>
  <c r="C7159" i="12"/>
  <c r="B7159" i="12"/>
  <c r="A7159" i="12"/>
  <c r="G7158" i="12"/>
  <c r="E7158" i="12"/>
  <c r="D7158" i="12"/>
  <c r="C7158" i="12"/>
  <c r="B7158" i="12"/>
  <c r="A7158" i="12"/>
  <c r="E7157" i="12"/>
  <c r="D7157" i="12"/>
  <c r="C7157" i="12"/>
  <c r="B7157" i="12"/>
  <c r="A7157" i="12"/>
  <c r="E7156" i="12"/>
  <c r="D7156" i="12"/>
  <c r="C7156" i="12"/>
  <c r="B7156" i="12"/>
  <c r="A7156" i="12"/>
  <c r="G7155" i="12"/>
  <c r="E7155" i="12"/>
  <c r="D7155" i="12"/>
  <c r="C7155" i="12"/>
  <c r="B7155" i="12"/>
  <c r="A7155" i="12"/>
  <c r="E7154" i="12"/>
  <c r="D7154" i="12"/>
  <c r="C7154" i="12"/>
  <c r="B7154" i="12"/>
  <c r="A7154" i="12"/>
  <c r="G7153" i="12"/>
  <c r="E7153" i="12"/>
  <c r="D7153" i="12"/>
  <c r="C7153" i="12"/>
  <c r="B7153" i="12"/>
  <c r="A7153" i="12"/>
  <c r="G7152" i="12"/>
  <c r="E7152" i="12"/>
  <c r="D7152" i="12"/>
  <c r="C7152" i="12"/>
  <c r="B7152" i="12"/>
  <c r="A7152" i="12"/>
  <c r="G7151" i="12"/>
  <c r="E7151" i="12"/>
  <c r="D7151" i="12"/>
  <c r="C7151" i="12"/>
  <c r="B7151" i="12"/>
  <c r="A7151" i="12"/>
  <c r="G7150" i="12"/>
  <c r="E7150" i="12"/>
  <c r="D7150" i="12"/>
  <c r="C7150" i="12"/>
  <c r="B7150" i="12"/>
  <c r="A7150" i="12"/>
  <c r="G7149" i="12"/>
  <c r="E7149" i="12"/>
  <c r="D7149" i="12"/>
  <c r="C7149" i="12"/>
  <c r="B7149" i="12"/>
  <c r="A7149" i="12"/>
  <c r="G7148" i="12"/>
  <c r="E7148" i="12"/>
  <c r="D7148" i="12"/>
  <c r="C7148" i="12"/>
  <c r="B7148" i="12"/>
  <c r="A7148" i="12"/>
  <c r="G7147" i="12"/>
  <c r="E7147" i="12"/>
  <c r="D7147" i="12"/>
  <c r="C7147" i="12"/>
  <c r="B7147" i="12"/>
  <c r="A7147" i="12"/>
  <c r="G7146" i="12"/>
  <c r="E7146" i="12"/>
  <c r="D7146" i="12"/>
  <c r="C7146" i="12"/>
  <c r="B7146" i="12"/>
  <c r="A7146" i="12"/>
  <c r="G7145" i="12"/>
  <c r="E7145" i="12"/>
  <c r="D7145" i="12"/>
  <c r="C7145" i="12"/>
  <c r="B7145" i="12"/>
  <c r="A7145" i="12"/>
  <c r="G7144" i="12"/>
  <c r="E7144" i="12"/>
  <c r="D7144" i="12"/>
  <c r="C7144" i="12"/>
  <c r="B7144" i="12"/>
  <c r="A7144" i="12"/>
  <c r="E7143" i="12"/>
  <c r="D7143" i="12"/>
  <c r="C7143" i="12"/>
  <c r="B7143" i="12"/>
  <c r="A7143" i="12"/>
  <c r="E7142" i="12"/>
  <c r="D7142" i="12"/>
  <c r="C7142" i="12"/>
  <c r="B7142" i="12"/>
  <c r="A7142" i="12"/>
  <c r="E7141" i="12"/>
  <c r="D7141" i="12"/>
  <c r="C7141" i="12"/>
  <c r="B7141" i="12"/>
  <c r="A7141" i="12"/>
  <c r="G7140" i="12"/>
  <c r="E7140" i="12"/>
  <c r="D7140" i="12"/>
  <c r="C7140" i="12"/>
  <c r="B7140" i="12"/>
  <c r="A7140" i="12"/>
  <c r="G7139" i="12"/>
  <c r="E7139" i="12"/>
  <c r="D7139" i="12"/>
  <c r="C7139" i="12"/>
  <c r="B7139" i="12"/>
  <c r="A7139" i="12"/>
  <c r="E7138" i="12"/>
  <c r="D7138" i="12"/>
  <c r="C7138" i="12"/>
  <c r="B7138" i="12"/>
  <c r="A7138" i="12"/>
  <c r="G7137" i="12"/>
  <c r="E7137" i="12"/>
  <c r="D7137" i="12"/>
  <c r="C7137" i="12"/>
  <c r="B7137" i="12"/>
  <c r="A7137" i="12"/>
  <c r="E7136" i="12"/>
  <c r="D7136" i="12"/>
  <c r="C7136" i="12"/>
  <c r="B7136" i="12"/>
  <c r="A7136" i="12"/>
  <c r="G7135" i="12"/>
  <c r="E7135" i="12"/>
  <c r="D7135" i="12"/>
  <c r="C7135" i="12"/>
  <c r="B7135" i="12"/>
  <c r="A7135" i="12"/>
  <c r="G7134" i="12"/>
  <c r="E7134" i="12"/>
  <c r="D7134" i="12"/>
  <c r="C7134" i="12"/>
  <c r="B7134" i="12"/>
  <c r="A7134" i="12"/>
  <c r="G7133" i="12"/>
  <c r="E7133" i="12"/>
  <c r="D7133" i="12"/>
  <c r="C7133" i="12"/>
  <c r="B7133" i="12"/>
  <c r="A7133" i="12"/>
  <c r="G7132" i="12"/>
  <c r="E7132" i="12"/>
  <c r="D7132" i="12"/>
  <c r="C7132" i="12"/>
  <c r="B7132" i="12"/>
  <c r="A7132" i="12"/>
  <c r="E7131" i="12"/>
  <c r="D7131" i="12"/>
  <c r="C7131" i="12"/>
  <c r="B7131" i="12"/>
  <c r="A7131" i="12"/>
  <c r="E7130" i="12"/>
  <c r="D7130" i="12"/>
  <c r="C7130" i="12"/>
  <c r="B7130" i="12"/>
  <c r="A7130" i="12"/>
  <c r="E7129" i="12"/>
  <c r="D7129" i="12"/>
  <c r="C7129" i="12"/>
  <c r="B7129" i="12"/>
  <c r="A7129" i="12"/>
  <c r="E7128" i="12"/>
  <c r="D7128" i="12"/>
  <c r="C7128" i="12"/>
  <c r="B7128" i="12"/>
  <c r="A7128" i="12"/>
  <c r="G7127" i="12"/>
  <c r="E7127" i="12"/>
  <c r="D7127" i="12"/>
  <c r="C7127" i="12"/>
  <c r="B7127" i="12"/>
  <c r="A7127" i="12"/>
  <c r="E7126" i="12"/>
  <c r="D7126" i="12"/>
  <c r="C7126" i="12"/>
  <c r="B7126" i="12"/>
  <c r="A7126" i="12"/>
  <c r="E7125" i="12"/>
  <c r="D7125" i="12"/>
  <c r="C7125" i="12"/>
  <c r="B7125" i="12"/>
  <c r="A7125" i="12"/>
  <c r="E7124" i="12"/>
  <c r="D7124" i="12"/>
  <c r="C7124" i="12"/>
  <c r="B7124" i="12"/>
  <c r="A7124" i="12"/>
  <c r="E7123" i="12"/>
  <c r="D7123" i="12"/>
  <c r="C7123" i="12"/>
  <c r="B7123" i="12"/>
  <c r="A7123" i="12"/>
  <c r="E7122" i="12"/>
  <c r="D7122" i="12"/>
  <c r="C7122" i="12"/>
  <c r="B7122" i="12"/>
  <c r="A7122" i="12"/>
  <c r="G7121" i="12"/>
  <c r="E7121" i="12"/>
  <c r="D7121" i="12"/>
  <c r="C7121" i="12"/>
  <c r="B7121" i="12"/>
  <c r="A7121" i="12"/>
  <c r="E7120" i="12"/>
  <c r="D7120" i="12"/>
  <c r="C7120" i="12"/>
  <c r="B7120" i="12"/>
  <c r="A7120" i="12"/>
  <c r="G7119" i="12"/>
  <c r="E7119" i="12"/>
  <c r="D7119" i="12"/>
  <c r="C7119" i="12"/>
  <c r="B7119" i="12"/>
  <c r="A7119" i="12"/>
  <c r="E7118" i="12"/>
  <c r="D7118" i="12"/>
  <c r="C7118" i="12"/>
  <c r="B7118" i="12"/>
  <c r="A7118" i="12"/>
  <c r="E7117" i="12"/>
  <c r="D7117" i="12"/>
  <c r="C7117" i="12"/>
  <c r="B7117" i="12"/>
  <c r="A7117" i="12"/>
  <c r="G7116" i="12"/>
  <c r="E7116" i="12"/>
  <c r="D7116" i="12"/>
  <c r="C7116" i="12"/>
  <c r="B7116" i="12"/>
  <c r="A7116" i="12"/>
  <c r="G7115" i="12"/>
  <c r="E7115" i="12"/>
  <c r="D7115" i="12"/>
  <c r="C7115" i="12"/>
  <c r="B7115" i="12"/>
  <c r="A7115" i="12"/>
  <c r="G7114" i="12"/>
  <c r="E7114" i="12"/>
  <c r="D7114" i="12"/>
  <c r="C7114" i="12"/>
  <c r="B7114" i="12"/>
  <c r="A7114" i="12"/>
  <c r="E7113" i="12"/>
  <c r="D7113" i="12"/>
  <c r="C7113" i="12"/>
  <c r="B7113" i="12"/>
  <c r="A7113" i="12"/>
  <c r="E7112" i="12"/>
  <c r="D7112" i="12"/>
  <c r="C7112" i="12"/>
  <c r="B7112" i="12"/>
  <c r="A7112" i="12"/>
  <c r="G7111" i="12"/>
  <c r="E7111" i="12"/>
  <c r="D7111" i="12"/>
  <c r="C7111" i="12"/>
  <c r="B7111" i="12"/>
  <c r="A7111" i="12"/>
  <c r="G7110" i="12"/>
  <c r="E7110" i="12"/>
  <c r="D7110" i="12"/>
  <c r="C7110" i="12"/>
  <c r="B7110" i="12"/>
  <c r="A7110" i="12"/>
  <c r="E7109" i="12"/>
  <c r="D7109" i="12"/>
  <c r="C7109" i="12"/>
  <c r="B7109" i="12"/>
  <c r="A7109" i="12"/>
  <c r="G7108" i="12"/>
  <c r="E7108" i="12"/>
  <c r="D7108" i="12"/>
  <c r="C7108" i="12"/>
  <c r="B7108" i="12"/>
  <c r="A7108" i="12"/>
  <c r="E7107" i="12"/>
  <c r="D7107" i="12"/>
  <c r="C7107" i="12"/>
  <c r="B7107" i="12"/>
  <c r="A7107" i="12"/>
  <c r="G7106" i="12"/>
  <c r="E7106" i="12"/>
  <c r="D7106" i="12"/>
  <c r="C7106" i="12"/>
  <c r="B7106" i="12"/>
  <c r="A7106" i="12"/>
  <c r="G7105" i="12"/>
  <c r="E7105" i="12"/>
  <c r="D7105" i="12"/>
  <c r="C7105" i="12"/>
  <c r="B7105" i="12"/>
  <c r="A7105" i="12"/>
  <c r="G7104" i="12"/>
  <c r="E7104" i="12"/>
  <c r="D7104" i="12"/>
  <c r="C7104" i="12"/>
  <c r="B7104" i="12"/>
  <c r="A7104" i="12"/>
  <c r="G7103" i="12"/>
  <c r="E7103" i="12"/>
  <c r="D7103" i="12"/>
  <c r="C7103" i="12"/>
  <c r="B7103" i="12"/>
  <c r="A7103" i="12"/>
  <c r="G7102" i="12"/>
  <c r="E7102" i="12"/>
  <c r="D7102" i="12"/>
  <c r="C7102" i="12"/>
  <c r="B7102" i="12"/>
  <c r="A7102" i="12"/>
  <c r="G7101" i="12"/>
  <c r="E7101" i="12"/>
  <c r="D7101" i="12"/>
  <c r="C7101" i="12"/>
  <c r="B7101" i="12"/>
  <c r="A7101" i="12"/>
  <c r="G7100" i="12"/>
  <c r="E7100" i="12"/>
  <c r="D7100" i="12"/>
  <c r="C7100" i="12"/>
  <c r="B7100" i="12"/>
  <c r="A7100" i="12"/>
  <c r="G7099" i="12"/>
  <c r="E7099" i="12"/>
  <c r="D7099" i="12"/>
  <c r="C7099" i="12"/>
  <c r="B7099" i="12"/>
  <c r="A7099" i="12"/>
  <c r="G7098" i="12"/>
  <c r="E7098" i="12"/>
  <c r="D7098" i="12"/>
  <c r="C7098" i="12"/>
  <c r="B7098" i="12"/>
  <c r="A7098" i="12"/>
  <c r="G7097" i="12"/>
  <c r="E7097" i="12"/>
  <c r="D7097" i="12"/>
  <c r="C7097" i="12"/>
  <c r="B7097" i="12"/>
  <c r="A7097" i="12"/>
  <c r="G7096" i="12"/>
  <c r="E7096" i="12"/>
  <c r="D7096" i="12"/>
  <c r="C7096" i="12"/>
  <c r="B7096" i="12"/>
  <c r="A7096" i="12"/>
  <c r="G7095" i="12"/>
  <c r="E7095" i="12"/>
  <c r="D7095" i="12"/>
  <c r="C7095" i="12"/>
  <c r="B7095" i="12"/>
  <c r="A7095" i="12"/>
  <c r="G7094" i="12"/>
  <c r="E7094" i="12"/>
  <c r="D7094" i="12"/>
  <c r="C7094" i="12"/>
  <c r="B7094" i="12"/>
  <c r="A7094" i="12"/>
  <c r="G7093" i="12"/>
  <c r="E7093" i="12"/>
  <c r="D7093" i="12"/>
  <c r="C7093" i="12"/>
  <c r="B7093" i="12"/>
  <c r="A7093" i="12"/>
  <c r="G7092" i="12"/>
  <c r="E7092" i="12"/>
  <c r="D7092" i="12"/>
  <c r="C7092" i="12"/>
  <c r="B7092" i="12"/>
  <c r="A7092" i="12"/>
  <c r="G7091" i="12"/>
  <c r="E7091" i="12"/>
  <c r="D7091" i="12"/>
  <c r="C7091" i="12"/>
  <c r="B7091" i="12"/>
  <c r="A7091" i="12"/>
  <c r="G7090" i="12"/>
  <c r="E7090" i="12"/>
  <c r="D7090" i="12"/>
  <c r="C7090" i="12"/>
  <c r="B7090" i="12"/>
  <c r="A7090" i="12"/>
  <c r="G7089" i="12"/>
  <c r="E7089" i="12"/>
  <c r="D7089" i="12"/>
  <c r="C7089" i="12"/>
  <c r="B7089" i="12"/>
  <c r="A7089" i="12"/>
  <c r="G7088" i="12"/>
  <c r="E7088" i="12"/>
  <c r="D7088" i="12"/>
  <c r="C7088" i="12"/>
  <c r="B7088" i="12"/>
  <c r="A7088" i="12"/>
  <c r="G7087" i="12"/>
  <c r="E7087" i="12"/>
  <c r="D7087" i="12"/>
  <c r="C7087" i="12"/>
  <c r="B7087" i="12"/>
  <c r="A7087" i="12"/>
  <c r="G7086" i="12"/>
  <c r="E7086" i="12"/>
  <c r="D7086" i="12"/>
  <c r="C7086" i="12"/>
  <c r="B7086" i="12"/>
  <c r="A7086" i="12"/>
  <c r="G7085" i="12"/>
  <c r="E7085" i="12"/>
  <c r="D7085" i="12"/>
  <c r="C7085" i="12"/>
  <c r="B7085" i="12"/>
  <c r="A7085" i="12"/>
  <c r="G7084" i="12"/>
  <c r="E7084" i="12"/>
  <c r="D7084" i="12"/>
  <c r="C7084" i="12"/>
  <c r="B7084" i="12"/>
  <c r="A7084" i="12"/>
  <c r="G7083" i="12"/>
  <c r="E7083" i="12"/>
  <c r="D7083" i="12"/>
  <c r="C7083" i="12"/>
  <c r="B7083" i="12"/>
  <c r="A7083" i="12"/>
  <c r="G7082" i="12"/>
  <c r="E7082" i="12"/>
  <c r="D7082" i="12"/>
  <c r="C7082" i="12"/>
  <c r="B7082" i="12"/>
  <c r="A7082" i="12"/>
  <c r="G7081" i="12"/>
  <c r="E7081" i="12"/>
  <c r="D7081" i="12"/>
  <c r="C7081" i="12"/>
  <c r="B7081" i="12"/>
  <c r="A7081" i="12"/>
  <c r="G7080" i="12"/>
  <c r="E7080" i="12"/>
  <c r="D7080" i="12"/>
  <c r="C7080" i="12"/>
  <c r="B7080" i="12"/>
  <c r="A7080" i="12"/>
  <c r="G7079" i="12"/>
  <c r="E7079" i="12"/>
  <c r="D7079" i="12"/>
  <c r="C7079" i="12"/>
  <c r="B7079" i="12"/>
  <c r="A7079" i="12"/>
  <c r="G7078" i="12"/>
  <c r="E7078" i="12"/>
  <c r="D7078" i="12"/>
  <c r="C7078" i="12"/>
  <c r="B7078" i="12"/>
  <c r="A7078" i="12"/>
  <c r="G7077" i="12"/>
  <c r="E7077" i="12"/>
  <c r="D7077" i="12"/>
  <c r="C7077" i="12"/>
  <c r="B7077" i="12"/>
  <c r="A7077" i="12"/>
  <c r="G7076" i="12"/>
  <c r="E7076" i="12"/>
  <c r="D7076" i="12"/>
  <c r="C7076" i="12"/>
  <c r="B7076" i="12"/>
  <c r="A7076" i="12"/>
  <c r="G7075" i="12"/>
  <c r="E7075" i="12"/>
  <c r="D7075" i="12"/>
  <c r="C7075" i="12"/>
  <c r="B7075" i="12"/>
  <c r="A7075" i="12"/>
  <c r="G7074" i="12"/>
  <c r="E7074" i="12"/>
  <c r="D7074" i="12"/>
  <c r="C7074" i="12"/>
  <c r="B7074" i="12"/>
  <c r="A7074" i="12"/>
  <c r="G7073" i="12"/>
  <c r="E7073" i="12"/>
  <c r="D7073" i="12"/>
  <c r="C7073" i="12"/>
  <c r="B7073" i="12"/>
  <c r="A7073" i="12"/>
  <c r="G7072" i="12"/>
  <c r="E7072" i="12"/>
  <c r="D7072" i="12"/>
  <c r="C7072" i="12"/>
  <c r="B7072" i="12"/>
  <c r="A7072" i="12"/>
  <c r="G7071" i="12"/>
  <c r="E7071" i="12"/>
  <c r="D7071" i="12"/>
  <c r="C7071" i="12"/>
  <c r="B7071" i="12"/>
  <c r="A7071" i="12"/>
  <c r="G7070" i="12"/>
  <c r="E7070" i="12"/>
  <c r="D7070" i="12"/>
  <c r="C7070" i="12"/>
  <c r="B7070" i="12"/>
  <c r="A7070" i="12"/>
  <c r="G7069" i="12"/>
  <c r="E7069" i="12"/>
  <c r="D7069" i="12"/>
  <c r="C7069" i="12"/>
  <c r="B7069" i="12"/>
  <c r="A7069" i="12"/>
  <c r="G7068" i="12"/>
  <c r="E7068" i="12"/>
  <c r="D7068" i="12"/>
  <c r="C7068" i="12"/>
  <c r="B7068" i="12"/>
  <c r="A7068" i="12"/>
  <c r="E7067" i="12"/>
  <c r="D7067" i="12"/>
  <c r="C7067" i="12"/>
  <c r="B7067" i="12"/>
  <c r="A7067" i="12"/>
  <c r="E7066" i="12"/>
  <c r="D7066" i="12"/>
  <c r="C7066" i="12"/>
  <c r="B7066" i="12"/>
  <c r="A7066" i="12"/>
  <c r="E7065" i="12"/>
  <c r="D7065" i="12"/>
  <c r="C7065" i="12"/>
  <c r="B7065" i="12"/>
  <c r="A7065" i="12"/>
  <c r="E7064" i="12"/>
  <c r="D7064" i="12"/>
  <c r="C7064" i="12"/>
  <c r="B7064" i="12"/>
  <c r="A7064" i="12"/>
  <c r="E7063" i="12"/>
  <c r="D7063" i="12"/>
  <c r="C7063" i="12"/>
  <c r="B7063" i="12"/>
  <c r="A7063" i="12"/>
  <c r="G7062" i="12"/>
  <c r="E7062" i="12"/>
  <c r="D7062" i="12"/>
  <c r="C7062" i="12"/>
  <c r="B7062" i="12"/>
  <c r="A7062" i="12"/>
  <c r="G7061" i="12"/>
  <c r="E7061" i="12"/>
  <c r="D7061" i="12"/>
  <c r="C7061" i="12"/>
  <c r="B7061" i="12"/>
  <c r="A7061" i="12"/>
  <c r="E7060" i="12"/>
  <c r="D7060" i="12"/>
  <c r="C7060" i="12"/>
  <c r="B7060" i="12"/>
  <c r="A7060" i="12"/>
  <c r="E7059" i="12"/>
  <c r="D7059" i="12"/>
  <c r="C7059" i="12"/>
  <c r="B7059" i="12"/>
  <c r="A7059" i="12"/>
  <c r="E7058" i="12"/>
  <c r="D7058" i="12"/>
  <c r="C7058" i="12"/>
  <c r="B7058" i="12"/>
  <c r="A7058" i="12"/>
  <c r="E7057" i="12"/>
  <c r="D7057" i="12"/>
  <c r="C7057" i="12"/>
  <c r="B7057" i="12"/>
  <c r="A7057" i="12"/>
  <c r="E7056" i="12"/>
  <c r="D7056" i="12"/>
  <c r="C7056" i="12"/>
  <c r="B7056" i="12"/>
  <c r="A7056" i="12"/>
  <c r="E7055" i="12"/>
  <c r="D7055" i="12"/>
  <c r="C7055" i="12"/>
  <c r="B7055" i="12"/>
  <c r="A7055" i="12"/>
  <c r="G7054" i="12"/>
  <c r="E7054" i="12"/>
  <c r="D7054" i="12"/>
  <c r="C7054" i="12"/>
  <c r="B7054" i="12"/>
  <c r="A7054" i="12"/>
  <c r="E7053" i="12"/>
  <c r="D7053" i="12"/>
  <c r="C7053" i="12"/>
  <c r="B7053" i="12"/>
  <c r="A7053" i="12"/>
  <c r="E7052" i="12"/>
  <c r="D7052" i="12"/>
  <c r="C7052" i="12"/>
  <c r="B7052" i="12"/>
  <c r="A7052" i="12"/>
  <c r="E7051" i="12"/>
  <c r="D7051" i="12"/>
  <c r="C7051" i="12"/>
  <c r="B7051" i="12"/>
  <c r="A7051" i="12"/>
  <c r="E7050" i="12"/>
  <c r="D7050" i="12"/>
  <c r="C7050" i="12"/>
  <c r="B7050" i="12"/>
  <c r="A7050" i="12"/>
  <c r="E7049" i="12"/>
  <c r="D7049" i="12"/>
  <c r="C7049" i="12"/>
  <c r="B7049" i="12"/>
  <c r="A7049" i="12"/>
  <c r="E7048" i="12"/>
  <c r="D7048" i="12"/>
  <c r="C7048" i="12"/>
  <c r="B7048" i="12"/>
  <c r="A7048" i="12"/>
  <c r="E7047" i="12"/>
  <c r="D7047" i="12"/>
  <c r="C7047" i="12"/>
  <c r="B7047" i="12"/>
  <c r="A7047" i="12"/>
  <c r="E7046" i="12"/>
  <c r="D7046" i="12"/>
  <c r="C7046" i="12"/>
  <c r="B7046" i="12"/>
  <c r="A7046" i="12"/>
  <c r="E7045" i="12"/>
  <c r="D7045" i="12"/>
  <c r="C7045" i="12"/>
  <c r="B7045" i="12"/>
  <c r="A7045" i="12"/>
  <c r="E7044" i="12"/>
  <c r="D7044" i="12"/>
  <c r="C7044" i="12"/>
  <c r="B7044" i="12"/>
  <c r="A7044" i="12"/>
  <c r="E7043" i="12"/>
  <c r="D7043" i="12"/>
  <c r="C7043" i="12"/>
  <c r="B7043" i="12"/>
  <c r="A7043" i="12"/>
  <c r="E7042" i="12"/>
  <c r="D7042" i="12"/>
  <c r="C7042" i="12"/>
  <c r="B7042" i="12"/>
  <c r="A7042" i="12"/>
  <c r="E7041" i="12"/>
  <c r="D7041" i="12"/>
  <c r="C7041" i="12"/>
  <c r="B7041" i="12"/>
  <c r="A7041" i="12"/>
  <c r="F7040" i="12"/>
  <c r="E7040" i="12"/>
  <c r="D7040" i="12"/>
  <c r="C7040" i="12"/>
  <c r="B7040" i="12"/>
  <c r="A7040" i="12"/>
  <c r="F7039" i="12"/>
  <c r="E7039" i="12"/>
  <c r="D7039" i="12"/>
  <c r="C7039" i="12"/>
  <c r="B7039" i="12"/>
  <c r="A7039" i="12"/>
  <c r="G7038" i="12"/>
  <c r="F7038" i="12"/>
  <c r="E7038" i="12"/>
  <c r="D7038" i="12"/>
  <c r="C7038" i="12"/>
  <c r="B7038" i="12"/>
  <c r="A7038" i="12"/>
  <c r="E7037" i="12"/>
  <c r="D7037" i="12"/>
  <c r="C7037" i="12"/>
  <c r="B7037" i="12"/>
  <c r="A7037" i="12"/>
  <c r="E7036" i="12"/>
  <c r="D7036" i="12"/>
  <c r="C7036" i="12"/>
  <c r="B7036" i="12"/>
  <c r="A7036" i="12"/>
  <c r="F7035" i="12"/>
  <c r="E7035" i="12"/>
  <c r="D7035" i="12"/>
  <c r="C7035" i="12"/>
  <c r="B7035" i="12"/>
  <c r="A7035" i="12"/>
  <c r="E7034" i="12"/>
  <c r="D7034" i="12"/>
  <c r="C7034" i="12"/>
  <c r="B7034" i="12"/>
  <c r="A7034" i="12"/>
  <c r="F7033" i="12"/>
  <c r="E7033" i="12"/>
  <c r="D7033" i="12"/>
  <c r="C7033" i="12"/>
  <c r="B7033" i="12"/>
  <c r="A7033" i="12"/>
  <c r="E7032" i="12"/>
  <c r="D7032" i="12"/>
  <c r="C7032" i="12"/>
  <c r="B7032" i="12"/>
  <c r="A7032" i="12"/>
  <c r="E7031" i="12"/>
  <c r="D7031" i="12"/>
  <c r="C7031" i="12"/>
  <c r="B7031" i="12"/>
  <c r="A7031" i="12"/>
  <c r="E7030" i="12"/>
  <c r="D7030" i="12"/>
  <c r="C7030" i="12"/>
  <c r="B7030" i="12"/>
  <c r="A7030" i="12"/>
  <c r="E7029" i="12"/>
  <c r="D7029" i="12"/>
  <c r="C7029" i="12"/>
  <c r="B7029" i="12"/>
  <c r="A7029" i="12"/>
  <c r="E7028" i="12"/>
  <c r="D7028" i="12"/>
  <c r="C7028" i="12"/>
  <c r="B7028" i="12"/>
  <c r="A7028" i="12"/>
  <c r="E7027" i="12"/>
  <c r="D7027" i="12"/>
  <c r="C7027" i="12"/>
  <c r="B7027" i="12"/>
  <c r="A7027" i="12"/>
  <c r="E7026" i="12"/>
  <c r="D7026" i="12"/>
  <c r="C7026" i="12"/>
  <c r="B7026" i="12"/>
  <c r="A7026" i="12"/>
  <c r="E7025" i="12"/>
  <c r="D7025" i="12"/>
  <c r="C7025" i="12"/>
  <c r="B7025" i="12"/>
  <c r="A7025" i="12"/>
  <c r="E7024" i="12"/>
  <c r="D7024" i="12"/>
  <c r="C7024" i="12"/>
  <c r="B7024" i="12"/>
  <c r="A7024" i="12"/>
  <c r="E7023" i="12"/>
  <c r="D7023" i="12"/>
  <c r="C7023" i="12"/>
  <c r="B7023" i="12"/>
  <c r="A7023" i="12"/>
  <c r="E7022" i="12"/>
  <c r="D7022" i="12"/>
  <c r="C7022" i="12"/>
  <c r="B7022" i="12"/>
  <c r="A7022" i="12"/>
  <c r="E7021" i="12"/>
  <c r="D7021" i="12"/>
  <c r="C7021" i="12"/>
  <c r="B7021" i="12"/>
  <c r="A7021" i="12"/>
  <c r="E7020" i="12"/>
  <c r="D7020" i="12"/>
  <c r="C7020" i="12"/>
  <c r="B7020" i="12"/>
  <c r="A7020" i="12"/>
  <c r="E7019" i="12"/>
  <c r="D7019" i="12"/>
  <c r="C7019" i="12"/>
  <c r="B7019" i="12"/>
  <c r="A7019" i="12"/>
  <c r="E7018" i="12"/>
  <c r="D7018" i="12"/>
  <c r="C7018" i="12"/>
  <c r="B7018" i="12"/>
  <c r="A7018" i="12"/>
  <c r="E7017" i="12"/>
  <c r="D7017" i="12"/>
  <c r="C7017" i="12"/>
  <c r="B7017" i="12"/>
  <c r="A7017" i="12"/>
  <c r="E7016" i="12"/>
  <c r="D7016" i="12"/>
  <c r="C7016" i="12"/>
  <c r="B7016" i="12"/>
  <c r="A7016" i="12"/>
  <c r="E7015" i="12"/>
  <c r="D7015" i="12"/>
  <c r="C7015" i="12"/>
  <c r="B7015" i="12"/>
  <c r="A7015" i="12"/>
  <c r="E7014" i="12"/>
  <c r="D7014" i="12"/>
  <c r="C7014" i="12"/>
  <c r="B7014" i="12"/>
  <c r="A7014" i="12"/>
  <c r="E7013" i="12"/>
  <c r="D7013" i="12"/>
  <c r="C7013" i="12"/>
  <c r="B7013" i="12"/>
  <c r="A7013" i="12"/>
  <c r="E7012" i="12"/>
  <c r="D7012" i="12"/>
  <c r="C7012" i="12"/>
  <c r="B7012" i="12"/>
  <c r="A7012" i="12"/>
  <c r="E7011" i="12"/>
  <c r="D7011" i="12"/>
  <c r="C7011" i="12"/>
  <c r="B7011" i="12"/>
  <c r="A7011" i="12"/>
  <c r="G7010" i="12"/>
  <c r="E7010" i="12"/>
  <c r="D7010" i="12"/>
  <c r="C7010" i="12"/>
  <c r="B7010" i="12"/>
  <c r="A7010" i="12"/>
  <c r="E7009" i="12"/>
  <c r="D7009" i="12"/>
  <c r="C7009" i="12"/>
  <c r="B7009" i="12"/>
  <c r="A7009" i="12"/>
  <c r="E7008" i="12"/>
  <c r="D7008" i="12"/>
  <c r="C7008" i="12"/>
  <c r="B7008" i="12"/>
  <c r="A7008" i="12"/>
  <c r="E7007" i="12"/>
  <c r="D7007" i="12"/>
  <c r="C7007" i="12"/>
  <c r="B7007" i="12"/>
  <c r="A7007" i="12"/>
  <c r="E7006" i="12"/>
  <c r="D7006" i="12"/>
  <c r="C7006" i="12"/>
  <c r="B7006" i="12"/>
  <c r="A7006" i="12"/>
  <c r="E7005" i="12"/>
  <c r="D7005" i="12"/>
  <c r="C7005" i="12"/>
  <c r="B7005" i="12"/>
  <c r="A7005" i="12"/>
  <c r="E7004" i="12"/>
  <c r="D7004" i="12"/>
  <c r="C7004" i="12"/>
  <c r="B7004" i="12"/>
  <c r="A7004" i="12"/>
  <c r="E7003" i="12"/>
  <c r="D7003" i="12"/>
  <c r="C7003" i="12"/>
  <c r="B7003" i="12"/>
  <c r="A7003" i="12"/>
  <c r="E7002" i="12"/>
  <c r="D7002" i="12"/>
  <c r="C7002" i="12"/>
  <c r="B7002" i="12"/>
  <c r="A7002" i="12"/>
  <c r="E7001" i="12"/>
  <c r="D7001" i="12"/>
  <c r="C7001" i="12"/>
  <c r="B7001" i="12"/>
  <c r="A7001" i="12"/>
  <c r="E7000" i="12"/>
  <c r="D7000" i="12"/>
  <c r="C7000" i="12"/>
  <c r="B7000" i="12"/>
  <c r="A7000" i="12"/>
  <c r="E6999" i="12"/>
  <c r="D6999" i="12"/>
  <c r="C6999" i="12"/>
  <c r="B6999" i="12"/>
  <c r="A6999" i="12"/>
  <c r="E6998" i="12"/>
  <c r="D6998" i="12"/>
  <c r="C6998" i="12"/>
  <c r="B6998" i="12"/>
  <c r="A6998" i="12"/>
  <c r="E6997" i="12"/>
  <c r="D6997" i="12"/>
  <c r="C6997" i="12"/>
  <c r="B6997" i="12"/>
  <c r="A6997" i="12"/>
  <c r="E6996" i="12"/>
  <c r="D6996" i="12"/>
  <c r="C6996" i="12"/>
  <c r="B6996" i="12"/>
  <c r="A6996" i="12"/>
  <c r="E6995" i="12"/>
  <c r="D6995" i="12"/>
  <c r="C6995" i="12"/>
  <c r="B6995" i="12"/>
  <c r="A6995" i="12"/>
  <c r="E6994" i="12"/>
  <c r="D6994" i="12"/>
  <c r="C6994" i="12"/>
  <c r="B6994" i="12"/>
  <c r="A6994" i="12"/>
  <c r="E6993" i="12"/>
  <c r="D6993" i="12"/>
  <c r="C6993" i="12"/>
  <c r="B6993" i="12"/>
  <c r="A6993" i="12"/>
  <c r="E6992" i="12"/>
  <c r="D6992" i="12"/>
  <c r="C6992" i="12"/>
  <c r="B6992" i="12"/>
  <c r="A6992" i="12"/>
  <c r="E6991" i="12"/>
  <c r="D6991" i="12"/>
  <c r="C6991" i="12"/>
  <c r="B6991" i="12"/>
  <c r="A6991" i="12"/>
  <c r="E6990" i="12"/>
  <c r="D6990" i="12"/>
  <c r="C6990" i="12"/>
  <c r="B6990" i="12"/>
  <c r="A6990" i="12"/>
  <c r="G6989" i="12"/>
  <c r="E6989" i="12"/>
  <c r="D6989" i="12"/>
  <c r="C6989" i="12"/>
  <c r="B6989" i="12"/>
  <c r="A6989" i="12"/>
  <c r="E6988" i="12"/>
  <c r="D6988" i="12"/>
  <c r="C6988" i="12"/>
  <c r="B6988" i="12"/>
  <c r="A6988" i="12"/>
  <c r="E6987" i="12"/>
  <c r="D6987" i="12"/>
  <c r="C6987" i="12"/>
  <c r="B6987" i="12"/>
  <c r="A6987" i="12"/>
  <c r="E6986" i="12"/>
  <c r="D6986" i="12"/>
  <c r="C6986" i="12"/>
  <c r="B6986" i="12"/>
  <c r="A6986" i="12"/>
  <c r="E6985" i="12"/>
  <c r="D6985" i="12"/>
  <c r="C6985" i="12"/>
  <c r="B6985" i="12"/>
  <c r="A6985" i="12"/>
  <c r="E6984" i="12"/>
  <c r="D6984" i="12"/>
  <c r="C6984" i="12"/>
  <c r="B6984" i="12"/>
  <c r="A6984" i="12"/>
  <c r="E6983" i="12"/>
  <c r="D6983" i="12"/>
  <c r="C6983" i="12"/>
  <c r="B6983" i="12"/>
  <c r="A6983" i="12"/>
  <c r="E6982" i="12"/>
  <c r="D6982" i="12"/>
  <c r="C6982" i="12"/>
  <c r="B6982" i="12"/>
  <c r="A6982" i="12"/>
  <c r="E6981" i="12"/>
  <c r="D6981" i="12"/>
  <c r="C6981" i="12"/>
  <c r="B6981" i="12"/>
  <c r="A6981" i="12"/>
  <c r="E6980" i="12"/>
  <c r="D6980" i="12"/>
  <c r="C6980" i="12"/>
  <c r="B6980" i="12"/>
  <c r="A6980" i="12"/>
  <c r="E6979" i="12"/>
  <c r="D6979" i="12"/>
  <c r="C6979" i="12"/>
  <c r="B6979" i="12"/>
  <c r="A6979" i="12"/>
  <c r="E6978" i="12"/>
  <c r="D6978" i="12"/>
  <c r="C6978" i="12"/>
  <c r="B6978" i="12"/>
  <c r="A6978" i="12"/>
  <c r="E6977" i="12"/>
  <c r="D6977" i="12"/>
  <c r="C6977" i="12"/>
  <c r="B6977" i="12"/>
  <c r="A6977" i="12"/>
  <c r="E6976" i="12"/>
  <c r="D6976" i="12"/>
  <c r="C6976" i="12"/>
  <c r="B6976" i="12"/>
  <c r="A6976" i="12"/>
  <c r="E6975" i="12"/>
  <c r="D6975" i="12"/>
  <c r="C6975" i="12"/>
  <c r="B6975" i="12"/>
  <c r="A6975" i="12"/>
  <c r="E6974" i="12"/>
  <c r="D6974" i="12"/>
  <c r="C6974" i="12"/>
  <c r="B6974" i="12"/>
  <c r="A6974" i="12"/>
  <c r="E6973" i="12"/>
  <c r="D6973" i="12"/>
  <c r="C6973" i="12"/>
  <c r="B6973" i="12"/>
  <c r="A6973" i="12"/>
  <c r="E6972" i="12"/>
  <c r="D6972" i="12"/>
  <c r="C6972" i="12"/>
  <c r="B6972" i="12"/>
  <c r="A6972" i="12"/>
  <c r="E6971" i="12"/>
  <c r="D6971" i="12"/>
  <c r="C6971" i="12"/>
  <c r="B6971" i="12"/>
  <c r="A6971" i="12"/>
  <c r="G6970" i="12"/>
  <c r="E6970" i="12"/>
  <c r="D6970" i="12"/>
  <c r="C6970" i="12"/>
  <c r="B6970" i="12"/>
  <c r="A6970" i="12"/>
  <c r="E6969" i="12"/>
  <c r="D6969" i="12"/>
  <c r="C6969" i="12"/>
  <c r="B6969" i="12"/>
  <c r="A6969" i="12"/>
  <c r="E6968" i="12"/>
  <c r="D6968" i="12"/>
  <c r="C6968" i="12"/>
  <c r="B6968" i="12"/>
  <c r="A6968" i="12"/>
  <c r="E6967" i="12"/>
  <c r="D6967" i="12"/>
  <c r="C6967" i="12"/>
  <c r="B6967" i="12"/>
  <c r="A6967" i="12"/>
  <c r="E6966" i="12"/>
  <c r="D6966" i="12"/>
  <c r="C6966" i="12"/>
  <c r="B6966" i="12"/>
  <c r="A6966" i="12"/>
  <c r="E6965" i="12"/>
  <c r="D6965" i="12"/>
  <c r="C6965" i="12"/>
  <c r="B6965" i="12"/>
  <c r="A6965" i="12"/>
  <c r="E6964" i="12"/>
  <c r="D6964" i="12"/>
  <c r="C6964" i="12"/>
  <c r="B6964" i="12"/>
  <c r="A6964" i="12"/>
  <c r="E6963" i="12"/>
  <c r="D6963" i="12"/>
  <c r="C6963" i="12"/>
  <c r="B6963" i="12"/>
  <c r="A6963" i="12"/>
  <c r="E6962" i="12"/>
  <c r="D6962" i="12"/>
  <c r="C6962" i="12"/>
  <c r="B6962" i="12"/>
  <c r="A6962" i="12"/>
  <c r="G6961" i="12"/>
  <c r="E6961" i="12"/>
  <c r="D6961" i="12"/>
  <c r="C6961" i="12"/>
  <c r="B6961" i="12"/>
  <c r="A6961" i="12"/>
  <c r="E6960" i="12"/>
  <c r="D6960" i="12"/>
  <c r="C6960" i="12"/>
  <c r="B6960" i="12"/>
  <c r="A6960" i="12"/>
  <c r="E6959" i="12"/>
  <c r="D6959" i="12"/>
  <c r="C6959" i="12"/>
  <c r="B6959" i="12"/>
  <c r="A6959" i="12"/>
  <c r="E6958" i="12"/>
  <c r="D6958" i="12"/>
  <c r="C6958" i="12"/>
  <c r="B6958" i="12"/>
  <c r="A6958" i="12"/>
  <c r="E6957" i="12"/>
  <c r="D6957" i="12"/>
  <c r="C6957" i="12"/>
  <c r="B6957" i="12"/>
  <c r="A6957" i="12"/>
  <c r="E6956" i="12"/>
  <c r="D6956" i="12"/>
  <c r="C6956" i="12"/>
  <c r="B6956" i="12"/>
  <c r="A6956" i="12"/>
  <c r="E6955" i="12"/>
  <c r="D6955" i="12"/>
  <c r="C6955" i="12"/>
  <c r="B6955" i="12"/>
  <c r="A6955" i="12"/>
  <c r="E6954" i="12"/>
  <c r="D6954" i="12"/>
  <c r="C6954" i="12"/>
  <c r="B6954" i="12"/>
  <c r="A6954" i="12"/>
  <c r="E6953" i="12"/>
  <c r="D6953" i="12"/>
  <c r="C6953" i="12"/>
  <c r="B6953" i="12"/>
  <c r="A6953" i="12"/>
  <c r="E6952" i="12"/>
  <c r="D6952" i="12"/>
  <c r="C6952" i="12"/>
  <c r="B6952" i="12"/>
  <c r="A6952" i="12"/>
  <c r="E6951" i="12"/>
  <c r="D6951" i="12"/>
  <c r="C6951" i="12"/>
  <c r="B6951" i="12"/>
  <c r="A6951" i="12"/>
  <c r="E6950" i="12"/>
  <c r="D6950" i="12"/>
  <c r="C6950" i="12"/>
  <c r="B6950" i="12"/>
  <c r="A6950" i="12"/>
  <c r="E6949" i="12"/>
  <c r="D6949" i="12"/>
  <c r="C6949" i="12"/>
  <c r="B6949" i="12"/>
  <c r="A6949" i="12"/>
  <c r="E6948" i="12"/>
  <c r="D6948" i="12"/>
  <c r="C6948" i="12"/>
  <c r="B6948" i="12"/>
  <c r="A6948" i="12"/>
  <c r="E6947" i="12"/>
  <c r="D6947" i="12"/>
  <c r="C6947" i="12"/>
  <c r="B6947" i="12"/>
  <c r="A6947" i="12"/>
  <c r="E6946" i="12"/>
  <c r="D6946" i="12"/>
  <c r="C6946" i="12"/>
  <c r="B6946" i="12"/>
  <c r="A6946" i="12"/>
  <c r="E6945" i="12"/>
  <c r="D6945" i="12"/>
  <c r="C6945" i="12"/>
  <c r="B6945" i="12"/>
  <c r="A6945" i="12"/>
  <c r="E6944" i="12"/>
  <c r="D6944" i="12"/>
  <c r="C6944" i="12"/>
  <c r="B6944" i="12"/>
  <c r="A6944" i="12"/>
  <c r="E6943" i="12"/>
  <c r="D6943" i="12"/>
  <c r="C6943" i="12"/>
  <c r="B6943" i="12"/>
  <c r="A6943" i="12"/>
  <c r="E6942" i="12"/>
  <c r="D6942" i="12"/>
  <c r="C6942" i="12"/>
  <c r="B6942" i="12"/>
  <c r="A6942" i="12"/>
  <c r="E6941" i="12"/>
  <c r="D6941" i="12"/>
  <c r="C6941" i="12"/>
  <c r="B6941" i="12"/>
  <c r="A6941" i="12"/>
  <c r="G6940" i="12"/>
  <c r="E6940" i="12"/>
  <c r="D6940" i="12"/>
  <c r="C6940" i="12"/>
  <c r="B6940" i="12"/>
  <c r="A6940" i="12"/>
  <c r="E6939" i="12"/>
  <c r="D6939" i="12"/>
  <c r="C6939" i="12"/>
  <c r="B6939" i="12"/>
  <c r="A6939" i="12"/>
  <c r="E6938" i="12"/>
  <c r="D6938" i="12"/>
  <c r="C6938" i="12"/>
  <c r="B6938" i="12"/>
  <c r="A6938" i="12"/>
  <c r="G6937" i="12"/>
  <c r="F6937" i="12"/>
  <c r="E6937" i="12"/>
  <c r="D6937" i="12"/>
  <c r="C6937" i="12"/>
  <c r="B6937" i="12"/>
  <c r="A6937" i="12"/>
  <c r="E6936" i="12"/>
  <c r="D6936" i="12"/>
  <c r="C6936" i="12"/>
  <c r="B6936" i="12"/>
  <c r="A6936" i="12"/>
  <c r="E6935" i="12"/>
  <c r="D6935" i="12"/>
  <c r="C6935" i="12"/>
  <c r="B6935" i="12"/>
  <c r="A6935" i="12"/>
  <c r="E6934" i="12"/>
  <c r="D6934" i="12"/>
  <c r="C6934" i="12"/>
  <c r="B6934" i="12"/>
  <c r="A6934" i="12"/>
  <c r="E6933" i="12"/>
  <c r="D6933" i="12"/>
  <c r="C6933" i="12"/>
  <c r="B6933" i="12"/>
  <c r="A6933" i="12"/>
  <c r="E6932" i="12"/>
  <c r="D6932" i="12"/>
  <c r="C6932" i="12"/>
  <c r="B6932" i="12"/>
  <c r="A6932" i="12"/>
  <c r="E6931" i="12"/>
  <c r="D6931" i="12"/>
  <c r="C6931" i="12"/>
  <c r="B6931" i="12"/>
  <c r="A6931" i="12"/>
  <c r="E6930" i="12"/>
  <c r="D6930" i="12"/>
  <c r="C6930" i="12"/>
  <c r="B6930" i="12"/>
  <c r="A6930" i="12"/>
  <c r="F6929" i="12"/>
  <c r="E6929" i="12"/>
  <c r="D6929" i="12"/>
  <c r="C6929" i="12"/>
  <c r="B6929" i="12"/>
  <c r="A6929" i="12"/>
  <c r="E6928" i="12"/>
  <c r="D6928" i="12"/>
  <c r="C6928" i="12"/>
  <c r="B6928" i="12"/>
  <c r="A6928" i="12"/>
  <c r="E6927" i="12"/>
  <c r="D6927" i="12"/>
  <c r="C6927" i="12"/>
  <c r="B6927" i="12"/>
  <c r="A6927" i="12"/>
  <c r="E6926" i="12"/>
  <c r="D6926" i="12"/>
  <c r="C6926" i="12"/>
  <c r="B6926" i="12"/>
  <c r="A6926" i="12"/>
  <c r="E6925" i="12"/>
  <c r="D6925" i="12"/>
  <c r="C6925" i="12"/>
  <c r="B6925" i="12"/>
  <c r="A6925" i="12"/>
  <c r="E6924" i="12"/>
  <c r="D6924" i="12"/>
  <c r="C6924" i="12"/>
  <c r="B6924" i="12"/>
  <c r="A6924" i="12"/>
  <c r="E6923" i="12"/>
  <c r="D6923" i="12"/>
  <c r="C6923" i="12"/>
  <c r="B6923" i="12"/>
  <c r="A6923" i="12"/>
  <c r="F6922" i="12"/>
  <c r="E6922" i="12"/>
  <c r="D6922" i="12"/>
  <c r="C6922" i="12"/>
  <c r="B6922" i="12"/>
  <c r="A6922" i="12"/>
  <c r="E6921" i="12"/>
  <c r="D6921" i="12"/>
  <c r="C6921" i="12"/>
  <c r="B6921" i="12"/>
  <c r="A6921" i="12"/>
  <c r="E6920" i="12"/>
  <c r="D6920" i="12"/>
  <c r="C6920" i="12"/>
  <c r="B6920" i="12"/>
  <c r="A6920" i="12"/>
  <c r="E6919" i="12"/>
  <c r="D6919" i="12"/>
  <c r="C6919" i="12"/>
  <c r="B6919" i="12"/>
  <c r="A6919" i="12"/>
  <c r="E6918" i="12"/>
  <c r="D6918" i="12"/>
  <c r="C6918" i="12"/>
  <c r="B6918" i="12"/>
  <c r="A6918" i="12"/>
  <c r="E6917" i="12"/>
  <c r="D6917" i="12"/>
  <c r="C6917" i="12"/>
  <c r="B6917" i="12"/>
  <c r="A6917" i="12"/>
  <c r="E6916" i="12"/>
  <c r="D6916" i="12"/>
  <c r="C6916" i="12"/>
  <c r="B6916" i="12"/>
  <c r="A6916" i="12"/>
  <c r="G6915" i="12"/>
  <c r="F6915" i="12"/>
  <c r="E6915" i="12"/>
  <c r="D6915" i="12"/>
  <c r="C6915" i="12"/>
  <c r="B6915" i="12"/>
  <c r="A6915" i="12"/>
  <c r="E6914" i="12"/>
  <c r="D6914" i="12"/>
  <c r="C6914" i="12"/>
  <c r="B6914" i="12"/>
  <c r="A6914" i="12"/>
  <c r="E6913" i="12"/>
  <c r="D6913" i="12"/>
  <c r="C6913" i="12"/>
  <c r="B6913" i="12"/>
  <c r="A6913" i="12"/>
  <c r="E6912" i="12"/>
  <c r="D6912" i="12"/>
  <c r="C6912" i="12"/>
  <c r="B6912" i="12"/>
  <c r="A6912" i="12"/>
  <c r="E6911" i="12"/>
  <c r="D6911" i="12"/>
  <c r="C6911" i="12"/>
  <c r="B6911" i="12"/>
  <c r="A6911" i="12"/>
  <c r="E6910" i="12"/>
  <c r="D6910" i="12"/>
  <c r="C6910" i="12"/>
  <c r="B6910" i="12"/>
  <c r="A6910" i="12"/>
  <c r="E6909" i="12"/>
  <c r="D6909" i="12"/>
  <c r="C6909" i="12"/>
  <c r="B6909" i="12"/>
  <c r="A6909" i="12"/>
  <c r="E6908" i="12"/>
  <c r="D6908" i="12"/>
  <c r="C6908" i="12"/>
  <c r="B6908" i="12"/>
  <c r="A6908" i="12"/>
  <c r="E6907" i="12"/>
  <c r="D6907" i="12"/>
  <c r="C6907" i="12"/>
  <c r="B6907" i="12"/>
  <c r="A6907" i="12"/>
  <c r="E6906" i="12"/>
  <c r="D6906" i="12"/>
  <c r="C6906" i="12"/>
  <c r="B6906" i="12"/>
  <c r="A6906" i="12"/>
  <c r="G6905" i="12"/>
  <c r="E6905" i="12"/>
  <c r="D6905" i="12"/>
  <c r="C6905" i="12"/>
  <c r="B6905" i="12"/>
  <c r="A6905" i="12"/>
  <c r="E6904" i="12"/>
  <c r="D6904" i="12"/>
  <c r="C6904" i="12"/>
  <c r="B6904" i="12"/>
  <c r="A6904" i="12"/>
  <c r="E6903" i="12"/>
  <c r="D6903" i="12"/>
  <c r="C6903" i="12"/>
  <c r="B6903" i="12"/>
  <c r="A6903" i="12"/>
  <c r="G6902" i="12"/>
  <c r="E6902" i="12"/>
  <c r="D6902" i="12"/>
  <c r="C6902" i="12"/>
  <c r="B6902" i="12"/>
  <c r="A6902" i="12"/>
  <c r="E6901" i="12"/>
  <c r="D6901" i="12"/>
  <c r="C6901" i="12"/>
  <c r="B6901" i="12"/>
  <c r="A6901" i="12"/>
  <c r="E6900" i="12"/>
  <c r="D6900" i="12"/>
  <c r="C6900" i="12"/>
  <c r="B6900" i="12"/>
  <c r="A6900" i="12"/>
  <c r="G6899" i="12"/>
  <c r="F6899" i="12"/>
  <c r="E6899" i="12"/>
  <c r="D6899" i="12"/>
  <c r="C6899" i="12"/>
  <c r="B6899" i="12"/>
  <c r="A6899" i="12"/>
  <c r="G6898" i="12"/>
  <c r="E6898" i="12"/>
  <c r="D6898" i="12"/>
  <c r="C6898" i="12"/>
  <c r="B6898" i="12"/>
  <c r="A6898" i="12"/>
  <c r="E6897" i="12"/>
  <c r="D6897" i="12"/>
  <c r="C6897" i="12"/>
  <c r="B6897" i="12"/>
  <c r="A6897" i="12"/>
  <c r="E6896" i="12"/>
  <c r="D6896" i="12"/>
  <c r="C6896" i="12"/>
  <c r="B6896" i="12"/>
  <c r="A6896" i="12"/>
  <c r="E6895" i="12"/>
  <c r="D6895" i="12"/>
  <c r="C6895" i="12"/>
  <c r="B6895" i="12"/>
  <c r="A6895" i="12"/>
  <c r="G6894" i="12"/>
  <c r="E6894" i="12"/>
  <c r="D6894" i="12"/>
  <c r="C6894" i="12"/>
  <c r="B6894" i="12"/>
  <c r="A6894" i="12"/>
  <c r="G6893" i="12"/>
  <c r="F6893" i="12"/>
  <c r="E6893" i="12"/>
  <c r="D6893" i="12"/>
  <c r="C6893" i="12"/>
  <c r="B6893" i="12"/>
  <c r="A6893" i="12"/>
  <c r="G6892" i="12"/>
  <c r="E6892" i="12"/>
  <c r="D6892" i="12"/>
  <c r="C6892" i="12"/>
  <c r="B6892" i="12"/>
  <c r="A6892" i="12"/>
  <c r="E6891" i="12"/>
  <c r="D6891" i="12"/>
  <c r="C6891" i="12"/>
  <c r="B6891" i="12"/>
  <c r="A6891" i="12"/>
  <c r="F6890" i="12"/>
  <c r="E6890" i="12"/>
  <c r="D6890" i="12"/>
  <c r="C6890" i="12"/>
  <c r="B6890" i="12"/>
  <c r="A6890" i="12"/>
  <c r="E6889" i="12"/>
  <c r="D6889" i="12"/>
  <c r="C6889" i="12"/>
  <c r="B6889" i="12"/>
  <c r="A6889" i="12"/>
  <c r="G6888" i="12"/>
  <c r="E6888" i="12"/>
  <c r="D6888" i="12"/>
  <c r="C6888" i="12"/>
  <c r="B6888" i="12"/>
  <c r="A6888" i="12"/>
  <c r="E6887" i="12"/>
  <c r="D6887" i="12"/>
  <c r="C6887" i="12"/>
  <c r="B6887" i="12"/>
  <c r="A6887" i="12"/>
  <c r="E6886" i="12"/>
  <c r="D6886" i="12"/>
  <c r="C6886" i="12"/>
  <c r="B6886" i="12"/>
  <c r="A6886" i="12"/>
  <c r="E6885" i="12"/>
  <c r="D6885" i="12"/>
  <c r="C6885" i="12"/>
  <c r="B6885" i="12"/>
  <c r="A6885" i="12"/>
  <c r="E6884" i="12"/>
  <c r="D6884" i="12"/>
  <c r="C6884" i="12"/>
  <c r="B6884" i="12"/>
  <c r="A6884" i="12"/>
  <c r="E6883" i="12"/>
  <c r="D6883" i="12"/>
  <c r="C6883" i="12"/>
  <c r="B6883" i="12"/>
  <c r="A6883" i="12"/>
  <c r="F6882" i="12"/>
  <c r="E6882" i="12"/>
  <c r="D6882" i="12"/>
  <c r="C6882" i="12"/>
  <c r="B6882" i="12"/>
  <c r="A6882" i="12"/>
  <c r="E6881" i="12"/>
  <c r="D6881" i="12"/>
  <c r="C6881" i="12"/>
  <c r="B6881" i="12"/>
  <c r="A6881" i="12"/>
  <c r="E6880" i="12"/>
  <c r="D6880" i="12"/>
  <c r="C6880" i="12"/>
  <c r="B6880" i="12"/>
  <c r="A6880" i="12"/>
  <c r="G6879" i="12"/>
  <c r="E6879" i="12"/>
  <c r="D6879" i="12"/>
  <c r="C6879" i="12"/>
  <c r="B6879" i="12"/>
  <c r="A6879" i="12"/>
  <c r="E6878" i="12"/>
  <c r="D6878" i="12"/>
  <c r="C6878" i="12"/>
  <c r="B6878" i="12"/>
  <c r="A6878" i="12"/>
  <c r="G6877" i="12"/>
  <c r="E6877" i="12"/>
  <c r="D6877" i="12"/>
  <c r="C6877" i="12"/>
  <c r="B6877" i="12"/>
  <c r="A6877" i="12"/>
  <c r="E6876" i="12"/>
  <c r="D6876" i="12"/>
  <c r="C6876" i="12"/>
  <c r="B6876" i="12"/>
  <c r="A6876" i="12"/>
  <c r="G6875" i="12"/>
  <c r="F6875" i="12"/>
  <c r="E6875" i="12"/>
  <c r="D6875" i="12"/>
  <c r="C6875" i="12"/>
  <c r="B6875" i="12"/>
  <c r="A6875" i="12"/>
  <c r="E6874" i="12"/>
  <c r="D6874" i="12"/>
  <c r="C6874" i="12"/>
  <c r="B6874" i="12"/>
  <c r="A6874" i="12"/>
  <c r="G6873" i="12"/>
  <c r="E6873" i="12"/>
  <c r="D6873" i="12"/>
  <c r="C6873" i="12"/>
  <c r="B6873" i="12"/>
  <c r="A6873" i="12"/>
  <c r="G6872" i="12"/>
  <c r="E6872" i="12"/>
  <c r="D6872" i="12"/>
  <c r="C6872" i="12"/>
  <c r="B6872" i="12"/>
  <c r="A6872" i="12"/>
  <c r="E6871" i="12"/>
  <c r="D6871" i="12"/>
  <c r="C6871" i="12"/>
  <c r="B6871" i="12"/>
  <c r="A6871" i="12"/>
  <c r="G6870" i="12"/>
  <c r="E6870" i="12"/>
  <c r="D6870" i="12"/>
  <c r="C6870" i="12"/>
  <c r="B6870" i="12"/>
  <c r="A6870" i="12"/>
  <c r="G6869" i="12"/>
  <c r="E6869" i="12"/>
  <c r="D6869" i="12"/>
  <c r="C6869" i="12"/>
  <c r="B6869" i="12"/>
  <c r="A6869" i="12"/>
  <c r="G6868" i="12"/>
  <c r="E6868" i="12"/>
  <c r="D6868" i="12"/>
  <c r="C6868" i="12"/>
  <c r="B6868" i="12"/>
  <c r="A6868" i="12"/>
  <c r="E6867" i="12"/>
  <c r="D6867" i="12"/>
  <c r="C6867" i="12"/>
  <c r="B6867" i="12"/>
  <c r="A6867" i="12"/>
  <c r="E6866" i="12"/>
  <c r="D6866" i="12"/>
  <c r="C6866" i="12"/>
  <c r="B6866" i="12"/>
  <c r="A6866" i="12"/>
  <c r="G6865" i="12"/>
  <c r="E6865" i="12"/>
  <c r="D6865" i="12"/>
  <c r="C6865" i="12"/>
  <c r="B6865" i="12"/>
  <c r="A6865" i="12"/>
  <c r="E6864" i="12"/>
  <c r="D6864" i="12"/>
  <c r="C6864" i="12"/>
  <c r="B6864" i="12"/>
  <c r="A6864" i="12"/>
  <c r="E6863" i="12"/>
  <c r="D6863" i="12"/>
  <c r="C6863" i="12"/>
  <c r="B6863" i="12"/>
  <c r="A6863" i="12"/>
  <c r="E6862" i="12"/>
  <c r="D6862" i="12"/>
  <c r="C6862" i="12"/>
  <c r="B6862" i="12"/>
  <c r="A6862" i="12"/>
  <c r="E6861" i="12"/>
  <c r="D6861" i="12"/>
  <c r="C6861" i="12"/>
  <c r="B6861" i="12"/>
  <c r="A6861" i="12"/>
  <c r="E6860" i="12"/>
  <c r="D6860" i="12"/>
  <c r="C6860" i="12"/>
  <c r="B6860" i="12"/>
  <c r="A6860" i="12"/>
  <c r="E6859" i="12"/>
  <c r="D6859" i="12"/>
  <c r="C6859" i="12"/>
  <c r="B6859" i="12"/>
  <c r="A6859" i="12"/>
  <c r="E6858" i="12"/>
  <c r="D6858" i="12"/>
  <c r="C6858" i="12"/>
  <c r="B6858" i="12"/>
  <c r="A6858" i="12"/>
  <c r="E6857" i="12"/>
  <c r="D6857" i="12"/>
  <c r="C6857" i="12"/>
  <c r="B6857" i="12"/>
  <c r="A6857" i="12"/>
  <c r="E6856" i="12"/>
  <c r="D6856" i="12"/>
  <c r="C6856" i="12"/>
  <c r="B6856" i="12"/>
  <c r="A6856" i="12"/>
  <c r="E6855" i="12"/>
  <c r="D6855" i="12"/>
  <c r="C6855" i="12"/>
  <c r="B6855" i="12"/>
  <c r="A6855" i="12"/>
  <c r="E6854" i="12"/>
  <c r="D6854" i="12"/>
  <c r="C6854" i="12"/>
  <c r="B6854" i="12"/>
  <c r="A6854" i="12"/>
  <c r="E6853" i="12"/>
  <c r="D6853" i="12"/>
  <c r="C6853" i="12"/>
  <c r="B6853" i="12"/>
  <c r="A6853" i="12"/>
  <c r="E6852" i="12"/>
  <c r="D6852" i="12"/>
  <c r="C6852" i="12"/>
  <c r="B6852" i="12"/>
  <c r="A6852" i="12"/>
  <c r="E6851" i="12"/>
  <c r="D6851" i="12"/>
  <c r="C6851" i="12"/>
  <c r="B6851" i="12"/>
  <c r="A6851" i="12"/>
  <c r="E6850" i="12"/>
  <c r="D6850" i="12"/>
  <c r="C6850" i="12"/>
  <c r="B6850" i="12"/>
  <c r="A6850" i="12"/>
  <c r="F6849" i="12"/>
  <c r="E6849" i="12"/>
  <c r="D6849" i="12"/>
  <c r="C6849" i="12"/>
  <c r="B6849" i="12"/>
  <c r="A6849" i="12"/>
  <c r="G6848" i="12"/>
  <c r="F6848" i="12"/>
  <c r="E6848" i="12"/>
  <c r="D6848" i="12"/>
  <c r="C6848" i="12"/>
  <c r="B6848" i="12"/>
  <c r="A6848" i="12"/>
  <c r="G6847" i="12"/>
  <c r="F6847" i="12"/>
  <c r="E6847" i="12"/>
  <c r="D6847" i="12"/>
  <c r="C6847" i="12"/>
  <c r="B6847" i="12"/>
  <c r="A6847" i="12"/>
  <c r="E6846" i="12"/>
  <c r="D6846" i="12"/>
  <c r="C6846" i="12"/>
  <c r="B6846" i="12"/>
  <c r="A6846" i="12"/>
  <c r="F6845" i="12"/>
  <c r="E6845" i="12"/>
  <c r="D6845" i="12"/>
  <c r="C6845" i="12"/>
  <c r="B6845" i="12"/>
  <c r="A6845" i="12"/>
  <c r="E6844" i="12"/>
  <c r="D6844" i="12"/>
  <c r="C6844" i="12"/>
  <c r="B6844" i="12"/>
  <c r="A6844" i="12"/>
  <c r="E6843" i="12"/>
  <c r="D6843" i="12"/>
  <c r="C6843" i="12"/>
  <c r="B6843" i="12"/>
  <c r="A6843" i="12"/>
  <c r="E6842" i="12"/>
  <c r="D6842" i="12"/>
  <c r="C6842" i="12"/>
  <c r="B6842" i="12"/>
  <c r="A6842" i="12"/>
  <c r="E6841" i="12"/>
  <c r="D6841" i="12"/>
  <c r="C6841" i="12"/>
  <c r="B6841" i="12"/>
  <c r="A6841" i="12"/>
  <c r="E6840" i="12"/>
  <c r="D6840" i="12"/>
  <c r="C6840" i="12"/>
  <c r="B6840" i="12"/>
  <c r="A6840" i="12"/>
  <c r="E6839" i="12"/>
  <c r="D6839" i="12"/>
  <c r="C6839" i="12"/>
  <c r="B6839" i="12"/>
  <c r="A6839" i="12"/>
  <c r="E6838" i="12"/>
  <c r="D6838" i="12"/>
  <c r="C6838" i="12"/>
  <c r="B6838" i="12"/>
  <c r="A6838" i="12"/>
  <c r="E6837" i="12"/>
  <c r="D6837" i="12"/>
  <c r="C6837" i="12"/>
  <c r="B6837" i="12"/>
  <c r="A6837" i="12"/>
  <c r="E6836" i="12"/>
  <c r="D6836" i="12"/>
  <c r="C6836" i="12"/>
  <c r="B6836" i="12"/>
  <c r="A6836" i="12"/>
  <c r="G6835" i="12"/>
  <c r="F6835" i="12"/>
  <c r="E6835" i="12"/>
  <c r="D6835" i="12"/>
  <c r="C6835" i="12"/>
  <c r="B6835" i="12"/>
  <c r="A6835" i="12"/>
  <c r="G6834" i="12"/>
  <c r="F6834" i="12"/>
  <c r="E6834" i="12"/>
  <c r="D6834" i="12"/>
  <c r="C6834" i="12"/>
  <c r="B6834" i="12"/>
  <c r="A6834" i="12"/>
  <c r="G6833" i="12"/>
  <c r="F6833" i="12"/>
  <c r="E6833" i="12"/>
  <c r="D6833" i="12"/>
  <c r="C6833" i="12"/>
  <c r="B6833" i="12"/>
  <c r="A6833" i="12"/>
  <c r="G6832" i="12"/>
  <c r="D6832" i="12"/>
  <c r="C6832" i="12"/>
  <c r="B6832" i="12"/>
  <c r="A6832" i="12"/>
  <c r="E6831" i="12"/>
  <c r="D6831" i="12"/>
  <c r="C6831" i="12"/>
  <c r="B6831" i="12"/>
  <c r="A6831" i="12"/>
  <c r="E6830" i="12"/>
  <c r="D6830" i="12"/>
  <c r="C6830" i="12"/>
  <c r="B6830" i="12"/>
  <c r="A6830" i="12"/>
  <c r="E6829" i="12"/>
  <c r="D6829" i="12"/>
  <c r="C6829" i="12"/>
  <c r="B6829" i="12"/>
  <c r="A6829" i="12"/>
  <c r="E6828" i="12"/>
  <c r="D6828" i="12"/>
  <c r="C6828" i="12"/>
  <c r="B6828" i="12"/>
  <c r="A6828" i="12"/>
  <c r="E6827" i="12"/>
  <c r="D6827" i="12"/>
  <c r="C6827" i="12"/>
  <c r="B6827" i="12"/>
  <c r="A6827" i="12"/>
  <c r="E6826" i="12"/>
  <c r="D6826" i="12"/>
  <c r="C6826" i="12"/>
  <c r="B6826" i="12"/>
  <c r="A6826" i="12"/>
  <c r="F6825" i="12"/>
  <c r="E6825" i="12"/>
  <c r="D6825" i="12"/>
  <c r="C6825" i="12"/>
  <c r="B6825" i="12"/>
  <c r="A6825" i="12"/>
  <c r="F6824" i="12"/>
  <c r="E6824" i="12"/>
  <c r="D6824" i="12"/>
  <c r="C6824" i="12"/>
  <c r="B6824" i="12"/>
  <c r="A6824" i="12"/>
  <c r="F6823" i="12"/>
  <c r="E6823" i="12"/>
  <c r="D6823" i="12"/>
  <c r="C6823" i="12"/>
  <c r="B6823" i="12"/>
  <c r="A6823" i="12"/>
  <c r="G6822" i="12"/>
  <c r="F6822" i="12"/>
  <c r="E6822" i="12"/>
  <c r="D6822" i="12"/>
  <c r="C6822" i="12"/>
  <c r="B6822" i="12"/>
  <c r="A6822" i="12"/>
  <c r="E6821" i="12"/>
  <c r="D6821" i="12"/>
  <c r="C6821" i="12"/>
  <c r="B6821" i="12"/>
  <c r="A6821" i="12"/>
  <c r="E6820" i="12"/>
  <c r="D6820" i="12"/>
  <c r="C6820" i="12"/>
  <c r="B6820" i="12"/>
  <c r="A6820" i="12"/>
  <c r="G6819" i="12"/>
  <c r="F6819" i="12"/>
  <c r="E6819" i="12"/>
  <c r="D6819" i="12"/>
  <c r="C6819" i="12"/>
  <c r="B6819" i="12"/>
  <c r="A6819" i="12"/>
  <c r="G6818" i="12"/>
  <c r="F6818" i="12"/>
  <c r="E6818" i="12"/>
  <c r="D6818" i="12"/>
  <c r="C6818" i="12"/>
  <c r="B6818" i="12"/>
  <c r="A6818" i="12"/>
  <c r="F6817" i="12"/>
  <c r="E6817" i="12"/>
  <c r="D6817" i="12"/>
  <c r="C6817" i="12"/>
  <c r="B6817" i="12"/>
  <c r="A6817" i="12"/>
  <c r="G6816" i="12"/>
  <c r="F6816" i="12"/>
  <c r="E6816" i="12"/>
  <c r="D6816" i="12"/>
  <c r="C6816" i="12"/>
  <c r="B6816" i="12"/>
  <c r="A6816" i="12"/>
  <c r="G6815" i="12"/>
  <c r="F6815" i="12"/>
  <c r="E6815" i="12"/>
  <c r="D6815" i="12"/>
  <c r="C6815" i="12"/>
  <c r="B6815" i="12"/>
  <c r="A6815" i="12"/>
  <c r="E6814" i="12"/>
  <c r="D6814" i="12"/>
  <c r="C6814" i="12"/>
  <c r="B6814" i="12"/>
  <c r="A6814" i="12"/>
  <c r="E6813" i="12"/>
  <c r="D6813" i="12"/>
  <c r="C6813" i="12"/>
  <c r="B6813" i="12"/>
  <c r="A6813" i="12"/>
  <c r="F6812" i="12"/>
  <c r="E6812" i="12"/>
  <c r="D6812" i="12"/>
  <c r="C6812" i="12"/>
  <c r="B6812" i="12"/>
  <c r="A6812" i="12"/>
  <c r="G6811" i="12"/>
  <c r="F6811" i="12"/>
  <c r="E6811" i="12"/>
  <c r="D6811" i="12"/>
  <c r="C6811" i="12"/>
  <c r="B6811" i="12"/>
  <c r="A6811" i="12"/>
  <c r="E6810" i="12"/>
  <c r="D6810" i="12"/>
  <c r="C6810" i="12"/>
  <c r="B6810" i="12"/>
  <c r="A6810" i="12"/>
  <c r="E6809" i="12"/>
  <c r="D6809" i="12"/>
  <c r="C6809" i="12"/>
  <c r="B6809" i="12"/>
  <c r="A6809" i="12"/>
  <c r="E6808" i="12"/>
  <c r="D6808" i="12"/>
  <c r="C6808" i="12"/>
  <c r="B6808" i="12"/>
  <c r="A6808" i="12"/>
  <c r="F6807" i="12"/>
  <c r="E6807" i="12"/>
  <c r="D6807" i="12"/>
  <c r="C6807" i="12"/>
  <c r="B6807" i="12"/>
  <c r="A6807" i="12"/>
  <c r="E6806" i="12"/>
  <c r="D6806" i="12"/>
  <c r="C6806" i="12"/>
  <c r="B6806" i="12"/>
  <c r="A6806" i="12"/>
  <c r="E6805" i="12"/>
  <c r="D6805" i="12"/>
  <c r="C6805" i="12"/>
  <c r="B6805" i="12"/>
  <c r="A6805" i="12"/>
  <c r="E6804" i="12"/>
  <c r="D6804" i="12"/>
  <c r="C6804" i="12"/>
  <c r="B6804" i="12"/>
  <c r="A6804" i="12"/>
  <c r="E6803" i="12"/>
  <c r="D6803" i="12"/>
  <c r="C6803" i="12"/>
  <c r="B6803" i="12"/>
  <c r="A6803" i="12"/>
  <c r="E6802" i="12"/>
  <c r="D6802" i="12"/>
  <c r="C6802" i="12"/>
  <c r="B6802" i="12"/>
  <c r="A6802" i="12"/>
  <c r="E6801" i="12"/>
  <c r="D6801" i="12"/>
  <c r="C6801" i="12"/>
  <c r="B6801" i="12"/>
  <c r="A6801" i="12"/>
  <c r="E6800" i="12"/>
  <c r="D6800" i="12"/>
  <c r="C6800" i="12"/>
  <c r="B6800" i="12"/>
  <c r="A6800" i="12"/>
  <c r="E6799" i="12"/>
  <c r="D6799" i="12"/>
  <c r="C6799" i="12"/>
  <c r="B6799" i="12"/>
  <c r="A6799" i="12"/>
  <c r="E6798" i="12"/>
  <c r="D6798" i="12"/>
  <c r="C6798" i="12"/>
  <c r="B6798" i="12"/>
  <c r="A6798" i="12"/>
  <c r="E6797" i="12"/>
  <c r="D6797" i="12"/>
  <c r="C6797" i="12"/>
  <c r="B6797" i="12"/>
  <c r="A6797" i="12"/>
  <c r="E6796" i="12"/>
  <c r="D6796" i="12"/>
  <c r="C6796" i="12"/>
  <c r="B6796" i="12"/>
  <c r="A6796" i="12"/>
  <c r="G6795" i="12"/>
  <c r="E6795" i="12"/>
  <c r="D6795" i="12"/>
  <c r="C6795" i="12"/>
  <c r="B6795" i="12"/>
  <c r="A6795" i="12"/>
  <c r="G6794" i="12"/>
  <c r="E6794" i="12"/>
  <c r="D6794" i="12"/>
  <c r="C6794" i="12"/>
  <c r="B6794" i="12"/>
  <c r="A6794" i="12"/>
  <c r="E6793" i="12"/>
  <c r="D6793" i="12"/>
  <c r="C6793" i="12"/>
  <c r="B6793" i="12"/>
  <c r="A6793" i="12"/>
  <c r="E6792" i="12"/>
  <c r="D6792" i="12"/>
  <c r="C6792" i="12"/>
  <c r="B6792" i="12"/>
  <c r="A6792" i="12"/>
  <c r="E6791" i="12"/>
  <c r="D6791" i="12"/>
  <c r="C6791" i="12"/>
  <c r="B6791" i="12"/>
  <c r="A6791" i="12"/>
  <c r="E6790" i="12"/>
  <c r="D6790" i="12"/>
  <c r="C6790" i="12"/>
  <c r="B6790" i="12"/>
  <c r="A6790" i="12"/>
  <c r="E6789" i="12"/>
  <c r="D6789" i="12"/>
  <c r="C6789" i="12"/>
  <c r="B6789" i="12"/>
  <c r="A6789" i="12"/>
  <c r="E6788" i="12"/>
  <c r="D6788" i="12"/>
  <c r="C6788" i="12"/>
  <c r="B6788" i="12"/>
  <c r="A6788" i="12"/>
  <c r="E6787" i="12"/>
  <c r="D6787" i="12"/>
  <c r="C6787" i="12"/>
  <c r="B6787" i="12"/>
  <c r="A6787" i="12"/>
  <c r="E6786" i="12"/>
  <c r="D6786" i="12"/>
  <c r="C6786" i="12"/>
  <c r="B6786" i="12"/>
  <c r="A6786" i="12"/>
  <c r="E6785" i="12"/>
  <c r="D6785" i="12"/>
  <c r="C6785" i="12"/>
  <c r="B6785" i="12"/>
  <c r="A6785" i="12"/>
  <c r="E6784" i="12"/>
  <c r="D6784" i="12"/>
  <c r="C6784" i="12"/>
  <c r="B6784" i="12"/>
  <c r="A6784" i="12"/>
  <c r="E6783" i="12"/>
  <c r="D6783" i="12"/>
  <c r="C6783" i="12"/>
  <c r="B6783" i="12"/>
  <c r="A6783" i="12"/>
  <c r="E6782" i="12"/>
  <c r="D6782" i="12"/>
  <c r="C6782" i="12"/>
  <c r="B6782" i="12"/>
  <c r="A6782" i="12"/>
  <c r="E6781" i="12"/>
  <c r="D6781" i="12"/>
  <c r="C6781" i="12"/>
  <c r="B6781" i="12"/>
  <c r="A6781" i="12"/>
  <c r="E6780" i="12"/>
  <c r="D6780" i="12"/>
  <c r="C6780" i="12"/>
  <c r="B6780" i="12"/>
  <c r="A6780" i="12"/>
  <c r="E6779" i="12"/>
  <c r="D6779" i="12"/>
  <c r="C6779" i="12"/>
  <c r="B6779" i="12"/>
  <c r="A6779" i="12"/>
  <c r="G6778" i="12"/>
  <c r="E6778" i="12"/>
  <c r="D6778" i="12"/>
  <c r="C6778" i="12"/>
  <c r="B6778" i="12"/>
  <c r="A6778" i="12"/>
  <c r="E6777" i="12"/>
  <c r="D6777" i="12"/>
  <c r="C6777" i="12"/>
  <c r="B6777" i="12"/>
  <c r="A6777" i="12"/>
  <c r="E6776" i="12"/>
  <c r="D6776" i="12"/>
  <c r="C6776" i="12"/>
  <c r="B6776" i="12"/>
  <c r="A6776" i="12"/>
  <c r="E6775" i="12"/>
  <c r="D6775" i="12"/>
  <c r="C6775" i="12"/>
  <c r="B6775" i="12"/>
  <c r="A6775" i="12"/>
  <c r="E6774" i="12"/>
  <c r="D6774" i="12"/>
  <c r="C6774" i="12"/>
  <c r="B6774" i="12"/>
  <c r="A6774" i="12"/>
  <c r="E6773" i="12"/>
  <c r="D6773" i="12"/>
  <c r="C6773" i="12"/>
  <c r="B6773" i="12"/>
  <c r="A6773" i="12"/>
  <c r="E6772" i="12"/>
  <c r="D6772" i="12"/>
  <c r="C6772" i="12"/>
  <c r="B6772" i="12"/>
  <c r="A6772" i="12"/>
  <c r="E6771" i="12"/>
  <c r="D6771" i="12"/>
  <c r="C6771" i="12"/>
  <c r="B6771" i="12"/>
  <c r="A6771" i="12"/>
  <c r="E6770" i="12"/>
  <c r="D6770" i="12"/>
  <c r="C6770" i="12"/>
  <c r="B6770" i="12"/>
  <c r="A6770" i="12"/>
  <c r="E6769" i="12"/>
  <c r="D6769" i="12"/>
  <c r="C6769" i="12"/>
  <c r="B6769" i="12"/>
  <c r="A6769" i="12"/>
  <c r="E6768" i="12"/>
  <c r="D6768" i="12"/>
  <c r="C6768" i="12"/>
  <c r="B6768" i="12"/>
  <c r="A6768" i="12"/>
  <c r="E6767" i="12"/>
  <c r="D6767" i="12"/>
  <c r="C6767" i="12"/>
  <c r="B6767" i="12"/>
  <c r="A6767" i="12"/>
  <c r="E6766" i="12"/>
  <c r="D6766" i="12"/>
  <c r="C6766" i="12"/>
  <c r="B6766" i="12"/>
  <c r="A6766" i="12"/>
  <c r="G6765" i="12"/>
  <c r="E6765" i="12"/>
  <c r="D6765" i="12"/>
  <c r="C6765" i="12"/>
  <c r="B6765" i="12"/>
  <c r="A6765" i="12"/>
  <c r="E6764" i="12"/>
  <c r="D6764" i="12"/>
  <c r="C6764" i="12"/>
  <c r="B6764" i="12"/>
  <c r="A6764" i="12"/>
  <c r="E6763" i="12"/>
  <c r="D6763" i="12"/>
  <c r="C6763" i="12"/>
  <c r="B6763" i="12"/>
  <c r="A6763" i="12"/>
  <c r="E6762" i="12"/>
  <c r="D6762" i="12"/>
  <c r="C6762" i="12"/>
  <c r="B6762" i="12"/>
  <c r="A6762" i="12"/>
  <c r="E6761" i="12"/>
  <c r="D6761" i="12"/>
  <c r="C6761" i="12"/>
  <c r="B6761" i="12"/>
  <c r="A6761" i="12"/>
  <c r="E6760" i="12"/>
  <c r="D6760" i="12"/>
  <c r="C6760" i="12"/>
  <c r="B6760" i="12"/>
  <c r="A6760" i="12"/>
  <c r="E6759" i="12"/>
  <c r="D6759" i="12"/>
  <c r="C6759" i="12"/>
  <c r="B6759" i="12"/>
  <c r="A6759" i="12"/>
  <c r="E6758" i="12"/>
  <c r="D6758" i="12"/>
  <c r="C6758" i="12"/>
  <c r="B6758" i="12"/>
  <c r="A6758" i="12"/>
  <c r="E6757" i="12"/>
  <c r="D6757" i="12"/>
  <c r="C6757" i="12"/>
  <c r="B6757" i="12"/>
  <c r="A6757" i="12"/>
  <c r="E6756" i="12"/>
  <c r="D6756" i="12"/>
  <c r="C6756" i="12"/>
  <c r="B6756" i="12"/>
  <c r="A6756" i="12"/>
  <c r="E6755" i="12"/>
  <c r="D6755" i="12"/>
  <c r="C6755" i="12"/>
  <c r="B6755" i="12"/>
  <c r="A6755" i="12"/>
  <c r="E6754" i="12"/>
  <c r="D6754" i="12"/>
  <c r="C6754" i="12"/>
  <c r="B6754" i="12"/>
  <c r="A6754" i="12"/>
  <c r="E6753" i="12"/>
  <c r="D6753" i="12"/>
  <c r="C6753" i="12"/>
  <c r="B6753" i="12"/>
  <c r="A6753" i="12"/>
  <c r="E6752" i="12"/>
  <c r="D6752" i="12"/>
  <c r="C6752" i="12"/>
  <c r="B6752" i="12"/>
  <c r="A6752" i="12"/>
  <c r="E6751" i="12"/>
  <c r="D6751" i="12"/>
  <c r="C6751" i="12"/>
  <c r="B6751" i="12"/>
  <c r="A6751" i="12"/>
  <c r="E6750" i="12"/>
  <c r="D6750" i="12"/>
  <c r="C6750" i="12"/>
  <c r="B6750" i="12"/>
  <c r="A6750" i="12"/>
  <c r="E6749" i="12"/>
  <c r="D6749" i="12"/>
  <c r="C6749" i="12"/>
  <c r="B6749" i="12"/>
  <c r="A6749" i="12"/>
  <c r="E6748" i="12"/>
  <c r="D6748" i="12"/>
  <c r="C6748" i="12"/>
  <c r="B6748" i="12"/>
  <c r="A6748" i="12"/>
  <c r="E6747" i="12"/>
  <c r="D6747" i="12"/>
  <c r="C6747" i="12"/>
  <c r="B6747" i="12"/>
  <c r="A6747" i="12"/>
  <c r="E6746" i="12"/>
  <c r="D6746" i="12"/>
  <c r="C6746" i="12"/>
  <c r="B6746" i="12"/>
  <c r="A6746" i="12"/>
  <c r="E6745" i="12"/>
  <c r="D6745" i="12"/>
  <c r="C6745" i="12"/>
  <c r="B6745" i="12"/>
  <c r="A6745" i="12"/>
  <c r="F6744" i="12"/>
  <c r="E6744" i="12"/>
  <c r="D6744" i="12"/>
  <c r="C6744" i="12"/>
  <c r="B6744" i="12"/>
  <c r="A6744" i="12"/>
  <c r="F6743" i="12"/>
  <c r="E6743" i="12"/>
  <c r="D6743" i="12"/>
  <c r="C6743" i="12"/>
  <c r="B6743" i="12"/>
  <c r="A6743" i="12"/>
  <c r="G6742" i="12"/>
  <c r="F6742" i="12"/>
  <c r="E6742" i="12"/>
  <c r="D6742" i="12"/>
  <c r="C6742" i="12"/>
  <c r="B6742" i="12"/>
  <c r="A6742" i="12"/>
  <c r="F6741" i="12"/>
  <c r="E6741" i="12"/>
  <c r="D6741" i="12"/>
  <c r="C6741" i="12"/>
  <c r="B6741" i="12"/>
  <c r="A6741" i="12"/>
  <c r="F6740" i="12"/>
  <c r="E6740" i="12"/>
  <c r="D6740" i="12"/>
  <c r="C6740" i="12"/>
  <c r="B6740" i="12"/>
  <c r="A6740" i="12"/>
  <c r="G6739" i="12"/>
  <c r="F6739" i="12"/>
  <c r="E6739" i="12"/>
  <c r="D6739" i="12"/>
  <c r="C6739" i="12"/>
  <c r="B6739" i="12"/>
  <c r="A6739" i="12"/>
  <c r="G6738" i="12"/>
  <c r="F6738" i="12"/>
  <c r="E6738" i="12"/>
  <c r="D6738" i="12"/>
  <c r="C6738" i="12"/>
  <c r="B6738" i="12"/>
  <c r="A6738" i="12"/>
  <c r="F6737" i="12"/>
  <c r="E6737" i="12"/>
  <c r="D6737" i="12"/>
  <c r="C6737" i="12"/>
  <c r="B6737" i="12"/>
  <c r="A6737" i="12"/>
  <c r="F6736" i="12"/>
  <c r="E6736" i="12"/>
  <c r="D6736" i="12"/>
  <c r="C6736" i="12"/>
  <c r="B6736" i="12"/>
  <c r="A6736" i="12"/>
  <c r="F6735" i="12"/>
  <c r="E6735" i="12"/>
  <c r="D6735" i="12"/>
  <c r="C6735" i="12"/>
  <c r="B6735" i="12"/>
  <c r="A6735" i="12"/>
  <c r="D6734" i="12"/>
  <c r="C6734" i="12"/>
  <c r="A6734" i="12"/>
  <c r="G6733" i="12"/>
  <c r="F6733" i="12"/>
  <c r="E6733" i="12"/>
  <c r="D6733" i="12"/>
  <c r="C6733" i="12"/>
  <c r="B6733" i="12"/>
  <c r="A6733" i="12"/>
  <c r="F6732" i="12"/>
  <c r="E6732" i="12"/>
  <c r="D6732" i="12"/>
  <c r="C6732" i="12"/>
  <c r="B6732" i="12"/>
  <c r="A6732" i="12"/>
  <c r="F6731" i="12"/>
  <c r="E6731" i="12"/>
  <c r="D6731" i="12"/>
  <c r="C6731" i="12"/>
  <c r="B6731" i="12"/>
  <c r="A6731" i="12"/>
  <c r="G6730" i="12"/>
  <c r="F6730" i="12"/>
  <c r="E6730" i="12"/>
  <c r="D6730" i="12"/>
  <c r="C6730" i="12"/>
  <c r="B6730" i="12"/>
  <c r="A6730" i="12"/>
  <c r="G6729" i="12"/>
  <c r="F6729" i="12"/>
  <c r="E6729" i="12"/>
  <c r="D6729" i="12"/>
  <c r="C6729" i="12"/>
  <c r="B6729" i="12"/>
  <c r="A6729" i="12"/>
  <c r="F6728" i="12"/>
  <c r="E6728" i="12"/>
  <c r="D6728" i="12"/>
  <c r="C6728" i="12"/>
  <c r="B6728" i="12"/>
  <c r="A6728" i="12"/>
  <c r="G6727" i="12"/>
  <c r="F6727" i="12"/>
  <c r="E6727" i="12"/>
  <c r="D6727" i="12"/>
  <c r="C6727" i="12"/>
  <c r="B6727" i="12"/>
  <c r="A6727" i="12"/>
  <c r="G6726" i="12"/>
  <c r="F6726" i="12"/>
  <c r="E6726" i="12"/>
  <c r="D6726" i="12"/>
  <c r="C6726" i="12"/>
  <c r="B6726" i="12"/>
  <c r="A6726" i="12"/>
  <c r="G6725" i="12"/>
  <c r="E6725" i="12"/>
  <c r="D6725" i="12"/>
  <c r="C6725" i="12"/>
  <c r="B6725" i="12"/>
  <c r="A6725" i="12"/>
  <c r="E6724" i="12"/>
  <c r="D6724" i="12"/>
  <c r="C6724" i="12"/>
  <c r="B6724" i="12"/>
  <c r="A6724" i="12"/>
  <c r="G6723" i="12"/>
  <c r="E6723" i="12"/>
  <c r="D6723" i="12"/>
  <c r="C6723" i="12"/>
  <c r="B6723" i="12"/>
  <c r="A6723" i="12"/>
  <c r="G6722" i="12"/>
  <c r="F6722" i="12"/>
  <c r="E6722" i="12"/>
  <c r="D6722" i="12"/>
  <c r="C6722" i="12"/>
  <c r="B6722" i="12"/>
  <c r="A6722" i="12"/>
  <c r="G6721" i="12"/>
  <c r="F6721" i="12"/>
  <c r="E6721" i="12"/>
  <c r="D6721" i="12"/>
  <c r="C6721" i="12"/>
  <c r="B6721" i="12"/>
  <c r="A6721" i="12"/>
  <c r="G6720" i="12"/>
  <c r="F6720" i="12"/>
  <c r="E6720" i="12"/>
  <c r="D6720" i="12"/>
  <c r="C6720" i="12"/>
  <c r="B6720" i="12"/>
  <c r="A6720" i="12"/>
  <c r="F6719" i="12"/>
  <c r="E6719" i="12"/>
  <c r="D6719" i="12"/>
  <c r="C6719" i="12"/>
  <c r="B6719" i="12"/>
  <c r="A6719" i="12"/>
  <c r="F6718" i="12"/>
  <c r="E6718" i="12"/>
  <c r="D6718" i="12"/>
  <c r="C6718" i="12"/>
  <c r="B6718" i="12"/>
  <c r="A6718" i="12"/>
  <c r="G6717" i="12"/>
  <c r="F6717" i="12"/>
  <c r="E6717" i="12"/>
  <c r="D6717" i="12"/>
  <c r="C6717" i="12"/>
  <c r="B6717" i="12"/>
  <c r="A6717" i="12"/>
  <c r="G6716" i="12"/>
  <c r="F6716" i="12"/>
  <c r="E6716" i="12"/>
  <c r="D6716" i="12"/>
  <c r="C6716" i="12"/>
  <c r="B6716" i="12"/>
  <c r="A6716" i="12"/>
  <c r="G6715" i="12"/>
  <c r="F6715" i="12"/>
  <c r="E6715" i="12"/>
  <c r="D6715" i="12"/>
  <c r="C6715" i="12"/>
  <c r="B6715" i="12"/>
  <c r="A6715" i="12"/>
  <c r="F6714" i="12"/>
  <c r="E6714" i="12"/>
  <c r="D6714" i="12"/>
  <c r="C6714" i="12"/>
  <c r="B6714" i="12"/>
  <c r="A6714" i="12"/>
  <c r="F6713" i="12"/>
  <c r="E6713" i="12"/>
  <c r="D6713" i="12"/>
  <c r="C6713" i="12"/>
  <c r="B6713" i="12"/>
  <c r="A6713" i="12"/>
  <c r="G6712" i="12"/>
  <c r="E6712" i="12"/>
  <c r="D6712" i="12"/>
  <c r="C6712" i="12"/>
  <c r="B6712" i="12"/>
  <c r="A6712" i="12"/>
  <c r="F6711" i="12"/>
  <c r="E6711" i="12"/>
  <c r="D6711" i="12"/>
  <c r="C6711" i="12"/>
  <c r="B6711" i="12"/>
  <c r="A6711" i="12"/>
  <c r="F6710" i="12"/>
  <c r="E6710" i="12"/>
  <c r="D6710" i="12"/>
  <c r="C6710" i="12"/>
  <c r="B6710" i="12"/>
  <c r="A6710" i="12"/>
  <c r="G6709" i="12"/>
  <c r="F6709" i="12"/>
  <c r="E6709" i="12"/>
  <c r="D6709" i="12"/>
  <c r="C6709" i="12"/>
  <c r="B6709" i="12"/>
  <c r="A6709" i="12"/>
  <c r="G6708" i="12"/>
  <c r="F6708" i="12"/>
  <c r="E6708" i="12"/>
  <c r="D6708" i="12"/>
  <c r="C6708" i="12"/>
  <c r="B6708" i="12"/>
  <c r="A6708" i="12"/>
  <c r="F6707" i="12"/>
  <c r="E6707" i="12"/>
  <c r="D6707" i="12"/>
  <c r="C6707" i="12"/>
  <c r="B6707" i="12"/>
  <c r="A6707" i="12"/>
  <c r="G6706" i="12"/>
  <c r="E6706" i="12"/>
  <c r="D6706" i="12"/>
  <c r="C6706" i="12"/>
  <c r="B6706" i="12"/>
  <c r="A6706" i="12"/>
  <c r="F6705" i="12"/>
  <c r="E6705" i="12"/>
  <c r="D6705" i="12"/>
  <c r="C6705" i="12"/>
  <c r="B6705" i="12"/>
  <c r="A6705" i="12"/>
  <c r="G6704" i="12"/>
  <c r="F6704" i="12"/>
  <c r="E6704" i="12"/>
  <c r="D6704" i="12"/>
  <c r="C6704" i="12"/>
  <c r="B6704" i="12"/>
  <c r="A6704" i="12"/>
  <c r="F6703" i="12"/>
  <c r="E6703" i="12"/>
  <c r="D6703" i="12"/>
  <c r="C6703" i="12"/>
  <c r="B6703" i="12"/>
  <c r="A6703" i="12"/>
  <c r="G6702" i="12"/>
  <c r="F6702" i="12"/>
  <c r="E6702" i="12"/>
  <c r="D6702" i="12"/>
  <c r="C6702" i="12"/>
  <c r="B6702" i="12"/>
  <c r="A6702" i="12"/>
  <c r="F6701" i="12"/>
  <c r="E6701" i="12"/>
  <c r="D6701" i="12"/>
  <c r="C6701" i="12"/>
  <c r="B6701" i="12"/>
  <c r="A6701" i="12"/>
  <c r="F6700" i="12"/>
  <c r="E6700" i="12"/>
  <c r="D6700" i="12"/>
  <c r="C6700" i="12"/>
  <c r="B6700" i="12"/>
  <c r="A6700" i="12"/>
  <c r="G6699" i="12"/>
  <c r="F6699" i="12"/>
  <c r="E6699" i="12"/>
  <c r="D6699" i="12"/>
  <c r="C6699" i="12"/>
  <c r="B6699" i="12"/>
  <c r="A6699" i="12"/>
  <c r="G6698" i="12"/>
  <c r="F6698" i="12"/>
  <c r="E6698" i="12"/>
  <c r="D6698" i="12"/>
  <c r="C6698" i="12"/>
  <c r="B6698" i="12"/>
  <c r="A6698" i="12"/>
  <c r="G6697" i="12"/>
  <c r="F6697" i="12"/>
  <c r="E6697" i="12"/>
  <c r="D6697" i="12"/>
  <c r="C6697" i="12"/>
  <c r="B6697" i="12"/>
  <c r="A6697" i="12"/>
  <c r="G6696" i="12"/>
  <c r="F6696" i="12"/>
  <c r="E6696" i="12"/>
  <c r="D6696" i="12"/>
  <c r="C6696" i="12"/>
  <c r="B6696" i="12"/>
  <c r="A6696" i="12"/>
  <c r="G6695" i="12"/>
  <c r="F6695" i="12"/>
  <c r="E6695" i="12"/>
  <c r="D6695" i="12"/>
  <c r="C6695" i="12"/>
  <c r="B6695" i="12"/>
  <c r="A6695" i="12"/>
  <c r="G6694" i="12"/>
  <c r="F6694" i="12"/>
  <c r="E6694" i="12"/>
  <c r="D6694" i="12"/>
  <c r="C6694" i="12"/>
  <c r="B6694" i="12"/>
  <c r="A6694" i="12"/>
  <c r="G6693" i="12"/>
  <c r="F6693" i="12"/>
  <c r="E6693" i="12"/>
  <c r="D6693" i="12"/>
  <c r="C6693" i="12"/>
  <c r="B6693" i="12"/>
  <c r="A6693" i="12"/>
  <c r="G6692" i="12"/>
  <c r="F6692" i="12"/>
  <c r="E6692" i="12"/>
  <c r="D6692" i="12"/>
  <c r="C6692" i="12"/>
  <c r="B6692" i="12"/>
  <c r="A6692" i="12"/>
  <c r="G6691" i="12"/>
  <c r="F6691" i="12"/>
  <c r="E6691" i="12"/>
  <c r="D6691" i="12"/>
  <c r="C6691" i="12"/>
  <c r="B6691" i="12"/>
  <c r="A6691" i="12"/>
  <c r="G6690" i="12"/>
  <c r="F6690" i="12"/>
  <c r="E6690" i="12"/>
  <c r="D6690" i="12"/>
  <c r="C6690" i="12"/>
  <c r="B6690" i="12"/>
  <c r="A6690" i="12"/>
  <c r="G6689" i="12"/>
  <c r="F6689" i="12"/>
  <c r="E6689" i="12"/>
  <c r="D6689" i="12"/>
  <c r="C6689" i="12"/>
  <c r="B6689" i="12"/>
  <c r="A6689" i="12"/>
  <c r="G6688" i="12"/>
  <c r="E6688" i="12"/>
  <c r="D6688" i="12"/>
  <c r="C6688" i="12"/>
  <c r="B6688" i="12"/>
  <c r="A6688" i="12"/>
  <c r="G6687" i="12"/>
  <c r="F6687" i="12"/>
  <c r="E6687" i="12"/>
  <c r="D6687" i="12"/>
  <c r="C6687" i="12"/>
  <c r="B6687" i="12"/>
  <c r="A6687" i="12"/>
  <c r="E6686" i="12"/>
  <c r="D6686" i="12"/>
  <c r="C6686" i="12"/>
  <c r="B6686" i="12"/>
  <c r="A6686" i="12"/>
  <c r="G6685" i="12"/>
  <c r="F6685" i="12"/>
  <c r="E6685" i="12"/>
  <c r="D6685" i="12"/>
  <c r="C6685" i="12"/>
  <c r="B6685" i="12"/>
  <c r="A6685" i="12"/>
  <c r="G6684" i="12"/>
  <c r="F6684" i="12"/>
  <c r="E6684" i="12"/>
  <c r="D6684" i="12"/>
  <c r="C6684" i="12"/>
  <c r="B6684" i="12"/>
  <c r="A6684" i="12"/>
  <c r="G6683" i="12"/>
  <c r="F6683" i="12"/>
  <c r="E6683" i="12"/>
  <c r="D6683" i="12"/>
  <c r="C6683" i="12"/>
  <c r="B6683" i="12"/>
  <c r="A6683" i="12"/>
  <c r="G6682" i="12"/>
  <c r="F6682" i="12"/>
  <c r="E6682" i="12"/>
  <c r="D6682" i="12"/>
  <c r="C6682" i="12"/>
  <c r="B6682" i="12"/>
  <c r="A6682" i="12"/>
  <c r="G6681" i="12"/>
  <c r="F6681" i="12"/>
  <c r="E6681" i="12"/>
  <c r="D6681" i="12"/>
  <c r="C6681" i="12"/>
  <c r="B6681" i="12"/>
  <c r="A6681" i="12"/>
  <c r="G6680" i="12"/>
  <c r="F6680" i="12"/>
  <c r="E6680" i="12"/>
  <c r="D6680" i="12"/>
  <c r="C6680" i="12"/>
  <c r="B6680" i="12"/>
  <c r="A6680" i="12"/>
  <c r="F6679" i="12"/>
  <c r="E6679" i="12"/>
  <c r="D6679" i="12"/>
  <c r="C6679" i="12"/>
  <c r="B6679" i="12"/>
  <c r="A6679" i="12"/>
  <c r="G6678" i="12"/>
  <c r="F6678" i="12"/>
  <c r="E6678" i="12"/>
  <c r="D6678" i="12"/>
  <c r="C6678" i="12"/>
  <c r="B6678" i="12"/>
  <c r="A6678" i="12"/>
  <c r="G6677" i="12"/>
  <c r="F6677" i="12"/>
  <c r="E6677" i="12"/>
  <c r="D6677" i="12"/>
  <c r="C6677" i="12"/>
  <c r="B6677" i="12"/>
  <c r="A6677" i="12"/>
  <c r="G6676" i="12"/>
  <c r="F6676" i="12"/>
  <c r="E6676" i="12"/>
  <c r="D6676" i="12"/>
  <c r="C6676" i="12"/>
  <c r="B6676" i="12"/>
  <c r="A6676" i="12"/>
  <c r="G6675" i="12"/>
  <c r="F6675" i="12"/>
  <c r="E6675" i="12"/>
  <c r="D6675" i="12"/>
  <c r="C6675" i="12"/>
  <c r="B6675" i="12"/>
  <c r="A6675" i="12"/>
  <c r="G6674" i="12"/>
  <c r="F6674" i="12"/>
  <c r="E6674" i="12"/>
  <c r="D6674" i="12"/>
  <c r="C6674" i="12"/>
  <c r="B6674" i="12"/>
  <c r="A6674" i="12"/>
  <c r="G6673" i="12"/>
  <c r="F6673" i="12"/>
  <c r="E6673" i="12"/>
  <c r="D6673" i="12"/>
  <c r="C6673" i="12"/>
  <c r="B6673" i="12"/>
  <c r="A6673" i="12"/>
  <c r="G6672" i="12"/>
  <c r="F6672" i="12"/>
  <c r="E6672" i="12"/>
  <c r="D6672" i="12"/>
  <c r="C6672" i="12"/>
  <c r="B6672" i="12"/>
  <c r="A6672" i="12"/>
  <c r="G6671" i="12"/>
  <c r="F6671" i="12"/>
  <c r="E6671" i="12"/>
  <c r="D6671" i="12"/>
  <c r="C6671" i="12"/>
  <c r="B6671" i="12"/>
  <c r="A6671" i="12"/>
  <c r="G6670" i="12"/>
  <c r="F6670" i="12"/>
  <c r="E6670" i="12"/>
  <c r="D6670" i="12"/>
  <c r="C6670" i="12"/>
  <c r="B6670" i="12"/>
  <c r="A6670" i="12"/>
  <c r="G6669" i="12"/>
  <c r="E6669" i="12"/>
  <c r="D6669" i="12"/>
  <c r="C6669" i="12"/>
  <c r="B6669" i="12"/>
  <c r="A6669" i="12"/>
  <c r="G6668" i="12"/>
  <c r="F6668" i="12"/>
  <c r="E6668" i="12"/>
  <c r="D6668" i="12"/>
  <c r="C6668" i="12"/>
  <c r="B6668" i="12"/>
  <c r="A6668" i="12"/>
  <c r="G6667" i="12"/>
  <c r="E6667" i="12"/>
  <c r="D6667" i="12"/>
  <c r="C6667" i="12"/>
  <c r="B6667" i="12"/>
  <c r="A6667" i="12"/>
  <c r="G6666" i="12"/>
  <c r="F6666" i="12"/>
  <c r="E6666" i="12"/>
  <c r="D6666" i="12"/>
  <c r="C6666" i="12"/>
  <c r="B6666" i="12"/>
  <c r="A6666" i="12"/>
  <c r="G6665" i="12"/>
  <c r="F6665" i="12"/>
  <c r="E6665" i="12"/>
  <c r="D6665" i="12"/>
  <c r="C6665" i="12"/>
  <c r="B6665" i="12"/>
  <c r="A6665" i="12"/>
  <c r="G6664" i="12"/>
  <c r="E6664" i="12"/>
  <c r="D6664" i="12"/>
  <c r="C6664" i="12"/>
  <c r="B6664" i="12"/>
  <c r="A6664" i="12"/>
  <c r="G6663" i="12"/>
  <c r="F6663" i="12"/>
  <c r="E6663" i="12"/>
  <c r="D6663" i="12"/>
  <c r="C6663" i="12"/>
  <c r="B6663" i="12"/>
  <c r="A6663" i="12"/>
  <c r="F6662" i="12"/>
  <c r="E6662" i="12"/>
  <c r="D6662" i="12"/>
  <c r="C6662" i="12"/>
  <c r="B6662" i="12"/>
  <c r="A6662" i="12"/>
  <c r="G6661" i="12"/>
  <c r="E6661" i="12"/>
  <c r="D6661" i="12"/>
  <c r="C6661" i="12"/>
  <c r="B6661" i="12"/>
  <c r="A6661" i="12"/>
  <c r="F6660" i="12"/>
  <c r="E6660" i="12"/>
  <c r="D6660" i="12"/>
  <c r="C6660" i="12"/>
  <c r="B6660" i="12"/>
  <c r="A6660" i="12"/>
  <c r="F6659" i="12"/>
  <c r="E6659" i="12"/>
  <c r="D6659" i="12"/>
  <c r="C6659" i="12"/>
  <c r="B6659" i="12"/>
  <c r="A6659" i="12"/>
  <c r="F6658" i="12"/>
  <c r="E6658" i="12"/>
  <c r="D6658" i="12"/>
  <c r="C6658" i="12"/>
  <c r="B6658" i="12"/>
  <c r="A6658" i="12"/>
  <c r="G6657" i="12"/>
  <c r="E6657" i="12"/>
  <c r="D6657" i="12"/>
  <c r="C6657" i="12"/>
  <c r="B6657" i="12"/>
  <c r="A6657" i="12"/>
  <c r="E6656" i="12"/>
  <c r="D6656" i="12"/>
  <c r="C6656" i="12"/>
  <c r="B6656" i="12"/>
  <c r="A6656" i="12"/>
  <c r="E6655" i="12"/>
  <c r="D6655" i="12"/>
  <c r="C6655" i="12"/>
  <c r="B6655" i="12"/>
  <c r="A6655" i="12"/>
  <c r="E6654" i="12"/>
  <c r="D6654" i="12"/>
  <c r="C6654" i="12"/>
  <c r="B6654" i="12"/>
  <c r="A6654" i="12"/>
  <c r="E6653" i="12"/>
  <c r="D6653" i="12"/>
  <c r="C6653" i="12"/>
  <c r="B6653" i="12"/>
  <c r="A6653" i="12"/>
  <c r="F6652" i="12"/>
  <c r="E6652" i="12"/>
  <c r="D6652" i="12"/>
  <c r="C6652" i="12"/>
  <c r="B6652" i="12"/>
  <c r="A6652" i="12"/>
  <c r="F6651" i="12"/>
  <c r="E6651" i="12"/>
  <c r="D6651" i="12"/>
  <c r="C6651" i="12"/>
  <c r="B6651" i="12"/>
  <c r="A6651" i="12"/>
  <c r="E6650" i="12"/>
  <c r="D6650" i="12"/>
  <c r="C6650" i="12"/>
  <c r="B6650" i="12"/>
  <c r="A6650" i="12"/>
  <c r="F6649" i="12"/>
  <c r="E6649" i="12"/>
  <c r="D6649" i="12"/>
  <c r="C6649" i="12"/>
  <c r="B6649" i="12"/>
  <c r="A6649" i="12"/>
  <c r="F6648" i="12"/>
  <c r="E6648" i="12"/>
  <c r="D6648" i="12"/>
  <c r="C6648" i="12"/>
  <c r="B6648" i="12"/>
  <c r="A6648" i="12"/>
  <c r="F6647" i="12"/>
  <c r="E6647" i="12"/>
  <c r="D6647" i="12"/>
  <c r="C6647" i="12"/>
  <c r="B6647" i="12"/>
  <c r="A6647" i="12"/>
  <c r="E6646" i="12"/>
  <c r="D6646" i="12"/>
  <c r="C6646" i="12"/>
  <c r="B6646" i="12"/>
  <c r="A6646" i="12"/>
  <c r="F6645" i="12"/>
  <c r="E6645" i="12"/>
  <c r="D6645" i="12"/>
  <c r="C6645" i="12"/>
  <c r="B6645" i="12"/>
  <c r="A6645" i="12"/>
  <c r="E6644" i="12"/>
  <c r="D6644" i="12"/>
  <c r="C6644" i="12"/>
  <c r="B6644" i="12"/>
  <c r="A6644" i="12"/>
  <c r="F6643" i="12"/>
  <c r="E6643" i="12"/>
  <c r="D6643" i="12"/>
  <c r="C6643" i="12"/>
  <c r="B6643" i="12"/>
  <c r="A6643" i="12"/>
  <c r="F6642" i="12"/>
  <c r="E6642" i="12"/>
  <c r="D6642" i="12"/>
  <c r="C6642" i="12"/>
  <c r="B6642" i="12"/>
  <c r="A6642" i="12"/>
  <c r="E6641" i="12"/>
  <c r="D6641" i="12"/>
  <c r="C6641" i="12"/>
  <c r="B6641" i="12"/>
  <c r="A6641" i="12"/>
  <c r="F6640" i="12"/>
  <c r="E6640" i="12"/>
  <c r="D6640" i="12"/>
  <c r="C6640" i="12"/>
  <c r="B6640" i="12"/>
  <c r="A6640" i="12"/>
  <c r="G6639" i="12"/>
  <c r="F6639" i="12"/>
  <c r="E6639" i="12"/>
  <c r="D6639" i="12"/>
  <c r="C6639" i="12"/>
  <c r="B6639" i="12"/>
  <c r="A6639" i="12"/>
  <c r="E6638" i="12"/>
  <c r="D6638" i="12"/>
  <c r="C6638" i="12"/>
  <c r="B6638" i="12"/>
  <c r="A6638" i="12"/>
  <c r="E6637" i="12"/>
  <c r="D6637" i="12"/>
  <c r="C6637" i="12"/>
  <c r="B6637" i="12"/>
  <c r="A6637" i="12"/>
  <c r="E6636" i="12"/>
  <c r="D6636" i="12"/>
  <c r="C6636" i="12"/>
  <c r="B6636" i="12"/>
  <c r="A6636" i="12"/>
  <c r="E6635" i="12"/>
  <c r="D6635" i="12"/>
  <c r="C6635" i="12"/>
  <c r="B6635" i="12"/>
  <c r="A6635" i="12"/>
  <c r="E6634" i="12"/>
  <c r="D6634" i="12"/>
  <c r="C6634" i="12"/>
  <c r="B6634" i="12"/>
  <c r="A6634" i="12"/>
  <c r="E6633" i="12"/>
  <c r="D6633" i="12"/>
  <c r="C6633" i="12"/>
  <c r="B6633" i="12"/>
  <c r="A6633" i="12"/>
  <c r="E6632" i="12"/>
  <c r="D6632" i="12"/>
  <c r="C6632" i="12"/>
  <c r="B6632" i="12"/>
  <c r="A6632" i="12"/>
  <c r="E6631" i="12"/>
  <c r="D6631" i="12"/>
  <c r="C6631" i="12"/>
  <c r="B6631" i="12"/>
  <c r="A6631" i="12"/>
  <c r="E6630" i="12"/>
  <c r="D6630" i="12"/>
  <c r="C6630" i="12"/>
  <c r="B6630" i="12"/>
  <c r="A6630" i="12"/>
  <c r="G6629" i="12"/>
  <c r="E6629" i="12"/>
  <c r="D6629" i="12"/>
  <c r="C6629" i="12"/>
  <c r="B6629" i="12"/>
  <c r="A6629" i="12"/>
  <c r="E6628" i="12"/>
  <c r="D6628" i="12"/>
  <c r="C6628" i="12"/>
  <c r="B6628" i="12"/>
  <c r="A6628" i="12"/>
  <c r="E6627" i="12"/>
  <c r="D6627" i="12"/>
  <c r="C6627" i="12"/>
  <c r="B6627" i="12"/>
  <c r="A6627" i="12"/>
  <c r="E6626" i="12"/>
  <c r="D6626" i="12"/>
  <c r="C6626" i="12"/>
  <c r="B6626" i="12"/>
  <c r="A6626" i="12"/>
  <c r="E6625" i="12"/>
  <c r="D6625" i="12"/>
  <c r="C6625" i="12"/>
  <c r="B6625" i="12"/>
  <c r="A6625" i="12"/>
  <c r="E6624" i="12"/>
  <c r="D6624" i="12"/>
  <c r="C6624" i="12"/>
  <c r="B6624" i="12"/>
  <c r="A6624" i="12"/>
  <c r="E6623" i="12"/>
  <c r="D6623" i="12"/>
  <c r="C6623" i="12"/>
  <c r="B6623" i="12"/>
  <c r="A6623" i="12"/>
  <c r="E6622" i="12"/>
  <c r="D6622" i="12"/>
  <c r="C6622" i="12"/>
  <c r="B6622" i="12"/>
  <c r="A6622" i="12"/>
  <c r="G6621" i="12"/>
  <c r="E6621" i="12"/>
  <c r="D6621" i="12"/>
  <c r="C6621" i="12"/>
  <c r="B6621" i="12"/>
  <c r="A6621" i="12"/>
  <c r="E6620" i="12"/>
  <c r="D6620" i="12"/>
  <c r="C6620" i="12"/>
  <c r="B6620" i="12"/>
  <c r="A6620" i="12"/>
  <c r="G6619" i="12"/>
  <c r="E6619" i="12"/>
  <c r="D6619" i="12"/>
  <c r="C6619" i="12"/>
  <c r="B6619" i="12"/>
  <c r="A6619" i="12"/>
  <c r="E6618" i="12"/>
  <c r="D6618" i="12"/>
  <c r="C6618" i="12"/>
  <c r="B6618" i="12"/>
  <c r="A6618" i="12"/>
  <c r="E6617" i="12"/>
  <c r="D6617" i="12"/>
  <c r="C6617" i="12"/>
  <c r="B6617" i="12"/>
  <c r="A6617" i="12"/>
  <c r="E6616" i="12"/>
  <c r="D6616" i="12"/>
  <c r="C6616" i="12"/>
  <c r="B6616" i="12"/>
  <c r="A6616" i="12"/>
  <c r="E6615" i="12"/>
  <c r="D6615" i="12"/>
  <c r="C6615" i="12"/>
  <c r="B6615" i="12"/>
  <c r="A6615" i="12"/>
  <c r="G6614" i="12"/>
  <c r="E6614" i="12"/>
  <c r="D6614" i="12"/>
  <c r="C6614" i="12"/>
  <c r="B6614" i="12"/>
  <c r="A6614" i="12"/>
  <c r="G6613" i="12"/>
  <c r="E6613" i="12"/>
  <c r="D6613" i="12"/>
  <c r="C6613" i="12"/>
  <c r="B6613" i="12"/>
  <c r="A6613" i="12"/>
  <c r="G6612" i="12"/>
  <c r="E6612" i="12"/>
  <c r="D6612" i="12"/>
  <c r="C6612" i="12"/>
  <c r="B6612" i="12"/>
  <c r="A6612" i="12"/>
  <c r="E6611" i="12"/>
  <c r="D6611" i="12"/>
  <c r="C6611" i="12"/>
  <c r="B6611" i="12"/>
  <c r="A6611" i="12"/>
  <c r="G6610" i="12"/>
  <c r="E6610" i="12"/>
  <c r="D6610" i="12"/>
  <c r="C6610" i="12"/>
  <c r="B6610" i="12"/>
  <c r="A6610" i="12"/>
  <c r="E6609" i="12"/>
  <c r="D6609" i="12"/>
  <c r="C6609" i="12"/>
  <c r="B6609" i="12"/>
  <c r="A6609" i="12"/>
  <c r="E6608" i="12"/>
  <c r="D6608" i="12"/>
  <c r="C6608" i="12"/>
  <c r="B6608" i="12"/>
  <c r="A6608" i="12"/>
  <c r="G6607" i="12"/>
  <c r="E6607" i="12"/>
  <c r="D6607" i="12"/>
  <c r="C6607" i="12"/>
  <c r="B6607" i="12"/>
  <c r="A6607" i="12"/>
  <c r="G6606" i="12"/>
  <c r="E6606" i="12"/>
  <c r="D6606" i="12"/>
  <c r="C6606" i="12"/>
  <c r="B6606" i="12"/>
  <c r="A6606" i="12"/>
  <c r="E6605" i="12"/>
  <c r="D6605" i="12"/>
  <c r="C6605" i="12"/>
  <c r="B6605" i="12"/>
  <c r="A6605" i="12"/>
  <c r="G6604" i="12"/>
  <c r="E6604" i="12"/>
  <c r="D6604" i="12"/>
  <c r="C6604" i="12"/>
  <c r="B6604" i="12"/>
  <c r="A6604" i="12"/>
  <c r="G6603" i="12"/>
  <c r="E6603" i="12"/>
  <c r="D6603" i="12"/>
  <c r="C6603" i="12"/>
  <c r="B6603" i="12"/>
  <c r="A6603" i="12"/>
  <c r="G6602" i="12"/>
  <c r="E6602" i="12"/>
  <c r="D6602" i="12"/>
  <c r="C6602" i="12"/>
  <c r="B6602" i="12"/>
  <c r="A6602" i="12"/>
  <c r="E6601" i="12"/>
  <c r="D6601" i="12"/>
  <c r="C6601" i="12"/>
  <c r="B6601" i="12"/>
  <c r="A6601" i="12"/>
  <c r="E6600" i="12"/>
  <c r="D6600" i="12"/>
  <c r="C6600" i="12"/>
  <c r="B6600" i="12"/>
  <c r="A6600" i="12"/>
  <c r="G6599" i="12"/>
  <c r="E6599" i="12"/>
  <c r="D6599" i="12"/>
  <c r="C6599" i="12"/>
  <c r="B6599" i="12"/>
  <c r="A6599" i="12"/>
  <c r="E6598" i="12"/>
  <c r="D6598" i="12"/>
  <c r="C6598" i="12"/>
  <c r="B6598" i="12"/>
  <c r="A6598" i="12"/>
  <c r="E6597" i="12"/>
  <c r="D6597" i="12"/>
  <c r="C6597" i="12"/>
  <c r="B6597" i="12"/>
  <c r="A6597" i="12"/>
  <c r="E6596" i="12"/>
  <c r="D6596" i="12"/>
  <c r="C6596" i="12"/>
  <c r="B6596" i="12"/>
  <c r="A6596" i="12"/>
  <c r="E6595" i="12"/>
  <c r="D6595" i="12"/>
  <c r="C6595" i="12"/>
  <c r="B6595" i="12"/>
  <c r="A6595" i="12"/>
  <c r="E6594" i="12"/>
  <c r="D6594" i="12"/>
  <c r="C6594" i="12"/>
  <c r="B6594" i="12"/>
  <c r="A6594" i="12"/>
  <c r="E6593" i="12"/>
  <c r="D6593" i="12"/>
  <c r="C6593" i="12"/>
  <c r="B6593" i="12"/>
  <c r="A6593" i="12"/>
  <c r="E6592" i="12"/>
  <c r="D6592" i="12"/>
  <c r="C6592" i="12"/>
  <c r="B6592" i="12"/>
  <c r="A6592" i="12"/>
  <c r="E6591" i="12"/>
  <c r="D6591" i="12"/>
  <c r="C6591" i="12"/>
  <c r="B6591" i="12"/>
  <c r="A6591" i="12"/>
  <c r="G6590" i="12"/>
  <c r="E6590" i="12"/>
  <c r="D6590" i="12"/>
  <c r="C6590" i="12"/>
  <c r="B6590" i="12"/>
  <c r="A6590" i="12"/>
  <c r="G6589" i="12"/>
  <c r="E6589" i="12"/>
  <c r="D6589" i="12"/>
  <c r="C6589" i="12"/>
  <c r="B6589" i="12"/>
  <c r="A6589" i="12"/>
  <c r="E6588" i="12"/>
  <c r="D6588" i="12"/>
  <c r="C6588" i="12"/>
  <c r="B6588" i="12"/>
  <c r="A6588" i="12"/>
  <c r="E6587" i="12"/>
  <c r="D6587" i="12"/>
  <c r="C6587" i="12"/>
  <c r="B6587" i="12"/>
  <c r="A6587" i="12"/>
  <c r="E6586" i="12"/>
  <c r="D6586" i="12"/>
  <c r="C6586" i="12"/>
  <c r="B6586" i="12"/>
  <c r="A6586" i="12"/>
  <c r="E6585" i="12"/>
  <c r="D6585" i="12"/>
  <c r="C6585" i="12"/>
  <c r="B6585" i="12"/>
  <c r="A6585" i="12"/>
  <c r="E6584" i="12"/>
  <c r="D6584" i="12"/>
  <c r="C6584" i="12"/>
  <c r="B6584" i="12"/>
  <c r="A6584" i="12"/>
  <c r="E6583" i="12"/>
  <c r="D6583" i="12"/>
  <c r="C6583" i="12"/>
  <c r="B6583" i="12"/>
  <c r="A6583" i="12"/>
  <c r="E6582" i="12"/>
  <c r="D6582" i="12"/>
  <c r="C6582" i="12"/>
  <c r="B6582" i="12"/>
  <c r="A6582" i="12"/>
  <c r="E6581" i="12"/>
  <c r="D6581" i="12"/>
  <c r="C6581" i="12"/>
  <c r="B6581" i="12"/>
  <c r="A6581" i="12"/>
  <c r="E6580" i="12"/>
  <c r="D6580" i="12"/>
  <c r="C6580" i="12"/>
  <c r="B6580" i="12"/>
  <c r="A6580" i="12"/>
  <c r="E6579" i="12"/>
  <c r="D6579" i="12"/>
  <c r="C6579" i="12"/>
  <c r="B6579" i="12"/>
  <c r="A6579" i="12"/>
  <c r="E6578" i="12"/>
  <c r="D6578" i="12"/>
  <c r="C6578" i="12"/>
  <c r="B6578" i="12"/>
  <c r="A6578" i="12"/>
  <c r="E6577" i="12"/>
  <c r="D6577" i="12"/>
  <c r="C6577" i="12"/>
  <c r="B6577" i="12"/>
  <c r="A6577" i="12"/>
  <c r="E6576" i="12"/>
  <c r="D6576" i="12"/>
  <c r="C6576" i="12"/>
  <c r="B6576" i="12"/>
  <c r="A6576" i="12"/>
  <c r="E6575" i="12"/>
  <c r="D6575" i="12"/>
  <c r="C6575" i="12"/>
  <c r="B6575" i="12"/>
  <c r="A6575" i="12"/>
  <c r="E6574" i="12"/>
  <c r="D6574" i="12"/>
  <c r="C6574" i="12"/>
  <c r="B6574" i="12"/>
  <c r="A6574" i="12"/>
  <c r="E6573" i="12"/>
  <c r="D6573" i="12"/>
  <c r="C6573" i="12"/>
  <c r="B6573" i="12"/>
  <c r="A6573" i="12"/>
  <c r="E6572" i="12"/>
  <c r="D6572" i="12"/>
  <c r="C6572" i="12"/>
  <c r="B6572" i="12"/>
  <c r="A6572" i="12"/>
  <c r="E6571" i="12"/>
  <c r="D6571" i="12"/>
  <c r="C6571" i="12"/>
  <c r="B6571" i="12"/>
  <c r="A6571" i="12"/>
  <c r="E6570" i="12"/>
  <c r="D6570" i="12"/>
  <c r="C6570" i="12"/>
  <c r="B6570" i="12"/>
  <c r="A6570" i="12"/>
  <c r="E6569" i="12"/>
  <c r="D6569" i="12"/>
  <c r="C6569" i="12"/>
  <c r="B6569" i="12"/>
  <c r="A6569" i="12"/>
  <c r="E6568" i="12"/>
  <c r="D6568" i="12"/>
  <c r="C6568" i="12"/>
  <c r="B6568" i="12"/>
  <c r="A6568" i="12"/>
  <c r="E6567" i="12"/>
  <c r="D6567" i="12"/>
  <c r="C6567" i="12"/>
  <c r="B6567" i="12"/>
  <c r="A6567" i="12"/>
  <c r="E6566" i="12"/>
  <c r="D6566" i="12"/>
  <c r="C6566" i="12"/>
  <c r="B6566" i="12"/>
  <c r="A6566" i="12"/>
  <c r="E6565" i="12"/>
  <c r="D6565" i="12"/>
  <c r="C6565" i="12"/>
  <c r="B6565" i="12"/>
  <c r="A6565" i="12"/>
  <c r="G6564" i="12"/>
  <c r="E6564" i="12"/>
  <c r="D6564" i="12"/>
  <c r="C6564" i="12"/>
  <c r="B6564" i="12"/>
  <c r="A6564" i="12"/>
  <c r="E6563" i="12"/>
  <c r="D6563" i="12"/>
  <c r="C6563" i="12"/>
  <c r="B6563" i="12"/>
  <c r="A6563" i="12"/>
  <c r="E6562" i="12"/>
  <c r="D6562" i="12"/>
  <c r="C6562" i="12"/>
  <c r="B6562" i="12"/>
  <c r="A6562" i="12"/>
  <c r="E6561" i="12"/>
  <c r="D6561" i="12"/>
  <c r="C6561" i="12"/>
  <c r="B6561" i="12"/>
  <c r="A6561" i="12"/>
  <c r="E6560" i="12"/>
  <c r="D6560" i="12"/>
  <c r="C6560" i="12"/>
  <c r="B6560" i="12"/>
  <c r="A6560" i="12"/>
  <c r="E6559" i="12"/>
  <c r="D6559" i="12"/>
  <c r="C6559" i="12"/>
  <c r="B6559" i="12"/>
  <c r="A6559" i="12"/>
  <c r="E6558" i="12"/>
  <c r="D6558" i="12"/>
  <c r="C6558" i="12"/>
  <c r="A6558" i="12"/>
  <c r="E6557" i="12"/>
  <c r="D6557" i="12"/>
  <c r="C6557" i="12"/>
  <c r="B6557" i="12"/>
  <c r="A6557" i="12"/>
  <c r="E6556" i="12"/>
  <c r="D6556" i="12"/>
  <c r="C6556" i="12"/>
  <c r="A6556" i="12"/>
  <c r="E6555" i="12"/>
  <c r="D6555" i="12"/>
  <c r="C6555" i="12"/>
  <c r="A6555" i="12"/>
  <c r="G6554" i="12"/>
  <c r="E6554" i="12"/>
  <c r="D6554" i="12"/>
  <c r="C6554" i="12"/>
  <c r="B6554" i="12"/>
  <c r="A6554" i="12"/>
  <c r="G6553" i="12"/>
  <c r="E6553" i="12"/>
  <c r="D6553" i="12"/>
  <c r="C6553" i="12"/>
  <c r="B6553" i="12"/>
  <c r="A6553" i="12"/>
  <c r="G6552" i="12"/>
  <c r="E6552" i="12"/>
  <c r="D6552" i="12"/>
  <c r="C6552" i="12"/>
  <c r="B6552" i="12"/>
  <c r="A6552" i="12"/>
  <c r="G6551" i="12"/>
  <c r="E6551" i="12"/>
  <c r="D6551" i="12"/>
  <c r="C6551" i="12"/>
  <c r="B6551" i="12"/>
  <c r="A6551" i="12"/>
  <c r="G6550" i="12"/>
  <c r="E6550" i="12"/>
  <c r="D6550" i="12"/>
  <c r="C6550" i="12"/>
  <c r="B6550" i="12"/>
  <c r="A6550" i="12"/>
  <c r="G6549" i="12"/>
  <c r="E6549" i="12"/>
  <c r="D6549" i="12"/>
  <c r="C6549" i="12"/>
  <c r="B6549" i="12"/>
  <c r="A6549" i="12"/>
  <c r="G6548" i="12"/>
  <c r="E6548" i="12"/>
  <c r="D6548" i="12"/>
  <c r="C6548" i="12"/>
  <c r="B6548" i="12"/>
  <c r="A6548" i="12"/>
  <c r="E6547" i="12"/>
  <c r="D6547" i="12"/>
  <c r="C6547" i="12"/>
  <c r="B6547" i="12"/>
  <c r="A6547" i="12"/>
  <c r="G6546" i="12"/>
  <c r="E6546" i="12"/>
  <c r="D6546" i="12"/>
  <c r="C6546" i="12"/>
  <c r="B6546" i="12"/>
  <c r="A6546" i="12"/>
  <c r="G6545" i="12"/>
  <c r="E6545" i="12"/>
  <c r="D6545" i="12"/>
  <c r="C6545" i="12"/>
  <c r="B6545" i="12"/>
  <c r="A6545" i="12"/>
  <c r="G6544" i="12"/>
  <c r="E6544" i="12"/>
  <c r="D6544" i="12"/>
  <c r="C6544" i="12"/>
  <c r="B6544" i="12"/>
  <c r="A6544" i="12"/>
  <c r="G6543" i="12"/>
  <c r="E6543" i="12"/>
  <c r="D6543" i="12"/>
  <c r="C6543" i="12"/>
  <c r="B6543" i="12"/>
  <c r="A6543" i="12"/>
  <c r="G6542" i="12"/>
  <c r="E6542" i="12"/>
  <c r="D6542" i="12"/>
  <c r="C6542" i="12"/>
  <c r="B6542" i="12"/>
  <c r="A6542" i="12"/>
  <c r="G6541" i="12"/>
  <c r="E6541" i="12"/>
  <c r="D6541" i="12"/>
  <c r="C6541" i="12"/>
  <c r="B6541" i="12"/>
  <c r="A6541" i="12"/>
  <c r="G6540" i="12"/>
  <c r="E6540" i="12"/>
  <c r="D6540" i="12"/>
  <c r="C6540" i="12"/>
  <c r="B6540" i="12"/>
  <c r="A6540" i="12"/>
  <c r="G6539" i="12"/>
  <c r="E6539" i="12"/>
  <c r="D6539" i="12"/>
  <c r="C6539" i="12"/>
  <c r="B6539" i="12"/>
  <c r="A6539" i="12"/>
  <c r="G6538" i="12"/>
  <c r="E6538" i="12"/>
  <c r="D6538" i="12"/>
  <c r="C6538" i="12"/>
  <c r="B6538" i="12"/>
  <c r="A6538" i="12"/>
  <c r="G6537" i="12"/>
  <c r="E6537" i="12"/>
  <c r="D6537" i="12"/>
  <c r="C6537" i="12"/>
  <c r="B6537" i="12"/>
  <c r="A6537" i="12"/>
  <c r="G6536" i="12"/>
  <c r="F6536" i="12"/>
  <c r="E6536" i="12"/>
  <c r="D6536" i="12"/>
  <c r="C6536" i="12"/>
  <c r="B6536" i="12"/>
  <c r="A6536" i="12"/>
  <c r="G6535" i="12"/>
  <c r="E6535" i="12"/>
  <c r="D6535" i="12"/>
  <c r="C6535" i="12"/>
  <c r="B6535" i="12"/>
  <c r="A6535" i="12"/>
  <c r="G6534" i="12"/>
  <c r="F6534" i="12"/>
  <c r="E6534" i="12"/>
  <c r="D6534" i="12"/>
  <c r="C6534" i="12"/>
  <c r="B6534" i="12"/>
  <c r="A6534" i="12"/>
  <c r="G6533" i="12"/>
  <c r="F6533" i="12"/>
  <c r="E6533" i="12"/>
  <c r="D6533" i="12"/>
  <c r="C6533" i="12"/>
  <c r="B6533" i="12"/>
  <c r="A6533" i="12"/>
  <c r="G6532" i="12"/>
  <c r="F6532" i="12"/>
  <c r="E6532" i="12"/>
  <c r="D6532" i="12"/>
  <c r="C6532" i="12"/>
  <c r="B6532" i="12"/>
  <c r="A6532" i="12"/>
  <c r="G6531" i="12"/>
  <c r="F6531" i="12"/>
  <c r="E6531" i="12"/>
  <c r="D6531" i="12"/>
  <c r="C6531" i="12"/>
  <c r="B6531" i="12"/>
  <c r="A6531" i="12"/>
  <c r="G6530" i="12"/>
  <c r="F6530" i="12"/>
  <c r="E6530" i="12"/>
  <c r="D6530" i="12"/>
  <c r="C6530" i="12"/>
  <c r="B6530" i="12"/>
  <c r="A6530" i="12"/>
  <c r="G6529" i="12"/>
  <c r="F6529" i="12"/>
  <c r="E6529" i="12"/>
  <c r="D6529" i="12"/>
  <c r="C6529" i="12"/>
  <c r="B6529" i="12"/>
  <c r="A6529" i="12"/>
  <c r="E6528" i="12"/>
  <c r="D6528" i="12"/>
  <c r="C6528" i="12"/>
  <c r="B6528" i="12"/>
  <c r="A6528" i="12"/>
  <c r="E6527" i="12"/>
  <c r="D6527" i="12"/>
  <c r="C6527" i="12"/>
  <c r="B6527" i="12"/>
  <c r="A6527" i="12"/>
  <c r="G6526" i="12"/>
  <c r="F6526" i="12"/>
  <c r="E6526" i="12"/>
  <c r="D6526" i="12"/>
  <c r="C6526" i="12"/>
  <c r="B6526" i="12"/>
  <c r="A6526" i="12"/>
  <c r="F6525" i="12"/>
  <c r="E6525" i="12"/>
  <c r="D6525" i="12"/>
  <c r="C6525" i="12"/>
  <c r="B6525" i="12"/>
  <c r="A6525" i="12"/>
  <c r="F6524" i="12"/>
  <c r="E6524" i="12"/>
  <c r="D6524" i="12"/>
  <c r="C6524" i="12"/>
  <c r="B6524" i="12"/>
  <c r="A6524" i="12"/>
  <c r="F6523" i="12"/>
  <c r="E6523" i="12"/>
  <c r="D6523" i="12"/>
  <c r="C6523" i="12"/>
  <c r="B6523" i="12"/>
  <c r="A6523" i="12"/>
  <c r="F6522" i="12"/>
  <c r="E6522" i="12"/>
  <c r="D6522" i="12"/>
  <c r="C6522" i="12"/>
  <c r="B6522" i="12"/>
  <c r="A6522" i="12"/>
  <c r="G6521" i="12"/>
  <c r="F6521" i="12"/>
  <c r="E6521" i="12"/>
  <c r="D6521" i="12"/>
  <c r="C6521" i="12"/>
  <c r="B6521" i="12"/>
  <c r="A6521" i="12"/>
  <c r="G6520" i="12"/>
  <c r="F6520" i="12"/>
  <c r="E6520" i="12"/>
  <c r="D6520" i="12"/>
  <c r="C6520" i="12"/>
  <c r="B6520" i="12"/>
  <c r="A6520" i="12"/>
  <c r="F6519" i="12"/>
  <c r="E6519" i="12"/>
  <c r="D6519" i="12"/>
  <c r="C6519" i="12"/>
  <c r="B6519" i="12"/>
  <c r="A6519" i="12"/>
  <c r="F6518" i="12"/>
  <c r="E6518" i="12"/>
  <c r="D6518" i="12"/>
  <c r="C6518" i="12"/>
  <c r="B6518" i="12"/>
  <c r="A6518" i="12"/>
  <c r="F6517" i="12"/>
  <c r="E6517" i="12"/>
  <c r="D6517" i="12"/>
  <c r="C6517" i="12"/>
  <c r="B6517" i="12"/>
  <c r="A6517" i="12"/>
  <c r="F6516" i="12"/>
  <c r="E6516" i="12"/>
  <c r="D6516" i="12"/>
  <c r="C6516" i="12"/>
  <c r="B6516" i="12"/>
  <c r="A6516" i="12"/>
  <c r="F6515" i="12"/>
  <c r="E6515" i="12"/>
  <c r="D6515" i="12"/>
  <c r="C6515" i="12"/>
  <c r="B6515" i="12"/>
  <c r="A6515" i="12"/>
  <c r="F6514" i="12"/>
  <c r="E6514" i="12"/>
  <c r="D6514" i="12"/>
  <c r="C6514" i="12"/>
  <c r="B6514" i="12"/>
  <c r="A6514" i="12"/>
  <c r="F6513" i="12"/>
  <c r="E6513" i="12"/>
  <c r="D6513" i="12"/>
  <c r="C6513" i="12"/>
  <c r="B6513" i="12"/>
  <c r="A6513" i="12"/>
  <c r="F6512" i="12"/>
  <c r="E6512" i="12"/>
  <c r="D6512" i="12"/>
  <c r="C6512" i="12"/>
  <c r="B6512" i="12"/>
  <c r="A6512" i="12"/>
  <c r="G6511" i="12"/>
  <c r="F6511" i="12"/>
  <c r="E6511" i="12"/>
  <c r="D6511" i="12"/>
  <c r="C6511" i="12"/>
  <c r="B6511" i="12"/>
  <c r="A6511" i="12"/>
  <c r="F6510" i="12"/>
  <c r="E6510" i="12"/>
  <c r="D6510" i="12"/>
  <c r="C6510" i="12"/>
  <c r="B6510" i="12"/>
  <c r="A6510" i="12"/>
  <c r="F6509" i="12"/>
  <c r="E6509" i="12"/>
  <c r="D6509" i="12"/>
  <c r="C6509" i="12"/>
  <c r="B6509" i="12"/>
  <c r="A6509" i="12"/>
  <c r="G6508" i="12"/>
  <c r="F6508" i="12"/>
  <c r="E6508" i="12"/>
  <c r="D6508" i="12"/>
  <c r="C6508" i="12"/>
  <c r="B6508" i="12"/>
  <c r="A6508" i="12"/>
  <c r="F6507" i="12"/>
  <c r="E6507" i="12"/>
  <c r="D6507" i="12"/>
  <c r="C6507" i="12"/>
  <c r="B6507" i="12"/>
  <c r="A6507" i="12"/>
  <c r="G6506" i="12"/>
  <c r="F6506" i="12"/>
  <c r="E6506" i="12"/>
  <c r="D6506" i="12"/>
  <c r="C6506" i="12"/>
  <c r="B6506" i="12"/>
  <c r="A6506" i="12"/>
  <c r="F6505" i="12"/>
  <c r="E6505" i="12"/>
  <c r="D6505" i="12"/>
  <c r="C6505" i="12"/>
  <c r="B6505" i="12"/>
  <c r="A6505" i="12"/>
  <c r="F6504" i="12"/>
  <c r="E6504" i="12"/>
  <c r="D6504" i="12"/>
  <c r="C6504" i="12"/>
  <c r="B6504" i="12"/>
  <c r="A6504" i="12"/>
  <c r="F6503" i="12"/>
  <c r="E6503" i="12"/>
  <c r="D6503" i="12"/>
  <c r="C6503" i="12"/>
  <c r="B6503" i="12"/>
  <c r="A6503" i="12"/>
  <c r="F6502" i="12"/>
  <c r="E6502" i="12"/>
  <c r="D6502" i="12"/>
  <c r="C6502" i="12"/>
  <c r="B6502" i="12"/>
  <c r="A6502" i="12"/>
  <c r="F6501" i="12"/>
  <c r="E6501" i="12"/>
  <c r="D6501" i="12"/>
  <c r="C6501" i="12"/>
  <c r="B6501" i="12"/>
  <c r="A6501" i="12"/>
  <c r="F6500" i="12"/>
  <c r="E6500" i="12"/>
  <c r="D6500" i="12"/>
  <c r="C6500" i="12"/>
  <c r="B6500" i="12"/>
  <c r="A6500" i="12"/>
  <c r="G6499" i="12"/>
  <c r="F6499" i="12"/>
  <c r="E6499" i="12"/>
  <c r="D6499" i="12"/>
  <c r="C6499" i="12"/>
  <c r="B6499" i="12"/>
  <c r="A6499" i="12"/>
  <c r="F6498" i="12"/>
  <c r="E6498" i="12"/>
  <c r="D6498" i="12"/>
  <c r="C6498" i="12"/>
  <c r="B6498" i="12"/>
  <c r="A6498" i="12"/>
  <c r="G6497" i="12"/>
  <c r="F6497" i="12"/>
  <c r="E6497" i="12"/>
  <c r="D6497" i="12"/>
  <c r="C6497" i="12"/>
  <c r="B6497" i="12"/>
  <c r="A6497" i="12"/>
  <c r="F6496" i="12"/>
  <c r="E6496" i="12"/>
  <c r="D6496" i="12"/>
  <c r="C6496" i="12"/>
  <c r="B6496" i="12"/>
  <c r="A6496" i="12"/>
  <c r="F6495" i="12"/>
  <c r="E6495" i="12"/>
  <c r="D6495" i="12"/>
  <c r="C6495" i="12"/>
  <c r="B6495" i="12"/>
  <c r="A6495" i="12"/>
  <c r="F6494" i="12"/>
  <c r="E6494" i="12"/>
  <c r="D6494" i="12"/>
  <c r="C6494" i="12"/>
  <c r="B6494" i="12"/>
  <c r="A6494" i="12"/>
  <c r="F6493" i="12"/>
  <c r="E6493" i="12"/>
  <c r="D6493" i="12"/>
  <c r="C6493" i="12"/>
  <c r="B6493" i="12"/>
  <c r="A6493" i="12"/>
  <c r="G6492" i="12"/>
  <c r="F6492" i="12"/>
  <c r="E6492" i="12"/>
  <c r="D6492" i="12"/>
  <c r="C6492" i="12"/>
  <c r="B6492" i="12"/>
  <c r="A6492" i="12"/>
  <c r="G6491" i="12"/>
  <c r="F6491" i="12"/>
  <c r="E6491" i="12"/>
  <c r="D6491" i="12"/>
  <c r="C6491" i="12"/>
  <c r="B6491" i="12"/>
  <c r="A6491" i="12"/>
  <c r="G6490" i="12"/>
  <c r="F6490" i="12"/>
  <c r="E6490" i="12"/>
  <c r="D6490" i="12"/>
  <c r="C6490" i="12"/>
  <c r="B6490" i="12"/>
  <c r="A6490" i="12"/>
  <c r="G6489" i="12"/>
  <c r="F6489" i="12"/>
  <c r="E6489" i="12"/>
  <c r="D6489" i="12"/>
  <c r="C6489" i="12"/>
  <c r="B6489" i="12"/>
  <c r="A6489" i="12"/>
  <c r="G6488" i="12"/>
  <c r="F6488" i="12"/>
  <c r="E6488" i="12"/>
  <c r="D6488" i="12"/>
  <c r="C6488" i="12"/>
  <c r="B6488" i="12"/>
  <c r="A6488" i="12"/>
  <c r="F6487" i="12"/>
  <c r="E6487" i="12"/>
  <c r="D6487" i="12"/>
  <c r="C6487" i="12"/>
  <c r="B6487" i="12"/>
  <c r="A6487" i="12"/>
  <c r="G6486" i="12"/>
  <c r="F6486" i="12"/>
  <c r="E6486" i="12"/>
  <c r="D6486" i="12"/>
  <c r="C6486" i="12"/>
  <c r="B6486" i="12"/>
  <c r="A6486" i="12"/>
  <c r="F6485" i="12"/>
  <c r="E6485" i="12"/>
  <c r="D6485" i="12"/>
  <c r="C6485" i="12"/>
  <c r="B6485" i="12"/>
  <c r="A6485" i="12"/>
  <c r="F6484" i="12"/>
  <c r="E6484" i="12"/>
  <c r="D6484" i="12"/>
  <c r="C6484" i="12"/>
  <c r="B6484" i="12"/>
  <c r="A6484" i="12"/>
  <c r="F6483" i="12"/>
  <c r="E6483" i="12"/>
  <c r="D6483" i="12"/>
  <c r="C6483" i="12"/>
  <c r="B6483" i="12"/>
  <c r="A6483" i="12"/>
  <c r="E6482" i="12"/>
  <c r="D6482" i="12"/>
  <c r="C6482" i="12"/>
  <c r="B6482" i="12"/>
  <c r="A6482" i="12"/>
  <c r="F6481" i="12"/>
  <c r="E6481" i="12"/>
  <c r="D6481" i="12"/>
  <c r="C6481" i="12"/>
  <c r="B6481" i="12"/>
  <c r="A6481" i="12"/>
  <c r="E6480" i="12"/>
  <c r="D6480" i="12"/>
  <c r="C6480" i="12"/>
  <c r="B6480" i="12"/>
  <c r="A6480" i="12"/>
  <c r="E6479" i="12"/>
  <c r="D6479" i="12"/>
  <c r="C6479" i="12"/>
  <c r="B6479" i="12"/>
  <c r="A6479" i="12"/>
  <c r="F6478" i="12"/>
  <c r="E6478" i="12"/>
  <c r="D6478" i="12"/>
  <c r="C6478" i="12"/>
  <c r="B6478" i="12"/>
  <c r="A6478" i="12"/>
  <c r="E6477" i="12"/>
  <c r="D6477" i="12"/>
  <c r="C6477" i="12"/>
  <c r="B6477" i="12"/>
  <c r="A6477" i="12"/>
  <c r="F6476" i="12"/>
  <c r="E6476" i="12"/>
  <c r="D6476" i="12"/>
  <c r="C6476" i="12"/>
  <c r="B6476" i="12"/>
  <c r="A6476" i="12"/>
  <c r="G6475" i="12"/>
  <c r="F6475" i="12"/>
  <c r="E6475" i="12"/>
  <c r="D6475" i="12"/>
  <c r="C6475" i="12"/>
  <c r="B6475" i="12"/>
  <c r="A6475" i="12"/>
  <c r="G6474" i="12"/>
  <c r="F6474" i="12"/>
  <c r="E6474" i="12"/>
  <c r="D6474" i="12"/>
  <c r="C6474" i="12"/>
  <c r="B6474" i="12"/>
  <c r="A6474" i="12"/>
  <c r="G6473" i="12"/>
  <c r="F6473" i="12"/>
  <c r="E6473" i="12"/>
  <c r="D6473" i="12"/>
  <c r="C6473" i="12"/>
  <c r="B6473" i="12"/>
  <c r="A6473" i="12"/>
  <c r="F6472" i="12"/>
  <c r="E6472" i="12"/>
  <c r="D6472" i="12"/>
  <c r="C6472" i="12"/>
  <c r="B6472" i="12"/>
  <c r="A6472" i="12"/>
  <c r="F6471" i="12"/>
  <c r="E6471" i="12"/>
  <c r="D6471" i="12"/>
  <c r="C6471" i="12"/>
  <c r="B6471" i="12"/>
  <c r="A6471" i="12"/>
  <c r="E6470" i="12"/>
  <c r="D6470" i="12"/>
  <c r="C6470" i="12"/>
  <c r="B6470" i="12"/>
  <c r="A6470" i="12"/>
  <c r="E6469" i="12"/>
  <c r="D6469" i="12"/>
  <c r="C6469" i="12"/>
  <c r="B6469" i="12"/>
  <c r="A6469" i="12"/>
  <c r="F6468" i="12"/>
  <c r="E6468" i="12"/>
  <c r="D6468" i="12"/>
  <c r="C6468" i="12"/>
  <c r="B6468" i="12"/>
  <c r="A6468" i="12"/>
  <c r="F6467" i="12"/>
  <c r="E6467" i="12"/>
  <c r="D6467" i="12"/>
  <c r="C6467" i="12"/>
  <c r="B6467" i="12"/>
  <c r="A6467" i="12"/>
  <c r="G6466" i="12"/>
  <c r="E6466" i="12"/>
  <c r="D6466" i="12"/>
  <c r="C6466" i="12"/>
  <c r="B6466" i="12"/>
  <c r="A6466" i="12"/>
  <c r="G6465" i="12"/>
  <c r="F6465" i="12"/>
  <c r="E6465" i="12"/>
  <c r="D6465" i="12"/>
  <c r="C6465" i="12"/>
  <c r="B6465" i="12"/>
  <c r="A6465" i="12"/>
  <c r="G6464" i="12"/>
  <c r="F6464" i="12"/>
  <c r="E6464" i="12"/>
  <c r="D6464" i="12"/>
  <c r="C6464" i="12"/>
  <c r="B6464" i="12"/>
  <c r="A6464" i="12"/>
  <c r="F6463" i="12"/>
  <c r="E6463" i="12"/>
  <c r="D6463" i="12"/>
  <c r="C6463" i="12"/>
  <c r="B6463" i="12"/>
  <c r="A6463" i="12"/>
  <c r="G6462" i="12"/>
  <c r="F6462" i="12"/>
  <c r="E6462" i="12"/>
  <c r="D6462" i="12"/>
  <c r="C6462" i="12"/>
  <c r="B6462" i="12"/>
  <c r="A6462" i="12"/>
  <c r="G6461" i="12"/>
  <c r="F6461" i="12"/>
  <c r="E6461" i="12"/>
  <c r="D6461" i="12"/>
  <c r="C6461" i="12"/>
  <c r="B6461" i="12"/>
  <c r="A6461" i="12"/>
  <c r="G6460" i="12"/>
  <c r="F6460" i="12"/>
  <c r="E6460" i="12"/>
  <c r="D6460" i="12"/>
  <c r="C6460" i="12"/>
  <c r="B6460" i="12"/>
  <c r="A6460" i="12"/>
  <c r="G6459" i="12"/>
  <c r="F6459" i="12"/>
  <c r="E6459" i="12"/>
  <c r="D6459" i="12"/>
  <c r="C6459" i="12"/>
  <c r="B6459" i="12"/>
  <c r="A6459" i="12"/>
  <c r="F6458" i="12"/>
  <c r="E6458" i="12"/>
  <c r="D6458" i="12"/>
  <c r="C6458" i="12"/>
  <c r="B6458" i="12"/>
  <c r="A6458" i="12"/>
  <c r="G6457" i="12"/>
  <c r="F6457" i="12"/>
  <c r="E6457" i="12"/>
  <c r="D6457" i="12"/>
  <c r="C6457" i="12"/>
  <c r="B6457" i="12"/>
  <c r="A6457" i="12"/>
  <c r="F6456" i="12"/>
  <c r="E6456" i="12"/>
  <c r="D6456" i="12"/>
  <c r="C6456" i="12"/>
  <c r="B6456" i="12"/>
  <c r="A6456" i="12"/>
  <c r="F6455" i="12"/>
  <c r="E6455" i="12"/>
  <c r="D6455" i="12"/>
  <c r="C6455" i="12"/>
  <c r="B6455" i="12"/>
  <c r="A6455" i="12"/>
  <c r="F6454" i="12"/>
  <c r="E6454" i="12"/>
  <c r="D6454" i="12"/>
  <c r="C6454" i="12"/>
  <c r="B6454" i="12"/>
  <c r="A6454" i="12"/>
  <c r="G6453" i="12"/>
  <c r="F6453" i="12"/>
  <c r="E6453" i="12"/>
  <c r="D6453" i="12"/>
  <c r="C6453" i="12"/>
  <c r="B6453" i="12"/>
  <c r="A6453" i="12"/>
  <c r="F6452" i="12"/>
  <c r="E6452" i="12"/>
  <c r="D6452" i="12"/>
  <c r="C6452" i="12"/>
  <c r="B6452" i="12"/>
  <c r="A6452" i="12"/>
  <c r="F6451" i="12"/>
  <c r="E6451" i="12"/>
  <c r="D6451" i="12"/>
  <c r="C6451" i="12"/>
  <c r="B6451" i="12"/>
  <c r="A6451" i="12"/>
  <c r="G6450" i="12"/>
  <c r="F6450" i="12"/>
  <c r="E6450" i="12"/>
  <c r="D6450" i="12"/>
  <c r="C6450" i="12"/>
  <c r="B6450" i="12"/>
  <c r="A6450" i="12"/>
  <c r="F6449" i="12"/>
  <c r="E6449" i="12"/>
  <c r="D6449" i="12"/>
  <c r="C6449" i="12"/>
  <c r="B6449" i="12"/>
  <c r="A6449" i="12"/>
  <c r="G6448" i="12"/>
  <c r="F6448" i="12"/>
  <c r="E6448" i="12"/>
  <c r="D6448" i="12"/>
  <c r="C6448" i="12"/>
  <c r="B6448" i="12"/>
  <c r="A6448" i="12"/>
  <c r="G6447" i="12"/>
  <c r="F6447" i="12"/>
  <c r="E6447" i="12"/>
  <c r="D6447" i="12"/>
  <c r="C6447" i="12"/>
  <c r="B6447" i="12"/>
  <c r="A6447" i="12"/>
  <c r="G6446" i="12"/>
  <c r="F6446" i="12"/>
  <c r="E6446" i="12"/>
  <c r="D6446" i="12"/>
  <c r="C6446" i="12"/>
  <c r="B6446" i="12"/>
  <c r="A6446" i="12"/>
  <c r="G6445" i="12"/>
  <c r="F6445" i="12"/>
  <c r="E6445" i="12"/>
  <c r="D6445" i="12"/>
  <c r="C6445" i="12"/>
  <c r="B6445" i="12"/>
  <c r="A6445" i="12"/>
  <c r="G6444" i="12"/>
  <c r="E6444" i="12"/>
  <c r="D6444" i="12"/>
  <c r="C6444" i="12"/>
  <c r="B6444" i="12"/>
  <c r="A6444" i="12"/>
  <c r="G6443" i="12"/>
  <c r="F6443" i="12"/>
  <c r="E6443" i="12"/>
  <c r="D6443" i="12"/>
  <c r="C6443" i="12"/>
  <c r="B6443" i="12"/>
  <c r="A6443" i="12"/>
  <c r="G6442" i="12"/>
  <c r="F6442" i="12"/>
  <c r="E6442" i="12"/>
  <c r="D6442" i="12"/>
  <c r="C6442" i="12"/>
  <c r="B6442" i="12"/>
  <c r="A6442" i="12"/>
  <c r="F6441" i="12"/>
  <c r="E6441" i="12"/>
  <c r="D6441" i="12"/>
  <c r="C6441" i="12"/>
  <c r="B6441" i="12"/>
  <c r="A6441" i="12"/>
  <c r="G6440" i="12"/>
  <c r="F6440" i="12"/>
  <c r="E6440" i="12"/>
  <c r="D6440" i="12"/>
  <c r="C6440" i="12"/>
  <c r="B6440" i="12"/>
  <c r="A6440" i="12"/>
  <c r="G6439" i="12"/>
  <c r="F6439" i="12"/>
  <c r="E6439" i="12"/>
  <c r="D6439" i="12"/>
  <c r="C6439" i="12"/>
  <c r="B6439" i="12"/>
  <c r="A6439" i="12"/>
  <c r="F6438" i="12"/>
  <c r="E6438" i="12"/>
  <c r="D6438" i="12"/>
  <c r="C6438" i="12"/>
  <c r="B6438" i="12"/>
  <c r="A6438" i="12"/>
  <c r="G6437" i="12"/>
  <c r="F6437" i="12"/>
  <c r="E6437" i="12"/>
  <c r="D6437" i="12"/>
  <c r="C6437" i="12"/>
  <c r="B6437" i="12"/>
  <c r="A6437" i="12"/>
  <c r="G6436" i="12"/>
  <c r="F6436" i="12"/>
  <c r="E6436" i="12"/>
  <c r="D6436" i="12"/>
  <c r="C6436" i="12"/>
  <c r="B6436" i="12"/>
  <c r="A6436" i="12"/>
  <c r="G6435" i="12"/>
  <c r="F6435" i="12"/>
  <c r="E6435" i="12"/>
  <c r="D6435" i="12"/>
  <c r="C6435" i="12"/>
  <c r="B6435" i="12"/>
  <c r="A6435" i="12"/>
  <c r="G6434" i="12"/>
  <c r="F6434" i="12"/>
  <c r="E6434" i="12"/>
  <c r="D6434" i="12"/>
  <c r="C6434" i="12"/>
  <c r="B6434" i="12"/>
  <c r="A6434" i="12"/>
  <c r="G6433" i="12"/>
  <c r="F6433" i="12"/>
  <c r="E6433" i="12"/>
  <c r="D6433" i="12"/>
  <c r="C6433" i="12"/>
  <c r="B6433" i="12"/>
  <c r="A6433" i="12"/>
  <c r="G6432" i="12"/>
  <c r="F6432" i="12"/>
  <c r="E6432" i="12"/>
  <c r="D6432" i="12"/>
  <c r="C6432" i="12"/>
  <c r="B6432" i="12"/>
  <c r="A6432" i="12"/>
  <c r="G6431" i="12"/>
  <c r="F6431" i="12"/>
  <c r="E6431" i="12"/>
  <c r="D6431" i="12"/>
  <c r="C6431" i="12"/>
  <c r="B6431" i="12"/>
  <c r="A6431" i="12"/>
  <c r="G6430" i="12"/>
  <c r="F6430" i="12"/>
  <c r="E6430" i="12"/>
  <c r="D6430" i="12"/>
  <c r="C6430" i="12"/>
  <c r="B6430" i="12"/>
  <c r="A6430" i="12"/>
  <c r="G6429" i="12"/>
  <c r="F6429" i="12"/>
  <c r="E6429" i="12"/>
  <c r="D6429" i="12"/>
  <c r="C6429" i="12"/>
  <c r="B6429" i="12"/>
  <c r="A6429" i="12"/>
  <c r="G6428" i="12"/>
  <c r="F6428" i="12"/>
  <c r="E6428" i="12"/>
  <c r="D6428" i="12"/>
  <c r="C6428" i="12"/>
  <c r="B6428" i="12"/>
  <c r="A6428" i="12"/>
  <c r="F6427" i="12"/>
  <c r="E6427" i="12"/>
  <c r="D6427" i="12"/>
  <c r="C6427" i="12"/>
  <c r="B6427" i="12"/>
  <c r="A6427" i="12"/>
  <c r="G6426" i="12"/>
  <c r="F6426" i="12"/>
  <c r="E6426" i="12"/>
  <c r="D6426" i="12"/>
  <c r="C6426" i="12"/>
  <c r="B6426" i="12"/>
  <c r="A6426" i="12"/>
  <c r="F6425" i="12"/>
  <c r="E6425" i="12"/>
  <c r="D6425" i="12"/>
  <c r="C6425" i="12"/>
  <c r="B6425" i="12"/>
  <c r="A6425" i="12"/>
  <c r="G6424" i="12"/>
  <c r="F6424" i="12"/>
  <c r="E6424" i="12"/>
  <c r="D6424" i="12"/>
  <c r="C6424" i="12"/>
  <c r="B6424" i="12"/>
  <c r="A6424" i="12"/>
  <c r="G6423" i="12"/>
  <c r="F6423" i="12"/>
  <c r="E6423" i="12"/>
  <c r="D6423" i="12"/>
  <c r="C6423" i="12"/>
  <c r="B6423" i="12"/>
  <c r="A6423" i="12"/>
  <c r="G6422" i="12"/>
  <c r="E6422" i="12"/>
  <c r="D6422" i="12"/>
  <c r="C6422" i="12"/>
  <c r="B6422" i="12"/>
  <c r="A6422" i="12"/>
  <c r="G6421" i="12"/>
  <c r="F6421" i="12"/>
  <c r="E6421" i="12"/>
  <c r="D6421" i="12"/>
  <c r="C6421" i="12"/>
  <c r="B6421" i="12"/>
  <c r="A6421" i="12"/>
  <c r="G6420" i="12"/>
  <c r="F6420" i="12"/>
  <c r="E6420" i="12"/>
  <c r="D6420" i="12"/>
  <c r="C6420" i="12"/>
  <c r="B6420" i="12"/>
  <c r="A6420" i="12"/>
  <c r="F6419" i="12"/>
  <c r="E6419" i="12"/>
  <c r="D6419" i="12"/>
  <c r="C6419" i="12"/>
  <c r="B6419" i="12"/>
  <c r="A6419" i="12"/>
  <c r="G6418" i="12"/>
  <c r="F6418" i="12"/>
  <c r="E6418" i="12"/>
  <c r="D6418" i="12"/>
  <c r="C6418" i="12"/>
  <c r="B6418" i="12"/>
  <c r="A6418" i="12"/>
  <c r="G6417" i="12"/>
  <c r="F6417" i="12"/>
  <c r="E6417" i="12"/>
  <c r="D6417" i="12"/>
  <c r="C6417" i="12"/>
  <c r="B6417" i="12"/>
  <c r="A6417" i="12"/>
  <c r="G6416" i="12"/>
  <c r="F6416" i="12"/>
  <c r="E6416" i="12"/>
  <c r="D6416" i="12"/>
  <c r="C6416" i="12"/>
  <c r="B6416" i="12"/>
  <c r="A6416" i="12"/>
  <c r="E6415" i="12"/>
  <c r="D6415" i="12"/>
  <c r="C6415" i="12"/>
  <c r="B6415" i="12"/>
  <c r="A6415" i="12"/>
  <c r="E6414" i="12"/>
  <c r="D6414" i="12"/>
  <c r="C6414" i="12"/>
  <c r="B6414" i="12"/>
  <c r="A6414" i="12"/>
  <c r="E6413" i="12"/>
  <c r="D6413" i="12"/>
  <c r="C6413" i="12"/>
  <c r="B6413" i="12"/>
  <c r="A6413" i="12"/>
  <c r="E6412" i="12"/>
  <c r="D6412" i="12"/>
  <c r="C6412" i="12"/>
  <c r="B6412" i="12"/>
  <c r="A6412" i="12"/>
  <c r="E6411" i="12"/>
  <c r="D6411" i="12"/>
  <c r="C6411" i="12"/>
  <c r="B6411" i="12"/>
  <c r="A6411" i="12"/>
  <c r="G6410" i="12"/>
  <c r="E6410" i="12"/>
  <c r="D6410" i="12"/>
  <c r="C6410" i="12"/>
  <c r="B6410" i="12"/>
  <c r="A6410" i="12"/>
  <c r="G6409" i="12"/>
  <c r="E6409" i="12"/>
  <c r="D6409" i="12"/>
  <c r="C6409" i="12"/>
  <c r="B6409" i="12"/>
  <c r="A6409" i="12"/>
  <c r="E6408" i="12"/>
  <c r="D6408" i="12"/>
  <c r="C6408" i="12"/>
  <c r="B6408" i="12"/>
  <c r="A6408" i="12"/>
  <c r="E6407" i="12"/>
  <c r="D6407" i="12"/>
  <c r="C6407" i="12"/>
  <c r="B6407" i="12"/>
  <c r="A6407" i="12"/>
  <c r="G6406" i="12"/>
  <c r="E6406" i="12"/>
  <c r="D6406" i="12"/>
  <c r="C6406" i="12"/>
  <c r="B6406" i="12"/>
  <c r="A6406" i="12"/>
  <c r="E6405" i="12"/>
  <c r="D6405" i="12"/>
  <c r="C6405" i="12"/>
  <c r="B6405" i="12"/>
  <c r="A6405" i="12"/>
  <c r="G6404" i="12"/>
  <c r="E6404" i="12"/>
  <c r="D6404" i="12"/>
  <c r="C6404" i="12"/>
  <c r="B6404" i="12"/>
  <c r="A6404" i="12"/>
  <c r="G6403" i="12"/>
  <c r="E6403" i="12"/>
  <c r="D6403" i="12"/>
  <c r="C6403" i="12"/>
  <c r="B6403" i="12"/>
  <c r="A6403" i="12"/>
  <c r="G6402" i="12"/>
  <c r="E6402" i="12"/>
  <c r="D6402" i="12"/>
  <c r="C6402" i="12"/>
  <c r="B6402" i="12"/>
  <c r="A6402" i="12"/>
  <c r="G6401" i="12"/>
  <c r="E6401" i="12"/>
  <c r="D6401" i="12"/>
  <c r="C6401" i="12"/>
  <c r="B6401" i="12"/>
  <c r="A6401" i="12"/>
  <c r="E6400" i="12"/>
  <c r="D6400" i="12"/>
  <c r="C6400" i="12"/>
  <c r="B6400" i="12"/>
  <c r="A6400" i="12"/>
  <c r="E6399" i="12"/>
  <c r="D6399" i="12"/>
  <c r="C6399" i="12"/>
  <c r="B6399" i="12"/>
  <c r="A6399" i="12"/>
  <c r="E6398" i="12"/>
  <c r="D6398" i="12"/>
  <c r="C6398" i="12"/>
  <c r="B6398" i="12"/>
  <c r="A6398" i="12"/>
  <c r="E6397" i="12"/>
  <c r="D6397" i="12"/>
  <c r="C6397" i="12"/>
  <c r="B6397" i="12"/>
  <c r="A6397" i="12"/>
  <c r="E6396" i="12"/>
  <c r="D6396" i="12"/>
  <c r="C6396" i="12"/>
  <c r="B6396" i="12"/>
  <c r="A6396" i="12"/>
  <c r="E6395" i="12"/>
  <c r="D6395" i="12"/>
  <c r="C6395" i="12"/>
  <c r="B6395" i="12"/>
  <c r="A6395" i="12"/>
  <c r="E6394" i="12"/>
  <c r="D6394" i="12"/>
  <c r="C6394" i="12"/>
  <c r="B6394" i="12"/>
  <c r="A6394" i="12"/>
  <c r="E6393" i="12"/>
  <c r="D6393" i="12"/>
  <c r="C6393" i="12"/>
  <c r="B6393" i="12"/>
  <c r="A6393" i="12"/>
  <c r="E6392" i="12"/>
  <c r="D6392" i="12"/>
  <c r="C6392" i="12"/>
  <c r="B6392" i="12"/>
  <c r="A6392" i="12"/>
  <c r="E6391" i="12"/>
  <c r="D6391" i="12"/>
  <c r="C6391" i="12"/>
  <c r="B6391" i="12"/>
  <c r="A6391" i="12"/>
  <c r="E6390" i="12"/>
  <c r="D6390" i="12"/>
  <c r="C6390" i="12"/>
  <c r="B6390" i="12"/>
  <c r="A6390" i="12"/>
  <c r="G6389" i="12"/>
  <c r="E6389" i="12"/>
  <c r="D6389" i="12"/>
  <c r="C6389" i="12"/>
  <c r="B6389" i="12"/>
  <c r="A6389" i="12"/>
  <c r="G6388" i="12"/>
  <c r="F6388" i="12"/>
  <c r="E6388" i="12"/>
  <c r="D6388" i="12"/>
  <c r="C6388" i="12"/>
  <c r="B6388" i="12"/>
  <c r="A6388" i="12"/>
  <c r="E6387" i="12"/>
  <c r="D6387" i="12"/>
  <c r="C6387" i="12"/>
  <c r="B6387" i="12"/>
  <c r="A6387" i="12"/>
  <c r="E6386" i="12"/>
  <c r="D6386" i="12"/>
  <c r="C6386" i="12"/>
  <c r="B6386" i="12"/>
  <c r="A6386" i="12"/>
  <c r="E6385" i="12"/>
  <c r="D6385" i="12"/>
  <c r="C6385" i="12"/>
  <c r="B6385" i="12"/>
  <c r="A6385" i="12"/>
  <c r="E6384" i="12"/>
  <c r="D6384" i="12"/>
  <c r="C6384" i="12"/>
  <c r="B6384" i="12"/>
  <c r="A6384" i="12"/>
  <c r="E6383" i="12"/>
  <c r="D6383" i="12"/>
  <c r="C6383" i="12"/>
  <c r="B6383" i="12"/>
  <c r="A6383" i="12"/>
  <c r="E6382" i="12"/>
  <c r="D6382" i="12"/>
  <c r="C6382" i="12"/>
  <c r="B6382" i="12"/>
  <c r="A6382" i="12"/>
  <c r="E6381" i="12"/>
  <c r="D6381" i="12"/>
  <c r="C6381" i="12"/>
  <c r="B6381" i="12"/>
  <c r="A6381" i="12"/>
  <c r="G6380" i="12"/>
  <c r="E6380" i="12"/>
  <c r="D6380" i="12"/>
  <c r="C6380" i="12"/>
  <c r="B6380" i="12"/>
  <c r="A6380" i="12"/>
  <c r="G6379" i="12"/>
  <c r="E6379" i="12"/>
  <c r="D6379" i="12"/>
  <c r="C6379" i="12"/>
  <c r="B6379" i="12"/>
  <c r="A6379" i="12"/>
  <c r="E6378" i="12"/>
  <c r="D6378" i="12"/>
  <c r="C6378" i="12"/>
  <c r="B6378" i="12"/>
  <c r="A6378" i="12"/>
  <c r="G6377" i="12"/>
  <c r="E6377" i="12"/>
  <c r="D6377" i="12"/>
  <c r="C6377" i="12"/>
  <c r="B6377" i="12"/>
  <c r="A6377" i="12"/>
  <c r="G6376" i="12"/>
  <c r="F6376" i="12"/>
  <c r="E6376" i="12"/>
  <c r="D6376" i="12"/>
  <c r="C6376" i="12"/>
  <c r="B6376" i="12"/>
  <c r="A6376" i="12"/>
  <c r="F6375" i="12"/>
  <c r="E6375" i="12"/>
  <c r="D6375" i="12"/>
  <c r="C6375" i="12"/>
  <c r="B6375" i="12"/>
  <c r="A6375" i="12"/>
  <c r="F6374" i="12"/>
  <c r="E6374" i="12"/>
  <c r="D6374" i="12"/>
  <c r="C6374" i="12"/>
  <c r="B6374" i="12"/>
  <c r="A6374" i="12"/>
  <c r="F6373" i="12"/>
  <c r="E6373" i="12"/>
  <c r="D6373" i="12"/>
  <c r="C6373" i="12"/>
  <c r="B6373" i="12"/>
  <c r="A6373" i="12"/>
  <c r="F6372" i="12"/>
  <c r="E6372" i="12"/>
  <c r="D6372" i="12"/>
  <c r="C6372" i="12"/>
  <c r="B6372" i="12"/>
  <c r="A6372" i="12"/>
  <c r="E6371" i="12"/>
  <c r="D6371" i="12"/>
  <c r="C6371" i="12"/>
  <c r="B6371" i="12"/>
  <c r="A6371" i="12"/>
  <c r="F6370" i="12"/>
  <c r="E6370" i="12"/>
  <c r="D6370" i="12"/>
  <c r="C6370" i="12"/>
  <c r="B6370" i="12"/>
  <c r="A6370" i="12"/>
  <c r="G6369" i="12"/>
  <c r="F6369" i="12"/>
  <c r="E6369" i="12"/>
  <c r="D6369" i="12"/>
  <c r="C6369" i="12"/>
  <c r="B6369" i="12"/>
  <c r="A6369" i="12"/>
  <c r="E6368" i="12"/>
  <c r="D6368" i="12"/>
  <c r="C6368" i="12"/>
  <c r="B6368" i="12"/>
  <c r="A6368" i="12"/>
  <c r="E6367" i="12"/>
  <c r="D6367" i="12"/>
  <c r="C6367" i="12"/>
  <c r="B6367" i="12"/>
  <c r="A6367" i="12"/>
  <c r="E6366" i="12"/>
  <c r="D6366" i="12"/>
  <c r="C6366" i="12"/>
  <c r="B6366" i="12"/>
  <c r="A6366" i="12"/>
  <c r="E6365" i="12"/>
  <c r="D6365" i="12"/>
  <c r="C6365" i="12"/>
  <c r="B6365" i="12"/>
  <c r="A6365" i="12"/>
  <c r="E6364" i="12"/>
  <c r="D6364" i="12"/>
  <c r="C6364" i="12"/>
  <c r="B6364" i="12"/>
  <c r="A6364" i="12"/>
  <c r="G6363" i="12"/>
  <c r="E6363" i="12"/>
  <c r="D6363" i="12"/>
  <c r="C6363" i="12"/>
  <c r="B6363" i="12"/>
  <c r="A6363" i="12"/>
  <c r="E6362" i="12"/>
  <c r="D6362" i="12"/>
  <c r="C6362" i="12"/>
  <c r="B6362" i="12"/>
  <c r="A6362" i="12"/>
  <c r="E6361" i="12"/>
  <c r="D6361" i="12"/>
  <c r="C6361" i="12"/>
  <c r="B6361" i="12"/>
  <c r="A6361" i="12"/>
  <c r="E6360" i="12"/>
  <c r="D6360" i="12"/>
  <c r="C6360" i="12"/>
  <c r="B6360" i="12"/>
  <c r="A6360" i="12"/>
  <c r="E6359" i="12"/>
  <c r="D6359" i="12"/>
  <c r="C6359" i="12"/>
  <c r="B6359" i="12"/>
  <c r="A6359" i="12"/>
  <c r="G6358" i="12"/>
  <c r="E6358" i="12"/>
  <c r="D6358" i="12"/>
  <c r="C6358" i="12"/>
  <c r="B6358" i="12"/>
  <c r="A6358" i="12"/>
  <c r="G6357" i="12"/>
  <c r="F6357" i="12"/>
  <c r="E6357" i="12"/>
  <c r="D6357" i="12"/>
  <c r="C6357" i="12"/>
  <c r="B6357" i="12"/>
  <c r="A6357" i="12"/>
  <c r="E6356" i="12"/>
  <c r="D6356" i="12"/>
  <c r="C6356" i="12"/>
  <c r="B6356" i="12"/>
  <c r="A6356" i="12"/>
  <c r="E6355" i="12"/>
  <c r="D6355" i="12"/>
  <c r="C6355" i="12"/>
  <c r="B6355" i="12"/>
  <c r="A6355" i="12"/>
  <c r="G6354" i="12"/>
  <c r="E6354" i="12"/>
  <c r="D6354" i="12"/>
  <c r="C6354" i="12"/>
  <c r="B6354" i="12"/>
  <c r="A6354" i="12"/>
  <c r="G6353" i="12"/>
  <c r="E6353" i="12"/>
  <c r="D6353" i="12"/>
  <c r="C6353" i="12"/>
  <c r="B6353" i="12"/>
  <c r="A6353" i="12"/>
  <c r="G6352" i="12"/>
  <c r="E6352" i="12"/>
  <c r="D6352" i="12"/>
  <c r="C6352" i="12"/>
  <c r="B6352" i="12"/>
  <c r="A6352" i="12"/>
  <c r="G6351" i="12"/>
  <c r="E6351" i="12"/>
  <c r="D6351" i="12"/>
  <c r="C6351" i="12"/>
  <c r="B6351" i="12"/>
  <c r="A6351" i="12"/>
  <c r="G6350" i="12"/>
  <c r="F6350" i="12"/>
  <c r="E6350" i="12"/>
  <c r="D6350" i="12"/>
  <c r="C6350" i="12"/>
  <c r="B6350" i="12"/>
  <c r="A6350" i="12"/>
  <c r="G6349" i="12"/>
  <c r="E6349" i="12"/>
  <c r="D6349" i="12"/>
  <c r="C6349" i="12"/>
  <c r="B6349" i="12"/>
  <c r="A6349" i="12"/>
  <c r="G6348" i="12"/>
  <c r="E6348" i="12"/>
  <c r="D6348" i="12"/>
  <c r="C6348" i="12"/>
  <c r="B6348" i="12"/>
  <c r="A6348" i="12"/>
  <c r="G6347" i="12"/>
  <c r="E6347" i="12"/>
  <c r="D6347" i="12"/>
  <c r="C6347" i="12"/>
  <c r="B6347" i="12"/>
  <c r="A6347" i="12"/>
  <c r="G6346" i="12"/>
  <c r="E6346" i="12"/>
  <c r="D6346" i="12"/>
  <c r="C6346" i="12"/>
  <c r="B6346" i="12"/>
  <c r="A6346" i="12"/>
  <c r="G6345" i="12"/>
  <c r="E6345" i="12"/>
  <c r="D6345" i="12"/>
  <c r="C6345" i="12"/>
  <c r="B6345" i="12"/>
  <c r="A6345" i="12"/>
  <c r="E6344" i="12"/>
  <c r="D6344" i="12"/>
  <c r="C6344" i="12"/>
  <c r="B6344" i="12"/>
  <c r="A6344" i="12"/>
  <c r="E6343" i="12"/>
  <c r="D6343" i="12"/>
  <c r="C6343" i="12"/>
  <c r="B6343" i="12"/>
  <c r="A6343" i="12"/>
  <c r="E6342" i="12"/>
  <c r="D6342" i="12"/>
  <c r="C6342" i="12"/>
  <c r="B6342" i="12"/>
  <c r="A6342" i="12"/>
  <c r="E6341" i="12"/>
  <c r="D6341" i="12"/>
  <c r="C6341" i="12"/>
  <c r="B6341" i="12"/>
  <c r="A6341" i="12"/>
  <c r="E6340" i="12"/>
  <c r="D6340" i="12"/>
  <c r="C6340" i="12"/>
  <c r="B6340" i="12"/>
  <c r="A6340" i="12"/>
  <c r="G6339" i="12"/>
  <c r="E6339" i="12"/>
  <c r="D6339" i="12"/>
  <c r="C6339" i="12"/>
  <c r="B6339" i="12"/>
  <c r="A6339" i="12"/>
  <c r="E6338" i="12"/>
  <c r="D6338" i="12"/>
  <c r="C6338" i="12"/>
  <c r="B6338" i="12"/>
  <c r="A6338" i="12"/>
  <c r="E6337" i="12"/>
  <c r="D6337" i="12"/>
  <c r="C6337" i="12"/>
  <c r="B6337" i="12"/>
  <c r="A6337" i="12"/>
  <c r="E6336" i="12"/>
  <c r="D6336" i="12"/>
  <c r="C6336" i="12"/>
  <c r="B6336" i="12"/>
  <c r="A6336" i="12"/>
  <c r="E6335" i="12"/>
  <c r="D6335" i="12"/>
  <c r="C6335" i="12"/>
  <c r="B6335" i="12"/>
  <c r="A6335" i="12"/>
  <c r="F6334" i="12"/>
  <c r="E6334" i="12"/>
  <c r="D6334" i="12"/>
  <c r="C6334" i="12"/>
  <c r="B6334" i="12"/>
  <c r="A6334" i="12"/>
  <c r="E6333" i="12"/>
  <c r="D6333" i="12"/>
  <c r="C6333" i="12"/>
  <c r="B6333" i="12"/>
  <c r="A6333" i="12"/>
  <c r="G6332" i="12"/>
  <c r="E6332" i="12"/>
  <c r="D6332" i="12"/>
  <c r="C6332" i="12"/>
  <c r="B6332" i="12"/>
  <c r="A6332" i="12"/>
  <c r="E6331" i="12"/>
  <c r="D6331" i="12"/>
  <c r="C6331" i="12"/>
  <c r="A6331" i="12"/>
  <c r="E6330" i="12"/>
  <c r="D6330" i="12"/>
  <c r="C6330" i="12"/>
  <c r="B6330" i="12"/>
  <c r="A6330" i="12"/>
  <c r="E6329" i="12"/>
  <c r="D6329" i="12"/>
  <c r="C6329" i="12"/>
  <c r="A6329" i="12"/>
  <c r="E6328" i="12"/>
  <c r="D6328" i="12"/>
  <c r="C6328" i="12"/>
  <c r="A6328" i="12"/>
  <c r="E6327" i="12"/>
  <c r="D6327" i="12"/>
  <c r="C6327" i="12"/>
  <c r="A6327" i="12"/>
  <c r="G6326" i="12"/>
  <c r="E6326" i="12"/>
  <c r="D6326" i="12"/>
  <c r="C6326" i="12"/>
  <c r="B6326" i="12"/>
  <c r="A6326" i="12"/>
  <c r="E6325" i="12"/>
  <c r="D6325" i="12"/>
  <c r="C6325" i="12"/>
  <c r="B6325" i="12"/>
  <c r="A6325" i="12"/>
  <c r="G6324" i="12"/>
  <c r="E6324" i="12"/>
  <c r="D6324" i="12"/>
  <c r="C6324" i="12"/>
  <c r="B6324" i="12"/>
  <c r="A6324" i="12"/>
  <c r="G6323" i="12"/>
  <c r="E6323" i="12"/>
  <c r="D6323" i="12"/>
  <c r="C6323" i="12"/>
  <c r="B6323" i="12"/>
  <c r="A6323" i="12"/>
  <c r="G6322" i="12"/>
  <c r="E6322" i="12"/>
  <c r="D6322" i="12"/>
  <c r="C6322" i="12"/>
  <c r="B6322" i="12"/>
  <c r="A6322" i="12"/>
  <c r="G6321" i="12"/>
  <c r="E6321" i="12"/>
  <c r="D6321" i="12"/>
  <c r="C6321" i="12"/>
  <c r="B6321" i="12"/>
  <c r="A6321" i="12"/>
  <c r="G6320" i="12"/>
  <c r="E6320" i="12"/>
  <c r="D6320" i="12"/>
  <c r="C6320" i="12"/>
  <c r="B6320" i="12"/>
  <c r="A6320" i="12"/>
  <c r="G6319" i="12"/>
  <c r="E6319" i="12"/>
  <c r="D6319" i="12"/>
  <c r="C6319" i="12"/>
  <c r="B6319" i="12"/>
  <c r="A6319" i="12"/>
  <c r="E6318" i="12"/>
  <c r="D6318" i="12"/>
  <c r="C6318" i="12"/>
  <c r="B6318" i="12"/>
  <c r="A6318" i="12"/>
  <c r="G6317" i="12"/>
  <c r="E6317" i="12"/>
  <c r="D6317" i="12"/>
  <c r="C6317" i="12"/>
  <c r="B6317" i="12"/>
  <c r="A6317" i="12"/>
  <c r="G6316" i="12"/>
  <c r="E6316" i="12"/>
  <c r="D6316" i="12"/>
  <c r="C6316" i="12"/>
  <c r="B6316" i="12"/>
  <c r="A6316" i="12"/>
  <c r="G6315" i="12"/>
  <c r="E6315" i="12"/>
  <c r="D6315" i="12"/>
  <c r="C6315" i="12"/>
  <c r="B6315" i="12"/>
  <c r="A6315" i="12"/>
  <c r="G6314" i="12"/>
  <c r="E6314" i="12"/>
  <c r="D6314" i="12"/>
  <c r="C6314" i="12"/>
  <c r="B6314" i="12"/>
  <c r="A6314" i="12"/>
  <c r="G6313" i="12"/>
  <c r="E6313" i="12"/>
  <c r="D6313" i="12"/>
  <c r="C6313" i="12"/>
  <c r="B6313" i="12"/>
  <c r="A6313" i="12"/>
  <c r="G6312" i="12"/>
  <c r="F6312" i="12"/>
  <c r="E6312" i="12"/>
  <c r="D6312" i="12"/>
  <c r="C6312" i="12"/>
  <c r="B6312" i="12"/>
  <c r="A6312" i="12"/>
  <c r="G6311" i="12"/>
  <c r="E6311" i="12"/>
  <c r="D6311" i="12"/>
  <c r="C6311" i="12"/>
  <c r="B6311" i="12"/>
  <c r="A6311" i="12"/>
  <c r="G6310" i="12"/>
  <c r="E6310" i="12"/>
  <c r="D6310" i="12"/>
  <c r="C6310" i="12"/>
  <c r="B6310" i="12"/>
  <c r="A6310" i="12"/>
  <c r="G6309" i="12"/>
  <c r="E6309" i="12"/>
  <c r="D6309" i="12"/>
  <c r="C6309" i="12"/>
  <c r="B6309" i="12"/>
  <c r="A6309" i="12"/>
  <c r="G6308" i="12"/>
  <c r="E6308" i="12"/>
  <c r="D6308" i="12"/>
  <c r="C6308" i="12"/>
  <c r="B6308" i="12"/>
  <c r="A6308" i="12"/>
  <c r="G6307" i="12"/>
  <c r="E6307" i="12"/>
  <c r="D6307" i="12"/>
  <c r="C6307" i="12"/>
  <c r="B6307" i="12"/>
  <c r="A6307" i="12"/>
  <c r="G6306" i="12"/>
  <c r="F6306" i="12"/>
  <c r="E6306" i="12"/>
  <c r="D6306" i="12"/>
  <c r="C6306" i="12"/>
  <c r="B6306" i="12"/>
  <c r="A6306" i="12"/>
  <c r="G6305" i="12"/>
  <c r="F6305" i="12"/>
  <c r="E6305" i="12"/>
  <c r="D6305" i="12"/>
  <c r="C6305" i="12"/>
  <c r="B6305" i="12"/>
  <c r="A6305" i="12"/>
  <c r="G6304" i="12"/>
  <c r="E6304" i="12"/>
  <c r="D6304" i="12"/>
  <c r="C6304" i="12"/>
  <c r="B6304" i="12"/>
  <c r="A6304" i="12"/>
  <c r="G6303" i="12"/>
  <c r="E6303" i="12"/>
  <c r="D6303" i="12"/>
  <c r="C6303" i="12"/>
  <c r="B6303" i="12"/>
  <c r="A6303" i="12"/>
  <c r="G6302" i="12"/>
  <c r="E6302" i="12"/>
  <c r="D6302" i="12"/>
  <c r="C6302" i="12"/>
  <c r="B6302" i="12"/>
  <c r="A6302" i="12"/>
  <c r="G6301" i="12"/>
  <c r="E6301" i="12"/>
  <c r="D6301" i="12"/>
  <c r="C6301" i="12"/>
  <c r="B6301" i="12"/>
  <c r="A6301" i="12"/>
  <c r="G6300" i="12"/>
  <c r="F6300" i="12"/>
  <c r="E6300" i="12"/>
  <c r="D6300" i="12"/>
  <c r="C6300" i="12"/>
  <c r="B6300" i="12"/>
  <c r="A6300" i="12"/>
  <c r="G6299" i="12"/>
  <c r="E6299" i="12"/>
  <c r="D6299" i="12"/>
  <c r="C6299" i="12"/>
  <c r="B6299" i="12"/>
  <c r="A6299" i="12"/>
  <c r="G6298" i="12"/>
  <c r="F6298" i="12"/>
  <c r="E6298" i="12"/>
  <c r="D6298" i="12"/>
  <c r="C6298" i="12"/>
  <c r="B6298" i="12"/>
  <c r="A6298" i="12"/>
  <c r="G6297" i="12"/>
  <c r="E6297" i="12"/>
  <c r="D6297" i="12"/>
  <c r="C6297" i="12"/>
  <c r="B6297" i="12"/>
  <c r="A6297" i="12"/>
  <c r="G6296" i="12"/>
  <c r="F6296" i="12"/>
  <c r="E6296" i="12"/>
  <c r="D6296" i="12"/>
  <c r="C6296" i="12"/>
  <c r="B6296" i="12"/>
  <c r="A6296" i="12"/>
  <c r="G6295" i="12"/>
  <c r="F6295" i="12"/>
  <c r="E6295" i="12"/>
  <c r="D6295" i="12"/>
  <c r="C6295" i="12"/>
  <c r="B6295" i="12"/>
  <c r="A6295" i="12"/>
  <c r="G6294" i="12"/>
  <c r="E6294" i="12"/>
  <c r="D6294" i="12"/>
  <c r="C6294" i="12"/>
  <c r="B6294" i="12"/>
  <c r="A6294" i="12"/>
  <c r="G6293" i="12"/>
  <c r="E6293" i="12"/>
  <c r="D6293" i="12"/>
  <c r="C6293" i="12"/>
  <c r="B6293" i="12"/>
  <c r="A6293" i="12"/>
  <c r="G6292" i="12"/>
  <c r="E6292" i="12"/>
  <c r="D6292" i="12"/>
  <c r="C6292" i="12"/>
  <c r="B6292" i="12"/>
  <c r="A6292" i="12"/>
  <c r="G6291" i="12"/>
  <c r="E6291" i="12"/>
  <c r="D6291" i="12"/>
  <c r="C6291" i="12"/>
  <c r="B6291" i="12"/>
  <c r="A6291" i="12"/>
  <c r="G6290" i="12"/>
  <c r="F6290" i="12"/>
  <c r="E6290" i="12"/>
  <c r="D6290" i="12"/>
  <c r="C6290" i="12"/>
  <c r="B6290" i="12"/>
  <c r="A6290" i="12"/>
  <c r="G6289" i="12"/>
  <c r="F6289" i="12"/>
  <c r="E6289" i="12"/>
  <c r="D6289" i="12"/>
  <c r="C6289" i="12"/>
  <c r="B6289" i="12"/>
  <c r="A6289" i="12"/>
  <c r="G6288" i="12"/>
  <c r="F6288" i="12"/>
  <c r="E6288" i="12"/>
  <c r="D6288" i="12"/>
  <c r="C6288" i="12"/>
  <c r="B6288" i="12"/>
  <c r="A6288" i="12"/>
  <c r="G6287" i="12"/>
  <c r="E6287" i="12"/>
  <c r="D6287" i="12"/>
  <c r="C6287" i="12"/>
  <c r="B6287" i="12"/>
  <c r="A6287" i="12"/>
  <c r="G6286" i="12"/>
  <c r="F6286" i="12"/>
  <c r="E6286" i="12"/>
  <c r="D6286" i="12"/>
  <c r="C6286" i="12"/>
  <c r="B6286" i="12"/>
  <c r="A6286" i="12"/>
  <c r="E6285" i="12"/>
  <c r="D6285" i="12"/>
  <c r="C6285" i="12"/>
  <c r="B6285" i="12"/>
  <c r="A6285" i="12"/>
  <c r="E6284" i="12"/>
  <c r="D6284" i="12"/>
  <c r="C6284" i="12"/>
  <c r="B6284" i="12"/>
  <c r="A6284" i="12"/>
  <c r="F6283" i="12"/>
  <c r="E6283" i="12"/>
  <c r="D6283" i="12"/>
  <c r="C6283" i="12"/>
  <c r="B6283" i="12"/>
  <c r="A6283" i="12"/>
  <c r="F6282" i="12"/>
  <c r="E6282" i="12"/>
  <c r="D6282" i="12"/>
  <c r="C6282" i="12"/>
  <c r="B6282" i="12"/>
  <c r="A6282" i="12"/>
  <c r="E6281" i="12"/>
  <c r="D6281" i="12"/>
  <c r="C6281" i="12"/>
  <c r="B6281" i="12"/>
  <c r="A6281" i="12"/>
  <c r="E6280" i="12"/>
  <c r="D6280" i="12"/>
  <c r="C6280" i="12"/>
  <c r="B6280" i="12"/>
  <c r="A6280" i="12"/>
  <c r="E6279" i="12"/>
  <c r="D6279" i="12"/>
  <c r="C6279" i="12"/>
  <c r="B6279" i="12"/>
  <c r="A6279" i="12"/>
  <c r="E6278" i="12"/>
  <c r="D6278" i="12"/>
  <c r="C6278" i="12"/>
  <c r="B6278" i="12"/>
  <c r="A6278" i="12"/>
  <c r="E6277" i="12"/>
  <c r="D6277" i="12"/>
  <c r="C6277" i="12"/>
  <c r="B6277" i="12"/>
  <c r="A6277" i="12"/>
  <c r="E6276" i="12"/>
  <c r="D6276" i="12"/>
  <c r="C6276" i="12"/>
  <c r="B6276" i="12"/>
  <c r="A6276" i="12"/>
  <c r="E6275" i="12"/>
  <c r="D6275" i="12"/>
  <c r="C6275" i="12"/>
  <c r="B6275" i="12"/>
  <c r="A6275" i="12"/>
  <c r="F6274" i="12"/>
  <c r="E6274" i="12"/>
  <c r="D6274" i="12"/>
  <c r="C6274" i="12"/>
  <c r="B6274" i="12"/>
  <c r="A6274" i="12"/>
  <c r="E6273" i="12"/>
  <c r="D6273" i="12"/>
  <c r="C6273" i="12"/>
  <c r="B6273" i="12"/>
  <c r="A6273" i="12"/>
  <c r="E6272" i="12"/>
  <c r="D6272" i="12"/>
  <c r="C6272" i="12"/>
  <c r="B6272" i="12"/>
  <c r="A6272" i="12"/>
  <c r="G6271" i="12"/>
  <c r="E6271" i="12"/>
  <c r="D6271" i="12"/>
  <c r="C6271" i="12"/>
  <c r="B6271" i="12"/>
  <c r="A6271" i="12"/>
  <c r="E6270" i="12"/>
  <c r="D6270" i="12"/>
  <c r="C6270" i="12"/>
  <c r="B6270" i="12"/>
  <c r="A6270" i="12"/>
  <c r="F6269" i="12"/>
  <c r="E6269" i="12"/>
  <c r="D6269" i="12"/>
  <c r="C6269" i="12"/>
  <c r="B6269" i="12"/>
  <c r="A6269" i="12"/>
  <c r="E6268" i="12"/>
  <c r="D6268" i="12"/>
  <c r="C6268" i="12"/>
  <c r="B6268" i="12"/>
  <c r="A6268" i="12"/>
  <c r="G6267" i="12"/>
  <c r="E6267" i="12"/>
  <c r="D6267" i="12"/>
  <c r="C6267" i="12"/>
  <c r="B6267" i="12"/>
  <c r="A6267" i="12"/>
  <c r="G6266" i="12"/>
  <c r="F6266" i="12"/>
  <c r="E6266" i="12"/>
  <c r="D6266" i="12"/>
  <c r="C6266" i="12"/>
  <c r="B6266" i="12"/>
  <c r="A6266" i="12"/>
  <c r="G6265" i="12"/>
  <c r="F6265" i="12"/>
  <c r="E6265" i="12"/>
  <c r="D6265" i="12"/>
  <c r="C6265" i="12"/>
  <c r="B6265" i="12"/>
  <c r="A6265" i="12"/>
  <c r="G6264" i="12"/>
  <c r="F6264" i="12"/>
  <c r="E6264" i="12"/>
  <c r="D6264" i="12"/>
  <c r="C6264" i="12"/>
  <c r="B6264" i="12"/>
  <c r="A6264" i="12"/>
  <c r="G6263" i="12"/>
  <c r="E6263" i="12"/>
  <c r="D6263" i="12"/>
  <c r="C6263" i="12"/>
  <c r="B6263" i="12"/>
  <c r="A6263" i="12"/>
  <c r="F6262" i="12"/>
  <c r="E6262" i="12"/>
  <c r="D6262" i="12"/>
  <c r="C6262" i="12"/>
  <c r="B6262" i="12"/>
  <c r="A6262" i="12"/>
  <c r="E6261" i="12"/>
  <c r="D6261" i="12"/>
  <c r="C6261" i="12"/>
  <c r="B6261" i="12"/>
  <c r="A6261" i="12"/>
  <c r="E6260" i="12"/>
  <c r="D6260" i="12"/>
  <c r="C6260" i="12"/>
  <c r="B6260" i="12"/>
  <c r="A6260" i="12"/>
  <c r="E6259" i="12"/>
  <c r="D6259" i="12"/>
  <c r="C6259" i="12"/>
  <c r="B6259" i="12"/>
  <c r="A6259" i="12"/>
  <c r="E6258" i="12"/>
  <c r="D6258" i="12"/>
  <c r="C6258" i="12"/>
  <c r="B6258" i="12"/>
  <c r="A6258" i="12"/>
  <c r="G6257" i="12"/>
  <c r="F6257" i="12"/>
  <c r="E6257" i="12"/>
  <c r="D6257" i="12"/>
  <c r="C6257" i="12"/>
  <c r="B6257" i="12"/>
  <c r="A6257" i="12"/>
  <c r="F6256" i="12"/>
  <c r="E6256" i="12"/>
  <c r="D6256" i="12"/>
  <c r="C6256" i="12"/>
  <c r="B6256" i="12"/>
  <c r="A6256" i="12"/>
  <c r="G6255" i="12"/>
  <c r="F6255" i="12"/>
  <c r="E6255" i="12"/>
  <c r="D6255" i="12"/>
  <c r="C6255" i="12"/>
  <c r="B6255" i="12"/>
  <c r="A6255" i="12"/>
  <c r="E6254" i="12"/>
  <c r="D6254" i="12"/>
  <c r="C6254" i="12"/>
  <c r="B6254" i="12"/>
  <c r="A6254" i="12"/>
  <c r="G6253" i="12"/>
  <c r="F6253" i="12"/>
  <c r="E6253" i="12"/>
  <c r="D6253" i="12"/>
  <c r="C6253" i="12"/>
  <c r="B6253" i="12"/>
  <c r="A6253" i="12"/>
  <c r="G6252" i="12"/>
  <c r="F6252" i="12"/>
  <c r="E6252" i="12"/>
  <c r="D6252" i="12"/>
  <c r="C6252" i="12"/>
  <c r="B6252" i="12"/>
  <c r="A6252" i="12"/>
  <c r="G6251" i="12"/>
  <c r="F6251" i="12"/>
  <c r="E6251" i="12"/>
  <c r="D6251" i="12"/>
  <c r="C6251" i="12"/>
  <c r="B6251" i="12"/>
  <c r="A6251" i="12"/>
  <c r="G6250" i="12"/>
  <c r="F6250" i="12"/>
  <c r="E6250" i="12"/>
  <c r="D6250" i="12"/>
  <c r="C6250" i="12"/>
  <c r="B6250" i="12"/>
  <c r="A6250" i="12"/>
  <c r="G6249" i="12"/>
  <c r="F6249" i="12"/>
  <c r="E6249" i="12"/>
  <c r="D6249" i="12"/>
  <c r="C6249" i="12"/>
  <c r="B6249" i="12"/>
  <c r="A6249" i="12"/>
  <c r="G6248" i="12"/>
  <c r="F6248" i="12"/>
  <c r="E6248" i="12"/>
  <c r="D6248" i="12"/>
  <c r="C6248" i="12"/>
  <c r="B6248" i="12"/>
  <c r="A6248" i="12"/>
  <c r="G6247" i="12"/>
  <c r="F6247" i="12"/>
  <c r="E6247" i="12"/>
  <c r="D6247" i="12"/>
  <c r="C6247" i="12"/>
  <c r="B6247" i="12"/>
  <c r="A6247" i="12"/>
  <c r="G6246" i="12"/>
  <c r="F6246" i="12"/>
  <c r="E6246" i="12"/>
  <c r="D6246" i="12"/>
  <c r="C6246" i="12"/>
  <c r="B6246" i="12"/>
  <c r="A6246" i="12"/>
  <c r="F6245" i="12"/>
  <c r="E6245" i="12"/>
  <c r="D6245" i="12"/>
  <c r="C6245" i="12"/>
  <c r="B6245" i="12"/>
  <c r="A6245" i="12"/>
  <c r="G6244" i="12"/>
  <c r="E6244" i="12"/>
  <c r="D6244" i="12"/>
  <c r="C6244" i="12"/>
  <c r="B6244" i="12"/>
  <c r="A6244" i="12"/>
  <c r="G6243" i="12"/>
  <c r="F6243" i="12"/>
  <c r="E6243" i="12"/>
  <c r="D6243" i="12"/>
  <c r="C6243" i="12"/>
  <c r="B6243" i="12"/>
  <c r="A6243" i="12"/>
  <c r="F6242" i="12"/>
  <c r="E6242" i="12"/>
  <c r="D6242" i="12"/>
  <c r="C6242" i="12"/>
  <c r="B6242" i="12"/>
  <c r="A6242" i="12"/>
  <c r="G6241" i="12"/>
  <c r="E6241" i="12"/>
  <c r="D6241" i="12"/>
  <c r="C6241" i="12"/>
  <c r="B6241" i="12"/>
  <c r="A6241" i="12"/>
  <c r="F6240" i="12"/>
  <c r="E6240" i="12"/>
  <c r="D6240" i="12"/>
  <c r="C6240" i="12"/>
  <c r="B6240" i="12"/>
  <c r="A6240" i="12"/>
  <c r="F6239" i="12"/>
  <c r="E6239" i="12"/>
  <c r="D6239" i="12"/>
  <c r="C6239" i="12"/>
  <c r="B6239" i="12"/>
  <c r="A6239" i="12"/>
  <c r="F6238" i="12"/>
  <c r="E6238" i="12"/>
  <c r="D6238" i="12"/>
  <c r="C6238" i="12"/>
  <c r="B6238" i="12"/>
  <c r="A6238" i="12"/>
  <c r="E6237" i="12"/>
  <c r="D6237" i="12"/>
  <c r="C6237" i="12"/>
  <c r="B6237" i="12"/>
  <c r="A6237" i="12"/>
  <c r="G6236" i="12"/>
  <c r="F6236" i="12"/>
  <c r="E6236" i="12"/>
  <c r="D6236" i="12"/>
  <c r="C6236" i="12"/>
  <c r="B6236" i="12"/>
  <c r="A6236" i="12"/>
  <c r="G6235" i="12"/>
  <c r="F6235" i="12"/>
  <c r="E6235" i="12"/>
  <c r="D6235" i="12"/>
  <c r="C6235" i="12"/>
  <c r="B6235" i="12"/>
  <c r="A6235" i="12"/>
  <c r="E6234" i="12"/>
  <c r="D6234" i="12"/>
  <c r="C6234" i="12"/>
  <c r="B6234" i="12"/>
  <c r="A6234" i="12"/>
  <c r="G6233" i="12"/>
  <c r="F6233" i="12"/>
  <c r="E6233" i="12"/>
  <c r="D6233" i="12"/>
  <c r="C6233" i="12"/>
  <c r="B6233" i="12"/>
  <c r="A6233" i="12"/>
  <c r="G6232" i="12"/>
  <c r="F6232" i="12"/>
  <c r="E6232" i="12"/>
  <c r="D6232" i="12"/>
  <c r="C6232" i="12"/>
  <c r="B6232" i="12"/>
  <c r="A6232" i="12"/>
  <c r="G6231" i="12"/>
  <c r="F6231" i="12"/>
  <c r="E6231" i="12"/>
  <c r="D6231" i="12"/>
  <c r="C6231" i="12"/>
  <c r="B6231" i="12"/>
  <c r="A6231" i="12"/>
  <c r="F6230" i="12"/>
  <c r="E6230" i="12"/>
  <c r="D6230" i="12"/>
  <c r="C6230" i="12"/>
  <c r="B6230" i="12"/>
  <c r="A6230" i="12"/>
  <c r="G6229" i="12"/>
  <c r="F6229" i="12"/>
  <c r="E6229" i="12"/>
  <c r="D6229" i="12"/>
  <c r="C6229" i="12"/>
  <c r="B6229" i="12"/>
  <c r="A6229" i="12"/>
  <c r="F6228" i="12"/>
  <c r="E6228" i="12"/>
  <c r="D6228" i="12"/>
  <c r="C6228" i="12"/>
  <c r="B6228" i="12"/>
  <c r="A6228" i="12"/>
  <c r="F6227" i="12"/>
  <c r="E6227" i="12"/>
  <c r="D6227" i="12"/>
  <c r="C6227" i="12"/>
  <c r="B6227" i="12"/>
  <c r="A6227" i="12"/>
  <c r="G6226" i="12"/>
  <c r="F6226" i="12"/>
  <c r="E6226" i="12"/>
  <c r="D6226" i="12"/>
  <c r="C6226" i="12"/>
  <c r="B6226" i="12"/>
  <c r="A6226" i="12"/>
  <c r="G6225" i="12"/>
  <c r="F6225" i="12"/>
  <c r="E6225" i="12"/>
  <c r="D6225" i="12"/>
  <c r="C6225" i="12"/>
  <c r="B6225" i="12"/>
  <c r="A6225" i="12"/>
  <c r="G6224" i="12"/>
  <c r="F6224" i="12"/>
  <c r="E6224" i="12"/>
  <c r="D6224" i="12"/>
  <c r="C6224" i="12"/>
  <c r="B6224" i="12"/>
  <c r="A6224" i="12"/>
  <c r="G6223" i="12"/>
  <c r="E6223" i="12"/>
  <c r="D6223" i="12"/>
  <c r="C6223" i="12"/>
  <c r="B6223" i="12"/>
  <c r="A6223" i="12"/>
  <c r="G6222" i="12"/>
  <c r="E6222" i="12"/>
  <c r="D6222" i="12"/>
  <c r="C6222" i="12"/>
  <c r="B6222" i="12"/>
  <c r="A6222" i="12"/>
  <c r="G6221" i="12"/>
  <c r="F6221" i="12"/>
  <c r="E6221" i="12"/>
  <c r="D6221" i="12"/>
  <c r="C6221" i="12"/>
  <c r="B6221" i="12"/>
  <c r="A6221" i="12"/>
  <c r="E6220" i="12"/>
  <c r="D6220" i="12"/>
  <c r="C6220" i="12"/>
  <c r="B6220" i="12"/>
  <c r="A6220" i="12"/>
  <c r="E6219" i="12"/>
  <c r="D6219" i="12"/>
  <c r="C6219" i="12"/>
  <c r="B6219" i="12"/>
  <c r="A6219" i="12"/>
  <c r="E6218" i="12"/>
  <c r="D6218" i="12"/>
  <c r="C6218" i="12"/>
  <c r="B6218" i="12"/>
  <c r="A6218" i="12"/>
  <c r="E6217" i="12"/>
  <c r="D6217" i="12"/>
  <c r="C6217" i="12"/>
  <c r="B6217" i="12"/>
  <c r="A6217" i="12"/>
  <c r="E6216" i="12"/>
  <c r="D6216" i="12"/>
  <c r="C6216" i="12"/>
  <c r="B6216" i="12"/>
  <c r="A6216" i="12"/>
  <c r="G6215" i="12"/>
  <c r="E6215" i="12"/>
  <c r="D6215" i="12"/>
  <c r="C6215" i="12"/>
  <c r="B6215" i="12"/>
  <c r="A6215" i="12"/>
  <c r="E6214" i="12"/>
  <c r="D6214" i="12"/>
  <c r="C6214" i="12"/>
  <c r="B6214" i="12"/>
  <c r="A6214" i="12"/>
  <c r="E6213" i="12"/>
  <c r="D6213" i="12"/>
  <c r="C6213" i="12"/>
  <c r="B6213" i="12"/>
  <c r="A6213" i="12"/>
  <c r="G6212" i="12"/>
  <c r="F6212" i="12"/>
  <c r="E6212" i="12"/>
  <c r="D6212" i="12"/>
  <c r="C6212" i="12"/>
  <c r="B6212" i="12"/>
  <c r="A6212" i="12"/>
  <c r="G6211" i="12"/>
  <c r="E6211" i="12"/>
  <c r="D6211" i="12"/>
  <c r="C6211" i="12"/>
  <c r="B6211" i="12"/>
  <c r="A6211" i="12"/>
  <c r="G6210" i="12"/>
  <c r="F6210" i="12"/>
  <c r="E6210" i="12"/>
  <c r="D6210" i="12"/>
  <c r="C6210" i="12"/>
  <c r="B6210" i="12"/>
  <c r="A6210" i="12"/>
  <c r="G6209" i="12"/>
  <c r="F6209" i="12"/>
  <c r="E6209" i="12"/>
  <c r="D6209" i="12"/>
  <c r="C6209" i="12"/>
  <c r="B6209" i="12"/>
  <c r="A6209" i="12"/>
  <c r="G6208" i="12"/>
  <c r="E6208" i="12"/>
  <c r="D6208" i="12"/>
  <c r="C6208" i="12"/>
  <c r="B6208" i="12"/>
  <c r="A6208" i="12"/>
  <c r="G6207" i="12"/>
  <c r="E6207" i="12"/>
  <c r="D6207" i="12"/>
  <c r="C6207" i="12"/>
  <c r="B6207" i="12"/>
  <c r="A6207" i="12"/>
  <c r="E6206" i="12"/>
  <c r="D6206" i="12"/>
  <c r="C6206" i="12"/>
  <c r="B6206" i="12"/>
  <c r="A6206" i="12"/>
  <c r="E6205" i="12"/>
  <c r="D6205" i="12"/>
  <c r="C6205" i="12"/>
  <c r="B6205" i="12"/>
  <c r="A6205" i="12"/>
  <c r="E6204" i="12"/>
  <c r="D6204" i="12"/>
  <c r="C6204" i="12"/>
  <c r="B6204" i="12"/>
  <c r="A6204" i="12"/>
  <c r="E6203" i="12"/>
  <c r="D6203" i="12"/>
  <c r="C6203" i="12"/>
  <c r="B6203" i="12"/>
  <c r="A6203" i="12"/>
  <c r="E6202" i="12"/>
  <c r="D6202" i="12"/>
  <c r="C6202" i="12"/>
  <c r="B6202" i="12"/>
  <c r="A6202" i="12"/>
  <c r="E6201" i="12"/>
  <c r="D6201" i="12"/>
  <c r="C6201" i="12"/>
  <c r="B6201" i="12"/>
  <c r="A6201" i="12"/>
  <c r="E6200" i="12"/>
  <c r="D6200" i="12"/>
  <c r="C6200" i="12"/>
  <c r="B6200" i="12"/>
  <c r="A6200" i="12"/>
  <c r="E6199" i="12"/>
  <c r="D6199" i="12"/>
  <c r="C6199" i="12"/>
  <c r="B6199" i="12"/>
  <c r="A6199" i="12"/>
  <c r="E6198" i="12"/>
  <c r="D6198" i="12"/>
  <c r="C6198" i="12"/>
  <c r="B6198" i="12"/>
  <c r="A6198" i="12"/>
  <c r="E6197" i="12"/>
  <c r="D6197" i="12"/>
  <c r="C6197" i="12"/>
  <c r="B6197" i="12"/>
  <c r="A6197" i="12"/>
  <c r="E6196" i="12"/>
  <c r="D6196" i="12"/>
  <c r="C6196" i="12"/>
  <c r="B6196" i="12"/>
  <c r="A6196" i="12"/>
  <c r="E6195" i="12"/>
  <c r="D6195" i="12"/>
  <c r="C6195" i="12"/>
  <c r="B6195" i="12"/>
  <c r="A6195" i="12"/>
  <c r="E6194" i="12"/>
  <c r="D6194" i="12"/>
  <c r="C6194" i="12"/>
  <c r="B6194" i="12"/>
  <c r="A6194" i="12"/>
  <c r="E6193" i="12"/>
  <c r="D6193" i="12"/>
  <c r="C6193" i="12"/>
  <c r="B6193" i="12"/>
  <c r="A6193" i="12"/>
  <c r="E6192" i="12"/>
  <c r="D6192" i="12"/>
  <c r="C6192" i="12"/>
  <c r="B6192" i="12"/>
  <c r="A6192" i="12"/>
  <c r="E6191" i="12"/>
  <c r="D6191" i="12"/>
  <c r="C6191" i="12"/>
  <c r="B6191" i="12"/>
  <c r="A6191" i="12"/>
  <c r="E6190" i="12"/>
  <c r="D6190" i="12"/>
  <c r="C6190" i="12"/>
  <c r="B6190" i="12"/>
  <c r="A6190" i="12"/>
  <c r="E6189" i="12"/>
  <c r="D6189" i="12"/>
  <c r="C6189" i="12"/>
  <c r="B6189" i="12"/>
  <c r="A6189" i="12"/>
  <c r="G6188" i="12"/>
  <c r="F6188" i="12"/>
  <c r="E6188" i="12"/>
  <c r="D6188" i="12"/>
  <c r="C6188" i="12"/>
  <c r="B6188" i="12"/>
  <c r="A6188" i="12"/>
  <c r="G6187" i="12"/>
  <c r="F6187" i="12"/>
  <c r="E6187" i="12"/>
  <c r="D6187" i="12"/>
  <c r="C6187" i="12"/>
  <c r="B6187" i="12"/>
  <c r="A6187" i="12"/>
  <c r="E6186" i="12"/>
  <c r="D6186" i="12"/>
  <c r="C6186" i="12"/>
  <c r="B6186" i="12"/>
  <c r="A6186" i="12"/>
  <c r="E6185" i="12"/>
  <c r="D6185" i="12"/>
  <c r="C6185" i="12"/>
  <c r="B6185" i="12"/>
  <c r="A6185" i="12"/>
  <c r="E6184" i="12"/>
  <c r="D6184" i="12"/>
  <c r="C6184" i="12"/>
  <c r="B6184" i="12"/>
  <c r="A6184" i="12"/>
  <c r="E6183" i="12"/>
  <c r="D6183" i="12"/>
  <c r="C6183" i="12"/>
  <c r="B6183" i="12"/>
  <c r="A6183" i="12"/>
  <c r="E6182" i="12"/>
  <c r="D6182" i="12"/>
  <c r="C6182" i="12"/>
  <c r="B6182" i="12"/>
  <c r="A6182" i="12"/>
  <c r="G6181" i="12"/>
  <c r="E6181" i="12"/>
  <c r="D6181" i="12"/>
  <c r="C6181" i="12"/>
  <c r="B6181" i="12"/>
  <c r="A6181" i="12"/>
  <c r="G6180" i="12"/>
  <c r="E6180" i="12"/>
  <c r="D6180" i="12"/>
  <c r="C6180" i="12"/>
  <c r="B6180" i="12"/>
  <c r="A6180" i="12"/>
  <c r="E6179" i="12"/>
  <c r="D6179" i="12"/>
  <c r="C6179" i="12"/>
  <c r="B6179" i="12"/>
  <c r="A6179" i="12"/>
  <c r="G6178" i="12"/>
  <c r="E6178" i="12"/>
  <c r="D6178" i="12"/>
  <c r="C6178" i="12"/>
  <c r="B6178" i="12"/>
  <c r="A6178" i="12"/>
  <c r="G6177" i="12"/>
  <c r="E6177" i="12"/>
  <c r="D6177" i="12"/>
  <c r="C6177" i="12"/>
  <c r="B6177" i="12"/>
  <c r="A6177" i="12"/>
  <c r="E6176" i="12"/>
  <c r="D6176" i="12"/>
  <c r="C6176" i="12"/>
  <c r="B6176" i="12"/>
  <c r="A6176" i="12"/>
  <c r="E6175" i="12"/>
  <c r="D6175" i="12"/>
  <c r="C6175" i="12"/>
  <c r="B6175" i="12"/>
  <c r="A6175" i="12"/>
  <c r="E6174" i="12"/>
  <c r="D6174" i="12"/>
  <c r="C6174" i="12"/>
  <c r="B6174" i="12"/>
  <c r="A6174" i="12"/>
  <c r="E6173" i="12"/>
  <c r="D6173" i="12"/>
  <c r="C6173" i="12"/>
  <c r="B6173" i="12"/>
  <c r="A6173" i="12"/>
  <c r="E6172" i="12"/>
  <c r="D6172" i="12"/>
  <c r="C6172" i="12"/>
  <c r="B6172" i="12"/>
  <c r="A6172" i="12"/>
  <c r="E6171" i="12"/>
  <c r="D6171" i="12"/>
  <c r="C6171" i="12"/>
  <c r="B6171" i="12"/>
  <c r="A6171" i="12"/>
  <c r="E6170" i="12"/>
  <c r="D6170" i="12"/>
  <c r="C6170" i="12"/>
  <c r="B6170" i="12"/>
  <c r="A6170" i="12"/>
  <c r="E6169" i="12"/>
  <c r="D6169" i="12"/>
  <c r="C6169" i="12"/>
  <c r="B6169" i="12"/>
  <c r="A6169" i="12"/>
  <c r="E6168" i="12"/>
  <c r="D6168" i="12"/>
  <c r="C6168" i="12"/>
  <c r="B6168" i="12"/>
  <c r="A6168" i="12"/>
  <c r="E6167" i="12"/>
  <c r="D6167" i="12"/>
  <c r="C6167" i="12"/>
  <c r="B6167" i="12"/>
  <c r="A6167" i="12"/>
  <c r="E6166" i="12"/>
  <c r="D6166" i="12"/>
  <c r="C6166" i="12"/>
  <c r="B6166" i="12"/>
  <c r="A6166" i="12"/>
  <c r="E6165" i="12"/>
  <c r="D6165" i="12"/>
  <c r="C6165" i="12"/>
  <c r="B6165" i="12"/>
  <c r="A6165" i="12"/>
  <c r="E6164" i="12"/>
  <c r="D6164" i="12"/>
  <c r="C6164" i="12"/>
  <c r="B6164" i="12"/>
  <c r="A6164" i="12"/>
  <c r="E6163" i="12"/>
  <c r="D6163" i="12"/>
  <c r="C6163" i="12"/>
  <c r="B6163" i="12"/>
  <c r="A6163" i="12"/>
  <c r="E6162" i="12"/>
  <c r="D6162" i="12"/>
  <c r="C6162" i="12"/>
  <c r="B6162" i="12"/>
  <c r="A6162" i="12"/>
  <c r="E6161" i="12"/>
  <c r="D6161" i="12"/>
  <c r="C6161" i="12"/>
  <c r="B6161" i="12"/>
  <c r="A6161" i="12"/>
  <c r="G6160" i="12"/>
  <c r="E6160" i="12"/>
  <c r="D6160" i="12"/>
  <c r="C6160" i="12"/>
  <c r="B6160" i="12"/>
  <c r="A6160" i="12"/>
  <c r="E6159" i="12"/>
  <c r="D6159" i="12"/>
  <c r="C6159" i="12"/>
  <c r="B6159" i="12"/>
  <c r="A6159" i="12"/>
  <c r="E6158" i="12"/>
  <c r="D6158" i="12"/>
  <c r="C6158" i="12"/>
  <c r="B6158" i="12"/>
  <c r="A6158" i="12"/>
  <c r="E6157" i="12"/>
  <c r="D6157" i="12"/>
  <c r="C6157" i="12"/>
  <c r="B6157" i="12"/>
  <c r="A6157" i="12"/>
  <c r="E6156" i="12"/>
  <c r="D6156" i="12"/>
  <c r="C6156" i="12"/>
  <c r="B6156" i="12"/>
  <c r="A6156" i="12"/>
  <c r="E6155" i="12"/>
  <c r="D6155" i="12"/>
  <c r="C6155" i="12"/>
  <c r="B6155" i="12"/>
  <c r="A6155" i="12"/>
  <c r="E6154" i="12"/>
  <c r="D6154" i="12"/>
  <c r="C6154" i="12"/>
  <c r="B6154" i="12"/>
  <c r="A6154" i="12"/>
  <c r="E6153" i="12"/>
  <c r="D6153" i="12"/>
  <c r="C6153" i="12"/>
  <c r="B6153" i="12"/>
  <c r="A6153" i="12"/>
  <c r="E6152" i="12"/>
  <c r="D6152" i="12"/>
  <c r="C6152" i="12"/>
  <c r="B6152" i="12"/>
  <c r="A6152" i="12"/>
  <c r="E6151" i="12"/>
  <c r="D6151" i="12"/>
  <c r="C6151" i="12"/>
  <c r="B6151" i="12"/>
  <c r="A6151" i="12"/>
  <c r="E6150" i="12"/>
  <c r="D6150" i="12"/>
  <c r="C6150" i="12"/>
  <c r="B6150" i="12"/>
  <c r="A6150" i="12"/>
  <c r="E6149" i="12"/>
  <c r="D6149" i="12"/>
  <c r="C6149" i="12"/>
  <c r="B6149" i="12"/>
  <c r="A6149" i="12"/>
  <c r="D6148" i="12"/>
  <c r="C6148" i="12"/>
  <c r="B6148" i="12"/>
  <c r="A6148" i="12"/>
  <c r="E6147" i="12"/>
  <c r="D6147" i="12"/>
  <c r="C6147" i="12"/>
  <c r="B6147" i="12"/>
  <c r="A6147" i="12"/>
  <c r="E6146" i="12"/>
  <c r="D6146" i="12"/>
  <c r="C6146" i="12"/>
  <c r="B6146" i="12"/>
  <c r="A6146" i="12"/>
  <c r="E6145" i="12"/>
  <c r="D6145" i="12"/>
  <c r="C6145" i="12"/>
  <c r="B6145" i="12"/>
  <c r="A6145" i="12"/>
  <c r="E6144" i="12"/>
  <c r="D6144" i="12"/>
  <c r="C6144" i="12"/>
  <c r="B6144" i="12"/>
  <c r="A6144" i="12"/>
  <c r="E6143" i="12"/>
  <c r="D6143" i="12"/>
  <c r="C6143" i="12"/>
  <c r="B6143" i="12"/>
  <c r="A6143" i="12"/>
  <c r="E6142" i="12"/>
  <c r="D6142" i="12"/>
  <c r="C6142" i="12"/>
  <c r="B6142" i="12"/>
  <c r="A6142" i="12"/>
  <c r="G6141" i="12"/>
  <c r="E6141" i="12"/>
  <c r="D6141" i="12"/>
  <c r="C6141" i="12"/>
  <c r="B6141" i="12"/>
  <c r="A6141" i="12"/>
  <c r="E6140" i="12"/>
  <c r="D6140" i="12"/>
  <c r="C6140" i="12"/>
  <c r="B6140" i="12"/>
  <c r="A6140" i="12"/>
  <c r="E6139" i="12"/>
  <c r="D6139" i="12"/>
  <c r="C6139" i="12"/>
  <c r="B6139" i="12"/>
  <c r="A6139" i="12"/>
  <c r="E6138" i="12"/>
  <c r="D6138" i="12"/>
  <c r="C6138" i="12"/>
  <c r="B6138" i="12"/>
  <c r="A6138" i="12"/>
  <c r="E6137" i="12"/>
  <c r="D6137" i="12"/>
  <c r="C6137" i="12"/>
  <c r="B6137" i="12"/>
  <c r="A6137" i="12"/>
  <c r="G6136" i="12"/>
  <c r="E6136" i="12"/>
  <c r="D6136" i="12"/>
  <c r="C6136" i="12"/>
  <c r="B6136" i="12"/>
  <c r="A6136" i="12"/>
  <c r="E6135" i="12"/>
  <c r="D6135" i="12"/>
  <c r="C6135" i="12"/>
  <c r="B6135" i="12"/>
  <c r="A6135" i="12"/>
  <c r="E6134" i="12"/>
  <c r="D6134" i="12"/>
  <c r="C6134" i="12"/>
  <c r="B6134" i="12"/>
  <c r="A6134" i="12"/>
  <c r="E6133" i="12"/>
  <c r="D6133" i="12"/>
  <c r="C6133" i="12"/>
  <c r="B6133" i="12"/>
  <c r="A6133" i="12"/>
  <c r="G6132" i="12"/>
  <c r="F6132" i="12"/>
  <c r="E6132" i="12"/>
  <c r="D6132" i="12"/>
  <c r="C6132" i="12"/>
  <c r="B6132" i="12"/>
  <c r="A6132" i="12"/>
  <c r="G6131" i="12"/>
  <c r="E6131" i="12"/>
  <c r="D6131" i="12"/>
  <c r="C6131" i="12"/>
  <c r="B6131" i="12"/>
  <c r="A6131" i="12"/>
  <c r="G6130" i="12"/>
  <c r="E6130" i="12"/>
  <c r="D6130" i="12"/>
  <c r="C6130" i="12"/>
  <c r="B6130" i="12"/>
  <c r="A6130" i="12"/>
  <c r="G6129" i="12"/>
  <c r="F6129" i="12"/>
  <c r="E6129" i="12"/>
  <c r="D6129" i="12"/>
  <c r="C6129" i="12"/>
  <c r="B6129" i="12"/>
  <c r="A6129" i="12"/>
  <c r="E6128" i="12"/>
  <c r="D6128" i="12"/>
  <c r="C6128" i="12"/>
  <c r="B6128" i="12"/>
  <c r="A6128" i="12"/>
  <c r="G6127" i="12"/>
  <c r="F6127" i="12"/>
  <c r="E6127" i="12"/>
  <c r="D6127" i="12"/>
  <c r="C6127" i="12"/>
  <c r="B6127" i="12"/>
  <c r="A6127" i="12"/>
  <c r="G6126" i="12"/>
  <c r="E6126" i="12"/>
  <c r="D6126" i="12"/>
  <c r="C6126" i="12"/>
  <c r="B6126" i="12"/>
  <c r="A6126" i="12"/>
  <c r="G6125" i="12"/>
  <c r="F6125" i="12"/>
  <c r="E6125" i="12"/>
  <c r="D6125" i="12"/>
  <c r="C6125" i="12"/>
  <c r="B6125" i="12"/>
  <c r="A6125" i="12"/>
  <c r="G6124" i="12"/>
  <c r="E6124" i="12"/>
  <c r="D6124" i="12"/>
  <c r="C6124" i="12"/>
  <c r="B6124" i="12"/>
  <c r="A6124" i="12"/>
  <c r="G6123" i="12"/>
  <c r="E6123" i="12"/>
  <c r="D6123" i="12"/>
  <c r="C6123" i="12"/>
  <c r="B6123" i="12"/>
  <c r="A6123" i="12"/>
  <c r="G6122" i="12"/>
  <c r="E6122" i="12"/>
  <c r="D6122" i="12"/>
  <c r="C6122" i="12"/>
  <c r="B6122" i="12"/>
  <c r="A6122" i="12"/>
  <c r="G6121" i="12"/>
  <c r="E6121" i="12"/>
  <c r="D6121" i="12"/>
  <c r="C6121" i="12"/>
  <c r="B6121" i="12"/>
  <c r="A6121" i="12"/>
  <c r="G6120" i="12"/>
  <c r="F6120" i="12"/>
  <c r="E6120" i="12"/>
  <c r="D6120" i="12"/>
  <c r="C6120" i="12"/>
  <c r="B6120" i="12"/>
  <c r="A6120" i="12"/>
  <c r="G6119" i="12"/>
  <c r="F6119" i="12"/>
  <c r="E6119" i="12"/>
  <c r="D6119" i="12"/>
  <c r="C6119" i="12"/>
  <c r="B6119" i="12"/>
  <c r="A6119" i="12"/>
  <c r="G6118" i="12"/>
  <c r="E6118" i="12"/>
  <c r="D6118" i="12"/>
  <c r="C6118" i="12"/>
  <c r="B6118" i="12"/>
  <c r="A6118" i="12"/>
  <c r="G6117" i="12"/>
  <c r="E6117" i="12"/>
  <c r="D6117" i="12"/>
  <c r="C6117" i="12"/>
  <c r="B6117" i="12"/>
  <c r="A6117" i="12"/>
  <c r="G6116" i="12"/>
  <c r="E6116" i="12"/>
  <c r="D6116" i="12"/>
  <c r="C6116" i="12"/>
  <c r="B6116" i="12"/>
  <c r="A6116" i="12"/>
  <c r="G6115" i="12"/>
  <c r="E6115" i="12"/>
  <c r="D6115" i="12"/>
  <c r="C6115" i="12"/>
  <c r="B6115" i="12"/>
  <c r="A6115" i="12"/>
  <c r="G6114" i="12"/>
  <c r="E6114" i="12"/>
  <c r="D6114" i="12"/>
  <c r="C6114" i="12"/>
  <c r="B6114" i="12"/>
  <c r="A6114" i="12"/>
  <c r="E6113" i="12"/>
  <c r="D6113" i="12"/>
  <c r="C6113" i="12"/>
  <c r="B6113" i="12"/>
  <c r="A6113" i="12"/>
  <c r="G6112" i="12"/>
  <c r="E6112" i="12"/>
  <c r="D6112" i="12"/>
  <c r="C6112" i="12"/>
  <c r="B6112" i="12"/>
  <c r="A6112" i="12"/>
  <c r="G6111" i="12"/>
  <c r="E6111" i="12"/>
  <c r="D6111" i="12"/>
  <c r="C6111" i="12"/>
  <c r="B6111" i="12"/>
  <c r="A6111" i="12"/>
  <c r="G6110" i="12"/>
  <c r="E6110" i="12"/>
  <c r="D6110" i="12"/>
  <c r="C6110" i="12"/>
  <c r="B6110" i="12"/>
  <c r="A6110" i="12"/>
  <c r="G6109" i="12"/>
  <c r="E6109" i="12"/>
  <c r="D6109" i="12"/>
  <c r="C6109" i="12"/>
  <c r="B6109" i="12"/>
  <c r="A6109" i="12"/>
  <c r="G6108" i="12"/>
  <c r="E6108" i="12"/>
  <c r="D6108" i="12"/>
  <c r="C6108" i="12"/>
  <c r="B6108" i="12"/>
  <c r="A6108" i="12"/>
  <c r="G6107" i="12"/>
  <c r="E6107" i="12"/>
  <c r="D6107" i="12"/>
  <c r="C6107" i="12"/>
  <c r="B6107" i="12"/>
  <c r="A6107" i="12"/>
  <c r="G6106" i="12"/>
  <c r="E6106" i="12"/>
  <c r="D6106" i="12"/>
  <c r="C6106" i="12"/>
  <c r="B6106" i="12"/>
  <c r="A6106" i="12"/>
  <c r="G6105" i="12"/>
  <c r="E6105" i="12"/>
  <c r="D6105" i="12"/>
  <c r="C6105" i="12"/>
  <c r="B6105" i="12"/>
  <c r="A6105" i="12"/>
  <c r="G6104" i="12"/>
  <c r="E6104" i="12"/>
  <c r="D6104" i="12"/>
  <c r="C6104" i="12"/>
  <c r="B6104" i="12"/>
  <c r="A6104" i="12"/>
  <c r="G6103" i="12"/>
  <c r="E6103" i="12"/>
  <c r="D6103" i="12"/>
  <c r="C6103" i="12"/>
  <c r="B6103" i="12"/>
  <c r="A6103" i="12"/>
  <c r="G6102" i="12"/>
  <c r="F6102" i="12"/>
  <c r="E6102" i="12"/>
  <c r="D6102" i="12"/>
  <c r="C6102" i="12"/>
  <c r="B6102" i="12"/>
  <c r="A6102" i="12"/>
  <c r="G6101" i="12"/>
  <c r="E6101" i="12"/>
  <c r="D6101" i="12"/>
  <c r="C6101" i="12"/>
  <c r="B6101" i="12"/>
  <c r="A6101" i="12"/>
  <c r="F6100" i="12"/>
  <c r="E6100" i="12"/>
  <c r="D6100" i="12"/>
  <c r="C6100" i="12"/>
  <c r="B6100" i="12"/>
  <c r="A6100" i="12"/>
  <c r="G6099" i="12"/>
  <c r="F6099" i="12"/>
  <c r="E6099" i="12"/>
  <c r="D6099" i="12"/>
  <c r="C6099" i="12"/>
  <c r="B6099" i="12"/>
  <c r="A6099" i="12"/>
  <c r="G6098" i="12"/>
  <c r="F6098" i="12"/>
  <c r="E6098" i="12"/>
  <c r="D6098" i="12"/>
  <c r="C6098" i="12"/>
  <c r="B6098" i="12"/>
  <c r="A6098" i="12"/>
  <c r="G6097" i="12"/>
  <c r="F6097" i="12"/>
  <c r="E6097" i="12"/>
  <c r="D6097" i="12"/>
  <c r="C6097" i="12"/>
  <c r="B6097" i="12"/>
  <c r="A6097" i="12"/>
  <c r="G6096" i="12"/>
  <c r="F6096" i="12"/>
  <c r="E6096" i="12"/>
  <c r="D6096" i="12"/>
  <c r="C6096" i="12"/>
  <c r="B6096" i="12"/>
  <c r="A6096" i="12"/>
  <c r="F6095" i="12"/>
  <c r="E6095" i="12"/>
  <c r="D6095" i="12"/>
  <c r="C6095" i="12"/>
  <c r="B6095" i="12"/>
  <c r="A6095" i="12"/>
  <c r="G6094" i="12"/>
  <c r="F6094" i="12"/>
  <c r="E6094" i="12"/>
  <c r="D6094" i="12"/>
  <c r="C6094" i="12"/>
  <c r="B6094" i="12"/>
  <c r="A6094" i="12"/>
  <c r="G6093" i="12"/>
  <c r="F6093" i="12"/>
  <c r="E6093" i="12"/>
  <c r="D6093" i="12"/>
  <c r="C6093" i="12"/>
  <c r="B6093" i="12"/>
  <c r="A6093" i="12"/>
  <c r="G6092" i="12"/>
  <c r="F6092" i="12"/>
  <c r="E6092" i="12"/>
  <c r="D6092" i="12"/>
  <c r="C6092" i="12"/>
  <c r="B6092" i="12"/>
  <c r="A6092" i="12"/>
  <c r="G6091" i="12"/>
  <c r="F6091" i="12"/>
  <c r="E6091" i="12"/>
  <c r="D6091" i="12"/>
  <c r="C6091" i="12"/>
  <c r="B6091" i="12"/>
  <c r="A6091" i="12"/>
  <c r="G6090" i="12"/>
  <c r="F6090" i="12"/>
  <c r="E6090" i="12"/>
  <c r="D6090" i="12"/>
  <c r="C6090" i="12"/>
  <c r="B6090" i="12"/>
  <c r="A6090" i="12"/>
  <c r="G6089" i="12"/>
  <c r="F6089" i="12"/>
  <c r="E6089" i="12"/>
  <c r="D6089" i="12"/>
  <c r="C6089" i="12"/>
  <c r="B6089" i="12"/>
  <c r="A6089" i="12"/>
  <c r="G6088" i="12"/>
  <c r="F6088" i="12"/>
  <c r="E6088" i="12"/>
  <c r="D6088" i="12"/>
  <c r="C6088" i="12"/>
  <c r="B6088" i="12"/>
  <c r="A6088" i="12"/>
  <c r="F6087" i="12"/>
  <c r="E6087" i="12"/>
  <c r="D6087" i="12"/>
  <c r="C6087" i="12"/>
  <c r="B6087" i="12"/>
  <c r="A6087" i="12"/>
  <c r="G6086" i="12"/>
  <c r="E6086" i="12"/>
  <c r="D6086" i="12"/>
  <c r="C6086" i="12"/>
  <c r="B6086" i="12"/>
  <c r="A6086" i="12"/>
  <c r="G6085" i="12"/>
  <c r="E6085" i="12"/>
  <c r="D6085" i="12"/>
  <c r="C6085" i="12"/>
  <c r="B6085" i="12"/>
  <c r="A6085" i="12"/>
  <c r="G6084" i="12"/>
  <c r="E6084" i="12"/>
  <c r="D6084" i="12"/>
  <c r="C6084" i="12"/>
  <c r="B6084" i="12"/>
  <c r="A6084" i="12"/>
  <c r="G6083" i="12"/>
  <c r="E6083" i="12"/>
  <c r="D6083" i="12"/>
  <c r="C6083" i="12"/>
  <c r="B6083" i="12"/>
  <c r="A6083" i="12"/>
  <c r="G6082" i="12"/>
  <c r="F6082" i="12"/>
  <c r="E6082" i="12"/>
  <c r="D6082" i="12"/>
  <c r="C6082" i="12"/>
  <c r="B6082" i="12"/>
  <c r="A6082" i="12"/>
  <c r="G6081" i="12"/>
  <c r="F6081" i="12"/>
  <c r="E6081" i="12"/>
  <c r="D6081" i="12"/>
  <c r="C6081" i="12"/>
  <c r="B6081" i="12"/>
  <c r="A6081" i="12"/>
  <c r="F6080" i="12"/>
  <c r="E6080" i="12"/>
  <c r="D6080" i="12"/>
  <c r="C6080" i="12"/>
  <c r="B6080" i="12"/>
  <c r="A6080" i="12"/>
  <c r="G6079" i="12"/>
  <c r="E6079" i="12"/>
  <c r="D6079" i="12"/>
  <c r="C6079" i="12"/>
  <c r="B6079" i="12"/>
  <c r="A6079" i="12"/>
  <c r="G6078" i="12"/>
  <c r="F6078" i="12"/>
  <c r="E6078" i="12"/>
  <c r="D6078" i="12"/>
  <c r="C6078" i="12"/>
  <c r="B6078" i="12"/>
  <c r="A6078" i="12"/>
  <c r="G6077" i="12"/>
  <c r="F6077" i="12"/>
  <c r="E6077" i="12"/>
  <c r="D6077" i="12"/>
  <c r="C6077" i="12"/>
  <c r="B6077" i="12"/>
  <c r="A6077" i="12"/>
  <c r="G6076" i="12"/>
  <c r="F6076" i="12"/>
  <c r="E6076" i="12"/>
  <c r="D6076" i="12"/>
  <c r="C6076" i="12"/>
  <c r="B6076" i="12"/>
  <c r="A6076" i="12"/>
  <c r="G6075" i="12"/>
  <c r="F6075" i="12"/>
  <c r="E6075" i="12"/>
  <c r="D6075" i="12"/>
  <c r="C6075" i="12"/>
  <c r="B6075" i="12"/>
  <c r="A6075" i="12"/>
  <c r="G6074" i="12"/>
  <c r="F6074" i="12"/>
  <c r="E6074" i="12"/>
  <c r="D6074" i="12"/>
  <c r="C6074" i="12"/>
  <c r="B6074" i="12"/>
  <c r="A6074" i="12"/>
  <c r="G6073" i="12"/>
  <c r="E6073" i="12"/>
  <c r="D6073" i="12"/>
  <c r="C6073" i="12"/>
  <c r="B6073" i="12"/>
  <c r="A6073" i="12"/>
  <c r="G6072" i="12"/>
  <c r="F6072" i="12"/>
  <c r="E6072" i="12"/>
  <c r="D6072" i="12"/>
  <c r="C6072" i="12"/>
  <c r="B6072" i="12"/>
  <c r="A6072" i="12"/>
  <c r="G6071" i="12"/>
  <c r="F6071" i="12"/>
  <c r="D6071" i="12"/>
  <c r="C6071" i="12"/>
  <c r="B6071" i="12"/>
  <c r="A6071" i="12"/>
  <c r="G6070" i="12"/>
  <c r="F6070" i="12"/>
  <c r="E6070" i="12"/>
  <c r="D6070" i="12"/>
  <c r="C6070" i="12"/>
  <c r="B6070" i="12"/>
  <c r="A6070" i="12"/>
  <c r="G6069" i="12"/>
  <c r="F6069" i="12"/>
  <c r="E6069" i="12"/>
  <c r="D6069" i="12"/>
  <c r="C6069" i="12"/>
  <c r="B6069" i="12"/>
  <c r="A6069" i="12"/>
  <c r="G6068" i="12"/>
  <c r="F6068" i="12"/>
  <c r="E6068" i="12"/>
  <c r="D6068" i="12"/>
  <c r="C6068" i="12"/>
  <c r="B6068" i="12"/>
  <c r="A6068" i="12"/>
  <c r="G6067" i="12"/>
  <c r="F6067" i="12"/>
  <c r="E6067" i="12"/>
  <c r="D6067" i="12"/>
  <c r="C6067" i="12"/>
  <c r="B6067" i="12"/>
  <c r="A6067" i="12"/>
  <c r="G6066" i="12"/>
  <c r="F6066" i="12"/>
  <c r="E6066" i="12"/>
  <c r="D6066" i="12"/>
  <c r="C6066" i="12"/>
  <c r="B6066" i="12"/>
  <c r="A6066" i="12"/>
  <c r="G6065" i="12"/>
  <c r="E6065" i="12"/>
  <c r="D6065" i="12"/>
  <c r="C6065" i="12"/>
  <c r="B6065" i="12"/>
  <c r="A6065" i="12"/>
  <c r="G6064" i="12"/>
  <c r="F6064" i="12"/>
  <c r="E6064" i="12"/>
  <c r="D6064" i="12"/>
  <c r="C6064" i="12"/>
  <c r="B6064" i="12"/>
  <c r="A6064" i="12"/>
  <c r="G6063" i="12"/>
  <c r="E6063" i="12"/>
  <c r="D6063" i="12"/>
  <c r="C6063" i="12"/>
  <c r="B6063" i="12"/>
  <c r="A6063" i="12"/>
  <c r="G6062" i="12"/>
  <c r="F6062" i="12"/>
  <c r="E6062" i="12"/>
  <c r="D6062" i="12"/>
  <c r="C6062" i="12"/>
  <c r="B6062" i="12"/>
  <c r="A6062" i="12"/>
  <c r="G6061" i="12"/>
  <c r="E6061" i="12"/>
  <c r="D6061" i="12"/>
  <c r="C6061" i="12"/>
  <c r="B6061" i="12"/>
  <c r="A6061" i="12"/>
  <c r="G6060" i="12"/>
  <c r="E6060" i="12"/>
  <c r="D6060" i="12"/>
  <c r="C6060" i="12"/>
  <c r="B6060" i="12"/>
  <c r="A6060" i="12"/>
  <c r="G6059" i="12"/>
  <c r="E6059" i="12"/>
  <c r="D6059" i="12"/>
  <c r="C6059" i="12"/>
  <c r="B6059" i="12"/>
  <c r="A6059" i="12"/>
  <c r="G6058" i="12"/>
  <c r="F6058" i="12"/>
  <c r="E6058" i="12"/>
  <c r="D6058" i="12"/>
  <c r="C6058" i="12"/>
  <c r="B6058" i="12"/>
  <c r="A6058" i="12"/>
  <c r="G6057" i="12"/>
  <c r="E6057" i="12"/>
  <c r="D6057" i="12"/>
  <c r="C6057" i="12"/>
  <c r="B6057" i="12"/>
  <c r="A6057" i="12"/>
  <c r="G6056" i="12"/>
  <c r="F6056" i="12"/>
  <c r="E6056" i="12"/>
  <c r="D6056" i="12"/>
  <c r="C6056" i="12"/>
  <c r="B6056" i="12"/>
  <c r="A6056" i="12"/>
  <c r="G6055" i="12"/>
  <c r="E6055" i="12"/>
  <c r="D6055" i="12"/>
  <c r="C6055" i="12"/>
  <c r="B6055" i="12"/>
  <c r="A6055" i="12"/>
  <c r="G6054" i="12"/>
  <c r="F6054" i="12"/>
  <c r="E6054" i="12"/>
  <c r="D6054" i="12"/>
  <c r="C6054" i="12"/>
  <c r="B6054" i="12"/>
  <c r="A6054" i="12"/>
  <c r="G6053" i="12"/>
  <c r="F6053" i="12"/>
  <c r="E6053" i="12"/>
  <c r="D6053" i="12"/>
  <c r="C6053" i="12"/>
  <c r="B6053" i="12"/>
  <c r="A6053" i="12"/>
  <c r="G6052" i="12"/>
  <c r="F6052" i="12"/>
  <c r="E6052" i="12"/>
  <c r="D6052" i="12"/>
  <c r="C6052" i="12"/>
  <c r="B6052" i="12"/>
  <c r="A6052" i="12"/>
  <c r="G6051" i="12"/>
  <c r="F6051" i="12"/>
  <c r="E6051" i="12"/>
  <c r="D6051" i="12"/>
  <c r="C6051" i="12"/>
  <c r="B6051" i="12"/>
  <c r="A6051" i="12"/>
  <c r="G6050" i="12"/>
  <c r="F6050" i="12"/>
  <c r="E6050" i="12"/>
  <c r="D6050" i="12"/>
  <c r="C6050" i="12"/>
  <c r="B6050" i="12"/>
  <c r="A6050" i="12"/>
  <c r="G6049" i="12"/>
  <c r="E6049" i="12"/>
  <c r="D6049" i="12"/>
  <c r="C6049" i="12"/>
  <c r="B6049" i="12"/>
  <c r="A6049" i="12"/>
  <c r="G6048" i="12"/>
  <c r="E6048" i="12"/>
  <c r="D6048" i="12"/>
  <c r="C6048" i="12"/>
  <c r="B6048" i="12"/>
  <c r="A6048" i="12"/>
  <c r="G6047" i="12"/>
  <c r="E6047" i="12"/>
  <c r="D6047" i="12"/>
  <c r="C6047" i="12"/>
  <c r="B6047" i="12"/>
  <c r="A6047" i="12"/>
  <c r="G6046" i="12"/>
  <c r="E6046" i="12"/>
  <c r="D6046" i="12"/>
  <c r="C6046" i="12"/>
  <c r="B6046" i="12"/>
  <c r="A6046" i="12"/>
  <c r="G6045" i="12"/>
  <c r="E6045" i="12"/>
  <c r="D6045" i="12"/>
  <c r="C6045" i="12"/>
  <c r="B6045" i="12"/>
  <c r="A6045" i="12"/>
  <c r="G6044" i="12"/>
  <c r="E6044" i="12"/>
  <c r="D6044" i="12"/>
  <c r="C6044" i="12"/>
  <c r="B6044" i="12"/>
  <c r="A6044" i="12"/>
  <c r="G6043" i="12"/>
  <c r="F6043" i="12"/>
  <c r="E6043" i="12"/>
  <c r="D6043" i="12"/>
  <c r="C6043" i="12"/>
  <c r="B6043" i="12"/>
  <c r="A6043" i="12"/>
  <c r="G6042" i="12"/>
  <c r="F6042" i="12"/>
  <c r="E6042" i="12"/>
  <c r="D6042" i="12"/>
  <c r="C6042" i="12"/>
  <c r="B6042" i="12"/>
  <c r="A6042" i="12"/>
  <c r="G6041" i="12"/>
  <c r="F6041" i="12"/>
  <c r="E6041" i="12"/>
  <c r="D6041" i="12"/>
  <c r="C6041" i="12"/>
  <c r="B6041" i="12"/>
  <c r="A6041" i="12"/>
  <c r="G6040" i="12"/>
  <c r="F6040" i="12"/>
  <c r="E6040" i="12"/>
  <c r="D6040" i="12"/>
  <c r="C6040" i="12"/>
  <c r="B6040" i="12"/>
  <c r="A6040" i="12"/>
  <c r="G6039" i="12"/>
  <c r="E6039" i="12"/>
  <c r="D6039" i="12"/>
  <c r="C6039" i="12"/>
  <c r="B6039" i="12"/>
  <c r="A6039" i="12"/>
  <c r="G6038" i="12"/>
  <c r="E6038" i="12"/>
  <c r="D6038" i="12"/>
  <c r="C6038" i="12"/>
  <c r="B6038" i="12"/>
  <c r="A6038" i="12"/>
  <c r="G6037" i="12"/>
  <c r="F6037" i="12"/>
  <c r="E6037" i="12"/>
  <c r="D6037" i="12"/>
  <c r="C6037" i="12"/>
  <c r="B6037" i="12"/>
  <c r="A6037" i="12"/>
  <c r="G6036" i="12"/>
  <c r="E6036" i="12"/>
  <c r="D6036" i="12"/>
  <c r="C6036" i="12"/>
  <c r="B6036" i="12"/>
  <c r="A6036" i="12"/>
  <c r="G6035" i="12"/>
  <c r="E6035" i="12"/>
  <c r="D6035" i="12"/>
  <c r="C6035" i="12"/>
  <c r="B6035" i="12"/>
  <c r="A6035" i="12"/>
  <c r="G6034" i="12"/>
  <c r="F6034" i="12"/>
  <c r="E6034" i="12"/>
  <c r="D6034" i="12"/>
  <c r="C6034" i="12"/>
  <c r="B6034" i="12"/>
  <c r="A6034" i="12"/>
  <c r="G6033" i="12"/>
  <c r="F6033" i="12"/>
  <c r="E6033" i="12"/>
  <c r="D6033" i="12"/>
  <c r="C6033" i="12"/>
  <c r="B6033" i="12"/>
  <c r="A6033" i="12"/>
  <c r="G6032" i="12"/>
  <c r="E6032" i="12"/>
  <c r="D6032" i="12"/>
  <c r="C6032" i="12"/>
  <c r="B6032" i="12"/>
  <c r="A6032" i="12"/>
  <c r="E6031" i="12"/>
  <c r="D6031" i="12"/>
  <c r="C6031" i="12"/>
  <c r="B6031" i="12"/>
  <c r="A6031" i="12"/>
  <c r="G6030" i="12"/>
  <c r="E6030" i="12"/>
  <c r="D6030" i="12"/>
  <c r="C6030" i="12"/>
  <c r="B6030" i="12"/>
  <c r="A6030" i="12"/>
  <c r="G6029" i="12"/>
  <c r="E6029" i="12"/>
  <c r="D6029" i="12"/>
  <c r="C6029" i="12"/>
  <c r="B6029" i="12"/>
  <c r="A6029" i="12"/>
  <c r="G6028" i="12"/>
  <c r="E6028" i="12"/>
  <c r="D6028" i="12"/>
  <c r="C6028" i="12"/>
  <c r="B6028" i="12"/>
  <c r="A6028" i="12"/>
  <c r="G6027" i="12"/>
  <c r="E6027" i="12"/>
  <c r="D6027" i="12"/>
  <c r="C6027" i="12"/>
  <c r="B6027" i="12"/>
  <c r="A6027" i="12"/>
  <c r="G6026" i="12"/>
  <c r="E6026" i="12"/>
  <c r="D6026" i="12"/>
  <c r="C6026" i="12"/>
  <c r="B6026" i="12"/>
  <c r="A6026" i="12"/>
  <c r="G6025" i="12"/>
  <c r="E6025" i="12"/>
  <c r="D6025" i="12"/>
  <c r="C6025" i="12"/>
  <c r="B6025" i="12"/>
  <c r="A6025" i="12"/>
  <c r="E6024" i="12"/>
  <c r="D6024" i="12"/>
  <c r="C6024" i="12"/>
  <c r="B6024" i="12"/>
  <c r="A6024" i="12"/>
  <c r="G6023" i="12"/>
  <c r="E6023" i="12"/>
  <c r="D6023" i="12"/>
  <c r="C6023" i="12"/>
  <c r="B6023" i="12"/>
  <c r="A6023" i="12"/>
  <c r="G6022" i="12"/>
  <c r="E6022" i="12"/>
  <c r="D6022" i="12"/>
  <c r="C6022" i="12"/>
  <c r="B6022" i="12"/>
  <c r="A6022" i="12"/>
  <c r="G6021" i="12"/>
  <c r="E6021" i="12"/>
  <c r="D6021" i="12"/>
  <c r="C6021" i="12"/>
  <c r="B6021" i="12"/>
  <c r="A6021" i="12"/>
  <c r="G6020" i="12"/>
  <c r="E6020" i="12"/>
  <c r="D6020" i="12"/>
  <c r="C6020" i="12"/>
  <c r="B6020" i="12"/>
  <c r="A6020" i="12"/>
  <c r="G6019" i="12"/>
  <c r="E6019" i="12"/>
  <c r="D6019" i="12"/>
  <c r="C6019" i="12"/>
  <c r="B6019" i="12"/>
  <c r="A6019" i="12"/>
  <c r="G6018" i="12"/>
  <c r="E6018" i="12"/>
  <c r="D6018" i="12"/>
  <c r="C6018" i="12"/>
  <c r="B6018" i="12"/>
  <c r="A6018" i="12"/>
  <c r="G6017" i="12"/>
  <c r="E6017" i="12"/>
  <c r="D6017" i="12"/>
  <c r="C6017" i="12"/>
  <c r="B6017" i="12"/>
  <c r="A6017" i="12"/>
  <c r="E6016" i="12"/>
  <c r="D6016" i="12"/>
  <c r="C6016" i="12"/>
  <c r="B6016" i="12"/>
  <c r="A6016" i="12"/>
  <c r="G6015" i="12"/>
  <c r="E6015" i="12"/>
  <c r="D6015" i="12"/>
  <c r="C6015" i="12"/>
  <c r="B6015" i="12"/>
  <c r="A6015" i="12"/>
  <c r="G6014" i="12"/>
  <c r="E6014" i="12"/>
  <c r="D6014" i="12"/>
  <c r="C6014" i="12"/>
  <c r="B6014" i="12"/>
  <c r="A6014" i="12"/>
  <c r="E6013" i="12"/>
  <c r="D6013" i="12"/>
  <c r="C6013" i="12"/>
  <c r="B6013" i="12"/>
  <c r="A6013" i="12"/>
  <c r="E6012" i="12"/>
  <c r="D6012" i="12"/>
  <c r="C6012" i="12"/>
  <c r="B6012" i="12"/>
  <c r="A6012" i="12"/>
  <c r="G6011" i="12"/>
  <c r="E6011" i="12"/>
  <c r="D6011" i="12"/>
  <c r="C6011" i="12"/>
  <c r="B6011" i="12"/>
  <c r="A6011" i="12"/>
  <c r="G6010" i="12"/>
  <c r="E6010" i="12"/>
  <c r="D6010" i="12"/>
  <c r="C6010" i="12"/>
  <c r="B6010" i="12"/>
  <c r="A6010" i="12"/>
  <c r="G6009" i="12"/>
  <c r="E6009" i="12"/>
  <c r="D6009" i="12"/>
  <c r="C6009" i="12"/>
  <c r="B6009" i="12"/>
  <c r="A6009" i="12"/>
  <c r="G6008" i="12"/>
  <c r="E6008" i="12"/>
  <c r="D6008" i="12"/>
  <c r="C6008" i="12"/>
  <c r="B6008" i="12"/>
  <c r="A6008" i="12"/>
  <c r="G6007" i="12"/>
  <c r="E6007" i="12"/>
  <c r="D6007" i="12"/>
  <c r="C6007" i="12"/>
  <c r="B6007" i="12"/>
  <c r="A6007" i="12"/>
  <c r="E6006" i="12"/>
  <c r="D6006" i="12"/>
  <c r="C6006" i="12"/>
  <c r="B6006" i="12"/>
  <c r="A6006" i="12"/>
  <c r="G6005" i="12"/>
  <c r="E6005" i="12"/>
  <c r="D6005" i="12"/>
  <c r="C6005" i="12"/>
  <c r="B6005" i="12"/>
  <c r="A6005" i="12"/>
  <c r="G6004" i="12"/>
  <c r="E6004" i="12"/>
  <c r="D6004" i="12"/>
  <c r="C6004" i="12"/>
  <c r="B6004" i="12"/>
  <c r="A6004" i="12"/>
  <c r="G6003" i="12"/>
  <c r="E6003" i="12"/>
  <c r="D6003" i="12"/>
  <c r="C6003" i="12"/>
  <c r="B6003" i="12"/>
  <c r="A6003" i="12"/>
  <c r="E6002" i="12"/>
  <c r="D6002" i="12"/>
  <c r="C6002" i="12"/>
  <c r="B6002" i="12"/>
  <c r="A6002" i="12"/>
  <c r="G6001" i="12"/>
  <c r="F6001" i="12"/>
  <c r="E6001" i="12"/>
  <c r="D6001" i="12"/>
  <c r="C6001" i="12"/>
  <c r="B6001" i="12"/>
  <c r="A6001" i="12"/>
  <c r="G6000" i="12"/>
  <c r="E6000" i="12"/>
  <c r="D6000" i="12"/>
  <c r="C6000" i="12"/>
  <c r="B6000" i="12"/>
  <c r="A6000" i="12"/>
  <c r="G5999" i="12"/>
  <c r="F5999" i="12"/>
  <c r="E5999" i="12"/>
  <c r="D5999" i="12"/>
  <c r="C5999" i="12"/>
  <c r="B5999" i="12"/>
  <c r="A5999" i="12"/>
  <c r="G5998" i="12"/>
  <c r="F5998" i="12"/>
  <c r="E5998" i="12"/>
  <c r="D5998" i="12"/>
  <c r="C5998" i="12"/>
  <c r="B5998" i="12"/>
  <c r="A5998" i="12"/>
  <c r="G5997" i="12"/>
  <c r="E5997" i="12"/>
  <c r="D5997" i="12"/>
  <c r="C5997" i="12"/>
  <c r="B5997" i="12"/>
  <c r="A5997" i="12"/>
  <c r="F5996" i="12"/>
  <c r="E5996" i="12"/>
  <c r="D5996" i="12"/>
  <c r="C5996" i="12"/>
  <c r="B5996" i="12"/>
  <c r="A5996" i="12"/>
  <c r="G5995" i="12"/>
  <c r="F5995" i="12"/>
  <c r="E5995" i="12"/>
  <c r="D5995" i="12"/>
  <c r="C5995" i="12"/>
  <c r="B5995" i="12"/>
  <c r="A5995" i="12"/>
  <c r="E5994" i="12"/>
  <c r="D5994" i="12"/>
  <c r="C5994" i="12"/>
  <c r="B5994" i="12"/>
  <c r="A5994" i="12"/>
  <c r="E5993" i="12"/>
  <c r="D5993" i="12"/>
  <c r="C5993" i="12"/>
  <c r="B5993" i="12"/>
  <c r="A5993" i="12"/>
  <c r="E5992" i="12"/>
  <c r="D5992" i="12"/>
  <c r="C5992" i="12"/>
  <c r="B5992" i="12"/>
  <c r="A5992" i="12"/>
  <c r="E5991" i="12"/>
  <c r="D5991" i="12"/>
  <c r="C5991" i="12"/>
  <c r="B5991" i="12"/>
  <c r="A5991" i="12"/>
  <c r="E5990" i="12"/>
  <c r="D5990" i="12"/>
  <c r="C5990" i="12"/>
  <c r="B5990" i="12"/>
  <c r="A5990" i="12"/>
  <c r="E5989" i="12"/>
  <c r="D5989" i="12"/>
  <c r="C5989" i="12"/>
  <c r="B5989" i="12"/>
  <c r="A5989" i="12"/>
  <c r="E5988" i="12"/>
  <c r="D5988" i="12"/>
  <c r="C5988" i="12"/>
  <c r="B5988" i="12"/>
  <c r="A5988" i="12"/>
  <c r="E5987" i="12"/>
  <c r="D5987" i="12"/>
  <c r="C5987" i="12"/>
  <c r="B5987" i="12"/>
  <c r="A5987" i="12"/>
  <c r="E5986" i="12"/>
  <c r="D5986" i="12"/>
  <c r="C5986" i="12"/>
  <c r="B5986" i="12"/>
  <c r="A5986" i="12"/>
  <c r="E5985" i="12"/>
  <c r="D5985" i="12"/>
  <c r="C5985" i="12"/>
  <c r="B5985" i="12"/>
  <c r="A5985" i="12"/>
  <c r="E5984" i="12"/>
  <c r="D5984" i="12"/>
  <c r="C5984" i="12"/>
  <c r="B5984" i="12"/>
  <c r="A5984" i="12"/>
  <c r="E5983" i="12"/>
  <c r="D5983" i="12"/>
  <c r="C5983" i="12"/>
  <c r="B5983" i="12"/>
  <c r="A5983" i="12"/>
  <c r="E5982" i="12"/>
  <c r="D5982" i="12"/>
  <c r="C5982" i="12"/>
  <c r="B5982" i="12"/>
  <c r="A5982" i="12"/>
  <c r="E5981" i="12"/>
  <c r="D5981" i="12"/>
  <c r="C5981" i="12"/>
  <c r="B5981" i="12"/>
  <c r="A5981" i="12"/>
  <c r="E5980" i="12"/>
  <c r="D5980" i="12"/>
  <c r="C5980" i="12"/>
  <c r="B5980" i="12"/>
  <c r="A5980" i="12"/>
  <c r="E5979" i="12"/>
  <c r="D5979" i="12"/>
  <c r="C5979" i="12"/>
  <c r="B5979" i="12"/>
  <c r="A5979" i="12"/>
  <c r="E5978" i="12"/>
  <c r="D5978" i="12"/>
  <c r="C5978" i="12"/>
  <c r="B5978" i="12"/>
  <c r="A5978" i="12"/>
  <c r="E5977" i="12"/>
  <c r="D5977" i="12"/>
  <c r="C5977" i="12"/>
  <c r="B5977" i="12"/>
  <c r="A5977" i="12"/>
  <c r="E5976" i="12"/>
  <c r="D5976" i="12"/>
  <c r="C5976" i="12"/>
  <c r="B5976" i="12"/>
  <c r="A5976" i="12"/>
  <c r="E5975" i="12"/>
  <c r="D5975" i="12"/>
  <c r="C5975" i="12"/>
  <c r="B5975" i="12"/>
  <c r="A5975" i="12"/>
  <c r="E5974" i="12"/>
  <c r="D5974" i="12"/>
  <c r="C5974" i="12"/>
  <c r="B5974" i="12"/>
  <c r="A5974" i="12"/>
  <c r="E5973" i="12"/>
  <c r="D5973" i="12"/>
  <c r="C5973" i="12"/>
  <c r="B5973" i="12"/>
  <c r="A5973" i="12"/>
  <c r="E5972" i="12"/>
  <c r="D5972" i="12"/>
  <c r="C5972" i="12"/>
  <c r="B5972" i="12"/>
  <c r="A5972" i="12"/>
  <c r="E5971" i="12"/>
  <c r="D5971" i="12"/>
  <c r="C5971" i="12"/>
  <c r="B5971" i="12"/>
  <c r="A5971" i="12"/>
  <c r="E5970" i="12"/>
  <c r="D5970" i="12"/>
  <c r="C5970" i="12"/>
  <c r="B5970" i="12"/>
  <c r="A5970" i="12"/>
  <c r="E5969" i="12"/>
  <c r="D5969" i="12"/>
  <c r="C5969" i="12"/>
  <c r="B5969" i="12"/>
  <c r="A5969" i="12"/>
  <c r="E5968" i="12"/>
  <c r="D5968" i="12"/>
  <c r="C5968" i="12"/>
  <c r="B5968" i="12"/>
  <c r="A5968" i="12"/>
  <c r="E5967" i="12"/>
  <c r="D5967" i="12"/>
  <c r="C5967" i="12"/>
  <c r="B5967" i="12"/>
  <c r="A5967" i="12"/>
  <c r="E5966" i="12"/>
  <c r="D5966" i="12"/>
  <c r="C5966" i="12"/>
  <c r="B5966" i="12"/>
  <c r="A5966" i="12"/>
  <c r="E5965" i="12"/>
  <c r="D5965" i="12"/>
  <c r="C5965" i="12"/>
  <c r="B5965" i="12"/>
  <c r="A5965" i="12"/>
  <c r="E5964" i="12"/>
  <c r="D5964" i="12"/>
  <c r="C5964" i="12"/>
  <c r="B5964" i="12"/>
  <c r="A5964" i="12"/>
  <c r="E5963" i="12"/>
  <c r="D5963" i="12"/>
  <c r="C5963" i="12"/>
  <c r="B5963" i="12"/>
  <c r="A5963" i="12"/>
  <c r="E5962" i="12"/>
  <c r="D5962" i="12"/>
  <c r="C5962" i="12"/>
  <c r="B5962" i="12"/>
  <c r="A5962" i="12"/>
  <c r="E5961" i="12"/>
  <c r="D5961" i="12"/>
  <c r="C5961" i="12"/>
  <c r="B5961" i="12"/>
  <c r="A5961" i="12"/>
  <c r="E5960" i="12"/>
  <c r="D5960" i="12"/>
  <c r="C5960" i="12"/>
  <c r="B5960" i="12"/>
  <c r="A5960" i="12"/>
  <c r="E5959" i="12"/>
  <c r="D5959" i="12"/>
  <c r="C5959" i="12"/>
  <c r="B5959" i="12"/>
  <c r="A5959" i="12"/>
  <c r="E5958" i="12"/>
  <c r="D5958" i="12"/>
  <c r="C5958" i="12"/>
  <c r="B5958" i="12"/>
  <c r="A5958" i="12"/>
  <c r="E5957" i="12"/>
  <c r="D5957" i="12"/>
  <c r="C5957" i="12"/>
  <c r="B5957" i="12"/>
  <c r="A5957" i="12"/>
  <c r="E5956" i="12"/>
  <c r="D5956" i="12"/>
  <c r="C5956" i="12"/>
  <c r="B5956" i="12"/>
  <c r="A5956" i="12"/>
  <c r="E5955" i="12"/>
  <c r="D5955" i="12"/>
  <c r="C5955" i="12"/>
  <c r="B5955" i="12"/>
  <c r="A5955" i="12"/>
  <c r="D5954" i="12"/>
  <c r="C5954" i="12"/>
  <c r="B5954" i="12"/>
  <c r="A5954" i="12"/>
  <c r="E5953" i="12"/>
  <c r="D5953" i="12"/>
  <c r="C5953" i="12"/>
  <c r="B5953" i="12"/>
  <c r="A5953" i="12"/>
  <c r="E5952" i="12"/>
  <c r="D5952" i="12"/>
  <c r="C5952" i="12"/>
  <c r="B5952" i="12"/>
  <c r="A5952" i="12"/>
  <c r="E5951" i="12"/>
  <c r="D5951" i="12"/>
  <c r="C5951" i="12"/>
  <c r="B5951" i="12"/>
  <c r="A5951" i="12"/>
  <c r="E5950" i="12"/>
  <c r="D5950" i="12"/>
  <c r="C5950" i="12"/>
  <c r="B5950" i="12"/>
  <c r="A5950" i="12"/>
  <c r="E5949" i="12"/>
  <c r="D5949" i="12"/>
  <c r="C5949" i="12"/>
  <c r="B5949" i="12"/>
  <c r="A5949" i="12"/>
  <c r="E5948" i="12"/>
  <c r="D5948" i="12"/>
  <c r="C5948" i="12"/>
  <c r="B5948" i="12"/>
  <c r="A5948" i="12"/>
  <c r="E5947" i="12"/>
  <c r="D5947" i="12"/>
  <c r="C5947" i="12"/>
  <c r="B5947" i="12"/>
  <c r="A5947" i="12"/>
  <c r="E5946" i="12"/>
  <c r="D5946" i="12"/>
  <c r="C5946" i="12"/>
  <c r="B5946" i="12"/>
  <c r="A5946" i="12"/>
  <c r="E5945" i="12"/>
  <c r="D5945" i="12"/>
  <c r="C5945" i="12"/>
  <c r="B5945" i="12"/>
  <c r="A5945" i="12"/>
  <c r="E5944" i="12"/>
  <c r="D5944" i="12"/>
  <c r="C5944" i="12"/>
  <c r="B5944" i="12"/>
  <c r="A5944" i="12"/>
  <c r="E5943" i="12"/>
  <c r="D5943" i="12"/>
  <c r="C5943" i="12"/>
  <c r="B5943" i="12"/>
  <c r="A5943" i="12"/>
  <c r="E5942" i="12"/>
  <c r="D5942" i="12"/>
  <c r="C5942" i="12"/>
  <c r="B5942" i="12"/>
  <c r="A5942" i="12"/>
  <c r="E5941" i="12"/>
  <c r="D5941" i="12"/>
  <c r="C5941" i="12"/>
  <c r="B5941" i="12"/>
  <c r="A5941" i="12"/>
  <c r="E5940" i="12"/>
  <c r="D5940" i="12"/>
  <c r="C5940" i="12"/>
  <c r="B5940" i="12"/>
  <c r="A5940" i="12"/>
  <c r="E5939" i="12"/>
  <c r="D5939" i="12"/>
  <c r="C5939" i="12"/>
  <c r="B5939" i="12"/>
  <c r="A5939" i="12"/>
  <c r="E5938" i="12"/>
  <c r="D5938" i="12"/>
  <c r="C5938" i="12"/>
  <c r="B5938" i="12"/>
  <c r="A5938" i="12"/>
  <c r="G5937" i="12"/>
  <c r="E5937" i="12"/>
  <c r="D5937" i="12"/>
  <c r="C5937" i="12"/>
  <c r="B5937" i="12"/>
  <c r="A5937" i="12"/>
  <c r="G5936" i="12"/>
  <c r="E5936" i="12"/>
  <c r="D5936" i="12"/>
  <c r="C5936" i="12"/>
  <c r="B5936" i="12"/>
  <c r="A5936" i="12"/>
  <c r="E5935" i="12"/>
  <c r="D5935" i="12"/>
  <c r="C5935" i="12"/>
  <c r="B5935" i="12"/>
  <c r="A5935" i="12"/>
  <c r="G5934" i="12"/>
  <c r="E5934" i="12"/>
  <c r="D5934" i="12"/>
  <c r="C5934" i="12"/>
  <c r="B5934" i="12"/>
  <c r="A5934" i="12"/>
  <c r="E5933" i="12"/>
  <c r="D5933" i="12"/>
  <c r="C5933" i="12"/>
  <c r="B5933" i="12"/>
  <c r="A5933" i="12"/>
  <c r="G5932" i="12"/>
  <c r="E5932" i="12"/>
  <c r="D5932" i="12"/>
  <c r="C5932" i="12"/>
  <c r="B5932" i="12"/>
  <c r="A5932" i="12"/>
  <c r="G5931" i="12"/>
  <c r="E5931" i="12"/>
  <c r="D5931" i="12"/>
  <c r="C5931" i="12"/>
  <c r="B5931" i="12"/>
  <c r="A5931" i="12"/>
  <c r="E5930" i="12"/>
  <c r="D5930" i="12"/>
  <c r="C5930" i="12"/>
  <c r="B5930" i="12"/>
  <c r="A5930" i="12"/>
  <c r="G5929" i="12"/>
  <c r="E5929" i="12"/>
  <c r="D5929" i="12"/>
  <c r="C5929" i="12"/>
  <c r="B5929" i="12"/>
  <c r="A5929" i="12"/>
  <c r="G5928" i="12"/>
  <c r="E5928" i="12"/>
  <c r="D5928" i="12"/>
  <c r="C5928" i="12"/>
  <c r="B5928" i="12"/>
  <c r="A5928" i="12"/>
  <c r="G5927" i="12"/>
  <c r="E5927" i="12"/>
  <c r="D5927" i="12"/>
  <c r="C5927" i="12"/>
  <c r="B5927" i="12"/>
  <c r="A5927" i="12"/>
  <c r="E5926" i="12"/>
  <c r="D5926" i="12"/>
  <c r="C5926" i="12"/>
  <c r="B5926" i="12"/>
  <c r="A5926" i="12"/>
  <c r="E5925" i="12"/>
  <c r="D5925" i="12"/>
  <c r="C5925" i="12"/>
  <c r="B5925" i="12"/>
  <c r="A5925" i="12"/>
  <c r="E5924" i="12"/>
  <c r="D5924" i="12"/>
  <c r="C5924" i="12"/>
  <c r="B5924" i="12"/>
  <c r="A5924" i="12"/>
  <c r="E5923" i="12"/>
  <c r="D5923" i="12"/>
  <c r="C5923" i="12"/>
  <c r="B5923" i="12"/>
  <c r="A5923" i="12"/>
  <c r="G5922" i="12"/>
  <c r="E5922" i="12"/>
  <c r="D5922" i="12"/>
  <c r="C5922" i="12"/>
  <c r="B5922" i="12"/>
  <c r="A5922" i="12"/>
  <c r="E5921" i="12"/>
  <c r="D5921" i="12"/>
  <c r="C5921" i="12"/>
  <c r="B5921" i="12"/>
  <c r="A5921" i="12"/>
  <c r="E5920" i="12"/>
  <c r="D5920" i="12"/>
  <c r="C5920" i="12"/>
  <c r="B5920" i="12"/>
  <c r="A5920" i="12"/>
  <c r="E5919" i="12"/>
  <c r="D5919" i="12"/>
  <c r="C5919" i="12"/>
  <c r="B5919" i="12"/>
  <c r="A5919" i="12"/>
  <c r="E5918" i="12"/>
  <c r="D5918" i="12"/>
  <c r="C5918" i="12"/>
  <c r="B5918" i="12"/>
  <c r="A5918" i="12"/>
  <c r="G5917" i="12"/>
  <c r="E5917" i="12"/>
  <c r="D5917" i="12"/>
  <c r="C5917" i="12"/>
  <c r="B5917" i="12"/>
  <c r="A5917" i="12"/>
  <c r="G5916" i="12"/>
  <c r="E5916" i="12"/>
  <c r="D5916" i="12"/>
  <c r="C5916" i="12"/>
  <c r="B5916" i="12"/>
  <c r="A5916" i="12"/>
  <c r="G5915" i="12"/>
  <c r="E5915" i="12"/>
  <c r="D5915" i="12"/>
  <c r="C5915" i="12"/>
  <c r="B5915" i="12"/>
  <c r="A5915" i="12"/>
  <c r="G5914" i="12"/>
  <c r="E5914" i="12"/>
  <c r="D5914" i="12"/>
  <c r="C5914" i="12"/>
  <c r="B5914" i="12"/>
  <c r="A5914" i="12"/>
  <c r="G5913" i="12"/>
  <c r="E5913" i="12"/>
  <c r="D5913" i="12"/>
  <c r="C5913" i="12"/>
  <c r="B5913" i="12"/>
  <c r="A5913" i="12"/>
  <c r="G5912" i="12"/>
  <c r="E5912" i="12"/>
  <c r="D5912" i="12"/>
  <c r="C5912" i="12"/>
  <c r="B5912" i="12"/>
  <c r="A5912" i="12"/>
  <c r="E5911" i="12"/>
  <c r="D5911" i="12"/>
  <c r="C5911" i="12"/>
  <c r="B5911" i="12"/>
  <c r="A5911" i="12"/>
  <c r="G5910" i="12"/>
  <c r="E5910" i="12"/>
  <c r="D5910" i="12"/>
  <c r="C5910" i="12"/>
  <c r="B5910" i="12"/>
  <c r="A5910" i="12"/>
  <c r="G5909" i="12"/>
  <c r="E5909" i="12"/>
  <c r="D5909" i="12"/>
  <c r="C5909" i="12"/>
  <c r="B5909" i="12"/>
  <c r="A5909" i="12"/>
  <c r="E5908" i="12"/>
  <c r="D5908" i="12"/>
  <c r="C5908" i="12"/>
  <c r="B5908" i="12"/>
  <c r="A5908" i="12"/>
  <c r="E5907" i="12"/>
  <c r="D5907" i="12"/>
  <c r="C5907" i="12"/>
  <c r="B5907" i="12"/>
  <c r="A5907" i="12"/>
  <c r="E5906" i="12"/>
  <c r="D5906" i="12"/>
  <c r="C5906" i="12"/>
  <c r="B5906" i="12"/>
  <c r="A5906" i="12"/>
  <c r="E5905" i="12"/>
  <c r="D5905" i="12"/>
  <c r="C5905" i="12"/>
  <c r="B5905" i="12"/>
  <c r="A5905" i="12"/>
  <c r="E5904" i="12"/>
  <c r="D5904" i="12"/>
  <c r="C5904" i="12"/>
  <c r="B5904" i="12"/>
  <c r="A5904" i="12"/>
  <c r="E5903" i="12"/>
  <c r="D5903" i="12"/>
  <c r="C5903" i="12"/>
  <c r="B5903" i="12"/>
  <c r="A5903" i="12"/>
  <c r="E5902" i="12"/>
  <c r="D5902" i="12"/>
  <c r="C5902" i="12"/>
  <c r="B5902" i="12"/>
  <c r="A5902" i="12"/>
  <c r="G5901" i="12"/>
  <c r="E5901" i="12"/>
  <c r="D5901" i="12"/>
  <c r="C5901" i="12"/>
  <c r="B5901" i="12"/>
  <c r="A5901" i="12"/>
  <c r="E5900" i="12"/>
  <c r="D5900" i="12"/>
  <c r="C5900" i="12"/>
  <c r="B5900" i="12"/>
  <c r="A5900" i="12"/>
  <c r="G5899" i="12"/>
  <c r="E5899" i="12"/>
  <c r="D5899" i="12"/>
  <c r="C5899" i="12"/>
  <c r="B5899" i="12"/>
  <c r="A5899" i="12"/>
  <c r="E5898" i="12"/>
  <c r="D5898" i="12"/>
  <c r="C5898" i="12"/>
  <c r="B5898" i="12"/>
  <c r="A5898" i="12"/>
  <c r="E5897" i="12"/>
  <c r="D5897" i="12"/>
  <c r="C5897" i="12"/>
  <c r="B5897" i="12"/>
  <c r="A5897" i="12"/>
  <c r="E5896" i="12"/>
  <c r="D5896" i="12"/>
  <c r="C5896" i="12"/>
  <c r="B5896" i="12"/>
  <c r="A5896" i="12"/>
  <c r="E5895" i="12"/>
  <c r="D5895" i="12"/>
  <c r="C5895" i="12"/>
  <c r="B5895" i="12"/>
  <c r="A5895" i="12"/>
  <c r="E5894" i="12"/>
  <c r="D5894" i="12"/>
  <c r="C5894" i="12"/>
  <c r="B5894" i="12"/>
  <c r="A5894" i="12"/>
  <c r="E5893" i="12"/>
  <c r="D5893" i="12"/>
  <c r="C5893" i="12"/>
  <c r="B5893" i="12"/>
  <c r="A5893" i="12"/>
  <c r="E5892" i="12"/>
  <c r="D5892" i="12"/>
  <c r="C5892" i="12"/>
  <c r="B5892" i="12"/>
  <c r="A5892" i="12"/>
  <c r="E5891" i="12"/>
  <c r="D5891" i="12"/>
  <c r="C5891" i="12"/>
  <c r="B5891" i="12"/>
  <c r="A5891" i="12"/>
  <c r="E5890" i="12"/>
  <c r="D5890" i="12"/>
  <c r="C5890" i="12"/>
  <c r="B5890" i="12"/>
  <c r="A5890" i="12"/>
  <c r="E5889" i="12"/>
  <c r="D5889" i="12"/>
  <c r="C5889" i="12"/>
  <c r="B5889" i="12"/>
  <c r="A5889" i="12"/>
  <c r="G5888" i="12"/>
  <c r="E5888" i="12"/>
  <c r="D5888" i="12"/>
  <c r="C5888" i="12"/>
  <c r="B5888" i="12"/>
  <c r="A5888" i="12"/>
  <c r="E5887" i="12"/>
  <c r="D5887" i="12"/>
  <c r="C5887" i="12"/>
  <c r="B5887" i="12"/>
  <c r="A5887" i="12"/>
  <c r="G5886" i="12"/>
  <c r="F5886" i="12"/>
  <c r="E5886" i="12"/>
  <c r="D5886" i="12"/>
  <c r="C5886" i="12"/>
  <c r="B5886" i="12"/>
  <c r="A5886" i="12"/>
  <c r="E5885" i="12"/>
  <c r="D5885" i="12"/>
  <c r="C5885" i="12"/>
  <c r="B5885" i="12"/>
  <c r="A5885" i="12"/>
  <c r="E5884" i="12"/>
  <c r="D5884" i="12"/>
  <c r="C5884" i="12"/>
  <c r="B5884" i="12"/>
  <c r="A5884" i="12"/>
  <c r="E5883" i="12"/>
  <c r="D5883" i="12"/>
  <c r="C5883" i="12"/>
  <c r="B5883" i="12"/>
  <c r="A5883" i="12"/>
  <c r="E5882" i="12"/>
  <c r="D5882" i="12"/>
  <c r="C5882" i="12"/>
  <c r="B5882" i="12"/>
  <c r="A5882" i="12"/>
  <c r="E5881" i="12"/>
  <c r="D5881" i="12"/>
  <c r="C5881" i="12"/>
  <c r="B5881" i="12"/>
  <c r="A5881" i="12"/>
  <c r="E5880" i="12"/>
  <c r="D5880" i="12"/>
  <c r="C5880" i="12"/>
  <c r="B5880" i="12"/>
  <c r="A5880" i="12"/>
  <c r="E5879" i="12"/>
  <c r="D5879" i="12"/>
  <c r="C5879" i="12"/>
  <c r="B5879" i="12"/>
  <c r="A5879" i="12"/>
  <c r="E5878" i="12"/>
  <c r="D5878" i="12"/>
  <c r="C5878" i="12"/>
  <c r="B5878" i="12"/>
  <c r="A5878" i="12"/>
  <c r="G5877" i="12"/>
  <c r="E5877" i="12"/>
  <c r="D5877" i="12"/>
  <c r="C5877" i="12"/>
  <c r="B5877" i="12"/>
  <c r="A5877" i="12"/>
  <c r="G5876" i="12"/>
  <c r="E5876" i="12"/>
  <c r="D5876" i="12"/>
  <c r="C5876" i="12"/>
  <c r="B5876" i="12"/>
  <c r="A5876" i="12"/>
  <c r="E5875" i="12"/>
  <c r="D5875" i="12"/>
  <c r="C5875" i="12"/>
  <c r="B5875" i="12"/>
  <c r="A5875" i="12"/>
  <c r="E5874" i="12"/>
  <c r="D5874" i="12"/>
  <c r="C5874" i="12"/>
  <c r="B5874" i="12"/>
  <c r="A5874" i="12"/>
  <c r="E5873" i="12"/>
  <c r="D5873" i="12"/>
  <c r="C5873" i="12"/>
  <c r="B5873" i="12"/>
  <c r="A5873" i="12"/>
  <c r="G5872" i="12"/>
  <c r="E5872" i="12"/>
  <c r="D5872" i="12"/>
  <c r="C5872" i="12"/>
  <c r="B5872" i="12"/>
  <c r="A5872" i="12"/>
  <c r="E5871" i="12"/>
  <c r="D5871" i="12"/>
  <c r="C5871" i="12"/>
  <c r="B5871" i="12"/>
  <c r="A5871" i="12"/>
  <c r="G5870" i="12"/>
  <c r="E5870" i="12"/>
  <c r="D5870" i="12"/>
  <c r="C5870" i="12"/>
  <c r="B5870" i="12"/>
  <c r="A5870" i="12"/>
  <c r="G5869" i="12"/>
  <c r="E5869" i="12"/>
  <c r="D5869" i="12"/>
  <c r="C5869" i="12"/>
  <c r="B5869" i="12"/>
  <c r="A5869" i="12"/>
  <c r="E5868" i="12"/>
  <c r="D5868" i="12"/>
  <c r="C5868" i="12"/>
  <c r="B5868" i="12"/>
  <c r="A5868" i="12"/>
  <c r="E5867" i="12"/>
  <c r="D5867" i="12"/>
  <c r="C5867" i="12"/>
  <c r="B5867" i="12"/>
  <c r="A5867" i="12"/>
  <c r="E5866" i="12"/>
  <c r="D5866" i="12"/>
  <c r="C5866" i="12"/>
  <c r="B5866" i="12"/>
  <c r="A5866" i="12"/>
  <c r="E5865" i="12"/>
  <c r="D5865" i="12"/>
  <c r="C5865" i="12"/>
  <c r="B5865" i="12"/>
  <c r="A5865" i="12"/>
  <c r="E5864" i="12"/>
  <c r="D5864" i="12"/>
  <c r="C5864" i="12"/>
  <c r="B5864" i="12"/>
  <c r="A5864" i="12"/>
  <c r="E5863" i="12"/>
  <c r="D5863" i="12"/>
  <c r="C5863" i="12"/>
  <c r="B5863" i="12"/>
  <c r="A5863" i="12"/>
  <c r="E5862" i="12"/>
  <c r="D5862" i="12"/>
  <c r="C5862" i="12"/>
  <c r="B5862" i="12"/>
  <c r="A5862" i="12"/>
  <c r="E5861" i="12"/>
  <c r="D5861" i="12"/>
  <c r="C5861" i="12"/>
  <c r="B5861" i="12"/>
  <c r="A5861" i="12"/>
  <c r="E5860" i="12"/>
  <c r="D5860" i="12"/>
  <c r="C5860" i="12"/>
  <c r="B5860" i="12"/>
  <c r="A5860" i="12"/>
  <c r="E5859" i="12"/>
  <c r="D5859" i="12"/>
  <c r="C5859" i="12"/>
  <c r="B5859" i="12"/>
  <c r="A5859" i="12"/>
  <c r="E5858" i="12"/>
  <c r="D5858" i="12"/>
  <c r="C5858" i="12"/>
  <c r="B5858" i="12"/>
  <c r="A5858" i="12"/>
  <c r="E5857" i="12"/>
  <c r="D5857" i="12"/>
  <c r="C5857" i="12"/>
  <c r="B5857" i="12"/>
  <c r="A5857" i="12"/>
  <c r="E5856" i="12"/>
  <c r="D5856" i="12"/>
  <c r="C5856" i="12"/>
  <c r="B5856" i="12"/>
  <c r="A5856" i="12"/>
  <c r="E5855" i="12"/>
  <c r="D5855" i="12"/>
  <c r="C5855" i="12"/>
  <c r="B5855" i="12"/>
  <c r="A5855" i="12"/>
  <c r="E5854" i="12"/>
  <c r="D5854" i="12"/>
  <c r="C5854" i="12"/>
  <c r="B5854" i="12"/>
  <c r="A5854" i="12"/>
  <c r="F5853" i="12"/>
  <c r="E5853" i="12"/>
  <c r="D5853" i="12"/>
  <c r="C5853" i="12"/>
  <c r="B5853" i="12"/>
  <c r="A5853" i="12"/>
  <c r="E5852" i="12"/>
  <c r="D5852" i="12"/>
  <c r="C5852" i="12"/>
  <c r="B5852" i="12"/>
  <c r="A5852" i="12"/>
  <c r="E5851" i="12"/>
  <c r="D5851" i="12"/>
  <c r="C5851" i="12"/>
  <c r="B5851" i="12"/>
  <c r="A5851" i="12"/>
  <c r="G5850" i="12"/>
  <c r="E5850" i="12"/>
  <c r="D5850" i="12"/>
  <c r="C5850" i="12"/>
  <c r="B5850" i="12"/>
  <c r="A5850" i="12"/>
  <c r="G5849" i="12"/>
  <c r="E5849" i="12"/>
  <c r="D5849" i="12"/>
  <c r="C5849" i="12"/>
  <c r="B5849" i="12"/>
  <c r="A5849" i="12"/>
  <c r="E5848" i="12"/>
  <c r="D5848" i="12"/>
  <c r="C5848" i="12"/>
  <c r="B5848" i="12"/>
  <c r="A5848" i="12"/>
  <c r="E5847" i="12"/>
  <c r="D5847" i="12"/>
  <c r="C5847" i="12"/>
  <c r="B5847" i="12"/>
  <c r="A5847" i="12"/>
  <c r="E5846" i="12"/>
  <c r="D5846" i="12"/>
  <c r="C5846" i="12"/>
  <c r="B5846" i="12"/>
  <c r="A5846" i="12"/>
  <c r="G5845" i="12"/>
  <c r="E5845" i="12"/>
  <c r="D5845" i="12"/>
  <c r="C5845" i="12"/>
  <c r="B5845" i="12"/>
  <c r="A5845" i="12"/>
  <c r="G5844" i="12"/>
  <c r="E5844" i="12"/>
  <c r="D5844" i="12"/>
  <c r="C5844" i="12"/>
  <c r="B5844" i="12"/>
  <c r="A5844" i="12"/>
  <c r="G5843" i="12"/>
  <c r="E5843" i="12"/>
  <c r="D5843" i="12"/>
  <c r="C5843" i="12"/>
  <c r="B5843" i="12"/>
  <c r="A5843" i="12"/>
  <c r="E5842" i="12"/>
  <c r="D5842" i="12"/>
  <c r="C5842" i="12"/>
  <c r="B5842" i="12"/>
  <c r="A5842" i="12"/>
  <c r="E5841" i="12"/>
  <c r="D5841" i="12"/>
  <c r="C5841" i="12"/>
  <c r="B5841" i="12"/>
  <c r="A5841" i="12"/>
  <c r="G5840" i="12"/>
  <c r="E5840" i="12"/>
  <c r="D5840" i="12"/>
  <c r="C5840" i="12"/>
  <c r="B5840" i="12"/>
  <c r="A5840" i="12"/>
  <c r="G5839" i="12"/>
  <c r="E5839" i="12"/>
  <c r="D5839" i="12"/>
  <c r="C5839" i="12"/>
  <c r="B5839" i="12"/>
  <c r="A5839" i="12"/>
  <c r="E5838" i="12"/>
  <c r="D5838" i="12"/>
  <c r="C5838" i="12"/>
  <c r="B5838" i="12"/>
  <c r="A5838" i="12"/>
  <c r="G5837" i="12"/>
  <c r="F5837" i="12"/>
  <c r="E5837" i="12"/>
  <c r="D5837" i="12"/>
  <c r="C5837" i="12"/>
  <c r="B5837" i="12"/>
  <c r="A5837" i="12"/>
  <c r="E5836" i="12"/>
  <c r="D5836" i="12"/>
  <c r="C5836" i="12"/>
  <c r="B5836" i="12"/>
  <c r="A5836" i="12"/>
  <c r="E5835" i="12"/>
  <c r="D5835" i="12"/>
  <c r="C5835" i="12"/>
  <c r="B5835" i="12"/>
  <c r="A5835" i="12"/>
  <c r="E5834" i="12"/>
  <c r="D5834" i="12"/>
  <c r="C5834" i="12"/>
  <c r="B5834" i="12"/>
  <c r="A5834" i="12"/>
  <c r="E5833" i="12"/>
  <c r="D5833" i="12"/>
  <c r="C5833" i="12"/>
  <c r="B5833" i="12"/>
  <c r="A5833" i="12"/>
  <c r="E5832" i="12"/>
  <c r="D5832" i="12"/>
  <c r="C5832" i="12"/>
  <c r="B5832" i="12"/>
  <c r="A5832" i="12"/>
  <c r="E5831" i="12"/>
  <c r="D5831" i="12"/>
  <c r="C5831" i="12"/>
  <c r="B5831" i="12"/>
  <c r="A5831" i="12"/>
  <c r="E5830" i="12"/>
  <c r="D5830" i="12"/>
  <c r="C5830" i="12"/>
  <c r="B5830" i="12"/>
  <c r="A5830" i="12"/>
  <c r="E5829" i="12"/>
  <c r="D5829" i="12"/>
  <c r="C5829" i="12"/>
  <c r="B5829" i="12"/>
  <c r="A5829" i="12"/>
  <c r="E5828" i="12"/>
  <c r="D5828" i="12"/>
  <c r="C5828" i="12"/>
  <c r="B5828" i="12"/>
  <c r="A5828" i="12"/>
  <c r="E5827" i="12"/>
  <c r="D5827" i="12"/>
  <c r="C5827" i="12"/>
  <c r="B5827" i="12"/>
  <c r="A5827" i="12"/>
  <c r="E5826" i="12"/>
  <c r="D5826" i="12"/>
  <c r="C5826" i="12"/>
  <c r="B5826" i="12"/>
  <c r="A5826" i="12"/>
  <c r="G5825" i="12"/>
  <c r="E5825" i="12"/>
  <c r="D5825" i="12"/>
  <c r="C5825" i="12"/>
  <c r="B5825" i="12"/>
  <c r="A5825" i="12"/>
  <c r="E5824" i="12"/>
  <c r="D5824" i="12"/>
  <c r="C5824" i="12"/>
  <c r="B5824" i="12"/>
  <c r="A5824" i="12"/>
  <c r="E5823" i="12"/>
  <c r="D5823" i="12"/>
  <c r="C5823" i="12"/>
  <c r="B5823" i="12"/>
  <c r="A5823" i="12"/>
  <c r="F5822" i="12"/>
  <c r="E5822" i="12"/>
  <c r="D5822" i="12"/>
  <c r="C5822" i="12"/>
  <c r="B5822" i="12"/>
  <c r="A5822" i="12"/>
  <c r="E5821" i="12"/>
  <c r="D5821" i="12"/>
  <c r="C5821" i="12"/>
  <c r="B5821" i="12"/>
  <c r="A5821" i="12"/>
  <c r="G5820" i="12"/>
  <c r="E5820" i="12"/>
  <c r="D5820" i="12"/>
  <c r="C5820" i="12"/>
  <c r="B5820" i="12"/>
  <c r="A5820" i="12"/>
  <c r="E5819" i="12"/>
  <c r="D5819" i="12"/>
  <c r="C5819" i="12"/>
  <c r="B5819" i="12"/>
  <c r="A5819" i="12"/>
  <c r="E5818" i="12"/>
  <c r="D5818" i="12"/>
  <c r="C5818" i="12"/>
  <c r="B5818" i="12"/>
  <c r="A5818" i="12"/>
  <c r="G5817" i="12"/>
  <c r="E5817" i="12"/>
  <c r="D5817" i="12"/>
  <c r="C5817" i="12"/>
  <c r="B5817" i="12"/>
  <c r="A5817" i="12"/>
  <c r="E5816" i="12"/>
  <c r="D5816" i="12"/>
  <c r="C5816" i="12"/>
  <c r="B5816" i="12"/>
  <c r="A5816" i="12"/>
  <c r="E5815" i="12"/>
  <c r="D5815" i="12"/>
  <c r="C5815" i="12"/>
  <c r="B5815" i="12"/>
  <c r="A5815" i="12"/>
  <c r="E5814" i="12"/>
  <c r="D5814" i="12"/>
  <c r="C5814" i="12"/>
  <c r="B5814" i="12"/>
  <c r="A5814" i="12"/>
  <c r="E5813" i="12"/>
  <c r="D5813" i="12"/>
  <c r="C5813" i="12"/>
  <c r="B5813" i="12"/>
  <c r="A5813" i="12"/>
  <c r="E5812" i="12"/>
  <c r="D5812" i="12"/>
  <c r="C5812" i="12"/>
  <c r="B5812" i="12"/>
  <c r="A5812" i="12"/>
  <c r="E5811" i="12"/>
  <c r="D5811" i="12"/>
  <c r="C5811" i="12"/>
  <c r="B5811" i="12"/>
  <c r="A5811" i="12"/>
  <c r="E5810" i="12"/>
  <c r="D5810" i="12"/>
  <c r="C5810" i="12"/>
  <c r="B5810" i="12"/>
  <c r="A5810" i="12"/>
  <c r="E5809" i="12"/>
  <c r="D5809" i="12"/>
  <c r="C5809" i="12"/>
  <c r="B5809" i="12"/>
  <c r="A5809" i="12"/>
  <c r="E5808" i="12"/>
  <c r="D5808" i="12"/>
  <c r="C5808" i="12"/>
  <c r="B5808" i="12"/>
  <c r="A5808" i="12"/>
  <c r="E5807" i="12"/>
  <c r="D5807" i="12"/>
  <c r="C5807" i="12"/>
  <c r="B5807" i="12"/>
  <c r="A5807" i="12"/>
  <c r="E5806" i="12"/>
  <c r="D5806" i="12"/>
  <c r="C5806" i="12"/>
  <c r="B5806" i="12"/>
  <c r="A5806" i="12"/>
  <c r="E5805" i="12"/>
  <c r="D5805" i="12"/>
  <c r="C5805" i="12"/>
  <c r="B5805" i="12"/>
  <c r="A5805" i="12"/>
  <c r="E5804" i="12"/>
  <c r="D5804" i="12"/>
  <c r="C5804" i="12"/>
  <c r="B5804" i="12"/>
  <c r="A5804" i="12"/>
  <c r="E5803" i="12"/>
  <c r="D5803" i="12"/>
  <c r="C5803" i="12"/>
  <c r="B5803" i="12"/>
  <c r="A5803" i="12"/>
  <c r="E5802" i="12"/>
  <c r="D5802" i="12"/>
  <c r="C5802" i="12"/>
  <c r="B5802" i="12"/>
  <c r="A5802" i="12"/>
  <c r="E5801" i="12"/>
  <c r="D5801" i="12"/>
  <c r="C5801" i="12"/>
  <c r="B5801" i="12"/>
  <c r="A5801" i="12"/>
  <c r="E5800" i="12"/>
  <c r="D5800" i="12"/>
  <c r="C5800" i="12"/>
  <c r="B5800" i="12"/>
  <c r="A5800" i="12"/>
  <c r="E5799" i="12"/>
  <c r="D5799" i="12"/>
  <c r="C5799" i="12"/>
  <c r="B5799" i="12"/>
  <c r="A5799" i="12"/>
  <c r="E5798" i="12"/>
  <c r="D5798" i="12"/>
  <c r="C5798" i="12"/>
  <c r="B5798" i="12"/>
  <c r="A5798" i="12"/>
  <c r="E5797" i="12"/>
  <c r="D5797" i="12"/>
  <c r="C5797" i="12"/>
  <c r="B5797" i="12"/>
  <c r="A5797" i="12"/>
  <c r="E5796" i="12"/>
  <c r="D5796" i="12"/>
  <c r="C5796" i="12"/>
  <c r="B5796" i="12"/>
  <c r="A5796" i="12"/>
  <c r="E5795" i="12"/>
  <c r="D5795" i="12"/>
  <c r="C5795" i="12"/>
  <c r="B5795" i="12"/>
  <c r="A5795" i="12"/>
  <c r="E5794" i="12"/>
  <c r="D5794" i="12"/>
  <c r="C5794" i="12"/>
  <c r="B5794" i="12"/>
  <c r="A5794" i="12"/>
  <c r="E5793" i="12"/>
  <c r="D5793" i="12"/>
  <c r="C5793" i="12"/>
  <c r="B5793" i="12"/>
  <c r="A5793" i="12"/>
  <c r="E5792" i="12"/>
  <c r="D5792" i="12"/>
  <c r="C5792" i="12"/>
  <c r="B5792" i="12"/>
  <c r="A5792" i="12"/>
  <c r="E5791" i="12"/>
  <c r="D5791" i="12"/>
  <c r="C5791" i="12"/>
  <c r="B5791" i="12"/>
  <c r="A5791" i="12"/>
  <c r="E5790" i="12"/>
  <c r="D5790" i="12"/>
  <c r="C5790" i="12"/>
  <c r="B5790" i="12"/>
  <c r="A5790" i="12"/>
  <c r="E5789" i="12"/>
  <c r="D5789" i="12"/>
  <c r="C5789" i="12"/>
  <c r="B5789" i="12"/>
  <c r="A5789" i="12"/>
  <c r="E5788" i="12"/>
  <c r="D5788" i="12"/>
  <c r="C5788" i="12"/>
  <c r="B5788" i="12"/>
  <c r="A5788" i="12"/>
  <c r="E5787" i="12"/>
  <c r="D5787" i="12"/>
  <c r="C5787" i="12"/>
  <c r="B5787" i="12"/>
  <c r="A5787" i="12"/>
  <c r="E5786" i="12"/>
  <c r="D5786" i="12"/>
  <c r="C5786" i="12"/>
  <c r="B5786" i="12"/>
  <c r="A5786" i="12"/>
  <c r="E5785" i="12"/>
  <c r="D5785" i="12"/>
  <c r="C5785" i="12"/>
  <c r="B5785" i="12"/>
  <c r="A5785" i="12"/>
  <c r="E5784" i="12"/>
  <c r="D5784" i="12"/>
  <c r="C5784" i="12"/>
  <c r="B5784" i="12"/>
  <c r="A5784" i="12"/>
  <c r="E5783" i="12"/>
  <c r="D5783" i="12"/>
  <c r="C5783" i="12"/>
  <c r="B5783" i="12"/>
  <c r="A5783" i="12"/>
  <c r="E5782" i="12"/>
  <c r="D5782" i="12"/>
  <c r="C5782" i="12"/>
  <c r="B5782" i="12"/>
  <c r="A5782" i="12"/>
  <c r="E5781" i="12"/>
  <c r="D5781" i="12"/>
  <c r="C5781" i="12"/>
  <c r="B5781" i="12"/>
  <c r="A5781" i="12"/>
  <c r="E5780" i="12"/>
  <c r="D5780" i="12"/>
  <c r="C5780" i="12"/>
  <c r="B5780" i="12"/>
  <c r="A5780" i="12"/>
  <c r="E5779" i="12"/>
  <c r="D5779" i="12"/>
  <c r="C5779" i="12"/>
  <c r="B5779" i="12"/>
  <c r="A5779" i="12"/>
  <c r="G5778" i="12"/>
  <c r="E5778" i="12"/>
  <c r="D5778" i="12"/>
  <c r="C5778" i="12"/>
  <c r="B5778" i="12"/>
  <c r="A5778" i="12"/>
  <c r="E5777" i="12"/>
  <c r="D5777" i="12"/>
  <c r="C5777" i="12"/>
  <c r="B5777" i="12"/>
  <c r="A5777" i="12"/>
  <c r="E5776" i="12"/>
  <c r="D5776" i="12"/>
  <c r="C5776" i="12"/>
  <c r="B5776" i="12"/>
  <c r="A5776" i="12"/>
  <c r="E5775" i="12"/>
  <c r="D5775" i="12"/>
  <c r="C5775" i="12"/>
  <c r="B5775" i="12"/>
  <c r="A5775" i="12"/>
  <c r="E5774" i="12"/>
  <c r="D5774" i="12"/>
  <c r="C5774" i="12"/>
  <c r="B5774" i="12"/>
  <c r="A5774" i="12"/>
  <c r="E5773" i="12"/>
  <c r="D5773" i="12"/>
  <c r="C5773" i="12"/>
  <c r="B5773" i="12"/>
  <c r="A5773" i="12"/>
  <c r="G5772" i="12"/>
  <c r="E5772" i="12"/>
  <c r="D5772" i="12"/>
  <c r="C5772" i="12"/>
  <c r="B5772" i="12"/>
  <c r="A5772" i="12"/>
  <c r="E5771" i="12"/>
  <c r="D5771" i="12"/>
  <c r="C5771" i="12"/>
  <c r="B5771" i="12"/>
  <c r="A5771" i="12"/>
  <c r="E5770" i="12"/>
  <c r="D5770" i="12"/>
  <c r="C5770" i="12"/>
  <c r="B5770" i="12"/>
  <c r="A5770" i="12"/>
  <c r="E5769" i="12"/>
  <c r="D5769" i="12"/>
  <c r="C5769" i="12"/>
  <c r="B5769" i="12"/>
  <c r="A5769" i="12"/>
  <c r="E5768" i="12"/>
  <c r="D5768" i="12"/>
  <c r="C5768" i="12"/>
  <c r="B5768" i="12"/>
  <c r="A5768" i="12"/>
  <c r="E5767" i="12"/>
  <c r="D5767" i="12"/>
  <c r="C5767" i="12"/>
  <c r="B5767" i="12"/>
  <c r="A5767" i="12"/>
  <c r="E5766" i="12"/>
  <c r="D5766" i="12"/>
  <c r="C5766" i="12"/>
  <c r="B5766" i="12"/>
  <c r="A5766" i="12"/>
  <c r="E5765" i="12"/>
  <c r="D5765" i="12"/>
  <c r="C5765" i="12"/>
  <c r="B5765" i="12"/>
  <c r="A5765" i="12"/>
  <c r="E5764" i="12"/>
  <c r="D5764" i="12"/>
  <c r="C5764" i="12"/>
  <c r="B5764" i="12"/>
  <c r="A5764" i="12"/>
  <c r="E5763" i="12"/>
  <c r="D5763" i="12"/>
  <c r="C5763" i="12"/>
  <c r="B5763" i="12"/>
  <c r="A5763" i="12"/>
  <c r="E5762" i="12"/>
  <c r="D5762" i="12"/>
  <c r="C5762" i="12"/>
  <c r="B5762" i="12"/>
  <c r="A5762" i="12"/>
  <c r="E5761" i="12"/>
  <c r="D5761" i="12"/>
  <c r="C5761" i="12"/>
  <c r="B5761" i="12"/>
  <c r="A5761" i="12"/>
  <c r="E5760" i="12"/>
  <c r="D5760" i="12"/>
  <c r="C5760" i="12"/>
  <c r="B5760" i="12"/>
  <c r="A5760" i="12"/>
  <c r="E5759" i="12"/>
  <c r="D5759" i="12"/>
  <c r="C5759" i="12"/>
  <c r="B5759" i="12"/>
  <c r="A5759" i="12"/>
  <c r="D5758" i="12"/>
  <c r="C5758" i="12"/>
  <c r="B5758" i="12"/>
  <c r="A5758" i="12"/>
  <c r="E5757" i="12"/>
  <c r="D5757" i="12"/>
  <c r="C5757" i="12"/>
  <c r="B5757" i="12"/>
  <c r="A5757" i="12"/>
  <c r="G5756" i="12"/>
  <c r="E5756" i="12"/>
  <c r="D5756" i="12"/>
  <c r="C5756" i="12"/>
  <c r="B5756" i="12"/>
  <c r="A5756" i="12"/>
  <c r="G5755" i="12"/>
  <c r="E5755" i="12"/>
  <c r="D5755" i="12"/>
  <c r="C5755" i="12"/>
  <c r="B5755" i="12"/>
  <c r="A5755" i="12"/>
  <c r="E5754" i="12"/>
  <c r="D5754" i="12"/>
  <c r="C5754" i="12"/>
  <c r="B5754" i="12"/>
  <c r="A5754" i="12"/>
  <c r="G5753" i="12"/>
  <c r="E5753" i="12"/>
  <c r="D5753" i="12"/>
  <c r="C5753" i="12"/>
  <c r="B5753" i="12"/>
  <c r="A5753" i="12"/>
  <c r="D5752" i="12"/>
  <c r="C5752" i="12"/>
  <c r="B5752" i="12"/>
  <c r="A5752" i="12"/>
  <c r="E5751" i="12"/>
  <c r="D5751" i="12"/>
  <c r="C5751" i="12"/>
  <c r="B5751" i="12"/>
  <c r="A5751" i="12"/>
  <c r="E5750" i="12"/>
  <c r="D5750" i="12"/>
  <c r="C5750" i="12"/>
  <c r="B5750" i="12"/>
  <c r="A5750" i="12"/>
  <c r="G5749" i="12"/>
  <c r="E5749" i="12"/>
  <c r="D5749" i="12"/>
  <c r="C5749" i="12"/>
  <c r="B5749" i="12"/>
  <c r="A5749" i="12"/>
  <c r="E5748" i="12"/>
  <c r="D5748" i="12"/>
  <c r="C5748" i="12"/>
  <c r="B5748" i="12"/>
  <c r="A5748" i="12"/>
  <c r="E5747" i="12"/>
  <c r="D5747" i="12"/>
  <c r="C5747" i="12"/>
  <c r="B5747" i="12"/>
  <c r="A5747" i="12"/>
  <c r="G5746" i="12"/>
  <c r="E5746" i="12"/>
  <c r="D5746" i="12"/>
  <c r="C5746" i="12"/>
  <c r="B5746" i="12"/>
  <c r="A5746" i="12"/>
  <c r="E5745" i="12"/>
  <c r="D5745" i="12"/>
  <c r="C5745" i="12"/>
  <c r="B5745" i="12"/>
  <c r="A5745" i="12"/>
  <c r="G5744" i="12"/>
  <c r="E5744" i="12"/>
  <c r="D5744" i="12"/>
  <c r="C5744" i="12"/>
  <c r="B5744" i="12"/>
  <c r="A5744" i="12"/>
  <c r="E5743" i="12"/>
  <c r="D5743" i="12"/>
  <c r="C5743" i="12"/>
  <c r="B5743" i="12"/>
  <c r="A5743" i="12"/>
  <c r="G5742" i="12"/>
  <c r="F5742" i="12"/>
  <c r="E5742" i="12"/>
  <c r="D5742" i="12"/>
  <c r="C5742" i="12"/>
  <c r="B5742" i="12"/>
  <c r="A5742" i="12"/>
  <c r="E5741" i="12"/>
  <c r="D5741" i="12"/>
  <c r="C5741" i="12"/>
  <c r="B5741" i="12"/>
  <c r="A5741" i="12"/>
  <c r="E5740" i="12"/>
  <c r="D5740" i="12"/>
  <c r="C5740" i="12"/>
  <c r="B5740" i="12"/>
  <c r="A5740" i="12"/>
  <c r="F5739" i="12"/>
  <c r="E5739" i="12"/>
  <c r="D5739" i="12"/>
  <c r="C5739" i="12"/>
  <c r="B5739" i="12"/>
  <c r="A5739" i="12"/>
  <c r="E5738" i="12"/>
  <c r="D5738" i="12"/>
  <c r="C5738" i="12"/>
  <c r="B5738" i="12"/>
  <c r="A5738" i="12"/>
  <c r="G5737" i="12"/>
  <c r="E5737" i="12"/>
  <c r="D5737" i="12"/>
  <c r="C5737" i="12"/>
  <c r="B5737" i="12"/>
  <c r="A5737" i="12"/>
  <c r="G5736" i="12"/>
  <c r="E5736" i="12"/>
  <c r="D5736" i="12"/>
  <c r="C5736" i="12"/>
  <c r="A5736" i="12"/>
  <c r="E5735" i="12"/>
  <c r="D5735" i="12"/>
  <c r="C5735" i="12"/>
  <c r="B5735" i="12"/>
  <c r="A5735" i="12"/>
  <c r="E5734" i="12"/>
  <c r="D5734" i="12"/>
  <c r="C5734" i="12"/>
  <c r="B5734" i="12"/>
  <c r="A5734" i="12"/>
  <c r="E5733" i="12"/>
  <c r="D5733" i="12"/>
  <c r="C5733" i="12"/>
  <c r="B5733" i="12"/>
  <c r="A5733" i="12"/>
  <c r="E5732" i="12"/>
  <c r="D5732" i="12"/>
  <c r="C5732" i="12"/>
  <c r="B5732" i="12"/>
  <c r="A5732" i="12"/>
  <c r="E5731" i="12"/>
  <c r="D5731" i="12"/>
  <c r="C5731" i="12"/>
  <c r="B5731" i="12"/>
  <c r="A5731" i="12"/>
  <c r="E5730" i="12"/>
  <c r="D5730" i="12"/>
  <c r="C5730" i="12"/>
  <c r="B5730" i="12"/>
  <c r="A5730" i="12"/>
  <c r="G5729" i="12"/>
  <c r="E5729" i="12"/>
  <c r="D5729" i="12"/>
  <c r="C5729" i="12"/>
  <c r="B5729" i="12"/>
  <c r="A5729" i="12"/>
  <c r="G5728" i="12"/>
  <c r="E5728" i="12"/>
  <c r="D5728" i="12"/>
  <c r="C5728" i="12"/>
  <c r="B5728" i="12"/>
  <c r="A5728" i="12"/>
  <c r="E5727" i="12"/>
  <c r="D5727" i="12"/>
  <c r="C5727" i="12"/>
  <c r="B5727" i="12"/>
  <c r="A5727" i="12"/>
  <c r="E5726" i="12"/>
  <c r="D5726" i="12"/>
  <c r="C5726" i="12"/>
  <c r="B5726" i="12"/>
  <c r="A5726" i="12"/>
  <c r="E5725" i="12"/>
  <c r="D5725" i="12"/>
  <c r="C5725" i="12"/>
  <c r="B5725" i="12"/>
  <c r="A5725" i="12"/>
  <c r="E5724" i="12"/>
  <c r="D5724" i="12"/>
  <c r="C5724" i="12"/>
  <c r="B5724" i="12"/>
  <c r="A5724" i="12"/>
  <c r="E5723" i="12"/>
  <c r="D5723" i="12"/>
  <c r="C5723" i="12"/>
  <c r="B5723" i="12"/>
  <c r="A5723" i="12"/>
  <c r="E5722" i="12"/>
  <c r="D5722" i="12"/>
  <c r="C5722" i="12"/>
  <c r="B5722" i="12"/>
  <c r="A5722" i="12"/>
  <c r="E5721" i="12"/>
  <c r="D5721" i="12"/>
  <c r="C5721" i="12"/>
  <c r="B5721" i="12"/>
  <c r="A5721" i="12"/>
  <c r="G5720" i="12"/>
  <c r="E5720" i="12"/>
  <c r="D5720" i="12"/>
  <c r="C5720" i="12"/>
  <c r="B5720" i="12"/>
  <c r="A5720" i="12"/>
  <c r="G5719" i="12"/>
  <c r="E5719" i="12"/>
  <c r="D5719" i="12"/>
  <c r="C5719" i="12"/>
  <c r="B5719" i="12"/>
  <c r="A5719" i="12"/>
  <c r="E5718" i="12"/>
  <c r="D5718" i="12"/>
  <c r="C5718" i="12"/>
  <c r="B5718" i="12"/>
  <c r="A5718" i="12"/>
  <c r="G5717" i="12"/>
  <c r="E5717" i="12"/>
  <c r="D5717" i="12"/>
  <c r="C5717" i="12"/>
  <c r="B5717" i="12"/>
  <c r="A5717" i="12"/>
  <c r="E5716" i="12"/>
  <c r="D5716" i="12"/>
  <c r="C5716" i="12"/>
  <c r="B5716" i="12"/>
  <c r="A5716" i="12"/>
  <c r="E5715" i="12"/>
  <c r="D5715" i="12"/>
  <c r="C5715" i="12"/>
  <c r="B5715" i="12"/>
  <c r="A5715" i="12"/>
  <c r="G5714" i="12"/>
  <c r="E5714" i="12"/>
  <c r="D5714" i="12"/>
  <c r="C5714" i="12"/>
  <c r="B5714" i="12"/>
  <c r="A5714" i="12"/>
  <c r="G5713" i="12"/>
  <c r="F5713" i="12"/>
  <c r="E5713" i="12"/>
  <c r="D5713" i="12"/>
  <c r="C5713" i="12"/>
  <c r="B5713" i="12"/>
  <c r="A5713" i="12"/>
  <c r="E5712" i="12"/>
  <c r="D5712" i="12"/>
  <c r="C5712" i="12"/>
  <c r="B5712" i="12"/>
  <c r="A5712" i="12"/>
  <c r="E5711" i="12"/>
  <c r="D5711" i="12"/>
  <c r="C5711" i="12"/>
  <c r="B5711" i="12"/>
  <c r="A5711" i="12"/>
  <c r="E5710" i="12"/>
  <c r="D5710" i="12"/>
  <c r="C5710" i="12"/>
  <c r="B5710" i="12"/>
  <c r="A5710" i="12"/>
  <c r="E5709" i="12"/>
  <c r="D5709" i="12"/>
  <c r="C5709" i="12"/>
  <c r="B5709" i="12"/>
  <c r="A5709" i="12"/>
  <c r="F5708" i="12"/>
  <c r="E5708" i="12"/>
  <c r="D5708" i="12"/>
  <c r="C5708" i="12"/>
  <c r="B5708" i="12"/>
  <c r="A5708" i="12"/>
  <c r="E5707" i="12"/>
  <c r="D5707" i="12"/>
  <c r="C5707" i="12"/>
  <c r="B5707" i="12"/>
  <c r="A5707" i="12"/>
  <c r="E5706" i="12"/>
  <c r="D5706" i="12"/>
  <c r="C5706" i="12"/>
  <c r="B5706" i="12"/>
  <c r="A5706" i="12"/>
  <c r="E5705" i="12"/>
  <c r="D5705" i="12"/>
  <c r="C5705" i="12"/>
  <c r="B5705" i="12"/>
  <c r="A5705" i="12"/>
  <c r="E5704" i="12"/>
  <c r="D5704" i="12"/>
  <c r="C5704" i="12"/>
  <c r="B5704" i="12"/>
  <c r="A5704" i="12"/>
  <c r="E5703" i="12"/>
  <c r="D5703" i="12"/>
  <c r="C5703" i="12"/>
  <c r="B5703" i="12"/>
  <c r="A5703" i="12"/>
  <c r="E5702" i="12"/>
  <c r="D5702" i="12"/>
  <c r="C5702" i="12"/>
  <c r="B5702" i="12"/>
  <c r="A5702" i="12"/>
  <c r="E5701" i="12"/>
  <c r="D5701" i="12"/>
  <c r="C5701" i="12"/>
  <c r="B5701" i="12"/>
  <c r="A5701" i="12"/>
  <c r="E5700" i="12"/>
  <c r="D5700" i="12"/>
  <c r="C5700" i="12"/>
  <c r="B5700" i="12"/>
  <c r="A5700" i="12"/>
  <c r="E5699" i="12"/>
  <c r="D5699" i="12"/>
  <c r="C5699" i="12"/>
  <c r="B5699" i="12"/>
  <c r="A5699" i="12"/>
  <c r="E5698" i="12"/>
  <c r="D5698" i="12"/>
  <c r="C5698" i="12"/>
  <c r="B5698" i="12"/>
  <c r="A5698" i="12"/>
  <c r="E5697" i="12"/>
  <c r="D5697" i="12"/>
  <c r="C5697" i="12"/>
  <c r="B5697" i="12"/>
  <c r="A5697" i="12"/>
  <c r="E5696" i="12"/>
  <c r="D5696" i="12"/>
  <c r="C5696" i="12"/>
  <c r="B5696" i="12"/>
  <c r="A5696" i="12"/>
  <c r="G5695" i="12"/>
  <c r="E5695" i="12"/>
  <c r="D5695" i="12"/>
  <c r="C5695" i="12"/>
  <c r="B5695" i="12"/>
  <c r="A5695" i="12"/>
  <c r="E5694" i="12"/>
  <c r="D5694" i="12"/>
  <c r="C5694" i="12"/>
  <c r="B5694" i="12"/>
  <c r="A5694" i="12"/>
  <c r="G5693" i="12"/>
  <c r="E5693" i="12"/>
  <c r="D5693" i="12"/>
  <c r="C5693" i="12"/>
  <c r="B5693" i="12"/>
  <c r="A5693" i="12"/>
  <c r="E5692" i="12"/>
  <c r="D5692" i="12"/>
  <c r="C5692" i="12"/>
  <c r="B5692" i="12"/>
  <c r="A5692" i="12"/>
  <c r="E5691" i="12"/>
  <c r="D5691" i="12"/>
  <c r="C5691" i="12"/>
  <c r="B5691" i="12"/>
  <c r="A5691" i="12"/>
  <c r="E5690" i="12"/>
  <c r="D5690" i="12"/>
  <c r="C5690" i="12"/>
  <c r="B5690" i="12"/>
  <c r="A5690" i="12"/>
  <c r="E5689" i="12"/>
  <c r="D5689" i="12"/>
  <c r="C5689" i="12"/>
  <c r="B5689" i="12"/>
  <c r="A5689" i="12"/>
  <c r="E5688" i="12"/>
  <c r="D5688" i="12"/>
  <c r="C5688" i="12"/>
  <c r="B5688" i="12"/>
  <c r="A5688" i="12"/>
  <c r="E5687" i="12"/>
  <c r="D5687" i="12"/>
  <c r="C5687" i="12"/>
  <c r="B5687" i="12"/>
  <c r="A5687" i="12"/>
  <c r="E5686" i="12"/>
  <c r="D5686" i="12"/>
  <c r="C5686" i="12"/>
  <c r="B5686" i="12"/>
  <c r="A5686" i="12"/>
  <c r="E5685" i="12"/>
  <c r="D5685" i="12"/>
  <c r="C5685" i="12"/>
  <c r="B5685" i="12"/>
  <c r="A5685" i="12"/>
  <c r="G5684" i="12"/>
  <c r="E5684" i="12"/>
  <c r="D5684" i="12"/>
  <c r="C5684" i="12"/>
  <c r="B5684" i="12"/>
  <c r="A5684" i="12"/>
  <c r="E5683" i="12"/>
  <c r="D5683" i="12"/>
  <c r="C5683" i="12"/>
  <c r="B5683" i="12"/>
  <c r="A5683" i="12"/>
  <c r="E5682" i="12"/>
  <c r="D5682" i="12"/>
  <c r="C5682" i="12"/>
  <c r="B5682" i="12"/>
  <c r="A5682" i="12"/>
  <c r="E5681" i="12"/>
  <c r="D5681" i="12"/>
  <c r="C5681" i="12"/>
  <c r="B5681" i="12"/>
  <c r="A5681" i="12"/>
  <c r="E5680" i="12"/>
  <c r="D5680" i="12"/>
  <c r="C5680" i="12"/>
  <c r="B5680" i="12"/>
  <c r="A5680" i="12"/>
  <c r="E5679" i="12"/>
  <c r="D5679" i="12"/>
  <c r="C5679" i="12"/>
  <c r="B5679" i="12"/>
  <c r="A5679" i="12"/>
  <c r="E5678" i="12"/>
  <c r="D5678" i="12"/>
  <c r="C5678" i="12"/>
  <c r="B5678" i="12"/>
  <c r="A5678" i="12"/>
  <c r="E5677" i="12"/>
  <c r="D5677" i="12"/>
  <c r="C5677" i="12"/>
  <c r="B5677" i="12"/>
  <c r="A5677" i="12"/>
  <c r="E5676" i="12"/>
  <c r="D5676" i="12"/>
  <c r="C5676" i="12"/>
  <c r="B5676" i="12"/>
  <c r="A5676" i="12"/>
  <c r="E5675" i="12"/>
  <c r="D5675" i="12"/>
  <c r="C5675" i="12"/>
  <c r="B5675" i="12"/>
  <c r="A5675" i="12"/>
  <c r="E5674" i="12"/>
  <c r="D5674" i="12"/>
  <c r="C5674" i="12"/>
  <c r="B5674" i="12"/>
  <c r="A5674" i="12"/>
  <c r="E5673" i="12"/>
  <c r="D5673" i="12"/>
  <c r="C5673" i="12"/>
  <c r="B5673" i="12"/>
  <c r="A5673" i="12"/>
  <c r="E5672" i="12"/>
  <c r="D5672" i="12"/>
  <c r="C5672" i="12"/>
  <c r="B5672" i="12"/>
  <c r="A5672" i="12"/>
  <c r="E5671" i="12"/>
  <c r="D5671" i="12"/>
  <c r="C5671" i="12"/>
  <c r="B5671" i="12"/>
  <c r="A5671" i="12"/>
  <c r="E5670" i="12"/>
  <c r="D5670" i="12"/>
  <c r="C5670" i="12"/>
  <c r="B5670" i="12"/>
  <c r="A5670" i="12"/>
  <c r="E5669" i="12"/>
  <c r="D5669" i="12"/>
  <c r="C5669" i="12"/>
  <c r="B5669" i="12"/>
  <c r="A5669" i="12"/>
  <c r="E5668" i="12"/>
  <c r="D5668" i="12"/>
  <c r="C5668" i="12"/>
  <c r="B5668" i="12"/>
  <c r="A5668" i="12"/>
  <c r="E5667" i="12"/>
  <c r="D5667" i="12"/>
  <c r="C5667" i="12"/>
  <c r="B5667" i="12"/>
  <c r="A5667" i="12"/>
  <c r="E5666" i="12"/>
  <c r="D5666" i="12"/>
  <c r="C5666" i="12"/>
  <c r="B5666" i="12"/>
  <c r="A5666" i="12"/>
  <c r="E5665" i="12"/>
  <c r="D5665" i="12"/>
  <c r="C5665" i="12"/>
  <c r="B5665" i="12"/>
  <c r="A5665" i="12"/>
  <c r="E5664" i="12"/>
  <c r="D5664" i="12"/>
  <c r="C5664" i="12"/>
  <c r="B5664" i="12"/>
  <c r="A5664" i="12"/>
  <c r="F5663" i="12"/>
  <c r="E5663" i="12"/>
  <c r="D5663" i="12"/>
  <c r="C5663" i="12"/>
  <c r="B5663" i="12"/>
  <c r="A5663" i="12"/>
  <c r="E5662" i="12"/>
  <c r="D5662" i="12"/>
  <c r="C5662" i="12"/>
  <c r="B5662" i="12"/>
  <c r="A5662" i="12"/>
  <c r="E5661" i="12"/>
  <c r="D5661" i="12"/>
  <c r="C5661" i="12"/>
  <c r="B5661" i="12"/>
  <c r="A5661" i="12"/>
  <c r="E5660" i="12"/>
  <c r="D5660" i="12"/>
  <c r="C5660" i="12"/>
  <c r="B5660" i="12"/>
  <c r="A5660" i="12"/>
  <c r="E5659" i="12"/>
  <c r="D5659" i="12"/>
  <c r="C5659" i="12"/>
  <c r="B5659" i="12"/>
  <c r="A5659" i="12"/>
  <c r="G5658" i="12"/>
  <c r="E5658" i="12"/>
  <c r="D5658" i="12"/>
  <c r="C5658" i="12"/>
  <c r="B5658" i="12"/>
  <c r="A5658" i="12"/>
  <c r="E5657" i="12"/>
  <c r="D5657" i="12"/>
  <c r="C5657" i="12"/>
  <c r="B5657" i="12"/>
  <c r="A5657" i="12"/>
  <c r="E5656" i="12"/>
  <c r="D5656" i="12"/>
  <c r="C5656" i="12"/>
  <c r="B5656" i="12"/>
  <c r="A5656" i="12"/>
  <c r="E5655" i="12"/>
  <c r="D5655" i="12"/>
  <c r="C5655" i="12"/>
  <c r="B5655" i="12"/>
  <c r="A5655" i="12"/>
  <c r="E5654" i="12"/>
  <c r="D5654" i="12"/>
  <c r="C5654" i="12"/>
  <c r="B5654" i="12"/>
  <c r="A5654" i="12"/>
  <c r="E5653" i="12"/>
  <c r="D5653" i="12"/>
  <c r="C5653" i="12"/>
  <c r="B5653" i="12"/>
  <c r="A5653" i="12"/>
  <c r="E5652" i="12"/>
  <c r="D5652" i="12"/>
  <c r="C5652" i="12"/>
  <c r="B5652" i="12"/>
  <c r="A5652" i="12"/>
  <c r="E5651" i="12"/>
  <c r="D5651" i="12"/>
  <c r="C5651" i="12"/>
  <c r="B5651" i="12"/>
  <c r="A5651" i="12"/>
  <c r="E5650" i="12"/>
  <c r="D5650" i="12"/>
  <c r="C5650" i="12"/>
  <c r="B5650" i="12"/>
  <c r="A5650" i="12"/>
  <c r="F5649" i="12"/>
  <c r="E5649" i="12"/>
  <c r="D5649" i="12"/>
  <c r="C5649" i="12"/>
  <c r="B5649" i="12"/>
  <c r="A5649" i="12"/>
  <c r="G5648" i="12"/>
  <c r="F5648" i="12"/>
  <c r="E5648" i="12"/>
  <c r="D5648" i="12"/>
  <c r="C5648" i="12"/>
  <c r="B5648" i="12"/>
  <c r="A5648" i="12"/>
  <c r="F5647" i="12"/>
  <c r="E5647" i="12"/>
  <c r="D5647" i="12"/>
  <c r="C5647" i="12"/>
  <c r="B5647" i="12"/>
  <c r="A5647" i="12"/>
  <c r="F5646" i="12"/>
  <c r="E5646" i="12"/>
  <c r="D5646" i="12"/>
  <c r="C5646" i="12"/>
  <c r="B5646" i="12"/>
  <c r="A5646" i="12"/>
  <c r="E5645" i="12"/>
  <c r="D5645" i="12"/>
  <c r="C5645" i="12"/>
  <c r="B5645" i="12"/>
  <c r="A5645" i="12"/>
  <c r="E5644" i="12"/>
  <c r="D5644" i="12"/>
  <c r="C5644" i="12"/>
  <c r="B5644" i="12"/>
  <c r="A5644" i="12"/>
  <c r="E5643" i="12"/>
  <c r="D5643" i="12"/>
  <c r="C5643" i="12"/>
  <c r="B5643" i="12"/>
  <c r="A5643" i="12"/>
  <c r="E5642" i="12"/>
  <c r="D5642" i="12"/>
  <c r="C5642" i="12"/>
  <c r="B5642" i="12"/>
  <c r="A5642" i="12"/>
  <c r="E5641" i="12"/>
  <c r="D5641" i="12"/>
  <c r="C5641" i="12"/>
  <c r="B5641" i="12"/>
  <c r="A5641" i="12"/>
  <c r="E5640" i="12"/>
  <c r="D5640" i="12"/>
  <c r="C5640" i="12"/>
  <c r="B5640" i="12"/>
  <c r="A5640" i="12"/>
  <c r="E5639" i="12"/>
  <c r="D5639" i="12"/>
  <c r="C5639" i="12"/>
  <c r="B5639" i="12"/>
  <c r="A5639" i="12"/>
  <c r="E5638" i="12"/>
  <c r="D5638" i="12"/>
  <c r="C5638" i="12"/>
  <c r="B5638" i="12"/>
  <c r="A5638" i="12"/>
  <c r="E5637" i="12"/>
  <c r="D5637" i="12"/>
  <c r="C5637" i="12"/>
  <c r="B5637" i="12"/>
  <c r="A5637" i="12"/>
  <c r="E5636" i="12"/>
  <c r="D5636" i="12"/>
  <c r="C5636" i="12"/>
  <c r="B5636" i="12"/>
  <c r="A5636" i="12"/>
  <c r="E5635" i="12"/>
  <c r="D5635" i="12"/>
  <c r="C5635" i="12"/>
  <c r="B5635" i="12"/>
  <c r="A5635" i="12"/>
  <c r="G5634" i="12"/>
  <c r="F5634" i="12"/>
  <c r="E5634" i="12"/>
  <c r="D5634" i="12"/>
  <c r="C5634" i="12"/>
  <c r="B5634" i="12"/>
  <c r="A5634" i="12"/>
  <c r="E5633" i="12"/>
  <c r="D5633" i="12"/>
  <c r="C5633" i="12"/>
  <c r="B5633" i="12"/>
  <c r="A5633" i="12"/>
  <c r="E5632" i="12"/>
  <c r="D5632" i="12"/>
  <c r="C5632" i="12"/>
  <c r="B5632" i="12"/>
  <c r="A5632" i="12"/>
  <c r="G5631" i="12"/>
  <c r="E5631" i="12"/>
  <c r="D5631" i="12"/>
  <c r="C5631" i="12"/>
  <c r="B5631" i="12"/>
  <c r="A5631" i="12"/>
  <c r="F5630" i="12"/>
  <c r="E5630" i="12"/>
  <c r="D5630" i="12"/>
  <c r="C5630" i="12"/>
  <c r="B5630" i="12"/>
  <c r="A5630" i="12"/>
  <c r="G5629" i="12"/>
  <c r="F5629" i="12"/>
  <c r="E5629" i="12"/>
  <c r="D5629" i="12"/>
  <c r="C5629" i="12"/>
  <c r="B5629" i="12"/>
  <c r="A5629" i="12"/>
  <c r="G5628" i="12"/>
  <c r="F5628" i="12"/>
  <c r="E5628" i="12"/>
  <c r="D5628" i="12"/>
  <c r="C5628" i="12"/>
  <c r="B5628" i="12"/>
  <c r="A5628" i="12"/>
  <c r="G5627" i="12"/>
  <c r="F5627" i="12"/>
  <c r="E5627" i="12"/>
  <c r="D5627" i="12"/>
  <c r="C5627" i="12"/>
  <c r="B5627" i="12"/>
  <c r="A5627" i="12"/>
  <c r="G5626" i="12"/>
  <c r="F5626" i="12"/>
  <c r="E5626" i="12"/>
  <c r="D5626" i="12"/>
  <c r="C5626" i="12"/>
  <c r="B5626" i="12"/>
  <c r="A5626" i="12"/>
  <c r="E5625" i="12"/>
  <c r="D5625" i="12"/>
  <c r="C5625" i="12"/>
  <c r="B5625" i="12"/>
  <c r="A5625" i="12"/>
  <c r="E5624" i="12"/>
  <c r="D5624" i="12"/>
  <c r="C5624" i="12"/>
  <c r="B5624" i="12"/>
  <c r="A5624" i="12"/>
  <c r="F5623" i="12"/>
  <c r="E5623" i="12"/>
  <c r="D5623" i="12"/>
  <c r="C5623" i="12"/>
  <c r="B5623" i="12"/>
  <c r="A5623" i="12"/>
  <c r="E5622" i="12"/>
  <c r="D5622" i="12"/>
  <c r="C5622" i="12"/>
  <c r="B5622" i="12"/>
  <c r="A5622" i="12"/>
  <c r="E5621" i="12"/>
  <c r="D5621" i="12"/>
  <c r="C5621" i="12"/>
  <c r="B5621" i="12"/>
  <c r="A5621" i="12"/>
  <c r="E5620" i="12"/>
  <c r="D5620" i="12"/>
  <c r="C5620" i="12"/>
  <c r="B5620" i="12"/>
  <c r="A5620" i="12"/>
  <c r="E5619" i="12"/>
  <c r="D5619" i="12"/>
  <c r="C5619" i="12"/>
  <c r="B5619" i="12"/>
  <c r="A5619" i="12"/>
  <c r="F5618" i="12"/>
  <c r="E5618" i="12"/>
  <c r="D5618" i="12"/>
  <c r="C5618" i="12"/>
  <c r="B5618" i="12"/>
  <c r="A5618" i="12"/>
  <c r="E5617" i="12"/>
  <c r="D5617" i="12"/>
  <c r="C5617" i="12"/>
  <c r="B5617" i="12"/>
  <c r="A5617" i="12"/>
  <c r="E5616" i="12"/>
  <c r="D5616" i="12"/>
  <c r="C5616" i="12"/>
  <c r="B5616" i="12"/>
  <c r="A5616" i="12"/>
  <c r="E5615" i="12"/>
  <c r="D5615" i="12"/>
  <c r="C5615" i="12"/>
  <c r="B5615" i="12"/>
  <c r="A5615" i="12"/>
  <c r="F5614" i="12"/>
  <c r="E5614" i="12"/>
  <c r="D5614" i="12"/>
  <c r="C5614" i="12"/>
  <c r="B5614" i="12"/>
  <c r="A5614" i="12"/>
  <c r="E5613" i="12"/>
  <c r="D5613" i="12"/>
  <c r="C5613" i="12"/>
  <c r="B5613" i="12"/>
  <c r="A5613" i="12"/>
  <c r="E5612" i="12"/>
  <c r="D5612" i="12"/>
  <c r="C5612" i="12"/>
  <c r="B5612" i="12"/>
  <c r="A5612" i="12"/>
  <c r="E5611" i="12"/>
  <c r="D5611" i="12"/>
  <c r="C5611" i="12"/>
  <c r="B5611" i="12"/>
  <c r="A5611" i="12"/>
  <c r="E5610" i="12"/>
  <c r="D5610" i="12"/>
  <c r="C5610" i="12"/>
  <c r="B5610" i="12"/>
  <c r="A5610" i="12"/>
  <c r="E5609" i="12"/>
  <c r="D5609" i="12"/>
  <c r="C5609" i="12"/>
  <c r="B5609" i="12"/>
  <c r="A5609" i="12"/>
  <c r="E5608" i="12"/>
  <c r="D5608" i="12"/>
  <c r="C5608" i="12"/>
  <c r="B5608" i="12"/>
  <c r="A5608" i="12"/>
  <c r="E5607" i="12"/>
  <c r="D5607" i="12"/>
  <c r="C5607" i="12"/>
  <c r="B5607" i="12"/>
  <c r="A5607" i="12"/>
  <c r="F5606" i="12"/>
  <c r="E5606" i="12"/>
  <c r="D5606" i="12"/>
  <c r="C5606" i="12"/>
  <c r="B5606" i="12"/>
  <c r="A5606" i="12"/>
  <c r="F5605" i="12"/>
  <c r="E5605" i="12"/>
  <c r="D5605" i="12"/>
  <c r="C5605" i="12"/>
  <c r="B5605" i="12"/>
  <c r="A5605" i="12"/>
  <c r="F5604" i="12"/>
  <c r="E5604" i="12"/>
  <c r="D5604" i="12"/>
  <c r="C5604" i="12"/>
  <c r="B5604" i="12"/>
  <c r="A5604" i="12"/>
  <c r="E5603" i="12"/>
  <c r="D5603" i="12"/>
  <c r="C5603" i="12"/>
  <c r="B5603" i="12"/>
  <c r="A5603" i="12"/>
  <c r="E5602" i="12"/>
  <c r="D5602" i="12"/>
  <c r="C5602" i="12"/>
  <c r="B5602" i="12"/>
  <c r="A5602" i="12"/>
  <c r="E5601" i="12"/>
  <c r="D5601" i="12"/>
  <c r="C5601" i="12"/>
  <c r="B5601" i="12"/>
  <c r="A5601" i="12"/>
  <c r="E5600" i="12"/>
  <c r="D5600" i="12"/>
  <c r="C5600" i="12"/>
  <c r="B5600" i="12"/>
  <c r="A5600" i="12"/>
  <c r="E5599" i="12"/>
  <c r="D5599" i="12"/>
  <c r="C5599" i="12"/>
  <c r="B5599" i="12"/>
  <c r="A5599" i="12"/>
  <c r="G5598" i="12"/>
  <c r="E5598" i="12"/>
  <c r="D5598" i="12"/>
  <c r="C5598" i="12"/>
  <c r="B5598" i="12"/>
  <c r="A5598" i="12"/>
  <c r="F5597" i="12"/>
  <c r="E5597" i="12"/>
  <c r="D5597" i="12"/>
  <c r="C5597" i="12"/>
  <c r="B5597" i="12"/>
  <c r="A5597" i="12"/>
  <c r="F5596" i="12"/>
  <c r="E5596" i="12"/>
  <c r="D5596" i="12"/>
  <c r="C5596" i="12"/>
  <c r="B5596" i="12"/>
  <c r="A5596" i="12"/>
  <c r="E5595" i="12"/>
  <c r="D5595" i="12"/>
  <c r="C5595" i="12"/>
  <c r="B5595" i="12"/>
  <c r="A5595" i="12"/>
  <c r="G5594" i="12"/>
  <c r="E5594" i="12"/>
  <c r="D5594" i="12"/>
  <c r="C5594" i="12"/>
  <c r="B5594" i="12"/>
  <c r="A5594" i="12"/>
  <c r="E5593" i="12"/>
  <c r="D5593" i="12"/>
  <c r="C5593" i="12"/>
  <c r="B5593" i="12"/>
  <c r="A5593" i="12"/>
  <c r="E5592" i="12"/>
  <c r="D5592" i="12"/>
  <c r="C5592" i="12"/>
  <c r="B5592" i="12"/>
  <c r="A5592" i="12"/>
  <c r="E5591" i="12"/>
  <c r="D5591" i="12"/>
  <c r="C5591" i="12"/>
  <c r="B5591" i="12"/>
  <c r="A5591" i="12"/>
  <c r="E5590" i="12"/>
  <c r="D5590" i="12"/>
  <c r="C5590" i="12"/>
  <c r="B5590" i="12"/>
  <c r="A5590" i="12"/>
  <c r="E5589" i="12"/>
  <c r="D5589" i="12"/>
  <c r="C5589" i="12"/>
  <c r="B5589" i="12"/>
  <c r="A5589" i="12"/>
  <c r="E5588" i="12"/>
  <c r="D5588" i="12"/>
  <c r="C5588" i="12"/>
  <c r="B5588" i="12"/>
  <c r="A5588" i="12"/>
  <c r="E5587" i="12"/>
  <c r="D5587" i="12"/>
  <c r="C5587" i="12"/>
  <c r="B5587" i="12"/>
  <c r="A5587" i="12"/>
  <c r="E5586" i="12"/>
  <c r="D5586" i="12"/>
  <c r="C5586" i="12"/>
  <c r="B5586" i="12"/>
  <c r="A5586" i="12"/>
  <c r="F5585" i="12"/>
  <c r="E5585" i="12"/>
  <c r="D5585" i="12"/>
  <c r="C5585" i="12"/>
  <c r="B5585" i="12"/>
  <c r="A5585" i="12"/>
  <c r="E5584" i="12"/>
  <c r="D5584" i="12"/>
  <c r="C5584" i="12"/>
  <c r="B5584" i="12"/>
  <c r="A5584" i="12"/>
  <c r="E5583" i="12"/>
  <c r="D5583" i="12"/>
  <c r="C5583" i="12"/>
  <c r="B5583" i="12"/>
  <c r="A5583" i="12"/>
  <c r="E5582" i="12"/>
  <c r="D5582" i="12"/>
  <c r="C5582" i="12"/>
  <c r="B5582" i="12"/>
  <c r="A5582" i="12"/>
  <c r="G5581" i="12"/>
  <c r="E5581" i="12"/>
  <c r="D5581" i="12"/>
  <c r="C5581" i="12"/>
  <c r="B5581" i="12"/>
  <c r="A5581" i="12"/>
  <c r="E5580" i="12"/>
  <c r="D5580" i="12"/>
  <c r="C5580" i="12"/>
  <c r="B5580" i="12"/>
  <c r="A5580" i="12"/>
  <c r="E5579" i="12"/>
  <c r="D5579" i="12"/>
  <c r="C5579" i="12"/>
  <c r="B5579" i="12"/>
  <c r="A5579" i="12"/>
  <c r="E5578" i="12"/>
  <c r="D5578" i="12"/>
  <c r="C5578" i="12"/>
  <c r="B5578" i="12"/>
  <c r="A5578" i="12"/>
  <c r="G5577" i="12"/>
  <c r="E5577" i="12"/>
  <c r="D5577" i="12"/>
  <c r="C5577" i="12"/>
  <c r="B5577" i="12"/>
  <c r="A5577" i="12"/>
  <c r="F5576" i="12"/>
  <c r="E5576" i="12"/>
  <c r="D5576" i="12"/>
  <c r="C5576" i="12"/>
  <c r="B5576" i="12"/>
  <c r="A5576" i="12"/>
  <c r="E5575" i="12"/>
  <c r="D5575" i="12"/>
  <c r="C5575" i="12"/>
  <c r="B5575" i="12"/>
  <c r="A5575" i="12"/>
  <c r="E5574" i="12"/>
  <c r="D5574" i="12"/>
  <c r="C5574" i="12"/>
  <c r="B5574" i="12"/>
  <c r="A5574" i="12"/>
  <c r="E5573" i="12"/>
  <c r="D5573" i="12"/>
  <c r="C5573" i="12"/>
  <c r="B5573" i="12"/>
  <c r="A5573" i="12"/>
  <c r="G5572" i="12"/>
  <c r="E5572" i="12"/>
  <c r="D5572" i="12"/>
  <c r="C5572" i="12"/>
  <c r="B5572" i="12"/>
  <c r="A5572" i="12"/>
  <c r="E5571" i="12"/>
  <c r="D5571" i="12"/>
  <c r="C5571" i="12"/>
  <c r="B5571" i="12"/>
  <c r="A5571" i="12"/>
  <c r="G5570" i="12"/>
  <c r="E5570" i="12"/>
  <c r="D5570" i="12"/>
  <c r="C5570" i="12"/>
  <c r="B5570" i="12"/>
  <c r="A5570" i="12"/>
  <c r="F5569" i="12"/>
  <c r="E5569" i="12"/>
  <c r="D5569" i="12"/>
  <c r="C5569" i="12"/>
  <c r="B5569" i="12"/>
  <c r="A5569" i="12"/>
  <c r="G5568" i="12"/>
  <c r="E5568" i="12"/>
  <c r="D5568" i="12"/>
  <c r="C5568" i="12"/>
  <c r="B5568" i="12"/>
  <c r="A5568" i="12"/>
  <c r="G5567" i="12"/>
  <c r="E5567" i="12"/>
  <c r="D5567" i="12"/>
  <c r="C5567" i="12"/>
  <c r="B5567" i="12"/>
  <c r="A5567" i="12"/>
  <c r="G5566" i="12"/>
  <c r="F5566" i="12"/>
  <c r="E5566" i="12"/>
  <c r="D5566" i="12"/>
  <c r="C5566" i="12"/>
  <c r="B5566" i="12"/>
  <c r="A5566" i="12"/>
  <c r="G5565" i="12"/>
  <c r="E5565" i="12"/>
  <c r="D5565" i="12"/>
  <c r="C5565" i="12"/>
  <c r="B5565" i="12"/>
  <c r="A5565" i="12"/>
  <c r="G5564" i="12"/>
  <c r="F5564" i="12"/>
  <c r="E5564" i="12"/>
  <c r="D5564" i="12"/>
  <c r="C5564" i="12"/>
  <c r="B5564" i="12"/>
  <c r="A5564" i="12"/>
  <c r="E5563" i="12"/>
  <c r="D5563" i="12"/>
  <c r="C5563" i="12"/>
  <c r="B5563" i="12"/>
  <c r="A5563" i="12"/>
  <c r="E5562" i="12"/>
  <c r="D5562" i="12"/>
  <c r="C5562" i="12"/>
  <c r="B5562" i="12"/>
  <c r="A5562" i="12"/>
  <c r="E5561" i="12"/>
  <c r="D5561" i="12"/>
  <c r="C5561" i="12"/>
  <c r="B5561" i="12"/>
  <c r="A5561" i="12"/>
  <c r="E5560" i="12"/>
  <c r="D5560" i="12"/>
  <c r="C5560" i="12"/>
  <c r="B5560" i="12"/>
  <c r="A5560" i="12"/>
  <c r="E5559" i="12"/>
  <c r="D5559" i="12"/>
  <c r="C5559" i="12"/>
  <c r="B5559" i="12"/>
  <c r="A5559" i="12"/>
  <c r="E5558" i="12"/>
  <c r="D5558" i="12"/>
  <c r="C5558" i="12"/>
  <c r="B5558" i="12"/>
  <c r="A5558" i="12"/>
  <c r="E5557" i="12"/>
  <c r="D5557" i="12"/>
  <c r="C5557" i="12"/>
  <c r="B5557" i="12"/>
  <c r="A5557" i="12"/>
  <c r="E5556" i="12"/>
  <c r="D5556" i="12"/>
  <c r="C5556" i="12"/>
  <c r="B5556" i="12"/>
  <c r="A5556" i="12"/>
  <c r="E5555" i="12"/>
  <c r="D5555" i="12"/>
  <c r="C5555" i="12"/>
  <c r="B5555" i="12"/>
  <c r="A5555" i="12"/>
  <c r="E5554" i="12"/>
  <c r="D5554" i="12"/>
  <c r="C5554" i="12"/>
  <c r="B5554" i="12"/>
  <c r="A5554" i="12"/>
  <c r="E5553" i="12"/>
  <c r="D5553" i="12"/>
  <c r="C5553" i="12"/>
  <c r="B5553" i="12"/>
  <c r="A5553" i="12"/>
  <c r="E5552" i="12"/>
  <c r="D5552" i="12"/>
  <c r="C5552" i="12"/>
  <c r="B5552" i="12"/>
  <c r="A5552" i="12"/>
  <c r="E5551" i="12"/>
  <c r="D5551" i="12"/>
  <c r="C5551" i="12"/>
  <c r="B5551" i="12"/>
  <c r="A5551" i="12"/>
  <c r="E5550" i="12"/>
  <c r="D5550" i="12"/>
  <c r="C5550" i="12"/>
  <c r="B5550" i="12"/>
  <c r="A5550" i="12"/>
  <c r="E5549" i="12"/>
  <c r="D5549" i="12"/>
  <c r="C5549" i="12"/>
  <c r="B5549" i="12"/>
  <c r="A5549" i="12"/>
  <c r="E5548" i="12"/>
  <c r="D5548" i="12"/>
  <c r="C5548" i="12"/>
  <c r="B5548" i="12"/>
  <c r="A5548" i="12"/>
  <c r="E5547" i="12"/>
  <c r="D5547" i="12"/>
  <c r="C5547" i="12"/>
  <c r="B5547" i="12"/>
  <c r="A5547" i="12"/>
  <c r="E5546" i="12"/>
  <c r="D5546" i="12"/>
  <c r="C5546" i="12"/>
  <c r="B5546" i="12"/>
  <c r="A5546" i="12"/>
  <c r="G5545" i="12"/>
  <c r="E5545" i="12"/>
  <c r="D5545" i="12"/>
  <c r="C5545" i="12"/>
  <c r="B5545" i="12"/>
  <c r="A5545" i="12"/>
  <c r="E5544" i="12"/>
  <c r="D5544" i="12"/>
  <c r="C5544" i="12"/>
  <c r="B5544" i="12"/>
  <c r="A5544" i="12"/>
  <c r="E5543" i="12"/>
  <c r="D5543" i="12"/>
  <c r="C5543" i="12"/>
  <c r="B5543" i="12"/>
  <c r="A5543" i="12"/>
  <c r="E5542" i="12"/>
  <c r="D5542" i="12"/>
  <c r="C5542" i="12"/>
  <c r="B5542" i="12"/>
  <c r="A5542" i="12"/>
  <c r="G5541" i="12"/>
  <c r="E5541" i="12"/>
  <c r="D5541" i="12"/>
  <c r="C5541" i="12"/>
  <c r="B5541" i="12"/>
  <c r="A5541" i="12"/>
  <c r="G5540" i="12"/>
  <c r="E5540" i="12"/>
  <c r="D5540" i="12"/>
  <c r="C5540" i="12"/>
  <c r="B5540" i="12"/>
  <c r="A5540" i="12"/>
  <c r="G5539" i="12"/>
  <c r="E5539" i="12"/>
  <c r="D5539" i="12"/>
  <c r="C5539" i="12"/>
  <c r="B5539" i="12"/>
  <c r="A5539" i="12"/>
  <c r="E5538" i="12"/>
  <c r="D5538" i="12"/>
  <c r="C5538" i="12"/>
  <c r="B5538" i="12"/>
  <c r="A5538" i="12"/>
  <c r="G5537" i="12"/>
  <c r="E5537" i="12"/>
  <c r="D5537" i="12"/>
  <c r="C5537" i="12"/>
  <c r="B5537" i="12"/>
  <c r="A5537" i="12"/>
  <c r="G5536" i="12"/>
  <c r="E5536" i="12"/>
  <c r="D5536" i="12"/>
  <c r="C5536" i="12"/>
  <c r="B5536" i="12"/>
  <c r="A5536" i="12"/>
  <c r="E5535" i="12"/>
  <c r="D5535" i="12"/>
  <c r="C5535" i="12"/>
  <c r="B5535" i="12"/>
  <c r="A5535" i="12"/>
  <c r="G5534" i="12"/>
  <c r="E5534" i="12"/>
  <c r="D5534" i="12"/>
  <c r="C5534" i="12"/>
  <c r="B5534" i="12"/>
  <c r="A5534" i="12"/>
  <c r="E5533" i="12"/>
  <c r="D5533" i="12"/>
  <c r="C5533" i="12"/>
  <c r="B5533" i="12"/>
  <c r="A5533" i="12"/>
  <c r="G5532" i="12"/>
  <c r="E5532" i="12"/>
  <c r="D5532" i="12"/>
  <c r="C5532" i="12"/>
  <c r="B5532" i="12"/>
  <c r="A5532" i="12"/>
  <c r="E5531" i="12"/>
  <c r="D5531" i="12"/>
  <c r="C5531" i="12"/>
  <c r="B5531" i="12"/>
  <c r="A5531" i="12"/>
  <c r="E5530" i="12"/>
  <c r="D5530" i="12"/>
  <c r="C5530" i="12"/>
  <c r="B5530" i="12"/>
  <c r="A5530" i="12"/>
  <c r="F5529" i="12"/>
  <c r="E5529" i="12"/>
  <c r="D5529" i="12"/>
  <c r="C5529" i="12"/>
  <c r="B5529" i="12"/>
  <c r="A5529" i="12"/>
  <c r="E5528" i="12"/>
  <c r="D5528" i="12"/>
  <c r="C5528" i="12"/>
  <c r="B5528" i="12"/>
  <c r="A5528" i="12"/>
  <c r="E5527" i="12"/>
  <c r="D5527" i="12"/>
  <c r="C5527" i="12"/>
  <c r="B5527" i="12"/>
  <c r="A5527" i="12"/>
  <c r="G5526" i="12"/>
  <c r="E5526" i="12"/>
  <c r="D5526" i="12"/>
  <c r="C5526" i="12"/>
  <c r="B5526" i="12"/>
  <c r="A5526" i="12"/>
  <c r="E5525" i="12"/>
  <c r="D5525" i="12"/>
  <c r="C5525" i="12"/>
  <c r="B5525" i="12"/>
  <c r="A5525" i="12"/>
  <c r="E5524" i="12"/>
  <c r="D5524" i="12"/>
  <c r="C5524" i="12"/>
  <c r="B5524" i="12"/>
  <c r="A5524" i="12"/>
  <c r="E5523" i="12"/>
  <c r="D5523" i="12"/>
  <c r="C5523" i="12"/>
  <c r="B5523" i="12"/>
  <c r="A5523" i="12"/>
  <c r="E5522" i="12"/>
  <c r="D5522" i="12"/>
  <c r="C5522" i="12"/>
  <c r="B5522" i="12"/>
  <c r="A5522" i="12"/>
  <c r="E5521" i="12"/>
  <c r="D5521" i="12"/>
  <c r="C5521" i="12"/>
  <c r="B5521" i="12"/>
  <c r="A5521" i="12"/>
  <c r="E5520" i="12"/>
  <c r="D5520" i="12"/>
  <c r="C5520" i="12"/>
  <c r="B5520" i="12"/>
  <c r="A5520" i="12"/>
  <c r="E5519" i="12"/>
  <c r="D5519" i="12"/>
  <c r="C5519" i="12"/>
  <c r="B5519" i="12"/>
  <c r="A5519" i="12"/>
  <c r="E5518" i="12"/>
  <c r="D5518" i="12"/>
  <c r="C5518" i="12"/>
  <c r="B5518" i="12"/>
  <c r="A5518" i="12"/>
  <c r="E5517" i="12"/>
  <c r="D5517" i="12"/>
  <c r="C5517" i="12"/>
  <c r="B5517" i="12"/>
  <c r="A5517" i="12"/>
  <c r="E5516" i="12"/>
  <c r="D5516" i="12"/>
  <c r="C5516" i="12"/>
  <c r="B5516" i="12"/>
  <c r="A5516" i="12"/>
  <c r="G5515" i="12"/>
  <c r="E5515" i="12"/>
  <c r="D5515" i="12"/>
  <c r="C5515" i="12"/>
  <c r="B5515" i="12"/>
  <c r="A5515" i="12"/>
  <c r="E5514" i="12"/>
  <c r="D5514" i="12"/>
  <c r="C5514" i="12"/>
  <c r="B5514" i="12"/>
  <c r="A5514" i="12"/>
  <c r="E5513" i="12"/>
  <c r="D5513" i="12"/>
  <c r="C5513" i="12"/>
  <c r="B5513" i="12"/>
  <c r="A5513" i="12"/>
  <c r="G5512" i="12"/>
  <c r="E5512" i="12"/>
  <c r="D5512" i="12"/>
  <c r="C5512" i="12"/>
  <c r="B5512" i="12"/>
  <c r="A5512" i="12"/>
  <c r="G5511" i="12"/>
  <c r="E5511" i="12"/>
  <c r="D5511" i="12"/>
  <c r="C5511" i="12"/>
  <c r="B5511" i="12"/>
  <c r="A5511" i="12"/>
  <c r="E5510" i="12"/>
  <c r="D5510" i="12"/>
  <c r="C5510" i="12"/>
  <c r="B5510" i="12"/>
  <c r="A5510" i="12"/>
  <c r="E5509" i="12"/>
  <c r="D5509" i="12"/>
  <c r="C5509" i="12"/>
  <c r="B5509" i="12"/>
  <c r="A5509" i="12"/>
  <c r="E5508" i="12"/>
  <c r="D5508" i="12"/>
  <c r="C5508" i="12"/>
  <c r="B5508" i="12"/>
  <c r="A5508" i="12"/>
  <c r="G5507" i="12"/>
  <c r="E5507" i="12"/>
  <c r="D5507" i="12"/>
  <c r="C5507" i="12"/>
  <c r="B5507" i="12"/>
  <c r="A5507" i="12"/>
  <c r="G5506" i="12"/>
  <c r="E5506" i="12"/>
  <c r="D5506" i="12"/>
  <c r="C5506" i="12"/>
  <c r="B5506" i="12"/>
  <c r="A5506" i="12"/>
  <c r="E5505" i="12"/>
  <c r="D5505" i="12"/>
  <c r="C5505" i="12"/>
  <c r="B5505" i="12"/>
  <c r="A5505" i="12"/>
  <c r="E5504" i="12"/>
  <c r="D5504" i="12"/>
  <c r="C5504" i="12"/>
  <c r="B5504" i="12"/>
  <c r="A5504" i="12"/>
  <c r="E5503" i="12"/>
  <c r="D5503" i="12"/>
  <c r="C5503" i="12"/>
  <c r="B5503" i="12"/>
  <c r="A5503" i="12"/>
  <c r="E5502" i="12"/>
  <c r="D5502" i="12"/>
  <c r="C5502" i="12"/>
  <c r="B5502" i="12"/>
  <c r="A5502" i="12"/>
  <c r="E5501" i="12"/>
  <c r="D5501" i="12"/>
  <c r="C5501" i="12"/>
  <c r="B5501" i="12"/>
  <c r="A5501" i="12"/>
  <c r="E5500" i="12"/>
  <c r="D5500" i="12"/>
  <c r="C5500" i="12"/>
  <c r="B5500" i="12"/>
  <c r="A5500" i="12"/>
  <c r="E5499" i="12"/>
  <c r="D5499" i="12"/>
  <c r="C5499" i="12"/>
  <c r="B5499" i="12"/>
  <c r="A5499" i="12"/>
  <c r="E5498" i="12"/>
  <c r="D5498" i="12"/>
  <c r="C5498" i="12"/>
  <c r="B5498" i="12"/>
  <c r="A5498" i="12"/>
  <c r="E5497" i="12"/>
  <c r="D5497" i="12"/>
  <c r="C5497" i="12"/>
  <c r="B5497" i="12"/>
  <c r="A5497" i="12"/>
  <c r="E5496" i="12"/>
  <c r="D5496" i="12"/>
  <c r="C5496" i="12"/>
  <c r="B5496" i="12"/>
  <c r="A5496" i="12"/>
  <c r="E5495" i="12"/>
  <c r="D5495" i="12"/>
  <c r="C5495" i="12"/>
  <c r="B5495" i="12"/>
  <c r="A5495" i="12"/>
  <c r="E5494" i="12"/>
  <c r="D5494" i="12"/>
  <c r="C5494" i="12"/>
  <c r="B5494" i="12"/>
  <c r="A5494" i="12"/>
  <c r="E5493" i="12"/>
  <c r="D5493" i="12"/>
  <c r="C5493" i="12"/>
  <c r="B5493" i="12"/>
  <c r="A5493" i="12"/>
  <c r="E5492" i="12"/>
  <c r="D5492" i="12"/>
  <c r="C5492" i="12"/>
  <c r="B5492" i="12"/>
  <c r="A5492" i="12"/>
  <c r="E5491" i="12"/>
  <c r="D5491" i="12"/>
  <c r="C5491" i="12"/>
  <c r="B5491" i="12"/>
  <c r="A5491" i="12"/>
  <c r="E5490" i="12"/>
  <c r="D5490" i="12"/>
  <c r="C5490" i="12"/>
  <c r="B5490" i="12"/>
  <c r="A5490" i="12"/>
  <c r="E5489" i="12"/>
  <c r="D5489" i="12"/>
  <c r="C5489" i="12"/>
  <c r="B5489" i="12"/>
  <c r="A5489" i="12"/>
  <c r="E5488" i="12"/>
  <c r="D5488" i="12"/>
  <c r="C5488" i="12"/>
  <c r="B5488" i="12"/>
  <c r="A5488" i="12"/>
  <c r="E5487" i="12"/>
  <c r="D5487" i="12"/>
  <c r="C5487" i="12"/>
  <c r="B5487" i="12"/>
  <c r="A5487" i="12"/>
  <c r="E5486" i="12"/>
  <c r="D5486" i="12"/>
  <c r="C5486" i="12"/>
  <c r="B5486" i="12"/>
  <c r="A5486" i="12"/>
  <c r="F5485" i="12"/>
  <c r="E5485" i="12"/>
  <c r="D5485" i="12"/>
  <c r="C5485" i="12"/>
  <c r="B5485" i="12"/>
  <c r="A5485" i="12"/>
  <c r="E5484" i="12"/>
  <c r="D5484" i="12"/>
  <c r="C5484" i="12"/>
  <c r="B5484" i="12"/>
  <c r="A5484" i="12"/>
  <c r="E5483" i="12"/>
  <c r="D5483" i="12"/>
  <c r="C5483" i="12"/>
  <c r="B5483" i="12"/>
  <c r="A5483" i="12"/>
  <c r="E5482" i="12"/>
  <c r="D5482" i="12"/>
  <c r="C5482" i="12"/>
  <c r="B5482" i="12"/>
  <c r="A5482" i="12"/>
  <c r="E5481" i="12"/>
  <c r="D5481" i="12"/>
  <c r="C5481" i="12"/>
  <c r="B5481" i="12"/>
  <c r="A5481" i="12"/>
  <c r="F5480" i="12"/>
  <c r="E5480" i="12"/>
  <c r="D5480" i="12"/>
  <c r="C5480" i="12"/>
  <c r="B5480" i="12"/>
  <c r="A5480" i="12"/>
  <c r="E5479" i="12"/>
  <c r="D5479" i="12"/>
  <c r="C5479" i="12"/>
  <c r="B5479" i="12"/>
  <c r="A5479" i="12"/>
  <c r="E5478" i="12"/>
  <c r="D5478" i="12"/>
  <c r="C5478" i="12"/>
  <c r="B5478" i="12"/>
  <c r="A5478" i="12"/>
  <c r="E5477" i="12"/>
  <c r="D5477" i="12"/>
  <c r="C5477" i="12"/>
  <c r="B5477" i="12"/>
  <c r="A5477" i="12"/>
  <c r="E5476" i="12"/>
  <c r="D5476" i="12"/>
  <c r="C5476" i="12"/>
  <c r="B5476" i="12"/>
  <c r="A5476" i="12"/>
  <c r="E5475" i="12"/>
  <c r="D5475" i="12"/>
  <c r="C5475" i="12"/>
  <c r="B5475" i="12"/>
  <c r="A5475" i="12"/>
  <c r="E5474" i="12"/>
  <c r="D5474" i="12"/>
  <c r="C5474" i="12"/>
  <c r="B5474" i="12"/>
  <c r="A5474" i="12"/>
  <c r="E5473" i="12"/>
  <c r="D5473" i="12"/>
  <c r="C5473" i="12"/>
  <c r="B5473" i="12"/>
  <c r="A5473" i="12"/>
  <c r="E5472" i="12"/>
  <c r="D5472" i="12"/>
  <c r="C5472" i="12"/>
  <c r="B5472" i="12"/>
  <c r="A5472" i="12"/>
  <c r="E5471" i="12"/>
  <c r="D5471" i="12"/>
  <c r="C5471" i="12"/>
  <c r="B5471" i="12"/>
  <c r="A5471" i="12"/>
  <c r="E5470" i="12"/>
  <c r="D5470" i="12"/>
  <c r="C5470" i="12"/>
  <c r="B5470" i="12"/>
  <c r="A5470" i="12"/>
  <c r="F5469" i="12"/>
  <c r="E5469" i="12"/>
  <c r="D5469" i="12"/>
  <c r="C5469" i="12"/>
  <c r="B5469" i="12"/>
  <c r="A5469" i="12"/>
  <c r="E5468" i="12"/>
  <c r="D5468" i="12"/>
  <c r="C5468" i="12"/>
  <c r="B5468" i="12"/>
  <c r="A5468" i="12"/>
  <c r="E5467" i="12"/>
  <c r="D5467" i="12"/>
  <c r="C5467" i="12"/>
  <c r="B5467" i="12"/>
  <c r="A5467" i="12"/>
  <c r="G5466" i="12"/>
  <c r="E5466" i="12"/>
  <c r="D5466" i="12"/>
  <c r="C5466" i="12"/>
  <c r="B5466" i="12"/>
  <c r="A5466" i="12"/>
  <c r="G5465" i="12"/>
  <c r="E5465" i="12"/>
  <c r="D5465" i="12"/>
  <c r="C5465" i="12"/>
  <c r="B5465" i="12"/>
  <c r="A5465" i="12"/>
  <c r="E5464" i="12"/>
  <c r="D5464" i="12"/>
  <c r="C5464" i="12"/>
  <c r="B5464" i="12"/>
  <c r="A5464" i="12"/>
  <c r="F5463" i="12"/>
  <c r="E5463" i="12"/>
  <c r="D5463" i="12"/>
  <c r="C5463" i="12"/>
  <c r="B5463" i="12"/>
  <c r="A5463" i="12"/>
  <c r="E5462" i="12"/>
  <c r="D5462" i="12"/>
  <c r="C5462" i="12"/>
  <c r="B5462" i="12"/>
  <c r="A5462" i="12"/>
  <c r="E5461" i="12"/>
  <c r="D5461" i="12"/>
  <c r="C5461" i="12"/>
  <c r="B5461" i="12"/>
  <c r="A5461" i="12"/>
  <c r="E5460" i="12"/>
  <c r="D5460" i="12"/>
  <c r="C5460" i="12"/>
  <c r="B5460" i="12"/>
  <c r="A5460" i="12"/>
  <c r="E5459" i="12"/>
  <c r="D5459" i="12"/>
  <c r="C5459" i="12"/>
  <c r="B5459" i="12"/>
  <c r="A5459" i="12"/>
  <c r="F5458" i="12"/>
  <c r="E5458" i="12"/>
  <c r="D5458" i="12"/>
  <c r="C5458" i="12"/>
  <c r="B5458" i="12"/>
  <c r="A5458" i="12"/>
  <c r="G5457" i="12"/>
  <c r="F5457" i="12"/>
  <c r="E5457" i="12"/>
  <c r="D5457" i="12"/>
  <c r="C5457" i="12"/>
  <c r="B5457" i="12"/>
  <c r="A5457" i="12"/>
  <c r="G5456" i="12"/>
  <c r="E5456" i="12"/>
  <c r="D5456" i="12"/>
  <c r="C5456" i="12"/>
  <c r="B5456" i="12"/>
  <c r="A5456" i="12"/>
  <c r="G5455" i="12"/>
  <c r="F5455" i="12"/>
  <c r="E5455" i="12"/>
  <c r="D5455" i="12"/>
  <c r="C5455" i="12"/>
  <c r="B5455" i="12"/>
  <c r="A5455" i="12"/>
  <c r="F5454" i="12"/>
  <c r="E5454" i="12"/>
  <c r="D5454" i="12"/>
  <c r="C5454" i="12"/>
  <c r="B5454" i="12"/>
  <c r="A5454" i="12"/>
  <c r="G5453" i="12"/>
  <c r="F5453" i="12"/>
  <c r="E5453" i="12"/>
  <c r="D5453" i="12"/>
  <c r="C5453" i="12"/>
  <c r="B5453" i="12"/>
  <c r="A5453" i="12"/>
  <c r="G5452" i="12"/>
  <c r="F5452" i="12"/>
  <c r="E5452" i="12"/>
  <c r="D5452" i="12"/>
  <c r="C5452" i="12"/>
  <c r="B5452" i="12"/>
  <c r="A5452" i="12"/>
  <c r="E5451" i="12"/>
  <c r="D5451" i="12"/>
  <c r="C5451" i="12"/>
  <c r="B5451" i="12"/>
  <c r="A5451" i="12"/>
  <c r="G5450" i="12"/>
  <c r="F5450" i="12"/>
  <c r="E5450" i="12"/>
  <c r="D5450" i="12"/>
  <c r="C5450" i="12"/>
  <c r="B5450" i="12"/>
  <c r="A5450" i="12"/>
  <c r="G5449" i="12"/>
  <c r="F5449" i="12"/>
  <c r="E5449" i="12"/>
  <c r="D5449" i="12"/>
  <c r="C5449" i="12"/>
  <c r="B5449" i="12"/>
  <c r="A5449" i="12"/>
  <c r="G5448" i="12"/>
  <c r="F5448" i="12"/>
  <c r="E5448" i="12"/>
  <c r="D5448" i="12"/>
  <c r="C5448" i="12"/>
  <c r="B5448" i="12"/>
  <c r="A5448" i="12"/>
  <c r="G5447" i="12"/>
  <c r="F5447" i="12"/>
  <c r="E5447" i="12"/>
  <c r="D5447" i="12"/>
  <c r="C5447" i="12"/>
  <c r="B5447" i="12"/>
  <c r="A5447" i="12"/>
  <c r="G5446" i="12"/>
  <c r="F5446" i="12"/>
  <c r="E5446" i="12"/>
  <c r="D5446" i="12"/>
  <c r="C5446" i="12"/>
  <c r="B5446" i="12"/>
  <c r="A5446" i="12"/>
  <c r="G5445" i="12"/>
  <c r="F5445" i="12"/>
  <c r="E5445" i="12"/>
  <c r="D5445" i="12"/>
  <c r="C5445" i="12"/>
  <c r="B5445" i="12"/>
  <c r="A5445" i="12"/>
  <c r="G5444" i="12"/>
  <c r="F5444" i="12"/>
  <c r="E5444" i="12"/>
  <c r="D5444" i="12"/>
  <c r="C5444" i="12"/>
  <c r="B5444" i="12"/>
  <c r="A5444" i="12"/>
  <c r="E5443" i="12"/>
  <c r="D5443" i="12"/>
  <c r="C5443" i="12"/>
  <c r="B5443" i="12"/>
  <c r="A5443" i="12"/>
  <c r="E5442" i="12"/>
  <c r="D5442" i="12"/>
  <c r="C5442" i="12"/>
  <c r="B5442" i="12"/>
  <c r="A5442" i="12"/>
  <c r="E5441" i="12"/>
  <c r="D5441" i="12"/>
  <c r="C5441" i="12"/>
  <c r="B5441" i="12"/>
  <c r="A5441" i="12"/>
  <c r="E5440" i="12"/>
  <c r="D5440" i="12"/>
  <c r="C5440" i="12"/>
  <c r="B5440" i="12"/>
  <c r="A5440" i="12"/>
  <c r="F5439" i="12"/>
  <c r="E5439" i="12"/>
  <c r="D5439" i="12"/>
  <c r="C5439" i="12"/>
  <c r="B5439" i="12"/>
  <c r="A5439" i="12"/>
  <c r="F5438" i="12"/>
  <c r="E5438" i="12"/>
  <c r="D5438" i="12"/>
  <c r="C5438" i="12"/>
  <c r="B5438" i="12"/>
  <c r="A5438" i="12"/>
  <c r="F5437" i="12"/>
  <c r="E5437" i="12"/>
  <c r="D5437" i="12"/>
  <c r="C5437" i="12"/>
  <c r="B5437" i="12"/>
  <c r="A5437" i="12"/>
  <c r="F5436" i="12"/>
  <c r="E5436" i="12"/>
  <c r="D5436" i="12"/>
  <c r="C5436" i="12"/>
  <c r="B5436" i="12"/>
  <c r="A5436" i="12"/>
  <c r="F5435" i="12"/>
  <c r="E5435" i="12"/>
  <c r="D5435" i="12"/>
  <c r="C5435" i="12"/>
  <c r="B5435" i="12"/>
  <c r="A5435" i="12"/>
  <c r="F5434" i="12"/>
  <c r="E5434" i="12"/>
  <c r="D5434" i="12"/>
  <c r="C5434" i="12"/>
  <c r="B5434" i="12"/>
  <c r="A5434" i="12"/>
  <c r="E5433" i="12"/>
  <c r="D5433" i="12"/>
  <c r="C5433" i="12"/>
  <c r="B5433" i="12"/>
  <c r="A5433" i="12"/>
  <c r="F5432" i="12"/>
  <c r="E5432" i="12"/>
  <c r="D5432" i="12"/>
  <c r="C5432" i="12"/>
  <c r="B5432" i="12"/>
  <c r="A5432" i="12"/>
  <c r="F5431" i="12"/>
  <c r="E5431" i="12"/>
  <c r="D5431" i="12"/>
  <c r="C5431" i="12"/>
  <c r="B5431" i="12"/>
  <c r="A5431" i="12"/>
  <c r="E5430" i="12"/>
  <c r="D5430" i="12"/>
  <c r="C5430" i="12"/>
  <c r="B5430" i="12"/>
  <c r="A5430" i="12"/>
  <c r="E5429" i="12"/>
  <c r="D5429" i="12"/>
  <c r="C5429" i="12"/>
  <c r="B5429" i="12"/>
  <c r="A5429" i="12"/>
  <c r="E5428" i="12"/>
  <c r="D5428" i="12"/>
  <c r="C5428" i="12"/>
  <c r="B5428" i="12"/>
  <c r="A5428" i="12"/>
  <c r="G5427" i="12"/>
  <c r="E5427" i="12"/>
  <c r="D5427" i="12"/>
  <c r="C5427" i="12"/>
  <c r="B5427" i="12"/>
  <c r="A5427" i="12"/>
  <c r="F5426" i="12"/>
  <c r="E5426" i="12"/>
  <c r="D5426" i="12"/>
  <c r="C5426" i="12"/>
  <c r="B5426" i="12"/>
  <c r="A5426" i="12"/>
  <c r="F5425" i="12"/>
  <c r="E5425" i="12"/>
  <c r="D5425" i="12"/>
  <c r="C5425" i="12"/>
  <c r="B5425" i="12"/>
  <c r="A5425" i="12"/>
  <c r="G5424" i="12"/>
  <c r="E5424" i="12"/>
  <c r="D5424" i="12"/>
  <c r="C5424" i="12"/>
  <c r="B5424" i="12"/>
  <c r="A5424" i="12"/>
  <c r="E5423" i="12"/>
  <c r="D5423" i="12"/>
  <c r="C5423" i="12"/>
  <c r="B5423" i="12"/>
  <c r="A5423" i="12"/>
  <c r="E5422" i="12"/>
  <c r="D5422" i="12"/>
  <c r="C5422" i="12"/>
  <c r="B5422" i="12"/>
  <c r="A5422" i="12"/>
  <c r="F5421" i="12"/>
  <c r="E5421" i="12"/>
  <c r="D5421" i="12"/>
  <c r="C5421" i="12"/>
  <c r="B5421" i="12"/>
  <c r="A5421" i="12"/>
  <c r="F5420" i="12"/>
  <c r="E5420" i="12"/>
  <c r="D5420" i="12"/>
  <c r="C5420" i="12"/>
  <c r="B5420" i="12"/>
  <c r="A5420" i="12"/>
  <c r="E5419" i="12"/>
  <c r="D5419" i="12"/>
  <c r="C5419" i="12"/>
  <c r="B5419" i="12"/>
  <c r="A5419" i="12"/>
  <c r="F5418" i="12"/>
  <c r="E5418" i="12"/>
  <c r="D5418" i="12"/>
  <c r="C5418" i="12"/>
  <c r="B5418" i="12"/>
  <c r="A5418" i="12"/>
  <c r="E5417" i="12"/>
  <c r="D5417" i="12"/>
  <c r="C5417" i="12"/>
  <c r="B5417" i="12"/>
  <c r="A5417" i="12"/>
  <c r="E5416" i="12"/>
  <c r="D5416" i="12"/>
  <c r="C5416" i="12"/>
  <c r="B5416" i="12"/>
  <c r="A5416" i="12"/>
  <c r="F5415" i="12"/>
  <c r="E5415" i="12"/>
  <c r="D5415" i="12"/>
  <c r="C5415" i="12"/>
  <c r="B5415" i="12"/>
  <c r="A5415" i="12"/>
  <c r="F5414" i="12"/>
  <c r="E5414" i="12"/>
  <c r="D5414" i="12"/>
  <c r="C5414" i="12"/>
  <c r="B5414" i="12"/>
  <c r="A5414" i="12"/>
  <c r="G5413" i="12"/>
  <c r="F5413" i="12"/>
  <c r="E5413" i="12"/>
  <c r="D5413" i="12"/>
  <c r="C5413" i="12"/>
  <c r="B5413" i="12"/>
  <c r="A5413" i="12"/>
  <c r="F5412" i="12"/>
  <c r="E5412" i="12"/>
  <c r="D5412" i="12"/>
  <c r="C5412" i="12"/>
  <c r="B5412" i="12"/>
  <c r="A5412" i="12"/>
  <c r="F5411" i="12"/>
  <c r="E5411" i="12"/>
  <c r="D5411" i="12"/>
  <c r="C5411" i="12"/>
  <c r="B5411" i="12"/>
  <c r="A5411" i="12"/>
  <c r="F5410" i="12"/>
  <c r="E5410" i="12"/>
  <c r="D5410" i="12"/>
  <c r="C5410" i="12"/>
  <c r="B5410" i="12"/>
  <c r="A5410" i="12"/>
  <c r="F5409" i="12"/>
  <c r="E5409" i="12"/>
  <c r="D5409" i="12"/>
  <c r="C5409" i="12"/>
  <c r="B5409" i="12"/>
  <c r="A5409" i="12"/>
  <c r="F5408" i="12"/>
  <c r="E5408" i="12"/>
  <c r="D5408" i="12"/>
  <c r="C5408" i="12"/>
  <c r="B5408" i="12"/>
  <c r="A5408" i="12"/>
  <c r="G5407" i="12"/>
  <c r="F5407" i="12"/>
  <c r="E5407" i="12"/>
  <c r="D5407" i="12"/>
  <c r="C5407" i="12"/>
  <c r="B5407" i="12"/>
  <c r="A5407" i="12"/>
  <c r="F5406" i="12"/>
  <c r="E5406" i="12"/>
  <c r="D5406" i="12"/>
  <c r="C5406" i="12"/>
  <c r="B5406" i="12"/>
  <c r="A5406" i="12"/>
  <c r="F5405" i="12"/>
  <c r="E5405" i="12"/>
  <c r="D5405" i="12"/>
  <c r="C5405" i="12"/>
  <c r="B5405" i="12"/>
  <c r="A5405" i="12"/>
  <c r="F5404" i="12"/>
  <c r="E5404" i="12"/>
  <c r="D5404" i="12"/>
  <c r="C5404" i="12"/>
  <c r="B5404" i="12"/>
  <c r="A5404" i="12"/>
  <c r="F5403" i="12"/>
  <c r="E5403" i="12"/>
  <c r="D5403" i="12"/>
  <c r="C5403" i="12"/>
  <c r="B5403" i="12"/>
  <c r="A5403" i="12"/>
  <c r="E5402" i="12"/>
  <c r="D5402" i="12"/>
  <c r="C5402" i="12"/>
  <c r="B5402" i="12"/>
  <c r="A5402" i="12"/>
  <c r="F5401" i="12"/>
  <c r="E5401" i="12"/>
  <c r="D5401" i="12"/>
  <c r="C5401" i="12"/>
  <c r="B5401" i="12"/>
  <c r="A5401" i="12"/>
  <c r="E5400" i="12"/>
  <c r="D5400" i="12"/>
  <c r="C5400" i="12"/>
  <c r="B5400" i="12"/>
  <c r="A5400" i="12"/>
  <c r="E5399" i="12"/>
  <c r="D5399" i="12"/>
  <c r="C5399" i="12"/>
  <c r="B5399" i="12"/>
  <c r="A5399" i="12"/>
  <c r="F5398" i="12"/>
  <c r="E5398" i="12"/>
  <c r="D5398" i="12"/>
  <c r="C5398" i="12"/>
  <c r="B5398" i="12"/>
  <c r="A5398" i="12"/>
  <c r="E5397" i="12"/>
  <c r="D5397" i="12"/>
  <c r="C5397" i="12"/>
  <c r="B5397" i="12"/>
  <c r="A5397" i="12"/>
  <c r="F5396" i="12"/>
  <c r="E5396" i="12"/>
  <c r="D5396" i="12"/>
  <c r="C5396" i="12"/>
  <c r="B5396" i="12"/>
  <c r="A5396" i="12"/>
  <c r="E5395" i="12"/>
  <c r="D5395" i="12"/>
  <c r="C5395" i="12"/>
  <c r="B5395" i="12"/>
  <c r="A5395" i="12"/>
  <c r="G5394" i="12"/>
  <c r="E5394" i="12"/>
  <c r="D5394" i="12"/>
  <c r="C5394" i="12"/>
  <c r="B5394" i="12"/>
  <c r="A5394" i="12"/>
  <c r="F5393" i="12"/>
  <c r="E5393" i="12"/>
  <c r="D5393" i="12"/>
  <c r="C5393" i="12"/>
  <c r="B5393" i="12"/>
  <c r="A5393" i="12"/>
  <c r="F5392" i="12"/>
  <c r="E5392" i="12"/>
  <c r="D5392" i="12"/>
  <c r="C5392" i="12"/>
  <c r="B5392" i="12"/>
  <c r="A5392" i="12"/>
  <c r="F5391" i="12"/>
  <c r="E5391" i="12"/>
  <c r="D5391" i="12"/>
  <c r="C5391" i="12"/>
  <c r="B5391" i="12"/>
  <c r="A5391" i="12"/>
  <c r="F5390" i="12"/>
  <c r="E5390" i="12"/>
  <c r="D5390" i="12"/>
  <c r="C5390" i="12"/>
  <c r="B5390" i="12"/>
  <c r="A5390" i="12"/>
  <c r="G5389" i="12"/>
  <c r="E5389" i="12"/>
  <c r="D5389" i="12"/>
  <c r="C5389" i="12"/>
  <c r="B5389" i="12"/>
  <c r="A5389" i="12"/>
  <c r="G5388" i="12"/>
  <c r="E5388" i="12"/>
  <c r="D5388" i="12"/>
  <c r="C5388" i="12"/>
  <c r="B5388" i="12"/>
  <c r="A5388" i="12"/>
  <c r="G5387" i="12"/>
  <c r="E5387" i="12"/>
  <c r="D5387" i="12"/>
  <c r="C5387" i="12"/>
  <c r="B5387" i="12"/>
  <c r="A5387" i="12"/>
  <c r="G5386" i="12"/>
  <c r="E5386" i="12"/>
  <c r="D5386" i="12"/>
  <c r="C5386" i="12"/>
  <c r="B5386" i="12"/>
  <c r="A5386" i="12"/>
  <c r="G5385" i="12"/>
  <c r="E5385" i="12"/>
  <c r="D5385" i="12"/>
  <c r="C5385" i="12"/>
  <c r="B5385" i="12"/>
  <c r="A5385" i="12"/>
  <c r="G5384" i="12"/>
  <c r="E5384" i="12"/>
  <c r="D5384" i="12"/>
  <c r="C5384" i="12"/>
  <c r="B5384" i="12"/>
  <c r="A5384" i="12"/>
  <c r="G5383" i="12"/>
  <c r="E5383" i="12"/>
  <c r="D5383" i="12"/>
  <c r="C5383" i="12"/>
  <c r="B5383" i="12"/>
  <c r="A5383" i="12"/>
  <c r="G5382" i="12"/>
  <c r="E5382" i="12"/>
  <c r="D5382" i="12"/>
  <c r="C5382" i="12"/>
  <c r="B5382" i="12"/>
  <c r="A5382" i="12"/>
  <c r="G5381" i="12"/>
  <c r="E5381" i="12"/>
  <c r="D5381" i="12"/>
  <c r="C5381" i="12"/>
  <c r="B5381" i="12"/>
  <c r="A5381" i="12"/>
  <c r="G5380" i="12"/>
  <c r="E5380" i="12"/>
  <c r="D5380" i="12"/>
  <c r="C5380" i="12"/>
  <c r="B5380" i="12"/>
  <c r="A5380" i="12"/>
  <c r="G5379" i="12"/>
  <c r="E5379" i="12"/>
  <c r="D5379" i="12"/>
  <c r="C5379" i="12"/>
  <c r="B5379" i="12"/>
  <c r="A5379" i="12"/>
  <c r="E5378" i="12"/>
  <c r="D5378" i="12"/>
  <c r="C5378" i="12"/>
  <c r="B5378" i="12"/>
  <c r="A5378" i="12"/>
  <c r="G5377" i="12"/>
  <c r="E5377" i="12"/>
  <c r="D5377" i="12"/>
  <c r="C5377" i="12"/>
  <c r="B5377" i="12"/>
  <c r="A5377" i="12"/>
  <c r="G5376" i="12"/>
  <c r="E5376" i="12"/>
  <c r="D5376" i="12"/>
  <c r="C5376" i="12"/>
  <c r="B5376" i="12"/>
  <c r="A5376" i="12"/>
  <c r="G5375" i="12"/>
  <c r="E5375" i="12"/>
  <c r="D5375" i="12"/>
  <c r="C5375" i="12"/>
  <c r="B5375" i="12"/>
  <c r="A5375" i="12"/>
  <c r="G5374" i="12"/>
  <c r="E5374" i="12"/>
  <c r="D5374" i="12"/>
  <c r="C5374" i="12"/>
  <c r="B5374" i="12"/>
  <c r="A5374" i="12"/>
  <c r="G5373" i="12"/>
  <c r="E5373" i="12"/>
  <c r="D5373" i="12"/>
  <c r="C5373" i="12"/>
  <c r="B5373" i="12"/>
  <c r="A5373" i="12"/>
  <c r="G5372" i="12"/>
  <c r="E5372" i="12"/>
  <c r="D5372" i="12"/>
  <c r="C5372" i="12"/>
  <c r="B5372" i="12"/>
  <c r="A5372" i="12"/>
  <c r="G5371" i="12"/>
  <c r="E5371" i="12"/>
  <c r="D5371" i="12"/>
  <c r="C5371" i="12"/>
  <c r="B5371" i="12"/>
  <c r="A5371" i="12"/>
  <c r="G5370" i="12"/>
  <c r="E5370" i="12"/>
  <c r="D5370" i="12"/>
  <c r="C5370" i="12"/>
  <c r="B5370" i="12"/>
  <c r="A5370" i="12"/>
  <c r="G5369" i="12"/>
  <c r="E5369" i="12"/>
  <c r="D5369" i="12"/>
  <c r="C5369" i="12"/>
  <c r="B5369" i="12"/>
  <c r="A5369" i="12"/>
  <c r="G5368" i="12"/>
  <c r="E5368" i="12"/>
  <c r="D5368" i="12"/>
  <c r="C5368" i="12"/>
  <c r="B5368" i="12"/>
  <c r="A5368" i="12"/>
  <c r="G5367" i="12"/>
  <c r="E5367" i="12"/>
  <c r="D5367" i="12"/>
  <c r="C5367" i="12"/>
  <c r="B5367" i="12"/>
  <c r="A5367" i="12"/>
  <c r="G5366" i="12"/>
  <c r="E5366" i="12"/>
  <c r="D5366" i="12"/>
  <c r="C5366" i="12"/>
  <c r="B5366" i="12"/>
  <c r="A5366" i="12"/>
  <c r="G5365" i="12"/>
  <c r="E5365" i="12"/>
  <c r="D5365" i="12"/>
  <c r="C5365" i="12"/>
  <c r="B5365" i="12"/>
  <c r="A5365" i="12"/>
  <c r="G5364" i="12"/>
  <c r="E5364" i="12"/>
  <c r="D5364" i="12"/>
  <c r="C5364" i="12"/>
  <c r="B5364" i="12"/>
  <c r="A5364" i="12"/>
  <c r="G5363" i="12"/>
  <c r="E5363" i="12"/>
  <c r="D5363" i="12"/>
  <c r="C5363" i="12"/>
  <c r="B5363" i="12"/>
  <c r="A5363" i="12"/>
  <c r="G5362" i="12"/>
  <c r="E5362" i="12"/>
  <c r="D5362" i="12"/>
  <c r="C5362" i="12"/>
  <c r="B5362" i="12"/>
  <c r="A5362" i="12"/>
  <c r="G5361" i="12"/>
  <c r="E5361" i="12"/>
  <c r="D5361" i="12"/>
  <c r="C5361" i="12"/>
  <c r="B5361" i="12"/>
  <c r="A5361" i="12"/>
  <c r="G5360" i="12"/>
  <c r="E5360" i="12"/>
  <c r="D5360" i="12"/>
  <c r="C5360" i="12"/>
  <c r="B5360" i="12"/>
  <c r="A5360" i="12"/>
  <c r="G5359" i="12"/>
  <c r="E5359" i="12"/>
  <c r="D5359" i="12"/>
  <c r="C5359" i="12"/>
  <c r="B5359" i="12"/>
  <c r="A5359" i="12"/>
  <c r="G5358" i="12"/>
  <c r="E5358" i="12"/>
  <c r="D5358" i="12"/>
  <c r="C5358" i="12"/>
  <c r="B5358" i="12"/>
  <c r="A5358" i="12"/>
  <c r="G5357" i="12"/>
  <c r="E5357" i="12"/>
  <c r="D5357" i="12"/>
  <c r="C5357" i="12"/>
  <c r="B5357" i="12"/>
  <c r="A5357" i="12"/>
  <c r="E5356" i="12"/>
  <c r="D5356" i="12"/>
  <c r="C5356" i="12"/>
  <c r="B5356" i="12"/>
  <c r="A5356" i="12"/>
  <c r="G5355" i="12"/>
  <c r="E5355" i="12"/>
  <c r="D5355" i="12"/>
  <c r="C5355" i="12"/>
  <c r="B5355" i="12"/>
  <c r="A5355" i="12"/>
  <c r="E5354" i="12"/>
  <c r="D5354" i="12"/>
  <c r="C5354" i="12"/>
  <c r="B5354" i="12"/>
  <c r="A5354" i="12"/>
  <c r="E5353" i="12"/>
  <c r="D5353" i="12"/>
  <c r="C5353" i="12"/>
  <c r="B5353" i="12"/>
  <c r="A5353" i="12"/>
  <c r="E5352" i="12"/>
  <c r="D5352" i="12"/>
  <c r="C5352" i="12"/>
  <c r="B5352" i="12"/>
  <c r="A5352" i="12"/>
  <c r="G5351" i="12"/>
  <c r="E5351" i="12"/>
  <c r="D5351" i="12"/>
  <c r="C5351" i="12"/>
  <c r="B5351" i="12"/>
  <c r="A5351" i="12"/>
  <c r="G5350" i="12"/>
  <c r="E5350" i="12"/>
  <c r="D5350" i="12"/>
  <c r="C5350" i="12"/>
  <c r="B5350" i="12"/>
  <c r="A5350" i="12"/>
  <c r="E5349" i="12"/>
  <c r="D5349" i="12"/>
  <c r="C5349" i="12"/>
  <c r="B5349" i="12"/>
  <c r="A5349" i="12"/>
  <c r="G5348" i="12"/>
  <c r="E5348" i="12"/>
  <c r="D5348" i="12"/>
  <c r="C5348" i="12"/>
  <c r="B5348" i="12"/>
  <c r="A5348" i="12"/>
  <c r="G5347" i="12"/>
  <c r="E5347" i="12"/>
  <c r="D5347" i="12"/>
  <c r="C5347" i="12"/>
  <c r="B5347" i="12"/>
  <c r="A5347" i="12"/>
  <c r="E5346" i="12"/>
  <c r="D5346" i="12"/>
  <c r="C5346" i="12"/>
  <c r="B5346" i="12"/>
  <c r="A5346" i="12"/>
  <c r="E5345" i="12"/>
  <c r="D5345" i="12"/>
  <c r="C5345" i="12"/>
  <c r="B5345" i="12"/>
  <c r="A5345" i="12"/>
  <c r="G5344" i="12"/>
  <c r="E5344" i="12"/>
  <c r="D5344" i="12"/>
  <c r="C5344" i="12"/>
  <c r="B5344" i="12"/>
  <c r="A5344" i="12"/>
  <c r="G5343" i="12"/>
  <c r="E5343" i="12"/>
  <c r="D5343" i="12"/>
  <c r="C5343" i="12"/>
  <c r="B5343" i="12"/>
  <c r="A5343" i="12"/>
  <c r="G5342" i="12"/>
  <c r="E5342" i="12"/>
  <c r="D5342" i="12"/>
  <c r="C5342" i="12"/>
  <c r="B5342" i="12"/>
  <c r="A5342" i="12"/>
  <c r="G5341" i="12"/>
  <c r="E5341" i="12"/>
  <c r="D5341" i="12"/>
  <c r="C5341" i="12"/>
  <c r="B5341" i="12"/>
  <c r="A5341" i="12"/>
  <c r="G5340" i="12"/>
  <c r="E5340" i="12"/>
  <c r="D5340" i="12"/>
  <c r="C5340" i="12"/>
  <c r="B5340" i="12"/>
  <c r="A5340" i="12"/>
  <c r="E5339" i="12"/>
  <c r="D5339" i="12"/>
  <c r="C5339" i="12"/>
  <c r="B5339" i="12"/>
  <c r="A5339" i="12"/>
  <c r="G5338" i="12"/>
  <c r="E5338" i="12"/>
  <c r="D5338" i="12"/>
  <c r="C5338" i="12"/>
  <c r="B5338" i="12"/>
  <c r="A5338" i="12"/>
  <c r="E5337" i="12"/>
  <c r="D5337" i="12"/>
  <c r="C5337" i="12"/>
  <c r="B5337" i="12"/>
  <c r="A5337" i="12"/>
  <c r="G5336" i="12"/>
  <c r="E5336" i="12"/>
  <c r="D5336" i="12"/>
  <c r="C5336" i="12"/>
  <c r="B5336" i="12"/>
  <c r="A5336" i="12"/>
  <c r="G5335" i="12"/>
  <c r="E5335" i="12"/>
  <c r="D5335" i="12"/>
  <c r="C5335" i="12"/>
  <c r="B5335" i="12"/>
  <c r="A5335" i="12"/>
  <c r="E5334" i="12"/>
  <c r="D5334" i="12"/>
  <c r="C5334" i="12"/>
  <c r="B5334" i="12"/>
  <c r="A5334" i="12"/>
  <c r="E5333" i="12"/>
  <c r="D5333" i="12"/>
  <c r="C5333" i="12"/>
  <c r="B5333" i="12"/>
  <c r="A5333" i="12"/>
  <c r="G5332" i="12"/>
  <c r="E5332" i="12"/>
  <c r="D5332" i="12"/>
  <c r="C5332" i="12"/>
  <c r="B5332" i="12"/>
  <c r="A5332" i="12"/>
  <c r="G5331" i="12"/>
  <c r="E5331" i="12"/>
  <c r="D5331" i="12"/>
  <c r="C5331" i="12"/>
  <c r="B5331" i="12"/>
  <c r="A5331" i="12"/>
  <c r="G5330" i="12"/>
  <c r="F5330" i="12"/>
  <c r="E5330" i="12"/>
  <c r="D5330" i="12"/>
  <c r="C5330" i="12"/>
  <c r="B5330" i="12"/>
  <c r="A5330" i="12"/>
  <c r="G5329" i="12"/>
  <c r="E5329" i="12"/>
  <c r="D5329" i="12"/>
  <c r="C5329" i="12"/>
  <c r="B5329" i="12"/>
  <c r="A5329" i="12"/>
  <c r="G5328" i="12"/>
  <c r="E5328" i="12"/>
  <c r="D5328" i="12"/>
  <c r="C5328" i="12"/>
  <c r="B5328" i="12"/>
  <c r="A5328" i="12"/>
  <c r="G5327" i="12"/>
  <c r="E5327" i="12"/>
  <c r="D5327" i="12"/>
  <c r="C5327" i="12"/>
  <c r="B5327" i="12"/>
  <c r="A5327" i="12"/>
  <c r="G5326" i="12"/>
  <c r="E5326" i="12"/>
  <c r="D5326" i="12"/>
  <c r="C5326" i="12"/>
  <c r="B5326" i="12"/>
  <c r="A5326" i="12"/>
  <c r="E5325" i="12"/>
  <c r="D5325" i="12"/>
  <c r="C5325" i="12"/>
  <c r="B5325" i="12"/>
  <c r="A5325" i="12"/>
  <c r="E5324" i="12"/>
  <c r="D5324" i="12"/>
  <c r="C5324" i="12"/>
  <c r="B5324" i="12"/>
  <c r="A5324" i="12"/>
  <c r="E5323" i="12"/>
  <c r="D5323" i="12"/>
  <c r="C5323" i="12"/>
  <c r="B5323" i="12"/>
  <c r="A5323" i="12"/>
  <c r="G5322" i="12"/>
  <c r="E5322" i="12"/>
  <c r="D5322" i="12"/>
  <c r="C5322" i="12"/>
  <c r="B5322" i="12"/>
  <c r="A5322" i="12"/>
  <c r="G5321" i="12"/>
  <c r="E5321" i="12"/>
  <c r="D5321" i="12"/>
  <c r="C5321" i="12"/>
  <c r="B5321" i="12"/>
  <c r="A5321" i="12"/>
  <c r="E5320" i="12"/>
  <c r="D5320" i="12"/>
  <c r="C5320" i="12"/>
  <c r="B5320" i="12"/>
  <c r="A5320" i="12"/>
  <c r="G5319" i="12"/>
  <c r="F5319" i="12"/>
  <c r="E5319" i="12"/>
  <c r="D5319" i="12"/>
  <c r="C5319" i="12"/>
  <c r="B5319" i="12"/>
  <c r="A5319" i="12"/>
  <c r="G5318" i="12"/>
  <c r="E5318" i="12"/>
  <c r="D5318" i="12"/>
  <c r="C5318" i="12"/>
  <c r="B5318" i="12"/>
  <c r="A5318" i="12"/>
  <c r="F5317" i="12"/>
  <c r="E5317" i="12"/>
  <c r="D5317" i="12"/>
  <c r="C5317" i="12"/>
  <c r="B5317" i="12"/>
  <c r="A5317" i="12"/>
  <c r="G5316" i="12"/>
  <c r="F5316" i="12"/>
  <c r="E5316" i="12"/>
  <c r="D5316" i="12"/>
  <c r="C5316" i="12"/>
  <c r="B5316" i="12"/>
  <c r="A5316" i="12"/>
  <c r="F5315" i="12"/>
  <c r="E5315" i="12"/>
  <c r="D5315" i="12"/>
  <c r="C5315" i="12"/>
  <c r="B5315" i="12"/>
  <c r="A5315" i="12"/>
  <c r="G5314" i="12"/>
  <c r="E5314" i="12"/>
  <c r="D5314" i="12"/>
  <c r="C5314" i="12"/>
  <c r="B5314" i="12"/>
  <c r="A5314" i="12"/>
  <c r="G5313" i="12"/>
  <c r="F5313" i="12"/>
  <c r="E5313" i="12"/>
  <c r="D5313" i="12"/>
  <c r="C5313" i="12"/>
  <c r="B5313" i="12"/>
  <c r="A5313" i="12"/>
  <c r="F5312" i="12"/>
  <c r="E5312" i="12"/>
  <c r="D5312" i="12"/>
  <c r="C5312" i="12"/>
  <c r="B5312" i="12"/>
  <c r="A5312" i="12"/>
  <c r="E5311" i="12"/>
  <c r="D5311" i="12"/>
  <c r="C5311" i="12"/>
  <c r="B5311" i="12"/>
  <c r="A5311" i="12"/>
  <c r="E5310" i="12"/>
  <c r="D5310" i="12"/>
  <c r="C5310" i="12"/>
  <c r="B5310" i="12"/>
  <c r="A5310" i="12"/>
  <c r="E5309" i="12"/>
  <c r="D5309" i="12"/>
  <c r="C5309" i="12"/>
  <c r="B5309" i="12"/>
  <c r="A5309" i="12"/>
  <c r="E5308" i="12"/>
  <c r="D5308" i="12"/>
  <c r="C5308" i="12"/>
  <c r="B5308" i="12"/>
  <c r="A5308" i="12"/>
  <c r="E5307" i="12"/>
  <c r="D5307" i="12"/>
  <c r="C5307" i="12"/>
  <c r="B5307" i="12"/>
  <c r="A5307" i="12"/>
  <c r="E5306" i="12"/>
  <c r="D5306" i="12"/>
  <c r="C5306" i="12"/>
  <c r="B5306" i="12"/>
  <c r="A5306" i="12"/>
  <c r="E5305" i="12"/>
  <c r="D5305" i="12"/>
  <c r="C5305" i="12"/>
  <c r="B5305" i="12"/>
  <c r="A5305" i="12"/>
  <c r="E5304" i="12"/>
  <c r="D5304" i="12"/>
  <c r="C5304" i="12"/>
  <c r="B5304" i="12"/>
  <c r="A5304" i="12"/>
  <c r="E5303" i="12"/>
  <c r="D5303" i="12"/>
  <c r="C5303" i="12"/>
  <c r="B5303" i="12"/>
  <c r="A5303" i="12"/>
  <c r="E5302" i="12"/>
  <c r="D5302" i="12"/>
  <c r="C5302" i="12"/>
  <c r="B5302" i="12"/>
  <c r="A5302" i="12"/>
  <c r="E5301" i="12"/>
  <c r="D5301" i="12"/>
  <c r="C5301" i="12"/>
  <c r="B5301" i="12"/>
  <c r="A5301" i="12"/>
  <c r="E5300" i="12"/>
  <c r="D5300" i="12"/>
  <c r="C5300" i="12"/>
  <c r="B5300" i="12"/>
  <c r="A5300" i="12"/>
  <c r="E5299" i="12"/>
  <c r="D5299" i="12"/>
  <c r="C5299" i="12"/>
  <c r="B5299" i="12"/>
  <c r="A5299" i="12"/>
  <c r="E5298" i="12"/>
  <c r="D5298" i="12"/>
  <c r="C5298" i="12"/>
  <c r="B5298" i="12"/>
  <c r="A5298" i="12"/>
  <c r="E5297" i="12"/>
  <c r="D5297" i="12"/>
  <c r="C5297" i="12"/>
  <c r="B5297" i="12"/>
  <c r="A5297" i="12"/>
  <c r="E5296" i="12"/>
  <c r="D5296" i="12"/>
  <c r="C5296" i="12"/>
  <c r="B5296" i="12"/>
  <c r="A5296" i="12"/>
  <c r="E5295" i="12"/>
  <c r="D5295" i="12"/>
  <c r="C5295" i="12"/>
  <c r="B5295" i="12"/>
  <c r="A5295" i="12"/>
  <c r="E5294" i="12"/>
  <c r="D5294" i="12"/>
  <c r="C5294" i="12"/>
  <c r="B5294" i="12"/>
  <c r="A5294" i="12"/>
  <c r="E5293" i="12"/>
  <c r="D5293" i="12"/>
  <c r="C5293" i="12"/>
  <c r="B5293" i="12"/>
  <c r="A5293" i="12"/>
  <c r="E5292" i="12"/>
  <c r="D5292" i="12"/>
  <c r="C5292" i="12"/>
  <c r="B5292" i="12"/>
  <c r="A5292" i="12"/>
  <c r="E5291" i="12"/>
  <c r="D5291" i="12"/>
  <c r="C5291" i="12"/>
  <c r="B5291" i="12"/>
  <c r="A5291" i="12"/>
  <c r="E5290" i="12"/>
  <c r="D5290" i="12"/>
  <c r="C5290" i="12"/>
  <c r="B5290" i="12"/>
  <c r="A5290" i="12"/>
  <c r="E5289" i="12"/>
  <c r="D5289" i="12"/>
  <c r="C5289" i="12"/>
  <c r="B5289" i="12"/>
  <c r="A5289" i="12"/>
  <c r="E5288" i="12"/>
  <c r="D5288" i="12"/>
  <c r="C5288" i="12"/>
  <c r="B5288" i="12"/>
  <c r="A5288" i="12"/>
  <c r="E5287" i="12"/>
  <c r="D5287" i="12"/>
  <c r="C5287" i="12"/>
  <c r="B5287" i="12"/>
  <c r="A5287" i="12"/>
  <c r="E5286" i="12"/>
  <c r="D5286" i="12"/>
  <c r="C5286" i="12"/>
  <c r="B5286" i="12"/>
  <c r="A5286" i="12"/>
  <c r="E5285" i="12"/>
  <c r="D5285" i="12"/>
  <c r="C5285" i="12"/>
  <c r="B5285" i="12"/>
  <c r="A5285" i="12"/>
  <c r="E5284" i="12"/>
  <c r="D5284" i="12"/>
  <c r="C5284" i="12"/>
  <c r="A5284" i="12"/>
  <c r="E5283" i="12"/>
  <c r="D5283" i="12"/>
  <c r="C5283" i="12"/>
  <c r="B5283" i="12"/>
  <c r="A5283" i="12"/>
  <c r="E5282" i="12"/>
  <c r="D5282" i="12"/>
  <c r="C5282" i="12"/>
  <c r="B5282" i="12"/>
  <c r="A5282" i="12"/>
  <c r="E5281" i="12"/>
  <c r="D5281" i="12"/>
  <c r="C5281" i="12"/>
  <c r="B5281" i="12"/>
  <c r="A5281" i="12"/>
  <c r="E5280" i="12"/>
  <c r="D5280" i="12"/>
  <c r="C5280" i="12"/>
  <c r="B5280" i="12"/>
  <c r="A5280" i="12"/>
  <c r="E5279" i="12"/>
  <c r="D5279" i="12"/>
  <c r="C5279" i="12"/>
  <c r="B5279" i="12"/>
  <c r="A5279" i="12"/>
  <c r="E5278" i="12"/>
  <c r="D5278" i="12"/>
  <c r="C5278" i="12"/>
  <c r="B5278" i="12"/>
  <c r="A5278" i="12"/>
  <c r="E5277" i="12"/>
  <c r="D5277" i="12"/>
  <c r="C5277" i="12"/>
  <c r="B5277" i="12"/>
  <c r="A5277" i="12"/>
  <c r="E5276" i="12"/>
  <c r="D5276" i="12"/>
  <c r="C5276" i="12"/>
  <c r="B5276" i="12"/>
  <c r="A5276" i="12"/>
  <c r="E5275" i="12"/>
  <c r="D5275" i="12"/>
  <c r="C5275" i="12"/>
  <c r="B5275" i="12"/>
  <c r="A5275" i="12"/>
  <c r="G5274" i="12"/>
  <c r="E5274" i="12"/>
  <c r="D5274" i="12"/>
  <c r="C5274" i="12"/>
  <c r="B5274" i="12"/>
  <c r="A5274" i="12"/>
  <c r="E5273" i="12"/>
  <c r="D5273" i="12"/>
  <c r="C5273" i="12"/>
  <c r="B5273" i="12"/>
  <c r="A5273" i="12"/>
  <c r="E5272" i="12"/>
  <c r="D5272" i="12"/>
  <c r="C5272" i="12"/>
  <c r="B5272" i="12"/>
  <c r="A5272" i="12"/>
  <c r="E5271" i="12"/>
  <c r="D5271" i="12"/>
  <c r="C5271" i="12"/>
  <c r="B5271" i="12"/>
  <c r="A5271" i="12"/>
  <c r="E5270" i="12"/>
  <c r="D5270" i="12"/>
  <c r="C5270" i="12"/>
  <c r="B5270" i="12"/>
  <c r="A5270" i="12"/>
  <c r="E5269" i="12"/>
  <c r="D5269" i="12"/>
  <c r="C5269" i="12"/>
  <c r="B5269" i="12"/>
  <c r="A5269" i="12"/>
  <c r="E5268" i="12"/>
  <c r="D5268" i="12"/>
  <c r="C5268" i="12"/>
  <c r="B5268" i="12"/>
  <c r="A5268" i="12"/>
  <c r="E5267" i="12"/>
  <c r="D5267" i="12"/>
  <c r="C5267" i="12"/>
  <c r="B5267" i="12"/>
  <c r="A5267" i="12"/>
  <c r="E5266" i="12"/>
  <c r="D5266" i="12"/>
  <c r="C5266" i="12"/>
  <c r="B5266" i="12"/>
  <c r="A5266" i="12"/>
  <c r="E5265" i="12"/>
  <c r="D5265" i="12"/>
  <c r="C5265" i="12"/>
  <c r="B5265" i="12"/>
  <c r="A5265" i="12"/>
  <c r="E5264" i="12"/>
  <c r="D5264" i="12"/>
  <c r="C5264" i="12"/>
  <c r="B5264" i="12"/>
  <c r="A5264" i="12"/>
  <c r="E5263" i="12"/>
  <c r="D5263" i="12"/>
  <c r="C5263" i="12"/>
  <c r="B5263" i="12"/>
  <c r="A5263" i="12"/>
  <c r="E5262" i="12"/>
  <c r="D5262" i="12"/>
  <c r="C5262" i="12"/>
  <c r="B5262" i="12"/>
  <c r="A5262" i="12"/>
  <c r="E5261" i="12"/>
  <c r="D5261" i="12"/>
  <c r="C5261" i="12"/>
  <c r="B5261" i="12"/>
  <c r="A5261" i="12"/>
  <c r="E5260" i="12"/>
  <c r="D5260" i="12"/>
  <c r="C5260" i="12"/>
  <c r="B5260" i="12"/>
  <c r="A5260" i="12"/>
  <c r="E5259" i="12"/>
  <c r="D5259" i="12"/>
  <c r="C5259" i="12"/>
  <c r="B5259" i="12"/>
  <c r="A5259" i="12"/>
  <c r="E5258" i="12"/>
  <c r="D5258" i="12"/>
  <c r="C5258" i="12"/>
  <c r="B5258" i="12"/>
  <c r="A5258" i="12"/>
  <c r="E5257" i="12"/>
  <c r="D5257" i="12"/>
  <c r="C5257" i="12"/>
  <c r="B5257" i="12"/>
  <c r="A5257" i="12"/>
  <c r="E5256" i="12"/>
  <c r="D5256" i="12"/>
  <c r="C5256" i="12"/>
  <c r="B5256" i="12"/>
  <c r="A5256" i="12"/>
  <c r="E5255" i="12"/>
  <c r="D5255" i="12"/>
  <c r="C5255" i="12"/>
  <c r="B5255" i="12"/>
  <c r="A5255" i="12"/>
  <c r="E5254" i="12"/>
  <c r="D5254" i="12"/>
  <c r="C5254" i="12"/>
  <c r="B5254" i="12"/>
  <c r="A5254" i="12"/>
  <c r="E5253" i="12"/>
  <c r="D5253" i="12"/>
  <c r="C5253" i="12"/>
  <c r="B5253" i="12"/>
  <c r="A5253" i="12"/>
  <c r="E5252" i="12"/>
  <c r="D5252" i="12"/>
  <c r="C5252" i="12"/>
  <c r="B5252" i="12"/>
  <c r="A5252" i="12"/>
  <c r="E5251" i="12"/>
  <c r="D5251" i="12"/>
  <c r="C5251" i="12"/>
  <c r="B5251" i="12"/>
  <c r="A5251" i="12"/>
  <c r="E5250" i="12"/>
  <c r="D5250" i="12"/>
  <c r="C5250" i="12"/>
  <c r="B5250" i="12"/>
  <c r="A5250" i="12"/>
  <c r="G5249" i="12"/>
  <c r="E5249" i="12"/>
  <c r="D5249" i="12"/>
  <c r="C5249" i="12"/>
  <c r="B5249" i="12"/>
  <c r="A5249" i="12"/>
  <c r="E5248" i="12"/>
  <c r="D5248" i="12"/>
  <c r="C5248" i="12"/>
  <c r="B5248" i="12"/>
  <c r="A5248" i="12"/>
  <c r="E5247" i="12"/>
  <c r="D5247" i="12"/>
  <c r="C5247" i="12"/>
  <c r="B5247" i="12"/>
  <c r="A5247" i="12"/>
  <c r="E5246" i="12"/>
  <c r="D5246" i="12"/>
  <c r="C5246" i="12"/>
  <c r="B5246" i="12"/>
  <c r="A5246" i="12"/>
  <c r="G5245" i="12"/>
  <c r="E5245" i="12"/>
  <c r="D5245" i="12"/>
  <c r="C5245" i="12"/>
  <c r="B5245" i="12"/>
  <c r="A5245" i="12"/>
  <c r="E5244" i="12"/>
  <c r="D5244" i="12"/>
  <c r="C5244" i="12"/>
  <c r="B5244" i="12"/>
  <c r="A5244" i="12"/>
  <c r="D5243" i="12"/>
  <c r="C5243" i="12"/>
  <c r="B5243" i="12"/>
  <c r="A5243" i="12"/>
  <c r="G5242" i="12"/>
  <c r="E5242" i="12"/>
  <c r="D5242" i="12"/>
  <c r="C5242" i="12"/>
  <c r="B5242" i="12"/>
  <c r="A5242" i="12"/>
  <c r="E5241" i="12"/>
  <c r="D5241" i="12"/>
  <c r="C5241" i="12"/>
  <c r="B5241" i="12"/>
  <c r="A5241" i="12"/>
  <c r="E5240" i="12"/>
  <c r="D5240" i="12"/>
  <c r="C5240" i="12"/>
  <c r="B5240" i="12"/>
  <c r="A5240" i="12"/>
  <c r="E5239" i="12"/>
  <c r="D5239" i="12"/>
  <c r="C5239" i="12"/>
  <c r="B5239" i="12"/>
  <c r="A5239" i="12"/>
  <c r="E5238" i="12"/>
  <c r="D5238" i="12"/>
  <c r="C5238" i="12"/>
  <c r="B5238" i="12"/>
  <c r="A5238" i="12"/>
  <c r="D5237" i="12"/>
  <c r="C5237" i="12"/>
  <c r="B5237" i="12"/>
  <c r="A5237" i="12"/>
  <c r="E5236" i="12"/>
  <c r="D5236" i="12"/>
  <c r="C5236" i="12"/>
  <c r="B5236" i="12"/>
  <c r="A5236" i="12"/>
  <c r="G5235" i="12"/>
  <c r="E5235" i="12"/>
  <c r="D5235" i="12"/>
  <c r="C5235" i="12"/>
  <c r="B5235" i="12"/>
  <c r="A5235" i="12"/>
  <c r="E5234" i="12"/>
  <c r="D5234" i="12"/>
  <c r="C5234" i="12"/>
  <c r="B5234" i="12"/>
  <c r="A5234" i="12"/>
  <c r="E5233" i="12"/>
  <c r="D5233" i="12"/>
  <c r="C5233" i="12"/>
  <c r="B5233" i="12"/>
  <c r="A5233" i="12"/>
  <c r="G5232" i="12"/>
  <c r="E5232" i="12"/>
  <c r="D5232" i="12"/>
  <c r="C5232" i="12"/>
  <c r="B5232" i="12"/>
  <c r="A5232" i="12"/>
  <c r="E5231" i="12"/>
  <c r="D5231" i="12"/>
  <c r="C5231" i="12"/>
  <c r="B5231" i="12"/>
  <c r="A5231" i="12"/>
  <c r="E5230" i="12"/>
  <c r="D5230" i="12"/>
  <c r="C5230" i="12"/>
  <c r="B5230" i="12"/>
  <c r="A5230" i="12"/>
  <c r="E5229" i="12"/>
  <c r="D5229" i="12"/>
  <c r="C5229" i="12"/>
  <c r="B5229" i="12"/>
  <c r="A5229" i="12"/>
  <c r="E5228" i="12"/>
  <c r="D5228" i="12"/>
  <c r="C5228" i="12"/>
  <c r="B5228" i="12"/>
  <c r="A5228" i="12"/>
  <c r="E5227" i="12"/>
  <c r="D5227" i="12"/>
  <c r="C5227" i="12"/>
  <c r="B5227" i="12"/>
  <c r="A5227" i="12"/>
  <c r="G5226" i="12"/>
  <c r="E5226" i="12"/>
  <c r="D5226" i="12"/>
  <c r="C5226" i="12"/>
  <c r="B5226" i="12"/>
  <c r="A5226" i="12"/>
  <c r="E5225" i="12"/>
  <c r="D5225" i="12"/>
  <c r="C5225" i="12"/>
  <c r="B5225" i="12"/>
  <c r="A5225" i="12"/>
  <c r="E5224" i="12"/>
  <c r="D5224" i="12"/>
  <c r="C5224" i="12"/>
  <c r="B5224" i="12"/>
  <c r="A5224" i="12"/>
  <c r="E5223" i="12"/>
  <c r="D5223" i="12"/>
  <c r="C5223" i="12"/>
  <c r="B5223" i="12"/>
  <c r="A5223" i="12"/>
  <c r="G5222" i="12"/>
  <c r="E5222" i="12"/>
  <c r="D5222" i="12"/>
  <c r="C5222" i="12"/>
  <c r="B5222" i="12"/>
  <c r="A5222" i="12"/>
  <c r="G5221" i="12"/>
  <c r="E5221" i="12"/>
  <c r="D5221" i="12"/>
  <c r="C5221" i="12"/>
  <c r="B5221" i="12"/>
  <c r="A5221" i="12"/>
  <c r="E5220" i="12"/>
  <c r="D5220" i="12"/>
  <c r="C5220" i="12"/>
  <c r="B5220" i="12"/>
  <c r="A5220" i="12"/>
  <c r="G5219" i="12"/>
  <c r="E5219" i="12"/>
  <c r="D5219" i="12"/>
  <c r="C5219" i="12"/>
  <c r="B5219" i="12"/>
  <c r="A5219" i="12"/>
  <c r="G5218" i="12"/>
  <c r="E5218" i="12"/>
  <c r="D5218" i="12"/>
  <c r="C5218" i="12"/>
  <c r="B5218" i="12"/>
  <c r="A5218" i="12"/>
  <c r="G5217" i="12"/>
  <c r="E5217" i="12"/>
  <c r="D5217" i="12"/>
  <c r="C5217" i="12"/>
  <c r="B5217" i="12"/>
  <c r="A5217" i="12"/>
  <c r="G5216" i="12"/>
  <c r="E5216" i="12"/>
  <c r="D5216" i="12"/>
  <c r="C5216" i="12"/>
  <c r="B5216" i="12"/>
  <c r="A5216" i="12"/>
  <c r="E5215" i="12"/>
  <c r="D5215" i="12"/>
  <c r="C5215" i="12"/>
  <c r="B5215" i="12"/>
  <c r="A5215" i="12"/>
  <c r="G5214" i="12"/>
  <c r="E5214" i="12"/>
  <c r="D5214" i="12"/>
  <c r="C5214" i="12"/>
  <c r="B5214" i="12"/>
  <c r="A5214" i="12"/>
  <c r="E5213" i="12"/>
  <c r="D5213" i="12"/>
  <c r="C5213" i="12"/>
  <c r="B5213" i="12"/>
  <c r="A5213" i="12"/>
  <c r="E5212" i="12"/>
  <c r="D5212" i="12"/>
  <c r="C5212" i="12"/>
  <c r="B5212" i="12"/>
  <c r="A5212" i="12"/>
  <c r="G5211" i="12"/>
  <c r="E5211" i="12"/>
  <c r="D5211" i="12"/>
  <c r="C5211" i="12"/>
  <c r="B5211" i="12"/>
  <c r="A5211" i="12"/>
  <c r="E5210" i="12"/>
  <c r="D5210" i="12"/>
  <c r="C5210" i="12"/>
  <c r="B5210" i="12"/>
  <c r="A5210" i="12"/>
  <c r="G5209" i="12"/>
  <c r="E5209" i="12"/>
  <c r="D5209" i="12"/>
  <c r="C5209" i="12"/>
  <c r="B5209" i="12"/>
  <c r="A5209" i="12"/>
  <c r="G5208" i="12"/>
  <c r="E5208" i="12"/>
  <c r="D5208" i="12"/>
  <c r="C5208" i="12"/>
  <c r="B5208" i="12"/>
  <c r="A5208" i="12"/>
  <c r="G5207" i="12"/>
  <c r="E5207" i="12"/>
  <c r="D5207" i="12"/>
  <c r="C5207" i="12"/>
  <c r="B5207" i="12"/>
  <c r="A5207" i="12"/>
  <c r="E5206" i="12"/>
  <c r="D5206" i="12"/>
  <c r="C5206" i="12"/>
  <c r="B5206" i="12"/>
  <c r="A5206" i="12"/>
  <c r="G5205" i="12"/>
  <c r="E5205" i="12"/>
  <c r="D5205" i="12"/>
  <c r="C5205" i="12"/>
  <c r="B5205" i="12"/>
  <c r="A5205" i="12"/>
  <c r="G5204" i="12"/>
  <c r="E5204" i="12"/>
  <c r="D5204" i="12"/>
  <c r="C5204" i="12"/>
  <c r="B5204" i="12"/>
  <c r="A5204" i="12"/>
  <c r="G5203" i="12"/>
  <c r="E5203" i="12"/>
  <c r="D5203" i="12"/>
  <c r="C5203" i="12"/>
  <c r="B5203" i="12"/>
  <c r="A5203" i="12"/>
  <c r="E5202" i="12"/>
  <c r="D5202" i="12"/>
  <c r="C5202" i="12"/>
  <c r="B5202" i="12"/>
  <c r="A5202" i="12"/>
  <c r="E5201" i="12"/>
  <c r="D5201" i="12"/>
  <c r="C5201" i="12"/>
  <c r="B5201" i="12"/>
  <c r="A5201" i="12"/>
  <c r="G5200" i="12"/>
  <c r="E5200" i="12"/>
  <c r="D5200" i="12"/>
  <c r="C5200" i="12"/>
  <c r="B5200" i="12"/>
  <c r="A5200" i="12"/>
  <c r="G5199" i="12"/>
  <c r="E5199" i="12"/>
  <c r="D5199" i="12"/>
  <c r="C5199" i="12"/>
  <c r="B5199" i="12"/>
  <c r="A5199" i="12"/>
  <c r="G5198" i="12"/>
  <c r="E5198" i="12"/>
  <c r="D5198" i="12"/>
  <c r="C5198" i="12"/>
  <c r="B5198" i="12"/>
  <c r="A5198" i="12"/>
  <c r="G5197" i="12"/>
  <c r="E5197" i="12"/>
  <c r="D5197" i="12"/>
  <c r="C5197" i="12"/>
  <c r="B5197" i="12"/>
  <c r="A5197" i="12"/>
  <c r="E5196" i="12"/>
  <c r="D5196" i="12"/>
  <c r="C5196" i="12"/>
  <c r="B5196" i="12"/>
  <c r="A5196" i="12"/>
  <c r="E5195" i="12"/>
  <c r="D5195" i="12"/>
  <c r="C5195" i="12"/>
  <c r="B5195" i="12"/>
  <c r="A5195" i="12"/>
  <c r="G5194" i="12"/>
  <c r="E5194" i="12"/>
  <c r="D5194" i="12"/>
  <c r="C5194" i="12"/>
  <c r="B5194" i="12"/>
  <c r="A5194" i="12"/>
  <c r="G5193" i="12"/>
  <c r="E5193" i="12"/>
  <c r="D5193" i="12"/>
  <c r="C5193" i="12"/>
  <c r="B5193" i="12"/>
  <c r="A5193" i="12"/>
  <c r="G5192" i="12"/>
  <c r="E5192" i="12"/>
  <c r="D5192" i="12"/>
  <c r="C5192" i="12"/>
  <c r="B5192" i="12"/>
  <c r="A5192" i="12"/>
  <c r="G5191" i="12"/>
  <c r="E5191" i="12"/>
  <c r="D5191" i="12"/>
  <c r="C5191" i="12"/>
  <c r="B5191" i="12"/>
  <c r="A5191" i="12"/>
  <c r="G5190" i="12"/>
  <c r="E5190" i="12"/>
  <c r="D5190" i="12"/>
  <c r="C5190" i="12"/>
  <c r="B5190" i="12"/>
  <c r="A5190" i="12"/>
  <c r="G5189" i="12"/>
  <c r="E5189" i="12"/>
  <c r="D5189" i="12"/>
  <c r="C5189" i="12"/>
  <c r="B5189" i="12"/>
  <c r="A5189" i="12"/>
  <c r="G5188" i="12"/>
  <c r="E5188" i="12"/>
  <c r="D5188" i="12"/>
  <c r="C5188" i="12"/>
  <c r="B5188" i="12"/>
  <c r="A5188" i="12"/>
  <c r="G5187" i="12"/>
  <c r="E5187" i="12"/>
  <c r="D5187" i="12"/>
  <c r="C5187" i="12"/>
  <c r="B5187" i="12"/>
  <c r="A5187" i="12"/>
  <c r="G5186" i="12"/>
  <c r="E5186" i="12"/>
  <c r="D5186" i="12"/>
  <c r="C5186" i="12"/>
  <c r="B5186" i="12"/>
  <c r="A5186" i="12"/>
  <c r="E5185" i="12"/>
  <c r="D5185" i="12"/>
  <c r="C5185" i="12"/>
  <c r="B5185" i="12"/>
  <c r="A5185" i="12"/>
  <c r="G5184" i="12"/>
  <c r="E5184" i="12"/>
  <c r="D5184" i="12"/>
  <c r="C5184" i="12"/>
  <c r="B5184" i="12"/>
  <c r="A5184" i="12"/>
  <c r="G5183" i="12"/>
  <c r="E5183" i="12"/>
  <c r="D5183" i="12"/>
  <c r="C5183" i="12"/>
  <c r="B5183" i="12"/>
  <c r="A5183" i="12"/>
  <c r="E5182" i="12"/>
  <c r="D5182" i="12"/>
  <c r="C5182" i="12"/>
  <c r="B5182" i="12"/>
  <c r="A5182" i="12"/>
  <c r="G5181" i="12"/>
  <c r="E5181" i="12"/>
  <c r="D5181" i="12"/>
  <c r="C5181" i="12"/>
  <c r="B5181" i="12"/>
  <c r="A5181" i="12"/>
  <c r="G5180" i="12"/>
  <c r="E5180" i="12"/>
  <c r="D5180" i="12"/>
  <c r="C5180" i="12"/>
  <c r="B5180" i="12"/>
  <c r="A5180" i="12"/>
  <c r="G5179" i="12"/>
  <c r="E5179" i="12"/>
  <c r="D5179" i="12"/>
  <c r="C5179" i="12"/>
  <c r="B5179" i="12"/>
  <c r="A5179" i="12"/>
  <c r="G5178" i="12"/>
  <c r="E5178" i="12"/>
  <c r="D5178" i="12"/>
  <c r="C5178" i="12"/>
  <c r="B5178" i="12"/>
  <c r="A5178" i="12"/>
  <c r="G5177" i="12"/>
  <c r="E5177" i="12"/>
  <c r="D5177" i="12"/>
  <c r="C5177" i="12"/>
  <c r="B5177" i="12"/>
  <c r="A5177" i="12"/>
  <c r="G5176" i="12"/>
  <c r="E5176" i="12"/>
  <c r="D5176" i="12"/>
  <c r="C5176" i="12"/>
  <c r="B5176" i="12"/>
  <c r="A5176" i="12"/>
  <c r="G5175" i="12"/>
  <c r="E5175" i="12"/>
  <c r="D5175" i="12"/>
  <c r="C5175" i="12"/>
  <c r="B5175" i="12"/>
  <c r="A5175" i="12"/>
  <c r="G5174" i="12"/>
  <c r="E5174" i="12"/>
  <c r="D5174" i="12"/>
  <c r="C5174" i="12"/>
  <c r="B5174" i="12"/>
  <c r="A5174" i="12"/>
  <c r="G5173" i="12"/>
  <c r="E5173" i="12"/>
  <c r="D5173" i="12"/>
  <c r="C5173" i="12"/>
  <c r="B5173" i="12"/>
  <c r="A5173" i="12"/>
  <c r="G5172" i="12"/>
  <c r="E5172" i="12"/>
  <c r="D5172" i="12"/>
  <c r="C5172" i="12"/>
  <c r="B5172" i="12"/>
  <c r="A5172" i="12"/>
  <c r="G5171" i="12"/>
  <c r="E5171" i="12"/>
  <c r="D5171" i="12"/>
  <c r="C5171" i="12"/>
  <c r="B5171" i="12"/>
  <c r="A5171" i="12"/>
  <c r="G5170" i="12"/>
  <c r="E5170" i="12"/>
  <c r="D5170" i="12"/>
  <c r="C5170" i="12"/>
  <c r="B5170" i="12"/>
  <c r="A5170" i="12"/>
  <c r="G5169" i="12"/>
  <c r="E5169" i="12"/>
  <c r="D5169" i="12"/>
  <c r="C5169" i="12"/>
  <c r="B5169" i="12"/>
  <c r="A5169" i="12"/>
  <c r="F5168" i="12"/>
  <c r="E5168" i="12"/>
  <c r="D5168" i="12"/>
  <c r="C5168" i="12"/>
  <c r="B5168" i="12"/>
  <c r="A5168" i="12"/>
  <c r="G5167" i="12"/>
  <c r="F5167" i="12"/>
  <c r="E5167" i="12"/>
  <c r="D5167" i="12"/>
  <c r="C5167" i="12"/>
  <c r="B5167" i="12"/>
  <c r="A5167" i="12"/>
  <c r="G5166" i="12"/>
  <c r="E5166" i="12"/>
  <c r="D5166" i="12"/>
  <c r="C5166" i="12"/>
  <c r="B5166" i="12"/>
  <c r="A5166" i="12"/>
  <c r="E5165" i="12"/>
  <c r="D5165" i="12"/>
  <c r="C5165" i="12"/>
  <c r="B5165" i="12"/>
  <c r="A5165" i="12"/>
  <c r="E5164" i="12"/>
  <c r="D5164" i="12"/>
  <c r="C5164" i="12"/>
  <c r="B5164" i="12"/>
  <c r="A5164" i="12"/>
  <c r="E5163" i="12"/>
  <c r="D5163" i="12"/>
  <c r="C5163" i="12"/>
  <c r="B5163" i="12"/>
  <c r="A5163" i="12"/>
  <c r="G5162" i="12"/>
  <c r="E5162" i="12"/>
  <c r="D5162" i="12"/>
  <c r="C5162" i="12"/>
  <c r="B5162" i="12"/>
  <c r="A5162" i="12"/>
  <c r="G5161" i="12"/>
  <c r="E5161" i="12"/>
  <c r="D5161" i="12"/>
  <c r="C5161" i="12"/>
  <c r="B5161" i="12"/>
  <c r="A5161" i="12"/>
  <c r="G5160" i="12"/>
  <c r="E5160" i="12"/>
  <c r="D5160" i="12"/>
  <c r="C5160" i="12"/>
  <c r="B5160" i="12"/>
  <c r="A5160" i="12"/>
  <c r="G5159" i="12"/>
  <c r="E5159" i="12"/>
  <c r="D5159" i="12"/>
  <c r="C5159" i="12"/>
  <c r="B5159" i="12"/>
  <c r="A5159" i="12"/>
  <c r="G5158" i="12"/>
  <c r="E5158" i="12"/>
  <c r="D5158" i="12"/>
  <c r="C5158" i="12"/>
  <c r="B5158" i="12"/>
  <c r="A5158" i="12"/>
  <c r="E5157" i="12"/>
  <c r="D5157" i="12"/>
  <c r="C5157" i="12"/>
  <c r="B5157" i="12"/>
  <c r="A5157" i="12"/>
  <c r="G5156" i="12"/>
  <c r="E5156" i="12"/>
  <c r="D5156" i="12"/>
  <c r="C5156" i="12"/>
  <c r="B5156" i="12"/>
  <c r="A5156" i="12"/>
  <c r="G5155" i="12"/>
  <c r="E5155" i="12"/>
  <c r="D5155" i="12"/>
  <c r="C5155" i="12"/>
  <c r="B5155" i="12"/>
  <c r="A5155" i="12"/>
  <c r="E5154" i="12"/>
  <c r="D5154" i="12"/>
  <c r="C5154" i="12"/>
  <c r="B5154" i="12"/>
  <c r="A5154" i="12"/>
  <c r="G5153" i="12"/>
  <c r="E5153" i="12"/>
  <c r="D5153" i="12"/>
  <c r="C5153" i="12"/>
  <c r="B5153" i="12"/>
  <c r="A5153" i="12"/>
  <c r="E5152" i="12"/>
  <c r="D5152" i="12"/>
  <c r="C5152" i="12"/>
  <c r="B5152" i="12"/>
  <c r="A5152" i="12"/>
  <c r="E5151" i="12"/>
  <c r="D5151" i="12"/>
  <c r="C5151" i="12"/>
  <c r="B5151" i="12"/>
  <c r="A5151" i="12"/>
  <c r="E5150" i="12"/>
  <c r="D5150" i="12"/>
  <c r="C5150" i="12"/>
  <c r="B5150" i="12"/>
  <c r="A5150" i="12"/>
  <c r="G5149" i="12"/>
  <c r="E5149" i="12"/>
  <c r="D5149" i="12"/>
  <c r="C5149" i="12"/>
  <c r="B5149" i="12"/>
  <c r="A5149" i="12"/>
  <c r="E5148" i="12"/>
  <c r="D5148" i="12"/>
  <c r="C5148" i="12"/>
  <c r="B5148" i="12"/>
  <c r="A5148" i="12"/>
  <c r="E5147" i="12"/>
  <c r="D5147" i="12"/>
  <c r="C5147" i="12"/>
  <c r="B5147" i="12"/>
  <c r="A5147" i="12"/>
  <c r="E5146" i="12"/>
  <c r="D5146" i="12"/>
  <c r="C5146" i="12"/>
  <c r="B5146" i="12"/>
  <c r="A5146" i="12"/>
  <c r="E5145" i="12"/>
  <c r="D5145" i="12"/>
  <c r="C5145" i="12"/>
  <c r="B5145" i="12"/>
  <c r="A5145" i="12"/>
  <c r="G5144" i="12"/>
  <c r="F5144" i="12"/>
  <c r="E5144" i="12"/>
  <c r="D5144" i="12"/>
  <c r="C5144" i="12"/>
  <c r="B5144" i="12"/>
  <c r="A5144" i="12"/>
  <c r="E5143" i="12"/>
  <c r="D5143" i="12"/>
  <c r="C5143" i="12"/>
  <c r="B5143" i="12"/>
  <c r="A5143" i="12"/>
  <c r="E5142" i="12"/>
  <c r="D5142" i="12"/>
  <c r="C5142" i="12"/>
  <c r="B5142" i="12"/>
  <c r="A5142" i="12"/>
  <c r="E5141" i="12"/>
  <c r="D5141" i="12"/>
  <c r="C5141" i="12"/>
  <c r="B5141" i="12"/>
  <c r="A5141" i="12"/>
  <c r="E5140" i="12"/>
  <c r="D5140" i="12"/>
  <c r="C5140" i="12"/>
  <c r="B5140" i="12"/>
  <c r="A5140" i="12"/>
  <c r="E5139" i="12"/>
  <c r="D5139" i="12"/>
  <c r="C5139" i="12"/>
  <c r="B5139" i="12"/>
  <c r="A5139" i="12"/>
  <c r="G5138" i="12"/>
  <c r="E5138" i="12"/>
  <c r="D5138" i="12"/>
  <c r="C5138" i="12"/>
  <c r="B5138" i="12"/>
  <c r="A5138" i="12"/>
  <c r="G5137" i="12"/>
  <c r="E5137" i="12"/>
  <c r="D5137" i="12"/>
  <c r="C5137" i="12"/>
  <c r="B5137" i="12"/>
  <c r="A5137" i="12"/>
  <c r="F5136" i="12"/>
  <c r="E5136" i="12"/>
  <c r="D5136" i="12"/>
  <c r="C5136" i="12"/>
  <c r="B5136" i="12"/>
  <c r="A5136" i="12"/>
  <c r="E5135" i="12"/>
  <c r="D5135" i="12"/>
  <c r="C5135" i="12"/>
  <c r="B5135" i="12"/>
  <c r="A5135" i="12"/>
  <c r="G5134" i="12"/>
  <c r="E5134" i="12"/>
  <c r="D5134" i="12"/>
  <c r="C5134" i="12"/>
  <c r="B5134" i="12"/>
  <c r="A5134" i="12"/>
  <c r="E5133" i="12"/>
  <c r="D5133" i="12"/>
  <c r="C5133" i="12"/>
  <c r="B5133" i="12"/>
  <c r="A5133" i="12"/>
  <c r="E5132" i="12"/>
  <c r="D5132" i="12"/>
  <c r="C5132" i="12"/>
  <c r="B5132" i="12"/>
  <c r="A5132" i="12"/>
  <c r="E5131" i="12"/>
  <c r="D5131" i="12"/>
  <c r="C5131" i="12"/>
  <c r="B5131" i="12"/>
  <c r="A5131" i="12"/>
  <c r="E5130" i="12"/>
  <c r="D5130" i="12"/>
  <c r="C5130" i="12"/>
  <c r="B5130" i="12"/>
  <c r="A5130" i="12"/>
  <c r="G5129" i="12"/>
  <c r="E5129" i="12"/>
  <c r="D5129" i="12"/>
  <c r="C5129" i="12"/>
  <c r="B5129" i="12"/>
  <c r="A5129" i="12"/>
  <c r="G5128" i="12"/>
  <c r="E5128" i="12"/>
  <c r="D5128" i="12"/>
  <c r="C5128" i="12"/>
  <c r="B5128" i="12"/>
  <c r="A5128" i="12"/>
  <c r="E5127" i="12"/>
  <c r="D5127" i="12"/>
  <c r="C5127" i="12"/>
  <c r="B5127" i="12"/>
  <c r="A5127" i="12"/>
  <c r="G5126" i="12"/>
  <c r="E5126" i="12"/>
  <c r="D5126" i="12"/>
  <c r="C5126" i="12"/>
  <c r="B5126" i="12"/>
  <c r="A5126" i="12"/>
  <c r="G5125" i="12"/>
  <c r="F5125" i="12"/>
  <c r="E5125" i="12"/>
  <c r="D5125" i="12"/>
  <c r="C5125" i="12"/>
  <c r="B5125" i="12"/>
  <c r="A5125" i="12"/>
  <c r="G5124" i="12"/>
  <c r="E5124" i="12"/>
  <c r="D5124" i="12"/>
  <c r="C5124" i="12"/>
  <c r="B5124" i="12"/>
  <c r="A5124" i="12"/>
  <c r="G5123" i="12"/>
  <c r="E5123" i="12"/>
  <c r="D5123" i="12"/>
  <c r="C5123" i="12"/>
  <c r="B5123" i="12"/>
  <c r="A5123" i="12"/>
  <c r="G5122" i="12"/>
  <c r="E5122" i="12"/>
  <c r="D5122" i="12"/>
  <c r="C5122" i="12"/>
  <c r="B5122" i="12"/>
  <c r="A5122" i="12"/>
  <c r="G5121" i="12"/>
  <c r="E5121" i="12"/>
  <c r="D5121" i="12"/>
  <c r="C5121" i="12"/>
  <c r="B5121" i="12"/>
  <c r="A5121" i="12"/>
  <c r="E5120" i="12"/>
  <c r="D5120" i="12"/>
  <c r="C5120" i="12"/>
  <c r="B5120" i="12"/>
  <c r="A5120" i="12"/>
  <c r="E5119" i="12"/>
  <c r="D5119" i="12"/>
  <c r="C5119" i="12"/>
  <c r="B5119" i="12"/>
  <c r="A5119" i="12"/>
  <c r="E5118" i="12"/>
  <c r="D5118" i="12"/>
  <c r="C5118" i="12"/>
  <c r="B5118" i="12"/>
  <c r="A5118" i="12"/>
  <c r="E5117" i="12"/>
  <c r="D5117" i="12"/>
  <c r="C5117" i="12"/>
  <c r="B5117" i="12"/>
  <c r="A5117" i="12"/>
  <c r="E5116" i="12"/>
  <c r="D5116" i="12"/>
  <c r="C5116" i="12"/>
  <c r="B5116" i="12"/>
  <c r="A5116" i="12"/>
  <c r="E5115" i="12"/>
  <c r="D5115" i="12"/>
  <c r="C5115" i="12"/>
  <c r="B5115" i="12"/>
  <c r="A5115" i="12"/>
  <c r="G5114" i="12"/>
  <c r="E5114" i="12"/>
  <c r="D5114" i="12"/>
  <c r="C5114" i="12"/>
  <c r="B5114" i="12"/>
  <c r="A5114" i="12"/>
  <c r="G5113" i="12"/>
  <c r="E5113" i="12"/>
  <c r="D5113" i="12"/>
  <c r="C5113" i="12"/>
  <c r="B5113" i="12"/>
  <c r="A5113" i="12"/>
  <c r="G5112" i="12"/>
  <c r="F5112" i="12"/>
  <c r="E5112" i="12"/>
  <c r="D5112" i="12"/>
  <c r="C5112" i="12"/>
  <c r="B5112" i="12"/>
  <c r="A5112" i="12"/>
  <c r="G5111" i="12"/>
  <c r="E5111" i="12"/>
  <c r="D5111" i="12"/>
  <c r="C5111" i="12"/>
  <c r="B5111" i="12"/>
  <c r="A5111" i="12"/>
  <c r="E5110" i="12"/>
  <c r="D5110" i="12"/>
  <c r="C5110" i="12"/>
  <c r="B5110" i="12"/>
  <c r="A5110" i="12"/>
  <c r="F5109" i="12"/>
  <c r="E5109" i="12"/>
  <c r="D5109" i="12"/>
  <c r="C5109" i="12"/>
  <c r="B5109" i="12"/>
  <c r="A5109" i="12"/>
  <c r="G5108" i="12"/>
  <c r="E5108" i="12"/>
  <c r="D5108" i="12"/>
  <c r="C5108" i="12"/>
  <c r="B5108" i="12"/>
  <c r="A5108" i="12"/>
  <c r="G5107" i="12"/>
  <c r="F5107" i="12"/>
  <c r="E5107" i="12"/>
  <c r="D5107" i="12"/>
  <c r="C5107" i="12"/>
  <c r="B5107" i="12"/>
  <c r="A5107" i="12"/>
  <c r="F5106" i="12"/>
  <c r="E5106" i="12"/>
  <c r="D5106" i="12"/>
  <c r="C5106" i="12"/>
  <c r="B5106" i="12"/>
  <c r="A5106" i="12"/>
  <c r="G5105" i="12"/>
  <c r="E5105" i="12"/>
  <c r="D5105" i="12"/>
  <c r="C5105" i="12"/>
  <c r="B5105" i="12"/>
  <c r="A5105" i="12"/>
  <c r="E5104" i="12"/>
  <c r="D5104" i="12"/>
  <c r="C5104" i="12"/>
  <c r="B5104" i="12"/>
  <c r="A5104" i="12"/>
  <c r="E5103" i="12"/>
  <c r="D5103" i="12"/>
  <c r="C5103" i="12"/>
  <c r="B5103" i="12"/>
  <c r="A5103" i="12"/>
  <c r="E5102" i="12"/>
  <c r="D5102" i="12"/>
  <c r="C5102" i="12"/>
  <c r="B5102" i="12"/>
  <c r="A5102" i="12"/>
  <c r="E5101" i="12"/>
  <c r="D5101" i="12"/>
  <c r="C5101" i="12"/>
  <c r="B5101" i="12"/>
  <c r="A5101" i="12"/>
  <c r="G5100" i="12"/>
  <c r="E5100" i="12"/>
  <c r="D5100" i="12"/>
  <c r="C5100" i="12"/>
  <c r="B5100" i="12"/>
  <c r="A5100" i="12"/>
  <c r="G5099" i="12"/>
  <c r="F5099" i="12"/>
  <c r="E5099" i="12"/>
  <c r="D5099" i="12"/>
  <c r="C5099" i="12"/>
  <c r="B5099" i="12"/>
  <c r="A5099" i="12"/>
  <c r="G5098" i="12"/>
  <c r="F5098" i="12"/>
  <c r="E5098" i="12"/>
  <c r="D5098" i="12"/>
  <c r="C5098" i="12"/>
  <c r="B5098" i="12"/>
  <c r="A5098" i="12"/>
  <c r="G5097" i="12"/>
  <c r="E5097" i="12"/>
  <c r="D5097" i="12"/>
  <c r="C5097" i="12"/>
  <c r="B5097" i="12"/>
  <c r="A5097" i="12"/>
  <c r="G5096" i="12"/>
  <c r="E5096" i="12"/>
  <c r="D5096" i="12"/>
  <c r="C5096" i="12"/>
  <c r="B5096" i="12"/>
  <c r="A5096" i="12"/>
  <c r="G5095" i="12"/>
  <c r="E5095" i="12"/>
  <c r="D5095" i="12"/>
  <c r="C5095" i="12"/>
  <c r="B5095" i="12"/>
  <c r="A5095" i="12"/>
  <c r="G5094" i="12"/>
  <c r="E5094" i="12"/>
  <c r="D5094" i="12"/>
  <c r="C5094" i="12"/>
  <c r="B5094" i="12"/>
  <c r="A5094" i="12"/>
  <c r="G5093" i="12"/>
  <c r="E5093" i="12"/>
  <c r="D5093" i="12"/>
  <c r="C5093" i="12"/>
  <c r="B5093" i="12"/>
  <c r="A5093" i="12"/>
  <c r="G5092" i="12"/>
  <c r="F5092" i="12"/>
  <c r="E5092" i="12"/>
  <c r="D5092" i="12"/>
  <c r="C5092" i="12"/>
  <c r="B5092" i="12"/>
  <c r="A5092" i="12"/>
  <c r="E5091" i="12"/>
  <c r="D5091" i="12"/>
  <c r="C5091" i="12"/>
  <c r="B5091" i="12"/>
  <c r="A5091" i="12"/>
  <c r="G5090" i="12"/>
  <c r="F5090" i="12"/>
  <c r="E5090" i="12"/>
  <c r="D5090" i="12"/>
  <c r="C5090" i="12"/>
  <c r="B5090" i="12"/>
  <c r="A5090" i="12"/>
  <c r="G5089" i="12"/>
  <c r="F5089" i="12"/>
  <c r="E5089" i="12"/>
  <c r="D5089" i="12"/>
  <c r="C5089" i="12"/>
  <c r="B5089" i="12"/>
  <c r="A5089" i="12"/>
  <c r="E5088" i="12"/>
  <c r="D5088" i="12"/>
  <c r="C5088" i="12"/>
  <c r="B5088" i="12"/>
  <c r="A5088" i="12"/>
  <c r="G5087" i="12"/>
  <c r="F5087" i="12"/>
  <c r="E5087" i="12"/>
  <c r="D5087" i="12"/>
  <c r="C5087" i="12"/>
  <c r="B5087" i="12"/>
  <c r="A5087" i="12"/>
  <c r="G5086" i="12"/>
  <c r="F5086" i="12"/>
  <c r="E5086" i="12"/>
  <c r="D5086" i="12"/>
  <c r="C5086" i="12"/>
  <c r="B5086" i="12"/>
  <c r="A5086" i="12"/>
  <c r="G5085" i="12"/>
  <c r="E5085" i="12"/>
  <c r="D5085" i="12"/>
  <c r="C5085" i="12"/>
  <c r="B5085" i="12"/>
  <c r="A5085" i="12"/>
  <c r="G5084" i="12"/>
  <c r="E5084" i="12"/>
  <c r="D5084" i="12"/>
  <c r="C5084" i="12"/>
  <c r="B5084" i="12"/>
  <c r="A5084" i="12"/>
  <c r="G5083" i="12"/>
  <c r="F5083" i="12"/>
  <c r="E5083" i="12"/>
  <c r="D5083" i="12"/>
  <c r="C5083" i="12"/>
  <c r="B5083" i="12"/>
  <c r="A5083" i="12"/>
  <c r="G5082" i="12"/>
  <c r="F5082" i="12"/>
  <c r="E5082" i="12"/>
  <c r="D5082" i="12"/>
  <c r="C5082" i="12"/>
  <c r="B5082" i="12"/>
  <c r="A5082" i="12"/>
  <c r="G5081" i="12"/>
  <c r="F5081" i="12"/>
  <c r="E5081" i="12"/>
  <c r="D5081" i="12"/>
  <c r="C5081" i="12"/>
  <c r="B5081" i="12"/>
  <c r="A5081" i="12"/>
  <c r="G5080" i="12"/>
  <c r="F5080" i="12"/>
  <c r="E5080" i="12"/>
  <c r="D5080" i="12"/>
  <c r="C5080" i="12"/>
  <c r="B5080" i="12"/>
  <c r="A5080" i="12"/>
  <c r="G5079" i="12"/>
  <c r="F5079" i="12"/>
  <c r="E5079" i="12"/>
  <c r="D5079" i="12"/>
  <c r="C5079" i="12"/>
  <c r="B5079" i="12"/>
  <c r="A5079" i="12"/>
  <c r="G5078" i="12"/>
  <c r="F5078" i="12"/>
  <c r="E5078" i="12"/>
  <c r="D5078" i="12"/>
  <c r="C5078" i="12"/>
  <c r="B5078" i="12"/>
  <c r="A5078" i="12"/>
  <c r="G5077" i="12"/>
  <c r="E5077" i="12"/>
  <c r="D5077" i="12"/>
  <c r="C5077" i="12"/>
  <c r="B5077" i="12"/>
  <c r="A5077" i="12"/>
  <c r="G5076" i="12"/>
  <c r="E5076" i="12"/>
  <c r="D5076" i="12"/>
  <c r="C5076" i="12"/>
  <c r="B5076" i="12"/>
  <c r="A5076" i="12"/>
  <c r="G5075" i="12"/>
  <c r="F5075" i="12"/>
  <c r="E5075" i="12"/>
  <c r="D5075" i="12"/>
  <c r="C5075" i="12"/>
  <c r="B5075" i="12"/>
  <c r="A5075" i="12"/>
  <c r="G5074" i="12"/>
  <c r="F5074" i="12"/>
  <c r="E5074" i="12"/>
  <c r="D5074" i="12"/>
  <c r="C5074" i="12"/>
  <c r="B5074" i="12"/>
  <c r="A5074" i="12"/>
  <c r="F5073" i="12"/>
  <c r="E5073" i="12"/>
  <c r="D5073" i="12"/>
  <c r="C5073" i="12"/>
  <c r="B5073" i="12"/>
  <c r="A5073" i="12"/>
  <c r="G5072" i="12"/>
  <c r="F5072" i="12"/>
  <c r="E5072" i="12"/>
  <c r="D5072" i="12"/>
  <c r="C5072" i="12"/>
  <c r="B5072" i="12"/>
  <c r="A5072" i="12"/>
  <c r="E5071" i="12"/>
  <c r="D5071" i="12"/>
  <c r="C5071" i="12"/>
  <c r="B5071" i="12"/>
  <c r="A5071" i="12"/>
  <c r="G5070" i="12"/>
  <c r="F5070" i="12"/>
  <c r="E5070" i="12"/>
  <c r="D5070" i="12"/>
  <c r="C5070" i="12"/>
  <c r="B5070" i="12"/>
  <c r="A5070" i="12"/>
  <c r="G5069" i="12"/>
  <c r="F5069" i="12"/>
  <c r="E5069" i="12"/>
  <c r="D5069" i="12"/>
  <c r="C5069" i="12"/>
  <c r="B5069" i="12"/>
  <c r="A5069" i="12"/>
  <c r="G5068" i="12"/>
  <c r="F5068" i="12"/>
  <c r="E5068" i="12"/>
  <c r="D5068" i="12"/>
  <c r="C5068" i="12"/>
  <c r="B5068" i="12"/>
  <c r="A5068" i="12"/>
  <c r="G5067" i="12"/>
  <c r="F5067" i="12"/>
  <c r="E5067" i="12"/>
  <c r="D5067" i="12"/>
  <c r="C5067" i="12"/>
  <c r="B5067" i="12"/>
  <c r="A5067" i="12"/>
  <c r="G5066" i="12"/>
  <c r="E5066" i="12"/>
  <c r="D5066" i="12"/>
  <c r="C5066" i="12"/>
  <c r="B5066" i="12"/>
  <c r="A5066" i="12"/>
  <c r="G5065" i="12"/>
  <c r="F5065" i="12"/>
  <c r="E5065" i="12"/>
  <c r="D5065" i="12"/>
  <c r="C5065" i="12"/>
  <c r="B5065" i="12"/>
  <c r="A5065" i="12"/>
  <c r="F5064" i="12"/>
  <c r="E5064" i="12"/>
  <c r="D5064" i="12"/>
  <c r="C5064" i="12"/>
  <c r="B5064" i="12"/>
  <c r="A5064" i="12"/>
  <c r="G5063" i="12"/>
  <c r="F5063" i="12"/>
  <c r="E5063" i="12"/>
  <c r="D5063" i="12"/>
  <c r="C5063" i="12"/>
  <c r="B5063" i="12"/>
  <c r="A5063" i="12"/>
  <c r="G5062" i="12"/>
  <c r="F5062" i="12"/>
  <c r="E5062" i="12"/>
  <c r="D5062" i="12"/>
  <c r="C5062" i="12"/>
  <c r="B5062" i="12"/>
  <c r="A5062" i="12"/>
  <c r="G5061" i="12"/>
  <c r="E5061" i="12"/>
  <c r="D5061" i="12"/>
  <c r="C5061" i="12"/>
  <c r="B5061" i="12"/>
  <c r="A5061" i="12"/>
  <c r="G5060" i="12"/>
  <c r="F5060" i="12"/>
  <c r="E5060" i="12"/>
  <c r="D5060" i="12"/>
  <c r="C5060" i="12"/>
  <c r="B5060" i="12"/>
  <c r="A5060" i="12"/>
  <c r="G5059" i="12"/>
  <c r="F5059" i="12"/>
  <c r="E5059" i="12"/>
  <c r="D5059" i="12"/>
  <c r="C5059" i="12"/>
  <c r="B5059" i="12"/>
  <c r="A5059" i="12"/>
  <c r="G5058" i="12"/>
  <c r="F5058" i="12"/>
  <c r="E5058" i="12"/>
  <c r="D5058" i="12"/>
  <c r="C5058" i="12"/>
  <c r="B5058" i="12"/>
  <c r="A5058" i="12"/>
  <c r="G5057" i="12"/>
  <c r="F5057" i="12"/>
  <c r="E5057" i="12"/>
  <c r="D5057" i="12"/>
  <c r="C5057" i="12"/>
  <c r="B5057" i="12"/>
  <c r="A5057" i="12"/>
  <c r="G5056" i="12"/>
  <c r="F5056" i="12"/>
  <c r="E5056" i="12"/>
  <c r="D5056" i="12"/>
  <c r="C5056" i="12"/>
  <c r="B5056" i="12"/>
  <c r="A5056" i="12"/>
  <c r="G5055" i="12"/>
  <c r="F5055" i="12"/>
  <c r="E5055" i="12"/>
  <c r="D5055" i="12"/>
  <c r="C5055" i="12"/>
  <c r="B5055" i="12"/>
  <c r="A5055" i="12"/>
  <c r="G5054" i="12"/>
  <c r="F5054" i="12"/>
  <c r="E5054" i="12"/>
  <c r="D5054" i="12"/>
  <c r="C5054" i="12"/>
  <c r="B5054" i="12"/>
  <c r="A5054" i="12"/>
  <c r="G5053" i="12"/>
  <c r="F5053" i="12"/>
  <c r="E5053" i="12"/>
  <c r="D5053" i="12"/>
  <c r="C5053" i="12"/>
  <c r="B5053" i="12"/>
  <c r="A5053" i="12"/>
  <c r="G5052" i="12"/>
  <c r="F5052" i="12"/>
  <c r="E5052" i="12"/>
  <c r="D5052" i="12"/>
  <c r="C5052" i="12"/>
  <c r="B5052" i="12"/>
  <c r="A5052" i="12"/>
  <c r="G5051" i="12"/>
  <c r="E5051" i="12"/>
  <c r="D5051" i="12"/>
  <c r="C5051" i="12"/>
  <c r="B5051" i="12"/>
  <c r="A5051" i="12"/>
  <c r="G5050" i="12"/>
  <c r="F5050" i="12"/>
  <c r="E5050" i="12"/>
  <c r="D5050" i="12"/>
  <c r="C5050" i="12"/>
  <c r="B5050" i="12"/>
  <c r="A5050" i="12"/>
  <c r="G5049" i="12"/>
  <c r="F5049" i="12"/>
  <c r="E5049" i="12"/>
  <c r="D5049" i="12"/>
  <c r="C5049" i="12"/>
  <c r="B5049" i="12"/>
  <c r="A5049" i="12"/>
  <c r="G5048" i="12"/>
  <c r="F5048" i="12"/>
  <c r="E5048" i="12"/>
  <c r="D5048" i="12"/>
  <c r="C5048" i="12"/>
  <c r="B5048" i="12"/>
  <c r="A5048" i="12"/>
  <c r="G5047" i="12"/>
  <c r="F5047" i="12"/>
  <c r="E5047" i="12"/>
  <c r="D5047" i="12"/>
  <c r="C5047" i="12"/>
  <c r="B5047" i="12"/>
  <c r="A5047" i="12"/>
  <c r="E5046" i="12"/>
  <c r="D5046" i="12"/>
  <c r="C5046" i="12"/>
  <c r="B5046" i="12"/>
  <c r="A5046" i="12"/>
  <c r="E5045" i="12"/>
  <c r="D5045" i="12"/>
  <c r="C5045" i="12"/>
  <c r="B5045" i="12"/>
  <c r="A5045" i="12"/>
  <c r="E5044" i="12"/>
  <c r="D5044" i="12"/>
  <c r="C5044" i="12"/>
  <c r="B5044" i="12"/>
  <c r="A5044" i="12"/>
  <c r="F5043" i="12"/>
  <c r="E5043" i="12"/>
  <c r="D5043" i="12"/>
  <c r="C5043" i="12"/>
  <c r="B5043" i="12"/>
  <c r="A5043" i="12"/>
  <c r="E5042" i="12"/>
  <c r="D5042" i="12"/>
  <c r="C5042" i="12"/>
  <c r="B5042" i="12"/>
  <c r="A5042" i="12"/>
  <c r="E5041" i="12"/>
  <c r="D5041" i="12"/>
  <c r="C5041" i="12"/>
  <c r="B5041" i="12"/>
  <c r="A5041" i="12"/>
  <c r="F5040" i="12"/>
  <c r="E5040" i="12"/>
  <c r="D5040" i="12"/>
  <c r="C5040" i="12"/>
  <c r="B5040" i="12"/>
  <c r="A5040" i="12"/>
  <c r="E5039" i="12"/>
  <c r="D5039" i="12"/>
  <c r="C5039" i="12"/>
  <c r="B5039" i="12"/>
  <c r="A5039" i="12"/>
  <c r="F5038" i="12"/>
  <c r="E5038" i="12"/>
  <c r="D5038" i="12"/>
  <c r="C5038" i="12"/>
  <c r="B5038" i="12"/>
  <c r="A5038" i="12"/>
  <c r="F5037" i="12"/>
  <c r="E5037" i="12"/>
  <c r="D5037" i="12"/>
  <c r="C5037" i="12"/>
  <c r="B5037" i="12"/>
  <c r="A5037" i="12"/>
  <c r="F5036" i="12"/>
  <c r="E5036" i="12"/>
  <c r="D5036" i="12"/>
  <c r="C5036" i="12"/>
  <c r="B5036" i="12"/>
  <c r="A5036" i="12"/>
  <c r="F5035" i="12"/>
  <c r="E5035" i="12"/>
  <c r="D5035" i="12"/>
  <c r="C5035" i="12"/>
  <c r="B5035" i="12"/>
  <c r="A5035" i="12"/>
  <c r="F5034" i="12"/>
  <c r="E5034" i="12"/>
  <c r="D5034" i="12"/>
  <c r="C5034" i="12"/>
  <c r="B5034" i="12"/>
  <c r="A5034" i="12"/>
  <c r="F5033" i="12"/>
  <c r="E5033" i="12"/>
  <c r="D5033" i="12"/>
  <c r="C5033" i="12"/>
  <c r="B5033" i="12"/>
  <c r="A5033" i="12"/>
  <c r="E5032" i="12"/>
  <c r="D5032" i="12"/>
  <c r="C5032" i="12"/>
  <c r="B5032" i="12"/>
  <c r="A5032" i="12"/>
  <c r="E5031" i="12"/>
  <c r="D5031" i="12"/>
  <c r="C5031" i="12"/>
  <c r="B5031" i="12"/>
  <c r="A5031" i="12"/>
  <c r="F5030" i="12"/>
  <c r="E5030" i="12"/>
  <c r="D5030" i="12"/>
  <c r="C5030" i="12"/>
  <c r="B5030" i="12"/>
  <c r="A5030" i="12"/>
  <c r="E5029" i="12"/>
  <c r="D5029" i="12"/>
  <c r="C5029" i="12"/>
  <c r="B5029" i="12"/>
  <c r="A5029" i="12"/>
  <c r="E5028" i="12"/>
  <c r="D5028" i="12"/>
  <c r="C5028" i="12"/>
  <c r="B5028" i="12"/>
  <c r="A5028" i="12"/>
  <c r="F5027" i="12"/>
  <c r="E5027" i="12"/>
  <c r="D5027" i="12"/>
  <c r="C5027" i="12"/>
  <c r="B5027" i="12"/>
  <c r="A5027" i="12"/>
  <c r="F5026" i="12"/>
  <c r="E5026" i="12"/>
  <c r="D5026" i="12"/>
  <c r="C5026" i="12"/>
  <c r="B5026" i="12"/>
  <c r="A5026" i="12"/>
  <c r="F5025" i="12"/>
  <c r="E5025" i="12"/>
  <c r="D5025" i="12"/>
  <c r="C5025" i="12"/>
  <c r="B5025" i="12"/>
  <c r="A5025" i="12"/>
  <c r="F5024" i="12"/>
  <c r="E5024" i="12"/>
  <c r="D5024" i="12"/>
  <c r="C5024" i="12"/>
  <c r="B5024" i="12"/>
  <c r="A5024" i="12"/>
  <c r="F5023" i="12"/>
  <c r="E5023" i="12"/>
  <c r="D5023" i="12"/>
  <c r="C5023" i="12"/>
  <c r="B5023" i="12"/>
  <c r="A5023" i="12"/>
  <c r="F5022" i="12"/>
  <c r="E5022" i="12"/>
  <c r="D5022" i="12"/>
  <c r="C5022" i="12"/>
  <c r="B5022" i="12"/>
  <c r="A5022" i="12"/>
  <c r="E5021" i="12"/>
  <c r="D5021" i="12"/>
  <c r="C5021" i="12"/>
  <c r="B5021" i="12"/>
  <c r="A5021" i="12"/>
  <c r="E5020" i="12"/>
  <c r="D5020" i="12"/>
  <c r="C5020" i="12"/>
  <c r="B5020" i="12"/>
  <c r="A5020" i="12"/>
  <c r="E5019" i="12"/>
  <c r="D5019" i="12"/>
  <c r="C5019" i="12"/>
  <c r="B5019" i="12"/>
  <c r="A5019" i="12"/>
  <c r="F5018" i="12"/>
  <c r="E5018" i="12"/>
  <c r="D5018" i="12"/>
  <c r="C5018" i="12"/>
  <c r="B5018" i="12"/>
  <c r="A5018" i="12"/>
  <c r="F5017" i="12"/>
  <c r="E5017" i="12"/>
  <c r="D5017" i="12"/>
  <c r="C5017" i="12"/>
  <c r="B5017" i="12"/>
  <c r="A5017" i="12"/>
  <c r="E5016" i="12"/>
  <c r="D5016" i="12"/>
  <c r="C5016" i="12"/>
  <c r="B5016" i="12"/>
  <c r="A5016" i="12"/>
  <c r="E5015" i="12"/>
  <c r="D5015" i="12"/>
  <c r="C5015" i="12"/>
  <c r="B5015" i="12"/>
  <c r="A5015" i="12"/>
  <c r="E5014" i="12"/>
  <c r="D5014" i="12"/>
  <c r="C5014" i="12"/>
  <c r="B5014" i="12"/>
  <c r="A5014" i="12"/>
  <c r="E5013" i="12"/>
  <c r="D5013" i="12"/>
  <c r="C5013" i="12"/>
  <c r="B5013" i="12"/>
  <c r="A5013" i="12"/>
  <c r="F5012" i="12"/>
  <c r="E5012" i="12"/>
  <c r="D5012" i="12"/>
  <c r="C5012" i="12"/>
  <c r="B5012" i="12"/>
  <c r="A5012" i="12"/>
  <c r="E5011" i="12"/>
  <c r="D5011" i="12"/>
  <c r="C5011" i="12"/>
  <c r="B5011" i="12"/>
  <c r="A5011" i="12"/>
  <c r="F5010" i="12"/>
  <c r="E5010" i="12"/>
  <c r="D5010" i="12"/>
  <c r="C5010" i="12"/>
  <c r="B5010" i="12"/>
  <c r="A5010" i="12"/>
  <c r="F5009" i="12"/>
  <c r="E5009" i="12"/>
  <c r="D5009" i="12"/>
  <c r="C5009" i="12"/>
  <c r="B5009" i="12"/>
  <c r="A5009" i="12"/>
  <c r="E5008" i="12"/>
  <c r="D5008" i="12"/>
  <c r="C5008" i="12"/>
  <c r="B5008" i="12"/>
  <c r="A5008" i="12"/>
  <c r="G5007" i="12"/>
  <c r="E5007" i="12"/>
  <c r="D5007" i="12"/>
  <c r="C5007" i="12"/>
  <c r="B5007" i="12"/>
  <c r="A5007" i="12"/>
  <c r="E5006" i="12"/>
  <c r="D5006" i="12"/>
  <c r="C5006" i="12"/>
  <c r="B5006" i="12"/>
  <c r="A5006" i="12"/>
  <c r="E5005" i="12"/>
  <c r="D5005" i="12"/>
  <c r="C5005" i="12"/>
  <c r="B5005" i="12"/>
  <c r="A5005" i="12"/>
  <c r="G5004" i="12"/>
  <c r="F5004" i="12"/>
  <c r="E5004" i="12"/>
  <c r="D5004" i="12"/>
  <c r="C5004" i="12"/>
  <c r="B5004" i="12"/>
  <c r="A5004" i="12"/>
  <c r="F5003" i="12"/>
  <c r="E5003" i="12"/>
  <c r="D5003" i="12"/>
  <c r="C5003" i="12"/>
  <c r="B5003" i="12"/>
  <c r="A5003" i="12"/>
  <c r="E5002" i="12"/>
  <c r="D5002" i="12"/>
  <c r="C5002" i="12"/>
  <c r="B5002" i="12"/>
  <c r="A5002" i="12"/>
  <c r="F5001" i="12"/>
  <c r="E5001" i="12"/>
  <c r="D5001" i="12"/>
  <c r="C5001" i="12"/>
  <c r="B5001" i="12"/>
  <c r="A5001" i="12"/>
  <c r="G5000" i="12"/>
  <c r="F5000" i="12"/>
  <c r="E5000" i="12"/>
  <c r="D5000" i="12"/>
  <c r="C5000" i="12"/>
  <c r="B5000" i="12"/>
  <c r="A5000" i="12"/>
  <c r="F4999" i="12"/>
  <c r="E4999" i="12"/>
  <c r="D4999" i="12"/>
  <c r="C4999" i="12"/>
  <c r="B4999" i="12"/>
  <c r="A4999" i="12"/>
  <c r="E4998" i="12"/>
  <c r="D4998" i="12"/>
  <c r="C4998" i="12"/>
  <c r="B4998" i="12"/>
  <c r="A4998" i="12"/>
  <c r="E4997" i="12"/>
  <c r="D4997" i="12"/>
  <c r="C4997" i="12"/>
  <c r="B4997" i="12"/>
  <c r="A4997" i="12"/>
  <c r="F4996" i="12"/>
  <c r="E4996" i="12"/>
  <c r="D4996" i="12"/>
  <c r="C4996" i="12"/>
  <c r="B4996" i="12"/>
  <c r="A4996" i="12"/>
  <c r="G4995" i="12"/>
  <c r="F4995" i="12"/>
  <c r="E4995" i="12"/>
  <c r="D4995" i="12"/>
  <c r="C4995" i="12"/>
  <c r="B4995" i="12"/>
  <c r="A4995" i="12"/>
  <c r="F4994" i="12"/>
  <c r="E4994" i="12"/>
  <c r="D4994" i="12"/>
  <c r="C4994" i="12"/>
  <c r="B4994" i="12"/>
  <c r="A4994" i="12"/>
  <c r="F4993" i="12"/>
  <c r="E4993" i="12"/>
  <c r="D4993" i="12"/>
  <c r="C4993" i="12"/>
  <c r="B4993" i="12"/>
  <c r="A4993" i="12"/>
  <c r="E4992" i="12"/>
  <c r="D4992" i="12"/>
  <c r="C4992" i="12"/>
  <c r="B4992" i="12"/>
  <c r="A4992" i="12"/>
  <c r="E4991" i="12"/>
  <c r="D4991" i="12"/>
  <c r="C4991" i="12"/>
  <c r="B4991" i="12"/>
  <c r="A4991" i="12"/>
  <c r="F4990" i="12"/>
  <c r="E4990" i="12"/>
  <c r="D4990" i="12"/>
  <c r="C4990" i="12"/>
  <c r="B4990" i="12"/>
  <c r="A4990" i="12"/>
  <c r="F4989" i="12"/>
  <c r="E4989" i="12"/>
  <c r="D4989" i="12"/>
  <c r="C4989" i="12"/>
  <c r="B4989" i="12"/>
  <c r="A4989" i="12"/>
  <c r="E4988" i="12"/>
  <c r="D4988" i="12"/>
  <c r="C4988" i="12"/>
  <c r="B4988" i="12"/>
  <c r="A4988" i="12"/>
  <c r="G4987" i="12"/>
  <c r="E4987" i="12"/>
  <c r="D4987" i="12"/>
  <c r="C4987" i="12"/>
  <c r="B4987" i="12"/>
  <c r="A4987" i="12"/>
  <c r="E4986" i="12"/>
  <c r="D4986" i="12"/>
  <c r="C4986" i="12"/>
  <c r="B4986" i="12"/>
  <c r="A4986" i="12"/>
  <c r="E4985" i="12"/>
  <c r="D4985" i="12"/>
  <c r="C4985" i="12"/>
  <c r="B4985" i="12"/>
  <c r="A4985" i="12"/>
  <c r="E4984" i="12"/>
  <c r="D4984" i="12"/>
  <c r="C4984" i="12"/>
  <c r="B4984" i="12"/>
  <c r="A4984" i="12"/>
  <c r="F4983" i="12"/>
  <c r="E4983" i="12"/>
  <c r="D4983" i="12"/>
  <c r="C4983" i="12"/>
  <c r="B4983" i="12"/>
  <c r="A4983" i="12"/>
  <c r="E4982" i="12"/>
  <c r="D4982" i="12"/>
  <c r="C4982" i="12"/>
  <c r="B4982" i="12"/>
  <c r="A4982" i="12"/>
  <c r="E4981" i="12"/>
  <c r="D4981" i="12"/>
  <c r="C4981" i="12"/>
  <c r="B4981" i="12"/>
  <c r="A4981" i="12"/>
  <c r="E4980" i="12"/>
  <c r="D4980" i="12"/>
  <c r="C4980" i="12"/>
  <c r="B4980" i="12"/>
  <c r="A4980" i="12"/>
  <c r="F4979" i="12"/>
  <c r="E4979" i="12"/>
  <c r="D4979" i="12"/>
  <c r="C4979" i="12"/>
  <c r="B4979" i="12"/>
  <c r="A4979" i="12"/>
  <c r="E4978" i="12"/>
  <c r="D4978" i="12"/>
  <c r="C4978" i="12"/>
  <c r="B4978" i="12"/>
  <c r="A4978" i="12"/>
  <c r="G4977" i="12"/>
  <c r="F4977" i="12"/>
  <c r="E4977" i="12"/>
  <c r="D4977" i="12"/>
  <c r="C4977" i="12"/>
  <c r="B4977" i="12"/>
  <c r="A4977" i="12"/>
  <c r="G4976" i="12"/>
  <c r="E4976" i="12"/>
  <c r="D4976" i="12"/>
  <c r="C4976" i="12"/>
  <c r="B4976" i="12"/>
  <c r="A4976" i="12"/>
  <c r="E4975" i="12"/>
  <c r="D4975" i="12"/>
  <c r="C4975" i="12"/>
  <c r="B4975" i="12"/>
  <c r="A4975" i="12"/>
  <c r="E4974" i="12"/>
  <c r="D4974" i="12"/>
  <c r="C4974" i="12"/>
  <c r="B4974" i="12"/>
  <c r="A4974" i="12"/>
  <c r="F4973" i="12"/>
  <c r="E4973" i="12"/>
  <c r="D4973" i="12"/>
  <c r="C4973" i="12"/>
  <c r="B4973" i="12"/>
  <c r="A4973" i="12"/>
  <c r="E4972" i="12"/>
  <c r="D4972" i="12"/>
  <c r="C4972" i="12"/>
  <c r="B4972" i="12"/>
  <c r="A4972" i="12"/>
  <c r="F4971" i="12"/>
  <c r="E4971" i="12"/>
  <c r="D4971" i="12"/>
  <c r="C4971" i="12"/>
  <c r="B4971" i="12"/>
  <c r="A4971" i="12"/>
  <c r="E4970" i="12"/>
  <c r="D4970" i="12"/>
  <c r="C4970" i="12"/>
  <c r="B4970" i="12"/>
  <c r="A4970" i="12"/>
  <c r="F4969" i="12"/>
  <c r="E4969" i="12"/>
  <c r="D4969" i="12"/>
  <c r="C4969" i="12"/>
  <c r="B4969" i="12"/>
  <c r="A4969" i="12"/>
  <c r="E4968" i="12"/>
  <c r="D4968" i="12"/>
  <c r="C4968" i="12"/>
  <c r="B4968" i="12"/>
  <c r="A4968" i="12"/>
  <c r="E4967" i="12"/>
  <c r="D4967" i="12"/>
  <c r="C4967" i="12"/>
  <c r="B4967" i="12"/>
  <c r="A4967" i="12"/>
  <c r="F4966" i="12"/>
  <c r="E4966" i="12"/>
  <c r="D4966" i="12"/>
  <c r="C4966" i="12"/>
  <c r="B4966" i="12"/>
  <c r="A4966" i="12"/>
  <c r="E4965" i="12"/>
  <c r="D4965" i="12"/>
  <c r="C4965" i="12"/>
  <c r="B4965" i="12"/>
  <c r="A4965" i="12"/>
  <c r="F4964" i="12"/>
  <c r="E4964" i="12"/>
  <c r="D4964" i="12"/>
  <c r="C4964" i="12"/>
  <c r="B4964" i="12"/>
  <c r="A4964" i="12"/>
  <c r="F4963" i="12"/>
  <c r="E4963" i="12"/>
  <c r="D4963" i="12"/>
  <c r="C4963" i="12"/>
  <c r="B4963" i="12"/>
  <c r="A4963" i="12"/>
  <c r="E4962" i="12"/>
  <c r="D4962" i="12"/>
  <c r="C4962" i="12"/>
  <c r="B4962" i="12"/>
  <c r="A4962" i="12"/>
  <c r="E4961" i="12"/>
  <c r="D4961" i="12"/>
  <c r="C4961" i="12"/>
  <c r="B4961" i="12"/>
  <c r="A4961" i="12"/>
  <c r="F4960" i="12"/>
  <c r="E4960" i="12"/>
  <c r="D4960" i="12"/>
  <c r="C4960" i="12"/>
  <c r="B4960" i="12"/>
  <c r="A4960" i="12"/>
  <c r="E4959" i="12"/>
  <c r="D4959" i="12"/>
  <c r="C4959" i="12"/>
  <c r="B4959" i="12"/>
  <c r="A4959" i="12"/>
  <c r="E4958" i="12"/>
  <c r="D4958" i="12"/>
  <c r="C4958" i="12"/>
  <c r="B4958" i="12"/>
  <c r="A4958" i="12"/>
  <c r="F4957" i="12"/>
  <c r="E4957" i="12"/>
  <c r="D4957" i="12"/>
  <c r="C4957" i="12"/>
  <c r="B4957" i="12"/>
  <c r="A4957" i="12"/>
  <c r="F4956" i="12"/>
  <c r="E4956" i="12"/>
  <c r="D4956" i="12"/>
  <c r="C4956" i="12"/>
  <c r="B4956" i="12"/>
  <c r="A4956" i="12"/>
  <c r="F4955" i="12"/>
  <c r="E4955" i="12"/>
  <c r="D4955" i="12"/>
  <c r="C4955" i="12"/>
  <c r="B4955" i="12"/>
  <c r="A4955" i="12"/>
  <c r="E4954" i="12"/>
  <c r="D4954" i="12"/>
  <c r="C4954" i="12"/>
  <c r="B4954" i="12"/>
  <c r="A4954" i="12"/>
  <c r="F4953" i="12"/>
  <c r="E4953" i="12"/>
  <c r="D4953" i="12"/>
  <c r="C4953" i="12"/>
  <c r="B4953" i="12"/>
  <c r="A4953" i="12"/>
  <c r="F4952" i="12"/>
  <c r="E4952" i="12"/>
  <c r="D4952" i="12"/>
  <c r="C4952" i="12"/>
  <c r="B4952" i="12"/>
  <c r="A4952" i="12"/>
  <c r="G4951" i="12"/>
  <c r="F4951" i="12"/>
  <c r="E4951" i="12"/>
  <c r="D4951" i="12"/>
  <c r="C4951" i="12"/>
  <c r="B4951" i="12"/>
  <c r="A4951" i="12"/>
  <c r="F4950" i="12"/>
  <c r="E4950" i="12"/>
  <c r="D4950" i="12"/>
  <c r="C4950" i="12"/>
  <c r="B4950" i="12"/>
  <c r="A4950" i="12"/>
  <c r="F4949" i="12"/>
  <c r="E4949" i="12"/>
  <c r="D4949" i="12"/>
  <c r="C4949" i="12"/>
  <c r="B4949" i="12"/>
  <c r="A4949" i="12"/>
  <c r="F4948" i="12"/>
  <c r="E4948" i="12"/>
  <c r="D4948" i="12"/>
  <c r="C4948" i="12"/>
  <c r="B4948" i="12"/>
  <c r="A4948" i="12"/>
  <c r="F4947" i="12"/>
  <c r="E4947" i="12"/>
  <c r="D4947" i="12"/>
  <c r="C4947" i="12"/>
  <c r="B4947" i="12"/>
  <c r="A4947" i="12"/>
  <c r="F4946" i="12"/>
  <c r="E4946" i="12"/>
  <c r="D4946" i="12"/>
  <c r="C4946" i="12"/>
  <c r="B4946" i="12"/>
  <c r="A4946" i="12"/>
  <c r="F4945" i="12"/>
  <c r="E4945" i="12"/>
  <c r="D4945" i="12"/>
  <c r="C4945" i="12"/>
  <c r="B4945" i="12"/>
  <c r="A4945" i="12"/>
  <c r="E4944" i="12"/>
  <c r="D4944" i="12"/>
  <c r="C4944" i="12"/>
  <c r="B4944" i="12"/>
  <c r="A4944" i="12"/>
  <c r="G4943" i="12"/>
  <c r="F4943" i="12"/>
  <c r="E4943" i="12"/>
  <c r="D4943" i="12"/>
  <c r="C4943" i="12"/>
  <c r="B4943" i="12"/>
  <c r="A4943" i="12"/>
  <c r="F4942" i="12"/>
  <c r="E4942" i="12"/>
  <c r="D4942" i="12"/>
  <c r="C4942" i="12"/>
  <c r="B4942" i="12"/>
  <c r="A4942" i="12"/>
  <c r="F4941" i="12"/>
  <c r="E4941" i="12"/>
  <c r="D4941" i="12"/>
  <c r="C4941" i="12"/>
  <c r="B4941" i="12"/>
  <c r="A4941" i="12"/>
  <c r="F4940" i="12"/>
  <c r="E4940" i="12"/>
  <c r="D4940" i="12"/>
  <c r="C4940" i="12"/>
  <c r="B4940" i="12"/>
  <c r="A4940" i="12"/>
  <c r="G4939" i="12"/>
  <c r="F4939" i="12"/>
  <c r="E4939" i="12"/>
  <c r="D4939" i="12"/>
  <c r="C4939" i="12"/>
  <c r="B4939" i="12"/>
  <c r="A4939" i="12"/>
  <c r="F4938" i="12"/>
  <c r="E4938" i="12"/>
  <c r="D4938" i="12"/>
  <c r="C4938" i="12"/>
  <c r="B4938" i="12"/>
  <c r="A4938" i="12"/>
  <c r="E4937" i="12"/>
  <c r="D4937" i="12"/>
  <c r="C4937" i="12"/>
  <c r="B4937" i="12"/>
  <c r="A4937" i="12"/>
  <c r="F4936" i="12"/>
  <c r="E4936" i="12"/>
  <c r="D4936" i="12"/>
  <c r="C4936" i="12"/>
  <c r="B4936" i="12"/>
  <c r="A4936" i="12"/>
  <c r="G4935" i="12"/>
  <c r="F4935" i="12"/>
  <c r="E4935" i="12"/>
  <c r="D4935" i="12"/>
  <c r="C4935" i="12"/>
  <c r="B4935" i="12"/>
  <c r="A4935" i="12"/>
  <c r="F4934" i="12"/>
  <c r="E4934" i="12"/>
  <c r="D4934" i="12"/>
  <c r="C4934" i="12"/>
  <c r="B4934" i="12"/>
  <c r="A4934" i="12"/>
  <c r="G4933" i="12"/>
  <c r="F4933" i="12"/>
  <c r="E4933" i="12"/>
  <c r="D4933" i="12"/>
  <c r="C4933" i="12"/>
  <c r="B4933" i="12"/>
  <c r="A4933" i="12"/>
  <c r="G4932" i="12"/>
  <c r="F4932" i="12"/>
  <c r="E4932" i="12"/>
  <c r="D4932" i="12"/>
  <c r="C4932" i="12"/>
  <c r="B4932" i="12"/>
  <c r="A4932" i="12"/>
  <c r="G4931" i="12"/>
  <c r="F4931" i="12"/>
  <c r="E4931" i="12"/>
  <c r="D4931" i="12"/>
  <c r="C4931" i="12"/>
  <c r="B4931" i="12"/>
  <c r="A4931" i="12"/>
  <c r="F4930" i="12"/>
  <c r="E4930" i="12"/>
  <c r="D4930" i="12"/>
  <c r="C4930" i="12"/>
  <c r="B4930" i="12"/>
  <c r="A4930" i="12"/>
  <c r="F4929" i="12"/>
  <c r="E4929" i="12"/>
  <c r="D4929" i="12"/>
  <c r="C4929" i="12"/>
  <c r="B4929" i="12"/>
  <c r="A4929" i="12"/>
  <c r="F4928" i="12"/>
  <c r="E4928" i="12"/>
  <c r="D4928" i="12"/>
  <c r="C4928" i="12"/>
  <c r="B4928" i="12"/>
  <c r="A4928" i="12"/>
  <c r="F4927" i="12"/>
  <c r="E4927" i="12"/>
  <c r="D4927" i="12"/>
  <c r="C4927" i="12"/>
  <c r="B4927" i="12"/>
  <c r="A4927" i="12"/>
  <c r="F4926" i="12"/>
  <c r="E4926" i="12"/>
  <c r="D4926" i="12"/>
  <c r="C4926" i="12"/>
  <c r="B4926" i="12"/>
  <c r="A4926" i="12"/>
  <c r="F4925" i="12"/>
  <c r="E4925" i="12"/>
  <c r="D4925" i="12"/>
  <c r="C4925" i="12"/>
  <c r="B4925" i="12"/>
  <c r="A4925" i="12"/>
  <c r="G4924" i="12"/>
  <c r="F4924" i="12"/>
  <c r="E4924" i="12"/>
  <c r="D4924" i="12"/>
  <c r="C4924" i="12"/>
  <c r="B4924" i="12"/>
  <c r="A4924" i="12"/>
  <c r="F4923" i="12"/>
  <c r="E4923" i="12"/>
  <c r="D4923" i="12"/>
  <c r="C4923" i="12"/>
  <c r="B4923" i="12"/>
  <c r="A4923" i="12"/>
  <c r="F4922" i="12"/>
  <c r="E4922" i="12"/>
  <c r="D4922" i="12"/>
  <c r="C4922" i="12"/>
  <c r="B4922" i="12"/>
  <c r="A4922" i="12"/>
  <c r="F4921" i="12"/>
  <c r="E4921" i="12"/>
  <c r="D4921" i="12"/>
  <c r="C4921" i="12"/>
  <c r="B4921" i="12"/>
  <c r="A4921" i="12"/>
  <c r="G4920" i="12"/>
  <c r="F4920" i="12"/>
  <c r="E4920" i="12"/>
  <c r="D4920" i="12"/>
  <c r="C4920" i="12"/>
  <c r="B4920" i="12"/>
  <c r="A4920" i="12"/>
  <c r="F4919" i="12"/>
  <c r="E4919" i="12"/>
  <c r="D4919" i="12"/>
  <c r="C4919" i="12"/>
  <c r="B4919" i="12"/>
  <c r="A4919" i="12"/>
  <c r="E4918" i="12"/>
  <c r="D4918" i="12"/>
  <c r="C4918" i="12"/>
  <c r="B4918" i="12"/>
  <c r="A4918" i="12"/>
  <c r="F4917" i="12"/>
  <c r="E4917" i="12"/>
  <c r="D4917" i="12"/>
  <c r="C4917" i="12"/>
  <c r="B4917" i="12"/>
  <c r="A4917" i="12"/>
  <c r="E4916" i="12"/>
  <c r="D4916" i="12"/>
  <c r="C4916" i="12"/>
  <c r="B4916" i="12"/>
  <c r="A4916" i="12"/>
  <c r="G4915" i="12"/>
  <c r="F4915" i="12"/>
  <c r="E4915" i="12"/>
  <c r="D4915" i="12"/>
  <c r="C4915" i="12"/>
  <c r="B4915" i="12"/>
  <c r="A4915" i="12"/>
  <c r="F4914" i="12"/>
  <c r="E4914" i="12"/>
  <c r="D4914" i="12"/>
  <c r="C4914" i="12"/>
  <c r="B4914" i="12"/>
  <c r="A4914" i="12"/>
  <c r="G4913" i="12"/>
  <c r="E4913" i="12"/>
  <c r="D4913" i="12"/>
  <c r="C4913" i="12"/>
  <c r="B4913" i="12"/>
  <c r="A4913" i="12"/>
  <c r="G4912" i="12"/>
  <c r="F4912" i="12"/>
  <c r="E4912" i="12"/>
  <c r="D4912" i="12"/>
  <c r="C4912" i="12"/>
  <c r="B4912" i="12"/>
  <c r="A4912" i="12"/>
  <c r="F4911" i="12"/>
  <c r="E4911" i="12"/>
  <c r="D4911" i="12"/>
  <c r="C4911" i="12"/>
  <c r="B4911" i="12"/>
  <c r="A4911" i="12"/>
  <c r="F4910" i="12"/>
  <c r="E4910" i="12"/>
  <c r="D4910" i="12"/>
  <c r="C4910" i="12"/>
  <c r="B4910" i="12"/>
  <c r="A4910" i="12"/>
  <c r="E4909" i="12"/>
  <c r="D4909" i="12"/>
  <c r="C4909" i="12"/>
  <c r="B4909" i="12"/>
  <c r="A4909" i="12"/>
  <c r="F4908" i="12"/>
  <c r="E4908" i="12"/>
  <c r="D4908" i="12"/>
  <c r="C4908" i="12"/>
  <c r="B4908" i="12"/>
  <c r="A4908" i="12"/>
  <c r="G4907" i="12"/>
  <c r="F4907" i="12"/>
  <c r="E4907" i="12"/>
  <c r="D4907" i="12"/>
  <c r="C4907" i="12"/>
  <c r="B4907" i="12"/>
  <c r="A4907" i="12"/>
  <c r="G4906" i="12"/>
  <c r="F4906" i="12"/>
  <c r="E4906" i="12"/>
  <c r="D4906" i="12"/>
  <c r="C4906" i="12"/>
  <c r="B4906" i="12"/>
  <c r="A4906" i="12"/>
  <c r="E4905" i="12"/>
  <c r="D4905" i="12"/>
  <c r="C4905" i="12"/>
  <c r="B4905" i="12"/>
  <c r="A4905" i="12"/>
  <c r="E4904" i="12"/>
  <c r="D4904" i="12"/>
  <c r="C4904" i="12"/>
  <c r="B4904" i="12"/>
  <c r="A4904" i="12"/>
  <c r="F4903" i="12"/>
  <c r="E4903" i="12"/>
  <c r="D4903" i="12"/>
  <c r="C4903" i="12"/>
  <c r="B4903" i="12"/>
  <c r="A4903" i="12"/>
  <c r="E4902" i="12"/>
  <c r="D4902" i="12"/>
  <c r="C4902" i="12"/>
  <c r="B4902" i="12"/>
  <c r="A4902" i="12"/>
  <c r="F4901" i="12"/>
  <c r="E4901" i="12"/>
  <c r="D4901" i="12"/>
  <c r="C4901" i="12"/>
  <c r="B4901" i="12"/>
  <c r="A4901" i="12"/>
  <c r="F4900" i="12"/>
  <c r="E4900" i="12"/>
  <c r="D4900" i="12"/>
  <c r="C4900" i="12"/>
  <c r="B4900" i="12"/>
  <c r="A4900" i="12"/>
  <c r="F4899" i="12"/>
  <c r="E4899" i="12"/>
  <c r="D4899" i="12"/>
  <c r="C4899" i="12"/>
  <c r="B4899" i="12"/>
  <c r="A4899" i="12"/>
  <c r="F4898" i="12"/>
  <c r="E4898" i="12"/>
  <c r="D4898" i="12"/>
  <c r="C4898" i="12"/>
  <c r="B4898" i="12"/>
  <c r="A4898" i="12"/>
  <c r="F4897" i="12"/>
  <c r="E4897" i="12"/>
  <c r="D4897" i="12"/>
  <c r="C4897" i="12"/>
  <c r="B4897" i="12"/>
  <c r="A4897" i="12"/>
  <c r="E4896" i="12"/>
  <c r="D4896" i="12"/>
  <c r="C4896" i="12"/>
  <c r="B4896" i="12"/>
  <c r="A4896" i="12"/>
  <c r="E4895" i="12"/>
  <c r="D4895" i="12"/>
  <c r="C4895" i="12"/>
  <c r="B4895" i="12"/>
  <c r="A4895" i="12"/>
  <c r="E4894" i="12"/>
  <c r="D4894" i="12"/>
  <c r="C4894" i="12"/>
  <c r="B4894" i="12"/>
  <c r="A4894" i="12"/>
  <c r="E4893" i="12"/>
  <c r="D4893" i="12"/>
  <c r="C4893" i="12"/>
  <c r="B4893" i="12"/>
  <c r="A4893" i="12"/>
  <c r="F4892" i="12"/>
  <c r="E4892" i="12"/>
  <c r="D4892" i="12"/>
  <c r="C4892" i="12"/>
  <c r="B4892" i="12"/>
  <c r="A4892" i="12"/>
  <c r="E4891" i="12"/>
  <c r="D4891" i="12"/>
  <c r="C4891" i="12"/>
  <c r="B4891" i="12"/>
  <c r="A4891" i="12"/>
  <c r="F4890" i="12"/>
  <c r="E4890" i="12"/>
  <c r="D4890" i="12"/>
  <c r="C4890" i="12"/>
  <c r="B4890" i="12"/>
  <c r="A4890" i="12"/>
  <c r="E4889" i="12"/>
  <c r="D4889" i="12"/>
  <c r="C4889" i="12"/>
  <c r="B4889" i="12"/>
  <c r="A4889" i="12"/>
  <c r="E4888" i="12"/>
  <c r="D4888" i="12"/>
  <c r="C4888" i="12"/>
  <c r="B4888" i="12"/>
  <c r="A4888" i="12"/>
  <c r="E4887" i="12"/>
  <c r="D4887" i="12"/>
  <c r="C4887" i="12"/>
  <c r="B4887" i="12"/>
  <c r="A4887" i="12"/>
  <c r="E4886" i="12"/>
  <c r="D4886" i="12"/>
  <c r="C4886" i="12"/>
  <c r="B4886" i="12"/>
  <c r="A4886" i="12"/>
  <c r="F4885" i="12"/>
  <c r="E4885" i="12"/>
  <c r="D4885" i="12"/>
  <c r="C4885" i="12"/>
  <c r="B4885" i="12"/>
  <c r="A4885" i="12"/>
  <c r="E4884" i="12"/>
  <c r="D4884" i="12"/>
  <c r="C4884" i="12"/>
  <c r="B4884" i="12"/>
  <c r="A4884" i="12"/>
  <c r="F4883" i="12"/>
  <c r="E4883" i="12"/>
  <c r="D4883" i="12"/>
  <c r="C4883" i="12"/>
  <c r="B4883" i="12"/>
  <c r="A4883" i="12"/>
  <c r="F4882" i="12"/>
  <c r="E4882" i="12"/>
  <c r="D4882" i="12"/>
  <c r="C4882" i="12"/>
  <c r="B4882" i="12"/>
  <c r="A4882" i="12"/>
  <c r="E4881" i="12"/>
  <c r="D4881" i="12"/>
  <c r="C4881" i="12"/>
  <c r="B4881" i="12"/>
  <c r="A4881" i="12"/>
  <c r="E4880" i="12"/>
  <c r="D4880" i="12"/>
  <c r="C4880" i="12"/>
  <c r="B4880" i="12"/>
  <c r="A4880" i="12"/>
  <c r="F4879" i="12"/>
  <c r="E4879" i="12"/>
  <c r="D4879" i="12"/>
  <c r="C4879" i="12"/>
  <c r="B4879" i="12"/>
  <c r="A4879" i="12"/>
  <c r="F4878" i="12"/>
  <c r="E4878" i="12"/>
  <c r="D4878" i="12"/>
  <c r="C4878" i="12"/>
  <c r="B4878" i="12"/>
  <c r="A4878" i="12"/>
  <c r="E4877" i="12"/>
  <c r="D4877" i="12"/>
  <c r="C4877" i="12"/>
  <c r="B4877" i="12"/>
  <c r="A4877" i="12"/>
  <c r="F4876" i="12"/>
  <c r="E4876" i="12"/>
  <c r="D4876" i="12"/>
  <c r="C4876" i="12"/>
  <c r="B4876" i="12"/>
  <c r="A4876" i="12"/>
  <c r="F4875" i="12"/>
  <c r="E4875" i="12"/>
  <c r="D4875" i="12"/>
  <c r="C4875" i="12"/>
  <c r="B4875" i="12"/>
  <c r="A4875" i="12"/>
  <c r="F4874" i="12"/>
  <c r="E4874" i="12"/>
  <c r="D4874" i="12"/>
  <c r="C4874" i="12"/>
  <c r="B4874" i="12"/>
  <c r="A4874" i="12"/>
  <c r="F4873" i="12"/>
  <c r="E4873" i="12"/>
  <c r="D4873" i="12"/>
  <c r="C4873" i="12"/>
  <c r="B4873" i="12"/>
  <c r="A4873" i="12"/>
  <c r="F4872" i="12"/>
  <c r="E4872" i="12"/>
  <c r="D4872" i="12"/>
  <c r="C4872" i="12"/>
  <c r="B4872" i="12"/>
  <c r="A4872" i="12"/>
  <c r="F4871" i="12"/>
  <c r="E4871" i="12"/>
  <c r="D4871" i="12"/>
  <c r="C4871" i="12"/>
  <c r="B4871" i="12"/>
  <c r="A4871" i="12"/>
  <c r="E4870" i="12"/>
  <c r="D4870" i="12"/>
  <c r="C4870" i="12"/>
  <c r="B4870" i="12"/>
  <c r="A4870" i="12"/>
  <c r="E4869" i="12"/>
  <c r="D4869" i="12"/>
  <c r="C4869" i="12"/>
  <c r="B4869" i="12"/>
  <c r="A4869" i="12"/>
  <c r="F4868" i="12"/>
  <c r="E4868" i="12"/>
  <c r="D4868" i="12"/>
  <c r="C4868" i="12"/>
  <c r="B4868" i="12"/>
  <c r="A4868" i="12"/>
  <c r="F4867" i="12"/>
  <c r="E4867" i="12"/>
  <c r="D4867" i="12"/>
  <c r="C4867" i="12"/>
  <c r="B4867" i="12"/>
  <c r="A4867" i="12"/>
  <c r="G4866" i="12"/>
  <c r="E4866" i="12"/>
  <c r="D4866" i="12"/>
  <c r="C4866" i="12"/>
  <c r="B4866" i="12"/>
  <c r="A4866" i="12"/>
  <c r="E4865" i="12"/>
  <c r="D4865" i="12"/>
  <c r="C4865" i="12"/>
  <c r="B4865" i="12"/>
  <c r="A4865" i="12"/>
  <c r="E4864" i="12"/>
  <c r="D4864" i="12"/>
  <c r="C4864" i="12"/>
  <c r="B4864" i="12"/>
  <c r="A4864" i="12"/>
  <c r="E4863" i="12"/>
  <c r="D4863" i="12"/>
  <c r="C4863" i="12"/>
  <c r="B4863" i="12"/>
  <c r="A4863" i="12"/>
  <c r="G4862" i="12"/>
  <c r="F4862" i="12"/>
  <c r="E4862" i="12"/>
  <c r="D4862" i="12"/>
  <c r="C4862" i="12"/>
  <c r="B4862" i="12"/>
  <c r="A4862" i="12"/>
  <c r="E4861" i="12"/>
  <c r="D4861" i="12"/>
  <c r="C4861" i="12"/>
  <c r="B4861" i="12"/>
  <c r="A4861" i="12"/>
  <c r="E4860" i="12"/>
  <c r="D4860" i="12"/>
  <c r="C4860" i="12"/>
  <c r="B4860" i="12"/>
  <c r="A4860" i="12"/>
  <c r="E4859" i="12"/>
  <c r="D4859" i="12"/>
  <c r="C4859" i="12"/>
  <c r="B4859" i="12"/>
  <c r="A4859" i="12"/>
  <c r="E4858" i="12"/>
  <c r="D4858" i="12"/>
  <c r="C4858" i="12"/>
  <c r="B4858" i="12"/>
  <c r="A4858" i="12"/>
  <c r="E4857" i="12"/>
  <c r="D4857" i="12"/>
  <c r="C4857" i="12"/>
  <c r="B4857" i="12"/>
  <c r="A4857" i="12"/>
  <c r="E4856" i="12"/>
  <c r="D4856" i="12"/>
  <c r="C4856" i="12"/>
  <c r="B4856" i="12"/>
  <c r="A4856" i="12"/>
  <c r="E4855" i="12"/>
  <c r="D4855" i="12"/>
  <c r="C4855" i="12"/>
  <c r="B4855" i="12"/>
  <c r="A4855" i="12"/>
  <c r="E4854" i="12"/>
  <c r="D4854" i="12"/>
  <c r="C4854" i="12"/>
  <c r="B4854" i="12"/>
  <c r="A4854" i="12"/>
  <c r="E4853" i="12"/>
  <c r="D4853" i="12"/>
  <c r="C4853" i="12"/>
  <c r="B4853" i="12"/>
  <c r="A4853" i="12"/>
  <c r="E4852" i="12"/>
  <c r="D4852" i="12"/>
  <c r="C4852" i="12"/>
  <c r="B4852" i="12"/>
  <c r="A4852" i="12"/>
  <c r="E4851" i="12"/>
  <c r="D4851" i="12"/>
  <c r="C4851" i="12"/>
  <c r="B4851" i="12"/>
  <c r="A4851" i="12"/>
  <c r="E4850" i="12"/>
  <c r="D4850" i="12"/>
  <c r="C4850" i="12"/>
  <c r="B4850" i="12"/>
  <c r="A4850" i="12"/>
  <c r="E4849" i="12"/>
  <c r="D4849" i="12"/>
  <c r="C4849" i="12"/>
  <c r="B4849" i="12"/>
  <c r="A4849" i="12"/>
  <c r="E4848" i="12"/>
  <c r="D4848" i="12"/>
  <c r="C4848" i="12"/>
  <c r="B4848" i="12"/>
  <c r="A4848" i="12"/>
  <c r="E4847" i="12"/>
  <c r="D4847" i="12"/>
  <c r="C4847" i="12"/>
  <c r="B4847" i="12"/>
  <c r="A4847" i="12"/>
  <c r="E4846" i="12"/>
  <c r="D4846" i="12"/>
  <c r="C4846" i="12"/>
  <c r="B4846" i="12"/>
  <c r="A4846" i="12"/>
  <c r="G4845" i="12"/>
  <c r="E4845" i="12"/>
  <c r="D4845" i="12"/>
  <c r="C4845" i="12"/>
  <c r="B4845" i="12"/>
  <c r="A4845" i="12"/>
  <c r="E4844" i="12"/>
  <c r="D4844" i="12"/>
  <c r="C4844" i="12"/>
  <c r="B4844" i="12"/>
  <c r="A4844" i="12"/>
  <c r="E4843" i="12"/>
  <c r="D4843" i="12"/>
  <c r="C4843" i="12"/>
  <c r="B4843" i="12"/>
  <c r="A4843" i="12"/>
  <c r="E4842" i="12"/>
  <c r="D4842" i="12"/>
  <c r="C4842" i="12"/>
  <c r="B4842" i="12"/>
  <c r="A4842" i="12"/>
  <c r="E4841" i="12"/>
  <c r="D4841" i="12"/>
  <c r="C4841" i="12"/>
  <c r="B4841" i="12"/>
  <c r="A4841" i="12"/>
  <c r="E4840" i="12"/>
  <c r="D4840" i="12"/>
  <c r="C4840" i="12"/>
  <c r="B4840" i="12"/>
  <c r="A4840" i="12"/>
  <c r="E4839" i="12"/>
  <c r="D4839" i="12"/>
  <c r="C4839" i="12"/>
  <c r="B4839" i="12"/>
  <c r="A4839" i="12"/>
  <c r="E4838" i="12"/>
  <c r="D4838" i="12"/>
  <c r="C4838" i="12"/>
  <c r="B4838" i="12"/>
  <c r="A4838" i="12"/>
  <c r="E4837" i="12"/>
  <c r="D4837" i="12"/>
  <c r="C4837" i="12"/>
  <c r="B4837" i="12"/>
  <c r="A4837" i="12"/>
  <c r="E4836" i="12"/>
  <c r="D4836" i="12"/>
  <c r="C4836" i="12"/>
  <c r="B4836" i="12"/>
  <c r="A4836" i="12"/>
  <c r="E4835" i="12"/>
  <c r="D4835" i="12"/>
  <c r="C4835" i="12"/>
  <c r="B4835" i="12"/>
  <c r="A4835" i="12"/>
  <c r="G4834" i="12"/>
  <c r="E4834" i="12"/>
  <c r="D4834" i="12"/>
  <c r="C4834" i="12"/>
  <c r="B4834" i="12"/>
  <c r="A4834" i="12"/>
  <c r="G4833" i="12"/>
  <c r="E4833" i="12"/>
  <c r="D4833" i="12"/>
  <c r="C4833" i="12"/>
  <c r="B4833" i="12"/>
  <c r="A4833" i="12"/>
  <c r="E4832" i="12"/>
  <c r="D4832" i="12"/>
  <c r="C4832" i="12"/>
  <c r="B4832" i="12"/>
  <c r="A4832" i="12"/>
  <c r="E4831" i="12"/>
  <c r="D4831" i="12"/>
  <c r="C4831" i="12"/>
  <c r="B4831" i="12"/>
  <c r="A4831" i="12"/>
  <c r="E4830" i="12"/>
  <c r="D4830" i="12"/>
  <c r="C4830" i="12"/>
  <c r="B4830" i="12"/>
  <c r="A4830" i="12"/>
  <c r="E4829" i="12"/>
  <c r="D4829" i="12"/>
  <c r="C4829" i="12"/>
  <c r="B4829" i="12"/>
  <c r="A4829" i="12"/>
  <c r="E4828" i="12"/>
  <c r="D4828" i="12"/>
  <c r="C4828" i="12"/>
  <c r="B4828" i="12"/>
  <c r="A4828" i="12"/>
  <c r="G4827" i="12"/>
  <c r="E4827" i="12"/>
  <c r="D4827" i="12"/>
  <c r="C4827" i="12"/>
  <c r="B4827" i="12"/>
  <c r="A4827" i="12"/>
  <c r="E4826" i="12"/>
  <c r="D4826" i="12"/>
  <c r="C4826" i="12"/>
  <c r="B4826" i="12"/>
  <c r="A4826" i="12"/>
  <c r="E4825" i="12"/>
  <c r="D4825" i="12"/>
  <c r="C4825" i="12"/>
  <c r="B4825" i="12"/>
  <c r="A4825" i="12"/>
  <c r="G4824" i="12"/>
  <c r="E4824" i="12"/>
  <c r="D4824" i="12"/>
  <c r="C4824" i="12"/>
  <c r="B4824" i="12"/>
  <c r="A4824" i="12"/>
  <c r="E4823" i="12"/>
  <c r="D4823" i="12"/>
  <c r="C4823" i="12"/>
  <c r="B4823" i="12"/>
  <c r="A4823" i="12"/>
  <c r="E4822" i="12"/>
  <c r="D4822" i="12"/>
  <c r="C4822" i="12"/>
  <c r="B4822" i="12"/>
  <c r="A4822" i="12"/>
  <c r="E4821" i="12"/>
  <c r="D4821" i="12"/>
  <c r="C4821" i="12"/>
  <c r="B4821" i="12"/>
  <c r="A4821" i="12"/>
  <c r="E4820" i="12"/>
  <c r="D4820" i="12"/>
  <c r="C4820" i="12"/>
  <c r="B4820" i="12"/>
  <c r="A4820" i="12"/>
  <c r="E4819" i="12"/>
  <c r="D4819" i="12"/>
  <c r="C4819" i="12"/>
  <c r="B4819" i="12"/>
  <c r="A4819" i="12"/>
  <c r="E4818" i="12"/>
  <c r="D4818" i="12"/>
  <c r="C4818" i="12"/>
  <c r="B4818" i="12"/>
  <c r="A4818" i="12"/>
  <c r="G4817" i="12"/>
  <c r="E4817" i="12"/>
  <c r="D4817" i="12"/>
  <c r="C4817" i="12"/>
  <c r="B4817" i="12"/>
  <c r="A4817" i="12"/>
  <c r="E4816" i="12"/>
  <c r="D4816" i="12"/>
  <c r="C4816" i="12"/>
  <c r="B4816" i="12"/>
  <c r="A4816" i="12"/>
  <c r="E4815" i="12"/>
  <c r="D4815" i="12"/>
  <c r="C4815" i="12"/>
  <c r="B4815" i="12"/>
  <c r="A4815" i="12"/>
  <c r="E4814" i="12"/>
  <c r="D4814" i="12"/>
  <c r="C4814" i="12"/>
  <c r="B4814" i="12"/>
  <c r="A4814" i="12"/>
  <c r="E4813" i="12"/>
  <c r="D4813" i="12"/>
  <c r="C4813" i="12"/>
  <c r="B4813" i="12"/>
  <c r="A4813" i="12"/>
  <c r="G4812" i="12"/>
  <c r="E4812" i="12"/>
  <c r="D4812" i="12"/>
  <c r="C4812" i="12"/>
  <c r="B4812" i="12"/>
  <c r="A4812" i="12"/>
  <c r="E4811" i="12"/>
  <c r="D4811" i="12"/>
  <c r="C4811" i="12"/>
  <c r="B4811" i="12"/>
  <c r="A4811" i="12"/>
  <c r="E4810" i="12"/>
  <c r="D4810" i="12"/>
  <c r="C4810" i="12"/>
  <c r="B4810" i="12"/>
  <c r="A4810" i="12"/>
  <c r="E4809" i="12"/>
  <c r="D4809" i="12"/>
  <c r="C4809" i="12"/>
  <c r="B4809" i="12"/>
  <c r="A4809" i="12"/>
  <c r="E4808" i="12"/>
  <c r="D4808" i="12"/>
  <c r="C4808" i="12"/>
  <c r="B4808" i="12"/>
  <c r="A4808" i="12"/>
  <c r="E4807" i="12"/>
  <c r="D4807" i="12"/>
  <c r="C4807" i="12"/>
  <c r="B4807" i="12"/>
  <c r="A4807" i="12"/>
  <c r="E4806" i="12"/>
  <c r="D4806" i="12"/>
  <c r="C4806" i="12"/>
  <c r="B4806" i="12"/>
  <c r="A4806" i="12"/>
  <c r="E4805" i="12"/>
  <c r="D4805" i="12"/>
  <c r="C4805" i="12"/>
  <c r="B4805" i="12"/>
  <c r="A4805" i="12"/>
  <c r="E4804" i="12"/>
  <c r="D4804" i="12"/>
  <c r="C4804" i="12"/>
  <c r="B4804" i="12"/>
  <c r="A4804" i="12"/>
  <c r="E4803" i="12"/>
  <c r="D4803" i="12"/>
  <c r="C4803" i="12"/>
  <c r="B4803" i="12"/>
  <c r="A4803" i="12"/>
  <c r="E4802" i="12"/>
  <c r="D4802" i="12"/>
  <c r="C4802" i="12"/>
  <c r="B4802" i="12"/>
  <c r="A4802" i="12"/>
  <c r="E4801" i="12"/>
  <c r="D4801" i="12"/>
  <c r="C4801" i="12"/>
  <c r="B4801" i="12"/>
  <c r="A4801" i="12"/>
  <c r="E4800" i="12"/>
  <c r="D4800" i="12"/>
  <c r="C4800" i="12"/>
  <c r="B4800" i="12"/>
  <c r="A4800" i="12"/>
  <c r="E4799" i="12"/>
  <c r="D4799" i="12"/>
  <c r="C4799" i="12"/>
  <c r="B4799" i="12"/>
  <c r="A4799" i="12"/>
  <c r="E4798" i="12"/>
  <c r="D4798" i="12"/>
  <c r="C4798" i="12"/>
  <c r="B4798" i="12"/>
  <c r="A4798" i="12"/>
  <c r="E4797" i="12"/>
  <c r="D4797" i="12"/>
  <c r="C4797" i="12"/>
  <c r="B4797" i="12"/>
  <c r="A4797" i="12"/>
  <c r="E4796" i="12"/>
  <c r="D4796" i="12"/>
  <c r="C4796" i="12"/>
  <c r="B4796" i="12"/>
  <c r="A4796" i="12"/>
  <c r="E4795" i="12"/>
  <c r="D4795" i="12"/>
  <c r="C4795" i="12"/>
  <c r="B4795" i="12"/>
  <c r="A4795" i="12"/>
  <c r="E4794" i="12"/>
  <c r="D4794" i="12"/>
  <c r="C4794" i="12"/>
  <c r="B4794" i="12"/>
  <c r="A4794" i="12"/>
  <c r="E4793" i="12"/>
  <c r="D4793" i="12"/>
  <c r="C4793" i="12"/>
  <c r="B4793" i="12"/>
  <c r="A4793" i="12"/>
  <c r="E4792" i="12"/>
  <c r="D4792" i="12"/>
  <c r="C4792" i="12"/>
  <c r="B4792" i="12"/>
  <c r="A4792" i="12"/>
  <c r="E4791" i="12"/>
  <c r="D4791" i="12"/>
  <c r="C4791" i="12"/>
  <c r="B4791" i="12"/>
  <c r="A4791" i="12"/>
  <c r="E4790" i="12"/>
  <c r="D4790" i="12"/>
  <c r="C4790" i="12"/>
  <c r="B4790" i="12"/>
  <c r="A4790" i="12"/>
  <c r="E4789" i="12"/>
  <c r="D4789" i="12"/>
  <c r="C4789" i="12"/>
  <c r="B4789" i="12"/>
  <c r="A4789" i="12"/>
  <c r="E4788" i="12"/>
  <c r="D4788" i="12"/>
  <c r="C4788" i="12"/>
  <c r="B4788" i="12"/>
  <c r="A4788" i="12"/>
  <c r="E4787" i="12"/>
  <c r="D4787" i="12"/>
  <c r="C4787" i="12"/>
  <c r="B4787" i="12"/>
  <c r="A4787" i="12"/>
  <c r="E4786" i="12"/>
  <c r="D4786" i="12"/>
  <c r="C4786" i="12"/>
  <c r="B4786" i="12"/>
  <c r="A4786" i="12"/>
  <c r="E4785" i="12"/>
  <c r="D4785" i="12"/>
  <c r="C4785" i="12"/>
  <c r="B4785" i="12"/>
  <c r="A4785" i="12"/>
  <c r="E4784" i="12"/>
  <c r="D4784" i="12"/>
  <c r="C4784" i="12"/>
  <c r="B4784" i="12"/>
  <c r="A4784" i="12"/>
  <c r="E4783" i="12"/>
  <c r="D4783" i="12"/>
  <c r="C4783" i="12"/>
  <c r="B4783" i="12"/>
  <c r="A4783" i="12"/>
  <c r="E4782" i="12"/>
  <c r="D4782" i="12"/>
  <c r="C4782" i="12"/>
  <c r="B4782" i="12"/>
  <c r="A4782" i="12"/>
  <c r="E4781" i="12"/>
  <c r="D4781" i="12"/>
  <c r="C4781" i="12"/>
  <c r="B4781" i="12"/>
  <c r="A4781" i="12"/>
  <c r="E4780" i="12"/>
  <c r="D4780" i="12"/>
  <c r="C4780" i="12"/>
  <c r="B4780" i="12"/>
  <c r="A4780" i="12"/>
  <c r="E4779" i="12"/>
  <c r="D4779" i="12"/>
  <c r="C4779" i="12"/>
  <c r="B4779" i="12"/>
  <c r="A4779" i="12"/>
  <c r="E4778" i="12"/>
  <c r="D4778" i="12"/>
  <c r="C4778" i="12"/>
  <c r="B4778" i="12"/>
  <c r="A4778" i="12"/>
  <c r="E4777" i="12"/>
  <c r="D4777" i="12"/>
  <c r="C4777" i="12"/>
  <c r="B4777" i="12"/>
  <c r="A4777" i="12"/>
  <c r="E4776" i="12"/>
  <c r="D4776" i="12"/>
  <c r="C4776" i="12"/>
  <c r="B4776" i="12"/>
  <c r="A4776" i="12"/>
  <c r="E4775" i="12"/>
  <c r="D4775" i="12"/>
  <c r="C4775" i="12"/>
  <c r="B4775" i="12"/>
  <c r="A4775" i="12"/>
  <c r="E4774" i="12"/>
  <c r="D4774" i="12"/>
  <c r="C4774" i="12"/>
  <c r="B4774" i="12"/>
  <c r="A4774" i="12"/>
  <c r="E4773" i="12"/>
  <c r="D4773" i="12"/>
  <c r="C4773" i="12"/>
  <c r="B4773" i="12"/>
  <c r="A4773" i="12"/>
  <c r="E4772" i="12"/>
  <c r="D4772" i="12"/>
  <c r="C4772" i="12"/>
  <c r="B4772" i="12"/>
  <c r="A4772" i="12"/>
  <c r="E4771" i="12"/>
  <c r="D4771" i="12"/>
  <c r="C4771" i="12"/>
  <c r="B4771" i="12"/>
  <c r="A4771" i="12"/>
  <c r="E4770" i="12"/>
  <c r="D4770" i="12"/>
  <c r="C4770" i="12"/>
  <c r="B4770" i="12"/>
  <c r="A4770" i="12"/>
  <c r="E4769" i="12"/>
  <c r="D4769" i="12"/>
  <c r="C4769" i="12"/>
  <c r="B4769" i="12"/>
  <c r="A4769" i="12"/>
  <c r="E4768" i="12"/>
  <c r="D4768" i="12"/>
  <c r="C4768" i="12"/>
  <c r="B4768" i="12"/>
  <c r="A4768" i="12"/>
  <c r="E4767" i="12"/>
  <c r="D4767" i="12"/>
  <c r="C4767" i="12"/>
  <c r="B4767" i="12"/>
  <c r="A4767" i="12"/>
  <c r="E4766" i="12"/>
  <c r="D4766" i="12"/>
  <c r="C4766" i="12"/>
  <c r="B4766" i="12"/>
  <c r="A4766" i="12"/>
  <c r="E4765" i="12"/>
  <c r="D4765" i="12"/>
  <c r="C4765" i="12"/>
  <c r="B4765" i="12"/>
  <c r="A4765" i="12"/>
  <c r="E4764" i="12"/>
  <c r="D4764" i="12"/>
  <c r="C4764" i="12"/>
  <c r="B4764" i="12"/>
  <c r="A4764" i="12"/>
  <c r="E4763" i="12"/>
  <c r="D4763" i="12"/>
  <c r="C4763" i="12"/>
  <c r="B4763" i="12"/>
  <c r="A4763" i="12"/>
  <c r="E4762" i="12"/>
  <c r="D4762" i="12"/>
  <c r="C4762" i="12"/>
  <c r="B4762" i="12"/>
  <c r="A4762" i="12"/>
  <c r="E4761" i="12"/>
  <c r="D4761" i="12"/>
  <c r="C4761" i="12"/>
  <c r="B4761" i="12"/>
  <c r="A4761" i="12"/>
  <c r="E4760" i="12"/>
  <c r="D4760" i="12"/>
  <c r="C4760" i="12"/>
  <c r="B4760" i="12"/>
  <c r="A4760" i="12"/>
  <c r="E4759" i="12"/>
  <c r="D4759" i="12"/>
  <c r="C4759" i="12"/>
  <c r="B4759" i="12"/>
  <c r="A4759" i="12"/>
  <c r="E4758" i="12"/>
  <c r="D4758" i="12"/>
  <c r="C4758" i="12"/>
  <c r="B4758" i="12"/>
  <c r="A4758" i="12"/>
  <c r="E4757" i="12"/>
  <c r="D4757" i="12"/>
  <c r="C4757" i="12"/>
  <c r="B4757" i="12"/>
  <c r="A4757" i="12"/>
  <c r="E4756" i="12"/>
  <c r="D4756" i="12"/>
  <c r="C4756" i="12"/>
  <c r="B4756" i="12"/>
  <c r="A4756" i="12"/>
  <c r="E4755" i="12"/>
  <c r="D4755" i="12"/>
  <c r="C4755" i="12"/>
  <c r="B4755" i="12"/>
  <c r="A4755" i="12"/>
  <c r="E4754" i="12"/>
  <c r="D4754" i="12"/>
  <c r="C4754" i="12"/>
  <c r="B4754" i="12"/>
  <c r="A4754" i="12"/>
  <c r="E4753" i="12"/>
  <c r="D4753" i="12"/>
  <c r="C4753" i="12"/>
  <c r="B4753" i="12"/>
  <c r="A4753" i="12"/>
  <c r="E4752" i="12"/>
  <c r="D4752" i="12"/>
  <c r="C4752" i="12"/>
  <c r="B4752" i="12"/>
  <c r="A4752" i="12"/>
  <c r="E4751" i="12"/>
  <c r="D4751" i="12"/>
  <c r="C4751" i="12"/>
  <c r="B4751" i="12"/>
  <c r="A4751" i="12"/>
  <c r="E4750" i="12"/>
  <c r="D4750" i="12"/>
  <c r="C4750" i="12"/>
  <c r="B4750" i="12"/>
  <c r="A4750" i="12"/>
  <c r="E4749" i="12"/>
  <c r="D4749" i="12"/>
  <c r="C4749" i="12"/>
  <c r="B4749" i="12"/>
  <c r="A4749" i="12"/>
  <c r="E4748" i="12"/>
  <c r="D4748" i="12"/>
  <c r="C4748" i="12"/>
  <c r="B4748" i="12"/>
  <c r="A4748" i="12"/>
  <c r="E4747" i="12"/>
  <c r="D4747" i="12"/>
  <c r="C4747" i="12"/>
  <c r="B4747" i="12"/>
  <c r="A4747" i="12"/>
  <c r="E4746" i="12"/>
  <c r="D4746" i="12"/>
  <c r="C4746" i="12"/>
  <c r="B4746" i="12"/>
  <c r="A4746" i="12"/>
  <c r="E4745" i="12"/>
  <c r="D4745" i="12"/>
  <c r="C4745" i="12"/>
  <c r="B4745" i="12"/>
  <c r="A4745" i="12"/>
  <c r="E4744" i="12"/>
  <c r="D4744" i="12"/>
  <c r="C4744" i="12"/>
  <c r="B4744" i="12"/>
  <c r="A4744" i="12"/>
  <c r="E4743" i="12"/>
  <c r="D4743" i="12"/>
  <c r="C4743" i="12"/>
  <c r="B4743" i="12"/>
  <c r="A4743" i="12"/>
  <c r="E4742" i="12"/>
  <c r="D4742" i="12"/>
  <c r="C4742" i="12"/>
  <c r="B4742" i="12"/>
  <c r="A4742" i="12"/>
  <c r="E4741" i="12"/>
  <c r="D4741" i="12"/>
  <c r="C4741" i="12"/>
  <c r="B4741" i="12"/>
  <c r="A4741" i="12"/>
  <c r="E4740" i="12"/>
  <c r="D4740" i="12"/>
  <c r="C4740" i="12"/>
  <c r="B4740" i="12"/>
  <c r="A4740" i="12"/>
  <c r="E4739" i="12"/>
  <c r="D4739" i="12"/>
  <c r="C4739" i="12"/>
  <c r="B4739" i="12"/>
  <c r="A4739" i="12"/>
  <c r="E4738" i="12"/>
  <c r="D4738" i="12"/>
  <c r="C4738" i="12"/>
  <c r="B4738" i="12"/>
  <c r="A4738" i="12"/>
  <c r="E4737" i="12"/>
  <c r="D4737" i="12"/>
  <c r="C4737" i="12"/>
  <c r="B4737" i="12"/>
  <c r="A4737" i="12"/>
  <c r="E4736" i="12"/>
  <c r="D4736" i="12"/>
  <c r="C4736" i="12"/>
  <c r="B4736" i="12"/>
  <c r="A4736" i="12"/>
  <c r="G4735" i="12"/>
  <c r="E4735" i="12"/>
  <c r="D4735" i="12"/>
  <c r="C4735" i="12"/>
  <c r="B4735" i="12"/>
  <c r="A4735" i="12"/>
  <c r="E4734" i="12"/>
  <c r="D4734" i="12"/>
  <c r="C4734" i="12"/>
  <c r="B4734" i="12"/>
  <c r="A4734" i="12"/>
  <c r="G4733" i="12"/>
  <c r="E4733" i="12"/>
  <c r="D4733" i="12"/>
  <c r="C4733" i="12"/>
  <c r="B4733" i="12"/>
  <c r="A4733" i="12"/>
  <c r="E4732" i="12"/>
  <c r="D4732" i="12"/>
  <c r="C4732" i="12"/>
  <c r="B4732" i="12"/>
  <c r="A4732" i="12"/>
  <c r="E4731" i="12"/>
  <c r="D4731" i="12"/>
  <c r="C4731" i="12"/>
  <c r="B4731" i="12"/>
  <c r="A4731" i="12"/>
  <c r="E4730" i="12"/>
  <c r="D4730" i="12"/>
  <c r="C4730" i="12"/>
  <c r="B4730" i="12"/>
  <c r="A4730" i="12"/>
  <c r="E4729" i="12"/>
  <c r="D4729" i="12"/>
  <c r="C4729" i="12"/>
  <c r="B4729" i="12"/>
  <c r="A4729" i="12"/>
  <c r="E4728" i="12"/>
  <c r="D4728" i="12"/>
  <c r="C4728" i="12"/>
  <c r="B4728" i="12"/>
  <c r="A4728" i="12"/>
  <c r="E4727" i="12"/>
  <c r="D4727" i="12"/>
  <c r="C4727" i="12"/>
  <c r="B4727" i="12"/>
  <c r="A4727" i="12"/>
  <c r="E4726" i="12"/>
  <c r="D4726" i="12"/>
  <c r="C4726" i="12"/>
  <c r="B4726" i="12"/>
  <c r="A4726" i="12"/>
  <c r="E4725" i="12"/>
  <c r="D4725" i="12"/>
  <c r="C4725" i="12"/>
  <c r="B4725" i="12"/>
  <c r="A4725" i="12"/>
  <c r="G4724" i="12"/>
  <c r="E4724" i="12"/>
  <c r="D4724" i="12"/>
  <c r="C4724" i="12"/>
  <c r="B4724" i="12"/>
  <c r="A4724" i="12"/>
  <c r="G4723" i="12"/>
  <c r="E4723" i="12"/>
  <c r="D4723" i="12"/>
  <c r="C4723" i="12"/>
  <c r="B4723" i="12"/>
  <c r="A4723" i="12"/>
  <c r="F4722" i="12"/>
  <c r="E4722" i="12"/>
  <c r="D4722" i="12"/>
  <c r="C4722" i="12"/>
  <c r="B4722" i="12"/>
  <c r="A4722" i="12"/>
  <c r="G4721" i="12"/>
  <c r="E4721" i="12"/>
  <c r="D4721" i="12"/>
  <c r="C4721" i="12"/>
  <c r="B4721" i="12"/>
  <c r="A4721" i="12"/>
  <c r="F4720" i="12"/>
  <c r="E4720" i="12"/>
  <c r="D4720" i="12"/>
  <c r="C4720" i="12"/>
  <c r="B4720" i="12"/>
  <c r="A4720" i="12"/>
  <c r="E4719" i="12"/>
  <c r="D4719" i="12"/>
  <c r="C4719" i="12"/>
  <c r="B4719" i="12"/>
  <c r="A4719" i="12"/>
  <c r="G4718" i="12"/>
  <c r="E4718" i="12"/>
  <c r="D4718" i="12"/>
  <c r="C4718" i="12"/>
  <c r="B4718" i="12"/>
  <c r="A4718" i="12"/>
  <c r="G4717" i="12"/>
  <c r="F4717" i="12"/>
  <c r="E4717" i="12"/>
  <c r="D4717" i="12"/>
  <c r="C4717" i="12"/>
  <c r="B4717" i="12"/>
  <c r="A4717" i="12"/>
  <c r="G4716" i="12"/>
  <c r="E4716" i="12"/>
  <c r="D4716" i="12"/>
  <c r="C4716" i="12"/>
  <c r="B4716" i="12"/>
  <c r="A4716" i="12"/>
  <c r="G4715" i="12"/>
  <c r="E4715" i="12"/>
  <c r="D4715" i="12"/>
  <c r="C4715" i="12"/>
  <c r="B4715" i="12"/>
  <c r="A4715" i="12"/>
  <c r="E4714" i="12"/>
  <c r="D4714" i="12"/>
  <c r="C4714" i="12"/>
  <c r="B4714" i="12"/>
  <c r="A4714" i="12"/>
  <c r="E4713" i="12"/>
  <c r="D4713" i="12"/>
  <c r="C4713" i="12"/>
  <c r="B4713" i="12"/>
  <c r="A4713" i="12"/>
  <c r="G4712" i="12"/>
  <c r="E4712" i="12"/>
  <c r="D4712" i="12"/>
  <c r="C4712" i="12"/>
  <c r="B4712" i="12"/>
  <c r="A4712" i="12"/>
  <c r="F4711" i="12"/>
  <c r="E4711" i="12"/>
  <c r="D4711" i="12"/>
  <c r="C4711" i="12"/>
  <c r="B4711" i="12"/>
  <c r="A4711" i="12"/>
  <c r="E4710" i="12"/>
  <c r="D4710" i="12"/>
  <c r="C4710" i="12"/>
  <c r="B4710" i="12"/>
  <c r="A4710" i="12"/>
  <c r="F4709" i="12"/>
  <c r="E4709" i="12"/>
  <c r="D4709" i="12"/>
  <c r="C4709" i="12"/>
  <c r="B4709" i="12"/>
  <c r="A4709" i="12"/>
  <c r="E4708" i="12"/>
  <c r="D4708" i="12"/>
  <c r="C4708" i="12"/>
  <c r="B4708" i="12"/>
  <c r="A4708" i="12"/>
  <c r="G4707" i="12"/>
  <c r="F4707" i="12"/>
  <c r="E4707" i="12"/>
  <c r="D4707" i="12"/>
  <c r="C4707" i="12"/>
  <c r="B4707" i="12"/>
  <c r="A4707" i="12"/>
  <c r="E4706" i="12"/>
  <c r="D4706" i="12"/>
  <c r="C4706" i="12"/>
  <c r="B4706" i="12"/>
  <c r="A4706" i="12"/>
  <c r="E4705" i="12"/>
  <c r="D4705" i="12"/>
  <c r="C4705" i="12"/>
  <c r="B4705" i="12"/>
  <c r="A4705" i="12"/>
  <c r="E4704" i="12"/>
  <c r="D4704" i="12"/>
  <c r="C4704" i="12"/>
  <c r="B4704" i="12"/>
  <c r="A4704" i="12"/>
  <c r="F4703" i="12"/>
  <c r="E4703" i="12"/>
  <c r="D4703" i="12"/>
  <c r="C4703" i="12"/>
  <c r="B4703" i="12"/>
  <c r="A4703" i="12"/>
  <c r="G4702" i="12"/>
  <c r="E4702" i="12"/>
  <c r="D4702" i="12"/>
  <c r="C4702" i="12"/>
  <c r="B4702" i="12"/>
  <c r="A4702" i="12"/>
  <c r="F4701" i="12"/>
  <c r="E4701" i="12"/>
  <c r="D4701" i="12"/>
  <c r="C4701" i="12"/>
  <c r="B4701" i="12"/>
  <c r="A4701" i="12"/>
  <c r="E4700" i="12"/>
  <c r="D4700" i="12"/>
  <c r="C4700" i="12"/>
  <c r="B4700" i="12"/>
  <c r="A4700" i="12"/>
  <c r="G4699" i="12"/>
  <c r="E4699" i="12"/>
  <c r="D4699" i="12"/>
  <c r="C4699" i="12"/>
  <c r="B4699" i="12"/>
  <c r="A4699" i="12"/>
  <c r="G4698" i="12"/>
  <c r="E4698" i="12"/>
  <c r="D4698" i="12"/>
  <c r="C4698" i="12"/>
  <c r="B4698" i="12"/>
  <c r="A4698" i="12"/>
  <c r="G4697" i="12"/>
  <c r="E4697" i="12"/>
  <c r="D4697" i="12"/>
  <c r="C4697" i="12"/>
  <c r="B4697" i="12"/>
  <c r="A4697" i="12"/>
  <c r="E4696" i="12"/>
  <c r="D4696" i="12"/>
  <c r="C4696" i="12"/>
  <c r="B4696" i="12"/>
  <c r="A4696" i="12"/>
  <c r="E4695" i="12"/>
  <c r="D4695" i="12"/>
  <c r="C4695" i="12"/>
  <c r="B4695" i="12"/>
  <c r="A4695" i="12"/>
  <c r="E4694" i="12"/>
  <c r="D4694" i="12"/>
  <c r="C4694" i="12"/>
  <c r="B4694" i="12"/>
  <c r="A4694" i="12"/>
  <c r="G4693" i="12"/>
  <c r="E4693" i="12"/>
  <c r="D4693" i="12"/>
  <c r="C4693" i="12"/>
  <c r="B4693" i="12"/>
  <c r="A4693" i="12"/>
  <c r="G4692" i="12"/>
  <c r="E4692" i="12"/>
  <c r="D4692" i="12"/>
  <c r="C4692" i="12"/>
  <c r="B4692" i="12"/>
  <c r="A4692" i="12"/>
  <c r="E4691" i="12"/>
  <c r="D4691" i="12"/>
  <c r="C4691" i="12"/>
  <c r="B4691" i="12"/>
  <c r="A4691" i="12"/>
  <c r="G4690" i="12"/>
  <c r="E4690" i="12"/>
  <c r="D4690" i="12"/>
  <c r="C4690" i="12"/>
  <c r="B4690" i="12"/>
  <c r="A4690" i="12"/>
  <c r="G4689" i="12"/>
  <c r="F4689" i="12"/>
  <c r="E4689" i="12"/>
  <c r="D4689" i="12"/>
  <c r="C4689" i="12"/>
  <c r="B4689" i="12"/>
  <c r="A4689" i="12"/>
  <c r="G4688" i="12"/>
  <c r="E4688" i="12"/>
  <c r="D4688" i="12"/>
  <c r="C4688" i="12"/>
  <c r="B4688" i="12"/>
  <c r="A4688" i="12"/>
  <c r="G4687" i="12"/>
  <c r="E4687" i="12"/>
  <c r="D4687" i="12"/>
  <c r="C4687" i="12"/>
  <c r="B4687" i="12"/>
  <c r="A4687" i="12"/>
  <c r="E4686" i="12"/>
  <c r="D4686" i="12"/>
  <c r="C4686" i="12"/>
  <c r="B4686" i="12"/>
  <c r="A4686" i="12"/>
  <c r="G4685" i="12"/>
  <c r="E4685" i="12"/>
  <c r="D4685" i="12"/>
  <c r="C4685" i="12"/>
  <c r="B4685" i="12"/>
  <c r="A4685" i="12"/>
  <c r="E4684" i="12"/>
  <c r="D4684" i="12"/>
  <c r="C4684" i="12"/>
  <c r="B4684" i="12"/>
  <c r="A4684" i="12"/>
  <c r="E4683" i="12"/>
  <c r="D4683" i="12"/>
  <c r="C4683" i="12"/>
  <c r="B4683" i="12"/>
  <c r="A4683" i="12"/>
  <c r="E4682" i="12"/>
  <c r="D4682" i="12"/>
  <c r="C4682" i="12"/>
  <c r="B4682" i="12"/>
  <c r="A4682" i="12"/>
  <c r="G4681" i="12"/>
  <c r="E4681" i="12"/>
  <c r="D4681" i="12"/>
  <c r="C4681" i="12"/>
  <c r="B4681" i="12"/>
  <c r="A4681" i="12"/>
  <c r="G4680" i="12"/>
  <c r="E4680" i="12"/>
  <c r="D4680" i="12"/>
  <c r="C4680" i="12"/>
  <c r="B4680" i="12"/>
  <c r="A4680" i="12"/>
  <c r="E4679" i="12"/>
  <c r="D4679" i="12"/>
  <c r="C4679" i="12"/>
  <c r="B4679" i="12"/>
  <c r="A4679" i="12"/>
  <c r="E4678" i="12"/>
  <c r="D4678" i="12"/>
  <c r="C4678" i="12"/>
  <c r="B4678" i="12"/>
  <c r="A4678" i="12"/>
  <c r="G4677" i="12"/>
  <c r="E4677" i="12"/>
  <c r="D4677" i="12"/>
  <c r="C4677" i="12"/>
  <c r="B4677" i="12"/>
  <c r="A4677" i="12"/>
  <c r="G4676" i="12"/>
  <c r="E4676" i="12"/>
  <c r="D4676" i="12"/>
  <c r="C4676" i="12"/>
  <c r="B4676" i="12"/>
  <c r="A4676" i="12"/>
  <c r="G4675" i="12"/>
  <c r="E4675" i="12"/>
  <c r="D4675" i="12"/>
  <c r="C4675" i="12"/>
  <c r="B4675" i="12"/>
  <c r="A4675" i="12"/>
  <c r="E4674" i="12"/>
  <c r="D4674" i="12"/>
  <c r="C4674" i="12"/>
  <c r="B4674" i="12"/>
  <c r="A4674" i="12"/>
  <c r="G4673" i="12"/>
  <c r="F4673" i="12"/>
  <c r="E4673" i="12"/>
  <c r="D4673" i="12"/>
  <c r="C4673" i="12"/>
  <c r="B4673" i="12"/>
  <c r="A4673" i="12"/>
  <c r="F4672" i="12"/>
  <c r="E4672" i="12"/>
  <c r="D4672" i="12"/>
  <c r="C4672" i="12"/>
  <c r="B4672" i="12"/>
  <c r="A4672" i="12"/>
  <c r="G4671" i="12"/>
  <c r="E4671" i="12"/>
  <c r="D4671" i="12"/>
  <c r="C4671" i="12"/>
  <c r="B4671" i="12"/>
  <c r="A4671" i="12"/>
  <c r="G4670" i="12"/>
  <c r="E4670" i="12"/>
  <c r="D4670" i="12"/>
  <c r="C4670" i="12"/>
  <c r="B4670" i="12"/>
  <c r="A4670" i="12"/>
  <c r="E4669" i="12"/>
  <c r="D4669" i="12"/>
  <c r="C4669" i="12"/>
  <c r="B4669" i="12"/>
  <c r="A4669" i="12"/>
  <c r="E4668" i="12"/>
  <c r="D4668" i="12"/>
  <c r="C4668" i="12"/>
  <c r="B4668" i="12"/>
  <c r="A4668" i="12"/>
  <c r="F4667" i="12"/>
  <c r="E4667" i="12"/>
  <c r="D4667" i="12"/>
  <c r="C4667" i="12"/>
  <c r="B4667" i="12"/>
  <c r="A4667" i="12"/>
  <c r="F4666" i="12"/>
  <c r="E4666" i="12"/>
  <c r="D4666" i="12"/>
  <c r="C4666" i="12"/>
  <c r="B4666" i="12"/>
  <c r="A4666" i="12"/>
  <c r="G4665" i="12"/>
  <c r="E4665" i="12"/>
  <c r="D4665" i="12"/>
  <c r="C4665" i="12"/>
  <c r="B4665" i="12"/>
  <c r="A4665" i="12"/>
  <c r="E4664" i="12"/>
  <c r="D4664" i="12"/>
  <c r="C4664" i="12"/>
  <c r="B4664" i="12"/>
  <c r="A4664" i="12"/>
  <c r="F4663" i="12"/>
  <c r="E4663" i="12"/>
  <c r="D4663" i="12"/>
  <c r="C4663" i="12"/>
  <c r="B4663" i="12"/>
  <c r="A4663" i="12"/>
  <c r="F4662" i="12"/>
  <c r="E4662" i="12"/>
  <c r="D4662" i="12"/>
  <c r="C4662" i="12"/>
  <c r="B4662" i="12"/>
  <c r="A4662" i="12"/>
  <c r="G4661" i="12"/>
  <c r="E4661" i="12"/>
  <c r="D4661" i="12"/>
  <c r="C4661" i="12"/>
  <c r="B4661" i="12"/>
  <c r="A4661" i="12"/>
  <c r="G4660" i="12"/>
  <c r="E4660" i="12"/>
  <c r="D4660" i="12"/>
  <c r="C4660" i="12"/>
  <c r="B4660" i="12"/>
  <c r="A4660" i="12"/>
  <c r="E4659" i="12"/>
  <c r="D4659" i="12"/>
  <c r="C4659" i="12"/>
  <c r="B4659" i="12"/>
  <c r="A4659" i="12"/>
  <c r="F4658" i="12"/>
  <c r="E4658" i="12"/>
  <c r="D4658" i="12"/>
  <c r="C4658" i="12"/>
  <c r="B4658" i="12"/>
  <c r="A4658" i="12"/>
  <c r="G4657" i="12"/>
  <c r="F4657" i="12"/>
  <c r="E4657" i="12"/>
  <c r="D4657" i="12"/>
  <c r="C4657" i="12"/>
  <c r="B4657" i="12"/>
  <c r="A4657" i="12"/>
  <c r="G4656" i="12"/>
  <c r="F4656" i="12"/>
  <c r="E4656" i="12"/>
  <c r="D4656" i="12"/>
  <c r="C4656" i="12"/>
  <c r="B4656" i="12"/>
  <c r="A4656" i="12"/>
  <c r="F4655" i="12"/>
  <c r="E4655" i="12"/>
  <c r="D4655" i="12"/>
  <c r="C4655" i="12"/>
  <c r="B4655" i="12"/>
  <c r="A4655" i="12"/>
  <c r="E4654" i="12"/>
  <c r="D4654" i="12"/>
  <c r="C4654" i="12"/>
  <c r="B4654" i="12"/>
  <c r="A4654" i="12"/>
  <c r="G4653" i="12"/>
  <c r="E4653" i="12"/>
  <c r="D4653" i="12"/>
  <c r="C4653" i="12"/>
  <c r="B4653" i="12"/>
  <c r="A4653" i="12"/>
  <c r="G4652" i="12"/>
  <c r="E4652" i="12"/>
  <c r="D4652" i="12"/>
  <c r="C4652" i="12"/>
  <c r="B4652" i="12"/>
  <c r="A4652" i="12"/>
  <c r="E4651" i="12"/>
  <c r="D4651" i="12"/>
  <c r="C4651" i="12"/>
  <c r="B4651" i="12"/>
  <c r="A4651" i="12"/>
  <c r="G4650" i="12"/>
  <c r="F4650" i="12"/>
  <c r="E4650" i="12"/>
  <c r="D4650" i="12"/>
  <c r="C4650" i="12"/>
  <c r="B4650" i="12"/>
  <c r="A4650" i="12"/>
  <c r="G4649" i="12"/>
  <c r="F4649" i="12"/>
  <c r="E4649" i="12"/>
  <c r="D4649" i="12"/>
  <c r="C4649" i="12"/>
  <c r="B4649" i="12"/>
  <c r="A4649" i="12"/>
  <c r="E4648" i="12"/>
  <c r="D4648" i="12"/>
  <c r="C4648" i="12"/>
  <c r="B4648" i="12"/>
  <c r="A4648" i="12"/>
  <c r="E4647" i="12"/>
  <c r="D4647" i="12"/>
  <c r="C4647" i="12"/>
  <c r="B4647" i="12"/>
  <c r="A4647" i="12"/>
  <c r="E4646" i="12"/>
  <c r="D4646" i="12"/>
  <c r="C4646" i="12"/>
  <c r="B4646" i="12"/>
  <c r="A4646" i="12"/>
  <c r="E4645" i="12"/>
  <c r="D4645" i="12"/>
  <c r="C4645" i="12"/>
  <c r="B4645" i="12"/>
  <c r="A4645" i="12"/>
  <c r="E4644" i="12"/>
  <c r="D4644" i="12"/>
  <c r="C4644" i="12"/>
  <c r="B4644" i="12"/>
  <c r="A4644" i="12"/>
  <c r="E4643" i="12"/>
  <c r="D4643" i="12"/>
  <c r="C4643" i="12"/>
  <c r="B4643" i="12"/>
  <c r="A4643" i="12"/>
  <c r="E4642" i="12"/>
  <c r="D4642" i="12"/>
  <c r="C4642" i="12"/>
  <c r="B4642" i="12"/>
  <c r="A4642" i="12"/>
  <c r="G4641" i="12"/>
  <c r="E4641" i="12"/>
  <c r="D4641" i="12"/>
  <c r="C4641" i="12"/>
  <c r="B4641" i="12"/>
  <c r="A4641" i="12"/>
  <c r="E4640" i="12"/>
  <c r="D4640" i="12"/>
  <c r="C4640" i="12"/>
  <c r="B4640" i="12"/>
  <c r="A4640" i="12"/>
  <c r="E4639" i="12"/>
  <c r="D4639" i="12"/>
  <c r="C4639" i="12"/>
  <c r="B4639" i="12"/>
  <c r="A4639" i="12"/>
  <c r="G4638" i="12"/>
  <c r="E4638" i="12"/>
  <c r="D4638" i="12"/>
  <c r="C4638" i="12"/>
  <c r="B4638" i="12"/>
  <c r="A4638" i="12"/>
  <c r="E4637" i="12"/>
  <c r="D4637" i="12"/>
  <c r="C4637" i="12"/>
  <c r="B4637" i="12"/>
  <c r="A4637" i="12"/>
  <c r="G4636" i="12"/>
  <c r="E4636" i="12"/>
  <c r="D4636" i="12"/>
  <c r="C4636" i="12"/>
  <c r="B4636" i="12"/>
  <c r="A4636" i="12"/>
  <c r="G4635" i="12"/>
  <c r="E4635" i="12"/>
  <c r="D4635" i="12"/>
  <c r="C4635" i="12"/>
  <c r="B4635" i="12"/>
  <c r="A4635" i="12"/>
  <c r="G4634" i="12"/>
  <c r="E4634" i="12"/>
  <c r="D4634" i="12"/>
  <c r="C4634" i="12"/>
  <c r="B4634" i="12"/>
  <c r="A4634" i="12"/>
  <c r="E4633" i="12"/>
  <c r="D4633" i="12"/>
  <c r="C4633" i="12"/>
  <c r="B4633" i="12"/>
  <c r="A4633" i="12"/>
  <c r="E4632" i="12"/>
  <c r="D4632" i="12"/>
  <c r="C4632" i="12"/>
  <c r="B4632" i="12"/>
  <c r="A4632" i="12"/>
  <c r="G4631" i="12"/>
  <c r="E4631" i="12"/>
  <c r="D4631" i="12"/>
  <c r="C4631" i="12"/>
  <c r="B4631" i="12"/>
  <c r="A4631" i="12"/>
  <c r="G4630" i="12"/>
  <c r="E4630" i="12"/>
  <c r="D4630" i="12"/>
  <c r="C4630" i="12"/>
  <c r="B4630" i="12"/>
  <c r="A4630" i="12"/>
  <c r="E4629" i="12"/>
  <c r="D4629" i="12"/>
  <c r="C4629" i="12"/>
  <c r="B4629" i="12"/>
  <c r="A4629" i="12"/>
  <c r="E4628" i="12"/>
  <c r="D4628" i="12"/>
  <c r="C4628" i="12"/>
  <c r="B4628" i="12"/>
  <c r="A4628" i="12"/>
  <c r="E4627" i="12"/>
  <c r="D4627" i="12"/>
  <c r="C4627" i="12"/>
  <c r="B4627" i="12"/>
  <c r="A4627" i="12"/>
  <c r="G4626" i="12"/>
  <c r="E4626" i="12"/>
  <c r="D4626" i="12"/>
  <c r="C4626" i="12"/>
  <c r="B4626" i="12"/>
  <c r="A4626" i="12"/>
  <c r="E4625" i="12"/>
  <c r="D4625" i="12"/>
  <c r="C4625" i="12"/>
  <c r="B4625" i="12"/>
  <c r="A4625" i="12"/>
  <c r="E4624" i="12"/>
  <c r="D4624" i="12"/>
  <c r="C4624" i="12"/>
  <c r="B4624" i="12"/>
  <c r="A4624" i="12"/>
  <c r="G4623" i="12"/>
  <c r="E4623" i="12"/>
  <c r="D4623" i="12"/>
  <c r="C4623" i="12"/>
  <c r="B4623" i="12"/>
  <c r="A4623" i="12"/>
  <c r="E4622" i="12"/>
  <c r="D4622" i="12"/>
  <c r="C4622" i="12"/>
  <c r="B4622" i="12"/>
  <c r="A4622" i="12"/>
  <c r="E4621" i="12"/>
  <c r="D4621" i="12"/>
  <c r="C4621" i="12"/>
  <c r="B4621" i="12"/>
  <c r="A4621" i="12"/>
  <c r="E4620" i="12"/>
  <c r="D4620" i="12"/>
  <c r="C4620" i="12"/>
  <c r="B4620" i="12"/>
  <c r="A4620" i="12"/>
  <c r="E4619" i="12"/>
  <c r="D4619" i="12"/>
  <c r="C4619" i="12"/>
  <c r="B4619" i="12"/>
  <c r="A4619" i="12"/>
  <c r="E4618" i="12"/>
  <c r="D4618" i="12"/>
  <c r="C4618" i="12"/>
  <c r="B4618" i="12"/>
  <c r="A4618" i="12"/>
  <c r="E4617" i="12"/>
  <c r="D4617" i="12"/>
  <c r="C4617" i="12"/>
  <c r="B4617" i="12"/>
  <c r="A4617" i="12"/>
  <c r="G4616" i="12"/>
  <c r="E4616" i="12"/>
  <c r="D4616" i="12"/>
  <c r="C4616" i="12"/>
  <c r="B4616" i="12"/>
  <c r="A4616" i="12"/>
  <c r="G4615" i="12"/>
  <c r="E4615" i="12"/>
  <c r="D4615" i="12"/>
  <c r="C4615" i="12"/>
  <c r="B4615" i="12"/>
  <c r="A4615" i="12"/>
  <c r="G4614" i="12"/>
  <c r="E4614" i="12"/>
  <c r="D4614" i="12"/>
  <c r="C4614" i="12"/>
  <c r="B4614" i="12"/>
  <c r="A4614" i="12"/>
  <c r="F4613" i="12"/>
  <c r="E4613" i="12"/>
  <c r="D4613" i="12"/>
  <c r="C4613" i="12"/>
  <c r="B4613" i="12"/>
  <c r="A4613" i="12"/>
  <c r="F4612" i="12"/>
  <c r="E4612" i="12"/>
  <c r="D4612" i="12"/>
  <c r="C4612" i="12"/>
  <c r="B4612" i="12"/>
  <c r="A4612" i="12"/>
  <c r="G4611" i="12"/>
  <c r="E4611" i="12"/>
  <c r="D4611" i="12"/>
  <c r="C4611" i="12"/>
  <c r="B4611" i="12"/>
  <c r="A4611" i="12"/>
  <c r="E4610" i="12"/>
  <c r="D4610" i="12"/>
  <c r="C4610" i="12"/>
  <c r="B4610" i="12"/>
  <c r="A4610" i="12"/>
  <c r="G4609" i="12"/>
  <c r="E4609" i="12"/>
  <c r="D4609" i="12"/>
  <c r="C4609" i="12"/>
  <c r="B4609" i="12"/>
  <c r="A4609" i="12"/>
  <c r="E4608" i="12"/>
  <c r="D4608" i="12"/>
  <c r="C4608" i="12"/>
  <c r="B4608" i="12"/>
  <c r="A4608" i="12"/>
  <c r="F4607" i="12"/>
  <c r="E4607" i="12"/>
  <c r="D4607" i="12"/>
  <c r="C4607" i="12"/>
  <c r="B4607" i="12"/>
  <c r="A4607" i="12"/>
  <c r="G4606" i="12"/>
  <c r="E4606" i="12"/>
  <c r="D4606" i="12"/>
  <c r="C4606" i="12"/>
  <c r="B4606" i="12"/>
  <c r="A4606" i="12"/>
  <c r="G4605" i="12"/>
  <c r="E4605" i="12"/>
  <c r="D4605" i="12"/>
  <c r="C4605" i="12"/>
  <c r="B4605" i="12"/>
  <c r="A4605" i="12"/>
  <c r="E4604" i="12"/>
  <c r="D4604" i="12"/>
  <c r="C4604" i="12"/>
  <c r="B4604" i="12"/>
  <c r="A4604" i="12"/>
  <c r="G4603" i="12"/>
  <c r="E4603" i="12"/>
  <c r="D4603" i="12"/>
  <c r="C4603" i="12"/>
  <c r="B4603" i="12"/>
  <c r="A4603" i="12"/>
  <c r="G4602" i="12"/>
  <c r="F4602" i="12"/>
  <c r="E4602" i="12"/>
  <c r="D4602" i="12"/>
  <c r="C4602" i="12"/>
  <c r="B4602" i="12"/>
  <c r="A4602" i="12"/>
  <c r="F4601" i="12"/>
  <c r="E4601" i="12"/>
  <c r="D4601" i="12"/>
  <c r="C4601" i="12"/>
  <c r="B4601" i="12"/>
  <c r="A4601" i="12"/>
  <c r="E4600" i="12"/>
  <c r="D4600" i="12"/>
  <c r="C4600" i="12"/>
  <c r="B4600" i="12"/>
  <c r="A4600" i="12"/>
  <c r="G4599" i="12"/>
  <c r="F4599" i="12"/>
  <c r="E4599" i="12"/>
  <c r="D4599" i="12"/>
  <c r="C4599" i="12"/>
  <c r="B4599" i="12"/>
  <c r="A4599" i="12"/>
  <c r="G4598" i="12"/>
  <c r="F4598" i="12"/>
  <c r="E4598" i="12"/>
  <c r="D4598" i="12"/>
  <c r="C4598" i="12"/>
  <c r="B4598" i="12"/>
  <c r="A4598" i="12"/>
  <c r="F4597" i="12"/>
  <c r="E4597" i="12"/>
  <c r="D4597" i="12"/>
  <c r="C4597" i="12"/>
  <c r="B4597" i="12"/>
  <c r="A4597" i="12"/>
  <c r="G4596" i="12"/>
  <c r="E4596" i="12"/>
  <c r="D4596" i="12"/>
  <c r="C4596" i="12"/>
  <c r="B4596" i="12"/>
  <c r="A4596" i="12"/>
  <c r="E4595" i="12"/>
  <c r="D4595" i="12"/>
  <c r="C4595" i="12"/>
  <c r="B4595" i="12"/>
  <c r="A4595" i="12"/>
  <c r="E4594" i="12"/>
  <c r="D4594" i="12"/>
  <c r="C4594" i="12"/>
  <c r="B4594" i="12"/>
  <c r="A4594" i="12"/>
  <c r="F4593" i="12"/>
  <c r="E4593" i="12"/>
  <c r="D4593" i="12"/>
  <c r="C4593" i="12"/>
  <c r="B4593" i="12"/>
  <c r="A4593" i="12"/>
  <c r="F4592" i="12"/>
  <c r="E4592" i="12"/>
  <c r="D4592" i="12"/>
  <c r="C4592" i="12"/>
  <c r="B4592" i="12"/>
  <c r="A4592" i="12"/>
  <c r="E4591" i="12"/>
  <c r="D4591" i="12"/>
  <c r="C4591" i="12"/>
  <c r="B4591" i="12"/>
  <c r="A4591" i="12"/>
  <c r="E4590" i="12"/>
  <c r="D4590" i="12"/>
  <c r="C4590" i="12"/>
  <c r="B4590" i="12"/>
  <c r="A4590" i="12"/>
  <c r="G4589" i="12"/>
  <c r="E4589" i="12"/>
  <c r="D4589" i="12"/>
  <c r="C4589" i="12"/>
  <c r="B4589" i="12"/>
  <c r="A4589" i="12"/>
  <c r="G4588" i="12"/>
  <c r="F4588" i="12"/>
  <c r="E4588" i="12"/>
  <c r="D4588" i="12"/>
  <c r="C4588" i="12"/>
  <c r="B4588" i="12"/>
  <c r="A4588" i="12"/>
  <c r="G4587" i="12"/>
  <c r="E4587" i="12"/>
  <c r="D4587" i="12"/>
  <c r="C4587" i="12"/>
  <c r="B4587" i="12"/>
  <c r="A4587" i="12"/>
  <c r="G4586" i="12"/>
  <c r="E4586" i="12"/>
  <c r="D4586" i="12"/>
  <c r="C4586" i="12"/>
  <c r="B4586" i="12"/>
  <c r="A4586" i="12"/>
  <c r="G4585" i="12"/>
  <c r="F4585" i="12"/>
  <c r="E4585" i="12"/>
  <c r="D4585" i="12"/>
  <c r="C4585" i="12"/>
  <c r="B4585" i="12"/>
  <c r="A4585" i="12"/>
  <c r="G4584" i="12"/>
  <c r="F4584" i="12"/>
  <c r="E4584" i="12"/>
  <c r="D4584" i="12"/>
  <c r="C4584" i="12"/>
  <c r="B4584" i="12"/>
  <c r="A4584" i="12"/>
  <c r="G4583" i="12"/>
  <c r="F4583" i="12"/>
  <c r="E4583" i="12"/>
  <c r="D4583" i="12"/>
  <c r="C4583" i="12"/>
  <c r="B4583" i="12"/>
  <c r="A4583" i="12"/>
  <c r="G4582" i="12"/>
  <c r="F4582" i="12"/>
  <c r="E4582" i="12"/>
  <c r="D4582" i="12"/>
  <c r="C4582" i="12"/>
  <c r="B4582" i="12"/>
  <c r="A4582" i="12"/>
  <c r="G4581" i="12"/>
  <c r="F4581" i="12"/>
  <c r="E4581" i="12"/>
  <c r="D4581" i="12"/>
  <c r="C4581" i="12"/>
  <c r="B4581" i="12"/>
  <c r="A4581" i="12"/>
  <c r="G4580" i="12"/>
  <c r="F4580" i="12"/>
  <c r="E4580" i="12"/>
  <c r="D4580" i="12"/>
  <c r="C4580" i="12"/>
  <c r="B4580" i="12"/>
  <c r="A4580" i="12"/>
  <c r="G4579" i="12"/>
  <c r="F4579" i="12"/>
  <c r="E4579" i="12"/>
  <c r="D4579" i="12"/>
  <c r="C4579" i="12"/>
  <c r="B4579" i="12"/>
  <c r="A4579" i="12"/>
  <c r="G4578" i="12"/>
  <c r="F4578" i="12"/>
  <c r="E4578" i="12"/>
  <c r="D4578" i="12"/>
  <c r="C4578" i="12"/>
  <c r="B4578" i="12"/>
  <c r="A4578" i="12"/>
  <c r="G4577" i="12"/>
  <c r="F4577" i="12"/>
  <c r="E4577" i="12"/>
  <c r="D4577" i="12"/>
  <c r="C4577" i="12"/>
  <c r="B4577" i="12"/>
  <c r="A4577" i="12"/>
  <c r="G4576" i="12"/>
  <c r="F4576" i="12"/>
  <c r="E4576" i="12"/>
  <c r="D4576" i="12"/>
  <c r="C4576" i="12"/>
  <c r="B4576" i="12"/>
  <c r="A4576" i="12"/>
  <c r="G4575" i="12"/>
  <c r="F4575" i="12"/>
  <c r="E4575" i="12"/>
  <c r="D4575" i="12"/>
  <c r="C4575" i="12"/>
  <c r="B4575" i="12"/>
  <c r="A4575" i="12"/>
  <c r="F4574" i="12"/>
  <c r="E4574" i="12"/>
  <c r="D4574" i="12"/>
  <c r="C4574" i="12"/>
  <c r="B4574" i="12"/>
  <c r="A4574" i="12"/>
  <c r="G4573" i="12"/>
  <c r="F4573" i="12"/>
  <c r="E4573" i="12"/>
  <c r="D4573" i="12"/>
  <c r="C4573" i="12"/>
  <c r="B4573" i="12"/>
  <c r="A4573" i="12"/>
  <c r="G4572" i="12"/>
  <c r="F4572" i="12"/>
  <c r="E4572" i="12"/>
  <c r="D4572" i="12"/>
  <c r="C4572" i="12"/>
  <c r="B4572" i="12"/>
  <c r="A4572" i="12"/>
  <c r="G4571" i="12"/>
  <c r="F4571" i="12"/>
  <c r="E4571" i="12"/>
  <c r="D4571" i="12"/>
  <c r="C4571" i="12"/>
  <c r="B4571" i="12"/>
  <c r="A4571" i="12"/>
  <c r="F4570" i="12"/>
  <c r="E4570" i="12"/>
  <c r="D4570" i="12"/>
  <c r="C4570" i="12"/>
  <c r="B4570" i="12"/>
  <c r="A4570" i="12"/>
  <c r="G4569" i="12"/>
  <c r="F4569" i="12"/>
  <c r="E4569" i="12"/>
  <c r="D4569" i="12"/>
  <c r="C4569" i="12"/>
  <c r="B4569" i="12"/>
  <c r="A4569" i="12"/>
  <c r="G4568" i="12"/>
  <c r="F4568" i="12"/>
  <c r="E4568" i="12"/>
  <c r="D4568" i="12"/>
  <c r="C4568" i="12"/>
  <c r="B4568" i="12"/>
  <c r="A4568" i="12"/>
  <c r="G4567" i="12"/>
  <c r="F4567" i="12"/>
  <c r="E4567" i="12"/>
  <c r="D4567" i="12"/>
  <c r="C4567" i="12"/>
  <c r="B4567" i="12"/>
  <c r="A4567" i="12"/>
  <c r="G4566" i="12"/>
  <c r="E4566" i="12"/>
  <c r="D4566" i="12"/>
  <c r="C4566" i="12"/>
  <c r="B4566" i="12"/>
  <c r="A4566" i="12"/>
  <c r="G4565" i="12"/>
  <c r="E4565" i="12"/>
  <c r="D4565" i="12"/>
  <c r="C4565" i="12"/>
  <c r="B4565" i="12"/>
  <c r="A4565" i="12"/>
  <c r="G4564" i="12"/>
  <c r="E4564" i="12"/>
  <c r="D4564" i="12"/>
  <c r="C4564" i="12"/>
  <c r="B4564" i="12"/>
  <c r="A4564" i="12"/>
  <c r="G4563" i="12"/>
  <c r="F4563" i="12"/>
  <c r="E4563" i="12"/>
  <c r="D4563" i="12"/>
  <c r="C4563" i="12"/>
  <c r="B4563" i="12"/>
  <c r="A4563" i="12"/>
  <c r="G4562" i="12"/>
  <c r="F4562" i="12"/>
  <c r="E4562" i="12"/>
  <c r="D4562" i="12"/>
  <c r="C4562" i="12"/>
  <c r="B4562" i="12"/>
  <c r="A4562" i="12"/>
  <c r="G4561" i="12"/>
  <c r="E4561" i="12"/>
  <c r="D4561" i="12"/>
  <c r="C4561" i="12"/>
  <c r="B4561" i="12"/>
  <c r="A4561" i="12"/>
  <c r="G4560" i="12"/>
  <c r="E4560" i="12"/>
  <c r="D4560" i="12"/>
  <c r="C4560" i="12"/>
  <c r="B4560" i="12"/>
  <c r="A4560" i="12"/>
  <c r="F4559" i="12"/>
  <c r="E4559" i="12"/>
  <c r="D4559" i="12"/>
  <c r="C4559" i="12"/>
  <c r="B4559" i="12"/>
  <c r="A4559" i="12"/>
  <c r="G4558" i="12"/>
  <c r="E4558" i="12"/>
  <c r="D4558" i="12"/>
  <c r="C4558" i="12"/>
  <c r="B4558" i="12"/>
  <c r="A4558" i="12"/>
  <c r="G4557" i="12"/>
  <c r="F4557" i="12"/>
  <c r="E4557" i="12"/>
  <c r="D4557" i="12"/>
  <c r="C4557" i="12"/>
  <c r="B4557" i="12"/>
  <c r="A4557" i="12"/>
  <c r="G4556" i="12"/>
  <c r="E4556" i="12"/>
  <c r="D4556" i="12"/>
  <c r="C4556" i="12"/>
  <c r="B4556" i="12"/>
  <c r="A4556" i="12"/>
  <c r="G4555" i="12"/>
  <c r="F4555" i="12"/>
  <c r="E4555" i="12"/>
  <c r="D4555" i="12"/>
  <c r="C4555" i="12"/>
  <c r="B4555" i="12"/>
  <c r="A4555" i="12"/>
  <c r="G4554" i="12"/>
  <c r="F4554" i="12"/>
  <c r="E4554" i="12"/>
  <c r="D4554" i="12"/>
  <c r="C4554" i="12"/>
  <c r="B4554" i="12"/>
  <c r="A4554" i="12"/>
  <c r="G4553" i="12"/>
  <c r="F4553" i="12"/>
  <c r="E4553" i="12"/>
  <c r="D4553" i="12"/>
  <c r="C4553" i="12"/>
  <c r="B4553" i="12"/>
  <c r="A4553" i="12"/>
  <c r="G4552" i="12"/>
  <c r="E4552" i="12"/>
  <c r="D4552" i="12"/>
  <c r="C4552" i="12"/>
  <c r="B4552" i="12"/>
  <c r="A4552" i="12"/>
  <c r="G4551" i="12"/>
  <c r="E4551" i="12"/>
  <c r="D4551" i="12"/>
  <c r="C4551" i="12"/>
  <c r="B4551" i="12"/>
  <c r="A4551" i="12"/>
  <c r="G4550" i="12"/>
  <c r="F4550" i="12"/>
  <c r="E4550" i="12"/>
  <c r="D4550" i="12"/>
  <c r="C4550" i="12"/>
  <c r="B4550" i="12"/>
  <c r="A4550" i="12"/>
  <c r="G4549" i="12"/>
  <c r="F4549" i="12"/>
  <c r="E4549" i="12"/>
  <c r="D4549" i="12"/>
  <c r="C4549" i="12"/>
  <c r="B4549" i="12"/>
  <c r="A4549" i="12"/>
  <c r="G4548" i="12"/>
  <c r="F4548" i="12"/>
  <c r="E4548" i="12"/>
  <c r="D4548" i="12"/>
  <c r="C4548" i="12"/>
  <c r="B4548" i="12"/>
  <c r="A4548" i="12"/>
  <c r="G4547" i="12"/>
  <c r="E4547" i="12"/>
  <c r="D4547" i="12"/>
  <c r="C4547" i="12"/>
  <c r="B4547" i="12"/>
  <c r="A4547" i="12"/>
  <c r="G4546" i="12"/>
  <c r="E4546" i="12"/>
  <c r="D4546" i="12"/>
  <c r="C4546" i="12"/>
  <c r="B4546" i="12"/>
  <c r="A4546" i="12"/>
  <c r="G4545" i="12"/>
  <c r="F4545" i="12"/>
  <c r="E4545" i="12"/>
  <c r="D4545" i="12"/>
  <c r="C4545" i="12"/>
  <c r="B4545" i="12"/>
  <c r="A4545" i="12"/>
  <c r="G4544" i="12"/>
  <c r="F4544" i="12"/>
  <c r="E4544" i="12"/>
  <c r="D4544" i="12"/>
  <c r="C4544" i="12"/>
  <c r="B4544" i="12"/>
  <c r="A4544" i="12"/>
  <c r="G4543" i="12"/>
  <c r="E4543" i="12"/>
  <c r="D4543" i="12"/>
  <c r="C4543" i="12"/>
  <c r="B4543" i="12"/>
  <c r="A4543" i="12"/>
  <c r="G4542" i="12"/>
  <c r="E4542" i="12"/>
  <c r="D4542" i="12"/>
  <c r="C4542" i="12"/>
  <c r="B4542" i="12"/>
  <c r="A4542" i="12"/>
  <c r="G4541" i="12"/>
  <c r="E4541" i="12"/>
  <c r="D4541" i="12"/>
  <c r="C4541" i="12"/>
  <c r="B4541" i="12"/>
  <c r="A4541" i="12"/>
  <c r="G4540" i="12"/>
  <c r="E4540" i="12"/>
  <c r="D4540" i="12"/>
  <c r="C4540" i="12"/>
  <c r="B4540" i="12"/>
  <c r="A4540" i="12"/>
  <c r="G4539" i="12"/>
  <c r="E4539" i="12"/>
  <c r="D4539" i="12"/>
  <c r="C4539" i="12"/>
  <c r="B4539" i="12"/>
  <c r="A4539" i="12"/>
  <c r="G4538" i="12"/>
  <c r="E4538" i="12"/>
  <c r="D4538" i="12"/>
  <c r="C4538" i="12"/>
  <c r="B4538" i="12"/>
  <c r="A4538" i="12"/>
  <c r="G4537" i="12"/>
  <c r="E4537" i="12"/>
  <c r="D4537" i="12"/>
  <c r="C4537" i="12"/>
  <c r="B4537" i="12"/>
  <c r="A4537" i="12"/>
  <c r="G4536" i="12"/>
  <c r="F4536" i="12"/>
  <c r="E4536" i="12"/>
  <c r="D4536" i="12"/>
  <c r="C4536" i="12"/>
  <c r="B4536" i="12"/>
  <c r="A4536" i="12"/>
  <c r="G4535" i="12"/>
  <c r="F4535" i="12"/>
  <c r="E4535" i="12"/>
  <c r="D4535" i="12"/>
  <c r="C4535" i="12"/>
  <c r="B4535" i="12"/>
  <c r="A4535" i="12"/>
  <c r="G4534" i="12"/>
  <c r="F4534" i="12"/>
  <c r="E4534" i="12"/>
  <c r="D4534" i="12"/>
  <c r="C4534" i="12"/>
  <c r="B4534" i="12"/>
  <c r="A4534" i="12"/>
  <c r="G4533" i="12"/>
  <c r="F4533" i="12"/>
  <c r="E4533" i="12"/>
  <c r="D4533" i="12"/>
  <c r="C4533" i="12"/>
  <c r="B4533" i="12"/>
  <c r="A4533" i="12"/>
  <c r="G4532" i="12"/>
  <c r="F4532" i="12"/>
  <c r="E4532" i="12"/>
  <c r="D4532" i="12"/>
  <c r="C4532" i="12"/>
  <c r="B4532" i="12"/>
  <c r="A4532" i="12"/>
  <c r="G4531" i="12"/>
  <c r="F4531" i="12"/>
  <c r="E4531" i="12"/>
  <c r="D4531" i="12"/>
  <c r="C4531" i="12"/>
  <c r="B4531" i="12"/>
  <c r="A4531" i="12"/>
  <c r="G4530" i="12"/>
  <c r="F4530" i="12"/>
  <c r="E4530" i="12"/>
  <c r="D4530" i="12"/>
  <c r="C4530" i="12"/>
  <c r="B4530" i="12"/>
  <c r="A4530" i="12"/>
  <c r="G4529" i="12"/>
  <c r="F4529" i="12"/>
  <c r="E4529" i="12"/>
  <c r="D4529" i="12"/>
  <c r="C4529" i="12"/>
  <c r="B4529" i="12"/>
  <c r="A4529" i="12"/>
  <c r="G4528" i="12"/>
  <c r="E4528" i="12"/>
  <c r="D4528" i="12"/>
  <c r="C4528" i="12"/>
  <c r="B4528" i="12"/>
  <c r="A4528" i="12"/>
  <c r="G4527" i="12"/>
  <c r="E4527" i="12"/>
  <c r="D4527" i="12"/>
  <c r="C4527" i="12"/>
  <c r="B4527" i="12"/>
  <c r="A4527" i="12"/>
  <c r="G4526" i="12"/>
  <c r="F4526" i="12"/>
  <c r="E4526" i="12"/>
  <c r="D4526" i="12"/>
  <c r="C4526" i="12"/>
  <c r="B4526" i="12"/>
  <c r="A4526" i="12"/>
  <c r="G4525" i="12"/>
  <c r="F4525" i="12"/>
  <c r="E4525" i="12"/>
  <c r="D4525" i="12"/>
  <c r="C4525" i="12"/>
  <c r="B4525" i="12"/>
  <c r="A4525" i="12"/>
  <c r="G4524" i="12"/>
  <c r="F4524" i="12"/>
  <c r="E4524" i="12"/>
  <c r="D4524" i="12"/>
  <c r="C4524" i="12"/>
  <c r="B4524" i="12"/>
  <c r="A4524" i="12"/>
  <c r="G4523" i="12"/>
  <c r="F4523" i="12"/>
  <c r="E4523" i="12"/>
  <c r="D4523" i="12"/>
  <c r="C4523" i="12"/>
  <c r="B4523" i="12"/>
  <c r="A4523" i="12"/>
  <c r="G4522" i="12"/>
  <c r="F4522" i="12"/>
  <c r="E4522" i="12"/>
  <c r="D4522" i="12"/>
  <c r="C4522" i="12"/>
  <c r="B4522" i="12"/>
  <c r="A4522" i="12"/>
  <c r="G4521" i="12"/>
  <c r="F4521" i="12"/>
  <c r="E4521" i="12"/>
  <c r="D4521" i="12"/>
  <c r="C4521" i="12"/>
  <c r="B4521" i="12"/>
  <c r="A4521" i="12"/>
  <c r="G4520" i="12"/>
  <c r="F4520" i="12"/>
  <c r="E4520" i="12"/>
  <c r="D4520" i="12"/>
  <c r="C4520" i="12"/>
  <c r="B4520" i="12"/>
  <c r="A4520" i="12"/>
  <c r="G4519" i="12"/>
  <c r="F4519" i="12"/>
  <c r="E4519" i="12"/>
  <c r="D4519" i="12"/>
  <c r="C4519" i="12"/>
  <c r="B4519" i="12"/>
  <c r="A4519" i="12"/>
  <c r="G4518" i="12"/>
  <c r="F4518" i="12"/>
  <c r="E4518" i="12"/>
  <c r="D4518" i="12"/>
  <c r="C4518" i="12"/>
  <c r="B4518" i="12"/>
  <c r="A4518" i="12"/>
  <c r="G4517" i="12"/>
  <c r="F4517" i="12"/>
  <c r="E4517" i="12"/>
  <c r="D4517" i="12"/>
  <c r="C4517" i="12"/>
  <c r="B4517" i="12"/>
  <c r="A4517" i="12"/>
  <c r="G4516" i="12"/>
  <c r="F4516" i="12"/>
  <c r="E4516" i="12"/>
  <c r="D4516" i="12"/>
  <c r="C4516" i="12"/>
  <c r="B4516" i="12"/>
  <c r="A4516" i="12"/>
  <c r="G4515" i="12"/>
  <c r="F4515" i="12"/>
  <c r="E4515" i="12"/>
  <c r="D4515" i="12"/>
  <c r="C4515" i="12"/>
  <c r="B4515" i="12"/>
  <c r="A4515" i="12"/>
  <c r="G4514" i="12"/>
  <c r="F4514" i="12"/>
  <c r="E4514" i="12"/>
  <c r="D4514" i="12"/>
  <c r="C4514" i="12"/>
  <c r="B4514" i="12"/>
  <c r="A4514" i="12"/>
  <c r="G4513" i="12"/>
  <c r="F4513" i="12"/>
  <c r="E4513" i="12"/>
  <c r="D4513" i="12"/>
  <c r="C4513" i="12"/>
  <c r="B4513" i="12"/>
  <c r="A4513" i="12"/>
  <c r="G4512" i="12"/>
  <c r="F4512" i="12"/>
  <c r="E4512" i="12"/>
  <c r="D4512" i="12"/>
  <c r="C4512" i="12"/>
  <c r="B4512" i="12"/>
  <c r="A4512" i="12"/>
  <c r="G4511" i="12"/>
  <c r="F4511" i="12"/>
  <c r="E4511" i="12"/>
  <c r="D4511" i="12"/>
  <c r="C4511" i="12"/>
  <c r="B4511" i="12"/>
  <c r="A4511" i="12"/>
  <c r="G4510" i="12"/>
  <c r="F4510" i="12"/>
  <c r="E4510" i="12"/>
  <c r="D4510" i="12"/>
  <c r="C4510" i="12"/>
  <c r="B4510" i="12"/>
  <c r="A4510" i="12"/>
  <c r="G4509" i="12"/>
  <c r="F4509" i="12"/>
  <c r="E4509" i="12"/>
  <c r="D4509" i="12"/>
  <c r="C4509" i="12"/>
  <c r="B4509" i="12"/>
  <c r="A4509" i="12"/>
  <c r="G4508" i="12"/>
  <c r="F4508" i="12"/>
  <c r="E4508" i="12"/>
  <c r="D4508" i="12"/>
  <c r="C4508" i="12"/>
  <c r="B4508" i="12"/>
  <c r="A4508" i="12"/>
  <c r="G4507" i="12"/>
  <c r="F4507" i="12"/>
  <c r="E4507" i="12"/>
  <c r="D4507" i="12"/>
  <c r="C4507" i="12"/>
  <c r="B4507" i="12"/>
  <c r="A4507" i="12"/>
  <c r="G4506" i="12"/>
  <c r="F4506" i="12"/>
  <c r="E4506" i="12"/>
  <c r="D4506" i="12"/>
  <c r="C4506" i="12"/>
  <c r="B4506" i="12"/>
  <c r="A4506" i="12"/>
  <c r="G4505" i="12"/>
  <c r="F4505" i="12"/>
  <c r="E4505" i="12"/>
  <c r="D4505" i="12"/>
  <c r="C4505" i="12"/>
  <c r="B4505" i="12"/>
  <c r="A4505" i="12"/>
  <c r="G4504" i="12"/>
  <c r="F4504" i="12"/>
  <c r="E4504" i="12"/>
  <c r="D4504" i="12"/>
  <c r="C4504" i="12"/>
  <c r="B4504" i="12"/>
  <c r="A4504" i="12"/>
  <c r="G4503" i="12"/>
  <c r="F4503" i="12"/>
  <c r="E4503" i="12"/>
  <c r="D4503" i="12"/>
  <c r="C4503" i="12"/>
  <c r="B4503" i="12"/>
  <c r="A4503" i="12"/>
  <c r="G4502" i="12"/>
  <c r="F4502" i="12"/>
  <c r="E4502" i="12"/>
  <c r="D4502" i="12"/>
  <c r="C4502" i="12"/>
  <c r="B4502" i="12"/>
  <c r="A4502" i="12"/>
  <c r="G4501" i="12"/>
  <c r="F4501" i="12"/>
  <c r="E4501" i="12"/>
  <c r="D4501" i="12"/>
  <c r="C4501" i="12"/>
  <c r="B4501" i="12"/>
  <c r="A4501" i="12"/>
  <c r="F4500" i="12"/>
  <c r="E4500" i="12"/>
  <c r="D4500" i="12"/>
  <c r="C4500" i="12"/>
  <c r="B4500" i="12"/>
  <c r="A4500" i="12"/>
  <c r="E4499" i="12"/>
  <c r="D4499" i="12"/>
  <c r="C4499" i="12"/>
  <c r="B4499" i="12"/>
  <c r="A4499" i="12"/>
  <c r="E4498" i="12"/>
  <c r="D4498" i="12"/>
  <c r="C4498" i="12"/>
  <c r="B4498" i="12"/>
  <c r="A4498" i="12"/>
  <c r="F4497" i="12"/>
  <c r="E4497" i="12"/>
  <c r="D4497" i="12"/>
  <c r="C4497" i="12"/>
  <c r="B4497" i="12"/>
  <c r="A4497" i="12"/>
  <c r="E4496" i="12"/>
  <c r="D4496" i="12"/>
  <c r="C4496" i="12"/>
  <c r="B4496" i="12"/>
  <c r="A4496" i="12"/>
  <c r="G4495" i="12"/>
  <c r="E4495" i="12"/>
  <c r="D4495" i="12"/>
  <c r="C4495" i="12"/>
  <c r="B4495" i="12"/>
  <c r="A4495" i="12"/>
  <c r="F4494" i="12"/>
  <c r="E4494" i="12"/>
  <c r="D4494" i="12"/>
  <c r="C4494" i="12"/>
  <c r="B4494" i="12"/>
  <c r="A4494" i="12"/>
  <c r="E4493" i="12"/>
  <c r="D4493" i="12"/>
  <c r="C4493" i="12"/>
  <c r="B4493" i="12"/>
  <c r="A4493" i="12"/>
  <c r="G4492" i="12"/>
  <c r="E4492" i="12"/>
  <c r="D4492" i="12"/>
  <c r="C4492" i="12"/>
  <c r="B4492" i="12"/>
  <c r="A4492" i="12"/>
  <c r="F4491" i="12"/>
  <c r="E4491" i="12"/>
  <c r="D4491" i="12"/>
  <c r="C4491" i="12"/>
  <c r="B4491" i="12"/>
  <c r="A4491" i="12"/>
  <c r="F4490" i="12"/>
  <c r="E4490" i="12"/>
  <c r="D4490" i="12"/>
  <c r="C4490" i="12"/>
  <c r="B4490" i="12"/>
  <c r="A4490" i="12"/>
  <c r="G4489" i="12"/>
  <c r="E4489" i="12"/>
  <c r="D4489" i="12"/>
  <c r="C4489" i="12"/>
  <c r="B4489" i="12"/>
  <c r="A4489" i="12"/>
  <c r="F4488" i="12"/>
  <c r="E4488" i="12"/>
  <c r="D4488" i="12"/>
  <c r="C4488" i="12"/>
  <c r="B4488" i="12"/>
  <c r="A4488" i="12"/>
  <c r="E4487" i="12"/>
  <c r="D4487" i="12"/>
  <c r="C4487" i="12"/>
  <c r="B4487" i="12"/>
  <c r="A4487" i="12"/>
  <c r="F4486" i="12"/>
  <c r="E4486" i="12"/>
  <c r="D4486" i="12"/>
  <c r="C4486" i="12"/>
  <c r="B4486" i="12"/>
  <c r="A4486" i="12"/>
  <c r="E4485" i="12"/>
  <c r="D4485" i="12"/>
  <c r="C4485" i="12"/>
  <c r="B4485" i="12"/>
  <c r="A4485" i="12"/>
  <c r="G4484" i="12"/>
  <c r="E4484" i="12"/>
  <c r="D4484" i="12"/>
  <c r="C4484" i="12"/>
  <c r="B4484" i="12"/>
  <c r="A4484" i="12"/>
  <c r="E4483" i="12"/>
  <c r="D4483" i="12"/>
  <c r="C4483" i="12"/>
  <c r="B4483" i="12"/>
  <c r="A4483" i="12"/>
  <c r="G4482" i="12"/>
  <c r="E4482" i="12"/>
  <c r="D4482" i="12"/>
  <c r="C4482" i="12"/>
  <c r="B4482" i="12"/>
  <c r="A4482" i="12"/>
  <c r="F4481" i="12"/>
  <c r="E4481" i="12"/>
  <c r="D4481" i="12"/>
  <c r="C4481" i="12"/>
  <c r="B4481" i="12"/>
  <c r="A4481" i="12"/>
  <c r="G4480" i="12"/>
  <c r="E4480" i="12"/>
  <c r="D4480" i="12"/>
  <c r="C4480" i="12"/>
  <c r="B4480" i="12"/>
  <c r="A4480" i="12"/>
  <c r="E4479" i="12"/>
  <c r="D4479" i="12"/>
  <c r="C4479" i="12"/>
  <c r="B4479" i="12"/>
  <c r="A4479" i="12"/>
  <c r="G4478" i="12"/>
  <c r="E4478" i="12"/>
  <c r="D4478" i="12"/>
  <c r="C4478" i="12"/>
  <c r="B4478" i="12"/>
  <c r="A4478" i="12"/>
  <c r="E4477" i="12"/>
  <c r="D4477" i="12"/>
  <c r="C4477" i="12"/>
  <c r="B4477" i="12"/>
  <c r="A4477" i="12"/>
  <c r="F4476" i="12"/>
  <c r="E4476" i="12"/>
  <c r="D4476" i="12"/>
  <c r="C4476" i="12"/>
  <c r="B4476" i="12"/>
  <c r="A4476" i="12"/>
  <c r="E4475" i="12"/>
  <c r="D4475" i="12"/>
  <c r="C4475" i="12"/>
  <c r="B4475" i="12"/>
  <c r="A4475" i="12"/>
  <c r="F4474" i="12"/>
  <c r="E4474" i="12"/>
  <c r="D4474" i="12"/>
  <c r="C4474" i="12"/>
  <c r="B4474" i="12"/>
  <c r="A4474" i="12"/>
  <c r="F4473" i="12"/>
  <c r="E4473" i="12"/>
  <c r="D4473" i="12"/>
  <c r="C4473" i="12"/>
  <c r="B4473" i="12"/>
  <c r="A4473" i="12"/>
  <c r="E4472" i="12"/>
  <c r="D4472" i="12"/>
  <c r="C4472" i="12"/>
  <c r="B4472" i="12"/>
  <c r="A4472" i="12"/>
  <c r="E4471" i="12"/>
  <c r="D4471" i="12"/>
  <c r="C4471" i="12"/>
  <c r="B4471" i="12"/>
  <c r="A4471" i="12"/>
  <c r="F4470" i="12"/>
  <c r="E4470" i="12"/>
  <c r="D4470" i="12"/>
  <c r="C4470" i="12"/>
  <c r="B4470" i="12"/>
  <c r="A4470" i="12"/>
  <c r="E4469" i="12"/>
  <c r="D4469" i="12"/>
  <c r="C4469" i="12"/>
  <c r="B4469" i="12"/>
  <c r="A4469" i="12"/>
  <c r="E4468" i="12"/>
  <c r="D4468" i="12"/>
  <c r="C4468" i="12"/>
  <c r="B4468" i="12"/>
  <c r="A4468" i="12"/>
  <c r="E4467" i="12"/>
  <c r="D4467" i="12"/>
  <c r="C4467" i="12"/>
  <c r="B4467" i="12"/>
  <c r="A4467" i="12"/>
  <c r="E4466" i="12"/>
  <c r="D4466" i="12"/>
  <c r="C4466" i="12"/>
  <c r="B4466" i="12"/>
  <c r="A4466" i="12"/>
  <c r="F4465" i="12"/>
  <c r="E4465" i="12"/>
  <c r="D4465" i="12"/>
  <c r="C4465" i="12"/>
  <c r="B4465" i="12"/>
  <c r="A4465" i="12"/>
  <c r="E4464" i="12"/>
  <c r="D4464" i="12"/>
  <c r="C4464" i="12"/>
  <c r="B4464" i="12"/>
  <c r="A4464" i="12"/>
  <c r="E4463" i="12"/>
  <c r="D4463" i="12"/>
  <c r="C4463" i="12"/>
  <c r="B4463" i="12"/>
  <c r="A4463" i="12"/>
  <c r="F4462" i="12"/>
  <c r="E4462" i="12"/>
  <c r="D4462" i="12"/>
  <c r="C4462" i="12"/>
  <c r="B4462" i="12"/>
  <c r="A4462" i="12"/>
  <c r="E4461" i="12"/>
  <c r="D4461" i="12"/>
  <c r="C4461" i="12"/>
  <c r="B4461" i="12"/>
  <c r="A4461" i="12"/>
  <c r="E4460" i="12"/>
  <c r="D4460" i="12"/>
  <c r="C4460" i="12"/>
  <c r="B4460" i="12"/>
  <c r="A4460" i="12"/>
  <c r="E4459" i="12"/>
  <c r="D4459" i="12"/>
  <c r="C4459" i="12"/>
  <c r="B4459" i="12"/>
  <c r="A4459" i="12"/>
  <c r="G4458" i="12"/>
  <c r="E4458" i="12"/>
  <c r="D4458" i="12"/>
  <c r="C4458" i="12"/>
  <c r="B4458" i="12"/>
  <c r="A4458" i="12"/>
  <c r="E4457" i="12"/>
  <c r="D4457" i="12"/>
  <c r="C4457" i="12"/>
  <c r="B4457" i="12"/>
  <c r="A4457" i="12"/>
  <c r="E4456" i="12"/>
  <c r="D4456" i="12"/>
  <c r="C4456" i="12"/>
  <c r="B4456" i="12"/>
  <c r="A4456" i="12"/>
  <c r="E4455" i="12"/>
  <c r="D4455" i="12"/>
  <c r="C4455" i="12"/>
  <c r="B4455" i="12"/>
  <c r="A4455" i="12"/>
  <c r="E4454" i="12"/>
  <c r="D4454" i="12"/>
  <c r="C4454" i="12"/>
  <c r="B4454" i="12"/>
  <c r="A4454" i="12"/>
  <c r="E4453" i="12"/>
  <c r="D4453" i="12"/>
  <c r="C4453" i="12"/>
  <c r="B4453" i="12"/>
  <c r="A4453" i="12"/>
  <c r="E4452" i="12"/>
  <c r="D4452" i="12"/>
  <c r="C4452" i="12"/>
  <c r="B4452" i="12"/>
  <c r="A4452" i="12"/>
  <c r="E4451" i="12"/>
  <c r="D4451" i="12"/>
  <c r="C4451" i="12"/>
  <c r="B4451" i="12"/>
  <c r="A4451" i="12"/>
  <c r="G4450" i="12"/>
  <c r="E4450" i="12"/>
  <c r="D4450" i="12"/>
  <c r="C4450" i="12"/>
  <c r="B4450" i="12"/>
  <c r="A4450" i="12"/>
  <c r="E4449" i="12"/>
  <c r="D4449" i="12"/>
  <c r="C4449" i="12"/>
  <c r="B4449" i="12"/>
  <c r="A4449" i="12"/>
  <c r="G4448" i="12"/>
  <c r="E4448" i="12"/>
  <c r="D4448" i="12"/>
  <c r="C4448" i="12"/>
  <c r="B4448" i="12"/>
  <c r="A4448" i="12"/>
  <c r="E4447" i="12"/>
  <c r="D4447" i="12"/>
  <c r="C4447" i="12"/>
  <c r="B4447" i="12"/>
  <c r="A4447" i="12"/>
  <c r="G4446" i="12"/>
  <c r="F4446" i="12"/>
  <c r="E4446" i="12"/>
  <c r="D4446" i="12"/>
  <c r="C4446" i="12"/>
  <c r="B4446" i="12"/>
  <c r="A4446" i="12"/>
  <c r="E4445" i="12"/>
  <c r="D4445" i="12"/>
  <c r="C4445" i="12"/>
  <c r="B4445" i="12"/>
  <c r="A4445" i="12"/>
  <c r="G4444" i="12"/>
  <c r="E4444" i="12"/>
  <c r="D4444" i="12"/>
  <c r="C4444" i="12"/>
  <c r="B4444" i="12"/>
  <c r="A4444" i="12"/>
  <c r="G4443" i="12"/>
  <c r="E4443" i="12"/>
  <c r="D4443" i="12"/>
  <c r="C4443" i="12"/>
  <c r="B4443" i="12"/>
  <c r="A4443" i="12"/>
  <c r="E4442" i="12"/>
  <c r="D4442" i="12"/>
  <c r="C4442" i="12"/>
  <c r="B4442" i="12"/>
  <c r="A4442" i="12"/>
  <c r="G4441" i="12"/>
  <c r="E4441" i="12"/>
  <c r="D4441" i="12"/>
  <c r="C4441" i="12"/>
  <c r="B4441" i="12"/>
  <c r="A4441" i="12"/>
  <c r="G4440" i="12"/>
  <c r="E4440" i="12"/>
  <c r="D4440" i="12"/>
  <c r="C4440" i="12"/>
  <c r="B4440" i="12"/>
  <c r="A4440" i="12"/>
  <c r="G4439" i="12"/>
  <c r="F4439" i="12"/>
  <c r="E4439" i="12"/>
  <c r="D4439" i="12"/>
  <c r="C4439" i="12"/>
  <c r="B4439" i="12"/>
  <c r="A4439" i="12"/>
  <c r="G4438" i="12"/>
  <c r="F4438" i="12"/>
  <c r="E4438" i="12"/>
  <c r="D4438" i="12"/>
  <c r="C4438" i="12"/>
  <c r="B4438" i="12"/>
  <c r="A4438" i="12"/>
  <c r="G4437" i="12"/>
  <c r="F4437" i="12"/>
  <c r="E4437" i="12"/>
  <c r="D4437" i="12"/>
  <c r="C4437" i="12"/>
  <c r="B4437" i="12"/>
  <c r="A4437" i="12"/>
  <c r="G4436" i="12"/>
  <c r="F4436" i="12"/>
  <c r="E4436" i="12"/>
  <c r="D4436" i="12"/>
  <c r="C4436" i="12"/>
  <c r="B4436" i="12"/>
  <c r="A4436" i="12"/>
  <c r="E4435" i="12"/>
  <c r="D4435" i="12"/>
  <c r="C4435" i="12"/>
  <c r="B4435" i="12"/>
  <c r="A4435" i="12"/>
  <c r="G4434" i="12"/>
  <c r="F4434" i="12"/>
  <c r="E4434" i="12"/>
  <c r="D4434" i="12"/>
  <c r="C4434" i="12"/>
  <c r="B4434" i="12"/>
  <c r="A4434" i="12"/>
  <c r="G4433" i="12"/>
  <c r="F4433" i="12"/>
  <c r="E4433" i="12"/>
  <c r="D4433" i="12"/>
  <c r="C4433" i="12"/>
  <c r="B4433" i="12"/>
  <c r="A4433" i="12"/>
  <c r="G4432" i="12"/>
  <c r="F4432" i="12"/>
  <c r="E4432" i="12"/>
  <c r="D4432" i="12"/>
  <c r="C4432" i="12"/>
  <c r="B4432" i="12"/>
  <c r="A4432" i="12"/>
  <c r="G4431" i="12"/>
  <c r="F4431" i="12"/>
  <c r="E4431" i="12"/>
  <c r="D4431" i="12"/>
  <c r="C4431" i="12"/>
  <c r="B4431" i="12"/>
  <c r="A4431" i="12"/>
  <c r="G4430" i="12"/>
  <c r="F4430" i="12"/>
  <c r="E4430" i="12"/>
  <c r="D4430" i="12"/>
  <c r="C4430" i="12"/>
  <c r="B4430" i="12"/>
  <c r="A4430" i="12"/>
  <c r="G4429" i="12"/>
  <c r="F4429" i="12"/>
  <c r="E4429" i="12"/>
  <c r="D4429" i="12"/>
  <c r="C4429" i="12"/>
  <c r="B4429" i="12"/>
  <c r="A4429" i="12"/>
  <c r="G4428" i="12"/>
  <c r="F4428" i="12"/>
  <c r="E4428" i="12"/>
  <c r="D4428" i="12"/>
  <c r="C4428" i="12"/>
  <c r="B4428" i="12"/>
  <c r="A4428" i="12"/>
  <c r="G4427" i="12"/>
  <c r="E4427" i="12"/>
  <c r="D4427" i="12"/>
  <c r="C4427" i="12"/>
  <c r="B4427" i="12"/>
  <c r="A4427" i="12"/>
  <c r="G4426" i="12"/>
  <c r="E4426" i="12"/>
  <c r="D4426" i="12"/>
  <c r="C4426" i="12"/>
  <c r="B4426" i="12"/>
  <c r="A4426" i="12"/>
  <c r="G4425" i="12"/>
  <c r="F4425" i="12"/>
  <c r="E4425" i="12"/>
  <c r="D4425" i="12"/>
  <c r="C4425" i="12"/>
  <c r="B4425" i="12"/>
  <c r="A4425" i="12"/>
  <c r="G4424" i="12"/>
  <c r="E4424" i="12"/>
  <c r="D4424" i="12"/>
  <c r="C4424" i="12"/>
  <c r="B4424" i="12"/>
  <c r="A4424" i="12"/>
  <c r="G4423" i="12"/>
  <c r="F4423" i="12"/>
  <c r="E4423" i="12"/>
  <c r="D4423" i="12"/>
  <c r="C4423" i="12"/>
  <c r="B4423" i="12"/>
  <c r="A4423" i="12"/>
  <c r="G4422" i="12"/>
  <c r="F4422" i="12"/>
  <c r="E4422" i="12"/>
  <c r="D4422" i="12"/>
  <c r="C4422" i="12"/>
  <c r="B4422" i="12"/>
  <c r="A4422" i="12"/>
  <c r="E4421" i="12"/>
  <c r="D4421" i="12"/>
  <c r="C4421" i="12"/>
  <c r="B4421" i="12"/>
  <c r="A4421" i="12"/>
  <c r="G4420" i="12"/>
  <c r="E4420" i="12"/>
  <c r="D4420" i="12"/>
  <c r="C4420" i="12"/>
  <c r="B4420" i="12"/>
  <c r="A4420" i="12"/>
  <c r="G4419" i="12"/>
  <c r="E4419" i="12"/>
  <c r="D4419" i="12"/>
  <c r="C4419" i="12"/>
  <c r="B4419" i="12"/>
  <c r="A4419" i="12"/>
  <c r="G4418" i="12"/>
  <c r="E4418" i="12"/>
  <c r="D4418" i="12"/>
  <c r="C4418" i="12"/>
  <c r="B4418" i="12"/>
  <c r="A4418" i="12"/>
  <c r="G4417" i="12"/>
  <c r="E4417" i="12"/>
  <c r="D4417" i="12"/>
  <c r="C4417" i="12"/>
  <c r="B4417" i="12"/>
  <c r="A4417" i="12"/>
  <c r="G4416" i="12"/>
  <c r="E4416" i="12"/>
  <c r="D4416" i="12"/>
  <c r="C4416" i="12"/>
  <c r="B4416" i="12"/>
  <c r="A4416" i="12"/>
  <c r="G4415" i="12"/>
  <c r="E4415" i="12"/>
  <c r="D4415" i="12"/>
  <c r="C4415" i="12"/>
  <c r="B4415" i="12"/>
  <c r="A4415" i="12"/>
  <c r="G4414" i="12"/>
  <c r="E4414" i="12"/>
  <c r="D4414" i="12"/>
  <c r="C4414" i="12"/>
  <c r="B4414" i="12"/>
  <c r="A4414" i="12"/>
  <c r="G4413" i="12"/>
  <c r="E4413" i="12"/>
  <c r="D4413" i="12"/>
  <c r="C4413" i="12"/>
  <c r="B4413" i="12"/>
  <c r="A4413" i="12"/>
  <c r="G4412" i="12"/>
  <c r="E4412" i="12"/>
  <c r="D4412" i="12"/>
  <c r="C4412" i="12"/>
  <c r="B4412" i="12"/>
  <c r="A4412" i="12"/>
  <c r="G4411" i="12"/>
  <c r="E4411" i="12"/>
  <c r="D4411" i="12"/>
  <c r="C4411" i="12"/>
  <c r="B4411" i="12"/>
  <c r="A4411" i="12"/>
  <c r="G4410" i="12"/>
  <c r="E4410" i="12"/>
  <c r="D4410" i="12"/>
  <c r="C4410" i="12"/>
  <c r="B4410" i="12"/>
  <c r="A4410" i="12"/>
  <c r="G4409" i="12"/>
  <c r="E4409" i="12"/>
  <c r="D4409" i="12"/>
  <c r="C4409" i="12"/>
  <c r="B4409" i="12"/>
  <c r="A4409" i="12"/>
  <c r="G4408" i="12"/>
  <c r="E4408" i="12"/>
  <c r="D4408" i="12"/>
  <c r="C4408" i="12"/>
  <c r="B4408" i="12"/>
  <c r="A4408" i="12"/>
  <c r="E4407" i="12"/>
  <c r="D4407" i="12"/>
  <c r="C4407" i="12"/>
  <c r="B4407" i="12"/>
  <c r="A4407" i="12"/>
  <c r="G4406" i="12"/>
  <c r="E4406" i="12"/>
  <c r="D4406" i="12"/>
  <c r="C4406" i="12"/>
  <c r="B4406" i="12"/>
  <c r="A4406" i="12"/>
  <c r="G4405" i="12"/>
  <c r="E4405" i="12"/>
  <c r="D4405" i="12"/>
  <c r="C4405" i="12"/>
  <c r="B4405" i="12"/>
  <c r="A4405" i="12"/>
  <c r="G4404" i="12"/>
  <c r="E4404" i="12"/>
  <c r="D4404" i="12"/>
  <c r="C4404" i="12"/>
  <c r="B4404" i="12"/>
  <c r="A4404" i="12"/>
  <c r="G4403" i="12"/>
  <c r="E4403" i="12"/>
  <c r="D4403" i="12"/>
  <c r="C4403" i="12"/>
  <c r="B4403" i="12"/>
  <c r="A4403" i="12"/>
  <c r="G4402" i="12"/>
  <c r="E4402" i="12"/>
  <c r="D4402" i="12"/>
  <c r="C4402" i="12"/>
  <c r="B4402" i="12"/>
  <c r="A4402" i="12"/>
  <c r="G4401" i="12"/>
  <c r="E4401" i="12"/>
  <c r="D4401" i="12"/>
  <c r="C4401" i="12"/>
  <c r="B4401" i="12"/>
  <c r="A4401" i="12"/>
  <c r="G4400" i="12"/>
  <c r="E4400" i="12"/>
  <c r="D4400" i="12"/>
  <c r="C4400" i="12"/>
  <c r="B4400" i="12"/>
  <c r="A4400" i="12"/>
  <c r="G4399" i="12"/>
  <c r="E4399" i="12"/>
  <c r="D4399" i="12"/>
  <c r="C4399" i="12"/>
  <c r="B4399" i="12"/>
  <c r="A4399" i="12"/>
  <c r="G4398" i="12"/>
  <c r="E4398" i="12"/>
  <c r="D4398" i="12"/>
  <c r="C4398" i="12"/>
  <c r="B4398" i="12"/>
  <c r="A4398" i="12"/>
  <c r="G4397" i="12"/>
  <c r="E4397" i="12"/>
  <c r="D4397" i="12"/>
  <c r="C4397" i="12"/>
  <c r="B4397" i="12"/>
  <c r="A4397" i="12"/>
  <c r="F4396" i="12"/>
  <c r="E4396" i="12"/>
  <c r="D4396" i="12"/>
  <c r="C4396" i="12"/>
  <c r="B4396" i="12"/>
  <c r="A4396" i="12"/>
  <c r="F4395" i="12"/>
  <c r="E4395" i="12"/>
  <c r="D4395" i="12"/>
  <c r="C4395" i="12"/>
  <c r="B4395" i="12"/>
  <c r="A4395" i="12"/>
  <c r="F4394" i="12"/>
  <c r="E4394" i="12"/>
  <c r="D4394" i="12"/>
  <c r="C4394" i="12"/>
  <c r="B4394" i="12"/>
  <c r="A4394" i="12"/>
  <c r="F4393" i="12"/>
  <c r="E4393" i="12"/>
  <c r="D4393" i="12"/>
  <c r="C4393" i="12"/>
  <c r="B4393" i="12"/>
  <c r="A4393" i="12"/>
  <c r="F4392" i="12"/>
  <c r="E4392" i="12"/>
  <c r="D4392" i="12"/>
  <c r="C4392" i="12"/>
  <c r="B4392" i="12"/>
  <c r="A4392" i="12"/>
  <c r="F4391" i="12"/>
  <c r="E4391" i="12"/>
  <c r="D4391" i="12"/>
  <c r="C4391" i="12"/>
  <c r="B4391" i="12"/>
  <c r="A4391" i="12"/>
  <c r="G4390" i="12"/>
  <c r="F4390" i="12"/>
  <c r="E4390" i="12"/>
  <c r="D4390" i="12"/>
  <c r="C4390" i="12"/>
  <c r="B4390" i="12"/>
  <c r="A4390" i="12"/>
  <c r="F4389" i="12"/>
  <c r="E4389" i="12"/>
  <c r="D4389" i="12"/>
  <c r="C4389" i="12"/>
  <c r="B4389" i="12"/>
  <c r="A4389" i="12"/>
  <c r="G4388" i="12"/>
  <c r="F4388" i="12"/>
  <c r="E4388" i="12"/>
  <c r="D4388" i="12"/>
  <c r="C4388" i="12"/>
  <c r="B4388" i="12"/>
  <c r="A4388" i="12"/>
  <c r="G4387" i="12"/>
  <c r="F4387" i="12"/>
  <c r="E4387" i="12"/>
  <c r="D4387" i="12"/>
  <c r="C4387" i="12"/>
  <c r="B4387" i="12"/>
  <c r="A4387" i="12"/>
  <c r="G4386" i="12"/>
  <c r="F4386" i="12"/>
  <c r="E4386" i="12"/>
  <c r="D4386" i="12"/>
  <c r="C4386" i="12"/>
  <c r="B4386" i="12"/>
  <c r="A4386" i="12"/>
  <c r="F4385" i="12"/>
  <c r="E4385" i="12"/>
  <c r="D4385" i="12"/>
  <c r="C4385" i="12"/>
  <c r="B4385" i="12"/>
  <c r="A4385" i="12"/>
  <c r="F4384" i="12"/>
  <c r="E4384" i="12"/>
  <c r="D4384" i="12"/>
  <c r="C4384" i="12"/>
  <c r="B4384" i="12"/>
  <c r="A4384" i="12"/>
  <c r="F4383" i="12"/>
  <c r="E4383" i="12"/>
  <c r="D4383" i="12"/>
  <c r="C4383" i="12"/>
  <c r="B4383" i="12"/>
  <c r="A4383" i="12"/>
  <c r="G4382" i="12"/>
  <c r="F4382" i="12"/>
  <c r="E4382" i="12"/>
  <c r="D4382" i="12"/>
  <c r="C4382" i="12"/>
  <c r="B4382" i="12"/>
  <c r="A4382" i="12"/>
  <c r="G4381" i="12"/>
  <c r="E4381" i="12"/>
  <c r="D4381" i="12"/>
  <c r="C4381" i="12"/>
  <c r="B4381" i="12"/>
  <c r="A4381" i="12"/>
  <c r="G4380" i="12"/>
  <c r="F4380" i="12"/>
  <c r="E4380" i="12"/>
  <c r="D4380" i="12"/>
  <c r="C4380" i="12"/>
  <c r="B4380" i="12"/>
  <c r="A4380" i="12"/>
  <c r="G4379" i="12"/>
  <c r="F4379" i="12"/>
  <c r="E4379" i="12"/>
  <c r="D4379" i="12"/>
  <c r="C4379" i="12"/>
  <c r="B4379" i="12"/>
  <c r="A4379" i="12"/>
  <c r="G4378" i="12"/>
  <c r="E4378" i="12"/>
  <c r="D4378" i="12"/>
  <c r="C4378" i="12"/>
  <c r="B4378" i="12"/>
  <c r="A4378" i="12"/>
  <c r="G4377" i="12"/>
  <c r="F4377" i="12"/>
  <c r="E4377" i="12"/>
  <c r="D4377" i="12"/>
  <c r="C4377" i="12"/>
  <c r="B4377" i="12"/>
  <c r="A4377" i="12"/>
  <c r="G4376" i="12"/>
  <c r="E4376" i="12"/>
  <c r="D4376" i="12"/>
  <c r="C4376" i="12"/>
  <c r="B4376" i="12"/>
  <c r="A4376" i="12"/>
  <c r="G4375" i="12"/>
  <c r="E4375" i="12"/>
  <c r="D4375" i="12"/>
  <c r="C4375" i="12"/>
  <c r="B4375" i="12"/>
  <c r="A4375" i="12"/>
  <c r="G4374" i="12"/>
  <c r="E4374" i="12"/>
  <c r="D4374" i="12"/>
  <c r="C4374" i="12"/>
  <c r="B4374" i="12"/>
  <c r="A4374" i="12"/>
  <c r="G4373" i="12"/>
  <c r="E4373" i="12"/>
  <c r="D4373" i="12"/>
  <c r="C4373" i="12"/>
  <c r="B4373" i="12"/>
  <c r="A4373" i="12"/>
  <c r="G4372" i="12"/>
  <c r="F4372" i="12"/>
  <c r="E4372" i="12"/>
  <c r="D4372" i="12"/>
  <c r="C4372" i="12"/>
  <c r="B4372" i="12"/>
  <c r="A4372" i="12"/>
  <c r="G4371" i="12"/>
  <c r="F4371" i="12"/>
  <c r="E4371" i="12"/>
  <c r="D4371" i="12"/>
  <c r="C4371" i="12"/>
  <c r="B4371" i="12"/>
  <c r="A4371" i="12"/>
  <c r="F4370" i="12"/>
  <c r="E4370" i="12"/>
  <c r="D4370" i="12"/>
  <c r="C4370" i="12"/>
  <c r="B4370" i="12"/>
  <c r="A4370" i="12"/>
  <c r="E4369" i="12"/>
  <c r="D4369" i="12"/>
  <c r="C4369" i="12"/>
  <c r="B4369" i="12"/>
  <c r="A4369" i="12"/>
  <c r="G4368" i="12"/>
  <c r="F4368" i="12"/>
  <c r="E4368" i="12"/>
  <c r="D4368" i="12"/>
  <c r="C4368" i="12"/>
  <c r="B4368" i="12"/>
  <c r="A4368" i="12"/>
  <c r="G4367" i="12"/>
  <c r="F4367" i="12"/>
  <c r="E4367" i="12"/>
  <c r="D4367" i="12"/>
  <c r="C4367" i="12"/>
  <c r="B4367" i="12"/>
  <c r="A4367" i="12"/>
  <c r="G4366" i="12"/>
  <c r="F4366" i="12"/>
  <c r="E4366" i="12"/>
  <c r="D4366" i="12"/>
  <c r="C4366" i="12"/>
  <c r="B4366" i="12"/>
  <c r="A4366" i="12"/>
  <c r="G4365" i="12"/>
  <c r="F4365" i="12"/>
  <c r="E4365" i="12"/>
  <c r="D4365" i="12"/>
  <c r="C4365" i="12"/>
  <c r="B4365" i="12"/>
  <c r="A4365" i="12"/>
  <c r="G4364" i="12"/>
  <c r="F4364" i="12"/>
  <c r="E4364" i="12"/>
  <c r="D4364" i="12"/>
  <c r="C4364" i="12"/>
  <c r="B4364" i="12"/>
  <c r="A4364" i="12"/>
  <c r="G4363" i="12"/>
  <c r="F4363" i="12"/>
  <c r="E4363" i="12"/>
  <c r="D4363" i="12"/>
  <c r="C4363" i="12"/>
  <c r="B4363" i="12"/>
  <c r="A4363" i="12"/>
  <c r="G4362" i="12"/>
  <c r="F4362" i="12"/>
  <c r="E4362" i="12"/>
  <c r="D4362" i="12"/>
  <c r="C4362" i="12"/>
  <c r="B4362" i="12"/>
  <c r="A4362" i="12"/>
  <c r="G4361" i="12"/>
  <c r="F4361" i="12"/>
  <c r="E4361" i="12"/>
  <c r="D4361" i="12"/>
  <c r="C4361" i="12"/>
  <c r="B4361" i="12"/>
  <c r="A4361" i="12"/>
  <c r="G4360" i="12"/>
  <c r="F4360" i="12"/>
  <c r="E4360" i="12"/>
  <c r="D4360" i="12"/>
  <c r="C4360" i="12"/>
  <c r="B4360" i="12"/>
  <c r="A4360" i="12"/>
  <c r="G4359" i="12"/>
  <c r="F4359" i="12"/>
  <c r="E4359" i="12"/>
  <c r="D4359" i="12"/>
  <c r="C4359" i="12"/>
  <c r="B4359" i="12"/>
  <c r="A4359" i="12"/>
  <c r="G4358" i="12"/>
  <c r="F4358" i="12"/>
  <c r="E4358" i="12"/>
  <c r="D4358" i="12"/>
  <c r="C4358" i="12"/>
  <c r="B4358" i="12"/>
  <c r="A4358" i="12"/>
  <c r="G4357" i="12"/>
  <c r="F4357" i="12"/>
  <c r="E4357" i="12"/>
  <c r="D4357" i="12"/>
  <c r="C4357" i="12"/>
  <c r="B4357" i="12"/>
  <c r="A4357" i="12"/>
  <c r="F4356" i="12"/>
  <c r="E4356" i="12"/>
  <c r="D4356" i="12"/>
  <c r="C4356" i="12"/>
  <c r="B4356" i="12"/>
  <c r="A4356" i="12"/>
  <c r="G4355" i="12"/>
  <c r="F4355" i="12"/>
  <c r="E4355" i="12"/>
  <c r="D4355" i="12"/>
  <c r="C4355" i="12"/>
  <c r="B4355" i="12"/>
  <c r="A4355" i="12"/>
  <c r="G4354" i="12"/>
  <c r="E4354" i="12"/>
  <c r="D4354" i="12"/>
  <c r="C4354" i="12"/>
  <c r="B4354" i="12"/>
  <c r="A4354" i="12"/>
  <c r="G4353" i="12"/>
  <c r="E4353" i="12"/>
  <c r="D4353" i="12"/>
  <c r="C4353" i="12"/>
  <c r="B4353" i="12"/>
  <c r="A4353" i="12"/>
  <c r="G4352" i="12"/>
  <c r="E4352" i="12"/>
  <c r="D4352" i="12"/>
  <c r="C4352" i="12"/>
  <c r="B4352" i="12"/>
  <c r="A4352" i="12"/>
  <c r="G4351" i="12"/>
  <c r="E4351" i="12"/>
  <c r="D4351" i="12"/>
  <c r="C4351" i="12"/>
  <c r="B4351" i="12"/>
  <c r="A4351" i="12"/>
  <c r="G4350" i="12"/>
  <c r="E4350" i="12"/>
  <c r="D4350" i="12"/>
  <c r="C4350" i="12"/>
  <c r="B4350" i="12"/>
  <c r="A4350" i="12"/>
  <c r="D4349" i="12"/>
  <c r="C4349" i="12"/>
  <c r="B4349" i="12"/>
  <c r="A4349" i="12"/>
  <c r="E4348" i="12"/>
  <c r="D4348" i="12"/>
  <c r="C4348" i="12"/>
  <c r="B4348" i="12"/>
  <c r="A4348" i="12"/>
  <c r="E4347" i="12"/>
  <c r="D4347" i="12"/>
  <c r="C4347" i="12"/>
  <c r="B4347" i="12"/>
  <c r="A4347" i="12"/>
  <c r="G4346" i="12"/>
  <c r="E4346" i="12"/>
  <c r="D4346" i="12"/>
  <c r="C4346" i="12"/>
  <c r="B4346" i="12"/>
  <c r="A4346" i="12"/>
  <c r="G4345" i="12"/>
  <c r="E4345" i="12"/>
  <c r="D4345" i="12"/>
  <c r="C4345" i="12"/>
  <c r="B4345" i="12"/>
  <c r="A4345" i="12"/>
  <c r="G4344" i="12"/>
  <c r="F4344" i="12"/>
  <c r="E4344" i="12"/>
  <c r="D4344" i="12"/>
  <c r="C4344" i="12"/>
  <c r="B4344" i="12"/>
  <c r="A4344" i="12"/>
  <c r="G4343" i="12"/>
  <c r="F4343" i="12"/>
  <c r="E4343" i="12"/>
  <c r="D4343" i="12"/>
  <c r="C4343" i="12"/>
  <c r="B4343" i="12"/>
  <c r="A4343" i="12"/>
  <c r="G4342" i="12"/>
  <c r="E4342" i="12"/>
  <c r="D4342" i="12"/>
  <c r="C4342" i="12"/>
  <c r="B4342" i="12"/>
  <c r="A4342" i="12"/>
  <c r="G4341" i="12"/>
  <c r="E4341" i="12"/>
  <c r="D4341" i="12"/>
  <c r="C4341" i="12"/>
  <c r="B4341" i="12"/>
  <c r="A4341" i="12"/>
  <c r="E4340" i="12"/>
  <c r="D4340" i="12"/>
  <c r="C4340" i="12"/>
  <c r="B4340" i="12"/>
  <c r="A4340" i="12"/>
  <c r="E4339" i="12"/>
  <c r="D4339" i="12"/>
  <c r="C4339" i="12"/>
  <c r="B4339" i="12"/>
  <c r="A4339" i="12"/>
  <c r="E4338" i="12"/>
  <c r="D4338" i="12"/>
  <c r="C4338" i="12"/>
  <c r="B4338" i="12"/>
  <c r="A4338" i="12"/>
  <c r="G4337" i="12"/>
  <c r="F4337" i="12"/>
  <c r="E4337" i="12"/>
  <c r="D4337" i="12"/>
  <c r="C4337" i="12"/>
  <c r="B4337" i="12"/>
  <c r="A4337" i="12"/>
  <c r="E4336" i="12"/>
  <c r="D4336" i="12"/>
  <c r="C4336" i="12"/>
  <c r="B4336" i="12"/>
  <c r="A4336" i="12"/>
  <c r="E4335" i="12"/>
  <c r="D4335" i="12"/>
  <c r="C4335" i="12"/>
  <c r="B4335" i="12"/>
  <c r="A4335" i="12"/>
  <c r="G4334" i="12"/>
  <c r="F4334" i="12"/>
  <c r="E4334" i="12"/>
  <c r="D4334" i="12"/>
  <c r="C4334" i="12"/>
  <c r="B4334" i="12"/>
  <c r="A4334" i="12"/>
  <c r="F4333" i="12"/>
  <c r="E4333" i="12"/>
  <c r="D4333" i="12"/>
  <c r="C4333" i="12"/>
  <c r="B4333" i="12"/>
  <c r="A4333" i="12"/>
  <c r="E4332" i="12"/>
  <c r="D4332" i="12"/>
  <c r="C4332" i="12"/>
  <c r="B4332" i="12"/>
  <c r="A4332" i="12"/>
  <c r="F4331" i="12"/>
  <c r="E4331" i="12"/>
  <c r="D4331" i="12"/>
  <c r="C4331" i="12"/>
  <c r="B4331" i="12"/>
  <c r="A4331" i="12"/>
  <c r="G4330" i="12"/>
  <c r="F4330" i="12"/>
  <c r="E4330" i="12"/>
  <c r="D4330" i="12"/>
  <c r="C4330" i="12"/>
  <c r="B4330" i="12"/>
  <c r="A4330" i="12"/>
  <c r="E4329" i="12"/>
  <c r="D4329" i="12"/>
  <c r="C4329" i="12"/>
  <c r="B4329" i="12"/>
  <c r="A4329" i="12"/>
  <c r="G4328" i="12"/>
  <c r="F4328" i="12"/>
  <c r="E4328" i="12"/>
  <c r="D4328" i="12"/>
  <c r="C4328" i="12"/>
  <c r="B4328" i="12"/>
  <c r="A4328" i="12"/>
  <c r="G4327" i="12"/>
  <c r="F4327" i="12"/>
  <c r="E4327" i="12"/>
  <c r="D4327" i="12"/>
  <c r="C4327" i="12"/>
  <c r="B4327" i="12"/>
  <c r="A4327" i="12"/>
  <c r="G4326" i="12"/>
  <c r="F4326" i="12"/>
  <c r="E4326" i="12"/>
  <c r="D4326" i="12"/>
  <c r="C4326" i="12"/>
  <c r="B4326" i="12"/>
  <c r="A4326" i="12"/>
  <c r="E4325" i="12"/>
  <c r="D4325" i="12"/>
  <c r="C4325" i="12"/>
  <c r="B4325" i="12"/>
  <c r="A4325" i="12"/>
  <c r="E4324" i="12"/>
  <c r="D4324" i="12"/>
  <c r="C4324" i="12"/>
  <c r="B4324" i="12"/>
  <c r="A4324" i="12"/>
  <c r="E4323" i="12"/>
  <c r="D4323" i="12"/>
  <c r="C4323" i="12"/>
  <c r="B4323" i="12"/>
  <c r="A4323" i="12"/>
  <c r="E4322" i="12"/>
  <c r="D4322" i="12"/>
  <c r="C4322" i="12"/>
  <c r="B4322" i="12"/>
  <c r="A4322" i="12"/>
  <c r="E4321" i="12"/>
  <c r="D4321" i="12"/>
  <c r="C4321" i="12"/>
  <c r="B4321" i="12"/>
  <c r="A4321" i="12"/>
  <c r="E4320" i="12"/>
  <c r="D4320" i="12"/>
  <c r="C4320" i="12"/>
  <c r="B4320" i="12"/>
  <c r="A4320" i="12"/>
  <c r="E4319" i="12"/>
  <c r="D4319" i="12"/>
  <c r="C4319" i="12"/>
  <c r="B4319" i="12"/>
  <c r="A4319" i="12"/>
  <c r="E4318" i="12"/>
  <c r="D4318" i="12"/>
  <c r="C4318" i="12"/>
  <c r="B4318" i="12"/>
  <c r="A4318" i="12"/>
  <c r="E4317" i="12"/>
  <c r="D4317" i="12"/>
  <c r="C4317" i="12"/>
  <c r="B4317" i="12"/>
  <c r="A4317" i="12"/>
  <c r="E4316" i="12"/>
  <c r="D4316" i="12"/>
  <c r="C4316" i="12"/>
  <c r="B4316" i="12"/>
  <c r="A4316" i="12"/>
  <c r="E4315" i="12"/>
  <c r="D4315" i="12"/>
  <c r="C4315" i="12"/>
  <c r="B4315" i="12"/>
  <c r="A4315" i="12"/>
  <c r="E4314" i="12"/>
  <c r="D4314" i="12"/>
  <c r="C4314" i="12"/>
  <c r="B4314" i="12"/>
  <c r="A4314" i="12"/>
  <c r="G4313" i="12"/>
  <c r="E4313" i="12"/>
  <c r="D4313" i="12"/>
  <c r="C4313" i="12"/>
  <c r="B4313" i="12"/>
  <c r="A4313" i="12"/>
  <c r="G4312" i="12"/>
  <c r="E4312" i="12"/>
  <c r="D4312" i="12"/>
  <c r="C4312" i="12"/>
  <c r="B4312" i="12"/>
  <c r="A4312" i="12"/>
  <c r="G4311" i="12"/>
  <c r="E4311" i="12"/>
  <c r="D4311" i="12"/>
  <c r="C4311" i="12"/>
  <c r="B4311" i="12"/>
  <c r="A4311" i="12"/>
  <c r="E4310" i="12"/>
  <c r="D4310" i="12"/>
  <c r="C4310" i="12"/>
  <c r="B4310" i="12"/>
  <c r="A4310" i="12"/>
  <c r="E4309" i="12"/>
  <c r="D4309" i="12"/>
  <c r="C4309" i="12"/>
  <c r="B4309" i="12"/>
  <c r="A4309" i="12"/>
  <c r="E4308" i="12"/>
  <c r="D4308" i="12"/>
  <c r="C4308" i="12"/>
  <c r="B4308" i="12"/>
  <c r="A4308" i="12"/>
  <c r="G4307" i="12"/>
  <c r="E4307" i="12"/>
  <c r="D4307" i="12"/>
  <c r="C4307" i="12"/>
  <c r="B4307" i="12"/>
  <c r="A4307" i="12"/>
  <c r="G4306" i="12"/>
  <c r="E4306" i="12"/>
  <c r="D4306" i="12"/>
  <c r="C4306" i="12"/>
  <c r="B4306" i="12"/>
  <c r="A4306" i="12"/>
  <c r="G4305" i="12"/>
  <c r="E4305" i="12"/>
  <c r="D4305" i="12"/>
  <c r="C4305" i="12"/>
  <c r="B4305" i="12"/>
  <c r="A4305" i="12"/>
  <c r="E4304" i="12"/>
  <c r="D4304" i="12"/>
  <c r="C4304" i="12"/>
  <c r="B4304" i="12"/>
  <c r="A4304" i="12"/>
  <c r="E4303" i="12"/>
  <c r="D4303" i="12"/>
  <c r="C4303" i="12"/>
  <c r="B4303" i="12"/>
  <c r="A4303" i="12"/>
  <c r="E4302" i="12"/>
  <c r="D4302" i="12"/>
  <c r="C4302" i="12"/>
  <c r="B4302" i="12"/>
  <c r="A4302" i="12"/>
  <c r="E4301" i="12"/>
  <c r="D4301" i="12"/>
  <c r="C4301" i="12"/>
  <c r="B4301" i="12"/>
  <c r="A4301" i="12"/>
  <c r="G4300" i="12"/>
  <c r="E4300" i="12"/>
  <c r="D4300" i="12"/>
  <c r="C4300" i="12"/>
  <c r="B4300" i="12"/>
  <c r="A4300" i="12"/>
  <c r="E4299" i="12"/>
  <c r="D4299" i="12"/>
  <c r="C4299" i="12"/>
  <c r="B4299" i="12"/>
  <c r="A4299" i="12"/>
  <c r="G4298" i="12"/>
  <c r="F4298" i="12"/>
  <c r="E4298" i="12"/>
  <c r="D4298" i="12"/>
  <c r="C4298" i="12"/>
  <c r="B4298" i="12"/>
  <c r="A4298" i="12"/>
  <c r="G4297" i="12"/>
  <c r="F4297" i="12"/>
  <c r="E4297" i="12"/>
  <c r="D4297" i="12"/>
  <c r="C4297" i="12"/>
  <c r="B4297" i="12"/>
  <c r="A4297" i="12"/>
  <c r="E4296" i="12"/>
  <c r="D4296" i="12"/>
  <c r="C4296" i="12"/>
  <c r="B4296" i="12"/>
  <c r="A4296" i="12"/>
  <c r="G4295" i="12"/>
  <c r="E4295" i="12"/>
  <c r="D4295" i="12"/>
  <c r="C4295" i="12"/>
  <c r="B4295" i="12"/>
  <c r="A4295" i="12"/>
  <c r="E4294" i="12"/>
  <c r="D4294" i="12"/>
  <c r="C4294" i="12"/>
  <c r="B4294" i="12"/>
  <c r="A4294" i="12"/>
  <c r="E4293" i="12"/>
  <c r="D4293" i="12"/>
  <c r="C4293" i="12"/>
  <c r="B4293" i="12"/>
  <c r="A4293" i="12"/>
  <c r="G4292" i="12"/>
  <c r="E4292" i="12"/>
  <c r="D4292" i="12"/>
  <c r="C4292" i="12"/>
  <c r="B4292" i="12"/>
  <c r="A4292" i="12"/>
  <c r="G4291" i="12"/>
  <c r="F4291" i="12"/>
  <c r="E4291" i="12"/>
  <c r="D4291" i="12"/>
  <c r="C4291" i="12"/>
  <c r="B4291" i="12"/>
  <c r="A4291" i="12"/>
  <c r="E4290" i="12"/>
  <c r="D4290" i="12"/>
  <c r="C4290" i="12"/>
  <c r="B4290" i="12"/>
  <c r="A4290" i="12"/>
  <c r="G4289" i="12"/>
  <c r="F4289" i="12"/>
  <c r="E4289" i="12"/>
  <c r="D4289" i="12"/>
  <c r="C4289" i="12"/>
  <c r="B4289" i="12"/>
  <c r="A4289" i="12"/>
  <c r="E4288" i="12"/>
  <c r="D4288" i="12"/>
  <c r="C4288" i="12"/>
  <c r="B4288" i="12"/>
  <c r="A4288" i="12"/>
  <c r="E4287" i="12"/>
  <c r="D4287" i="12"/>
  <c r="C4287" i="12"/>
  <c r="B4287" i="12"/>
  <c r="A4287" i="12"/>
  <c r="E4286" i="12"/>
  <c r="D4286" i="12"/>
  <c r="C4286" i="12"/>
  <c r="B4286" i="12"/>
  <c r="A4286" i="12"/>
  <c r="E4285" i="12"/>
  <c r="D4285" i="12"/>
  <c r="C4285" i="12"/>
  <c r="B4285" i="12"/>
  <c r="A4285" i="12"/>
  <c r="E4284" i="12"/>
  <c r="D4284" i="12"/>
  <c r="C4284" i="12"/>
  <c r="B4284" i="12"/>
  <c r="A4284" i="12"/>
  <c r="E4283" i="12"/>
  <c r="D4283" i="12"/>
  <c r="C4283" i="12"/>
  <c r="B4283" i="12"/>
  <c r="A4283" i="12"/>
  <c r="E4282" i="12"/>
  <c r="D4282" i="12"/>
  <c r="C4282" i="12"/>
  <c r="B4282" i="12"/>
  <c r="A4282" i="12"/>
  <c r="E4281" i="12"/>
  <c r="D4281" i="12"/>
  <c r="C4281" i="12"/>
  <c r="B4281" i="12"/>
  <c r="A4281" i="12"/>
  <c r="G4280" i="12"/>
  <c r="E4280" i="12"/>
  <c r="D4280" i="12"/>
  <c r="C4280" i="12"/>
  <c r="B4280" i="12"/>
  <c r="A4280" i="12"/>
  <c r="E4279" i="12"/>
  <c r="D4279" i="12"/>
  <c r="C4279" i="12"/>
  <c r="B4279" i="12"/>
  <c r="A4279" i="12"/>
  <c r="E4278" i="12"/>
  <c r="D4278" i="12"/>
  <c r="C4278" i="12"/>
  <c r="B4278" i="12"/>
  <c r="A4278" i="12"/>
  <c r="G4277" i="12"/>
  <c r="E4277" i="12"/>
  <c r="D4277" i="12"/>
  <c r="C4277" i="12"/>
  <c r="B4277" i="12"/>
  <c r="A4277" i="12"/>
  <c r="E4276" i="12"/>
  <c r="D4276" i="12"/>
  <c r="C4276" i="12"/>
  <c r="B4276" i="12"/>
  <c r="A4276" i="12"/>
  <c r="G4275" i="12"/>
  <c r="E4275" i="12"/>
  <c r="D4275" i="12"/>
  <c r="C4275" i="12"/>
  <c r="B4275" i="12"/>
  <c r="A4275" i="12"/>
  <c r="G4274" i="12"/>
  <c r="E4274" i="12"/>
  <c r="D4274" i="12"/>
  <c r="C4274" i="12"/>
  <c r="B4274" i="12"/>
  <c r="A4274" i="12"/>
  <c r="E4273" i="12"/>
  <c r="D4273" i="12"/>
  <c r="C4273" i="12"/>
  <c r="B4273" i="12"/>
  <c r="A4273" i="12"/>
  <c r="G4272" i="12"/>
  <c r="E4272" i="12"/>
  <c r="D4272" i="12"/>
  <c r="C4272" i="12"/>
  <c r="B4272" i="12"/>
  <c r="A4272" i="12"/>
  <c r="E4271" i="12"/>
  <c r="D4271" i="12"/>
  <c r="C4271" i="12"/>
  <c r="B4271" i="12"/>
  <c r="A4271" i="12"/>
  <c r="E4270" i="12"/>
  <c r="D4270" i="12"/>
  <c r="C4270" i="12"/>
  <c r="B4270" i="12"/>
  <c r="A4270" i="12"/>
  <c r="G4269" i="12"/>
  <c r="E4269" i="12"/>
  <c r="D4269" i="12"/>
  <c r="C4269" i="12"/>
  <c r="B4269" i="12"/>
  <c r="A4269" i="12"/>
  <c r="E4268" i="12"/>
  <c r="D4268" i="12"/>
  <c r="C4268" i="12"/>
  <c r="B4268" i="12"/>
  <c r="A4268" i="12"/>
  <c r="E4267" i="12"/>
  <c r="D4267" i="12"/>
  <c r="C4267" i="12"/>
  <c r="B4267" i="12"/>
  <c r="A4267" i="12"/>
  <c r="G4266" i="12"/>
  <c r="E4266" i="12"/>
  <c r="D4266" i="12"/>
  <c r="C4266" i="12"/>
  <c r="B4266" i="12"/>
  <c r="A4266" i="12"/>
  <c r="G4265" i="12"/>
  <c r="E4265" i="12"/>
  <c r="D4265" i="12"/>
  <c r="C4265" i="12"/>
  <c r="B4265" i="12"/>
  <c r="A4265" i="12"/>
  <c r="E4264" i="12"/>
  <c r="D4264" i="12"/>
  <c r="C4264" i="12"/>
  <c r="B4264" i="12"/>
  <c r="A4264" i="12"/>
  <c r="E4263" i="12"/>
  <c r="D4263" i="12"/>
  <c r="C4263" i="12"/>
  <c r="B4263" i="12"/>
  <c r="A4263" i="12"/>
  <c r="E4262" i="12"/>
  <c r="D4262" i="12"/>
  <c r="C4262" i="12"/>
  <c r="B4262" i="12"/>
  <c r="A4262" i="12"/>
  <c r="G4261" i="12"/>
  <c r="E4261" i="12"/>
  <c r="D4261" i="12"/>
  <c r="C4261" i="12"/>
  <c r="B4261" i="12"/>
  <c r="A4261" i="12"/>
  <c r="E4260" i="12"/>
  <c r="D4260" i="12"/>
  <c r="C4260" i="12"/>
  <c r="B4260" i="12"/>
  <c r="A4260" i="12"/>
  <c r="E4259" i="12"/>
  <c r="D4259" i="12"/>
  <c r="C4259" i="12"/>
  <c r="B4259" i="12"/>
  <c r="A4259" i="12"/>
  <c r="E4258" i="12"/>
  <c r="D4258" i="12"/>
  <c r="C4258" i="12"/>
  <c r="B4258" i="12"/>
  <c r="A4258" i="12"/>
  <c r="E4257" i="12"/>
  <c r="D4257" i="12"/>
  <c r="C4257" i="12"/>
  <c r="B4257" i="12"/>
  <c r="A4257" i="12"/>
  <c r="E4256" i="12"/>
  <c r="D4256" i="12"/>
  <c r="C4256" i="12"/>
  <c r="B4256" i="12"/>
  <c r="A4256" i="12"/>
  <c r="E4255" i="12"/>
  <c r="D4255" i="12"/>
  <c r="C4255" i="12"/>
  <c r="B4255" i="12"/>
  <c r="A4255" i="12"/>
  <c r="F4254" i="12"/>
  <c r="E4254" i="12"/>
  <c r="D4254" i="12"/>
  <c r="C4254" i="12"/>
  <c r="B4254" i="12"/>
  <c r="A4254" i="12"/>
  <c r="E4253" i="12"/>
  <c r="D4253" i="12"/>
  <c r="C4253" i="12"/>
  <c r="B4253" i="12"/>
  <c r="A4253" i="12"/>
  <c r="G4252" i="12"/>
  <c r="E4252" i="12"/>
  <c r="D4252" i="12"/>
  <c r="C4252" i="12"/>
  <c r="B4252" i="12"/>
  <c r="A4252" i="12"/>
  <c r="E4251" i="12"/>
  <c r="D4251" i="12"/>
  <c r="C4251" i="12"/>
  <c r="B4251" i="12"/>
  <c r="A4251" i="12"/>
  <c r="G4250" i="12"/>
  <c r="E4250" i="12"/>
  <c r="D4250" i="12"/>
  <c r="C4250" i="12"/>
  <c r="B4250" i="12"/>
  <c r="A4250" i="12"/>
  <c r="G4249" i="12"/>
  <c r="E4249" i="12"/>
  <c r="D4249" i="12"/>
  <c r="C4249" i="12"/>
  <c r="B4249" i="12"/>
  <c r="A4249" i="12"/>
  <c r="E4248" i="12"/>
  <c r="D4248" i="12"/>
  <c r="C4248" i="12"/>
  <c r="B4248" i="12"/>
  <c r="A4248" i="12"/>
  <c r="E4247" i="12"/>
  <c r="D4247" i="12"/>
  <c r="C4247" i="12"/>
  <c r="B4247" i="12"/>
  <c r="A4247" i="12"/>
  <c r="F4246" i="12"/>
  <c r="E4246" i="12"/>
  <c r="D4246" i="12"/>
  <c r="C4246" i="12"/>
  <c r="B4246" i="12"/>
  <c r="A4246" i="12"/>
  <c r="G4245" i="12"/>
  <c r="E4245" i="12"/>
  <c r="D4245" i="12"/>
  <c r="C4245" i="12"/>
  <c r="B4245" i="12"/>
  <c r="A4245" i="12"/>
  <c r="E4244" i="12"/>
  <c r="D4244" i="12"/>
  <c r="C4244" i="12"/>
  <c r="B4244" i="12"/>
  <c r="A4244" i="12"/>
  <c r="E4243" i="12"/>
  <c r="D4243" i="12"/>
  <c r="C4243" i="12"/>
  <c r="B4243" i="12"/>
  <c r="A4243" i="12"/>
  <c r="F4242" i="12"/>
  <c r="E4242" i="12"/>
  <c r="D4242" i="12"/>
  <c r="C4242" i="12"/>
  <c r="B4242" i="12"/>
  <c r="A4242" i="12"/>
  <c r="F4241" i="12"/>
  <c r="D4241" i="12"/>
  <c r="C4241" i="12"/>
  <c r="B4241" i="12"/>
  <c r="A4241" i="12"/>
  <c r="E4240" i="12"/>
  <c r="D4240" i="12"/>
  <c r="C4240" i="12"/>
  <c r="B4240" i="12"/>
  <c r="A4240" i="12"/>
  <c r="F4239" i="12"/>
  <c r="E4239" i="12"/>
  <c r="D4239" i="12"/>
  <c r="C4239" i="12"/>
  <c r="B4239" i="12"/>
  <c r="A4239" i="12"/>
  <c r="G4238" i="12"/>
  <c r="F4238" i="12"/>
  <c r="E4238" i="12"/>
  <c r="D4238" i="12"/>
  <c r="C4238" i="12"/>
  <c r="B4238" i="12"/>
  <c r="A4238" i="12"/>
  <c r="E4237" i="12"/>
  <c r="D4237" i="12"/>
  <c r="C4237" i="12"/>
  <c r="B4237" i="12"/>
  <c r="A4237" i="12"/>
  <c r="E4236" i="12"/>
  <c r="D4236" i="12"/>
  <c r="C4236" i="12"/>
  <c r="B4236" i="12"/>
  <c r="A4236" i="12"/>
  <c r="E4235" i="12"/>
  <c r="D4235" i="12"/>
  <c r="C4235" i="12"/>
  <c r="B4235" i="12"/>
  <c r="A4235" i="12"/>
  <c r="G4234" i="12"/>
  <c r="E4234" i="12"/>
  <c r="D4234" i="12"/>
  <c r="C4234" i="12"/>
  <c r="B4234" i="12"/>
  <c r="A4234" i="12"/>
  <c r="E4233" i="12"/>
  <c r="D4233" i="12"/>
  <c r="C4233" i="12"/>
  <c r="B4233" i="12"/>
  <c r="A4233" i="12"/>
  <c r="E4232" i="12"/>
  <c r="D4232" i="12"/>
  <c r="C4232" i="12"/>
  <c r="B4232" i="12"/>
  <c r="A4232" i="12"/>
  <c r="E4231" i="12"/>
  <c r="D4231" i="12"/>
  <c r="C4231" i="12"/>
  <c r="B4231" i="12"/>
  <c r="A4231" i="12"/>
  <c r="G4230" i="12"/>
  <c r="E4230" i="12"/>
  <c r="D4230" i="12"/>
  <c r="C4230" i="12"/>
  <c r="B4230" i="12"/>
  <c r="A4230" i="12"/>
  <c r="G4229" i="12"/>
  <c r="F4229" i="12"/>
  <c r="E4229" i="12"/>
  <c r="D4229" i="12"/>
  <c r="C4229" i="12"/>
  <c r="B4229" i="12"/>
  <c r="A4229" i="12"/>
  <c r="F4228" i="12"/>
  <c r="E4228" i="12"/>
  <c r="D4228" i="12"/>
  <c r="C4228" i="12"/>
  <c r="B4228" i="12"/>
  <c r="A4228" i="12"/>
  <c r="G4227" i="12"/>
  <c r="F4227" i="12"/>
  <c r="E4227" i="12"/>
  <c r="D4227" i="12"/>
  <c r="C4227" i="12"/>
  <c r="B4227" i="12"/>
  <c r="A4227" i="12"/>
  <c r="G4226" i="12"/>
  <c r="E4226" i="12"/>
  <c r="D4226" i="12"/>
  <c r="C4226" i="12"/>
  <c r="B4226" i="12"/>
  <c r="A4226" i="12"/>
  <c r="E4225" i="12"/>
  <c r="D4225" i="12"/>
  <c r="C4225" i="12"/>
  <c r="B4225" i="12"/>
  <c r="A4225" i="12"/>
  <c r="G4224" i="12"/>
  <c r="E4224" i="12"/>
  <c r="D4224" i="12"/>
  <c r="C4224" i="12"/>
  <c r="B4224" i="12"/>
  <c r="A4224" i="12"/>
  <c r="G4223" i="12"/>
  <c r="F4223" i="12"/>
  <c r="E4223" i="12"/>
  <c r="D4223" i="12"/>
  <c r="C4223" i="12"/>
  <c r="B4223" i="12"/>
  <c r="A4223" i="12"/>
  <c r="G4222" i="12"/>
  <c r="F4222" i="12"/>
  <c r="E4222" i="12"/>
  <c r="D4222" i="12"/>
  <c r="C4222" i="12"/>
  <c r="B4222" i="12"/>
  <c r="A4222" i="12"/>
  <c r="F4221" i="12"/>
  <c r="E4221" i="12"/>
  <c r="D4221" i="12"/>
  <c r="C4221" i="12"/>
  <c r="B4221" i="12"/>
  <c r="A4221" i="12"/>
  <c r="E4220" i="12"/>
  <c r="D4220" i="12"/>
  <c r="C4220" i="12"/>
  <c r="B4220" i="12"/>
  <c r="A4220" i="12"/>
  <c r="E4219" i="12"/>
  <c r="D4219" i="12"/>
  <c r="C4219" i="12"/>
  <c r="B4219" i="12"/>
  <c r="A4219" i="12"/>
  <c r="E4218" i="12"/>
  <c r="D4218" i="12"/>
  <c r="C4218" i="12"/>
  <c r="B4218" i="12"/>
  <c r="A4218" i="12"/>
  <c r="F4217" i="12"/>
  <c r="E4217" i="12"/>
  <c r="D4217" i="12"/>
  <c r="C4217" i="12"/>
  <c r="B4217" i="12"/>
  <c r="A4217" i="12"/>
  <c r="G4216" i="12"/>
  <c r="E4216" i="12"/>
  <c r="D4216" i="12"/>
  <c r="C4216" i="12"/>
  <c r="B4216" i="12"/>
  <c r="A4216" i="12"/>
  <c r="E4215" i="12"/>
  <c r="D4215" i="12"/>
  <c r="C4215" i="12"/>
  <c r="B4215" i="12"/>
  <c r="A4215" i="12"/>
  <c r="E4214" i="12"/>
  <c r="D4214" i="12"/>
  <c r="C4214" i="12"/>
  <c r="B4214" i="12"/>
  <c r="A4214" i="12"/>
  <c r="E4213" i="12"/>
  <c r="D4213" i="12"/>
  <c r="C4213" i="12"/>
  <c r="B4213" i="12"/>
  <c r="A4213" i="12"/>
  <c r="E4212" i="12"/>
  <c r="D4212" i="12"/>
  <c r="C4212" i="12"/>
  <c r="B4212" i="12"/>
  <c r="A4212" i="12"/>
  <c r="G4211" i="12"/>
  <c r="E4211" i="12"/>
  <c r="D4211" i="12"/>
  <c r="C4211" i="12"/>
  <c r="B4211" i="12"/>
  <c r="A4211" i="12"/>
  <c r="E4210" i="12"/>
  <c r="D4210" i="12"/>
  <c r="C4210" i="12"/>
  <c r="B4210" i="12"/>
  <c r="A4210" i="12"/>
  <c r="E4209" i="12"/>
  <c r="D4209" i="12"/>
  <c r="C4209" i="12"/>
  <c r="B4209" i="12"/>
  <c r="A4209" i="12"/>
  <c r="E4208" i="12"/>
  <c r="D4208" i="12"/>
  <c r="C4208" i="12"/>
  <c r="B4208" i="12"/>
  <c r="A4208" i="12"/>
  <c r="G4207" i="12"/>
  <c r="E4207" i="12"/>
  <c r="D4207" i="12"/>
  <c r="C4207" i="12"/>
  <c r="B4207" i="12"/>
  <c r="A4207" i="12"/>
  <c r="E4206" i="12"/>
  <c r="D4206" i="12"/>
  <c r="C4206" i="12"/>
  <c r="B4206" i="12"/>
  <c r="A4206" i="12"/>
  <c r="E4205" i="12"/>
  <c r="D4205" i="12"/>
  <c r="C4205" i="12"/>
  <c r="B4205" i="12"/>
  <c r="A4205" i="12"/>
  <c r="E4204" i="12"/>
  <c r="D4204" i="12"/>
  <c r="C4204" i="12"/>
  <c r="B4204" i="12"/>
  <c r="A4204" i="12"/>
  <c r="E4203" i="12"/>
  <c r="D4203" i="12"/>
  <c r="C4203" i="12"/>
  <c r="B4203" i="12"/>
  <c r="A4203" i="12"/>
  <c r="E4202" i="12"/>
  <c r="D4202" i="12"/>
  <c r="C4202" i="12"/>
  <c r="B4202" i="12"/>
  <c r="A4202" i="12"/>
  <c r="E4201" i="12"/>
  <c r="D4201" i="12"/>
  <c r="C4201" i="12"/>
  <c r="B4201" i="12"/>
  <c r="A4201" i="12"/>
  <c r="E4200" i="12"/>
  <c r="D4200" i="12"/>
  <c r="C4200" i="12"/>
  <c r="B4200" i="12"/>
  <c r="A4200" i="12"/>
  <c r="E4199" i="12"/>
  <c r="D4199" i="12"/>
  <c r="C4199" i="12"/>
  <c r="B4199" i="12"/>
  <c r="A4199" i="12"/>
  <c r="G4198" i="12"/>
  <c r="E4198" i="12"/>
  <c r="D4198" i="12"/>
  <c r="C4198" i="12"/>
  <c r="B4198" i="12"/>
  <c r="A4198" i="12"/>
  <c r="G4197" i="12"/>
  <c r="F4197" i="12"/>
  <c r="E4197" i="12"/>
  <c r="D4197" i="12"/>
  <c r="C4197" i="12"/>
  <c r="B4197" i="12"/>
  <c r="A4197" i="12"/>
  <c r="E4196" i="12"/>
  <c r="D4196" i="12"/>
  <c r="C4196" i="12"/>
  <c r="B4196" i="12"/>
  <c r="A4196" i="12"/>
  <c r="G4195" i="12"/>
  <c r="E4195" i="12"/>
  <c r="D4195" i="12"/>
  <c r="C4195" i="12"/>
  <c r="B4195" i="12"/>
  <c r="A4195" i="12"/>
  <c r="G4194" i="12"/>
  <c r="E4194" i="12"/>
  <c r="D4194" i="12"/>
  <c r="C4194" i="12"/>
  <c r="B4194" i="12"/>
  <c r="A4194" i="12"/>
  <c r="G4193" i="12"/>
  <c r="E4193" i="12"/>
  <c r="D4193" i="12"/>
  <c r="C4193" i="12"/>
  <c r="B4193" i="12"/>
  <c r="A4193" i="12"/>
  <c r="G4192" i="12"/>
  <c r="E4192" i="12"/>
  <c r="D4192" i="12"/>
  <c r="C4192" i="12"/>
  <c r="B4192" i="12"/>
  <c r="A4192" i="12"/>
  <c r="G4191" i="12"/>
  <c r="F4191" i="12"/>
  <c r="E4191" i="12"/>
  <c r="D4191" i="12"/>
  <c r="C4191" i="12"/>
  <c r="B4191" i="12"/>
  <c r="A4191" i="12"/>
  <c r="E4190" i="12"/>
  <c r="D4190" i="12"/>
  <c r="C4190" i="12"/>
  <c r="B4190" i="12"/>
  <c r="A4190" i="12"/>
  <c r="G4189" i="12"/>
  <c r="E4189" i="12"/>
  <c r="D4189" i="12"/>
  <c r="C4189" i="12"/>
  <c r="B4189" i="12"/>
  <c r="A4189" i="12"/>
  <c r="G4188" i="12"/>
  <c r="E4188" i="12"/>
  <c r="D4188" i="12"/>
  <c r="C4188" i="12"/>
  <c r="B4188" i="12"/>
  <c r="A4188" i="12"/>
  <c r="G4187" i="12"/>
  <c r="E4187" i="12"/>
  <c r="D4187" i="12"/>
  <c r="C4187" i="12"/>
  <c r="B4187" i="12"/>
  <c r="A4187" i="12"/>
  <c r="G4186" i="12"/>
  <c r="E4186" i="12"/>
  <c r="D4186" i="12"/>
  <c r="C4186" i="12"/>
  <c r="B4186" i="12"/>
  <c r="A4186" i="12"/>
  <c r="G4185" i="12"/>
  <c r="E4185" i="12"/>
  <c r="D4185" i="12"/>
  <c r="C4185" i="12"/>
  <c r="B4185" i="12"/>
  <c r="A4185" i="12"/>
  <c r="G4184" i="12"/>
  <c r="E4184" i="12"/>
  <c r="D4184" i="12"/>
  <c r="C4184" i="12"/>
  <c r="B4184" i="12"/>
  <c r="A4184" i="12"/>
  <c r="G4183" i="12"/>
  <c r="E4183" i="12"/>
  <c r="D4183" i="12"/>
  <c r="C4183" i="12"/>
  <c r="B4183" i="12"/>
  <c r="A4183" i="12"/>
  <c r="G4182" i="12"/>
  <c r="E4182" i="12"/>
  <c r="D4182" i="12"/>
  <c r="C4182" i="12"/>
  <c r="B4182" i="12"/>
  <c r="A4182" i="12"/>
  <c r="G4181" i="12"/>
  <c r="E4181" i="12"/>
  <c r="D4181" i="12"/>
  <c r="C4181" i="12"/>
  <c r="B4181" i="12"/>
  <c r="A4181" i="12"/>
  <c r="G4180" i="12"/>
  <c r="E4180" i="12"/>
  <c r="D4180" i="12"/>
  <c r="C4180" i="12"/>
  <c r="B4180" i="12"/>
  <c r="A4180" i="12"/>
  <c r="G4179" i="12"/>
  <c r="F4179" i="12"/>
  <c r="E4179" i="12"/>
  <c r="D4179" i="12"/>
  <c r="C4179" i="12"/>
  <c r="B4179" i="12"/>
  <c r="A4179" i="12"/>
  <c r="G4178" i="12"/>
  <c r="E4178" i="12"/>
  <c r="D4178" i="12"/>
  <c r="C4178" i="12"/>
  <c r="B4178" i="12"/>
  <c r="A4178" i="12"/>
  <c r="G4177" i="12"/>
  <c r="E4177" i="12"/>
  <c r="D4177" i="12"/>
  <c r="C4177" i="12"/>
  <c r="B4177" i="12"/>
  <c r="A4177" i="12"/>
  <c r="G4176" i="12"/>
  <c r="F4176" i="12"/>
  <c r="E4176" i="12"/>
  <c r="D4176" i="12"/>
  <c r="C4176" i="12"/>
  <c r="B4176" i="12"/>
  <c r="A4176" i="12"/>
  <c r="D4175" i="12"/>
  <c r="C4175" i="12"/>
  <c r="B4175" i="12"/>
  <c r="A4175" i="12"/>
  <c r="G4174" i="12"/>
  <c r="E4174" i="12"/>
  <c r="D4174" i="12"/>
  <c r="C4174" i="12"/>
  <c r="B4174" i="12"/>
  <c r="A4174" i="12"/>
  <c r="G4173" i="12"/>
  <c r="F4173" i="12"/>
  <c r="E4173" i="12"/>
  <c r="D4173" i="12"/>
  <c r="C4173" i="12"/>
  <c r="B4173" i="12"/>
  <c r="A4173" i="12"/>
  <c r="G4172" i="12"/>
  <c r="F4172" i="12"/>
  <c r="E4172" i="12"/>
  <c r="D4172" i="12"/>
  <c r="C4172" i="12"/>
  <c r="B4172" i="12"/>
  <c r="A4172" i="12"/>
  <c r="G4171" i="12"/>
  <c r="F4171" i="12"/>
  <c r="E4171" i="12"/>
  <c r="D4171" i="12"/>
  <c r="C4171" i="12"/>
  <c r="B4171" i="12"/>
  <c r="A4171" i="12"/>
  <c r="G4170" i="12"/>
  <c r="F4170" i="12"/>
  <c r="E4170" i="12"/>
  <c r="D4170" i="12"/>
  <c r="C4170" i="12"/>
  <c r="B4170" i="12"/>
  <c r="A4170" i="12"/>
  <c r="G4169" i="12"/>
  <c r="E4169" i="12"/>
  <c r="D4169" i="12"/>
  <c r="C4169" i="12"/>
  <c r="B4169" i="12"/>
  <c r="A4169" i="12"/>
  <c r="G4168" i="12"/>
  <c r="E4168" i="12"/>
  <c r="D4168" i="12"/>
  <c r="C4168" i="12"/>
  <c r="B4168" i="12"/>
  <c r="A4168" i="12"/>
  <c r="G4167" i="12"/>
  <c r="F4167" i="12"/>
  <c r="E4167" i="12"/>
  <c r="D4167" i="12"/>
  <c r="C4167" i="12"/>
  <c r="B4167" i="12"/>
  <c r="A4167" i="12"/>
  <c r="G4166" i="12"/>
  <c r="E4166" i="12"/>
  <c r="D4166" i="12"/>
  <c r="C4166" i="12"/>
  <c r="B4166" i="12"/>
  <c r="A4166" i="12"/>
  <c r="G4165" i="12"/>
  <c r="F4165" i="12"/>
  <c r="E4165" i="12"/>
  <c r="D4165" i="12"/>
  <c r="C4165" i="12"/>
  <c r="B4165" i="12"/>
  <c r="A4165" i="12"/>
  <c r="G4164" i="12"/>
  <c r="F4164" i="12"/>
  <c r="E4164" i="12"/>
  <c r="D4164" i="12"/>
  <c r="C4164" i="12"/>
  <c r="B4164" i="12"/>
  <c r="A4164" i="12"/>
  <c r="G4163" i="12"/>
  <c r="F4163" i="12"/>
  <c r="E4163" i="12"/>
  <c r="D4163" i="12"/>
  <c r="C4163" i="12"/>
  <c r="B4163" i="12"/>
  <c r="A4163" i="12"/>
  <c r="G4162" i="12"/>
  <c r="F4162" i="12"/>
  <c r="E4162" i="12"/>
  <c r="D4162" i="12"/>
  <c r="C4162" i="12"/>
  <c r="B4162" i="12"/>
  <c r="A4162" i="12"/>
  <c r="G4161" i="12"/>
  <c r="F4161" i="12"/>
  <c r="E4161" i="12"/>
  <c r="D4161" i="12"/>
  <c r="C4161" i="12"/>
  <c r="B4161" i="12"/>
  <c r="A4161" i="12"/>
  <c r="G4160" i="12"/>
  <c r="E4160" i="12"/>
  <c r="D4160" i="12"/>
  <c r="C4160" i="12"/>
  <c r="B4160" i="12"/>
  <c r="A4160" i="12"/>
  <c r="G4159" i="12"/>
  <c r="F4159" i="12"/>
  <c r="E4159" i="12"/>
  <c r="D4159" i="12"/>
  <c r="C4159" i="12"/>
  <c r="B4159" i="12"/>
  <c r="A4159" i="12"/>
  <c r="G4158" i="12"/>
  <c r="F4158" i="12"/>
  <c r="E4158" i="12"/>
  <c r="D4158" i="12"/>
  <c r="C4158" i="12"/>
  <c r="B4158" i="12"/>
  <c r="A4158" i="12"/>
  <c r="G4157" i="12"/>
  <c r="F4157" i="12"/>
  <c r="E4157" i="12"/>
  <c r="D4157" i="12"/>
  <c r="C4157" i="12"/>
  <c r="B4157" i="12"/>
  <c r="A4157" i="12"/>
  <c r="G4156" i="12"/>
  <c r="E4156" i="12"/>
  <c r="D4156" i="12"/>
  <c r="C4156" i="12"/>
  <c r="B4156" i="12"/>
  <c r="A4156" i="12"/>
  <c r="G4155" i="12"/>
  <c r="E4155" i="12"/>
  <c r="D4155" i="12"/>
  <c r="C4155" i="12"/>
  <c r="B4155" i="12"/>
  <c r="A4155" i="12"/>
  <c r="G4154" i="12"/>
  <c r="E4154" i="12"/>
  <c r="D4154" i="12"/>
  <c r="C4154" i="12"/>
  <c r="B4154" i="12"/>
  <c r="A4154" i="12"/>
  <c r="G4153" i="12"/>
  <c r="F4153" i="12"/>
  <c r="E4153" i="12"/>
  <c r="D4153" i="12"/>
  <c r="C4153" i="12"/>
  <c r="B4153" i="12"/>
  <c r="A4153" i="12"/>
  <c r="G4152" i="12"/>
  <c r="E4152" i="12"/>
  <c r="D4152" i="12"/>
  <c r="C4152" i="12"/>
  <c r="B4152" i="12"/>
  <c r="A4152" i="12"/>
  <c r="G4151" i="12"/>
  <c r="F4151" i="12"/>
  <c r="E4151" i="12"/>
  <c r="D4151" i="12"/>
  <c r="C4151" i="12"/>
  <c r="B4151" i="12"/>
  <c r="A4151" i="12"/>
  <c r="G4150" i="12"/>
  <c r="E4150" i="12"/>
  <c r="D4150" i="12"/>
  <c r="C4150" i="12"/>
  <c r="B4150" i="12"/>
  <c r="A4150" i="12"/>
  <c r="G4149" i="12"/>
  <c r="E4149" i="12"/>
  <c r="D4149" i="12"/>
  <c r="C4149" i="12"/>
  <c r="B4149" i="12"/>
  <c r="A4149" i="12"/>
  <c r="G4148" i="12"/>
  <c r="E4148" i="12"/>
  <c r="D4148" i="12"/>
  <c r="C4148" i="12"/>
  <c r="B4148" i="12"/>
  <c r="A4148" i="12"/>
  <c r="E4147" i="12"/>
  <c r="D4147" i="12"/>
  <c r="C4147" i="12"/>
  <c r="B4147" i="12"/>
  <c r="A4147" i="12"/>
  <c r="E4146" i="12"/>
  <c r="D4146" i="12"/>
  <c r="C4146" i="12"/>
  <c r="B4146" i="12"/>
  <c r="A4146" i="12"/>
  <c r="E4145" i="12"/>
  <c r="D4145" i="12"/>
  <c r="C4145" i="12"/>
  <c r="B4145" i="12"/>
  <c r="A4145" i="12"/>
  <c r="E4144" i="12"/>
  <c r="D4144" i="12"/>
  <c r="C4144" i="12"/>
  <c r="B4144" i="12"/>
  <c r="A4144" i="12"/>
  <c r="E4143" i="12"/>
  <c r="D4143" i="12"/>
  <c r="C4143" i="12"/>
  <c r="B4143" i="12"/>
  <c r="A4143" i="12"/>
  <c r="E4142" i="12"/>
  <c r="D4142" i="12"/>
  <c r="C4142" i="12"/>
  <c r="B4142" i="12"/>
  <c r="A4142" i="12"/>
  <c r="E4141" i="12"/>
  <c r="D4141" i="12"/>
  <c r="C4141" i="12"/>
  <c r="B4141" i="12"/>
  <c r="A4141" i="12"/>
  <c r="E4140" i="12"/>
  <c r="D4140" i="12"/>
  <c r="C4140" i="12"/>
  <c r="B4140" i="12"/>
  <c r="A4140" i="12"/>
  <c r="E4139" i="12"/>
  <c r="D4139" i="12"/>
  <c r="C4139" i="12"/>
  <c r="B4139" i="12"/>
  <c r="A4139" i="12"/>
  <c r="E4138" i="12"/>
  <c r="D4138" i="12"/>
  <c r="C4138" i="12"/>
  <c r="B4138" i="12"/>
  <c r="A4138" i="12"/>
  <c r="E4137" i="12"/>
  <c r="D4137" i="12"/>
  <c r="C4137" i="12"/>
  <c r="B4137" i="12"/>
  <c r="A4137" i="12"/>
  <c r="E4136" i="12"/>
  <c r="D4136" i="12"/>
  <c r="C4136" i="12"/>
  <c r="B4136" i="12"/>
  <c r="A4136" i="12"/>
  <c r="E4135" i="12"/>
  <c r="D4135" i="12"/>
  <c r="C4135" i="12"/>
  <c r="B4135" i="12"/>
  <c r="A4135" i="12"/>
  <c r="E4134" i="12"/>
  <c r="D4134" i="12"/>
  <c r="C4134" i="12"/>
  <c r="B4134" i="12"/>
  <c r="A4134" i="12"/>
  <c r="E4133" i="12"/>
  <c r="D4133" i="12"/>
  <c r="C4133" i="12"/>
  <c r="B4133" i="12"/>
  <c r="A4133" i="12"/>
  <c r="E4132" i="12"/>
  <c r="D4132" i="12"/>
  <c r="C4132" i="12"/>
  <c r="B4132" i="12"/>
  <c r="A4132" i="12"/>
  <c r="E4131" i="12"/>
  <c r="D4131" i="12"/>
  <c r="C4131" i="12"/>
  <c r="B4131" i="12"/>
  <c r="A4131" i="12"/>
  <c r="E4130" i="12"/>
  <c r="D4130" i="12"/>
  <c r="C4130" i="12"/>
  <c r="B4130" i="12"/>
  <c r="A4130" i="12"/>
  <c r="E4129" i="12"/>
  <c r="D4129" i="12"/>
  <c r="C4129" i="12"/>
  <c r="B4129" i="12"/>
  <c r="A4129" i="12"/>
  <c r="E4128" i="12"/>
  <c r="D4128" i="12"/>
  <c r="C4128" i="12"/>
  <c r="B4128" i="12"/>
  <c r="A4128" i="12"/>
  <c r="E4127" i="12"/>
  <c r="D4127" i="12"/>
  <c r="C4127" i="12"/>
  <c r="B4127" i="12"/>
  <c r="A4127" i="12"/>
  <c r="E4126" i="12"/>
  <c r="D4126" i="12"/>
  <c r="C4126" i="12"/>
  <c r="B4126" i="12"/>
  <c r="A4126" i="12"/>
  <c r="E4125" i="12"/>
  <c r="D4125" i="12"/>
  <c r="C4125" i="12"/>
  <c r="B4125" i="12"/>
  <c r="A4125" i="12"/>
  <c r="E4124" i="12"/>
  <c r="D4124" i="12"/>
  <c r="C4124" i="12"/>
  <c r="B4124" i="12"/>
  <c r="A4124" i="12"/>
  <c r="E4123" i="12"/>
  <c r="D4123" i="12"/>
  <c r="C4123" i="12"/>
  <c r="B4123" i="12"/>
  <c r="A4123" i="12"/>
  <c r="E4122" i="12"/>
  <c r="D4122" i="12"/>
  <c r="C4122" i="12"/>
  <c r="B4122" i="12"/>
  <c r="A4122" i="12"/>
  <c r="E4121" i="12"/>
  <c r="D4121" i="12"/>
  <c r="C4121" i="12"/>
  <c r="B4121" i="12"/>
  <c r="A4121" i="12"/>
  <c r="E4120" i="12"/>
  <c r="D4120" i="12"/>
  <c r="C4120" i="12"/>
  <c r="B4120" i="12"/>
  <c r="A4120" i="12"/>
  <c r="E4119" i="12"/>
  <c r="D4119" i="12"/>
  <c r="C4119" i="12"/>
  <c r="B4119" i="12"/>
  <c r="A4119" i="12"/>
  <c r="E4118" i="12"/>
  <c r="D4118" i="12"/>
  <c r="C4118" i="12"/>
  <c r="B4118" i="12"/>
  <c r="A4118" i="12"/>
  <c r="E4117" i="12"/>
  <c r="D4117" i="12"/>
  <c r="C4117" i="12"/>
  <c r="B4117" i="12"/>
  <c r="A4117" i="12"/>
  <c r="E4116" i="12"/>
  <c r="D4116" i="12"/>
  <c r="C4116" i="12"/>
  <c r="B4116" i="12"/>
  <c r="A4116" i="12"/>
  <c r="E4115" i="12"/>
  <c r="D4115" i="12"/>
  <c r="C4115" i="12"/>
  <c r="B4115" i="12"/>
  <c r="A4115" i="12"/>
  <c r="E4114" i="12"/>
  <c r="D4114" i="12"/>
  <c r="C4114" i="12"/>
  <c r="B4114" i="12"/>
  <c r="A4114" i="12"/>
  <c r="E4113" i="12"/>
  <c r="D4113" i="12"/>
  <c r="C4113" i="12"/>
  <c r="B4113" i="12"/>
  <c r="A4113" i="12"/>
  <c r="E4112" i="12"/>
  <c r="D4112" i="12"/>
  <c r="C4112" i="12"/>
  <c r="B4112" i="12"/>
  <c r="A4112" i="12"/>
  <c r="E4111" i="12"/>
  <c r="D4111" i="12"/>
  <c r="C4111" i="12"/>
  <c r="B4111" i="12"/>
  <c r="A4111" i="12"/>
  <c r="E4110" i="12"/>
  <c r="D4110" i="12"/>
  <c r="C4110" i="12"/>
  <c r="B4110" i="12"/>
  <c r="A4110" i="12"/>
  <c r="E4109" i="12"/>
  <c r="D4109" i="12"/>
  <c r="C4109" i="12"/>
  <c r="B4109" i="12"/>
  <c r="A4109" i="12"/>
  <c r="E4108" i="12"/>
  <c r="D4108" i="12"/>
  <c r="C4108" i="12"/>
  <c r="B4108" i="12"/>
  <c r="A4108" i="12"/>
  <c r="E4107" i="12"/>
  <c r="D4107" i="12"/>
  <c r="C4107" i="12"/>
  <c r="B4107" i="12"/>
  <c r="A4107" i="12"/>
  <c r="E4106" i="12"/>
  <c r="D4106" i="12"/>
  <c r="C4106" i="12"/>
  <c r="B4106" i="12"/>
  <c r="A4106" i="12"/>
  <c r="E4105" i="12"/>
  <c r="D4105" i="12"/>
  <c r="C4105" i="12"/>
  <c r="B4105" i="12"/>
  <c r="A4105" i="12"/>
  <c r="E4104" i="12"/>
  <c r="D4104" i="12"/>
  <c r="C4104" i="12"/>
  <c r="B4104" i="12"/>
  <c r="A4104" i="12"/>
  <c r="E4103" i="12"/>
  <c r="D4103" i="12"/>
  <c r="C4103" i="12"/>
  <c r="B4103" i="12"/>
  <c r="A4103" i="12"/>
  <c r="E4102" i="12"/>
  <c r="D4102" i="12"/>
  <c r="C4102" i="12"/>
  <c r="A4102" i="12"/>
  <c r="E4101" i="12"/>
  <c r="D4101" i="12"/>
  <c r="C4101" i="12"/>
  <c r="B4101" i="12"/>
  <c r="A4101" i="12"/>
  <c r="E4100" i="12"/>
  <c r="D4100" i="12"/>
  <c r="C4100" i="12"/>
  <c r="B4100" i="12"/>
  <c r="A4100" i="12"/>
  <c r="E4099" i="12"/>
  <c r="D4099" i="12"/>
  <c r="C4099" i="12"/>
  <c r="B4099" i="12"/>
  <c r="A4099" i="12"/>
  <c r="E4098" i="12"/>
  <c r="D4098" i="12"/>
  <c r="C4098" i="12"/>
  <c r="B4098" i="12"/>
  <c r="A4098" i="12"/>
  <c r="E4097" i="12"/>
  <c r="D4097" i="12"/>
  <c r="C4097" i="12"/>
  <c r="B4097" i="12"/>
  <c r="A4097" i="12"/>
  <c r="E4096" i="12"/>
  <c r="D4096" i="12"/>
  <c r="C4096" i="12"/>
  <c r="B4096" i="12"/>
  <c r="A4096" i="12"/>
  <c r="E4095" i="12"/>
  <c r="D4095" i="12"/>
  <c r="C4095" i="12"/>
  <c r="B4095" i="12"/>
  <c r="A4095" i="12"/>
  <c r="E4094" i="12"/>
  <c r="D4094" i="12"/>
  <c r="C4094" i="12"/>
  <c r="B4094" i="12"/>
  <c r="A4094" i="12"/>
  <c r="E4093" i="12"/>
  <c r="D4093" i="12"/>
  <c r="C4093" i="12"/>
  <c r="B4093" i="12"/>
  <c r="A4093" i="12"/>
  <c r="E4092" i="12"/>
  <c r="D4092" i="12"/>
  <c r="C4092" i="12"/>
  <c r="B4092" i="12"/>
  <c r="A4092" i="12"/>
  <c r="E4091" i="12"/>
  <c r="D4091" i="12"/>
  <c r="C4091" i="12"/>
  <c r="B4091" i="12"/>
  <c r="A4091" i="12"/>
  <c r="E4090" i="12"/>
  <c r="D4090" i="12"/>
  <c r="C4090" i="12"/>
  <c r="B4090" i="12"/>
  <c r="A4090" i="12"/>
  <c r="E4089" i="12"/>
  <c r="D4089" i="12"/>
  <c r="C4089" i="12"/>
  <c r="B4089" i="12"/>
  <c r="A4089" i="12"/>
  <c r="E4088" i="12"/>
  <c r="D4088" i="12"/>
  <c r="C4088" i="12"/>
  <c r="B4088" i="12"/>
  <c r="A4088" i="12"/>
  <c r="E4087" i="12"/>
  <c r="D4087" i="12"/>
  <c r="C4087" i="12"/>
  <c r="B4087" i="12"/>
  <c r="A4087" i="12"/>
  <c r="E4086" i="12"/>
  <c r="D4086" i="12"/>
  <c r="C4086" i="12"/>
  <c r="B4086" i="12"/>
  <c r="A4086" i="12"/>
  <c r="E4085" i="12"/>
  <c r="D4085" i="12"/>
  <c r="C4085" i="12"/>
  <c r="B4085" i="12"/>
  <c r="A4085" i="12"/>
  <c r="E4084" i="12"/>
  <c r="D4084" i="12"/>
  <c r="C4084" i="12"/>
  <c r="B4084" i="12"/>
  <c r="A4084" i="12"/>
  <c r="E4083" i="12"/>
  <c r="D4083" i="12"/>
  <c r="C4083" i="12"/>
  <c r="B4083" i="12"/>
  <c r="A4083" i="12"/>
  <c r="E4082" i="12"/>
  <c r="D4082" i="12"/>
  <c r="C4082" i="12"/>
  <c r="B4082" i="12"/>
  <c r="A4082" i="12"/>
  <c r="E4081" i="12"/>
  <c r="D4081" i="12"/>
  <c r="C4081" i="12"/>
  <c r="B4081" i="12"/>
  <c r="A4081" i="12"/>
  <c r="E4080" i="12"/>
  <c r="D4080" i="12"/>
  <c r="C4080" i="12"/>
  <c r="B4080" i="12"/>
  <c r="A4080" i="12"/>
  <c r="E4079" i="12"/>
  <c r="D4079" i="12"/>
  <c r="C4079" i="12"/>
  <c r="B4079" i="12"/>
  <c r="A4079" i="12"/>
  <c r="E4078" i="12"/>
  <c r="D4078" i="12"/>
  <c r="C4078" i="12"/>
  <c r="B4078" i="12"/>
  <c r="A4078" i="12"/>
  <c r="E4077" i="12"/>
  <c r="D4077" i="12"/>
  <c r="C4077" i="12"/>
  <c r="B4077" i="12"/>
  <c r="A4077" i="12"/>
  <c r="E4076" i="12"/>
  <c r="D4076" i="12"/>
  <c r="C4076" i="12"/>
  <c r="B4076" i="12"/>
  <c r="A4076" i="12"/>
  <c r="E4075" i="12"/>
  <c r="D4075" i="12"/>
  <c r="C4075" i="12"/>
  <c r="B4075" i="12"/>
  <c r="A4075" i="12"/>
  <c r="E4074" i="12"/>
  <c r="D4074" i="12"/>
  <c r="C4074" i="12"/>
  <c r="B4074" i="12"/>
  <c r="A4074" i="12"/>
  <c r="E4073" i="12"/>
  <c r="D4073" i="12"/>
  <c r="C4073" i="12"/>
  <c r="B4073" i="12"/>
  <c r="A4073" i="12"/>
  <c r="E4072" i="12"/>
  <c r="D4072" i="12"/>
  <c r="C4072" i="12"/>
  <c r="B4072" i="12"/>
  <c r="A4072" i="12"/>
  <c r="G4071" i="12"/>
  <c r="E4071" i="12"/>
  <c r="D4071" i="12"/>
  <c r="C4071" i="12"/>
  <c r="B4071" i="12"/>
  <c r="A4071" i="12"/>
  <c r="E4070" i="12"/>
  <c r="D4070" i="12"/>
  <c r="C4070" i="12"/>
  <c r="B4070" i="12"/>
  <c r="A4070" i="12"/>
  <c r="G4069" i="12"/>
  <c r="E4069" i="12"/>
  <c r="D4069" i="12"/>
  <c r="C4069" i="12"/>
  <c r="B4069" i="12"/>
  <c r="A4069" i="12"/>
  <c r="E4068" i="12"/>
  <c r="D4068" i="12"/>
  <c r="C4068" i="12"/>
  <c r="B4068" i="12"/>
  <c r="A4068" i="12"/>
  <c r="E4067" i="12"/>
  <c r="D4067" i="12"/>
  <c r="C4067" i="12"/>
  <c r="B4067" i="12"/>
  <c r="A4067" i="12"/>
  <c r="E4066" i="12"/>
  <c r="D4066" i="12"/>
  <c r="C4066" i="12"/>
  <c r="B4066" i="12"/>
  <c r="A4066" i="12"/>
  <c r="E4065" i="12"/>
  <c r="D4065" i="12"/>
  <c r="C4065" i="12"/>
  <c r="B4065" i="12"/>
  <c r="A4065" i="12"/>
  <c r="E4064" i="12"/>
  <c r="D4064" i="12"/>
  <c r="C4064" i="12"/>
  <c r="B4064" i="12"/>
  <c r="A4064" i="12"/>
  <c r="E4063" i="12"/>
  <c r="D4063" i="12"/>
  <c r="C4063" i="12"/>
  <c r="B4063" i="12"/>
  <c r="A4063" i="12"/>
  <c r="E4062" i="12"/>
  <c r="D4062" i="12"/>
  <c r="C4062" i="12"/>
  <c r="B4062" i="12"/>
  <c r="A4062" i="12"/>
  <c r="E4061" i="12"/>
  <c r="D4061" i="12"/>
  <c r="C4061" i="12"/>
  <c r="B4061" i="12"/>
  <c r="A4061" i="12"/>
  <c r="E4060" i="12"/>
  <c r="D4060" i="12"/>
  <c r="C4060" i="12"/>
  <c r="B4060" i="12"/>
  <c r="A4060" i="12"/>
  <c r="E4059" i="12"/>
  <c r="D4059" i="12"/>
  <c r="C4059" i="12"/>
  <c r="B4059" i="12"/>
  <c r="A4059" i="12"/>
  <c r="G4058" i="12"/>
  <c r="E4058" i="12"/>
  <c r="D4058" i="12"/>
  <c r="C4058" i="12"/>
  <c r="B4058" i="12"/>
  <c r="A4058" i="12"/>
  <c r="E4057" i="12"/>
  <c r="D4057" i="12"/>
  <c r="C4057" i="12"/>
  <c r="B4057" i="12"/>
  <c r="A4057" i="12"/>
  <c r="E4056" i="12"/>
  <c r="D4056" i="12"/>
  <c r="C4056" i="12"/>
  <c r="B4056" i="12"/>
  <c r="A4056" i="12"/>
  <c r="E4055" i="12"/>
  <c r="D4055" i="12"/>
  <c r="C4055" i="12"/>
  <c r="B4055" i="12"/>
  <c r="A4055" i="12"/>
  <c r="E4054" i="12"/>
  <c r="D4054" i="12"/>
  <c r="C4054" i="12"/>
  <c r="B4054" i="12"/>
  <c r="A4054" i="12"/>
  <c r="E4053" i="12"/>
  <c r="D4053" i="12"/>
  <c r="C4053" i="12"/>
  <c r="B4053" i="12"/>
  <c r="A4053" i="12"/>
  <c r="E4052" i="12"/>
  <c r="D4052" i="12"/>
  <c r="C4052" i="12"/>
  <c r="B4052" i="12"/>
  <c r="A4052" i="12"/>
  <c r="G4051" i="12"/>
  <c r="E4051" i="12"/>
  <c r="D4051" i="12"/>
  <c r="C4051" i="12"/>
  <c r="B4051" i="12"/>
  <c r="A4051" i="12"/>
  <c r="G4050" i="12"/>
  <c r="E4050" i="12"/>
  <c r="D4050" i="12"/>
  <c r="C4050" i="12"/>
  <c r="B4050" i="12"/>
  <c r="A4050" i="12"/>
  <c r="E4049" i="12"/>
  <c r="D4049" i="12"/>
  <c r="C4049" i="12"/>
  <c r="B4049" i="12"/>
  <c r="A4049" i="12"/>
  <c r="E4048" i="12"/>
  <c r="D4048" i="12"/>
  <c r="C4048" i="12"/>
  <c r="B4048" i="12"/>
  <c r="A4048" i="12"/>
  <c r="G4047" i="12"/>
  <c r="E4047" i="12"/>
  <c r="D4047" i="12"/>
  <c r="C4047" i="12"/>
  <c r="B4047" i="12"/>
  <c r="A4047" i="12"/>
  <c r="E4046" i="12"/>
  <c r="D4046" i="12"/>
  <c r="C4046" i="12"/>
  <c r="B4046" i="12"/>
  <c r="A4046" i="12"/>
  <c r="G4045" i="12"/>
  <c r="E4045" i="12"/>
  <c r="D4045" i="12"/>
  <c r="C4045" i="12"/>
  <c r="B4045" i="12"/>
  <c r="A4045" i="12"/>
  <c r="G4044" i="12"/>
  <c r="E4044" i="12"/>
  <c r="D4044" i="12"/>
  <c r="C4044" i="12"/>
  <c r="B4044" i="12"/>
  <c r="A4044" i="12"/>
  <c r="E4043" i="12"/>
  <c r="D4043" i="12"/>
  <c r="C4043" i="12"/>
  <c r="B4043" i="12"/>
  <c r="A4043" i="12"/>
  <c r="G4042" i="12"/>
  <c r="E4042" i="12"/>
  <c r="D4042" i="12"/>
  <c r="C4042" i="12"/>
  <c r="B4042" i="12"/>
  <c r="A4042" i="12"/>
  <c r="G4041" i="12"/>
  <c r="E4041" i="12"/>
  <c r="D4041" i="12"/>
  <c r="C4041" i="12"/>
  <c r="B4041" i="12"/>
  <c r="A4041" i="12"/>
  <c r="E4040" i="12"/>
  <c r="D4040" i="12"/>
  <c r="C4040" i="12"/>
  <c r="B4040" i="12"/>
  <c r="A4040" i="12"/>
  <c r="E4039" i="12"/>
  <c r="D4039" i="12"/>
  <c r="C4039" i="12"/>
  <c r="B4039" i="12"/>
  <c r="A4039" i="12"/>
  <c r="E4038" i="12"/>
  <c r="D4038" i="12"/>
  <c r="C4038" i="12"/>
  <c r="B4038" i="12"/>
  <c r="A4038" i="12"/>
  <c r="G4037" i="12"/>
  <c r="E4037" i="12"/>
  <c r="D4037" i="12"/>
  <c r="C4037" i="12"/>
  <c r="B4037" i="12"/>
  <c r="A4037" i="12"/>
  <c r="G4036" i="12"/>
  <c r="E4036" i="12"/>
  <c r="D4036" i="12"/>
  <c r="C4036" i="12"/>
  <c r="B4036" i="12"/>
  <c r="A4036" i="12"/>
  <c r="E4035" i="12"/>
  <c r="D4035" i="12"/>
  <c r="C4035" i="12"/>
  <c r="B4035" i="12"/>
  <c r="A4035" i="12"/>
  <c r="E4034" i="12"/>
  <c r="D4034" i="12"/>
  <c r="C4034" i="12"/>
  <c r="B4034" i="12"/>
  <c r="A4034" i="12"/>
  <c r="E4033" i="12"/>
  <c r="D4033" i="12"/>
  <c r="C4033" i="12"/>
  <c r="B4033" i="12"/>
  <c r="A4033" i="12"/>
  <c r="E4032" i="12"/>
  <c r="D4032" i="12"/>
  <c r="C4032" i="12"/>
  <c r="B4032" i="12"/>
  <c r="A4032" i="12"/>
  <c r="G4031" i="12"/>
  <c r="E4031" i="12"/>
  <c r="D4031" i="12"/>
  <c r="C4031" i="12"/>
  <c r="B4031" i="12"/>
  <c r="A4031" i="12"/>
  <c r="E4030" i="12"/>
  <c r="D4030" i="12"/>
  <c r="C4030" i="12"/>
  <c r="B4030" i="12"/>
  <c r="A4030" i="12"/>
  <c r="E4029" i="12"/>
  <c r="D4029" i="12"/>
  <c r="C4029" i="12"/>
  <c r="B4029" i="12"/>
  <c r="A4029" i="12"/>
  <c r="E4028" i="12"/>
  <c r="D4028" i="12"/>
  <c r="C4028" i="12"/>
  <c r="B4028" i="12"/>
  <c r="A4028" i="12"/>
  <c r="G4027" i="12"/>
  <c r="E4027" i="12"/>
  <c r="D4027" i="12"/>
  <c r="C4027" i="12"/>
  <c r="B4027" i="12"/>
  <c r="A4027" i="12"/>
  <c r="G4026" i="12"/>
  <c r="E4026" i="12"/>
  <c r="D4026" i="12"/>
  <c r="C4026" i="12"/>
  <c r="B4026" i="12"/>
  <c r="A4026" i="12"/>
  <c r="E4025" i="12"/>
  <c r="D4025" i="12"/>
  <c r="C4025" i="12"/>
  <c r="B4025" i="12"/>
  <c r="A4025" i="12"/>
  <c r="F4024" i="12"/>
  <c r="E4024" i="12"/>
  <c r="D4024" i="12"/>
  <c r="C4024" i="12"/>
  <c r="B4024" i="12"/>
  <c r="A4024" i="12"/>
  <c r="F4023" i="12"/>
  <c r="E4023" i="12"/>
  <c r="D4023" i="12"/>
  <c r="C4023" i="12"/>
  <c r="B4023" i="12"/>
  <c r="A4023" i="12"/>
  <c r="G4022" i="12"/>
  <c r="F4022" i="12"/>
  <c r="E4022" i="12"/>
  <c r="D4022" i="12"/>
  <c r="C4022" i="12"/>
  <c r="B4022" i="12"/>
  <c r="A4022" i="12"/>
  <c r="F4021" i="12"/>
  <c r="E4021" i="12"/>
  <c r="D4021" i="12"/>
  <c r="C4021" i="12"/>
  <c r="B4021" i="12"/>
  <c r="A4021" i="12"/>
  <c r="F4020" i="12"/>
  <c r="E4020" i="12"/>
  <c r="D4020" i="12"/>
  <c r="C4020" i="12"/>
  <c r="B4020" i="12"/>
  <c r="A4020" i="12"/>
  <c r="F4019" i="12"/>
  <c r="E4019" i="12"/>
  <c r="D4019" i="12"/>
  <c r="C4019" i="12"/>
  <c r="B4019" i="12"/>
  <c r="A4019" i="12"/>
  <c r="F4018" i="12"/>
  <c r="E4018" i="12"/>
  <c r="D4018" i="12"/>
  <c r="C4018" i="12"/>
  <c r="B4018" i="12"/>
  <c r="A4018" i="12"/>
  <c r="F4017" i="12"/>
  <c r="E4017" i="12"/>
  <c r="D4017" i="12"/>
  <c r="C4017" i="12"/>
  <c r="B4017" i="12"/>
  <c r="A4017" i="12"/>
  <c r="F4016" i="12"/>
  <c r="E4016" i="12"/>
  <c r="D4016" i="12"/>
  <c r="C4016" i="12"/>
  <c r="B4016" i="12"/>
  <c r="A4016" i="12"/>
  <c r="F4015" i="12"/>
  <c r="E4015" i="12"/>
  <c r="D4015" i="12"/>
  <c r="C4015" i="12"/>
  <c r="B4015" i="12"/>
  <c r="A4015" i="12"/>
  <c r="F4014" i="12"/>
  <c r="E4014" i="12"/>
  <c r="D4014" i="12"/>
  <c r="C4014" i="12"/>
  <c r="B4014" i="12"/>
  <c r="A4014" i="12"/>
  <c r="F4013" i="12"/>
  <c r="E4013" i="12"/>
  <c r="D4013" i="12"/>
  <c r="C4013" i="12"/>
  <c r="B4013" i="12"/>
  <c r="A4013" i="12"/>
  <c r="F4012" i="12"/>
  <c r="E4012" i="12"/>
  <c r="D4012" i="12"/>
  <c r="C4012" i="12"/>
  <c r="B4012" i="12"/>
  <c r="A4012" i="12"/>
  <c r="F4011" i="12"/>
  <c r="E4011" i="12"/>
  <c r="D4011" i="12"/>
  <c r="C4011" i="12"/>
  <c r="B4011" i="12"/>
  <c r="A4011" i="12"/>
  <c r="F4010" i="12"/>
  <c r="E4010" i="12"/>
  <c r="D4010" i="12"/>
  <c r="C4010" i="12"/>
  <c r="B4010" i="12"/>
  <c r="A4010" i="12"/>
  <c r="F4009" i="12"/>
  <c r="E4009" i="12"/>
  <c r="D4009" i="12"/>
  <c r="C4009" i="12"/>
  <c r="B4009" i="12"/>
  <c r="A4009" i="12"/>
  <c r="F4008" i="12"/>
  <c r="E4008" i="12"/>
  <c r="D4008" i="12"/>
  <c r="C4008" i="12"/>
  <c r="B4008" i="12"/>
  <c r="A4008" i="12"/>
  <c r="F4007" i="12"/>
  <c r="E4007" i="12"/>
  <c r="D4007" i="12"/>
  <c r="C4007" i="12"/>
  <c r="B4007" i="12"/>
  <c r="A4007" i="12"/>
  <c r="F4006" i="12"/>
  <c r="E4006" i="12"/>
  <c r="D4006" i="12"/>
  <c r="C4006" i="12"/>
  <c r="B4006" i="12"/>
  <c r="A4006" i="12"/>
  <c r="F4005" i="12"/>
  <c r="E4005" i="12"/>
  <c r="D4005" i="12"/>
  <c r="C4005" i="12"/>
  <c r="B4005" i="12"/>
  <c r="A4005" i="12"/>
  <c r="F4004" i="12"/>
  <c r="E4004" i="12"/>
  <c r="D4004" i="12"/>
  <c r="C4004" i="12"/>
  <c r="B4004" i="12"/>
  <c r="A4004" i="12"/>
  <c r="F4003" i="12"/>
  <c r="E4003" i="12"/>
  <c r="D4003" i="12"/>
  <c r="C4003" i="12"/>
  <c r="B4003" i="12"/>
  <c r="A4003" i="12"/>
  <c r="E4002" i="12"/>
  <c r="D4002" i="12"/>
  <c r="C4002" i="12"/>
  <c r="B4002" i="12"/>
  <c r="A4002" i="12"/>
  <c r="F4001" i="12"/>
  <c r="E4001" i="12"/>
  <c r="D4001" i="12"/>
  <c r="C4001" i="12"/>
  <c r="B4001" i="12"/>
  <c r="A4001" i="12"/>
  <c r="F4000" i="12"/>
  <c r="E4000" i="12"/>
  <c r="D4000" i="12"/>
  <c r="C4000" i="12"/>
  <c r="B4000" i="12"/>
  <c r="A4000" i="12"/>
  <c r="F3999" i="12"/>
  <c r="E3999" i="12"/>
  <c r="D3999" i="12"/>
  <c r="C3999" i="12"/>
  <c r="B3999" i="12"/>
  <c r="A3999" i="12"/>
  <c r="F3998" i="12"/>
  <c r="E3998" i="12"/>
  <c r="D3998" i="12"/>
  <c r="C3998" i="12"/>
  <c r="B3998" i="12"/>
  <c r="A3998" i="12"/>
  <c r="F3997" i="12"/>
  <c r="E3997" i="12"/>
  <c r="D3997" i="12"/>
  <c r="C3997" i="12"/>
  <c r="B3997" i="12"/>
  <c r="A3997" i="12"/>
  <c r="F3996" i="12"/>
  <c r="E3996" i="12"/>
  <c r="D3996" i="12"/>
  <c r="C3996" i="12"/>
  <c r="B3996" i="12"/>
  <c r="A3996" i="12"/>
  <c r="F3995" i="12"/>
  <c r="E3995" i="12"/>
  <c r="D3995" i="12"/>
  <c r="C3995" i="12"/>
  <c r="B3995" i="12"/>
  <c r="A3995" i="12"/>
  <c r="F3994" i="12"/>
  <c r="E3994" i="12"/>
  <c r="D3994" i="12"/>
  <c r="C3994" i="12"/>
  <c r="B3994" i="12"/>
  <c r="A3994" i="12"/>
  <c r="F3993" i="12"/>
  <c r="E3993" i="12"/>
  <c r="D3993" i="12"/>
  <c r="C3993" i="12"/>
  <c r="B3993" i="12"/>
  <c r="A3993" i="12"/>
  <c r="F3992" i="12"/>
  <c r="E3992" i="12"/>
  <c r="D3992" i="12"/>
  <c r="C3992" i="12"/>
  <c r="B3992" i="12"/>
  <c r="A3992" i="12"/>
  <c r="F3991" i="12"/>
  <c r="E3991" i="12"/>
  <c r="D3991" i="12"/>
  <c r="C3991" i="12"/>
  <c r="B3991" i="12"/>
  <c r="A3991" i="12"/>
  <c r="F3990" i="12"/>
  <c r="E3990" i="12"/>
  <c r="D3990" i="12"/>
  <c r="C3990" i="12"/>
  <c r="B3990" i="12"/>
  <c r="A3990" i="12"/>
  <c r="F3989" i="12"/>
  <c r="E3989" i="12"/>
  <c r="D3989" i="12"/>
  <c r="C3989" i="12"/>
  <c r="B3989" i="12"/>
  <c r="A3989" i="12"/>
  <c r="F3988" i="12"/>
  <c r="E3988" i="12"/>
  <c r="D3988" i="12"/>
  <c r="C3988" i="12"/>
  <c r="B3988" i="12"/>
  <c r="A3988" i="12"/>
  <c r="F3987" i="12"/>
  <c r="E3987" i="12"/>
  <c r="D3987" i="12"/>
  <c r="C3987" i="12"/>
  <c r="B3987" i="12"/>
  <c r="A3987" i="12"/>
  <c r="F3986" i="12"/>
  <c r="E3986" i="12"/>
  <c r="D3986" i="12"/>
  <c r="C3986" i="12"/>
  <c r="B3986" i="12"/>
  <c r="A3986" i="12"/>
  <c r="F3985" i="12"/>
  <c r="E3985" i="12"/>
  <c r="D3985" i="12"/>
  <c r="C3985" i="12"/>
  <c r="B3985" i="12"/>
  <c r="A3985" i="12"/>
  <c r="F3984" i="12"/>
  <c r="E3984" i="12"/>
  <c r="D3984" i="12"/>
  <c r="C3984" i="12"/>
  <c r="B3984" i="12"/>
  <c r="A3984" i="12"/>
  <c r="F3983" i="12"/>
  <c r="E3983" i="12"/>
  <c r="D3983" i="12"/>
  <c r="C3983" i="12"/>
  <c r="B3983" i="12"/>
  <c r="A3983" i="12"/>
  <c r="F3982" i="12"/>
  <c r="E3982" i="12"/>
  <c r="D3982" i="12"/>
  <c r="C3982" i="12"/>
  <c r="B3982" i="12"/>
  <c r="A3982" i="12"/>
  <c r="F3981" i="12"/>
  <c r="E3981" i="12"/>
  <c r="D3981" i="12"/>
  <c r="C3981" i="12"/>
  <c r="B3981" i="12"/>
  <c r="A3981" i="12"/>
  <c r="F3980" i="12"/>
  <c r="E3980" i="12"/>
  <c r="D3980" i="12"/>
  <c r="C3980" i="12"/>
  <c r="B3980" i="12"/>
  <c r="A3980" i="12"/>
  <c r="F3979" i="12"/>
  <c r="E3979" i="12"/>
  <c r="D3979" i="12"/>
  <c r="C3979" i="12"/>
  <c r="B3979" i="12"/>
  <c r="A3979" i="12"/>
  <c r="F3978" i="12"/>
  <c r="E3978" i="12"/>
  <c r="D3978" i="12"/>
  <c r="C3978" i="12"/>
  <c r="B3978" i="12"/>
  <c r="A3978" i="12"/>
  <c r="G3977" i="12"/>
  <c r="E3977" i="12"/>
  <c r="D3977" i="12"/>
  <c r="C3977" i="12"/>
  <c r="B3977" i="12"/>
  <c r="A3977" i="12"/>
  <c r="F3976" i="12"/>
  <c r="E3976" i="12"/>
  <c r="D3976" i="12"/>
  <c r="C3976" i="12"/>
  <c r="B3976" i="12"/>
  <c r="A3976" i="12"/>
  <c r="F3975" i="12"/>
  <c r="E3975" i="12"/>
  <c r="D3975" i="12"/>
  <c r="C3975" i="12"/>
  <c r="B3975" i="12"/>
  <c r="A3975" i="12"/>
  <c r="F3974" i="12"/>
  <c r="E3974" i="12"/>
  <c r="D3974" i="12"/>
  <c r="C3974" i="12"/>
  <c r="B3974" i="12"/>
  <c r="A3974" i="12"/>
  <c r="F3973" i="12"/>
  <c r="E3973" i="12"/>
  <c r="D3973" i="12"/>
  <c r="C3973" i="12"/>
  <c r="B3973" i="12"/>
  <c r="A3973" i="12"/>
  <c r="F3972" i="12"/>
  <c r="E3972" i="12"/>
  <c r="D3972" i="12"/>
  <c r="C3972" i="12"/>
  <c r="B3972" i="12"/>
  <c r="A3972" i="12"/>
  <c r="F3971" i="12"/>
  <c r="E3971" i="12"/>
  <c r="D3971" i="12"/>
  <c r="C3971" i="12"/>
  <c r="B3971" i="12"/>
  <c r="A3971" i="12"/>
  <c r="F3970" i="12"/>
  <c r="E3970" i="12"/>
  <c r="D3970" i="12"/>
  <c r="C3970" i="12"/>
  <c r="B3970" i="12"/>
  <c r="A3970" i="12"/>
  <c r="F3969" i="12"/>
  <c r="E3969" i="12"/>
  <c r="D3969" i="12"/>
  <c r="C3969" i="12"/>
  <c r="B3969" i="12"/>
  <c r="A3969" i="12"/>
  <c r="F3968" i="12"/>
  <c r="E3968" i="12"/>
  <c r="D3968" i="12"/>
  <c r="C3968" i="12"/>
  <c r="B3968" i="12"/>
  <c r="A3968" i="12"/>
  <c r="F3967" i="12"/>
  <c r="E3967" i="12"/>
  <c r="D3967" i="12"/>
  <c r="C3967" i="12"/>
  <c r="B3967" i="12"/>
  <c r="A3967" i="12"/>
  <c r="F3966" i="12"/>
  <c r="E3966" i="12"/>
  <c r="D3966" i="12"/>
  <c r="C3966" i="12"/>
  <c r="B3966" i="12"/>
  <c r="A3966" i="12"/>
  <c r="F3965" i="12"/>
  <c r="E3965" i="12"/>
  <c r="D3965" i="12"/>
  <c r="C3965" i="12"/>
  <c r="B3965" i="12"/>
  <c r="A3965" i="12"/>
  <c r="E3964" i="12"/>
  <c r="D3964" i="12"/>
  <c r="C3964" i="12"/>
  <c r="B3964" i="12"/>
  <c r="A3964" i="12"/>
  <c r="E3963" i="12"/>
  <c r="D3963" i="12"/>
  <c r="C3963" i="12"/>
  <c r="B3963" i="12"/>
  <c r="A3963" i="12"/>
  <c r="E3962" i="12"/>
  <c r="D3962" i="12"/>
  <c r="C3962" i="12"/>
  <c r="B3962" i="12"/>
  <c r="A3962" i="12"/>
  <c r="G3961" i="12"/>
  <c r="E3961" i="12"/>
  <c r="D3961" i="12"/>
  <c r="C3961" i="12"/>
  <c r="B3961" i="12"/>
  <c r="A3961" i="12"/>
  <c r="E3960" i="12"/>
  <c r="D3960" i="12"/>
  <c r="C3960" i="12"/>
  <c r="B3960" i="12"/>
  <c r="A3960" i="12"/>
  <c r="E3959" i="12"/>
  <c r="D3959" i="12"/>
  <c r="C3959" i="12"/>
  <c r="B3959" i="12"/>
  <c r="A3959" i="12"/>
  <c r="E3958" i="12"/>
  <c r="D3958" i="12"/>
  <c r="C3958" i="12"/>
  <c r="B3958" i="12"/>
  <c r="A3958" i="12"/>
  <c r="E3957" i="12"/>
  <c r="D3957" i="12"/>
  <c r="C3957" i="12"/>
  <c r="B3957" i="12"/>
  <c r="A3957" i="12"/>
  <c r="E3956" i="12"/>
  <c r="D3956" i="12"/>
  <c r="C3956" i="12"/>
  <c r="B3956" i="12"/>
  <c r="A3956" i="12"/>
  <c r="E3955" i="12"/>
  <c r="D3955" i="12"/>
  <c r="C3955" i="12"/>
  <c r="B3955" i="12"/>
  <c r="A3955" i="12"/>
  <c r="E3954" i="12"/>
  <c r="D3954" i="12"/>
  <c r="C3954" i="12"/>
  <c r="B3954" i="12"/>
  <c r="A3954" i="12"/>
  <c r="E3953" i="12"/>
  <c r="D3953" i="12"/>
  <c r="C3953" i="12"/>
  <c r="B3953" i="12"/>
  <c r="A3953" i="12"/>
  <c r="E3952" i="12"/>
  <c r="D3952" i="12"/>
  <c r="C3952" i="12"/>
  <c r="B3952" i="12"/>
  <c r="A3952" i="12"/>
  <c r="E3951" i="12"/>
  <c r="D3951" i="12"/>
  <c r="C3951" i="12"/>
  <c r="B3951" i="12"/>
  <c r="A3951" i="12"/>
  <c r="E3950" i="12"/>
  <c r="D3950" i="12"/>
  <c r="C3950" i="12"/>
  <c r="B3950" i="12"/>
  <c r="A3950" i="12"/>
  <c r="E3949" i="12"/>
  <c r="D3949" i="12"/>
  <c r="C3949" i="12"/>
  <c r="B3949" i="12"/>
  <c r="A3949" i="12"/>
  <c r="E3948" i="12"/>
  <c r="D3948" i="12"/>
  <c r="C3948" i="12"/>
  <c r="B3948" i="12"/>
  <c r="A3948" i="12"/>
  <c r="E3947" i="12"/>
  <c r="D3947" i="12"/>
  <c r="C3947" i="12"/>
  <c r="B3947" i="12"/>
  <c r="A3947" i="12"/>
  <c r="E3946" i="12"/>
  <c r="D3946" i="12"/>
  <c r="C3946" i="12"/>
  <c r="B3946" i="12"/>
  <c r="A3946" i="12"/>
  <c r="E3945" i="12"/>
  <c r="D3945" i="12"/>
  <c r="C3945" i="12"/>
  <c r="B3945" i="12"/>
  <c r="A3945" i="12"/>
  <c r="E3944" i="12"/>
  <c r="D3944" i="12"/>
  <c r="C3944" i="12"/>
  <c r="B3944" i="12"/>
  <c r="A3944" i="12"/>
  <c r="E3943" i="12"/>
  <c r="D3943" i="12"/>
  <c r="C3943" i="12"/>
  <c r="B3943" i="12"/>
  <c r="A3943" i="12"/>
  <c r="E3942" i="12"/>
  <c r="D3942" i="12"/>
  <c r="C3942" i="12"/>
  <c r="B3942" i="12"/>
  <c r="A3942" i="12"/>
  <c r="E3941" i="12"/>
  <c r="D3941" i="12"/>
  <c r="C3941" i="12"/>
  <c r="B3941" i="12"/>
  <c r="A3941" i="12"/>
  <c r="G3940" i="12"/>
  <c r="E3940" i="12"/>
  <c r="D3940" i="12"/>
  <c r="C3940" i="12"/>
  <c r="B3940" i="12"/>
  <c r="A3940" i="12"/>
  <c r="G3939" i="12"/>
  <c r="E3939" i="12"/>
  <c r="D3939" i="12"/>
  <c r="C3939" i="12"/>
  <c r="B3939" i="12"/>
  <c r="A3939" i="12"/>
  <c r="E3938" i="12"/>
  <c r="D3938" i="12"/>
  <c r="C3938" i="12"/>
  <c r="B3938" i="12"/>
  <c r="A3938" i="12"/>
  <c r="E3937" i="12"/>
  <c r="D3937" i="12"/>
  <c r="C3937" i="12"/>
  <c r="B3937" i="12"/>
  <c r="A3937" i="12"/>
  <c r="G3936" i="12"/>
  <c r="E3936" i="12"/>
  <c r="D3936" i="12"/>
  <c r="C3936" i="12"/>
  <c r="B3936" i="12"/>
  <c r="A3936" i="12"/>
  <c r="G3935" i="12"/>
  <c r="E3935" i="12"/>
  <c r="D3935" i="12"/>
  <c r="C3935" i="12"/>
  <c r="B3935" i="12"/>
  <c r="A3935" i="12"/>
  <c r="G3934" i="12"/>
  <c r="E3934" i="12"/>
  <c r="D3934" i="12"/>
  <c r="C3934" i="12"/>
  <c r="B3934" i="12"/>
  <c r="A3934" i="12"/>
  <c r="G3933" i="12"/>
  <c r="E3933" i="12"/>
  <c r="D3933" i="12"/>
  <c r="C3933" i="12"/>
  <c r="B3933" i="12"/>
  <c r="A3933" i="12"/>
  <c r="E3932" i="12"/>
  <c r="D3932" i="12"/>
  <c r="C3932" i="12"/>
  <c r="B3932" i="12"/>
  <c r="A3932" i="12"/>
  <c r="E3931" i="12"/>
  <c r="D3931" i="12"/>
  <c r="C3931" i="12"/>
  <c r="B3931" i="12"/>
  <c r="A3931" i="12"/>
  <c r="E3930" i="12"/>
  <c r="D3930" i="12"/>
  <c r="C3930" i="12"/>
  <c r="B3930" i="12"/>
  <c r="A3930" i="12"/>
  <c r="E3929" i="12"/>
  <c r="D3929" i="12"/>
  <c r="C3929" i="12"/>
  <c r="B3929" i="12"/>
  <c r="A3929" i="12"/>
  <c r="E3928" i="12"/>
  <c r="D3928" i="12"/>
  <c r="C3928" i="12"/>
  <c r="B3928" i="12"/>
  <c r="A3928" i="12"/>
  <c r="E3927" i="12"/>
  <c r="D3927" i="12"/>
  <c r="C3927" i="12"/>
  <c r="B3927" i="12"/>
  <c r="A3927" i="12"/>
  <c r="E3926" i="12"/>
  <c r="D3926" i="12"/>
  <c r="C3926" i="12"/>
  <c r="B3926" i="12"/>
  <c r="A3926" i="12"/>
  <c r="E3925" i="12"/>
  <c r="D3925" i="12"/>
  <c r="C3925" i="12"/>
  <c r="B3925" i="12"/>
  <c r="A3925" i="12"/>
  <c r="E3924" i="12"/>
  <c r="D3924" i="12"/>
  <c r="C3924" i="12"/>
  <c r="B3924" i="12"/>
  <c r="A3924" i="12"/>
  <c r="E3923" i="12"/>
  <c r="D3923" i="12"/>
  <c r="C3923" i="12"/>
  <c r="B3923" i="12"/>
  <c r="A3923" i="12"/>
  <c r="E3922" i="12"/>
  <c r="D3922" i="12"/>
  <c r="C3922" i="12"/>
  <c r="B3922" i="12"/>
  <c r="A3922" i="12"/>
  <c r="E3921" i="12"/>
  <c r="D3921" i="12"/>
  <c r="C3921" i="12"/>
  <c r="B3921" i="12"/>
  <c r="A3921" i="12"/>
  <c r="E3920" i="12"/>
  <c r="D3920" i="12"/>
  <c r="C3920" i="12"/>
  <c r="B3920" i="12"/>
  <c r="A3920" i="12"/>
  <c r="E3919" i="12"/>
  <c r="D3919" i="12"/>
  <c r="C3919" i="12"/>
  <c r="B3919" i="12"/>
  <c r="A3919" i="12"/>
  <c r="E3918" i="12"/>
  <c r="D3918" i="12"/>
  <c r="C3918" i="12"/>
  <c r="B3918" i="12"/>
  <c r="A3918" i="12"/>
  <c r="E3917" i="12"/>
  <c r="D3917" i="12"/>
  <c r="C3917" i="12"/>
  <c r="B3917" i="12"/>
  <c r="A3917" i="12"/>
  <c r="E3916" i="12"/>
  <c r="D3916" i="12"/>
  <c r="C3916" i="12"/>
  <c r="B3916" i="12"/>
  <c r="A3916" i="12"/>
  <c r="E3915" i="12"/>
  <c r="D3915" i="12"/>
  <c r="C3915" i="12"/>
  <c r="B3915" i="12"/>
  <c r="A3915" i="12"/>
  <c r="E3914" i="12"/>
  <c r="D3914" i="12"/>
  <c r="C3914" i="12"/>
  <c r="B3914" i="12"/>
  <c r="A3914" i="12"/>
  <c r="E3913" i="12"/>
  <c r="D3913" i="12"/>
  <c r="C3913" i="12"/>
  <c r="B3913" i="12"/>
  <c r="A3913" i="12"/>
  <c r="E3912" i="12"/>
  <c r="D3912" i="12"/>
  <c r="C3912" i="12"/>
  <c r="B3912" i="12"/>
  <c r="A3912" i="12"/>
  <c r="E3911" i="12"/>
  <c r="D3911" i="12"/>
  <c r="C3911" i="12"/>
  <c r="B3911" i="12"/>
  <c r="A3911" i="12"/>
  <c r="E3910" i="12"/>
  <c r="D3910" i="12"/>
  <c r="C3910" i="12"/>
  <c r="B3910" i="12"/>
  <c r="A3910" i="12"/>
  <c r="G3909" i="12"/>
  <c r="E3909" i="12"/>
  <c r="D3909" i="12"/>
  <c r="C3909" i="12"/>
  <c r="B3909" i="12"/>
  <c r="A3909" i="12"/>
  <c r="E3908" i="12"/>
  <c r="D3908" i="12"/>
  <c r="C3908" i="12"/>
  <c r="B3908" i="12"/>
  <c r="A3908" i="12"/>
  <c r="G3907" i="12"/>
  <c r="E3907" i="12"/>
  <c r="D3907" i="12"/>
  <c r="C3907" i="12"/>
  <c r="B3907" i="12"/>
  <c r="A3907" i="12"/>
  <c r="E3906" i="12"/>
  <c r="D3906" i="12"/>
  <c r="C3906" i="12"/>
  <c r="B3906" i="12"/>
  <c r="A3906" i="12"/>
  <c r="E3905" i="12"/>
  <c r="D3905" i="12"/>
  <c r="C3905" i="12"/>
  <c r="B3905" i="12"/>
  <c r="A3905" i="12"/>
  <c r="E3904" i="12"/>
  <c r="D3904" i="12"/>
  <c r="C3904" i="12"/>
  <c r="B3904" i="12"/>
  <c r="A3904" i="12"/>
  <c r="E3903" i="12"/>
  <c r="D3903" i="12"/>
  <c r="C3903" i="12"/>
  <c r="B3903" i="12"/>
  <c r="A3903" i="12"/>
  <c r="G3902" i="12"/>
  <c r="E3902" i="12"/>
  <c r="D3902" i="12"/>
  <c r="C3902" i="12"/>
  <c r="B3902" i="12"/>
  <c r="A3902" i="12"/>
  <c r="E3901" i="12"/>
  <c r="D3901" i="12"/>
  <c r="C3901" i="12"/>
  <c r="B3901" i="12"/>
  <c r="A3901" i="12"/>
  <c r="E3900" i="12"/>
  <c r="D3900" i="12"/>
  <c r="C3900" i="12"/>
  <c r="B3900" i="12"/>
  <c r="A3900" i="12"/>
  <c r="E3899" i="12"/>
  <c r="D3899" i="12"/>
  <c r="C3899" i="12"/>
  <c r="B3899" i="12"/>
  <c r="A3899" i="12"/>
  <c r="E3898" i="12"/>
  <c r="D3898" i="12"/>
  <c r="C3898" i="12"/>
  <c r="B3898" i="12"/>
  <c r="A3898" i="12"/>
  <c r="E3897" i="12"/>
  <c r="D3897" i="12"/>
  <c r="C3897" i="12"/>
  <c r="B3897" i="12"/>
  <c r="A3897" i="12"/>
  <c r="E3896" i="12"/>
  <c r="D3896" i="12"/>
  <c r="C3896" i="12"/>
  <c r="B3896" i="12"/>
  <c r="A3896" i="12"/>
  <c r="E3895" i="12"/>
  <c r="D3895" i="12"/>
  <c r="C3895" i="12"/>
  <c r="B3895" i="12"/>
  <c r="A3895" i="12"/>
  <c r="E3894" i="12"/>
  <c r="D3894" i="12"/>
  <c r="C3894" i="12"/>
  <c r="B3894" i="12"/>
  <c r="A3894" i="12"/>
  <c r="E3893" i="12"/>
  <c r="D3893" i="12"/>
  <c r="C3893" i="12"/>
  <c r="B3893" i="12"/>
  <c r="A3893" i="12"/>
  <c r="E3892" i="12"/>
  <c r="D3892" i="12"/>
  <c r="C3892" i="12"/>
  <c r="B3892" i="12"/>
  <c r="A3892" i="12"/>
  <c r="E3891" i="12"/>
  <c r="D3891" i="12"/>
  <c r="C3891" i="12"/>
  <c r="B3891" i="12"/>
  <c r="A3891" i="12"/>
  <c r="E3890" i="12"/>
  <c r="D3890" i="12"/>
  <c r="C3890" i="12"/>
  <c r="B3890" i="12"/>
  <c r="A3890" i="12"/>
  <c r="E3889" i="12"/>
  <c r="D3889" i="12"/>
  <c r="C3889" i="12"/>
  <c r="B3889" i="12"/>
  <c r="A3889" i="12"/>
  <c r="E3888" i="12"/>
  <c r="D3888" i="12"/>
  <c r="C3888" i="12"/>
  <c r="B3888" i="12"/>
  <c r="A3888" i="12"/>
  <c r="E3887" i="12"/>
  <c r="D3887" i="12"/>
  <c r="C3887" i="12"/>
  <c r="B3887" i="12"/>
  <c r="A3887" i="12"/>
  <c r="E3886" i="12"/>
  <c r="D3886" i="12"/>
  <c r="C3886" i="12"/>
  <c r="B3886" i="12"/>
  <c r="A3886" i="12"/>
  <c r="E3885" i="12"/>
  <c r="D3885" i="12"/>
  <c r="C3885" i="12"/>
  <c r="B3885" i="12"/>
  <c r="A3885" i="12"/>
  <c r="E3884" i="12"/>
  <c r="D3884" i="12"/>
  <c r="C3884" i="12"/>
  <c r="B3884" i="12"/>
  <c r="A3884" i="12"/>
  <c r="E3883" i="12"/>
  <c r="D3883" i="12"/>
  <c r="C3883" i="12"/>
  <c r="B3883" i="12"/>
  <c r="A3883" i="12"/>
  <c r="E3882" i="12"/>
  <c r="D3882" i="12"/>
  <c r="C3882" i="12"/>
  <c r="B3882" i="12"/>
  <c r="A3882" i="12"/>
  <c r="E3881" i="12"/>
  <c r="D3881" i="12"/>
  <c r="C3881" i="12"/>
  <c r="B3881" i="12"/>
  <c r="A3881" i="12"/>
  <c r="E3880" i="12"/>
  <c r="D3880" i="12"/>
  <c r="C3880" i="12"/>
  <c r="B3880" i="12"/>
  <c r="A3880" i="12"/>
  <c r="E3879" i="12"/>
  <c r="D3879" i="12"/>
  <c r="C3879" i="12"/>
  <c r="B3879" i="12"/>
  <c r="A3879" i="12"/>
  <c r="E3878" i="12"/>
  <c r="D3878" i="12"/>
  <c r="C3878" i="12"/>
  <c r="B3878" i="12"/>
  <c r="A3878" i="12"/>
  <c r="G3877" i="12"/>
  <c r="E3877" i="12"/>
  <c r="D3877" i="12"/>
  <c r="C3877" i="12"/>
  <c r="B3877" i="12"/>
  <c r="A3877" i="12"/>
  <c r="E3876" i="12"/>
  <c r="D3876" i="12"/>
  <c r="C3876" i="12"/>
  <c r="B3876" i="12"/>
  <c r="A3876" i="12"/>
  <c r="E3875" i="12"/>
  <c r="D3875" i="12"/>
  <c r="C3875" i="12"/>
  <c r="B3875" i="12"/>
  <c r="A3875" i="12"/>
  <c r="E3874" i="12"/>
  <c r="D3874" i="12"/>
  <c r="C3874" i="12"/>
  <c r="B3874" i="12"/>
  <c r="A3874" i="12"/>
  <c r="E3873" i="12"/>
  <c r="D3873" i="12"/>
  <c r="C3873" i="12"/>
  <c r="B3873" i="12"/>
  <c r="A3873" i="12"/>
  <c r="E3872" i="12"/>
  <c r="D3872" i="12"/>
  <c r="C3872" i="12"/>
  <c r="B3872" i="12"/>
  <c r="A3872" i="12"/>
  <c r="E3871" i="12"/>
  <c r="D3871" i="12"/>
  <c r="C3871" i="12"/>
  <c r="B3871" i="12"/>
  <c r="A3871" i="12"/>
  <c r="E3870" i="12"/>
  <c r="D3870" i="12"/>
  <c r="C3870" i="12"/>
  <c r="B3870" i="12"/>
  <c r="A3870" i="12"/>
  <c r="E3869" i="12"/>
  <c r="D3869" i="12"/>
  <c r="C3869" i="12"/>
  <c r="B3869" i="12"/>
  <c r="A3869" i="12"/>
  <c r="E3868" i="12"/>
  <c r="D3868" i="12"/>
  <c r="C3868" i="12"/>
  <c r="B3868" i="12"/>
  <c r="A3868" i="12"/>
  <c r="E3867" i="12"/>
  <c r="D3867" i="12"/>
  <c r="C3867" i="12"/>
  <c r="B3867" i="12"/>
  <c r="A3867" i="12"/>
  <c r="E3866" i="12"/>
  <c r="D3866" i="12"/>
  <c r="C3866" i="12"/>
  <c r="B3866" i="12"/>
  <c r="A3866" i="12"/>
  <c r="E3865" i="12"/>
  <c r="D3865" i="12"/>
  <c r="C3865" i="12"/>
  <c r="B3865" i="12"/>
  <c r="A3865" i="12"/>
  <c r="E3864" i="12"/>
  <c r="D3864" i="12"/>
  <c r="C3864" i="12"/>
  <c r="B3864" i="12"/>
  <c r="A3864" i="12"/>
  <c r="E3863" i="12"/>
  <c r="D3863" i="12"/>
  <c r="C3863" i="12"/>
  <c r="B3863" i="12"/>
  <c r="A3863" i="12"/>
  <c r="E3862" i="12"/>
  <c r="D3862" i="12"/>
  <c r="C3862" i="12"/>
  <c r="B3862" i="12"/>
  <c r="A3862" i="12"/>
  <c r="E3861" i="12"/>
  <c r="D3861" i="12"/>
  <c r="C3861" i="12"/>
  <c r="B3861" i="12"/>
  <c r="A3861" i="12"/>
  <c r="E3860" i="12"/>
  <c r="D3860" i="12"/>
  <c r="C3860" i="12"/>
  <c r="B3860" i="12"/>
  <c r="A3860" i="12"/>
  <c r="E3859" i="12"/>
  <c r="D3859" i="12"/>
  <c r="C3859" i="12"/>
  <c r="B3859" i="12"/>
  <c r="A3859" i="12"/>
  <c r="E3858" i="12"/>
  <c r="D3858" i="12"/>
  <c r="C3858" i="12"/>
  <c r="B3858" i="12"/>
  <c r="A3858" i="12"/>
  <c r="G3857" i="12"/>
  <c r="E3857" i="12"/>
  <c r="D3857" i="12"/>
  <c r="C3857" i="12"/>
  <c r="B3857" i="12"/>
  <c r="A3857" i="12"/>
  <c r="E3856" i="12"/>
  <c r="D3856" i="12"/>
  <c r="C3856" i="12"/>
  <c r="B3856" i="12"/>
  <c r="A3856" i="12"/>
  <c r="E3855" i="12"/>
  <c r="D3855" i="12"/>
  <c r="C3855" i="12"/>
  <c r="B3855" i="12"/>
  <c r="A3855" i="12"/>
  <c r="E3854" i="12"/>
  <c r="D3854" i="12"/>
  <c r="C3854" i="12"/>
  <c r="B3854" i="12"/>
  <c r="A3854" i="12"/>
  <c r="E3853" i="12"/>
  <c r="D3853" i="12"/>
  <c r="C3853" i="12"/>
  <c r="B3853" i="12"/>
  <c r="A3853" i="12"/>
  <c r="E3852" i="12"/>
  <c r="D3852" i="12"/>
  <c r="C3852" i="12"/>
  <c r="B3852" i="12"/>
  <c r="A3852" i="12"/>
  <c r="E3851" i="12"/>
  <c r="D3851" i="12"/>
  <c r="C3851" i="12"/>
  <c r="B3851" i="12"/>
  <c r="A3851" i="12"/>
  <c r="E3850" i="12"/>
  <c r="D3850" i="12"/>
  <c r="C3850" i="12"/>
  <c r="B3850" i="12"/>
  <c r="A3850" i="12"/>
  <c r="E3849" i="12"/>
  <c r="D3849" i="12"/>
  <c r="C3849" i="12"/>
  <c r="B3849" i="12"/>
  <c r="A3849" i="12"/>
  <c r="E3848" i="12"/>
  <c r="D3848" i="12"/>
  <c r="C3848" i="12"/>
  <c r="B3848" i="12"/>
  <c r="A3848" i="12"/>
  <c r="G3847" i="12"/>
  <c r="E3847" i="12"/>
  <c r="D3847" i="12"/>
  <c r="C3847" i="12"/>
  <c r="B3847" i="12"/>
  <c r="A3847" i="12"/>
  <c r="E3846" i="12"/>
  <c r="D3846" i="12"/>
  <c r="C3846" i="12"/>
  <c r="B3846" i="12"/>
  <c r="A3846" i="12"/>
  <c r="G3845" i="12"/>
  <c r="E3845" i="12"/>
  <c r="D3845" i="12"/>
  <c r="C3845" i="12"/>
  <c r="B3845" i="12"/>
  <c r="A3845" i="12"/>
  <c r="E3844" i="12"/>
  <c r="D3844" i="12"/>
  <c r="C3844" i="12"/>
  <c r="B3844" i="12"/>
  <c r="A3844" i="12"/>
  <c r="G3843" i="12"/>
  <c r="E3843" i="12"/>
  <c r="D3843" i="12"/>
  <c r="C3843" i="12"/>
  <c r="B3843" i="12"/>
  <c r="A3843" i="12"/>
  <c r="E3842" i="12"/>
  <c r="D3842" i="12"/>
  <c r="C3842" i="12"/>
  <c r="B3842" i="12"/>
  <c r="A3842" i="12"/>
  <c r="E3841" i="12"/>
  <c r="D3841" i="12"/>
  <c r="C3841" i="12"/>
  <c r="B3841" i="12"/>
  <c r="A3841" i="12"/>
  <c r="G3840" i="12"/>
  <c r="E3840" i="12"/>
  <c r="D3840" i="12"/>
  <c r="C3840" i="12"/>
  <c r="B3840" i="12"/>
  <c r="A3840" i="12"/>
  <c r="G3839" i="12"/>
  <c r="E3839" i="12"/>
  <c r="D3839" i="12"/>
  <c r="C3839" i="12"/>
  <c r="B3839" i="12"/>
  <c r="A3839" i="12"/>
  <c r="G3838" i="12"/>
  <c r="E3838" i="12"/>
  <c r="D3838" i="12"/>
  <c r="C3838" i="12"/>
  <c r="B3838" i="12"/>
  <c r="A3838" i="12"/>
  <c r="E3837" i="12"/>
  <c r="D3837" i="12"/>
  <c r="C3837" i="12"/>
  <c r="B3837" i="12"/>
  <c r="A3837" i="12"/>
  <c r="E3836" i="12"/>
  <c r="D3836" i="12"/>
  <c r="C3836" i="12"/>
  <c r="B3836" i="12"/>
  <c r="A3836" i="12"/>
  <c r="E3835" i="12"/>
  <c r="D3835" i="12"/>
  <c r="C3835" i="12"/>
  <c r="B3835" i="12"/>
  <c r="A3835" i="12"/>
  <c r="G3834" i="12"/>
  <c r="E3834" i="12"/>
  <c r="D3834" i="12"/>
  <c r="C3834" i="12"/>
  <c r="B3834" i="12"/>
  <c r="A3834" i="12"/>
  <c r="G3833" i="12"/>
  <c r="E3833" i="12"/>
  <c r="D3833" i="12"/>
  <c r="C3833" i="12"/>
  <c r="B3833" i="12"/>
  <c r="A3833" i="12"/>
  <c r="E3832" i="12"/>
  <c r="D3832" i="12"/>
  <c r="C3832" i="12"/>
  <c r="B3832" i="12"/>
  <c r="A3832" i="12"/>
  <c r="E3831" i="12"/>
  <c r="D3831" i="12"/>
  <c r="C3831" i="12"/>
  <c r="B3831" i="12"/>
  <c r="A3831" i="12"/>
  <c r="G3830" i="12"/>
  <c r="E3830" i="12"/>
  <c r="D3830" i="12"/>
  <c r="C3830" i="12"/>
  <c r="B3830" i="12"/>
  <c r="A3830" i="12"/>
  <c r="G3829" i="12"/>
  <c r="E3829" i="12"/>
  <c r="D3829" i="12"/>
  <c r="C3829" i="12"/>
  <c r="B3829" i="12"/>
  <c r="A3829" i="12"/>
  <c r="G3828" i="12"/>
  <c r="E3828" i="12"/>
  <c r="D3828" i="12"/>
  <c r="C3828" i="12"/>
  <c r="B3828" i="12"/>
  <c r="A3828" i="12"/>
  <c r="G3827" i="12"/>
  <c r="E3827" i="12"/>
  <c r="D3827" i="12"/>
  <c r="C3827" i="12"/>
  <c r="B3827" i="12"/>
  <c r="A3827" i="12"/>
  <c r="G3826" i="12"/>
  <c r="E3826" i="12"/>
  <c r="D3826" i="12"/>
  <c r="C3826" i="12"/>
  <c r="B3826" i="12"/>
  <c r="A3826" i="12"/>
  <c r="E3825" i="12"/>
  <c r="D3825" i="12"/>
  <c r="C3825" i="12"/>
  <c r="B3825" i="12"/>
  <c r="A3825" i="12"/>
  <c r="G3824" i="12"/>
  <c r="E3824" i="12"/>
  <c r="D3824" i="12"/>
  <c r="C3824" i="12"/>
  <c r="B3824" i="12"/>
  <c r="A3824" i="12"/>
  <c r="G3823" i="12"/>
  <c r="E3823" i="12"/>
  <c r="D3823" i="12"/>
  <c r="C3823" i="12"/>
  <c r="B3823" i="12"/>
  <c r="A3823" i="12"/>
  <c r="G3822" i="12"/>
  <c r="E3822" i="12"/>
  <c r="D3822" i="12"/>
  <c r="C3822" i="12"/>
  <c r="B3822" i="12"/>
  <c r="A3822" i="12"/>
  <c r="E3821" i="12"/>
  <c r="D3821" i="12"/>
  <c r="C3821" i="12"/>
  <c r="B3821" i="12"/>
  <c r="A3821" i="12"/>
  <c r="E3820" i="12"/>
  <c r="D3820" i="12"/>
  <c r="C3820" i="12"/>
  <c r="B3820" i="12"/>
  <c r="A3820" i="12"/>
  <c r="E3819" i="12"/>
  <c r="D3819" i="12"/>
  <c r="C3819" i="12"/>
  <c r="B3819" i="12"/>
  <c r="A3819" i="12"/>
  <c r="E3818" i="12"/>
  <c r="D3818" i="12"/>
  <c r="C3818" i="12"/>
  <c r="B3818" i="12"/>
  <c r="A3818" i="12"/>
  <c r="E3817" i="12"/>
  <c r="D3817" i="12"/>
  <c r="C3817" i="12"/>
  <c r="B3817" i="12"/>
  <c r="A3817" i="12"/>
  <c r="E3816" i="12"/>
  <c r="D3816" i="12"/>
  <c r="C3816" i="12"/>
  <c r="B3816" i="12"/>
  <c r="A3816" i="12"/>
  <c r="E3815" i="12"/>
  <c r="D3815" i="12"/>
  <c r="C3815" i="12"/>
  <c r="B3815" i="12"/>
  <c r="A3815" i="12"/>
  <c r="E3814" i="12"/>
  <c r="D3814" i="12"/>
  <c r="C3814" i="12"/>
  <c r="B3814" i="12"/>
  <c r="A3814" i="12"/>
  <c r="E3813" i="12"/>
  <c r="D3813" i="12"/>
  <c r="C3813" i="12"/>
  <c r="B3813" i="12"/>
  <c r="A3813" i="12"/>
  <c r="E3812" i="12"/>
  <c r="D3812" i="12"/>
  <c r="C3812" i="12"/>
  <c r="B3812" i="12"/>
  <c r="A3812" i="12"/>
  <c r="E3811" i="12"/>
  <c r="D3811" i="12"/>
  <c r="C3811" i="12"/>
  <c r="B3811" i="12"/>
  <c r="A3811" i="12"/>
  <c r="E3810" i="12"/>
  <c r="D3810" i="12"/>
  <c r="C3810" i="12"/>
  <c r="B3810" i="12"/>
  <c r="A3810" i="12"/>
  <c r="E3809" i="12"/>
  <c r="D3809" i="12"/>
  <c r="C3809" i="12"/>
  <c r="B3809" i="12"/>
  <c r="A3809" i="12"/>
  <c r="E3808" i="12"/>
  <c r="D3808" i="12"/>
  <c r="C3808" i="12"/>
  <c r="B3808" i="12"/>
  <c r="A3808" i="12"/>
  <c r="G3807" i="12"/>
  <c r="E3807" i="12"/>
  <c r="D3807" i="12"/>
  <c r="C3807" i="12"/>
  <c r="B3807" i="12"/>
  <c r="A3807" i="12"/>
  <c r="E3806" i="12"/>
  <c r="D3806" i="12"/>
  <c r="C3806" i="12"/>
  <c r="B3806" i="12"/>
  <c r="A3806" i="12"/>
  <c r="E3805" i="12"/>
  <c r="D3805" i="12"/>
  <c r="C3805" i="12"/>
  <c r="B3805" i="12"/>
  <c r="A3805" i="12"/>
  <c r="E3804" i="12"/>
  <c r="D3804" i="12"/>
  <c r="C3804" i="12"/>
  <c r="B3804" i="12"/>
  <c r="A3804" i="12"/>
  <c r="E3803" i="12"/>
  <c r="D3803" i="12"/>
  <c r="C3803" i="12"/>
  <c r="B3803" i="12"/>
  <c r="A3803" i="12"/>
  <c r="E3802" i="12"/>
  <c r="D3802" i="12"/>
  <c r="C3802" i="12"/>
  <c r="B3802" i="12"/>
  <c r="A3802" i="12"/>
  <c r="G3801" i="12"/>
  <c r="E3801" i="12"/>
  <c r="D3801" i="12"/>
  <c r="C3801" i="12"/>
  <c r="B3801" i="12"/>
  <c r="A3801" i="12"/>
  <c r="E3800" i="12"/>
  <c r="D3800" i="12"/>
  <c r="C3800" i="12"/>
  <c r="B3800" i="12"/>
  <c r="A3800" i="12"/>
  <c r="G3799" i="12"/>
  <c r="E3799" i="12"/>
  <c r="D3799" i="12"/>
  <c r="C3799" i="12"/>
  <c r="B3799" i="12"/>
  <c r="A3799" i="12"/>
  <c r="E3798" i="12"/>
  <c r="D3798" i="12"/>
  <c r="C3798" i="12"/>
  <c r="B3798" i="12"/>
  <c r="A3798" i="12"/>
  <c r="G3797" i="12"/>
  <c r="E3797" i="12"/>
  <c r="D3797" i="12"/>
  <c r="C3797" i="12"/>
  <c r="B3797" i="12"/>
  <c r="A3797" i="12"/>
  <c r="E3796" i="12"/>
  <c r="D3796" i="12"/>
  <c r="C3796" i="12"/>
  <c r="B3796" i="12"/>
  <c r="A3796" i="12"/>
  <c r="G3795" i="12"/>
  <c r="F3795" i="12"/>
  <c r="E3795" i="12"/>
  <c r="D3795" i="12"/>
  <c r="C3795" i="12"/>
  <c r="B3795" i="12"/>
  <c r="A3795" i="12"/>
  <c r="E3794" i="12"/>
  <c r="D3794" i="12"/>
  <c r="C3794" i="12"/>
  <c r="B3794" i="12"/>
  <c r="A3794" i="12"/>
  <c r="G3793" i="12"/>
  <c r="E3793" i="12"/>
  <c r="D3793" i="12"/>
  <c r="C3793" i="12"/>
  <c r="B3793" i="12"/>
  <c r="A3793" i="12"/>
  <c r="G3792" i="12"/>
  <c r="F3792" i="12"/>
  <c r="E3792" i="12"/>
  <c r="D3792" i="12"/>
  <c r="C3792" i="12"/>
  <c r="B3792" i="12"/>
  <c r="A3792" i="12"/>
  <c r="G3791" i="12"/>
  <c r="E3791" i="12"/>
  <c r="D3791" i="12"/>
  <c r="C3791" i="12"/>
  <c r="B3791" i="12"/>
  <c r="A3791" i="12"/>
  <c r="G3790" i="12"/>
  <c r="F3790" i="12"/>
  <c r="E3790" i="12"/>
  <c r="D3790" i="12"/>
  <c r="C3790" i="12"/>
  <c r="B3790" i="12"/>
  <c r="A3790" i="12"/>
  <c r="F3789" i="12"/>
  <c r="E3789" i="12"/>
  <c r="D3789" i="12"/>
  <c r="C3789" i="12"/>
  <c r="B3789" i="12"/>
  <c r="A3789" i="12"/>
  <c r="G3788" i="12"/>
  <c r="E3788" i="12"/>
  <c r="D3788" i="12"/>
  <c r="C3788" i="12"/>
  <c r="B3788" i="12"/>
  <c r="A3788" i="12"/>
  <c r="G3787" i="12"/>
  <c r="E3787" i="12"/>
  <c r="D3787" i="12"/>
  <c r="C3787" i="12"/>
  <c r="B3787" i="12"/>
  <c r="A3787" i="12"/>
  <c r="G3786" i="12"/>
  <c r="E3786" i="12"/>
  <c r="D3786" i="12"/>
  <c r="C3786" i="12"/>
  <c r="B3786" i="12"/>
  <c r="A3786" i="12"/>
  <c r="G3785" i="12"/>
  <c r="E3785" i="12"/>
  <c r="D3785" i="12"/>
  <c r="C3785" i="12"/>
  <c r="B3785" i="12"/>
  <c r="A3785" i="12"/>
  <c r="G3784" i="12"/>
  <c r="E3784" i="12"/>
  <c r="D3784" i="12"/>
  <c r="C3784" i="12"/>
  <c r="B3784" i="12"/>
  <c r="A3784" i="12"/>
  <c r="E3783" i="12"/>
  <c r="D3783" i="12"/>
  <c r="C3783" i="12"/>
  <c r="B3783" i="12"/>
  <c r="A3783" i="12"/>
  <c r="E3782" i="12"/>
  <c r="D3782" i="12"/>
  <c r="C3782" i="12"/>
  <c r="B3782" i="12"/>
  <c r="A3782" i="12"/>
  <c r="G3781" i="12"/>
  <c r="E3781" i="12"/>
  <c r="D3781" i="12"/>
  <c r="C3781" i="12"/>
  <c r="B3781" i="12"/>
  <c r="A3781" i="12"/>
  <c r="E3780" i="12"/>
  <c r="D3780" i="12"/>
  <c r="C3780" i="12"/>
  <c r="B3780" i="12"/>
  <c r="A3780" i="12"/>
  <c r="G3779" i="12"/>
  <c r="E3779" i="12"/>
  <c r="D3779" i="12"/>
  <c r="C3779" i="12"/>
  <c r="B3779" i="12"/>
  <c r="A3779" i="12"/>
  <c r="E3778" i="12"/>
  <c r="D3778" i="12"/>
  <c r="C3778" i="12"/>
  <c r="B3778" i="12"/>
  <c r="A3778" i="12"/>
  <c r="E3777" i="12"/>
  <c r="D3777" i="12"/>
  <c r="C3777" i="12"/>
  <c r="B3777" i="12"/>
  <c r="A3777" i="12"/>
  <c r="E3776" i="12"/>
  <c r="D3776" i="12"/>
  <c r="C3776" i="12"/>
  <c r="B3776" i="12"/>
  <c r="A3776" i="12"/>
  <c r="E3775" i="12"/>
  <c r="D3775" i="12"/>
  <c r="C3775" i="12"/>
  <c r="B3775" i="12"/>
  <c r="A3775" i="12"/>
  <c r="E3774" i="12"/>
  <c r="D3774" i="12"/>
  <c r="C3774" i="12"/>
  <c r="B3774" i="12"/>
  <c r="A3774" i="12"/>
  <c r="G3773" i="12"/>
  <c r="E3773" i="12"/>
  <c r="D3773" i="12"/>
  <c r="C3773" i="12"/>
  <c r="B3773" i="12"/>
  <c r="A3773" i="12"/>
  <c r="E3772" i="12"/>
  <c r="D3772" i="12"/>
  <c r="C3772" i="12"/>
  <c r="B3772" i="12"/>
  <c r="A3772" i="12"/>
  <c r="G3771" i="12"/>
  <c r="E3771" i="12"/>
  <c r="D3771" i="12"/>
  <c r="C3771" i="12"/>
  <c r="B3771" i="12"/>
  <c r="A3771" i="12"/>
  <c r="G3770" i="12"/>
  <c r="E3770" i="12"/>
  <c r="D3770" i="12"/>
  <c r="C3770" i="12"/>
  <c r="B3770" i="12"/>
  <c r="A3770" i="12"/>
  <c r="G3769" i="12"/>
  <c r="E3769" i="12"/>
  <c r="D3769" i="12"/>
  <c r="C3769" i="12"/>
  <c r="B3769" i="12"/>
  <c r="A3769" i="12"/>
  <c r="G3768" i="12"/>
  <c r="E3768" i="12"/>
  <c r="D3768" i="12"/>
  <c r="C3768" i="12"/>
  <c r="B3768" i="12"/>
  <c r="A3768" i="12"/>
  <c r="G3767" i="12"/>
  <c r="E3767" i="12"/>
  <c r="D3767" i="12"/>
  <c r="C3767" i="12"/>
  <c r="B3767" i="12"/>
  <c r="A3767" i="12"/>
  <c r="G3766" i="12"/>
  <c r="E3766" i="12"/>
  <c r="D3766" i="12"/>
  <c r="C3766" i="12"/>
  <c r="B3766" i="12"/>
  <c r="A3766" i="12"/>
  <c r="G3765" i="12"/>
  <c r="E3765" i="12"/>
  <c r="D3765" i="12"/>
  <c r="C3765" i="12"/>
  <c r="B3765" i="12"/>
  <c r="A3765" i="12"/>
  <c r="G3764" i="12"/>
  <c r="E3764" i="12"/>
  <c r="D3764" i="12"/>
  <c r="C3764" i="12"/>
  <c r="B3764" i="12"/>
  <c r="A3764" i="12"/>
  <c r="G3763" i="12"/>
  <c r="F3763" i="12"/>
  <c r="E3763" i="12"/>
  <c r="D3763" i="12"/>
  <c r="C3763" i="12"/>
  <c r="B3763" i="12"/>
  <c r="A3763" i="12"/>
  <c r="G3762" i="12"/>
  <c r="F3762" i="12"/>
  <c r="E3762" i="12"/>
  <c r="D3762" i="12"/>
  <c r="C3762" i="12"/>
  <c r="B3762" i="12"/>
  <c r="A3762" i="12"/>
  <c r="G3761" i="12"/>
  <c r="E3761" i="12"/>
  <c r="D3761" i="12"/>
  <c r="C3761" i="12"/>
  <c r="B3761" i="12"/>
  <c r="A3761" i="12"/>
  <c r="G3760" i="12"/>
  <c r="F3760" i="12"/>
  <c r="E3760" i="12"/>
  <c r="D3760" i="12"/>
  <c r="C3760" i="12"/>
  <c r="B3760" i="12"/>
  <c r="A3760" i="12"/>
  <c r="G3759" i="12"/>
  <c r="F3759" i="12"/>
  <c r="E3759" i="12"/>
  <c r="D3759" i="12"/>
  <c r="C3759" i="12"/>
  <c r="B3759" i="12"/>
  <c r="A3759" i="12"/>
  <c r="G3758" i="12"/>
  <c r="F3758" i="12"/>
  <c r="E3758" i="12"/>
  <c r="D3758" i="12"/>
  <c r="C3758" i="12"/>
  <c r="B3758" i="12"/>
  <c r="A3758" i="12"/>
  <c r="G3757" i="12"/>
  <c r="F3757" i="12"/>
  <c r="E3757" i="12"/>
  <c r="D3757" i="12"/>
  <c r="C3757" i="12"/>
  <c r="B3757" i="12"/>
  <c r="A3757" i="12"/>
  <c r="G3756" i="12"/>
  <c r="E3756" i="12"/>
  <c r="D3756" i="12"/>
  <c r="C3756" i="12"/>
  <c r="B3756" i="12"/>
  <c r="A3756" i="12"/>
  <c r="G3755" i="12"/>
  <c r="E3755" i="12"/>
  <c r="D3755" i="12"/>
  <c r="C3755" i="12"/>
  <c r="B3755" i="12"/>
  <c r="A3755" i="12"/>
  <c r="G3754" i="12"/>
  <c r="F3754" i="12"/>
  <c r="E3754" i="12"/>
  <c r="D3754" i="12"/>
  <c r="C3754" i="12"/>
  <c r="B3754" i="12"/>
  <c r="A3754" i="12"/>
  <c r="E3753" i="12"/>
  <c r="D3753" i="12"/>
  <c r="C3753" i="12"/>
  <c r="B3753" i="12"/>
  <c r="A3753" i="12"/>
  <c r="E3752" i="12"/>
  <c r="D3752" i="12"/>
  <c r="C3752" i="12"/>
  <c r="B3752" i="12"/>
  <c r="A3752" i="12"/>
  <c r="E3751" i="12"/>
  <c r="D3751" i="12"/>
  <c r="C3751" i="12"/>
  <c r="B3751" i="12"/>
  <c r="A3751" i="12"/>
  <c r="E3750" i="12"/>
  <c r="D3750" i="12"/>
  <c r="C3750" i="12"/>
  <c r="B3750" i="12"/>
  <c r="A3750" i="12"/>
  <c r="E3749" i="12"/>
  <c r="D3749" i="12"/>
  <c r="C3749" i="12"/>
  <c r="B3749" i="12"/>
  <c r="A3749" i="12"/>
  <c r="G3748" i="12"/>
  <c r="E3748" i="12"/>
  <c r="D3748" i="12"/>
  <c r="C3748" i="12"/>
  <c r="B3748" i="12"/>
  <c r="A3748" i="12"/>
  <c r="G3747" i="12"/>
  <c r="E3747" i="12"/>
  <c r="D3747" i="12"/>
  <c r="C3747" i="12"/>
  <c r="B3747" i="12"/>
  <c r="A3747" i="12"/>
  <c r="F3746" i="12"/>
  <c r="E3746" i="12"/>
  <c r="D3746" i="12"/>
  <c r="C3746" i="12"/>
  <c r="B3746" i="12"/>
  <c r="A3746" i="12"/>
  <c r="F3745" i="12"/>
  <c r="E3745" i="12"/>
  <c r="D3745" i="12"/>
  <c r="C3745" i="12"/>
  <c r="B3745" i="12"/>
  <c r="A3745" i="12"/>
  <c r="F3744" i="12"/>
  <c r="E3744" i="12"/>
  <c r="D3744" i="12"/>
  <c r="C3744" i="12"/>
  <c r="B3744" i="12"/>
  <c r="A3744" i="12"/>
  <c r="E3743" i="12"/>
  <c r="D3743" i="12"/>
  <c r="C3743" i="12"/>
  <c r="B3743" i="12"/>
  <c r="A3743" i="12"/>
  <c r="E3742" i="12"/>
  <c r="D3742" i="12"/>
  <c r="C3742" i="12"/>
  <c r="B3742" i="12"/>
  <c r="A3742" i="12"/>
  <c r="G3741" i="12"/>
  <c r="F3741" i="12"/>
  <c r="E3741" i="12"/>
  <c r="D3741" i="12"/>
  <c r="C3741" i="12"/>
  <c r="B3741" i="12"/>
  <c r="A3741" i="12"/>
  <c r="F3740" i="12"/>
  <c r="E3740" i="12"/>
  <c r="D3740" i="12"/>
  <c r="C3740" i="12"/>
  <c r="A3740" i="12"/>
  <c r="G3739" i="12"/>
  <c r="F3739" i="12"/>
  <c r="E3739" i="12"/>
  <c r="D3739" i="12"/>
  <c r="C3739" i="12"/>
  <c r="B3739" i="12"/>
  <c r="A3739" i="12"/>
  <c r="G3738" i="12"/>
  <c r="F3738" i="12"/>
  <c r="E3738" i="12"/>
  <c r="D3738" i="12"/>
  <c r="C3738" i="12"/>
  <c r="B3738" i="12"/>
  <c r="A3738" i="12"/>
  <c r="F3737" i="12"/>
  <c r="E3737" i="12"/>
  <c r="D3737" i="12"/>
  <c r="C3737" i="12"/>
  <c r="B3737" i="12"/>
  <c r="A3737" i="12"/>
  <c r="F3736" i="12"/>
  <c r="E3736" i="12"/>
  <c r="D3736" i="12"/>
  <c r="C3736" i="12"/>
  <c r="B3736" i="12"/>
  <c r="A3736" i="12"/>
  <c r="F3735" i="12"/>
  <c r="E3735" i="12"/>
  <c r="D3735" i="12"/>
  <c r="C3735" i="12"/>
  <c r="B3735" i="12"/>
  <c r="A3735" i="12"/>
  <c r="G3734" i="12"/>
  <c r="F3734" i="12"/>
  <c r="E3734" i="12"/>
  <c r="D3734" i="12"/>
  <c r="C3734" i="12"/>
  <c r="B3734" i="12"/>
  <c r="A3734" i="12"/>
  <c r="E3733" i="12"/>
  <c r="D3733" i="12"/>
  <c r="C3733" i="12"/>
  <c r="B3733" i="12"/>
  <c r="A3733" i="12"/>
  <c r="E3732" i="12"/>
  <c r="D3732" i="12"/>
  <c r="C3732" i="12"/>
  <c r="B3732" i="12"/>
  <c r="A3732" i="12"/>
  <c r="E3731" i="12"/>
  <c r="D3731" i="12"/>
  <c r="C3731" i="12"/>
  <c r="B3731" i="12"/>
  <c r="A3731" i="12"/>
  <c r="E3730" i="12"/>
  <c r="D3730" i="12"/>
  <c r="C3730" i="12"/>
  <c r="B3730" i="12"/>
  <c r="A3730" i="12"/>
  <c r="G3729" i="12"/>
  <c r="D3729" i="12"/>
  <c r="C3729" i="12"/>
  <c r="B3729" i="12"/>
  <c r="A3729" i="12"/>
  <c r="E3728" i="12"/>
  <c r="D3728" i="12"/>
  <c r="C3728" i="12"/>
  <c r="B3728" i="12"/>
  <c r="A3728" i="12"/>
  <c r="E3727" i="12"/>
  <c r="D3727" i="12"/>
  <c r="C3727" i="12"/>
  <c r="B3727" i="12"/>
  <c r="A3727" i="12"/>
  <c r="G3726" i="12"/>
  <c r="F3726" i="12"/>
  <c r="E3726" i="12"/>
  <c r="D3726" i="12"/>
  <c r="C3726" i="12"/>
  <c r="B3726" i="12"/>
  <c r="A3726" i="12"/>
  <c r="G3725" i="12"/>
  <c r="E3725" i="12"/>
  <c r="D3725" i="12"/>
  <c r="C3725" i="12"/>
  <c r="B3725" i="12"/>
  <c r="A3725" i="12"/>
  <c r="G3724" i="12"/>
  <c r="E3724" i="12"/>
  <c r="D3724" i="12"/>
  <c r="C3724" i="12"/>
  <c r="B3724" i="12"/>
  <c r="A3724" i="12"/>
  <c r="E3723" i="12"/>
  <c r="D3723" i="12"/>
  <c r="C3723" i="12"/>
  <c r="B3723" i="12"/>
  <c r="A3723" i="12"/>
  <c r="E3722" i="12"/>
  <c r="D3722" i="12"/>
  <c r="C3722" i="12"/>
  <c r="B3722" i="12"/>
  <c r="A3722" i="12"/>
  <c r="G3721" i="12"/>
  <c r="F3721" i="12"/>
  <c r="E3721" i="12"/>
  <c r="D3721" i="12"/>
  <c r="C3721" i="12"/>
  <c r="B3721" i="12"/>
  <c r="A3721" i="12"/>
  <c r="G3720" i="12"/>
  <c r="F3720" i="12"/>
  <c r="E3720" i="12"/>
  <c r="D3720" i="12"/>
  <c r="C3720" i="12"/>
  <c r="B3720" i="12"/>
  <c r="A3720" i="12"/>
  <c r="G3719" i="12"/>
  <c r="F3719" i="12"/>
  <c r="E3719" i="12"/>
  <c r="D3719" i="12"/>
  <c r="C3719" i="12"/>
  <c r="B3719" i="12"/>
  <c r="A3719" i="12"/>
  <c r="G3718" i="12"/>
  <c r="F3718" i="12"/>
  <c r="E3718" i="12"/>
  <c r="D3718" i="12"/>
  <c r="C3718" i="12"/>
  <c r="B3718" i="12"/>
  <c r="A3718" i="12"/>
  <c r="G3717" i="12"/>
  <c r="F3717" i="12"/>
  <c r="E3717" i="12"/>
  <c r="D3717" i="12"/>
  <c r="C3717" i="12"/>
  <c r="B3717" i="12"/>
  <c r="A3717" i="12"/>
  <c r="G3716" i="12"/>
  <c r="F3716" i="12"/>
  <c r="E3716" i="12"/>
  <c r="D3716" i="12"/>
  <c r="C3716" i="12"/>
  <c r="B3716" i="12"/>
  <c r="A3716" i="12"/>
  <c r="F3715" i="12"/>
  <c r="E3715" i="12"/>
  <c r="D3715" i="12"/>
  <c r="C3715" i="12"/>
  <c r="B3715" i="12"/>
  <c r="A3715" i="12"/>
  <c r="G3714" i="12"/>
  <c r="F3714" i="12"/>
  <c r="E3714" i="12"/>
  <c r="D3714" i="12"/>
  <c r="C3714" i="12"/>
  <c r="B3714" i="12"/>
  <c r="A3714" i="12"/>
  <c r="G3713" i="12"/>
  <c r="F3713" i="12"/>
  <c r="E3713" i="12"/>
  <c r="D3713" i="12"/>
  <c r="C3713" i="12"/>
  <c r="B3713" i="12"/>
  <c r="A3713" i="12"/>
  <c r="G3712" i="12"/>
  <c r="F3712" i="12"/>
  <c r="E3712" i="12"/>
  <c r="D3712" i="12"/>
  <c r="C3712" i="12"/>
  <c r="B3712" i="12"/>
  <c r="A3712" i="12"/>
  <c r="G3711" i="12"/>
  <c r="F3711" i="12"/>
  <c r="E3711" i="12"/>
  <c r="D3711" i="12"/>
  <c r="C3711" i="12"/>
  <c r="B3711" i="12"/>
  <c r="A3711" i="12"/>
  <c r="G3710" i="12"/>
  <c r="F3710" i="12"/>
  <c r="E3710" i="12"/>
  <c r="D3710" i="12"/>
  <c r="C3710" i="12"/>
  <c r="B3710" i="12"/>
  <c r="A3710" i="12"/>
  <c r="G3709" i="12"/>
  <c r="F3709" i="12"/>
  <c r="E3709" i="12"/>
  <c r="D3709" i="12"/>
  <c r="C3709" i="12"/>
  <c r="B3709" i="12"/>
  <c r="A3709" i="12"/>
  <c r="G3708" i="12"/>
  <c r="F3708" i="12"/>
  <c r="E3708" i="12"/>
  <c r="D3708" i="12"/>
  <c r="C3708" i="12"/>
  <c r="B3708" i="12"/>
  <c r="A3708" i="12"/>
  <c r="G3707" i="12"/>
  <c r="F3707" i="12"/>
  <c r="E3707" i="12"/>
  <c r="D3707" i="12"/>
  <c r="C3707" i="12"/>
  <c r="B3707" i="12"/>
  <c r="A3707" i="12"/>
  <c r="G3706" i="12"/>
  <c r="F3706" i="12"/>
  <c r="E3706" i="12"/>
  <c r="D3706" i="12"/>
  <c r="C3706" i="12"/>
  <c r="B3706" i="12"/>
  <c r="A3706" i="12"/>
  <c r="G3705" i="12"/>
  <c r="F3705" i="12"/>
  <c r="E3705" i="12"/>
  <c r="D3705" i="12"/>
  <c r="C3705" i="12"/>
  <c r="B3705" i="12"/>
  <c r="A3705" i="12"/>
  <c r="G3704" i="12"/>
  <c r="F3704" i="12"/>
  <c r="E3704" i="12"/>
  <c r="D3704" i="12"/>
  <c r="C3704" i="12"/>
  <c r="B3704" i="12"/>
  <c r="A3704" i="12"/>
  <c r="G3703" i="12"/>
  <c r="F3703" i="12"/>
  <c r="E3703" i="12"/>
  <c r="D3703" i="12"/>
  <c r="C3703" i="12"/>
  <c r="B3703" i="12"/>
  <c r="A3703" i="12"/>
  <c r="G3702" i="12"/>
  <c r="F3702" i="12"/>
  <c r="E3702" i="12"/>
  <c r="D3702" i="12"/>
  <c r="C3702" i="12"/>
  <c r="B3702" i="12"/>
  <c r="A3702" i="12"/>
  <c r="G3701" i="12"/>
  <c r="F3701" i="12"/>
  <c r="E3701" i="12"/>
  <c r="D3701" i="12"/>
  <c r="C3701" i="12"/>
  <c r="B3701" i="12"/>
  <c r="A3701" i="12"/>
  <c r="G3700" i="12"/>
  <c r="F3700" i="12"/>
  <c r="E3700" i="12"/>
  <c r="D3700" i="12"/>
  <c r="C3700" i="12"/>
  <c r="B3700" i="12"/>
  <c r="A3700" i="12"/>
  <c r="G3699" i="12"/>
  <c r="F3699" i="12"/>
  <c r="E3699" i="12"/>
  <c r="D3699" i="12"/>
  <c r="C3699" i="12"/>
  <c r="B3699" i="12"/>
  <c r="A3699" i="12"/>
  <c r="G3698" i="12"/>
  <c r="F3698" i="12"/>
  <c r="E3698" i="12"/>
  <c r="D3698" i="12"/>
  <c r="C3698" i="12"/>
  <c r="B3698" i="12"/>
  <c r="A3698" i="12"/>
  <c r="G3697" i="12"/>
  <c r="F3697" i="12"/>
  <c r="E3697" i="12"/>
  <c r="D3697" i="12"/>
  <c r="C3697" i="12"/>
  <c r="B3697" i="12"/>
  <c r="A3697" i="12"/>
  <c r="F3696" i="12"/>
  <c r="E3696" i="12"/>
  <c r="D3696" i="12"/>
  <c r="C3696" i="12"/>
  <c r="B3696" i="12"/>
  <c r="A3696" i="12"/>
  <c r="G3695" i="12"/>
  <c r="F3695" i="12"/>
  <c r="E3695" i="12"/>
  <c r="D3695" i="12"/>
  <c r="C3695" i="12"/>
  <c r="B3695" i="12"/>
  <c r="A3695" i="12"/>
  <c r="G3694" i="12"/>
  <c r="F3694" i="12"/>
  <c r="E3694" i="12"/>
  <c r="D3694" i="12"/>
  <c r="C3694" i="12"/>
  <c r="B3694" i="12"/>
  <c r="A3694" i="12"/>
  <c r="G3693" i="12"/>
  <c r="F3693" i="12"/>
  <c r="E3693" i="12"/>
  <c r="D3693" i="12"/>
  <c r="C3693" i="12"/>
  <c r="B3693" i="12"/>
  <c r="A3693" i="12"/>
  <c r="G3692" i="12"/>
  <c r="F3692" i="12"/>
  <c r="E3692" i="12"/>
  <c r="D3692" i="12"/>
  <c r="C3692" i="12"/>
  <c r="B3692" i="12"/>
  <c r="A3692" i="12"/>
  <c r="G3691" i="12"/>
  <c r="F3691" i="12"/>
  <c r="E3691" i="12"/>
  <c r="D3691" i="12"/>
  <c r="C3691" i="12"/>
  <c r="B3691" i="12"/>
  <c r="A3691" i="12"/>
  <c r="G3690" i="12"/>
  <c r="F3690" i="12"/>
  <c r="E3690" i="12"/>
  <c r="D3690" i="12"/>
  <c r="C3690" i="12"/>
  <c r="B3690" i="12"/>
  <c r="A3690" i="12"/>
  <c r="G3689" i="12"/>
  <c r="F3689" i="12"/>
  <c r="E3689" i="12"/>
  <c r="D3689" i="12"/>
  <c r="C3689" i="12"/>
  <c r="B3689" i="12"/>
  <c r="A3689" i="12"/>
  <c r="G3688" i="12"/>
  <c r="F3688" i="12"/>
  <c r="E3688" i="12"/>
  <c r="D3688" i="12"/>
  <c r="C3688" i="12"/>
  <c r="B3688" i="12"/>
  <c r="A3688" i="12"/>
  <c r="G3687" i="12"/>
  <c r="F3687" i="12"/>
  <c r="E3687" i="12"/>
  <c r="D3687" i="12"/>
  <c r="C3687" i="12"/>
  <c r="B3687" i="12"/>
  <c r="A3687" i="12"/>
  <c r="G3686" i="12"/>
  <c r="F3686" i="12"/>
  <c r="E3686" i="12"/>
  <c r="D3686" i="12"/>
  <c r="C3686" i="12"/>
  <c r="B3686" i="12"/>
  <c r="A3686" i="12"/>
  <c r="G3685" i="12"/>
  <c r="F3685" i="12"/>
  <c r="E3685" i="12"/>
  <c r="D3685" i="12"/>
  <c r="C3685" i="12"/>
  <c r="B3685" i="12"/>
  <c r="A3685" i="12"/>
  <c r="G3684" i="12"/>
  <c r="F3684" i="12"/>
  <c r="E3684" i="12"/>
  <c r="D3684" i="12"/>
  <c r="C3684" i="12"/>
  <c r="B3684" i="12"/>
  <c r="A3684" i="12"/>
  <c r="G3683" i="12"/>
  <c r="F3683" i="12"/>
  <c r="E3683" i="12"/>
  <c r="D3683" i="12"/>
  <c r="C3683" i="12"/>
  <c r="B3683" i="12"/>
  <c r="A3683" i="12"/>
  <c r="G3682" i="12"/>
  <c r="F3682" i="12"/>
  <c r="E3682" i="12"/>
  <c r="D3682" i="12"/>
  <c r="C3682" i="12"/>
  <c r="B3682" i="12"/>
  <c r="A3682" i="12"/>
  <c r="G3681" i="12"/>
  <c r="F3681" i="12"/>
  <c r="E3681" i="12"/>
  <c r="D3681" i="12"/>
  <c r="C3681" i="12"/>
  <c r="B3681" i="12"/>
  <c r="A3681" i="12"/>
  <c r="G3680" i="12"/>
  <c r="F3680" i="12"/>
  <c r="E3680" i="12"/>
  <c r="D3680" i="12"/>
  <c r="C3680" i="12"/>
  <c r="B3680" i="12"/>
  <c r="A3680" i="12"/>
  <c r="G3679" i="12"/>
  <c r="F3679" i="12"/>
  <c r="E3679" i="12"/>
  <c r="D3679" i="12"/>
  <c r="C3679" i="12"/>
  <c r="B3679" i="12"/>
  <c r="A3679" i="12"/>
  <c r="G3678" i="12"/>
  <c r="F3678" i="12"/>
  <c r="E3678" i="12"/>
  <c r="D3678" i="12"/>
  <c r="C3678" i="12"/>
  <c r="B3678" i="12"/>
  <c r="A3678" i="12"/>
  <c r="G3677" i="12"/>
  <c r="F3677" i="12"/>
  <c r="E3677" i="12"/>
  <c r="D3677" i="12"/>
  <c r="C3677" i="12"/>
  <c r="B3677" i="12"/>
  <c r="A3677" i="12"/>
  <c r="E3676" i="12"/>
  <c r="D3676" i="12"/>
  <c r="C3676" i="12"/>
  <c r="B3676" i="12"/>
  <c r="A3676" i="12"/>
  <c r="E3675" i="12"/>
  <c r="D3675" i="12"/>
  <c r="C3675" i="12"/>
  <c r="B3675" i="12"/>
  <c r="A3675" i="12"/>
  <c r="E3674" i="12"/>
  <c r="D3674" i="12"/>
  <c r="C3674" i="12"/>
  <c r="B3674" i="12"/>
  <c r="A3674" i="12"/>
  <c r="E3673" i="12"/>
  <c r="D3673" i="12"/>
  <c r="C3673" i="12"/>
  <c r="B3673" i="12"/>
  <c r="A3673" i="12"/>
  <c r="E3672" i="12"/>
  <c r="D3672" i="12"/>
  <c r="C3672" i="12"/>
  <c r="B3672" i="12"/>
  <c r="A3672" i="12"/>
  <c r="E3671" i="12"/>
  <c r="D3671" i="12"/>
  <c r="C3671" i="12"/>
  <c r="B3671" i="12"/>
  <c r="A3671" i="12"/>
  <c r="E3670" i="12"/>
  <c r="D3670" i="12"/>
  <c r="C3670" i="12"/>
  <c r="B3670" i="12"/>
  <c r="A3670" i="12"/>
  <c r="E3669" i="12"/>
  <c r="D3669" i="12"/>
  <c r="C3669" i="12"/>
  <c r="B3669" i="12"/>
  <c r="A3669" i="12"/>
  <c r="E3668" i="12"/>
  <c r="D3668" i="12"/>
  <c r="C3668" i="12"/>
  <c r="B3668" i="12"/>
  <c r="A3668" i="12"/>
  <c r="E3667" i="12"/>
  <c r="D3667" i="12"/>
  <c r="C3667" i="12"/>
  <c r="B3667" i="12"/>
  <c r="A3667" i="12"/>
  <c r="E3666" i="12"/>
  <c r="D3666" i="12"/>
  <c r="C3666" i="12"/>
  <c r="B3666" i="12"/>
  <c r="A3666" i="12"/>
  <c r="E3665" i="12"/>
  <c r="D3665" i="12"/>
  <c r="C3665" i="12"/>
  <c r="B3665" i="12"/>
  <c r="A3665" i="12"/>
  <c r="E3664" i="12"/>
  <c r="D3664" i="12"/>
  <c r="C3664" i="12"/>
  <c r="B3664" i="12"/>
  <c r="A3664" i="12"/>
  <c r="E3663" i="12"/>
  <c r="D3663" i="12"/>
  <c r="C3663" i="12"/>
  <c r="B3663" i="12"/>
  <c r="A3663" i="12"/>
  <c r="E3662" i="12"/>
  <c r="D3662" i="12"/>
  <c r="C3662" i="12"/>
  <c r="B3662" i="12"/>
  <c r="A3662" i="12"/>
  <c r="E3661" i="12"/>
  <c r="D3661" i="12"/>
  <c r="C3661" i="12"/>
  <c r="B3661" i="12"/>
  <c r="A3661" i="12"/>
  <c r="E3660" i="12"/>
  <c r="D3660" i="12"/>
  <c r="C3660" i="12"/>
  <c r="B3660" i="12"/>
  <c r="A3660" i="12"/>
  <c r="G3659" i="12"/>
  <c r="E3659" i="12"/>
  <c r="D3659" i="12"/>
  <c r="C3659" i="12"/>
  <c r="B3659" i="12"/>
  <c r="A3659" i="12"/>
  <c r="E3658" i="12"/>
  <c r="D3658" i="12"/>
  <c r="C3658" i="12"/>
  <c r="B3658" i="12"/>
  <c r="A3658" i="12"/>
  <c r="E3657" i="12"/>
  <c r="D3657" i="12"/>
  <c r="C3657" i="12"/>
  <c r="B3657" i="12"/>
  <c r="A3657" i="12"/>
  <c r="E3656" i="12"/>
  <c r="D3656" i="12"/>
  <c r="C3656" i="12"/>
  <c r="B3656" i="12"/>
  <c r="A3656" i="12"/>
  <c r="E3655" i="12"/>
  <c r="D3655" i="12"/>
  <c r="C3655" i="12"/>
  <c r="B3655" i="12"/>
  <c r="A3655" i="12"/>
  <c r="E3654" i="12"/>
  <c r="D3654" i="12"/>
  <c r="C3654" i="12"/>
  <c r="B3654" i="12"/>
  <c r="A3654" i="12"/>
  <c r="G3653" i="12"/>
  <c r="E3653" i="12"/>
  <c r="D3653" i="12"/>
  <c r="C3653" i="12"/>
  <c r="B3653" i="12"/>
  <c r="A3653" i="12"/>
  <c r="G3652" i="12"/>
  <c r="E3652" i="12"/>
  <c r="D3652" i="12"/>
  <c r="C3652" i="12"/>
  <c r="B3652" i="12"/>
  <c r="A3652" i="12"/>
  <c r="G3651" i="12"/>
  <c r="E3651" i="12"/>
  <c r="D3651" i="12"/>
  <c r="C3651" i="12"/>
  <c r="B3651" i="12"/>
  <c r="A3651" i="12"/>
  <c r="E3650" i="12"/>
  <c r="D3650" i="12"/>
  <c r="C3650" i="12"/>
  <c r="B3650" i="12"/>
  <c r="A3650" i="12"/>
  <c r="E3649" i="12"/>
  <c r="D3649" i="12"/>
  <c r="C3649" i="12"/>
  <c r="B3649" i="12"/>
  <c r="A3649" i="12"/>
  <c r="G3648" i="12"/>
  <c r="E3648" i="12"/>
  <c r="D3648" i="12"/>
  <c r="C3648" i="12"/>
  <c r="B3648" i="12"/>
  <c r="A3648" i="12"/>
  <c r="G3647" i="12"/>
  <c r="E3647" i="12"/>
  <c r="D3647" i="12"/>
  <c r="C3647" i="12"/>
  <c r="B3647" i="12"/>
  <c r="A3647" i="12"/>
  <c r="G3646" i="12"/>
  <c r="E3646" i="12"/>
  <c r="D3646" i="12"/>
  <c r="C3646" i="12"/>
  <c r="B3646" i="12"/>
  <c r="A3646" i="12"/>
  <c r="E3645" i="12"/>
  <c r="D3645" i="12"/>
  <c r="C3645" i="12"/>
  <c r="B3645" i="12"/>
  <c r="A3645" i="12"/>
  <c r="E3644" i="12"/>
  <c r="D3644" i="12"/>
  <c r="C3644" i="12"/>
  <c r="B3644" i="12"/>
  <c r="A3644" i="12"/>
  <c r="E3643" i="12"/>
  <c r="D3643" i="12"/>
  <c r="C3643" i="12"/>
  <c r="B3643" i="12"/>
  <c r="A3643" i="12"/>
  <c r="E3642" i="12"/>
  <c r="D3642" i="12"/>
  <c r="C3642" i="12"/>
  <c r="B3642" i="12"/>
  <c r="A3642" i="12"/>
  <c r="E3641" i="12"/>
  <c r="D3641" i="12"/>
  <c r="C3641" i="12"/>
  <c r="B3641" i="12"/>
  <c r="A3641" i="12"/>
  <c r="E3640" i="12"/>
  <c r="D3640" i="12"/>
  <c r="C3640" i="12"/>
  <c r="B3640" i="12"/>
  <c r="A3640" i="12"/>
  <c r="E3639" i="12"/>
  <c r="D3639" i="12"/>
  <c r="C3639" i="12"/>
  <c r="B3639" i="12"/>
  <c r="A3639" i="12"/>
  <c r="G3638" i="12"/>
  <c r="E3638" i="12"/>
  <c r="D3638" i="12"/>
  <c r="C3638" i="12"/>
  <c r="B3638" i="12"/>
  <c r="A3638" i="12"/>
  <c r="E3637" i="12"/>
  <c r="D3637" i="12"/>
  <c r="C3637" i="12"/>
  <c r="B3637" i="12"/>
  <c r="A3637" i="12"/>
  <c r="G3636" i="12"/>
  <c r="E3636" i="12"/>
  <c r="D3636" i="12"/>
  <c r="C3636" i="12"/>
  <c r="B3636" i="12"/>
  <c r="A3636" i="12"/>
  <c r="E3635" i="12"/>
  <c r="D3635" i="12"/>
  <c r="C3635" i="12"/>
  <c r="B3635" i="12"/>
  <c r="A3635" i="12"/>
  <c r="E3634" i="12"/>
  <c r="D3634" i="12"/>
  <c r="C3634" i="12"/>
  <c r="B3634" i="12"/>
  <c r="A3634" i="12"/>
  <c r="G3633" i="12"/>
  <c r="E3633" i="12"/>
  <c r="D3633" i="12"/>
  <c r="C3633" i="12"/>
  <c r="B3633" i="12"/>
  <c r="A3633" i="12"/>
  <c r="E3632" i="12"/>
  <c r="D3632" i="12"/>
  <c r="C3632" i="12"/>
  <c r="B3632" i="12"/>
  <c r="A3632" i="12"/>
  <c r="E3631" i="12"/>
  <c r="D3631" i="12"/>
  <c r="C3631" i="12"/>
  <c r="B3631" i="12"/>
  <c r="A3631" i="12"/>
  <c r="G3630" i="12"/>
  <c r="E3630" i="12"/>
  <c r="D3630" i="12"/>
  <c r="C3630" i="12"/>
  <c r="B3630" i="12"/>
  <c r="A3630" i="12"/>
  <c r="E3629" i="12"/>
  <c r="D3629" i="12"/>
  <c r="C3629" i="12"/>
  <c r="B3629" i="12"/>
  <c r="A3629" i="12"/>
  <c r="G3628" i="12"/>
  <c r="E3628" i="12"/>
  <c r="D3628" i="12"/>
  <c r="C3628" i="12"/>
  <c r="B3628" i="12"/>
  <c r="A3628" i="12"/>
  <c r="G3627" i="12"/>
  <c r="E3627" i="12"/>
  <c r="D3627" i="12"/>
  <c r="C3627" i="12"/>
  <c r="B3627" i="12"/>
  <c r="A3627" i="12"/>
  <c r="E3626" i="12"/>
  <c r="D3626" i="12"/>
  <c r="C3626" i="12"/>
  <c r="B3626" i="12"/>
  <c r="A3626" i="12"/>
  <c r="G3625" i="12"/>
  <c r="E3625" i="12"/>
  <c r="D3625" i="12"/>
  <c r="C3625" i="12"/>
  <c r="B3625" i="12"/>
  <c r="A3625" i="12"/>
  <c r="E3624" i="12"/>
  <c r="D3624" i="12"/>
  <c r="C3624" i="12"/>
  <c r="B3624" i="12"/>
  <c r="A3624" i="12"/>
  <c r="E3623" i="12"/>
  <c r="D3623" i="12"/>
  <c r="C3623" i="12"/>
  <c r="B3623" i="12"/>
  <c r="A3623" i="12"/>
  <c r="G3622" i="12"/>
  <c r="E3622" i="12"/>
  <c r="D3622" i="12"/>
  <c r="C3622" i="12"/>
  <c r="B3622" i="12"/>
  <c r="A3622" i="12"/>
  <c r="E3621" i="12"/>
  <c r="D3621" i="12"/>
  <c r="C3621" i="12"/>
  <c r="B3621" i="12"/>
  <c r="A3621" i="12"/>
  <c r="G3620" i="12"/>
  <c r="E3620" i="12"/>
  <c r="D3620" i="12"/>
  <c r="C3620" i="12"/>
  <c r="B3620" i="12"/>
  <c r="A3620" i="12"/>
  <c r="G3619" i="12"/>
  <c r="E3619" i="12"/>
  <c r="D3619" i="12"/>
  <c r="C3619" i="12"/>
  <c r="B3619" i="12"/>
  <c r="A3619" i="12"/>
  <c r="E3618" i="12"/>
  <c r="D3618" i="12"/>
  <c r="C3618" i="12"/>
  <c r="B3618" i="12"/>
  <c r="A3618" i="12"/>
  <c r="G3617" i="12"/>
  <c r="E3617" i="12"/>
  <c r="D3617" i="12"/>
  <c r="C3617" i="12"/>
  <c r="B3617" i="12"/>
  <c r="A3617" i="12"/>
  <c r="E3616" i="12"/>
  <c r="D3616" i="12"/>
  <c r="C3616" i="12"/>
  <c r="B3616" i="12"/>
  <c r="A3616" i="12"/>
  <c r="G3615" i="12"/>
  <c r="E3615" i="12"/>
  <c r="D3615" i="12"/>
  <c r="C3615" i="12"/>
  <c r="B3615" i="12"/>
  <c r="A3615" i="12"/>
  <c r="E3614" i="12"/>
  <c r="D3614" i="12"/>
  <c r="C3614" i="12"/>
  <c r="B3614" i="12"/>
  <c r="A3614" i="12"/>
  <c r="E3613" i="12"/>
  <c r="D3613" i="12"/>
  <c r="C3613" i="12"/>
  <c r="B3613" i="12"/>
  <c r="A3613" i="12"/>
  <c r="E3612" i="12"/>
  <c r="D3612" i="12"/>
  <c r="C3612" i="12"/>
  <c r="B3612" i="12"/>
  <c r="A3612" i="12"/>
  <c r="E3611" i="12"/>
  <c r="D3611" i="12"/>
  <c r="C3611" i="12"/>
  <c r="B3611" i="12"/>
  <c r="A3611" i="12"/>
  <c r="E3610" i="12"/>
  <c r="D3610" i="12"/>
  <c r="C3610" i="12"/>
  <c r="B3610" i="12"/>
  <c r="A3610" i="12"/>
  <c r="E3609" i="12"/>
  <c r="D3609" i="12"/>
  <c r="C3609" i="12"/>
  <c r="B3609" i="12"/>
  <c r="A3609" i="12"/>
  <c r="E3608" i="12"/>
  <c r="D3608" i="12"/>
  <c r="C3608" i="12"/>
  <c r="B3608" i="12"/>
  <c r="A3608" i="12"/>
  <c r="E3607" i="12"/>
  <c r="D3607" i="12"/>
  <c r="C3607" i="12"/>
  <c r="B3607" i="12"/>
  <c r="A3607" i="12"/>
  <c r="E3606" i="12"/>
  <c r="D3606" i="12"/>
  <c r="C3606" i="12"/>
  <c r="B3606" i="12"/>
  <c r="A3606" i="12"/>
  <c r="E3605" i="12"/>
  <c r="D3605" i="12"/>
  <c r="C3605" i="12"/>
  <c r="B3605" i="12"/>
  <c r="A3605" i="12"/>
  <c r="E3604" i="12"/>
  <c r="D3604" i="12"/>
  <c r="C3604" i="12"/>
  <c r="B3604" i="12"/>
  <c r="A3604" i="12"/>
  <c r="E3603" i="12"/>
  <c r="D3603" i="12"/>
  <c r="C3603" i="12"/>
  <c r="B3603" i="12"/>
  <c r="A3603" i="12"/>
  <c r="E3602" i="12"/>
  <c r="D3602" i="12"/>
  <c r="C3602" i="12"/>
  <c r="B3602" i="12"/>
  <c r="A3602" i="12"/>
  <c r="E3601" i="12"/>
  <c r="D3601" i="12"/>
  <c r="C3601" i="12"/>
  <c r="B3601" i="12"/>
  <c r="A3601" i="12"/>
  <c r="E3600" i="12"/>
  <c r="D3600" i="12"/>
  <c r="C3600" i="12"/>
  <c r="B3600" i="12"/>
  <c r="A3600" i="12"/>
  <c r="E3599" i="12"/>
  <c r="D3599" i="12"/>
  <c r="C3599" i="12"/>
  <c r="B3599" i="12"/>
  <c r="A3599" i="12"/>
  <c r="E3598" i="12"/>
  <c r="D3598" i="12"/>
  <c r="C3598" i="12"/>
  <c r="B3598" i="12"/>
  <c r="A3598" i="12"/>
  <c r="E3597" i="12"/>
  <c r="D3597" i="12"/>
  <c r="C3597" i="12"/>
  <c r="B3597" i="12"/>
  <c r="A3597" i="12"/>
  <c r="G3596" i="12"/>
  <c r="E3596" i="12"/>
  <c r="D3596" i="12"/>
  <c r="C3596" i="12"/>
  <c r="B3596" i="12"/>
  <c r="A3596" i="12"/>
  <c r="G3595" i="12"/>
  <c r="E3595" i="12"/>
  <c r="D3595" i="12"/>
  <c r="C3595" i="12"/>
  <c r="B3595" i="12"/>
  <c r="A3595" i="12"/>
  <c r="G3594" i="12"/>
  <c r="E3594" i="12"/>
  <c r="D3594" i="12"/>
  <c r="C3594" i="12"/>
  <c r="B3594" i="12"/>
  <c r="A3594" i="12"/>
  <c r="E3593" i="12"/>
  <c r="D3593" i="12"/>
  <c r="C3593" i="12"/>
  <c r="B3593" i="12"/>
  <c r="A3593" i="12"/>
  <c r="G3592" i="12"/>
  <c r="E3592" i="12"/>
  <c r="D3592" i="12"/>
  <c r="C3592" i="12"/>
  <c r="B3592" i="12"/>
  <c r="A3592" i="12"/>
  <c r="G3591" i="12"/>
  <c r="E3591" i="12"/>
  <c r="D3591" i="12"/>
  <c r="C3591" i="12"/>
  <c r="B3591" i="12"/>
  <c r="A3591" i="12"/>
  <c r="G3590" i="12"/>
  <c r="E3590" i="12"/>
  <c r="D3590" i="12"/>
  <c r="C3590" i="12"/>
  <c r="B3590" i="12"/>
  <c r="A3590" i="12"/>
  <c r="G3589" i="12"/>
  <c r="E3589" i="12"/>
  <c r="D3589" i="12"/>
  <c r="C3589" i="12"/>
  <c r="B3589" i="12"/>
  <c r="A3589" i="12"/>
  <c r="G3588" i="12"/>
  <c r="E3588" i="12"/>
  <c r="D3588" i="12"/>
  <c r="C3588" i="12"/>
  <c r="B3588" i="12"/>
  <c r="A3588" i="12"/>
  <c r="G3587" i="12"/>
  <c r="E3587" i="12"/>
  <c r="D3587" i="12"/>
  <c r="C3587" i="12"/>
  <c r="B3587" i="12"/>
  <c r="A3587" i="12"/>
  <c r="G3586" i="12"/>
  <c r="E3586" i="12"/>
  <c r="D3586" i="12"/>
  <c r="C3586" i="12"/>
  <c r="B3586" i="12"/>
  <c r="A3586" i="12"/>
  <c r="G3585" i="12"/>
  <c r="E3585" i="12"/>
  <c r="D3585" i="12"/>
  <c r="C3585" i="12"/>
  <c r="B3585" i="12"/>
  <c r="A3585" i="12"/>
  <c r="G3584" i="12"/>
  <c r="E3584" i="12"/>
  <c r="D3584" i="12"/>
  <c r="C3584" i="12"/>
  <c r="B3584" i="12"/>
  <c r="A3584" i="12"/>
  <c r="G3583" i="12"/>
  <c r="E3583" i="12"/>
  <c r="D3583" i="12"/>
  <c r="C3583" i="12"/>
  <c r="B3583" i="12"/>
  <c r="A3583" i="12"/>
  <c r="G3582" i="12"/>
  <c r="E3582" i="12"/>
  <c r="D3582" i="12"/>
  <c r="C3582" i="12"/>
  <c r="B3582" i="12"/>
  <c r="A3582" i="12"/>
  <c r="G3581" i="12"/>
  <c r="E3581" i="12"/>
  <c r="D3581" i="12"/>
  <c r="C3581" i="12"/>
  <c r="B3581" i="12"/>
  <c r="A3581" i="12"/>
  <c r="G3580" i="12"/>
  <c r="E3580" i="12"/>
  <c r="D3580" i="12"/>
  <c r="C3580" i="12"/>
  <c r="B3580" i="12"/>
  <c r="A3580" i="12"/>
  <c r="G3579" i="12"/>
  <c r="E3579" i="12"/>
  <c r="D3579" i="12"/>
  <c r="C3579" i="12"/>
  <c r="B3579" i="12"/>
  <c r="A3579" i="12"/>
  <c r="G3578" i="12"/>
  <c r="E3578" i="12"/>
  <c r="D3578" i="12"/>
  <c r="C3578" i="12"/>
  <c r="B3578" i="12"/>
  <c r="A3578" i="12"/>
  <c r="G3577" i="12"/>
  <c r="E3577" i="12"/>
  <c r="D3577" i="12"/>
  <c r="C3577" i="12"/>
  <c r="B3577" i="12"/>
  <c r="A3577" i="12"/>
  <c r="G3576" i="12"/>
  <c r="E3576" i="12"/>
  <c r="D3576" i="12"/>
  <c r="C3576" i="12"/>
  <c r="B3576" i="12"/>
  <c r="A3576" i="12"/>
  <c r="G3575" i="12"/>
  <c r="E3575" i="12"/>
  <c r="D3575" i="12"/>
  <c r="C3575" i="12"/>
  <c r="B3575" i="12"/>
  <c r="A3575" i="12"/>
  <c r="G3574" i="12"/>
  <c r="E3574" i="12"/>
  <c r="D3574" i="12"/>
  <c r="C3574" i="12"/>
  <c r="A3574" i="12"/>
  <c r="G3573" i="12"/>
  <c r="E3573" i="12"/>
  <c r="D3573" i="12"/>
  <c r="C3573" i="12"/>
  <c r="B3573" i="12"/>
  <c r="A3573" i="12"/>
  <c r="G3572" i="12"/>
  <c r="E3572" i="12"/>
  <c r="D3572" i="12"/>
  <c r="C3572" i="12"/>
  <c r="B3572" i="12"/>
  <c r="A3572" i="12"/>
  <c r="G3571" i="12"/>
  <c r="E3571" i="12"/>
  <c r="D3571" i="12"/>
  <c r="C3571" i="12"/>
  <c r="B3571" i="12"/>
  <c r="A3571" i="12"/>
  <c r="G3570" i="12"/>
  <c r="E3570" i="12"/>
  <c r="D3570" i="12"/>
  <c r="C3570" i="12"/>
  <c r="B3570" i="12"/>
  <c r="A3570" i="12"/>
  <c r="E3569" i="12"/>
  <c r="D3569" i="12"/>
  <c r="C3569" i="12"/>
  <c r="B3569" i="12"/>
  <c r="A3569" i="12"/>
  <c r="G3568" i="12"/>
  <c r="E3568" i="12"/>
  <c r="D3568" i="12"/>
  <c r="C3568" i="12"/>
  <c r="B3568" i="12"/>
  <c r="A3568" i="12"/>
  <c r="G3567" i="12"/>
  <c r="E3567" i="12"/>
  <c r="D3567" i="12"/>
  <c r="C3567" i="12"/>
  <c r="B3567" i="12"/>
  <c r="A3567" i="12"/>
  <c r="G3566" i="12"/>
  <c r="E3566" i="12"/>
  <c r="D3566" i="12"/>
  <c r="C3566" i="12"/>
  <c r="B3566" i="12"/>
  <c r="A3566" i="12"/>
  <c r="G3565" i="12"/>
  <c r="E3565" i="12"/>
  <c r="D3565" i="12"/>
  <c r="C3565" i="12"/>
  <c r="B3565" i="12"/>
  <c r="A3565" i="12"/>
  <c r="G3564" i="12"/>
  <c r="E3564" i="12"/>
  <c r="D3564" i="12"/>
  <c r="C3564" i="12"/>
  <c r="B3564" i="12"/>
  <c r="A3564" i="12"/>
  <c r="G3563" i="12"/>
  <c r="E3563" i="12"/>
  <c r="D3563" i="12"/>
  <c r="C3563" i="12"/>
  <c r="B3563" i="12"/>
  <c r="A3563" i="12"/>
  <c r="G3562" i="12"/>
  <c r="E3562" i="12"/>
  <c r="D3562" i="12"/>
  <c r="C3562" i="12"/>
  <c r="B3562" i="12"/>
  <c r="A3562" i="12"/>
  <c r="G3561" i="12"/>
  <c r="E3561" i="12"/>
  <c r="D3561" i="12"/>
  <c r="C3561" i="12"/>
  <c r="B3561" i="12"/>
  <c r="A3561" i="12"/>
  <c r="G3560" i="12"/>
  <c r="E3560" i="12"/>
  <c r="D3560" i="12"/>
  <c r="C3560" i="12"/>
  <c r="B3560" i="12"/>
  <c r="A3560" i="12"/>
  <c r="G3559" i="12"/>
  <c r="E3559" i="12"/>
  <c r="D3559" i="12"/>
  <c r="C3559" i="12"/>
  <c r="B3559" i="12"/>
  <c r="A3559" i="12"/>
  <c r="G3558" i="12"/>
  <c r="E3558" i="12"/>
  <c r="D3558" i="12"/>
  <c r="C3558" i="12"/>
  <c r="B3558" i="12"/>
  <c r="A3558" i="12"/>
  <c r="G3557" i="12"/>
  <c r="E3557" i="12"/>
  <c r="D3557" i="12"/>
  <c r="C3557" i="12"/>
  <c r="B3557" i="12"/>
  <c r="A3557" i="12"/>
  <c r="G3556" i="12"/>
  <c r="E3556" i="12"/>
  <c r="D3556" i="12"/>
  <c r="C3556" i="12"/>
  <c r="B3556" i="12"/>
  <c r="A3556" i="12"/>
  <c r="G3555" i="12"/>
  <c r="E3555" i="12"/>
  <c r="D3555" i="12"/>
  <c r="C3555" i="12"/>
  <c r="B3555" i="12"/>
  <c r="A3555" i="12"/>
  <c r="G3554" i="12"/>
  <c r="E3554" i="12"/>
  <c r="D3554" i="12"/>
  <c r="C3554" i="12"/>
  <c r="B3554" i="12"/>
  <c r="A3554" i="12"/>
  <c r="G3553" i="12"/>
  <c r="E3553" i="12"/>
  <c r="D3553" i="12"/>
  <c r="C3553" i="12"/>
  <c r="B3553" i="12"/>
  <c r="A3553" i="12"/>
  <c r="G3552" i="12"/>
  <c r="E3552" i="12"/>
  <c r="D3552" i="12"/>
  <c r="C3552" i="12"/>
  <c r="B3552" i="12"/>
  <c r="A3552" i="12"/>
  <c r="G3551" i="12"/>
  <c r="E3551" i="12"/>
  <c r="D3551" i="12"/>
  <c r="C3551" i="12"/>
  <c r="B3551" i="12"/>
  <c r="A3551" i="12"/>
  <c r="G3550" i="12"/>
  <c r="E3550" i="12"/>
  <c r="D3550" i="12"/>
  <c r="C3550" i="12"/>
  <c r="B3550" i="12"/>
  <c r="A3550" i="12"/>
  <c r="G3549" i="12"/>
  <c r="E3549" i="12"/>
  <c r="D3549" i="12"/>
  <c r="C3549" i="12"/>
  <c r="B3549" i="12"/>
  <c r="A3549" i="12"/>
  <c r="G3548" i="12"/>
  <c r="E3548" i="12"/>
  <c r="D3548" i="12"/>
  <c r="C3548" i="12"/>
  <c r="B3548" i="12"/>
  <c r="A3548" i="12"/>
  <c r="G3547" i="12"/>
  <c r="E3547" i="12"/>
  <c r="D3547" i="12"/>
  <c r="C3547" i="12"/>
  <c r="B3547" i="12"/>
  <c r="A3547" i="12"/>
  <c r="G3546" i="12"/>
  <c r="E3546" i="12"/>
  <c r="D3546" i="12"/>
  <c r="C3546" i="12"/>
  <c r="B3546" i="12"/>
  <c r="A3546" i="12"/>
  <c r="G3545" i="12"/>
  <c r="E3545" i="12"/>
  <c r="D3545" i="12"/>
  <c r="C3545" i="12"/>
  <c r="B3545" i="12"/>
  <c r="A3545" i="12"/>
  <c r="G3544" i="12"/>
  <c r="E3544" i="12"/>
  <c r="D3544" i="12"/>
  <c r="C3544" i="12"/>
  <c r="B3544" i="12"/>
  <c r="A3544" i="12"/>
  <c r="G3543" i="12"/>
  <c r="E3543" i="12"/>
  <c r="D3543" i="12"/>
  <c r="C3543" i="12"/>
  <c r="B3543" i="12"/>
  <c r="A3543" i="12"/>
  <c r="G3542" i="12"/>
  <c r="E3542" i="12"/>
  <c r="D3542" i="12"/>
  <c r="C3542" i="12"/>
  <c r="B3542" i="12"/>
  <c r="A3542" i="12"/>
  <c r="G3541" i="12"/>
  <c r="E3541" i="12"/>
  <c r="D3541" i="12"/>
  <c r="C3541" i="12"/>
  <c r="B3541" i="12"/>
  <c r="A3541" i="12"/>
  <c r="G3540" i="12"/>
  <c r="E3540" i="12"/>
  <c r="D3540" i="12"/>
  <c r="C3540" i="12"/>
  <c r="B3540" i="12"/>
  <c r="A3540" i="12"/>
  <c r="G3539" i="12"/>
  <c r="E3539" i="12"/>
  <c r="D3539" i="12"/>
  <c r="C3539" i="12"/>
  <c r="B3539" i="12"/>
  <c r="A3539" i="12"/>
  <c r="G3538" i="12"/>
  <c r="E3538" i="12"/>
  <c r="D3538" i="12"/>
  <c r="C3538" i="12"/>
  <c r="B3538" i="12"/>
  <c r="A3538" i="12"/>
  <c r="G3537" i="12"/>
  <c r="E3537" i="12"/>
  <c r="D3537" i="12"/>
  <c r="C3537" i="12"/>
  <c r="B3537" i="12"/>
  <c r="A3537" i="12"/>
  <c r="G3536" i="12"/>
  <c r="E3536" i="12"/>
  <c r="D3536" i="12"/>
  <c r="C3536" i="12"/>
  <c r="B3536" i="12"/>
  <c r="A3536" i="12"/>
  <c r="G3535" i="12"/>
  <c r="E3535" i="12"/>
  <c r="D3535" i="12"/>
  <c r="C3535" i="12"/>
  <c r="B3535" i="12"/>
  <c r="A3535" i="12"/>
  <c r="G3534" i="12"/>
  <c r="E3534" i="12"/>
  <c r="D3534" i="12"/>
  <c r="C3534" i="12"/>
  <c r="B3534" i="12"/>
  <c r="A3534" i="12"/>
  <c r="G3533" i="12"/>
  <c r="F3533" i="12"/>
  <c r="E3533" i="12"/>
  <c r="D3533" i="12"/>
  <c r="C3533" i="12"/>
  <c r="B3533" i="12"/>
  <c r="A3533" i="12"/>
  <c r="G3532" i="12"/>
  <c r="E3532" i="12"/>
  <c r="D3532" i="12"/>
  <c r="C3532" i="12"/>
  <c r="B3532" i="12"/>
  <c r="A3532" i="12"/>
  <c r="G3531" i="12"/>
  <c r="F3531" i="12"/>
  <c r="E3531" i="12"/>
  <c r="D3531" i="12"/>
  <c r="C3531" i="12"/>
  <c r="B3531" i="12"/>
  <c r="A3531" i="12"/>
  <c r="G3530" i="12"/>
  <c r="F3530" i="12"/>
  <c r="E3530" i="12"/>
  <c r="D3530" i="12"/>
  <c r="C3530" i="12"/>
  <c r="B3530" i="12"/>
  <c r="A3530" i="12"/>
  <c r="G3529" i="12"/>
  <c r="E3529" i="12"/>
  <c r="D3529" i="12"/>
  <c r="C3529" i="12"/>
  <c r="B3529" i="12"/>
  <c r="A3529" i="12"/>
  <c r="G3528" i="12"/>
  <c r="E3528" i="12"/>
  <c r="D3528" i="12"/>
  <c r="C3528" i="12"/>
  <c r="B3528" i="12"/>
  <c r="A3528" i="12"/>
  <c r="E3527" i="12"/>
  <c r="D3527" i="12"/>
  <c r="C3527" i="12"/>
  <c r="B3527" i="12"/>
  <c r="A3527" i="12"/>
  <c r="E3526" i="12"/>
  <c r="D3526" i="12"/>
  <c r="C3526" i="12"/>
  <c r="B3526" i="12"/>
  <c r="A3526" i="12"/>
  <c r="E3525" i="12"/>
  <c r="D3525" i="12"/>
  <c r="C3525" i="12"/>
  <c r="B3525" i="12"/>
  <c r="A3525" i="12"/>
  <c r="E3524" i="12"/>
  <c r="D3524" i="12"/>
  <c r="C3524" i="12"/>
  <c r="B3524" i="12"/>
  <c r="A3524" i="12"/>
  <c r="G3523" i="12"/>
  <c r="E3523" i="12"/>
  <c r="D3523" i="12"/>
  <c r="C3523" i="12"/>
  <c r="B3523" i="12"/>
  <c r="A3523" i="12"/>
  <c r="E3522" i="12"/>
  <c r="D3522" i="12"/>
  <c r="C3522" i="12"/>
  <c r="B3522" i="12"/>
  <c r="A3522" i="12"/>
  <c r="E3521" i="12"/>
  <c r="D3521" i="12"/>
  <c r="C3521" i="12"/>
  <c r="B3521" i="12"/>
  <c r="A3521" i="12"/>
  <c r="E3520" i="12"/>
  <c r="D3520" i="12"/>
  <c r="C3520" i="12"/>
  <c r="B3520" i="12"/>
  <c r="A3520" i="12"/>
  <c r="G3519" i="12"/>
  <c r="E3519" i="12"/>
  <c r="D3519" i="12"/>
  <c r="C3519" i="12"/>
  <c r="B3519" i="12"/>
  <c r="A3519" i="12"/>
  <c r="G3518" i="12"/>
  <c r="E3518" i="12"/>
  <c r="D3518" i="12"/>
  <c r="C3518" i="12"/>
  <c r="B3518" i="12"/>
  <c r="A3518" i="12"/>
  <c r="E3517" i="12"/>
  <c r="D3517" i="12"/>
  <c r="C3517" i="12"/>
  <c r="B3517" i="12"/>
  <c r="A3517" i="12"/>
  <c r="G3516" i="12"/>
  <c r="E3516" i="12"/>
  <c r="D3516" i="12"/>
  <c r="C3516" i="12"/>
  <c r="B3516" i="12"/>
  <c r="A3516" i="12"/>
  <c r="E3515" i="12"/>
  <c r="D3515" i="12"/>
  <c r="C3515" i="12"/>
  <c r="B3515" i="12"/>
  <c r="A3515" i="12"/>
  <c r="E3514" i="12"/>
  <c r="D3514" i="12"/>
  <c r="C3514" i="12"/>
  <c r="B3514" i="12"/>
  <c r="A3514" i="12"/>
  <c r="E3513" i="12"/>
  <c r="D3513" i="12"/>
  <c r="C3513" i="12"/>
  <c r="B3513" i="12"/>
  <c r="A3513" i="12"/>
  <c r="G3512" i="12"/>
  <c r="E3512" i="12"/>
  <c r="D3512" i="12"/>
  <c r="C3512" i="12"/>
  <c r="B3512" i="12"/>
  <c r="A3512" i="12"/>
  <c r="E3511" i="12"/>
  <c r="D3511" i="12"/>
  <c r="C3511" i="12"/>
  <c r="B3511" i="12"/>
  <c r="A3511" i="12"/>
  <c r="G3510" i="12"/>
  <c r="E3510" i="12"/>
  <c r="D3510" i="12"/>
  <c r="C3510" i="12"/>
  <c r="B3510" i="12"/>
  <c r="A3510" i="12"/>
  <c r="G3509" i="12"/>
  <c r="E3509" i="12"/>
  <c r="D3509" i="12"/>
  <c r="C3509" i="12"/>
  <c r="B3509" i="12"/>
  <c r="A3509" i="12"/>
  <c r="E3508" i="12"/>
  <c r="D3508" i="12"/>
  <c r="C3508" i="12"/>
  <c r="B3508" i="12"/>
  <c r="A3508" i="12"/>
  <c r="G3507" i="12"/>
  <c r="E3507" i="12"/>
  <c r="D3507" i="12"/>
  <c r="C3507" i="12"/>
  <c r="B3507" i="12"/>
  <c r="A3507" i="12"/>
  <c r="G3506" i="12"/>
  <c r="F3506" i="12"/>
  <c r="E3506" i="12"/>
  <c r="D3506" i="12"/>
  <c r="C3506" i="12"/>
  <c r="B3506" i="12"/>
  <c r="A3506" i="12"/>
  <c r="G3505" i="12"/>
  <c r="F3505" i="12"/>
  <c r="E3505" i="12"/>
  <c r="D3505" i="12"/>
  <c r="C3505" i="12"/>
  <c r="B3505" i="12"/>
  <c r="A3505" i="12"/>
  <c r="G3504" i="12"/>
  <c r="E3504" i="12"/>
  <c r="D3504" i="12"/>
  <c r="C3504" i="12"/>
  <c r="B3504" i="12"/>
  <c r="A3504" i="12"/>
  <c r="G3503" i="12"/>
  <c r="E3503" i="12"/>
  <c r="D3503" i="12"/>
  <c r="C3503" i="12"/>
  <c r="B3503" i="12"/>
  <c r="A3503" i="12"/>
  <c r="G3502" i="12"/>
  <c r="E3502" i="12"/>
  <c r="D3502" i="12"/>
  <c r="C3502" i="12"/>
  <c r="B3502" i="12"/>
  <c r="A3502" i="12"/>
  <c r="G3501" i="12"/>
  <c r="E3501" i="12"/>
  <c r="D3501" i="12"/>
  <c r="C3501" i="12"/>
  <c r="B3501" i="12"/>
  <c r="A3501" i="12"/>
  <c r="G3500" i="12"/>
  <c r="E3500" i="12"/>
  <c r="D3500" i="12"/>
  <c r="C3500" i="12"/>
  <c r="B3500" i="12"/>
  <c r="A3500" i="12"/>
  <c r="G3499" i="12"/>
  <c r="E3499" i="12"/>
  <c r="D3499" i="12"/>
  <c r="C3499" i="12"/>
  <c r="B3499" i="12"/>
  <c r="A3499" i="12"/>
  <c r="G3498" i="12"/>
  <c r="E3498" i="12"/>
  <c r="D3498" i="12"/>
  <c r="C3498" i="12"/>
  <c r="B3498" i="12"/>
  <c r="A3498" i="12"/>
  <c r="G3497" i="12"/>
  <c r="E3497" i="12"/>
  <c r="D3497" i="12"/>
  <c r="C3497" i="12"/>
  <c r="B3497" i="12"/>
  <c r="A3497" i="12"/>
  <c r="G3496" i="12"/>
  <c r="E3496" i="12"/>
  <c r="D3496" i="12"/>
  <c r="C3496" i="12"/>
  <c r="B3496" i="12"/>
  <c r="A3496" i="12"/>
  <c r="G3495" i="12"/>
  <c r="E3495" i="12"/>
  <c r="D3495" i="12"/>
  <c r="C3495" i="12"/>
  <c r="B3495" i="12"/>
  <c r="A3495" i="12"/>
  <c r="G3494" i="12"/>
  <c r="E3494" i="12"/>
  <c r="D3494" i="12"/>
  <c r="C3494" i="12"/>
  <c r="B3494" i="12"/>
  <c r="A3494" i="12"/>
  <c r="G3493" i="12"/>
  <c r="E3493" i="12"/>
  <c r="D3493" i="12"/>
  <c r="C3493" i="12"/>
  <c r="B3493" i="12"/>
  <c r="A3493" i="12"/>
  <c r="G3492" i="12"/>
  <c r="F3492" i="12"/>
  <c r="E3492" i="12"/>
  <c r="D3492" i="12"/>
  <c r="C3492" i="12"/>
  <c r="B3492" i="12"/>
  <c r="A3492" i="12"/>
  <c r="G3491" i="12"/>
  <c r="E3491" i="12"/>
  <c r="D3491" i="12"/>
  <c r="C3491" i="12"/>
  <c r="B3491" i="12"/>
  <c r="A3491" i="12"/>
  <c r="G3490" i="12"/>
  <c r="E3490" i="12"/>
  <c r="D3490" i="12"/>
  <c r="C3490" i="12"/>
  <c r="B3490" i="12"/>
  <c r="A3490" i="12"/>
  <c r="G3489" i="12"/>
  <c r="F3489" i="12"/>
  <c r="E3489" i="12"/>
  <c r="D3489" i="12"/>
  <c r="C3489" i="12"/>
  <c r="B3489" i="12"/>
  <c r="A3489" i="12"/>
  <c r="G3488" i="12"/>
  <c r="F3488" i="12"/>
  <c r="E3488" i="12"/>
  <c r="D3488" i="12"/>
  <c r="C3488" i="12"/>
  <c r="B3488" i="12"/>
  <c r="A3488" i="12"/>
  <c r="G3487" i="12"/>
  <c r="E3487" i="12"/>
  <c r="D3487" i="12"/>
  <c r="C3487" i="12"/>
  <c r="B3487" i="12"/>
  <c r="A3487" i="12"/>
  <c r="G3486" i="12"/>
  <c r="F3486" i="12"/>
  <c r="E3486" i="12"/>
  <c r="D3486" i="12"/>
  <c r="C3486" i="12"/>
  <c r="B3486" i="12"/>
  <c r="A3486" i="12"/>
  <c r="G3485" i="12"/>
  <c r="F3485" i="12"/>
  <c r="E3485" i="12"/>
  <c r="D3485" i="12"/>
  <c r="C3485" i="12"/>
  <c r="B3485" i="12"/>
  <c r="A3485" i="12"/>
  <c r="G3484" i="12"/>
  <c r="E3484" i="12"/>
  <c r="D3484" i="12"/>
  <c r="C3484" i="12"/>
  <c r="B3484" i="12"/>
  <c r="A3484" i="12"/>
  <c r="G3483" i="12"/>
  <c r="F3483" i="12"/>
  <c r="E3483" i="12"/>
  <c r="D3483" i="12"/>
  <c r="C3483" i="12"/>
  <c r="B3483" i="12"/>
  <c r="A3483" i="12"/>
  <c r="G3482" i="12"/>
  <c r="F3482" i="12"/>
  <c r="E3482" i="12"/>
  <c r="D3482" i="12"/>
  <c r="C3482" i="12"/>
  <c r="B3482" i="12"/>
  <c r="A3482" i="12"/>
  <c r="G3481" i="12"/>
  <c r="E3481" i="12"/>
  <c r="D3481" i="12"/>
  <c r="C3481" i="12"/>
  <c r="B3481" i="12"/>
  <c r="A3481" i="12"/>
  <c r="G3480" i="12"/>
  <c r="F3480" i="12"/>
  <c r="E3480" i="12"/>
  <c r="D3480" i="12"/>
  <c r="C3480" i="12"/>
  <c r="B3480" i="12"/>
  <c r="A3480" i="12"/>
  <c r="G3479" i="12"/>
  <c r="E3479" i="12"/>
  <c r="D3479" i="12"/>
  <c r="C3479" i="12"/>
  <c r="B3479" i="12"/>
  <c r="A3479" i="12"/>
  <c r="G3478" i="12"/>
  <c r="F3478" i="12"/>
  <c r="E3478" i="12"/>
  <c r="D3478" i="12"/>
  <c r="C3478" i="12"/>
  <c r="B3478" i="12"/>
  <c r="A3478" i="12"/>
  <c r="G3477" i="12"/>
  <c r="F3477" i="12"/>
  <c r="E3477" i="12"/>
  <c r="D3477" i="12"/>
  <c r="C3477" i="12"/>
  <c r="B3477" i="12"/>
  <c r="A3477" i="12"/>
  <c r="G3476" i="12"/>
  <c r="F3476" i="12"/>
  <c r="E3476" i="12"/>
  <c r="D3476" i="12"/>
  <c r="C3476" i="12"/>
  <c r="B3476" i="12"/>
  <c r="A3476" i="12"/>
  <c r="G3475" i="12"/>
  <c r="F3475" i="12"/>
  <c r="E3475" i="12"/>
  <c r="D3475" i="12"/>
  <c r="C3475" i="12"/>
  <c r="B3475" i="12"/>
  <c r="A3475" i="12"/>
  <c r="G3474" i="12"/>
  <c r="F3474" i="12"/>
  <c r="E3474" i="12"/>
  <c r="D3474" i="12"/>
  <c r="C3474" i="12"/>
  <c r="B3474" i="12"/>
  <c r="A3474" i="12"/>
  <c r="G3473" i="12"/>
  <c r="F3473" i="12"/>
  <c r="E3473" i="12"/>
  <c r="D3473" i="12"/>
  <c r="C3473" i="12"/>
  <c r="B3473" i="12"/>
  <c r="A3473" i="12"/>
  <c r="G3472" i="12"/>
  <c r="F3472" i="12"/>
  <c r="E3472" i="12"/>
  <c r="D3472" i="12"/>
  <c r="C3472" i="12"/>
  <c r="B3472" i="12"/>
  <c r="A3472" i="12"/>
  <c r="G3471" i="12"/>
  <c r="F3471" i="12"/>
  <c r="E3471" i="12"/>
  <c r="D3471" i="12"/>
  <c r="C3471" i="12"/>
  <c r="B3471" i="12"/>
  <c r="A3471" i="12"/>
  <c r="G3470" i="12"/>
  <c r="E3470" i="12"/>
  <c r="D3470" i="12"/>
  <c r="C3470" i="12"/>
  <c r="B3470" i="12"/>
  <c r="A3470" i="12"/>
  <c r="G3469" i="12"/>
  <c r="E3469" i="12"/>
  <c r="D3469" i="12"/>
  <c r="C3469" i="12"/>
  <c r="B3469" i="12"/>
  <c r="A3469" i="12"/>
  <c r="G3468" i="12"/>
  <c r="E3468" i="12"/>
  <c r="D3468" i="12"/>
  <c r="C3468" i="12"/>
  <c r="B3468" i="12"/>
  <c r="A3468" i="12"/>
  <c r="G3467" i="12"/>
  <c r="E3467" i="12"/>
  <c r="D3467" i="12"/>
  <c r="C3467" i="12"/>
  <c r="B3467" i="12"/>
  <c r="A3467" i="12"/>
  <c r="G3466" i="12"/>
  <c r="E3466" i="12"/>
  <c r="D3466" i="12"/>
  <c r="C3466" i="12"/>
  <c r="B3466" i="12"/>
  <c r="A3466" i="12"/>
  <c r="G3465" i="12"/>
  <c r="E3465" i="12"/>
  <c r="D3465" i="12"/>
  <c r="C3465" i="12"/>
  <c r="B3465" i="12"/>
  <c r="A3465" i="12"/>
  <c r="G3464" i="12"/>
  <c r="E3464" i="12"/>
  <c r="D3464" i="12"/>
  <c r="C3464" i="12"/>
  <c r="B3464" i="12"/>
  <c r="A3464" i="12"/>
  <c r="G3463" i="12"/>
  <c r="E3463" i="12"/>
  <c r="D3463" i="12"/>
  <c r="C3463" i="12"/>
  <c r="B3463" i="12"/>
  <c r="A3463" i="12"/>
  <c r="G3462" i="12"/>
  <c r="E3462" i="12"/>
  <c r="D3462" i="12"/>
  <c r="C3462" i="12"/>
  <c r="B3462" i="12"/>
  <c r="A3462" i="12"/>
  <c r="E3461" i="12"/>
  <c r="D3461" i="12"/>
  <c r="C3461" i="12"/>
  <c r="B3461" i="12"/>
  <c r="A3461" i="12"/>
  <c r="G3460" i="12"/>
  <c r="F3460" i="12"/>
  <c r="E3460" i="12"/>
  <c r="D3460" i="12"/>
  <c r="C3460" i="12"/>
  <c r="B3460" i="12"/>
  <c r="A3460" i="12"/>
  <c r="G3459" i="12"/>
  <c r="E3459" i="12"/>
  <c r="D3459" i="12"/>
  <c r="C3459" i="12"/>
  <c r="B3459" i="12"/>
  <c r="A3459" i="12"/>
  <c r="E3458" i="12"/>
  <c r="D3458" i="12"/>
  <c r="C3458" i="12"/>
  <c r="B3458" i="12"/>
  <c r="A3458" i="12"/>
  <c r="G3457" i="12"/>
  <c r="F3457" i="12"/>
  <c r="E3457" i="12"/>
  <c r="D3457" i="12"/>
  <c r="C3457" i="12"/>
  <c r="B3457" i="12"/>
  <c r="A3457" i="12"/>
  <c r="G3456" i="12"/>
  <c r="E3456" i="12"/>
  <c r="D3456" i="12"/>
  <c r="C3456" i="12"/>
  <c r="B3456" i="12"/>
  <c r="A3456" i="12"/>
  <c r="G3455" i="12"/>
  <c r="E3455" i="12"/>
  <c r="D3455" i="12"/>
  <c r="C3455" i="12"/>
  <c r="B3455" i="12"/>
  <c r="A3455" i="12"/>
  <c r="G3454" i="12"/>
  <c r="E3454" i="12"/>
  <c r="D3454" i="12"/>
  <c r="C3454" i="12"/>
  <c r="B3454" i="12"/>
  <c r="A3454" i="12"/>
  <c r="G3453" i="12"/>
  <c r="E3453" i="12"/>
  <c r="D3453" i="12"/>
  <c r="C3453" i="12"/>
  <c r="B3453" i="12"/>
  <c r="A3453" i="12"/>
  <c r="G3452" i="12"/>
  <c r="E3452" i="12"/>
  <c r="D3452" i="12"/>
  <c r="C3452" i="12"/>
  <c r="B3452" i="12"/>
  <c r="A3452" i="12"/>
  <c r="G3451" i="12"/>
  <c r="F3451" i="12"/>
  <c r="E3451" i="12"/>
  <c r="D3451" i="12"/>
  <c r="C3451" i="12"/>
  <c r="B3451" i="12"/>
  <c r="A3451" i="12"/>
  <c r="G3450" i="12"/>
  <c r="E3450" i="12"/>
  <c r="D3450" i="12"/>
  <c r="C3450" i="12"/>
  <c r="B3450" i="12"/>
  <c r="A3450" i="12"/>
  <c r="G3449" i="12"/>
  <c r="F3449" i="12"/>
  <c r="E3449" i="12"/>
  <c r="D3449" i="12"/>
  <c r="C3449" i="12"/>
  <c r="B3449" i="12"/>
  <c r="A3449" i="12"/>
  <c r="G3448" i="12"/>
  <c r="E3448" i="12"/>
  <c r="D3448" i="12"/>
  <c r="C3448" i="12"/>
  <c r="B3448" i="12"/>
  <c r="A3448" i="12"/>
  <c r="G3447" i="12"/>
  <c r="F3447" i="12"/>
  <c r="E3447" i="12"/>
  <c r="D3447" i="12"/>
  <c r="C3447" i="12"/>
  <c r="B3447" i="12"/>
  <c r="A3447" i="12"/>
  <c r="G3446" i="12"/>
  <c r="E3446" i="12"/>
  <c r="D3446" i="12"/>
  <c r="C3446" i="12"/>
  <c r="B3446" i="12"/>
  <c r="A3446" i="12"/>
  <c r="G3445" i="12"/>
  <c r="F3445" i="12"/>
  <c r="E3445" i="12"/>
  <c r="D3445" i="12"/>
  <c r="C3445" i="12"/>
  <c r="B3445" i="12"/>
  <c r="A3445" i="12"/>
  <c r="E3444" i="12"/>
  <c r="D3444" i="12"/>
  <c r="C3444" i="12"/>
  <c r="B3444" i="12"/>
  <c r="A3444" i="12"/>
  <c r="G3443" i="12"/>
  <c r="E3443" i="12"/>
  <c r="D3443" i="12"/>
  <c r="C3443" i="12"/>
  <c r="B3443" i="12"/>
  <c r="A3443" i="12"/>
  <c r="G3442" i="12"/>
  <c r="E3442" i="12"/>
  <c r="D3442" i="12"/>
  <c r="C3442" i="12"/>
  <c r="B3442" i="12"/>
  <c r="A3442" i="12"/>
  <c r="G3441" i="12"/>
  <c r="E3441" i="12"/>
  <c r="D3441" i="12"/>
  <c r="C3441" i="12"/>
  <c r="B3441" i="12"/>
  <c r="A3441" i="12"/>
  <c r="G3440" i="12"/>
  <c r="E3440" i="12"/>
  <c r="D3440" i="12"/>
  <c r="C3440" i="12"/>
  <c r="B3440" i="12"/>
  <c r="A3440" i="12"/>
  <c r="G3439" i="12"/>
  <c r="F3439" i="12"/>
  <c r="E3439" i="12"/>
  <c r="D3439" i="12"/>
  <c r="C3439" i="12"/>
  <c r="B3439" i="12"/>
  <c r="A3439" i="12"/>
  <c r="G3438" i="12"/>
  <c r="F3438" i="12"/>
  <c r="E3438" i="12"/>
  <c r="D3438" i="12"/>
  <c r="C3438" i="12"/>
  <c r="B3438" i="12"/>
  <c r="A3438" i="12"/>
  <c r="G3437" i="12"/>
  <c r="E3437" i="12"/>
  <c r="D3437" i="12"/>
  <c r="C3437" i="12"/>
  <c r="B3437" i="12"/>
  <c r="A3437" i="12"/>
  <c r="G3436" i="12"/>
  <c r="F3436" i="12"/>
  <c r="E3436" i="12"/>
  <c r="D3436" i="12"/>
  <c r="C3436" i="12"/>
  <c r="B3436" i="12"/>
  <c r="A3436" i="12"/>
  <c r="G3435" i="12"/>
  <c r="E3435" i="12"/>
  <c r="D3435" i="12"/>
  <c r="C3435" i="12"/>
  <c r="B3435" i="12"/>
  <c r="A3435" i="12"/>
  <c r="G3434" i="12"/>
  <c r="F3434" i="12"/>
  <c r="E3434" i="12"/>
  <c r="D3434" i="12"/>
  <c r="C3434" i="12"/>
  <c r="B3434" i="12"/>
  <c r="A3434" i="12"/>
  <c r="G3433" i="12"/>
  <c r="E3433" i="12"/>
  <c r="D3433" i="12"/>
  <c r="C3433" i="12"/>
  <c r="B3433" i="12"/>
  <c r="A3433" i="12"/>
  <c r="G3432" i="12"/>
  <c r="E3432" i="12"/>
  <c r="D3432" i="12"/>
  <c r="C3432" i="12"/>
  <c r="B3432" i="12"/>
  <c r="A3432" i="12"/>
  <c r="G3431" i="12"/>
  <c r="F3431" i="12"/>
  <c r="E3431" i="12"/>
  <c r="D3431" i="12"/>
  <c r="C3431" i="12"/>
  <c r="B3431" i="12"/>
  <c r="A3431" i="12"/>
  <c r="G3430" i="12"/>
  <c r="E3430" i="12"/>
  <c r="D3430" i="12"/>
  <c r="C3430" i="12"/>
  <c r="B3430" i="12"/>
  <c r="A3430" i="12"/>
  <c r="G3429" i="12"/>
  <c r="F3429" i="12"/>
  <c r="E3429" i="12"/>
  <c r="D3429" i="12"/>
  <c r="C3429" i="12"/>
  <c r="B3429" i="12"/>
  <c r="A3429" i="12"/>
  <c r="G3428" i="12"/>
  <c r="E3428" i="12"/>
  <c r="D3428" i="12"/>
  <c r="C3428" i="12"/>
  <c r="B3428" i="12"/>
  <c r="A3428" i="12"/>
  <c r="G3427" i="12"/>
  <c r="E3427" i="12"/>
  <c r="D3427" i="12"/>
  <c r="C3427" i="12"/>
  <c r="B3427" i="12"/>
  <c r="A3427" i="12"/>
  <c r="G3426" i="12"/>
  <c r="F3426" i="12"/>
  <c r="E3426" i="12"/>
  <c r="D3426" i="12"/>
  <c r="C3426" i="12"/>
  <c r="B3426" i="12"/>
  <c r="A3426" i="12"/>
  <c r="G3425" i="12"/>
  <c r="F3425" i="12"/>
  <c r="E3425" i="12"/>
  <c r="D3425" i="12"/>
  <c r="C3425" i="12"/>
  <c r="B3425" i="12"/>
  <c r="A3425" i="12"/>
  <c r="G3424" i="12"/>
  <c r="F3424" i="12"/>
  <c r="E3424" i="12"/>
  <c r="D3424" i="12"/>
  <c r="C3424" i="12"/>
  <c r="B3424" i="12"/>
  <c r="A3424" i="12"/>
  <c r="G3423" i="12"/>
  <c r="F3423" i="12"/>
  <c r="E3423" i="12"/>
  <c r="D3423" i="12"/>
  <c r="C3423" i="12"/>
  <c r="B3423" i="12"/>
  <c r="A3423" i="12"/>
  <c r="G3422" i="12"/>
  <c r="E3422" i="12"/>
  <c r="D3422" i="12"/>
  <c r="C3422" i="12"/>
  <c r="B3422" i="12"/>
  <c r="A3422" i="12"/>
  <c r="G3421" i="12"/>
  <c r="E3421" i="12"/>
  <c r="D3421" i="12"/>
  <c r="C3421" i="12"/>
  <c r="B3421" i="12"/>
  <c r="A3421" i="12"/>
  <c r="E3420" i="12"/>
  <c r="D3420" i="12"/>
  <c r="C3420" i="12"/>
  <c r="B3420" i="12"/>
  <c r="A3420" i="12"/>
  <c r="G3419" i="12"/>
  <c r="E3419" i="12"/>
  <c r="D3419" i="12"/>
  <c r="C3419" i="12"/>
  <c r="B3419" i="12"/>
  <c r="A3419" i="12"/>
  <c r="G3418" i="12"/>
  <c r="E3418" i="12"/>
  <c r="D3418" i="12"/>
  <c r="C3418" i="12"/>
  <c r="B3418" i="12"/>
  <c r="A3418" i="12"/>
  <c r="G3417" i="12"/>
  <c r="E3417" i="12"/>
  <c r="D3417" i="12"/>
  <c r="C3417" i="12"/>
  <c r="B3417" i="12"/>
  <c r="A3417" i="12"/>
  <c r="G3416" i="12"/>
  <c r="F3416" i="12"/>
  <c r="E3416" i="12"/>
  <c r="D3416" i="12"/>
  <c r="C3416" i="12"/>
  <c r="B3416" i="12"/>
  <c r="A3416" i="12"/>
  <c r="G3415" i="12"/>
  <c r="E3415" i="12"/>
  <c r="D3415" i="12"/>
  <c r="C3415" i="12"/>
  <c r="B3415" i="12"/>
  <c r="A3415" i="12"/>
  <c r="G3414" i="12"/>
  <c r="E3414" i="12"/>
  <c r="D3414" i="12"/>
  <c r="C3414" i="12"/>
  <c r="B3414" i="12"/>
  <c r="A3414" i="12"/>
  <c r="G3413" i="12"/>
  <c r="F3413" i="12"/>
  <c r="E3413" i="12"/>
  <c r="D3413" i="12"/>
  <c r="C3413" i="12"/>
  <c r="B3413" i="12"/>
  <c r="A3413" i="12"/>
  <c r="G3412" i="12"/>
  <c r="E3412" i="12"/>
  <c r="D3412" i="12"/>
  <c r="C3412" i="12"/>
  <c r="B3412" i="12"/>
  <c r="A3412" i="12"/>
  <c r="G3411" i="12"/>
  <c r="E3411" i="12"/>
  <c r="D3411" i="12"/>
  <c r="C3411" i="12"/>
  <c r="B3411" i="12"/>
  <c r="A3411" i="12"/>
  <c r="G3410" i="12"/>
  <c r="F3410" i="12"/>
  <c r="E3410" i="12"/>
  <c r="D3410" i="12"/>
  <c r="C3410" i="12"/>
  <c r="B3410" i="12"/>
  <c r="A3410" i="12"/>
  <c r="G3409" i="12"/>
  <c r="F3409" i="12"/>
  <c r="E3409" i="12"/>
  <c r="D3409" i="12"/>
  <c r="C3409" i="12"/>
  <c r="B3409" i="12"/>
  <c r="A3409" i="12"/>
  <c r="G3408" i="12"/>
  <c r="E3408" i="12"/>
  <c r="D3408" i="12"/>
  <c r="C3408" i="12"/>
  <c r="B3408" i="12"/>
  <c r="A3408" i="12"/>
  <c r="G3407" i="12"/>
  <c r="E3407" i="12"/>
  <c r="D3407" i="12"/>
  <c r="C3407" i="12"/>
  <c r="B3407" i="12"/>
  <c r="A3407" i="12"/>
  <c r="G3406" i="12"/>
  <c r="F3406" i="12"/>
  <c r="E3406" i="12"/>
  <c r="D3406" i="12"/>
  <c r="C3406" i="12"/>
  <c r="B3406" i="12"/>
  <c r="A3406" i="12"/>
  <c r="G3405" i="12"/>
  <c r="E3405" i="12"/>
  <c r="D3405" i="12"/>
  <c r="C3405" i="12"/>
  <c r="B3405" i="12"/>
  <c r="A3405" i="12"/>
  <c r="G3404" i="12"/>
  <c r="F3404" i="12"/>
  <c r="E3404" i="12"/>
  <c r="D3404" i="12"/>
  <c r="C3404" i="12"/>
  <c r="B3404" i="12"/>
  <c r="A3404" i="12"/>
  <c r="G3403" i="12"/>
  <c r="F3403" i="12"/>
  <c r="E3403" i="12"/>
  <c r="D3403" i="12"/>
  <c r="C3403" i="12"/>
  <c r="B3403" i="12"/>
  <c r="A3403" i="12"/>
  <c r="G3402" i="12"/>
  <c r="F3402" i="12"/>
  <c r="E3402" i="12"/>
  <c r="D3402" i="12"/>
  <c r="C3402" i="12"/>
  <c r="B3402" i="12"/>
  <c r="A3402" i="12"/>
  <c r="G3401" i="12"/>
  <c r="F3401" i="12"/>
  <c r="E3401" i="12"/>
  <c r="D3401" i="12"/>
  <c r="C3401" i="12"/>
  <c r="B3401" i="12"/>
  <c r="A3401" i="12"/>
  <c r="G3400" i="12"/>
  <c r="E3400" i="12"/>
  <c r="D3400" i="12"/>
  <c r="C3400" i="12"/>
  <c r="B3400" i="12"/>
  <c r="A3400" i="12"/>
  <c r="G3399" i="12"/>
  <c r="F3399" i="12"/>
  <c r="E3399" i="12"/>
  <c r="D3399" i="12"/>
  <c r="C3399" i="12"/>
  <c r="B3399" i="12"/>
  <c r="A3399" i="12"/>
  <c r="G3398" i="12"/>
  <c r="F3398" i="12"/>
  <c r="E3398" i="12"/>
  <c r="D3398" i="12"/>
  <c r="C3398" i="12"/>
  <c r="B3398" i="12"/>
  <c r="A3398" i="12"/>
  <c r="G3397" i="12"/>
  <c r="E3397" i="12"/>
  <c r="D3397" i="12"/>
  <c r="C3397" i="12"/>
  <c r="B3397" i="12"/>
  <c r="A3397" i="12"/>
  <c r="G3396" i="12"/>
  <c r="F3396" i="12"/>
  <c r="E3396" i="12"/>
  <c r="D3396" i="12"/>
  <c r="C3396" i="12"/>
  <c r="B3396" i="12"/>
  <c r="A3396" i="12"/>
  <c r="G3395" i="12"/>
  <c r="E3395" i="12"/>
  <c r="D3395" i="12"/>
  <c r="C3395" i="12"/>
  <c r="B3395" i="12"/>
  <c r="A3395" i="12"/>
  <c r="E3394" i="12"/>
  <c r="D3394" i="12"/>
  <c r="C3394" i="12"/>
  <c r="B3394" i="12"/>
  <c r="A3394" i="12"/>
  <c r="D3393" i="12"/>
  <c r="C3393" i="12"/>
  <c r="B3393" i="12"/>
  <c r="A3393" i="12"/>
  <c r="E3392" i="12"/>
  <c r="D3392" i="12"/>
  <c r="C3392" i="12"/>
  <c r="B3392" i="12"/>
  <c r="A3392" i="12"/>
  <c r="E3391" i="12"/>
  <c r="D3391" i="12"/>
  <c r="C3391" i="12"/>
  <c r="B3391" i="12"/>
  <c r="A3391" i="12"/>
  <c r="G3390" i="12"/>
  <c r="E3390" i="12"/>
  <c r="D3390" i="12"/>
  <c r="C3390" i="12"/>
  <c r="B3390" i="12"/>
  <c r="A3390" i="12"/>
  <c r="G3389" i="12"/>
  <c r="F3389" i="12"/>
  <c r="E3389" i="12"/>
  <c r="D3389" i="12"/>
  <c r="C3389" i="12"/>
  <c r="B3389" i="12"/>
  <c r="A3389" i="12"/>
  <c r="G3388" i="12"/>
  <c r="E3388" i="12"/>
  <c r="D3388" i="12"/>
  <c r="C3388" i="12"/>
  <c r="B3388" i="12"/>
  <c r="A3388" i="12"/>
  <c r="F3387" i="12"/>
  <c r="E3387" i="12"/>
  <c r="D3387" i="12"/>
  <c r="C3387" i="12"/>
  <c r="B3387" i="12"/>
  <c r="A3387" i="12"/>
  <c r="E3386" i="12"/>
  <c r="D3386" i="12"/>
  <c r="C3386" i="12"/>
  <c r="B3386" i="12"/>
  <c r="A3386" i="12"/>
  <c r="E3385" i="12"/>
  <c r="D3385" i="12"/>
  <c r="C3385" i="12"/>
  <c r="B3385" i="12"/>
  <c r="A3385" i="12"/>
  <c r="G3384" i="12"/>
  <c r="E3384" i="12"/>
  <c r="D3384" i="12"/>
  <c r="C3384" i="12"/>
  <c r="B3384" i="12"/>
  <c r="A3384" i="12"/>
  <c r="E3383" i="12"/>
  <c r="D3383" i="12"/>
  <c r="C3383" i="12"/>
  <c r="B3383" i="12"/>
  <c r="A3383" i="12"/>
  <c r="G3382" i="12"/>
  <c r="E3382" i="12"/>
  <c r="D3382" i="12"/>
  <c r="C3382" i="12"/>
  <c r="B3382" i="12"/>
  <c r="A3382" i="12"/>
  <c r="G3381" i="12"/>
  <c r="F3381" i="12"/>
  <c r="E3381" i="12"/>
  <c r="D3381" i="12"/>
  <c r="C3381" i="12"/>
  <c r="B3381" i="12"/>
  <c r="A3381" i="12"/>
  <c r="E3380" i="12"/>
  <c r="D3380" i="12"/>
  <c r="C3380" i="12"/>
  <c r="B3380" i="12"/>
  <c r="A3380" i="12"/>
  <c r="E3379" i="12"/>
  <c r="D3379" i="12"/>
  <c r="C3379" i="12"/>
  <c r="B3379" i="12"/>
  <c r="A3379" i="12"/>
  <c r="G3378" i="12"/>
  <c r="E3378" i="12"/>
  <c r="D3378" i="12"/>
  <c r="C3378" i="12"/>
  <c r="B3378" i="12"/>
  <c r="A3378" i="12"/>
  <c r="G3377" i="12"/>
  <c r="E3377" i="12"/>
  <c r="D3377" i="12"/>
  <c r="C3377" i="12"/>
  <c r="B3377" i="12"/>
  <c r="A3377" i="12"/>
  <c r="G3376" i="12"/>
  <c r="E3376" i="12"/>
  <c r="D3376" i="12"/>
  <c r="C3376" i="12"/>
  <c r="B3376" i="12"/>
  <c r="A3376" i="12"/>
  <c r="G3375" i="12"/>
  <c r="E3375" i="12"/>
  <c r="D3375" i="12"/>
  <c r="C3375" i="12"/>
  <c r="B3375" i="12"/>
  <c r="A3375" i="12"/>
  <c r="G3374" i="12"/>
  <c r="E3374" i="12"/>
  <c r="D3374" i="12"/>
  <c r="C3374" i="12"/>
  <c r="B3374" i="12"/>
  <c r="A3374" i="12"/>
  <c r="E3373" i="12"/>
  <c r="D3373" i="12"/>
  <c r="C3373" i="12"/>
  <c r="B3373" i="12"/>
  <c r="A3373" i="12"/>
  <c r="G3372" i="12"/>
  <c r="E3372" i="12"/>
  <c r="D3372" i="12"/>
  <c r="C3372" i="12"/>
  <c r="B3372" i="12"/>
  <c r="A3372" i="12"/>
  <c r="E3371" i="12"/>
  <c r="D3371" i="12"/>
  <c r="C3371" i="12"/>
  <c r="B3371" i="12"/>
  <c r="A3371" i="12"/>
  <c r="G3370" i="12"/>
  <c r="E3370" i="12"/>
  <c r="D3370" i="12"/>
  <c r="C3370" i="12"/>
  <c r="B3370" i="12"/>
  <c r="A3370" i="12"/>
  <c r="G3369" i="12"/>
  <c r="E3369" i="12"/>
  <c r="D3369" i="12"/>
  <c r="C3369" i="12"/>
  <c r="B3369" i="12"/>
  <c r="A3369" i="12"/>
  <c r="E3368" i="12"/>
  <c r="D3368" i="12"/>
  <c r="C3368" i="12"/>
  <c r="B3368" i="12"/>
  <c r="A3368" i="12"/>
  <c r="G3367" i="12"/>
  <c r="F3367" i="12"/>
  <c r="E3367" i="12"/>
  <c r="D3367" i="12"/>
  <c r="C3367" i="12"/>
  <c r="B3367" i="12"/>
  <c r="A3367" i="12"/>
  <c r="G3366" i="12"/>
  <c r="F3366" i="12"/>
  <c r="E3366" i="12"/>
  <c r="D3366" i="12"/>
  <c r="C3366" i="12"/>
  <c r="B3366" i="12"/>
  <c r="A3366" i="12"/>
  <c r="E3365" i="12"/>
  <c r="D3365" i="12"/>
  <c r="C3365" i="12"/>
  <c r="B3365" i="12"/>
  <c r="A3365" i="12"/>
  <c r="G3364" i="12"/>
  <c r="F3364" i="12"/>
  <c r="E3364" i="12"/>
  <c r="D3364" i="12"/>
  <c r="C3364" i="12"/>
  <c r="B3364" i="12"/>
  <c r="A3364" i="12"/>
  <c r="G3363" i="12"/>
  <c r="F3363" i="12"/>
  <c r="E3363" i="12"/>
  <c r="D3363" i="12"/>
  <c r="C3363" i="12"/>
  <c r="B3363" i="12"/>
  <c r="A3363" i="12"/>
  <c r="G3362" i="12"/>
  <c r="E3362" i="12"/>
  <c r="D3362" i="12"/>
  <c r="C3362" i="12"/>
  <c r="B3362" i="12"/>
  <c r="A3362" i="12"/>
  <c r="G3361" i="12"/>
  <c r="E3361" i="12"/>
  <c r="D3361" i="12"/>
  <c r="C3361" i="12"/>
  <c r="B3361" i="12"/>
  <c r="A3361" i="12"/>
  <c r="E3360" i="12"/>
  <c r="D3360" i="12"/>
  <c r="C3360" i="12"/>
  <c r="B3360" i="12"/>
  <c r="A3360" i="12"/>
  <c r="G3359" i="12"/>
  <c r="E3359" i="12"/>
  <c r="D3359" i="12"/>
  <c r="C3359" i="12"/>
  <c r="B3359" i="12"/>
  <c r="A3359" i="12"/>
  <c r="E3358" i="12"/>
  <c r="D3358" i="12"/>
  <c r="C3358" i="12"/>
  <c r="B3358" i="12"/>
  <c r="A3358" i="12"/>
  <c r="G3357" i="12"/>
  <c r="E3357" i="12"/>
  <c r="D3357" i="12"/>
  <c r="C3357" i="12"/>
  <c r="B3357" i="12"/>
  <c r="A3357" i="12"/>
  <c r="G3356" i="12"/>
  <c r="E3356" i="12"/>
  <c r="D3356" i="12"/>
  <c r="C3356" i="12"/>
  <c r="B3356" i="12"/>
  <c r="A3356" i="12"/>
  <c r="D3355" i="12"/>
  <c r="C3355" i="12"/>
  <c r="B3355" i="12"/>
  <c r="A3355" i="12"/>
  <c r="E3354" i="12"/>
  <c r="D3354" i="12"/>
  <c r="C3354" i="12"/>
  <c r="B3354" i="12"/>
  <c r="A3354" i="12"/>
  <c r="E3353" i="12"/>
  <c r="D3353" i="12"/>
  <c r="C3353" i="12"/>
  <c r="B3353" i="12"/>
  <c r="A3353" i="12"/>
  <c r="E3352" i="12"/>
  <c r="D3352" i="12"/>
  <c r="C3352" i="12"/>
  <c r="B3352" i="12"/>
  <c r="A3352" i="12"/>
  <c r="E3351" i="12"/>
  <c r="D3351" i="12"/>
  <c r="C3351" i="12"/>
  <c r="B3351" i="12"/>
  <c r="A3351" i="12"/>
  <c r="E3350" i="12"/>
  <c r="D3350" i="12"/>
  <c r="C3350" i="12"/>
  <c r="B3350" i="12"/>
  <c r="A3350" i="12"/>
  <c r="E3349" i="12"/>
  <c r="D3349" i="12"/>
  <c r="C3349" i="12"/>
  <c r="B3349" i="12"/>
  <c r="A3349" i="12"/>
  <c r="G3348" i="12"/>
  <c r="E3348" i="12"/>
  <c r="D3348" i="12"/>
  <c r="C3348" i="12"/>
  <c r="B3348" i="12"/>
  <c r="A3348" i="12"/>
  <c r="G3347" i="12"/>
  <c r="E3347" i="12"/>
  <c r="D3347" i="12"/>
  <c r="C3347" i="12"/>
  <c r="B3347" i="12"/>
  <c r="A3347" i="12"/>
  <c r="G3346" i="12"/>
  <c r="E3346" i="12"/>
  <c r="D3346" i="12"/>
  <c r="C3346" i="12"/>
  <c r="B3346" i="12"/>
  <c r="A3346" i="12"/>
  <c r="G3345" i="12"/>
  <c r="E3345" i="12"/>
  <c r="D3345" i="12"/>
  <c r="C3345" i="12"/>
  <c r="B3345" i="12"/>
  <c r="A3345" i="12"/>
  <c r="G3344" i="12"/>
  <c r="E3344" i="12"/>
  <c r="D3344" i="12"/>
  <c r="C3344" i="12"/>
  <c r="B3344" i="12"/>
  <c r="A3344" i="12"/>
  <c r="G3343" i="12"/>
  <c r="E3343" i="12"/>
  <c r="D3343" i="12"/>
  <c r="C3343" i="12"/>
  <c r="B3343" i="12"/>
  <c r="A3343" i="12"/>
  <c r="G3342" i="12"/>
  <c r="E3342" i="12"/>
  <c r="D3342" i="12"/>
  <c r="C3342" i="12"/>
  <c r="B3342" i="12"/>
  <c r="A3342" i="12"/>
  <c r="G3341" i="12"/>
  <c r="E3341" i="12"/>
  <c r="D3341" i="12"/>
  <c r="C3341" i="12"/>
  <c r="B3341" i="12"/>
  <c r="A3341" i="12"/>
  <c r="G3340" i="12"/>
  <c r="F3340" i="12"/>
  <c r="E3340" i="12"/>
  <c r="D3340" i="12"/>
  <c r="C3340" i="12"/>
  <c r="B3340" i="12"/>
  <c r="A3340" i="12"/>
  <c r="E3339" i="12"/>
  <c r="D3339" i="12"/>
  <c r="C3339" i="12"/>
  <c r="B3339" i="12"/>
  <c r="A3339" i="12"/>
  <c r="G3338" i="12"/>
  <c r="E3338" i="12"/>
  <c r="D3338" i="12"/>
  <c r="C3338" i="12"/>
  <c r="B3338" i="12"/>
  <c r="A3338" i="12"/>
  <c r="G3337" i="12"/>
  <c r="E3337" i="12"/>
  <c r="D3337" i="12"/>
  <c r="C3337" i="12"/>
  <c r="B3337" i="12"/>
  <c r="A3337" i="12"/>
  <c r="G3336" i="12"/>
  <c r="F3336" i="12"/>
  <c r="E3336" i="12"/>
  <c r="D3336" i="12"/>
  <c r="C3336" i="12"/>
  <c r="B3336" i="12"/>
  <c r="A3336" i="12"/>
  <c r="G3335" i="12"/>
  <c r="F3335" i="12"/>
  <c r="E3335" i="12"/>
  <c r="D3335" i="12"/>
  <c r="C3335" i="12"/>
  <c r="B3335" i="12"/>
  <c r="A3335" i="12"/>
  <c r="G3334" i="12"/>
  <c r="F3334" i="12"/>
  <c r="E3334" i="12"/>
  <c r="D3334" i="12"/>
  <c r="C3334" i="12"/>
  <c r="B3334" i="12"/>
  <c r="A3334" i="12"/>
  <c r="G3333" i="12"/>
  <c r="F3333" i="12"/>
  <c r="E3333" i="12"/>
  <c r="D3333" i="12"/>
  <c r="C3333" i="12"/>
  <c r="B3333" i="12"/>
  <c r="A3333" i="12"/>
  <c r="G3332" i="12"/>
  <c r="F3332" i="12"/>
  <c r="E3332" i="12"/>
  <c r="D3332" i="12"/>
  <c r="C3332" i="12"/>
  <c r="B3332" i="12"/>
  <c r="A3332" i="12"/>
  <c r="G3331" i="12"/>
  <c r="E3331" i="12"/>
  <c r="D3331" i="12"/>
  <c r="C3331" i="12"/>
  <c r="B3331" i="12"/>
  <c r="A3331" i="12"/>
  <c r="G3330" i="12"/>
  <c r="E3330" i="12"/>
  <c r="D3330" i="12"/>
  <c r="C3330" i="12"/>
  <c r="B3330" i="12"/>
  <c r="A3330" i="12"/>
  <c r="G3329" i="12"/>
  <c r="F3329" i="12"/>
  <c r="E3329" i="12"/>
  <c r="D3329" i="12"/>
  <c r="C3329" i="12"/>
  <c r="B3329" i="12"/>
  <c r="A3329" i="12"/>
  <c r="G3328" i="12"/>
  <c r="F3328" i="12"/>
  <c r="E3328" i="12"/>
  <c r="D3328" i="12"/>
  <c r="C3328" i="12"/>
  <c r="B3328" i="12"/>
  <c r="A3328" i="12"/>
  <c r="E3327" i="12"/>
  <c r="D3327" i="12"/>
  <c r="C3327" i="12"/>
  <c r="B3327" i="12"/>
  <c r="A3327" i="12"/>
  <c r="G3326" i="12"/>
  <c r="F3326" i="12"/>
  <c r="E3326" i="12"/>
  <c r="D3326" i="12"/>
  <c r="C3326" i="12"/>
  <c r="B3326" i="12"/>
  <c r="A3326" i="12"/>
  <c r="G3325" i="12"/>
  <c r="E3325" i="12"/>
  <c r="D3325" i="12"/>
  <c r="C3325" i="12"/>
  <c r="B3325" i="12"/>
  <c r="A3325" i="12"/>
  <c r="G3324" i="12"/>
  <c r="F3324" i="12"/>
  <c r="E3324" i="12"/>
  <c r="D3324" i="12"/>
  <c r="C3324" i="12"/>
  <c r="B3324" i="12"/>
  <c r="A3324" i="12"/>
  <c r="G3323" i="12"/>
  <c r="F3323" i="12"/>
  <c r="E3323" i="12"/>
  <c r="D3323" i="12"/>
  <c r="C3323" i="12"/>
  <c r="B3323" i="12"/>
  <c r="A3323" i="12"/>
  <c r="G3322" i="12"/>
  <c r="E3322" i="12"/>
  <c r="D3322" i="12"/>
  <c r="C3322" i="12"/>
  <c r="B3322" i="12"/>
  <c r="A3322" i="12"/>
  <c r="D3321" i="12"/>
  <c r="C3321" i="12"/>
  <c r="B3321" i="12"/>
  <c r="A3321" i="12"/>
  <c r="G3320" i="12"/>
  <c r="E3320" i="12"/>
  <c r="D3320" i="12"/>
  <c r="C3320" i="12"/>
  <c r="B3320" i="12"/>
  <c r="A3320" i="12"/>
  <c r="G3319" i="12"/>
  <c r="E3319" i="12"/>
  <c r="D3319" i="12"/>
  <c r="C3319" i="12"/>
  <c r="B3319" i="12"/>
  <c r="A3319" i="12"/>
  <c r="G3318" i="12"/>
  <c r="E3318" i="12"/>
  <c r="D3318" i="12"/>
  <c r="C3318" i="12"/>
  <c r="B3318" i="12"/>
  <c r="A3318" i="12"/>
  <c r="G3317" i="12"/>
  <c r="F3317" i="12"/>
  <c r="E3317" i="12"/>
  <c r="D3317" i="12"/>
  <c r="C3317" i="12"/>
  <c r="B3317" i="12"/>
  <c r="A3317" i="12"/>
  <c r="G3316" i="12"/>
  <c r="F3316" i="12"/>
  <c r="E3316" i="12"/>
  <c r="D3316" i="12"/>
  <c r="C3316" i="12"/>
  <c r="B3316" i="12"/>
  <c r="A3316" i="12"/>
  <c r="G3315" i="12"/>
  <c r="F3315" i="12"/>
  <c r="E3315" i="12"/>
  <c r="D3315" i="12"/>
  <c r="C3315" i="12"/>
  <c r="B3315" i="12"/>
  <c r="A3315" i="12"/>
  <c r="G3314" i="12"/>
  <c r="F3314" i="12"/>
  <c r="E3314" i="12"/>
  <c r="D3314" i="12"/>
  <c r="C3314" i="12"/>
  <c r="B3314" i="12"/>
  <c r="A3314" i="12"/>
  <c r="G3313" i="12"/>
  <c r="F3313" i="12"/>
  <c r="E3313" i="12"/>
  <c r="D3313" i="12"/>
  <c r="C3313" i="12"/>
  <c r="B3313" i="12"/>
  <c r="A3313" i="12"/>
  <c r="G3312" i="12"/>
  <c r="F3312" i="12"/>
  <c r="E3312" i="12"/>
  <c r="D3312" i="12"/>
  <c r="C3312" i="12"/>
  <c r="B3312" i="12"/>
  <c r="A3312" i="12"/>
  <c r="G3311" i="12"/>
  <c r="F3311" i="12"/>
  <c r="E3311" i="12"/>
  <c r="D3311" i="12"/>
  <c r="C3311" i="12"/>
  <c r="B3311" i="12"/>
  <c r="A3311" i="12"/>
  <c r="G3310" i="12"/>
  <c r="F3310" i="12"/>
  <c r="E3310" i="12"/>
  <c r="D3310" i="12"/>
  <c r="C3310" i="12"/>
  <c r="B3310" i="12"/>
  <c r="A3310" i="12"/>
  <c r="G3309" i="12"/>
  <c r="E3309" i="12"/>
  <c r="D3309" i="12"/>
  <c r="C3309" i="12"/>
  <c r="B3309" i="12"/>
  <c r="A3309" i="12"/>
  <c r="G3308" i="12"/>
  <c r="E3308" i="12"/>
  <c r="D3308" i="12"/>
  <c r="C3308" i="12"/>
  <c r="B3308" i="12"/>
  <c r="A3308" i="12"/>
  <c r="G3307" i="12"/>
  <c r="F3307" i="12"/>
  <c r="E3307" i="12"/>
  <c r="D3307" i="12"/>
  <c r="C3307" i="12"/>
  <c r="B3307" i="12"/>
  <c r="A3307" i="12"/>
  <c r="G3306" i="12"/>
  <c r="F3306" i="12"/>
  <c r="E3306" i="12"/>
  <c r="D3306" i="12"/>
  <c r="C3306" i="12"/>
  <c r="B3306" i="12"/>
  <c r="A3306" i="12"/>
  <c r="G3305" i="12"/>
  <c r="E3305" i="12"/>
  <c r="D3305" i="12"/>
  <c r="C3305" i="12"/>
  <c r="B3305" i="12"/>
  <c r="A3305" i="12"/>
  <c r="G3304" i="12"/>
  <c r="E3304" i="12"/>
  <c r="D3304" i="12"/>
  <c r="C3304" i="12"/>
  <c r="B3304" i="12"/>
  <c r="A3304" i="12"/>
  <c r="G3303" i="12"/>
  <c r="E3303" i="12"/>
  <c r="D3303" i="12"/>
  <c r="C3303" i="12"/>
  <c r="B3303" i="12"/>
  <c r="A3303" i="12"/>
  <c r="G3302" i="12"/>
  <c r="E3302" i="12"/>
  <c r="D3302" i="12"/>
  <c r="C3302" i="12"/>
  <c r="B3302" i="12"/>
  <c r="A3302" i="12"/>
  <c r="G3301" i="12"/>
  <c r="F3301" i="12"/>
  <c r="E3301" i="12"/>
  <c r="D3301" i="12"/>
  <c r="C3301" i="12"/>
  <c r="B3301" i="12"/>
  <c r="A3301" i="12"/>
  <c r="G3300" i="12"/>
  <c r="F3300" i="12"/>
  <c r="E3300" i="12"/>
  <c r="D3300" i="12"/>
  <c r="C3300" i="12"/>
  <c r="B3300" i="12"/>
  <c r="A3300" i="12"/>
  <c r="G3299" i="12"/>
  <c r="F3299" i="12"/>
  <c r="E3299" i="12"/>
  <c r="D3299" i="12"/>
  <c r="C3299" i="12"/>
  <c r="B3299" i="12"/>
  <c r="A3299" i="12"/>
  <c r="G3298" i="12"/>
  <c r="E3298" i="12"/>
  <c r="D3298" i="12"/>
  <c r="C3298" i="12"/>
  <c r="B3298" i="12"/>
  <c r="A3298" i="12"/>
  <c r="G3297" i="12"/>
  <c r="E3297" i="12"/>
  <c r="D3297" i="12"/>
  <c r="C3297" i="12"/>
  <c r="B3297" i="12"/>
  <c r="A3297" i="12"/>
  <c r="G3296" i="12"/>
  <c r="F3296" i="12"/>
  <c r="E3296" i="12"/>
  <c r="D3296" i="12"/>
  <c r="C3296" i="12"/>
  <c r="B3296" i="12"/>
  <c r="A3296" i="12"/>
  <c r="G3295" i="12"/>
  <c r="F3295" i="12"/>
  <c r="E3295" i="12"/>
  <c r="D3295" i="12"/>
  <c r="C3295" i="12"/>
  <c r="B3295" i="12"/>
  <c r="A3295" i="12"/>
  <c r="G3294" i="12"/>
  <c r="E3294" i="12"/>
  <c r="D3294" i="12"/>
  <c r="C3294" i="12"/>
  <c r="B3294" i="12"/>
  <c r="A3294" i="12"/>
  <c r="F3293" i="12"/>
  <c r="E3293" i="12"/>
  <c r="D3293" i="12"/>
  <c r="C3293" i="12"/>
  <c r="B3293" i="12"/>
  <c r="A3293" i="12"/>
  <c r="G3292" i="12"/>
  <c r="F3292" i="12"/>
  <c r="E3292" i="12"/>
  <c r="D3292" i="12"/>
  <c r="C3292" i="12"/>
  <c r="B3292" i="12"/>
  <c r="A3292" i="12"/>
  <c r="G3291" i="12"/>
  <c r="F3291" i="12"/>
  <c r="E3291" i="12"/>
  <c r="D3291" i="12"/>
  <c r="C3291" i="12"/>
  <c r="B3291" i="12"/>
  <c r="A3291" i="12"/>
  <c r="G3290" i="12"/>
  <c r="F3290" i="12"/>
  <c r="E3290" i="12"/>
  <c r="D3290" i="12"/>
  <c r="C3290" i="12"/>
  <c r="B3290" i="12"/>
  <c r="A3290" i="12"/>
  <c r="E3289" i="12"/>
  <c r="D3289" i="12"/>
  <c r="C3289" i="12"/>
  <c r="B3289" i="12"/>
  <c r="A3289" i="12"/>
  <c r="G3288" i="12"/>
  <c r="F3288" i="12"/>
  <c r="E3288" i="12"/>
  <c r="D3288" i="12"/>
  <c r="C3288" i="12"/>
  <c r="B3288" i="12"/>
  <c r="A3288" i="12"/>
  <c r="G3287" i="12"/>
  <c r="F3287" i="12"/>
  <c r="E3287" i="12"/>
  <c r="D3287" i="12"/>
  <c r="C3287" i="12"/>
  <c r="B3287" i="12"/>
  <c r="A3287" i="12"/>
  <c r="G3286" i="12"/>
  <c r="E3286" i="12"/>
  <c r="D3286" i="12"/>
  <c r="C3286" i="12"/>
  <c r="B3286" i="12"/>
  <c r="A3286" i="12"/>
  <c r="G3285" i="12"/>
  <c r="E3285" i="12"/>
  <c r="D3285" i="12"/>
  <c r="C3285" i="12"/>
  <c r="B3285" i="12"/>
  <c r="A3285" i="12"/>
  <c r="G3284" i="12"/>
  <c r="E3284" i="12"/>
  <c r="D3284" i="12"/>
  <c r="C3284" i="12"/>
  <c r="B3284" i="12"/>
  <c r="A3284" i="12"/>
  <c r="G3283" i="12"/>
  <c r="F3283" i="12"/>
  <c r="E3283" i="12"/>
  <c r="D3283" i="12"/>
  <c r="C3283" i="12"/>
  <c r="B3283" i="12"/>
  <c r="A3283" i="12"/>
  <c r="G3282" i="12"/>
  <c r="F3282" i="12"/>
  <c r="E3282" i="12"/>
  <c r="D3282" i="12"/>
  <c r="C3282" i="12"/>
  <c r="B3282" i="12"/>
  <c r="A3282" i="12"/>
  <c r="G3281" i="12"/>
  <c r="F3281" i="12"/>
  <c r="E3281" i="12"/>
  <c r="D3281" i="12"/>
  <c r="C3281" i="12"/>
  <c r="B3281" i="12"/>
  <c r="A3281" i="12"/>
  <c r="G3280" i="12"/>
  <c r="E3280" i="12"/>
  <c r="D3280" i="12"/>
  <c r="C3280" i="12"/>
  <c r="B3280" i="12"/>
  <c r="A3280" i="12"/>
  <c r="G3279" i="12"/>
  <c r="E3279" i="12"/>
  <c r="D3279" i="12"/>
  <c r="C3279" i="12"/>
  <c r="B3279" i="12"/>
  <c r="A3279" i="12"/>
  <c r="G3278" i="12"/>
  <c r="F3278" i="12"/>
  <c r="E3278" i="12"/>
  <c r="D3278" i="12"/>
  <c r="C3278" i="12"/>
  <c r="B3278" i="12"/>
  <c r="A3278" i="12"/>
  <c r="G3277" i="12"/>
  <c r="E3277" i="12"/>
  <c r="D3277" i="12"/>
  <c r="C3277" i="12"/>
  <c r="B3277" i="12"/>
  <c r="A3277" i="12"/>
  <c r="G3276" i="12"/>
  <c r="E3276" i="12"/>
  <c r="D3276" i="12"/>
  <c r="C3276" i="12"/>
  <c r="B3276" i="12"/>
  <c r="A3276" i="12"/>
  <c r="G3275" i="12"/>
  <c r="E3275" i="12"/>
  <c r="D3275" i="12"/>
  <c r="C3275" i="12"/>
  <c r="B3275" i="12"/>
  <c r="A3275" i="12"/>
  <c r="G3274" i="12"/>
  <c r="F3274" i="12"/>
  <c r="E3274" i="12"/>
  <c r="D3274" i="12"/>
  <c r="C3274" i="12"/>
  <c r="B3274" i="12"/>
  <c r="A3274" i="12"/>
  <c r="G3273" i="12"/>
  <c r="F3273" i="12"/>
  <c r="E3273" i="12"/>
  <c r="D3273" i="12"/>
  <c r="C3273" i="12"/>
  <c r="B3273" i="12"/>
  <c r="A3273" i="12"/>
  <c r="G3272" i="12"/>
  <c r="F3272" i="12"/>
  <c r="E3272" i="12"/>
  <c r="D3272" i="12"/>
  <c r="C3272" i="12"/>
  <c r="B3272" i="12"/>
  <c r="A3272" i="12"/>
  <c r="G3271" i="12"/>
  <c r="F3271" i="12"/>
  <c r="E3271" i="12"/>
  <c r="D3271" i="12"/>
  <c r="C3271" i="12"/>
  <c r="B3271" i="12"/>
  <c r="A3271" i="12"/>
  <c r="G3270" i="12"/>
  <c r="F3270" i="12"/>
  <c r="E3270" i="12"/>
  <c r="D3270" i="12"/>
  <c r="C3270" i="12"/>
  <c r="B3270" i="12"/>
  <c r="A3270" i="12"/>
  <c r="G3269" i="12"/>
  <c r="F3269" i="12"/>
  <c r="E3269" i="12"/>
  <c r="D3269" i="12"/>
  <c r="C3269" i="12"/>
  <c r="B3269" i="12"/>
  <c r="A3269" i="12"/>
  <c r="G3268" i="12"/>
  <c r="F3268" i="12"/>
  <c r="E3268" i="12"/>
  <c r="D3268" i="12"/>
  <c r="C3268" i="12"/>
  <c r="B3268" i="12"/>
  <c r="A3268" i="12"/>
  <c r="G3267" i="12"/>
  <c r="F3267" i="12"/>
  <c r="E3267" i="12"/>
  <c r="D3267" i="12"/>
  <c r="C3267" i="12"/>
  <c r="B3267" i="12"/>
  <c r="A3267" i="12"/>
  <c r="G3266" i="12"/>
  <c r="E3266" i="12"/>
  <c r="D3266" i="12"/>
  <c r="C3266" i="12"/>
  <c r="B3266" i="12"/>
  <c r="A3266" i="12"/>
  <c r="G3265" i="12"/>
  <c r="E3265" i="12"/>
  <c r="D3265" i="12"/>
  <c r="C3265" i="12"/>
  <c r="B3265" i="12"/>
  <c r="A3265" i="12"/>
  <c r="G3264" i="12"/>
  <c r="E3264" i="12"/>
  <c r="D3264" i="12"/>
  <c r="C3264" i="12"/>
  <c r="B3264" i="12"/>
  <c r="A3264" i="12"/>
  <c r="G3263" i="12"/>
  <c r="E3263" i="12"/>
  <c r="D3263" i="12"/>
  <c r="C3263" i="12"/>
  <c r="B3263" i="12"/>
  <c r="A3263" i="12"/>
  <c r="G3262" i="12"/>
  <c r="E3262" i="12"/>
  <c r="D3262" i="12"/>
  <c r="C3262" i="12"/>
  <c r="B3262" i="12"/>
  <c r="A3262" i="12"/>
  <c r="D3261" i="12"/>
  <c r="C3261" i="12"/>
  <c r="B3261" i="12"/>
  <c r="A3261" i="12"/>
  <c r="E3260" i="12"/>
  <c r="D3260" i="12"/>
  <c r="C3260" i="12"/>
  <c r="B3260" i="12"/>
  <c r="A3260" i="12"/>
  <c r="E3259" i="12"/>
  <c r="D3259" i="12"/>
  <c r="C3259" i="12"/>
  <c r="B3259" i="12"/>
  <c r="A3259" i="12"/>
  <c r="G3258" i="12"/>
  <c r="E3258" i="12"/>
  <c r="D3258" i="12"/>
  <c r="C3258" i="12"/>
  <c r="B3258" i="12"/>
  <c r="A3258" i="12"/>
  <c r="G3257" i="12"/>
  <c r="E3257" i="12"/>
  <c r="D3257" i="12"/>
  <c r="C3257" i="12"/>
  <c r="B3257" i="12"/>
  <c r="A3257" i="12"/>
  <c r="G3256" i="12"/>
  <c r="F3256" i="12"/>
  <c r="E3256" i="12"/>
  <c r="D3256" i="12"/>
  <c r="C3256" i="12"/>
  <c r="B3256" i="12"/>
  <c r="A3256" i="12"/>
  <c r="E3255" i="12"/>
  <c r="D3255" i="12"/>
  <c r="C3255" i="12"/>
  <c r="B3255" i="12"/>
  <c r="A3255" i="12"/>
  <c r="G3254" i="12"/>
  <c r="E3254" i="12"/>
  <c r="D3254" i="12"/>
  <c r="C3254" i="12"/>
  <c r="B3254" i="12"/>
  <c r="A3254" i="12"/>
  <c r="G3253" i="12"/>
  <c r="E3253" i="12"/>
  <c r="D3253" i="12"/>
  <c r="C3253" i="12"/>
  <c r="B3253" i="12"/>
  <c r="A3253" i="12"/>
  <c r="G3252" i="12"/>
  <c r="E3252" i="12"/>
  <c r="D3252" i="12"/>
  <c r="C3252" i="12"/>
  <c r="B3252" i="12"/>
  <c r="A3252" i="12"/>
  <c r="G3251" i="12"/>
  <c r="F3251" i="12"/>
  <c r="E3251" i="12"/>
  <c r="D3251" i="12"/>
  <c r="C3251" i="12"/>
  <c r="B3251" i="12"/>
  <c r="A3251" i="12"/>
  <c r="G3250" i="12"/>
  <c r="E3250" i="12"/>
  <c r="D3250" i="12"/>
  <c r="C3250" i="12"/>
  <c r="B3250" i="12"/>
  <c r="A3250" i="12"/>
  <c r="G3249" i="12"/>
  <c r="E3249" i="12"/>
  <c r="D3249" i="12"/>
  <c r="C3249" i="12"/>
  <c r="B3249" i="12"/>
  <c r="A3249" i="12"/>
  <c r="E3248" i="12"/>
  <c r="D3248" i="12"/>
  <c r="C3248" i="12"/>
  <c r="B3248" i="12"/>
  <c r="A3248" i="12"/>
  <c r="G3247" i="12"/>
  <c r="E3247" i="12"/>
  <c r="D3247" i="12"/>
  <c r="C3247" i="12"/>
  <c r="B3247" i="12"/>
  <c r="A3247" i="12"/>
  <c r="E3246" i="12"/>
  <c r="D3246" i="12"/>
  <c r="C3246" i="12"/>
  <c r="B3246" i="12"/>
  <c r="A3246" i="12"/>
  <c r="G3245" i="12"/>
  <c r="E3245" i="12"/>
  <c r="D3245" i="12"/>
  <c r="C3245" i="12"/>
  <c r="B3245" i="12"/>
  <c r="A3245" i="12"/>
  <c r="E3244" i="12"/>
  <c r="D3244" i="12"/>
  <c r="C3244" i="12"/>
  <c r="B3244" i="12"/>
  <c r="A3244" i="12"/>
  <c r="G3243" i="12"/>
  <c r="F3243" i="12"/>
  <c r="E3243" i="12"/>
  <c r="D3243" i="12"/>
  <c r="C3243" i="12"/>
  <c r="B3243" i="12"/>
  <c r="A3243" i="12"/>
  <c r="G3242" i="12"/>
  <c r="E3242" i="12"/>
  <c r="D3242" i="12"/>
  <c r="C3242" i="12"/>
  <c r="B3242" i="12"/>
  <c r="A3242" i="12"/>
  <c r="E3241" i="12"/>
  <c r="D3241" i="12"/>
  <c r="C3241" i="12"/>
  <c r="B3241" i="12"/>
  <c r="A3241" i="12"/>
  <c r="E3240" i="12"/>
  <c r="D3240" i="12"/>
  <c r="C3240" i="12"/>
  <c r="B3240" i="12"/>
  <c r="A3240" i="12"/>
  <c r="G3239" i="12"/>
  <c r="F3239" i="12"/>
  <c r="E3239" i="12"/>
  <c r="D3239" i="12"/>
  <c r="C3239" i="12"/>
  <c r="B3239" i="12"/>
  <c r="A3239" i="12"/>
  <c r="G3238" i="12"/>
  <c r="F3238" i="12"/>
  <c r="E3238" i="12"/>
  <c r="D3238" i="12"/>
  <c r="C3238" i="12"/>
  <c r="B3238" i="12"/>
  <c r="A3238" i="12"/>
  <c r="G3237" i="12"/>
  <c r="F3237" i="12"/>
  <c r="E3237" i="12"/>
  <c r="D3237" i="12"/>
  <c r="C3237" i="12"/>
  <c r="B3237" i="12"/>
  <c r="A3237" i="12"/>
  <c r="G3236" i="12"/>
  <c r="F3236" i="12"/>
  <c r="E3236" i="12"/>
  <c r="D3236" i="12"/>
  <c r="C3236" i="12"/>
  <c r="B3236" i="12"/>
  <c r="A3236" i="12"/>
  <c r="G3235" i="12"/>
  <c r="E3235" i="12"/>
  <c r="D3235" i="12"/>
  <c r="C3235" i="12"/>
  <c r="B3235" i="12"/>
  <c r="A3235" i="12"/>
  <c r="G3234" i="12"/>
  <c r="E3234" i="12"/>
  <c r="D3234" i="12"/>
  <c r="C3234" i="12"/>
  <c r="B3234" i="12"/>
  <c r="A3234" i="12"/>
  <c r="G3233" i="12"/>
  <c r="F3233" i="12"/>
  <c r="E3233" i="12"/>
  <c r="D3233" i="12"/>
  <c r="C3233" i="12"/>
  <c r="B3233" i="12"/>
  <c r="A3233" i="12"/>
  <c r="E3232" i="12"/>
  <c r="D3232" i="12"/>
  <c r="C3232" i="12"/>
  <c r="B3232" i="12"/>
  <c r="A3232" i="12"/>
  <c r="G3231" i="12"/>
  <c r="E3231" i="12"/>
  <c r="D3231" i="12"/>
  <c r="C3231" i="12"/>
  <c r="B3231" i="12"/>
  <c r="A3231" i="12"/>
  <c r="G3230" i="12"/>
  <c r="E3230" i="12"/>
  <c r="D3230" i="12"/>
  <c r="C3230" i="12"/>
  <c r="B3230" i="12"/>
  <c r="A3230" i="12"/>
  <c r="G3229" i="12"/>
  <c r="F3229" i="12"/>
  <c r="E3229" i="12"/>
  <c r="D3229" i="12"/>
  <c r="C3229" i="12"/>
  <c r="B3229" i="12"/>
  <c r="A3229" i="12"/>
  <c r="G3228" i="12"/>
  <c r="E3228" i="12"/>
  <c r="D3228" i="12"/>
  <c r="C3228" i="12"/>
  <c r="B3228" i="12"/>
  <c r="A3228" i="12"/>
  <c r="G3227" i="12"/>
  <c r="E3227" i="12"/>
  <c r="D3227" i="12"/>
  <c r="C3227" i="12"/>
  <c r="B3227" i="12"/>
  <c r="A3227" i="12"/>
  <c r="G3226" i="12"/>
  <c r="E3226" i="12"/>
  <c r="D3226" i="12"/>
  <c r="C3226" i="12"/>
  <c r="B3226" i="12"/>
  <c r="A3226" i="12"/>
  <c r="G3225" i="12"/>
  <c r="F3225" i="12"/>
  <c r="E3225" i="12"/>
  <c r="D3225" i="12"/>
  <c r="C3225" i="12"/>
  <c r="B3225" i="12"/>
  <c r="A3225" i="12"/>
  <c r="G3224" i="12"/>
  <c r="E3224" i="12"/>
  <c r="D3224" i="12"/>
  <c r="C3224" i="12"/>
  <c r="B3224" i="12"/>
  <c r="A3224" i="12"/>
  <c r="G3223" i="12"/>
  <c r="F3223" i="12"/>
  <c r="E3223" i="12"/>
  <c r="D3223" i="12"/>
  <c r="C3223" i="12"/>
  <c r="B3223" i="12"/>
  <c r="A3223" i="12"/>
  <c r="G3222" i="12"/>
  <c r="E3222" i="12"/>
  <c r="D3222" i="12"/>
  <c r="C3222" i="12"/>
  <c r="B3222" i="12"/>
  <c r="A3222" i="12"/>
  <c r="G3221" i="12"/>
  <c r="E3221" i="12"/>
  <c r="D3221" i="12"/>
  <c r="C3221" i="12"/>
  <c r="B3221" i="12"/>
  <c r="A3221" i="12"/>
  <c r="G3220" i="12"/>
  <c r="E3220" i="12"/>
  <c r="D3220" i="12"/>
  <c r="C3220" i="12"/>
  <c r="B3220" i="12"/>
  <c r="A3220" i="12"/>
  <c r="G3219" i="12"/>
  <c r="E3219" i="12"/>
  <c r="D3219" i="12"/>
  <c r="C3219" i="12"/>
  <c r="B3219" i="12"/>
  <c r="A3219" i="12"/>
  <c r="G3218" i="12"/>
  <c r="E3218" i="12"/>
  <c r="D3218" i="12"/>
  <c r="C3218" i="12"/>
  <c r="B3218" i="12"/>
  <c r="A3218" i="12"/>
  <c r="G3217" i="12"/>
  <c r="E3217" i="12"/>
  <c r="D3217" i="12"/>
  <c r="C3217" i="12"/>
  <c r="B3217" i="12"/>
  <c r="A3217" i="12"/>
  <c r="G3216" i="12"/>
  <c r="E3216" i="12"/>
  <c r="D3216" i="12"/>
  <c r="C3216" i="12"/>
  <c r="B3216" i="12"/>
  <c r="A3216" i="12"/>
  <c r="G3215" i="12"/>
  <c r="E3215" i="12"/>
  <c r="D3215" i="12"/>
  <c r="C3215" i="12"/>
  <c r="B3215" i="12"/>
  <c r="A3215" i="12"/>
  <c r="G3214" i="12"/>
  <c r="E3214" i="12"/>
  <c r="D3214" i="12"/>
  <c r="C3214" i="12"/>
  <c r="B3214" i="12"/>
  <c r="A3214" i="12"/>
  <c r="G3213" i="12"/>
  <c r="E3213" i="12"/>
  <c r="D3213" i="12"/>
  <c r="C3213" i="12"/>
  <c r="B3213" i="12"/>
  <c r="A3213" i="12"/>
  <c r="G3212" i="12"/>
  <c r="E3212" i="12"/>
  <c r="D3212" i="12"/>
  <c r="C3212" i="12"/>
  <c r="B3212" i="12"/>
  <c r="A3212" i="12"/>
  <c r="G3211" i="12"/>
  <c r="E3211" i="12"/>
  <c r="D3211" i="12"/>
  <c r="C3211" i="12"/>
  <c r="B3211" i="12"/>
  <c r="A3211" i="12"/>
  <c r="G3210" i="12"/>
  <c r="E3210" i="12"/>
  <c r="D3210" i="12"/>
  <c r="C3210" i="12"/>
  <c r="B3210" i="12"/>
  <c r="A3210" i="12"/>
  <c r="G3209" i="12"/>
  <c r="E3209" i="12"/>
  <c r="D3209" i="12"/>
  <c r="C3209" i="12"/>
  <c r="B3209" i="12"/>
  <c r="A3209" i="12"/>
  <c r="E3208" i="12"/>
  <c r="D3208" i="12"/>
  <c r="C3208" i="12"/>
  <c r="B3208" i="12"/>
  <c r="A3208" i="12"/>
  <c r="E3207" i="12"/>
  <c r="D3207" i="12"/>
  <c r="C3207" i="12"/>
  <c r="B3207" i="12"/>
  <c r="A3207" i="12"/>
  <c r="E3206" i="12"/>
  <c r="D3206" i="12"/>
  <c r="C3206" i="12"/>
  <c r="B3206" i="12"/>
  <c r="A3206" i="12"/>
  <c r="G3205" i="12"/>
  <c r="E3205" i="12"/>
  <c r="D3205" i="12"/>
  <c r="C3205" i="12"/>
  <c r="B3205" i="12"/>
  <c r="A3205" i="12"/>
  <c r="G3204" i="12"/>
  <c r="E3204" i="12"/>
  <c r="D3204" i="12"/>
  <c r="C3204" i="12"/>
  <c r="B3204" i="12"/>
  <c r="A3204" i="12"/>
  <c r="E3203" i="12"/>
  <c r="D3203" i="12"/>
  <c r="C3203" i="12"/>
  <c r="B3203" i="12"/>
  <c r="A3203" i="12"/>
  <c r="E3202" i="12"/>
  <c r="D3202" i="12"/>
  <c r="C3202" i="12"/>
  <c r="B3202" i="12"/>
  <c r="A3202" i="12"/>
  <c r="E3201" i="12"/>
  <c r="D3201" i="12"/>
  <c r="C3201" i="12"/>
  <c r="B3201" i="12"/>
  <c r="A3201" i="12"/>
  <c r="E3200" i="12"/>
  <c r="D3200" i="12"/>
  <c r="C3200" i="12"/>
  <c r="B3200" i="12"/>
  <c r="A3200" i="12"/>
  <c r="G3199" i="12"/>
  <c r="E3199" i="12"/>
  <c r="D3199" i="12"/>
  <c r="C3199" i="12"/>
  <c r="B3199" i="12"/>
  <c r="A3199" i="12"/>
  <c r="E3198" i="12"/>
  <c r="D3198" i="12"/>
  <c r="C3198" i="12"/>
  <c r="B3198" i="12"/>
  <c r="A3198" i="12"/>
  <c r="E3197" i="12"/>
  <c r="D3197" i="12"/>
  <c r="C3197" i="12"/>
  <c r="B3197" i="12"/>
  <c r="A3197" i="12"/>
  <c r="G3196" i="12"/>
  <c r="E3196" i="12"/>
  <c r="D3196" i="12"/>
  <c r="C3196" i="12"/>
  <c r="B3196" i="12"/>
  <c r="A3196" i="12"/>
  <c r="E3195" i="12"/>
  <c r="D3195" i="12"/>
  <c r="C3195" i="12"/>
  <c r="B3195" i="12"/>
  <c r="A3195" i="12"/>
  <c r="E3194" i="12"/>
  <c r="D3194" i="12"/>
  <c r="C3194" i="12"/>
  <c r="B3194" i="12"/>
  <c r="A3194" i="12"/>
  <c r="E3193" i="12"/>
  <c r="D3193" i="12"/>
  <c r="C3193" i="12"/>
  <c r="B3193" i="12"/>
  <c r="A3193" i="12"/>
  <c r="E3192" i="12"/>
  <c r="D3192" i="12"/>
  <c r="C3192" i="12"/>
  <c r="B3192" i="12"/>
  <c r="A3192" i="12"/>
  <c r="E3191" i="12"/>
  <c r="D3191" i="12"/>
  <c r="C3191" i="12"/>
  <c r="B3191" i="12"/>
  <c r="A3191" i="12"/>
  <c r="E3190" i="12"/>
  <c r="D3190" i="12"/>
  <c r="C3190" i="12"/>
  <c r="B3190" i="12"/>
  <c r="A3190" i="12"/>
  <c r="E3189" i="12"/>
  <c r="D3189" i="12"/>
  <c r="C3189" i="12"/>
  <c r="B3189" i="12"/>
  <c r="A3189" i="12"/>
  <c r="G3188" i="12"/>
  <c r="E3188" i="12"/>
  <c r="D3188" i="12"/>
  <c r="C3188" i="12"/>
  <c r="B3188" i="12"/>
  <c r="A3188" i="12"/>
  <c r="E3187" i="12"/>
  <c r="D3187" i="12"/>
  <c r="C3187" i="12"/>
  <c r="B3187" i="12"/>
  <c r="A3187" i="12"/>
  <c r="E3186" i="12"/>
  <c r="D3186" i="12"/>
  <c r="C3186" i="12"/>
  <c r="B3186" i="12"/>
  <c r="A3186" i="12"/>
  <c r="G3185" i="12"/>
  <c r="E3185" i="12"/>
  <c r="D3185" i="12"/>
  <c r="C3185" i="12"/>
  <c r="B3185" i="12"/>
  <c r="A3185" i="12"/>
  <c r="E3184" i="12"/>
  <c r="D3184" i="12"/>
  <c r="C3184" i="12"/>
  <c r="B3184" i="12"/>
  <c r="A3184" i="12"/>
  <c r="F3183" i="12"/>
  <c r="E3183" i="12"/>
  <c r="D3183" i="12"/>
  <c r="C3183" i="12"/>
  <c r="B3183" i="12"/>
  <c r="A3183" i="12"/>
  <c r="G3182" i="12"/>
  <c r="E3182" i="12"/>
  <c r="D3182" i="12"/>
  <c r="C3182" i="12"/>
  <c r="B3182" i="12"/>
  <c r="A3182" i="12"/>
  <c r="E3181" i="12"/>
  <c r="D3181" i="12"/>
  <c r="C3181" i="12"/>
  <c r="B3181" i="12"/>
  <c r="A3181" i="12"/>
  <c r="F3180" i="12"/>
  <c r="E3180" i="12"/>
  <c r="D3180" i="12"/>
  <c r="C3180" i="12"/>
  <c r="B3180" i="12"/>
  <c r="A3180" i="12"/>
  <c r="G3179" i="12"/>
  <c r="E3179" i="12"/>
  <c r="D3179" i="12"/>
  <c r="C3179" i="12"/>
  <c r="B3179" i="12"/>
  <c r="A3179" i="12"/>
  <c r="G3178" i="12"/>
  <c r="E3178" i="12"/>
  <c r="D3178" i="12"/>
  <c r="C3178" i="12"/>
  <c r="B3178" i="12"/>
  <c r="A3178" i="12"/>
  <c r="E3177" i="12"/>
  <c r="D3177" i="12"/>
  <c r="C3177" i="12"/>
  <c r="B3177" i="12"/>
  <c r="A3177" i="12"/>
  <c r="E3176" i="12"/>
  <c r="D3176" i="12"/>
  <c r="C3176" i="12"/>
  <c r="B3176" i="12"/>
  <c r="A3176" i="12"/>
  <c r="G3175" i="12"/>
  <c r="F3175" i="12"/>
  <c r="E3175" i="12"/>
  <c r="D3175" i="12"/>
  <c r="C3175" i="12"/>
  <c r="B3175" i="12"/>
  <c r="A3175" i="12"/>
  <c r="E3174" i="12"/>
  <c r="D3174" i="12"/>
  <c r="C3174" i="12"/>
  <c r="B3174" i="12"/>
  <c r="A3174" i="12"/>
  <c r="E3173" i="12"/>
  <c r="D3173" i="12"/>
  <c r="C3173" i="12"/>
  <c r="B3173" i="12"/>
  <c r="A3173" i="12"/>
  <c r="E3172" i="12"/>
  <c r="D3172" i="12"/>
  <c r="C3172" i="12"/>
  <c r="B3172" i="12"/>
  <c r="A3172" i="12"/>
  <c r="G3171" i="12"/>
  <c r="E3171" i="12"/>
  <c r="D3171" i="12"/>
  <c r="C3171" i="12"/>
  <c r="B3171" i="12"/>
  <c r="A3171" i="12"/>
  <c r="E3170" i="12"/>
  <c r="D3170" i="12"/>
  <c r="C3170" i="12"/>
  <c r="B3170" i="12"/>
  <c r="A3170" i="12"/>
  <c r="E3169" i="12"/>
  <c r="D3169" i="12"/>
  <c r="C3169" i="12"/>
  <c r="B3169" i="12"/>
  <c r="A3169" i="12"/>
  <c r="F3168" i="12"/>
  <c r="E3168" i="12"/>
  <c r="D3168" i="12"/>
  <c r="C3168" i="12"/>
  <c r="B3168" i="12"/>
  <c r="A3168" i="12"/>
  <c r="G3167" i="12"/>
  <c r="E3167" i="12"/>
  <c r="D3167" i="12"/>
  <c r="C3167" i="12"/>
  <c r="B3167" i="12"/>
  <c r="A3167" i="12"/>
  <c r="E3166" i="12"/>
  <c r="D3166" i="12"/>
  <c r="C3166" i="12"/>
  <c r="B3166" i="12"/>
  <c r="A3166" i="12"/>
  <c r="G3165" i="12"/>
  <c r="E3165" i="12"/>
  <c r="D3165" i="12"/>
  <c r="C3165" i="12"/>
  <c r="B3165" i="12"/>
  <c r="A3165" i="12"/>
  <c r="G3164" i="12"/>
  <c r="E3164" i="12"/>
  <c r="D3164" i="12"/>
  <c r="C3164" i="12"/>
  <c r="B3164" i="12"/>
  <c r="A3164" i="12"/>
  <c r="E3163" i="12"/>
  <c r="D3163" i="12"/>
  <c r="C3163" i="12"/>
  <c r="B3163" i="12"/>
  <c r="A3163" i="12"/>
  <c r="G3162" i="12"/>
  <c r="E3162" i="12"/>
  <c r="D3162" i="12"/>
  <c r="C3162" i="12"/>
  <c r="B3162" i="12"/>
  <c r="A3162" i="12"/>
  <c r="G3161" i="12"/>
  <c r="E3161" i="12"/>
  <c r="D3161" i="12"/>
  <c r="C3161" i="12"/>
  <c r="B3161" i="12"/>
  <c r="A3161" i="12"/>
  <c r="G3160" i="12"/>
  <c r="E3160" i="12"/>
  <c r="D3160" i="12"/>
  <c r="C3160" i="12"/>
  <c r="B3160" i="12"/>
  <c r="A3160" i="12"/>
  <c r="E3159" i="12"/>
  <c r="D3159" i="12"/>
  <c r="C3159" i="12"/>
  <c r="B3159" i="12"/>
  <c r="A3159" i="12"/>
  <c r="G3158" i="12"/>
  <c r="E3158" i="12"/>
  <c r="D3158" i="12"/>
  <c r="C3158" i="12"/>
  <c r="B3158" i="12"/>
  <c r="A3158" i="12"/>
  <c r="G3157" i="12"/>
  <c r="E3157" i="12"/>
  <c r="D3157" i="12"/>
  <c r="C3157" i="12"/>
  <c r="A3157" i="12"/>
  <c r="E3156" i="12"/>
  <c r="D3156" i="12"/>
  <c r="C3156" i="12"/>
  <c r="B3156" i="12"/>
  <c r="A3156" i="12"/>
  <c r="F3155" i="12"/>
  <c r="E3155" i="12"/>
  <c r="D3155" i="12"/>
  <c r="C3155" i="12"/>
  <c r="B3155" i="12"/>
  <c r="A3155" i="12"/>
  <c r="E3154" i="12"/>
  <c r="D3154" i="12"/>
  <c r="C3154" i="12"/>
  <c r="B3154" i="12"/>
  <c r="A3154" i="12"/>
  <c r="G3153" i="12"/>
  <c r="E3153" i="12"/>
  <c r="D3153" i="12"/>
  <c r="C3153" i="12"/>
  <c r="B3153" i="12"/>
  <c r="A3153" i="12"/>
  <c r="G3152" i="12"/>
  <c r="E3152" i="12"/>
  <c r="D3152" i="12"/>
  <c r="C3152" i="12"/>
  <c r="B3152" i="12"/>
  <c r="A3152" i="12"/>
  <c r="G3151" i="12"/>
  <c r="E3151" i="12"/>
  <c r="D3151" i="12"/>
  <c r="C3151" i="12"/>
  <c r="B3151" i="12"/>
  <c r="A3151" i="12"/>
  <c r="G3150" i="12"/>
  <c r="E3150" i="12"/>
  <c r="D3150" i="12"/>
  <c r="C3150" i="12"/>
  <c r="B3150" i="12"/>
  <c r="A3150" i="12"/>
  <c r="G3149" i="12"/>
  <c r="E3149" i="12"/>
  <c r="D3149" i="12"/>
  <c r="C3149" i="12"/>
  <c r="B3149" i="12"/>
  <c r="A3149" i="12"/>
  <c r="F3148" i="12"/>
  <c r="E3148" i="12"/>
  <c r="D3148" i="12"/>
  <c r="C3148" i="12"/>
  <c r="B3148" i="12"/>
  <c r="A3148" i="12"/>
  <c r="E3147" i="12"/>
  <c r="D3147" i="12"/>
  <c r="C3147" i="12"/>
  <c r="B3147" i="12"/>
  <c r="A3147" i="12"/>
  <c r="F3146" i="12"/>
  <c r="E3146" i="12"/>
  <c r="D3146" i="12"/>
  <c r="C3146" i="12"/>
  <c r="B3146" i="12"/>
  <c r="A3146" i="12"/>
  <c r="E3145" i="12"/>
  <c r="D3145" i="12"/>
  <c r="C3145" i="12"/>
  <c r="B3145" i="12"/>
  <c r="A3145" i="12"/>
  <c r="E3144" i="12"/>
  <c r="D3144" i="12"/>
  <c r="C3144" i="12"/>
  <c r="B3144" i="12"/>
  <c r="A3144" i="12"/>
  <c r="G3143" i="12"/>
  <c r="E3143" i="12"/>
  <c r="D3143" i="12"/>
  <c r="C3143" i="12"/>
  <c r="B3143" i="12"/>
  <c r="A3143" i="12"/>
  <c r="E3142" i="12"/>
  <c r="D3142" i="12"/>
  <c r="C3142" i="12"/>
  <c r="B3142" i="12"/>
  <c r="A3142" i="12"/>
  <c r="E3141" i="12"/>
  <c r="D3141" i="12"/>
  <c r="C3141" i="12"/>
  <c r="B3141" i="12"/>
  <c r="A3141" i="12"/>
  <c r="E3140" i="12"/>
  <c r="D3140" i="12"/>
  <c r="C3140" i="12"/>
  <c r="B3140" i="12"/>
  <c r="A3140" i="12"/>
  <c r="F3139" i="12"/>
  <c r="E3139" i="12"/>
  <c r="D3139" i="12"/>
  <c r="C3139" i="12"/>
  <c r="B3139" i="12"/>
  <c r="A3139" i="12"/>
  <c r="G3138" i="12"/>
  <c r="E3138" i="12"/>
  <c r="D3138" i="12"/>
  <c r="C3138" i="12"/>
  <c r="B3138" i="12"/>
  <c r="A3138" i="12"/>
  <c r="G3137" i="12"/>
  <c r="E3137" i="12"/>
  <c r="D3137" i="12"/>
  <c r="C3137" i="12"/>
  <c r="B3137" i="12"/>
  <c r="A3137" i="12"/>
  <c r="E3136" i="12"/>
  <c r="D3136" i="12"/>
  <c r="C3136" i="12"/>
  <c r="B3136" i="12"/>
  <c r="A3136" i="12"/>
  <c r="G3135" i="12"/>
  <c r="E3135" i="12"/>
  <c r="D3135" i="12"/>
  <c r="C3135" i="12"/>
  <c r="B3135" i="12"/>
  <c r="A3135" i="12"/>
  <c r="E3134" i="12"/>
  <c r="D3134" i="12"/>
  <c r="C3134" i="12"/>
  <c r="B3134" i="12"/>
  <c r="A3134" i="12"/>
  <c r="E3133" i="12"/>
  <c r="D3133" i="12"/>
  <c r="C3133" i="12"/>
  <c r="B3133" i="12"/>
  <c r="A3133" i="12"/>
  <c r="E3132" i="12"/>
  <c r="D3132" i="12"/>
  <c r="C3132" i="12"/>
  <c r="B3132" i="12"/>
  <c r="A3132" i="12"/>
  <c r="G3131" i="12"/>
  <c r="F3131" i="12"/>
  <c r="E3131" i="12"/>
  <c r="D3131" i="12"/>
  <c r="C3131" i="12"/>
  <c r="B3131" i="12"/>
  <c r="A3131" i="12"/>
  <c r="F3130" i="12"/>
  <c r="E3130" i="12"/>
  <c r="D3130" i="12"/>
  <c r="C3130" i="12"/>
  <c r="B3130" i="12"/>
  <c r="A3130" i="12"/>
  <c r="E3129" i="12"/>
  <c r="D3129" i="12"/>
  <c r="C3129" i="12"/>
  <c r="B3129" i="12"/>
  <c r="A3129" i="12"/>
  <c r="E3128" i="12"/>
  <c r="D3128" i="12"/>
  <c r="C3128" i="12"/>
  <c r="B3128" i="12"/>
  <c r="A3128" i="12"/>
  <c r="G3127" i="12"/>
  <c r="F3127" i="12"/>
  <c r="E3127" i="12"/>
  <c r="D3127" i="12"/>
  <c r="C3127" i="12"/>
  <c r="B3127" i="12"/>
  <c r="A3127" i="12"/>
  <c r="E3126" i="12"/>
  <c r="D3126" i="12"/>
  <c r="C3126" i="12"/>
  <c r="B3126" i="12"/>
  <c r="A3126" i="12"/>
  <c r="E3125" i="12"/>
  <c r="D3125" i="12"/>
  <c r="C3125" i="12"/>
  <c r="B3125" i="12"/>
  <c r="A3125" i="12"/>
  <c r="G3124" i="12"/>
  <c r="E3124" i="12"/>
  <c r="D3124" i="12"/>
  <c r="C3124" i="12"/>
  <c r="B3124" i="12"/>
  <c r="A3124" i="12"/>
  <c r="G3123" i="12"/>
  <c r="E3123" i="12"/>
  <c r="D3123" i="12"/>
  <c r="C3123" i="12"/>
  <c r="B3123" i="12"/>
  <c r="A3123" i="12"/>
  <c r="E3122" i="12"/>
  <c r="D3122" i="12"/>
  <c r="C3122" i="12"/>
  <c r="B3122" i="12"/>
  <c r="A3122" i="12"/>
  <c r="E3121" i="12"/>
  <c r="D3121" i="12"/>
  <c r="C3121" i="12"/>
  <c r="B3121" i="12"/>
  <c r="A3121" i="12"/>
  <c r="E3120" i="12"/>
  <c r="D3120" i="12"/>
  <c r="C3120" i="12"/>
  <c r="B3120" i="12"/>
  <c r="A3120" i="12"/>
  <c r="E3119" i="12"/>
  <c r="D3119" i="12"/>
  <c r="C3119" i="12"/>
  <c r="B3119" i="12"/>
  <c r="A3119" i="12"/>
  <c r="G3118" i="12"/>
  <c r="E3118" i="12"/>
  <c r="D3118" i="12"/>
  <c r="C3118" i="12"/>
  <c r="B3118" i="12"/>
  <c r="A3118" i="12"/>
  <c r="E3117" i="12"/>
  <c r="D3117" i="12"/>
  <c r="C3117" i="12"/>
  <c r="B3117" i="12"/>
  <c r="A3117" i="12"/>
  <c r="G3116" i="12"/>
  <c r="F3116" i="12"/>
  <c r="E3116" i="12"/>
  <c r="D3116" i="12"/>
  <c r="C3116" i="12"/>
  <c r="B3116" i="12"/>
  <c r="A3116" i="12"/>
  <c r="E3115" i="12"/>
  <c r="D3115" i="12"/>
  <c r="C3115" i="12"/>
  <c r="B3115" i="12"/>
  <c r="A3115" i="12"/>
  <c r="E3114" i="12"/>
  <c r="D3114" i="12"/>
  <c r="C3114" i="12"/>
  <c r="B3114" i="12"/>
  <c r="A3114" i="12"/>
  <c r="F3113" i="12"/>
  <c r="E3113" i="12"/>
  <c r="D3113" i="12"/>
  <c r="C3113" i="12"/>
  <c r="B3113" i="12"/>
  <c r="A3113" i="12"/>
  <c r="E3112" i="12"/>
  <c r="D3112" i="12"/>
  <c r="C3112" i="12"/>
  <c r="B3112" i="12"/>
  <c r="A3112" i="12"/>
  <c r="F3111" i="12"/>
  <c r="E3111" i="12"/>
  <c r="D3111" i="12"/>
  <c r="C3111" i="12"/>
  <c r="B3111" i="12"/>
  <c r="A3111" i="12"/>
  <c r="E3110" i="12"/>
  <c r="D3110" i="12"/>
  <c r="C3110" i="12"/>
  <c r="B3110" i="12"/>
  <c r="A3110" i="12"/>
  <c r="F3109" i="12"/>
  <c r="E3109" i="12"/>
  <c r="D3109" i="12"/>
  <c r="C3109" i="12"/>
  <c r="B3109" i="12"/>
  <c r="A3109" i="12"/>
  <c r="G3108" i="12"/>
  <c r="F3108" i="12"/>
  <c r="E3108" i="12"/>
  <c r="D3108" i="12"/>
  <c r="C3108" i="12"/>
  <c r="B3108" i="12"/>
  <c r="A3108" i="12"/>
  <c r="G3107" i="12"/>
  <c r="F3107" i="12"/>
  <c r="E3107" i="12"/>
  <c r="D3107" i="12"/>
  <c r="C3107" i="12"/>
  <c r="B3107" i="12"/>
  <c r="A3107" i="12"/>
  <c r="G3106" i="12"/>
  <c r="E3106" i="12"/>
  <c r="D3106" i="12"/>
  <c r="C3106" i="12"/>
  <c r="B3106" i="12"/>
  <c r="A3106" i="12"/>
  <c r="F3105" i="12"/>
  <c r="E3105" i="12"/>
  <c r="D3105" i="12"/>
  <c r="C3105" i="12"/>
  <c r="B3105" i="12"/>
  <c r="A3105" i="12"/>
  <c r="F3104" i="12"/>
  <c r="E3104" i="12"/>
  <c r="D3104" i="12"/>
  <c r="C3104" i="12"/>
  <c r="B3104" i="12"/>
  <c r="A3104" i="12"/>
  <c r="E3103" i="12"/>
  <c r="D3103" i="12"/>
  <c r="C3103" i="12"/>
  <c r="B3103" i="12"/>
  <c r="A3103" i="12"/>
  <c r="F3102" i="12"/>
  <c r="E3102" i="12"/>
  <c r="D3102" i="12"/>
  <c r="C3102" i="12"/>
  <c r="B3102" i="12"/>
  <c r="A3102" i="12"/>
  <c r="G3101" i="12"/>
  <c r="E3101" i="12"/>
  <c r="D3101" i="12"/>
  <c r="C3101" i="12"/>
  <c r="B3101" i="12"/>
  <c r="A3101" i="12"/>
  <c r="G3100" i="12"/>
  <c r="F3100" i="12"/>
  <c r="E3100" i="12"/>
  <c r="D3100" i="12"/>
  <c r="C3100" i="12"/>
  <c r="B3100" i="12"/>
  <c r="A3100" i="12"/>
  <c r="E3099" i="12"/>
  <c r="D3099" i="12"/>
  <c r="C3099" i="12"/>
  <c r="B3099" i="12"/>
  <c r="A3099" i="12"/>
  <c r="F3098" i="12"/>
  <c r="E3098" i="12"/>
  <c r="D3098" i="12"/>
  <c r="C3098" i="12"/>
  <c r="B3098" i="12"/>
  <c r="A3098" i="12"/>
  <c r="G3097" i="12"/>
  <c r="E3097" i="12"/>
  <c r="D3097" i="12"/>
  <c r="C3097" i="12"/>
  <c r="B3097" i="12"/>
  <c r="A3097" i="12"/>
  <c r="F3096" i="12"/>
  <c r="E3096" i="12"/>
  <c r="D3096" i="12"/>
  <c r="C3096" i="12"/>
  <c r="B3096" i="12"/>
  <c r="A3096" i="12"/>
  <c r="E3095" i="12"/>
  <c r="D3095" i="12"/>
  <c r="C3095" i="12"/>
  <c r="B3095" i="12"/>
  <c r="A3095" i="12"/>
  <c r="G3094" i="12"/>
  <c r="F3094" i="12"/>
  <c r="E3094" i="12"/>
  <c r="D3094" i="12"/>
  <c r="C3094" i="12"/>
  <c r="B3094" i="12"/>
  <c r="A3094" i="12"/>
  <c r="E3093" i="12"/>
  <c r="D3093" i="12"/>
  <c r="C3093" i="12"/>
  <c r="B3093" i="12"/>
  <c r="A3093" i="12"/>
  <c r="G3092" i="12"/>
  <c r="F3092" i="12"/>
  <c r="E3092" i="12"/>
  <c r="D3092" i="12"/>
  <c r="C3092" i="12"/>
  <c r="B3092" i="12"/>
  <c r="A3092" i="12"/>
  <c r="G3091" i="12"/>
  <c r="F3091" i="12"/>
  <c r="E3091" i="12"/>
  <c r="D3091" i="12"/>
  <c r="C3091" i="12"/>
  <c r="B3091" i="12"/>
  <c r="A3091" i="12"/>
  <c r="G3090" i="12"/>
  <c r="F3090" i="12"/>
  <c r="E3090" i="12"/>
  <c r="D3090" i="12"/>
  <c r="C3090" i="12"/>
  <c r="B3090" i="12"/>
  <c r="A3090" i="12"/>
  <c r="F3089" i="12"/>
  <c r="E3089" i="12"/>
  <c r="D3089" i="12"/>
  <c r="C3089" i="12"/>
  <c r="B3089" i="12"/>
  <c r="A3089" i="12"/>
  <c r="F3088" i="12"/>
  <c r="E3088" i="12"/>
  <c r="D3088" i="12"/>
  <c r="C3088" i="12"/>
  <c r="B3088" i="12"/>
  <c r="A3088" i="12"/>
  <c r="G3087" i="12"/>
  <c r="E3087" i="12"/>
  <c r="D3087" i="12"/>
  <c r="C3087" i="12"/>
  <c r="B3087" i="12"/>
  <c r="A3087" i="12"/>
  <c r="F3086" i="12"/>
  <c r="E3086" i="12"/>
  <c r="D3086" i="12"/>
  <c r="C3086" i="12"/>
  <c r="B3086" i="12"/>
  <c r="A3086" i="12"/>
  <c r="F3085" i="12"/>
  <c r="E3085" i="12"/>
  <c r="D3085" i="12"/>
  <c r="C3085" i="12"/>
  <c r="B3085" i="12"/>
  <c r="A3085" i="12"/>
  <c r="G3084" i="12"/>
  <c r="E3084" i="12"/>
  <c r="D3084" i="12"/>
  <c r="C3084" i="12"/>
  <c r="B3084" i="12"/>
  <c r="A3084" i="12"/>
  <c r="E3083" i="12"/>
  <c r="D3083" i="12"/>
  <c r="C3083" i="12"/>
  <c r="B3083" i="12"/>
  <c r="A3083" i="12"/>
  <c r="E3082" i="12"/>
  <c r="D3082" i="12"/>
  <c r="C3082" i="12"/>
  <c r="B3082" i="12"/>
  <c r="A3082" i="12"/>
  <c r="F3081" i="12"/>
  <c r="E3081" i="12"/>
  <c r="D3081" i="12"/>
  <c r="C3081" i="12"/>
  <c r="B3081" i="12"/>
  <c r="A3081" i="12"/>
  <c r="E3080" i="12"/>
  <c r="D3080" i="12"/>
  <c r="C3080" i="12"/>
  <c r="B3080" i="12"/>
  <c r="A3080" i="12"/>
  <c r="G3079" i="12"/>
  <c r="E3079" i="12"/>
  <c r="D3079" i="12"/>
  <c r="C3079" i="12"/>
  <c r="B3079" i="12"/>
  <c r="A3079" i="12"/>
  <c r="G3078" i="12"/>
  <c r="F3078" i="12"/>
  <c r="E3078" i="12"/>
  <c r="D3078" i="12"/>
  <c r="C3078" i="12"/>
  <c r="B3078" i="12"/>
  <c r="A3078" i="12"/>
  <c r="E3077" i="12"/>
  <c r="D3077" i="12"/>
  <c r="C3077" i="12"/>
  <c r="B3077" i="12"/>
  <c r="A3077" i="12"/>
  <c r="G3076" i="12"/>
  <c r="F3076" i="12"/>
  <c r="E3076" i="12"/>
  <c r="D3076" i="12"/>
  <c r="C3076" i="12"/>
  <c r="B3076" i="12"/>
  <c r="A3076" i="12"/>
  <c r="E3075" i="12"/>
  <c r="D3075" i="12"/>
  <c r="C3075" i="12"/>
  <c r="B3075" i="12"/>
  <c r="A3075" i="12"/>
  <c r="E3074" i="12"/>
  <c r="D3074" i="12"/>
  <c r="C3074" i="12"/>
  <c r="B3074" i="12"/>
  <c r="A3074" i="12"/>
  <c r="E3073" i="12"/>
  <c r="D3073" i="12"/>
  <c r="C3073" i="12"/>
  <c r="B3073" i="12"/>
  <c r="A3073" i="12"/>
  <c r="G3072" i="12"/>
  <c r="E3072" i="12"/>
  <c r="D3072" i="12"/>
  <c r="C3072" i="12"/>
  <c r="B3072" i="12"/>
  <c r="A3072" i="12"/>
  <c r="G3071" i="12"/>
  <c r="F3071" i="12"/>
  <c r="E3071" i="12"/>
  <c r="D3071" i="12"/>
  <c r="C3071" i="12"/>
  <c r="B3071" i="12"/>
  <c r="A3071" i="12"/>
  <c r="E3070" i="12"/>
  <c r="D3070" i="12"/>
  <c r="C3070" i="12"/>
  <c r="B3070" i="12"/>
  <c r="A3070" i="12"/>
  <c r="F3069" i="12"/>
  <c r="E3069" i="12"/>
  <c r="D3069" i="12"/>
  <c r="C3069" i="12"/>
  <c r="B3069" i="12"/>
  <c r="A3069" i="12"/>
  <c r="E3068" i="12"/>
  <c r="D3068" i="12"/>
  <c r="C3068" i="12"/>
  <c r="B3068" i="12"/>
  <c r="A3068" i="12"/>
  <c r="F3067" i="12"/>
  <c r="E3067" i="12"/>
  <c r="D3067" i="12"/>
  <c r="C3067" i="12"/>
  <c r="B3067" i="12"/>
  <c r="A3067" i="12"/>
  <c r="G3066" i="12"/>
  <c r="E3066" i="12"/>
  <c r="D3066" i="12"/>
  <c r="C3066" i="12"/>
  <c r="B3066" i="12"/>
  <c r="A3066" i="12"/>
  <c r="G3065" i="12"/>
  <c r="E3065" i="12"/>
  <c r="D3065" i="12"/>
  <c r="C3065" i="12"/>
  <c r="B3065" i="12"/>
  <c r="A3065" i="12"/>
  <c r="E3064" i="12"/>
  <c r="D3064" i="12"/>
  <c r="C3064" i="12"/>
  <c r="B3064" i="12"/>
  <c r="A3064" i="12"/>
  <c r="E3063" i="12"/>
  <c r="D3063" i="12"/>
  <c r="C3063" i="12"/>
  <c r="B3063" i="12"/>
  <c r="A3063" i="12"/>
  <c r="G3062" i="12"/>
  <c r="F3062" i="12"/>
  <c r="E3062" i="12"/>
  <c r="D3062" i="12"/>
  <c r="C3062" i="12"/>
  <c r="B3062" i="12"/>
  <c r="A3062" i="12"/>
  <c r="E3061" i="12"/>
  <c r="D3061" i="12"/>
  <c r="C3061" i="12"/>
  <c r="B3061" i="12"/>
  <c r="A3061" i="12"/>
  <c r="E3060" i="12"/>
  <c r="D3060" i="12"/>
  <c r="C3060" i="12"/>
  <c r="B3060" i="12"/>
  <c r="A3060" i="12"/>
  <c r="G3059" i="12"/>
  <c r="E3059" i="12"/>
  <c r="D3059" i="12"/>
  <c r="C3059" i="12"/>
  <c r="B3059" i="12"/>
  <c r="A3059" i="12"/>
  <c r="F3058" i="12"/>
  <c r="E3058" i="12"/>
  <c r="D3058" i="12"/>
  <c r="C3058" i="12"/>
  <c r="B3058" i="12"/>
  <c r="A3058" i="12"/>
  <c r="G3057" i="12"/>
  <c r="F3057" i="12"/>
  <c r="E3057" i="12"/>
  <c r="D3057" i="12"/>
  <c r="C3057" i="12"/>
  <c r="B3057" i="12"/>
  <c r="A3057" i="12"/>
  <c r="G3056" i="12"/>
  <c r="E3056" i="12"/>
  <c r="D3056" i="12"/>
  <c r="C3056" i="12"/>
  <c r="B3056" i="12"/>
  <c r="A3056" i="12"/>
  <c r="E3055" i="12"/>
  <c r="D3055" i="12"/>
  <c r="C3055" i="12"/>
  <c r="B3055" i="12"/>
  <c r="A3055" i="12"/>
  <c r="G3054" i="12"/>
  <c r="F3054" i="12"/>
  <c r="E3054" i="12"/>
  <c r="D3054" i="12"/>
  <c r="C3054" i="12"/>
  <c r="B3054" i="12"/>
  <c r="A3054" i="12"/>
  <c r="G3053" i="12"/>
  <c r="E3053" i="12"/>
  <c r="D3053" i="12"/>
  <c r="C3053" i="12"/>
  <c r="B3053" i="12"/>
  <c r="A3053" i="12"/>
  <c r="G3052" i="12"/>
  <c r="E3052" i="12"/>
  <c r="D3052" i="12"/>
  <c r="C3052" i="12"/>
  <c r="B3052" i="12"/>
  <c r="A3052" i="12"/>
  <c r="E3051" i="12"/>
  <c r="D3051" i="12"/>
  <c r="C3051" i="12"/>
  <c r="B3051" i="12"/>
  <c r="A3051" i="12"/>
  <c r="G3050" i="12"/>
  <c r="E3050" i="12"/>
  <c r="D3050" i="12"/>
  <c r="C3050" i="12"/>
  <c r="B3050" i="12"/>
  <c r="A3050" i="12"/>
  <c r="F3049" i="12"/>
  <c r="E3049" i="12"/>
  <c r="D3049" i="12"/>
  <c r="C3049" i="12"/>
  <c r="B3049" i="12"/>
  <c r="A3049" i="12"/>
  <c r="G3048" i="12"/>
  <c r="E3048" i="12"/>
  <c r="D3048" i="12"/>
  <c r="C3048" i="12"/>
  <c r="B3048" i="12"/>
  <c r="A3048" i="12"/>
  <c r="F3047" i="12"/>
  <c r="E3047" i="12"/>
  <c r="D3047" i="12"/>
  <c r="C3047" i="12"/>
  <c r="B3047" i="12"/>
  <c r="A3047" i="12"/>
  <c r="G3046" i="12"/>
  <c r="E3046" i="12"/>
  <c r="D3046" i="12"/>
  <c r="C3046" i="12"/>
  <c r="B3046" i="12"/>
  <c r="A3046" i="12"/>
  <c r="G3045" i="12"/>
  <c r="E3045" i="12"/>
  <c r="D3045" i="12"/>
  <c r="C3045" i="12"/>
  <c r="B3045" i="12"/>
  <c r="A3045" i="12"/>
  <c r="F3044" i="12"/>
  <c r="E3044" i="12"/>
  <c r="D3044" i="12"/>
  <c r="C3044" i="12"/>
  <c r="B3044" i="12"/>
  <c r="A3044" i="12"/>
  <c r="E3043" i="12"/>
  <c r="D3043" i="12"/>
  <c r="C3043" i="12"/>
  <c r="B3043" i="12"/>
  <c r="A3043" i="12"/>
  <c r="G3042" i="12"/>
  <c r="E3042" i="12"/>
  <c r="D3042" i="12"/>
  <c r="C3042" i="12"/>
  <c r="B3042" i="12"/>
  <c r="A3042" i="12"/>
  <c r="F3041" i="12"/>
  <c r="E3041" i="12"/>
  <c r="D3041" i="12"/>
  <c r="C3041" i="12"/>
  <c r="B3041" i="12"/>
  <c r="A3041" i="12"/>
  <c r="G3040" i="12"/>
  <c r="F3040" i="12"/>
  <c r="E3040" i="12"/>
  <c r="D3040" i="12"/>
  <c r="C3040" i="12"/>
  <c r="B3040" i="12"/>
  <c r="A3040" i="12"/>
  <c r="G3039" i="12"/>
  <c r="E3039" i="12"/>
  <c r="D3039" i="12"/>
  <c r="C3039" i="12"/>
  <c r="B3039" i="12"/>
  <c r="A3039" i="12"/>
  <c r="G3038" i="12"/>
  <c r="F3038" i="12"/>
  <c r="E3038" i="12"/>
  <c r="D3038" i="12"/>
  <c r="C3038" i="12"/>
  <c r="B3038" i="12"/>
  <c r="A3038" i="12"/>
  <c r="G3037" i="12"/>
  <c r="F3037" i="12"/>
  <c r="E3037" i="12"/>
  <c r="D3037" i="12"/>
  <c r="C3037" i="12"/>
  <c r="B3037" i="12"/>
  <c r="A3037" i="12"/>
  <c r="G3036" i="12"/>
  <c r="E3036" i="12"/>
  <c r="D3036" i="12"/>
  <c r="C3036" i="12"/>
  <c r="B3036" i="12"/>
  <c r="A3036" i="12"/>
  <c r="F3035" i="12"/>
  <c r="E3035" i="12"/>
  <c r="D3035" i="12"/>
  <c r="C3035" i="12"/>
  <c r="B3035" i="12"/>
  <c r="A3035" i="12"/>
  <c r="G3034" i="12"/>
  <c r="E3034" i="12"/>
  <c r="D3034" i="12"/>
  <c r="C3034" i="12"/>
  <c r="B3034" i="12"/>
  <c r="A3034" i="12"/>
  <c r="F3033" i="12"/>
  <c r="E3033" i="12"/>
  <c r="D3033" i="12"/>
  <c r="C3033" i="12"/>
  <c r="B3033" i="12"/>
  <c r="A3033" i="12"/>
  <c r="G3032" i="12"/>
  <c r="E3032" i="12"/>
  <c r="D3032" i="12"/>
  <c r="C3032" i="12"/>
  <c r="B3032" i="12"/>
  <c r="A3032" i="12"/>
  <c r="G3031" i="12"/>
  <c r="F3031" i="12"/>
  <c r="E3031" i="12"/>
  <c r="D3031" i="12"/>
  <c r="C3031" i="12"/>
  <c r="B3031" i="12"/>
  <c r="A3031" i="12"/>
  <c r="E3030" i="12"/>
  <c r="D3030" i="12"/>
  <c r="C3030" i="12"/>
  <c r="B3030" i="12"/>
  <c r="A3030" i="12"/>
  <c r="G3029" i="12"/>
  <c r="E3029" i="12"/>
  <c r="D3029" i="12"/>
  <c r="C3029" i="12"/>
  <c r="B3029" i="12"/>
  <c r="A3029" i="12"/>
  <c r="G3028" i="12"/>
  <c r="E3028" i="12"/>
  <c r="D3028" i="12"/>
  <c r="C3028" i="12"/>
  <c r="B3028" i="12"/>
  <c r="A3028" i="12"/>
  <c r="E3027" i="12"/>
  <c r="D3027" i="12"/>
  <c r="C3027" i="12"/>
  <c r="B3027" i="12"/>
  <c r="A3027" i="12"/>
  <c r="E3026" i="12"/>
  <c r="D3026" i="12"/>
  <c r="C3026" i="12"/>
  <c r="B3026" i="12"/>
  <c r="A3026" i="12"/>
  <c r="E3025" i="12"/>
  <c r="D3025" i="12"/>
  <c r="C3025" i="12"/>
  <c r="B3025" i="12"/>
  <c r="A3025" i="12"/>
  <c r="E3024" i="12"/>
  <c r="D3024" i="12"/>
  <c r="C3024" i="12"/>
  <c r="B3024" i="12"/>
  <c r="A3024" i="12"/>
  <c r="G3023" i="12"/>
  <c r="E3023" i="12"/>
  <c r="D3023" i="12"/>
  <c r="C3023" i="12"/>
  <c r="B3023" i="12"/>
  <c r="A3023" i="12"/>
  <c r="E3022" i="12"/>
  <c r="D3022" i="12"/>
  <c r="C3022" i="12"/>
  <c r="B3022" i="12"/>
  <c r="A3022" i="12"/>
  <c r="G3021" i="12"/>
  <c r="E3021" i="12"/>
  <c r="D3021" i="12"/>
  <c r="C3021" i="12"/>
  <c r="B3021" i="12"/>
  <c r="A3021" i="12"/>
  <c r="E3020" i="12"/>
  <c r="D3020" i="12"/>
  <c r="C3020" i="12"/>
  <c r="B3020" i="12"/>
  <c r="A3020" i="12"/>
  <c r="G3019" i="12"/>
  <c r="E3019" i="12"/>
  <c r="D3019" i="12"/>
  <c r="C3019" i="12"/>
  <c r="B3019" i="12"/>
  <c r="A3019" i="12"/>
  <c r="E3018" i="12"/>
  <c r="D3018" i="12"/>
  <c r="C3018" i="12"/>
  <c r="B3018" i="12"/>
  <c r="A3018" i="12"/>
  <c r="E3017" i="12"/>
  <c r="D3017" i="12"/>
  <c r="C3017" i="12"/>
  <c r="B3017" i="12"/>
  <c r="A3017" i="12"/>
  <c r="E3016" i="12"/>
  <c r="D3016" i="12"/>
  <c r="C3016" i="12"/>
  <c r="B3016" i="12"/>
  <c r="A3016" i="12"/>
  <c r="G3015" i="12"/>
  <c r="E3015" i="12"/>
  <c r="D3015" i="12"/>
  <c r="C3015" i="12"/>
  <c r="B3015" i="12"/>
  <c r="A3015" i="12"/>
  <c r="E3014" i="12"/>
  <c r="D3014" i="12"/>
  <c r="C3014" i="12"/>
  <c r="B3014" i="12"/>
  <c r="A3014" i="12"/>
  <c r="E3013" i="12"/>
  <c r="D3013" i="12"/>
  <c r="C3013" i="12"/>
  <c r="B3013" i="12"/>
  <c r="A3013" i="12"/>
  <c r="E3012" i="12"/>
  <c r="D3012" i="12"/>
  <c r="C3012" i="12"/>
  <c r="B3012" i="12"/>
  <c r="A3012" i="12"/>
  <c r="E3011" i="12"/>
  <c r="D3011" i="12"/>
  <c r="C3011" i="12"/>
  <c r="B3011" i="12"/>
  <c r="A3011" i="12"/>
  <c r="E3010" i="12"/>
  <c r="D3010" i="12"/>
  <c r="C3010" i="12"/>
  <c r="B3010" i="12"/>
  <c r="A3010" i="12"/>
  <c r="E3009" i="12"/>
  <c r="D3009" i="12"/>
  <c r="C3009" i="12"/>
  <c r="B3009" i="12"/>
  <c r="A3009" i="12"/>
  <c r="E3008" i="12"/>
  <c r="D3008" i="12"/>
  <c r="C3008" i="12"/>
  <c r="B3008" i="12"/>
  <c r="A3008" i="12"/>
  <c r="E3007" i="12"/>
  <c r="D3007" i="12"/>
  <c r="C3007" i="12"/>
  <c r="B3007" i="12"/>
  <c r="A3007" i="12"/>
  <c r="F3006" i="12"/>
  <c r="E3006" i="12"/>
  <c r="D3006" i="12"/>
  <c r="C3006" i="12"/>
  <c r="B3006" i="12"/>
  <c r="A3006" i="12"/>
  <c r="E3005" i="12"/>
  <c r="D3005" i="12"/>
  <c r="C3005" i="12"/>
  <c r="B3005" i="12"/>
  <c r="A3005" i="12"/>
  <c r="F3004" i="12"/>
  <c r="E3004" i="12"/>
  <c r="D3004" i="12"/>
  <c r="C3004" i="12"/>
  <c r="B3004" i="12"/>
  <c r="A3004" i="12"/>
  <c r="E3003" i="12"/>
  <c r="D3003" i="12"/>
  <c r="C3003" i="12"/>
  <c r="B3003" i="12"/>
  <c r="A3003" i="12"/>
  <c r="E3002" i="12"/>
  <c r="D3002" i="12"/>
  <c r="C3002" i="12"/>
  <c r="B3002" i="12"/>
  <c r="A3002" i="12"/>
  <c r="E3001" i="12"/>
  <c r="D3001" i="12"/>
  <c r="C3001" i="12"/>
  <c r="B3001" i="12"/>
  <c r="A3001" i="12"/>
  <c r="E3000" i="12"/>
  <c r="D3000" i="12"/>
  <c r="C3000" i="12"/>
  <c r="B3000" i="12"/>
  <c r="A3000" i="12"/>
  <c r="E2999" i="12"/>
  <c r="D2999" i="12"/>
  <c r="C2999" i="12"/>
  <c r="B2999" i="12"/>
  <c r="A2999" i="12"/>
  <c r="F2998" i="12"/>
  <c r="E2998" i="12"/>
  <c r="D2998" i="12"/>
  <c r="C2998" i="12"/>
  <c r="B2998" i="12"/>
  <c r="A2998" i="12"/>
  <c r="E2997" i="12"/>
  <c r="D2997" i="12"/>
  <c r="C2997" i="12"/>
  <c r="B2997" i="12"/>
  <c r="A2997" i="12"/>
  <c r="E2996" i="12"/>
  <c r="D2996" i="12"/>
  <c r="C2996" i="12"/>
  <c r="B2996" i="12"/>
  <c r="A2996" i="12"/>
  <c r="E2995" i="12"/>
  <c r="D2995" i="12"/>
  <c r="C2995" i="12"/>
  <c r="B2995" i="12"/>
  <c r="A2995" i="12"/>
  <c r="E2994" i="12"/>
  <c r="D2994" i="12"/>
  <c r="C2994" i="12"/>
  <c r="B2994" i="12"/>
  <c r="A2994" i="12"/>
  <c r="G2993" i="12"/>
  <c r="E2993" i="12"/>
  <c r="D2993" i="12"/>
  <c r="C2993" i="12"/>
  <c r="B2993" i="12"/>
  <c r="A2993" i="12"/>
  <c r="E2992" i="12"/>
  <c r="D2992" i="12"/>
  <c r="C2992" i="12"/>
  <c r="B2992" i="12"/>
  <c r="A2992" i="12"/>
  <c r="E2991" i="12"/>
  <c r="D2991" i="12"/>
  <c r="C2991" i="12"/>
  <c r="B2991" i="12"/>
  <c r="A2991" i="12"/>
  <c r="G2990" i="12"/>
  <c r="E2990" i="12"/>
  <c r="D2990" i="12"/>
  <c r="C2990" i="12"/>
  <c r="B2990" i="12"/>
  <c r="A2990" i="12"/>
  <c r="G2989" i="12"/>
  <c r="E2989" i="12"/>
  <c r="D2989" i="12"/>
  <c r="C2989" i="12"/>
  <c r="B2989" i="12"/>
  <c r="A2989" i="12"/>
  <c r="G2988" i="12"/>
  <c r="E2988" i="12"/>
  <c r="D2988" i="12"/>
  <c r="C2988" i="12"/>
  <c r="B2988" i="12"/>
  <c r="A2988" i="12"/>
  <c r="E2987" i="12"/>
  <c r="D2987" i="12"/>
  <c r="C2987" i="12"/>
  <c r="B2987" i="12"/>
  <c r="A2987" i="12"/>
  <c r="E2986" i="12"/>
  <c r="D2986" i="12"/>
  <c r="C2986" i="12"/>
  <c r="B2986" i="12"/>
  <c r="A2986" i="12"/>
  <c r="G2985" i="12"/>
  <c r="F2985" i="12"/>
  <c r="E2985" i="12"/>
  <c r="D2985" i="12"/>
  <c r="C2985" i="12"/>
  <c r="B2985" i="12"/>
  <c r="A2985" i="12"/>
  <c r="E2984" i="12"/>
  <c r="D2984" i="12"/>
  <c r="C2984" i="12"/>
  <c r="B2984" i="12"/>
  <c r="A2984" i="12"/>
  <c r="G2983" i="12"/>
  <c r="E2983" i="12"/>
  <c r="D2983" i="12"/>
  <c r="C2983" i="12"/>
  <c r="B2983" i="12"/>
  <c r="A2983" i="12"/>
  <c r="G2982" i="12"/>
  <c r="E2982" i="12"/>
  <c r="D2982" i="12"/>
  <c r="C2982" i="12"/>
  <c r="B2982" i="12"/>
  <c r="A2982" i="12"/>
  <c r="E2981" i="12"/>
  <c r="D2981" i="12"/>
  <c r="C2981" i="12"/>
  <c r="B2981" i="12"/>
  <c r="A2981" i="12"/>
  <c r="E2980" i="12"/>
  <c r="D2980" i="12"/>
  <c r="C2980" i="12"/>
  <c r="B2980" i="12"/>
  <c r="A2980" i="12"/>
  <c r="G2979" i="12"/>
  <c r="F2979" i="12"/>
  <c r="E2979" i="12"/>
  <c r="D2979" i="12"/>
  <c r="C2979" i="12"/>
  <c r="B2979" i="12"/>
  <c r="A2979" i="12"/>
  <c r="G2978" i="12"/>
  <c r="E2978" i="12"/>
  <c r="D2978" i="12"/>
  <c r="C2978" i="12"/>
  <c r="B2978" i="12"/>
  <c r="A2978" i="12"/>
  <c r="E2977" i="12"/>
  <c r="D2977" i="12"/>
  <c r="C2977" i="12"/>
  <c r="B2977" i="12"/>
  <c r="A2977" i="12"/>
  <c r="E2976" i="12"/>
  <c r="D2976" i="12"/>
  <c r="C2976" i="12"/>
  <c r="B2976" i="12"/>
  <c r="A2976" i="12"/>
  <c r="E2975" i="12"/>
  <c r="D2975" i="12"/>
  <c r="C2975" i="12"/>
  <c r="B2975" i="12"/>
  <c r="A2975" i="12"/>
  <c r="E2974" i="12"/>
  <c r="D2974" i="12"/>
  <c r="C2974" i="12"/>
  <c r="B2974" i="12"/>
  <c r="A2974" i="12"/>
  <c r="E2973" i="12"/>
  <c r="D2973" i="12"/>
  <c r="C2973" i="12"/>
  <c r="B2973" i="12"/>
  <c r="A2973" i="12"/>
  <c r="G2972" i="12"/>
  <c r="E2972" i="12"/>
  <c r="D2972" i="12"/>
  <c r="C2972" i="12"/>
  <c r="B2972" i="12"/>
  <c r="A2972" i="12"/>
  <c r="F2971" i="12"/>
  <c r="E2971" i="12"/>
  <c r="D2971" i="12"/>
  <c r="C2971" i="12"/>
  <c r="B2971" i="12"/>
  <c r="A2971" i="12"/>
  <c r="G2970" i="12"/>
  <c r="F2970" i="12"/>
  <c r="E2970" i="12"/>
  <c r="D2970" i="12"/>
  <c r="C2970" i="12"/>
  <c r="B2970" i="12"/>
  <c r="A2970" i="12"/>
  <c r="G2969" i="12"/>
  <c r="F2969" i="12"/>
  <c r="E2969" i="12"/>
  <c r="D2969" i="12"/>
  <c r="C2969" i="12"/>
  <c r="B2969" i="12"/>
  <c r="A2969" i="12"/>
  <c r="G2968" i="12"/>
  <c r="E2968" i="12"/>
  <c r="D2968" i="12"/>
  <c r="C2968" i="12"/>
  <c r="B2968" i="12"/>
  <c r="A2968" i="12"/>
  <c r="G2967" i="12"/>
  <c r="F2967" i="12"/>
  <c r="E2967" i="12"/>
  <c r="D2967" i="12"/>
  <c r="C2967" i="12"/>
  <c r="B2967" i="12"/>
  <c r="A2967" i="12"/>
  <c r="G2966" i="12"/>
  <c r="F2966" i="12"/>
  <c r="E2966" i="12"/>
  <c r="D2966" i="12"/>
  <c r="C2966" i="12"/>
  <c r="B2966" i="12"/>
  <c r="A2966" i="12"/>
  <c r="G2965" i="12"/>
  <c r="F2965" i="12"/>
  <c r="E2965" i="12"/>
  <c r="D2965" i="12"/>
  <c r="C2965" i="12"/>
  <c r="B2965" i="12"/>
  <c r="A2965" i="12"/>
  <c r="E2964" i="12"/>
  <c r="D2964" i="12"/>
  <c r="C2964" i="12"/>
  <c r="B2964" i="12"/>
  <c r="A2964" i="12"/>
  <c r="G2963" i="12"/>
  <c r="F2963" i="12"/>
  <c r="E2963" i="12"/>
  <c r="D2963" i="12"/>
  <c r="C2963" i="12"/>
  <c r="B2963" i="12"/>
  <c r="A2963" i="12"/>
  <c r="G2962" i="12"/>
  <c r="F2962" i="12"/>
  <c r="E2962" i="12"/>
  <c r="D2962" i="12"/>
  <c r="C2962" i="12"/>
  <c r="B2962" i="12"/>
  <c r="A2962" i="12"/>
  <c r="G2961" i="12"/>
  <c r="F2961" i="12"/>
  <c r="E2961" i="12"/>
  <c r="D2961" i="12"/>
  <c r="C2961" i="12"/>
  <c r="B2961" i="12"/>
  <c r="A2961" i="12"/>
  <c r="F2960" i="12"/>
  <c r="E2960" i="12"/>
  <c r="D2960" i="12"/>
  <c r="C2960" i="12"/>
  <c r="B2960" i="12"/>
  <c r="A2960" i="12"/>
  <c r="G2959" i="12"/>
  <c r="F2959" i="12"/>
  <c r="E2959" i="12"/>
  <c r="D2959" i="12"/>
  <c r="C2959" i="12"/>
  <c r="B2959" i="12"/>
  <c r="A2959" i="12"/>
  <c r="G2958" i="12"/>
  <c r="F2958" i="12"/>
  <c r="E2958" i="12"/>
  <c r="D2958" i="12"/>
  <c r="C2958" i="12"/>
  <c r="B2958" i="12"/>
  <c r="A2958" i="12"/>
  <c r="F2957" i="12"/>
  <c r="E2957" i="12"/>
  <c r="D2957" i="12"/>
  <c r="C2957" i="12"/>
  <c r="B2957" i="12"/>
  <c r="A2957" i="12"/>
  <c r="G2956" i="12"/>
  <c r="F2956" i="12"/>
  <c r="E2956" i="12"/>
  <c r="D2956" i="12"/>
  <c r="C2956" i="12"/>
  <c r="B2956" i="12"/>
  <c r="A2956" i="12"/>
  <c r="F2955" i="12"/>
  <c r="E2955" i="12"/>
  <c r="D2955" i="12"/>
  <c r="C2955" i="12"/>
  <c r="B2955" i="12"/>
  <c r="A2955" i="12"/>
  <c r="G2954" i="12"/>
  <c r="F2954" i="12"/>
  <c r="E2954" i="12"/>
  <c r="D2954" i="12"/>
  <c r="C2954" i="12"/>
  <c r="B2954" i="12"/>
  <c r="A2954" i="12"/>
  <c r="G2953" i="12"/>
  <c r="F2953" i="12"/>
  <c r="E2953" i="12"/>
  <c r="D2953" i="12"/>
  <c r="C2953" i="12"/>
  <c r="B2953" i="12"/>
  <c r="A2953" i="12"/>
  <c r="G2952" i="12"/>
  <c r="F2952" i="12"/>
  <c r="E2952" i="12"/>
  <c r="D2952" i="12"/>
  <c r="C2952" i="12"/>
  <c r="B2952" i="12"/>
  <c r="A2952" i="12"/>
  <c r="F2951" i="12"/>
  <c r="E2951" i="12"/>
  <c r="D2951" i="12"/>
  <c r="C2951" i="12"/>
  <c r="B2951" i="12"/>
  <c r="A2951" i="12"/>
  <c r="G2950" i="12"/>
  <c r="F2950" i="12"/>
  <c r="E2950" i="12"/>
  <c r="D2950" i="12"/>
  <c r="C2950" i="12"/>
  <c r="B2950" i="12"/>
  <c r="A2950" i="12"/>
  <c r="G2949" i="12"/>
  <c r="F2949" i="12"/>
  <c r="E2949" i="12"/>
  <c r="D2949" i="12"/>
  <c r="C2949" i="12"/>
  <c r="B2949" i="12"/>
  <c r="A2949" i="12"/>
  <c r="G2948" i="12"/>
  <c r="E2948" i="12"/>
  <c r="D2948" i="12"/>
  <c r="C2948" i="12"/>
  <c r="B2948" i="12"/>
  <c r="A2948" i="12"/>
  <c r="G2947" i="12"/>
  <c r="F2947" i="12"/>
  <c r="E2947" i="12"/>
  <c r="D2947" i="12"/>
  <c r="C2947" i="12"/>
  <c r="B2947" i="12"/>
  <c r="A2947" i="12"/>
  <c r="G2946" i="12"/>
  <c r="F2946" i="12"/>
  <c r="E2946" i="12"/>
  <c r="D2946" i="12"/>
  <c r="C2946" i="12"/>
  <c r="B2946" i="12"/>
  <c r="A2946" i="12"/>
  <c r="G2945" i="12"/>
  <c r="E2945" i="12"/>
  <c r="D2945" i="12"/>
  <c r="C2945" i="12"/>
  <c r="B2945" i="12"/>
  <c r="A2945" i="12"/>
  <c r="G2944" i="12"/>
  <c r="E2944" i="12"/>
  <c r="D2944" i="12"/>
  <c r="C2944" i="12"/>
  <c r="B2944" i="12"/>
  <c r="A2944" i="12"/>
  <c r="G2943" i="12"/>
  <c r="E2943" i="12"/>
  <c r="D2943" i="12"/>
  <c r="C2943" i="12"/>
  <c r="B2943" i="12"/>
  <c r="A2943" i="12"/>
  <c r="E2942" i="12"/>
  <c r="D2942" i="12"/>
  <c r="C2942" i="12"/>
  <c r="B2942" i="12"/>
  <c r="A2942" i="12"/>
  <c r="E2941" i="12"/>
  <c r="D2941" i="12"/>
  <c r="C2941" i="12"/>
  <c r="B2941" i="12"/>
  <c r="A2941" i="12"/>
  <c r="G2940" i="12"/>
  <c r="E2940" i="12"/>
  <c r="D2940" i="12"/>
  <c r="C2940" i="12"/>
  <c r="B2940" i="12"/>
  <c r="A2940" i="12"/>
  <c r="G2939" i="12"/>
  <c r="E2939" i="12"/>
  <c r="D2939" i="12"/>
  <c r="C2939" i="12"/>
  <c r="B2939" i="12"/>
  <c r="A2939" i="12"/>
  <c r="G2938" i="12"/>
  <c r="E2938" i="12"/>
  <c r="D2938" i="12"/>
  <c r="C2938" i="12"/>
  <c r="B2938" i="12"/>
  <c r="A2938" i="12"/>
  <c r="G2937" i="12"/>
  <c r="E2937" i="12"/>
  <c r="D2937" i="12"/>
  <c r="C2937" i="12"/>
  <c r="B2937" i="12"/>
  <c r="A2937" i="12"/>
  <c r="G2936" i="12"/>
  <c r="E2936" i="12"/>
  <c r="D2936" i="12"/>
  <c r="C2936" i="12"/>
  <c r="B2936" i="12"/>
  <c r="A2936" i="12"/>
  <c r="G2935" i="12"/>
  <c r="E2935" i="12"/>
  <c r="D2935" i="12"/>
  <c r="C2935" i="12"/>
  <c r="B2935" i="12"/>
  <c r="A2935" i="12"/>
  <c r="G2934" i="12"/>
  <c r="E2934" i="12"/>
  <c r="D2934" i="12"/>
  <c r="C2934" i="12"/>
  <c r="B2934" i="12"/>
  <c r="A2934" i="12"/>
  <c r="G2933" i="12"/>
  <c r="E2933" i="12"/>
  <c r="D2933" i="12"/>
  <c r="C2933" i="12"/>
  <c r="B2933" i="12"/>
  <c r="A2933" i="12"/>
  <c r="G2932" i="12"/>
  <c r="E2932" i="12"/>
  <c r="D2932" i="12"/>
  <c r="C2932" i="12"/>
  <c r="B2932" i="12"/>
  <c r="A2932" i="12"/>
  <c r="G2931" i="12"/>
  <c r="E2931" i="12"/>
  <c r="D2931" i="12"/>
  <c r="C2931" i="12"/>
  <c r="B2931" i="12"/>
  <c r="A2931" i="12"/>
  <c r="G2930" i="12"/>
  <c r="E2930" i="12"/>
  <c r="D2930" i="12"/>
  <c r="C2930" i="12"/>
  <c r="B2930" i="12"/>
  <c r="A2930" i="12"/>
  <c r="G2929" i="12"/>
  <c r="E2929" i="12"/>
  <c r="D2929" i="12"/>
  <c r="C2929" i="12"/>
  <c r="B2929" i="12"/>
  <c r="A2929" i="12"/>
  <c r="G2928" i="12"/>
  <c r="E2928" i="12"/>
  <c r="D2928" i="12"/>
  <c r="C2928" i="12"/>
  <c r="B2928" i="12"/>
  <c r="A2928" i="12"/>
  <c r="E2927" i="12"/>
  <c r="D2927" i="12"/>
  <c r="C2927" i="12"/>
  <c r="B2927" i="12"/>
  <c r="A2927" i="12"/>
  <c r="E2926" i="12"/>
  <c r="D2926" i="12"/>
  <c r="C2926" i="12"/>
  <c r="B2926" i="12"/>
  <c r="A2926" i="12"/>
  <c r="E2925" i="12"/>
  <c r="D2925" i="12"/>
  <c r="C2925" i="12"/>
  <c r="B2925" i="12"/>
  <c r="A2925" i="12"/>
  <c r="G2924" i="12"/>
  <c r="E2924" i="12"/>
  <c r="D2924" i="12"/>
  <c r="C2924" i="12"/>
  <c r="B2924" i="12"/>
  <c r="A2924" i="12"/>
  <c r="E2923" i="12"/>
  <c r="D2923" i="12"/>
  <c r="C2923" i="12"/>
  <c r="B2923" i="12"/>
  <c r="A2923" i="12"/>
  <c r="G2922" i="12"/>
  <c r="E2922" i="12"/>
  <c r="D2922" i="12"/>
  <c r="C2922" i="12"/>
  <c r="B2922" i="12"/>
  <c r="A2922" i="12"/>
  <c r="E2921" i="12"/>
  <c r="D2921" i="12"/>
  <c r="C2921" i="12"/>
  <c r="B2921" i="12"/>
  <c r="A2921" i="12"/>
  <c r="G2920" i="12"/>
  <c r="E2920" i="12"/>
  <c r="D2920" i="12"/>
  <c r="C2920" i="12"/>
  <c r="B2920" i="12"/>
  <c r="A2920" i="12"/>
  <c r="G2919" i="12"/>
  <c r="E2919" i="12"/>
  <c r="D2919" i="12"/>
  <c r="C2919" i="12"/>
  <c r="B2919" i="12"/>
  <c r="A2919" i="12"/>
  <c r="G2918" i="12"/>
  <c r="E2918" i="12"/>
  <c r="D2918" i="12"/>
  <c r="C2918" i="12"/>
  <c r="B2918" i="12"/>
  <c r="A2918" i="12"/>
  <c r="G2917" i="12"/>
  <c r="E2917" i="12"/>
  <c r="D2917" i="12"/>
  <c r="C2917" i="12"/>
  <c r="B2917" i="12"/>
  <c r="A2917" i="12"/>
  <c r="G2916" i="12"/>
  <c r="E2916" i="12"/>
  <c r="D2916" i="12"/>
  <c r="C2916" i="12"/>
  <c r="B2916" i="12"/>
  <c r="A2916" i="12"/>
  <c r="E2915" i="12"/>
  <c r="D2915" i="12"/>
  <c r="C2915" i="12"/>
  <c r="B2915" i="12"/>
  <c r="A2915" i="12"/>
  <c r="G2914" i="12"/>
  <c r="E2914" i="12"/>
  <c r="D2914" i="12"/>
  <c r="C2914" i="12"/>
  <c r="B2914" i="12"/>
  <c r="A2914" i="12"/>
  <c r="E2913" i="12"/>
  <c r="D2913" i="12"/>
  <c r="C2913" i="12"/>
  <c r="B2913" i="12"/>
  <c r="A2913" i="12"/>
  <c r="G2912" i="12"/>
  <c r="E2912" i="12"/>
  <c r="D2912" i="12"/>
  <c r="C2912" i="12"/>
  <c r="B2912" i="12"/>
  <c r="A2912" i="12"/>
  <c r="G2911" i="12"/>
  <c r="E2911" i="12"/>
  <c r="D2911" i="12"/>
  <c r="C2911" i="12"/>
  <c r="B2911" i="12"/>
  <c r="A2911" i="12"/>
  <c r="F2910" i="12"/>
  <c r="E2910" i="12"/>
  <c r="D2910" i="12"/>
  <c r="C2910" i="12"/>
  <c r="B2910" i="12"/>
  <c r="A2910" i="12"/>
  <c r="E2909" i="12"/>
  <c r="D2909" i="12"/>
  <c r="C2909" i="12"/>
  <c r="B2909" i="12"/>
  <c r="A2909" i="12"/>
  <c r="G2908" i="12"/>
  <c r="E2908" i="12"/>
  <c r="D2908" i="12"/>
  <c r="C2908" i="12"/>
  <c r="B2908" i="12"/>
  <c r="A2908" i="12"/>
  <c r="G2907" i="12"/>
  <c r="F2907" i="12"/>
  <c r="E2907" i="12"/>
  <c r="D2907" i="12"/>
  <c r="C2907" i="12"/>
  <c r="B2907" i="12"/>
  <c r="A2907" i="12"/>
  <c r="G2906" i="12"/>
  <c r="E2906" i="12"/>
  <c r="D2906" i="12"/>
  <c r="C2906" i="12"/>
  <c r="B2906" i="12"/>
  <c r="A2906" i="12"/>
  <c r="E2905" i="12"/>
  <c r="D2905" i="12"/>
  <c r="C2905" i="12"/>
  <c r="B2905" i="12"/>
  <c r="A2905" i="12"/>
  <c r="E2904" i="12"/>
  <c r="D2904" i="12"/>
  <c r="C2904" i="12"/>
  <c r="B2904" i="12"/>
  <c r="A2904" i="12"/>
  <c r="E2903" i="12"/>
  <c r="D2903" i="12"/>
  <c r="C2903" i="12"/>
  <c r="B2903" i="12"/>
  <c r="A2903" i="12"/>
  <c r="G2902" i="12"/>
  <c r="F2902" i="12"/>
  <c r="E2902" i="12"/>
  <c r="D2902" i="12"/>
  <c r="C2902" i="12"/>
  <c r="B2902" i="12"/>
  <c r="A2902" i="12"/>
  <c r="G2901" i="12"/>
  <c r="F2901" i="12"/>
  <c r="E2901" i="12"/>
  <c r="D2901" i="12"/>
  <c r="C2901" i="12"/>
  <c r="B2901" i="12"/>
  <c r="A2901" i="12"/>
  <c r="E2900" i="12"/>
  <c r="D2900" i="12"/>
  <c r="C2900" i="12"/>
  <c r="B2900" i="12"/>
  <c r="A2900" i="12"/>
  <c r="G2899" i="12"/>
  <c r="E2899" i="12"/>
  <c r="D2899" i="12"/>
  <c r="C2899" i="12"/>
  <c r="B2899" i="12"/>
  <c r="A2899" i="12"/>
  <c r="G2898" i="12"/>
  <c r="F2898" i="12"/>
  <c r="E2898" i="12"/>
  <c r="D2898" i="12"/>
  <c r="C2898" i="12"/>
  <c r="B2898" i="12"/>
  <c r="A2898" i="12"/>
  <c r="G2897" i="12"/>
  <c r="F2897" i="12"/>
  <c r="E2897" i="12"/>
  <c r="D2897" i="12"/>
  <c r="C2897" i="12"/>
  <c r="B2897" i="12"/>
  <c r="A2897" i="12"/>
  <c r="E2896" i="12"/>
  <c r="D2896" i="12"/>
  <c r="C2896" i="12"/>
  <c r="B2896" i="12"/>
  <c r="A2896" i="12"/>
  <c r="G2895" i="12"/>
  <c r="E2895" i="12"/>
  <c r="D2895" i="12"/>
  <c r="C2895" i="12"/>
  <c r="B2895" i="12"/>
  <c r="A2895" i="12"/>
  <c r="E2894" i="12"/>
  <c r="D2894" i="12"/>
  <c r="C2894" i="12"/>
  <c r="B2894" i="12"/>
  <c r="A2894" i="12"/>
  <c r="G2893" i="12"/>
  <c r="F2893" i="12"/>
  <c r="E2893" i="12"/>
  <c r="D2893" i="12"/>
  <c r="C2893" i="12"/>
  <c r="B2893" i="12"/>
  <c r="A2893" i="12"/>
  <c r="G2892" i="12"/>
  <c r="F2892" i="12"/>
  <c r="E2892" i="12"/>
  <c r="D2892" i="12"/>
  <c r="C2892" i="12"/>
  <c r="B2892" i="12"/>
  <c r="A2892" i="12"/>
  <c r="G2891" i="12"/>
  <c r="E2891" i="12"/>
  <c r="D2891" i="12"/>
  <c r="C2891" i="12"/>
  <c r="B2891" i="12"/>
  <c r="A2891" i="12"/>
  <c r="G2890" i="12"/>
  <c r="F2890" i="12"/>
  <c r="E2890" i="12"/>
  <c r="D2890" i="12"/>
  <c r="C2890" i="12"/>
  <c r="B2890" i="12"/>
  <c r="A2890" i="12"/>
  <c r="G2889" i="12"/>
  <c r="E2889" i="12"/>
  <c r="D2889" i="12"/>
  <c r="C2889" i="12"/>
  <c r="B2889" i="12"/>
  <c r="A2889" i="12"/>
  <c r="E2888" i="12"/>
  <c r="D2888" i="12"/>
  <c r="C2888" i="12"/>
  <c r="B2888" i="12"/>
  <c r="A2888" i="12"/>
  <c r="G2887" i="12"/>
  <c r="F2887" i="12"/>
  <c r="E2887" i="12"/>
  <c r="D2887" i="12"/>
  <c r="C2887" i="12"/>
  <c r="B2887" i="12"/>
  <c r="A2887" i="12"/>
  <c r="G2886" i="12"/>
  <c r="E2886" i="12"/>
  <c r="D2886" i="12"/>
  <c r="C2886" i="12"/>
  <c r="B2886" i="12"/>
  <c r="A2886" i="12"/>
  <c r="E2885" i="12"/>
  <c r="D2885" i="12"/>
  <c r="C2885" i="12"/>
  <c r="B2885" i="12"/>
  <c r="A2885" i="12"/>
  <c r="G2884" i="12"/>
  <c r="E2884" i="12"/>
  <c r="D2884" i="12"/>
  <c r="C2884" i="12"/>
  <c r="B2884" i="12"/>
  <c r="A2884" i="12"/>
  <c r="G2883" i="12"/>
  <c r="F2883" i="12"/>
  <c r="E2883" i="12"/>
  <c r="D2883" i="12"/>
  <c r="C2883" i="12"/>
  <c r="B2883" i="12"/>
  <c r="A2883" i="12"/>
  <c r="G2882" i="12"/>
  <c r="E2882" i="12"/>
  <c r="D2882" i="12"/>
  <c r="C2882" i="12"/>
  <c r="B2882" i="12"/>
  <c r="A2882" i="12"/>
  <c r="G2881" i="12"/>
  <c r="E2881" i="12"/>
  <c r="D2881" i="12"/>
  <c r="C2881" i="12"/>
  <c r="B2881" i="12"/>
  <c r="A2881" i="12"/>
  <c r="G2880" i="12"/>
  <c r="E2880" i="12"/>
  <c r="D2880" i="12"/>
  <c r="C2880" i="12"/>
  <c r="B2880" i="12"/>
  <c r="A2880" i="12"/>
  <c r="G2879" i="12"/>
  <c r="E2879" i="12"/>
  <c r="D2879" i="12"/>
  <c r="C2879" i="12"/>
  <c r="B2879" i="12"/>
  <c r="A2879" i="12"/>
  <c r="G2878" i="12"/>
  <c r="F2878" i="12"/>
  <c r="E2878" i="12"/>
  <c r="D2878" i="12"/>
  <c r="C2878" i="12"/>
  <c r="B2878" i="12"/>
  <c r="A2878" i="12"/>
  <c r="G2877" i="12"/>
  <c r="F2877" i="12"/>
  <c r="E2877" i="12"/>
  <c r="D2877" i="12"/>
  <c r="C2877" i="12"/>
  <c r="B2877" i="12"/>
  <c r="A2877" i="12"/>
  <c r="E2876" i="12"/>
  <c r="D2876" i="12"/>
  <c r="C2876" i="12"/>
  <c r="B2876" i="12"/>
  <c r="A2876" i="12"/>
  <c r="F2875" i="12"/>
  <c r="E2875" i="12"/>
  <c r="D2875" i="12"/>
  <c r="C2875" i="12"/>
  <c r="B2875" i="12"/>
  <c r="A2875" i="12"/>
  <c r="G2874" i="12"/>
  <c r="F2874" i="12"/>
  <c r="E2874" i="12"/>
  <c r="D2874" i="12"/>
  <c r="C2874" i="12"/>
  <c r="B2874" i="12"/>
  <c r="A2874" i="12"/>
  <c r="E2873" i="12"/>
  <c r="D2873" i="12"/>
  <c r="C2873" i="12"/>
  <c r="B2873" i="12"/>
  <c r="A2873" i="12"/>
  <c r="G2872" i="12"/>
  <c r="E2872" i="12"/>
  <c r="D2872" i="12"/>
  <c r="C2872" i="12"/>
  <c r="B2872" i="12"/>
  <c r="A2872" i="12"/>
  <c r="G2871" i="12"/>
  <c r="E2871" i="12"/>
  <c r="D2871" i="12"/>
  <c r="C2871" i="12"/>
  <c r="B2871" i="12"/>
  <c r="A2871" i="12"/>
  <c r="G2870" i="12"/>
  <c r="F2870" i="12"/>
  <c r="E2870" i="12"/>
  <c r="D2870" i="12"/>
  <c r="C2870" i="12"/>
  <c r="B2870" i="12"/>
  <c r="A2870" i="12"/>
  <c r="G2869" i="12"/>
  <c r="F2869" i="12"/>
  <c r="E2869" i="12"/>
  <c r="D2869" i="12"/>
  <c r="C2869" i="12"/>
  <c r="B2869" i="12"/>
  <c r="A2869" i="12"/>
  <c r="G2868" i="12"/>
  <c r="F2868" i="12"/>
  <c r="E2868" i="12"/>
  <c r="D2868" i="12"/>
  <c r="C2868" i="12"/>
  <c r="B2868" i="12"/>
  <c r="A2868" i="12"/>
  <c r="G2867" i="12"/>
  <c r="E2867" i="12"/>
  <c r="D2867" i="12"/>
  <c r="C2867" i="12"/>
  <c r="B2867" i="12"/>
  <c r="A2867" i="12"/>
  <c r="G2866" i="12"/>
  <c r="F2866" i="12"/>
  <c r="E2866" i="12"/>
  <c r="D2866" i="12"/>
  <c r="C2866" i="12"/>
  <c r="B2866" i="12"/>
  <c r="A2866" i="12"/>
  <c r="G2865" i="12"/>
  <c r="F2865" i="12"/>
  <c r="E2865" i="12"/>
  <c r="D2865" i="12"/>
  <c r="C2865" i="12"/>
  <c r="B2865" i="12"/>
  <c r="A2865" i="12"/>
  <c r="E2864" i="12"/>
  <c r="D2864" i="12"/>
  <c r="C2864" i="12"/>
  <c r="B2864" i="12"/>
  <c r="A2864" i="12"/>
  <c r="G2863" i="12"/>
  <c r="E2863" i="12"/>
  <c r="D2863" i="12"/>
  <c r="C2863" i="12"/>
  <c r="B2863" i="12"/>
  <c r="A2863" i="12"/>
  <c r="G2862" i="12"/>
  <c r="E2862" i="12"/>
  <c r="D2862" i="12"/>
  <c r="C2862" i="12"/>
  <c r="B2862" i="12"/>
  <c r="A2862" i="12"/>
  <c r="G2861" i="12"/>
  <c r="E2861" i="12"/>
  <c r="D2861" i="12"/>
  <c r="C2861" i="12"/>
  <c r="B2861" i="12"/>
  <c r="A2861" i="12"/>
  <c r="G2860" i="12"/>
  <c r="E2860" i="12"/>
  <c r="D2860" i="12"/>
  <c r="C2860" i="12"/>
  <c r="B2860" i="12"/>
  <c r="A2860" i="12"/>
  <c r="G2859" i="12"/>
  <c r="E2859" i="12"/>
  <c r="D2859" i="12"/>
  <c r="C2859" i="12"/>
  <c r="B2859" i="12"/>
  <c r="A2859" i="12"/>
  <c r="G2858" i="12"/>
  <c r="E2858" i="12"/>
  <c r="D2858" i="12"/>
  <c r="C2858" i="12"/>
  <c r="B2858" i="12"/>
  <c r="A2858" i="12"/>
  <c r="G2857" i="12"/>
  <c r="F2857" i="12"/>
  <c r="E2857" i="12"/>
  <c r="D2857" i="12"/>
  <c r="C2857" i="12"/>
  <c r="B2857" i="12"/>
  <c r="A2857" i="12"/>
  <c r="G2856" i="12"/>
  <c r="E2856" i="12"/>
  <c r="D2856" i="12"/>
  <c r="C2856" i="12"/>
  <c r="B2856" i="12"/>
  <c r="A2856" i="12"/>
  <c r="G2855" i="12"/>
  <c r="F2855" i="12"/>
  <c r="E2855" i="12"/>
  <c r="D2855" i="12"/>
  <c r="C2855" i="12"/>
  <c r="B2855" i="12"/>
  <c r="A2855" i="12"/>
  <c r="G2854" i="12"/>
  <c r="E2854" i="12"/>
  <c r="D2854" i="12"/>
  <c r="C2854" i="12"/>
  <c r="B2854" i="12"/>
  <c r="A2854" i="12"/>
  <c r="G2853" i="12"/>
  <c r="E2853" i="12"/>
  <c r="D2853" i="12"/>
  <c r="C2853" i="12"/>
  <c r="B2853" i="12"/>
  <c r="A2853" i="12"/>
  <c r="G2852" i="12"/>
  <c r="F2852" i="12"/>
  <c r="E2852" i="12"/>
  <c r="D2852" i="12"/>
  <c r="C2852" i="12"/>
  <c r="B2852" i="12"/>
  <c r="A2852" i="12"/>
  <c r="G2851" i="12"/>
  <c r="E2851" i="12"/>
  <c r="D2851" i="12"/>
  <c r="C2851" i="12"/>
  <c r="B2851" i="12"/>
  <c r="A2851" i="12"/>
  <c r="E2850" i="12"/>
  <c r="D2850" i="12"/>
  <c r="C2850" i="12"/>
  <c r="B2850" i="12"/>
  <c r="A2850" i="12"/>
  <c r="G2849" i="12"/>
  <c r="F2849" i="12"/>
  <c r="E2849" i="12"/>
  <c r="D2849" i="12"/>
  <c r="C2849" i="12"/>
  <c r="B2849" i="12"/>
  <c r="A2849" i="12"/>
  <c r="F2848" i="12"/>
  <c r="E2848" i="12"/>
  <c r="D2848" i="12"/>
  <c r="C2848" i="12"/>
  <c r="B2848" i="12"/>
  <c r="A2848" i="12"/>
  <c r="F2847" i="12"/>
  <c r="E2847" i="12"/>
  <c r="D2847" i="12"/>
  <c r="C2847" i="12"/>
  <c r="B2847" i="12"/>
  <c r="A2847" i="12"/>
  <c r="G2846" i="12"/>
  <c r="E2846" i="12"/>
  <c r="D2846" i="12"/>
  <c r="C2846" i="12"/>
  <c r="B2846" i="12"/>
  <c r="A2846" i="12"/>
  <c r="G2845" i="12"/>
  <c r="E2845" i="12"/>
  <c r="D2845" i="12"/>
  <c r="C2845" i="12"/>
  <c r="B2845" i="12"/>
  <c r="A2845" i="12"/>
  <c r="G2844" i="12"/>
  <c r="F2844" i="12"/>
  <c r="E2844" i="12"/>
  <c r="D2844" i="12"/>
  <c r="C2844" i="12"/>
  <c r="B2844" i="12"/>
  <c r="A2844" i="12"/>
  <c r="G2843" i="12"/>
  <c r="E2843" i="12"/>
  <c r="D2843" i="12"/>
  <c r="C2843" i="12"/>
  <c r="B2843" i="12"/>
  <c r="A2843" i="12"/>
  <c r="G2842" i="12"/>
  <c r="E2842" i="12"/>
  <c r="D2842" i="12"/>
  <c r="C2842" i="12"/>
  <c r="B2842" i="12"/>
  <c r="A2842" i="12"/>
  <c r="G2841" i="12"/>
  <c r="E2841" i="12"/>
  <c r="D2841" i="12"/>
  <c r="C2841" i="12"/>
  <c r="B2841" i="12"/>
  <c r="A2841" i="12"/>
  <c r="G2840" i="12"/>
  <c r="E2840" i="12"/>
  <c r="D2840" i="12"/>
  <c r="C2840" i="12"/>
  <c r="B2840" i="12"/>
  <c r="A2840" i="12"/>
  <c r="G2839" i="12"/>
  <c r="E2839" i="12"/>
  <c r="D2839" i="12"/>
  <c r="C2839" i="12"/>
  <c r="B2839" i="12"/>
  <c r="A2839" i="12"/>
  <c r="G2838" i="12"/>
  <c r="E2838" i="12"/>
  <c r="D2838" i="12"/>
  <c r="C2838" i="12"/>
  <c r="B2838" i="12"/>
  <c r="A2838" i="12"/>
  <c r="G2837" i="12"/>
  <c r="E2837" i="12"/>
  <c r="D2837" i="12"/>
  <c r="C2837" i="12"/>
  <c r="B2837" i="12"/>
  <c r="A2837" i="12"/>
  <c r="E2836" i="12"/>
  <c r="D2836" i="12"/>
  <c r="C2836" i="12"/>
  <c r="B2836" i="12"/>
  <c r="A2836" i="12"/>
  <c r="G2835" i="12"/>
  <c r="E2835" i="12"/>
  <c r="D2835" i="12"/>
  <c r="C2835" i="12"/>
  <c r="B2835" i="12"/>
  <c r="A2835" i="12"/>
  <c r="G2834" i="12"/>
  <c r="E2834" i="12"/>
  <c r="D2834" i="12"/>
  <c r="C2834" i="12"/>
  <c r="B2834" i="12"/>
  <c r="A2834" i="12"/>
  <c r="G2833" i="12"/>
  <c r="E2833" i="12"/>
  <c r="D2833" i="12"/>
  <c r="C2833" i="12"/>
  <c r="B2833" i="12"/>
  <c r="A2833" i="12"/>
  <c r="G2832" i="12"/>
  <c r="E2832" i="12"/>
  <c r="D2832" i="12"/>
  <c r="C2832" i="12"/>
  <c r="B2832" i="12"/>
  <c r="A2832" i="12"/>
  <c r="G2831" i="12"/>
  <c r="F2831" i="12"/>
  <c r="E2831" i="12"/>
  <c r="D2831" i="12"/>
  <c r="C2831" i="12"/>
  <c r="B2831" i="12"/>
  <c r="A2831" i="12"/>
  <c r="G2830" i="12"/>
  <c r="E2830" i="12"/>
  <c r="D2830" i="12"/>
  <c r="C2830" i="12"/>
  <c r="B2830" i="12"/>
  <c r="A2830" i="12"/>
  <c r="E2829" i="12"/>
  <c r="D2829" i="12"/>
  <c r="C2829" i="12"/>
  <c r="B2829" i="12"/>
  <c r="A2829" i="12"/>
  <c r="E2828" i="12"/>
  <c r="D2828" i="12"/>
  <c r="C2828" i="12"/>
  <c r="B2828" i="12"/>
  <c r="A2828" i="12"/>
  <c r="G2827" i="12"/>
  <c r="E2827" i="12"/>
  <c r="D2827" i="12"/>
  <c r="C2827" i="12"/>
  <c r="B2827" i="12"/>
  <c r="A2827" i="12"/>
  <c r="G2826" i="12"/>
  <c r="F2826" i="12"/>
  <c r="E2826" i="12"/>
  <c r="D2826" i="12"/>
  <c r="C2826" i="12"/>
  <c r="B2826" i="12"/>
  <c r="A2826" i="12"/>
  <c r="G2825" i="12"/>
  <c r="F2825" i="12"/>
  <c r="E2825" i="12"/>
  <c r="D2825" i="12"/>
  <c r="C2825" i="12"/>
  <c r="B2825" i="12"/>
  <c r="A2825" i="12"/>
  <c r="G2824" i="12"/>
  <c r="F2824" i="12"/>
  <c r="E2824" i="12"/>
  <c r="D2824" i="12"/>
  <c r="C2824" i="12"/>
  <c r="B2824" i="12"/>
  <c r="A2824" i="12"/>
  <c r="G2823" i="12"/>
  <c r="F2823" i="12"/>
  <c r="E2823" i="12"/>
  <c r="D2823" i="12"/>
  <c r="C2823" i="12"/>
  <c r="B2823" i="12"/>
  <c r="A2823" i="12"/>
  <c r="G2822" i="12"/>
  <c r="F2822" i="12"/>
  <c r="E2822" i="12"/>
  <c r="D2822" i="12"/>
  <c r="C2822" i="12"/>
  <c r="B2822" i="12"/>
  <c r="A2822" i="12"/>
  <c r="G2821" i="12"/>
  <c r="F2821" i="12"/>
  <c r="E2821" i="12"/>
  <c r="D2821" i="12"/>
  <c r="C2821" i="12"/>
  <c r="B2821" i="12"/>
  <c r="A2821" i="12"/>
  <c r="G2820" i="12"/>
  <c r="F2820" i="12"/>
  <c r="E2820" i="12"/>
  <c r="D2820" i="12"/>
  <c r="C2820" i="12"/>
  <c r="B2820" i="12"/>
  <c r="A2820" i="12"/>
  <c r="G2819" i="12"/>
  <c r="F2819" i="12"/>
  <c r="E2819" i="12"/>
  <c r="D2819" i="12"/>
  <c r="C2819" i="12"/>
  <c r="B2819" i="12"/>
  <c r="A2819" i="12"/>
  <c r="G2818" i="12"/>
  <c r="F2818" i="12"/>
  <c r="E2818" i="12"/>
  <c r="D2818" i="12"/>
  <c r="C2818" i="12"/>
  <c r="B2818" i="12"/>
  <c r="A2818" i="12"/>
  <c r="G2817" i="12"/>
  <c r="F2817" i="12"/>
  <c r="E2817" i="12"/>
  <c r="D2817" i="12"/>
  <c r="C2817" i="12"/>
  <c r="B2817" i="12"/>
  <c r="A2817" i="12"/>
  <c r="G2816" i="12"/>
  <c r="E2816" i="12"/>
  <c r="D2816" i="12"/>
  <c r="C2816" i="12"/>
  <c r="B2816" i="12"/>
  <c r="A2816" i="12"/>
  <c r="G2815" i="12"/>
  <c r="F2815" i="12"/>
  <c r="E2815" i="12"/>
  <c r="D2815" i="12"/>
  <c r="C2815" i="12"/>
  <c r="B2815" i="12"/>
  <c r="A2815" i="12"/>
  <c r="G2814" i="12"/>
  <c r="E2814" i="12"/>
  <c r="D2814" i="12"/>
  <c r="C2814" i="12"/>
  <c r="B2814" i="12"/>
  <c r="A2814" i="12"/>
  <c r="G2813" i="12"/>
  <c r="E2813" i="12"/>
  <c r="D2813" i="12"/>
  <c r="C2813" i="12"/>
  <c r="B2813" i="12"/>
  <c r="A2813" i="12"/>
  <c r="G2812" i="12"/>
  <c r="E2812" i="12"/>
  <c r="D2812" i="12"/>
  <c r="C2812" i="12"/>
  <c r="B2812" i="12"/>
  <c r="A2812" i="12"/>
  <c r="G2811" i="12"/>
  <c r="E2811" i="12"/>
  <c r="D2811" i="12"/>
  <c r="C2811" i="12"/>
  <c r="B2811" i="12"/>
  <c r="A2811" i="12"/>
  <c r="G2810" i="12"/>
  <c r="F2810" i="12"/>
  <c r="E2810" i="12"/>
  <c r="D2810" i="12"/>
  <c r="C2810" i="12"/>
  <c r="B2810" i="12"/>
  <c r="A2810" i="12"/>
  <c r="G2809" i="12"/>
  <c r="E2809" i="12"/>
  <c r="D2809" i="12"/>
  <c r="C2809" i="12"/>
  <c r="B2809" i="12"/>
  <c r="A2809" i="12"/>
  <c r="G2808" i="12"/>
  <c r="E2808" i="12"/>
  <c r="D2808" i="12"/>
  <c r="C2808" i="12"/>
  <c r="B2808" i="12"/>
  <c r="A2808" i="12"/>
  <c r="G2807" i="12"/>
  <c r="E2807" i="12"/>
  <c r="D2807" i="12"/>
  <c r="C2807" i="12"/>
  <c r="B2807" i="12"/>
  <c r="A2807" i="12"/>
  <c r="G2806" i="12"/>
  <c r="E2806" i="12"/>
  <c r="D2806" i="12"/>
  <c r="C2806" i="12"/>
  <c r="B2806" i="12"/>
  <c r="A2806" i="12"/>
  <c r="G2805" i="12"/>
  <c r="F2805" i="12"/>
  <c r="E2805" i="12"/>
  <c r="D2805" i="12"/>
  <c r="C2805" i="12"/>
  <c r="B2805" i="12"/>
  <c r="A2805" i="12"/>
  <c r="G2804" i="12"/>
  <c r="E2804" i="12"/>
  <c r="D2804" i="12"/>
  <c r="C2804" i="12"/>
  <c r="B2804" i="12"/>
  <c r="A2804" i="12"/>
  <c r="G2803" i="12"/>
  <c r="E2803" i="12"/>
  <c r="D2803" i="12"/>
  <c r="C2803" i="12"/>
  <c r="B2803" i="12"/>
  <c r="A2803" i="12"/>
  <c r="G2802" i="12"/>
  <c r="F2802" i="12"/>
  <c r="E2802" i="12"/>
  <c r="D2802" i="12"/>
  <c r="C2802" i="12"/>
  <c r="B2802" i="12"/>
  <c r="A2802" i="12"/>
  <c r="G2801" i="12"/>
  <c r="E2801" i="12"/>
  <c r="D2801" i="12"/>
  <c r="C2801" i="12"/>
  <c r="B2801" i="12"/>
  <c r="A2801" i="12"/>
  <c r="G2800" i="12"/>
  <c r="E2800" i="12"/>
  <c r="D2800" i="12"/>
  <c r="C2800" i="12"/>
  <c r="B2800" i="12"/>
  <c r="A2800" i="12"/>
  <c r="G2799" i="12"/>
  <c r="F2799" i="12"/>
  <c r="E2799" i="12"/>
  <c r="D2799" i="12"/>
  <c r="C2799" i="12"/>
  <c r="B2799" i="12"/>
  <c r="A2799" i="12"/>
  <c r="G2798" i="12"/>
  <c r="E2798" i="12"/>
  <c r="D2798" i="12"/>
  <c r="C2798" i="12"/>
  <c r="B2798" i="12"/>
  <c r="A2798" i="12"/>
  <c r="G2797" i="12"/>
  <c r="F2797" i="12"/>
  <c r="E2797" i="12"/>
  <c r="D2797" i="12"/>
  <c r="C2797" i="12"/>
  <c r="B2797" i="12"/>
  <c r="A2797" i="12"/>
  <c r="G2796" i="12"/>
  <c r="E2796" i="12"/>
  <c r="D2796" i="12"/>
  <c r="C2796" i="12"/>
  <c r="B2796" i="12"/>
  <c r="A2796" i="12"/>
  <c r="G2795" i="12"/>
  <c r="E2795" i="12"/>
  <c r="D2795" i="12"/>
  <c r="C2795" i="12"/>
  <c r="B2795" i="12"/>
  <c r="A2795" i="12"/>
  <c r="G2794" i="12"/>
  <c r="F2794" i="12"/>
  <c r="E2794" i="12"/>
  <c r="D2794" i="12"/>
  <c r="C2794" i="12"/>
  <c r="B2794" i="12"/>
  <c r="A2794" i="12"/>
  <c r="G2793" i="12"/>
  <c r="E2793" i="12"/>
  <c r="D2793" i="12"/>
  <c r="C2793" i="12"/>
  <c r="B2793" i="12"/>
  <c r="A2793" i="12"/>
  <c r="G2792" i="12"/>
  <c r="F2792" i="12"/>
  <c r="E2792" i="12"/>
  <c r="D2792" i="12"/>
  <c r="C2792" i="12"/>
  <c r="B2792" i="12"/>
  <c r="A2792" i="12"/>
  <c r="G2791" i="12"/>
  <c r="F2791" i="12"/>
  <c r="E2791" i="12"/>
  <c r="D2791" i="12"/>
  <c r="C2791" i="12"/>
  <c r="B2791" i="12"/>
  <c r="A2791" i="12"/>
  <c r="G2790" i="12"/>
  <c r="E2790" i="12"/>
  <c r="D2790" i="12"/>
  <c r="C2790" i="12"/>
  <c r="B2790" i="12"/>
  <c r="A2790" i="12"/>
  <c r="G2789" i="12"/>
  <c r="E2789" i="12"/>
  <c r="D2789" i="12"/>
  <c r="C2789" i="12"/>
  <c r="B2789" i="12"/>
  <c r="A2789" i="12"/>
  <c r="G2788" i="12"/>
  <c r="F2788" i="12"/>
  <c r="E2788" i="12"/>
  <c r="D2788" i="12"/>
  <c r="C2788" i="12"/>
  <c r="B2788" i="12"/>
  <c r="A2788" i="12"/>
  <c r="G2787" i="12"/>
  <c r="E2787" i="12"/>
  <c r="D2787" i="12"/>
  <c r="C2787" i="12"/>
  <c r="B2787" i="12"/>
  <c r="A2787" i="12"/>
  <c r="G2786" i="12"/>
  <c r="F2786" i="12"/>
  <c r="E2786" i="12"/>
  <c r="D2786" i="12"/>
  <c r="C2786" i="12"/>
  <c r="B2786" i="12"/>
  <c r="A2786" i="12"/>
  <c r="G2785" i="12"/>
  <c r="F2785" i="12"/>
  <c r="E2785" i="12"/>
  <c r="D2785" i="12"/>
  <c r="C2785" i="12"/>
  <c r="B2785" i="12"/>
  <c r="A2785" i="12"/>
  <c r="G2784" i="12"/>
  <c r="F2784" i="12"/>
  <c r="E2784" i="12"/>
  <c r="D2784" i="12"/>
  <c r="C2784" i="12"/>
  <c r="B2784" i="12"/>
  <c r="A2784" i="12"/>
  <c r="G2783" i="12"/>
  <c r="E2783" i="12"/>
  <c r="D2783" i="12"/>
  <c r="C2783" i="12"/>
  <c r="B2783" i="12"/>
  <c r="A2783" i="12"/>
  <c r="G2782" i="12"/>
  <c r="E2782" i="12"/>
  <c r="D2782" i="12"/>
  <c r="C2782" i="12"/>
  <c r="B2782" i="12"/>
  <c r="A2782" i="12"/>
  <c r="E2781" i="12"/>
  <c r="D2781" i="12"/>
  <c r="C2781" i="12"/>
  <c r="B2781" i="12"/>
  <c r="A2781" i="12"/>
  <c r="E2780" i="12"/>
  <c r="D2780" i="12"/>
  <c r="C2780" i="12"/>
  <c r="B2780" i="12"/>
  <c r="A2780" i="12"/>
  <c r="E2779" i="12"/>
  <c r="D2779" i="12"/>
  <c r="C2779" i="12"/>
  <c r="B2779" i="12"/>
  <c r="A2779" i="12"/>
  <c r="E2778" i="12"/>
  <c r="D2778" i="12"/>
  <c r="C2778" i="12"/>
  <c r="B2778" i="12"/>
  <c r="A2778" i="12"/>
  <c r="E2777" i="12"/>
  <c r="D2777" i="12"/>
  <c r="C2777" i="12"/>
  <c r="B2777" i="12"/>
  <c r="A2777" i="12"/>
  <c r="E2776" i="12"/>
  <c r="D2776" i="12"/>
  <c r="C2776" i="12"/>
  <c r="B2776" i="12"/>
  <c r="A2776" i="12"/>
  <c r="E2775" i="12"/>
  <c r="D2775" i="12"/>
  <c r="C2775" i="12"/>
  <c r="B2775" i="12"/>
  <c r="A2775" i="12"/>
  <c r="E2774" i="12"/>
  <c r="D2774" i="12"/>
  <c r="C2774" i="12"/>
  <c r="B2774" i="12"/>
  <c r="A2774" i="12"/>
  <c r="E2773" i="12"/>
  <c r="D2773" i="12"/>
  <c r="C2773" i="12"/>
  <c r="B2773" i="12"/>
  <c r="A2773" i="12"/>
  <c r="E2772" i="12"/>
  <c r="D2772" i="12"/>
  <c r="C2772" i="12"/>
  <c r="B2772" i="12"/>
  <c r="A2772" i="12"/>
  <c r="E2771" i="12"/>
  <c r="D2771" i="12"/>
  <c r="C2771" i="12"/>
  <c r="B2771" i="12"/>
  <c r="A2771" i="12"/>
  <c r="E2770" i="12"/>
  <c r="D2770" i="12"/>
  <c r="C2770" i="12"/>
  <c r="B2770" i="12"/>
  <c r="A2770" i="12"/>
  <c r="E2769" i="12"/>
  <c r="D2769" i="12"/>
  <c r="C2769" i="12"/>
  <c r="B2769" i="12"/>
  <c r="A2769" i="12"/>
  <c r="E2768" i="12"/>
  <c r="D2768" i="12"/>
  <c r="C2768" i="12"/>
  <c r="B2768" i="12"/>
  <c r="A2768" i="12"/>
  <c r="G2767" i="12"/>
  <c r="F2767" i="12"/>
  <c r="E2767" i="12"/>
  <c r="D2767" i="12"/>
  <c r="C2767" i="12"/>
  <c r="B2767" i="12"/>
  <c r="A2767" i="12"/>
  <c r="E2766" i="12"/>
  <c r="D2766" i="12"/>
  <c r="C2766" i="12"/>
  <c r="B2766" i="12"/>
  <c r="A2766" i="12"/>
  <c r="G2765" i="12"/>
  <c r="F2765" i="12"/>
  <c r="E2765" i="12"/>
  <c r="D2765" i="12"/>
  <c r="C2765" i="12"/>
  <c r="B2765" i="12"/>
  <c r="A2765" i="12"/>
  <c r="E2764" i="12"/>
  <c r="D2764" i="12"/>
  <c r="C2764" i="12"/>
  <c r="B2764" i="12"/>
  <c r="A2764" i="12"/>
  <c r="E2763" i="12"/>
  <c r="D2763" i="12"/>
  <c r="C2763" i="12"/>
  <c r="B2763" i="12"/>
  <c r="A2763" i="12"/>
  <c r="E2762" i="12"/>
  <c r="D2762" i="12"/>
  <c r="C2762" i="12"/>
  <c r="B2762" i="12"/>
  <c r="A2762" i="12"/>
  <c r="E2761" i="12"/>
  <c r="D2761" i="12"/>
  <c r="C2761" i="12"/>
  <c r="B2761" i="12"/>
  <c r="A2761" i="12"/>
  <c r="E2760" i="12"/>
  <c r="D2760" i="12"/>
  <c r="C2760" i="12"/>
  <c r="B2760" i="12"/>
  <c r="A2760" i="12"/>
  <c r="G2759" i="12"/>
  <c r="E2759" i="12"/>
  <c r="D2759" i="12"/>
  <c r="C2759" i="12"/>
  <c r="B2759" i="12"/>
  <c r="A2759" i="12"/>
  <c r="E2758" i="12"/>
  <c r="D2758" i="12"/>
  <c r="C2758" i="12"/>
  <c r="B2758" i="12"/>
  <c r="A2758" i="12"/>
  <c r="E2757" i="12"/>
  <c r="D2757" i="12"/>
  <c r="C2757" i="12"/>
  <c r="B2757" i="12"/>
  <c r="A2757" i="12"/>
  <c r="E2756" i="12"/>
  <c r="D2756" i="12"/>
  <c r="C2756" i="12"/>
  <c r="B2756" i="12"/>
  <c r="A2756" i="12"/>
  <c r="E2755" i="12"/>
  <c r="D2755" i="12"/>
  <c r="C2755" i="12"/>
  <c r="B2755" i="12"/>
  <c r="A2755" i="12"/>
  <c r="G2754" i="12"/>
  <c r="F2754" i="12"/>
  <c r="E2754" i="12"/>
  <c r="D2754" i="12"/>
  <c r="C2754" i="12"/>
  <c r="B2754" i="12"/>
  <c r="A2754" i="12"/>
  <c r="E2753" i="12"/>
  <c r="D2753" i="12"/>
  <c r="C2753" i="12"/>
  <c r="B2753" i="12"/>
  <c r="A2753" i="12"/>
  <c r="E2752" i="12"/>
  <c r="D2752" i="12"/>
  <c r="C2752" i="12"/>
  <c r="B2752" i="12"/>
  <c r="A2752" i="12"/>
  <c r="E2751" i="12"/>
  <c r="D2751" i="12"/>
  <c r="C2751" i="12"/>
  <c r="B2751" i="12"/>
  <c r="A2751" i="12"/>
  <c r="E2750" i="12"/>
  <c r="D2750" i="12"/>
  <c r="C2750" i="12"/>
  <c r="B2750" i="12"/>
  <c r="A2750" i="12"/>
  <c r="G2749" i="12"/>
  <c r="E2749" i="12"/>
  <c r="D2749" i="12"/>
  <c r="C2749" i="12"/>
  <c r="B2749" i="12"/>
  <c r="A2749" i="12"/>
  <c r="E2748" i="12"/>
  <c r="D2748" i="12"/>
  <c r="C2748" i="12"/>
  <c r="B2748" i="12"/>
  <c r="A2748" i="12"/>
  <c r="E2747" i="12"/>
  <c r="D2747" i="12"/>
  <c r="C2747" i="12"/>
  <c r="B2747" i="12"/>
  <c r="A2747" i="12"/>
  <c r="G2746" i="12"/>
  <c r="E2746" i="12"/>
  <c r="D2746" i="12"/>
  <c r="C2746" i="12"/>
  <c r="B2746" i="12"/>
  <c r="A2746" i="12"/>
  <c r="G2745" i="12"/>
  <c r="E2745" i="12"/>
  <c r="D2745" i="12"/>
  <c r="C2745" i="12"/>
  <c r="B2745" i="12"/>
  <c r="A2745" i="12"/>
  <c r="G2744" i="12"/>
  <c r="F2744" i="12"/>
  <c r="E2744" i="12"/>
  <c r="D2744" i="12"/>
  <c r="C2744" i="12"/>
  <c r="B2744" i="12"/>
  <c r="A2744" i="12"/>
  <c r="E2743" i="12"/>
  <c r="D2743" i="12"/>
  <c r="C2743" i="12"/>
  <c r="B2743" i="12"/>
  <c r="A2743" i="12"/>
  <c r="G2742" i="12"/>
  <c r="E2742" i="12"/>
  <c r="D2742" i="12"/>
  <c r="C2742" i="12"/>
  <c r="B2742" i="12"/>
  <c r="A2742" i="12"/>
  <c r="E2741" i="12"/>
  <c r="D2741" i="12"/>
  <c r="C2741" i="12"/>
  <c r="B2741" i="12"/>
  <c r="A2741" i="12"/>
  <c r="E2740" i="12"/>
  <c r="D2740" i="12"/>
  <c r="C2740" i="12"/>
  <c r="B2740" i="12"/>
  <c r="A2740" i="12"/>
  <c r="E2739" i="12"/>
  <c r="D2739" i="12"/>
  <c r="C2739" i="12"/>
  <c r="B2739" i="12"/>
  <c r="A2739" i="12"/>
  <c r="E2738" i="12"/>
  <c r="D2738" i="12"/>
  <c r="C2738" i="12"/>
  <c r="B2738" i="12"/>
  <c r="A2738" i="12"/>
  <c r="E2737" i="12"/>
  <c r="D2737" i="12"/>
  <c r="C2737" i="12"/>
  <c r="B2737" i="12"/>
  <c r="A2737" i="12"/>
  <c r="G2736" i="12"/>
  <c r="E2736" i="12"/>
  <c r="D2736" i="12"/>
  <c r="C2736" i="12"/>
  <c r="B2736" i="12"/>
  <c r="A2736" i="12"/>
  <c r="E2735" i="12"/>
  <c r="D2735" i="12"/>
  <c r="C2735" i="12"/>
  <c r="B2735" i="12"/>
  <c r="A2735" i="12"/>
  <c r="E2734" i="12"/>
  <c r="D2734" i="12"/>
  <c r="C2734" i="12"/>
  <c r="B2734" i="12"/>
  <c r="A2734" i="12"/>
  <c r="G2733" i="12"/>
  <c r="E2733" i="12"/>
  <c r="D2733" i="12"/>
  <c r="C2733" i="12"/>
  <c r="B2733" i="12"/>
  <c r="A2733" i="12"/>
  <c r="E2732" i="12"/>
  <c r="D2732" i="12"/>
  <c r="C2732" i="12"/>
  <c r="B2732" i="12"/>
  <c r="A2732" i="12"/>
  <c r="G2731" i="12"/>
  <c r="E2731" i="12"/>
  <c r="D2731" i="12"/>
  <c r="C2731" i="12"/>
  <c r="B2731" i="12"/>
  <c r="A2731" i="12"/>
  <c r="F2730" i="12"/>
  <c r="E2730" i="12"/>
  <c r="D2730" i="12"/>
  <c r="C2730" i="12"/>
  <c r="B2730" i="12"/>
  <c r="A2730" i="12"/>
  <c r="F2729" i="12"/>
  <c r="E2729" i="12"/>
  <c r="D2729" i="12"/>
  <c r="C2729" i="12"/>
  <c r="B2729" i="12"/>
  <c r="A2729" i="12"/>
  <c r="G2728" i="12"/>
  <c r="F2728" i="12"/>
  <c r="E2728" i="12"/>
  <c r="D2728" i="12"/>
  <c r="C2728" i="12"/>
  <c r="B2728" i="12"/>
  <c r="A2728" i="12"/>
  <c r="F2727" i="12"/>
  <c r="E2727" i="12"/>
  <c r="D2727" i="12"/>
  <c r="C2727" i="12"/>
  <c r="B2727" i="12"/>
  <c r="A2727" i="12"/>
  <c r="F2726" i="12"/>
  <c r="E2726" i="12"/>
  <c r="D2726" i="12"/>
  <c r="C2726" i="12"/>
  <c r="B2726" i="12"/>
  <c r="A2726" i="12"/>
  <c r="G2725" i="12"/>
  <c r="F2725" i="12"/>
  <c r="E2725" i="12"/>
  <c r="D2725" i="12"/>
  <c r="C2725" i="12"/>
  <c r="B2725" i="12"/>
  <c r="A2725" i="12"/>
  <c r="G2724" i="12"/>
  <c r="F2724" i="12"/>
  <c r="E2724" i="12"/>
  <c r="D2724" i="12"/>
  <c r="C2724" i="12"/>
  <c r="B2724" i="12"/>
  <c r="A2724" i="12"/>
  <c r="F2723" i="12"/>
  <c r="E2723" i="12"/>
  <c r="D2723" i="12"/>
  <c r="C2723" i="12"/>
  <c r="A2723" i="12"/>
  <c r="F2722" i="12"/>
  <c r="E2722" i="12"/>
  <c r="D2722" i="12"/>
  <c r="C2722" i="12"/>
  <c r="B2722" i="12"/>
  <c r="A2722" i="12"/>
  <c r="G2721" i="12"/>
  <c r="F2721" i="12"/>
  <c r="E2721" i="12"/>
  <c r="D2721" i="12"/>
  <c r="C2721" i="12"/>
  <c r="B2721" i="12"/>
  <c r="A2721" i="12"/>
  <c r="G2720" i="12"/>
  <c r="F2720" i="12"/>
  <c r="E2720" i="12"/>
  <c r="D2720" i="12"/>
  <c r="C2720" i="12"/>
  <c r="B2720" i="12"/>
  <c r="A2720" i="12"/>
  <c r="F2719" i="12"/>
  <c r="E2719" i="12"/>
  <c r="D2719" i="12"/>
  <c r="C2719" i="12"/>
  <c r="B2719" i="12"/>
  <c r="A2719" i="12"/>
  <c r="G2718" i="12"/>
  <c r="F2718" i="12"/>
  <c r="E2718" i="12"/>
  <c r="D2718" i="12"/>
  <c r="C2718" i="12"/>
  <c r="B2718" i="12"/>
  <c r="A2718" i="12"/>
  <c r="F2717" i="12"/>
  <c r="E2717" i="12"/>
  <c r="D2717" i="12"/>
  <c r="C2717" i="12"/>
  <c r="B2717" i="12"/>
  <c r="A2717" i="12"/>
  <c r="G2716" i="12"/>
  <c r="F2716" i="12"/>
  <c r="E2716" i="12"/>
  <c r="D2716" i="12"/>
  <c r="C2716" i="12"/>
  <c r="B2716" i="12"/>
  <c r="A2716" i="12"/>
  <c r="F2715" i="12"/>
  <c r="E2715" i="12"/>
  <c r="D2715" i="12"/>
  <c r="C2715" i="12"/>
  <c r="B2715" i="12"/>
  <c r="A2715" i="12"/>
  <c r="G2714" i="12"/>
  <c r="F2714" i="12"/>
  <c r="E2714" i="12"/>
  <c r="D2714" i="12"/>
  <c r="C2714" i="12"/>
  <c r="B2714" i="12"/>
  <c r="A2714" i="12"/>
  <c r="G2713" i="12"/>
  <c r="F2713" i="12"/>
  <c r="E2713" i="12"/>
  <c r="D2713" i="12"/>
  <c r="C2713" i="12"/>
  <c r="B2713" i="12"/>
  <c r="A2713" i="12"/>
  <c r="E2712" i="12"/>
  <c r="D2712" i="12"/>
  <c r="C2712" i="12"/>
  <c r="B2712" i="12"/>
  <c r="A2712" i="12"/>
  <c r="E2711" i="12"/>
  <c r="D2711" i="12"/>
  <c r="C2711" i="12"/>
  <c r="B2711" i="12"/>
  <c r="A2711" i="12"/>
  <c r="E2710" i="12"/>
  <c r="D2710" i="12"/>
  <c r="C2710" i="12"/>
  <c r="B2710" i="12"/>
  <c r="A2710" i="12"/>
  <c r="E2709" i="12"/>
  <c r="D2709" i="12"/>
  <c r="C2709" i="12"/>
  <c r="B2709" i="12"/>
  <c r="A2709" i="12"/>
  <c r="E2708" i="12"/>
  <c r="D2708" i="12"/>
  <c r="C2708" i="12"/>
  <c r="B2708" i="12"/>
  <c r="A2708" i="12"/>
  <c r="E2707" i="12"/>
  <c r="D2707" i="12"/>
  <c r="C2707" i="12"/>
  <c r="B2707" i="12"/>
  <c r="A2707" i="12"/>
  <c r="E2706" i="12"/>
  <c r="D2706" i="12"/>
  <c r="C2706" i="12"/>
  <c r="B2706" i="12"/>
  <c r="A2706" i="12"/>
  <c r="G2705" i="12"/>
  <c r="E2705" i="12"/>
  <c r="D2705" i="12"/>
  <c r="C2705" i="12"/>
  <c r="B2705" i="12"/>
  <c r="A2705" i="12"/>
  <c r="E2704" i="12"/>
  <c r="D2704" i="12"/>
  <c r="C2704" i="12"/>
  <c r="B2704" i="12"/>
  <c r="A2704" i="12"/>
  <c r="E2703" i="12"/>
  <c r="D2703" i="12"/>
  <c r="C2703" i="12"/>
  <c r="B2703" i="12"/>
  <c r="A2703" i="12"/>
  <c r="E2702" i="12"/>
  <c r="D2702" i="12"/>
  <c r="C2702" i="12"/>
  <c r="B2702" i="12"/>
  <c r="A2702" i="12"/>
  <c r="E2701" i="12"/>
  <c r="D2701" i="12"/>
  <c r="C2701" i="12"/>
  <c r="B2701" i="12"/>
  <c r="A2701" i="12"/>
  <c r="E2700" i="12"/>
  <c r="D2700" i="12"/>
  <c r="C2700" i="12"/>
  <c r="B2700" i="12"/>
  <c r="A2700" i="12"/>
  <c r="E2699" i="12"/>
  <c r="D2699" i="12"/>
  <c r="C2699" i="12"/>
  <c r="B2699" i="12"/>
  <c r="A2699" i="12"/>
  <c r="E2698" i="12"/>
  <c r="D2698" i="12"/>
  <c r="C2698" i="12"/>
  <c r="B2698" i="12"/>
  <c r="A2698" i="12"/>
  <c r="E2697" i="12"/>
  <c r="D2697" i="12"/>
  <c r="C2697" i="12"/>
  <c r="B2697" i="12"/>
  <c r="A2697" i="12"/>
  <c r="G2696" i="12"/>
  <c r="E2696" i="12"/>
  <c r="D2696" i="12"/>
  <c r="C2696" i="12"/>
  <c r="B2696" i="12"/>
  <c r="A2696" i="12"/>
  <c r="E2695" i="12"/>
  <c r="D2695" i="12"/>
  <c r="C2695" i="12"/>
  <c r="B2695" i="12"/>
  <c r="A2695" i="12"/>
  <c r="E2694" i="12"/>
  <c r="D2694" i="12"/>
  <c r="C2694" i="12"/>
  <c r="B2694" i="12"/>
  <c r="A2694" i="12"/>
  <c r="E2693" i="12"/>
  <c r="D2693" i="12"/>
  <c r="C2693" i="12"/>
  <c r="B2693" i="12"/>
  <c r="A2693" i="12"/>
  <c r="E2692" i="12"/>
  <c r="D2692" i="12"/>
  <c r="C2692" i="12"/>
  <c r="B2692" i="12"/>
  <c r="A2692" i="12"/>
  <c r="E2691" i="12"/>
  <c r="D2691" i="12"/>
  <c r="C2691" i="12"/>
  <c r="B2691" i="12"/>
  <c r="A2691" i="12"/>
  <c r="E2690" i="12"/>
  <c r="D2690" i="12"/>
  <c r="C2690" i="12"/>
  <c r="B2690" i="12"/>
  <c r="A2690" i="12"/>
  <c r="E2689" i="12"/>
  <c r="D2689" i="12"/>
  <c r="C2689" i="12"/>
  <c r="B2689" i="12"/>
  <c r="A2689" i="12"/>
  <c r="E2688" i="12"/>
  <c r="D2688" i="12"/>
  <c r="C2688" i="12"/>
  <c r="B2688" i="12"/>
  <c r="A2688" i="12"/>
  <c r="E2687" i="12"/>
  <c r="D2687" i="12"/>
  <c r="C2687" i="12"/>
  <c r="B2687" i="12"/>
  <c r="A2687" i="12"/>
  <c r="E2686" i="12"/>
  <c r="D2686" i="12"/>
  <c r="C2686" i="12"/>
  <c r="B2686" i="12"/>
  <c r="A2686" i="12"/>
  <c r="E2685" i="12"/>
  <c r="D2685" i="12"/>
  <c r="C2685" i="12"/>
  <c r="B2685" i="12"/>
  <c r="A2685" i="12"/>
  <c r="E2684" i="12"/>
  <c r="D2684" i="12"/>
  <c r="C2684" i="12"/>
  <c r="B2684" i="12"/>
  <c r="A2684" i="12"/>
  <c r="E2683" i="12"/>
  <c r="D2683" i="12"/>
  <c r="C2683" i="12"/>
  <c r="B2683" i="12"/>
  <c r="A2683" i="12"/>
  <c r="E2682" i="12"/>
  <c r="D2682" i="12"/>
  <c r="C2682" i="12"/>
  <c r="B2682" i="12"/>
  <c r="A2682" i="12"/>
  <c r="E2681" i="12"/>
  <c r="D2681" i="12"/>
  <c r="C2681" i="12"/>
  <c r="B2681" i="12"/>
  <c r="A2681" i="12"/>
  <c r="E2680" i="12"/>
  <c r="D2680" i="12"/>
  <c r="C2680" i="12"/>
  <c r="B2680" i="12"/>
  <c r="A2680" i="12"/>
  <c r="E2679" i="12"/>
  <c r="D2679" i="12"/>
  <c r="C2679" i="12"/>
  <c r="B2679" i="12"/>
  <c r="A2679" i="12"/>
  <c r="E2678" i="12"/>
  <c r="D2678" i="12"/>
  <c r="C2678" i="12"/>
  <c r="B2678" i="12"/>
  <c r="A2678" i="12"/>
  <c r="E2677" i="12"/>
  <c r="D2677" i="12"/>
  <c r="C2677" i="12"/>
  <c r="B2677" i="12"/>
  <c r="A2677" i="12"/>
  <c r="E2676" i="12"/>
  <c r="D2676" i="12"/>
  <c r="C2676" i="12"/>
  <c r="B2676" i="12"/>
  <c r="A2676" i="12"/>
  <c r="E2675" i="12"/>
  <c r="D2675" i="12"/>
  <c r="C2675" i="12"/>
  <c r="B2675" i="12"/>
  <c r="A2675" i="12"/>
  <c r="E2674" i="12"/>
  <c r="D2674" i="12"/>
  <c r="C2674" i="12"/>
  <c r="B2674" i="12"/>
  <c r="A2674" i="12"/>
  <c r="E2673" i="12"/>
  <c r="D2673" i="12"/>
  <c r="C2673" i="12"/>
  <c r="B2673" i="12"/>
  <c r="A2673" i="12"/>
  <c r="E2672" i="12"/>
  <c r="D2672" i="12"/>
  <c r="C2672" i="12"/>
  <c r="B2672" i="12"/>
  <c r="A2672" i="12"/>
  <c r="E2671" i="12"/>
  <c r="D2671" i="12"/>
  <c r="C2671" i="12"/>
  <c r="B2671" i="12"/>
  <c r="A2671" i="12"/>
  <c r="E2670" i="12"/>
  <c r="D2670" i="12"/>
  <c r="C2670" i="12"/>
  <c r="B2670" i="12"/>
  <c r="A2670" i="12"/>
  <c r="E2669" i="12"/>
  <c r="D2669" i="12"/>
  <c r="C2669" i="12"/>
  <c r="B2669" i="12"/>
  <c r="A2669" i="12"/>
  <c r="E2668" i="12"/>
  <c r="D2668" i="12"/>
  <c r="C2668" i="12"/>
  <c r="B2668" i="12"/>
  <c r="A2668" i="12"/>
  <c r="E2667" i="12"/>
  <c r="D2667" i="12"/>
  <c r="C2667" i="12"/>
  <c r="B2667" i="12"/>
  <c r="A2667" i="12"/>
  <c r="E2666" i="12"/>
  <c r="D2666" i="12"/>
  <c r="C2666" i="12"/>
  <c r="B2666" i="12"/>
  <c r="A2666" i="12"/>
  <c r="E2665" i="12"/>
  <c r="D2665" i="12"/>
  <c r="C2665" i="12"/>
  <c r="B2665" i="12"/>
  <c r="A2665" i="12"/>
  <c r="E2664" i="12"/>
  <c r="D2664" i="12"/>
  <c r="C2664" i="12"/>
  <c r="B2664" i="12"/>
  <c r="A2664" i="12"/>
  <c r="E2663" i="12"/>
  <c r="D2663" i="12"/>
  <c r="C2663" i="12"/>
  <c r="B2663" i="12"/>
  <c r="A2663" i="12"/>
  <c r="E2662" i="12"/>
  <c r="D2662" i="12"/>
  <c r="C2662" i="12"/>
  <c r="B2662" i="12"/>
  <c r="A2662" i="12"/>
  <c r="E2661" i="12"/>
  <c r="D2661" i="12"/>
  <c r="C2661" i="12"/>
  <c r="B2661" i="12"/>
  <c r="A2661" i="12"/>
  <c r="E2660" i="12"/>
  <c r="D2660" i="12"/>
  <c r="C2660" i="12"/>
  <c r="B2660" i="12"/>
  <c r="A2660" i="12"/>
  <c r="E2659" i="12"/>
  <c r="D2659" i="12"/>
  <c r="C2659" i="12"/>
  <c r="B2659" i="12"/>
  <c r="A2659" i="12"/>
  <c r="E2658" i="12"/>
  <c r="D2658" i="12"/>
  <c r="C2658" i="12"/>
  <c r="B2658" i="12"/>
  <c r="A2658" i="12"/>
  <c r="E2657" i="12"/>
  <c r="D2657" i="12"/>
  <c r="C2657" i="12"/>
  <c r="B2657" i="12"/>
  <c r="A2657" i="12"/>
  <c r="E2656" i="12"/>
  <c r="D2656" i="12"/>
  <c r="C2656" i="12"/>
  <c r="B2656" i="12"/>
  <c r="A2656" i="12"/>
  <c r="E2655" i="12"/>
  <c r="D2655" i="12"/>
  <c r="C2655" i="12"/>
  <c r="B2655" i="12"/>
  <c r="A2655" i="12"/>
  <c r="E2654" i="12"/>
  <c r="D2654" i="12"/>
  <c r="C2654" i="12"/>
  <c r="B2654" i="12"/>
  <c r="A2654" i="12"/>
  <c r="E2653" i="12"/>
  <c r="D2653" i="12"/>
  <c r="C2653" i="12"/>
  <c r="B2653" i="12"/>
  <c r="A2653" i="12"/>
  <c r="E2652" i="12"/>
  <c r="D2652" i="12"/>
  <c r="C2652" i="12"/>
  <c r="B2652" i="12"/>
  <c r="A2652" i="12"/>
  <c r="E2651" i="12"/>
  <c r="D2651" i="12"/>
  <c r="C2651" i="12"/>
  <c r="B2651" i="12"/>
  <c r="A2651" i="12"/>
  <c r="E2650" i="12"/>
  <c r="D2650" i="12"/>
  <c r="C2650" i="12"/>
  <c r="B2650" i="12"/>
  <c r="A2650" i="12"/>
  <c r="E2649" i="12"/>
  <c r="D2649" i="12"/>
  <c r="C2649" i="12"/>
  <c r="B2649" i="12"/>
  <c r="A2649" i="12"/>
  <c r="E2648" i="12"/>
  <c r="D2648" i="12"/>
  <c r="C2648" i="12"/>
  <c r="B2648" i="12"/>
  <c r="A2648" i="12"/>
  <c r="E2647" i="12"/>
  <c r="D2647" i="12"/>
  <c r="C2647" i="12"/>
  <c r="B2647" i="12"/>
  <c r="A2647" i="12"/>
  <c r="E2646" i="12"/>
  <c r="D2646" i="12"/>
  <c r="C2646" i="12"/>
  <c r="B2646" i="12"/>
  <c r="A2646" i="12"/>
  <c r="E2645" i="12"/>
  <c r="D2645" i="12"/>
  <c r="C2645" i="12"/>
  <c r="B2645" i="12"/>
  <c r="A2645" i="12"/>
  <c r="E2644" i="12"/>
  <c r="D2644" i="12"/>
  <c r="C2644" i="12"/>
  <c r="B2644" i="12"/>
  <c r="A2644" i="12"/>
  <c r="E2643" i="12"/>
  <c r="D2643" i="12"/>
  <c r="C2643" i="12"/>
  <c r="B2643" i="12"/>
  <c r="A2643" i="12"/>
  <c r="E2642" i="12"/>
  <c r="D2642" i="12"/>
  <c r="C2642" i="12"/>
  <c r="B2642" i="12"/>
  <c r="A2642" i="12"/>
  <c r="E2641" i="12"/>
  <c r="D2641" i="12"/>
  <c r="C2641" i="12"/>
  <c r="B2641" i="12"/>
  <c r="A2641" i="12"/>
  <c r="E2640" i="12"/>
  <c r="D2640" i="12"/>
  <c r="C2640" i="12"/>
  <c r="B2640" i="12"/>
  <c r="A2640" i="12"/>
  <c r="E2639" i="12"/>
  <c r="D2639" i="12"/>
  <c r="C2639" i="12"/>
  <c r="B2639" i="12"/>
  <c r="A2639" i="12"/>
  <c r="E2638" i="12"/>
  <c r="D2638" i="12"/>
  <c r="C2638" i="12"/>
  <c r="B2638" i="12"/>
  <c r="A2638" i="12"/>
  <c r="E2637" i="12"/>
  <c r="D2637" i="12"/>
  <c r="C2637" i="12"/>
  <c r="B2637" i="12"/>
  <c r="A2637" i="12"/>
  <c r="E2636" i="12"/>
  <c r="D2636" i="12"/>
  <c r="C2636" i="12"/>
  <c r="B2636" i="12"/>
  <c r="A2636" i="12"/>
  <c r="E2635" i="12"/>
  <c r="D2635" i="12"/>
  <c r="C2635" i="12"/>
  <c r="B2635" i="12"/>
  <c r="A2635" i="12"/>
  <c r="E2634" i="12"/>
  <c r="D2634" i="12"/>
  <c r="C2634" i="12"/>
  <c r="B2634" i="12"/>
  <c r="A2634" i="12"/>
  <c r="E2633" i="12"/>
  <c r="D2633" i="12"/>
  <c r="C2633" i="12"/>
  <c r="B2633" i="12"/>
  <c r="A2633" i="12"/>
  <c r="E2632" i="12"/>
  <c r="D2632" i="12"/>
  <c r="C2632" i="12"/>
  <c r="B2632" i="12"/>
  <c r="A2632" i="12"/>
  <c r="F2631" i="12"/>
  <c r="E2631" i="12"/>
  <c r="D2631" i="12"/>
  <c r="C2631" i="12"/>
  <c r="B2631" i="12"/>
  <c r="A2631" i="12"/>
  <c r="F2630" i="12"/>
  <c r="E2630" i="12"/>
  <c r="D2630" i="12"/>
  <c r="C2630" i="12"/>
  <c r="B2630" i="12"/>
  <c r="A2630" i="12"/>
  <c r="E2629" i="12"/>
  <c r="D2629" i="12"/>
  <c r="C2629" i="12"/>
  <c r="B2629" i="12"/>
  <c r="A2629" i="12"/>
  <c r="E2628" i="12"/>
  <c r="D2628" i="12"/>
  <c r="C2628" i="12"/>
  <c r="B2628" i="12"/>
  <c r="A2628" i="12"/>
  <c r="E2627" i="12"/>
  <c r="D2627" i="12"/>
  <c r="C2627" i="12"/>
  <c r="B2627" i="12"/>
  <c r="A2627" i="12"/>
  <c r="E2626" i="12"/>
  <c r="D2626" i="12"/>
  <c r="C2626" i="12"/>
  <c r="B2626" i="12"/>
  <c r="A2626" i="12"/>
  <c r="E2625" i="12"/>
  <c r="D2625" i="12"/>
  <c r="C2625" i="12"/>
  <c r="B2625" i="12"/>
  <c r="A2625" i="12"/>
  <c r="E2624" i="12"/>
  <c r="D2624" i="12"/>
  <c r="C2624" i="12"/>
  <c r="B2624" i="12"/>
  <c r="A2624" i="12"/>
  <c r="E2623" i="12"/>
  <c r="D2623" i="12"/>
  <c r="C2623" i="12"/>
  <c r="B2623" i="12"/>
  <c r="A2623" i="12"/>
  <c r="E2622" i="12"/>
  <c r="D2622" i="12"/>
  <c r="C2622" i="12"/>
  <c r="B2622" i="12"/>
  <c r="A2622" i="12"/>
  <c r="E2621" i="12"/>
  <c r="D2621" i="12"/>
  <c r="C2621" i="12"/>
  <c r="B2621" i="12"/>
  <c r="A2621" i="12"/>
  <c r="E2620" i="12"/>
  <c r="D2620" i="12"/>
  <c r="C2620" i="12"/>
  <c r="B2620" i="12"/>
  <c r="A2620" i="12"/>
  <c r="E2619" i="12"/>
  <c r="D2619" i="12"/>
  <c r="C2619" i="12"/>
  <c r="B2619" i="12"/>
  <c r="A2619" i="12"/>
  <c r="E2618" i="12"/>
  <c r="D2618" i="12"/>
  <c r="C2618" i="12"/>
  <c r="B2618" i="12"/>
  <c r="A2618" i="12"/>
  <c r="E2617" i="12"/>
  <c r="D2617" i="12"/>
  <c r="C2617" i="12"/>
  <c r="B2617" i="12"/>
  <c r="A2617" i="12"/>
  <c r="E2616" i="12"/>
  <c r="D2616" i="12"/>
  <c r="C2616" i="12"/>
  <c r="B2616" i="12"/>
  <c r="A2616" i="12"/>
  <c r="E2615" i="12"/>
  <c r="D2615" i="12"/>
  <c r="C2615" i="12"/>
  <c r="B2615" i="12"/>
  <c r="A2615" i="12"/>
  <c r="E2614" i="12"/>
  <c r="D2614" i="12"/>
  <c r="C2614" i="12"/>
  <c r="B2614" i="12"/>
  <c r="A2614" i="12"/>
  <c r="E2613" i="12"/>
  <c r="D2613" i="12"/>
  <c r="C2613" i="12"/>
  <c r="B2613" i="12"/>
  <c r="A2613" i="12"/>
  <c r="E2612" i="12"/>
  <c r="D2612" i="12"/>
  <c r="C2612" i="12"/>
  <c r="B2612" i="12"/>
  <c r="A2612" i="12"/>
  <c r="E2611" i="12"/>
  <c r="D2611" i="12"/>
  <c r="C2611" i="12"/>
  <c r="B2611" i="12"/>
  <c r="A2611" i="12"/>
  <c r="E2610" i="12"/>
  <c r="D2610" i="12"/>
  <c r="C2610" i="12"/>
  <c r="B2610" i="12"/>
  <c r="A2610" i="12"/>
  <c r="E2609" i="12"/>
  <c r="D2609" i="12"/>
  <c r="C2609" i="12"/>
  <c r="B2609" i="12"/>
  <c r="A2609" i="12"/>
  <c r="E2608" i="12"/>
  <c r="D2608" i="12"/>
  <c r="C2608" i="12"/>
  <c r="B2608" i="12"/>
  <c r="A2608" i="12"/>
  <c r="E2607" i="12"/>
  <c r="D2607" i="12"/>
  <c r="C2607" i="12"/>
  <c r="B2607" i="12"/>
  <c r="A2607" i="12"/>
  <c r="E2606" i="12"/>
  <c r="D2606" i="12"/>
  <c r="C2606" i="12"/>
  <c r="B2606" i="12"/>
  <c r="A2606" i="12"/>
  <c r="E2605" i="12"/>
  <c r="D2605" i="12"/>
  <c r="C2605" i="12"/>
  <c r="B2605" i="12"/>
  <c r="A2605" i="12"/>
  <c r="E2604" i="12"/>
  <c r="D2604" i="12"/>
  <c r="C2604" i="12"/>
  <c r="B2604" i="12"/>
  <c r="A2604" i="12"/>
  <c r="E2603" i="12"/>
  <c r="D2603" i="12"/>
  <c r="C2603" i="12"/>
  <c r="B2603" i="12"/>
  <c r="A2603" i="12"/>
  <c r="E2602" i="12"/>
  <c r="D2602" i="12"/>
  <c r="C2602" i="12"/>
  <c r="B2602" i="12"/>
  <c r="A2602" i="12"/>
  <c r="E2601" i="12"/>
  <c r="D2601" i="12"/>
  <c r="C2601" i="12"/>
  <c r="B2601" i="12"/>
  <c r="A2601" i="12"/>
  <c r="G2600" i="12"/>
  <c r="E2600" i="12"/>
  <c r="D2600" i="12"/>
  <c r="C2600" i="12"/>
  <c r="B2600" i="12"/>
  <c r="A2600" i="12"/>
  <c r="G2599" i="12"/>
  <c r="E2599" i="12"/>
  <c r="D2599" i="12"/>
  <c r="C2599" i="12"/>
  <c r="B2599" i="12"/>
  <c r="A2599" i="12"/>
  <c r="G2598" i="12"/>
  <c r="E2598" i="12"/>
  <c r="D2598" i="12"/>
  <c r="C2598" i="12"/>
  <c r="B2598" i="12"/>
  <c r="A2598" i="12"/>
  <c r="G2597" i="12"/>
  <c r="E2597" i="12"/>
  <c r="D2597" i="12"/>
  <c r="C2597" i="12"/>
  <c r="B2597" i="12"/>
  <c r="A2597" i="12"/>
  <c r="E2596" i="12"/>
  <c r="D2596" i="12"/>
  <c r="C2596" i="12"/>
  <c r="B2596" i="12"/>
  <c r="A2596" i="12"/>
  <c r="G2595" i="12"/>
  <c r="E2595" i="12"/>
  <c r="D2595" i="12"/>
  <c r="C2595" i="12"/>
  <c r="B2595" i="12"/>
  <c r="A2595" i="12"/>
  <c r="G2594" i="12"/>
  <c r="E2594" i="12"/>
  <c r="D2594" i="12"/>
  <c r="C2594" i="12"/>
  <c r="B2594" i="12"/>
  <c r="A2594" i="12"/>
  <c r="G2593" i="12"/>
  <c r="E2593" i="12"/>
  <c r="D2593" i="12"/>
  <c r="C2593" i="12"/>
  <c r="B2593" i="12"/>
  <c r="A2593" i="12"/>
  <c r="G2592" i="12"/>
  <c r="E2592" i="12"/>
  <c r="D2592" i="12"/>
  <c r="C2592" i="12"/>
  <c r="B2592" i="12"/>
  <c r="A2592" i="12"/>
  <c r="G2591" i="12"/>
  <c r="F2591" i="12"/>
  <c r="E2591" i="12"/>
  <c r="D2591" i="12"/>
  <c r="C2591" i="12"/>
  <c r="B2591" i="12"/>
  <c r="A2591" i="12"/>
  <c r="G2590" i="12"/>
  <c r="E2590" i="12"/>
  <c r="D2590" i="12"/>
  <c r="C2590" i="12"/>
  <c r="B2590" i="12"/>
  <c r="A2590" i="12"/>
  <c r="G2589" i="12"/>
  <c r="E2589" i="12"/>
  <c r="D2589" i="12"/>
  <c r="C2589" i="12"/>
  <c r="B2589" i="12"/>
  <c r="A2589" i="12"/>
  <c r="G2588" i="12"/>
  <c r="E2588" i="12"/>
  <c r="D2588" i="12"/>
  <c r="C2588" i="12"/>
  <c r="B2588" i="12"/>
  <c r="A2588" i="12"/>
  <c r="G2587" i="12"/>
  <c r="F2587" i="12"/>
  <c r="E2587" i="12"/>
  <c r="D2587" i="12"/>
  <c r="C2587" i="12"/>
  <c r="B2587" i="12"/>
  <c r="A2587" i="12"/>
  <c r="G2586" i="12"/>
  <c r="F2586" i="12"/>
  <c r="E2586" i="12"/>
  <c r="D2586" i="12"/>
  <c r="C2586" i="12"/>
  <c r="B2586" i="12"/>
  <c r="A2586" i="12"/>
  <c r="G2585" i="12"/>
  <c r="F2585" i="12"/>
  <c r="E2585" i="12"/>
  <c r="D2585" i="12"/>
  <c r="C2585" i="12"/>
  <c r="B2585" i="12"/>
  <c r="A2585" i="12"/>
  <c r="G2584" i="12"/>
  <c r="E2584" i="12"/>
  <c r="D2584" i="12"/>
  <c r="C2584" i="12"/>
  <c r="B2584" i="12"/>
  <c r="A2584" i="12"/>
  <c r="G2583" i="12"/>
  <c r="E2583" i="12"/>
  <c r="D2583" i="12"/>
  <c r="C2583" i="12"/>
  <c r="B2583" i="12"/>
  <c r="A2583" i="12"/>
  <c r="G2582" i="12"/>
  <c r="E2582" i="12"/>
  <c r="D2582" i="12"/>
  <c r="C2582" i="12"/>
  <c r="B2582" i="12"/>
  <c r="A2582" i="12"/>
  <c r="G2581" i="12"/>
  <c r="E2581" i="12"/>
  <c r="D2581" i="12"/>
  <c r="C2581" i="12"/>
  <c r="B2581" i="12"/>
  <c r="A2581" i="12"/>
  <c r="G2580" i="12"/>
  <c r="E2580" i="12"/>
  <c r="D2580" i="12"/>
  <c r="C2580" i="12"/>
  <c r="B2580" i="12"/>
  <c r="A2580" i="12"/>
  <c r="G2579" i="12"/>
  <c r="E2579" i="12"/>
  <c r="D2579" i="12"/>
  <c r="C2579" i="12"/>
  <c r="B2579" i="12"/>
  <c r="A2579" i="12"/>
  <c r="F2578" i="12"/>
  <c r="E2578" i="12"/>
  <c r="D2578" i="12"/>
  <c r="C2578" i="12"/>
  <c r="B2578" i="12"/>
  <c r="A2578" i="12"/>
  <c r="G2577" i="12"/>
  <c r="E2577" i="12"/>
  <c r="D2577" i="12"/>
  <c r="C2577" i="12"/>
  <c r="B2577" i="12"/>
  <c r="A2577" i="12"/>
  <c r="G2576" i="12"/>
  <c r="F2576" i="12"/>
  <c r="E2576" i="12"/>
  <c r="D2576" i="12"/>
  <c r="C2576" i="12"/>
  <c r="B2576" i="12"/>
  <c r="A2576" i="12"/>
  <c r="G2575" i="12"/>
  <c r="E2575" i="12"/>
  <c r="D2575" i="12"/>
  <c r="C2575" i="12"/>
  <c r="B2575" i="12"/>
  <c r="A2575" i="12"/>
  <c r="G2574" i="12"/>
  <c r="F2574" i="12"/>
  <c r="E2574" i="12"/>
  <c r="D2574" i="12"/>
  <c r="C2574" i="12"/>
  <c r="B2574" i="12"/>
  <c r="A2574" i="12"/>
  <c r="G2573" i="12"/>
  <c r="F2573" i="12"/>
  <c r="E2573" i="12"/>
  <c r="D2573" i="12"/>
  <c r="C2573" i="12"/>
  <c r="B2573" i="12"/>
  <c r="A2573" i="12"/>
  <c r="G2572" i="12"/>
  <c r="F2572" i="12"/>
  <c r="E2572" i="12"/>
  <c r="D2572" i="12"/>
  <c r="C2572" i="12"/>
  <c r="B2572" i="12"/>
  <c r="A2572" i="12"/>
  <c r="G2571" i="12"/>
  <c r="F2571" i="12"/>
  <c r="E2571" i="12"/>
  <c r="D2571" i="12"/>
  <c r="C2571" i="12"/>
  <c r="B2571" i="12"/>
  <c r="A2571" i="12"/>
  <c r="G2570" i="12"/>
  <c r="E2570" i="12"/>
  <c r="D2570" i="12"/>
  <c r="C2570" i="12"/>
  <c r="B2570" i="12"/>
  <c r="A2570" i="12"/>
  <c r="G2569" i="12"/>
  <c r="E2569" i="12"/>
  <c r="D2569" i="12"/>
  <c r="C2569" i="12"/>
  <c r="B2569" i="12"/>
  <c r="A2569" i="12"/>
  <c r="G2568" i="12"/>
  <c r="F2568" i="12"/>
  <c r="E2568" i="12"/>
  <c r="D2568" i="12"/>
  <c r="C2568" i="12"/>
  <c r="B2568" i="12"/>
  <c r="A2568" i="12"/>
  <c r="G2567" i="12"/>
  <c r="E2567" i="12"/>
  <c r="D2567" i="12"/>
  <c r="C2567" i="12"/>
  <c r="B2567" i="12"/>
  <c r="A2567" i="12"/>
  <c r="G2566" i="12"/>
  <c r="F2566" i="12"/>
  <c r="E2566" i="12"/>
  <c r="D2566" i="12"/>
  <c r="C2566" i="12"/>
  <c r="B2566" i="12"/>
  <c r="A2566" i="12"/>
  <c r="G2565" i="12"/>
  <c r="F2565" i="12"/>
  <c r="E2565" i="12"/>
  <c r="D2565" i="12"/>
  <c r="C2565" i="12"/>
  <c r="B2565" i="12"/>
  <c r="A2565" i="12"/>
  <c r="G2564" i="12"/>
  <c r="F2564" i="12"/>
  <c r="E2564" i="12"/>
  <c r="D2564" i="12"/>
  <c r="C2564" i="12"/>
  <c r="B2564" i="12"/>
  <c r="A2564" i="12"/>
  <c r="G2563" i="12"/>
  <c r="F2563" i="12"/>
  <c r="E2563" i="12"/>
  <c r="D2563" i="12"/>
  <c r="C2563" i="12"/>
  <c r="B2563" i="12"/>
  <c r="A2563" i="12"/>
  <c r="G2562" i="12"/>
  <c r="F2562" i="12"/>
  <c r="E2562" i="12"/>
  <c r="D2562" i="12"/>
  <c r="C2562" i="12"/>
  <c r="B2562" i="12"/>
  <c r="A2562" i="12"/>
  <c r="G2561" i="12"/>
  <c r="F2561" i="12"/>
  <c r="E2561" i="12"/>
  <c r="D2561" i="12"/>
  <c r="C2561" i="12"/>
  <c r="B2561" i="12"/>
  <c r="A2561" i="12"/>
  <c r="G2560" i="12"/>
  <c r="F2560" i="12"/>
  <c r="E2560" i="12"/>
  <c r="D2560" i="12"/>
  <c r="C2560" i="12"/>
  <c r="B2560" i="12"/>
  <c r="A2560" i="12"/>
  <c r="G2559" i="12"/>
  <c r="F2559" i="12"/>
  <c r="E2559" i="12"/>
  <c r="D2559" i="12"/>
  <c r="C2559" i="12"/>
  <c r="B2559" i="12"/>
  <c r="A2559" i="12"/>
  <c r="G2558" i="12"/>
  <c r="F2558" i="12"/>
  <c r="E2558" i="12"/>
  <c r="D2558" i="12"/>
  <c r="C2558" i="12"/>
  <c r="B2558" i="12"/>
  <c r="A2558" i="12"/>
  <c r="G2557" i="12"/>
  <c r="E2557" i="12"/>
  <c r="D2557" i="12"/>
  <c r="C2557" i="12"/>
  <c r="B2557" i="12"/>
  <c r="A2557" i="12"/>
  <c r="G2556" i="12"/>
  <c r="F2556" i="12"/>
  <c r="E2556" i="12"/>
  <c r="D2556" i="12"/>
  <c r="C2556" i="12"/>
  <c r="B2556" i="12"/>
  <c r="A2556" i="12"/>
  <c r="G2555" i="12"/>
  <c r="F2555" i="12"/>
  <c r="E2555" i="12"/>
  <c r="D2555" i="12"/>
  <c r="C2555" i="12"/>
  <c r="B2555" i="12"/>
  <c r="A2555" i="12"/>
  <c r="G2554" i="12"/>
  <c r="F2554" i="12"/>
  <c r="E2554" i="12"/>
  <c r="D2554" i="12"/>
  <c r="C2554" i="12"/>
  <c r="B2554" i="12"/>
  <c r="A2554" i="12"/>
  <c r="G2553" i="12"/>
  <c r="E2553" i="12"/>
  <c r="D2553" i="12"/>
  <c r="C2553" i="12"/>
  <c r="B2553" i="12"/>
  <c r="A2553" i="12"/>
  <c r="G2552" i="12"/>
  <c r="E2552" i="12"/>
  <c r="D2552" i="12"/>
  <c r="C2552" i="12"/>
  <c r="B2552" i="12"/>
  <c r="A2552" i="12"/>
  <c r="G2551" i="12"/>
  <c r="E2551" i="12"/>
  <c r="D2551" i="12"/>
  <c r="C2551" i="12"/>
  <c r="B2551" i="12"/>
  <c r="A2551" i="12"/>
  <c r="F2550" i="12"/>
  <c r="E2550" i="12"/>
  <c r="D2550" i="12"/>
  <c r="C2550" i="12"/>
  <c r="B2550" i="12"/>
  <c r="A2550" i="12"/>
  <c r="G2549" i="12"/>
  <c r="F2549" i="12"/>
  <c r="E2549" i="12"/>
  <c r="D2549" i="12"/>
  <c r="C2549" i="12"/>
  <c r="B2549" i="12"/>
  <c r="A2549" i="12"/>
  <c r="G2548" i="12"/>
  <c r="F2548" i="12"/>
  <c r="E2548" i="12"/>
  <c r="D2548" i="12"/>
  <c r="C2548" i="12"/>
  <c r="B2548" i="12"/>
  <c r="A2548" i="12"/>
  <c r="G2547" i="12"/>
  <c r="F2547" i="12"/>
  <c r="E2547" i="12"/>
  <c r="D2547" i="12"/>
  <c r="C2547" i="12"/>
  <c r="B2547" i="12"/>
  <c r="A2547" i="12"/>
  <c r="G2546" i="12"/>
  <c r="F2546" i="12"/>
  <c r="E2546" i="12"/>
  <c r="D2546" i="12"/>
  <c r="C2546" i="12"/>
  <c r="B2546" i="12"/>
  <c r="A2546" i="12"/>
  <c r="F2545" i="12"/>
  <c r="E2545" i="12"/>
  <c r="D2545" i="12"/>
  <c r="C2545" i="12"/>
  <c r="B2545" i="12"/>
  <c r="A2545" i="12"/>
  <c r="G2544" i="12"/>
  <c r="E2544" i="12"/>
  <c r="D2544" i="12"/>
  <c r="C2544" i="12"/>
  <c r="B2544" i="12"/>
  <c r="A2544" i="12"/>
  <c r="G2543" i="12"/>
  <c r="E2543" i="12"/>
  <c r="D2543" i="12"/>
  <c r="C2543" i="12"/>
  <c r="B2543" i="12"/>
  <c r="A2543" i="12"/>
  <c r="G2542" i="12"/>
  <c r="E2542" i="12"/>
  <c r="D2542" i="12"/>
  <c r="C2542" i="12"/>
  <c r="B2542" i="12"/>
  <c r="A2542" i="12"/>
  <c r="G2541" i="12"/>
  <c r="F2541" i="12"/>
  <c r="E2541" i="12"/>
  <c r="D2541" i="12"/>
  <c r="C2541" i="12"/>
  <c r="B2541" i="12"/>
  <c r="A2541" i="12"/>
  <c r="G2540" i="12"/>
  <c r="E2540" i="12"/>
  <c r="D2540" i="12"/>
  <c r="C2540" i="12"/>
  <c r="B2540" i="12"/>
  <c r="A2540" i="12"/>
  <c r="G2539" i="12"/>
  <c r="F2539" i="12"/>
  <c r="E2539" i="12"/>
  <c r="D2539" i="12"/>
  <c r="C2539" i="12"/>
  <c r="B2539" i="12"/>
  <c r="A2539" i="12"/>
  <c r="G2538" i="12"/>
  <c r="E2538" i="12"/>
  <c r="D2538" i="12"/>
  <c r="C2538" i="12"/>
  <c r="B2538" i="12"/>
  <c r="A2538" i="12"/>
  <c r="G2537" i="12"/>
  <c r="E2537" i="12"/>
  <c r="D2537" i="12"/>
  <c r="C2537" i="12"/>
  <c r="B2537" i="12"/>
  <c r="A2537" i="12"/>
  <c r="G2536" i="12"/>
  <c r="E2536" i="12"/>
  <c r="D2536" i="12"/>
  <c r="C2536" i="12"/>
  <c r="B2536" i="12"/>
  <c r="A2536" i="12"/>
  <c r="G2535" i="12"/>
  <c r="E2535" i="12"/>
  <c r="D2535" i="12"/>
  <c r="C2535" i="12"/>
  <c r="B2535" i="12"/>
  <c r="A2535" i="12"/>
  <c r="G2534" i="12"/>
  <c r="E2534" i="12"/>
  <c r="D2534" i="12"/>
  <c r="C2534" i="12"/>
  <c r="B2534" i="12"/>
  <c r="A2534" i="12"/>
  <c r="F2533" i="12"/>
  <c r="E2533" i="12"/>
  <c r="D2533" i="12"/>
  <c r="C2533" i="12"/>
  <c r="B2533" i="12"/>
  <c r="A2533" i="12"/>
  <c r="G2532" i="12"/>
  <c r="E2532" i="12"/>
  <c r="D2532" i="12"/>
  <c r="C2532" i="12"/>
  <c r="B2532" i="12"/>
  <c r="A2532" i="12"/>
  <c r="F2531" i="12"/>
  <c r="E2531" i="12"/>
  <c r="D2531" i="12"/>
  <c r="C2531" i="12"/>
  <c r="B2531" i="12"/>
  <c r="A2531" i="12"/>
  <c r="G2530" i="12"/>
  <c r="E2530" i="12"/>
  <c r="D2530" i="12"/>
  <c r="C2530" i="12"/>
  <c r="B2530" i="12"/>
  <c r="A2530" i="12"/>
  <c r="G2529" i="12"/>
  <c r="E2529" i="12"/>
  <c r="D2529" i="12"/>
  <c r="C2529" i="12"/>
  <c r="B2529" i="12"/>
  <c r="A2529" i="12"/>
  <c r="G2528" i="12"/>
  <c r="E2528" i="12"/>
  <c r="D2528" i="12"/>
  <c r="C2528" i="12"/>
  <c r="B2528" i="12"/>
  <c r="A2528" i="12"/>
  <c r="G2527" i="12"/>
  <c r="E2527" i="12"/>
  <c r="D2527" i="12"/>
  <c r="C2527" i="12"/>
  <c r="B2527" i="12"/>
  <c r="A2527" i="12"/>
  <c r="G2526" i="12"/>
  <c r="E2526" i="12"/>
  <c r="D2526" i="12"/>
  <c r="C2526" i="12"/>
  <c r="B2526" i="12"/>
  <c r="A2526" i="12"/>
  <c r="G2525" i="12"/>
  <c r="E2525" i="12"/>
  <c r="D2525" i="12"/>
  <c r="C2525" i="12"/>
  <c r="B2525" i="12"/>
  <c r="A2525" i="12"/>
  <c r="G2524" i="12"/>
  <c r="E2524" i="12"/>
  <c r="D2524" i="12"/>
  <c r="C2524" i="12"/>
  <c r="B2524" i="12"/>
  <c r="A2524" i="12"/>
  <c r="G2523" i="12"/>
  <c r="F2523" i="12"/>
  <c r="E2523" i="12"/>
  <c r="D2523" i="12"/>
  <c r="C2523" i="12"/>
  <c r="B2523" i="12"/>
  <c r="A2523" i="12"/>
  <c r="G2522" i="12"/>
  <c r="E2522" i="12"/>
  <c r="D2522" i="12"/>
  <c r="C2522" i="12"/>
  <c r="B2522" i="12"/>
  <c r="A2522" i="12"/>
  <c r="G2521" i="12"/>
  <c r="E2521" i="12"/>
  <c r="D2521" i="12"/>
  <c r="C2521" i="12"/>
  <c r="B2521" i="12"/>
  <c r="A2521" i="12"/>
  <c r="G2520" i="12"/>
  <c r="E2520" i="12"/>
  <c r="D2520" i="12"/>
  <c r="C2520" i="12"/>
  <c r="B2520" i="12"/>
  <c r="A2520" i="12"/>
  <c r="G2519" i="12"/>
  <c r="E2519" i="12"/>
  <c r="D2519" i="12"/>
  <c r="C2519" i="12"/>
  <c r="B2519" i="12"/>
  <c r="A2519" i="12"/>
  <c r="G2518" i="12"/>
  <c r="E2518" i="12"/>
  <c r="D2518" i="12"/>
  <c r="C2518" i="12"/>
  <c r="B2518" i="12"/>
  <c r="A2518" i="12"/>
  <c r="G2517" i="12"/>
  <c r="E2517" i="12"/>
  <c r="D2517" i="12"/>
  <c r="C2517" i="12"/>
  <c r="B2517" i="12"/>
  <c r="A2517" i="12"/>
  <c r="G2516" i="12"/>
  <c r="F2516" i="12"/>
  <c r="E2516" i="12"/>
  <c r="D2516" i="12"/>
  <c r="C2516" i="12"/>
  <c r="B2516" i="12"/>
  <c r="A2516" i="12"/>
  <c r="G2515" i="12"/>
  <c r="E2515" i="12"/>
  <c r="D2515" i="12"/>
  <c r="C2515" i="12"/>
  <c r="B2515" i="12"/>
  <c r="A2515" i="12"/>
  <c r="G2514" i="12"/>
  <c r="E2514" i="12"/>
  <c r="D2514" i="12"/>
  <c r="C2514" i="12"/>
  <c r="B2514" i="12"/>
  <c r="A2514" i="12"/>
  <c r="G2513" i="12"/>
  <c r="E2513" i="12"/>
  <c r="D2513" i="12"/>
  <c r="C2513" i="12"/>
  <c r="B2513" i="12"/>
  <c r="A2513" i="12"/>
  <c r="G2512" i="12"/>
  <c r="E2512" i="12"/>
  <c r="D2512" i="12"/>
  <c r="C2512" i="12"/>
  <c r="B2512" i="12"/>
  <c r="A2512" i="12"/>
  <c r="G2511" i="12"/>
  <c r="F2511" i="12"/>
  <c r="E2511" i="12"/>
  <c r="D2511" i="12"/>
  <c r="C2511" i="12"/>
  <c r="B2511" i="12"/>
  <c r="A2511" i="12"/>
  <c r="G2510" i="12"/>
  <c r="F2510" i="12"/>
  <c r="E2510" i="12"/>
  <c r="D2510" i="12"/>
  <c r="C2510" i="12"/>
  <c r="B2510" i="12"/>
  <c r="A2510" i="12"/>
  <c r="G2509" i="12"/>
  <c r="E2509" i="12"/>
  <c r="D2509" i="12"/>
  <c r="C2509" i="12"/>
  <c r="B2509" i="12"/>
  <c r="A2509" i="12"/>
  <c r="G2508" i="12"/>
  <c r="F2508" i="12"/>
  <c r="E2508" i="12"/>
  <c r="D2508" i="12"/>
  <c r="C2508" i="12"/>
  <c r="B2508" i="12"/>
  <c r="A2508" i="12"/>
  <c r="G2507" i="12"/>
  <c r="E2507" i="12"/>
  <c r="D2507" i="12"/>
  <c r="C2507" i="12"/>
  <c r="B2507" i="12"/>
  <c r="A2507" i="12"/>
  <c r="F2506" i="12"/>
  <c r="E2506" i="12"/>
  <c r="D2506" i="12"/>
  <c r="C2506" i="12"/>
  <c r="B2506" i="12"/>
  <c r="A2506" i="12"/>
  <c r="G2505" i="12"/>
  <c r="F2505" i="12"/>
  <c r="E2505" i="12"/>
  <c r="D2505" i="12"/>
  <c r="C2505" i="12"/>
  <c r="B2505" i="12"/>
  <c r="A2505" i="12"/>
  <c r="G2504" i="12"/>
  <c r="E2504" i="12"/>
  <c r="D2504" i="12"/>
  <c r="C2504" i="12"/>
  <c r="B2504" i="12"/>
  <c r="A2504" i="12"/>
  <c r="G2503" i="12"/>
  <c r="F2503" i="12"/>
  <c r="E2503" i="12"/>
  <c r="D2503" i="12"/>
  <c r="C2503" i="12"/>
  <c r="B2503" i="12"/>
  <c r="A2503" i="12"/>
  <c r="G2502" i="12"/>
  <c r="E2502" i="12"/>
  <c r="D2502" i="12"/>
  <c r="C2502" i="12"/>
  <c r="B2502" i="12"/>
  <c r="A2502" i="12"/>
  <c r="G2501" i="12"/>
  <c r="F2501" i="12"/>
  <c r="E2501" i="12"/>
  <c r="D2501" i="12"/>
  <c r="C2501" i="12"/>
  <c r="B2501" i="12"/>
  <c r="A2501" i="12"/>
  <c r="G2500" i="12"/>
  <c r="E2500" i="12"/>
  <c r="D2500" i="12"/>
  <c r="C2500" i="12"/>
  <c r="B2500" i="12"/>
  <c r="A2500" i="12"/>
  <c r="G2499" i="12"/>
  <c r="F2499" i="12"/>
  <c r="E2499" i="12"/>
  <c r="D2499" i="12"/>
  <c r="C2499" i="12"/>
  <c r="B2499" i="12"/>
  <c r="A2499" i="12"/>
  <c r="G2498" i="12"/>
  <c r="E2498" i="12"/>
  <c r="D2498" i="12"/>
  <c r="C2498" i="12"/>
  <c r="B2498" i="12"/>
  <c r="A2498" i="12"/>
  <c r="E2497" i="12"/>
  <c r="D2497" i="12"/>
  <c r="C2497" i="12"/>
  <c r="B2497" i="12"/>
  <c r="A2497" i="12"/>
  <c r="G2496" i="12"/>
  <c r="E2496" i="12"/>
  <c r="D2496" i="12"/>
  <c r="C2496" i="12"/>
  <c r="B2496" i="12"/>
  <c r="A2496" i="12"/>
  <c r="G2495" i="12"/>
  <c r="E2495" i="12"/>
  <c r="D2495" i="12"/>
  <c r="C2495" i="12"/>
  <c r="B2495" i="12"/>
  <c r="A2495" i="12"/>
  <c r="G2494" i="12"/>
  <c r="E2494" i="12"/>
  <c r="D2494" i="12"/>
  <c r="C2494" i="12"/>
  <c r="B2494" i="12"/>
  <c r="A2494" i="12"/>
  <c r="G2493" i="12"/>
  <c r="E2493" i="12"/>
  <c r="D2493" i="12"/>
  <c r="C2493" i="12"/>
  <c r="B2493" i="12"/>
  <c r="A2493" i="12"/>
  <c r="G2492" i="12"/>
  <c r="E2492" i="12"/>
  <c r="D2492" i="12"/>
  <c r="C2492" i="12"/>
  <c r="B2492" i="12"/>
  <c r="A2492" i="12"/>
  <c r="G2491" i="12"/>
  <c r="E2491" i="12"/>
  <c r="D2491" i="12"/>
  <c r="C2491" i="12"/>
  <c r="B2491" i="12"/>
  <c r="A2491" i="12"/>
  <c r="G2490" i="12"/>
  <c r="E2490" i="12"/>
  <c r="D2490" i="12"/>
  <c r="C2490" i="12"/>
  <c r="B2490" i="12"/>
  <c r="A2490" i="12"/>
  <c r="G2489" i="12"/>
  <c r="E2489" i="12"/>
  <c r="D2489" i="12"/>
  <c r="C2489" i="12"/>
  <c r="B2489" i="12"/>
  <c r="A2489" i="12"/>
  <c r="E2488" i="12"/>
  <c r="D2488" i="12"/>
  <c r="C2488" i="12"/>
  <c r="B2488" i="12"/>
  <c r="A2488" i="12"/>
  <c r="E2487" i="12"/>
  <c r="D2487" i="12"/>
  <c r="C2487" i="12"/>
  <c r="B2487" i="12"/>
  <c r="A2487" i="12"/>
  <c r="E2486" i="12"/>
  <c r="D2486" i="12"/>
  <c r="C2486" i="12"/>
  <c r="B2486" i="12"/>
  <c r="A2486" i="12"/>
  <c r="E2485" i="12"/>
  <c r="D2485" i="12"/>
  <c r="C2485" i="12"/>
  <c r="B2485" i="12"/>
  <c r="A2485" i="12"/>
  <c r="E2484" i="12"/>
  <c r="D2484" i="12"/>
  <c r="C2484" i="12"/>
  <c r="B2484" i="12"/>
  <c r="A2484" i="12"/>
  <c r="E2483" i="12"/>
  <c r="D2483" i="12"/>
  <c r="C2483" i="12"/>
  <c r="B2483" i="12"/>
  <c r="A2483" i="12"/>
  <c r="E2482" i="12"/>
  <c r="D2482" i="12"/>
  <c r="C2482" i="12"/>
  <c r="B2482" i="12"/>
  <c r="A2482" i="12"/>
  <c r="E2481" i="12"/>
  <c r="D2481" i="12"/>
  <c r="C2481" i="12"/>
  <c r="B2481" i="12"/>
  <c r="A2481" i="12"/>
  <c r="E2480" i="12"/>
  <c r="D2480" i="12"/>
  <c r="C2480" i="12"/>
  <c r="B2480" i="12"/>
  <c r="A2480" i="12"/>
  <c r="E2479" i="12"/>
  <c r="D2479" i="12"/>
  <c r="C2479" i="12"/>
  <c r="B2479" i="12"/>
  <c r="A2479" i="12"/>
  <c r="E2478" i="12"/>
  <c r="D2478" i="12"/>
  <c r="C2478" i="12"/>
  <c r="B2478" i="12"/>
  <c r="A2478" i="12"/>
  <c r="E2477" i="12"/>
  <c r="D2477" i="12"/>
  <c r="C2477" i="12"/>
  <c r="B2477" i="12"/>
  <c r="A2477" i="12"/>
  <c r="E2476" i="12"/>
  <c r="D2476" i="12"/>
  <c r="C2476" i="12"/>
  <c r="B2476" i="12"/>
  <c r="A2476" i="12"/>
  <c r="E2475" i="12"/>
  <c r="D2475" i="12"/>
  <c r="C2475" i="12"/>
  <c r="B2475" i="12"/>
  <c r="A2475" i="12"/>
  <c r="E2474" i="12"/>
  <c r="D2474" i="12"/>
  <c r="C2474" i="12"/>
  <c r="B2474" i="12"/>
  <c r="A2474" i="12"/>
  <c r="E2473" i="12"/>
  <c r="D2473" i="12"/>
  <c r="C2473" i="12"/>
  <c r="B2473" i="12"/>
  <c r="A2473" i="12"/>
  <c r="E2472" i="12"/>
  <c r="D2472" i="12"/>
  <c r="C2472" i="12"/>
  <c r="B2472" i="12"/>
  <c r="A2472" i="12"/>
  <c r="E2471" i="12"/>
  <c r="D2471" i="12"/>
  <c r="C2471" i="12"/>
  <c r="B2471" i="12"/>
  <c r="A2471" i="12"/>
  <c r="E2470" i="12"/>
  <c r="D2470" i="12"/>
  <c r="C2470" i="12"/>
  <c r="B2470" i="12"/>
  <c r="A2470" i="12"/>
  <c r="E2469" i="12"/>
  <c r="D2469" i="12"/>
  <c r="C2469" i="12"/>
  <c r="B2469" i="12"/>
  <c r="A2469" i="12"/>
  <c r="E2468" i="12"/>
  <c r="D2468" i="12"/>
  <c r="C2468" i="12"/>
  <c r="B2468" i="12"/>
  <c r="A2468" i="12"/>
  <c r="E2467" i="12"/>
  <c r="D2467" i="12"/>
  <c r="C2467" i="12"/>
  <c r="B2467" i="12"/>
  <c r="A2467" i="12"/>
  <c r="E2466" i="12"/>
  <c r="D2466" i="12"/>
  <c r="C2466" i="12"/>
  <c r="B2466" i="12"/>
  <c r="A2466" i="12"/>
  <c r="E2465" i="12"/>
  <c r="D2465" i="12"/>
  <c r="C2465" i="12"/>
  <c r="B2465" i="12"/>
  <c r="A2465" i="12"/>
  <c r="E2464" i="12"/>
  <c r="D2464" i="12"/>
  <c r="C2464" i="12"/>
  <c r="B2464" i="12"/>
  <c r="A2464" i="12"/>
  <c r="E2463" i="12"/>
  <c r="D2463" i="12"/>
  <c r="C2463" i="12"/>
  <c r="B2463" i="12"/>
  <c r="A2463" i="12"/>
  <c r="E2462" i="12"/>
  <c r="D2462" i="12"/>
  <c r="C2462" i="12"/>
  <c r="B2462" i="12"/>
  <c r="A2462" i="12"/>
  <c r="E2461" i="12"/>
  <c r="D2461" i="12"/>
  <c r="C2461" i="12"/>
  <c r="B2461" i="12"/>
  <c r="A2461" i="12"/>
  <c r="G2460" i="12"/>
  <c r="E2460" i="12"/>
  <c r="D2460" i="12"/>
  <c r="C2460" i="12"/>
  <c r="B2460" i="12"/>
  <c r="A2460" i="12"/>
  <c r="E2459" i="12"/>
  <c r="D2459" i="12"/>
  <c r="C2459" i="12"/>
  <c r="B2459" i="12"/>
  <c r="A2459" i="12"/>
  <c r="E2458" i="12"/>
  <c r="D2458" i="12"/>
  <c r="C2458" i="12"/>
  <c r="B2458" i="12"/>
  <c r="A2458" i="12"/>
  <c r="E2457" i="12"/>
  <c r="D2457" i="12"/>
  <c r="C2457" i="12"/>
  <c r="B2457" i="12"/>
  <c r="A2457" i="12"/>
  <c r="E2456" i="12"/>
  <c r="D2456" i="12"/>
  <c r="C2456" i="12"/>
  <c r="B2456" i="12"/>
  <c r="A2456" i="12"/>
  <c r="E2455" i="12"/>
  <c r="D2455" i="12"/>
  <c r="C2455" i="12"/>
  <c r="B2455" i="12"/>
  <c r="A2455" i="12"/>
  <c r="E2454" i="12"/>
  <c r="D2454" i="12"/>
  <c r="C2454" i="12"/>
  <c r="B2454" i="12"/>
  <c r="A2454" i="12"/>
  <c r="G2453" i="12"/>
  <c r="E2453" i="12"/>
  <c r="D2453" i="12"/>
  <c r="C2453" i="12"/>
  <c r="B2453" i="12"/>
  <c r="A2453" i="12"/>
  <c r="E2452" i="12"/>
  <c r="D2452" i="12"/>
  <c r="C2452" i="12"/>
  <c r="B2452" i="12"/>
  <c r="A2452" i="12"/>
  <c r="E2451" i="12"/>
  <c r="D2451" i="12"/>
  <c r="C2451" i="12"/>
  <c r="B2451" i="12"/>
  <c r="A2451" i="12"/>
  <c r="E2450" i="12"/>
  <c r="D2450" i="12"/>
  <c r="C2450" i="12"/>
  <c r="B2450" i="12"/>
  <c r="A2450" i="12"/>
  <c r="E2449" i="12"/>
  <c r="D2449" i="12"/>
  <c r="C2449" i="12"/>
  <c r="B2449" i="12"/>
  <c r="A2449" i="12"/>
  <c r="E2448" i="12"/>
  <c r="D2448" i="12"/>
  <c r="C2448" i="12"/>
  <c r="B2448" i="12"/>
  <c r="A2448" i="12"/>
  <c r="E2447" i="12"/>
  <c r="D2447" i="12"/>
  <c r="C2447" i="12"/>
  <c r="B2447" i="12"/>
  <c r="A2447" i="12"/>
  <c r="E2446" i="12"/>
  <c r="D2446" i="12"/>
  <c r="C2446" i="12"/>
  <c r="B2446" i="12"/>
  <c r="A2446" i="12"/>
  <c r="E2445" i="12"/>
  <c r="D2445" i="12"/>
  <c r="C2445" i="12"/>
  <c r="B2445" i="12"/>
  <c r="A2445" i="12"/>
  <c r="E2444" i="12"/>
  <c r="D2444" i="12"/>
  <c r="C2444" i="12"/>
  <c r="B2444" i="12"/>
  <c r="A2444" i="12"/>
  <c r="E2443" i="12"/>
  <c r="D2443" i="12"/>
  <c r="C2443" i="12"/>
  <c r="B2443" i="12"/>
  <c r="A2443" i="12"/>
  <c r="E2442" i="12"/>
  <c r="D2442" i="12"/>
  <c r="C2442" i="12"/>
  <c r="B2442" i="12"/>
  <c r="A2442" i="12"/>
  <c r="E2441" i="12"/>
  <c r="D2441" i="12"/>
  <c r="C2441" i="12"/>
  <c r="B2441" i="12"/>
  <c r="A2441" i="12"/>
  <c r="E2440" i="12"/>
  <c r="D2440" i="12"/>
  <c r="C2440" i="12"/>
  <c r="B2440" i="12"/>
  <c r="A2440" i="12"/>
  <c r="E2439" i="12"/>
  <c r="D2439" i="12"/>
  <c r="C2439" i="12"/>
  <c r="B2439" i="12"/>
  <c r="A2439" i="12"/>
  <c r="E2438" i="12"/>
  <c r="D2438" i="12"/>
  <c r="C2438" i="12"/>
  <c r="B2438" i="12"/>
  <c r="A2438" i="12"/>
  <c r="E2437" i="12"/>
  <c r="D2437" i="12"/>
  <c r="C2437" i="12"/>
  <c r="B2437" i="12"/>
  <c r="A2437" i="12"/>
  <c r="E2436" i="12"/>
  <c r="D2436" i="12"/>
  <c r="C2436" i="12"/>
  <c r="B2436" i="12"/>
  <c r="A2436" i="12"/>
  <c r="E2435" i="12"/>
  <c r="D2435" i="12"/>
  <c r="C2435" i="12"/>
  <c r="B2435" i="12"/>
  <c r="A2435" i="12"/>
  <c r="E2434" i="12"/>
  <c r="D2434" i="12"/>
  <c r="C2434" i="12"/>
  <c r="B2434" i="12"/>
  <c r="A2434" i="12"/>
  <c r="E2433" i="12"/>
  <c r="D2433" i="12"/>
  <c r="C2433" i="12"/>
  <c r="B2433" i="12"/>
  <c r="A2433" i="12"/>
  <c r="E2432" i="12"/>
  <c r="D2432" i="12"/>
  <c r="C2432" i="12"/>
  <c r="B2432" i="12"/>
  <c r="A2432" i="12"/>
  <c r="E2431" i="12"/>
  <c r="D2431" i="12"/>
  <c r="C2431" i="12"/>
  <c r="B2431" i="12"/>
  <c r="A2431" i="12"/>
  <c r="E2430" i="12"/>
  <c r="D2430" i="12"/>
  <c r="C2430" i="12"/>
  <c r="B2430" i="12"/>
  <c r="A2430" i="12"/>
  <c r="G2429" i="12"/>
  <c r="E2429" i="12"/>
  <c r="D2429" i="12"/>
  <c r="C2429" i="12"/>
  <c r="B2429" i="12"/>
  <c r="A2429" i="12"/>
  <c r="E2428" i="12"/>
  <c r="D2428" i="12"/>
  <c r="C2428" i="12"/>
  <c r="B2428" i="12"/>
  <c r="A2428" i="12"/>
  <c r="E2427" i="12"/>
  <c r="D2427" i="12"/>
  <c r="C2427" i="12"/>
  <c r="B2427" i="12"/>
  <c r="A2427" i="12"/>
  <c r="G2426" i="12"/>
  <c r="E2426" i="12"/>
  <c r="D2426" i="12"/>
  <c r="C2426" i="12"/>
  <c r="B2426" i="12"/>
  <c r="A2426" i="12"/>
  <c r="E2425" i="12"/>
  <c r="D2425" i="12"/>
  <c r="C2425" i="12"/>
  <c r="B2425" i="12"/>
  <c r="A2425" i="12"/>
  <c r="E2424" i="12"/>
  <c r="D2424" i="12"/>
  <c r="C2424" i="12"/>
  <c r="B2424" i="12"/>
  <c r="A2424" i="12"/>
  <c r="E2423" i="12"/>
  <c r="D2423" i="12"/>
  <c r="C2423" i="12"/>
  <c r="B2423" i="12"/>
  <c r="A2423" i="12"/>
  <c r="E2422" i="12"/>
  <c r="D2422" i="12"/>
  <c r="C2422" i="12"/>
  <c r="B2422" i="12"/>
  <c r="A2422" i="12"/>
  <c r="E2421" i="12"/>
  <c r="D2421" i="12"/>
  <c r="C2421" i="12"/>
  <c r="B2421" i="12"/>
  <c r="A2421" i="12"/>
  <c r="G2420" i="12"/>
  <c r="E2420" i="12"/>
  <c r="D2420" i="12"/>
  <c r="C2420" i="12"/>
  <c r="B2420" i="12"/>
  <c r="A2420" i="12"/>
  <c r="E2419" i="12"/>
  <c r="D2419" i="12"/>
  <c r="C2419" i="12"/>
  <c r="B2419" i="12"/>
  <c r="A2419" i="12"/>
  <c r="E2418" i="12"/>
  <c r="D2418" i="12"/>
  <c r="C2418" i="12"/>
  <c r="B2418" i="12"/>
  <c r="A2418" i="12"/>
  <c r="E2417" i="12"/>
  <c r="D2417" i="12"/>
  <c r="C2417" i="12"/>
  <c r="B2417" i="12"/>
  <c r="A2417" i="12"/>
  <c r="E2416" i="12"/>
  <c r="D2416" i="12"/>
  <c r="C2416" i="12"/>
  <c r="B2416" i="12"/>
  <c r="A2416" i="12"/>
  <c r="E2415" i="12"/>
  <c r="D2415" i="12"/>
  <c r="C2415" i="12"/>
  <c r="B2415" i="12"/>
  <c r="A2415" i="12"/>
  <c r="G2414" i="12"/>
  <c r="E2414" i="12"/>
  <c r="D2414" i="12"/>
  <c r="C2414" i="12"/>
  <c r="B2414" i="12"/>
  <c r="A2414" i="12"/>
  <c r="E2413" i="12"/>
  <c r="D2413" i="12"/>
  <c r="C2413" i="12"/>
  <c r="B2413" i="12"/>
  <c r="A2413" i="12"/>
  <c r="E2412" i="12"/>
  <c r="D2412" i="12"/>
  <c r="C2412" i="12"/>
  <c r="B2412" i="12"/>
  <c r="A2412" i="12"/>
  <c r="E2411" i="12"/>
  <c r="D2411" i="12"/>
  <c r="C2411" i="12"/>
  <c r="B2411" i="12"/>
  <c r="A2411" i="12"/>
  <c r="E2410" i="12"/>
  <c r="D2410" i="12"/>
  <c r="C2410" i="12"/>
  <c r="B2410" i="12"/>
  <c r="A2410" i="12"/>
  <c r="E2409" i="12"/>
  <c r="D2409" i="12"/>
  <c r="C2409" i="12"/>
  <c r="B2409" i="12"/>
  <c r="A2409" i="12"/>
  <c r="E2408" i="12"/>
  <c r="D2408" i="12"/>
  <c r="C2408" i="12"/>
  <c r="B2408" i="12"/>
  <c r="A2408" i="12"/>
  <c r="E2407" i="12"/>
  <c r="D2407" i="12"/>
  <c r="C2407" i="12"/>
  <c r="B2407" i="12"/>
  <c r="A2407" i="12"/>
  <c r="E2406" i="12"/>
  <c r="D2406" i="12"/>
  <c r="C2406" i="12"/>
  <c r="B2406" i="12"/>
  <c r="A2406" i="12"/>
  <c r="E2405" i="12"/>
  <c r="D2405" i="12"/>
  <c r="C2405" i="12"/>
  <c r="B2405" i="12"/>
  <c r="A2405" i="12"/>
  <c r="E2404" i="12"/>
  <c r="D2404" i="12"/>
  <c r="C2404" i="12"/>
  <c r="B2404" i="12"/>
  <c r="A2404" i="12"/>
  <c r="E2403" i="12"/>
  <c r="D2403" i="12"/>
  <c r="C2403" i="12"/>
  <c r="B2403" i="12"/>
  <c r="A2403" i="12"/>
  <c r="E2402" i="12"/>
  <c r="D2402" i="12"/>
  <c r="C2402" i="12"/>
  <c r="B2402" i="12"/>
  <c r="A2402" i="12"/>
  <c r="G2401" i="12"/>
  <c r="E2401" i="12"/>
  <c r="D2401" i="12"/>
  <c r="C2401" i="12"/>
  <c r="B2401" i="12"/>
  <c r="A2401" i="12"/>
  <c r="G2400" i="12"/>
  <c r="E2400" i="12"/>
  <c r="D2400" i="12"/>
  <c r="C2400" i="12"/>
  <c r="B2400" i="12"/>
  <c r="A2400" i="12"/>
  <c r="E2399" i="12"/>
  <c r="D2399" i="12"/>
  <c r="C2399" i="12"/>
  <c r="B2399" i="12"/>
  <c r="A2399" i="12"/>
  <c r="G2398" i="12"/>
  <c r="E2398" i="12"/>
  <c r="D2398" i="12"/>
  <c r="C2398" i="12"/>
  <c r="B2398" i="12"/>
  <c r="A2398" i="12"/>
  <c r="E2397" i="12"/>
  <c r="D2397" i="12"/>
  <c r="C2397" i="12"/>
  <c r="B2397" i="12"/>
  <c r="A2397" i="12"/>
  <c r="G2396" i="12"/>
  <c r="E2396" i="12"/>
  <c r="D2396" i="12"/>
  <c r="C2396" i="12"/>
  <c r="B2396" i="12"/>
  <c r="A2396" i="12"/>
  <c r="E2395" i="12"/>
  <c r="D2395" i="12"/>
  <c r="C2395" i="12"/>
  <c r="B2395" i="12"/>
  <c r="A2395" i="12"/>
  <c r="E2394" i="12"/>
  <c r="D2394" i="12"/>
  <c r="C2394" i="12"/>
  <c r="B2394" i="12"/>
  <c r="A2394" i="12"/>
  <c r="E2393" i="12"/>
  <c r="D2393" i="12"/>
  <c r="C2393" i="12"/>
  <c r="B2393" i="12"/>
  <c r="A2393" i="12"/>
  <c r="E2392" i="12"/>
  <c r="D2392" i="12"/>
  <c r="C2392" i="12"/>
  <c r="B2392" i="12"/>
  <c r="A2392" i="12"/>
  <c r="E2391" i="12"/>
  <c r="D2391" i="12"/>
  <c r="C2391" i="12"/>
  <c r="B2391" i="12"/>
  <c r="A2391" i="12"/>
  <c r="E2390" i="12"/>
  <c r="D2390" i="12"/>
  <c r="C2390" i="12"/>
  <c r="B2390" i="12"/>
  <c r="A2390" i="12"/>
  <c r="E2389" i="12"/>
  <c r="D2389" i="12"/>
  <c r="C2389" i="12"/>
  <c r="B2389" i="12"/>
  <c r="A2389" i="12"/>
  <c r="E2388" i="12"/>
  <c r="D2388" i="12"/>
  <c r="C2388" i="12"/>
  <c r="B2388" i="12"/>
  <c r="A2388" i="12"/>
  <c r="E2387" i="12"/>
  <c r="D2387" i="12"/>
  <c r="C2387" i="12"/>
  <c r="B2387" i="12"/>
  <c r="A2387" i="12"/>
  <c r="E2386" i="12"/>
  <c r="D2386" i="12"/>
  <c r="C2386" i="12"/>
  <c r="B2386" i="12"/>
  <c r="A2386" i="12"/>
  <c r="E2385" i="12"/>
  <c r="D2385" i="12"/>
  <c r="C2385" i="12"/>
  <c r="B2385" i="12"/>
  <c r="A2385" i="12"/>
  <c r="E2384" i="12"/>
  <c r="D2384" i="12"/>
  <c r="C2384" i="12"/>
  <c r="B2384" i="12"/>
  <c r="A2384" i="12"/>
  <c r="E2383" i="12"/>
  <c r="D2383" i="12"/>
  <c r="C2383" i="12"/>
  <c r="B2383" i="12"/>
  <c r="A2383" i="12"/>
  <c r="E2382" i="12"/>
  <c r="D2382" i="12"/>
  <c r="C2382" i="12"/>
  <c r="B2382" i="12"/>
  <c r="A2382" i="12"/>
  <c r="E2381" i="12"/>
  <c r="D2381" i="12"/>
  <c r="C2381" i="12"/>
  <c r="B2381" i="12"/>
  <c r="A2381" i="12"/>
  <c r="G2380" i="12"/>
  <c r="E2380" i="12"/>
  <c r="D2380" i="12"/>
  <c r="C2380" i="12"/>
  <c r="B2380" i="12"/>
  <c r="A2380" i="12"/>
  <c r="E2379" i="12"/>
  <c r="D2379" i="12"/>
  <c r="C2379" i="12"/>
  <c r="B2379" i="12"/>
  <c r="A2379" i="12"/>
  <c r="G2378" i="12"/>
  <c r="E2378" i="12"/>
  <c r="D2378" i="12"/>
  <c r="C2378" i="12"/>
  <c r="B2378" i="12"/>
  <c r="A2378" i="12"/>
  <c r="G2377" i="12"/>
  <c r="F2377" i="12"/>
  <c r="E2377" i="12"/>
  <c r="D2377" i="12"/>
  <c r="C2377" i="12"/>
  <c r="B2377" i="12"/>
  <c r="A2377" i="12"/>
  <c r="E2376" i="12"/>
  <c r="D2376" i="12"/>
  <c r="C2376" i="12"/>
  <c r="B2376" i="12"/>
  <c r="A2376" i="12"/>
  <c r="E2375" i="12"/>
  <c r="D2375" i="12"/>
  <c r="C2375" i="12"/>
  <c r="B2375" i="12"/>
  <c r="A2375" i="12"/>
  <c r="E2374" i="12"/>
  <c r="D2374" i="12"/>
  <c r="C2374" i="12"/>
  <c r="B2374" i="12"/>
  <c r="A2374" i="12"/>
  <c r="G2373" i="12"/>
  <c r="E2373" i="12"/>
  <c r="D2373" i="12"/>
  <c r="C2373" i="12"/>
  <c r="B2373" i="12"/>
  <c r="A2373" i="12"/>
  <c r="F2372" i="12"/>
  <c r="E2372" i="12"/>
  <c r="D2372" i="12"/>
  <c r="C2372" i="12"/>
  <c r="B2372" i="12"/>
  <c r="A2372" i="12"/>
  <c r="E2371" i="12"/>
  <c r="D2371" i="12"/>
  <c r="C2371" i="12"/>
  <c r="B2371" i="12"/>
  <c r="A2371" i="12"/>
  <c r="G2370" i="12"/>
  <c r="E2370" i="12"/>
  <c r="D2370" i="12"/>
  <c r="C2370" i="12"/>
  <c r="B2370" i="12"/>
  <c r="A2370" i="12"/>
  <c r="E2369" i="12"/>
  <c r="D2369" i="12"/>
  <c r="C2369" i="12"/>
  <c r="B2369" i="12"/>
  <c r="A2369" i="12"/>
  <c r="G2368" i="12"/>
  <c r="E2368" i="12"/>
  <c r="D2368" i="12"/>
  <c r="C2368" i="12"/>
  <c r="B2368" i="12"/>
  <c r="A2368" i="12"/>
  <c r="E2367" i="12"/>
  <c r="D2367" i="12"/>
  <c r="C2367" i="12"/>
  <c r="B2367" i="12"/>
  <c r="A2367" i="12"/>
  <c r="G2366" i="12"/>
  <c r="E2366" i="12"/>
  <c r="D2366" i="12"/>
  <c r="C2366" i="12"/>
  <c r="B2366" i="12"/>
  <c r="A2366" i="12"/>
  <c r="E2365" i="12"/>
  <c r="D2365" i="12"/>
  <c r="C2365" i="12"/>
  <c r="B2365" i="12"/>
  <c r="A2365" i="12"/>
  <c r="G2364" i="12"/>
  <c r="E2364" i="12"/>
  <c r="D2364" i="12"/>
  <c r="C2364" i="12"/>
  <c r="B2364" i="12"/>
  <c r="A2364" i="12"/>
  <c r="E2363" i="12"/>
  <c r="D2363" i="12"/>
  <c r="C2363" i="12"/>
  <c r="B2363" i="12"/>
  <c r="A2363" i="12"/>
  <c r="E2362" i="12"/>
  <c r="D2362" i="12"/>
  <c r="C2362" i="12"/>
  <c r="B2362" i="12"/>
  <c r="A2362" i="12"/>
  <c r="E2361" i="12"/>
  <c r="D2361" i="12"/>
  <c r="C2361" i="12"/>
  <c r="B2361" i="12"/>
  <c r="A2361" i="12"/>
  <c r="E2360" i="12"/>
  <c r="D2360" i="12"/>
  <c r="C2360" i="12"/>
  <c r="B2360" i="12"/>
  <c r="A2360" i="12"/>
  <c r="E2359" i="12"/>
  <c r="D2359" i="12"/>
  <c r="C2359" i="12"/>
  <c r="B2359" i="12"/>
  <c r="A2359" i="12"/>
  <c r="E2358" i="12"/>
  <c r="D2358" i="12"/>
  <c r="C2358" i="12"/>
  <c r="B2358" i="12"/>
  <c r="A2358" i="12"/>
  <c r="F2357" i="12"/>
  <c r="E2357" i="12"/>
  <c r="D2357" i="12"/>
  <c r="C2357" i="12"/>
  <c r="B2357" i="12"/>
  <c r="A2357" i="12"/>
  <c r="E2356" i="12"/>
  <c r="D2356" i="12"/>
  <c r="C2356" i="12"/>
  <c r="B2356" i="12"/>
  <c r="A2356" i="12"/>
  <c r="G2355" i="12"/>
  <c r="E2355" i="12"/>
  <c r="D2355" i="12"/>
  <c r="C2355" i="12"/>
  <c r="B2355" i="12"/>
  <c r="A2355" i="12"/>
  <c r="G2354" i="12"/>
  <c r="E2354" i="12"/>
  <c r="D2354" i="12"/>
  <c r="C2354" i="12"/>
  <c r="B2354" i="12"/>
  <c r="A2354" i="12"/>
  <c r="E2353" i="12"/>
  <c r="D2353" i="12"/>
  <c r="C2353" i="12"/>
  <c r="B2353" i="12"/>
  <c r="A2353" i="12"/>
  <c r="E2352" i="12"/>
  <c r="D2352" i="12"/>
  <c r="C2352" i="12"/>
  <c r="B2352" i="12"/>
  <c r="A2352" i="12"/>
  <c r="E2351" i="12"/>
  <c r="D2351" i="12"/>
  <c r="C2351" i="12"/>
  <c r="B2351" i="12"/>
  <c r="A2351" i="12"/>
  <c r="E2350" i="12"/>
  <c r="D2350" i="12"/>
  <c r="C2350" i="12"/>
  <c r="B2350" i="12"/>
  <c r="A2350" i="12"/>
  <c r="E2349" i="12"/>
  <c r="D2349" i="12"/>
  <c r="C2349" i="12"/>
  <c r="B2349" i="12"/>
  <c r="A2349" i="12"/>
  <c r="E2348" i="12"/>
  <c r="D2348" i="12"/>
  <c r="C2348" i="12"/>
  <c r="B2348" i="12"/>
  <c r="A2348" i="12"/>
  <c r="E2347" i="12"/>
  <c r="D2347" i="12"/>
  <c r="C2347" i="12"/>
  <c r="B2347" i="12"/>
  <c r="A2347" i="12"/>
  <c r="E2346" i="12"/>
  <c r="D2346" i="12"/>
  <c r="C2346" i="12"/>
  <c r="B2346" i="12"/>
  <c r="A2346" i="12"/>
  <c r="E2345" i="12"/>
  <c r="D2345" i="12"/>
  <c r="C2345" i="12"/>
  <c r="B2345" i="12"/>
  <c r="A2345" i="12"/>
  <c r="E2344" i="12"/>
  <c r="D2344" i="12"/>
  <c r="C2344" i="12"/>
  <c r="B2344" i="12"/>
  <c r="A2344" i="12"/>
  <c r="F2343" i="12"/>
  <c r="E2343" i="12"/>
  <c r="D2343" i="12"/>
  <c r="C2343" i="12"/>
  <c r="B2343" i="12"/>
  <c r="A2343" i="12"/>
  <c r="E2342" i="12"/>
  <c r="D2342" i="12"/>
  <c r="C2342" i="12"/>
  <c r="B2342" i="12"/>
  <c r="A2342" i="12"/>
  <c r="G2341" i="12"/>
  <c r="F2341" i="12"/>
  <c r="E2341" i="12"/>
  <c r="D2341" i="12"/>
  <c r="C2341" i="12"/>
  <c r="B2341" i="12"/>
  <c r="A2341" i="12"/>
  <c r="F2340" i="12"/>
  <c r="E2340" i="12"/>
  <c r="D2340" i="12"/>
  <c r="C2340" i="12"/>
  <c r="B2340" i="12"/>
  <c r="A2340" i="12"/>
  <c r="G2339" i="12"/>
  <c r="F2339" i="12"/>
  <c r="E2339" i="12"/>
  <c r="D2339" i="12"/>
  <c r="C2339" i="12"/>
  <c r="B2339" i="12"/>
  <c r="A2339" i="12"/>
  <c r="G2338" i="12"/>
  <c r="F2338" i="12"/>
  <c r="E2338" i="12"/>
  <c r="D2338" i="12"/>
  <c r="C2338" i="12"/>
  <c r="B2338" i="12"/>
  <c r="A2338" i="12"/>
  <c r="G2337" i="12"/>
  <c r="F2337" i="12"/>
  <c r="E2337" i="12"/>
  <c r="D2337" i="12"/>
  <c r="C2337" i="12"/>
  <c r="B2337" i="12"/>
  <c r="A2337" i="12"/>
  <c r="G2336" i="12"/>
  <c r="F2336" i="12"/>
  <c r="E2336" i="12"/>
  <c r="D2336" i="12"/>
  <c r="C2336" i="12"/>
  <c r="B2336" i="12"/>
  <c r="A2336" i="12"/>
  <c r="F2335" i="12"/>
  <c r="E2335" i="12"/>
  <c r="D2335" i="12"/>
  <c r="C2335" i="12"/>
  <c r="B2335" i="12"/>
  <c r="A2335" i="12"/>
  <c r="G2334" i="12"/>
  <c r="F2334" i="12"/>
  <c r="E2334" i="12"/>
  <c r="D2334" i="12"/>
  <c r="C2334" i="12"/>
  <c r="B2334" i="12"/>
  <c r="A2334" i="12"/>
  <c r="G2333" i="12"/>
  <c r="F2333" i="12"/>
  <c r="E2333" i="12"/>
  <c r="D2333" i="12"/>
  <c r="C2333" i="12"/>
  <c r="B2333" i="12"/>
  <c r="A2333" i="12"/>
  <c r="F2332" i="12"/>
  <c r="E2332" i="12"/>
  <c r="D2332" i="12"/>
  <c r="C2332" i="12"/>
  <c r="B2332" i="12"/>
  <c r="A2332" i="12"/>
  <c r="E2331" i="12"/>
  <c r="D2331" i="12"/>
  <c r="C2331" i="12"/>
  <c r="B2331" i="12"/>
  <c r="A2331" i="12"/>
  <c r="E2330" i="12"/>
  <c r="D2330" i="12"/>
  <c r="C2330" i="12"/>
  <c r="B2330" i="12"/>
  <c r="A2330" i="12"/>
  <c r="E2329" i="12"/>
  <c r="D2329" i="12"/>
  <c r="C2329" i="12"/>
  <c r="B2329" i="12"/>
  <c r="A2329" i="12"/>
  <c r="E2328" i="12"/>
  <c r="D2328" i="12"/>
  <c r="C2328" i="12"/>
  <c r="B2328" i="12"/>
  <c r="A2328" i="12"/>
  <c r="E2327" i="12"/>
  <c r="D2327" i="12"/>
  <c r="C2327" i="12"/>
  <c r="B2327" i="12"/>
  <c r="A2327" i="12"/>
  <c r="E2326" i="12"/>
  <c r="D2326" i="12"/>
  <c r="C2326" i="12"/>
  <c r="B2326" i="12"/>
  <c r="A2326" i="12"/>
  <c r="E2325" i="12"/>
  <c r="D2325" i="12"/>
  <c r="C2325" i="12"/>
  <c r="B2325" i="12"/>
  <c r="A2325" i="12"/>
  <c r="E2324" i="12"/>
  <c r="D2324" i="12"/>
  <c r="C2324" i="12"/>
  <c r="B2324" i="12"/>
  <c r="A2324" i="12"/>
  <c r="F2323" i="12"/>
  <c r="E2323" i="12"/>
  <c r="D2323" i="12"/>
  <c r="C2323" i="12"/>
  <c r="B2323" i="12"/>
  <c r="A2323" i="12"/>
  <c r="E2322" i="12"/>
  <c r="D2322" i="12"/>
  <c r="C2322" i="12"/>
  <c r="B2322" i="12"/>
  <c r="A2322" i="12"/>
  <c r="E2321" i="12"/>
  <c r="D2321" i="12"/>
  <c r="C2321" i="12"/>
  <c r="B2321" i="12"/>
  <c r="A2321" i="12"/>
  <c r="E2320" i="12"/>
  <c r="D2320" i="12"/>
  <c r="C2320" i="12"/>
  <c r="B2320" i="12"/>
  <c r="A2320" i="12"/>
  <c r="F2319" i="12"/>
  <c r="E2319" i="12"/>
  <c r="D2319" i="12"/>
  <c r="C2319" i="12"/>
  <c r="B2319" i="12"/>
  <c r="A2319" i="12"/>
  <c r="E2318" i="12"/>
  <c r="D2318" i="12"/>
  <c r="C2318" i="12"/>
  <c r="B2318" i="12"/>
  <c r="A2318" i="12"/>
  <c r="E2317" i="12"/>
  <c r="D2317" i="12"/>
  <c r="C2317" i="12"/>
  <c r="B2317" i="12"/>
  <c r="A2317" i="12"/>
  <c r="F2316" i="12"/>
  <c r="E2316" i="12"/>
  <c r="D2316" i="12"/>
  <c r="C2316" i="12"/>
  <c r="B2316" i="12"/>
  <c r="A2316" i="12"/>
  <c r="E2315" i="12"/>
  <c r="D2315" i="12"/>
  <c r="C2315" i="12"/>
  <c r="B2315" i="12"/>
  <c r="A2315" i="12"/>
  <c r="E2314" i="12"/>
  <c r="D2314" i="12"/>
  <c r="C2314" i="12"/>
  <c r="B2314" i="12"/>
  <c r="A2314" i="12"/>
  <c r="E2313" i="12"/>
  <c r="D2313" i="12"/>
  <c r="C2313" i="12"/>
  <c r="B2313" i="12"/>
  <c r="A2313" i="12"/>
  <c r="F2312" i="12"/>
  <c r="E2312" i="12"/>
  <c r="D2312" i="12"/>
  <c r="C2312" i="12"/>
  <c r="B2312" i="12"/>
  <c r="A2312" i="12"/>
  <c r="E2311" i="12"/>
  <c r="D2311" i="12"/>
  <c r="C2311" i="12"/>
  <c r="B2311" i="12"/>
  <c r="A2311" i="12"/>
  <c r="E2310" i="12"/>
  <c r="D2310" i="12"/>
  <c r="C2310" i="12"/>
  <c r="B2310" i="12"/>
  <c r="A2310" i="12"/>
  <c r="E2309" i="12"/>
  <c r="D2309" i="12"/>
  <c r="C2309" i="12"/>
  <c r="B2309" i="12"/>
  <c r="A2309" i="12"/>
  <c r="F2308" i="12"/>
  <c r="E2308" i="12"/>
  <c r="D2308" i="12"/>
  <c r="C2308" i="12"/>
  <c r="B2308" i="12"/>
  <c r="A2308" i="12"/>
  <c r="E2307" i="12"/>
  <c r="D2307" i="12"/>
  <c r="C2307" i="12"/>
  <c r="B2307" i="12"/>
  <c r="A2307" i="12"/>
  <c r="F2306" i="12"/>
  <c r="E2306" i="12"/>
  <c r="D2306" i="12"/>
  <c r="C2306" i="12"/>
  <c r="B2306" i="12"/>
  <c r="A2306" i="12"/>
  <c r="E2305" i="12"/>
  <c r="D2305" i="12"/>
  <c r="C2305" i="12"/>
  <c r="B2305" i="12"/>
  <c r="A2305" i="12"/>
  <c r="E2304" i="12"/>
  <c r="D2304" i="12"/>
  <c r="C2304" i="12"/>
  <c r="B2304" i="12"/>
  <c r="A2304" i="12"/>
  <c r="E2303" i="12"/>
  <c r="D2303" i="12"/>
  <c r="C2303" i="12"/>
  <c r="B2303" i="12"/>
  <c r="A2303" i="12"/>
  <c r="F2302" i="12"/>
  <c r="E2302" i="12"/>
  <c r="D2302" i="12"/>
  <c r="C2302" i="12"/>
  <c r="B2302" i="12"/>
  <c r="A2302" i="12"/>
  <c r="F2301" i="12"/>
  <c r="E2301" i="12"/>
  <c r="D2301" i="12"/>
  <c r="C2301" i="12"/>
  <c r="B2301" i="12"/>
  <c r="A2301" i="12"/>
  <c r="E2300" i="12"/>
  <c r="D2300" i="12"/>
  <c r="C2300" i="12"/>
  <c r="B2300" i="12"/>
  <c r="A2300" i="12"/>
  <c r="E2299" i="12"/>
  <c r="D2299" i="12"/>
  <c r="C2299" i="12"/>
  <c r="B2299" i="12"/>
  <c r="A2299" i="12"/>
  <c r="F2298" i="12"/>
  <c r="E2298" i="12"/>
  <c r="D2298" i="12"/>
  <c r="C2298" i="12"/>
  <c r="B2298" i="12"/>
  <c r="A2298" i="12"/>
  <c r="E2297" i="12"/>
  <c r="D2297" i="12"/>
  <c r="C2297" i="12"/>
  <c r="B2297" i="12"/>
  <c r="A2297" i="12"/>
  <c r="E2296" i="12"/>
  <c r="D2296" i="12"/>
  <c r="C2296" i="12"/>
  <c r="B2296" i="12"/>
  <c r="A2296" i="12"/>
  <c r="G2295" i="12"/>
  <c r="E2295" i="12"/>
  <c r="D2295" i="12"/>
  <c r="C2295" i="12"/>
  <c r="B2295" i="12"/>
  <c r="A2295" i="12"/>
  <c r="E2294" i="12"/>
  <c r="D2294" i="12"/>
  <c r="C2294" i="12"/>
  <c r="B2294" i="12"/>
  <c r="A2294" i="12"/>
  <c r="E2293" i="12"/>
  <c r="D2293" i="12"/>
  <c r="C2293" i="12"/>
  <c r="B2293" i="12"/>
  <c r="A2293" i="12"/>
  <c r="F2292" i="12"/>
  <c r="E2292" i="12"/>
  <c r="D2292" i="12"/>
  <c r="C2292" i="12"/>
  <c r="B2292" i="12"/>
  <c r="A2292" i="12"/>
  <c r="F2291" i="12"/>
  <c r="E2291" i="12"/>
  <c r="D2291" i="12"/>
  <c r="C2291" i="12"/>
  <c r="B2291" i="12"/>
  <c r="A2291" i="12"/>
  <c r="E2290" i="12"/>
  <c r="D2290" i="12"/>
  <c r="C2290" i="12"/>
  <c r="B2290" i="12"/>
  <c r="A2290" i="12"/>
  <c r="E2289" i="12"/>
  <c r="D2289" i="12"/>
  <c r="C2289" i="12"/>
  <c r="B2289" i="12"/>
  <c r="A2289" i="12"/>
  <c r="E2288" i="12"/>
  <c r="D2288" i="12"/>
  <c r="C2288" i="12"/>
  <c r="B2288" i="12"/>
  <c r="A2288" i="12"/>
  <c r="E2287" i="12"/>
  <c r="D2287" i="12"/>
  <c r="C2287" i="12"/>
  <c r="B2287" i="12"/>
  <c r="A2287" i="12"/>
  <c r="G2286" i="12"/>
  <c r="E2286" i="12"/>
  <c r="D2286" i="12"/>
  <c r="C2286" i="12"/>
  <c r="B2286" i="12"/>
  <c r="A2286" i="12"/>
  <c r="E2285" i="12"/>
  <c r="D2285" i="12"/>
  <c r="C2285" i="12"/>
  <c r="B2285" i="12"/>
  <c r="A2285" i="12"/>
  <c r="E2284" i="12"/>
  <c r="D2284" i="12"/>
  <c r="C2284" i="12"/>
  <c r="B2284" i="12"/>
  <c r="A2284" i="12"/>
  <c r="E2283" i="12"/>
  <c r="D2283" i="12"/>
  <c r="C2283" i="12"/>
  <c r="B2283" i="12"/>
  <c r="A2283" i="12"/>
  <c r="E2282" i="12"/>
  <c r="D2282" i="12"/>
  <c r="C2282" i="12"/>
  <c r="B2282" i="12"/>
  <c r="A2282" i="12"/>
  <c r="E2281" i="12"/>
  <c r="D2281" i="12"/>
  <c r="C2281" i="12"/>
  <c r="B2281" i="12"/>
  <c r="A2281" i="12"/>
  <c r="E2280" i="12"/>
  <c r="D2280" i="12"/>
  <c r="C2280" i="12"/>
  <c r="B2280" i="12"/>
  <c r="A2280" i="12"/>
  <c r="G2279" i="12"/>
  <c r="E2279" i="12"/>
  <c r="D2279" i="12"/>
  <c r="C2279" i="12"/>
  <c r="B2279" i="12"/>
  <c r="A2279" i="12"/>
  <c r="G2278" i="12"/>
  <c r="E2278" i="12"/>
  <c r="D2278" i="12"/>
  <c r="C2278" i="12"/>
  <c r="B2278" i="12"/>
  <c r="A2278" i="12"/>
  <c r="E2277" i="12"/>
  <c r="D2277" i="12"/>
  <c r="C2277" i="12"/>
  <c r="B2277" i="12"/>
  <c r="A2277" i="12"/>
  <c r="E2276" i="12"/>
  <c r="D2276" i="12"/>
  <c r="C2276" i="12"/>
  <c r="B2276" i="12"/>
  <c r="A2276" i="12"/>
  <c r="E2275" i="12"/>
  <c r="D2275" i="12"/>
  <c r="C2275" i="12"/>
  <c r="B2275" i="12"/>
  <c r="A2275" i="12"/>
  <c r="E2274" i="12"/>
  <c r="D2274" i="12"/>
  <c r="C2274" i="12"/>
  <c r="B2274" i="12"/>
  <c r="A2274" i="12"/>
  <c r="E2273" i="12"/>
  <c r="D2273" i="12"/>
  <c r="C2273" i="12"/>
  <c r="B2273" i="12"/>
  <c r="A2273" i="12"/>
  <c r="E2272" i="12"/>
  <c r="D2272" i="12"/>
  <c r="C2272" i="12"/>
  <c r="B2272" i="12"/>
  <c r="A2272" i="12"/>
  <c r="E2271" i="12"/>
  <c r="D2271" i="12"/>
  <c r="C2271" i="12"/>
  <c r="B2271" i="12"/>
  <c r="A2271" i="12"/>
  <c r="E2270" i="12"/>
  <c r="D2270" i="12"/>
  <c r="C2270" i="12"/>
  <c r="B2270" i="12"/>
  <c r="A2270" i="12"/>
  <c r="E2269" i="12"/>
  <c r="D2269" i="12"/>
  <c r="C2269" i="12"/>
  <c r="B2269" i="12"/>
  <c r="A2269" i="12"/>
  <c r="E2268" i="12"/>
  <c r="D2268" i="12"/>
  <c r="C2268" i="12"/>
  <c r="B2268" i="12"/>
  <c r="A2268" i="12"/>
  <c r="E2267" i="12"/>
  <c r="D2267" i="12"/>
  <c r="C2267" i="12"/>
  <c r="B2267" i="12"/>
  <c r="A2267" i="12"/>
  <c r="E2266" i="12"/>
  <c r="D2266" i="12"/>
  <c r="C2266" i="12"/>
  <c r="B2266" i="12"/>
  <c r="A2266" i="12"/>
  <c r="G2265" i="12"/>
  <c r="E2265" i="12"/>
  <c r="D2265" i="12"/>
  <c r="C2265" i="12"/>
  <c r="B2265" i="12"/>
  <c r="A2265" i="12"/>
  <c r="G2264" i="12"/>
  <c r="E2264" i="12"/>
  <c r="D2264" i="12"/>
  <c r="C2264" i="12"/>
  <c r="B2264" i="12"/>
  <c r="A2264" i="12"/>
  <c r="E2263" i="12"/>
  <c r="D2263" i="12"/>
  <c r="C2263" i="12"/>
  <c r="B2263" i="12"/>
  <c r="A2263" i="12"/>
  <c r="G2262" i="12"/>
  <c r="E2262" i="12"/>
  <c r="D2262" i="12"/>
  <c r="C2262" i="12"/>
  <c r="B2262" i="12"/>
  <c r="A2262" i="12"/>
  <c r="E2261" i="12"/>
  <c r="D2261" i="12"/>
  <c r="C2261" i="12"/>
  <c r="B2261" i="12"/>
  <c r="A2261" i="12"/>
  <c r="E2260" i="12"/>
  <c r="D2260" i="12"/>
  <c r="C2260" i="12"/>
  <c r="B2260" i="12"/>
  <c r="A2260" i="12"/>
  <c r="G2259" i="12"/>
  <c r="E2259" i="12"/>
  <c r="D2259" i="12"/>
  <c r="C2259" i="12"/>
  <c r="B2259" i="12"/>
  <c r="A2259" i="12"/>
  <c r="E2258" i="12"/>
  <c r="D2258" i="12"/>
  <c r="C2258" i="12"/>
  <c r="B2258" i="12"/>
  <c r="A2258" i="12"/>
  <c r="E2257" i="12"/>
  <c r="D2257" i="12"/>
  <c r="C2257" i="12"/>
  <c r="B2257" i="12"/>
  <c r="A2257" i="12"/>
  <c r="E2256" i="12"/>
  <c r="D2256" i="12"/>
  <c r="C2256" i="12"/>
  <c r="B2256" i="12"/>
  <c r="A2256" i="12"/>
  <c r="E2255" i="12"/>
  <c r="D2255" i="12"/>
  <c r="C2255" i="12"/>
  <c r="B2255" i="12"/>
  <c r="A2255" i="12"/>
  <c r="E2254" i="12"/>
  <c r="D2254" i="12"/>
  <c r="C2254" i="12"/>
  <c r="B2254" i="12"/>
  <c r="A2254" i="12"/>
  <c r="E2253" i="12"/>
  <c r="D2253" i="12"/>
  <c r="C2253" i="12"/>
  <c r="B2253" i="12"/>
  <c r="A2253" i="12"/>
  <c r="G2252" i="12"/>
  <c r="E2252" i="12"/>
  <c r="D2252" i="12"/>
  <c r="C2252" i="12"/>
  <c r="B2252" i="12"/>
  <c r="A2252" i="12"/>
  <c r="G2251" i="12"/>
  <c r="F2251" i="12"/>
  <c r="E2251" i="12"/>
  <c r="D2251" i="12"/>
  <c r="C2251" i="12"/>
  <c r="B2251" i="12"/>
  <c r="A2251" i="12"/>
  <c r="G2250" i="12"/>
  <c r="F2250" i="12"/>
  <c r="E2250" i="12"/>
  <c r="D2250" i="12"/>
  <c r="C2250" i="12"/>
  <c r="B2250" i="12"/>
  <c r="A2250" i="12"/>
  <c r="G2249" i="12"/>
  <c r="E2249" i="12"/>
  <c r="D2249" i="12"/>
  <c r="C2249" i="12"/>
  <c r="B2249" i="12"/>
  <c r="A2249" i="12"/>
  <c r="G2248" i="12"/>
  <c r="E2248" i="12"/>
  <c r="D2248" i="12"/>
  <c r="C2248" i="12"/>
  <c r="B2248" i="12"/>
  <c r="A2248" i="12"/>
  <c r="G2247" i="12"/>
  <c r="E2247" i="12"/>
  <c r="D2247" i="12"/>
  <c r="C2247" i="12"/>
  <c r="B2247" i="12"/>
  <c r="A2247" i="12"/>
  <c r="G2246" i="12"/>
  <c r="E2246" i="12"/>
  <c r="D2246" i="12"/>
  <c r="C2246" i="12"/>
  <c r="B2246" i="12"/>
  <c r="A2246" i="12"/>
  <c r="E2245" i="12"/>
  <c r="D2245" i="12"/>
  <c r="C2245" i="12"/>
  <c r="B2245" i="12"/>
  <c r="A2245" i="12"/>
  <c r="G2244" i="12"/>
  <c r="E2244" i="12"/>
  <c r="D2244" i="12"/>
  <c r="C2244" i="12"/>
  <c r="B2244" i="12"/>
  <c r="A2244" i="12"/>
  <c r="G2243" i="12"/>
  <c r="E2243" i="12"/>
  <c r="D2243" i="12"/>
  <c r="C2243" i="12"/>
  <c r="B2243" i="12"/>
  <c r="A2243" i="12"/>
  <c r="G2242" i="12"/>
  <c r="F2242" i="12"/>
  <c r="E2242" i="12"/>
  <c r="D2242" i="12"/>
  <c r="C2242" i="12"/>
  <c r="B2242" i="12"/>
  <c r="A2242" i="12"/>
  <c r="G2241" i="12"/>
  <c r="E2241" i="12"/>
  <c r="D2241" i="12"/>
  <c r="C2241" i="12"/>
  <c r="B2241" i="12"/>
  <c r="A2241" i="12"/>
  <c r="G2240" i="12"/>
  <c r="E2240" i="12"/>
  <c r="D2240" i="12"/>
  <c r="C2240" i="12"/>
  <c r="B2240" i="12"/>
  <c r="A2240" i="12"/>
  <c r="G2239" i="12"/>
  <c r="E2239" i="12"/>
  <c r="D2239" i="12"/>
  <c r="C2239" i="12"/>
  <c r="B2239" i="12"/>
  <c r="A2239" i="12"/>
  <c r="G2238" i="12"/>
  <c r="E2238" i="12"/>
  <c r="D2238" i="12"/>
  <c r="C2238" i="12"/>
  <c r="B2238" i="12"/>
  <c r="A2238" i="12"/>
  <c r="G2237" i="12"/>
  <c r="E2237" i="12"/>
  <c r="D2237" i="12"/>
  <c r="C2237" i="12"/>
  <c r="B2237" i="12"/>
  <c r="A2237" i="12"/>
  <c r="G2236" i="12"/>
  <c r="E2236" i="12"/>
  <c r="D2236" i="12"/>
  <c r="C2236" i="12"/>
  <c r="B2236" i="12"/>
  <c r="A2236" i="12"/>
  <c r="G2235" i="12"/>
  <c r="E2235" i="12"/>
  <c r="D2235" i="12"/>
  <c r="C2235" i="12"/>
  <c r="B2235" i="12"/>
  <c r="A2235" i="12"/>
  <c r="G2234" i="12"/>
  <c r="E2234" i="12"/>
  <c r="D2234" i="12"/>
  <c r="C2234" i="12"/>
  <c r="B2234" i="12"/>
  <c r="A2234" i="12"/>
  <c r="G2233" i="12"/>
  <c r="E2233" i="12"/>
  <c r="D2233" i="12"/>
  <c r="C2233" i="12"/>
  <c r="B2233" i="12"/>
  <c r="A2233" i="12"/>
  <c r="G2232" i="12"/>
  <c r="E2232" i="12"/>
  <c r="D2232" i="12"/>
  <c r="C2232" i="12"/>
  <c r="B2232" i="12"/>
  <c r="A2232" i="12"/>
  <c r="E2231" i="12"/>
  <c r="D2231" i="12"/>
  <c r="C2231" i="12"/>
  <c r="B2231" i="12"/>
  <c r="A2231" i="12"/>
  <c r="G2230" i="12"/>
  <c r="E2230" i="12"/>
  <c r="D2230" i="12"/>
  <c r="C2230" i="12"/>
  <c r="B2230" i="12"/>
  <c r="A2230" i="12"/>
  <c r="G2229" i="12"/>
  <c r="F2229" i="12"/>
  <c r="E2229" i="12"/>
  <c r="D2229" i="12"/>
  <c r="C2229" i="12"/>
  <c r="B2229" i="12"/>
  <c r="A2229" i="12"/>
  <c r="G2228" i="12"/>
  <c r="E2228" i="12"/>
  <c r="D2228" i="12"/>
  <c r="C2228" i="12"/>
  <c r="B2228" i="12"/>
  <c r="A2228" i="12"/>
  <c r="G2227" i="12"/>
  <c r="E2227" i="12"/>
  <c r="D2227" i="12"/>
  <c r="C2227" i="12"/>
  <c r="B2227" i="12"/>
  <c r="A2227" i="12"/>
  <c r="E2226" i="12"/>
  <c r="D2226" i="12"/>
  <c r="C2226" i="12"/>
  <c r="B2226" i="12"/>
  <c r="A2226" i="12"/>
  <c r="G2225" i="12"/>
  <c r="E2225" i="12"/>
  <c r="D2225" i="12"/>
  <c r="C2225" i="12"/>
  <c r="B2225" i="12"/>
  <c r="A2225" i="12"/>
  <c r="G2224" i="12"/>
  <c r="E2224" i="12"/>
  <c r="D2224" i="12"/>
  <c r="C2224" i="12"/>
  <c r="B2224" i="12"/>
  <c r="A2224" i="12"/>
  <c r="G2223" i="12"/>
  <c r="E2223" i="12"/>
  <c r="D2223" i="12"/>
  <c r="C2223" i="12"/>
  <c r="B2223" i="12"/>
  <c r="A2223" i="12"/>
  <c r="F2222" i="12"/>
  <c r="E2222" i="12"/>
  <c r="D2222" i="12"/>
  <c r="C2222" i="12"/>
  <c r="B2222" i="12"/>
  <c r="A2222" i="12"/>
  <c r="E2221" i="12"/>
  <c r="D2221" i="12"/>
  <c r="C2221" i="12"/>
  <c r="B2221" i="12"/>
  <c r="A2221" i="12"/>
  <c r="G2220" i="12"/>
  <c r="E2220" i="12"/>
  <c r="D2220" i="12"/>
  <c r="C2220" i="12"/>
  <c r="B2220" i="12"/>
  <c r="A2220" i="12"/>
  <c r="E2219" i="12"/>
  <c r="D2219" i="12"/>
  <c r="C2219" i="12"/>
  <c r="B2219" i="12"/>
  <c r="A2219" i="12"/>
  <c r="E2218" i="12"/>
  <c r="D2218" i="12"/>
  <c r="C2218" i="12"/>
  <c r="B2218" i="12"/>
  <c r="A2218" i="12"/>
  <c r="G2217" i="12"/>
  <c r="F2217" i="12"/>
  <c r="E2217" i="12"/>
  <c r="D2217" i="12"/>
  <c r="C2217" i="12"/>
  <c r="B2217" i="12"/>
  <c r="A2217" i="12"/>
  <c r="E2216" i="12"/>
  <c r="D2216" i="12"/>
  <c r="C2216" i="12"/>
  <c r="B2216" i="12"/>
  <c r="A2216" i="12"/>
  <c r="G2215" i="12"/>
  <c r="E2215" i="12"/>
  <c r="D2215" i="12"/>
  <c r="C2215" i="12"/>
  <c r="B2215" i="12"/>
  <c r="A2215" i="12"/>
  <c r="G2214" i="12"/>
  <c r="F2214" i="12"/>
  <c r="E2214" i="12"/>
  <c r="D2214" i="12"/>
  <c r="C2214" i="12"/>
  <c r="B2214" i="12"/>
  <c r="A2214" i="12"/>
  <c r="E2213" i="12"/>
  <c r="D2213" i="12"/>
  <c r="C2213" i="12"/>
  <c r="B2213" i="12"/>
  <c r="A2213" i="12"/>
  <c r="G2212" i="12"/>
  <c r="F2212" i="12"/>
  <c r="E2212" i="12"/>
  <c r="D2212" i="12"/>
  <c r="C2212" i="12"/>
  <c r="B2212" i="12"/>
  <c r="A2212" i="12"/>
  <c r="G2211" i="12"/>
  <c r="E2211" i="12"/>
  <c r="D2211" i="12"/>
  <c r="C2211" i="12"/>
  <c r="B2211" i="12"/>
  <c r="A2211" i="12"/>
  <c r="E2210" i="12"/>
  <c r="D2210" i="12"/>
  <c r="C2210" i="12"/>
  <c r="B2210" i="12"/>
  <c r="A2210" i="12"/>
  <c r="G2209" i="12"/>
  <c r="E2209" i="12"/>
  <c r="D2209" i="12"/>
  <c r="C2209" i="12"/>
  <c r="B2209" i="12"/>
  <c r="A2209" i="12"/>
  <c r="G2208" i="12"/>
  <c r="F2208" i="12"/>
  <c r="E2208" i="12"/>
  <c r="D2208" i="12"/>
  <c r="C2208" i="12"/>
  <c r="B2208" i="12"/>
  <c r="A2208" i="12"/>
  <c r="G2207" i="12"/>
  <c r="F2207" i="12"/>
  <c r="E2207" i="12"/>
  <c r="D2207" i="12"/>
  <c r="C2207" i="12"/>
  <c r="B2207" i="12"/>
  <c r="A2207" i="12"/>
  <c r="G2206" i="12"/>
  <c r="F2206" i="12"/>
  <c r="E2206" i="12"/>
  <c r="D2206" i="12"/>
  <c r="C2206" i="12"/>
  <c r="B2206" i="12"/>
  <c r="A2206" i="12"/>
  <c r="G2205" i="12"/>
  <c r="E2205" i="12"/>
  <c r="D2205" i="12"/>
  <c r="C2205" i="12"/>
  <c r="B2205" i="12"/>
  <c r="A2205" i="12"/>
  <c r="G2204" i="12"/>
  <c r="F2204" i="12"/>
  <c r="E2204" i="12"/>
  <c r="D2204" i="12"/>
  <c r="C2204" i="12"/>
  <c r="B2204" i="12"/>
  <c r="A2204" i="12"/>
  <c r="F2203" i="12"/>
  <c r="E2203" i="12"/>
  <c r="D2203" i="12"/>
  <c r="C2203" i="12"/>
  <c r="B2203" i="12"/>
  <c r="A2203" i="12"/>
  <c r="E2202" i="12"/>
  <c r="D2202" i="12"/>
  <c r="C2202" i="12"/>
  <c r="B2202" i="12"/>
  <c r="A2202" i="12"/>
  <c r="G2201" i="12"/>
  <c r="E2201" i="12"/>
  <c r="D2201" i="12"/>
  <c r="C2201" i="12"/>
  <c r="B2201" i="12"/>
  <c r="A2201" i="12"/>
  <c r="E2200" i="12"/>
  <c r="D2200" i="12"/>
  <c r="C2200" i="12"/>
  <c r="B2200" i="12"/>
  <c r="A2200" i="12"/>
  <c r="E2199" i="12"/>
  <c r="D2199" i="12"/>
  <c r="C2199" i="12"/>
  <c r="B2199" i="12"/>
  <c r="A2199" i="12"/>
  <c r="G2198" i="12"/>
  <c r="F2198" i="12"/>
  <c r="E2198" i="12"/>
  <c r="D2198" i="12"/>
  <c r="C2198" i="12"/>
  <c r="B2198" i="12"/>
  <c r="A2198" i="12"/>
  <c r="G2197" i="12"/>
  <c r="F2197" i="12"/>
  <c r="E2197" i="12"/>
  <c r="D2197" i="12"/>
  <c r="C2197" i="12"/>
  <c r="B2197" i="12"/>
  <c r="A2197" i="12"/>
  <c r="G2196" i="12"/>
  <c r="F2196" i="12"/>
  <c r="E2196" i="12"/>
  <c r="D2196" i="12"/>
  <c r="C2196" i="12"/>
  <c r="B2196" i="12"/>
  <c r="A2196" i="12"/>
  <c r="G2195" i="12"/>
  <c r="F2195" i="12"/>
  <c r="E2195" i="12"/>
  <c r="D2195" i="12"/>
  <c r="C2195" i="12"/>
  <c r="B2195" i="12"/>
  <c r="A2195" i="12"/>
  <c r="F2194" i="12"/>
  <c r="E2194" i="12"/>
  <c r="D2194" i="12"/>
  <c r="C2194" i="12"/>
  <c r="B2194" i="12"/>
  <c r="A2194" i="12"/>
  <c r="G2193" i="12"/>
  <c r="F2193" i="12"/>
  <c r="E2193" i="12"/>
  <c r="D2193" i="12"/>
  <c r="C2193" i="12"/>
  <c r="B2193" i="12"/>
  <c r="A2193" i="12"/>
  <c r="G2192" i="12"/>
  <c r="F2192" i="12"/>
  <c r="E2192" i="12"/>
  <c r="D2192" i="12"/>
  <c r="C2192" i="12"/>
  <c r="B2192" i="12"/>
  <c r="A2192" i="12"/>
  <c r="G2191" i="12"/>
  <c r="F2191" i="12"/>
  <c r="E2191" i="12"/>
  <c r="D2191" i="12"/>
  <c r="C2191" i="12"/>
  <c r="B2191" i="12"/>
  <c r="A2191" i="12"/>
  <c r="G2190" i="12"/>
  <c r="D2190" i="12"/>
  <c r="C2190" i="12"/>
  <c r="B2190" i="12"/>
  <c r="A2190" i="12"/>
  <c r="G2189" i="12"/>
  <c r="F2189" i="12"/>
  <c r="E2189" i="12"/>
  <c r="D2189" i="12"/>
  <c r="C2189" i="12"/>
  <c r="B2189" i="12"/>
  <c r="A2189" i="12"/>
  <c r="G2188" i="12"/>
  <c r="D2188" i="12"/>
  <c r="C2188" i="12"/>
  <c r="B2188" i="12"/>
  <c r="A2188" i="12"/>
  <c r="G2187" i="12"/>
  <c r="F2187" i="12"/>
  <c r="E2187" i="12"/>
  <c r="D2187" i="12"/>
  <c r="C2187" i="12"/>
  <c r="B2187" i="12"/>
  <c r="A2187" i="12"/>
  <c r="G2186" i="12"/>
  <c r="F2186" i="12"/>
  <c r="E2186" i="12"/>
  <c r="D2186" i="12"/>
  <c r="C2186" i="12"/>
  <c r="B2186" i="12"/>
  <c r="A2186" i="12"/>
  <c r="G2185" i="12"/>
  <c r="D2185" i="12"/>
  <c r="C2185" i="12"/>
  <c r="B2185" i="12"/>
  <c r="A2185" i="12"/>
  <c r="G2184" i="12"/>
  <c r="F2184" i="12"/>
  <c r="E2184" i="12"/>
  <c r="D2184" i="12"/>
  <c r="C2184" i="12"/>
  <c r="B2184" i="12"/>
  <c r="A2184" i="12"/>
  <c r="G2183" i="12"/>
  <c r="F2183" i="12"/>
  <c r="E2183" i="12"/>
  <c r="D2183" i="12"/>
  <c r="C2183" i="12"/>
  <c r="B2183" i="12"/>
  <c r="A2183" i="12"/>
  <c r="G2182" i="12"/>
  <c r="F2182" i="12"/>
  <c r="E2182" i="12"/>
  <c r="D2182" i="12"/>
  <c r="C2182" i="12"/>
  <c r="B2182" i="12"/>
  <c r="A2182" i="12"/>
  <c r="G2181" i="12"/>
  <c r="F2181" i="12"/>
  <c r="E2181" i="12"/>
  <c r="D2181" i="12"/>
  <c r="C2181" i="12"/>
  <c r="B2181" i="12"/>
  <c r="A2181" i="12"/>
  <c r="G2180" i="12"/>
  <c r="F2180" i="12"/>
  <c r="E2180" i="12"/>
  <c r="D2180" i="12"/>
  <c r="C2180" i="12"/>
  <c r="B2180" i="12"/>
  <c r="A2180" i="12"/>
  <c r="E2179" i="12"/>
  <c r="D2179" i="12"/>
  <c r="C2179" i="12"/>
  <c r="B2179" i="12"/>
  <c r="A2179" i="12"/>
  <c r="F2178" i="12"/>
  <c r="E2178" i="12"/>
  <c r="D2178" i="12"/>
  <c r="C2178" i="12"/>
  <c r="B2178" i="12"/>
  <c r="A2178" i="12"/>
  <c r="G2177" i="12"/>
  <c r="F2177" i="12"/>
  <c r="E2177" i="12"/>
  <c r="D2177" i="12"/>
  <c r="C2177" i="12"/>
  <c r="B2177" i="12"/>
  <c r="A2177" i="12"/>
  <c r="E2176" i="12"/>
  <c r="D2176" i="12"/>
  <c r="C2176" i="12"/>
  <c r="B2176" i="12"/>
  <c r="A2176" i="12"/>
  <c r="G2175" i="12"/>
  <c r="F2175" i="12"/>
  <c r="E2175" i="12"/>
  <c r="D2175" i="12"/>
  <c r="C2175" i="12"/>
  <c r="B2175" i="12"/>
  <c r="A2175" i="12"/>
  <c r="F2174" i="12"/>
  <c r="E2174" i="12"/>
  <c r="D2174" i="12"/>
  <c r="C2174" i="12"/>
  <c r="B2174" i="12"/>
  <c r="A2174" i="12"/>
  <c r="G2173" i="12"/>
  <c r="F2173" i="12"/>
  <c r="E2173" i="12"/>
  <c r="D2173" i="12"/>
  <c r="C2173" i="12"/>
  <c r="B2173" i="12"/>
  <c r="A2173" i="12"/>
  <c r="G2172" i="12"/>
  <c r="F2172" i="12"/>
  <c r="E2172" i="12"/>
  <c r="D2172" i="12"/>
  <c r="C2172" i="12"/>
  <c r="B2172" i="12"/>
  <c r="A2172" i="12"/>
  <c r="G2171" i="12"/>
  <c r="F2171" i="12"/>
  <c r="E2171" i="12"/>
  <c r="D2171" i="12"/>
  <c r="C2171" i="12"/>
  <c r="B2171" i="12"/>
  <c r="A2171" i="12"/>
  <c r="G2170" i="12"/>
  <c r="F2170" i="12"/>
  <c r="E2170" i="12"/>
  <c r="D2170" i="12"/>
  <c r="C2170" i="12"/>
  <c r="B2170" i="12"/>
  <c r="A2170" i="12"/>
  <c r="G2169" i="12"/>
  <c r="F2169" i="12"/>
  <c r="E2169" i="12"/>
  <c r="D2169" i="12"/>
  <c r="C2169" i="12"/>
  <c r="B2169" i="12"/>
  <c r="A2169" i="12"/>
  <c r="G2168" i="12"/>
  <c r="F2168" i="12"/>
  <c r="E2168" i="12"/>
  <c r="D2168" i="12"/>
  <c r="C2168" i="12"/>
  <c r="B2168" i="12"/>
  <c r="A2168" i="12"/>
  <c r="G2167" i="12"/>
  <c r="F2167" i="12"/>
  <c r="E2167" i="12"/>
  <c r="D2167" i="12"/>
  <c r="C2167" i="12"/>
  <c r="B2167" i="12"/>
  <c r="A2167" i="12"/>
  <c r="G2166" i="12"/>
  <c r="F2166" i="12"/>
  <c r="E2166" i="12"/>
  <c r="D2166" i="12"/>
  <c r="C2166" i="12"/>
  <c r="B2166" i="12"/>
  <c r="A2166" i="12"/>
  <c r="G2165" i="12"/>
  <c r="F2165" i="12"/>
  <c r="E2165" i="12"/>
  <c r="D2165" i="12"/>
  <c r="C2165" i="12"/>
  <c r="B2165" i="12"/>
  <c r="A2165" i="12"/>
  <c r="F2164" i="12"/>
  <c r="E2164" i="12"/>
  <c r="D2164" i="12"/>
  <c r="C2164" i="12"/>
  <c r="B2164" i="12"/>
  <c r="A2164" i="12"/>
  <c r="G2163" i="12"/>
  <c r="F2163" i="12"/>
  <c r="E2163" i="12"/>
  <c r="D2163" i="12"/>
  <c r="C2163" i="12"/>
  <c r="B2163" i="12"/>
  <c r="A2163" i="12"/>
  <c r="G2162" i="12"/>
  <c r="F2162" i="12"/>
  <c r="E2162" i="12"/>
  <c r="D2162" i="12"/>
  <c r="C2162" i="12"/>
  <c r="B2162" i="12"/>
  <c r="A2162" i="12"/>
  <c r="G2161" i="12"/>
  <c r="F2161" i="12"/>
  <c r="E2161" i="12"/>
  <c r="D2161" i="12"/>
  <c r="C2161" i="12"/>
  <c r="B2161" i="12"/>
  <c r="A2161" i="12"/>
  <c r="G2160" i="12"/>
  <c r="F2160" i="12"/>
  <c r="E2160" i="12"/>
  <c r="D2160" i="12"/>
  <c r="C2160" i="12"/>
  <c r="B2160" i="12"/>
  <c r="A2160" i="12"/>
  <c r="G2159" i="12"/>
  <c r="E2159" i="12"/>
  <c r="D2159" i="12"/>
  <c r="C2159" i="12"/>
  <c r="B2159" i="12"/>
  <c r="A2159" i="12"/>
  <c r="G2158" i="12"/>
  <c r="E2158" i="12"/>
  <c r="D2158" i="12"/>
  <c r="C2158" i="12"/>
  <c r="B2158" i="12"/>
  <c r="A2158" i="12"/>
  <c r="G2157" i="12"/>
  <c r="E2157" i="12"/>
  <c r="D2157" i="12"/>
  <c r="C2157" i="12"/>
  <c r="B2157" i="12"/>
  <c r="A2157" i="12"/>
  <c r="G2156" i="12"/>
  <c r="E2156" i="12"/>
  <c r="D2156" i="12"/>
  <c r="C2156" i="12"/>
  <c r="B2156" i="12"/>
  <c r="A2156" i="12"/>
  <c r="G2155" i="12"/>
  <c r="E2155" i="12"/>
  <c r="D2155" i="12"/>
  <c r="C2155" i="12"/>
  <c r="B2155" i="12"/>
  <c r="A2155" i="12"/>
  <c r="E2154" i="12"/>
  <c r="D2154" i="12"/>
  <c r="C2154" i="12"/>
  <c r="B2154" i="12"/>
  <c r="A2154" i="12"/>
  <c r="E2153" i="12"/>
  <c r="D2153" i="12"/>
  <c r="C2153" i="12"/>
  <c r="B2153" i="12"/>
  <c r="A2153" i="12"/>
  <c r="G2152" i="12"/>
  <c r="E2152" i="12"/>
  <c r="D2152" i="12"/>
  <c r="C2152" i="12"/>
  <c r="B2152" i="12"/>
  <c r="A2152" i="12"/>
  <c r="E2151" i="12"/>
  <c r="D2151" i="12"/>
  <c r="C2151" i="12"/>
  <c r="B2151" i="12"/>
  <c r="A2151" i="12"/>
  <c r="E2150" i="12"/>
  <c r="D2150" i="12"/>
  <c r="C2150" i="12"/>
  <c r="B2150" i="12"/>
  <c r="A2150" i="12"/>
  <c r="G2149" i="12"/>
  <c r="E2149" i="12"/>
  <c r="D2149" i="12"/>
  <c r="C2149" i="12"/>
  <c r="B2149" i="12"/>
  <c r="A2149" i="12"/>
  <c r="G2148" i="12"/>
  <c r="E2148" i="12"/>
  <c r="D2148" i="12"/>
  <c r="C2148" i="12"/>
  <c r="B2148" i="12"/>
  <c r="A2148" i="12"/>
  <c r="E2147" i="12"/>
  <c r="D2147" i="12"/>
  <c r="C2147" i="12"/>
  <c r="B2147" i="12"/>
  <c r="A2147" i="12"/>
  <c r="G2146" i="12"/>
  <c r="E2146" i="12"/>
  <c r="D2146" i="12"/>
  <c r="C2146" i="12"/>
  <c r="B2146" i="12"/>
  <c r="A2146" i="12"/>
  <c r="E2145" i="12"/>
  <c r="D2145" i="12"/>
  <c r="C2145" i="12"/>
  <c r="B2145" i="12"/>
  <c r="A2145" i="12"/>
  <c r="E2144" i="12"/>
  <c r="D2144" i="12"/>
  <c r="C2144" i="12"/>
  <c r="B2144" i="12"/>
  <c r="A2144" i="12"/>
  <c r="F2143" i="12"/>
  <c r="E2143" i="12"/>
  <c r="D2143" i="12"/>
  <c r="C2143" i="12"/>
  <c r="B2143" i="12"/>
  <c r="A2143" i="12"/>
  <c r="E2142" i="12"/>
  <c r="D2142" i="12"/>
  <c r="C2142" i="12"/>
  <c r="B2142" i="12"/>
  <c r="A2142" i="12"/>
  <c r="E2141" i="12"/>
  <c r="D2141" i="12"/>
  <c r="C2141" i="12"/>
  <c r="B2141" i="12"/>
  <c r="A2141" i="12"/>
  <c r="G2140" i="12"/>
  <c r="E2140" i="12"/>
  <c r="D2140" i="12"/>
  <c r="C2140" i="12"/>
  <c r="B2140" i="12"/>
  <c r="A2140" i="12"/>
  <c r="G2139" i="12"/>
  <c r="E2139" i="12"/>
  <c r="D2139" i="12"/>
  <c r="C2139" i="12"/>
  <c r="B2139" i="12"/>
  <c r="A2139" i="12"/>
  <c r="E2138" i="12"/>
  <c r="D2138" i="12"/>
  <c r="C2138" i="12"/>
  <c r="B2138" i="12"/>
  <c r="A2138" i="12"/>
  <c r="E2137" i="12"/>
  <c r="D2137" i="12"/>
  <c r="C2137" i="12"/>
  <c r="B2137" i="12"/>
  <c r="A2137" i="12"/>
  <c r="E2136" i="12"/>
  <c r="D2136" i="12"/>
  <c r="C2136" i="12"/>
  <c r="B2136" i="12"/>
  <c r="A2136" i="12"/>
  <c r="E2135" i="12"/>
  <c r="D2135" i="12"/>
  <c r="C2135" i="12"/>
  <c r="B2135" i="12"/>
  <c r="A2135" i="12"/>
  <c r="E2134" i="12"/>
  <c r="D2134" i="12"/>
  <c r="C2134" i="12"/>
  <c r="B2134" i="12"/>
  <c r="A2134" i="12"/>
  <c r="E2133" i="12"/>
  <c r="D2133" i="12"/>
  <c r="C2133" i="12"/>
  <c r="B2133" i="12"/>
  <c r="A2133" i="12"/>
  <c r="E2132" i="12"/>
  <c r="D2132" i="12"/>
  <c r="C2132" i="12"/>
  <c r="B2132" i="12"/>
  <c r="A2132" i="12"/>
  <c r="E2131" i="12"/>
  <c r="D2131" i="12"/>
  <c r="C2131" i="12"/>
  <c r="B2131" i="12"/>
  <c r="A2131" i="12"/>
  <c r="E2130" i="12"/>
  <c r="D2130" i="12"/>
  <c r="C2130" i="12"/>
  <c r="B2130" i="12"/>
  <c r="A2130" i="12"/>
  <c r="G2129" i="12"/>
  <c r="E2129" i="12"/>
  <c r="D2129" i="12"/>
  <c r="C2129" i="12"/>
  <c r="B2129" i="12"/>
  <c r="A2129" i="12"/>
  <c r="G2128" i="12"/>
  <c r="E2128" i="12"/>
  <c r="D2128" i="12"/>
  <c r="C2128" i="12"/>
  <c r="B2128" i="12"/>
  <c r="A2128" i="12"/>
  <c r="E2127" i="12"/>
  <c r="D2127" i="12"/>
  <c r="C2127" i="12"/>
  <c r="B2127" i="12"/>
  <c r="A2127" i="12"/>
  <c r="G2126" i="12"/>
  <c r="E2126" i="12"/>
  <c r="D2126" i="12"/>
  <c r="C2126" i="12"/>
  <c r="B2126" i="12"/>
  <c r="A2126" i="12"/>
  <c r="F2125" i="12"/>
  <c r="E2125" i="12"/>
  <c r="D2125" i="12"/>
  <c r="C2125" i="12"/>
  <c r="B2125" i="12"/>
  <c r="A2125" i="12"/>
  <c r="G2124" i="12"/>
  <c r="E2124" i="12"/>
  <c r="D2124" i="12"/>
  <c r="C2124" i="12"/>
  <c r="B2124" i="12"/>
  <c r="A2124" i="12"/>
  <c r="G2123" i="12"/>
  <c r="E2123" i="12"/>
  <c r="D2123" i="12"/>
  <c r="C2123" i="12"/>
  <c r="B2123" i="12"/>
  <c r="A2123" i="12"/>
  <c r="F2122" i="12"/>
  <c r="E2122" i="12"/>
  <c r="D2122" i="12"/>
  <c r="C2122" i="12"/>
  <c r="B2122" i="12"/>
  <c r="A2122" i="12"/>
  <c r="G2121" i="12"/>
  <c r="E2121" i="12"/>
  <c r="D2121" i="12"/>
  <c r="C2121" i="12"/>
  <c r="B2121" i="12"/>
  <c r="A2121" i="12"/>
  <c r="E2120" i="12"/>
  <c r="D2120" i="12"/>
  <c r="C2120" i="12"/>
  <c r="B2120" i="12"/>
  <c r="A2120" i="12"/>
  <c r="G2119" i="12"/>
  <c r="D2119" i="12"/>
  <c r="C2119" i="12"/>
  <c r="B2119" i="12"/>
  <c r="A2119" i="12"/>
  <c r="E2118" i="12"/>
  <c r="D2118" i="12"/>
  <c r="C2118" i="12"/>
  <c r="B2118" i="12"/>
  <c r="A2118" i="12"/>
  <c r="E2117" i="12"/>
  <c r="D2117" i="12"/>
  <c r="C2117" i="12"/>
  <c r="B2117" i="12"/>
  <c r="A2117" i="12"/>
  <c r="E2116" i="12"/>
  <c r="D2116" i="12"/>
  <c r="C2116" i="12"/>
  <c r="B2116" i="12"/>
  <c r="A2116" i="12"/>
  <c r="G2115" i="12"/>
  <c r="E2115" i="12"/>
  <c r="D2115" i="12"/>
  <c r="C2115" i="12"/>
  <c r="B2115" i="12"/>
  <c r="A2115" i="12"/>
  <c r="F2114" i="12"/>
  <c r="E2114" i="12"/>
  <c r="D2114" i="12"/>
  <c r="C2114" i="12"/>
  <c r="B2114" i="12"/>
  <c r="A2114" i="12"/>
  <c r="E2113" i="12"/>
  <c r="D2113" i="12"/>
  <c r="C2113" i="12"/>
  <c r="B2113" i="12"/>
  <c r="A2113" i="12"/>
  <c r="E2112" i="12"/>
  <c r="D2112" i="12"/>
  <c r="C2112" i="12"/>
  <c r="B2112" i="12"/>
  <c r="A2112" i="12"/>
  <c r="E2111" i="12"/>
  <c r="D2111" i="12"/>
  <c r="C2111" i="12"/>
  <c r="B2111" i="12"/>
  <c r="A2111" i="12"/>
  <c r="E2110" i="12"/>
  <c r="D2110" i="12"/>
  <c r="C2110" i="12"/>
  <c r="B2110" i="12"/>
  <c r="A2110" i="12"/>
  <c r="E2109" i="12"/>
  <c r="D2109" i="12"/>
  <c r="C2109" i="12"/>
  <c r="B2109" i="12"/>
  <c r="A2109" i="12"/>
  <c r="E2108" i="12"/>
  <c r="D2108" i="12"/>
  <c r="C2108" i="12"/>
  <c r="B2108" i="12"/>
  <c r="A2108" i="12"/>
  <c r="E2107" i="12"/>
  <c r="D2107" i="12"/>
  <c r="C2107" i="12"/>
  <c r="B2107" i="12"/>
  <c r="A2107" i="12"/>
  <c r="F2106" i="12"/>
  <c r="E2106" i="12"/>
  <c r="D2106" i="12"/>
  <c r="C2106" i="12"/>
  <c r="B2106" i="12"/>
  <c r="A2106" i="12"/>
  <c r="E2105" i="12"/>
  <c r="D2105" i="12"/>
  <c r="C2105" i="12"/>
  <c r="B2105" i="12"/>
  <c r="A2105" i="12"/>
  <c r="E2104" i="12"/>
  <c r="D2104" i="12"/>
  <c r="C2104" i="12"/>
  <c r="B2104" i="12"/>
  <c r="A2104" i="12"/>
  <c r="E2103" i="12"/>
  <c r="D2103" i="12"/>
  <c r="C2103" i="12"/>
  <c r="B2103" i="12"/>
  <c r="A2103" i="12"/>
  <c r="E2102" i="12"/>
  <c r="D2102" i="12"/>
  <c r="C2102" i="12"/>
  <c r="B2102" i="12"/>
  <c r="A2102" i="12"/>
  <c r="G2101" i="12"/>
  <c r="E2101" i="12"/>
  <c r="D2101" i="12"/>
  <c r="C2101" i="12"/>
  <c r="B2101" i="12"/>
  <c r="A2101" i="12"/>
  <c r="G2100" i="12"/>
  <c r="E2100" i="12"/>
  <c r="D2100" i="12"/>
  <c r="C2100" i="12"/>
  <c r="B2100" i="12"/>
  <c r="A2100" i="12"/>
  <c r="E2099" i="12"/>
  <c r="D2099" i="12"/>
  <c r="C2099" i="12"/>
  <c r="B2099" i="12"/>
  <c r="A2099" i="12"/>
  <c r="D2098" i="12"/>
  <c r="C2098" i="12"/>
  <c r="B2098" i="12"/>
  <c r="A2098" i="12"/>
  <c r="E2097" i="12"/>
  <c r="D2097" i="12"/>
  <c r="C2097" i="12"/>
  <c r="B2097" i="12"/>
  <c r="A2097" i="12"/>
  <c r="E2096" i="12"/>
  <c r="D2096" i="12"/>
  <c r="C2096" i="12"/>
  <c r="B2096" i="12"/>
  <c r="A2096" i="12"/>
  <c r="E2095" i="12"/>
  <c r="D2095" i="12"/>
  <c r="C2095" i="12"/>
  <c r="B2095" i="12"/>
  <c r="A2095" i="12"/>
  <c r="G2094" i="12"/>
  <c r="E2094" i="12"/>
  <c r="D2094" i="12"/>
  <c r="C2094" i="12"/>
  <c r="B2094" i="12"/>
  <c r="A2094" i="12"/>
  <c r="E2093" i="12"/>
  <c r="D2093" i="12"/>
  <c r="C2093" i="12"/>
  <c r="B2093" i="12"/>
  <c r="A2093" i="12"/>
  <c r="E2092" i="12"/>
  <c r="D2092" i="12"/>
  <c r="C2092" i="12"/>
  <c r="B2092" i="12"/>
  <c r="A2092" i="12"/>
  <c r="G2091" i="12"/>
  <c r="E2091" i="12"/>
  <c r="D2091" i="12"/>
  <c r="C2091" i="12"/>
  <c r="B2091" i="12"/>
  <c r="A2091" i="12"/>
  <c r="G2090" i="12"/>
  <c r="E2090" i="12"/>
  <c r="D2090" i="12"/>
  <c r="C2090" i="12"/>
  <c r="B2090" i="12"/>
  <c r="A2090" i="12"/>
  <c r="G2089" i="12"/>
  <c r="E2089" i="12"/>
  <c r="D2089" i="12"/>
  <c r="C2089" i="12"/>
  <c r="B2089" i="12"/>
  <c r="A2089" i="12"/>
  <c r="G2088" i="12"/>
  <c r="E2088" i="12"/>
  <c r="D2088" i="12"/>
  <c r="C2088" i="12"/>
  <c r="B2088" i="12"/>
  <c r="A2088" i="12"/>
  <c r="G2087" i="12"/>
  <c r="E2087" i="12"/>
  <c r="D2087" i="12"/>
  <c r="C2087" i="12"/>
  <c r="B2087" i="12"/>
  <c r="A2087" i="12"/>
  <c r="E2086" i="12"/>
  <c r="D2086" i="12"/>
  <c r="C2086" i="12"/>
  <c r="B2086" i="12"/>
  <c r="A2086" i="12"/>
  <c r="G2085" i="12"/>
  <c r="F2085" i="12"/>
  <c r="E2085" i="12"/>
  <c r="D2085" i="12"/>
  <c r="C2085" i="12"/>
  <c r="B2085" i="12"/>
  <c r="A2085" i="12"/>
  <c r="G2084" i="12"/>
  <c r="E2084" i="12"/>
  <c r="D2084" i="12"/>
  <c r="C2084" i="12"/>
  <c r="B2084" i="12"/>
  <c r="A2084" i="12"/>
  <c r="F2083" i="12"/>
  <c r="E2083" i="12"/>
  <c r="D2083" i="12"/>
  <c r="C2083" i="12"/>
  <c r="B2083" i="12"/>
  <c r="A2083" i="12"/>
  <c r="G2082" i="12"/>
  <c r="E2082" i="12"/>
  <c r="D2082" i="12"/>
  <c r="C2082" i="12"/>
  <c r="B2082" i="12"/>
  <c r="A2082" i="12"/>
  <c r="E2081" i="12"/>
  <c r="D2081" i="12"/>
  <c r="C2081" i="12"/>
  <c r="B2081" i="12"/>
  <c r="A2081" i="12"/>
  <c r="G2080" i="12"/>
  <c r="E2080" i="12"/>
  <c r="D2080" i="12"/>
  <c r="C2080" i="12"/>
  <c r="B2080" i="12"/>
  <c r="A2080" i="12"/>
  <c r="E2079" i="12"/>
  <c r="D2079" i="12"/>
  <c r="C2079" i="12"/>
  <c r="B2079" i="12"/>
  <c r="A2079" i="12"/>
  <c r="E2078" i="12"/>
  <c r="D2078" i="12"/>
  <c r="C2078" i="12"/>
  <c r="B2078" i="12"/>
  <c r="A2078" i="12"/>
  <c r="E2077" i="12"/>
  <c r="D2077" i="12"/>
  <c r="C2077" i="12"/>
  <c r="B2077" i="12"/>
  <c r="A2077" i="12"/>
  <c r="E2076" i="12"/>
  <c r="D2076" i="12"/>
  <c r="C2076" i="12"/>
  <c r="B2076" i="12"/>
  <c r="A2076" i="12"/>
  <c r="E2075" i="12"/>
  <c r="D2075" i="12"/>
  <c r="C2075" i="12"/>
  <c r="B2075" i="12"/>
  <c r="A2075" i="12"/>
  <c r="E2074" i="12"/>
  <c r="D2074" i="12"/>
  <c r="C2074" i="12"/>
  <c r="B2074" i="12"/>
  <c r="A2074" i="12"/>
  <c r="E2073" i="12"/>
  <c r="D2073" i="12"/>
  <c r="C2073" i="12"/>
  <c r="B2073" i="12"/>
  <c r="A2073" i="12"/>
  <c r="E2072" i="12"/>
  <c r="D2072" i="12"/>
  <c r="C2072" i="12"/>
  <c r="B2072" i="12"/>
  <c r="A2072" i="12"/>
  <c r="E2071" i="12"/>
  <c r="D2071" i="12"/>
  <c r="C2071" i="12"/>
  <c r="B2071" i="12"/>
  <c r="A2071" i="12"/>
  <c r="E2070" i="12"/>
  <c r="D2070" i="12"/>
  <c r="C2070" i="12"/>
  <c r="B2070" i="12"/>
  <c r="A2070" i="12"/>
  <c r="E2069" i="12"/>
  <c r="D2069" i="12"/>
  <c r="C2069" i="12"/>
  <c r="B2069" i="12"/>
  <c r="A2069" i="12"/>
  <c r="G2068" i="12"/>
  <c r="E2068" i="12"/>
  <c r="D2068" i="12"/>
  <c r="C2068" i="12"/>
  <c r="B2068" i="12"/>
  <c r="A2068" i="12"/>
  <c r="E2067" i="12"/>
  <c r="D2067" i="12"/>
  <c r="C2067" i="12"/>
  <c r="B2067" i="12"/>
  <c r="A2067" i="12"/>
  <c r="E2066" i="12"/>
  <c r="D2066" i="12"/>
  <c r="C2066" i="12"/>
  <c r="B2066" i="12"/>
  <c r="A2066" i="12"/>
  <c r="E2065" i="12"/>
  <c r="D2065" i="12"/>
  <c r="C2065" i="12"/>
  <c r="B2065" i="12"/>
  <c r="A2065" i="12"/>
  <c r="E2064" i="12"/>
  <c r="D2064" i="12"/>
  <c r="C2064" i="12"/>
  <c r="B2064" i="12"/>
  <c r="A2064" i="12"/>
  <c r="E2063" i="12"/>
  <c r="D2063" i="12"/>
  <c r="C2063" i="12"/>
  <c r="B2063" i="12"/>
  <c r="A2063" i="12"/>
  <c r="G2062" i="12"/>
  <c r="E2062" i="12"/>
  <c r="D2062" i="12"/>
  <c r="C2062" i="12"/>
  <c r="B2062" i="12"/>
  <c r="A2062" i="12"/>
  <c r="E2061" i="12"/>
  <c r="D2061" i="12"/>
  <c r="C2061" i="12"/>
  <c r="B2061" i="12"/>
  <c r="A2061" i="12"/>
  <c r="E2060" i="12"/>
  <c r="D2060" i="12"/>
  <c r="C2060" i="12"/>
  <c r="B2060" i="12"/>
  <c r="A2060" i="12"/>
  <c r="E2059" i="12"/>
  <c r="D2059" i="12"/>
  <c r="C2059" i="12"/>
  <c r="B2059" i="12"/>
  <c r="A2059" i="12"/>
  <c r="G2058" i="12"/>
  <c r="E2058" i="12"/>
  <c r="D2058" i="12"/>
  <c r="C2058" i="12"/>
  <c r="B2058" i="12"/>
  <c r="A2058" i="12"/>
  <c r="E2057" i="12"/>
  <c r="D2057" i="12"/>
  <c r="C2057" i="12"/>
  <c r="B2057" i="12"/>
  <c r="A2057" i="12"/>
  <c r="E2056" i="12"/>
  <c r="D2056" i="12"/>
  <c r="C2056" i="12"/>
  <c r="B2056" i="12"/>
  <c r="A2056" i="12"/>
  <c r="E2055" i="12"/>
  <c r="D2055" i="12"/>
  <c r="C2055" i="12"/>
  <c r="B2055" i="12"/>
  <c r="A2055" i="12"/>
  <c r="E2054" i="12"/>
  <c r="D2054" i="12"/>
  <c r="C2054" i="12"/>
  <c r="B2054" i="12"/>
  <c r="A2054" i="12"/>
  <c r="E2053" i="12"/>
  <c r="D2053" i="12"/>
  <c r="C2053" i="12"/>
  <c r="B2053" i="12"/>
  <c r="A2053" i="12"/>
  <c r="G2052" i="12"/>
  <c r="E2052" i="12"/>
  <c r="D2052" i="12"/>
  <c r="C2052" i="12"/>
  <c r="B2052" i="12"/>
  <c r="A2052" i="12"/>
  <c r="G2051" i="12"/>
  <c r="E2051" i="12"/>
  <c r="D2051" i="12"/>
  <c r="C2051" i="12"/>
  <c r="B2051" i="12"/>
  <c r="A2051" i="12"/>
  <c r="G2050" i="12"/>
  <c r="E2050" i="12"/>
  <c r="D2050" i="12"/>
  <c r="C2050" i="12"/>
  <c r="B2050" i="12"/>
  <c r="A2050" i="12"/>
  <c r="E2049" i="12"/>
  <c r="D2049" i="12"/>
  <c r="C2049" i="12"/>
  <c r="B2049" i="12"/>
  <c r="A2049" i="12"/>
  <c r="E2048" i="12"/>
  <c r="D2048" i="12"/>
  <c r="C2048" i="12"/>
  <c r="B2048" i="12"/>
  <c r="A2048" i="12"/>
  <c r="G2047" i="12"/>
  <c r="D2047" i="12"/>
  <c r="C2047" i="12"/>
  <c r="B2047" i="12"/>
  <c r="A2047" i="12"/>
  <c r="D2046" i="12"/>
  <c r="C2046" i="12"/>
  <c r="B2046" i="12"/>
  <c r="A2046" i="12"/>
  <c r="E2045" i="12"/>
  <c r="D2045" i="12"/>
  <c r="C2045" i="12"/>
  <c r="B2045" i="12"/>
  <c r="A2045" i="12"/>
  <c r="E2044" i="12"/>
  <c r="D2044" i="12"/>
  <c r="C2044" i="12"/>
  <c r="B2044" i="12"/>
  <c r="A2044" i="12"/>
  <c r="G2043" i="12"/>
  <c r="E2043" i="12"/>
  <c r="D2043" i="12"/>
  <c r="C2043" i="12"/>
  <c r="B2043" i="12"/>
  <c r="A2043" i="12"/>
  <c r="E2042" i="12"/>
  <c r="D2042" i="12"/>
  <c r="C2042" i="12"/>
  <c r="B2042" i="12"/>
  <c r="A2042" i="12"/>
  <c r="E2041" i="12"/>
  <c r="D2041" i="12"/>
  <c r="C2041" i="12"/>
  <c r="B2041" i="12"/>
  <c r="A2041" i="12"/>
  <c r="E2040" i="12"/>
  <c r="D2040" i="12"/>
  <c r="C2040" i="12"/>
  <c r="B2040" i="12"/>
  <c r="A2040" i="12"/>
  <c r="G2039" i="12"/>
  <c r="E2039" i="12"/>
  <c r="D2039" i="12"/>
  <c r="C2039" i="12"/>
  <c r="B2039" i="12"/>
  <c r="A2039" i="12"/>
  <c r="G2038" i="12"/>
  <c r="E2038" i="12"/>
  <c r="D2038" i="12"/>
  <c r="C2038" i="12"/>
  <c r="B2038" i="12"/>
  <c r="A2038" i="12"/>
  <c r="G2037" i="12"/>
  <c r="E2037" i="12"/>
  <c r="D2037" i="12"/>
  <c r="C2037" i="12"/>
  <c r="B2037" i="12"/>
  <c r="A2037" i="12"/>
  <c r="E2036" i="12"/>
  <c r="D2036" i="12"/>
  <c r="C2036" i="12"/>
  <c r="B2036" i="12"/>
  <c r="A2036" i="12"/>
  <c r="G2035" i="12"/>
  <c r="E2035" i="12"/>
  <c r="D2035" i="12"/>
  <c r="C2035" i="12"/>
  <c r="B2035" i="12"/>
  <c r="A2035" i="12"/>
  <c r="E2034" i="12"/>
  <c r="D2034" i="12"/>
  <c r="C2034" i="12"/>
  <c r="B2034" i="12"/>
  <c r="A2034" i="12"/>
  <c r="G2033" i="12"/>
  <c r="E2033" i="12"/>
  <c r="D2033" i="12"/>
  <c r="C2033" i="12"/>
  <c r="B2033" i="12"/>
  <c r="A2033" i="12"/>
  <c r="G2032" i="12"/>
  <c r="E2032" i="12"/>
  <c r="D2032" i="12"/>
  <c r="C2032" i="12"/>
  <c r="B2032" i="12"/>
  <c r="A2032" i="12"/>
  <c r="G2031" i="12"/>
  <c r="E2031" i="12"/>
  <c r="D2031" i="12"/>
  <c r="C2031" i="12"/>
  <c r="B2031" i="12"/>
  <c r="A2031" i="12"/>
  <c r="G2030" i="12"/>
  <c r="E2030" i="12"/>
  <c r="D2030" i="12"/>
  <c r="C2030" i="12"/>
  <c r="B2030" i="12"/>
  <c r="A2030" i="12"/>
  <c r="G2029" i="12"/>
  <c r="E2029" i="12"/>
  <c r="D2029" i="12"/>
  <c r="C2029" i="12"/>
  <c r="B2029" i="12"/>
  <c r="A2029" i="12"/>
  <c r="G2028" i="12"/>
  <c r="E2028" i="12"/>
  <c r="D2028" i="12"/>
  <c r="C2028" i="12"/>
  <c r="B2028" i="12"/>
  <c r="A2028" i="12"/>
  <c r="G2027" i="12"/>
  <c r="E2027" i="12"/>
  <c r="D2027" i="12"/>
  <c r="C2027" i="12"/>
  <c r="B2027" i="12"/>
  <c r="A2027" i="12"/>
  <c r="G2026" i="12"/>
  <c r="F2026" i="12"/>
  <c r="E2026" i="12"/>
  <c r="D2026" i="12"/>
  <c r="C2026" i="12"/>
  <c r="B2026" i="12"/>
  <c r="A2026" i="12"/>
  <c r="G2025" i="12"/>
  <c r="E2025" i="12"/>
  <c r="D2025" i="12"/>
  <c r="C2025" i="12"/>
  <c r="B2025" i="12"/>
  <c r="A2025" i="12"/>
  <c r="E2024" i="12"/>
  <c r="D2024" i="12"/>
  <c r="C2024" i="12"/>
  <c r="B2024" i="12"/>
  <c r="A2024" i="12"/>
  <c r="G2023" i="12"/>
  <c r="E2023" i="12"/>
  <c r="D2023" i="12"/>
  <c r="C2023" i="12"/>
  <c r="B2023" i="12"/>
  <c r="A2023" i="12"/>
  <c r="G2022" i="12"/>
  <c r="E2022" i="12"/>
  <c r="D2022" i="12"/>
  <c r="C2022" i="12"/>
  <c r="B2022" i="12"/>
  <c r="A2022" i="12"/>
  <c r="G2021" i="12"/>
  <c r="E2021" i="12"/>
  <c r="D2021" i="12"/>
  <c r="C2021" i="12"/>
  <c r="B2021" i="12"/>
  <c r="A2021" i="12"/>
  <c r="G2020" i="12"/>
  <c r="E2020" i="12"/>
  <c r="D2020" i="12"/>
  <c r="C2020" i="12"/>
  <c r="B2020" i="12"/>
  <c r="A2020" i="12"/>
  <c r="G2019" i="12"/>
  <c r="E2019" i="12"/>
  <c r="D2019" i="12"/>
  <c r="C2019" i="12"/>
  <c r="B2019" i="12"/>
  <c r="A2019" i="12"/>
  <c r="G2018" i="12"/>
  <c r="E2018" i="12"/>
  <c r="D2018" i="12"/>
  <c r="C2018" i="12"/>
  <c r="B2018" i="12"/>
  <c r="A2018" i="12"/>
  <c r="G2017" i="12"/>
  <c r="E2017" i="12"/>
  <c r="D2017" i="12"/>
  <c r="C2017" i="12"/>
  <c r="B2017" i="12"/>
  <c r="A2017" i="12"/>
  <c r="G2016" i="12"/>
  <c r="E2016" i="12"/>
  <c r="D2016" i="12"/>
  <c r="C2016" i="12"/>
  <c r="B2016" i="12"/>
  <c r="A2016" i="12"/>
  <c r="G2015" i="12"/>
  <c r="E2015" i="12"/>
  <c r="D2015" i="12"/>
  <c r="C2015" i="12"/>
  <c r="B2015" i="12"/>
  <c r="A2015" i="12"/>
  <c r="G2014" i="12"/>
  <c r="E2014" i="12"/>
  <c r="D2014" i="12"/>
  <c r="C2014" i="12"/>
  <c r="B2014" i="12"/>
  <c r="A2014" i="12"/>
  <c r="G2013" i="12"/>
  <c r="F2013" i="12"/>
  <c r="E2013" i="12"/>
  <c r="D2013" i="12"/>
  <c r="C2013" i="12"/>
  <c r="B2013" i="12"/>
  <c r="A2013" i="12"/>
  <c r="G2012" i="12"/>
  <c r="E2012" i="12"/>
  <c r="D2012" i="12"/>
  <c r="C2012" i="12"/>
  <c r="B2012" i="12"/>
  <c r="A2012" i="12"/>
  <c r="G2011" i="12"/>
  <c r="E2011" i="12"/>
  <c r="D2011" i="12"/>
  <c r="C2011" i="12"/>
  <c r="B2011" i="12"/>
  <c r="A2011" i="12"/>
  <c r="G2010" i="12"/>
  <c r="E2010" i="12"/>
  <c r="D2010" i="12"/>
  <c r="C2010" i="12"/>
  <c r="B2010" i="12"/>
  <c r="A2010" i="12"/>
  <c r="G2009" i="12"/>
  <c r="E2009" i="12"/>
  <c r="D2009" i="12"/>
  <c r="C2009" i="12"/>
  <c r="B2009" i="12"/>
  <c r="A2009" i="12"/>
  <c r="G2008" i="12"/>
  <c r="E2008" i="12"/>
  <c r="D2008" i="12"/>
  <c r="C2008" i="12"/>
  <c r="B2008" i="12"/>
  <c r="A2008" i="12"/>
  <c r="G2007" i="12"/>
  <c r="E2007" i="12"/>
  <c r="D2007" i="12"/>
  <c r="C2007" i="12"/>
  <c r="B2007" i="12"/>
  <c r="A2007" i="12"/>
  <c r="G2006" i="12"/>
  <c r="E2006" i="12"/>
  <c r="D2006" i="12"/>
  <c r="C2006" i="12"/>
  <c r="B2006" i="12"/>
  <c r="A2006" i="12"/>
  <c r="G2005" i="12"/>
  <c r="E2005" i="12"/>
  <c r="D2005" i="12"/>
  <c r="C2005" i="12"/>
  <c r="B2005" i="12"/>
  <c r="A2005" i="12"/>
  <c r="G2004" i="12"/>
  <c r="E2004" i="12"/>
  <c r="D2004" i="12"/>
  <c r="C2004" i="12"/>
  <c r="B2004" i="12"/>
  <c r="A2004" i="12"/>
  <c r="G2003" i="12"/>
  <c r="E2003" i="12"/>
  <c r="D2003" i="12"/>
  <c r="C2003" i="12"/>
  <c r="B2003" i="12"/>
  <c r="A2003" i="12"/>
  <c r="G2002" i="12"/>
  <c r="E2002" i="12"/>
  <c r="D2002" i="12"/>
  <c r="C2002" i="12"/>
  <c r="B2002" i="12"/>
  <c r="A2002" i="12"/>
  <c r="G2001" i="12"/>
  <c r="E2001" i="12"/>
  <c r="D2001" i="12"/>
  <c r="C2001" i="12"/>
  <c r="B2001" i="12"/>
  <c r="A2001" i="12"/>
  <c r="G2000" i="12"/>
  <c r="E2000" i="12"/>
  <c r="D2000" i="12"/>
  <c r="C2000" i="12"/>
  <c r="B2000" i="12"/>
  <c r="A2000" i="12"/>
  <c r="G1999" i="12"/>
  <c r="E1999" i="12"/>
  <c r="D1999" i="12"/>
  <c r="C1999" i="12"/>
  <c r="B1999" i="12"/>
  <c r="A1999" i="12"/>
  <c r="G1998" i="12"/>
  <c r="E1998" i="12"/>
  <c r="D1998" i="12"/>
  <c r="C1998" i="12"/>
  <c r="B1998" i="12"/>
  <c r="A1998" i="12"/>
  <c r="G1997" i="12"/>
  <c r="F1997" i="12"/>
  <c r="E1997" i="12"/>
  <c r="D1997" i="12"/>
  <c r="C1997" i="12"/>
  <c r="B1997" i="12"/>
  <c r="A1997" i="12"/>
  <c r="G1996" i="12"/>
  <c r="E1996" i="12"/>
  <c r="D1996" i="12"/>
  <c r="C1996" i="12"/>
  <c r="B1996" i="12"/>
  <c r="A1996" i="12"/>
  <c r="G1995" i="12"/>
  <c r="E1995" i="12"/>
  <c r="D1995" i="12"/>
  <c r="C1995" i="12"/>
  <c r="B1995" i="12"/>
  <c r="A1995" i="12"/>
  <c r="G1994" i="12"/>
  <c r="F1994" i="12"/>
  <c r="E1994" i="12"/>
  <c r="D1994" i="12"/>
  <c r="C1994" i="12"/>
  <c r="B1994" i="12"/>
  <c r="A1994" i="12"/>
  <c r="G1993" i="12"/>
  <c r="F1993" i="12"/>
  <c r="E1993" i="12"/>
  <c r="D1993" i="12"/>
  <c r="C1993" i="12"/>
  <c r="B1993" i="12"/>
  <c r="A1993" i="12"/>
  <c r="G1992" i="12"/>
  <c r="F1992" i="12"/>
  <c r="E1992" i="12"/>
  <c r="D1992" i="12"/>
  <c r="C1992" i="12"/>
  <c r="B1992" i="12"/>
  <c r="A1992" i="12"/>
  <c r="G1991" i="12"/>
  <c r="E1991" i="12"/>
  <c r="D1991" i="12"/>
  <c r="C1991" i="12"/>
  <c r="B1991" i="12"/>
  <c r="A1991" i="12"/>
  <c r="G1990" i="12"/>
  <c r="E1990" i="12"/>
  <c r="D1990" i="12"/>
  <c r="C1990" i="12"/>
  <c r="B1990" i="12"/>
  <c r="A1990" i="12"/>
  <c r="G1989" i="12"/>
  <c r="E1989" i="12"/>
  <c r="D1989" i="12"/>
  <c r="C1989" i="12"/>
  <c r="B1989" i="12"/>
  <c r="A1989" i="12"/>
  <c r="G1988" i="12"/>
  <c r="E1988" i="12"/>
  <c r="D1988" i="12"/>
  <c r="C1988" i="12"/>
  <c r="B1988" i="12"/>
  <c r="A1988" i="12"/>
  <c r="G1987" i="12"/>
  <c r="E1987" i="12"/>
  <c r="D1987" i="12"/>
  <c r="C1987" i="12"/>
  <c r="B1987" i="12"/>
  <c r="A1987" i="12"/>
  <c r="G1986" i="12"/>
  <c r="E1986" i="12"/>
  <c r="D1986" i="12"/>
  <c r="C1986" i="12"/>
  <c r="B1986" i="12"/>
  <c r="A1986" i="12"/>
  <c r="G1985" i="12"/>
  <c r="E1985" i="12"/>
  <c r="D1985" i="12"/>
  <c r="C1985" i="12"/>
  <c r="B1985" i="12"/>
  <c r="A1985" i="12"/>
  <c r="G1984" i="12"/>
  <c r="E1984" i="12"/>
  <c r="D1984" i="12"/>
  <c r="C1984" i="12"/>
  <c r="B1984" i="12"/>
  <c r="A1984" i="12"/>
  <c r="D1983" i="12"/>
  <c r="C1983" i="12"/>
  <c r="B1983" i="12"/>
  <c r="A1983" i="12"/>
  <c r="D1982" i="12"/>
  <c r="C1982" i="12"/>
  <c r="B1982" i="12"/>
  <c r="A1982" i="12"/>
  <c r="D1981" i="12"/>
  <c r="C1981" i="12"/>
  <c r="B1981" i="12"/>
  <c r="A1981" i="12"/>
  <c r="G1980" i="12"/>
  <c r="E1980" i="12"/>
  <c r="D1980" i="12"/>
  <c r="C1980" i="12"/>
  <c r="B1980" i="12"/>
  <c r="A1980" i="12"/>
  <c r="G1979" i="12"/>
  <c r="F1979" i="12"/>
  <c r="E1979" i="12"/>
  <c r="D1979" i="12"/>
  <c r="C1979" i="12"/>
  <c r="B1979" i="12"/>
  <c r="A1979" i="12"/>
  <c r="G1978" i="12"/>
  <c r="F1978" i="12"/>
  <c r="E1978" i="12"/>
  <c r="D1978" i="12"/>
  <c r="C1978" i="12"/>
  <c r="B1978" i="12"/>
  <c r="A1978" i="12"/>
  <c r="G1977" i="12"/>
  <c r="F1977" i="12"/>
  <c r="E1977" i="12"/>
  <c r="D1977" i="12"/>
  <c r="C1977" i="12"/>
  <c r="B1977" i="12"/>
  <c r="A1977" i="12"/>
  <c r="G1976" i="12"/>
  <c r="E1976" i="12"/>
  <c r="D1976" i="12"/>
  <c r="C1976" i="12"/>
  <c r="B1976" i="12"/>
  <c r="A1976" i="12"/>
  <c r="G1975" i="12"/>
  <c r="E1975" i="12"/>
  <c r="D1975" i="12"/>
  <c r="C1975" i="12"/>
  <c r="B1975" i="12"/>
  <c r="A1975" i="12"/>
  <c r="G1974" i="12"/>
  <c r="F1974" i="12"/>
  <c r="E1974" i="12"/>
  <c r="D1974" i="12"/>
  <c r="C1974" i="12"/>
  <c r="B1974" i="12"/>
  <c r="A1974" i="12"/>
  <c r="G1973" i="12"/>
  <c r="E1973" i="12"/>
  <c r="D1973" i="12"/>
  <c r="C1973" i="12"/>
  <c r="B1973" i="12"/>
  <c r="A1973" i="12"/>
  <c r="G1972" i="12"/>
  <c r="E1972" i="12"/>
  <c r="D1972" i="12"/>
  <c r="C1972" i="12"/>
  <c r="B1972" i="12"/>
  <c r="A1972" i="12"/>
  <c r="G1971" i="12"/>
  <c r="E1971" i="12"/>
  <c r="D1971" i="12"/>
  <c r="C1971" i="12"/>
  <c r="B1971" i="12"/>
  <c r="A1971" i="12"/>
  <c r="G1970" i="12"/>
  <c r="E1970" i="12"/>
  <c r="D1970" i="12"/>
  <c r="C1970" i="12"/>
  <c r="B1970" i="12"/>
  <c r="A1970" i="12"/>
  <c r="G1969" i="12"/>
  <c r="E1969" i="12"/>
  <c r="D1969" i="12"/>
  <c r="C1969" i="12"/>
  <c r="B1969" i="12"/>
  <c r="A1969" i="12"/>
  <c r="E1968" i="12"/>
  <c r="D1968" i="12"/>
  <c r="C1968" i="12"/>
  <c r="B1968" i="12"/>
  <c r="A1968" i="12"/>
  <c r="E1967" i="12"/>
  <c r="D1967" i="12"/>
  <c r="C1967" i="12"/>
  <c r="B1967" i="12"/>
  <c r="A1967" i="12"/>
  <c r="G1966" i="12"/>
  <c r="F1966" i="12"/>
  <c r="E1966" i="12"/>
  <c r="D1966" i="12"/>
  <c r="C1966" i="12"/>
  <c r="B1966" i="12"/>
  <c r="A1966" i="12"/>
  <c r="E1965" i="12"/>
  <c r="D1965" i="12"/>
  <c r="C1965" i="12"/>
  <c r="B1965" i="12"/>
  <c r="A1965" i="12"/>
  <c r="E1964" i="12"/>
  <c r="D1964" i="12"/>
  <c r="C1964" i="12"/>
  <c r="B1964" i="12"/>
  <c r="A1964" i="12"/>
  <c r="G1963" i="12"/>
  <c r="E1963" i="12"/>
  <c r="D1963" i="12"/>
  <c r="C1963" i="12"/>
  <c r="B1963" i="12"/>
  <c r="A1963" i="12"/>
  <c r="G1962" i="12"/>
  <c r="E1962" i="12"/>
  <c r="D1962" i="12"/>
  <c r="C1962" i="12"/>
  <c r="B1962" i="12"/>
  <c r="A1962" i="12"/>
  <c r="E1961" i="12"/>
  <c r="D1961" i="12"/>
  <c r="C1961" i="12"/>
  <c r="B1961" i="12"/>
  <c r="A1961" i="12"/>
  <c r="E1960" i="12"/>
  <c r="D1960" i="12"/>
  <c r="C1960" i="12"/>
  <c r="B1960" i="12"/>
  <c r="A1960" i="12"/>
  <c r="G1959" i="12"/>
  <c r="E1959" i="12"/>
  <c r="D1959" i="12"/>
  <c r="C1959" i="12"/>
  <c r="B1959" i="12"/>
  <c r="A1959" i="12"/>
  <c r="G1958" i="12"/>
  <c r="E1958" i="12"/>
  <c r="D1958" i="12"/>
  <c r="C1958" i="12"/>
  <c r="B1958" i="12"/>
  <c r="A1958" i="12"/>
  <c r="G1957" i="12"/>
  <c r="E1957" i="12"/>
  <c r="D1957" i="12"/>
  <c r="C1957" i="12"/>
  <c r="B1957" i="12"/>
  <c r="A1957" i="12"/>
  <c r="G1956" i="12"/>
  <c r="E1956" i="12"/>
  <c r="D1956" i="12"/>
  <c r="C1956" i="12"/>
  <c r="B1956" i="12"/>
  <c r="A1956" i="12"/>
  <c r="G1955" i="12"/>
  <c r="F1955" i="12"/>
  <c r="E1955" i="12"/>
  <c r="D1955" i="12"/>
  <c r="C1955" i="12"/>
  <c r="B1955" i="12"/>
  <c r="A1955" i="12"/>
  <c r="G1954" i="12"/>
  <c r="E1954" i="12"/>
  <c r="D1954" i="12"/>
  <c r="C1954" i="12"/>
  <c r="B1954" i="12"/>
  <c r="A1954" i="12"/>
  <c r="E1953" i="12"/>
  <c r="D1953" i="12"/>
  <c r="C1953" i="12"/>
  <c r="B1953" i="12"/>
  <c r="A1953" i="12"/>
  <c r="G1952" i="12"/>
  <c r="E1952" i="12"/>
  <c r="D1952" i="12"/>
  <c r="C1952" i="12"/>
  <c r="B1952" i="12"/>
  <c r="A1952" i="12"/>
  <c r="G1951" i="12"/>
  <c r="F1951" i="12"/>
  <c r="E1951" i="12"/>
  <c r="D1951" i="12"/>
  <c r="C1951" i="12"/>
  <c r="B1951" i="12"/>
  <c r="A1951" i="12"/>
  <c r="G1950" i="12"/>
  <c r="E1950" i="12"/>
  <c r="D1950" i="12"/>
  <c r="C1950" i="12"/>
  <c r="B1950" i="12"/>
  <c r="A1950" i="12"/>
  <c r="G1949" i="12"/>
  <c r="E1949" i="12"/>
  <c r="D1949" i="12"/>
  <c r="C1949" i="12"/>
  <c r="B1949" i="12"/>
  <c r="A1949" i="12"/>
  <c r="G1948" i="12"/>
  <c r="F1948" i="12"/>
  <c r="E1948" i="12"/>
  <c r="D1948" i="12"/>
  <c r="C1948" i="12"/>
  <c r="B1948" i="12"/>
  <c r="A1948" i="12"/>
  <c r="G1947" i="12"/>
  <c r="E1947" i="12"/>
  <c r="D1947" i="12"/>
  <c r="C1947" i="12"/>
  <c r="B1947" i="12"/>
  <c r="A1947" i="12"/>
  <c r="G1946" i="12"/>
  <c r="E1946" i="12"/>
  <c r="D1946" i="12"/>
  <c r="C1946" i="12"/>
  <c r="B1946" i="12"/>
  <c r="A1946" i="12"/>
  <c r="E1945" i="12"/>
  <c r="D1945" i="12"/>
  <c r="C1945" i="12"/>
  <c r="B1945" i="12"/>
  <c r="A1945" i="12"/>
  <c r="G1944" i="12"/>
  <c r="E1944" i="12"/>
  <c r="D1944" i="12"/>
  <c r="C1944" i="12"/>
  <c r="B1944" i="12"/>
  <c r="A1944" i="12"/>
  <c r="E1943" i="12"/>
  <c r="D1943" i="12"/>
  <c r="C1943" i="12"/>
  <c r="B1943" i="12"/>
  <c r="A1943" i="12"/>
  <c r="G1942" i="12"/>
  <c r="E1942" i="12"/>
  <c r="D1942" i="12"/>
  <c r="C1942" i="12"/>
  <c r="B1942" i="12"/>
  <c r="A1942" i="12"/>
  <c r="G1941" i="12"/>
  <c r="E1941" i="12"/>
  <c r="D1941" i="12"/>
  <c r="C1941" i="12"/>
  <c r="B1941" i="12"/>
  <c r="A1941" i="12"/>
  <c r="E1940" i="12"/>
  <c r="D1940" i="12"/>
  <c r="C1940" i="12"/>
  <c r="B1940" i="12"/>
  <c r="A1940" i="12"/>
  <c r="E1939" i="12"/>
  <c r="D1939" i="12"/>
  <c r="C1939" i="12"/>
  <c r="B1939" i="12"/>
  <c r="A1939" i="12"/>
  <c r="E1938" i="12"/>
  <c r="D1938" i="12"/>
  <c r="C1938" i="12"/>
  <c r="B1938" i="12"/>
  <c r="A1938" i="12"/>
  <c r="G1937" i="12"/>
  <c r="E1937" i="12"/>
  <c r="D1937" i="12"/>
  <c r="C1937" i="12"/>
  <c r="B1937" i="12"/>
  <c r="A1937" i="12"/>
  <c r="G1936" i="12"/>
  <c r="E1936" i="12"/>
  <c r="D1936" i="12"/>
  <c r="C1936" i="12"/>
  <c r="B1936" i="12"/>
  <c r="A1936" i="12"/>
  <c r="G1935" i="12"/>
  <c r="F1935" i="12"/>
  <c r="E1935" i="12"/>
  <c r="D1935" i="12"/>
  <c r="C1935" i="12"/>
  <c r="B1935" i="12"/>
  <c r="A1935" i="12"/>
  <c r="G1934" i="12"/>
  <c r="E1934" i="12"/>
  <c r="D1934" i="12"/>
  <c r="C1934" i="12"/>
  <c r="B1934" i="12"/>
  <c r="A1934" i="12"/>
  <c r="G1933" i="12"/>
  <c r="E1933" i="12"/>
  <c r="D1933" i="12"/>
  <c r="C1933" i="12"/>
  <c r="B1933" i="12"/>
  <c r="A1933" i="12"/>
  <c r="E1932" i="12"/>
  <c r="D1932" i="12"/>
  <c r="C1932" i="12"/>
  <c r="B1932" i="12"/>
  <c r="A1932" i="12"/>
  <c r="G1931" i="12"/>
  <c r="E1931" i="12"/>
  <c r="D1931" i="12"/>
  <c r="C1931" i="12"/>
  <c r="B1931" i="12"/>
  <c r="A1931" i="12"/>
  <c r="E1930" i="12"/>
  <c r="D1930" i="12"/>
  <c r="C1930" i="12"/>
  <c r="B1930" i="12"/>
  <c r="A1930" i="12"/>
  <c r="G1929" i="12"/>
  <c r="E1929" i="12"/>
  <c r="D1929" i="12"/>
  <c r="C1929" i="12"/>
  <c r="B1929" i="12"/>
  <c r="A1929" i="12"/>
  <c r="G1928" i="12"/>
  <c r="E1928" i="12"/>
  <c r="D1928" i="12"/>
  <c r="C1928" i="12"/>
  <c r="B1928" i="12"/>
  <c r="A1928" i="12"/>
  <c r="E1927" i="12"/>
  <c r="D1927" i="12"/>
  <c r="C1927" i="12"/>
  <c r="B1927" i="12"/>
  <c r="A1927" i="12"/>
  <c r="G1926" i="12"/>
  <c r="E1926" i="12"/>
  <c r="D1926" i="12"/>
  <c r="C1926" i="12"/>
  <c r="B1926" i="12"/>
  <c r="A1926" i="12"/>
  <c r="E1925" i="12"/>
  <c r="D1925" i="12"/>
  <c r="C1925" i="12"/>
  <c r="B1925" i="12"/>
  <c r="A1925" i="12"/>
  <c r="E1924" i="12"/>
  <c r="D1924" i="12"/>
  <c r="C1924" i="12"/>
  <c r="B1924" i="12"/>
  <c r="A1924" i="12"/>
  <c r="E1923" i="12"/>
  <c r="D1923" i="12"/>
  <c r="C1923" i="12"/>
  <c r="B1923" i="12"/>
  <c r="A1923" i="12"/>
  <c r="G1922" i="12"/>
  <c r="E1922" i="12"/>
  <c r="D1922" i="12"/>
  <c r="C1922" i="12"/>
  <c r="B1922" i="12"/>
  <c r="A1922" i="12"/>
  <c r="G1921" i="12"/>
  <c r="E1921" i="12"/>
  <c r="D1921" i="12"/>
  <c r="C1921" i="12"/>
  <c r="B1921" i="12"/>
  <c r="A1921" i="12"/>
  <c r="E1920" i="12"/>
  <c r="D1920" i="12"/>
  <c r="C1920" i="12"/>
  <c r="B1920" i="12"/>
  <c r="A1920" i="12"/>
  <c r="G1919" i="12"/>
  <c r="F1919" i="12"/>
  <c r="E1919" i="12"/>
  <c r="D1919" i="12"/>
  <c r="C1919" i="12"/>
  <c r="B1919" i="12"/>
  <c r="A1919" i="12"/>
  <c r="G1918" i="12"/>
  <c r="D1918" i="12"/>
  <c r="C1918" i="12"/>
  <c r="B1918" i="12"/>
  <c r="A1918" i="12"/>
  <c r="G1917" i="12"/>
  <c r="F1917" i="12"/>
  <c r="E1917" i="12"/>
  <c r="D1917" i="12"/>
  <c r="C1917" i="12"/>
  <c r="B1917" i="12"/>
  <c r="A1917" i="12"/>
  <c r="G1916" i="12"/>
  <c r="F1916" i="12"/>
  <c r="E1916" i="12"/>
  <c r="D1916" i="12"/>
  <c r="C1916" i="12"/>
  <c r="B1916" i="12"/>
  <c r="A1916" i="12"/>
  <c r="G1915" i="12"/>
  <c r="E1915" i="12"/>
  <c r="D1915" i="12"/>
  <c r="C1915" i="12"/>
  <c r="B1915" i="12"/>
  <c r="A1915" i="12"/>
  <c r="G1914" i="12"/>
  <c r="D1914" i="12"/>
  <c r="C1914" i="12"/>
  <c r="B1914" i="12"/>
  <c r="A1914" i="12"/>
  <c r="G1913" i="12"/>
  <c r="F1913" i="12"/>
  <c r="E1913" i="12"/>
  <c r="D1913" i="12"/>
  <c r="C1913" i="12"/>
  <c r="B1913" i="12"/>
  <c r="A1913" i="12"/>
  <c r="G1912" i="12"/>
  <c r="E1912" i="12"/>
  <c r="D1912" i="12"/>
  <c r="C1912" i="12"/>
  <c r="B1912" i="12"/>
  <c r="A1912" i="12"/>
  <c r="G1911" i="12"/>
  <c r="E1911" i="12"/>
  <c r="D1911" i="12"/>
  <c r="C1911" i="12"/>
  <c r="B1911" i="12"/>
  <c r="A1911" i="12"/>
  <c r="G1910" i="12"/>
  <c r="F1910" i="12"/>
  <c r="E1910" i="12"/>
  <c r="D1910" i="12"/>
  <c r="C1910" i="12"/>
  <c r="B1910" i="12"/>
  <c r="A1910" i="12"/>
  <c r="G1909" i="12"/>
  <c r="E1909" i="12"/>
  <c r="D1909" i="12"/>
  <c r="C1909" i="12"/>
  <c r="B1909" i="12"/>
  <c r="A1909" i="12"/>
  <c r="G1908" i="12"/>
  <c r="E1908" i="12"/>
  <c r="D1908" i="12"/>
  <c r="C1908" i="12"/>
  <c r="B1908" i="12"/>
  <c r="A1908" i="12"/>
  <c r="G1907" i="12"/>
  <c r="E1907" i="12"/>
  <c r="D1907" i="12"/>
  <c r="C1907" i="12"/>
  <c r="B1907" i="12"/>
  <c r="A1907" i="12"/>
  <c r="G1906" i="12"/>
  <c r="F1906" i="12"/>
  <c r="E1906" i="12"/>
  <c r="D1906" i="12"/>
  <c r="C1906" i="12"/>
  <c r="B1906" i="12"/>
  <c r="A1906" i="12"/>
  <c r="G1905" i="12"/>
  <c r="E1905" i="12"/>
  <c r="D1905" i="12"/>
  <c r="C1905" i="12"/>
  <c r="B1905" i="12"/>
  <c r="A1905" i="12"/>
  <c r="G1904" i="12"/>
  <c r="F1904" i="12"/>
  <c r="E1904" i="12"/>
  <c r="D1904" i="12"/>
  <c r="C1904" i="12"/>
  <c r="B1904" i="12"/>
  <c r="A1904" i="12"/>
  <c r="G1903" i="12"/>
  <c r="E1903" i="12"/>
  <c r="D1903" i="12"/>
  <c r="C1903" i="12"/>
  <c r="B1903" i="12"/>
  <c r="A1903" i="12"/>
  <c r="G1902" i="12"/>
  <c r="F1902" i="12"/>
  <c r="E1902" i="12"/>
  <c r="D1902" i="12"/>
  <c r="C1902" i="12"/>
  <c r="B1902" i="12"/>
  <c r="A1902" i="12"/>
  <c r="G1901" i="12"/>
  <c r="E1901" i="12"/>
  <c r="D1901" i="12"/>
  <c r="C1901" i="12"/>
  <c r="B1901" i="12"/>
  <c r="A1901" i="12"/>
  <c r="G1900" i="12"/>
  <c r="E1900" i="12"/>
  <c r="D1900" i="12"/>
  <c r="C1900" i="12"/>
  <c r="B1900" i="12"/>
  <c r="A1900" i="12"/>
  <c r="G1899" i="12"/>
  <c r="E1899" i="12"/>
  <c r="D1899" i="12"/>
  <c r="C1899" i="12"/>
  <c r="B1899" i="12"/>
  <c r="A1899" i="12"/>
  <c r="G1898" i="12"/>
  <c r="E1898" i="12"/>
  <c r="D1898" i="12"/>
  <c r="C1898" i="12"/>
  <c r="B1898" i="12"/>
  <c r="A1898" i="12"/>
  <c r="G1897" i="12"/>
  <c r="E1897" i="12"/>
  <c r="D1897" i="12"/>
  <c r="C1897" i="12"/>
  <c r="B1897" i="12"/>
  <c r="A1897" i="12"/>
  <c r="G1896" i="12"/>
  <c r="F1896" i="12"/>
  <c r="E1896" i="12"/>
  <c r="D1896" i="12"/>
  <c r="C1896" i="12"/>
  <c r="B1896" i="12"/>
  <c r="A1896" i="12"/>
  <c r="G1895" i="12"/>
  <c r="E1895" i="12"/>
  <c r="D1895" i="12"/>
  <c r="C1895" i="12"/>
  <c r="B1895" i="12"/>
  <c r="A1895" i="12"/>
  <c r="G1894" i="12"/>
  <c r="F1894" i="12"/>
  <c r="E1894" i="12"/>
  <c r="D1894" i="12"/>
  <c r="C1894" i="12"/>
  <c r="B1894" i="12"/>
  <c r="A1894" i="12"/>
  <c r="G1893" i="12"/>
  <c r="E1893" i="12"/>
  <c r="D1893" i="12"/>
  <c r="C1893" i="12"/>
  <c r="B1893" i="12"/>
  <c r="A1893" i="12"/>
  <c r="G1892" i="12"/>
  <c r="E1892" i="12"/>
  <c r="D1892" i="12"/>
  <c r="C1892" i="12"/>
  <c r="B1892" i="12"/>
  <c r="A1892" i="12"/>
  <c r="G1891" i="12"/>
  <c r="F1891" i="12"/>
  <c r="E1891" i="12"/>
  <c r="D1891" i="12"/>
  <c r="C1891" i="12"/>
  <c r="B1891" i="12"/>
  <c r="A1891" i="12"/>
  <c r="G1890" i="12"/>
  <c r="F1890" i="12"/>
  <c r="E1890" i="12"/>
  <c r="D1890" i="12"/>
  <c r="C1890" i="12"/>
  <c r="B1890" i="12"/>
  <c r="A1890" i="12"/>
  <c r="E1889" i="12"/>
  <c r="D1889" i="12"/>
  <c r="C1889" i="12"/>
  <c r="B1889" i="12"/>
  <c r="A1889" i="12"/>
  <c r="G1888" i="12"/>
  <c r="E1888" i="12"/>
  <c r="D1888" i="12"/>
  <c r="C1888" i="12"/>
  <c r="B1888" i="12"/>
  <c r="A1888" i="12"/>
  <c r="G1887" i="12"/>
  <c r="E1887" i="12"/>
  <c r="D1887" i="12"/>
  <c r="C1887" i="12"/>
  <c r="B1887" i="12"/>
  <c r="A1887" i="12"/>
  <c r="G1886" i="12"/>
  <c r="E1886" i="12"/>
  <c r="D1886" i="12"/>
  <c r="C1886" i="12"/>
  <c r="B1886" i="12"/>
  <c r="A1886" i="12"/>
  <c r="G1885" i="12"/>
  <c r="E1885" i="12"/>
  <c r="D1885" i="12"/>
  <c r="C1885" i="12"/>
  <c r="B1885" i="12"/>
  <c r="A1885" i="12"/>
  <c r="G1884" i="12"/>
  <c r="F1884" i="12"/>
  <c r="E1884" i="12"/>
  <c r="D1884" i="12"/>
  <c r="C1884" i="12"/>
  <c r="B1884" i="12"/>
  <c r="A1884" i="12"/>
  <c r="E1883" i="12"/>
  <c r="D1883" i="12"/>
  <c r="C1883" i="12"/>
  <c r="B1883" i="12"/>
  <c r="A1883" i="12"/>
  <c r="G1882" i="12"/>
  <c r="E1882" i="12"/>
  <c r="D1882" i="12"/>
  <c r="C1882" i="12"/>
  <c r="B1882" i="12"/>
  <c r="A1882" i="12"/>
  <c r="G1881" i="12"/>
  <c r="F1881" i="12"/>
  <c r="E1881" i="12"/>
  <c r="D1881" i="12"/>
  <c r="C1881" i="12"/>
  <c r="B1881" i="12"/>
  <c r="A1881" i="12"/>
  <c r="G1880" i="12"/>
  <c r="F1880" i="12"/>
  <c r="E1880" i="12"/>
  <c r="D1880" i="12"/>
  <c r="C1880" i="12"/>
  <c r="B1880" i="12"/>
  <c r="A1880" i="12"/>
  <c r="G1879" i="12"/>
  <c r="F1879" i="12"/>
  <c r="E1879" i="12"/>
  <c r="D1879" i="12"/>
  <c r="C1879" i="12"/>
  <c r="B1879" i="12"/>
  <c r="A1879" i="12"/>
  <c r="G1878" i="12"/>
  <c r="F1878" i="12"/>
  <c r="E1878" i="12"/>
  <c r="D1878" i="12"/>
  <c r="C1878" i="12"/>
  <c r="B1878" i="12"/>
  <c r="A1878" i="12"/>
  <c r="G1877" i="12"/>
  <c r="E1877" i="12"/>
  <c r="D1877" i="12"/>
  <c r="C1877" i="12"/>
  <c r="B1877" i="12"/>
  <c r="A1877" i="12"/>
  <c r="G1876" i="12"/>
  <c r="F1876" i="12"/>
  <c r="E1876" i="12"/>
  <c r="D1876" i="12"/>
  <c r="C1876" i="12"/>
  <c r="B1876" i="12"/>
  <c r="A1876" i="12"/>
  <c r="G1875" i="12"/>
  <c r="E1875" i="12"/>
  <c r="D1875" i="12"/>
  <c r="C1875" i="12"/>
  <c r="B1875" i="12"/>
  <c r="A1875" i="12"/>
  <c r="G1874" i="12"/>
  <c r="F1874" i="12"/>
  <c r="E1874" i="12"/>
  <c r="D1874" i="12"/>
  <c r="C1874" i="12"/>
  <c r="B1874" i="12"/>
  <c r="A1874" i="12"/>
  <c r="G1873" i="12"/>
  <c r="F1873" i="12"/>
  <c r="E1873" i="12"/>
  <c r="D1873" i="12"/>
  <c r="C1873" i="12"/>
  <c r="B1873" i="12"/>
  <c r="A1873" i="12"/>
  <c r="G1872" i="12"/>
  <c r="F1872" i="12"/>
  <c r="E1872" i="12"/>
  <c r="D1872" i="12"/>
  <c r="C1872" i="12"/>
  <c r="B1872" i="12"/>
  <c r="A1872" i="12"/>
  <c r="G1871" i="12"/>
  <c r="F1871" i="12"/>
  <c r="E1871" i="12"/>
  <c r="D1871" i="12"/>
  <c r="C1871" i="12"/>
  <c r="B1871" i="12"/>
  <c r="A1871" i="12"/>
  <c r="G1870" i="12"/>
  <c r="F1870" i="12"/>
  <c r="E1870" i="12"/>
  <c r="D1870" i="12"/>
  <c r="C1870" i="12"/>
  <c r="B1870" i="12"/>
  <c r="A1870" i="12"/>
  <c r="G1869" i="12"/>
  <c r="E1869" i="12"/>
  <c r="D1869" i="12"/>
  <c r="C1869" i="12"/>
  <c r="B1869" i="12"/>
  <c r="A1869" i="12"/>
  <c r="G1868" i="12"/>
  <c r="F1868" i="12"/>
  <c r="E1868" i="12"/>
  <c r="D1868" i="12"/>
  <c r="C1868" i="12"/>
  <c r="B1868" i="12"/>
  <c r="A1868" i="12"/>
  <c r="G1867" i="12"/>
  <c r="F1867" i="12"/>
  <c r="E1867" i="12"/>
  <c r="D1867" i="12"/>
  <c r="C1867" i="12"/>
  <c r="B1867" i="12"/>
  <c r="A1867" i="12"/>
  <c r="G1866" i="12"/>
  <c r="E1866" i="12"/>
  <c r="D1866" i="12"/>
  <c r="C1866" i="12"/>
  <c r="B1866" i="12"/>
  <c r="A1866" i="12"/>
  <c r="G1865" i="12"/>
  <c r="E1865" i="12"/>
  <c r="D1865" i="12"/>
  <c r="C1865" i="12"/>
  <c r="B1865" i="12"/>
  <c r="A1865" i="12"/>
  <c r="G1864" i="12"/>
  <c r="F1864" i="12"/>
  <c r="E1864" i="12"/>
  <c r="D1864" i="12"/>
  <c r="C1864" i="12"/>
  <c r="B1864" i="12"/>
  <c r="A1864" i="12"/>
  <c r="G1863" i="12"/>
  <c r="F1863" i="12"/>
  <c r="E1863" i="12"/>
  <c r="D1863" i="12"/>
  <c r="C1863" i="12"/>
  <c r="B1863" i="12"/>
  <c r="A1863" i="12"/>
  <c r="G1862" i="12"/>
  <c r="E1862" i="12"/>
  <c r="D1862" i="12"/>
  <c r="C1862" i="12"/>
  <c r="B1862" i="12"/>
  <c r="A1862" i="12"/>
  <c r="G1861" i="12"/>
  <c r="E1861" i="12"/>
  <c r="D1861" i="12"/>
  <c r="C1861" i="12"/>
  <c r="B1861" i="12"/>
  <c r="A1861" i="12"/>
  <c r="G1860" i="12"/>
  <c r="F1860" i="12"/>
  <c r="E1860" i="12"/>
  <c r="D1860" i="12"/>
  <c r="C1860" i="12"/>
  <c r="B1860" i="12"/>
  <c r="A1860" i="12"/>
  <c r="G1859" i="12"/>
  <c r="F1859" i="12"/>
  <c r="E1859" i="12"/>
  <c r="D1859" i="12"/>
  <c r="C1859" i="12"/>
  <c r="B1859" i="12"/>
  <c r="A1859" i="12"/>
  <c r="G1858" i="12"/>
  <c r="F1858" i="12"/>
  <c r="E1858" i="12"/>
  <c r="D1858" i="12"/>
  <c r="C1858" i="12"/>
  <c r="B1858" i="12"/>
  <c r="A1858" i="12"/>
  <c r="G1857" i="12"/>
  <c r="E1857" i="12"/>
  <c r="D1857" i="12"/>
  <c r="C1857" i="12"/>
  <c r="B1857" i="12"/>
  <c r="A1857" i="12"/>
  <c r="G1856" i="12"/>
  <c r="E1856" i="12"/>
  <c r="D1856" i="12"/>
  <c r="C1856" i="12"/>
  <c r="B1856" i="12"/>
  <c r="A1856" i="12"/>
  <c r="G1855" i="12"/>
  <c r="E1855" i="12"/>
  <c r="D1855" i="12"/>
  <c r="C1855" i="12"/>
  <c r="B1855" i="12"/>
  <c r="A1855" i="12"/>
  <c r="G1854" i="12"/>
  <c r="E1854" i="12"/>
  <c r="D1854" i="12"/>
  <c r="C1854" i="12"/>
  <c r="B1854" i="12"/>
  <c r="A1854" i="12"/>
  <c r="G1853" i="12"/>
  <c r="E1853" i="12"/>
  <c r="D1853" i="12"/>
  <c r="C1853" i="12"/>
  <c r="B1853" i="12"/>
  <c r="A1853" i="12"/>
  <c r="G1852" i="12"/>
  <c r="E1852" i="12"/>
  <c r="D1852" i="12"/>
  <c r="C1852" i="12"/>
  <c r="B1852" i="12"/>
  <c r="A1852" i="12"/>
  <c r="G1851" i="12"/>
  <c r="E1851" i="12"/>
  <c r="D1851" i="12"/>
  <c r="C1851" i="12"/>
  <c r="B1851" i="12"/>
  <c r="A1851" i="12"/>
  <c r="G1850" i="12"/>
  <c r="E1850" i="12"/>
  <c r="D1850" i="12"/>
  <c r="C1850" i="12"/>
  <c r="B1850" i="12"/>
  <c r="A1850" i="12"/>
  <c r="G1849" i="12"/>
  <c r="E1849" i="12"/>
  <c r="D1849" i="12"/>
  <c r="C1849" i="12"/>
  <c r="B1849" i="12"/>
  <c r="A1849" i="12"/>
  <c r="G1848" i="12"/>
  <c r="E1848" i="12"/>
  <c r="D1848" i="12"/>
  <c r="C1848" i="12"/>
  <c r="B1848" i="12"/>
  <c r="A1848" i="12"/>
  <c r="G1847" i="12"/>
  <c r="E1847" i="12"/>
  <c r="D1847" i="12"/>
  <c r="C1847" i="12"/>
  <c r="B1847" i="12"/>
  <c r="A1847" i="12"/>
  <c r="G1846" i="12"/>
  <c r="E1846" i="12"/>
  <c r="D1846" i="12"/>
  <c r="C1846" i="12"/>
  <c r="B1846" i="12"/>
  <c r="A1846" i="12"/>
  <c r="G1845" i="12"/>
  <c r="F1845" i="12"/>
  <c r="E1845" i="12"/>
  <c r="D1845" i="12"/>
  <c r="C1845" i="12"/>
  <c r="B1845" i="12"/>
  <c r="A1845" i="12"/>
  <c r="G1844" i="12"/>
  <c r="E1844" i="12"/>
  <c r="D1844" i="12"/>
  <c r="C1844" i="12"/>
  <c r="B1844" i="12"/>
  <c r="A1844" i="12"/>
  <c r="G1843" i="12"/>
  <c r="E1843" i="12"/>
  <c r="D1843" i="12"/>
  <c r="C1843" i="12"/>
  <c r="B1843" i="12"/>
  <c r="A1843" i="12"/>
  <c r="G1842" i="12"/>
  <c r="F1842" i="12"/>
  <c r="E1842" i="12"/>
  <c r="D1842" i="12"/>
  <c r="C1842" i="12"/>
  <c r="B1842" i="12"/>
  <c r="A1842" i="12"/>
  <c r="G1841" i="12"/>
  <c r="E1841" i="12"/>
  <c r="D1841" i="12"/>
  <c r="C1841" i="12"/>
  <c r="B1841" i="12"/>
  <c r="A1841" i="12"/>
  <c r="G1840" i="12"/>
  <c r="F1840" i="12"/>
  <c r="E1840" i="12"/>
  <c r="D1840" i="12"/>
  <c r="C1840" i="12"/>
  <c r="B1840" i="12"/>
  <c r="A1840" i="12"/>
  <c r="G1839" i="12"/>
  <c r="E1839" i="12"/>
  <c r="D1839" i="12"/>
  <c r="C1839" i="12"/>
  <c r="B1839" i="12"/>
  <c r="A1839" i="12"/>
  <c r="G1838" i="12"/>
  <c r="E1838" i="12"/>
  <c r="D1838" i="12"/>
  <c r="C1838" i="12"/>
  <c r="B1838" i="12"/>
  <c r="A1838" i="12"/>
  <c r="G1837" i="12"/>
  <c r="F1837" i="12"/>
  <c r="E1837" i="12"/>
  <c r="D1837" i="12"/>
  <c r="C1837" i="12"/>
  <c r="B1837" i="12"/>
  <c r="A1837" i="12"/>
  <c r="G1836" i="12"/>
  <c r="E1836" i="12"/>
  <c r="D1836" i="12"/>
  <c r="C1836" i="12"/>
  <c r="B1836" i="12"/>
  <c r="A1836" i="12"/>
  <c r="G1835" i="12"/>
  <c r="E1835" i="12"/>
  <c r="D1835" i="12"/>
  <c r="C1835" i="12"/>
  <c r="B1835" i="12"/>
  <c r="A1835" i="12"/>
  <c r="G1834" i="12"/>
  <c r="F1834" i="12"/>
  <c r="E1834" i="12"/>
  <c r="D1834" i="12"/>
  <c r="C1834" i="12"/>
  <c r="B1834" i="12"/>
  <c r="A1834" i="12"/>
  <c r="G1833" i="12"/>
  <c r="E1833" i="12"/>
  <c r="D1833" i="12"/>
  <c r="C1833" i="12"/>
  <c r="B1833" i="12"/>
  <c r="A1833" i="12"/>
  <c r="G1832" i="12"/>
  <c r="E1832" i="12"/>
  <c r="D1832" i="12"/>
  <c r="C1832" i="12"/>
  <c r="B1832" i="12"/>
  <c r="A1832" i="12"/>
  <c r="G1831" i="12"/>
  <c r="E1831" i="12"/>
  <c r="D1831" i="12"/>
  <c r="C1831" i="12"/>
  <c r="B1831" i="12"/>
  <c r="A1831" i="12"/>
  <c r="G1830" i="12"/>
  <c r="E1830" i="12"/>
  <c r="D1830" i="12"/>
  <c r="C1830" i="12"/>
  <c r="B1830" i="12"/>
  <c r="A1830" i="12"/>
  <c r="G1829" i="12"/>
  <c r="F1829" i="12"/>
  <c r="E1829" i="12"/>
  <c r="D1829" i="12"/>
  <c r="C1829" i="12"/>
  <c r="B1829" i="12"/>
  <c r="A1829" i="12"/>
  <c r="G1828" i="12"/>
  <c r="E1828" i="12"/>
  <c r="D1828" i="12"/>
  <c r="C1828" i="12"/>
  <c r="B1828" i="12"/>
  <c r="A1828" i="12"/>
  <c r="G1827" i="12"/>
  <c r="E1827" i="12"/>
  <c r="D1827" i="12"/>
  <c r="C1827" i="12"/>
  <c r="B1827" i="12"/>
  <c r="A1827" i="12"/>
  <c r="G1826" i="12"/>
  <c r="E1826" i="12"/>
  <c r="D1826" i="12"/>
  <c r="C1826" i="12"/>
  <c r="B1826" i="12"/>
  <c r="A1826" i="12"/>
  <c r="G1825" i="12"/>
  <c r="E1825" i="12"/>
  <c r="D1825" i="12"/>
  <c r="C1825" i="12"/>
  <c r="B1825" i="12"/>
  <c r="A1825" i="12"/>
  <c r="G1824" i="12"/>
  <c r="F1824" i="12"/>
  <c r="E1824" i="12"/>
  <c r="D1824" i="12"/>
  <c r="C1824" i="12"/>
  <c r="B1824" i="12"/>
  <c r="A1824" i="12"/>
  <c r="G1823" i="12"/>
  <c r="E1823" i="12"/>
  <c r="D1823" i="12"/>
  <c r="C1823" i="12"/>
  <c r="B1823" i="12"/>
  <c r="A1823" i="12"/>
  <c r="G1822" i="12"/>
  <c r="F1822" i="12"/>
  <c r="E1822" i="12"/>
  <c r="D1822" i="12"/>
  <c r="C1822" i="12"/>
  <c r="B1822" i="12"/>
  <c r="A1822" i="12"/>
  <c r="G1821" i="12"/>
  <c r="E1821" i="12"/>
  <c r="D1821" i="12"/>
  <c r="C1821" i="12"/>
  <c r="B1821" i="12"/>
  <c r="A1821" i="12"/>
  <c r="G1820" i="12"/>
  <c r="F1820" i="12"/>
  <c r="E1820" i="12"/>
  <c r="D1820" i="12"/>
  <c r="C1820" i="12"/>
  <c r="B1820" i="12"/>
  <c r="A1820" i="12"/>
  <c r="E1819" i="12"/>
  <c r="D1819" i="12"/>
  <c r="C1819" i="12"/>
  <c r="B1819" i="12"/>
  <c r="A1819" i="12"/>
  <c r="G1818" i="12"/>
  <c r="E1818" i="12"/>
  <c r="D1818" i="12"/>
  <c r="C1818" i="12"/>
  <c r="B1818" i="12"/>
  <c r="A1818" i="12"/>
  <c r="G1817" i="12"/>
  <c r="F1817" i="12"/>
  <c r="E1817" i="12"/>
  <c r="D1817" i="12"/>
  <c r="C1817" i="12"/>
  <c r="B1817" i="12"/>
  <c r="A1817" i="12"/>
  <c r="G1816" i="12"/>
  <c r="E1816" i="12"/>
  <c r="D1816" i="12"/>
  <c r="C1816" i="12"/>
  <c r="B1816" i="12"/>
  <c r="A1816" i="12"/>
  <c r="G1815" i="12"/>
  <c r="E1815" i="12"/>
  <c r="D1815" i="12"/>
  <c r="C1815" i="12"/>
  <c r="B1815" i="12"/>
  <c r="A1815" i="12"/>
  <c r="G1814" i="12"/>
  <c r="F1814" i="12"/>
  <c r="E1814" i="12"/>
  <c r="D1814" i="12"/>
  <c r="C1814" i="12"/>
  <c r="B1814" i="12"/>
  <c r="A1814" i="12"/>
  <c r="G1813" i="12"/>
  <c r="F1813" i="12"/>
  <c r="E1813" i="12"/>
  <c r="D1813" i="12"/>
  <c r="C1813" i="12"/>
  <c r="B1813" i="12"/>
  <c r="A1813" i="12"/>
  <c r="G1812" i="12"/>
  <c r="E1812" i="12"/>
  <c r="D1812" i="12"/>
  <c r="C1812" i="12"/>
  <c r="B1812" i="12"/>
  <c r="A1812" i="12"/>
  <c r="G1811" i="12"/>
  <c r="F1811" i="12"/>
  <c r="E1811" i="12"/>
  <c r="D1811" i="12"/>
  <c r="C1811" i="12"/>
  <c r="B1811" i="12"/>
  <c r="A1811" i="12"/>
  <c r="G1810" i="12"/>
  <c r="F1810" i="12"/>
  <c r="E1810" i="12"/>
  <c r="D1810" i="12"/>
  <c r="C1810" i="12"/>
  <c r="B1810" i="12"/>
  <c r="A1810" i="12"/>
  <c r="G1809" i="12"/>
  <c r="E1809" i="12"/>
  <c r="D1809" i="12"/>
  <c r="C1809" i="12"/>
  <c r="B1809" i="12"/>
  <c r="A1809" i="12"/>
  <c r="G1808" i="12"/>
  <c r="E1808" i="12"/>
  <c r="D1808" i="12"/>
  <c r="C1808" i="12"/>
  <c r="B1808" i="12"/>
  <c r="A1808" i="12"/>
  <c r="G1807" i="12"/>
  <c r="E1807" i="12"/>
  <c r="D1807" i="12"/>
  <c r="C1807" i="12"/>
  <c r="B1807" i="12"/>
  <c r="A1807" i="12"/>
  <c r="G1806" i="12"/>
  <c r="E1806" i="12"/>
  <c r="D1806" i="12"/>
  <c r="C1806" i="12"/>
  <c r="B1806" i="12"/>
  <c r="A1806" i="12"/>
  <c r="G1805" i="12"/>
  <c r="E1805" i="12"/>
  <c r="D1805" i="12"/>
  <c r="C1805" i="12"/>
  <c r="B1805" i="12"/>
  <c r="A1805" i="12"/>
  <c r="E1804" i="12"/>
  <c r="D1804" i="12"/>
  <c r="C1804" i="12"/>
  <c r="B1804" i="12"/>
  <c r="A1804" i="12"/>
  <c r="G1803" i="12"/>
  <c r="E1803" i="12"/>
  <c r="D1803" i="12"/>
  <c r="C1803" i="12"/>
  <c r="B1803" i="12"/>
  <c r="A1803" i="12"/>
  <c r="E1802" i="12"/>
  <c r="D1802" i="12"/>
  <c r="C1802" i="12"/>
  <c r="B1802" i="12"/>
  <c r="A1802" i="12"/>
  <c r="G1801" i="12"/>
  <c r="E1801" i="12"/>
  <c r="D1801" i="12"/>
  <c r="C1801" i="12"/>
  <c r="B1801" i="12"/>
  <c r="A1801" i="12"/>
  <c r="G1800" i="12"/>
  <c r="E1800" i="12"/>
  <c r="D1800" i="12"/>
  <c r="C1800" i="12"/>
  <c r="B1800" i="12"/>
  <c r="A1800" i="12"/>
  <c r="E1799" i="12"/>
  <c r="D1799" i="12"/>
  <c r="C1799" i="12"/>
  <c r="B1799" i="12"/>
  <c r="A1799" i="12"/>
  <c r="E1798" i="12"/>
  <c r="D1798" i="12"/>
  <c r="C1798" i="12"/>
  <c r="B1798" i="12"/>
  <c r="A1798" i="12"/>
  <c r="G1797" i="12"/>
  <c r="E1797" i="12"/>
  <c r="D1797" i="12"/>
  <c r="C1797" i="12"/>
  <c r="B1797" i="12"/>
  <c r="A1797" i="12"/>
  <c r="G1796" i="12"/>
  <c r="E1796" i="12"/>
  <c r="D1796" i="12"/>
  <c r="C1796" i="12"/>
  <c r="B1796" i="12"/>
  <c r="A1796" i="12"/>
  <c r="E1795" i="12"/>
  <c r="D1795" i="12"/>
  <c r="C1795" i="12"/>
  <c r="B1795" i="12"/>
  <c r="A1795" i="12"/>
  <c r="E1794" i="12"/>
  <c r="D1794" i="12"/>
  <c r="C1794" i="12"/>
  <c r="B1794" i="12"/>
  <c r="A1794" i="12"/>
  <c r="G1793" i="12"/>
  <c r="E1793" i="12"/>
  <c r="D1793" i="12"/>
  <c r="C1793" i="12"/>
  <c r="B1793" i="12"/>
  <c r="A1793" i="12"/>
  <c r="E1792" i="12"/>
  <c r="D1792" i="12"/>
  <c r="C1792" i="12"/>
  <c r="B1792" i="12"/>
  <c r="A1792" i="12"/>
  <c r="G1791" i="12"/>
  <c r="E1791" i="12"/>
  <c r="D1791" i="12"/>
  <c r="C1791" i="12"/>
  <c r="B1791" i="12"/>
  <c r="A1791" i="12"/>
  <c r="E1790" i="12"/>
  <c r="D1790" i="12"/>
  <c r="C1790" i="12"/>
  <c r="B1790" i="12"/>
  <c r="A1790" i="12"/>
  <c r="G1789" i="12"/>
  <c r="E1789" i="12"/>
  <c r="D1789" i="12"/>
  <c r="C1789" i="12"/>
  <c r="B1789" i="12"/>
  <c r="A1789" i="12"/>
  <c r="G1788" i="12"/>
  <c r="F1788" i="12"/>
  <c r="E1788" i="12"/>
  <c r="D1788" i="12"/>
  <c r="C1788" i="12"/>
  <c r="B1788" i="12"/>
  <c r="A1788" i="12"/>
  <c r="G1787" i="12"/>
  <c r="E1787" i="12"/>
  <c r="D1787" i="12"/>
  <c r="C1787" i="12"/>
  <c r="B1787" i="12"/>
  <c r="A1787" i="12"/>
  <c r="G1786" i="12"/>
  <c r="E1786" i="12"/>
  <c r="D1786" i="12"/>
  <c r="C1786" i="12"/>
  <c r="B1786" i="12"/>
  <c r="A1786" i="12"/>
  <c r="G1785" i="12"/>
  <c r="E1785" i="12"/>
  <c r="D1785" i="12"/>
  <c r="C1785" i="12"/>
  <c r="B1785" i="12"/>
  <c r="A1785" i="12"/>
  <c r="G1784" i="12"/>
  <c r="E1784" i="12"/>
  <c r="D1784" i="12"/>
  <c r="C1784" i="12"/>
  <c r="B1784" i="12"/>
  <c r="A1784" i="12"/>
  <c r="G1783" i="12"/>
  <c r="E1783" i="12"/>
  <c r="D1783" i="12"/>
  <c r="C1783" i="12"/>
  <c r="B1783" i="12"/>
  <c r="A1783" i="12"/>
  <c r="E1782" i="12"/>
  <c r="D1782" i="12"/>
  <c r="C1782" i="12"/>
  <c r="B1782" i="12"/>
  <c r="A1782" i="12"/>
  <c r="E1781" i="12"/>
  <c r="D1781" i="12"/>
  <c r="C1781" i="12"/>
  <c r="B1781" i="12"/>
  <c r="A1781" i="12"/>
  <c r="F1780" i="12"/>
  <c r="E1780" i="12"/>
  <c r="D1780" i="12"/>
  <c r="C1780" i="12"/>
  <c r="B1780" i="12"/>
  <c r="A1780" i="12"/>
  <c r="F1779" i="12"/>
  <c r="E1779" i="12"/>
  <c r="D1779" i="12"/>
  <c r="C1779" i="12"/>
  <c r="B1779" i="12"/>
  <c r="A1779" i="12"/>
  <c r="E1778" i="12"/>
  <c r="D1778" i="12"/>
  <c r="C1778" i="12"/>
  <c r="B1778" i="12"/>
  <c r="A1778" i="12"/>
  <c r="E1777" i="12"/>
  <c r="D1777" i="12"/>
  <c r="C1777" i="12"/>
  <c r="B1777" i="12"/>
  <c r="A1777" i="12"/>
  <c r="G1776" i="12"/>
  <c r="F1776" i="12"/>
  <c r="E1776" i="12"/>
  <c r="D1776" i="12"/>
  <c r="C1776" i="12"/>
  <c r="B1776" i="12"/>
  <c r="A1776" i="12"/>
  <c r="E1775" i="12"/>
  <c r="D1775" i="12"/>
  <c r="C1775" i="12"/>
  <c r="B1775" i="12"/>
  <c r="A1775" i="12"/>
  <c r="E1774" i="12"/>
  <c r="D1774" i="12"/>
  <c r="C1774" i="12"/>
  <c r="B1774" i="12"/>
  <c r="A1774" i="12"/>
  <c r="E1773" i="12"/>
  <c r="D1773" i="12"/>
  <c r="C1773" i="12"/>
  <c r="B1773" i="12"/>
  <c r="A1773" i="12"/>
  <c r="G1772" i="12"/>
  <c r="E1772" i="12"/>
  <c r="D1772" i="12"/>
  <c r="C1772" i="12"/>
  <c r="B1772" i="12"/>
  <c r="A1772" i="12"/>
  <c r="G1771" i="12"/>
  <c r="F1771" i="12"/>
  <c r="E1771" i="12"/>
  <c r="D1771" i="12"/>
  <c r="C1771" i="12"/>
  <c r="B1771" i="12"/>
  <c r="A1771" i="12"/>
  <c r="E1770" i="12"/>
  <c r="D1770" i="12"/>
  <c r="C1770" i="12"/>
  <c r="B1770" i="12"/>
  <c r="A1770" i="12"/>
  <c r="G1769" i="12"/>
  <c r="F1769" i="12"/>
  <c r="E1769" i="12"/>
  <c r="D1769" i="12"/>
  <c r="C1769" i="12"/>
  <c r="B1769" i="12"/>
  <c r="A1769" i="12"/>
  <c r="G1768" i="12"/>
  <c r="F1768" i="12"/>
  <c r="E1768" i="12"/>
  <c r="D1768" i="12"/>
  <c r="C1768" i="12"/>
  <c r="B1768" i="12"/>
  <c r="A1768" i="12"/>
  <c r="F1767" i="12"/>
  <c r="E1767" i="12"/>
  <c r="D1767" i="12"/>
  <c r="C1767" i="12"/>
  <c r="B1767" i="12"/>
  <c r="A1767" i="12"/>
  <c r="F1766" i="12"/>
  <c r="E1766" i="12"/>
  <c r="D1766" i="12"/>
  <c r="C1766" i="12"/>
  <c r="B1766" i="12"/>
  <c r="A1766" i="12"/>
  <c r="G1765" i="12"/>
  <c r="E1765" i="12"/>
  <c r="D1765" i="12"/>
  <c r="C1765" i="12"/>
  <c r="B1765" i="12"/>
  <c r="A1765" i="12"/>
  <c r="G1764" i="12"/>
  <c r="E1764" i="12"/>
  <c r="D1764" i="12"/>
  <c r="C1764" i="12"/>
  <c r="B1764" i="12"/>
  <c r="A1764" i="12"/>
  <c r="G1763" i="12"/>
  <c r="E1763" i="12"/>
  <c r="D1763" i="12"/>
  <c r="C1763" i="12"/>
  <c r="B1763" i="12"/>
  <c r="A1763" i="12"/>
  <c r="E1762" i="12"/>
  <c r="D1762" i="12"/>
  <c r="C1762" i="12"/>
  <c r="B1762" i="12"/>
  <c r="A1762" i="12"/>
  <c r="E1761" i="12"/>
  <c r="D1761" i="12"/>
  <c r="C1761" i="12"/>
  <c r="B1761" i="12"/>
  <c r="A1761" i="12"/>
  <c r="E1760" i="12"/>
  <c r="D1760" i="12"/>
  <c r="C1760" i="12"/>
  <c r="B1760" i="12"/>
  <c r="A1760" i="12"/>
  <c r="G1759" i="12"/>
  <c r="E1759" i="12"/>
  <c r="D1759" i="12"/>
  <c r="C1759" i="12"/>
  <c r="B1759" i="12"/>
  <c r="A1759" i="12"/>
  <c r="G1758" i="12"/>
  <c r="E1758" i="12"/>
  <c r="D1758" i="12"/>
  <c r="C1758" i="12"/>
  <c r="B1758" i="12"/>
  <c r="A1758" i="12"/>
  <c r="G1757" i="12"/>
  <c r="E1757" i="12"/>
  <c r="D1757" i="12"/>
  <c r="C1757" i="12"/>
  <c r="B1757" i="12"/>
  <c r="A1757" i="12"/>
  <c r="G1756" i="12"/>
  <c r="F1756" i="12"/>
  <c r="E1756" i="12"/>
  <c r="D1756" i="12"/>
  <c r="C1756" i="12"/>
  <c r="B1756" i="12"/>
  <c r="A1756" i="12"/>
  <c r="F1755" i="12"/>
  <c r="E1755" i="12"/>
  <c r="D1755" i="12"/>
  <c r="C1755" i="12"/>
  <c r="B1755" i="12"/>
  <c r="A1755" i="12"/>
  <c r="F1754" i="12"/>
  <c r="E1754" i="12"/>
  <c r="D1754" i="12"/>
  <c r="C1754" i="12"/>
  <c r="B1754" i="12"/>
  <c r="A1754" i="12"/>
  <c r="G1753" i="12"/>
  <c r="F1753" i="12"/>
  <c r="E1753" i="12"/>
  <c r="D1753" i="12"/>
  <c r="C1753" i="12"/>
  <c r="B1753" i="12"/>
  <c r="A1753" i="12"/>
  <c r="G1752" i="12"/>
  <c r="F1752" i="12"/>
  <c r="E1752" i="12"/>
  <c r="D1752" i="12"/>
  <c r="C1752" i="12"/>
  <c r="B1752" i="12"/>
  <c r="A1752" i="12"/>
  <c r="G1751" i="12"/>
  <c r="F1751" i="12"/>
  <c r="E1751" i="12"/>
  <c r="D1751" i="12"/>
  <c r="C1751" i="12"/>
  <c r="B1751" i="12"/>
  <c r="A1751" i="12"/>
  <c r="G1750" i="12"/>
  <c r="F1750" i="12"/>
  <c r="E1750" i="12"/>
  <c r="D1750" i="12"/>
  <c r="C1750" i="12"/>
  <c r="B1750" i="12"/>
  <c r="A1750" i="12"/>
  <c r="G1749" i="12"/>
  <c r="F1749" i="12"/>
  <c r="E1749" i="12"/>
  <c r="D1749" i="12"/>
  <c r="C1749" i="12"/>
  <c r="B1749" i="12"/>
  <c r="A1749" i="12"/>
  <c r="G1748" i="12"/>
  <c r="F1748" i="12"/>
  <c r="E1748" i="12"/>
  <c r="D1748" i="12"/>
  <c r="C1748" i="12"/>
  <c r="B1748" i="12"/>
  <c r="A1748" i="12"/>
  <c r="G1747" i="12"/>
  <c r="F1747" i="12"/>
  <c r="E1747" i="12"/>
  <c r="D1747" i="12"/>
  <c r="C1747" i="12"/>
  <c r="B1747" i="12"/>
  <c r="A1747" i="12"/>
  <c r="G1746" i="12"/>
  <c r="F1746" i="12"/>
  <c r="E1746" i="12"/>
  <c r="D1746" i="12"/>
  <c r="C1746" i="12"/>
  <c r="B1746" i="12"/>
  <c r="A1746" i="12"/>
  <c r="G1745" i="12"/>
  <c r="F1745" i="12"/>
  <c r="E1745" i="12"/>
  <c r="D1745" i="12"/>
  <c r="C1745" i="12"/>
  <c r="B1745" i="12"/>
  <c r="A1745" i="12"/>
  <c r="G1744" i="12"/>
  <c r="F1744" i="12"/>
  <c r="E1744" i="12"/>
  <c r="D1744" i="12"/>
  <c r="C1744" i="12"/>
  <c r="B1744" i="12"/>
  <c r="A1744" i="12"/>
  <c r="G1743" i="12"/>
  <c r="E1743" i="12"/>
  <c r="D1743" i="12"/>
  <c r="C1743" i="12"/>
  <c r="B1743" i="12"/>
  <c r="A1743" i="12"/>
  <c r="G1742" i="12"/>
  <c r="E1742" i="12"/>
  <c r="D1742" i="12"/>
  <c r="C1742" i="12"/>
  <c r="B1742" i="12"/>
  <c r="A1742" i="12"/>
  <c r="G1741" i="12"/>
  <c r="E1741" i="12"/>
  <c r="D1741" i="12"/>
  <c r="C1741" i="12"/>
  <c r="B1741" i="12"/>
  <c r="A1741" i="12"/>
  <c r="G1740" i="12"/>
  <c r="E1740" i="12"/>
  <c r="D1740" i="12"/>
  <c r="C1740" i="12"/>
  <c r="B1740" i="12"/>
  <c r="A1740" i="12"/>
  <c r="G1739" i="12"/>
  <c r="E1739" i="12"/>
  <c r="D1739" i="12"/>
  <c r="C1739" i="12"/>
  <c r="B1739" i="12"/>
  <c r="A1739" i="12"/>
  <c r="G1738" i="12"/>
  <c r="E1738" i="12"/>
  <c r="D1738" i="12"/>
  <c r="C1738" i="12"/>
  <c r="B1738" i="12"/>
  <c r="A1738" i="12"/>
  <c r="G1737" i="12"/>
  <c r="E1737" i="12"/>
  <c r="D1737" i="12"/>
  <c r="C1737" i="12"/>
  <c r="B1737" i="12"/>
  <c r="A1737" i="12"/>
  <c r="G1736" i="12"/>
  <c r="E1736" i="12"/>
  <c r="D1736" i="12"/>
  <c r="C1736" i="12"/>
  <c r="B1736" i="12"/>
  <c r="A1736" i="12"/>
  <c r="G1735" i="12"/>
  <c r="E1735" i="12"/>
  <c r="D1735" i="12"/>
  <c r="C1735" i="12"/>
  <c r="B1735" i="12"/>
  <c r="A1735" i="12"/>
  <c r="G1734" i="12"/>
  <c r="E1734" i="12"/>
  <c r="D1734" i="12"/>
  <c r="C1734" i="12"/>
  <c r="B1734" i="12"/>
  <c r="A1734" i="12"/>
  <c r="G1733" i="12"/>
  <c r="E1733" i="12"/>
  <c r="D1733" i="12"/>
  <c r="C1733" i="12"/>
  <c r="B1733" i="12"/>
  <c r="A1733" i="12"/>
  <c r="G1732" i="12"/>
  <c r="E1732" i="12"/>
  <c r="D1732" i="12"/>
  <c r="C1732" i="12"/>
  <c r="B1732" i="12"/>
  <c r="A1732" i="12"/>
  <c r="G1731" i="12"/>
  <c r="E1731" i="12"/>
  <c r="D1731" i="12"/>
  <c r="C1731" i="12"/>
  <c r="B1731" i="12"/>
  <c r="A1731" i="12"/>
  <c r="G1730" i="12"/>
  <c r="F1730" i="12"/>
  <c r="E1730" i="12"/>
  <c r="D1730" i="12"/>
  <c r="C1730" i="12"/>
  <c r="B1730" i="12"/>
  <c r="A1730" i="12"/>
  <c r="G1729" i="12"/>
  <c r="E1729" i="12"/>
  <c r="D1729" i="12"/>
  <c r="C1729" i="12"/>
  <c r="B1729" i="12"/>
  <c r="A1729" i="12"/>
  <c r="G1728" i="12"/>
  <c r="E1728" i="12"/>
  <c r="D1728" i="12"/>
  <c r="C1728" i="12"/>
  <c r="B1728" i="12"/>
  <c r="A1728" i="12"/>
  <c r="G1727" i="12"/>
  <c r="E1727" i="12"/>
  <c r="D1727" i="12"/>
  <c r="C1727" i="12"/>
  <c r="B1727" i="12"/>
  <c r="A1727" i="12"/>
  <c r="G1726" i="12"/>
  <c r="E1726" i="12"/>
  <c r="D1726" i="12"/>
  <c r="C1726" i="12"/>
  <c r="B1726" i="12"/>
  <c r="A1726" i="12"/>
  <c r="G1725" i="12"/>
  <c r="F1725" i="12"/>
  <c r="E1725" i="12"/>
  <c r="D1725" i="12"/>
  <c r="C1725" i="12"/>
  <c r="B1725" i="12"/>
  <c r="A1725" i="12"/>
  <c r="G1724" i="12"/>
  <c r="E1724" i="12"/>
  <c r="D1724" i="12"/>
  <c r="C1724" i="12"/>
  <c r="B1724" i="12"/>
  <c r="A1724" i="12"/>
  <c r="G1723" i="12"/>
  <c r="E1723" i="12"/>
  <c r="D1723" i="12"/>
  <c r="C1723" i="12"/>
  <c r="B1723" i="12"/>
  <c r="A1723" i="12"/>
  <c r="G1722" i="12"/>
  <c r="E1722" i="12"/>
  <c r="D1722" i="12"/>
  <c r="C1722" i="12"/>
  <c r="B1722" i="12"/>
  <c r="A1722" i="12"/>
  <c r="E1721" i="12"/>
  <c r="D1721" i="12"/>
  <c r="C1721" i="12"/>
  <c r="B1721" i="12"/>
  <c r="A1721" i="12"/>
  <c r="G1720" i="12"/>
  <c r="E1720" i="12"/>
  <c r="D1720" i="12"/>
  <c r="C1720" i="12"/>
  <c r="B1720" i="12"/>
  <c r="A1720" i="12"/>
  <c r="G1719" i="12"/>
  <c r="E1719" i="12"/>
  <c r="D1719" i="12"/>
  <c r="C1719" i="12"/>
  <c r="B1719" i="12"/>
  <c r="A1719" i="12"/>
  <c r="G1718" i="12"/>
  <c r="E1718" i="12"/>
  <c r="D1718" i="12"/>
  <c r="C1718" i="12"/>
  <c r="B1718" i="12"/>
  <c r="A1718" i="12"/>
  <c r="G1717" i="12"/>
  <c r="E1717" i="12"/>
  <c r="D1717" i="12"/>
  <c r="C1717" i="12"/>
  <c r="B1717" i="12"/>
  <c r="A1717" i="12"/>
  <c r="E1716" i="12"/>
  <c r="D1716" i="12"/>
  <c r="C1716" i="12"/>
  <c r="B1716" i="12"/>
  <c r="A1716" i="12"/>
  <c r="G1715" i="12"/>
  <c r="E1715" i="12"/>
  <c r="D1715" i="12"/>
  <c r="C1715" i="12"/>
  <c r="B1715" i="12"/>
  <c r="A1715" i="12"/>
  <c r="G1714" i="12"/>
  <c r="E1714" i="12"/>
  <c r="D1714" i="12"/>
  <c r="C1714" i="12"/>
  <c r="B1714" i="12"/>
  <c r="A1714" i="12"/>
  <c r="G1713" i="12"/>
  <c r="E1713" i="12"/>
  <c r="D1713" i="12"/>
  <c r="C1713" i="12"/>
  <c r="B1713" i="12"/>
  <c r="A1713" i="12"/>
  <c r="G1712" i="12"/>
  <c r="F1712" i="12"/>
  <c r="E1712" i="12"/>
  <c r="D1712" i="12"/>
  <c r="C1712" i="12"/>
  <c r="B1712" i="12"/>
  <c r="A1712" i="12"/>
  <c r="E1711" i="12"/>
  <c r="D1711" i="12"/>
  <c r="C1711" i="12"/>
  <c r="B1711" i="12"/>
  <c r="A1711" i="12"/>
  <c r="G1710" i="12"/>
  <c r="E1710" i="12"/>
  <c r="D1710" i="12"/>
  <c r="C1710" i="12"/>
  <c r="B1710" i="12"/>
  <c r="A1710" i="12"/>
  <c r="E1709" i="12"/>
  <c r="D1709" i="12"/>
  <c r="C1709" i="12"/>
  <c r="B1709" i="12"/>
  <c r="A1709" i="12"/>
  <c r="E1708" i="12"/>
  <c r="D1708" i="12"/>
  <c r="C1708" i="12"/>
  <c r="B1708" i="12"/>
  <c r="A1708" i="12"/>
  <c r="G1707" i="12"/>
  <c r="E1707" i="12"/>
  <c r="D1707" i="12"/>
  <c r="C1707" i="12"/>
  <c r="B1707" i="12"/>
  <c r="A1707" i="12"/>
  <c r="G1706" i="12"/>
  <c r="E1706" i="12"/>
  <c r="D1706" i="12"/>
  <c r="C1706" i="12"/>
  <c r="B1706" i="12"/>
  <c r="A1706" i="12"/>
  <c r="G1705" i="12"/>
  <c r="E1705" i="12"/>
  <c r="D1705" i="12"/>
  <c r="C1705" i="12"/>
  <c r="B1705" i="12"/>
  <c r="A1705" i="12"/>
  <c r="G1704" i="12"/>
  <c r="E1704" i="12"/>
  <c r="D1704" i="12"/>
  <c r="C1704" i="12"/>
  <c r="B1704" i="12"/>
  <c r="A1704" i="12"/>
  <c r="G1703" i="12"/>
  <c r="E1703" i="12"/>
  <c r="D1703" i="12"/>
  <c r="C1703" i="12"/>
  <c r="B1703" i="12"/>
  <c r="A1703" i="12"/>
  <c r="G1702" i="12"/>
  <c r="E1702" i="12"/>
  <c r="D1702" i="12"/>
  <c r="C1702" i="12"/>
  <c r="B1702" i="12"/>
  <c r="A1702" i="12"/>
  <c r="E1701" i="12"/>
  <c r="D1701" i="12"/>
  <c r="C1701" i="12"/>
  <c r="B1701" i="12"/>
  <c r="A1701" i="12"/>
  <c r="G1700" i="12"/>
  <c r="E1700" i="12"/>
  <c r="D1700" i="12"/>
  <c r="C1700" i="12"/>
  <c r="B1700" i="12"/>
  <c r="A1700" i="12"/>
  <c r="G1699" i="12"/>
  <c r="E1699" i="12"/>
  <c r="D1699" i="12"/>
  <c r="C1699" i="12"/>
  <c r="B1699" i="12"/>
  <c r="A1699" i="12"/>
  <c r="E1698" i="12"/>
  <c r="D1698" i="12"/>
  <c r="C1698" i="12"/>
  <c r="B1698" i="12"/>
  <c r="A1698" i="12"/>
  <c r="G1697" i="12"/>
  <c r="E1697" i="12"/>
  <c r="D1697" i="12"/>
  <c r="C1697" i="12"/>
  <c r="B1697" i="12"/>
  <c r="A1697" i="12"/>
  <c r="E1696" i="12"/>
  <c r="D1696" i="12"/>
  <c r="C1696" i="12"/>
  <c r="B1696" i="12"/>
  <c r="A1696" i="12"/>
  <c r="G1695" i="12"/>
  <c r="D1695" i="12"/>
  <c r="C1695" i="12"/>
  <c r="B1695" i="12"/>
  <c r="A1695" i="12"/>
  <c r="E1694" i="12"/>
  <c r="D1694" i="12"/>
  <c r="C1694" i="12"/>
  <c r="B1694" i="12"/>
  <c r="A1694" i="12"/>
  <c r="G1693" i="12"/>
  <c r="E1693" i="12"/>
  <c r="D1693" i="12"/>
  <c r="C1693" i="12"/>
  <c r="B1693" i="12"/>
  <c r="A1693" i="12"/>
  <c r="E1692" i="12"/>
  <c r="D1692" i="12"/>
  <c r="C1692" i="12"/>
  <c r="B1692" i="12"/>
  <c r="A1692" i="12"/>
  <c r="G1691" i="12"/>
  <c r="E1691" i="12"/>
  <c r="D1691" i="12"/>
  <c r="C1691" i="12"/>
  <c r="B1691" i="12"/>
  <c r="A1691" i="12"/>
  <c r="G1690" i="12"/>
  <c r="E1690" i="12"/>
  <c r="D1690" i="12"/>
  <c r="C1690" i="12"/>
  <c r="B1690" i="12"/>
  <c r="A1690" i="12"/>
  <c r="G1689" i="12"/>
  <c r="E1689" i="12"/>
  <c r="D1689" i="12"/>
  <c r="C1689" i="12"/>
  <c r="B1689" i="12"/>
  <c r="A1689" i="12"/>
  <c r="G1688" i="12"/>
  <c r="E1688" i="12"/>
  <c r="D1688" i="12"/>
  <c r="C1688" i="12"/>
  <c r="B1688" i="12"/>
  <c r="A1688" i="12"/>
  <c r="G1687" i="12"/>
  <c r="E1687" i="12"/>
  <c r="D1687" i="12"/>
  <c r="C1687" i="12"/>
  <c r="B1687" i="12"/>
  <c r="A1687" i="12"/>
  <c r="G1686" i="12"/>
  <c r="E1686" i="12"/>
  <c r="D1686" i="12"/>
  <c r="C1686" i="12"/>
  <c r="B1686" i="12"/>
  <c r="A1686" i="12"/>
  <c r="G1685" i="12"/>
  <c r="E1685" i="12"/>
  <c r="D1685" i="12"/>
  <c r="C1685" i="12"/>
  <c r="B1685" i="12"/>
  <c r="A1685" i="12"/>
  <c r="G1684" i="12"/>
  <c r="F1684" i="12"/>
  <c r="E1684" i="12"/>
  <c r="D1684" i="12"/>
  <c r="C1684" i="12"/>
  <c r="B1684" i="12"/>
  <c r="A1684" i="12"/>
  <c r="G1683" i="12"/>
  <c r="E1683" i="12"/>
  <c r="D1683" i="12"/>
  <c r="C1683" i="12"/>
  <c r="B1683" i="12"/>
  <c r="A1683" i="12"/>
  <c r="G1682" i="12"/>
  <c r="E1682" i="12"/>
  <c r="D1682" i="12"/>
  <c r="C1682" i="12"/>
  <c r="B1682" i="12"/>
  <c r="A1682" i="12"/>
  <c r="G1681" i="12"/>
  <c r="E1681" i="12"/>
  <c r="D1681" i="12"/>
  <c r="C1681" i="12"/>
  <c r="B1681" i="12"/>
  <c r="A1681" i="12"/>
  <c r="G1680" i="12"/>
  <c r="E1680" i="12"/>
  <c r="D1680" i="12"/>
  <c r="C1680" i="12"/>
  <c r="B1680" i="12"/>
  <c r="A1680" i="12"/>
  <c r="G1679" i="12"/>
  <c r="F1679" i="12"/>
  <c r="E1679" i="12"/>
  <c r="D1679" i="12"/>
  <c r="C1679" i="12"/>
  <c r="B1679" i="12"/>
  <c r="A1679" i="12"/>
  <c r="G1678" i="12"/>
  <c r="E1678" i="12"/>
  <c r="D1678" i="12"/>
  <c r="C1678" i="12"/>
  <c r="B1678" i="12"/>
  <c r="A1678" i="12"/>
  <c r="G1677" i="12"/>
  <c r="E1677" i="12"/>
  <c r="D1677" i="12"/>
  <c r="C1677" i="12"/>
  <c r="B1677" i="12"/>
  <c r="A1677" i="12"/>
  <c r="G1676" i="12"/>
  <c r="E1676" i="12"/>
  <c r="D1676" i="12"/>
  <c r="C1676" i="12"/>
  <c r="B1676" i="12"/>
  <c r="A1676" i="12"/>
  <c r="G1675" i="12"/>
  <c r="E1675" i="12"/>
  <c r="D1675" i="12"/>
  <c r="C1675" i="12"/>
  <c r="B1675" i="12"/>
  <c r="A1675" i="12"/>
  <c r="G1674" i="12"/>
  <c r="E1674" i="12"/>
  <c r="D1674" i="12"/>
  <c r="C1674" i="12"/>
  <c r="B1674" i="12"/>
  <c r="A1674" i="12"/>
  <c r="G1673" i="12"/>
  <c r="F1673" i="12"/>
  <c r="E1673" i="12"/>
  <c r="D1673" i="12"/>
  <c r="C1673" i="12"/>
  <c r="B1673" i="12"/>
  <c r="A1673" i="12"/>
  <c r="G1672" i="12"/>
  <c r="F1672" i="12"/>
  <c r="E1672" i="12"/>
  <c r="D1672" i="12"/>
  <c r="C1672" i="12"/>
  <c r="B1672" i="12"/>
  <c r="A1672" i="12"/>
  <c r="G1671" i="12"/>
  <c r="F1671" i="12"/>
  <c r="E1671" i="12"/>
  <c r="D1671" i="12"/>
  <c r="C1671" i="12"/>
  <c r="B1671" i="12"/>
  <c r="A1671" i="12"/>
  <c r="G1670" i="12"/>
  <c r="F1670" i="12"/>
  <c r="E1670" i="12"/>
  <c r="D1670" i="12"/>
  <c r="C1670" i="12"/>
  <c r="B1670" i="12"/>
  <c r="A1670" i="12"/>
  <c r="G1669" i="12"/>
  <c r="F1669" i="12"/>
  <c r="E1669" i="12"/>
  <c r="D1669" i="12"/>
  <c r="C1669" i="12"/>
  <c r="B1669" i="12"/>
  <c r="A1669" i="12"/>
  <c r="G1668" i="12"/>
  <c r="F1668" i="12"/>
  <c r="E1668" i="12"/>
  <c r="D1668" i="12"/>
  <c r="C1668" i="12"/>
  <c r="B1668" i="12"/>
  <c r="A1668" i="12"/>
  <c r="G1667" i="12"/>
  <c r="F1667" i="12"/>
  <c r="E1667" i="12"/>
  <c r="D1667" i="12"/>
  <c r="C1667" i="12"/>
  <c r="B1667" i="12"/>
  <c r="A1667" i="12"/>
  <c r="G1666" i="12"/>
  <c r="E1666" i="12"/>
  <c r="D1666" i="12"/>
  <c r="C1666" i="12"/>
  <c r="B1666" i="12"/>
  <c r="A1666" i="12"/>
  <c r="E1665" i="12"/>
  <c r="D1665" i="12"/>
  <c r="C1665" i="12"/>
  <c r="B1665" i="12"/>
  <c r="A1665" i="12"/>
  <c r="F1664" i="12"/>
  <c r="E1664" i="12"/>
  <c r="D1664" i="12"/>
  <c r="C1664" i="12"/>
  <c r="B1664" i="12"/>
  <c r="A1664" i="12"/>
  <c r="E1663" i="12"/>
  <c r="D1663" i="12"/>
  <c r="C1663" i="12"/>
  <c r="B1663" i="12"/>
  <c r="A1663" i="12"/>
  <c r="E1662" i="12"/>
  <c r="D1662" i="12"/>
  <c r="C1662" i="12"/>
  <c r="B1662" i="12"/>
  <c r="A1662" i="12"/>
  <c r="G1661" i="12"/>
  <c r="F1661" i="12"/>
  <c r="E1661" i="12"/>
  <c r="D1661" i="12"/>
  <c r="C1661" i="12"/>
  <c r="B1661" i="12"/>
  <c r="A1661" i="12"/>
  <c r="E1660" i="12"/>
  <c r="D1660" i="12"/>
  <c r="C1660" i="12"/>
  <c r="B1660" i="12"/>
  <c r="A1660" i="12"/>
  <c r="E1659" i="12"/>
  <c r="D1659" i="12"/>
  <c r="C1659" i="12"/>
  <c r="B1659" i="12"/>
  <c r="A1659" i="12"/>
  <c r="G1658" i="12"/>
  <c r="E1658" i="12"/>
  <c r="D1658" i="12"/>
  <c r="C1658" i="12"/>
  <c r="B1658" i="12"/>
  <c r="A1658" i="12"/>
  <c r="E1657" i="12"/>
  <c r="D1657" i="12"/>
  <c r="C1657" i="12"/>
  <c r="B1657" i="12"/>
  <c r="A1657" i="12"/>
  <c r="E1656" i="12"/>
  <c r="D1656" i="12"/>
  <c r="C1656" i="12"/>
  <c r="B1656" i="12"/>
  <c r="A1656" i="12"/>
  <c r="E1655" i="12"/>
  <c r="D1655" i="12"/>
  <c r="C1655" i="12"/>
  <c r="B1655" i="12"/>
  <c r="A1655" i="12"/>
  <c r="G1654" i="12"/>
  <c r="F1654" i="12"/>
  <c r="E1654" i="12"/>
  <c r="D1654" i="12"/>
  <c r="C1654" i="12"/>
  <c r="B1654" i="12"/>
  <c r="A1654" i="12"/>
  <c r="G1653" i="12"/>
  <c r="E1653" i="12"/>
  <c r="D1653" i="12"/>
  <c r="C1653" i="12"/>
  <c r="B1653" i="12"/>
  <c r="A1653" i="12"/>
  <c r="G1652" i="12"/>
  <c r="E1652" i="12"/>
  <c r="D1652" i="12"/>
  <c r="C1652" i="12"/>
  <c r="B1652" i="12"/>
  <c r="A1652" i="12"/>
  <c r="G1651" i="12"/>
  <c r="E1651" i="12"/>
  <c r="D1651" i="12"/>
  <c r="C1651" i="12"/>
  <c r="B1651" i="12"/>
  <c r="A1651" i="12"/>
  <c r="G1650" i="12"/>
  <c r="E1650" i="12"/>
  <c r="D1650" i="12"/>
  <c r="C1650" i="12"/>
  <c r="B1650" i="12"/>
  <c r="A1650" i="12"/>
  <c r="G1649" i="12"/>
  <c r="E1649" i="12"/>
  <c r="D1649" i="12"/>
  <c r="C1649" i="12"/>
  <c r="B1649" i="12"/>
  <c r="A1649" i="12"/>
  <c r="G1648" i="12"/>
  <c r="E1648" i="12"/>
  <c r="D1648" i="12"/>
  <c r="C1648" i="12"/>
  <c r="B1648" i="12"/>
  <c r="A1648" i="12"/>
  <c r="G1647" i="12"/>
  <c r="E1647" i="12"/>
  <c r="D1647" i="12"/>
  <c r="C1647" i="12"/>
  <c r="B1647" i="12"/>
  <c r="A1647" i="12"/>
  <c r="G1646" i="12"/>
  <c r="E1646" i="12"/>
  <c r="D1646" i="12"/>
  <c r="C1646" i="12"/>
  <c r="B1646" i="12"/>
  <c r="A1646" i="12"/>
  <c r="G1645" i="12"/>
  <c r="E1645" i="12"/>
  <c r="D1645" i="12"/>
  <c r="C1645" i="12"/>
  <c r="B1645" i="12"/>
  <c r="A1645" i="12"/>
  <c r="G1644" i="12"/>
  <c r="E1644" i="12"/>
  <c r="D1644" i="12"/>
  <c r="C1644" i="12"/>
  <c r="B1644" i="12"/>
  <c r="A1644" i="12"/>
  <c r="E1643" i="12"/>
  <c r="D1643" i="12"/>
  <c r="C1643" i="12"/>
  <c r="B1643" i="12"/>
  <c r="A1643" i="12"/>
  <c r="F1642" i="12"/>
  <c r="E1642" i="12"/>
  <c r="D1642" i="12"/>
  <c r="C1642" i="12"/>
  <c r="B1642" i="12"/>
  <c r="A1642" i="12"/>
  <c r="E1641" i="12"/>
  <c r="D1641" i="12"/>
  <c r="C1641" i="12"/>
  <c r="B1641" i="12"/>
  <c r="A1641" i="12"/>
  <c r="E1640" i="12"/>
  <c r="D1640" i="12"/>
  <c r="C1640" i="12"/>
  <c r="B1640" i="12"/>
  <c r="A1640" i="12"/>
  <c r="E1639" i="12"/>
  <c r="D1639" i="12"/>
  <c r="C1639" i="12"/>
  <c r="B1639" i="12"/>
  <c r="A1639" i="12"/>
  <c r="G1638" i="12"/>
  <c r="F1638" i="12"/>
  <c r="E1638" i="12"/>
  <c r="D1638" i="12"/>
  <c r="C1638" i="12"/>
  <c r="B1638" i="12"/>
  <c r="A1638" i="12"/>
  <c r="E1637" i="12"/>
  <c r="D1637" i="12"/>
  <c r="C1637" i="12"/>
  <c r="B1637" i="12"/>
  <c r="A1637" i="12"/>
  <c r="E1636" i="12"/>
  <c r="D1636" i="12"/>
  <c r="C1636" i="12"/>
  <c r="B1636" i="12"/>
  <c r="A1636" i="12"/>
  <c r="F1635" i="12"/>
  <c r="E1635" i="12"/>
  <c r="D1635" i="12"/>
  <c r="C1635" i="12"/>
  <c r="B1635" i="12"/>
  <c r="A1635" i="12"/>
  <c r="G1634" i="12"/>
  <c r="F1634" i="12"/>
  <c r="E1634" i="12"/>
  <c r="D1634" i="12"/>
  <c r="C1634" i="12"/>
  <c r="B1634" i="12"/>
  <c r="A1634" i="12"/>
  <c r="G1633" i="12"/>
  <c r="F1633" i="12"/>
  <c r="E1633" i="12"/>
  <c r="D1633" i="12"/>
  <c r="C1633" i="12"/>
  <c r="B1633" i="12"/>
  <c r="A1633" i="12"/>
  <c r="G1632" i="12"/>
  <c r="F1632" i="12"/>
  <c r="E1632" i="12"/>
  <c r="D1632" i="12"/>
  <c r="C1632" i="12"/>
  <c r="B1632" i="12"/>
  <c r="A1632" i="12"/>
  <c r="G1631" i="12"/>
  <c r="E1631" i="12"/>
  <c r="D1631" i="12"/>
  <c r="C1631" i="12"/>
  <c r="B1631" i="12"/>
  <c r="A1631" i="12"/>
  <c r="E1630" i="12"/>
  <c r="D1630" i="12"/>
  <c r="C1630" i="12"/>
  <c r="B1630" i="12"/>
  <c r="A1630" i="12"/>
  <c r="E1629" i="12"/>
  <c r="D1629" i="12"/>
  <c r="C1629" i="12"/>
  <c r="B1629" i="12"/>
  <c r="A1629" i="12"/>
  <c r="G1628" i="12"/>
  <c r="F1628" i="12"/>
  <c r="E1628" i="12"/>
  <c r="D1628" i="12"/>
  <c r="C1628" i="12"/>
  <c r="B1628" i="12"/>
  <c r="A1628" i="12"/>
  <c r="G1627" i="12"/>
  <c r="F1627" i="12"/>
  <c r="E1627" i="12"/>
  <c r="D1627" i="12"/>
  <c r="C1627" i="12"/>
  <c r="B1627" i="12"/>
  <c r="A1627" i="12"/>
  <c r="G1626" i="12"/>
  <c r="F1626" i="12"/>
  <c r="E1626" i="12"/>
  <c r="D1626" i="12"/>
  <c r="C1626" i="12"/>
  <c r="B1626" i="12"/>
  <c r="A1626" i="12"/>
  <c r="F1625" i="12"/>
  <c r="E1625" i="12"/>
  <c r="D1625" i="12"/>
  <c r="C1625" i="12"/>
  <c r="B1625" i="12"/>
  <c r="A1625" i="12"/>
  <c r="G1624" i="12"/>
  <c r="F1624" i="12"/>
  <c r="E1624" i="12"/>
  <c r="D1624" i="12"/>
  <c r="C1624" i="12"/>
  <c r="B1624" i="12"/>
  <c r="A1624" i="12"/>
  <c r="E1623" i="12"/>
  <c r="D1623" i="12"/>
  <c r="C1623" i="12"/>
  <c r="B1623" i="12"/>
  <c r="A1623" i="12"/>
  <c r="G1622" i="12"/>
  <c r="F1622" i="12"/>
  <c r="E1622" i="12"/>
  <c r="D1622" i="12"/>
  <c r="C1622" i="12"/>
  <c r="B1622" i="12"/>
  <c r="A1622" i="12"/>
  <c r="E1621" i="12"/>
  <c r="D1621" i="12"/>
  <c r="C1621" i="12"/>
  <c r="B1621" i="12"/>
  <c r="A1621" i="12"/>
  <c r="G1620" i="12"/>
  <c r="E1620" i="12"/>
  <c r="D1620" i="12"/>
  <c r="C1620" i="12"/>
  <c r="B1620" i="12"/>
  <c r="A1620" i="12"/>
  <c r="E1619" i="12"/>
  <c r="D1619" i="12"/>
  <c r="C1619" i="12"/>
  <c r="B1619" i="12"/>
  <c r="A1619" i="12"/>
  <c r="E1618" i="12"/>
  <c r="D1618" i="12"/>
  <c r="C1618" i="12"/>
  <c r="B1618" i="12"/>
  <c r="A1618" i="12"/>
  <c r="G1617" i="12"/>
  <c r="F1617" i="12"/>
  <c r="E1617" i="12"/>
  <c r="D1617" i="12"/>
  <c r="C1617" i="12"/>
  <c r="B1617" i="12"/>
  <c r="A1617" i="12"/>
  <c r="G1616" i="12"/>
  <c r="E1616" i="12"/>
  <c r="D1616" i="12"/>
  <c r="C1616" i="12"/>
  <c r="B1616" i="12"/>
  <c r="A1616" i="12"/>
  <c r="E1615" i="12"/>
  <c r="D1615" i="12"/>
  <c r="C1615" i="12"/>
  <c r="B1615" i="12"/>
  <c r="A1615" i="12"/>
  <c r="E1614" i="12"/>
  <c r="D1614" i="12"/>
  <c r="C1614" i="12"/>
  <c r="B1614" i="12"/>
  <c r="A1614" i="12"/>
  <c r="G1613" i="12"/>
  <c r="F1613" i="12"/>
  <c r="E1613" i="12"/>
  <c r="D1613" i="12"/>
  <c r="C1613" i="12"/>
  <c r="B1613" i="12"/>
  <c r="A1613" i="12"/>
  <c r="G1612" i="12"/>
  <c r="F1612" i="12"/>
  <c r="E1612" i="12"/>
  <c r="D1612" i="12"/>
  <c r="C1612" i="12"/>
  <c r="B1612" i="12"/>
  <c r="A1612" i="12"/>
  <c r="G1611" i="12"/>
  <c r="F1611" i="12"/>
  <c r="E1611" i="12"/>
  <c r="D1611" i="12"/>
  <c r="C1611" i="12"/>
  <c r="B1611" i="12"/>
  <c r="A1611" i="12"/>
  <c r="G1610" i="12"/>
  <c r="F1610" i="12"/>
  <c r="E1610" i="12"/>
  <c r="D1610" i="12"/>
  <c r="C1610" i="12"/>
  <c r="B1610" i="12"/>
  <c r="A1610" i="12"/>
  <c r="F1609" i="12"/>
  <c r="E1609" i="12"/>
  <c r="D1609" i="12"/>
  <c r="C1609" i="12"/>
  <c r="B1609" i="12"/>
  <c r="A1609" i="12"/>
  <c r="G1608" i="12"/>
  <c r="F1608" i="12"/>
  <c r="E1608" i="12"/>
  <c r="D1608" i="12"/>
  <c r="C1608" i="12"/>
  <c r="B1608" i="12"/>
  <c r="A1608" i="12"/>
  <c r="G1607" i="12"/>
  <c r="F1607" i="12"/>
  <c r="E1607" i="12"/>
  <c r="D1607" i="12"/>
  <c r="C1607" i="12"/>
  <c r="B1607" i="12"/>
  <c r="A1607" i="12"/>
  <c r="G1606" i="12"/>
  <c r="F1606" i="12"/>
  <c r="E1606" i="12"/>
  <c r="D1606" i="12"/>
  <c r="C1606" i="12"/>
  <c r="B1606" i="12"/>
  <c r="A1606" i="12"/>
  <c r="G1605" i="12"/>
  <c r="F1605" i="12"/>
  <c r="E1605" i="12"/>
  <c r="D1605" i="12"/>
  <c r="C1605" i="12"/>
  <c r="B1605" i="12"/>
  <c r="A1605" i="12"/>
  <c r="G1604" i="12"/>
  <c r="F1604" i="12"/>
  <c r="E1604" i="12"/>
  <c r="D1604" i="12"/>
  <c r="C1604" i="12"/>
  <c r="B1604" i="12"/>
  <c r="A1604" i="12"/>
  <c r="G1603" i="12"/>
  <c r="F1603" i="12"/>
  <c r="E1603" i="12"/>
  <c r="D1603" i="12"/>
  <c r="C1603" i="12"/>
  <c r="B1603" i="12"/>
  <c r="A1603" i="12"/>
  <c r="G1602" i="12"/>
  <c r="F1602" i="12"/>
  <c r="E1602" i="12"/>
  <c r="D1602" i="12"/>
  <c r="C1602" i="12"/>
  <c r="B1602" i="12"/>
  <c r="A1602" i="12"/>
  <c r="G1601" i="12"/>
  <c r="F1601" i="12"/>
  <c r="E1601" i="12"/>
  <c r="D1601" i="12"/>
  <c r="C1601" i="12"/>
  <c r="B1601" i="12"/>
  <c r="A1601" i="12"/>
  <c r="G1600" i="12"/>
  <c r="F1600" i="12"/>
  <c r="E1600" i="12"/>
  <c r="D1600" i="12"/>
  <c r="C1600" i="12"/>
  <c r="B1600" i="12"/>
  <c r="A1600" i="12"/>
  <c r="G1599" i="12"/>
  <c r="F1599" i="12"/>
  <c r="E1599" i="12"/>
  <c r="D1599" i="12"/>
  <c r="C1599" i="12"/>
  <c r="B1599" i="12"/>
  <c r="A1599" i="12"/>
  <c r="G1598" i="12"/>
  <c r="F1598" i="12"/>
  <c r="E1598" i="12"/>
  <c r="D1598" i="12"/>
  <c r="C1598" i="12"/>
  <c r="B1598" i="12"/>
  <c r="A1598" i="12"/>
  <c r="G1597" i="12"/>
  <c r="E1597" i="12"/>
  <c r="D1597" i="12"/>
  <c r="C1597" i="12"/>
  <c r="B1597" i="12"/>
  <c r="A1597" i="12"/>
  <c r="G1596" i="12"/>
  <c r="E1596" i="12"/>
  <c r="D1596" i="12"/>
  <c r="C1596" i="12"/>
  <c r="B1596" i="12"/>
  <c r="A1596" i="12"/>
  <c r="E1595" i="12"/>
  <c r="D1595" i="12"/>
  <c r="C1595" i="12"/>
  <c r="B1595" i="12"/>
  <c r="A1595" i="12"/>
  <c r="G1594" i="12"/>
  <c r="E1594" i="12"/>
  <c r="D1594" i="12"/>
  <c r="C1594" i="12"/>
  <c r="B1594" i="12"/>
  <c r="A1594" i="12"/>
  <c r="G1593" i="12"/>
  <c r="E1593" i="12"/>
  <c r="D1593" i="12"/>
  <c r="C1593" i="12"/>
  <c r="B1593" i="12"/>
  <c r="A1593" i="12"/>
  <c r="G1592" i="12"/>
  <c r="E1592" i="12"/>
  <c r="D1592" i="12"/>
  <c r="C1592" i="12"/>
  <c r="B1592" i="12"/>
  <c r="A1592" i="12"/>
  <c r="G1591" i="12"/>
  <c r="E1591" i="12"/>
  <c r="D1591" i="12"/>
  <c r="C1591" i="12"/>
  <c r="B1591" i="12"/>
  <c r="A1591" i="12"/>
  <c r="G1590" i="12"/>
  <c r="E1590" i="12"/>
  <c r="D1590" i="12"/>
  <c r="C1590" i="12"/>
  <c r="B1590" i="12"/>
  <c r="A1590" i="12"/>
  <c r="G1589" i="12"/>
  <c r="E1589" i="12"/>
  <c r="D1589" i="12"/>
  <c r="C1589" i="12"/>
  <c r="B1589" i="12"/>
  <c r="A1589" i="12"/>
  <c r="E1588" i="12"/>
  <c r="D1588" i="12"/>
  <c r="C1588" i="12"/>
  <c r="B1588" i="12"/>
  <c r="A1588" i="12"/>
  <c r="G1587" i="12"/>
  <c r="E1587" i="12"/>
  <c r="D1587" i="12"/>
  <c r="C1587" i="12"/>
  <c r="B1587" i="12"/>
  <c r="A1587" i="12"/>
  <c r="G1586" i="12"/>
  <c r="E1586" i="12"/>
  <c r="D1586" i="12"/>
  <c r="C1586" i="12"/>
  <c r="B1586" i="12"/>
  <c r="A1586" i="12"/>
  <c r="G1585" i="12"/>
  <c r="E1585" i="12"/>
  <c r="D1585" i="12"/>
  <c r="C1585" i="12"/>
  <c r="B1585" i="12"/>
  <c r="A1585" i="12"/>
  <c r="G1584" i="12"/>
  <c r="E1584" i="12"/>
  <c r="D1584" i="12"/>
  <c r="C1584" i="12"/>
  <c r="B1584" i="12"/>
  <c r="A1584" i="12"/>
  <c r="G1583" i="12"/>
  <c r="E1583" i="12"/>
  <c r="D1583" i="12"/>
  <c r="C1583" i="12"/>
  <c r="B1583" i="12"/>
  <c r="A1583" i="12"/>
  <c r="E1582" i="12"/>
  <c r="D1582" i="12"/>
  <c r="C1582" i="12"/>
  <c r="B1582" i="12"/>
  <c r="A1582" i="12"/>
  <c r="E1581" i="12"/>
  <c r="D1581" i="12"/>
  <c r="C1581" i="12"/>
  <c r="B1581" i="12"/>
  <c r="A1581" i="12"/>
  <c r="G1580" i="12"/>
  <c r="E1580" i="12"/>
  <c r="D1580" i="12"/>
  <c r="C1580" i="12"/>
  <c r="B1580" i="12"/>
  <c r="A1580" i="12"/>
  <c r="G1579" i="12"/>
  <c r="E1579" i="12"/>
  <c r="D1579" i="12"/>
  <c r="C1579" i="12"/>
  <c r="B1579" i="12"/>
  <c r="A1579" i="12"/>
  <c r="G1578" i="12"/>
  <c r="E1578" i="12"/>
  <c r="D1578" i="12"/>
  <c r="C1578" i="12"/>
  <c r="B1578" i="12"/>
  <c r="A1578" i="12"/>
  <c r="G1577" i="12"/>
  <c r="E1577" i="12"/>
  <c r="D1577" i="12"/>
  <c r="C1577" i="12"/>
  <c r="B1577" i="12"/>
  <c r="A1577" i="12"/>
  <c r="G1576" i="12"/>
  <c r="E1576" i="12"/>
  <c r="D1576" i="12"/>
  <c r="C1576" i="12"/>
  <c r="B1576" i="12"/>
  <c r="A1576" i="12"/>
  <c r="G1575" i="12"/>
  <c r="E1575" i="12"/>
  <c r="D1575" i="12"/>
  <c r="C1575" i="12"/>
  <c r="B1575" i="12"/>
  <c r="A1575" i="12"/>
  <c r="G1574" i="12"/>
  <c r="E1574" i="12"/>
  <c r="D1574" i="12"/>
  <c r="C1574" i="12"/>
  <c r="B1574" i="12"/>
  <c r="A1574" i="12"/>
  <c r="G1573" i="12"/>
  <c r="E1573" i="12"/>
  <c r="D1573" i="12"/>
  <c r="C1573" i="12"/>
  <c r="B1573" i="12"/>
  <c r="A1573" i="12"/>
  <c r="E1572" i="12"/>
  <c r="D1572" i="12"/>
  <c r="C1572" i="12"/>
  <c r="B1572" i="12"/>
  <c r="A1572" i="12"/>
  <c r="E1571" i="12"/>
  <c r="D1571" i="12"/>
  <c r="C1571" i="12"/>
  <c r="B1571" i="12"/>
  <c r="A1571" i="12"/>
  <c r="G1570" i="12"/>
  <c r="E1570" i="12"/>
  <c r="D1570" i="12"/>
  <c r="C1570" i="12"/>
  <c r="B1570" i="12"/>
  <c r="A1570" i="12"/>
  <c r="G1569" i="12"/>
  <c r="E1569" i="12"/>
  <c r="D1569" i="12"/>
  <c r="C1569" i="12"/>
  <c r="B1569" i="12"/>
  <c r="A1569" i="12"/>
  <c r="G1568" i="12"/>
  <c r="E1568" i="12"/>
  <c r="D1568" i="12"/>
  <c r="C1568" i="12"/>
  <c r="B1568" i="12"/>
  <c r="A1568" i="12"/>
  <c r="G1567" i="12"/>
  <c r="E1567" i="12"/>
  <c r="D1567" i="12"/>
  <c r="C1567" i="12"/>
  <c r="B1567" i="12"/>
  <c r="A1567" i="12"/>
  <c r="G1566" i="12"/>
  <c r="E1566" i="12"/>
  <c r="D1566" i="12"/>
  <c r="C1566" i="12"/>
  <c r="B1566" i="12"/>
  <c r="A1566" i="12"/>
  <c r="E1565" i="12"/>
  <c r="D1565" i="12"/>
  <c r="C1565" i="12"/>
  <c r="B1565" i="12"/>
  <c r="A1565" i="12"/>
  <c r="E1564" i="12"/>
  <c r="D1564" i="12"/>
  <c r="C1564" i="12"/>
  <c r="B1564" i="12"/>
  <c r="A1564" i="12"/>
  <c r="E1563" i="12"/>
  <c r="D1563" i="12"/>
  <c r="C1563" i="12"/>
  <c r="B1563" i="12"/>
  <c r="A1563" i="12"/>
  <c r="E1562" i="12"/>
  <c r="D1562" i="12"/>
  <c r="C1562" i="12"/>
  <c r="B1562" i="12"/>
  <c r="A1562" i="12"/>
  <c r="G1561" i="12"/>
  <c r="E1561" i="12"/>
  <c r="D1561" i="12"/>
  <c r="C1561" i="12"/>
  <c r="B1561" i="12"/>
  <c r="A1561" i="12"/>
  <c r="G1560" i="12"/>
  <c r="E1560" i="12"/>
  <c r="D1560" i="12"/>
  <c r="C1560" i="12"/>
  <c r="B1560" i="12"/>
  <c r="A1560" i="12"/>
  <c r="G1559" i="12"/>
  <c r="E1559" i="12"/>
  <c r="D1559" i="12"/>
  <c r="C1559" i="12"/>
  <c r="B1559" i="12"/>
  <c r="A1559" i="12"/>
  <c r="E1558" i="12"/>
  <c r="D1558" i="12"/>
  <c r="C1558" i="12"/>
  <c r="B1558" i="12"/>
  <c r="A1558" i="12"/>
  <c r="G1557" i="12"/>
  <c r="E1557" i="12"/>
  <c r="D1557" i="12"/>
  <c r="C1557" i="12"/>
  <c r="B1557" i="12"/>
  <c r="A1557" i="12"/>
  <c r="G1556" i="12"/>
  <c r="E1556" i="12"/>
  <c r="D1556" i="12"/>
  <c r="C1556" i="12"/>
  <c r="B1556" i="12"/>
  <c r="A1556" i="12"/>
  <c r="G1555" i="12"/>
  <c r="E1555" i="12"/>
  <c r="D1555" i="12"/>
  <c r="C1555" i="12"/>
  <c r="B1555" i="12"/>
  <c r="A1555" i="12"/>
  <c r="G1554" i="12"/>
  <c r="E1554" i="12"/>
  <c r="D1554" i="12"/>
  <c r="C1554" i="12"/>
  <c r="B1554" i="12"/>
  <c r="A1554" i="12"/>
  <c r="E1553" i="12"/>
  <c r="D1553" i="12"/>
  <c r="C1553" i="12"/>
  <c r="B1553" i="12"/>
  <c r="A1553" i="12"/>
  <c r="G1552" i="12"/>
  <c r="E1552" i="12"/>
  <c r="D1552" i="12"/>
  <c r="C1552" i="12"/>
  <c r="B1552" i="12"/>
  <c r="A1552" i="12"/>
  <c r="G1551" i="12"/>
  <c r="E1551" i="12"/>
  <c r="D1551" i="12"/>
  <c r="C1551" i="12"/>
  <c r="B1551" i="12"/>
  <c r="A1551" i="12"/>
  <c r="E1550" i="12"/>
  <c r="D1550" i="12"/>
  <c r="C1550" i="12"/>
  <c r="B1550" i="12"/>
  <c r="A1550" i="12"/>
  <c r="E1549" i="12"/>
  <c r="D1549" i="12"/>
  <c r="C1549" i="12"/>
  <c r="B1549" i="12"/>
  <c r="A1549" i="12"/>
  <c r="G1548" i="12"/>
  <c r="E1548" i="12"/>
  <c r="D1548" i="12"/>
  <c r="C1548" i="12"/>
  <c r="B1548" i="12"/>
  <c r="A1548" i="12"/>
  <c r="G1547" i="12"/>
  <c r="E1547" i="12"/>
  <c r="D1547" i="12"/>
  <c r="C1547" i="12"/>
  <c r="B1547" i="12"/>
  <c r="A1547" i="12"/>
  <c r="E1546" i="12"/>
  <c r="D1546" i="12"/>
  <c r="C1546" i="12"/>
  <c r="B1546" i="12"/>
  <c r="A1546" i="12"/>
  <c r="E1545" i="12"/>
  <c r="D1545" i="12"/>
  <c r="C1545" i="12"/>
  <c r="B1545" i="12"/>
  <c r="A1545" i="12"/>
  <c r="E1544" i="12"/>
  <c r="D1544" i="12"/>
  <c r="C1544" i="12"/>
  <c r="B1544" i="12"/>
  <c r="A1544" i="12"/>
  <c r="G1543" i="12"/>
  <c r="E1543" i="12"/>
  <c r="D1543" i="12"/>
  <c r="C1543" i="12"/>
  <c r="B1543" i="12"/>
  <c r="A1543" i="12"/>
  <c r="G1542" i="12"/>
  <c r="E1542" i="12"/>
  <c r="D1542" i="12"/>
  <c r="C1542" i="12"/>
  <c r="B1542" i="12"/>
  <c r="A1542" i="12"/>
  <c r="E1541" i="12"/>
  <c r="D1541" i="12"/>
  <c r="C1541" i="12"/>
  <c r="B1541" i="12"/>
  <c r="A1541" i="12"/>
  <c r="G1540" i="12"/>
  <c r="E1540" i="12"/>
  <c r="D1540" i="12"/>
  <c r="C1540" i="12"/>
  <c r="B1540" i="12"/>
  <c r="A1540" i="12"/>
  <c r="G1539" i="12"/>
  <c r="E1539" i="12"/>
  <c r="D1539" i="12"/>
  <c r="C1539" i="12"/>
  <c r="B1539" i="12"/>
  <c r="A1539" i="12"/>
  <c r="G1538" i="12"/>
  <c r="E1538" i="12"/>
  <c r="D1538" i="12"/>
  <c r="C1538" i="12"/>
  <c r="B1538" i="12"/>
  <c r="A1538" i="12"/>
  <c r="G1537" i="12"/>
  <c r="E1537" i="12"/>
  <c r="D1537" i="12"/>
  <c r="C1537" i="12"/>
  <c r="B1537" i="12"/>
  <c r="A1537" i="12"/>
  <c r="G1536" i="12"/>
  <c r="E1536" i="12"/>
  <c r="D1536" i="12"/>
  <c r="C1536" i="12"/>
  <c r="B1536" i="12"/>
  <c r="A1536" i="12"/>
  <c r="G1535" i="12"/>
  <c r="E1535" i="12"/>
  <c r="D1535" i="12"/>
  <c r="C1535" i="12"/>
  <c r="B1535" i="12"/>
  <c r="A1535" i="12"/>
  <c r="E1534" i="12"/>
  <c r="D1534" i="12"/>
  <c r="C1534" i="12"/>
  <c r="B1534" i="12"/>
  <c r="A1534" i="12"/>
  <c r="G1533" i="12"/>
  <c r="E1533" i="12"/>
  <c r="D1533" i="12"/>
  <c r="C1533" i="12"/>
  <c r="B1533" i="12"/>
  <c r="A1533" i="12"/>
  <c r="G1532" i="12"/>
  <c r="E1532" i="12"/>
  <c r="D1532" i="12"/>
  <c r="C1532" i="12"/>
  <c r="B1532" i="12"/>
  <c r="A1532" i="12"/>
  <c r="G1531" i="12"/>
  <c r="E1531" i="12"/>
  <c r="D1531" i="12"/>
  <c r="C1531" i="12"/>
  <c r="B1531" i="12"/>
  <c r="A1531" i="12"/>
  <c r="G1530" i="12"/>
  <c r="E1530" i="12"/>
  <c r="D1530" i="12"/>
  <c r="C1530" i="12"/>
  <c r="B1530" i="12"/>
  <c r="A1530" i="12"/>
  <c r="E1529" i="12"/>
  <c r="D1529" i="12"/>
  <c r="C1529" i="12"/>
  <c r="B1529" i="12"/>
  <c r="A1529" i="12"/>
  <c r="G1528" i="12"/>
  <c r="E1528" i="12"/>
  <c r="D1528" i="12"/>
  <c r="C1528" i="12"/>
  <c r="B1528" i="12"/>
  <c r="A1528" i="12"/>
  <c r="G1527" i="12"/>
  <c r="E1527" i="12"/>
  <c r="D1527" i="12"/>
  <c r="C1527" i="12"/>
  <c r="B1527" i="12"/>
  <c r="A1527" i="12"/>
  <c r="G1526" i="12"/>
  <c r="E1526" i="12"/>
  <c r="D1526" i="12"/>
  <c r="C1526" i="12"/>
  <c r="B1526" i="12"/>
  <c r="A1526" i="12"/>
  <c r="E1525" i="12"/>
  <c r="D1525" i="12"/>
  <c r="C1525" i="12"/>
  <c r="B1525" i="12"/>
  <c r="A1525" i="12"/>
  <c r="G1524" i="12"/>
  <c r="E1524" i="12"/>
  <c r="D1524" i="12"/>
  <c r="C1524" i="12"/>
  <c r="B1524" i="12"/>
  <c r="A1524" i="12"/>
  <c r="G1523" i="12"/>
  <c r="E1523" i="12"/>
  <c r="D1523" i="12"/>
  <c r="C1523" i="12"/>
  <c r="B1523" i="12"/>
  <c r="A1523" i="12"/>
  <c r="G1522" i="12"/>
  <c r="E1522" i="12"/>
  <c r="D1522" i="12"/>
  <c r="C1522" i="12"/>
  <c r="B1522" i="12"/>
  <c r="A1522" i="12"/>
  <c r="E1521" i="12"/>
  <c r="D1521" i="12"/>
  <c r="C1521" i="12"/>
  <c r="B1521" i="12"/>
  <c r="A1521" i="12"/>
  <c r="G1520" i="12"/>
  <c r="E1520" i="12"/>
  <c r="D1520" i="12"/>
  <c r="C1520" i="12"/>
  <c r="B1520" i="12"/>
  <c r="A1520" i="12"/>
  <c r="E1519" i="12"/>
  <c r="D1519" i="12"/>
  <c r="C1519" i="12"/>
  <c r="B1519" i="12"/>
  <c r="A1519" i="12"/>
  <c r="E1518" i="12"/>
  <c r="D1518" i="12"/>
  <c r="C1518" i="12"/>
  <c r="B1518" i="12"/>
  <c r="A1518" i="12"/>
  <c r="E1517" i="12"/>
  <c r="D1517" i="12"/>
  <c r="C1517" i="12"/>
  <c r="B1517" i="12"/>
  <c r="A1517" i="12"/>
  <c r="G1516" i="12"/>
  <c r="E1516" i="12"/>
  <c r="D1516" i="12"/>
  <c r="C1516" i="12"/>
  <c r="B1516" i="12"/>
  <c r="A1516" i="12"/>
  <c r="G1515" i="12"/>
  <c r="E1515" i="12"/>
  <c r="D1515" i="12"/>
  <c r="C1515" i="12"/>
  <c r="B1515" i="12"/>
  <c r="A1515" i="12"/>
  <c r="G1514" i="12"/>
  <c r="E1514" i="12"/>
  <c r="D1514" i="12"/>
  <c r="C1514" i="12"/>
  <c r="B1514" i="12"/>
  <c r="A1514" i="12"/>
  <c r="E1513" i="12"/>
  <c r="D1513" i="12"/>
  <c r="C1513" i="12"/>
  <c r="B1513" i="12"/>
  <c r="A1513" i="12"/>
  <c r="E1512" i="12"/>
  <c r="D1512" i="12"/>
  <c r="C1512" i="12"/>
  <c r="B1512" i="12"/>
  <c r="A1512" i="12"/>
  <c r="G1511" i="12"/>
  <c r="E1511" i="12"/>
  <c r="D1511" i="12"/>
  <c r="C1511" i="12"/>
  <c r="B1511" i="12"/>
  <c r="A1511" i="12"/>
  <c r="G1510" i="12"/>
  <c r="E1510" i="12"/>
  <c r="D1510" i="12"/>
  <c r="C1510" i="12"/>
  <c r="B1510" i="12"/>
  <c r="A1510" i="12"/>
  <c r="G1509" i="12"/>
  <c r="E1509" i="12"/>
  <c r="D1509" i="12"/>
  <c r="C1509" i="12"/>
  <c r="B1509" i="12"/>
  <c r="A1509" i="12"/>
  <c r="G1508" i="12"/>
  <c r="E1508" i="12"/>
  <c r="D1508" i="12"/>
  <c r="C1508" i="12"/>
  <c r="B1508" i="12"/>
  <c r="A1508" i="12"/>
  <c r="G1507" i="12"/>
  <c r="E1507" i="12"/>
  <c r="D1507" i="12"/>
  <c r="C1507" i="12"/>
  <c r="B1507" i="12"/>
  <c r="A1507" i="12"/>
  <c r="G1506" i="12"/>
  <c r="E1506" i="12"/>
  <c r="D1506" i="12"/>
  <c r="C1506" i="12"/>
  <c r="B1506" i="12"/>
  <c r="A1506" i="12"/>
  <c r="E1505" i="12"/>
  <c r="D1505" i="12"/>
  <c r="C1505" i="12"/>
  <c r="B1505" i="12"/>
  <c r="A1505" i="12"/>
  <c r="G1504" i="12"/>
  <c r="E1504" i="12"/>
  <c r="D1504" i="12"/>
  <c r="C1504" i="12"/>
  <c r="B1504" i="12"/>
  <c r="A1504" i="12"/>
  <c r="G1503" i="12"/>
  <c r="E1503" i="12"/>
  <c r="D1503" i="12"/>
  <c r="C1503" i="12"/>
  <c r="B1503" i="12"/>
  <c r="A1503" i="12"/>
  <c r="G1502" i="12"/>
  <c r="E1502" i="12"/>
  <c r="D1502" i="12"/>
  <c r="C1502" i="12"/>
  <c r="B1502" i="12"/>
  <c r="A1502" i="12"/>
  <c r="G1501" i="12"/>
  <c r="E1501" i="12"/>
  <c r="D1501" i="12"/>
  <c r="C1501" i="12"/>
  <c r="B1501" i="12"/>
  <c r="A1501" i="12"/>
  <c r="G1500" i="12"/>
  <c r="E1500" i="12"/>
  <c r="D1500" i="12"/>
  <c r="C1500" i="12"/>
  <c r="B1500" i="12"/>
  <c r="A1500" i="12"/>
  <c r="E1499" i="12"/>
  <c r="D1499" i="12"/>
  <c r="C1499" i="12"/>
  <c r="B1499" i="12"/>
  <c r="A1499" i="12"/>
  <c r="G1498" i="12"/>
  <c r="E1498" i="12"/>
  <c r="D1498" i="12"/>
  <c r="C1498" i="12"/>
  <c r="B1498" i="12"/>
  <c r="A1498" i="12"/>
  <c r="E1497" i="12"/>
  <c r="D1497" i="12"/>
  <c r="C1497" i="12"/>
  <c r="B1497" i="12"/>
  <c r="A1497" i="12"/>
  <c r="G1496" i="12"/>
  <c r="E1496" i="12"/>
  <c r="D1496" i="12"/>
  <c r="C1496" i="12"/>
  <c r="B1496" i="12"/>
  <c r="A1496" i="12"/>
  <c r="G1495" i="12"/>
  <c r="E1495" i="12"/>
  <c r="D1495" i="12"/>
  <c r="C1495" i="12"/>
  <c r="B1495" i="12"/>
  <c r="A1495" i="12"/>
  <c r="G1494" i="12"/>
  <c r="E1494" i="12"/>
  <c r="D1494" i="12"/>
  <c r="C1494" i="12"/>
  <c r="B1494" i="12"/>
  <c r="A1494" i="12"/>
  <c r="G1493" i="12"/>
  <c r="E1493" i="12"/>
  <c r="D1493" i="12"/>
  <c r="C1493" i="12"/>
  <c r="B1493" i="12"/>
  <c r="A1493" i="12"/>
  <c r="G1492" i="12"/>
  <c r="E1492" i="12"/>
  <c r="D1492" i="12"/>
  <c r="C1492" i="12"/>
  <c r="B1492" i="12"/>
  <c r="A1492" i="12"/>
  <c r="E1491" i="12"/>
  <c r="D1491" i="12"/>
  <c r="C1491" i="12"/>
  <c r="B1491" i="12"/>
  <c r="A1491" i="12"/>
  <c r="G1490" i="12"/>
  <c r="E1490" i="12"/>
  <c r="D1490" i="12"/>
  <c r="C1490" i="12"/>
  <c r="B1490" i="12"/>
  <c r="A1490" i="12"/>
  <c r="G1489" i="12"/>
  <c r="E1489" i="12"/>
  <c r="D1489" i="12"/>
  <c r="C1489" i="12"/>
  <c r="B1489" i="12"/>
  <c r="A1489" i="12"/>
  <c r="E1488" i="12"/>
  <c r="D1488" i="12"/>
  <c r="C1488" i="12"/>
  <c r="B1488" i="12"/>
  <c r="A1488" i="12"/>
  <c r="E1487" i="12"/>
  <c r="D1487" i="12"/>
  <c r="C1487" i="12"/>
  <c r="B1487" i="12"/>
  <c r="A1487" i="12"/>
  <c r="E1486" i="12"/>
  <c r="D1486" i="12"/>
  <c r="C1486" i="12"/>
  <c r="B1486" i="12"/>
  <c r="A1486" i="12"/>
  <c r="E1485" i="12"/>
  <c r="D1485" i="12"/>
  <c r="C1485" i="12"/>
  <c r="B1485" i="12"/>
  <c r="A1485" i="12"/>
  <c r="G1484" i="12"/>
  <c r="E1484" i="12"/>
  <c r="D1484" i="12"/>
  <c r="C1484" i="12"/>
  <c r="B1484" i="12"/>
  <c r="A1484" i="12"/>
  <c r="E1483" i="12"/>
  <c r="D1483" i="12"/>
  <c r="C1483" i="12"/>
  <c r="B1483" i="12"/>
  <c r="A1483" i="12"/>
  <c r="G1482" i="12"/>
  <c r="E1482" i="12"/>
  <c r="D1482" i="12"/>
  <c r="C1482" i="12"/>
  <c r="B1482" i="12"/>
  <c r="A1482" i="12"/>
  <c r="E1481" i="12"/>
  <c r="D1481" i="12"/>
  <c r="C1481" i="12"/>
  <c r="B1481" i="12"/>
  <c r="A1481" i="12"/>
  <c r="E1480" i="12"/>
  <c r="D1480" i="12"/>
  <c r="C1480" i="12"/>
  <c r="B1480" i="12"/>
  <c r="A1480" i="12"/>
  <c r="E1479" i="12"/>
  <c r="D1479" i="12"/>
  <c r="C1479" i="12"/>
  <c r="B1479" i="12"/>
  <c r="A1479" i="12"/>
  <c r="G1478" i="12"/>
  <c r="E1478" i="12"/>
  <c r="D1478" i="12"/>
  <c r="C1478" i="12"/>
  <c r="B1478" i="12"/>
  <c r="A1478" i="12"/>
  <c r="E1477" i="12"/>
  <c r="D1477" i="12"/>
  <c r="C1477" i="12"/>
  <c r="B1477" i="12"/>
  <c r="A1477" i="12"/>
  <c r="E1476" i="12"/>
  <c r="D1476" i="12"/>
  <c r="C1476" i="12"/>
  <c r="B1476" i="12"/>
  <c r="A1476" i="12"/>
  <c r="E1475" i="12"/>
  <c r="D1475" i="12"/>
  <c r="C1475" i="12"/>
  <c r="B1475" i="12"/>
  <c r="A1475" i="12"/>
  <c r="E1474" i="12"/>
  <c r="D1474" i="12"/>
  <c r="C1474" i="12"/>
  <c r="B1474" i="12"/>
  <c r="A1474" i="12"/>
  <c r="G1473" i="12"/>
  <c r="E1473" i="12"/>
  <c r="D1473" i="12"/>
  <c r="C1473" i="12"/>
  <c r="B1473" i="12"/>
  <c r="A1473" i="12"/>
  <c r="G1472" i="12"/>
  <c r="E1472" i="12"/>
  <c r="D1472" i="12"/>
  <c r="C1472" i="12"/>
  <c r="B1472" i="12"/>
  <c r="A1472" i="12"/>
  <c r="E1471" i="12"/>
  <c r="D1471" i="12"/>
  <c r="C1471" i="12"/>
  <c r="B1471" i="12"/>
  <c r="A1471" i="12"/>
  <c r="G1470" i="12"/>
  <c r="E1470" i="12"/>
  <c r="D1470" i="12"/>
  <c r="C1470" i="12"/>
  <c r="B1470" i="12"/>
  <c r="A1470" i="12"/>
  <c r="E1469" i="12"/>
  <c r="D1469" i="12"/>
  <c r="C1469" i="12"/>
  <c r="B1469" i="12"/>
  <c r="A1469" i="12"/>
  <c r="E1468" i="12"/>
  <c r="D1468" i="12"/>
  <c r="C1468" i="12"/>
  <c r="B1468" i="12"/>
  <c r="A1468" i="12"/>
  <c r="G1467" i="12"/>
  <c r="E1467" i="12"/>
  <c r="D1467" i="12"/>
  <c r="C1467" i="12"/>
  <c r="B1467" i="12"/>
  <c r="A1467" i="12"/>
  <c r="G1466" i="12"/>
  <c r="E1466" i="12"/>
  <c r="D1466" i="12"/>
  <c r="C1466" i="12"/>
  <c r="B1466" i="12"/>
  <c r="A1466" i="12"/>
  <c r="G1465" i="12"/>
  <c r="E1465" i="12"/>
  <c r="D1465" i="12"/>
  <c r="C1465" i="12"/>
  <c r="B1465" i="12"/>
  <c r="A1465" i="12"/>
  <c r="E1464" i="12"/>
  <c r="D1464" i="12"/>
  <c r="C1464" i="12"/>
  <c r="B1464" i="12"/>
  <c r="A1464" i="12"/>
  <c r="G1463" i="12"/>
  <c r="E1463" i="12"/>
  <c r="D1463" i="12"/>
  <c r="C1463" i="12"/>
  <c r="B1463" i="12"/>
  <c r="A1463" i="12"/>
  <c r="G1462" i="12"/>
  <c r="E1462" i="12"/>
  <c r="D1462" i="12"/>
  <c r="C1462" i="12"/>
  <c r="B1462" i="12"/>
  <c r="A1462" i="12"/>
  <c r="E1461" i="12"/>
  <c r="D1461" i="12"/>
  <c r="C1461" i="12"/>
  <c r="B1461" i="12"/>
  <c r="A1461" i="12"/>
  <c r="E1460" i="12"/>
  <c r="D1460" i="12"/>
  <c r="C1460" i="12"/>
  <c r="B1460" i="12"/>
  <c r="A1460" i="12"/>
  <c r="E1459" i="12"/>
  <c r="D1459" i="12"/>
  <c r="C1459" i="12"/>
  <c r="B1459" i="12"/>
  <c r="A1459" i="12"/>
  <c r="E1458" i="12"/>
  <c r="D1458" i="12"/>
  <c r="C1458" i="12"/>
  <c r="B1458" i="12"/>
  <c r="A1458" i="12"/>
  <c r="E1457" i="12"/>
  <c r="D1457" i="12"/>
  <c r="C1457" i="12"/>
  <c r="B1457" i="12"/>
  <c r="A1457" i="12"/>
  <c r="G1456" i="12"/>
  <c r="E1456" i="12"/>
  <c r="D1456" i="12"/>
  <c r="C1456" i="12"/>
  <c r="B1456" i="12"/>
  <c r="A1456" i="12"/>
  <c r="G1455" i="12"/>
  <c r="E1455" i="12"/>
  <c r="D1455" i="12"/>
  <c r="C1455" i="12"/>
  <c r="B1455" i="12"/>
  <c r="A1455" i="12"/>
  <c r="G1454" i="12"/>
  <c r="E1454" i="12"/>
  <c r="D1454" i="12"/>
  <c r="C1454" i="12"/>
  <c r="B1454" i="12"/>
  <c r="A1454" i="12"/>
  <c r="G1453" i="12"/>
  <c r="E1453" i="12"/>
  <c r="D1453" i="12"/>
  <c r="C1453" i="12"/>
  <c r="B1453" i="12"/>
  <c r="A1453" i="12"/>
  <c r="G1452" i="12"/>
  <c r="E1452" i="12"/>
  <c r="D1452" i="12"/>
  <c r="C1452" i="12"/>
  <c r="B1452" i="12"/>
  <c r="A1452" i="12"/>
  <c r="G1451" i="12"/>
  <c r="E1451" i="12"/>
  <c r="D1451" i="12"/>
  <c r="C1451" i="12"/>
  <c r="B1451" i="12"/>
  <c r="A1451" i="12"/>
  <c r="G1450" i="12"/>
  <c r="E1450" i="12"/>
  <c r="D1450" i="12"/>
  <c r="C1450" i="12"/>
  <c r="B1450" i="12"/>
  <c r="A1450" i="12"/>
  <c r="G1449" i="12"/>
  <c r="E1449" i="12"/>
  <c r="D1449" i="12"/>
  <c r="C1449" i="12"/>
  <c r="B1449" i="12"/>
  <c r="A1449" i="12"/>
  <c r="G1448" i="12"/>
  <c r="E1448" i="12"/>
  <c r="D1448" i="12"/>
  <c r="C1448" i="12"/>
  <c r="B1448" i="12"/>
  <c r="A1448" i="12"/>
  <c r="G1447" i="12"/>
  <c r="E1447" i="12"/>
  <c r="D1447" i="12"/>
  <c r="C1447" i="12"/>
  <c r="B1447" i="12"/>
  <c r="A1447" i="12"/>
  <c r="G1446" i="12"/>
  <c r="E1446" i="12"/>
  <c r="D1446" i="12"/>
  <c r="C1446" i="12"/>
  <c r="B1446" i="12"/>
  <c r="A1446" i="12"/>
  <c r="G1445" i="12"/>
  <c r="E1445" i="12"/>
  <c r="D1445" i="12"/>
  <c r="C1445" i="12"/>
  <c r="B1445" i="12"/>
  <c r="A1445" i="12"/>
  <c r="G1444" i="12"/>
  <c r="E1444" i="12"/>
  <c r="D1444" i="12"/>
  <c r="C1444" i="12"/>
  <c r="B1444" i="12"/>
  <c r="A1444" i="12"/>
  <c r="G1443" i="12"/>
  <c r="E1443" i="12"/>
  <c r="D1443" i="12"/>
  <c r="C1443" i="12"/>
  <c r="B1443" i="12"/>
  <c r="A1443" i="12"/>
  <c r="G1442" i="12"/>
  <c r="E1442" i="12"/>
  <c r="D1442" i="12"/>
  <c r="C1442" i="12"/>
  <c r="B1442" i="12"/>
  <c r="A1442" i="12"/>
  <c r="G1441" i="12"/>
  <c r="E1441" i="12"/>
  <c r="D1441" i="12"/>
  <c r="C1441" i="12"/>
  <c r="B1441" i="12"/>
  <c r="A1441" i="12"/>
  <c r="G1440" i="12"/>
  <c r="E1440" i="12"/>
  <c r="D1440" i="12"/>
  <c r="C1440" i="12"/>
  <c r="B1440" i="12"/>
  <c r="A1440" i="12"/>
  <c r="G1439" i="12"/>
  <c r="E1439" i="12"/>
  <c r="D1439" i="12"/>
  <c r="C1439" i="12"/>
  <c r="B1439" i="12"/>
  <c r="A1439" i="12"/>
  <c r="G1438" i="12"/>
  <c r="E1438" i="12"/>
  <c r="D1438" i="12"/>
  <c r="C1438" i="12"/>
  <c r="B1438" i="12"/>
  <c r="A1438" i="12"/>
  <c r="G1437" i="12"/>
  <c r="E1437" i="12"/>
  <c r="D1437" i="12"/>
  <c r="C1437" i="12"/>
  <c r="B1437" i="12"/>
  <c r="A1437" i="12"/>
  <c r="G1436" i="12"/>
  <c r="E1436" i="12"/>
  <c r="D1436" i="12"/>
  <c r="C1436" i="12"/>
  <c r="B1436" i="12"/>
  <c r="A1436" i="12"/>
  <c r="G1435" i="12"/>
  <c r="E1435" i="12"/>
  <c r="D1435" i="12"/>
  <c r="C1435" i="12"/>
  <c r="B1435" i="12"/>
  <c r="A1435" i="12"/>
  <c r="G1434" i="12"/>
  <c r="E1434" i="12"/>
  <c r="D1434" i="12"/>
  <c r="C1434" i="12"/>
  <c r="B1434" i="12"/>
  <c r="A1434" i="12"/>
  <c r="G1433" i="12"/>
  <c r="E1433" i="12"/>
  <c r="D1433" i="12"/>
  <c r="C1433" i="12"/>
  <c r="B1433" i="12"/>
  <c r="A1433" i="12"/>
  <c r="G1432" i="12"/>
  <c r="E1432" i="12"/>
  <c r="D1432" i="12"/>
  <c r="C1432" i="12"/>
  <c r="B1432" i="12"/>
  <c r="A1432" i="12"/>
  <c r="G1431" i="12"/>
  <c r="E1431" i="12"/>
  <c r="D1431" i="12"/>
  <c r="C1431" i="12"/>
  <c r="B1431" i="12"/>
  <c r="A1431" i="12"/>
  <c r="G1430" i="12"/>
  <c r="E1430" i="12"/>
  <c r="D1430" i="12"/>
  <c r="C1430" i="12"/>
  <c r="B1430" i="12"/>
  <c r="A1430" i="12"/>
  <c r="G1429" i="12"/>
  <c r="E1429" i="12"/>
  <c r="D1429" i="12"/>
  <c r="C1429" i="12"/>
  <c r="B1429" i="12"/>
  <c r="A1429" i="12"/>
  <c r="G1428" i="12"/>
  <c r="E1428" i="12"/>
  <c r="D1428" i="12"/>
  <c r="C1428" i="12"/>
  <c r="B1428" i="12"/>
  <c r="A1428" i="12"/>
  <c r="G1427" i="12"/>
  <c r="E1427" i="12"/>
  <c r="D1427" i="12"/>
  <c r="C1427" i="12"/>
  <c r="B1427" i="12"/>
  <c r="A1427" i="12"/>
  <c r="G1426" i="12"/>
  <c r="E1426" i="12"/>
  <c r="D1426" i="12"/>
  <c r="C1426" i="12"/>
  <c r="B1426" i="12"/>
  <c r="A1426" i="12"/>
  <c r="G1425" i="12"/>
  <c r="E1425" i="12"/>
  <c r="D1425" i="12"/>
  <c r="C1425" i="12"/>
  <c r="B1425" i="12"/>
  <c r="A1425" i="12"/>
  <c r="G1424" i="12"/>
  <c r="E1424" i="12"/>
  <c r="D1424" i="12"/>
  <c r="C1424" i="12"/>
  <c r="B1424" i="12"/>
  <c r="A1424" i="12"/>
  <c r="G1423" i="12"/>
  <c r="E1423" i="12"/>
  <c r="D1423" i="12"/>
  <c r="C1423" i="12"/>
  <c r="B1423" i="12"/>
  <c r="A1423" i="12"/>
  <c r="G1422" i="12"/>
  <c r="E1422" i="12"/>
  <c r="D1422" i="12"/>
  <c r="C1422" i="12"/>
  <c r="B1422" i="12"/>
  <c r="A1422" i="12"/>
  <c r="G1421" i="12"/>
  <c r="E1421" i="12"/>
  <c r="D1421" i="12"/>
  <c r="C1421" i="12"/>
  <c r="B1421" i="12"/>
  <c r="A1421" i="12"/>
  <c r="G1420" i="12"/>
  <c r="E1420" i="12"/>
  <c r="D1420" i="12"/>
  <c r="C1420" i="12"/>
  <c r="B1420" i="12"/>
  <c r="A1420" i="12"/>
  <c r="G1419" i="12"/>
  <c r="E1419" i="12"/>
  <c r="D1419" i="12"/>
  <c r="C1419" i="12"/>
  <c r="B1419" i="12"/>
  <c r="A1419" i="12"/>
  <c r="G1418" i="12"/>
  <c r="E1418" i="12"/>
  <c r="D1418" i="12"/>
  <c r="C1418" i="12"/>
  <c r="B1418" i="12"/>
  <c r="A1418" i="12"/>
  <c r="G1417" i="12"/>
  <c r="E1417" i="12"/>
  <c r="D1417" i="12"/>
  <c r="C1417" i="12"/>
  <c r="B1417" i="12"/>
  <c r="A1417" i="12"/>
  <c r="G1416" i="12"/>
  <c r="E1416" i="12"/>
  <c r="D1416" i="12"/>
  <c r="C1416" i="12"/>
  <c r="B1416" i="12"/>
  <c r="A1416" i="12"/>
  <c r="G1415" i="12"/>
  <c r="E1415" i="12"/>
  <c r="D1415" i="12"/>
  <c r="C1415" i="12"/>
  <c r="B1415" i="12"/>
  <c r="A1415" i="12"/>
  <c r="G1414" i="12"/>
  <c r="E1414" i="12"/>
  <c r="D1414" i="12"/>
  <c r="C1414" i="12"/>
  <c r="B1414" i="12"/>
  <c r="A1414" i="12"/>
  <c r="G1413" i="12"/>
  <c r="E1413" i="12"/>
  <c r="D1413" i="12"/>
  <c r="C1413" i="12"/>
  <c r="B1413" i="12"/>
  <c r="A1413" i="12"/>
  <c r="G1412" i="12"/>
  <c r="E1412" i="12"/>
  <c r="D1412" i="12"/>
  <c r="C1412" i="12"/>
  <c r="B1412" i="12"/>
  <c r="A1412" i="12"/>
  <c r="G1411" i="12"/>
  <c r="E1411" i="12"/>
  <c r="D1411" i="12"/>
  <c r="C1411" i="12"/>
  <c r="B1411" i="12"/>
  <c r="A1411" i="12"/>
  <c r="G1410" i="12"/>
  <c r="E1410" i="12"/>
  <c r="D1410" i="12"/>
  <c r="C1410" i="12"/>
  <c r="B1410" i="12"/>
  <c r="A1410" i="12"/>
  <c r="G1409" i="12"/>
  <c r="E1409" i="12"/>
  <c r="D1409" i="12"/>
  <c r="C1409" i="12"/>
  <c r="B1409" i="12"/>
  <c r="A1409" i="12"/>
  <c r="G1408" i="12"/>
  <c r="E1408" i="12"/>
  <c r="D1408" i="12"/>
  <c r="C1408" i="12"/>
  <c r="B1408" i="12"/>
  <c r="A1408" i="12"/>
  <c r="G1407" i="12"/>
  <c r="E1407" i="12"/>
  <c r="D1407" i="12"/>
  <c r="C1407" i="12"/>
  <c r="B1407" i="12"/>
  <c r="A1407" i="12"/>
  <c r="G1406" i="12"/>
  <c r="E1406" i="12"/>
  <c r="D1406" i="12"/>
  <c r="C1406" i="12"/>
  <c r="B1406" i="12"/>
  <c r="A1406" i="12"/>
  <c r="G1405" i="12"/>
  <c r="E1405" i="12"/>
  <c r="D1405" i="12"/>
  <c r="C1405" i="12"/>
  <c r="B1405" i="12"/>
  <c r="A1405" i="12"/>
  <c r="G1404" i="12"/>
  <c r="E1404" i="12"/>
  <c r="D1404" i="12"/>
  <c r="C1404" i="12"/>
  <c r="B1404" i="12"/>
  <c r="A1404" i="12"/>
  <c r="E1403" i="12"/>
  <c r="D1403" i="12"/>
  <c r="C1403" i="12"/>
  <c r="B1403" i="12"/>
  <c r="A1403" i="12"/>
  <c r="E1402" i="12"/>
  <c r="D1402" i="12"/>
  <c r="C1402" i="12"/>
  <c r="B1402" i="12"/>
  <c r="A1402" i="12"/>
  <c r="E1401" i="12"/>
  <c r="D1401" i="12"/>
  <c r="C1401" i="12"/>
  <c r="B1401" i="12"/>
  <c r="A1401" i="12"/>
  <c r="E1400" i="12"/>
  <c r="D1400" i="12"/>
  <c r="C1400" i="12"/>
  <c r="B1400" i="12"/>
  <c r="A1400" i="12"/>
  <c r="E1399" i="12"/>
  <c r="D1399" i="12"/>
  <c r="C1399" i="12"/>
  <c r="B1399" i="12"/>
  <c r="A1399" i="12"/>
  <c r="E1398" i="12"/>
  <c r="D1398" i="12"/>
  <c r="C1398" i="12"/>
  <c r="B1398" i="12"/>
  <c r="A1398" i="12"/>
  <c r="E1397" i="12"/>
  <c r="D1397" i="12"/>
  <c r="C1397" i="12"/>
  <c r="B1397" i="12"/>
  <c r="A1397" i="12"/>
  <c r="E1396" i="12"/>
  <c r="D1396" i="12"/>
  <c r="C1396" i="12"/>
  <c r="B1396" i="12"/>
  <c r="A1396" i="12"/>
  <c r="E1395" i="12"/>
  <c r="D1395" i="12"/>
  <c r="C1395" i="12"/>
  <c r="B1395" i="12"/>
  <c r="A1395" i="12"/>
  <c r="G1394" i="12"/>
  <c r="E1394" i="12"/>
  <c r="D1394" i="12"/>
  <c r="C1394" i="12"/>
  <c r="B1394" i="12"/>
  <c r="A1394" i="12"/>
  <c r="E1393" i="12"/>
  <c r="D1393" i="12"/>
  <c r="C1393" i="12"/>
  <c r="B1393" i="12"/>
  <c r="A1393" i="12"/>
  <c r="E1392" i="12"/>
  <c r="D1392" i="12"/>
  <c r="C1392" i="12"/>
  <c r="B1392" i="12"/>
  <c r="A1392" i="12"/>
  <c r="G1391" i="12"/>
  <c r="E1391" i="12"/>
  <c r="D1391" i="12"/>
  <c r="C1391" i="12"/>
  <c r="B1391" i="12"/>
  <c r="A1391" i="12"/>
  <c r="E1390" i="12"/>
  <c r="D1390" i="12"/>
  <c r="C1390" i="12"/>
  <c r="B1390" i="12"/>
  <c r="A1390" i="12"/>
  <c r="E1389" i="12"/>
  <c r="D1389" i="12"/>
  <c r="C1389" i="12"/>
  <c r="B1389" i="12"/>
  <c r="A1389" i="12"/>
  <c r="E1388" i="12"/>
  <c r="D1388" i="12"/>
  <c r="C1388" i="12"/>
  <c r="B1388" i="12"/>
  <c r="A1388" i="12"/>
  <c r="E1387" i="12"/>
  <c r="D1387" i="12"/>
  <c r="C1387" i="12"/>
  <c r="B1387" i="12"/>
  <c r="A1387" i="12"/>
  <c r="G1386" i="12"/>
  <c r="E1386" i="12"/>
  <c r="D1386" i="12"/>
  <c r="C1386" i="12"/>
  <c r="B1386" i="12"/>
  <c r="A1386" i="12"/>
  <c r="E1385" i="12"/>
  <c r="D1385" i="12"/>
  <c r="C1385" i="12"/>
  <c r="B1385" i="12"/>
  <c r="A1385" i="12"/>
  <c r="E1384" i="12"/>
  <c r="D1384" i="12"/>
  <c r="C1384" i="12"/>
  <c r="B1384" i="12"/>
  <c r="A1384" i="12"/>
  <c r="E1383" i="12"/>
  <c r="D1383" i="12"/>
  <c r="C1383" i="12"/>
  <c r="B1383" i="12"/>
  <c r="A1383" i="12"/>
  <c r="G1382" i="12"/>
  <c r="E1382" i="12"/>
  <c r="D1382" i="12"/>
  <c r="C1382" i="12"/>
  <c r="B1382" i="12"/>
  <c r="A1382" i="12"/>
  <c r="E1381" i="12"/>
  <c r="D1381" i="12"/>
  <c r="C1381" i="12"/>
  <c r="B1381" i="12"/>
  <c r="A1381" i="12"/>
  <c r="E1380" i="12"/>
  <c r="D1380" i="12"/>
  <c r="C1380" i="12"/>
  <c r="B1380" i="12"/>
  <c r="A1380" i="12"/>
  <c r="E1379" i="12"/>
  <c r="D1379" i="12"/>
  <c r="C1379" i="12"/>
  <c r="B1379" i="12"/>
  <c r="A1379" i="12"/>
  <c r="E1378" i="12"/>
  <c r="D1378" i="12"/>
  <c r="C1378" i="12"/>
  <c r="B1378" i="12"/>
  <c r="A1378" i="12"/>
  <c r="F1377" i="12"/>
  <c r="E1377" i="12"/>
  <c r="D1377" i="12"/>
  <c r="C1377" i="12"/>
  <c r="B1377" i="12"/>
  <c r="A1377" i="12"/>
  <c r="F1376" i="12"/>
  <c r="E1376" i="12"/>
  <c r="D1376" i="12"/>
  <c r="C1376" i="12"/>
  <c r="B1376" i="12"/>
  <c r="A1376" i="12"/>
  <c r="E1375" i="12"/>
  <c r="D1375" i="12"/>
  <c r="C1375" i="12"/>
  <c r="B1375" i="12"/>
  <c r="A1375" i="12"/>
  <c r="E1374" i="12"/>
  <c r="D1374" i="12"/>
  <c r="C1374" i="12"/>
  <c r="B1374" i="12"/>
  <c r="A1374" i="12"/>
  <c r="E1373" i="12"/>
  <c r="D1373" i="12"/>
  <c r="C1373" i="12"/>
  <c r="B1373" i="12"/>
  <c r="A1373" i="12"/>
  <c r="E1372" i="12"/>
  <c r="D1372" i="12"/>
  <c r="C1372" i="12"/>
  <c r="B1372" i="12"/>
  <c r="A1372" i="12"/>
  <c r="E1371" i="12"/>
  <c r="D1371" i="12"/>
  <c r="C1371" i="12"/>
  <c r="B1371" i="12"/>
  <c r="A1371" i="12"/>
  <c r="E1370" i="12"/>
  <c r="D1370" i="12"/>
  <c r="C1370" i="12"/>
  <c r="B1370" i="12"/>
  <c r="A1370" i="12"/>
  <c r="E1369" i="12"/>
  <c r="D1369" i="12"/>
  <c r="C1369" i="12"/>
  <c r="B1369" i="12"/>
  <c r="A1369" i="12"/>
  <c r="G1368" i="12"/>
  <c r="F1368" i="12"/>
  <c r="E1368" i="12"/>
  <c r="D1368" i="12"/>
  <c r="C1368" i="12"/>
  <c r="B1368" i="12"/>
  <c r="A1368" i="12"/>
  <c r="F1367" i="12"/>
  <c r="E1367" i="12"/>
  <c r="D1367" i="12"/>
  <c r="C1367" i="12"/>
  <c r="B1367" i="12"/>
  <c r="A1367" i="12"/>
  <c r="F1366" i="12"/>
  <c r="E1366" i="12"/>
  <c r="D1366" i="12"/>
  <c r="C1366" i="12"/>
  <c r="B1366" i="12"/>
  <c r="A1366" i="12"/>
  <c r="F1365" i="12"/>
  <c r="E1365" i="12"/>
  <c r="D1365" i="12"/>
  <c r="C1365" i="12"/>
  <c r="B1365" i="12"/>
  <c r="A1365" i="12"/>
  <c r="G1364" i="12"/>
  <c r="F1364" i="12"/>
  <c r="E1364" i="12"/>
  <c r="D1364" i="12"/>
  <c r="C1364" i="12"/>
  <c r="B1364" i="12"/>
  <c r="A1364" i="12"/>
  <c r="E1363" i="12"/>
  <c r="D1363" i="12"/>
  <c r="C1363" i="12"/>
  <c r="B1363" i="12"/>
  <c r="A1363" i="12"/>
  <c r="G1362" i="12"/>
  <c r="F1362" i="12"/>
  <c r="E1362" i="12"/>
  <c r="D1362" i="12"/>
  <c r="C1362" i="12"/>
  <c r="B1362" i="12"/>
  <c r="A1362" i="12"/>
  <c r="G1361" i="12"/>
  <c r="E1361" i="12"/>
  <c r="D1361" i="12"/>
  <c r="C1361" i="12"/>
  <c r="B1361" i="12"/>
  <c r="A1361" i="12"/>
  <c r="E1360" i="12"/>
  <c r="D1360" i="12"/>
  <c r="C1360" i="12"/>
  <c r="B1360" i="12"/>
  <c r="A1360" i="12"/>
  <c r="F1359" i="12"/>
  <c r="E1359" i="12"/>
  <c r="D1359" i="12"/>
  <c r="C1359" i="12"/>
  <c r="B1359" i="12"/>
  <c r="A1359" i="12"/>
  <c r="G1358" i="12"/>
  <c r="E1358" i="12"/>
  <c r="D1358" i="12"/>
  <c r="C1358" i="12"/>
  <c r="B1358" i="12"/>
  <c r="A1358" i="12"/>
  <c r="E1357" i="12"/>
  <c r="D1357" i="12"/>
  <c r="C1357" i="12"/>
  <c r="B1357" i="12"/>
  <c r="A1357" i="12"/>
  <c r="F1356" i="12"/>
  <c r="E1356" i="12"/>
  <c r="D1356" i="12"/>
  <c r="C1356" i="12"/>
  <c r="B1356" i="12"/>
  <c r="A1356" i="12"/>
  <c r="G1355" i="12"/>
  <c r="E1355" i="12"/>
  <c r="D1355" i="12"/>
  <c r="C1355" i="12"/>
  <c r="B1355" i="12"/>
  <c r="A1355" i="12"/>
  <c r="F1354" i="12"/>
  <c r="E1354" i="12"/>
  <c r="D1354" i="12"/>
  <c r="C1354" i="12"/>
  <c r="B1354" i="12"/>
  <c r="A1354" i="12"/>
  <c r="E1353" i="12"/>
  <c r="D1353" i="12"/>
  <c r="C1353" i="12"/>
  <c r="B1353" i="12"/>
  <c r="A1353" i="12"/>
  <c r="E1352" i="12"/>
  <c r="D1352" i="12"/>
  <c r="C1352" i="12"/>
  <c r="B1352" i="12"/>
  <c r="A1352" i="12"/>
  <c r="E1351" i="12"/>
  <c r="D1351" i="12"/>
  <c r="C1351" i="12"/>
  <c r="B1351" i="12"/>
  <c r="A1351" i="12"/>
  <c r="E1350" i="12"/>
  <c r="D1350" i="12"/>
  <c r="C1350" i="12"/>
  <c r="B1350" i="12"/>
  <c r="A1350" i="12"/>
  <c r="E1349" i="12"/>
  <c r="D1349" i="12"/>
  <c r="C1349" i="12"/>
  <c r="B1349" i="12"/>
  <c r="A1349" i="12"/>
  <c r="F1348" i="12"/>
  <c r="E1348" i="12"/>
  <c r="D1348" i="12"/>
  <c r="C1348" i="12"/>
  <c r="B1348" i="12"/>
  <c r="A1348" i="12"/>
  <c r="E1347" i="12"/>
  <c r="D1347" i="12"/>
  <c r="C1347" i="12"/>
  <c r="B1347" i="12"/>
  <c r="A1347" i="12"/>
  <c r="F1346" i="12"/>
  <c r="E1346" i="12"/>
  <c r="D1346" i="12"/>
  <c r="C1346" i="12"/>
  <c r="B1346" i="12"/>
  <c r="A1346" i="12"/>
  <c r="E1345" i="12"/>
  <c r="D1345" i="12"/>
  <c r="C1345" i="12"/>
  <c r="B1345" i="12"/>
  <c r="A1345" i="12"/>
  <c r="E1344" i="12"/>
  <c r="D1344" i="12"/>
  <c r="C1344" i="12"/>
  <c r="B1344" i="12"/>
  <c r="A1344" i="12"/>
  <c r="F1343" i="12"/>
  <c r="E1343" i="12"/>
  <c r="D1343" i="12"/>
  <c r="C1343" i="12"/>
  <c r="B1343" i="12"/>
  <c r="A1343" i="12"/>
  <c r="F1342" i="12"/>
  <c r="E1342" i="12"/>
  <c r="D1342" i="12"/>
  <c r="C1342" i="12"/>
  <c r="B1342" i="12"/>
  <c r="A1342" i="12"/>
  <c r="F1341" i="12"/>
  <c r="E1341" i="12"/>
  <c r="D1341" i="12"/>
  <c r="C1341" i="12"/>
  <c r="B1341" i="12"/>
  <c r="A1341" i="12"/>
  <c r="E1340" i="12"/>
  <c r="D1340" i="12"/>
  <c r="C1340" i="12"/>
  <c r="B1340" i="12"/>
  <c r="A1340" i="12"/>
  <c r="E1339" i="12"/>
  <c r="D1339" i="12"/>
  <c r="C1339" i="12"/>
  <c r="B1339" i="12"/>
  <c r="A1339" i="12"/>
  <c r="F1338" i="12"/>
  <c r="E1338" i="12"/>
  <c r="D1338" i="12"/>
  <c r="C1338" i="12"/>
  <c r="B1338" i="12"/>
  <c r="A1338" i="12"/>
  <c r="F1337" i="12"/>
  <c r="E1337" i="12"/>
  <c r="D1337" i="12"/>
  <c r="C1337" i="12"/>
  <c r="B1337" i="12"/>
  <c r="A1337" i="12"/>
  <c r="G1336" i="12"/>
  <c r="E1336" i="12"/>
  <c r="D1336" i="12"/>
  <c r="C1336" i="12"/>
  <c r="B1336" i="12"/>
  <c r="A1336" i="12"/>
  <c r="E1335" i="12"/>
  <c r="D1335" i="12"/>
  <c r="C1335" i="12"/>
  <c r="B1335" i="12"/>
  <c r="A1335" i="12"/>
  <c r="E1334" i="12"/>
  <c r="D1334" i="12"/>
  <c r="C1334" i="12"/>
  <c r="B1334" i="12"/>
  <c r="A1334" i="12"/>
  <c r="E1333" i="12"/>
  <c r="D1333" i="12"/>
  <c r="C1333" i="12"/>
  <c r="B1333" i="12"/>
  <c r="A1333" i="12"/>
  <c r="F1332" i="12"/>
  <c r="E1332" i="12"/>
  <c r="D1332" i="12"/>
  <c r="C1332" i="12"/>
  <c r="B1332" i="12"/>
  <c r="A1332" i="12"/>
  <c r="E1331" i="12"/>
  <c r="D1331" i="12"/>
  <c r="C1331" i="12"/>
  <c r="B1331" i="12"/>
  <c r="A1331" i="12"/>
  <c r="E1330" i="12"/>
  <c r="D1330" i="12"/>
  <c r="C1330" i="12"/>
  <c r="B1330" i="12"/>
  <c r="A1330" i="12"/>
  <c r="F1329" i="12"/>
  <c r="E1329" i="12"/>
  <c r="D1329" i="12"/>
  <c r="C1329" i="12"/>
  <c r="B1329" i="12"/>
  <c r="A1329" i="12"/>
  <c r="E1328" i="12"/>
  <c r="D1328" i="12"/>
  <c r="C1328" i="12"/>
  <c r="B1328" i="12"/>
  <c r="A1328" i="12"/>
  <c r="E1327" i="12"/>
  <c r="D1327" i="12"/>
  <c r="C1327" i="12"/>
  <c r="B1327" i="12"/>
  <c r="A1327" i="12"/>
  <c r="F1326" i="12"/>
  <c r="E1326" i="12"/>
  <c r="D1326" i="12"/>
  <c r="C1326" i="12"/>
  <c r="B1326" i="12"/>
  <c r="A1326" i="12"/>
  <c r="E1325" i="12"/>
  <c r="D1325" i="12"/>
  <c r="C1325" i="12"/>
  <c r="B1325" i="12"/>
  <c r="A1325" i="12"/>
  <c r="F1324" i="12"/>
  <c r="E1324" i="12"/>
  <c r="D1324" i="12"/>
  <c r="C1324" i="12"/>
  <c r="B1324" i="12"/>
  <c r="A1324" i="12"/>
  <c r="E1323" i="12"/>
  <c r="D1323" i="12"/>
  <c r="C1323" i="12"/>
  <c r="B1323" i="12"/>
  <c r="A1323" i="12"/>
  <c r="E1322" i="12"/>
  <c r="D1322" i="12"/>
  <c r="C1322" i="12"/>
  <c r="B1322" i="12"/>
  <c r="A1322" i="12"/>
  <c r="F1321" i="12"/>
  <c r="E1321" i="12"/>
  <c r="D1321" i="12"/>
  <c r="C1321" i="12"/>
  <c r="B1321" i="12"/>
  <c r="A1321" i="12"/>
  <c r="E1320" i="12"/>
  <c r="D1320" i="12"/>
  <c r="C1320" i="12"/>
  <c r="B1320" i="12"/>
  <c r="A1320" i="12"/>
  <c r="F1319" i="12"/>
  <c r="E1319" i="12"/>
  <c r="D1319" i="12"/>
  <c r="C1319" i="12"/>
  <c r="B1319" i="12"/>
  <c r="A1319" i="12"/>
  <c r="E1318" i="12"/>
  <c r="D1318" i="12"/>
  <c r="C1318" i="12"/>
  <c r="B1318" i="12"/>
  <c r="A1318" i="12"/>
  <c r="E1317" i="12"/>
  <c r="D1317" i="12"/>
  <c r="C1317" i="12"/>
  <c r="B1317" i="12"/>
  <c r="A1317" i="12"/>
  <c r="E1316" i="12"/>
  <c r="D1316" i="12"/>
  <c r="C1316" i="12"/>
  <c r="B1316" i="12"/>
  <c r="A1316" i="12"/>
  <c r="E1315" i="12"/>
  <c r="D1315" i="12"/>
  <c r="C1315" i="12"/>
  <c r="B1315" i="12"/>
  <c r="A1315" i="12"/>
  <c r="F1314" i="12"/>
  <c r="E1314" i="12"/>
  <c r="D1314" i="12"/>
  <c r="C1314" i="12"/>
  <c r="B1314" i="12"/>
  <c r="A1314" i="12"/>
  <c r="E1313" i="12"/>
  <c r="D1313" i="12"/>
  <c r="C1313" i="12"/>
  <c r="B1313" i="12"/>
  <c r="A1313" i="12"/>
  <c r="E1312" i="12"/>
  <c r="D1312" i="12"/>
  <c r="C1312" i="12"/>
  <c r="B1312" i="12"/>
  <c r="A1312" i="12"/>
  <c r="E1311" i="12"/>
  <c r="D1311" i="12"/>
  <c r="C1311" i="12"/>
  <c r="B1311" i="12"/>
  <c r="A1311" i="12"/>
  <c r="E1310" i="12"/>
  <c r="D1310" i="12"/>
  <c r="C1310" i="12"/>
  <c r="B1310" i="12"/>
  <c r="A1310" i="12"/>
  <c r="E1309" i="12"/>
  <c r="D1309" i="12"/>
  <c r="C1309" i="12"/>
  <c r="B1309" i="12"/>
  <c r="A1309" i="12"/>
  <c r="E1308" i="12"/>
  <c r="D1308" i="12"/>
  <c r="C1308" i="12"/>
  <c r="B1308" i="12"/>
  <c r="A1308" i="12"/>
  <c r="E1307" i="12"/>
  <c r="D1307" i="12"/>
  <c r="C1307" i="12"/>
  <c r="B1307" i="12"/>
  <c r="A1307" i="12"/>
  <c r="F1306" i="12"/>
  <c r="E1306" i="12"/>
  <c r="D1306" i="12"/>
  <c r="C1306" i="12"/>
  <c r="B1306" i="12"/>
  <c r="A1306" i="12"/>
  <c r="F1305" i="12"/>
  <c r="E1305" i="12"/>
  <c r="D1305" i="12"/>
  <c r="C1305" i="12"/>
  <c r="B1305" i="12"/>
  <c r="A1305" i="12"/>
  <c r="E1304" i="12"/>
  <c r="D1304" i="12"/>
  <c r="C1304" i="12"/>
  <c r="B1304" i="12"/>
  <c r="A1304" i="12"/>
  <c r="E1303" i="12"/>
  <c r="D1303" i="12"/>
  <c r="C1303" i="12"/>
  <c r="B1303" i="12"/>
  <c r="A1303" i="12"/>
  <c r="E1302" i="12"/>
  <c r="D1302" i="12"/>
  <c r="C1302" i="12"/>
  <c r="B1302" i="12"/>
  <c r="A1302" i="12"/>
  <c r="E1301" i="12"/>
  <c r="D1301" i="12"/>
  <c r="C1301" i="12"/>
  <c r="B1301" i="12"/>
  <c r="A1301" i="12"/>
  <c r="E1300" i="12"/>
  <c r="D1300" i="12"/>
  <c r="C1300" i="12"/>
  <c r="B1300" i="12"/>
  <c r="A1300" i="12"/>
  <c r="E1299" i="12"/>
  <c r="D1299" i="12"/>
  <c r="C1299" i="12"/>
  <c r="B1299" i="12"/>
  <c r="A1299" i="12"/>
  <c r="E1298" i="12"/>
  <c r="D1298" i="12"/>
  <c r="C1298" i="12"/>
  <c r="B1298" i="12"/>
  <c r="A1298" i="12"/>
  <c r="E1297" i="12"/>
  <c r="D1297" i="12"/>
  <c r="C1297" i="12"/>
  <c r="B1297" i="12"/>
  <c r="A1297" i="12"/>
  <c r="E1296" i="12"/>
  <c r="D1296" i="12"/>
  <c r="C1296" i="12"/>
  <c r="B1296" i="12"/>
  <c r="A1296" i="12"/>
  <c r="F1295" i="12"/>
  <c r="E1295" i="12"/>
  <c r="D1295" i="12"/>
  <c r="C1295" i="12"/>
  <c r="B1295" i="12"/>
  <c r="A1295" i="12"/>
  <c r="F1294" i="12"/>
  <c r="E1294" i="12"/>
  <c r="D1294" i="12"/>
  <c r="C1294" i="12"/>
  <c r="B1294" i="12"/>
  <c r="A1294" i="12"/>
  <c r="E1293" i="12"/>
  <c r="D1293" i="12"/>
  <c r="C1293" i="12"/>
  <c r="B1293" i="12"/>
  <c r="A1293" i="12"/>
  <c r="F1292" i="12"/>
  <c r="E1292" i="12"/>
  <c r="D1292" i="12"/>
  <c r="C1292" i="12"/>
  <c r="B1292" i="12"/>
  <c r="A1292" i="12"/>
  <c r="E1291" i="12"/>
  <c r="D1291" i="12"/>
  <c r="C1291" i="12"/>
  <c r="B1291" i="12"/>
  <c r="A1291" i="12"/>
  <c r="E1290" i="12"/>
  <c r="D1290" i="12"/>
  <c r="C1290" i="12"/>
  <c r="B1290" i="12"/>
  <c r="A1290" i="12"/>
  <c r="G1289" i="12"/>
  <c r="E1289" i="12"/>
  <c r="D1289" i="12"/>
  <c r="C1289" i="12"/>
  <c r="B1289" i="12"/>
  <c r="A1289" i="12"/>
  <c r="F1288" i="12"/>
  <c r="E1288" i="12"/>
  <c r="D1288" i="12"/>
  <c r="C1288" i="12"/>
  <c r="B1288" i="12"/>
  <c r="A1288" i="12"/>
  <c r="E1287" i="12"/>
  <c r="D1287" i="12"/>
  <c r="C1287" i="12"/>
  <c r="B1287" i="12"/>
  <c r="A1287" i="12"/>
  <c r="E1286" i="12"/>
  <c r="D1286" i="12"/>
  <c r="C1286" i="12"/>
  <c r="B1286" i="12"/>
  <c r="A1286" i="12"/>
  <c r="F1285" i="12"/>
  <c r="E1285" i="12"/>
  <c r="D1285" i="12"/>
  <c r="C1285" i="12"/>
  <c r="B1285" i="12"/>
  <c r="A1285" i="12"/>
  <c r="E1284" i="12"/>
  <c r="D1284" i="12"/>
  <c r="C1284" i="12"/>
  <c r="B1284" i="12"/>
  <c r="A1284" i="12"/>
  <c r="F1283" i="12"/>
  <c r="E1283" i="12"/>
  <c r="D1283" i="12"/>
  <c r="C1283" i="12"/>
  <c r="B1283" i="12"/>
  <c r="A1283" i="12"/>
  <c r="E1282" i="12"/>
  <c r="D1282" i="12"/>
  <c r="C1282" i="12"/>
  <c r="B1282" i="12"/>
  <c r="A1282" i="12"/>
  <c r="E1281" i="12"/>
  <c r="D1281" i="12"/>
  <c r="C1281" i="12"/>
  <c r="B1281" i="12"/>
  <c r="A1281" i="12"/>
  <c r="F1280" i="12"/>
  <c r="E1280" i="12"/>
  <c r="D1280" i="12"/>
  <c r="C1280" i="12"/>
  <c r="B1280" i="12"/>
  <c r="A1280" i="12"/>
  <c r="E1279" i="12"/>
  <c r="D1279" i="12"/>
  <c r="C1279" i="12"/>
  <c r="B1279" i="12"/>
  <c r="A1279" i="12"/>
  <c r="E1278" i="12"/>
  <c r="D1278" i="12"/>
  <c r="C1278" i="12"/>
  <c r="B1278" i="12"/>
  <c r="A1278" i="12"/>
  <c r="E1277" i="12"/>
  <c r="D1277" i="12"/>
  <c r="C1277" i="12"/>
  <c r="B1277" i="12"/>
  <c r="A1277" i="12"/>
  <c r="E1276" i="12"/>
  <c r="D1276" i="12"/>
  <c r="C1276" i="12"/>
  <c r="B1276" i="12"/>
  <c r="A1276" i="12"/>
  <c r="E1275" i="12"/>
  <c r="D1275" i="12"/>
  <c r="C1275" i="12"/>
  <c r="B1275" i="12"/>
  <c r="A1275" i="12"/>
  <c r="E1274" i="12"/>
  <c r="D1274" i="12"/>
  <c r="C1274" i="12"/>
  <c r="B1274" i="12"/>
  <c r="A1274" i="12"/>
  <c r="E1273" i="12"/>
  <c r="D1273" i="12"/>
  <c r="C1273" i="12"/>
  <c r="B1273" i="12"/>
  <c r="A1273" i="12"/>
  <c r="E1272" i="12"/>
  <c r="D1272" i="12"/>
  <c r="C1272" i="12"/>
  <c r="B1272" i="12"/>
  <c r="A1272" i="12"/>
  <c r="F1271" i="12"/>
  <c r="E1271" i="12"/>
  <c r="D1271" i="12"/>
  <c r="C1271" i="12"/>
  <c r="B1271" i="12"/>
  <c r="A1271" i="12"/>
  <c r="E1270" i="12"/>
  <c r="D1270" i="12"/>
  <c r="C1270" i="12"/>
  <c r="B1270" i="12"/>
  <c r="A1270" i="12"/>
  <c r="E1269" i="12"/>
  <c r="D1269" i="12"/>
  <c r="C1269" i="12"/>
  <c r="B1269" i="12"/>
  <c r="A1269" i="12"/>
  <c r="F1268" i="12"/>
  <c r="E1268" i="12"/>
  <c r="D1268" i="12"/>
  <c r="C1268" i="12"/>
  <c r="B1268" i="12"/>
  <c r="A1268" i="12"/>
  <c r="E1267" i="12"/>
  <c r="D1267" i="12"/>
  <c r="C1267" i="12"/>
  <c r="B1267" i="12"/>
  <c r="A1267" i="12"/>
  <c r="E1266" i="12"/>
  <c r="D1266" i="12"/>
  <c r="C1266" i="12"/>
  <c r="B1266" i="12"/>
  <c r="A1266" i="12"/>
  <c r="E1265" i="12"/>
  <c r="D1265" i="12"/>
  <c r="C1265" i="12"/>
  <c r="B1265" i="12"/>
  <c r="A1265" i="12"/>
  <c r="E1264" i="12"/>
  <c r="D1264" i="12"/>
  <c r="C1264" i="12"/>
  <c r="B1264" i="12"/>
  <c r="A1264" i="12"/>
  <c r="E1263" i="12"/>
  <c r="D1263" i="12"/>
  <c r="C1263" i="12"/>
  <c r="B1263" i="12"/>
  <c r="A1263" i="12"/>
  <c r="F1262" i="12"/>
  <c r="E1262" i="12"/>
  <c r="D1262" i="12"/>
  <c r="C1262" i="12"/>
  <c r="B1262" i="12"/>
  <c r="A1262" i="12"/>
  <c r="E1261" i="12"/>
  <c r="D1261" i="12"/>
  <c r="C1261" i="12"/>
  <c r="B1261" i="12"/>
  <c r="A1261" i="12"/>
  <c r="E1260" i="12"/>
  <c r="D1260" i="12"/>
  <c r="C1260" i="12"/>
  <c r="B1260" i="12"/>
  <c r="A1260" i="12"/>
  <c r="E1259" i="12"/>
  <c r="D1259" i="12"/>
  <c r="C1259" i="12"/>
  <c r="B1259" i="12"/>
  <c r="A1259" i="12"/>
  <c r="E1258" i="12"/>
  <c r="D1258" i="12"/>
  <c r="C1258" i="12"/>
  <c r="B1258" i="12"/>
  <c r="A1258" i="12"/>
  <c r="F1257" i="12"/>
  <c r="E1257" i="12"/>
  <c r="D1257" i="12"/>
  <c r="C1257" i="12"/>
  <c r="B1257" i="12"/>
  <c r="A1257" i="12"/>
  <c r="E1256" i="12"/>
  <c r="D1256" i="12"/>
  <c r="C1256" i="12"/>
  <c r="B1256" i="12"/>
  <c r="A1256" i="12"/>
  <c r="F1255" i="12"/>
  <c r="E1255" i="12"/>
  <c r="D1255" i="12"/>
  <c r="C1255" i="12"/>
  <c r="B1255" i="12"/>
  <c r="A1255" i="12"/>
  <c r="E1254" i="12"/>
  <c r="D1254" i="12"/>
  <c r="C1254" i="12"/>
  <c r="B1254" i="12"/>
  <c r="A1254" i="12"/>
  <c r="E1253" i="12"/>
  <c r="D1253" i="12"/>
  <c r="C1253" i="12"/>
  <c r="B1253" i="12"/>
  <c r="A1253" i="12"/>
  <c r="E1252" i="12"/>
  <c r="D1252" i="12"/>
  <c r="C1252" i="12"/>
  <c r="B1252" i="12"/>
  <c r="A1252" i="12"/>
  <c r="E1251" i="12"/>
  <c r="D1251" i="12"/>
  <c r="C1251" i="12"/>
  <c r="B1251" i="12"/>
  <c r="A1251" i="12"/>
  <c r="E1250" i="12"/>
  <c r="D1250" i="12"/>
  <c r="C1250" i="12"/>
  <c r="B1250" i="12"/>
  <c r="A1250" i="12"/>
  <c r="E1249" i="12"/>
  <c r="D1249" i="12"/>
  <c r="C1249" i="12"/>
  <c r="B1249" i="12"/>
  <c r="A1249" i="12"/>
  <c r="E1248" i="12"/>
  <c r="D1248" i="12"/>
  <c r="C1248" i="12"/>
  <c r="B1248" i="12"/>
  <c r="A1248" i="12"/>
  <c r="E1247" i="12"/>
  <c r="D1247" i="12"/>
  <c r="C1247" i="12"/>
  <c r="B1247" i="12"/>
  <c r="A1247" i="12"/>
  <c r="E1246" i="12"/>
  <c r="D1246" i="12"/>
  <c r="C1246" i="12"/>
  <c r="B1246" i="12"/>
  <c r="A1246" i="12"/>
  <c r="E1245" i="12"/>
  <c r="D1245" i="12"/>
  <c r="C1245" i="12"/>
  <c r="B1245" i="12"/>
  <c r="A1245" i="12"/>
  <c r="E1244" i="12"/>
  <c r="D1244" i="12"/>
  <c r="C1244" i="12"/>
  <c r="B1244" i="12"/>
  <c r="A1244" i="12"/>
  <c r="E1243" i="12"/>
  <c r="D1243" i="12"/>
  <c r="C1243" i="12"/>
  <c r="B1243" i="12"/>
  <c r="A1243" i="12"/>
  <c r="E1242" i="12"/>
  <c r="D1242" i="12"/>
  <c r="C1242" i="12"/>
  <c r="B1242" i="12"/>
  <c r="A1242" i="12"/>
  <c r="E1241" i="12"/>
  <c r="D1241" i="12"/>
  <c r="C1241" i="12"/>
  <c r="B1241" i="12"/>
  <c r="A1241" i="12"/>
  <c r="E1240" i="12"/>
  <c r="D1240" i="12"/>
  <c r="C1240" i="12"/>
  <c r="B1240" i="12"/>
  <c r="A1240" i="12"/>
  <c r="G1239" i="12"/>
  <c r="E1239" i="12"/>
  <c r="D1239" i="12"/>
  <c r="C1239" i="12"/>
  <c r="B1239" i="12"/>
  <c r="A1239" i="12"/>
  <c r="E1238" i="12"/>
  <c r="D1238" i="12"/>
  <c r="C1238" i="12"/>
  <c r="B1238" i="12"/>
  <c r="A1238" i="12"/>
  <c r="E1237" i="12"/>
  <c r="D1237" i="12"/>
  <c r="C1237" i="12"/>
  <c r="B1237" i="12"/>
  <c r="A1237" i="12"/>
  <c r="E1236" i="12"/>
  <c r="D1236" i="12"/>
  <c r="C1236" i="12"/>
  <c r="B1236" i="12"/>
  <c r="A1236" i="12"/>
  <c r="E1235" i="12"/>
  <c r="D1235" i="12"/>
  <c r="C1235" i="12"/>
  <c r="B1235" i="12"/>
  <c r="A1235" i="12"/>
  <c r="E1234" i="12"/>
  <c r="D1234" i="12"/>
  <c r="C1234" i="12"/>
  <c r="B1234" i="12"/>
  <c r="A1234" i="12"/>
  <c r="E1233" i="12"/>
  <c r="D1233" i="12"/>
  <c r="C1233" i="12"/>
  <c r="B1233" i="12"/>
  <c r="A1233" i="12"/>
  <c r="G1232" i="12"/>
  <c r="E1232" i="12"/>
  <c r="D1232" i="12"/>
  <c r="C1232" i="12"/>
  <c r="B1232" i="12"/>
  <c r="A1232" i="12"/>
  <c r="E1231" i="12"/>
  <c r="D1231" i="12"/>
  <c r="C1231" i="12"/>
  <c r="B1231" i="12"/>
  <c r="A1231" i="12"/>
  <c r="E1230" i="12"/>
  <c r="D1230" i="12"/>
  <c r="C1230" i="12"/>
  <c r="B1230" i="12"/>
  <c r="A1230" i="12"/>
  <c r="E1229" i="12"/>
  <c r="D1229" i="12"/>
  <c r="C1229" i="12"/>
  <c r="B1229" i="12"/>
  <c r="A1229" i="12"/>
  <c r="E1228" i="12"/>
  <c r="D1228" i="12"/>
  <c r="C1228" i="12"/>
  <c r="B1228" i="12"/>
  <c r="A1228" i="12"/>
  <c r="E1227" i="12"/>
  <c r="D1227" i="12"/>
  <c r="C1227" i="12"/>
  <c r="B1227" i="12"/>
  <c r="A1227" i="12"/>
  <c r="E1226" i="12"/>
  <c r="D1226" i="12"/>
  <c r="C1226" i="12"/>
  <c r="B1226" i="12"/>
  <c r="A1226" i="12"/>
  <c r="F1225" i="12"/>
  <c r="E1225" i="12"/>
  <c r="D1225" i="12"/>
  <c r="C1225" i="12"/>
  <c r="B1225" i="12"/>
  <c r="A1225" i="12"/>
  <c r="E1224" i="12"/>
  <c r="D1224" i="12"/>
  <c r="C1224" i="12"/>
  <c r="B1224" i="12"/>
  <c r="A1224" i="12"/>
  <c r="E1223" i="12"/>
  <c r="D1223" i="12"/>
  <c r="C1223" i="12"/>
  <c r="B1223" i="12"/>
  <c r="A1223" i="12"/>
  <c r="E1222" i="12"/>
  <c r="D1222" i="12"/>
  <c r="C1222" i="12"/>
  <c r="B1222" i="12"/>
  <c r="A1222" i="12"/>
  <c r="E1221" i="12"/>
  <c r="D1221" i="12"/>
  <c r="C1221" i="12"/>
  <c r="B1221" i="12"/>
  <c r="A1221" i="12"/>
  <c r="F1220" i="12"/>
  <c r="E1220" i="12"/>
  <c r="D1220" i="12"/>
  <c r="C1220" i="12"/>
  <c r="B1220" i="12"/>
  <c r="A1220" i="12"/>
  <c r="F1219" i="12"/>
  <c r="E1219" i="12"/>
  <c r="D1219" i="12"/>
  <c r="C1219" i="12"/>
  <c r="B1219" i="12"/>
  <c r="A1219" i="12"/>
  <c r="E1218" i="12"/>
  <c r="D1218" i="12"/>
  <c r="C1218" i="12"/>
  <c r="B1218" i="12"/>
  <c r="A1218" i="12"/>
  <c r="E1217" i="12"/>
  <c r="D1217" i="12"/>
  <c r="C1217" i="12"/>
  <c r="B1217" i="12"/>
  <c r="A1217" i="12"/>
  <c r="F1216" i="12"/>
  <c r="E1216" i="12"/>
  <c r="D1216" i="12"/>
  <c r="C1216" i="12"/>
  <c r="B1216" i="12"/>
  <c r="A1216" i="12"/>
  <c r="E1215" i="12"/>
  <c r="D1215" i="12"/>
  <c r="C1215" i="12"/>
  <c r="B1215" i="12"/>
  <c r="A1215" i="12"/>
  <c r="E1214" i="12"/>
  <c r="D1214" i="12"/>
  <c r="C1214" i="12"/>
  <c r="B1214" i="12"/>
  <c r="A1214" i="12"/>
  <c r="E1213" i="12"/>
  <c r="D1213" i="12"/>
  <c r="C1213" i="12"/>
  <c r="B1213" i="12"/>
  <c r="A1213" i="12"/>
  <c r="F1212" i="12"/>
  <c r="E1212" i="12"/>
  <c r="D1212" i="12"/>
  <c r="C1212" i="12"/>
  <c r="B1212" i="12"/>
  <c r="A1212" i="12"/>
  <c r="F1211" i="12"/>
  <c r="E1211" i="12"/>
  <c r="D1211" i="12"/>
  <c r="C1211" i="12"/>
  <c r="B1211" i="12"/>
  <c r="A1211" i="12"/>
  <c r="F1210" i="12"/>
  <c r="E1210" i="12"/>
  <c r="D1210" i="12"/>
  <c r="C1210" i="12"/>
  <c r="B1210" i="12"/>
  <c r="A1210" i="12"/>
  <c r="F1209" i="12"/>
  <c r="E1209" i="12"/>
  <c r="D1209" i="12"/>
  <c r="C1209" i="12"/>
  <c r="B1209" i="12"/>
  <c r="A1209" i="12"/>
  <c r="F1208" i="12"/>
  <c r="E1208" i="12"/>
  <c r="D1208" i="12"/>
  <c r="C1208" i="12"/>
  <c r="B1208" i="12"/>
  <c r="A1208" i="12"/>
  <c r="G1207" i="12"/>
  <c r="F1207" i="12"/>
  <c r="E1207" i="12"/>
  <c r="D1207" i="12"/>
  <c r="C1207" i="12"/>
  <c r="B1207" i="12"/>
  <c r="A1207" i="12"/>
  <c r="F1206" i="12"/>
  <c r="E1206" i="12"/>
  <c r="D1206" i="12"/>
  <c r="C1206" i="12"/>
  <c r="B1206" i="12"/>
  <c r="A1206" i="12"/>
  <c r="E1205" i="12"/>
  <c r="D1205" i="12"/>
  <c r="C1205" i="12"/>
  <c r="B1205" i="12"/>
  <c r="A1205" i="12"/>
  <c r="G1204" i="12"/>
  <c r="F1204" i="12"/>
  <c r="E1204" i="12"/>
  <c r="D1204" i="12"/>
  <c r="C1204" i="12"/>
  <c r="B1204" i="12"/>
  <c r="A1204" i="12"/>
  <c r="E1203" i="12"/>
  <c r="D1203" i="12"/>
  <c r="C1203" i="12"/>
  <c r="B1203" i="12"/>
  <c r="A1203" i="12"/>
  <c r="G1202" i="12"/>
  <c r="E1202" i="12"/>
  <c r="D1202" i="12"/>
  <c r="C1202" i="12"/>
  <c r="B1202" i="12"/>
  <c r="A1202" i="12"/>
  <c r="F1201" i="12"/>
  <c r="E1201" i="12"/>
  <c r="D1201" i="12"/>
  <c r="C1201" i="12"/>
  <c r="B1201" i="12"/>
  <c r="A1201" i="12"/>
  <c r="E1200" i="12"/>
  <c r="D1200" i="12"/>
  <c r="C1200" i="12"/>
  <c r="B1200" i="12"/>
  <c r="A1200" i="12"/>
  <c r="E1199" i="12"/>
  <c r="D1199" i="12"/>
  <c r="C1199" i="12"/>
  <c r="B1199" i="12"/>
  <c r="A1199" i="12"/>
  <c r="E1198" i="12"/>
  <c r="D1198" i="12"/>
  <c r="C1198" i="12"/>
  <c r="B1198" i="12"/>
  <c r="A1198" i="12"/>
  <c r="E1197" i="12"/>
  <c r="D1197" i="12"/>
  <c r="C1197" i="12"/>
  <c r="B1197" i="12"/>
  <c r="A1197" i="12"/>
  <c r="E1196" i="12"/>
  <c r="D1196" i="12"/>
  <c r="C1196" i="12"/>
  <c r="B1196" i="12"/>
  <c r="A1196" i="12"/>
  <c r="F1195" i="12"/>
  <c r="E1195" i="12"/>
  <c r="D1195" i="12"/>
  <c r="C1195" i="12"/>
  <c r="B1195" i="12"/>
  <c r="A1195" i="12"/>
  <c r="E1194" i="12"/>
  <c r="D1194" i="12"/>
  <c r="C1194" i="12"/>
  <c r="B1194" i="12"/>
  <c r="A1194" i="12"/>
  <c r="F1193" i="12"/>
  <c r="E1193" i="12"/>
  <c r="D1193" i="12"/>
  <c r="C1193" i="12"/>
  <c r="B1193" i="12"/>
  <c r="A1193" i="12"/>
  <c r="F1192" i="12"/>
  <c r="E1192" i="12"/>
  <c r="D1192" i="12"/>
  <c r="C1192" i="12"/>
  <c r="B1192" i="12"/>
  <c r="A1192" i="12"/>
  <c r="E1191" i="12"/>
  <c r="D1191" i="12"/>
  <c r="C1191" i="12"/>
  <c r="B1191" i="12"/>
  <c r="A1191" i="12"/>
  <c r="E1190" i="12"/>
  <c r="D1190" i="12"/>
  <c r="C1190" i="12"/>
  <c r="B1190" i="12"/>
  <c r="A1190" i="12"/>
  <c r="E1189" i="12"/>
  <c r="D1189" i="12"/>
  <c r="C1189" i="12"/>
  <c r="B1189" i="12"/>
  <c r="A1189" i="12"/>
  <c r="E1188" i="12"/>
  <c r="D1188" i="12"/>
  <c r="C1188" i="12"/>
  <c r="B1188" i="12"/>
  <c r="A1188" i="12"/>
  <c r="E1187" i="12"/>
  <c r="D1187" i="12"/>
  <c r="C1187" i="12"/>
  <c r="B1187" i="12"/>
  <c r="A1187" i="12"/>
  <c r="F1186" i="12"/>
  <c r="E1186" i="12"/>
  <c r="D1186" i="12"/>
  <c r="C1186" i="12"/>
  <c r="B1186" i="12"/>
  <c r="A1186" i="12"/>
  <c r="E1185" i="12"/>
  <c r="D1185" i="12"/>
  <c r="C1185" i="12"/>
  <c r="B1185" i="12"/>
  <c r="A1185" i="12"/>
  <c r="F1184" i="12"/>
  <c r="E1184" i="12"/>
  <c r="D1184" i="12"/>
  <c r="C1184" i="12"/>
  <c r="B1184" i="12"/>
  <c r="A1184" i="12"/>
  <c r="E1183" i="12"/>
  <c r="D1183" i="12"/>
  <c r="C1183" i="12"/>
  <c r="B1183" i="12"/>
  <c r="A1183" i="12"/>
  <c r="E1182" i="12"/>
  <c r="D1182" i="12"/>
  <c r="C1182" i="12"/>
  <c r="B1182" i="12"/>
  <c r="A1182" i="12"/>
  <c r="E1181" i="12"/>
  <c r="D1181" i="12"/>
  <c r="C1181" i="12"/>
  <c r="B1181" i="12"/>
  <c r="A1181" i="12"/>
  <c r="F1180" i="12"/>
  <c r="E1180" i="12"/>
  <c r="D1180" i="12"/>
  <c r="C1180" i="12"/>
  <c r="B1180" i="12"/>
  <c r="A1180" i="12"/>
  <c r="E1179" i="12"/>
  <c r="D1179" i="12"/>
  <c r="C1179" i="12"/>
  <c r="B1179" i="12"/>
  <c r="A1179" i="12"/>
  <c r="E1178" i="12"/>
  <c r="D1178" i="12"/>
  <c r="C1178" i="12"/>
  <c r="B1178" i="12"/>
  <c r="A1178" i="12"/>
  <c r="E1177" i="12"/>
  <c r="D1177" i="12"/>
  <c r="C1177" i="12"/>
  <c r="B1177" i="12"/>
  <c r="A1177" i="12"/>
  <c r="F1176" i="12"/>
  <c r="E1176" i="12"/>
  <c r="D1176" i="12"/>
  <c r="C1176" i="12"/>
  <c r="B1176" i="12"/>
  <c r="A1176" i="12"/>
  <c r="F1175" i="12"/>
  <c r="E1175" i="12"/>
  <c r="D1175" i="12"/>
  <c r="C1175" i="12"/>
  <c r="B1175" i="12"/>
  <c r="A1175" i="12"/>
  <c r="E1174" i="12"/>
  <c r="D1174" i="12"/>
  <c r="C1174" i="12"/>
  <c r="B1174" i="12"/>
  <c r="A1174" i="12"/>
  <c r="F1173" i="12"/>
  <c r="E1173" i="12"/>
  <c r="D1173" i="12"/>
  <c r="C1173" i="12"/>
  <c r="B1173" i="12"/>
  <c r="A1173" i="12"/>
  <c r="E1172" i="12"/>
  <c r="D1172" i="12"/>
  <c r="C1172" i="12"/>
  <c r="B1172" i="12"/>
  <c r="A1172" i="12"/>
  <c r="E1171" i="12"/>
  <c r="D1171" i="12"/>
  <c r="C1171" i="12"/>
  <c r="B1171" i="12"/>
  <c r="A1171" i="12"/>
  <c r="E1170" i="12"/>
  <c r="D1170" i="12"/>
  <c r="C1170" i="12"/>
  <c r="B1170" i="12"/>
  <c r="A1170" i="12"/>
  <c r="E1169" i="12"/>
  <c r="D1169" i="12"/>
  <c r="C1169" i="12"/>
  <c r="B1169" i="12"/>
  <c r="A1169" i="12"/>
  <c r="E1168" i="12"/>
  <c r="D1168" i="12"/>
  <c r="C1168" i="12"/>
  <c r="B1168" i="12"/>
  <c r="A1168" i="12"/>
  <c r="E1167" i="12"/>
  <c r="D1167" i="12"/>
  <c r="C1167" i="12"/>
  <c r="B1167" i="12"/>
  <c r="A1167" i="12"/>
  <c r="E1166" i="12"/>
  <c r="D1166" i="12"/>
  <c r="C1166" i="12"/>
  <c r="B1166" i="12"/>
  <c r="A1166" i="12"/>
  <c r="E1165" i="12"/>
  <c r="D1165" i="12"/>
  <c r="C1165" i="12"/>
  <c r="B1165" i="12"/>
  <c r="A1165" i="12"/>
  <c r="E1164" i="12"/>
  <c r="D1164" i="12"/>
  <c r="C1164" i="12"/>
  <c r="B1164" i="12"/>
  <c r="A1164" i="12"/>
  <c r="E1163" i="12"/>
  <c r="D1163" i="12"/>
  <c r="C1163" i="12"/>
  <c r="B1163" i="12"/>
  <c r="A1163" i="12"/>
  <c r="G1162" i="12"/>
  <c r="E1162" i="12"/>
  <c r="D1162" i="12"/>
  <c r="C1162" i="12"/>
  <c r="B1162" i="12"/>
  <c r="A1162" i="12"/>
  <c r="E1161" i="12"/>
  <c r="D1161" i="12"/>
  <c r="C1161" i="12"/>
  <c r="B1161" i="12"/>
  <c r="A1161" i="12"/>
  <c r="E1160" i="12"/>
  <c r="D1160" i="12"/>
  <c r="C1160" i="12"/>
  <c r="B1160" i="12"/>
  <c r="A1160" i="12"/>
  <c r="E1159" i="12"/>
  <c r="D1159" i="12"/>
  <c r="C1159" i="12"/>
  <c r="B1159" i="12"/>
  <c r="A1159" i="12"/>
  <c r="E1158" i="12"/>
  <c r="D1158" i="12"/>
  <c r="C1158" i="12"/>
  <c r="B1158" i="12"/>
  <c r="A1158" i="12"/>
  <c r="E1157" i="12"/>
  <c r="D1157" i="12"/>
  <c r="C1157" i="12"/>
  <c r="B1157" i="12"/>
  <c r="A1157" i="12"/>
  <c r="E1156" i="12"/>
  <c r="D1156" i="12"/>
  <c r="C1156" i="12"/>
  <c r="B1156" i="12"/>
  <c r="A1156" i="12"/>
  <c r="G1155" i="12"/>
  <c r="E1155" i="12"/>
  <c r="D1155" i="12"/>
  <c r="C1155" i="12"/>
  <c r="B1155" i="12"/>
  <c r="A1155" i="12"/>
  <c r="E1154" i="12"/>
  <c r="D1154" i="12"/>
  <c r="C1154" i="12"/>
  <c r="B1154" i="12"/>
  <c r="A1154" i="12"/>
  <c r="E1153" i="12"/>
  <c r="D1153" i="12"/>
  <c r="C1153" i="12"/>
  <c r="B1153" i="12"/>
  <c r="A1153" i="12"/>
  <c r="G1152" i="12"/>
  <c r="E1152" i="12"/>
  <c r="D1152" i="12"/>
  <c r="C1152" i="12"/>
  <c r="B1152" i="12"/>
  <c r="A1152" i="12"/>
  <c r="G1151" i="12"/>
  <c r="E1151" i="12"/>
  <c r="D1151" i="12"/>
  <c r="C1151" i="12"/>
  <c r="B1151" i="12"/>
  <c r="A1151" i="12"/>
  <c r="E1150" i="12"/>
  <c r="D1150" i="12"/>
  <c r="C1150" i="12"/>
  <c r="B1150" i="12"/>
  <c r="A1150" i="12"/>
  <c r="E1149" i="12"/>
  <c r="D1149" i="12"/>
  <c r="C1149" i="12"/>
  <c r="B1149" i="12"/>
  <c r="A1149" i="12"/>
  <c r="E1148" i="12"/>
  <c r="D1148" i="12"/>
  <c r="C1148" i="12"/>
  <c r="B1148" i="12"/>
  <c r="A1148" i="12"/>
  <c r="E1147" i="12"/>
  <c r="D1147" i="12"/>
  <c r="C1147" i="12"/>
  <c r="B1147" i="12"/>
  <c r="A1147" i="12"/>
  <c r="E1146" i="12"/>
  <c r="D1146" i="12"/>
  <c r="C1146" i="12"/>
  <c r="B1146" i="12"/>
  <c r="A1146" i="12"/>
  <c r="E1145" i="12"/>
  <c r="D1145" i="12"/>
  <c r="C1145" i="12"/>
  <c r="B1145" i="12"/>
  <c r="A1145" i="12"/>
  <c r="E1144" i="12"/>
  <c r="D1144" i="12"/>
  <c r="C1144" i="12"/>
  <c r="B1144" i="12"/>
  <c r="A1144" i="12"/>
  <c r="E1143" i="12"/>
  <c r="D1143" i="12"/>
  <c r="C1143" i="12"/>
  <c r="B1143" i="12"/>
  <c r="A1143" i="12"/>
  <c r="E1142" i="12"/>
  <c r="D1142" i="12"/>
  <c r="C1142" i="12"/>
  <c r="B1142" i="12"/>
  <c r="A1142" i="12"/>
  <c r="E1141" i="12"/>
  <c r="D1141" i="12"/>
  <c r="C1141" i="12"/>
  <c r="B1141" i="12"/>
  <c r="A1141" i="12"/>
  <c r="E1140" i="12"/>
  <c r="D1140" i="12"/>
  <c r="C1140" i="12"/>
  <c r="B1140" i="12"/>
  <c r="A1140" i="12"/>
  <c r="G1139" i="12"/>
  <c r="E1139" i="12"/>
  <c r="D1139" i="12"/>
  <c r="C1139" i="12"/>
  <c r="B1139" i="12"/>
  <c r="A1139" i="12"/>
  <c r="E1138" i="12"/>
  <c r="D1138" i="12"/>
  <c r="C1138" i="12"/>
  <c r="B1138" i="12"/>
  <c r="A1138" i="12"/>
  <c r="E1137" i="12"/>
  <c r="D1137" i="12"/>
  <c r="C1137" i="12"/>
  <c r="B1137" i="12"/>
  <c r="A1137" i="12"/>
  <c r="E1136" i="12"/>
  <c r="D1136" i="12"/>
  <c r="C1136" i="12"/>
  <c r="B1136" i="12"/>
  <c r="A1136" i="12"/>
  <c r="E1135" i="12"/>
  <c r="D1135" i="12"/>
  <c r="C1135" i="12"/>
  <c r="B1135" i="12"/>
  <c r="A1135" i="12"/>
  <c r="G1134" i="12"/>
  <c r="E1134" i="12"/>
  <c r="D1134" i="12"/>
  <c r="C1134" i="12"/>
  <c r="B1134" i="12"/>
  <c r="A1134" i="12"/>
  <c r="E1133" i="12"/>
  <c r="D1133" i="12"/>
  <c r="C1133" i="12"/>
  <c r="B1133" i="12"/>
  <c r="A1133" i="12"/>
  <c r="E1132" i="12"/>
  <c r="D1132" i="12"/>
  <c r="C1132" i="12"/>
  <c r="B1132" i="12"/>
  <c r="A1132" i="12"/>
  <c r="E1131" i="12"/>
  <c r="D1131" i="12"/>
  <c r="C1131" i="12"/>
  <c r="B1131" i="12"/>
  <c r="A1131" i="12"/>
  <c r="E1130" i="12"/>
  <c r="D1130" i="12"/>
  <c r="C1130" i="12"/>
  <c r="B1130" i="12"/>
  <c r="A1130" i="12"/>
  <c r="E1129" i="12"/>
  <c r="D1129" i="12"/>
  <c r="C1129" i="12"/>
  <c r="B1129" i="12"/>
  <c r="A1129" i="12"/>
  <c r="E1128" i="12"/>
  <c r="D1128" i="12"/>
  <c r="C1128" i="12"/>
  <c r="B1128" i="12"/>
  <c r="A1128" i="12"/>
  <c r="E1127" i="12"/>
  <c r="D1127" i="12"/>
  <c r="C1127" i="12"/>
  <c r="B1127" i="12"/>
  <c r="A1127" i="12"/>
  <c r="E1126" i="12"/>
  <c r="D1126" i="12"/>
  <c r="C1126" i="12"/>
  <c r="B1126" i="12"/>
  <c r="A1126" i="12"/>
  <c r="E1125" i="12"/>
  <c r="D1125" i="12"/>
  <c r="C1125" i="12"/>
  <c r="B1125" i="12"/>
  <c r="A1125" i="12"/>
  <c r="E1124" i="12"/>
  <c r="D1124" i="12"/>
  <c r="C1124" i="12"/>
  <c r="B1124" i="12"/>
  <c r="A1124" i="12"/>
  <c r="E1123" i="12"/>
  <c r="D1123" i="12"/>
  <c r="C1123" i="12"/>
  <c r="B1123" i="12"/>
  <c r="A1123" i="12"/>
  <c r="E1122" i="12"/>
  <c r="D1122" i="12"/>
  <c r="C1122" i="12"/>
  <c r="B1122" i="12"/>
  <c r="A1122" i="12"/>
  <c r="G1121" i="12"/>
  <c r="E1121" i="12"/>
  <c r="D1121" i="12"/>
  <c r="C1121" i="12"/>
  <c r="B1121" i="12"/>
  <c r="A1121" i="12"/>
  <c r="E1120" i="12"/>
  <c r="D1120" i="12"/>
  <c r="C1120" i="12"/>
  <c r="B1120" i="12"/>
  <c r="A1120" i="12"/>
  <c r="E1119" i="12"/>
  <c r="D1119" i="12"/>
  <c r="C1119" i="12"/>
  <c r="B1119" i="12"/>
  <c r="A1119" i="12"/>
  <c r="E1118" i="12"/>
  <c r="D1118" i="12"/>
  <c r="C1118" i="12"/>
  <c r="B1118" i="12"/>
  <c r="A1118" i="12"/>
  <c r="E1117" i="12"/>
  <c r="D1117" i="12"/>
  <c r="C1117" i="12"/>
  <c r="B1117" i="12"/>
  <c r="A1117" i="12"/>
  <c r="G1116" i="12"/>
  <c r="E1116" i="12"/>
  <c r="D1116" i="12"/>
  <c r="C1116" i="12"/>
  <c r="B1116" i="12"/>
  <c r="A1116" i="12"/>
  <c r="E1115" i="12"/>
  <c r="D1115" i="12"/>
  <c r="C1115" i="12"/>
  <c r="B1115" i="12"/>
  <c r="A1115" i="12"/>
  <c r="E1114" i="12"/>
  <c r="D1114" i="12"/>
  <c r="C1114" i="12"/>
  <c r="B1114" i="12"/>
  <c r="A1114" i="12"/>
  <c r="F1113" i="12"/>
  <c r="E1113" i="12"/>
  <c r="D1113" i="12"/>
  <c r="C1113" i="12"/>
  <c r="B1113" i="12"/>
  <c r="A1113" i="12"/>
  <c r="E1112" i="12"/>
  <c r="D1112" i="12"/>
  <c r="C1112" i="12"/>
  <c r="B1112" i="12"/>
  <c r="A1112" i="12"/>
  <c r="E1111" i="12"/>
  <c r="D1111" i="12"/>
  <c r="C1111" i="12"/>
  <c r="B1111" i="12"/>
  <c r="A1111" i="12"/>
  <c r="E1110" i="12"/>
  <c r="D1110" i="12"/>
  <c r="C1110" i="12"/>
  <c r="B1110" i="12"/>
  <c r="A1110" i="12"/>
  <c r="E1109" i="12"/>
  <c r="D1109" i="12"/>
  <c r="C1109" i="12"/>
  <c r="B1109" i="12"/>
  <c r="A1109" i="12"/>
  <c r="G1108" i="12"/>
  <c r="F1108" i="12"/>
  <c r="E1108" i="12"/>
  <c r="D1108" i="12"/>
  <c r="C1108" i="12"/>
  <c r="B1108" i="12"/>
  <c r="A1108" i="12"/>
  <c r="G1107" i="12"/>
  <c r="F1107" i="12"/>
  <c r="E1107" i="12"/>
  <c r="D1107" i="12"/>
  <c r="C1107" i="12"/>
  <c r="B1107" i="12"/>
  <c r="A1107" i="12"/>
  <c r="E1106" i="12"/>
  <c r="D1106" i="12"/>
  <c r="C1106" i="12"/>
  <c r="B1106" i="12"/>
  <c r="A1106" i="12"/>
  <c r="G1105" i="12"/>
  <c r="F1105" i="12"/>
  <c r="E1105" i="12"/>
  <c r="D1105" i="12"/>
  <c r="C1105" i="12"/>
  <c r="B1105" i="12"/>
  <c r="A1105" i="12"/>
  <c r="G1104" i="12"/>
  <c r="F1104" i="12"/>
  <c r="E1104" i="12"/>
  <c r="D1104" i="12"/>
  <c r="C1104" i="12"/>
  <c r="B1104" i="12"/>
  <c r="A1104" i="12"/>
  <c r="G1103" i="12"/>
  <c r="F1103" i="12"/>
  <c r="E1103" i="12"/>
  <c r="D1103" i="12"/>
  <c r="C1103" i="12"/>
  <c r="B1103" i="12"/>
  <c r="A1103" i="12"/>
  <c r="G1102" i="12"/>
  <c r="F1102" i="12"/>
  <c r="E1102" i="12"/>
  <c r="D1102" i="12"/>
  <c r="C1102" i="12"/>
  <c r="B1102" i="12"/>
  <c r="A1102" i="12"/>
  <c r="G1101" i="12"/>
  <c r="E1101" i="12"/>
  <c r="D1101" i="12"/>
  <c r="C1101" i="12"/>
  <c r="B1101" i="12"/>
  <c r="A1101" i="12"/>
  <c r="F1100" i="12"/>
  <c r="E1100" i="12"/>
  <c r="D1100" i="12"/>
  <c r="C1100" i="12"/>
  <c r="B1100" i="12"/>
  <c r="A1100" i="12"/>
  <c r="G1099" i="12"/>
  <c r="F1099" i="12"/>
  <c r="E1099" i="12"/>
  <c r="D1099" i="12"/>
  <c r="C1099" i="12"/>
  <c r="B1099" i="12"/>
  <c r="A1099" i="12"/>
  <c r="G1098" i="12"/>
  <c r="E1098" i="12"/>
  <c r="D1098" i="12"/>
  <c r="C1098" i="12"/>
  <c r="B1098" i="12"/>
  <c r="A1098" i="12"/>
  <c r="G1097" i="12"/>
  <c r="F1097" i="12"/>
  <c r="E1097" i="12"/>
  <c r="D1097" i="12"/>
  <c r="C1097" i="12"/>
  <c r="B1097" i="12"/>
  <c r="A1097" i="12"/>
  <c r="E1096" i="12"/>
  <c r="D1096" i="12"/>
  <c r="C1096" i="12"/>
  <c r="B1096" i="12"/>
  <c r="A1096" i="12"/>
  <c r="E1095" i="12"/>
  <c r="D1095" i="12"/>
  <c r="C1095" i="12"/>
  <c r="B1095" i="12"/>
  <c r="A1095" i="12"/>
  <c r="G1094" i="12"/>
  <c r="F1094" i="12"/>
  <c r="E1094" i="12"/>
  <c r="D1094" i="12"/>
  <c r="C1094" i="12"/>
  <c r="B1094" i="12"/>
  <c r="A1094" i="12"/>
  <c r="E1093" i="12"/>
  <c r="D1093" i="12"/>
  <c r="C1093" i="12"/>
  <c r="B1093" i="12"/>
  <c r="A1093" i="12"/>
  <c r="G1092" i="12"/>
  <c r="F1092" i="12"/>
  <c r="E1092" i="12"/>
  <c r="D1092" i="12"/>
  <c r="C1092" i="12"/>
  <c r="B1092" i="12"/>
  <c r="A1092" i="12"/>
  <c r="E1091" i="12"/>
  <c r="D1091" i="12"/>
  <c r="C1091" i="12"/>
  <c r="B1091" i="12"/>
  <c r="A1091" i="12"/>
  <c r="E1090" i="12"/>
  <c r="D1090" i="12"/>
  <c r="C1090" i="12"/>
  <c r="B1090" i="12"/>
  <c r="A1090" i="12"/>
  <c r="G1089" i="12"/>
  <c r="F1089" i="12"/>
  <c r="E1089" i="12"/>
  <c r="D1089" i="12"/>
  <c r="C1089" i="12"/>
  <c r="B1089" i="12"/>
  <c r="A1089" i="12"/>
  <c r="E1088" i="12"/>
  <c r="D1088" i="12"/>
  <c r="C1088" i="12"/>
  <c r="B1088" i="12"/>
  <c r="A1088" i="12"/>
  <c r="E1087" i="12"/>
  <c r="D1087" i="12"/>
  <c r="C1087" i="12"/>
  <c r="B1087" i="12"/>
  <c r="A1087" i="12"/>
  <c r="G1086" i="12"/>
  <c r="F1086" i="12"/>
  <c r="E1086" i="12"/>
  <c r="D1086" i="12"/>
  <c r="C1086" i="12"/>
  <c r="B1086" i="12"/>
  <c r="A1086" i="12"/>
  <c r="G1085" i="12"/>
  <c r="F1085" i="12"/>
  <c r="E1085" i="12"/>
  <c r="D1085" i="12"/>
  <c r="C1085" i="12"/>
  <c r="B1085" i="12"/>
  <c r="A1085" i="12"/>
  <c r="F1084" i="12"/>
  <c r="E1084" i="12"/>
  <c r="D1084" i="12"/>
  <c r="C1084" i="12"/>
  <c r="B1084" i="12"/>
  <c r="A1084" i="12"/>
  <c r="G1083" i="12"/>
  <c r="F1083" i="12"/>
  <c r="E1083" i="12"/>
  <c r="D1083" i="12"/>
  <c r="C1083" i="12"/>
  <c r="B1083" i="12"/>
  <c r="A1083" i="12"/>
  <c r="E1082" i="12"/>
  <c r="D1082" i="12"/>
  <c r="C1082" i="12"/>
  <c r="B1082" i="12"/>
  <c r="A1082" i="12"/>
  <c r="F1081" i="12"/>
  <c r="E1081" i="12"/>
  <c r="D1081" i="12"/>
  <c r="C1081" i="12"/>
  <c r="B1081" i="12"/>
  <c r="A1081" i="12"/>
  <c r="G1080" i="12"/>
  <c r="F1080" i="12"/>
  <c r="E1080" i="12"/>
  <c r="D1080" i="12"/>
  <c r="C1080" i="12"/>
  <c r="B1080" i="12"/>
  <c r="A1080" i="12"/>
  <c r="E1079" i="12"/>
  <c r="D1079" i="12"/>
  <c r="C1079" i="12"/>
  <c r="B1079" i="12"/>
  <c r="A1079" i="12"/>
  <c r="G1078" i="12"/>
  <c r="E1078" i="12"/>
  <c r="D1078" i="12"/>
  <c r="C1078" i="12"/>
  <c r="B1078" i="12"/>
  <c r="A1078" i="12"/>
  <c r="F1077" i="12"/>
  <c r="E1077" i="12"/>
  <c r="D1077" i="12"/>
  <c r="C1077" i="12"/>
  <c r="B1077" i="12"/>
  <c r="A1077" i="12"/>
  <c r="G1076" i="12"/>
  <c r="F1076" i="12"/>
  <c r="E1076" i="12"/>
  <c r="D1076" i="12"/>
  <c r="C1076" i="12"/>
  <c r="B1076" i="12"/>
  <c r="A1076" i="12"/>
  <c r="E1075" i="12"/>
  <c r="D1075" i="12"/>
  <c r="C1075" i="12"/>
  <c r="B1075" i="12"/>
  <c r="A1075" i="12"/>
  <c r="F1074" i="12"/>
  <c r="E1074" i="12"/>
  <c r="D1074" i="12"/>
  <c r="C1074" i="12"/>
  <c r="B1074" i="12"/>
  <c r="A1074" i="12"/>
  <c r="F1073" i="12"/>
  <c r="E1073" i="12"/>
  <c r="D1073" i="12"/>
  <c r="C1073" i="12"/>
  <c r="B1073" i="12"/>
  <c r="A1073" i="12"/>
  <c r="G1072" i="12"/>
  <c r="F1072" i="12"/>
  <c r="E1072" i="12"/>
  <c r="D1072" i="12"/>
  <c r="C1072" i="12"/>
  <c r="B1072" i="12"/>
  <c r="A1072" i="12"/>
  <c r="E1071" i="12"/>
  <c r="D1071" i="12"/>
  <c r="C1071" i="12"/>
  <c r="B1071" i="12"/>
  <c r="A1071" i="12"/>
  <c r="E1070" i="12"/>
  <c r="D1070" i="12"/>
  <c r="C1070" i="12"/>
  <c r="B1070" i="12"/>
  <c r="A1070" i="12"/>
  <c r="E1069" i="12"/>
  <c r="D1069" i="12"/>
  <c r="C1069" i="12"/>
  <c r="B1069" i="12"/>
  <c r="A1069" i="12"/>
  <c r="E1068" i="12"/>
  <c r="D1068" i="12"/>
  <c r="C1068" i="12"/>
  <c r="B1068" i="12"/>
  <c r="A1068" i="12"/>
  <c r="G1067" i="12"/>
  <c r="E1067" i="12"/>
  <c r="D1067" i="12"/>
  <c r="C1067" i="12"/>
  <c r="B1067" i="12"/>
  <c r="A1067" i="12"/>
  <c r="G1066" i="12"/>
  <c r="E1066" i="12"/>
  <c r="D1066" i="12"/>
  <c r="C1066" i="12"/>
  <c r="B1066" i="12"/>
  <c r="A1066" i="12"/>
  <c r="G1065" i="12"/>
  <c r="F1065" i="12"/>
  <c r="E1065" i="12"/>
  <c r="D1065" i="12"/>
  <c r="C1065" i="12"/>
  <c r="B1065" i="12"/>
  <c r="A1065" i="12"/>
  <c r="E1064" i="12"/>
  <c r="D1064" i="12"/>
  <c r="C1064" i="12"/>
  <c r="B1064" i="12"/>
  <c r="A1064" i="12"/>
  <c r="G1063" i="12"/>
  <c r="E1063" i="12"/>
  <c r="D1063" i="12"/>
  <c r="C1063" i="12"/>
  <c r="B1063" i="12"/>
  <c r="A1063" i="12"/>
  <c r="F1062" i="12"/>
  <c r="E1062" i="12"/>
  <c r="D1062" i="12"/>
  <c r="C1062" i="12"/>
  <c r="B1062" i="12"/>
  <c r="A1062" i="12"/>
  <c r="F1061" i="12"/>
  <c r="E1061" i="12"/>
  <c r="D1061" i="12"/>
  <c r="C1061" i="12"/>
  <c r="B1061" i="12"/>
  <c r="A1061" i="12"/>
  <c r="E1060" i="12"/>
  <c r="D1060" i="12"/>
  <c r="C1060" i="12"/>
  <c r="B1060" i="12"/>
  <c r="A1060" i="12"/>
  <c r="G1059" i="12"/>
  <c r="E1059" i="12"/>
  <c r="D1059" i="12"/>
  <c r="C1059" i="12"/>
  <c r="B1059" i="12"/>
  <c r="A1059" i="12"/>
  <c r="E1058" i="12"/>
  <c r="D1058" i="12"/>
  <c r="C1058" i="12"/>
  <c r="B1058" i="12"/>
  <c r="A1058" i="12"/>
  <c r="F1057" i="12"/>
  <c r="E1057" i="12"/>
  <c r="D1057" i="12"/>
  <c r="C1057" i="12"/>
  <c r="B1057" i="12"/>
  <c r="A1057" i="12"/>
  <c r="E1056" i="12"/>
  <c r="D1056" i="12"/>
  <c r="C1056" i="12"/>
  <c r="B1056" i="12"/>
  <c r="A1056" i="12"/>
  <c r="E1055" i="12"/>
  <c r="D1055" i="12"/>
  <c r="C1055" i="12"/>
  <c r="B1055" i="12"/>
  <c r="A1055" i="12"/>
  <c r="E1054" i="12"/>
  <c r="D1054" i="12"/>
  <c r="C1054" i="12"/>
  <c r="B1054" i="12"/>
  <c r="A1054" i="12"/>
  <c r="E1053" i="12"/>
  <c r="D1053" i="12"/>
  <c r="C1053" i="12"/>
  <c r="B1053" i="12"/>
  <c r="A1053" i="12"/>
  <c r="E1052" i="12"/>
  <c r="D1052" i="12"/>
  <c r="C1052" i="12"/>
  <c r="B1052" i="12"/>
  <c r="A1052" i="12"/>
  <c r="E1051" i="12"/>
  <c r="D1051" i="12"/>
  <c r="C1051" i="12"/>
  <c r="B1051" i="12"/>
  <c r="A1051" i="12"/>
  <c r="E1050" i="12"/>
  <c r="D1050" i="12"/>
  <c r="C1050" i="12"/>
  <c r="B1050" i="12"/>
  <c r="A1050" i="12"/>
  <c r="E1049" i="12"/>
  <c r="D1049" i="12"/>
  <c r="C1049" i="12"/>
  <c r="B1049" i="12"/>
  <c r="A1049" i="12"/>
  <c r="E1048" i="12"/>
  <c r="D1048" i="12"/>
  <c r="C1048" i="12"/>
  <c r="B1048" i="12"/>
  <c r="A1048" i="12"/>
  <c r="E1047" i="12"/>
  <c r="D1047" i="12"/>
  <c r="C1047" i="12"/>
  <c r="B1047" i="12"/>
  <c r="A1047" i="12"/>
  <c r="E1046" i="12"/>
  <c r="D1046" i="12"/>
  <c r="C1046" i="12"/>
  <c r="B1046" i="12"/>
  <c r="A1046" i="12"/>
  <c r="E1045" i="12"/>
  <c r="D1045" i="12"/>
  <c r="C1045" i="12"/>
  <c r="B1045" i="12"/>
  <c r="A1045" i="12"/>
  <c r="E1044" i="12"/>
  <c r="D1044" i="12"/>
  <c r="C1044" i="12"/>
  <c r="B1044" i="12"/>
  <c r="A1044" i="12"/>
  <c r="E1043" i="12"/>
  <c r="D1043" i="12"/>
  <c r="C1043" i="12"/>
  <c r="B1043" i="12"/>
  <c r="A1043" i="12"/>
  <c r="G1042" i="12"/>
  <c r="E1042" i="12"/>
  <c r="D1042" i="12"/>
  <c r="C1042" i="12"/>
  <c r="B1042" i="12"/>
  <c r="A1042" i="12"/>
  <c r="E1041" i="12"/>
  <c r="D1041" i="12"/>
  <c r="C1041" i="12"/>
  <c r="B1041" i="12"/>
  <c r="A1041" i="12"/>
  <c r="E1040" i="12"/>
  <c r="D1040" i="12"/>
  <c r="C1040" i="12"/>
  <c r="B1040" i="12"/>
  <c r="A1040" i="12"/>
  <c r="E1039" i="12"/>
  <c r="D1039" i="12"/>
  <c r="C1039" i="12"/>
  <c r="B1039" i="12"/>
  <c r="A1039" i="12"/>
  <c r="G1038" i="12"/>
  <c r="E1038" i="12"/>
  <c r="D1038" i="12"/>
  <c r="C1038" i="12"/>
  <c r="B1038" i="12"/>
  <c r="A1038" i="12"/>
  <c r="E1037" i="12"/>
  <c r="D1037" i="12"/>
  <c r="C1037" i="12"/>
  <c r="B1037" i="12"/>
  <c r="A1037" i="12"/>
  <c r="E1036" i="12"/>
  <c r="D1036" i="12"/>
  <c r="C1036" i="12"/>
  <c r="B1036" i="12"/>
  <c r="A1036" i="12"/>
  <c r="E1035" i="12"/>
  <c r="D1035" i="12"/>
  <c r="C1035" i="12"/>
  <c r="B1035" i="12"/>
  <c r="A1035" i="12"/>
  <c r="G1034" i="12"/>
  <c r="E1034" i="12"/>
  <c r="D1034" i="12"/>
  <c r="C1034" i="12"/>
  <c r="B1034" i="12"/>
  <c r="A1034" i="12"/>
  <c r="E1033" i="12"/>
  <c r="D1033" i="12"/>
  <c r="C1033" i="12"/>
  <c r="B1033" i="12"/>
  <c r="A1033" i="12"/>
  <c r="G1032" i="12"/>
  <c r="E1032" i="12"/>
  <c r="D1032" i="12"/>
  <c r="C1032" i="12"/>
  <c r="B1032" i="12"/>
  <c r="A1032" i="12"/>
  <c r="E1031" i="12"/>
  <c r="D1031" i="12"/>
  <c r="C1031" i="12"/>
  <c r="B1031" i="12"/>
  <c r="A1031" i="12"/>
  <c r="G1030" i="12"/>
  <c r="E1030" i="12"/>
  <c r="D1030" i="12"/>
  <c r="C1030" i="12"/>
  <c r="B1030" i="12"/>
  <c r="A1030" i="12"/>
  <c r="E1029" i="12"/>
  <c r="D1029" i="12"/>
  <c r="C1029" i="12"/>
  <c r="B1029" i="12"/>
  <c r="A1029" i="12"/>
  <c r="G1028" i="12"/>
  <c r="E1028" i="12"/>
  <c r="D1028" i="12"/>
  <c r="C1028" i="12"/>
  <c r="B1028" i="12"/>
  <c r="A1028" i="12"/>
  <c r="G1027" i="12"/>
  <c r="E1027" i="12"/>
  <c r="D1027" i="12"/>
  <c r="C1027" i="12"/>
  <c r="B1027" i="12"/>
  <c r="A1027" i="12"/>
  <c r="G1026" i="12"/>
  <c r="F1026" i="12"/>
  <c r="E1026" i="12"/>
  <c r="D1026" i="12"/>
  <c r="C1026" i="12"/>
  <c r="B1026" i="12"/>
  <c r="A1026" i="12"/>
  <c r="E1025" i="12"/>
  <c r="D1025" i="12"/>
  <c r="C1025" i="12"/>
  <c r="B1025" i="12"/>
  <c r="A1025" i="12"/>
  <c r="E1024" i="12"/>
  <c r="D1024" i="12"/>
  <c r="C1024" i="12"/>
  <c r="B1024" i="12"/>
  <c r="A1024" i="12"/>
  <c r="E1023" i="12"/>
  <c r="D1023" i="12"/>
  <c r="C1023" i="12"/>
  <c r="B1023" i="12"/>
  <c r="A1023" i="12"/>
  <c r="F1022" i="12"/>
  <c r="E1022" i="12"/>
  <c r="D1022" i="12"/>
  <c r="C1022" i="12"/>
  <c r="B1022" i="12"/>
  <c r="A1022" i="12"/>
  <c r="E1021" i="12"/>
  <c r="D1021" i="12"/>
  <c r="C1021" i="12"/>
  <c r="B1021" i="12"/>
  <c r="A1021" i="12"/>
  <c r="G1020" i="12"/>
  <c r="E1020" i="12"/>
  <c r="D1020" i="12"/>
  <c r="C1020" i="12"/>
  <c r="B1020" i="12"/>
  <c r="A1020" i="12"/>
  <c r="E1019" i="12"/>
  <c r="D1019" i="12"/>
  <c r="C1019" i="12"/>
  <c r="B1019" i="12"/>
  <c r="A1019" i="12"/>
  <c r="E1018" i="12"/>
  <c r="D1018" i="12"/>
  <c r="C1018" i="12"/>
  <c r="B1018" i="12"/>
  <c r="A1018" i="12"/>
  <c r="E1017" i="12"/>
  <c r="D1017" i="12"/>
  <c r="C1017" i="12"/>
  <c r="B1017" i="12"/>
  <c r="A1017" i="12"/>
  <c r="E1016" i="12"/>
  <c r="D1016" i="12"/>
  <c r="C1016" i="12"/>
  <c r="B1016" i="12"/>
  <c r="A1016" i="12"/>
  <c r="E1015" i="12"/>
  <c r="D1015" i="12"/>
  <c r="C1015" i="12"/>
  <c r="B1015" i="12"/>
  <c r="A1015" i="12"/>
  <c r="E1014" i="12"/>
  <c r="D1014" i="12"/>
  <c r="C1014" i="12"/>
  <c r="B1014" i="12"/>
  <c r="A1014" i="12"/>
  <c r="E1013" i="12"/>
  <c r="D1013" i="12"/>
  <c r="C1013" i="12"/>
  <c r="B1013" i="12"/>
  <c r="A1013" i="12"/>
  <c r="E1012" i="12"/>
  <c r="D1012" i="12"/>
  <c r="C1012" i="12"/>
  <c r="B1012" i="12"/>
  <c r="A1012" i="12"/>
  <c r="E1011" i="12"/>
  <c r="D1011" i="12"/>
  <c r="C1011" i="12"/>
  <c r="B1011" i="12"/>
  <c r="A1011" i="12"/>
  <c r="E1010" i="12"/>
  <c r="D1010" i="12"/>
  <c r="C1010" i="12"/>
  <c r="B1010" i="12"/>
  <c r="A1010" i="12"/>
  <c r="E1009" i="12"/>
  <c r="D1009" i="12"/>
  <c r="C1009" i="12"/>
  <c r="B1009" i="12"/>
  <c r="A1009" i="12"/>
  <c r="G1008" i="12"/>
  <c r="E1008" i="12"/>
  <c r="D1008" i="12"/>
  <c r="C1008" i="12"/>
  <c r="B1008" i="12"/>
  <c r="A1008" i="12"/>
  <c r="E1007" i="12"/>
  <c r="D1007" i="12"/>
  <c r="C1007" i="12"/>
  <c r="B1007" i="12"/>
  <c r="A1007" i="12"/>
  <c r="E1006" i="12"/>
  <c r="D1006" i="12"/>
  <c r="C1006" i="12"/>
  <c r="B1006" i="12"/>
  <c r="A1006" i="12"/>
  <c r="E1005" i="12"/>
  <c r="D1005" i="12"/>
  <c r="C1005" i="12"/>
  <c r="B1005" i="12"/>
  <c r="A1005" i="12"/>
  <c r="E1004" i="12"/>
  <c r="D1004" i="12"/>
  <c r="C1004" i="12"/>
  <c r="B1004" i="12"/>
  <c r="A1004" i="12"/>
  <c r="E1003" i="12"/>
  <c r="D1003" i="12"/>
  <c r="C1003" i="12"/>
  <c r="B1003" i="12"/>
  <c r="A1003" i="12"/>
  <c r="E1002" i="12"/>
  <c r="D1002" i="12"/>
  <c r="C1002" i="12"/>
  <c r="B1002" i="12"/>
  <c r="A1002" i="12"/>
  <c r="G1001" i="12"/>
  <c r="E1001" i="12"/>
  <c r="D1001" i="12"/>
  <c r="C1001" i="12"/>
  <c r="B1001" i="12"/>
  <c r="A1001" i="12"/>
  <c r="E1000" i="12"/>
  <c r="D1000" i="12"/>
  <c r="C1000" i="12"/>
  <c r="B1000" i="12"/>
  <c r="A1000" i="12"/>
  <c r="G999" i="12"/>
  <c r="E999" i="12"/>
  <c r="D999" i="12"/>
  <c r="C999" i="12"/>
  <c r="B999" i="12"/>
  <c r="A999" i="12"/>
  <c r="E998" i="12"/>
  <c r="D998" i="12"/>
  <c r="C998" i="12"/>
  <c r="B998" i="12"/>
  <c r="A998" i="12"/>
  <c r="E997" i="12"/>
  <c r="D997" i="12"/>
  <c r="C997" i="12"/>
  <c r="B997" i="12"/>
  <c r="A997" i="12"/>
  <c r="E996" i="12"/>
  <c r="D996" i="12"/>
  <c r="C996" i="12"/>
  <c r="B996" i="12"/>
  <c r="A996" i="12"/>
  <c r="E995" i="12"/>
  <c r="D995" i="12"/>
  <c r="C995" i="12"/>
  <c r="B995" i="12"/>
  <c r="A995" i="12"/>
  <c r="E994" i="12"/>
  <c r="D994" i="12"/>
  <c r="C994" i="12"/>
  <c r="B994" i="12"/>
  <c r="A994" i="12"/>
  <c r="F993" i="12"/>
  <c r="E993" i="12"/>
  <c r="D993" i="12"/>
  <c r="C993" i="12"/>
  <c r="B993" i="12"/>
  <c r="A993" i="12"/>
  <c r="F992" i="12"/>
  <c r="E992" i="12"/>
  <c r="D992" i="12"/>
  <c r="C992" i="12"/>
  <c r="B992" i="12"/>
  <c r="A992" i="12"/>
  <c r="F991" i="12"/>
  <c r="E991" i="12"/>
  <c r="D991" i="12"/>
  <c r="C991" i="12"/>
  <c r="B991" i="12"/>
  <c r="A991" i="12"/>
  <c r="G990" i="12"/>
  <c r="E990" i="12"/>
  <c r="D990" i="12"/>
  <c r="C990" i="12"/>
  <c r="B990" i="12"/>
  <c r="A990" i="12"/>
  <c r="E989" i="12"/>
  <c r="D989" i="12"/>
  <c r="C989" i="12"/>
  <c r="B989" i="12"/>
  <c r="A989" i="12"/>
  <c r="G988" i="12"/>
  <c r="F988" i="12"/>
  <c r="E988" i="12"/>
  <c r="D988" i="12"/>
  <c r="C988" i="12"/>
  <c r="B988" i="12"/>
  <c r="A988" i="12"/>
  <c r="G987" i="12"/>
  <c r="F987" i="12"/>
  <c r="E987" i="12"/>
  <c r="D987" i="12"/>
  <c r="C987" i="12"/>
  <c r="B987" i="12"/>
  <c r="A987" i="12"/>
  <c r="G986" i="12"/>
  <c r="E986" i="12"/>
  <c r="D986" i="12"/>
  <c r="C986" i="12"/>
  <c r="B986" i="12"/>
  <c r="A986" i="12"/>
  <c r="E985" i="12"/>
  <c r="D985" i="12"/>
  <c r="C985" i="12"/>
  <c r="B985" i="12"/>
  <c r="A985" i="12"/>
  <c r="G984" i="12"/>
  <c r="F984" i="12"/>
  <c r="E984" i="12"/>
  <c r="D984" i="12"/>
  <c r="C984" i="12"/>
  <c r="B984" i="12"/>
  <c r="A984" i="12"/>
  <c r="G983" i="12"/>
  <c r="E983" i="12"/>
  <c r="D983" i="12"/>
  <c r="C983" i="12"/>
  <c r="B983" i="12"/>
  <c r="A983" i="12"/>
  <c r="G982" i="12"/>
  <c r="F982" i="12"/>
  <c r="E982" i="12"/>
  <c r="D982" i="12"/>
  <c r="C982" i="12"/>
  <c r="B982" i="12"/>
  <c r="A982" i="12"/>
  <c r="F981" i="12"/>
  <c r="E981" i="12"/>
  <c r="D981" i="12"/>
  <c r="C981" i="12"/>
  <c r="B981" i="12"/>
  <c r="A981" i="12"/>
  <c r="G980" i="12"/>
  <c r="F980" i="12"/>
  <c r="E980" i="12"/>
  <c r="D980" i="12"/>
  <c r="C980" i="12"/>
  <c r="B980" i="12"/>
  <c r="A980" i="12"/>
  <c r="E979" i="12"/>
  <c r="D979" i="12"/>
  <c r="C979" i="12"/>
  <c r="B979" i="12"/>
  <c r="A979" i="12"/>
  <c r="G978" i="12"/>
  <c r="E978" i="12"/>
  <c r="D978" i="12"/>
  <c r="C978" i="12"/>
  <c r="B978" i="12"/>
  <c r="A978" i="12"/>
  <c r="G977" i="12"/>
  <c r="E977" i="12"/>
  <c r="D977" i="12"/>
  <c r="C977" i="12"/>
  <c r="B977" i="12"/>
  <c r="A977" i="12"/>
  <c r="F976" i="12"/>
  <c r="E976" i="12"/>
  <c r="D976" i="12"/>
  <c r="C976" i="12"/>
  <c r="B976" i="12"/>
  <c r="A976" i="12"/>
  <c r="G975" i="12"/>
  <c r="F975" i="12"/>
  <c r="E975" i="12"/>
  <c r="D975" i="12"/>
  <c r="C975" i="12"/>
  <c r="B975" i="12"/>
  <c r="A975" i="12"/>
  <c r="G974" i="12"/>
  <c r="F974" i="12"/>
  <c r="E974" i="12"/>
  <c r="D974" i="12"/>
  <c r="C974" i="12"/>
  <c r="B974" i="12"/>
  <c r="A974" i="12"/>
  <c r="F973" i="12"/>
  <c r="E973" i="12"/>
  <c r="D973" i="12"/>
  <c r="C973" i="12"/>
  <c r="B973" i="12"/>
  <c r="A973" i="12"/>
  <c r="F972" i="12"/>
  <c r="E972" i="12"/>
  <c r="D972" i="12"/>
  <c r="C972" i="12"/>
  <c r="B972" i="12"/>
  <c r="A972" i="12"/>
  <c r="F971" i="12"/>
  <c r="E971" i="12"/>
  <c r="D971" i="12"/>
  <c r="C971" i="12"/>
  <c r="B971" i="12"/>
  <c r="A971" i="12"/>
  <c r="F970" i="12"/>
  <c r="E970" i="12"/>
  <c r="D970" i="12"/>
  <c r="C970" i="12"/>
  <c r="B970" i="12"/>
  <c r="A970" i="12"/>
  <c r="F969" i="12"/>
  <c r="E969" i="12"/>
  <c r="D969" i="12"/>
  <c r="C969" i="12"/>
  <c r="B969" i="12"/>
  <c r="A969" i="12"/>
  <c r="G968" i="12"/>
  <c r="F968" i="12"/>
  <c r="E968" i="12"/>
  <c r="D968" i="12"/>
  <c r="C968" i="12"/>
  <c r="B968" i="12"/>
  <c r="A968" i="12"/>
  <c r="E967" i="12"/>
  <c r="D967" i="12"/>
  <c r="C967" i="12"/>
  <c r="B967" i="12"/>
  <c r="A967" i="12"/>
  <c r="E966" i="12"/>
  <c r="D966" i="12"/>
  <c r="C966" i="12"/>
  <c r="B966" i="12"/>
  <c r="A966" i="12"/>
  <c r="E965" i="12"/>
  <c r="D965" i="12"/>
  <c r="C965" i="12"/>
  <c r="B965" i="12"/>
  <c r="A965" i="12"/>
  <c r="E964" i="12"/>
  <c r="D964" i="12"/>
  <c r="C964" i="12"/>
  <c r="B964" i="12"/>
  <c r="A964" i="12"/>
  <c r="E963" i="12"/>
  <c r="D963" i="12"/>
  <c r="C963" i="12"/>
  <c r="B963" i="12"/>
  <c r="A963" i="12"/>
  <c r="E962" i="12"/>
  <c r="D962" i="12"/>
  <c r="C962" i="12"/>
  <c r="B962" i="12"/>
  <c r="A962" i="12"/>
  <c r="E961" i="12"/>
  <c r="D961" i="12"/>
  <c r="C961" i="12"/>
  <c r="B961" i="12"/>
  <c r="A961" i="12"/>
  <c r="E960" i="12"/>
  <c r="D960" i="12"/>
  <c r="C960" i="12"/>
  <c r="B960" i="12"/>
  <c r="A960" i="12"/>
  <c r="E959" i="12"/>
  <c r="D959" i="12"/>
  <c r="C959" i="12"/>
  <c r="B959" i="12"/>
  <c r="A959" i="12"/>
  <c r="E958" i="12"/>
  <c r="D958" i="12"/>
  <c r="C958" i="12"/>
  <c r="B958" i="12"/>
  <c r="A958" i="12"/>
  <c r="E957" i="12"/>
  <c r="D957" i="12"/>
  <c r="C957" i="12"/>
  <c r="B957" i="12"/>
  <c r="A957" i="12"/>
  <c r="E956" i="12"/>
  <c r="D956" i="12"/>
  <c r="C956" i="12"/>
  <c r="B956" i="12"/>
  <c r="A956" i="12"/>
  <c r="E955" i="12"/>
  <c r="D955" i="12"/>
  <c r="C955" i="12"/>
  <c r="B955" i="12"/>
  <c r="A955" i="12"/>
  <c r="E954" i="12"/>
  <c r="D954" i="12"/>
  <c r="C954" i="12"/>
  <c r="B954" i="12"/>
  <c r="A954" i="12"/>
  <c r="E953" i="12"/>
  <c r="D953" i="12"/>
  <c r="C953" i="12"/>
  <c r="B953" i="12"/>
  <c r="A953" i="12"/>
  <c r="E952" i="12"/>
  <c r="D952" i="12"/>
  <c r="C952" i="12"/>
  <c r="B952" i="12"/>
  <c r="A952" i="12"/>
  <c r="E951" i="12"/>
  <c r="D951" i="12"/>
  <c r="C951" i="12"/>
  <c r="B951" i="12"/>
  <c r="A951" i="12"/>
  <c r="E950" i="12"/>
  <c r="D950" i="12"/>
  <c r="C950" i="12"/>
  <c r="B950" i="12"/>
  <c r="A950" i="12"/>
  <c r="E949" i="12"/>
  <c r="D949" i="12"/>
  <c r="C949" i="12"/>
  <c r="B949" i="12"/>
  <c r="A949" i="12"/>
  <c r="E948" i="12"/>
  <c r="D948" i="12"/>
  <c r="C948" i="12"/>
  <c r="B948" i="12"/>
  <c r="A948" i="12"/>
  <c r="E947" i="12"/>
  <c r="D947" i="12"/>
  <c r="C947" i="12"/>
  <c r="B947" i="12"/>
  <c r="A947" i="12"/>
  <c r="E946" i="12"/>
  <c r="D946" i="12"/>
  <c r="C946" i="12"/>
  <c r="B946" i="12"/>
  <c r="A946" i="12"/>
  <c r="E945" i="12"/>
  <c r="D945" i="12"/>
  <c r="C945" i="12"/>
  <c r="B945" i="12"/>
  <c r="A945" i="12"/>
  <c r="E944" i="12"/>
  <c r="D944" i="12"/>
  <c r="C944" i="12"/>
  <c r="B944" i="12"/>
  <c r="A944" i="12"/>
  <c r="E943" i="12"/>
  <c r="D943" i="12"/>
  <c r="C943" i="12"/>
  <c r="B943" i="12"/>
  <c r="A943" i="12"/>
  <c r="E942" i="12"/>
  <c r="D942" i="12"/>
  <c r="C942" i="12"/>
  <c r="B942" i="12"/>
  <c r="A942" i="12"/>
  <c r="E941" i="12"/>
  <c r="D941" i="12"/>
  <c r="C941" i="12"/>
  <c r="B941" i="12"/>
  <c r="A941" i="12"/>
  <c r="E940" i="12"/>
  <c r="D940" i="12"/>
  <c r="C940" i="12"/>
  <c r="B940" i="12"/>
  <c r="A940" i="12"/>
  <c r="E939" i="12"/>
  <c r="D939" i="12"/>
  <c r="C939" i="12"/>
  <c r="B939" i="12"/>
  <c r="A939" i="12"/>
  <c r="E938" i="12"/>
  <c r="D938" i="12"/>
  <c r="C938" i="12"/>
  <c r="B938" i="12"/>
  <c r="A938" i="12"/>
  <c r="G937" i="12"/>
  <c r="E937" i="12"/>
  <c r="D937" i="12"/>
  <c r="C937" i="12"/>
  <c r="B937" i="12"/>
  <c r="A937" i="12"/>
  <c r="E936" i="12"/>
  <c r="D936" i="12"/>
  <c r="C936" i="12"/>
  <c r="B936" i="12"/>
  <c r="A936" i="12"/>
  <c r="E935" i="12"/>
  <c r="D935" i="12"/>
  <c r="C935" i="12"/>
  <c r="B935" i="12"/>
  <c r="A935" i="12"/>
  <c r="E934" i="12"/>
  <c r="D934" i="12"/>
  <c r="C934" i="12"/>
  <c r="B934" i="12"/>
  <c r="A934" i="12"/>
  <c r="E933" i="12"/>
  <c r="D933" i="12"/>
  <c r="C933" i="12"/>
  <c r="B933" i="12"/>
  <c r="A933" i="12"/>
  <c r="G932" i="12"/>
  <c r="F932" i="12"/>
  <c r="E932" i="12"/>
  <c r="D932" i="12"/>
  <c r="C932" i="12"/>
  <c r="B932" i="12"/>
  <c r="A932" i="12"/>
  <c r="E931" i="12"/>
  <c r="D931" i="12"/>
  <c r="C931" i="12"/>
  <c r="B931" i="12"/>
  <c r="A931" i="12"/>
  <c r="E930" i="12"/>
  <c r="D930" i="12"/>
  <c r="C930" i="12"/>
  <c r="B930" i="12"/>
  <c r="A930" i="12"/>
  <c r="E929" i="12"/>
  <c r="D929" i="12"/>
  <c r="C929" i="12"/>
  <c r="B929" i="12"/>
  <c r="A929" i="12"/>
  <c r="E928" i="12"/>
  <c r="D928" i="12"/>
  <c r="C928" i="12"/>
  <c r="B928" i="12"/>
  <c r="A928" i="12"/>
  <c r="E927" i="12"/>
  <c r="D927" i="12"/>
  <c r="C927" i="12"/>
  <c r="B927" i="12"/>
  <c r="A927" i="12"/>
  <c r="E926" i="12"/>
  <c r="D926" i="12"/>
  <c r="C926" i="12"/>
  <c r="B926" i="12"/>
  <c r="A926" i="12"/>
  <c r="G925" i="12"/>
  <c r="F925" i="12"/>
  <c r="E925" i="12"/>
  <c r="D925" i="12"/>
  <c r="C925" i="12"/>
  <c r="B925" i="12"/>
  <c r="A925" i="12"/>
  <c r="E924" i="12"/>
  <c r="D924" i="12"/>
  <c r="C924" i="12"/>
  <c r="B924" i="12"/>
  <c r="A924" i="12"/>
  <c r="E923" i="12"/>
  <c r="D923" i="12"/>
  <c r="C923" i="12"/>
  <c r="B923" i="12"/>
  <c r="A923" i="12"/>
  <c r="G922" i="12"/>
  <c r="F922" i="12"/>
  <c r="E922" i="12"/>
  <c r="D922" i="12"/>
  <c r="C922" i="12"/>
  <c r="B922" i="12"/>
  <c r="A922" i="12"/>
  <c r="F921" i="12"/>
  <c r="E921" i="12"/>
  <c r="D921" i="12"/>
  <c r="C921" i="12"/>
  <c r="B921" i="12"/>
  <c r="A921" i="12"/>
  <c r="G920" i="12"/>
  <c r="F920" i="12"/>
  <c r="E920" i="12"/>
  <c r="D920" i="12"/>
  <c r="C920" i="12"/>
  <c r="B920" i="12"/>
  <c r="A920" i="12"/>
  <c r="G919" i="12"/>
  <c r="F919" i="12"/>
  <c r="E919" i="12"/>
  <c r="D919" i="12"/>
  <c r="C919" i="12"/>
  <c r="B919" i="12"/>
  <c r="A919" i="12"/>
  <c r="G918" i="12"/>
  <c r="E918" i="12"/>
  <c r="D918" i="12"/>
  <c r="C918" i="12"/>
  <c r="B918" i="12"/>
  <c r="A918" i="12"/>
  <c r="G917" i="12"/>
  <c r="E917" i="12"/>
  <c r="D917" i="12"/>
  <c r="C917" i="12"/>
  <c r="B917" i="12"/>
  <c r="A917" i="12"/>
  <c r="E916" i="12"/>
  <c r="D916" i="12"/>
  <c r="C916" i="12"/>
  <c r="B916" i="12"/>
  <c r="A916" i="12"/>
  <c r="E915" i="12"/>
  <c r="D915" i="12"/>
  <c r="C915" i="12"/>
  <c r="B915" i="12"/>
  <c r="A915" i="12"/>
  <c r="E914" i="12"/>
  <c r="D914" i="12"/>
  <c r="C914" i="12"/>
  <c r="B914" i="12"/>
  <c r="A914" i="12"/>
  <c r="E913" i="12"/>
  <c r="D913" i="12"/>
  <c r="C913" i="12"/>
  <c r="B913" i="12"/>
  <c r="A913" i="12"/>
  <c r="E912" i="12"/>
  <c r="D912" i="12"/>
  <c r="C912" i="12"/>
  <c r="B912" i="12"/>
  <c r="A912" i="12"/>
  <c r="E911" i="12"/>
  <c r="D911" i="12"/>
  <c r="C911" i="12"/>
  <c r="B911" i="12"/>
  <c r="A911" i="12"/>
  <c r="E910" i="12"/>
  <c r="D910" i="12"/>
  <c r="C910" i="12"/>
  <c r="B910" i="12"/>
  <c r="A910" i="12"/>
  <c r="E909" i="12"/>
  <c r="D909" i="12"/>
  <c r="C909" i="12"/>
  <c r="B909" i="12"/>
  <c r="A909" i="12"/>
  <c r="E908" i="12"/>
  <c r="D908" i="12"/>
  <c r="C908" i="12"/>
  <c r="B908" i="12"/>
  <c r="A908" i="12"/>
  <c r="G907" i="12"/>
  <c r="E907" i="12"/>
  <c r="D907" i="12"/>
  <c r="C907" i="12"/>
  <c r="B907" i="12"/>
  <c r="A907" i="12"/>
  <c r="E906" i="12"/>
  <c r="D906" i="12"/>
  <c r="C906" i="12"/>
  <c r="B906" i="12"/>
  <c r="A906" i="12"/>
  <c r="E905" i="12"/>
  <c r="D905" i="12"/>
  <c r="C905" i="12"/>
  <c r="B905" i="12"/>
  <c r="A905" i="12"/>
  <c r="E904" i="12"/>
  <c r="D904" i="12"/>
  <c r="C904" i="12"/>
  <c r="B904" i="12"/>
  <c r="A904" i="12"/>
  <c r="E903" i="12"/>
  <c r="D903" i="12"/>
  <c r="C903" i="12"/>
  <c r="B903" i="12"/>
  <c r="A903" i="12"/>
  <c r="E902" i="12"/>
  <c r="D902" i="12"/>
  <c r="C902" i="12"/>
  <c r="B902" i="12"/>
  <c r="A902" i="12"/>
  <c r="G901" i="12"/>
  <c r="E901" i="12"/>
  <c r="D901" i="12"/>
  <c r="C901" i="12"/>
  <c r="B901" i="12"/>
  <c r="A901" i="12"/>
  <c r="E900" i="12"/>
  <c r="D900" i="12"/>
  <c r="C900" i="12"/>
  <c r="B900" i="12"/>
  <c r="A900" i="12"/>
  <c r="E899" i="12"/>
  <c r="D899" i="12"/>
  <c r="C899" i="12"/>
  <c r="B899" i="12"/>
  <c r="A899" i="12"/>
  <c r="E898" i="12"/>
  <c r="D898" i="12"/>
  <c r="C898" i="12"/>
  <c r="B898" i="12"/>
  <c r="A898" i="12"/>
  <c r="E897" i="12"/>
  <c r="D897" i="12"/>
  <c r="C897" i="12"/>
  <c r="B897" i="12"/>
  <c r="A897" i="12"/>
  <c r="G896" i="12"/>
  <c r="E896" i="12"/>
  <c r="D896" i="12"/>
  <c r="C896" i="12"/>
  <c r="B896" i="12"/>
  <c r="A896" i="12"/>
  <c r="G895" i="12"/>
  <c r="E895" i="12"/>
  <c r="D895" i="12"/>
  <c r="C895" i="12"/>
  <c r="B895" i="12"/>
  <c r="A895" i="12"/>
  <c r="E894" i="12"/>
  <c r="D894" i="12"/>
  <c r="C894" i="12"/>
  <c r="B894" i="12"/>
  <c r="A894" i="12"/>
  <c r="E893" i="12"/>
  <c r="D893" i="12"/>
  <c r="C893" i="12"/>
  <c r="B893" i="12"/>
  <c r="A893" i="12"/>
  <c r="E892" i="12"/>
  <c r="D892" i="12"/>
  <c r="C892" i="12"/>
  <c r="B892" i="12"/>
  <c r="A892" i="12"/>
  <c r="E891" i="12"/>
  <c r="D891" i="12"/>
  <c r="C891" i="12"/>
  <c r="B891" i="12"/>
  <c r="A891" i="12"/>
  <c r="E890" i="12"/>
  <c r="D890" i="12"/>
  <c r="C890" i="12"/>
  <c r="B890" i="12"/>
  <c r="A890" i="12"/>
  <c r="E889" i="12"/>
  <c r="D889" i="12"/>
  <c r="C889" i="12"/>
  <c r="B889" i="12"/>
  <c r="A889" i="12"/>
  <c r="E888" i="12"/>
  <c r="D888" i="12"/>
  <c r="C888" i="12"/>
  <c r="B888" i="12"/>
  <c r="A888" i="12"/>
  <c r="E887" i="12"/>
  <c r="D887" i="12"/>
  <c r="C887" i="12"/>
  <c r="B887" i="12"/>
  <c r="A887" i="12"/>
  <c r="E886" i="12"/>
  <c r="D886" i="12"/>
  <c r="C886" i="12"/>
  <c r="B886" i="12"/>
  <c r="A886" i="12"/>
  <c r="E885" i="12"/>
  <c r="D885" i="12"/>
  <c r="C885" i="12"/>
  <c r="B885" i="12"/>
  <c r="A885" i="12"/>
  <c r="E884" i="12"/>
  <c r="D884" i="12"/>
  <c r="C884" i="12"/>
  <c r="B884" i="12"/>
  <c r="A884" i="12"/>
  <c r="E883" i="12"/>
  <c r="D883" i="12"/>
  <c r="C883" i="12"/>
  <c r="B883" i="12"/>
  <c r="A883" i="12"/>
  <c r="E882" i="12"/>
  <c r="D882" i="12"/>
  <c r="C882" i="12"/>
  <c r="B882" i="12"/>
  <c r="A882" i="12"/>
  <c r="E881" i="12"/>
  <c r="D881" i="12"/>
  <c r="C881" i="12"/>
  <c r="B881" i="12"/>
  <c r="A881" i="12"/>
  <c r="E880" i="12"/>
  <c r="D880" i="12"/>
  <c r="C880" i="12"/>
  <c r="B880" i="12"/>
  <c r="A880" i="12"/>
  <c r="E879" i="12"/>
  <c r="D879" i="12"/>
  <c r="C879" i="12"/>
  <c r="B879" i="12"/>
  <c r="A879" i="12"/>
  <c r="E878" i="12"/>
  <c r="D878" i="12"/>
  <c r="C878" i="12"/>
  <c r="B878" i="12"/>
  <c r="A878" i="12"/>
  <c r="E877" i="12"/>
  <c r="D877" i="12"/>
  <c r="C877" i="12"/>
  <c r="B877" i="12"/>
  <c r="A877" i="12"/>
  <c r="E876" i="12"/>
  <c r="D876" i="12"/>
  <c r="C876" i="12"/>
  <c r="B876" i="12"/>
  <c r="A876" i="12"/>
  <c r="E875" i="12"/>
  <c r="D875" i="12"/>
  <c r="C875" i="12"/>
  <c r="B875" i="12"/>
  <c r="A875" i="12"/>
  <c r="E874" i="12"/>
  <c r="D874" i="12"/>
  <c r="C874" i="12"/>
  <c r="B874" i="12"/>
  <c r="A874" i="12"/>
  <c r="E873" i="12"/>
  <c r="D873" i="12"/>
  <c r="C873" i="12"/>
  <c r="B873" i="12"/>
  <c r="A873" i="12"/>
  <c r="E872" i="12"/>
  <c r="D872" i="12"/>
  <c r="C872" i="12"/>
  <c r="B872" i="12"/>
  <c r="A872" i="12"/>
  <c r="G871" i="12"/>
  <c r="E871" i="12"/>
  <c r="D871" i="12"/>
  <c r="C871" i="12"/>
  <c r="B871" i="12"/>
  <c r="A871" i="12"/>
  <c r="E870" i="12"/>
  <c r="D870" i="12"/>
  <c r="C870" i="12"/>
  <c r="B870" i="12"/>
  <c r="A870" i="12"/>
  <c r="G869" i="12"/>
  <c r="E869" i="12"/>
  <c r="D869" i="12"/>
  <c r="C869" i="12"/>
  <c r="B869" i="12"/>
  <c r="A869" i="12"/>
  <c r="E868" i="12"/>
  <c r="D868" i="12"/>
  <c r="C868" i="12"/>
  <c r="B868" i="12"/>
  <c r="A868" i="12"/>
  <c r="E867" i="12"/>
  <c r="D867" i="12"/>
  <c r="C867" i="12"/>
  <c r="B867" i="12"/>
  <c r="A867" i="12"/>
  <c r="E866" i="12"/>
  <c r="D866" i="12"/>
  <c r="C866" i="12"/>
  <c r="B866" i="12"/>
  <c r="A866" i="12"/>
  <c r="E865" i="12"/>
  <c r="D865" i="12"/>
  <c r="C865" i="12"/>
  <c r="B865" i="12"/>
  <c r="A865" i="12"/>
  <c r="E864" i="12"/>
  <c r="D864" i="12"/>
  <c r="C864" i="12"/>
  <c r="B864" i="12"/>
  <c r="A864" i="12"/>
  <c r="E863" i="12"/>
  <c r="D863" i="12"/>
  <c r="C863" i="12"/>
  <c r="B863" i="12"/>
  <c r="A863" i="12"/>
  <c r="E862" i="12"/>
  <c r="D862" i="12"/>
  <c r="C862" i="12"/>
  <c r="B862" i="12"/>
  <c r="A862" i="12"/>
  <c r="E861" i="12"/>
  <c r="D861" i="12"/>
  <c r="C861" i="12"/>
  <c r="B861" i="12"/>
  <c r="A861" i="12"/>
  <c r="E860" i="12"/>
  <c r="D860" i="12"/>
  <c r="C860" i="12"/>
  <c r="B860" i="12"/>
  <c r="A860" i="12"/>
  <c r="E859" i="12"/>
  <c r="D859" i="12"/>
  <c r="C859" i="12"/>
  <c r="B859" i="12"/>
  <c r="A859" i="12"/>
  <c r="E858" i="12"/>
  <c r="D858" i="12"/>
  <c r="C858" i="12"/>
  <c r="B858" i="12"/>
  <c r="A858" i="12"/>
  <c r="E857" i="12"/>
  <c r="D857" i="12"/>
  <c r="C857" i="12"/>
  <c r="B857" i="12"/>
  <c r="A857" i="12"/>
  <c r="E856" i="12"/>
  <c r="D856" i="12"/>
  <c r="C856" i="12"/>
  <c r="B856" i="12"/>
  <c r="A856" i="12"/>
  <c r="E855" i="12"/>
  <c r="D855" i="12"/>
  <c r="C855" i="12"/>
  <c r="B855" i="12"/>
  <c r="A855" i="12"/>
  <c r="E854" i="12"/>
  <c r="D854" i="12"/>
  <c r="C854" i="12"/>
  <c r="B854" i="12"/>
  <c r="A854" i="12"/>
  <c r="E853" i="12"/>
  <c r="D853" i="12"/>
  <c r="C853" i="12"/>
  <c r="B853" i="12"/>
  <c r="A853" i="12"/>
  <c r="G852" i="12"/>
  <c r="E852" i="12"/>
  <c r="D852" i="12"/>
  <c r="C852" i="12"/>
  <c r="B852" i="12"/>
  <c r="A852" i="12"/>
  <c r="E851" i="12"/>
  <c r="D851" i="12"/>
  <c r="C851" i="12"/>
  <c r="B851" i="12"/>
  <c r="A851" i="12"/>
  <c r="E850" i="12"/>
  <c r="D850" i="12"/>
  <c r="C850" i="12"/>
  <c r="B850" i="12"/>
  <c r="A850" i="12"/>
  <c r="E849" i="12"/>
  <c r="D849" i="12"/>
  <c r="C849" i="12"/>
  <c r="B849" i="12"/>
  <c r="A849" i="12"/>
  <c r="G848" i="12"/>
  <c r="E848" i="12"/>
  <c r="D848" i="12"/>
  <c r="C848" i="12"/>
  <c r="B848" i="12"/>
  <c r="A848" i="12"/>
  <c r="E847" i="12"/>
  <c r="D847" i="12"/>
  <c r="C847" i="12"/>
  <c r="B847" i="12"/>
  <c r="A847" i="12"/>
  <c r="E846" i="12"/>
  <c r="D846" i="12"/>
  <c r="C846" i="12"/>
  <c r="B846" i="12"/>
  <c r="A846" i="12"/>
  <c r="E845" i="12"/>
  <c r="D845" i="12"/>
  <c r="C845" i="12"/>
  <c r="B845" i="12"/>
  <c r="A845" i="12"/>
  <c r="E844" i="12"/>
  <c r="D844" i="12"/>
  <c r="C844" i="12"/>
  <c r="B844" i="12"/>
  <c r="A844" i="12"/>
  <c r="E843" i="12"/>
  <c r="D843" i="12"/>
  <c r="C843" i="12"/>
  <c r="B843" i="12"/>
  <c r="A843" i="12"/>
  <c r="E842" i="12"/>
  <c r="D842" i="12"/>
  <c r="C842" i="12"/>
  <c r="B842" i="12"/>
  <c r="A842" i="12"/>
  <c r="D841" i="12"/>
  <c r="C841" i="12"/>
  <c r="B841" i="12"/>
  <c r="A841" i="12"/>
  <c r="E840" i="12"/>
  <c r="D840" i="12"/>
  <c r="C840" i="12"/>
  <c r="B840" i="12"/>
  <c r="A840" i="12"/>
  <c r="E839" i="12"/>
  <c r="D839" i="12"/>
  <c r="C839" i="12"/>
  <c r="B839" i="12"/>
  <c r="A839" i="12"/>
  <c r="E838" i="12"/>
  <c r="D838" i="12"/>
  <c r="C838" i="12"/>
  <c r="B838" i="12"/>
  <c r="A838" i="12"/>
  <c r="E837" i="12"/>
  <c r="D837" i="12"/>
  <c r="C837" i="12"/>
  <c r="B837" i="12"/>
  <c r="A837" i="12"/>
  <c r="G836" i="12"/>
  <c r="E836" i="12"/>
  <c r="D836" i="12"/>
  <c r="C836" i="12"/>
  <c r="B836" i="12"/>
  <c r="A836" i="12"/>
  <c r="E835" i="12"/>
  <c r="D835" i="12"/>
  <c r="C835" i="12"/>
  <c r="B835" i="12"/>
  <c r="A835" i="12"/>
  <c r="E834" i="12"/>
  <c r="D834" i="12"/>
  <c r="C834" i="12"/>
  <c r="B834" i="12"/>
  <c r="A834" i="12"/>
  <c r="E833" i="12"/>
  <c r="D833" i="12"/>
  <c r="C833" i="12"/>
  <c r="B833" i="12"/>
  <c r="A833" i="12"/>
  <c r="E832" i="12"/>
  <c r="D832" i="12"/>
  <c r="C832" i="12"/>
  <c r="B832" i="12"/>
  <c r="A832" i="12"/>
  <c r="E831" i="12"/>
  <c r="D831" i="12"/>
  <c r="C831" i="12"/>
  <c r="B831" i="12"/>
  <c r="A831" i="12"/>
  <c r="E830" i="12"/>
  <c r="D830" i="12"/>
  <c r="C830" i="12"/>
  <c r="B830" i="12"/>
  <c r="A830" i="12"/>
  <c r="E829" i="12"/>
  <c r="D829" i="12"/>
  <c r="C829" i="12"/>
  <c r="B829" i="12"/>
  <c r="A829" i="12"/>
  <c r="G828" i="12"/>
  <c r="E828" i="12"/>
  <c r="D828" i="12"/>
  <c r="C828" i="12"/>
  <c r="B828" i="12"/>
  <c r="A828" i="12"/>
  <c r="E827" i="12"/>
  <c r="D827" i="12"/>
  <c r="C827" i="12"/>
  <c r="B827" i="12"/>
  <c r="A827" i="12"/>
  <c r="E826" i="12"/>
  <c r="D826" i="12"/>
  <c r="C826" i="12"/>
  <c r="B826" i="12"/>
  <c r="A826" i="12"/>
  <c r="E825" i="12"/>
  <c r="D825" i="12"/>
  <c r="C825" i="12"/>
  <c r="B825" i="12"/>
  <c r="A825" i="12"/>
  <c r="E824" i="12"/>
  <c r="D824" i="12"/>
  <c r="C824" i="12"/>
  <c r="B824" i="12"/>
  <c r="A824" i="12"/>
  <c r="E823" i="12"/>
  <c r="D823" i="12"/>
  <c r="C823" i="12"/>
  <c r="B823" i="12"/>
  <c r="A823" i="12"/>
  <c r="E822" i="12"/>
  <c r="D822" i="12"/>
  <c r="C822" i="12"/>
  <c r="B822" i="12"/>
  <c r="A822" i="12"/>
  <c r="E821" i="12"/>
  <c r="D821" i="12"/>
  <c r="C821" i="12"/>
  <c r="B821" i="12"/>
  <c r="A821" i="12"/>
  <c r="G820" i="12"/>
  <c r="E820" i="12"/>
  <c r="D820" i="12"/>
  <c r="C820" i="12"/>
  <c r="B820" i="12"/>
  <c r="A820" i="12"/>
  <c r="E819" i="12"/>
  <c r="D819" i="12"/>
  <c r="C819" i="12"/>
  <c r="B819" i="12"/>
  <c r="A819" i="12"/>
  <c r="G818" i="12"/>
  <c r="E818" i="12"/>
  <c r="D818" i="12"/>
  <c r="C818" i="12"/>
  <c r="B818" i="12"/>
  <c r="A818" i="12"/>
  <c r="E817" i="12"/>
  <c r="D817" i="12"/>
  <c r="C817" i="12"/>
  <c r="B817" i="12"/>
  <c r="A817" i="12"/>
  <c r="E816" i="12"/>
  <c r="D816" i="12"/>
  <c r="C816" i="12"/>
  <c r="B816" i="12"/>
  <c r="A816" i="12"/>
  <c r="E815" i="12"/>
  <c r="D815" i="12"/>
  <c r="C815" i="12"/>
  <c r="B815" i="12"/>
  <c r="A815" i="12"/>
  <c r="G814" i="12"/>
  <c r="E814" i="12"/>
  <c r="D814" i="12"/>
  <c r="C814" i="12"/>
  <c r="B814" i="12"/>
  <c r="A814" i="12"/>
  <c r="G813" i="12"/>
  <c r="E813" i="12"/>
  <c r="D813" i="12"/>
  <c r="C813" i="12"/>
  <c r="B813" i="12"/>
  <c r="A813" i="12"/>
  <c r="E812" i="12"/>
  <c r="D812" i="12"/>
  <c r="C812" i="12"/>
  <c r="B812" i="12"/>
  <c r="A812" i="12"/>
  <c r="E811" i="12"/>
  <c r="D811" i="12"/>
  <c r="C811" i="12"/>
  <c r="B811" i="12"/>
  <c r="A811" i="12"/>
  <c r="G810" i="12"/>
  <c r="E810" i="12"/>
  <c r="D810" i="12"/>
  <c r="C810" i="12"/>
  <c r="B810" i="12"/>
  <c r="A810" i="12"/>
  <c r="E809" i="12"/>
  <c r="D809" i="12"/>
  <c r="C809" i="12"/>
  <c r="B809" i="12"/>
  <c r="A809" i="12"/>
  <c r="E808" i="12"/>
  <c r="D808" i="12"/>
  <c r="C808" i="12"/>
  <c r="B808" i="12"/>
  <c r="A808" i="12"/>
  <c r="G807" i="12"/>
  <c r="E807" i="12"/>
  <c r="D807" i="12"/>
  <c r="C807" i="12"/>
  <c r="B807" i="12"/>
  <c r="A807" i="12"/>
  <c r="E806" i="12"/>
  <c r="D806" i="12"/>
  <c r="C806" i="12"/>
  <c r="B806" i="12"/>
  <c r="A806" i="12"/>
  <c r="E805" i="12"/>
  <c r="D805" i="12"/>
  <c r="C805" i="12"/>
  <c r="B805" i="12"/>
  <c r="A805" i="12"/>
  <c r="E804" i="12"/>
  <c r="D804" i="12"/>
  <c r="C804" i="12"/>
  <c r="B804" i="12"/>
  <c r="A804" i="12"/>
  <c r="G803" i="12"/>
  <c r="E803" i="12"/>
  <c r="D803" i="12"/>
  <c r="C803" i="12"/>
  <c r="B803" i="12"/>
  <c r="A803" i="12"/>
  <c r="E802" i="12"/>
  <c r="D802" i="12"/>
  <c r="C802" i="12"/>
  <c r="B802" i="12"/>
  <c r="A802" i="12"/>
  <c r="E801" i="12"/>
  <c r="D801" i="12"/>
  <c r="C801" i="12"/>
  <c r="B801" i="12"/>
  <c r="A801" i="12"/>
  <c r="E800" i="12"/>
  <c r="D800" i="12"/>
  <c r="C800" i="12"/>
  <c r="B800" i="12"/>
  <c r="A800" i="12"/>
  <c r="E799" i="12"/>
  <c r="D799" i="12"/>
  <c r="C799" i="12"/>
  <c r="B799" i="12"/>
  <c r="A799" i="12"/>
  <c r="E798" i="12"/>
  <c r="D798" i="12"/>
  <c r="C798" i="12"/>
  <c r="B798" i="12"/>
  <c r="A798" i="12"/>
  <c r="E797" i="12"/>
  <c r="D797" i="12"/>
  <c r="C797" i="12"/>
  <c r="B797" i="12"/>
  <c r="A797" i="12"/>
  <c r="G796" i="12"/>
  <c r="E796" i="12"/>
  <c r="D796" i="12"/>
  <c r="C796" i="12"/>
  <c r="B796" i="12"/>
  <c r="A796" i="12"/>
  <c r="E795" i="12"/>
  <c r="D795" i="12"/>
  <c r="C795" i="12"/>
  <c r="B795" i="12"/>
  <c r="A795" i="12"/>
  <c r="E794" i="12"/>
  <c r="D794" i="12"/>
  <c r="C794" i="12"/>
  <c r="B794" i="12"/>
  <c r="A794" i="12"/>
  <c r="E793" i="12"/>
  <c r="D793" i="12"/>
  <c r="C793" i="12"/>
  <c r="B793" i="12"/>
  <c r="A793" i="12"/>
  <c r="E792" i="12"/>
  <c r="D792" i="12"/>
  <c r="C792" i="12"/>
  <c r="B792" i="12"/>
  <c r="A792" i="12"/>
  <c r="E791" i="12"/>
  <c r="D791" i="12"/>
  <c r="C791" i="12"/>
  <c r="B791" i="12"/>
  <c r="A791" i="12"/>
  <c r="E790" i="12"/>
  <c r="D790" i="12"/>
  <c r="C790" i="12"/>
  <c r="B790" i="12"/>
  <c r="A790" i="12"/>
  <c r="E789" i="12"/>
  <c r="D789" i="12"/>
  <c r="C789" i="12"/>
  <c r="B789" i="12"/>
  <c r="A789" i="12"/>
  <c r="E788" i="12"/>
  <c r="D788" i="12"/>
  <c r="C788" i="12"/>
  <c r="B788" i="12"/>
  <c r="A788" i="12"/>
  <c r="E787" i="12"/>
  <c r="D787" i="12"/>
  <c r="C787" i="12"/>
  <c r="B787" i="12"/>
  <c r="A787" i="12"/>
  <c r="E786" i="12"/>
  <c r="D786" i="12"/>
  <c r="C786" i="12"/>
  <c r="B786" i="12"/>
  <c r="A786" i="12"/>
  <c r="E785" i="12"/>
  <c r="D785" i="12"/>
  <c r="C785" i="12"/>
  <c r="B785" i="12"/>
  <c r="A785" i="12"/>
  <c r="E784" i="12"/>
  <c r="D784" i="12"/>
  <c r="C784" i="12"/>
  <c r="B784" i="12"/>
  <c r="A784" i="12"/>
  <c r="E783" i="12"/>
  <c r="D783" i="12"/>
  <c r="C783" i="12"/>
  <c r="B783" i="12"/>
  <c r="A783" i="12"/>
  <c r="E782" i="12"/>
  <c r="D782" i="12"/>
  <c r="C782" i="12"/>
  <c r="B782" i="12"/>
  <c r="A782" i="12"/>
  <c r="E781" i="12"/>
  <c r="D781" i="12"/>
  <c r="C781" i="12"/>
  <c r="B781" i="12"/>
  <c r="A781" i="12"/>
  <c r="E780" i="12"/>
  <c r="D780" i="12"/>
  <c r="C780" i="12"/>
  <c r="B780" i="12"/>
  <c r="A780" i="12"/>
  <c r="E779" i="12"/>
  <c r="D779" i="12"/>
  <c r="C779" i="12"/>
  <c r="B779" i="12"/>
  <c r="A779" i="12"/>
  <c r="E778" i="12"/>
  <c r="D778" i="12"/>
  <c r="C778" i="12"/>
  <c r="B778" i="12"/>
  <c r="A778" i="12"/>
  <c r="E777" i="12"/>
  <c r="D777" i="12"/>
  <c r="C777" i="12"/>
  <c r="B777" i="12"/>
  <c r="A777" i="12"/>
  <c r="E776" i="12"/>
  <c r="D776" i="12"/>
  <c r="C776" i="12"/>
  <c r="B776" i="12"/>
  <c r="A776" i="12"/>
  <c r="E775" i="12"/>
  <c r="D775" i="12"/>
  <c r="C775" i="12"/>
  <c r="B775" i="12"/>
  <c r="A775" i="12"/>
  <c r="G774" i="12"/>
  <c r="E774" i="12"/>
  <c r="D774" i="12"/>
  <c r="C774" i="12"/>
  <c r="B774" i="12"/>
  <c r="A774" i="12"/>
  <c r="G773" i="12"/>
  <c r="E773" i="12"/>
  <c r="D773" i="12"/>
  <c r="C773" i="12"/>
  <c r="B773" i="12"/>
  <c r="A773" i="12"/>
  <c r="G772" i="12"/>
  <c r="E772" i="12"/>
  <c r="D772" i="12"/>
  <c r="C772" i="12"/>
  <c r="B772" i="12"/>
  <c r="A772" i="12"/>
  <c r="G771" i="12"/>
  <c r="F771" i="12"/>
  <c r="E771" i="12"/>
  <c r="D771" i="12"/>
  <c r="C771" i="12"/>
  <c r="B771" i="12"/>
  <c r="A771" i="12"/>
  <c r="G770" i="12"/>
  <c r="E770" i="12"/>
  <c r="D770" i="12"/>
  <c r="C770" i="12"/>
  <c r="B770" i="12"/>
  <c r="A770" i="12"/>
  <c r="G769" i="12"/>
  <c r="E769" i="12"/>
  <c r="D769" i="12"/>
  <c r="C769" i="12"/>
  <c r="B769" i="12"/>
  <c r="A769" i="12"/>
  <c r="G768" i="12"/>
  <c r="F768" i="12"/>
  <c r="E768" i="12"/>
  <c r="D768" i="12"/>
  <c r="C768" i="12"/>
  <c r="B768" i="12"/>
  <c r="A768" i="12"/>
  <c r="G767" i="12"/>
  <c r="E767" i="12"/>
  <c r="D767" i="12"/>
  <c r="C767" i="12"/>
  <c r="B767" i="12"/>
  <c r="A767" i="12"/>
  <c r="G766" i="12"/>
  <c r="F766" i="12"/>
  <c r="E766" i="12"/>
  <c r="D766" i="12"/>
  <c r="C766" i="12"/>
  <c r="B766" i="12"/>
  <c r="A766" i="12"/>
  <c r="E765" i="12"/>
  <c r="D765" i="12"/>
  <c r="C765" i="12"/>
  <c r="B765" i="12"/>
  <c r="A765" i="12"/>
  <c r="G764" i="12"/>
  <c r="F764" i="12"/>
  <c r="E764" i="12"/>
  <c r="D764" i="12"/>
  <c r="C764" i="12"/>
  <c r="B764" i="12"/>
  <c r="A764" i="12"/>
  <c r="G763" i="12"/>
  <c r="E763" i="12"/>
  <c r="D763" i="12"/>
  <c r="C763" i="12"/>
  <c r="B763" i="12"/>
  <c r="A763" i="12"/>
  <c r="G762" i="12"/>
  <c r="F762" i="12"/>
  <c r="E762" i="12"/>
  <c r="D762" i="12"/>
  <c r="C762" i="12"/>
  <c r="B762" i="12"/>
  <c r="A762" i="12"/>
  <c r="G761" i="12"/>
  <c r="F761" i="12"/>
  <c r="E761" i="12"/>
  <c r="D761" i="12"/>
  <c r="C761" i="12"/>
  <c r="B761" i="12"/>
  <c r="A761" i="12"/>
  <c r="G760" i="12"/>
  <c r="F760" i="12"/>
  <c r="E760" i="12"/>
  <c r="D760" i="12"/>
  <c r="C760" i="12"/>
  <c r="B760" i="12"/>
  <c r="A760" i="12"/>
  <c r="G759" i="12"/>
  <c r="F759" i="12"/>
  <c r="E759" i="12"/>
  <c r="D759" i="12"/>
  <c r="C759" i="12"/>
  <c r="B759" i="12"/>
  <c r="A759" i="12"/>
  <c r="E758" i="12"/>
  <c r="D758" i="12"/>
  <c r="C758" i="12"/>
  <c r="B758" i="12"/>
  <c r="A758" i="12"/>
  <c r="E757" i="12"/>
  <c r="D757" i="12"/>
  <c r="C757" i="12"/>
  <c r="B757" i="12"/>
  <c r="A757" i="12"/>
  <c r="E756" i="12"/>
  <c r="D756" i="12"/>
  <c r="C756" i="12"/>
  <c r="B756" i="12"/>
  <c r="A756" i="12"/>
  <c r="E755" i="12"/>
  <c r="D755" i="12"/>
  <c r="C755" i="12"/>
  <c r="B755" i="12"/>
  <c r="A755" i="12"/>
  <c r="E754" i="12"/>
  <c r="D754" i="12"/>
  <c r="C754" i="12"/>
  <c r="B754" i="12"/>
  <c r="A754" i="12"/>
  <c r="E753" i="12"/>
  <c r="D753" i="12"/>
  <c r="C753" i="12"/>
  <c r="B753" i="12"/>
  <c r="A753" i="12"/>
  <c r="E752" i="12"/>
  <c r="D752" i="12"/>
  <c r="C752" i="12"/>
  <c r="B752" i="12"/>
  <c r="A752" i="12"/>
  <c r="E751" i="12"/>
  <c r="D751" i="12"/>
  <c r="C751" i="12"/>
  <c r="B751" i="12"/>
  <c r="A751" i="12"/>
  <c r="E750" i="12"/>
  <c r="D750" i="12"/>
  <c r="C750" i="12"/>
  <c r="B750" i="12"/>
  <c r="A750" i="12"/>
  <c r="E749" i="12"/>
  <c r="D749" i="12"/>
  <c r="C749" i="12"/>
  <c r="B749" i="12"/>
  <c r="A749" i="12"/>
  <c r="E748" i="12"/>
  <c r="D748" i="12"/>
  <c r="C748" i="12"/>
  <c r="B748" i="12"/>
  <c r="A748" i="12"/>
  <c r="E747" i="12"/>
  <c r="D747" i="12"/>
  <c r="C747" i="12"/>
  <c r="B747" i="12"/>
  <c r="A747" i="12"/>
  <c r="E746" i="12"/>
  <c r="D746" i="12"/>
  <c r="C746" i="12"/>
  <c r="B746" i="12"/>
  <c r="A746" i="12"/>
  <c r="E745" i="12"/>
  <c r="D745" i="12"/>
  <c r="C745" i="12"/>
  <c r="B745" i="12"/>
  <c r="A745" i="12"/>
  <c r="E744" i="12"/>
  <c r="D744" i="12"/>
  <c r="C744" i="12"/>
  <c r="B744" i="12"/>
  <c r="A744" i="12"/>
  <c r="E743" i="12"/>
  <c r="D743" i="12"/>
  <c r="C743" i="12"/>
  <c r="B743" i="12"/>
  <c r="A743" i="12"/>
  <c r="E742" i="12"/>
  <c r="D742" i="12"/>
  <c r="C742" i="12"/>
  <c r="B742" i="12"/>
  <c r="A742" i="12"/>
  <c r="G741" i="12"/>
  <c r="E741" i="12"/>
  <c r="D741" i="12"/>
  <c r="C741" i="12"/>
  <c r="B741" i="12"/>
  <c r="A741" i="12"/>
  <c r="E740" i="12"/>
  <c r="D740" i="12"/>
  <c r="C740" i="12"/>
  <c r="B740" i="12"/>
  <c r="A740" i="12"/>
  <c r="G739" i="12"/>
  <c r="E739" i="12"/>
  <c r="D739" i="12"/>
  <c r="C739" i="12"/>
  <c r="B739" i="12"/>
  <c r="A739" i="12"/>
  <c r="E738" i="12"/>
  <c r="D738" i="12"/>
  <c r="C738" i="12"/>
  <c r="B738" i="12"/>
  <c r="A738" i="12"/>
  <c r="E737" i="12"/>
  <c r="D737" i="12"/>
  <c r="C737" i="12"/>
  <c r="B737" i="12"/>
  <c r="A737" i="12"/>
  <c r="E736" i="12"/>
  <c r="D736" i="12"/>
  <c r="C736" i="12"/>
  <c r="B736" i="12"/>
  <c r="A736" i="12"/>
  <c r="E735" i="12"/>
  <c r="D735" i="12"/>
  <c r="C735" i="12"/>
  <c r="B735" i="12"/>
  <c r="A735" i="12"/>
  <c r="E734" i="12"/>
  <c r="D734" i="12"/>
  <c r="C734" i="12"/>
  <c r="B734" i="12"/>
  <c r="A734" i="12"/>
  <c r="E733" i="12"/>
  <c r="D733" i="12"/>
  <c r="C733" i="12"/>
  <c r="B733" i="12"/>
  <c r="A733" i="12"/>
  <c r="E732" i="12"/>
  <c r="D732" i="12"/>
  <c r="C732" i="12"/>
  <c r="B732" i="12"/>
  <c r="A732" i="12"/>
  <c r="E731" i="12"/>
  <c r="D731" i="12"/>
  <c r="C731" i="12"/>
  <c r="B731" i="12"/>
  <c r="A731" i="12"/>
  <c r="E730" i="12"/>
  <c r="D730" i="12"/>
  <c r="C730" i="12"/>
  <c r="B730" i="12"/>
  <c r="A730" i="12"/>
  <c r="E729" i="12"/>
  <c r="D729" i="12"/>
  <c r="C729" i="12"/>
  <c r="B729" i="12"/>
  <c r="A729" i="12"/>
  <c r="G728" i="12"/>
  <c r="F728" i="12"/>
  <c r="E728" i="12"/>
  <c r="D728" i="12"/>
  <c r="C728" i="12"/>
  <c r="B728" i="12"/>
  <c r="A728" i="12"/>
  <c r="E727" i="12"/>
  <c r="D727" i="12"/>
  <c r="C727" i="12"/>
  <c r="B727" i="12"/>
  <c r="A727" i="12"/>
  <c r="F726" i="12"/>
  <c r="E726" i="12"/>
  <c r="D726" i="12"/>
  <c r="C726" i="12"/>
  <c r="B726" i="12"/>
  <c r="A726" i="12"/>
  <c r="F725" i="12"/>
  <c r="E725" i="12"/>
  <c r="D725" i="12"/>
  <c r="C725" i="12"/>
  <c r="B725" i="12"/>
  <c r="A725" i="12"/>
  <c r="F724" i="12"/>
  <c r="E724" i="12"/>
  <c r="D724" i="12"/>
  <c r="C724" i="12"/>
  <c r="B724" i="12"/>
  <c r="A724" i="12"/>
  <c r="E723" i="12"/>
  <c r="D723" i="12"/>
  <c r="C723" i="12"/>
  <c r="B723" i="12"/>
  <c r="A723" i="12"/>
  <c r="F722" i="12"/>
  <c r="E722" i="12"/>
  <c r="D722" i="12"/>
  <c r="C722" i="12"/>
  <c r="B722" i="12"/>
  <c r="A722" i="12"/>
  <c r="G721" i="12"/>
  <c r="F721" i="12"/>
  <c r="E721" i="12"/>
  <c r="D721" i="12"/>
  <c r="C721" i="12"/>
  <c r="B721" i="12"/>
  <c r="A721" i="12"/>
  <c r="G720" i="12"/>
  <c r="E720" i="12"/>
  <c r="D720" i="12"/>
  <c r="C720" i="12"/>
  <c r="B720" i="12"/>
  <c r="A720" i="12"/>
  <c r="E719" i="12"/>
  <c r="D719" i="12"/>
  <c r="C719" i="12"/>
  <c r="B719" i="12"/>
  <c r="A719" i="12"/>
  <c r="E718" i="12"/>
  <c r="D718" i="12"/>
  <c r="C718" i="12"/>
  <c r="B718" i="12"/>
  <c r="A718" i="12"/>
  <c r="E717" i="12"/>
  <c r="D717" i="12"/>
  <c r="C717" i="12"/>
  <c r="B717" i="12"/>
  <c r="A717" i="12"/>
  <c r="E716" i="12"/>
  <c r="D716" i="12"/>
  <c r="C716" i="12"/>
  <c r="B716" i="12"/>
  <c r="A716" i="12"/>
  <c r="E715" i="12"/>
  <c r="D715" i="12"/>
  <c r="C715" i="12"/>
  <c r="B715" i="12"/>
  <c r="A715" i="12"/>
  <c r="E714" i="12"/>
  <c r="D714" i="12"/>
  <c r="C714" i="12"/>
  <c r="B714" i="12"/>
  <c r="A714" i="12"/>
  <c r="G713" i="12"/>
  <c r="F713" i="12"/>
  <c r="E713" i="12"/>
  <c r="D713" i="12"/>
  <c r="C713" i="12"/>
  <c r="B713" i="12"/>
  <c r="A713" i="12"/>
  <c r="E712" i="12"/>
  <c r="D712" i="12"/>
  <c r="C712" i="12"/>
  <c r="B712" i="12"/>
  <c r="A712" i="12"/>
  <c r="G711" i="12"/>
  <c r="F711" i="12"/>
  <c r="E711" i="12"/>
  <c r="D711" i="12"/>
  <c r="C711" i="12"/>
  <c r="B711" i="12"/>
  <c r="A711" i="12"/>
  <c r="E710" i="12"/>
  <c r="D710" i="12"/>
  <c r="C710" i="12"/>
  <c r="B710" i="12"/>
  <c r="A710" i="12"/>
  <c r="E709" i="12"/>
  <c r="D709" i="12"/>
  <c r="C709" i="12"/>
  <c r="B709" i="12"/>
  <c r="A709" i="12"/>
  <c r="E708" i="12"/>
  <c r="D708" i="12"/>
  <c r="C708" i="12"/>
  <c r="B708" i="12"/>
  <c r="A708" i="12"/>
  <c r="F707" i="12"/>
  <c r="E707" i="12"/>
  <c r="D707" i="12"/>
  <c r="C707" i="12"/>
  <c r="B707" i="12"/>
  <c r="A707" i="12"/>
  <c r="G706" i="12"/>
  <c r="F706" i="12"/>
  <c r="E706" i="12"/>
  <c r="D706" i="12"/>
  <c r="C706" i="12"/>
  <c r="B706" i="12"/>
  <c r="A706" i="12"/>
  <c r="G705" i="12"/>
  <c r="F705" i="12"/>
  <c r="E705" i="12"/>
  <c r="D705" i="12"/>
  <c r="C705" i="12"/>
  <c r="B705" i="12"/>
  <c r="A705" i="12"/>
  <c r="F704" i="12"/>
  <c r="E704" i="12"/>
  <c r="D704" i="12"/>
  <c r="C704" i="12"/>
  <c r="B704" i="12"/>
  <c r="A704" i="12"/>
  <c r="F703" i="12"/>
  <c r="E703" i="12"/>
  <c r="D703" i="12"/>
  <c r="C703" i="12"/>
  <c r="B703" i="12"/>
  <c r="A703" i="12"/>
  <c r="G702" i="12"/>
  <c r="E702" i="12"/>
  <c r="D702" i="12"/>
  <c r="C702" i="12"/>
  <c r="B702" i="12"/>
  <c r="A702" i="12"/>
  <c r="G701" i="12"/>
  <c r="F701" i="12"/>
  <c r="E701" i="12"/>
  <c r="D701" i="12"/>
  <c r="C701" i="12"/>
  <c r="B701" i="12"/>
  <c r="A701" i="12"/>
  <c r="G700" i="12"/>
  <c r="F700" i="12"/>
  <c r="E700" i="12"/>
  <c r="D700" i="12"/>
  <c r="C700" i="12"/>
  <c r="B700" i="12"/>
  <c r="A700" i="12"/>
  <c r="G699" i="12"/>
  <c r="F699" i="12"/>
  <c r="E699" i="12"/>
  <c r="D699" i="12"/>
  <c r="C699" i="12"/>
  <c r="B699" i="12"/>
  <c r="A699" i="12"/>
  <c r="G698" i="12"/>
  <c r="F698" i="12"/>
  <c r="E698" i="12"/>
  <c r="D698" i="12"/>
  <c r="C698" i="12"/>
  <c r="B698" i="12"/>
  <c r="A698" i="12"/>
  <c r="G697" i="12"/>
  <c r="F697" i="12"/>
  <c r="E697" i="12"/>
  <c r="D697" i="12"/>
  <c r="C697" i="12"/>
  <c r="B697" i="12"/>
  <c r="A697" i="12"/>
  <c r="G696" i="12"/>
  <c r="E696" i="12"/>
  <c r="D696" i="12"/>
  <c r="C696" i="12"/>
  <c r="B696" i="12"/>
  <c r="A696" i="12"/>
  <c r="G695" i="12"/>
  <c r="E695" i="12"/>
  <c r="D695" i="12"/>
  <c r="C695" i="12"/>
  <c r="B695" i="12"/>
  <c r="A695" i="12"/>
  <c r="G694" i="12"/>
  <c r="F694" i="12"/>
  <c r="E694" i="12"/>
  <c r="D694" i="12"/>
  <c r="C694" i="12"/>
  <c r="B694" i="12"/>
  <c r="A694" i="12"/>
  <c r="E693" i="12"/>
  <c r="D693" i="12"/>
  <c r="C693" i="12"/>
  <c r="B693" i="12"/>
  <c r="A693" i="12"/>
  <c r="G692" i="12"/>
  <c r="E692" i="12"/>
  <c r="D692" i="12"/>
  <c r="C692" i="12"/>
  <c r="B692" i="12"/>
  <c r="A692" i="12"/>
  <c r="G691" i="12"/>
  <c r="E691" i="12"/>
  <c r="D691" i="12"/>
  <c r="C691" i="12"/>
  <c r="B691" i="12"/>
  <c r="A691" i="12"/>
  <c r="E690" i="12"/>
  <c r="D690" i="12"/>
  <c r="C690" i="12"/>
  <c r="B690" i="12"/>
  <c r="A690" i="12"/>
  <c r="E689" i="12"/>
  <c r="D689" i="12"/>
  <c r="C689" i="12"/>
  <c r="B689" i="12"/>
  <c r="A689" i="12"/>
  <c r="E688" i="12"/>
  <c r="D688" i="12"/>
  <c r="C688" i="12"/>
  <c r="B688" i="12"/>
  <c r="A688" i="12"/>
  <c r="E687" i="12"/>
  <c r="D687" i="12"/>
  <c r="C687" i="12"/>
  <c r="B687" i="12"/>
  <c r="A687" i="12"/>
  <c r="E686" i="12"/>
  <c r="D686" i="12"/>
  <c r="C686" i="12"/>
  <c r="B686" i="12"/>
  <c r="A686" i="12"/>
  <c r="E685" i="12"/>
  <c r="D685" i="12"/>
  <c r="C685" i="12"/>
  <c r="B685" i="12"/>
  <c r="A685" i="12"/>
  <c r="E684" i="12"/>
  <c r="D684" i="12"/>
  <c r="C684" i="12"/>
  <c r="B684" i="12"/>
  <c r="A684" i="12"/>
  <c r="E683" i="12"/>
  <c r="D683" i="12"/>
  <c r="C683" i="12"/>
  <c r="B683" i="12"/>
  <c r="A683" i="12"/>
  <c r="E682" i="12"/>
  <c r="D682" i="12"/>
  <c r="C682" i="12"/>
  <c r="B682" i="12"/>
  <c r="A682" i="12"/>
  <c r="E681" i="12"/>
  <c r="D681" i="12"/>
  <c r="C681" i="12"/>
  <c r="B681" i="12"/>
  <c r="A681" i="12"/>
  <c r="E680" i="12"/>
  <c r="D680" i="12"/>
  <c r="C680" i="12"/>
  <c r="B680" i="12"/>
  <c r="A680" i="12"/>
  <c r="E679" i="12"/>
  <c r="D679" i="12"/>
  <c r="C679" i="12"/>
  <c r="B679" i="12"/>
  <c r="A679" i="12"/>
  <c r="E678" i="12"/>
  <c r="D678" i="12"/>
  <c r="C678" i="12"/>
  <c r="B678" i="12"/>
  <c r="A678" i="12"/>
  <c r="E677" i="12"/>
  <c r="D677" i="12"/>
  <c r="C677" i="12"/>
  <c r="B677" i="12"/>
  <c r="A677" i="12"/>
  <c r="E676" i="12"/>
  <c r="D676" i="12"/>
  <c r="C676" i="12"/>
  <c r="B676" i="12"/>
  <c r="A676" i="12"/>
  <c r="G675" i="12"/>
  <c r="E675" i="12"/>
  <c r="D675" i="12"/>
  <c r="C675" i="12"/>
  <c r="B675" i="12"/>
  <c r="A675" i="12"/>
  <c r="E674" i="12"/>
  <c r="D674" i="12"/>
  <c r="C674" i="12"/>
  <c r="B674" i="12"/>
  <c r="A674" i="12"/>
  <c r="E673" i="12"/>
  <c r="D673" i="12"/>
  <c r="C673" i="12"/>
  <c r="B673" i="12"/>
  <c r="A673" i="12"/>
  <c r="E672" i="12"/>
  <c r="D672" i="12"/>
  <c r="C672" i="12"/>
  <c r="B672" i="12"/>
  <c r="A672" i="12"/>
  <c r="E671" i="12"/>
  <c r="D671" i="12"/>
  <c r="C671" i="12"/>
  <c r="B671" i="12"/>
  <c r="A671" i="12"/>
  <c r="E670" i="12"/>
  <c r="D670" i="12"/>
  <c r="C670" i="12"/>
  <c r="B670" i="12"/>
  <c r="A670" i="12"/>
  <c r="E669" i="12"/>
  <c r="D669" i="12"/>
  <c r="C669" i="12"/>
  <c r="B669" i="12"/>
  <c r="A669" i="12"/>
  <c r="G668" i="12"/>
  <c r="E668" i="12"/>
  <c r="D668" i="12"/>
  <c r="C668" i="12"/>
  <c r="B668" i="12"/>
  <c r="A668" i="12"/>
  <c r="G667" i="12"/>
  <c r="E667" i="12"/>
  <c r="D667" i="12"/>
  <c r="C667" i="12"/>
  <c r="B667" i="12"/>
  <c r="A667" i="12"/>
  <c r="E666" i="12"/>
  <c r="D666" i="12"/>
  <c r="C666" i="12"/>
  <c r="B666" i="12"/>
  <c r="A666" i="12"/>
  <c r="E665" i="12"/>
  <c r="D665" i="12"/>
  <c r="C665" i="12"/>
  <c r="B665" i="12"/>
  <c r="A665" i="12"/>
  <c r="E664" i="12"/>
  <c r="D664" i="12"/>
  <c r="C664" i="12"/>
  <c r="B664" i="12"/>
  <c r="A664" i="12"/>
  <c r="G663" i="12"/>
  <c r="E663" i="12"/>
  <c r="D663" i="12"/>
  <c r="C663" i="12"/>
  <c r="B663" i="12"/>
  <c r="A663" i="12"/>
  <c r="E662" i="12"/>
  <c r="D662" i="12"/>
  <c r="C662" i="12"/>
  <c r="B662" i="12"/>
  <c r="A662" i="12"/>
  <c r="E661" i="12"/>
  <c r="D661" i="12"/>
  <c r="C661" i="12"/>
  <c r="B661" i="12"/>
  <c r="A661" i="12"/>
  <c r="E660" i="12"/>
  <c r="D660" i="12"/>
  <c r="C660" i="12"/>
  <c r="B660" i="12"/>
  <c r="A660" i="12"/>
  <c r="E659" i="12"/>
  <c r="D659" i="12"/>
  <c r="C659" i="12"/>
  <c r="B659" i="12"/>
  <c r="A659" i="12"/>
  <c r="E658" i="12"/>
  <c r="D658" i="12"/>
  <c r="C658" i="12"/>
  <c r="B658" i="12"/>
  <c r="A658" i="12"/>
  <c r="E657" i="12"/>
  <c r="D657" i="12"/>
  <c r="C657" i="12"/>
  <c r="B657" i="12"/>
  <c r="A657" i="12"/>
  <c r="E656" i="12"/>
  <c r="D656" i="12"/>
  <c r="C656" i="12"/>
  <c r="B656" i="12"/>
  <c r="A656" i="12"/>
  <c r="E655" i="12"/>
  <c r="D655" i="12"/>
  <c r="C655" i="12"/>
  <c r="B655" i="12"/>
  <c r="A655" i="12"/>
  <c r="E654" i="12"/>
  <c r="D654" i="12"/>
  <c r="C654" i="12"/>
  <c r="B654" i="12"/>
  <c r="A654" i="12"/>
  <c r="G653" i="12"/>
  <c r="E653" i="12"/>
  <c r="D653" i="12"/>
  <c r="C653" i="12"/>
  <c r="B653" i="12"/>
  <c r="A653" i="12"/>
  <c r="E652" i="12"/>
  <c r="D652" i="12"/>
  <c r="C652" i="12"/>
  <c r="B652" i="12"/>
  <c r="A652" i="12"/>
  <c r="E651" i="12"/>
  <c r="D651" i="12"/>
  <c r="C651" i="12"/>
  <c r="B651" i="12"/>
  <c r="A651" i="12"/>
  <c r="E650" i="12"/>
  <c r="D650" i="12"/>
  <c r="C650" i="12"/>
  <c r="B650" i="12"/>
  <c r="A650" i="12"/>
  <c r="E649" i="12"/>
  <c r="D649" i="12"/>
  <c r="C649" i="12"/>
  <c r="B649" i="12"/>
  <c r="A649" i="12"/>
  <c r="E648" i="12"/>
  <c r="D648" i="12"/>
  <c r="C648" i="12"/>
  <c r="B648" i="12"/>
  <c r="A648" i="12"/>
  <c r="E647" i="12"/>
  <c r="D647" i="12"/>
  <c r="C647" i="12"/>
  <c r="B647" i="12"/>
  <c r="A647" i="12"/>
  <c r="E646" i="12"/>
  <c r="D646" i="12"/>
  <c r="C646" i="12"/>
  <c r="B646" i="12"/>
  <c r="A646" i="12"/>
  <c r="E645" i="12"/>
  <c r="D645" i="12"/>
  <c r="C645" i="12"/>
  <c r="B645" i="12"/>
  <c r="A645" i="12"/>
  <c r="E644" i="12"/>
  <c r="D644" i="12"/>
  <c r="C644" i="12"/>
  <c r="B644" i="12"/>
  <c r="A644" i="12"/>
  <c r="E643" i="12"/>
  <c r="D643" i="12"/>
  <c r="C643" i="12"/>
  <c r="B643" i="12"/>
  <c r="A643" i="12"/>
  <c r="E642" i="12"/>
  <c r="D642" i="12"/>
  <c r="C642" i="12"/>
  <c r="B642" i="12"/>
  <c r="A642" i="12"/>
  <c r="E641" i="12"/>
  <c r="D641" i="12"/>
  <c r="C641" i="12"/>
  <c r="B641" i="12"/>
  <c r="A641" i="12"/>
  <c r="E640" i="12"/>
  <c r="D640" i="12"/>
  <c r="C640" i="12"/>
  <c r="B640" i="12"/>
  <c r="A640" i="12"/>
  <c r="E639" i="12"/>
  <c r="D639" i="12"/>
  <c r="C639" i="12"/>
  <c r="B639" i="12"/>
  <c r="A639" i="12"/>
  <c r="E638" i="12"/>
  <c r="D638" i="12"/>
  <c r="C638" i="12"/>
  <c r="B638" i="12"/>
  <c r="A638" i="12"/>
  <c r="E637" i="12"/>
  <c r="D637" i="12"/>
  <c r="C637" i="12"/>
  <c r="B637" i="12"/>
  <c r="A637" i="12"/>
  <c r="E636" i="12"/>
  <c r="D636" i="12"/>
  <c r="C636" i="12"/>
  <c r="B636" i="12"/>
  <c r="A636" i="12"/>
  <c r="E635" i="12"/>
  <c r="D635" i="12"/>
  <c r="C635" i="12"/>
  <c r="B635" i="12"/>
  <c r="A635" i="12"/>
  <c r="E634" i="12"/>
  <c r="D634" i="12"/>
  <c r="C634" i="12"/>
  <c r="B634" i="12"/>
  <c r="A634" i="12"/>
  <c r="E633" i="12"/>
  <c r="D633" i="12"/>
  <c r="C633" i="12"/>
  <c r="B633" i="12"/>
  <c r="A633" i="12"/>
  <c r="E632" i="12"/>
  <c r="D632" i="12"/>
  <c r="C632" i="12"/>
  <c r="B632" i="12"/>
  <c r="A632" i="12"/>
  <c r="E631" i="12"/>
  <c r="D631" i="12"/>
  <c r="C631" i="12"/>
  <c r="B631" i="12"/>
  <c r="A631" i="12"/>
  <c r="E630" i="12"/>
  <c r="D630" i="12"/>
  <c r="C630" i="12"/>
  <c r="B630" i="12"/>
  <c r="A630" i="12"/>
  <c r="E629" i="12"/>
  <c r="D629" i="12"/>
  <c r="C629" i="12"/>
  <c r="B629" i="12"/>
  <c r="A629" i="12"/>
  <c r="E628" i="12"/>
  <c r="D628" i="12"/>
  <c r="C628" i="12"/>
  <c r="B628" i="12"/>
  <c r="A628" i="12"/>
  <c r="E627" i="12"/>
  <c r="D627" i="12"/>
  <c r="C627" i="12"/>
  <c r="B627" i="12"/>
  <c r="A627" i="12"/>
  <c r="E626" i="12"/>
  <c r="D626" i="12"/>
  <c r="C626" i="12"/>
  <c r="B626" i="12"/>
  <c r="A626" i="12"/>
  <c r="E625" i="12"/>
  <c r="D625" i="12"/>
  <c r="C625" i="12"/>
  <c r="B625" i="12"/>
  <c r="A625" i="12"/>
  <c r="E624" i="12"/>
  <c r="D624" i="12"/>
  <c r="C624" i="12"/>
  <c r="B624" i="12"/>
  <c r="A624" i="12"/>
  <c r="E623" i="12"/>
  <c r="D623" i="12"/>
  <c r="C623" i="12"/>
  <c r="B623" i="12"/>
  <c r="A623" i="12"/>
  <c r="E622" i="12"/>
  <c r="D622" i="12"/>
  <c r="C622" i="12"/>
  <c r="B622" i="12"/>
  <c r="A622" i="12"/>
  <c r="E621" i="12"/>
  <c r="D621" i="12"/>
  <c r="C621" i="12"/>
  <c r="B621" i="12"/>
  <c r="A621" i="12"/>
  <c r="E620" i="12"/>
  <c r="D620" i="12"/>
  <c r="C620" i="12"/>
  <c r="B620" i="12"/>
  <c r="A620" i="12"/>
  <c r="G619" i="12"/>
  <c r="E619" i="12"/>
  <c r="D619" i="12"/>
  <c r="C619" i="12"/>
  <c r="B619" i="12"/>
  <c r="A619" i="12"/>
  <c r="G618" i="12"/>
  <c r="F618" i="12"/>
  <c r="E618" i="12"/>
  <c r="D618" i="12"/>
  <c r="C618" i="12"/>
  <c r="B618" i="12"/>
  <c r="A618" i="12"/>
  <c r="G617" i="12"/>
  <c r="E617" i="12"/>
  <c r="D617" i="12"/>
  <c r="C617" i="12"/>
  <c r="B617" i="12"/>
  <c r="A617" i="12"/>
  <c r="G616" i="12"/>
  <c r="E616" i="12"/>
  <c r="D616" i="12"/>
  <c r="C616" i="12"/>
  <c r="B616" i="12"/>
  <c r="A616" i="12"/>
  <c r="G615" i="12"/>
  <c r="F615" i="12"/>
  <c r="E615" i="12"/>
  <c r="D615" i="12"/>
  <c r="C615" i="12"/>
  <c r="B615" i="12"/>
  <c r="A615" i="12"/>
  <c r="G614" i="12"/>
  <c r="E614" i="12"/>
  <c r="D614" i="12"/>
  <c r="C614" i="12"/>
  <c r="B614" i="12"/>
  <c r="A614" i="12"/>
  <c r="G613" i="12"/>
  <c r="E613" i="12"/>
  <c r="D613" i="12"/>
  <c r="C613" i="12"/>
  <c r="B613" i="12"/>
  <c r="A613" i="12"/>
  <c r="G612" i="12"/>
  <c r="F612" i="12"/>
  <c r="E612" i="12"/>
  <c r="D612" i="12"/>
  <c r="C612" i="12"/>
  <c r="B612" i="12"/>
  <c r="A612" i="12"/>
  <c r="G611" i="12"/>
  <c r="E611" i="12"/>
  <c r="D611" i="12"/>
  <c r="C611" i="12"/>
  <c r="B611" i="12"/>
  <c r="A611" i="12"/>
  <c r="E610" i="12"/>
  <c r="D610" i="12"/>
  <c r="C610" i="12"/>
  <c r="B610" i="12"/>
  <c r="A610" i="12"/>
  <c r="G609" i="12"/>
  <c r="E609" i="12"/>
  <c r="D609" i="12"/>
  <c r="C609" i="12"/>
  <c r="B609" i="12"/>
  <c r="A609" i="12"/>
  <c r="G608" i="12"/>
  <c r="E608" i="12"/>
  <c r="D608" i="12"/>
  <c r="C608" i="12"/>
  <c r="B608" i="12"/>
  <c r="A608" i="12"/>
  <c r="G607" i="12"/>
  <c r="F607" i="12"/>
  <c r="E607" i="12"/>
  <c r="D607" i="12"/>
  <c r="C607" i="12"/>
  <c r="B607" i="12"/>
  <c r="A607" i="12"/>
  <c r="G606" i="12"/>
  <c r="E606" i="12"/>
  <c r="D606" i="12"/>
  <c r="C606" i="12"/>
  <c r="B606" i="12"/>
  <c r="A606" i="12"/>
  <c r="G605" i="12"/>
  <c r="E605" i="12"/>
  <c r="D605" i="12"/>
  <c r="C605" i="12"/>
  <c r="B605" i="12"/>
  <c r="A605" i="12"/>
  <c r="G604" i="12"/>
  <c r="E604" i="12"/>
  <c r="D604" i="12"/>
  <c r="C604" i="12"/>
  <c r="B604" i="12"/>
  <c r="A604" i="12"/>
  <c r="G603" i="12"/>
  <c r="E603" i="12"/>
  <c r="D603" i="12"/>
  <c r="C603" i="12"/>
  <c r="B603" i="12"/>
  <c r="A603" i="12"/>
  <c r="G602" i="12"/>
  <c r="F602" i="12"/>
  <c r="E602" i="12"/>
  <c r="D602" i="12"/>
  <c r="C602" i="12"/>
  <c r="B602" i="12"/>
  <c r="A602" i="12"/>
  <c r="F601" i="12"/>
  <c r="E601" i="12"/>
  <c r="D601" i="12"/>
  <c r="C601" i="12"/>
  <c r="B601" i="12"/>
  <c r="A601" i="12"/>
  <c r="G600" i="12"/>
  <c r="F600" i="12"/>
  <c r="E600" i="12"/>
  <c r="D600" i="12"/>
  <c r="C600" i="12"/>
  <c r="B600" i="12"/>
  <c r="A600" i="12"/>
  <c r="G599" i="12"/>
  <c r="F599" i="12"/>
  <c r="E599" i="12"/>
  <c r="D599" i="12"/>
  <c r="C599" i="12"/>
  <c r="B599" i="12"/>
  <c r="A599" i="12"/>
  <c r="G598" i="12"/>
  <c r="F598" i="12"/>
  <c r="E598" i="12"/>
  <c r="D598" i="12"/>
  <c r="C598" i="12"/>
  <c r="B598" i="12"/>
  <c r="A598" i="12"/>
  <c r="G597" i="12"/>
  <c r="F597" i="12"/>
  <c r="E597" i="12"/>
  <c r="D597" i="12"/>
  <c r="C597" i="12"/>
  <c r="B597" i="12"/>
  <c r="A597" i="12"/>
  <c r="G596" i="12"/>
  <c r="F596" i="12"/>
  <c r="E596" i="12"/>
  <c r="D596" i="12"/>
  <c r="C596" i="12"/>
  <c r="B596" i="12"/>
  <c r="A596" i="12"/>
  <c r="E595" i="12"/>
  <c r="D595" i="12"/>
  <c r="C595" i="12"/>
  <c r="B595" i="12"/>
  <c r="A595" i="12"/>
  <c r="G594" i="12"/>
  <c r="F594" i="12"/>
  <c r="E594" i="12"/>
  <c r="D594" i="12"/>
  <c r="C594" i="12"/>
  <c r="B594" i="12"/>
  <c r="A594" i="12"/>
  <c r="G593" i="12"/>
  <c r="F593" i="12"/>
  <c r="E593" i="12"/>
  <c r="D593" i="12"/>
  <c r="C593" i="12"/>
  <c r="B593" i="12"/>
  <c r="A593" i="12"/>
  <c r="G592" i="12"/>
  <c r="F592" i="12"/>
  <c r="E592" i="12"/>
  <c r="D592" i="12"/>
  <c r="C592" i="12"/>
  <c r="B592" i="12"/>
  <c r="A592" i="12"/>
  <c r="G591" i="12"/>
  <c r="F591" i="12"/>
  <c r="E591" i="12"/>
  <c r="D591" i="12"/>
  <c r="C591" i="12"/>
  <c r="B591" i="12"/>
  <c r="A591" i="12"/>
  <c r="G590" i="12"/>
  <c r="F590" i="12"/>
  <c r="E590" i="12"/>
  <c r="D590" i="12"/>
  <c r="C590" i="12"/>
  <c r="B590" i="12"/>
  <c r="A590" i="12"/>
  <c r="G589" i="12"/>
  <c r="F589" i="12"/>
  <c r="E589" i="12"/>
  <c r="D589" i="12"/>
  <c r="C589" i="12"/>
  <c r="B589" i="12"/>
  <c r="A589" i="12"/>
  <c r="G588" i="12"/>
  <c r="F588" i="12"/>
  <c r="E588" i="12"/>
  <c r="D588" i="12"/>
  <c r="C588" i="12"/>
  <c r="B588" i="12"/>
  <c r="A588" i="12"/>
  <c r="G587" i="12"/>
  <c r="F587" i="12"/>
  <c r="E587" i="12"/>
  <c r="D587" i="12"/>
  <c r="C587" i="12"/>
  <c r="B587" i="12"/>
  <c r="A587" i="12"/>
  <c r="G586" i="12"/>
  <c r="E586" i="12"/>
  <c r="D586" i="12"/>
  <c r="C586" i="12"/>
  <c r="B586" i="12"/>
  <c r="A586" i="12"/>
  <c r="G585" i="12"/>
  <c r="F585" i="12"/>
  <c r="E585" i="12"/>
  <c r="D585" i="12"/>
  <c r="C585" i="12"/>
  <c r="B585" i="12"/>
  <c r="A585" i="12"/>
  <c r="G584" i="12"/>
  <c r="F584" i="12"/>
  <c r="E584" i="12"/>
  <c r="D584" i="12"/>
  <c r="C584" i="12"/>
  <c r="B584" i="12"/>
  <c r="A584" i="12"/>
  <c r="G583" i="12"/>
  <c r="F583" i="12"/>
  <c r="E583" i="12"/>
  <c r="D583" i="12"/>
  <c r="C583" i="12"/>
  <c r="B583" i="12"/>
  <c r="A583" i="12"/>
  <c r="G582" i="12"/>
  <c r="F582" i="12"/>
  <c r="E582" i="12"/>
  <c r="D582" i="12"/>
  <c r="C582" i="12"/>
  <c r="B582" i="12"/>
  <c r="A582" i="12"/>
  <c r="G581" i="12"/>
  <c r="F581" i="12"/>
  <c r="E581" i="12"/>
  <c r="D581" i="12"/>
  <c r="C581" i="12"/>
  <c r="B581" i="12"/>
  <c r="A581" i="12"/>
  <c r="G580" i="12"/>
  <c r="F580" i="12"/>
  <c r="E580" i="12"/>
  <c r="D580" i="12"/>
  <c r="C580" i="12"/>
  <c r="B580" i="12"/>
  <c r="A580" i="12"/>
  <c r="G579" i="12"/>
  <c r="E579" i="12"/>
  <c r="D579" i="12"/>
  <c r="C579" i="12"/>
  <c r="B579" i="12"/>
  <c r="A579" i="12"/>
  <c r="G578" i="12"/>
  <c r="F578" i="12"/>
  <c r="E578" i="12"/>
  <c r="D578" i="12"/>
  <c r="C578" i="12"/>
  <c r="B578" i="12"/>
  <c r="A578" i="12"/>
  <c r="G577" i="12"/>
  <c r="F577" i="12"/>
  <c r="E577" i="12"/>
  <c r="D577" i="12"/>
  <c r="C577" i="12"/>
  <c r="B577" i="12"/>
  <c r="A577" i="12"/>
  <c r="G576" i="12"/>
  <c r="E576" i="12"/>
  <c r="D576" i="12"/>
  <c r="C576" i="12"/>
  <c r="B576" i="12"/>
  <c r="A576" i="12"/>
  <c r="E575" i="12"/>
  <c r="D575" i="12"/>
  <c r="C575" i="12"/>
  <c r="B575" i="12"/>
  <c r="A575" i="12"/>
  <c r="E574" i="12"/>
  <c r="D574" i="12"/>
  <c r="C574" i="12"/>
  <c r="B574" i="12"/>
  <c r="A574" i="12"/>
  <c r="F573" i="12"/>
  <c r="E573" i="12"/>
  <c r="D573" i="12"/>
  <c r="C573" i="12"/>
  <c r="B573" i="12"/>
  <c r="A573" i="12"/>
  <c r="G572" i="12"/>
  <c r="F572" i="12"/>
  <c r="E572" i="12"/>
  <c r="D572" i="12"/>
  <c r="C572" i="12"/>
  <c r="B572" i="12"/>
  <c r="A572" i="12"/>
  <c r="G571" i="12"/>
  <c r="F571" i="12"/>
  <c r="E571" i="12"/>
  <c r="D571" i="12"/>
  <c r="C571" i="12"/>
  <c r="B571" i="12"/>
  <c r="A571" i="12"/>
  <c r="F570" i="12"/>
  <c r="E570" i="12"/>
  <c r="D570" i="12"/>
  <c r="C570" i="12"/>
  <c r="B570" i="12"/>
  <c r="A570" i="12"/>
  <c r="F569" i="12"/>
  <c r="E569" i="12"/>
  <c r="D569" i="12"/>
  <c r="C569" i="12"/>
  <c r="B569" i="12"/>
  <c r="A569" i="12"/>
  <c r="E568" i="12"/>
  <c r="D568" i="12"/>
  <c r="C568" i="12"/>
  <c r="B568" i="12"/>
  <c r="A568" i="12"/>
  <c r="E567" i="12"/>
  <c r="D567" i="12"/>
  <c r="C567" i="12"/>
  <c r="B567" i="12"/>
  <c r="A567" i="12"/>
  <c r="G566" i="12"/>
  <c r="F566" i="12"/>
  <c r="E566" i="12"/>
  <c r="D566" i="12"/>
  <c r="C566" i="12"/>
  <c r="B566" i="12"/>
  <c r="A566" i="12"/>
  <c r="G565" i="12"/>
  <c r="F565" i="12"/>
  <c r="E565" i="12"/>
  <c r="D565" i="12"/>
  <c r="C565" i="12"/>
  <c r="B565" i="12"/>
  <c r="A565" i="12"/>
  <c r="E564" i="12"/>
  <c r="D564" i="12"/>
  <c r="C564" i="12"/>
  <c r="B564" i="12"/>
  <c r="A564" i="12"/>
  <c r="F563" i="12"/>
  <c r="E563" i="12"/>
  <c r="D563" i="12"/>
  <c r="C563" i="12"/>
  <c r="B563" i="12"/>
  <c r="A563" i="12"/>
  <c r="G562" i="12"/>
  <c r="F562" i="12"/>
  <c r="E562" i="12"/>
  <c r="D562" i="12"/>
  <c r="C562" i="12"/>
  <c r="B562" i="12"/>
  <c r="A562" i="12"/>
  <c r="E561" i="12"/>
  <c r="D561" i="12"/>
  <c r="C561" i="12"/>
  <c r="B561" i="12"/>
  <c r="A561" i="12"/>
  <c r="G560" i="12"/>
  <c r="F560" i="12"/>
  <c r="E560" i="12"/>
  <c r="D560" i="12"/>
  <c r="C560" i="12"/>
  <c r="B560" i="12"/>
  <c r="A560" i="12"/>
  <c r="G559" i="12"/>
  <c r="F559" i="12"/>
  <c r="E559" i="12"/>
  <c r="D559" i="12"/>
  <c r="C559" i="12"/>
  <c r="B559" i="12"/>
  <c r="A559" i="12"/>
  <c r="F558" i="12"/>
  <c r="E558" i="12"/>
  <c r="D558" i="12"/>
  <c r="C558" i="12"/>
  <c r="B558" i="12"/>
  <c r="A558" i="12"/>
  <c r="G557" i="12"/>
  <c r="F557" i="12"/>
  <c r="E557" i="12"/>
  <c r="D557" i="12"/>
  <c r="C557" i="12"/>
  <c r="B557" i="12"/>
  <c r="A557" i="12"/>
  <c r="G556" i="12"/>
  <c r="F556" i="12"/>
  <c r="E556" i="12"/>
  <c r="D556" i="12"/>
  <c r="C556" i="12"/>
  <c r="B556" i="12"/>
  <c r="A556" i="12"/>
  <c r="G555" i="12"/>
  <c r="F555" i="12"/>
  <c r="E555" i="12"/>
  <c r="D555" i="12"/>
  <c r="C555" i="12"/>
  <c r="B555" i="12"/>
  <c r="A555" i="12"/>
  <c r="G554" i="12"/>
  <c r="F554" i="12"/>
  <c r="E554" i="12"/>
  <c r="D554" i="12"/>
  <c r="C554" i="12"/>
  <c r="B554" i="12"/>
  <c r="A554" i="12"/>
  <c r="G553" i="12"/>
  <c r="F553" i="12"/>
  <c r="E553" i="12"/>
  <c r="D553" i="12"/>
  <c r="C553" i="12"/>
  <c r="B553" i="12"/>
  <c r="A553" i="12"/>
  <c r="G552" i="12"/>
  <c r="F552" i="12"/>
  <c r="E552" i="12"/>
  <c r="D552" i="12"/>
  <c r="C552" i="12"/>
  <c r="B552" i="12"/>
  <c r="A552" i="12"/>
  <c r="G551" i="12"/>
  <c r="F551" i="12"/>
  <c r="E551" i="12"/>
  <c r="D551" i="12"/>
  <c r="C551" i="12"/>
  <c r="B551" i="12"/>
  <c r="A551" i="12"/>
  <c r="F550" i="12"/>
  <c r="E550" i="12"/>
  <c r="D550" i="12"/>
  <c r="C550" i="12"/>
  <c r="B550" i="12"/>
  <c r="A550" i="12"/>
  <c r="G549" i="12"/>
  <c r="E549" i="12"/>
  <c r="D549" i="12"/>
  <c r="C549" i="12"/>
  <c r="B549" i="12"/>
  <c r="A549" i="12"/>
  <c r="F548" i="12"/>
  <c r="E548" i="12"/>
  <c r="D548" i="12"/>
  <c r="C548" i="12"/>
  <c r="B548" i="12"/>
  <c r="A548" i="12"/>
  <c r="G547" i="12"/>
  <c r="E547" i="12"/>
  <c r="D547" i="12"/>
  <c r="C547" i="12"/>
  <c r="B547" i="12"/>
  <c r="A547" i="12"/>
  <c r="F546" i="12"/>
  <c r="E546" i="12"/>
  <c r="D546" i="12"/>
  <c r="C546" i="12"/>
  <c r="B546" i="12"/>
  <c r="A546" i="12"/>
  <c r="G545" i="12"/>
  <c r="F545" i="12"/>
  <c r="E545" i="12"/>
  <c r="D545" i="12"/>
  <c r="C545" i="12"/>
  <c r="B545" i="12"/>
  <c r="A545" i="12"/>
  <c r="G544" i="12"/>
  <c r="E544" i="12"/>
  <c r="D544" i="12"/>
  <c r="C544" i="12"/>
  <c r="B544" i="12"/>
  <c r="A544" i="12"/>
  <c r="G543" i="12"/>
  <c r="E543" i="12"/>
  <c r="D543" i="12"/>
  <c r="C543" i="12"/>
  <c r="B543" i="12"/>
  <c r="A543" i="12"/>
  <c r="G542" i="12"/>
  <c r="E542" i="12"/>
  <c r="D542" i="12"/>
  <c r="C542" i="12"/>
  <c r="B542" i="12"/>
  <c r="A542" i="12"/>
  <c r="E541" i="12"/>
  <c r="D541" i="12"/>
  <c r="C541" i="12"/>
  <c r="B541" i="12"/>
  <c r="A541" i="12"/>
  <c r="E540" i="12"/>
  <c r="D540" i="12"/>
  <c r="C540" i="12"/>
  <c r="B540" i="12"/>
  <c r="A540" i="12"/>
  <c r="G539" i="12"/>
  <c r="E539" i="12"/>
  <c r="D539" i="12"/>
  <c r="C539" i="12"/>
  <c r="B539" i="12"/>
  <c r="A539" i="12"/>
  <c r="G538" i="12"/>
  <c r="E538" i="12"/>
  <c r="D538" i="12"/>
  <c r="C538" i="12"/>
  <c r="B538" i="12"/>
  <c r="A538" i="12"/>
  <c r="G537" i="12"/>
  <c r="E537" i="12"/>
  <c r="D537" i="12"/>
  <c r="C537" i="12"/>
  <c r="B537" i="12"/>
  <c r="A537" i="12"/>
  <c r="G536" i="12"/>
  <c r="E536" i="12"/>
  <c r="D536" i="12"/>
  <c r="C536" i="12"/>
  <c r="B536" i="12"/>
  <c r="A536" i="12"/>
  <c r="G535" i="12"/>
  <c r="E535" i="12"/>
  <c r="D535" i="12"/>
  <c r="C535" i="12"/>
  <c r="B535" i="12"/>
  <c r="A535" i="12"/>
  <c r="G534" i="12"/>
  <c r="F534" i="12"/>
  <c r="E534" i="12"/>
  <c r="D534" i="12"/>
  <c r="C534" i="12"/>
  <c r="B534" i="12"/>
  <c r="A534" i="12"/>
  <c r="G533" i="12"/>
  <c r="E533" i="12"/>
  <c r="D533" i="12"/>
  <c r="C533" i="12"/>
  <c r="B533" i="12"/>
  <c r="A533" i="12"/>
  <c r="G532" i="12"/>
  <c r="E532" i="12"/>
  <c r="D532" i="12"/>
  <c r="C532" i="12"/>
  <c r="B532" i="12"/>
  <c r="A532" i="12"/>
  <c r="G531" i="12"/>
  <c r="E531" i="12"/>
  <c r="D531" i="12"/>
  <c r="C531" i="12"/>
  <c r="B531" i="12"/>
  <c r="A531" i="12"/>
  <c r="E530" i="12"/>
  <c r="D530" i="12"/>
  <c r="C530" i="12"/>
  <c r="B530" i="12"/>
  <c r="A530" i="12"/>
  <c r="E529" i="12"/>
  <c r="D529" i="12"/>
  <c r="C529" i="12"/>
  <c r="B529" i="12"/>
  <c r="A529" i="12"/>
  <c r="E528" i="12"/>
  <c r="D528" i="12"/>
  <c r="C528" i="12"/>
  <c r="B528" i="12"/>
  <c r="A528" i="12"/>
  <c r="E527" i="12"/>
  <c r="D527" i="12"/>
  <c r="C527" i="12"/>
  <c r="B527" i="12"/>
  <c r="A527" i="12"/>
  <c r="E526" i="12"/>
  <c r="D526" i="12"/>
  <c r="C526" i="12"/>
  <c r="B526" i="12"/>
  <c r="A526" i="12"/>
  <c r="E525" i="12"/>
  <c r="D525" i="12"/>
  <c r="C525" i="12"/>
  <c r="B525" i="12"/>
  <c r="A525" i="12"/>
  <c r="G524" i="12"/>
  <c r="E524" i="12"/>
  <c r="D524" i="12"/>
  <c r="C524" i="12"/>
  <c r="B524" i="12"/>
  <c r="A524" i="12"/>
  <c r="E523" i="12"/>
  <c r="D523" i="12"/>
  <c r="C523" i="12"/>
  <c r="B523" i="12"/>
  <c r="A523" i="12"/>
  <c r="E522" i="12"/>
  <c r="D522" i="12"/>
  <c r="C522" i="12"/>
  <c r="B522" i="12"/>
  <c r="A522" i="12"/>
  <c r="E521" i="12"/>
  <c r="D521" i="12"/>
  <c r="C521" i="12"/>
  <c r="B521" i="12"/>
  <c r="A521" i="12"/>
  <c r="E520" i="12"/>
  <c r="D520" i="12"/>
  <c r="C520" i="12"/>
  <c r="B520" i="12"/>
  <c r="A520" i="12"/>
  <c r="E519" i="12"/>
  <c r="D519" i="12"/>
  <c r="C519" i="12"/>
  <c r="B519" i="12"/>
  <c r="A519" i="12"/>
  <c r="E518" i="12"/>
  <c r="D518" i="12"/>
  <c r="C518" i="12"/>
  <c r="B518" i="12"/>
  <c r="A518" i="12"/>
  <c r="E517" i="12"/>
  <c r="D517" i="12"/>
  <c r="C517" i="12"/>
  <c r="B517" i="12"/>
  <c r="A517" i="12"/>
  <c r="E516" i="12"/>
  <c r="D516" i="12"/>
  <c r="C516" i="12"/>
  <c r="B516" i="12"/>
  <c r="A516" i="12"/>
  <c r="E515" i="12"/>
  <c r="D515" i="12"/>
  <c r="C515" i="12"/>
  <c r="B515" i="12"/>
  <c r="A515" i="12"/>
  <c r="E514" i="12"/>
  <c r="D514" i="12"/>
  <c r="C514" i="12"/>
  <c r="B514" i="12"/>
  <c r="A514" i="12"/>
  <c r="E513" i="12"/>
  <c r="D513" i="12"/>
  <c r="C513" i="12"/>
  <c r="B513" i="12"/>
  <c r="A513" i="12"/>
  <c r="E512" i="12"/>
  <c r="D512" i="12"/>
  <c r="C512" i="12"/>
  <c r="B512" i="12"/>
  <c r="A512" i="12"/>
  <c r="E511" i="12"/>
  <c r="D511" i="12"/>
  <c r="C511" i="12"/>
  <c r="B511" i="12"/>
  <c r="A511" i="12"/>
  <c r="E510" i="12"/>
  <c r="D510" i="12"/>
  <c r="C510" i="12"/>
  <c r="B510" i="12"/>
  <c r="A510" i="12"/>
  <c r="E509" i="12"/>
  <c r="D509" i="12"/>
  <c r="C509" i="12"/>
  <c r="B509" i="12"/>
  <c r="A509" i="12"/>
  <c r="E508" i="12"/>
  <c r="D508" i="12"/>
  <c r="C508" i="12"/>
  <c r="B508" i="12"/>
  <c r="A508" i="12"/>
  <c r="E507" i="12"/>
  <c r="D507" i="12"/>
  <c r="C507" i="12"/>
  <c r="B507" i="12"/>
  <c r="A507" i="12"/>
  <c r="E506" i="12"/>
  <c r="D506" i="12"/>
  <c r="C506" i="12"/>
  <c r="B506" i="12"/>
  <c r="A506" i="12"/>
  <c r="E505" i="12"/>
  <c r="D505" i="12"/>
  <c r="C505" i="12"/>
  <c r="B505" i="12"/>
  <c r="A505" i="12"/>
  <c r="E504" i="12"/>
  <c r="D504" i="12"/>
  <c r="C504" i="12"/>
  <c r="B504" i="12"/>
  <c r="A504" i="12"/>
  <c r="E503" i="12"/>
  <c r="D503" i="12"/>
  <c r="C503" i="12"/>
  <c r="B503" i="12"/>
  <c r="A503" i="12"/>
  <c r="E502" i="12"/>
  <c r="D502" i="12"/>
  <c r="C502" i="12"/>
  <c r="B502" i="12"/>
  <c r="A502" i="12"/>
  <c r="G501" i="12"/>
  <c r="E501" i="12"/>
  <c r="D501" i="12"/>
  <c r="C501" i="12"/>
  <c r="B501" i="12"/>
  <c r="A501" i="12"/>
  <c r="E500" i="12"/>
  <c r="D500" i="12"/>
  <c r="C500" i="12"/>
  <c r="B500" i="12"/>
  <c r="A500" i="12"/>
  <c r="E499" i="12"/>
  <c r="D499" i="12"/>
  <c r="C499" i="12"/>
  <c r="B499" i="12"/>
  <c r="A499" i="12"/>
  <c r="G498" i="12"/>
  <c r="E498" i="12"/>
  <c r="D498" i="12"/>
  <c r="C498" i="12"/>
  <c r="B498" i="12"/>
  <c r="A498" i="12"/>
  <c r="G497" i="12"/>
  <c r="E497" i="12"/>
  <c r="D497" i="12"/>
  <c r="C497" i="12"/>
  <c r="B497" i="12"/>
  <c r="A497" i="12"/>
  <c r="E496" i="12"/>
  <c r="D496" i="12"/>
  <c r="C496" i="12"/>
  <c r="B496" i="12"/>
  <c r="A496" i="12"/>
  <c r="E495" i="12"/>
  <c r="D495" i="12"/>
  <c r="C495" i="12"/>
  <c r="B495" i="12"/>
  <c r="A495" i="12"/>
  <c r="E494" i="12"/>
  <c r="D494" i="12"/>
  <c r="C494" i="12"/>
  <c r="B494" i="12"/>
  <c r="A494" i="12"/>
  <c r="E493" i="12"/>
  <c r="D493" i="12"/>
  <c r="C493" i="12"/>
  <c r="B493" i="12"/>
  <c r="A493" i="12"/>
  <c r="E492" i="12"/>
  <c r="D492" i="12"/>
  <c r="C492" i="12"/>
  <c r="B492" i="12"/>
  <c r="A492" i="12"/>
  <c r="E491" i="12"/>
  <c r="D491" i="12"/>
  <c r="C491" i="12"/>
  <c r="B491" i="12"/>
  <c r="A491" i="12"/>
  <c r="G490" i="12"/>
  <c r="E490" i="12"/>
  <c r="D490" i="12"/>
  <c r="C490" i="12"/>
  <c r="B490" i="12"/>
  <c r="A490" i="12"/>
  <c r="E489" i="12"/>
  <c r="D489" i="12"/>
  <c r="C489" i="12"/>
  <c r="B489" i="12"/>
  <c r="A489" i="12"/>
  <c r="E488" i="12"/>
  <c r="D488" i="12"/>
  <c r="C488" i="12"/>
  <c r="B488" i="12"/>
  <c r="A488" i="12"/>
  <c r="E487" i="12"/>
  <c r="D487" i="12"/>
  <c r="C487" i="12"/>
  <c r="B487" i="12"/>
  <c r="A487" i="12"/>
  <c r="E486" i="12"/>
  <c r="D486" i="12"/>
  <c r="C486" i="12"/>
  <c r="B486" i="12"/>
  <c r="A486" i="12"/>
  <c r="E485" i="12"/>
  <c r="D485" i="12"/>
  <c r="C485" i="12"/>
  <c r="B485" i="12"/>
  <c r="A485" i="12"/>
  <c r="E484" i="12"/>
  <c r="D484" i="12"/>
  <c r="C484" i="12"/>
  <c r="B484" i="12"/>
  <c r="A484" i="12"/>
  <c r="E483" i="12"/>
  <c r="D483" i="12"/>
  <c r="C483" i="12"/>
  <c r="B483" i="12"/>
  <c r="A483" i="12"/>
  <c r="E482" i="12"/>
  <c r="D482" i="12"/>
  <c r="C482" i="12"/>
  <c r="B482" i="12"/>
  <c r="A482" i="12"/>
  <c r="E481" i="12"/>
  <c r="D481" i="12"/>
  <c r="C481" i="12"/>
  <c r="B481" i="12"/>
  <c r="A481" i="12"/>
  <c r="E480" i="12"/>
  <c r="D480" i="12"/>
  <c r="C480" i="12"/>
  <c r="B480" i="12"/>
  <c r="A480" i="12"/>
  <c r="E479" i="12"/>
  <c r="D479" i="12"/>
  <c r="C479" i="12"/>
  <c r="B479" i="12"/>
  <c r="A479" i="12"/>
  <c r="E478" i="12"/>
  <c r="D478" i="12"/>
  <c r="C478" i="12"/>
  <c r="B478" i="12"/>
  <c r="A478" i="12"/>
  <c r="E477" i="12"/>
  <c r="D477" i="12"/>
  <c r="C477" i="12"/>
  <c r="B477" i="12"/>
  <c r="A477" i="12"/>
  <c r="E476" i="12"/>
  <c r="D476" i="12"/>
  <c r="C476" i="12"/>
  <c r="B476" i="12"/>
  <c r="A476" i="12"/>
  <c r="E475" i="12"/>
  <c r="D475" i="12"/>
  <c r="C475" i="12"/>
  <c r="B475" i="12"/>
  <c r="A475" i="12"/>
  <c r="E474" i="12"/>
  <c r="D474" i="12"/>
  <c r="C474" i="12"/>
  <c r="B474" i="12"/>
  <c r="A474" i="12"/>
  <c r="G473" i="12"/>
  <c r="E473" i="12"/>
  <c r="D473" i="12"/>
  <c r="C473" i="12"/>
  <c r="B473" i="12"/>
  <c r="A473" i="12"/>
  <c r="E472" i="12"/>
  <c r="D472" i="12"/>
  <c r="C472" i="12"/>
  <c r="B472" i="12"/>
  <c r="A472" i="12"/>
  <c r="E471" i="12"/>
  <c r="D471" i="12"/>
  <c r="C471" i="12"/>
  <c r="B471" i="12"/>
  <c r="A471" i="12"/>
  <c r="E470" i="12"/>
  <c r="D470" i="12"/>
  <c r="C470" i="12"/>
  <c r="B470" i="12"/>
  <c r="A470" i="12"/>
  <c r="G469" i="12"/>
  <c r="E469" i="12"/>
  <c r="D469" i="12"/>
  <c r="C469" i="12"/>
  <c r="B469" i="12"/>
  <c r="A469" i="12"/>
  <c r="G468" i="12"/>
  <c r="E468" i="12"/>
  <c r="D468" i="12"/>
  <c r="C468" i="12"/>
  <c r="B468" i="12"/>
  <c r="A468" i="12"/>
  <c r="G467" i="12"/>
  <c r="E467" i="12"/>
  <c r="D467" i="12"/>
  <c r="C467" i="12"/>
  <c r="B467" i="12"/>
  <c r="A467" i="12"/>
  <c r="E466" i="12"/>
  <c r="D466" i="12"/>
  <c r="C466" i="12"/>
  <c r="B466" i="12"/>
  <c r="A466" i="12"/>
  <c r="E465" i="12"/>
  <c r="D465" i="12"/>
  <c r="C465" i="12"/>
  <c r="B465" i="12"/>
  <c r="A465" i="12"/>
  <c r="G464" i="12"/>
  <c r="E464" i="12"/>
  <c r="D464" i="12"/>
  <c r="C464" i="12"/>
  <c r="B464" i="12"/>
  <c r="A464" i="12"/>
  <c r="E463" i="12"/>
  <c r="D463" i="12"/>
  <c r="C463" i="12"/>
  <c r="B463" i="12"/>
  <c r="A463" i="12"/>
  <c r="G462" i="12"/>
  <c r="E462" i="12"/>
  <c r="D462" i="12"/>
  <c r="C462" i="12"/>
  <c r="B462" i="12"/>
  <c r="A462" i="12"/>
  <c r="G461" i="12"/>
  <c r="E461" i="12"/>
  <c r="D461" i="12"/>
  <c r="C461" i="12"/>
  <c r="B461" i="12"/>
  <c r="A461" i="12"/>
  <c r="G460" i="12"/>
  <c r="E460" i="12"/>
  <c r="D460" i="12"/>
  <c r="C460" i="12"/>
  <c r="B460" i="12"/>
  <c r="A460" i="12"/>
  <c r="E459" i="12"/>
  <c r="D459" i="12"/>
  <c r="C459" i="12"/>
  <c r="B459" i="12"/>
  <c r="A459" i="12"/>
  <c r="G458" i="12"/>
  <c r="E458" i="12"/>
  <c r="D458" i="12"/>
  <c r="C458" i="12"/>
  <c r="B458" i="12"/>
  <c r="A458" i="12"/>
  <c r="G457" i="12"/>
  <c r="E457" i="12"/>
  <c r="D457" i="12"/>
  <c r="C457" i="12"/>
  <c r="B457" i="12"/>
  <c r="A457" i="12"/>
  <c r="E456" i="12"/>
  <c r="D456" i="12"/>
  <c r="C456" i="12"/>
  <c r="B456" i="12"/>
  <c r="A456" i="12"/>
  <c r="E455" i="12"/>
  <c r="D455" i="12"/>
  <c r="C455" i="12"/>
  <c r="B455" i="12"/>
  <c r="A455" i="12"/>
  <c r="E454" i="12"/>
  <c r="D454" i="12"/>
  <c r="C454" i="12"/>
  <c r="B454" i="12"/>
  <c r="A454" i="12"/>
  <c r="G453" i="12"/>
  <c r="E453" i="12"/>
  <c r="D453" i="12"/>
  <c r="C453" i="12"/>
  <c r="B453" i="12"/>
  <c r="A453" i="12"/>
  <c r="E452" i="12"/>
  <c r="D452" i="12"/>
  <c r="C452" i="12"/>
  <c r="B452" i="12"/>
  <c r="A452" i="12"/>
  <c r="G451" i="12"/>
  <c r="E451" i="12"/>
  <c r="D451" i="12"/>
  <c r="C451" i="12"/>
  <c r="B451" i="12"/>
  <c r="A451" i="12"/>
  <c r="E450" i="12"/>
  <c r="D450" i="12"/>
  <c r="C450" i="12"/>
  <c r="B450" i="12"/>
  <c r="A450" i="12"/>
  <c r="E449" i="12"/>
  <c r="D449" i="12"/>
  <c r="C449" i="12"/>
  <c r="B449" i="12"/>
  <c r="A449" i="12"/>
  <c r="G448" i="12"/>
  <c r="E448" i="12"/>
  <c r="D448" i="12"/>
  <c r="C448" i="12"/>
  <c r="B448" i="12"/>
  <c r="A448" i="12"/>
  <c r="E447" i="12"/>
  <c r="D447" i="12"/>
  <c r="C447" i="12"/>
  <c r="B447" i="12"/>
  <c r="A447" i="12"/>
  <c r="G446" i="12"/>
  <c r="E446" i="12"/>
  <c r="D446" i="12"/>
  <c r="C446" i="12"/>
  <c r="B446" i="12"/>
  <c r="A446" i="12"/>
  <c r="G445" i="12"/>
  <c r="E445" i="12"/>
  <c r="D445" i="12"/>
  <c r="C445" i="12"/>
  <c r="B445" i="12"/>
  <c r="A445" i="12"/>
  <c r="G444" i="12"/>
  <c r="E444" i="12"/>
  <c r="D444" i="12"/>
  <c r="C444" i="12"/>
  <c r="B444" i="12"/>
  <c r="A444" i="12"/>
  <c r="E443" i="12"/>
  <c r="D443" i="12"/>
  <c r="C443" i="12"/>
  <c r="B443" i="12"/>
  <c r="A443" i="12"/>
  <c r="E442" i="12"/>
  <c r="D442" i="12"/>
  <c r="C442" i="12"/>
  <c r="B442" i="12"/>
  <c r="A442" i="12"/>
  <c r="G441" i="12"/>
  <c r="E441" i="12"/>
  <c r="D441" i="12"/>
  <c r="C441" i="12"/>
  <c r="B441" i="12"/>
  <c r="A441" i="12"/>
  <c r="G440" i="12"/>
  <c r="F440" i="12"/>
  <c r="E440" i="12"/>
  <c r="D440" i="12"/>
  <c r="C440" i="12"/>
  <c r="B440" i="12"/>
  <c r="A440" i="12"/>
  <c r="G439" i="12"/>
  <c r="F439" i="12"/>
  <c r="E439" i="12"/>
  <c r="D439" i="12"/>
  <c r="C439" i="12"/>
  <c r="B439" i="12"/>
  <c r="A439" i="12"/>
  <c r="G438" i="12"/>
  <c r="E438" i="12"/>
  <c r="D438" i="12"/>
  <c r="C438" i="12"/>
  <c r="B438" i="12"/>
  <c r="A438" i="12"/>
  <c r="G437" i="12"/>
  <c r="F437" i="12"/>
  <c r="E437" i="12"/>
  <c r="D437" i="12"/>
  <c r="C437" i="12"/>
  <c r="B437" i="12"/>
  <c r="A437" i="12"/>
  <c r="G436" i="12"/>
  <c r="F436" i="12"/>
  <c r="E436" i="12"/>
  <c r="D436" i="12"/>
  <c r="C436" i="12"/>
  <c r="B436" i="12"/>
  <c r="A436" i="12"/>
  <c r="G435" i="12"/>
  <c r="F435" i="12"/>
  <c r="E435" i="12"/>
  <c r="D435" i="12"/>
  <c r="C435" i="12"/>
  <c r="B435" i="12"/>
  <c r="A435" i="12"/>
  <c r="G434" i="12"/>
  <c r="F434" i="12"/>
  <c r="E434" i="12"/>
  <c r="D434" i="12"/>
  <c r="C434" i="12"/>
  <c r="B434" i="12"/>
  <c r="A434" i="12"/>
  <c r="G433" i="12"/>
  <c r="F433" i="12"/>
  <c r="E433" i="12"/>
  <c r="D433" i="12"/>
  <c r="C433" i="12"/>
  <c r="B433" i="12"/>
  <c r="A433" i="12"/>
  <c r="G432" i="12"/>
  <c r="F432" i="12"/>
  <c r="E432" i="12"/>
  <c r="D432" i="12"/>
  <c r="C432" i="12"/>
  <c r="B432" i="12"/>
  <c r="A432" i="12"/>
  <c r="G431" i="12"/>
  <c r="E431" i="12"/>
  <c r="D431" i="12"/>
  <c r="C431" i="12"/>
  <c r="B431" i="12"/>
  <c r="A431" i="12"/>
  <c r="G430" i="12"/>
  <c r="F430" i="12"/>
  <c r="E430" i="12"/>
  <c r="D430" i="12"/>
  <c r="C430" i="12"/>
  <c r="B430" i="12"/>
  <c r="A430" i="12"/>
  <c r="G429" i="12"/>
  <c r="F429" i="12"/>
  <c r="E429" i="12"/>
  <c r="D429" i="12"/>
  <c r="C429" i="12"/>
  <c r="B429" i="12"/>
  <c r="A429" i="12"/>
  <c r="G428" i="12"/>
  <c r="E428" i="12"/>
  <c r="D428" i="12"/>
  <c r="C428" i="12"/>
  <c r="B428" i="12"/>
  <c r="A428" i="12"/>
  <c r="G427" i="12"/>
  <c r="E427" i="12"/>
  <c r="D427" i="12"/>
  <c r="C427" i="12"/>
  <c r="B427" i="12"/>
  <c r="A427" i="12"/>
  <c r="G426" i="12"/>
  <c r="F426" i="12"/>
  <c r="E426" i="12"/>
  <c r="D426" i="12"/>
  <c r="C426" i="12"/>
  <c r="B426" i="12"/>
  <c r="A426" i="12"/>
  <c r="G425" i="12"/>
  <c r="E425" i="12"/>
  <c r="D425" i="12"/>
  <c r="C425" i="12"/>
  <c r="B425" i="12"/>
  <c r="A425" i="12"/>
  <c r="G424" i="12"/>
  <c r="F424" i="12"/>
  <c r="E424" i="12"/>
  <c r="D424" i="12"/>
  <c r="C424" i="12"/>
  <c r="B424" i="12"/>
  <c r="A424" i="12"/>
  <c r="G423" i="12"/>
  <c r="F423" i="12"/>
  <c r="E423" i="12"/>
  <c r="D423" i="12"/>
  <c r="C423" i="12"/>
  <c r="B423" i="12"/>
  <c r="A423" i="12"/>
  <c r="G422" i="12"/>
  <c r="F422" i="12"/>
  <c r="E422" i="12"/>
  <c r="D422" i="12"/>
  <c r="C422" i="12"/>
  <c r="B422" i="12"/>
  <c r="A422" i="12"/>
  <c r="G421" i="12"/>
  <c r="F421" i="12"/>
  <c r="E421" i="12"/>
  <c r="D421" i="12"/>
  <c r="C421" i="12"/>
  <c r="B421" i="12"/>
  <c r="A421" i="12"/>
  <c r="G420" i="12"/>
  <c r="F420" i="12"/>
  <c r="E420" i="12"/>
  <c r="D420" i="12"/>
  <c r="C420" i="12"/>
  <c r="B420" i="12"/>
  <c r="A420" i="12"/>
  <c r="G419" i="12"/>
  <c r="F419" i="12"/>
  <c r="E419" i="12"/>
  <c r="D419" i="12"/>
  <c r="C419" i="12"/>
  <c r="B419" i="12"/>
  <c r="A419" i="12"/>
  <c r="G418" i="12"/>
  <c r="F418" i="12"/>
  <c r="E418" i="12"/>
  <c r="D418" i="12"/>
  <c r="C418" i="12"/>
  <c r="B418" i="12"/>
  <c r="A418" i="12"/>
  <c r="G417" i="12"/>
  <c r="F417" i="12"/>
  <c r="E417" i="12"/>
  <c r="D417" i="12"/>
  <c r="C417" i="12"/>
  <c r="B417" i="12"/>
  <c r="A417" i="12"/>
  <c r="G416" i="12"/>
  <c r="F416" i="12"/>
  <c r="E416" i="12"/>
  <c r="D416" i="12"/>
  <c r="C416" i="12"/>
  <c r="B416" i="12"/>
  <c r="A416" i="12"/>
  <c r="G415" i="12"/>
  <c r="E415" i="12"/>
  <c r="D415" i="12"/>
  <c r="C415" i="12"/>
  <c r="B415" i="12"/>
  <c r="A415" i="12"/>
  <c r="G414" i="12"/>
  <c r="F414" i="12"/>
  <c r="E414" i="12"/>
  <c r="D414" i="12"/>
  <c r="C414" i="12"/>
  <c r="B414" i="12"/>
  <c r="A414" i="12"/>
  <c r="G413" i="12"/>
  <c r="F413" i="12"/>
  <c r="E413" i="12"/>
  <c r="D413" i="12"/>
  <c r="C413" i="12"/>
  <c r="B413" i="12"/>
  <c r="A413" i="12"/>
  <c r="G412" i="12"/>
  <c r="F412" i="12"/>
  <c r="E412" i="12"/>
  <c r="D412" i="12"/>
  <c r="C412" i="12"/>
  <c r="B412" i="12"/>
  <c r="A412" i="12"/>
  <c r="G411" i="12"/>
  <c r="F411" i="12"/>
  <c r="E411" i="12"/>
  <c r="D411" i="12"/>
  <c r="C411" i="12"/>
  <c r="B411" i="12"/>
  <c r="A411" i="12"/>
  <c r="G410" i="12"/>
  <c r="E410" i="12"/>
  <c r="D410" i="12"/>
  <c r="C410" i="12"/>
  <c r="B410" i="12"/>
  <c r="A410" i="12"/>
  <c r="G409" i="12"/>
  <c r="E409" i="12"/>
  <c r="D409" i="12"/>
  <c r="C409" i="12"/>
  <c r="B409" i="12"/>
  <c r="A409" i="12"/>
  <c r="G408" i="12"/>
  <c r="F408" i="12"/>
  <c r="E408" i="12"/>
  <c r="D408" i="12"/>
  <c r="C408" i="12"/>
  <c r="B408" i="12"/>
  <c r="A408" i="12"/>
  <c r="G407" i="12"/>
  <c r="F407" i="12"/>
  <c r="E407" i="12"/>
  <c r="D407" i="12"/>
  <c r="C407" i="12"/>
  <c r="B407" i="12"/>
  <c r="A407" i="12"/>
  <c r="G406" i="12"/>
  <c r="F406" i="12"/>
  <c r="E406" i="12"/>
  <c r="D406" i="12"/>
  <c r="C406" i="12"/>
  <c r="B406" i="12"/>
  <c r="A406" i="12"/>
  <c r="E405" i="12"/>
  <c r="D405" i="12"/>
  <c r="C405" i="12"/>
  <c r="B405" i="12"/>
  <c r="A405" i="12"/>
  <c r="G404" i="12"/>
  <c r="E404" i="12"/>
  <c r="D404" i="12"/>
  <c r="C404" i="12"/>
  <c r="B404" i="12"/>
  <c r="A404" i="12"/>
  <c r="E403" i="12"/>
  <c r="D403" i="12"/>
  <c r="C403" i="12"/>
  <c r="B403" i="12"/>
  <c r="A403" i="12"/>
  <c r="G402" i="12"/>
  <c r="E402" i="12"/>
  <c r="D402" i="12"/>
  <c r="C402" i="12"/>
  <c r="B402" i="12"/>
  <c r="A402" i="12"/>
  <c r="G401" i="12"/>
  <c r="E401" i="12"/>
  <c r="D401" i="12"/>
  <c r="C401" i="12"/>
  <c r="B401" i="12"/>
  <c r="A401" i="12"/>
  <c r="G400" i="12"/>
  <c r="E400" i="12"/>
  <c r="D400" i="12"/>
  <c r="C400" i="12"/>
  <c r="B400" i="12"/>
  <c r="A400" i="12"/>
  <c r="E399" i="12"/>
  <c r="D399" i="12"/>
  <c r="C399" i="12"/>
  <c r="B399" i="12"/>
  <c r="A399" i="12"/>
  <c r="E398" i="12"/>
  <c r="D398" i="12"/>
  <c r="C398" i="12"/>
  <c r="B398" i="12"/>
  <c r="A398" i="12"/>
  <c r="E397" i="12"/>
  <c r="D397" i="12"/>
  <c r="C397" i="12"/>
  <c r="B397" i="12"/>
  <c r="A397" i="12"/>
  <c r="E396" i="12"/>
  <c r="D396" i="12"/>
  <c r="C396" i="12"/>
  <c r="B396" i="12"/>
  <c r="A396" i="12"/>
  <c r="E395" i="12"/>
  <c r="D395" i="12"/>
  <c r="C395" i="12"/>
  <c r="B395" i="12"/>
  <c r="A395" i="12"/>
  <c r="E394" i="12"/>
  <c r="D394" i="12"/>
  <c r="C394" i="12"/>
  <c r="B394" i="12"/>
  <c r="A394" i="12"/>
  <c r="E393" i="12"/>
  <c r="D393" i="12"/>
  <c r="C393" i="12"/>
  <c r="B393" i="12"/>
  <c r="A393" i="12"/>
  <c r="E392" i="12"/>
  <c r="D392" i="12"/>
  <c r="C392" i="12"/>
  <c r="B392" i="12"/>
  <c r="A392" i="12"/>
  <c r="E391" i="12"/>
  <c r="D391" i="12"/>
  <c r="C391" i="12"/>
  <c r="B391" i="12"/>
  <c r="A391" i="12"/>
  <c r="D390" i="12"/>
  <c r="C390" i="12"/>
  <c r="B390" i="12"/>
  <c r="A390" i="12"/>
  <c r="E389" i="12"/>
  <c r="D389" i="12"/>
  <c r="C389" i="12"/>
  <c r="B389" i="12"/>
  <c r="A389" i="12"/>
  <c r="E388" i="12"/>
  <c r="D388" i="12"/>
  <c r="C388" i="12"/>
  <c r="B388" i="12"/>
  <c r="A388" i="12"/>
  <c r="E387" i="12"/>
  <c r="D387" i="12"/>
  <c r="C387" i="12"/>
  <c r="B387" i="12"/>
  <c r="A387" i="12"/>
  <c r="E386" i="12"/>
  <c r="D386" i="12"/>
  <c r="C386" i="12"/>
  <c r="B386" i="12"/>
  <c r="A386" i="12"/>
  <c r="E385" i="12"/>
  <c r="D385" i="12"/>
  <c r="C385" i="12"/>
  <c r="B385" i="12"/>
  <c r="A385" i="12"/>
  <c r="E384" i="12"/>
  <c r="D384" i="12"/>
  <c r="C384" i="12"/>
  <c r="B384" i="12"/>
  <c r="A384" i="12"/>
  <c r="E383" i="12"/>
  <c r="D383" i="12"/>
  <c r="C383" i="12"/>
  <c r="B383" i="12"/>
  <c r="A383" i="12"/>
  <c r="E382" i="12"/>
  <c r="D382" i="12"/>
  <c r="C382" i="12"/>
  <c r="B382" i="12"/>
  <c r="A382" i="12"/>
  <c r="E381" i="12"/>
  <c r="D381" i="12"/>
  <c r="C381" i="12"/>
  <c r="B381" i="12"/>
  <c r="A381" i="12"/>
  <c r="F380" i="12"/>
  <c r="E380" i="12"/>
  <c r="D380" i="12"/>
  <c r="C380" i="12"/>
  <c r="B380" i="12"/>
  <c r="A380" i="12"/>
  <c r="F379" i="12"/>
  <c r="E379" i="12"/>
  <c r="D379" i="12"/>
  <c r="C379" i="12"/>
  <c r="B379" i="12"/>
  <c r="A379" i="12"/>
  <c r="E378" i="12"/>
  <c r="D378" i="12"/>
  <c r="C378" i="12"/>
  <c r="B378" i="12"/>
  <c r="A378" i="12"/>
  <c r="E377" i="12"/>
  <c r="D377" i="12"/>
  <c r="C377" i="12"/>
  <c r="B377" i="12"/>
  <c r="A377" i="12"/>
  <c r="E376" i="12"/>
  <c r="D376" i="12"/>
  <c r="C376" i="12"/>
  <c r="B376" i="12"/>
  <c r="A376" i="12"/>
  <c r="E375" i="12"/>
  <c r="D375" i="12"/>
  <c r="C375" i="12"/>
  <c r="B375" i="12"/>
  <c r="A375" i="12"/>
  <c r="E374" i="12"/>
  <c r="D374" i="12"/>
  <c r="C374" i="12"/>
  <c r="B374" i="12"/>
  <c r="A374" i="12"/>
  <c r="E373" i="12"/>
  <c r="D373" i="12"/>
  <c r="C373" i="12"/>
  <c r="B373" i="12"/>
  <c r="A373" i="12"/>
  <c r="E372" i="12"/>
  <c r="D372" i="12"/>
  <c r="C372" i="12"/>
  <c r="B372" i="12"/>
  <c r="A372" i="12"/>
  <c r="E371" i="12"/>
  <c r="D371" i="12"/>
  <c r="C371" i="12"/>
  <c r="B371" i="12"/>
  <c r="A371" i="12"/>
  <c r="E370" i="12"/>
  <c r="D370" i="12"/>
  <c r="C370" i="12"/>
  <c r="B370" i="12"/>
  <c r="A370" i="12"/>
  <c r="E369" i="12"/>
  <c r="D369" i="12"/>
  <c r="C369" i="12"/>
  <c r="B369" i="12"/>
  <c r="A369" i="12"/>
  <c r="E368" i="12"/>
  <c r="D368" i="12"/>
  <c r="C368" i="12"/>
  <c r="B368" i="12"/>
  <c r="A368" i="12"/>
  <c r="E367" i="12"/>
  <c r="D367" i="12"/>
  <c r="C367" i="12"/>
  <c r="B367" i="12"/>
  <c r="A367" i="12"/>
  <c r="E366" i="12"/>
  <c r="D366" i="12"/>
  <c r="C366" i="12"/>
  <c r="B366" i="12"/>
  <c r="A366" i="12"/>
  <c r="E365" i="12"/>
  <c r="D365" i="12"/>
  <c r="C365" i="12"/>
  <c r="B365" i="12"/>
  <c r="A365" i="12"/>
  <c r="E364" i="12"/>
  <c r="D364" i="12"/>
  <c r="C364" i="12"/>
  <c r="B364" i="12"/>
  <c r="A364" i="12"/>
  <c r="E363" i="12"/>
  <c r="D363" i="12"/>
  <c r="C363" i="12"/>
  <c r="B363" i="12"/>
  <c r="A363" i="12"/>
  <c r="E362" i="12"/>
  <c r="D362" i="12"/>
  <c r="C362" i="12"/>
  <c r="B362" i="12"/>
  <c r="A362" i="12"/>
  <c r="E361" i="12"/>
  <c r="D361" i="12"/>
  <c r="C361" i="12"/>
  <c r="B361" i="12"/>
  <c r="A361" i="12"/>
  <c r="E360" i="12"/>
  <c r="D360" i="12"/>
  <c r="C360" i="12"/>
  <c r="B360" i="12"/>
  <c r="A360" i="12"/>
  <c r="G359" i="12"/>
  <c r="E359" i="12"/>
  <c r="D359" i="12"/>
  <c r="C359" i="12"/>
  <c r="B359" i="12"/>
  <c r="A359" i="12"/>
  <c r="G358" i="12"/>
  <c r="E358" i="12"/>
  <c r="D358" i="12"/>
  <c r="C358" i="12"/>
  <c r="B358" i="12"/>
  <c r="A358" i="12"/>
  <c r="G357" i="12"/>
  <c r="E357" i="12"/>
  <c r="D357" i="12"/>
  <c r="C357" i="12"/>
  <c r="B357" i="12"/>
  <c r="A357" i="12"/>
  <c r="G356" i="12"/>
  <c r="E356" i="12"/>
  <c r="D356" i="12"/>
  <c r="C356" i="12"/>
  <c r="B356" i="12"/>
  <c r="A356" i="12"/>
  <c r="G355" i="12"/>
  <c r="E355" i="12"/>
  <c r="D355" i="12"/>
  <c r="C355" i="12"/>
  <c r="B355" i="12"/>
  <c r="A355" i="12"/>
  <c r="G354" i="12"/>
  <c r="E354" i="12"/>
  <c r="D354" i="12"/>
  <c r="C354" i="12"/>
  <c r="B354" i="12"/>
  <c r="A354" i="12"/>
  <c r="E353" i="12"/>
  <c r="D353" i="12"/>
  <c r="C353" i="12"/>
  <c r="B353" i="12"/>
  <c r="A353" i="12"/>
  <c r="G352" i="12"/>
  <c r="E352" i="12"/>
  <c r="D352" i="12"/>
  <c r="C352" i="12"/>
  <c r="B352" i="12"/>
  <c r="A352" i="12"/>
  <c r="G351" i="12"/>
  <c r="E351" i="12"/>
  <c r="D351" i="12"/>
  <c r="C351" i="12"/>
  <c r="B351" i="12"/>
  <c r="A351" i="12"/>
  <c r="G350" i="12"/>
  <c r="E350" i="12"/>
  <c r="D350" i="12"/>
  <c r="C350" i="12"/>
  <c r="B350" i="12"/>
  <c r="A350" i="12"/>
  <c r="G349" i="12"/>
  <c r="E349" i="12"/>
  <c r="D349" i="12"/>
  <c r="C349" i="12"/>
  <c r="B349" i="12"/>
  <c r="A349" i="12"/>
  <c r="E348" i="12"/>
  <c r="D348" i="12"/>
  <c r="C348" i="12"/>
  <c r="B348" i="12"/>
  <c r="A348" i="12"/>
  <c r="E347" i="12"/>
  <c r="D347" i="12"/>
  <c r="C347" i="12"/>
  <c r="B347" i="12"/>
  <c r="A347" i="12"/>
  <c r="E346" i="12"/>
  <c r="D346" i="12"/>
  <c r="C346" i="12"/>
  <c r="B346" i="12"/>
  <c r="A346" i="12"/>
  <c r="E345" i="12"/>
  <c r="D345" i="12"/>
  <c r="C345" i="12"/>
  <c r="B345" i="12"/>
  <c r="A345" i="12"/>
  <c r="E344" i="12"/>
  <c r="D344" i="12"/>
  <c r="C344" i="12"/>
  <c r="B344" i="12"/>
  <c r="A344" i="12"/>
  <c r="E343" i="12"/>
  <c r="D343" i="12"/>
  <c r="C343" i="12"/>
  <c r="B343" i="12"/>
  <c r="A343" i="12"/>
  <c r="E342" i="12"/>
  <c r="D342" i="12"/>
  <c r="C342" i="12"/>
  <c r="B342" i="12"/>
  <c r="A342" i="12"/>
  <c r="E341" i="12"/>
  <c r="D341" i="12"/>
  <c r="C341" i="12"/>
  <c r="B341" i="12"/>
  <c r="A341" i="12"/>
  <c r="E340" i="12"/>
  <c r="D340" i="12"/>
  <c r="C340" i="12"/>
  <c r="B340" i="12"/>
  <c r="A340" i="12"/>
  <c r="E339" i="12"/>
  <c r="D339" i="12"/>
  <c r="C339" i="12"/>
  <c r="B339" i="12"/>
  <c r="A339" i="12"/>
  <c r="E338" i="12"/>
  <c r="D338" i="12"/>
  <c r="C338" i="12"/>
  <c r="B338" i="12"/>
  <c r="A338" i="12"/>
  <c r="E337" i="12"/>
  <c r="D337" i="12"/>
  <c r="C337" i="12"/>
  <c r="B337" i="12"/>
  <c r="A337" i="12"/>
  <c r="E336" i="12"/>
  <c r="D336" i="12"/>
  <c r="C336" i="12"/>
  <c r="B336" i="12"/>
  <c r="A336" i="12"/>
  <c r="E335" i="12"/>
  <c r="D335" i="12"/>
  <c r="C335" i="12"/>
  <c r="B335" i="12"/>
  <c r="A335" i="12"/>
  <c r="E334" i="12"/>
  <c r="D334" i="12"/>
  <c r="C334" i="12"/>
  <c r="B334" i="12"/>
  <c r="A334" i="12"/>
  <c r="E333" i="12"/>
  <c r="D333" i="12"/>
  <c r="C333" i="12"/>
  <c r="B333" i="12"/>
  <c r="A333" i="12"/>
  <c r="E332" i="12"/>
  <c r="D332" i="12"/>
  <c r="C332" i="12"/>
  <c r="B332" i="12"/>
  <c r="A332" i="12"/>
  <c r="E331" i="12"/>
  <c r="D331" i="12"/>
  <c r="C331" i="12"/>
  <c r="B331" i="12"/>
  <c r="A331" i="12"/>
  <c r="E330" i="12"/>
  <c r="D330" i="12"/>
  <c r="C330" i="12"/>
  <c r="B330" i="12"/>
  <c r="A330" i="12"/>
  <c r="E329" i="12"/>
  <c r="D329" i="12"/>
  <c r="C329" i="12"/>
  <c r="B329" i="12"/>
  <c r="A329" i="12"/>
  <c r="E328" i="12"/>
  <c r="D328" i="12"/>
  <c r="C328" i="12"/>
  <c r="B328" i="12"/>
  <c r="A328" i="12"/>
  <c r="E327" i="12"/>
  <c r="D327" i="12"/>
  <c r="C327" i="12"/>
  <c r="B327" i="12"/>
  <c r="A327" i="12"/>
  <c r="E326" i="12"/>
  <c r="D326" i="12"/>
  <c r="C326" i="12"/>
  <c r="B326" i="12"/>
  <c r="A326" i="12"/>
  <c r="E325" i="12"/>
  <c r="D325" i="12"/>
  <c r="C325" i="12"/>
  <c r="B325" i="12"/>
  <c r="A325" i="12"/>
  <c r="E324" i="12"/>
  <c r="D324" i="12"/>
  <c r="C324" i="12"/>
  <c r="B324" i="12"/>
  <c r="A324" i="12"/>
  <c r="E323" i="12"/>
  <c r="D323" i="12"/>
  <c r="C323" i="12"/>
  <c r="B323" i="12"/>
  <c r="A323" i="12"/>
  <c r="E322" i="12"/>
  <c r="D322" i="12"/>
  <c r="C322" i="12"/>
  <c r="B322" i="12"/>
  <c r="A322" i="12"/>
  <c r="E321" i="12"/>
  <c r="D321" i="12"/>
  <c r="C321" i="12"/>
  <c r="B321" i="12"/>
  <c r="A321" i="12"/>
  <c r="E320" i="12"/>
  <c r="D320" i="12"/>
  <c r="C320" i="12"/>
  <c r="B320" i="12"/>
  <c r="A320" i="12"/>
  <c r="E319" i="12"/>
  <c r="D319" i="12"/>
  <c r="C319" i="12"/>
  <c r="B319" i="12"/>
  <c r="A319" i="12"/>
  <c r="E318" i="12"/>
  <c r="D318" i="12"/>
  <c r="C318" i="12"/>
  <c r="B318" i="12"/>
  <c r="A318" i="12"/>
  <c r="E317" i="12"/>
  <c r="D317" i="12"/>
  <c r="C317" i="12"/>
  <c r="B317" i="12"/>
  <c r="A317" i="12"/>
  <c r="E316" i="12"/>
  <c r="D316" i="12"/>
  <c r="C316" i="12"/>
  <c r="B316" i="12"/>
  <c r="A316" i="12"/>
  <c r="E315" i="12"/>
  <c r="D315" i="12"/>
  <c r="C315" i="12"/>
  <c r="B315" i="12"/>
  <c r="A315" i="12"/>
  <c r="E314" i="12"/>
  <c r="D314" i="12"/>
  <c r="C314" i="12"/>
  <c r="B314" i="12"/>
  <c r="A314" i="12"/>
  <c r="E313" i="12"/>
  <c r="D313" i="12"/>
  <c r="C313" i="12"/>
  <c r="B313" i="12"/>
  <c r="A313" i="12"/>
  <c r="E312" i="12"/>
  <c r="D312" i="12"/>
  <c r="C312" i="12"/>
  <c r="B312" i="12"/>
  <c r="A312" i="12"/>
  <c r="E311" i="12"/>
  <c r="D311" i="12"/>
  <c r="C311" i="12"/>
  <c r="B311" i="12"/>
  <c r="A311" i="12"/>
  <c r="E310" i="12"/>
  <c r="D310" i="12"/>
  <c r="C310" i="12"/>
  <c r="B310" i="12"/>
  <c r="A310" i="12"/>
  <c r="E309" i="12"/>
  <c r="D309" i="12"/>
  <c r="C309" i="12"/>
  <c r="B309" i="12"/>
  <c r="A309" i="12"/>
  <c r="E308" i="12"/>
  <c r="D308" i="12"/>
  <c r="C308" i="12"/>
  <c r="B308" i="12"/>
  <c r="A308" i="12"/>
  <c r="E307" i="12"/>
  <c r="D307" i="12"/>
  <c r="C307" i="12"/>
  <c r="B307" i="12"/>
  <c r="A307" i="12"/>
  <c r="E306" i="12"/>
  <c r="D306" i="12"/>
  <c r="C306" i="12"/>
  <c r="B306" i="12"/>
  <c r="A306" i="12"/>
  <c r="E305" i="12"/>
  <c r="D305" i="12"/>
  <c r="C305" i="12"/>
  <c r="B305" i="12"/>
  <c r="A305" i="12"/>
  <c r="E304" i="12"/>
  <c r="D304" i="12"/>
  <c r="C304" i="12"/>
  <c r="B304" i="12"/>
  <c r="A304" i="12"/>
  <c r="E303" i="12"/>
  <c r="D303" i="12"/>
  <c r="C303" i="12"/>
  <c r="B303" i="12"/>
  <c r="A303" i="12"/>
  <c r="G302" i="12"/>
  <c r="E302" i="12"/>
  <c r="D302" i="12"/>
  <c r="C302" i="12"/>
  <c r="B302" i="12"/>
  <c r="A302" i="12"/>
  <c r="E301" i="12"/>
  <c r="D301" i="12"/>
  <c r="C301" i="12"/>
  <c r="B301" i="12"/>
  <c r="A301" i="12"/>
  <c r="G300" i="12"/>
  <c r="E300" i="12"/>
  <c r="D300" i="12"/>
  <c r="C300" i="12"/>
  <c r="B300" i="12"/>
  <c r="A300" i="12"/>
  <c r="G299" i="12"/>
  <c r="E299" i="12"/>
  <c r="D299" i="12"/>
  <c r="C299" i="12"/>
  <c r="B299" i="12"/>
  <c r="A299" i="12"/>
  <c r="E298" i="12"/>
  <c r="D298" i="12"/>
  <c r="C298" i="12"/>
  <c r="B298" i="12"/>
  <c r="A298" i="12"/>
  <c r="G297" i="12"/>
  <c r="E297" i="12"/>
  <c r="D297" i="12"/>
  <c r="C297" i="12"/>
  <c r="B297" i="12"/>
  <c r="A297" i="12"/>
  <c r="E296" i="12"/>
  <c r="D296" i="12"/>
  <c r="C296" i="12"/>
  <c r="B296" i="12"/>
  <c r="A296" i="12"/>
  <c r="E295" i="12"/>
  <c r="D295" i="12"/>
  <c r="C295" i="12"/>
  <c r="B295" i="12"/>
  <c r="A295" i="12"/>
  <c r="E294" i="12"/>
  <c r="D294" i="12"/>
  <c r="C294" i="12"/>
  <c r="B294" i="12"/>
  <c r="A294" i="12"/>
  <c r="G293" i="12"/>
  <c r="E293" i="12"/>
  <c r="D293" i="12"/>
  <c r="C293" i="12"/>
  <c r="B293" i="12"/>
  <c r="A293" i="12"/>
  <c r="E292" i="12"/>
  <c r="D292" i="12"/>
  <c r="C292" i="12"/>
  <c r="B292" i="12"/>
  <c r="A292" i="12"/>
  <c r="E291" i="12"/>
  <c r="D291" i="12"/>
  <c r="C291" i="12"/>
  <c r="B291" i="12"/>
  <c r="A291" i="12"/>
  <c r="E290" i="12"/>
  <c r="D290" i="12"/>
  <c r="C290" i="12"/>
  <c r="B290" i="12"/>
  <c r="A290" i="12"/>
  <c r="G289" i="12"/>
  <c r="E289" i="12"/>
  <c r="D289" i="12"/>
  <c r="C289" i="12"/>
  <c r="B289" i="12"/>
  <c r="A289" i="12"/>
  <c r="G288" i="12"/>
  <c r="E288" i="12"/>
  <c r="D288" i="12"/>
  <c r="C288" i="12"/>
  <c r="B288" i="12"/>
  <c r="A288" i="12"/>
  <c r="E287" i="12"/>
  <c r="D287" i="12"/>
  <c r="C287" i="12"/>
  <c r="B287" i="12"/>
  <c r="A287" i="12"/>
  <c r="G286" i="12"/>
  <c r="E286" i="12"/>
  <c r="D286" i="12"/>
  <c r="C286" i="12"/>
  <c r="B286" i="12"/>
  <c r="A286" i="12"/>
  <c r="E285" i="12"/>
  <c r="D285" i="12"/>
  <c r="C285" i="12"/>
  <c r="B285" i="12"/>
  <c r="A285" i="12"/>
  <c r="E284" i="12"/>
  <c r="D284" i="12"/>
  <c r="C284" i="12"/>
  <c r="B284" i="12"/>
  <c r="A284" i="12"/>
  <c r="G283" i="12"/>
  <c r="E283" i="12"/>
  <c r="D283" i="12"/>
  <c r="C283" i="12"/>
  <c r="B283" i="12"/>
  <c r="A283" i="12"/>
  <c r="G282" i="12"/>
  <c r="E282" i="12"/>
  <c r="D282" i="12"/>
  <c r="C282" i="12"/>
  <c r="B282" i="12"/>
  <c r="A282" i="12"/>
  <c r="E281" i="12"/>
  <c r="D281" i="12"/>
  <c r="C281" i="12"/>
  <c r="B281" i="12"/>
  <c r="A281" i="12"/>
  <c r="E280" i="12"/>
  <c r="D280" i="12"/>
  <c r="C280" i="12"/>
  <c r="B280" i="12"/>
  <c r="A280" i="12"/>
  <c r="E279" i="12"/>
  <c r="D279" i="12"/>
  <c r="C279" i="12"/>
  <c r="B279" i="12"/>
  <c r="A279" i="12"/>
  <c r="E278" i="12"/>
  <c r="D278" i="12"/>
  <c r="C278" i="12"/>
  <c r="B278" i="12"/>
  <c r="A278" i="12"/>
  <c r="G277" i="12"/>
  <c r="E277" i="12"/>
  <c r="D277" i="12"/>
  <c r="C277" i="12"/>
  <c r="B277" i="12"/>
  <c r="A277" i="12"/>
  <c r="E276" i="12"/>
  <c r="D276" i="12"/>
  <c r="C276" i="12"/>
  <c r="B276" i="12"/>
  <c r="A276" i="12"/>
  <c r="G275" i="12"/>
  <c r="E275" i="12"/>
  <c r="D275" i="12"/>
  <c r="C275" i="12"/>
  <c r="B275" i="12"/>
  <c r="A275" i="12"/>
  <c r="G274" i="12"/>
  <c r="E274" i="12"/>
  <c r="D274" i="12"/>
  <c r="C274" i="12"/>
  <c r="B274" i="12"/>
  <c r="A274" i="12"/>
  <c r="E273" i="12"/>
  <c r="D273" i="12"/>
  <c r="C273" i="12"/>
  <c r="B273" i="12"/>
  <c r="A273" i="12"/>
  <c r="G272" i="12"/>
  <c r="E272" i="12"/>
  <c r="D272" i="12"/>
  <c r="C272" i="12"/>
  <c r="B272" i="12"/>
  <c r="A272" i="12"/>
  <c r="G271" i="12"/>
  <c r="E271" i="12"/>
  <c r="D271" i="12"/>
  <c r="C271" i="12"/>
  <c r="B271" i="12"/>
  <c r="A271" i="12"/>
  <c r="G270" i="12"/>
  <c r="E270" i="12"/>
  <c r="D270" i="12"/>
  <c r="C270" i="12"/>
  <c r="B270" i="12"/>
  <c r="A270" i="12"/>
  <c r="G269" i="12"/>
  <c r="E269" i="12"/>
  <c r="D269" i="12"/>
  <c r="C269" i="12"/>
  <c r="B269" i="12"/>
  <c r="A269" i="12"/>
  <c r="G268" i="12"/>
  <c r="E268" i="12"/>
  <c r="D268" i="12"/>
  <c r="C268" i="12"/>
  <c r="B268" i="12"/>
  <c r="A268" i="12"/>
  <c r="G267" i="12"/>
  <c r="E267" i="12"/>
  <c r="D267" i="12"/>
  <c r="C267" i="12"/>
  <c r="B267" i="12"/>
  <c r="A267" i="12"/>
  <c r="E266" i="12"/>
  <c r="D266" i="12"/>
  <c r="C266" i="12"/>
  <c r="B266" i="12"/>
  <c r="A266" i="12"/>
  <c r="G265" i="12"/>
  <c r="E265" i="12"/>
  <c r="D265" i="12"/>
  <c r="C265" i="12"/>
  <c r="B265" i="12"/>
  <c r="A265" i="12"/>
  <c r="G264" i="12"/>
  <c r="E264" i="12"/>
  <c r="D264" i="12"/>
  <c r="C264" i="12"/>
  <c r="B264" i="12"/>
  <c r="A264" i="12"/>
  <c r="G263" i="12"/>
  <c r="E263" i="12"/>
  <c r="D263" i="12"/>
  <c r="C263" i="12"/>
  <c r="B263" i="12"/>
  <c r="A263" i="12"/>
  <c r="E262" i="12"/>
  <c r="D262" i="12"/>
  <c r="C262" i="12"/>
  <c r="B262" i="12"/>
  <c r="A262" i="12"/>
  <c r="G261" i="12"/>
  <c r="E261" i="12"/>
  <c r="D261" i="12"/>
  <c r="C261" i="12"/>
  <c r="B261" i="12"/>
  <c r="A261" i="12"/>
  <c r="G260" i="12"/>
  <c r="E260" i="12"/>
  <c r="D260" i="12"/>
  <c r="C260" i="12"/>
  <c r="B260" i="12"/>
  <c r="A260" i="12"/>
  <c r="G259" i="12"/>
  <c r="E259" i="12"/>
  <c r="D259" i="12"/>
  <c r="C259" i="12"/>
  <c r="B259" i="12"/>
  <c r="A259" i="12"/>
  <c r="G258" i="12"/>
  <c r="E258" i="12"/>
  <c r="D258" i="12"/>
  <c r="C258" i="12"/>
  <c r="B258" i="12"/>
  <c r="A258" i="12"/>
  <c r="G257" i="12"/>
  <c r="E257" i="12"/>
  <c r="D257" i="12"/>
  <c r="C257" i="12"/>
  <c r="B257" i="12"/>
  <c r="A257" i="12"/>
  <c r="E256" i="12"/>
  <c r="D256" i="12"/>
  <c r="C256" i="12"/>
  <c r="B256" i="12"/>
  <c r="A256" i="12"/>
  <c r="E255" i="12"/>
  <c r="D255" i="12"/>
  <c r="C255" i="12"/>
  <c r="B255" i="12"/>
  <c r="A255" i="12"/>
  <c r="G254" i="12"/>
  <c r="E254" i="12"/>
  <c r="D254" i="12"/>
  <c r="C254" i="12"/>
  <c r="B254" i="12"/>
  <c r="A254" i="12"/>
  <c r="E253" i="12"/>
  <c r="D253" i="12"/>
  <c r="C253" i="12"/>
  <c r="B253" i="12"/>
  <c r="A253" i="12"/>
  <c r="G252" i="12"/>
  <c r="E252" i="12"/>
  <c r="D252" i="12"/>
  <c r="C252" i="12"/>
  <c r="B252" i="12"/>
  <c r="A252" i="12"/>
  <c r="G251" i="12"/>
  <c r="E251" i="12"/>
  <c r="D251" i="12"/>
  <c r="C251" i="12"/>
  <c r="B251" i="12"/>
  <c r="A251" i="12"/>
  <c r="E250" i="12"/>
  <c r="D250" i="12"/>
  <c r="C250" i="12"/>
  <c r="B250" i="12"/>
  <c r="A250" i="12"/>
  <c r="G249" i="12"/>
  <c r="E249" i="12"/>
  <c r="D249" i="12"/>
  <c r="C249" i="12"/>
  <c r="B249" i="12"/>
  <c r="A249" i="12"/>
  <c r="G248" i="12"/>
  <c r="E248" i="12"/>
  <c r="D248" i="12"/>
  <c r="C248" i="12"/>
  <c r="B248" i="12"/>
  <c r="A248" i="12"/>
  <c r="E247" i="12"/>
  <c r="D247" i="12"/>
  <c r="C247" i="12"/>
  <c r="B247" i="12"/>
  <c r="A247" i="12"/>
  <c r="E246" i="12"/>
  <c r="D246" i="12"/>
  <c r="C246" i="12"/>
  <c r="B246" i="12"/>
  <c r="A246" i="12"/>
  <c r="G245" i="12"/>
  <c r="E245" i="12"/>
  <c r="D245" i="12"/>
  <c r="C245" i="12"/>
  <c r="B245" i="12"/>
  <c r="A245" i="12"/>
  <c r="G244" i="12"/>
  <c r="E244" i="12"/>
  <c r="D244" i="12"/>
  <c r="C244" i="12"/>
  <c r="B244" i="12"/>
  <c r="A244" i="12"/>
  <c r="G243" i="12"/>
  <c r="E243" i="12"/>
  <c r="D243" i="12"/>
  <c r="C243" i="12"/>
  <c r="B243" i="12"/>
  <c r="A243" i="12"/>
  <c r="G242" i="12"/>
  <c r="E242" i="12"/>
  <c r="D242" i="12"/>
  <c r="C242" i="12"/>
  <c r="B242" i="12"/>
  <c r="A242" i="12"/>
  <c r="E241" i="12"/>
  <c r="D241" i="12"/>
  <c r="C241" i="12"/>
  <c r="B241" i="12"/>
  <c r="A241" i="12"/>
  <c r="G240" i="12"/>
  <c r="E240" i="12"/>
  <c r="D240" i="12"/>
  <c r="C240" i="12"/>
  <c r="B240" i="12"/>
  <c r="A240" i="12"/>
  <c r="G239" i="12"/>
  <c r="E239" i="12"/>
  <c r="D239" i="12"/>
  <c r="C239" i="12"/>
  <c r="B239" i="12"/>
  <c r="A239" i="12"/>
  <c r="E238" i="12"/>
  <c r="D238" i="12"/>
  <c r="C238" i="12"/>
  <c r="B238" i="12"/>
  <c r="A238" i="12"/>
  <c r="G237" i="12"/>
  <c r="E237" i="12"/>
  <c r="D237" i="12"/>
  <c r="C237" i="12"/>
  <c r="B237" i="12"/>
  <c r="A237" i="12"/>
  <c r="E236" i="12"/>
  <c r="D236" i="12"/>
  <c r="C236" i="12"/>
  <c r="B236" i="12"/>
  <c r="A236" i="12"/>
  <c r="E235" i="12"/>
  <c r="D235" i="12"/>
  <c r="C235" i="12"/>
  <c r="B235" i="12"/>
  <c r="A235" i="12"/>
  <c r="G234" i="12"/>
  <c r="E234" i="12"/>
  <c r="D234" i="12"/>
  <c r="C234" i="12"/>
  <c r="B234" i="12"/>
  <c r="A234" i="12"/>
  <c r="E233" i="12"/>
  <c r="D233" i="12"/>
  <c r="C233" i="12"/>
  <c r="B233" i="12"/>
  <c r="A233" i="12"/>
  <c r="E232" i="12"/>
  <c r="D232" i="12"/>
  <c r="C232" i="12"/>
  <c r="B232" i="12"/>
  <c r="A232" i="12"/>
  <c r="E231" i="12"/>
  <c r="D231" i="12"/>
  <c r="C231" i="12"/>
  <c r="B231" i="12"/>
  <c r="A231" i="12"/>
  <c r="G230" i="12"/>
  <c r="E230" i="12"/>
  <c r="D230" i="12"/>
  <c r="C230" i="12"/>
  <c r="B230" i="12"/>
  <c r="A230" i="12"/>
  <c r="G229" i="12"/>
  <c r="E229" i="12"/>
  <c r="D229" i="12"/>
  <c r="C229" i="12"/>
  <c r="B229" i="12"/>
  <c r="A229" i="12"/>
  <c r="E228" i="12"/>
  <c r="D228" i="12"/>
  <c r="C228" i="12"/>
  <c r="B228" i="12"/>
  <c r="A228" i="12"/>
  <c r="G227" i="12"/>
  <c r="E227" i="12"/>
  <c r="D227" i="12"/>
  <c r="C227" i="12"/>
  <c r="B227" i="12"/>
  <c r="A227" i="12"/>
  <c r="E226" i="12"/>
  <c r="D226" i="12"/>
  <c r="C226" i="12"/>
  <c r="B226" i="12"/>
  <c r="A226" i="12"/>
  <c r="G225" i="12"/>
  <c r="E225" i="12"/>
  <c r="D225" i="12"/>
  <c r="C225" i="12"/>
  <c r="B225" i="12"/>
  <c r="A225" i="12"/>
  <c r="G224" i="12"/>
  <c r="E224" i="12"/>
  <c r="D224" i="12"/>
  <c r="C224" i="12"/>
  <c r="B224" i="12"/>
  <c r="A224" i="12"/>
  <c r="G223" i="12"/>
  <c r="E223" i="12"/>
  <c r="D223" i="12"/>
  <c r="C223" i="12"/>
  <c r="B223" i="12"/>
  <c r="A223" i="12"/>
  <c r="E222" i="12"/>
  <c r="D222" i="12"/>
  <c r="C222" i="12"/>
  <c r="B222" i="12"/>
  <c r="A222" i="12"/>
  <c r="E221" i="12"/>
  <c r="D221" i="12"/>
  <c r="C221" i="12"/>
  <c r="B221" i="12"/>
  <c r="A221" i="12"/>
  <c r="G220" i="12"/>
  <c r="E220" i="12"/>
  <c r="D220" i="12"/>
  <c r="C220" i="12"/>
  <c r="B220" i="12"/>
  <c r="A220" i="12"/>
  <c r="E219" i="12"/>
  <c r="D219" i="12"/>
  <c r="C219" i="12"/>
  <c r="B219" i="12"/>
  <c r="A219" i="12"/>
  <c r="E218" i="12"/>
  <c r="D218" i="12"/>
  <c r="C218" i="12"/>
  <c r="B218" i="12"/>
  <c r="A218" i="12"/>
  <c r="E217" i="12"/>
  <c r="D217" i="12"/>
  <c r="C217" i="12"/>
  <c r="B217" i="12"/>
  <c r="A217" i="12"/>
  <c r="G216" i="12"/>
  <c r="E216" i="12"/>
  <c r="D216" i="12"/>
  <c r="C216" i="12"/>
  <c r="B216" i="12"/>
  <c r="A216" i="12"/>
  <c r="G215" i="12"/>
  <c r="E215" i="12"/>
  <c r="D215" i="12"/>
  <c r="C215" i="12"/>
  <c r="B215" i="12"/>
  <c r="A215" i="12"/>
  <c r="G214" i="12"/>
  <c r="E214" i="12"/>
  <c r="D214" i="12"/>
  <c r="C214" i="12"/>
  <c r="B214" i="12"/>
  <c r="A214" i="12"/>
  <c r="E213" i="12"/>
  <c r="D213" i="12"/>
  <c r="C213" i="12"/>
  <c r="B213" i="12"/>
  <c r="A213" i="12"/>
  <c r="E212" i="12"/>
  <c r="D212" i="12"/>
  <c r="C212" i="12"/>
  <c r="B212" i="12"/>
  <c r="A212" i="12"/>
  <c r="G211" i="12"/>
  <c r="E211" i="12"/>
  <c r="D211" i="12"/>
  <c r="C211" i="12"/>
  <c r="B211" i="12"/>
  <c r="A211" i="12"/>
  <c r="G210" i="12"/>
  <c r="E210" i="12"/>
  <c r="D210" i="12"/>
  <c r="C210" i="12"/>
  <c r="B210" i="12"/>
  <c r="A210" i="12"/>
  <c r="G209" i="12"/>
  <c r="E209" i="12"/>
  <c r="D209" i="12"/>
  <c r="C209" i="12"/>
  <c r="B209" i="12"/>
  <c r="A209" i="12"/>
  <c r="G208" i="12"/>
  <c r="E208" i="12"/>
  <c r="D208" i="12"/>
  <c r="C208" i="12"/>
  <c r="B208" i="12"/>
  <c r="A208" i="12"/>
  <c r="E207" i="12"/>
  <c r="D207" i="12"/>
  <c r="C207" i="12"/>
  <c r="B207" i="12"/>
  <c r="A207" i="12"/>
  <c r="G206" i="12"/>
  <c r="E206" i="12"/>
  <c r="D206" i="12"/>
  <c r="C206" i="12"/>
  <c r="B206" i="12"/>
  <c r="A206" i="12"/>
  <c r="E205" i="12"/>
  <c r="D205" i="12"/>
  <c r="C205" i="12"/>
  <c r="B205" i="12"/>
  <c r="A205" i="12"/>
  <c r="E204" i="12"/>
  <c r="D204" i="12"/>
  <c r="C204" i="12"/>
  <c r="B204" i="12"/>
  <c r="A204" i="12"/>
  <c r="E203" i="12"/>
  <c r="D203" i="12"/>
  <c r="C203" i="12"/>
  <c r="B203" i="12"/>
  <c r="A203" i="12"/>
  <c r="G202" i="12"/>
  <c r="E202" i="12"/>
  <c r="D202" i="12"/>
  <c r="C202" i="12"/>
  <c r="B202" i="12"/>
  <c r="A202" i="12"/>
  <c r="G201" i="12"/>
  <c r="E201" i="12"/>
  <c r="D201" i="12"/>
  <c r="C201" i="12"/>
  <c r="B201" i="12"/>
  <c r="A201" i="12"/>
  <c r="E200" i="12"/>
  <c r="D200" i="12"/>
  <c r="C200" i="12"/>
  <c r="B200" i="12"/>
  <c r="A200" i="12"/>
  <c r="G199" i="12"/>
  <c r="E199" i="12"/>
  <c r="D199" i="12"/>
  <c r="C199" i="12"/>
  <c r="B199" i="12"/>
  <c r="A199" i="12"/>
  <c r="E198" i="12"/>
  <c r="D198" i="12"/>
  <c r="C198" i="12"/>
  <c r="B198" i="12"/>
  <c r="A198" i="12"/>
  <c r="E197" i="12"/>
  <c r="D197" i="12"/>
  <c r="C197" i="12"/>
  <c r="B197" i="12"/>
  <c r="A197" i="12"/>
  <c r="E196" i="12"/>
  <c r="D196" i="12"/>
  <c r="C196" i="12"/>
  <c r="B196" i="12"/>
  <c r="A196" i="12"/>
  <c r="G195" i="12"/>
  <c r="E195" i="12"/>
  <c r="D195" i="12"/>
  <c r="C195" i="12"/>
  <c r="B195" i="12"/>
  <c r="A195" i="12"/>
  <c r="E194" i="12"/>
  <c r="D194" i="12"/>
  <c r="C194" i="12"/>
  <c r="B194" i="12"/>
  <c r="A194" i="12"/>
  <c r="E193" i="12"/>
  <c r="D193" i="12"/>
  <c r="C193" i="12"/>
  <c r="B193" i="12"/>
  <c r="A193" i="12"/>
  <c r="E192" i="12"/>
  <c r="D192" i="12"/>
  <c r="C192" i="12"/>
  <c r="B192" i="12"/>
  <c r="A192" i="12"/>
  <c r="E191" i="12"/>
  <c r="D191" i="12"/>
  <c r="C191" i="12"/>
  <c r="B191" i="12"/>
  <c r="A191" i="12"/>
  <c r="E190" i="12"/>
  <c r="D190" i="12"/>
  <c r="C190" i="12"/>
  <c r="B190" i="12"/>
  <c r="A190" i="12"/>
  <c r="E189" i="12"/>
  <c r="D189" i="12"/>
  <c r="C189" i="12"/>
  <c r="B189" i="12"/>
  <c r="A189" i="12"/>
  <c r="E188" i="12"/>
  <c r="D188" i="12"/>
  <c r="C188" i="12"/>
  <c r="B188" i="12"/>
  <c r="A188" i="12"/>
  <c r="E187" i="12"/>
  <c r="D187" i="12"/>
  <c r="C187" i="12"/>
  <c r="B187" i="12"/>
  <c r="A187" i="12"/>
  <c r="E186" i="12"/>
  <c r="D186" i="12"/>
  <c r="C186" i="12"/>
  <c r="B186" i="12"/>
  <c r="A186" i="12"/>
  <c r="G185" i="12"/>
  <c r="E185" i="12"/>
  <c r="D185" i="12"/>
  <c r="C185" i="12"/>
  <c r="B185" i="12"/>
  <c r="A185" i="12"/>
  <c r="G184" i="12"/>
  <c r="E184" i="12"/>
  <c r="D184" i="12"/>
  <c r="C184" i="12"/>
  <c r="B184" i="12"/>
  <c r="A184" i="12"/>
  <c r="E183" i="12"/>
  <c r="D183" i="12"/>
  <c r="C183" i="12"/>
  <c r="B183" i="12"/>
  <c r="A183" i="12"/>
  <c r="G182" i="12"/>
  <c r="E182" i="12"/>
  <c r="D182" i="12"/>
  <c r="C182" i="12"/>
  <c r="B182" i="12"/>
  <c r="A182" i="12"/>
  <c r="G181" i="12"/>
  <c r="E181" i="12"/>
  <c r="D181" i="12"/>
  <c r="C181" i="12"/>
  <c r="B181" i="12"/>
  <c r="A181" i="12"/>
  <c r="G180" i="12"/>
  <c r="E180" i="12"/>
  <c r="D180" i="12"/>
  <c r="C180" i="12"/>
  <c r="B180" i="12"/>
  <c r="A180" i="12"/>
  <c r="E179" i="12"/>
  <c r="D179" i="12"/>
  <c r="C179" i="12"/>
  <c r="B179" i="12"/>
  <c r="A179" i="12"/>
  <c r="E178" i="12"/>
  <c r="D178" i="12"/>
  <c r="C178" i="12"/>
  <c r="B178" i="12"/>
  <c r="A178" i="12"/>
  <c r="G177" i="12"/>
  <c r="E177" i="12"/>
  <c r="D177" i="12"/>
  <c r="C177" i="12"/>
  <c r="B177" i="12"/>
  <c r="A177" i="12"/>
  <c r="E176" i="12"/>
  <c r="D176" i="12"/>
  <c r="C176" i="12"/>
  <c r="B176" i="12"/>
  <c r="A176" i="12"/>
  <c r="E175" i="12"/>
  <c r="D175" i="12"/>
  <c r="C175" i="12"/>
  <c r="B175" i="12"/>
  <c r="A175" i="12"/>
  <c r="E174" i="12"/>
  <c r="D174" i="12"/>
  <c r="C174" i="12"/>
  <c r="B174" i="12"/>
  <c r="A174" i="12"/>
  <c r="G173" i="12"/>
  <c r="E173" i="12"/>
  <c r="D173" i="12"/>
  <c r="C173" i="12"/>
  <c r="B173" i="12"/>
  <c r="A173" i="12"/>
  <c r="E172" i="12"/>
  <c r="D172" i="12"/>
  <c r="C172" i="12"/>
  <c r="B172" i="12"/>
  <c r="A172" i="12"/>
  <c r="E171" i="12"/>
  <c r="D171" i="12"/>
  <c r="C171" i="12"/>
  <c r="B171" i="12"/>
  <c r="A171" i="12"/>
  <c r="E170" i="12"/>
  <c r="D170" i="12"/>
  <c r="C170" i="12"/>
  <c r="A170" i="12"/>
  <c r="E169" i="12"/>
  <c r="D169" i="12"/>
  <c r="C169" i="12"/>
  <c r="B169" i="12"/>
  <c r="A169" i="12"/>
  <c r="E168" i="12"/>
  <c r="D168" i="12"/>
  <c r="C168" i="12"/>
  <c r="B168" i="12"/>
  <c r="A168" i="12"/>
  <c r="E167" i="12"/>
  <c r="D167" i="12"/>
  <c r="C167" i="12"/>
  <c r="B167" i="12"/>
  <c r="A167" i="12"/>
  <c r="E166" i="12"/>
  <c r="D166" i="12"/>
  <c r="C166" i="12"/>
  <c r="B166" i="12"/>
  <c r="A166" i="12"/>
  <c r="G165" i="12"/>
  <c r="E165" i="12"/>
  <c r="D165" i="12"/>
  <c r="C165" i="12"/>
  <c r="B165" i="12"/>
  <c r="A165" i="12"/>
  <c r="E164" i="12"/>
  <c r="D164" i="12"/>
  <c r="C164" i="12"/>
  <c r="B164" i="12"/>
  <c r="A164" i="12"/>
  <c r="F163" i="12"/>
  <c r="E163" i="12"/>
  <c r="D163" i="12"/>
  <c r="C163" i="12"/>
  <c r="B163" i="12"/>
  <c r="A163" i="12"/>
  <c r="E162" i="12"/>
  <c r="D162" i="12"/>
  <c r="C162" i="12"/>
  <c r="B162" i="12"/>
  <c r="A162" i="12"/>
  <c r="E161" i="12"/>
  <c r="D161" i="12"/>
  <c r="C161" i="12"/>
  <c r="B161" i="12"/>
  <c r="A161" i="12"/>
  <c r="E160" i="12"/>
  <c r="D160" i="12"/>
  <c r="C160" i="12"/>
  <c r="B160" i="12"/>
  <c r="A160" i="12"/>
  <c r="G159" i="12"/>
  <c r="E159" i="12"/>
  <c r="D159" i="12"/>
  <c r="C159" i="12"/>
  <c r="B159" i="12"/>
  <c r="A159" i="12"/>
  <c r="G158" i="12"/>
  <c r="E158" i="12"/>
  <c r="D158" i="12"/>
  <c r="C158" i="12"/>
  <c r="B158" i="12"/>
  <c r="A158" i="12"/>
  <c r="G157" i="12"/>
  <c r="E157" i="12"/>
  <c r="D157" i="12"/>
  <c r="C157" i="12"/>
  <c r="B157" i="12"/>
  <c r="A157" i="12"/>
  <c r="E156" i="12"/>
  <c r="D156" i="12"/>
  <c r="C156" i="12"/>
  <c r="B156" i="12"/>
  <c r="A156" i="12"/>
  <c r="G155" i="12"/>
  <c r="E155" i="12"/>
  <c r="D155" i="12"/>
  <c r="C155" i="12"/>
  <c r="B155" i="12"/>
  <c r="A155" i="12"/>
  <c r="G154" i="12"/>
  <c r="E154" i="12"/>
  <c r="D154" i="12"/>
  <c r="C154" i="12"/>
  <c r="B154" i="12"/>
  <c r="A154" i="12"/>
  <c r="E153" i="12"/>
  <c r="D153" i="12"/>
  <c r="C153" i="12"/>
  <c r="B153" i="12"/>
  <c r="A153" i="12"/>
  <c r="G152" i="12"/>
  <c r="E152" i="12"/>
  <c r="D152" i="12"/>
  <c r="C152" i="12"/>
  <c r="B152" i="12"/>
  <c r="A152" i="12"/>
  <c r="E151" i="12"/>
  <c r="D151" i="12"/>
  <c r="C151" i="12"/>
  <c r="B151" i="12"/>
  <c r="A151" i="12"/>
  <c r="G150" i="12"/>
  <c r="E150" i="12"/>
  <c r="D150" i="12"/>
  <c r="C150" i="12"/>
  <c r="B150" i="12"/>
  <c r="A150" i="12"/>
  <c r="E149" i="12"/>
  <c r="D149" i="12"/>
  <c r="C149" i="12"/>
  <c r="B149" i="12"/>
  <c r="A149" i="12"/>
  <c r="G148" i="12"/>
  <c r="E148" i="12"/>
  <c r="D148" i="12"/>
  <c r="C148" i="12"/>
  <c r="B148" i="12"/>
  <c r="A148" i="12"/>
  <c r="E147" i="12"/>
  <c r="D147" i="12"/>
  <c r="C147" i="12"/>
  <c r="B147" i="12"/>
  <c r="A147" i="12"/>
  <c r="E146" i="12"/>
  <c r="D146" i="12"/>
  <c r="C146" i="12"/>
  <c r="B146" i="12"/>
  <c r="A146" i="12"/>
  <c r="E145" i="12"/>
  <c r="D145" i="12"/>
  <c r="C145" i="12"/>
  <c r="B145" i="12"/>
  <c r="A145" i="12"/>
  <c r="E144" i="12"/>
  <c r="D144" i="12"/>
  <c r="C144" i="12"/>
  <c r="B144" i="12"/>
  <c r="A144" i="12"/>
  <c r="E143" i="12"/>
  <c r="D143" i="12"/>
  <c r="C143" i="12"/>
  <c r="B143" i="12"/>
  <c r="A143" i="12"/>
  <c r="E142" i="12"/>
  <c r="D142" i="12"/>
  <c r="C142" i="12"/>
  <c r="B142" i="12"/>
  <c r="A142" i="12"/>
  <c r="E141" i="12"/>
  <c r="D141" i="12"/>
  <c r="C141" i="12"/>
  <c r="B141" i="12"/>
  <c r="A141" i="12"/>
  <c r="G140" i="12"/>
  <c r="E140" i="12"/>
  <c r="D140" i="12"/>
  <c r="C140" i="12"/>
  <c r="B140" i="12"/>
  <c r="A140" i="12"/>
  <c r="E139" i="12"/>
  <c r="D139" i="12"/>
  <c r="C139" i="12"/>
  <c r="A139" i="12"/>
  <c r="E138" i="12"/>
  <c r="D138" i="12"/>
  <c r="C138" i="12"/>
  <c r="B138" i="12"/>
  <c r="A138" i="12"/>
  <c r="E137" i="12"/>
  <c r="D137" i="12"/>
  <c r="C137" i="12"/>
  <c r="B137" i="12"/>
  <c r="A137" i="12"/>
  <c r="E136" i="12"/>
  <c r="D136" i="12"/>
  <c r="C136" i="12"/>
  <c r="B136" i="12"/>
  <c r="A136" i="12"/>
  <c r="E135" i="12"/>
  <c r="D135" i="12"/>
  <c r="C135" i="12"/>
  <c r="B135" i="12"/>
  <c r="A135" i="12"/>
  <c r="E134" i="12"/>
  <c r="D134" i="12"/>
  <c r="C134" i="12"/>
  <c r="B134" i="12"/>
  <c r="A134" i="12"/>
  <c r="G133" i="12"/>
  <c r="E133" i="12"/>
  <c r="D133" i="12"/>
  <c r="C133" i="12"/>
  <c r="B133" i="12"/>
  <c r="A133" i="12"/>
  <c r="E132" i="12"/>
  <c r="D132" i="12"/>
  <c r="C132" i="12"/>
  <c r="B132" i="12"/>
  <c r="A132" i="12"/>
  <c r="E131" i="12"/>
  <c r="D131" i="12"/>
  <c r="C131" i="12"/>
  <c r="B131" i="12"/>
  <c r="A131" i="12"/>
  <c r="G130" i="12"/>
  <c r="E130" i="12"/>
  <c r="D130" i="12"/>
  <c r="C130" i="12"/>
  <c r="B130" i="12"/>
  <c r="A130" i="12"/>
  <c r="E129" i="12"/>
  <c r="D129" i="12"/>
  <c r="C129" i="12"/>
  <c r="B129" i="12"/>
  <c r="A129" i="12"/>
  <c r="E128" i="12"/>
  <c r="D128" i="12"/>
  <c r="C128" i="12"/>
  <c r="B128" i="12"/>
  <c r="A128" i="12"/>
  <c r="E127" i="12"/>
  <c r="D127" i="12"/>
  <c r="C127" i="12"/>
  <c r="B127" i="12"/>
  <c r="A127" i="12"/>
  <c r="E126" i="12"/>
  <c r="D126" i="12"/>
  <c r="C126" i="12"/>
  <c r="B126" i="12"/>
  <c r="A126" i="12"/>
  <c r="E125" i="12"/>
  <c r="D125" i="12"/>
  <c r="C125" i="12"/>
  <c r="B125" i="12"/>
  <c r="A125" i="12"/>
  <c r="E124" i="12"/>
  <c r="D124" i="12"/>
  <c r="C124" i="12"/>
  <c r="B124" i="12"/>
  <c r="A124" i="12"/>
  <c r="G123" i="12"/>
  <c r="F123" i="12"/>
  <c r="E123" i="12"/>
  <c r="D123" i="12"/>
  <c r="C123" i="12"/>
  <c r="B123" i="12"/>
  <c r="A123" i="12"/>
  <c r="G122" i="12"/>
  <c r="F122" i="12"/>
  <c r="E122" i="12"/>
  <c r="D122" i="12"/>
  <c r="C122" i="12"/>
  <c r="B122" i="12"/>
  <c r="A122" i="12"/>
  <c r="G121" i="12"/>
  <c r="E121" i="12"/>
  <c r="D121" i="12"/>
  <c r="C121" i="12"/>
  <c r="B121" i="12"/>
  <c r="A121" i="12"/>
  <c r="G120" i="12"/>
  <c r="E120" i="12"/>
  <c r="D120" i="12"/>
  <c r="C120" i="12"/>
  <c r="B120" i="12"/>
  <c r="A120" i="12"/>
  <c r="G119" i="12"/>
  <c r="E119" i="12"/>
  <c r="D119" i="12"/>
  <c r="C119" i="12"/>
  <c r="B119" i="12"/>
  <c r="A119" i="12"/>
  <c r="E118" i="12"/>
  <c r="D118" i="12"/>
  <c r="C118" i="12"/>
  <c r="B118" i="12"/>
  <c r="A118" i="12"/>
  <c r="E117" i="12"/>
  <c r="D117" i="12"/>
  <c r="C117" i="12"/>
  <c r="B117" i="12"/>
  <c r="A117" i="12"/>
  <c r="E116" i="12"/>
  <c r="D116" i="12"/>
  <c r="C116" i="12"/>
  <c r="B116" i="12"/>
  <c r="A116" i="12"/>
  <c r="E115" i="12"/>
  <c r="D115" i="12"/>
  <c r="C115" i="12"/>
  <c r="B115" i="12"/>
  <c r="A115" i="12"/>
  <c r="E114" i="12"/>
  <c r="D114" i="12"/>
  <c r="C114" i="12"/>
  <c r="B114" i="12"/>
  <c r="A114" i="12"/>
  <c r="G113" i="12"/>
  <c r="E113" i="12"/>
  <c r="D113" i="12"/>
  <c r="C113" i="12"/>
  <c r="B113" i="12"/>
  <c r="A113" i="12"/>
  <c r="G112" i="12"/>
  <c r="E112" i="12"/>
  <c r="D112" i="12"/>
  <c r="C112" i="12"/>
  <c r="B112" i="12"/>
  <c r="A112" i="12"/>
  <c r="G111" i="12"/>
  <c r="F111" i="12"/>
  <c r="E111" i="12"/>
  <c r="D111" i="12"/>
  <c r="C111" i="12"/>
  <c r="B111" i="12"/>
  <c r="A111" i="12"/>
  <c r="E110" i="12"/>
  <c r="D110" i="12"/>
  <c r="C110" i="12"/>
  <c r="B110" i="12"/>
  <c r="A110" i="12"/>
  <c r="G109" i="12"/>
  <c r="F109" i="12"/>
  <c r="E109" i="12"/>
  <c r="D109" i="12"/>
  <c r="C109" i="12"/>
  <c r="B109" i="12"/>
  <c r="A109" i="12"/>
  <c r="G108" i="12"/>
  <c r="E108" i="12"/>
  <c r="D108" i="12"/>
  <c r="C108" i="12"/>
  <c r="B108" i="12"/>
  <c r="A108" i="12"/>
  <c r="G107" i="12"/>
  <c r="F107" i="12"/>
  <c r="E107" i="12"/>
  <c r="D107" i="12"/>
  <c r="C107" i="12"/>
  <c r="B107" i="12"/>
  <c r="A107" i="12"/>
  <c r="G106" i="12"/>
  <c r="F106" i="12"/>
  <c r="E106" i="12"/>
  <c r="D106" i="12"/>
  <c r="C106" i="12"/>
  <c r="B106" i="12"/>
  <c r="A106" i="12"/>
  <c r="E105" i="12"/>
  <c r="D105" i="12"/>
  <c r="C105" i="12"/>
  <c r="B105" i="12"/>
  <c r="A105" i="12"/>
  <c r="G104" i="12"/>
  <c r="E104" i="12"/>
  <c r="D104" i="12"/>
  <c r="C104" i="12"/>
  <c r="B104" i="12"/>
  <c r="A104" i="12"/>
  <c r="E103" i="12"/>
  <c r="D103" i="12"/>
  <c r="C103" i="12"/>
  <c r="B103" i="12"/>
  <c r="A103" i="12"/>
  <c r="E102" i="12"/>
  <c r="D102" i="12"/>
  <c r="C102" i="12"/>
  <c r="B102" i="12"/>
  <c r="A102" i="12"/>
  <c r="G101" i="12"/>
  <c r="F101" i="12"/>
  <c r="E101" i="12"/>
  <c r="D101" i="12"/>
  <c r="C101" i="12"/>
  <c r="B101" i="12"/>
  <c r="A101" i="12"/>
  <c r="E100" i="12"/>
  <c r="D100" i="12"/>
  <c r="C100" i="12"/>
  <c r="B100" i="12"/>
  <c r="A100" i="12"/>
  <c r="G99" i="12"/>
  <c r="F99" i="12"/>
  <c r="E99" i="12"/>
  <c r="D99" i="12"/>
  <c r="C99" i="12"/>
  <c r="B99" i="12"/>
  <c r="A99" i="12"/>
  <c r="E98" i="12"/>
  <c r="D98" i="12"/>
  <c r="C98" i="12"/>
  <c r="B98" i="12"/>
  <c r="A98" i="12"/>
  <c r="G97" i="12"/>
  <c r="F97" i="12"/>
  <c r="E97" i="12"/>
  <c r="D97" i="12"/>
  <c r="C97" i="12"/>
  <c r="B97" i="12"/>
  <c r="A97" i="12"/>
  <c r="G96" i="12"/>
  <c r="E96" i="12"/>
  <c r="D96" i="12"/>
  <c r="C96" i="12"/>
  <c r="B96" i="12"/>
  <c r="A96" i="12"/>
  <c r="G95" i="12"/>
  <c r="F95" i="12"/>
  <c r="E95" i="12"/>
  <c r="D95" i="12"/>
  <c r="C95" i="12"/>
  <c r="B95" i="12"/>
  <c r="A95" i="12"/>
  <c r="G94" i="12"/>
  <c r="F94" i="12"/>
  <c r="E94" i="12"/>
  <c r="D94" i="12"/>
  <c r="C94" i="12"/>
  <c r="B94" i="12"/>
  <c r="A94" i="12"/>
  <c r="G93" i="12"/>
  <c r="F93" i="12"/>
  <c r="E93" i="12"/>
  <c r="D93" i="12"/>
  <c r="C93" i="12"/>
  <c r="B93" i="12"/>
  <c r="A93" i="12"/>
  <c r="G92" i="12"/>
  <c r="E92" i="12"/>
  <c r="D92" i="12"/>
  <c r="C92" i="12"/>
  <c r="B92" i="12"/>
  <c r="A92" i="12"/>
  <c r="G91" i="12"/>
  <c r="E91" i="12"/>
  <c r="D91" i="12"/>
  <c r="C91" i="12"/>
  <c r="B91" i="12"/>
  <c r="A91" i="12"/>
  <c r="E90" i="12"/>
  <c r="D90" i="12"/>
  <c r="C90" i="12"/>
  <c r="B90" i="12"/>
  <c r="A90" i="12"/>
  <c r="G89" i="12"/>
  <c r="E89" i="12"/>
  <c r="D89" i="12"/>
  <c r="C89" i="12"/>
  <c r="B89" i="12"/>
  <c r="A89" i="12"/>
  <c r="G88" i="12"/>
  <c r="F88" i="12"/>
  <c r="E88" i="12"/>
  <c r="D88" i="12"/>
  <c r="C88" i="12"/>
  <c r="B88" i="12"/>
  <c r="A88" i="12"/>
  <c r="G87" i="12"/>
  <c r="E87" i="12"/>
  <c r="D87" i="12"/>
  <c r="C87" i="12"/>
  <c r="B87" i="12"/>
  <c r="A87" i="12"/>
  <c r="E86" i="12"/>
  <c r="D86" i="12"/>
  <c r="C86" i="12"/>
  <c r="B86" i="12"/>
  <c r="A86" i="12"/>
  <c r="G85" i="12"/>
  <c r="E85" i="12"/>
  <c r="D85" i="12"/>
  <c r="C85" i="12"/>
  <c r="B85" i="12"/>
  <c r="A85" i="12"/>
  <c r="E84" i="12"/>
  <c r="D84" i="12"/>
  <c r="C84" i="12"/>
  <c r="B84" i="12"/>
  <c r="A84" i="12"/>
  <c r="G83" i="12"/>
  <c r="F83" i="12"/>
  <c r="E83" i="12"/>
  <c r="D83" i="12"/>
  <c r="C83" i="12"/>
  <c r="B83" i="12"/>
  <c r="A83" i="12"/>
  <c r="G82" i="12"/>
  <c r="E82" i="12"/>
  <c r="D82" i="12"/>
  <c r="C82" i="12"/>
  <c r="B82" i="12"/>
  <c r="A82" i="12"/>
  <c r="G81" i="12"/>
  <c r="F81" i="12"/>
  <c r="E81" i="12"/>
  <c r="D81" i="12"/>
  <c r="C81" i="12"/>
  <c r="B81" i="12"/>
  <c r="A81" i="12"/>
  <c r="G80" i="12"/>
  <c r="E80" i="12"/>
  <c r="D80" i="12"/>
  <c r="C80" i="12"/>
  <c r="B80" i="12"/>
  <c r="A80" i="12"/>
  <c r="E79" i="12"/>
  <c r="D79" i="12"/>
  <c r="C79" i="12"/>
  <c r="B79" i="12"/>
  <c r="A79" i="12"/>
  <c r="E78" i="12"/>
  <c r="D78" i="12"/>
  <c r="C78" i="12"/>
  <c r="B78" i="12"/>
  <c r="A78" i="12"/>
  <c r="E77" i="12"/>
  <c r="D77" i="12"/>
  <c r="C77" i="12"/>
  <c r="B77" i="12"/>
  <c r="A77" i="12"/>
  <c r="G76" i="12"/>
  <c r="F76" i="12"/>
  <c r="E76" i="12"/>
  <c r="D76" i="12"/>
  <c r="C76" i="12"/>
  <c r="B76" i="12"/>
  <c r="A76" i="12"/>
  <c r="G75" i="12"/>
  <c r="E75" i="12"/>
  <c r="D75" i="12"/>
  <c r="C75" i="12"/>
  <c r="B75" i="12"/>
  <c r="A75" i="12"/>
  <c r="G74" i="12"/>
  <c r="F74" i="12"/>
  <c r="E74" i="12"/>
  <c r="D74" i="12"/>
  <c r="C74" i="12"/>
  <c r="B74" i="12"/>
  <c r="A74" i="12"/>
  <c r="G73" i="12"/>
  <c r="F73" i="12"/>
  <c r="E73" i="12"/>
  <c r="D73" i="12"/>
  <c r="C73" i="12"/>
  <c r="B73" i="12"/>
  <c r="A73" i="12"/>
  <c r="G72" i="12"/>
  <c r="E72" i="12"/>
  <c r="D72" i="12"/>
  <c r="C72" i="12"/>
  <c r="B72" i="12"/>
  <c r="A72" i="12"/>
  <c r="E71" i="12"/>
  <c r="D71" i="12"/>
  <c r="C71" i="12"/>
  <c r="B71" i="12"/>
  <c r="A71" i="12"/>
  <c r="E70" i="12"/>
  <c r="D70" i="12"/>
  <c r="C70" i="12"/>
  <c r="B70" i="12"/>
  <c r="A70" i="12"/>
  <c r="G69" i="12"/>
  <c r="F69" i="12"/>
  <c r="E69" i="12"/>
  <c r="D69" i="12"/>
  <c r="C69" i="12"/>
  <c r="B69" i="12"/>
  <c r="A69" i="12"/>
  <c r="F68" i="12"/>
  <c r="E68" i="12"/>
  <c r="D68" i="12"/>
  <c r="C68" i="12"/>
  <c r="B68" i="12"/>
  <c r="A68" i="12"/>
  <c r="E67" i="12"/>
  <c r="D67" i="12"/>
  <c r="C67" i="12"/>
  <c r="B67" i="12"/>
  <c r="A67" i="12"/>
  <c r="G66" i="12"/>
  <c r="F66" i="12"/>
  <c r="E66" i="12"/>
  <c r="D66" i="12"/>
  <c r="C66" i="12"/>
  <c r="B66" i="12"/>
  <c r="A66" i="12"/>
  <c r="F65" i="12"/>
  <c r="E65" i="12"/>
  <c r="D65" i="12"/>
  <c r="C65" i="12"/>
  <c r="B65" i="12"/>
  <c r="A65" i="12"/>
  <c r="G64" i="12"/>
  <c r="E64" i="12"/>
  <c r="D64" i="12"/>
  <c r="C64" i="12"/>
  <c r="B64" i="12"/>
  <c r="A64" i="12"/>
  <c r="G63" i="12"/>
  <c r="E63" i="12"/>
  <c r="D63" i="12"/>
  <c r="C63" i="12"/>
  <c r="B63" i="12"/>
  <c r="A63" i="12"/>
  <c r="G62" i="12"/>
  <c r="F62" i="12"/>
  <c r="E62" i="12"/>
  <c r="D62" i="12"/>
  <c r="C62" i="12"/>
  <c r="B62" i="12"/>
  <c r="A62" i="12"/>
  <c r="F61" i="12"/>
  <c r="E61" i="12"/>
  <c r="D61" i="12"/>
  <c r="C61" i="12"/>
  <c r="B61" i="12"/>
  <c r="A61" i="12"/>
  <c r="F60" i="12"/>
  <c r="E60" i="12"/>
  <c r="D60" i="12"/>
  <c r="C60" i="12"/>
  <c r="B60" i="12"/>
  <c r="A60" i="12"/>
  <c r="F59" i="12"/>
  <c r="E59" i="12"/>
  <c r="D59" i="12"/>
  <c r="C59" i="12"/>
  <c r="B59" i="12"/>
  <c r="A59" i="12"/>
  <c r="F58" i="12"/>
  <c r="E58" i="12"/>
  <c r="D58" i="12"/>
  <c r="C58" i="12"/>
  <c r="B58" i="12"/>
  <c r="A58" i="12"/>
  <c r="E57" i="12"/>
  <c r="D57" i="12"/>
  <c r="C57" i="12"/>
  <c r="B57" i="12"/>
  <c r="A57" i="12"/>
  <c r="G56" i="12"/>
  <c r="F56" i="12"/>
  <c r="E56" i="12"/>
  <c r="D56" i="12"/>
  <c r="C56" i="12"/>
  <c r="B56" i="12"/>
  <c r="A56" i="12"/>
  <c r="G55" i="12"/>
  <c r="E55" i="12"/>
  <c r="D55" i="12"/>
  <c r="C55" i="12"/>
  <c r="B55" i="12"/>
  <c r="A55" i="12"/>
  <c r="G54" i="12"/>
  <c r="E54" i="12"/>
  <c r="D54" i="12"/>
  <c r="C54" i="12"/>
  <c r="B54" i="12"/>
  <c r="A54" i="12"/>
  <c r="F53" i="12"/>
  <c r="E53" i="12"/>
  <c r="D53" i="12"/>
  <c r="C53" i="12"/>
  <c r="B53" i="12"/>
  <c r="A53" i="12"/>
  <c r="G52" i="12"/>
  <c r="F52" i="12"/>
  <c r="E52" i="12"/>
  <c r="D52" i="12"/>
  <c r="C52" i="12"/>
  <c r="B52" i="12"/>
  <c r="A52" i="12"/>
  <c r="G51" i="12"/>
  <c r="F51" i="12"/>
  <c r="E51" i="12"/>
  <c r="D51" i="12"/>
  <c r="C51" i="12"/>
  <c r="B51" i="12"/>
  <c r="A51" i="12"/>
  <c r="G50" i="12"/>
  <c r="F50" i="12"/>
  <c r="E50" i="12"/>
  <c r="D50" i="12"/>
  <c r="C50" i="12"/>
  <c r="B50" i="12"/>
  <c r="A50" i="12"/>
  <c r="G49" i="12"/>
  <c r="F49" i="12"/>
  <c r="E49" i="12"/>
  <c r="D49" i="12"/>
  <c r="C49" i="12"/>
  <c r="B49" i="12"/>
  <c r="A49" i="12"/>
  <c r="G48" i="12"/>
  <c r="E48" i="12"/>
  <c r="D48" i="12"/>
  <c r="C48" i="12"/>
  <c r="B48" i="12"/>
  <c r="A48" i="12"/>
  <c r="G47" i="12"/>
  <c r="F47" i="12"/>
  <c r="E47" i="12"/>
  <c r="D47" i="12"/>
  <c r="C47" i="12"/>
  <c r="B47" i="12"/>
  <c r="A47" i="12"/>
  <c r="G46" i="12"/>
  <c r="E46" i="12"/>
  <c r="D46" i="12"/>
  <c r="C46" i="12"/>
  <c r="B46" i="12"/>
  <c r="A46" i="12"/>
  <c r="F45" i="12"/>
  <c r="E45" i="12"/>
  <c r="D45" i="12"/>
  <c r="C45" i="12"/>
  <c r="B45" i="12"/>
  <c r="A45" i="12"/>
  <c r="G44" i="12"/>
  <c r="E44" i="12"/>
  <c r="D44" i="12"/>
  <c r="C44" i="12"/>
  <c r="B44" i="12"/>
  <c r="A44" i="12"/>
  <c r="G43" i="12"/>
  <c r="E43" i="12"/>
  <c r="D43" i="12"/>
  <c r="C43" i="12"/>
  <c r="B43" i="12"/>
  <c r="A43" i="12"/>
  <c r="F42" i="12"/>
  <c r="E42" i="12"/>
  <c r="D42" i="12"/>
  <c r="C42" i="12"/>
  <c r="B42" i="12"/>
  <c r="A42" i="12"/>
  <c r="E41" i="12"/>
  <c r="D41" i="12"/>
  <c r="C41" i="12"/>
  <c r="B41" i="12"/>
  <c r="A41" i="12"/>
  <c r="G40" i="12"/>
  <c r="E40" i="12"/>
  <c r="D40" i="12"/>
  <c r="C40" i="12"/>
  <c r="B40" i="12"/>
  <c r="A40" i="12"/>
  <c r="E39" i="12"/>
  <c r="D39" i="12"/>
  <c r="C39" i="12"/>
  <c r="B39" i="12"/>
  <c r="A39" i="12"/>
  <c r="G38" i="12"/>
  <c r="E38" i="12"/>
  <c r="D38" i="12"/>
  <c r="C38" i="12"/>
  <c r="B38" i="12"/>
  <c r="A38" i="12"/>
  <c r="E37" i="12"/>
  <c r="D37" i="12"/>
  <c r="C37" i="12"/>
  <c r="B37" i="12"/>
  <c r="A37" i="12"/>
  <c r="E36" i="12"/>
  <c r="D36" i="12"/>
  <c r="C36" i="12"/>
  <c r="B36" i="12"/>
  <c r="A36" i="12"/>
  <c r="F35" i="12"/>
  <c r="E35" i="12"/>
  <c r="D35" i="12"/>
  <c r="C35" i="12"/>
  <c r="B35" i="12"/>
  <c r="A35" i="12"/>
  <c r="E34" i="12"/>
  <c r="D34" i="12"/>
  <c r="C34" i="12"/>
  <c r="B34" i="12"/>
  <c r="A34" i="12"/>
  <c r="E33" i="12"/>
  <c r="D33" i="12"/>
  <c r="C33" i="12"/>
  <c r="B33" i="12"/>
  <c r="A33" i="12"/>
  <c r="G32" i="12"/>
  <c r="E32" i="12"/>
  <c r="D32" i="12"/>
  <c r="C32" i="12"/>
  <c r="B32" i="12"/>
  <c r="A32" i="12"/>
  <c r="G31" i="12"/>
  <c r="F31" i="12"/>
  <c r="E31" i="12"/>
  <c r="D31" i="12"/>
  <c r="C31" i="12"/>
  <c r="B31" i="12"/>
  <c r="A31" i="12"/>
  <c r="E30" i="12"/>
  <c r="D30" i="12"/>
  <c r="C30" i="12"/>
  <c r="B30" i="12"/>
  <c r="A30" i="12"/>
  <c r="G29" i="12"/>
  <c r="E29" i="12"/>
  <c r="D29" i="12"/>
  <c r="C29" i="12"/>
  <c r="B29" i="12"/>
  <c r="A29" i="12"/>
  <c r="G28" i="12"/>
  <c r="F28" i="12"/>
  <c r="E28" i="12"/>
  <c r="D28" i="12"/>
  <c r="C28" i="12"/>
  <c r="B28" i="12"/>
  <c r="A28" i="12"/>
  <c r="G27" i="12"/>
  <c r="F27" i="12"/>
  <c r="E27" i="12"/>
  <c r="D27" i="12"/>
  <c r="C27" i="12"/>
  <c r="B27" i="12"/>
  <c r="A27" i="12"/>
  <c r="G26" i="12"/>
  <c r="F26" i="12"/>
  <c r="E26" i="12"/>
  <c r="D26" i="12"/>
  <c r="C26" i="12"/>
  <c r="B26" i="12"/>
  <c r="A26" i="12"/>
  <c r="E25" i="12"/>
  <c r="D25" i="12"/>
  <c r="C25" i="12"/>
  <c r="B25" i="12"/>
  <c r="A25" i="12"/>
  <c r="G24" i="12"/>
  <c r="E24" i="12"/>
  <c r="D24" i="12"/>
  <c r="C24" i="12"/>
  <c r="B24" i="12"/>
  <c r="A24" i="12"/>
  <c r="E23" i="12"/>
  <c r="D23" i="12"/>
  <c r="C23" i="12"/>
  <c r="B23" i="12"/>
  <c r="A23" i="12"/>
  <c r="G22" i="12"/>
  <c r="E22" i="12"/>
  <c r="D22" i="12"/>
  <c r="C22" i="12"/>
  <c r="B22" i="12"/>
  <c r="A22" i="12"/>
  <c r="G21" i="12"/>
  <c r="E21" i="12"/>
  <c r="D21" i="12"/>
  <c r="C21" i="12"/>
  <c r="B21" i="12"/>
  <c r="A21" i="12"/>
  <c r="G20" i="12"/>
  <c r="E20" i="12"/>
  <c r="D20" i="12"/>
  <c r="C20" i="12"/>
  <c r="B20" i="12"/>
  <c r="A20" i="12"/>
  <c r="G19" i="12"/>
  <c r="E19" i="12"/>
  <c r="D19" i="12"/>
  <c r="C19" i="12"/>
  <c r="B19" i="12"/>
  <c r="A19" i="12"/>
  <c r="G18" i="12"/>
  <c r="E18" i="12"/>
  <c r="D18" i="12"/>
  <c r="C18" i="12"/>
  <c r="B18" i="12"/>
  <c r="A18" i="12"/>
  <c r="G17" i="12"/>
  <c r="F17" i="12"/>
  <c r="E17" i="12"/>
  <c r="D17" i="12"/>
  <c r="C17" i="12"/>
  <c r="B17" i="12"/>
  <c r="A17" i="12"/>
  <c r="E16" i="12"/>
  <c r="D16" i="12"/>
  <c r="C16" i="12"/>
  <c r="B16" i="12"/>
  <c r="A16" i="12"/>
  <c r="G15" i="12"/>
  <c r="E15" i="12"/>
  <c r="D15" i="12"/>
  <c r="C15" i="12"/>
  <c r="B15" i="12"/>
  <c r="A15" i="12"/>
  <c r="G14" i="12"/>
  <c r="E14" i="12"/>
  <c r="D14" i="12"/>
  <c r="C14" i="12"/>
  <c r="B14" i="12"/>
  <c r="A14" i="12"/>
  <c r="G13" i="12"/>
  <c r="E13" i="12"/>
  <c r="D13" i="12"/>
  <c r="C13" i="12"/>
  <c r="B13" i="12"/>
  <c r="A13" i="12"/>
  <c r="G12" i="12"/>
  <c r="E12" i="12"/>
  <c r="D12" i="12"/>
  <c r="C12" i="12"/>
  <c r="B12" i="12"/>
  <c r="A12" i="12"/>
  <c r="E11" i="12"/>
  <c r="D11" i="12"/>
  <c r="C11" i="12"/>
  <c r="B11" i="12"/>
  <c r="A11" i="12"/>
  <c r="E10" i="12"/>
  <c r="D10" i="12"/>
  <c r="C10" i="12"/>
  <c r="B10" i="12"/>
  <c r="A10" i="12"/>
  <c r="E9" i="12"/>
  <c r="D9" i="12"/>
  <c r="C9" i="12"/>
  <c r="B9" i="12"/>
  <c r="A9" i="12"/>
  <c r="G8" i="12"/>
  <c r="E8" i="12"/>
  <c r="D8" i="12"/>
  <c r="C8" i="12"/>
  <c r="B8" i="12"/>
  <c r="A8" i="12"/>
  <c r="G7" i="12"/>
  <c r="E7" i="12"/>
  <c r="D7" i="12"/>
  <c r="C7" i="12"/>
  <c r="B7" i="12"/>
  <c r="A7" i="12"/>
  <c r="G6" i="12"/>
  <c r="E6" i="12"/>
  <c r="D6" i="12"/>
  <c r="C6" i="12"/>
  <c r="B6" i="12"/>
  <c r="A6" i="12"/>
  <c r="G5" i="12"/>
  <c r="E5" i="12"/>
  <c r="D5" i="12"/>
  <c r="C5" i="12"/>
  <c r="B5" i="12"/>
  <c r="A5" i="12"/>
  <c r="G4" i="12"/>
  <c r="E4" i="12"/>
  <c r="D4" i="12"/>
  <c r="C4" i="12"/>
  <c r="B4" i="12"/>
  <c r="A4" i="12"/>
  <c r="E3" i="12"/>
  <c r="D3" i="12"/>
  <c r="C3" i="12"/>
  <c r="B3" i="12"/>
  <c r="A3" i="12"/>
  <c r="E2" i="12"/>
  <c r="D2" i="12"/>
  <c r="C2" i="12"/>
  <c r="B2" i="12"/>
  <c r="A2" i="12"/>
  <c r="G1" i="12"/>
  <c r="F1" i="12"/>
  <c r="E1" i="12"/>
  <c r="D1" i="12"/>
  <c r="C1" i="12"/>
  <c r="B1" i="12"/>
  <c r="A1" i="12"/>
  <c r="Y51" i="11"/>
  <c r="Y50" i="11"/>
  <c r="Y49" i="11"/>
  <c r="Q49" i="11"/>
  <c r="Y48" i="11"/>
  <c r="Q48" i="11"/>
  <c r="Y47" i="11"/>
  <c r="Q47" i="11"/>
  <c r="Y46" i="11"/>
  <c r="Q46" i="11"/>
  <c r="Y45" i="11"/>
  <c r="Q45" i="11"/>
  <c r="Y44" i="11"/>
  <c r="Q44" i="11"/>
  <c r="Y43" i="11"/>
  <c r="Q43" i="11"/>
  <c r="Y42" i="11"/>
  <c r="Q42" i="11"/>
  <c r="Y41" i="11"/>
  <c r="Q41" i="11"/>
  <c r="Y40" i="11"/>
  <c r="Q40" i="11"/>
  <c r="Y39" i="11"/>
  <c r="Q39" i="11"/>
  <c r="Y38" i="11"/>
  <c r="Q38" i="11"/>
  <c r="AF37" i="11"/>
  <c r="AE37" i="11"/>
  <c r="Y37" i="11"/>
  <c r="Q37" i="11"/>
  <c r="AF36" i="11"/>
  <c r="AE36" i="11"/>
  <c r="Y36" i="11"/>
  <c r="Q36" i="11"/>
  <c r="AF35" i="11"/>
  <c r="AE35" i="11"/>
  <c r="Y35" i="11"/>
  <c r="Q35" i="11"/>
  <c r="AF34" i="11"/>
  <c r="AE34" i="11"/>
  <c r="Y34" i="11"/>
  <c r="Q34" i="11"/>
  <c r="AF33" i="11"/>
  <c r="AE33" i="11"/>
  <c r="Y33" i="11"/>
  <c r="Q33" i="11"/>
  <c r="AF32" i="11"/>
  <c r="AE32" i="11"/>
  <c r="Y32" i="11"/>
  <c r="Q32" i="11"/>
  <c r="AF31" i="11"/>
  <c r="AE31" i="11"/>
  <c r="Y31" i="11"/>
  <c r="Q31" i="11"/>
  <c r="AF30" i="11"/>
  <c r="AE30" i="11"/>
  <c r="Y30" i="11"/>
  <c r="Q30" i="11"/>
  <c r="AF29" i="11"/>
  <c r="AE29" i="11"/>
  <c r="Y29" i="11"/>
  <c r="Q29" i="11"/>
  <c r="AF28" i="11"/>
  <c r="AE28" i="11"/>
  <c r="Y28" i="11"/>
  <c r="Q28" i="11"/>
  <c r="AF27" i="11"/>
  <c r="AE27" i="11"/>
  <c r="Y27" i="11"/>
  <c r="Q27" i="11"/>
  <c r="AF26" i="11"/>
  <c r="AE26" i="11"/>
  <c r="Y26" i="11"/>
  <c r="Q26" i="11"/>
  <c r="AF25" i="11"/>
  <c r="AE25" i="11"/>
  <c r="Y25" i="11"/>
  <c r="Q25" i="11"/>
  <c r="AF24" i="11"/>
  <c r="AE24" i="11"/>
  <c r="Y24" i="11"/>
  <c r="Q24" i="11"/>
  <c r="I24" i="11"/>
  <c r="AF23" i="11"/>
  <c r="AE23" i="11"/>
  <c r="Y23" i="11"/>
  <c r="Q23" i="11"/>
  <c r="I23" i="11"/>
  <c r="G23" i="11"/>
  <c r="AF22" i="11"/>
  <c r="AE22" i="11"/>
  <c r="Y22" i="11"/>
  <c r="Q22" i="11"/>
  <c r="I22" i="11"/>
  <c r="G22" i="11"/>
  <c r="AH21" i="11"/>
  <c r="AF21" i="11"/>
  <c r="AE21" i="11"/>
  <c r="Y21" i="11"/>
  <c r="Q21" i="11"/>
  <c r="I21" i="11"/>
  <c r="G21" i="11"/>
  <c r="AH20" i="11"/>
  <c r="AF20" i="11"/>
  <c r="AE20" i="11"/>
  <c r="Y20" i="11"/>
  <c r="Q20" i="11"/>
  <c r="I20" i="11"/>
  <c r="G20" i="11"/>
  <c r="AH19" i="11"/>
  <c r="AF19" i="11"/>
  <c r="AE19" i="11"/>
  <c r="Y19" i="11"/>
  <c r="Q19" i="11"/>
  <c r="I19" i="11"/>
  <c r="G19" i="11"/>
  <c r="AH18" i="11"/>
  <c r="AF18" i="11"/>
  <c r="AE18" i="11"/>
  <c r="Y18" i="11"/>
  <c r="Q18" i="11"/>
  <c r="I18" i="11"/>
  <c r="G18" i="11"/>
  <c r="AH17" i="11"/>
  <c r="AF17" i="11"/>
  <c r="AE17" i="11"/>
  <c r="Y17" i="11"/>
  <c r="Q17" i="11"/>
  <c r="I17" i="11"/>
  <c r="G17" i="11"/>
  <c r="AH16" i="11"/>
  <c r="AF16" i="11"/>
  <c r="AE16" i="11"/>
  <c r="Y16" i="11"/>
  <c r="Q16" i="11"/>
  <c r="I16" i="11"/>
  <c r="G16" i="11"/>
  <c r="AH15" i="11"/>
  <c r="AF15" i="11"/>
  <c r="AE15" i="11"/>
  <c r="Y15" i="11"/>
  <c r="R15" i="11"/>
  <c r="Q15" i="11"/>
  <c r="I15" i="11"/>
  <c r="G15" i="11"/>
  <c r="AH14" i="11"/>
  <c r="AF14" i="11"/>
  <c r="AE14" i="11"/>
  <c r="Y14" i="11"/>
  <c r="R14" i="11"/>
  <c r="Q14" i="11"/>
  <c r="J14" i="11"/>
  <c r="I14" i="11"/>
  <c r="G14" i="11"/>
  <c r="AH13" i="11"/>
  <c r="AF13" i="11"/>
  <c r="AE13" i="11"/>
  <c r="Y13" i="11"/>
  <c r="R13" i="11"/>
  <c r="Q13" i="11"/>
  <c r="M13" i="11"/>
  <c r="J13" i="11"/>
  <c r="I13" i="11"/>
  <c r="G13" i="11"/>
  <c r="AI12" i="11"/>
  <c r="AH12" i="11"/>
  <c r="AF12" i="11"/>
  <c r="AE12" i="11"/>
  <c r="Y12" i="11"/>
  <c r="R12" i="11"/>
  <c r="Q12" i="11"/>
  <c r="M12" i="11"/>
  <c r="J12" i="11"/>
  <c r="I12" i="11"/>
  <c r="H12" i="11"/>
  <c r="G12" i="11"/>
  <c r="AI11" i="11"/>
  <c r="AH11" i="11"/>
  <c r="AF11" i="11"/>
  <c r="AE11" i="11"/>
  <c r="Y11" i="11"/>
  <c r="R11" i="11"/>
  <c r="Q11" i="11"/>
  <c r="M11" i="11"/>
  <c r="J11" i="11"/>
  <c r="I11" i="11"/>
  <c r="H11" i="11"/>
  <c r="G11" i="11"/>
  <c r="AI10" i="11"/>
  <c r="AH10" i="11"/>
  <c r="AF10" i="11"/>
  <c r="AE10" i="11"/>
  <c r="Y10" i="11"/>
  <c r="R10" i="11"/>
  <c r="Q10" i="11"/>
  <c r="M10" i="11"/>
  <c r="J10" i="11"/>
  <c r="I10" i="11"/>
  <c r="H10" i="11"/>
  <c r="G10" i="11"/>
  <c r="AJ9" i="11"/>
  <c r="AI9" i="11"/>
  <c r="AH9" i="11"/>
  <c r="AF9" i="11"/>
  <c r="AE9" i="11"/>
  <c r="AC9" i="11"/>
  <c r="AA9" i="11"/>
  <c r="Y9" i="11"/>
  <c r="X9" i="11"/>
  <c r="R9" i="11"/>
  <c r="Q9" i="11"/>
  <c r="M9" i="11"/>
  <c r="J9" i="11"/>
  <c r="I9" i="11"/>
  <c r="H9" i="11"/>
  <c r="G9" i="11"/>
  <c r="D9" i="11"/>
  <c r="C9" i="11"/>
  <c r="AJ8" i="11"/>
  <c r="AI8" i="11"/>
  <c r="AH8" i="11"/>
  <c r="AG8" i="11"/>
  <c r="AF8" i="11"/>
  <c r="AE8" i="11"/>
  <c r="AC8" i="11"/>
  <c r="AA8" i="11"/>
  <c r="Y8" i="11"/>
  <c r="X8" i="11"/>
  <c r="R8" i="11"/>
  <c r="Q8" i="11"/>
  <c r="M8" i="11"/>
  <c r="J8" i="11"/>
  <c r="I8" i="11"/>
  <c r="H8" i="11"/>
  <c r="G8" i="11"/>
  <c r="D8" i="11"/>
  <c r="C8" i="11"/>
  <c r="AJ7" i="11"/>
  <c r="AI7" i="11"/>
  <c r="AH7" i="11"/>
  <c r="AG7" i="11"/>
  <c r="AF7" i="11"/>
  <c r="AE7" i="11"/>
  <c r="AC7" i="11"/>
  <c r="AA7" i="11"/>
  <c r="Y7" i="11"/>
  <c r="X7" i="11"/>
  <c r="T7" i="11"/>
  <c r="R7" i="11"/>
  <c r="Q7" i="11"/>
  <c r="M7" i="11"/>
  <c r="L7" i="11"/>
  <c r="J7" i="11"/>
  <c r="I7" i="11"/>
  <c r="H7" i="11"/>
  <c r="G7" i="11"/>
  <c r="D7" i="11"/>
  <c r="C7" i="11"/>
  <c r="AJ6" i="11"/>
  <c r="AI6" i="11"/>
  <c r="AH6" i="11"/>
  <c r="AG6" i="11"/>
  <c r="AF6" i="11"/>
  <c r="AE6" i="11"/>
  <c r="AC6" i="11"/>
  <c r="AB6" i="11"/>
  <c r="AA6" i="11"/>
  <c r="Y6" i="11"/>
  <c r="X6" i="11"/>
  <c r="T6" i="11"/>
  <c r="R6" i="11"/>
  <c r="Q6" i="11"/>
  <c r="M6" i="11"/>
  <c r="L6" i="11"/>
  <c r="K6" i="11"/>
  <c r="J6" i="11"/>
  <c r="I6" i="11"/>
  <c r="H6" i="11"/>
  <c r="G6" i="11"/>
  <c r="D6" i="11"/>
  <c r="C6" i="11"/>
  <c r="A6" i="11"/>
  <c r="AJ5" i="11"/>
  <c r="AI5" i="11"/>
  <c r="AH5" i="11"/>
  <c r="AG5" i="11"/>
  <c r="AF5" i="11"/>
  <c r="AE5" i="11"/>
  <c r="AC5" i="11"/>
  <c r="AB5" i="11"/>
  <c r="AA5" i="11"/>
  <c r="Y5" i="11"/>
  <c r="X5" i="11"/>
  <c r="V5" i="11"/>
  <c r="T5" i="11"/>
  <c r="S5" i="11"/>
  <c r="R5" i="11"/>
  <c r="Q5" i="11"/>
  <c r="N5" i="11"/>
  <c r="M5" i="11"/>
  <c r="L5" i="11"/>
  <c r="K5" i="11"/>
  <c r="J5" i="11"/>
  <c r="I5" i="11"/>
  <c r="H5" i="11"/>
  <c r="G5" i="11"/>
  <c r="D5" i="11"/>
  <c r="C5" i="11"/>
  <c r="A5" i="11"/>
  <c r="AJ4" i="11"/>
  <c r="AI4" i="11"/>
  <c r="AH4" i="11"/>
  <c r="AG4" i="11"/>
  <c r="AF4" i="11"/>
  <c r="AE4" i="11"/>
  <c r="AC4" i="11"/>
  <c r="AB4" i="11"/>
  <c r="AA4" i="11"/>
  <c r="Y4" i="11"/>
  <c r="X4" i="11"/>
  <c r="W4" i="11"/>
  <c r="V4" i="11"/>
  <c r="T4" i="11"/>
  <c r="S4" i="11"/>
  <c r="R4" i="11"/>
  <c r="Q4" i="11"/>
  <c r="N4" i="11"/>
  <c r="M4" i="11"/>
  <c r="L4" i="11"/>
  <c r="K4" i="11"/>
  <c r="J4" i="11"/>
  <c r="I4" i="11"/>
  <c r="H4" i="11"/>
  <c r="G4" i="11"/>
  <c r="E4" i="11"/>
  <c r="D4" i="11"/>
  <c r="C4" i="11"/>
  <c r="B4" i="11"/>
  <c r="A4" i="11"/>
  <c r="AJ3" i="11"/>
  <c r="AI3" i="11"/>
  <c r="AH3" i="11"/>
  <c r="AG3" i="11"/>
  <c r="AF3" i="11"/>
  <c r="AE3" i="11"/>
  <c r="AC3" i="11"/>
  <c r="AB3" i="11"/>
  <c r="AA3" i="11"/>
  <c r="Y3" i="11"/>
  <c r="X3" i="11"/>
  <c r="W3" i="11"/>
  <c r="V3" i="11"/>
  <c r="U3" i="11"/>
  <c r="T3" i="11"/>
  <c r="S3" i="11"/>
  <c r="R3" i="11"/>
  <c r="Q3" i="11"/>
  <c r="O3" i="11"/>
  <c r="N3" i="11"/>
  <c r="M3" i="11"/>
  <c r="L3" i="11"/>
  <c r="K3" i="11"/>
  <c r="J3" i="11"/>
  <c r="I3" i="11"/>
  <c r="H3" i="11"/>
  <c r="G3" i="11"/>
  <c r="F3" i="11"/>
  <c r="E3" i="11"/>
  <c r="D3" i="11"/>
  <c r="C3" i="11"/>
  <c r="B3" i="11"/>
  <c r="A3" i="11"/>
  <c r="AJ2" i="11"/>
  <c r="AI2" i="11"/>
  <c r="AH2" i="11"/>
  <c r="AG2" i="11"/>
  <c r="AF2" i="11"/>
  <c r="AE2" i="11"/>
  <c r="AC2" i="11"/>
  <c r="AB2" i="11"/>
  <c r="AA2" i="11"/>
  <c r="Y2" i="11"/>
  <c r="X2" i="11"/>
  <c r="W2" i="11"/>
  <c r="V2" i="11"/>
  <c r="U2" i="11"/>
  <c r="T2" i="11"/>
  <c r="S2" i="11"/>
  <c r="R2" i="11"/>
  <c r="Q2" i="11"/>
  <c r="P2" i="11"/>
  <c r="O2" i="11"/>
  <c r="N2" i="11"/>
  <c r="M2" i="11"/>
  <c r="L2" i="11"/>
  <c r="K2" i="11"/>
  <c r="J2" i="11"/>
  <c r="I2" i="11"/>
  <c r="H2" i="11"/>
  <c r="G2" i="11"/>
  <c r="F2" i="11"/>
  <c r="E2" i="11"/>
  <c r="D2" i="11"/>
  <c r="C2" i="11"/>
  <c r="B2" i="11"/>
  <c r="A2" i="11"/>
  <c r="BB1" i="11"/>
  <c r="BA1" i="11"/>
  <c r="AZ1" i="11"/>
  <c r="AY1" i="11"/>
  <c r="AJ1" i="11"/>
  <c r="AI1" i="11"/>
  <c r="AH1" i="11"/>
  <c r="AG1" i="11"/>
  <c r="AF1" i="11"/>
  <c r="AE1" i="11"/>
  <c r="AD1" i="11"/>
  <c r="AC1" i="11"/>
  <c r="AB1" i="11"/>
  <c r="AA1" i="11"/>
  <c r="Y1" i="11"/>
  <c r="X1" i="11"/>
  <c r="W1" i="11"/>
  <c r="V1" i="11"/>
  <c r="U1" i="11"/>
  <c r="T1" i="11"/>
  <c r="S1" i="11"/>
  <c r="R1" i="11"/>
  <c r="Q1" i="11"/>
  <c r="P1" i="11"/>
  <c r="O1" i="11"/>
  <c r="N1" i="11"/>
  <c r="M1" i="11"/>
  <c r="L1" i="11"/>
  <c r="K1" i="11"/>
  <c r="J1" i="11"/>
  <c r="I1" i="11"/>
  <c r="H1" i="11"/>
  <c r="G1" i="11"/>
  <c r="F1" i="11"/>
  <c r="E1" i="11"/>
  <c r="D1" i="11"/>
  <c r="C1" i="11"/>
  <c r="B1" i="11"/>
  <c r="A1" i="11"/>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alcChain>
</file>

<file path=xl/sharedStrings.xml><?xml version="1.0" encoding="utf-8"?>
<sst xmlns="http://schemas.openxmlformats.org/spreadsheetml/2006/main" count="554" uniqueCount="85">
  <si>
    <t>-</t>
  </si>
  <si>
    <t>Монография</t>
  </si>
  <si>
    <t>Книга</t>
  </si>
  <si>
    <t>Доклад от конференция</t>
  </si>
  <si>
    <t>Име на учен</t>
  </si>
  <si>
    <t>учебно-преподав. дейност</t>
  </si>
  <si>
    <t>дисциплина</t>
  </si>
  <si>
    <t>ОКС</t>
  </si>
  <si>
    <t>специалност</t>
  </si>
  <si>
    <t xml:space="preserve"> курс</t>
  </si>
  <si>
    <t>форма</t>
  </si>
  <si>
    <t xml:space="preserve">брой часове 
приравнени на упражн.
</t>
  </si>
  <si>
    <t>Проведени упражнения</t>
  </si>
  <si>
    <t>ООП</t>
  </si>
  <si>
    <t>магистър</t>
  </si>
  <si>
    <t>Информационни системи и технологии (ИСТ)</t>
  </si>
  <si>
    <t>задочна</t>
  </si>
  <si>
    <t>Софтуерни архитектури и управление на качеството (САУК)</t>
  </si>
  <si>
    <t>Основи на програмирането</t>
  </si>
  <si>
    <t>бакалавър</t>
  </si>
  <si>
    <t>Информатика и комютърни науки (ИКН)</t>
  </si>
  <si>
    <t>редовна</t>
  </si>
  <si>
    <t>Обектно - ориентирано програмиране</t>
  </si>
  <si>
    <t>година на издаване</t>
  </si>
  <si>
    <t>Вид на публикацията (книга, учебник, статия, доклад)</t>
  </si>
  <si>
    <t>Оригинално заглавие</t>
  </si>
  <si>
    <t>издателски данни (издание, брой/том, издателство, страници)</t>
  </si>
  <si>
    <t>ISBN/ISSN/DOI</t>
  </si>
  <si>
    <t xml:space="preserve">Реферирана в:
Web of Science и/или Scopus
</t>
  </si>
  <si>
    <t xml:space="preserve">Реферирана в ДРУГИ 
(за 4.6) съгалсно наредбата
</t>
  </si>
  <si>
    <t xml:space="preserve">Реферирана в ДРУГИ
по списъка на НАЦИД
</t>
  </si>
  <si>
    <t xml:space="preserve">Съавтори без титли (всички, както са подредени в публикацията, вкл. ВИЕ) </t>
  </si>
  <si>
    <t>Имена на студенти и докторанти измежду съавторите</t>
  </si>
  <si>
    <r>
      <rPr>
        <b/>
        <sz val="12"/>
        <color rgb="FF000000"/>
        <rFont val="Calibri, sans-serif"/>
      </rPr>
      <t>ISI</t>
    </r>
    <r>
      <rPr>
        <b/>
        <sz val="10"/>
        <color rgb="FF000000"/>
        <rFont val="Calibri, sans-serif"/>
      </rPr>
      <t xml:space="preserve">
импакт фактор</t>
    </r>
  </si>
  <si>
    <t>SJR SCOPUS ИМПАКТ РАНГ</t>
  </si>
  <si>
    <t>Език на публикацията</t>
  </si>
  <si>
    <t>Връзка(линк) към онлайн публикацията</t>
  </si>
  <si>
    <t>A Comparative Study on Web Security Technologies Used in Bulgarian and Serbian Banks</t>
  </si>
  <si>
    <t>Conference Proceedings of 19 International Multidisciplinary Scientific Geoconference SGEM 2019, 28 June - 7 July 2019, Albena, Bulgaria : Vol. 19. Informatics, Iss. 2.1, Sofia: STEF92 Technology Ltd., 2019, pp.3-10.</t>
  </si>
  <si>
    <t>Web of Science</t>
  </si>
  <si>
    <t>Petar Petrov, A. Buevich, Georgi Dimitrov, Iva Kostadinova, Dimityr Dimitrov</t>
  </si>
  <si>
    <t>EN</t>
  </si>
  <si>
    <t>ONLINE PUBLIC ACCESS CATALOGS IN BULGARIAN UNIVERSITY LIBRARIES AN EMPIRICAL STUDY OF SEVEN-YEAR EVOLUTION</t>
  </si>
  <si>
    <t>Proceedings of ICERI2019 Conference 11th-13th November 2019, Seville, Spain, pp.0230 - 0236</t>
  </si>
  <si>
    <t>ISBN: 978-84-09-14755-7</t>
  </si>
  <si>
    <t>Stefka Petrova, A. Sergeev, I. Getova, I. Kostadinova</t>
  </si>
  <si>
    <t>OPENING A NEW SPECIALITY IN A UNIVERSITY - AN OPERATIONAL ESTIMATE</t>
  </si>
  <si>
    <t>Proceedings of ICERI2019 Conference 11th-13th November 2019, Seville, Spain, pp.2819-2826</t>
  </si>
  <si>
    <t>I. Ivanov, V. Totev, I. Kostadinova</t>
  </si>
  <si>
    <t xml:space="preserve"> Откриване на нова специалност във висше учебно заведение - оперативен рачет</t>
  </si>
  <si>
    <t>XVII Национална научна конференция „Обществото на знанието и хуманизмът на ХХІ век” – 1 ноември 2018 УниБИТ</t>
  </si>
  <si>
    <t xml:space="preserve"> ISSN 26830094</t>
  </si>
  <si>
    <t>BG</t>
  </si>
  <si>
    <t>Обектно-ориентирано програмиране част 2</t>
  </si>
  <si>
    <t xml:space="preserve">София, Авангард Прима, София, 2020, 187 с. </t>
  </si>
  <si>
    <t>ISBN 978-619-239-354-0</t>
  </si>
  <si>
    <t>Обектно-ориентирано програмиране част 3</t>
  </si>
  <si>
    <t>София, Авангард Прима, София, 2020, 155 с.</t>
  </si>
  <si>
    <t>ISBN 978-619-239-373-1</t>
  </si>
  <si>
    <t>PERFORMANCE EVALUATION OF AN AUTOMATED TEST GENERATION SYSTEM IN PROGRAMMING TRAINING</t>
  </si>
  <si>
    <t>ISBN: 978-84-09-17979-4</t>
  </si>
  <si>
    <t>Iva Kostadinova, M. Garvanova, I. Ivanov, K. Rasheva-Yordanova</t>
  </si>
  <si>
    <t>COMPARATIVE ANALYSIS BETWEEN LEARNING IN THE CLASSROOM AND DISTANCE LEARNING IN HARD SKILLS COURSES</t>
  </si>
  <si>
    <t>Proceedings of ICERI2020 Conference 9th-10th November 2020. pp.6807-6813</t>
  </si>
  <si>
    <t>ISBN: 978-84-09-24232-0</t>
  </si>
  <si>
    <t>One-way function based on modified cellular automata in the Diffie-Hellman algorithm for Big Data exchange tasks through open space 2020</t>
  </si>
  <si>
    <t>Proceedings of DIGILIENCE 2020, Varna, Bulgaria, 30 Sep - 2 Oct 2020</t>
  </si>
  <si>
    <t>Scopus</t>
  </si>
  <si>
    <t>Volodymyr Shevchenko, Georgi Dimitrov, Denis Berestov, Pepa Petrova, Igor Sinitcyn, Eugenia Kovatcheva, Ivan Garvanov, Iva Kostadinova</t>
  </si>
  <si>
    <t>Using Neural Networks Application for the Font Recognition Task Solution</t>
  </si>
  <si>
    <t>Proceedings of 2020 ICEST 2020 Conference – Niš, Serbia, September 10-12, 2020</t>
  </si>
  <si>
    <t>An Approach for Embedding Intelligence in a System for Automatic Test Generation and a 3D Result Model</t>
  </si>
  <si>
    <t>Proceedings of 2020 IEEE 10th International Conference on Intelligent Systems, pp. 358-363</t>
  </si>
  <si>
    <t xml:space="preserve"> ISBN 978-1-7281-5456-5/20/$31.00©2020 IEEE</t>
  </si>
  <si>
    <t>Pepa Petrova, Iva Kostadinova</t>
  </si>
  <si>
    <t>ПОДХОД И МЕТОД ЗА АВТОМАТИЗАЦИЯ НА ТЕСТОВАТА СИСТЕМА И УСЪВЪРШЕНСТВАНЕ НА ОБРАЗОВАТЕЛНИЯ ПРОЦЕС</t>
  </si>
  <si>
    <t>Издателство “За буквите – О писменехь”, София, 2020, 180 с.</t>
  </si>
  <si>
    <t>ISBN 978-619-185-433-2</t>
  </si>
  <si>
    <t>Ива Костадинова</t>
  </si>
  <si>
    <t xml:space="preserve">Proceedings of EDULEARN20 Conference 6th-7th July 2020, 2058-2067, </t>
  </si>
  <si>
    <t>В. Тотев, И. Костадинова</t>
  </si>
  <si>
    <t>Kostadinova I. , K. Rasheva-Yordanova, Aleksandar Andonov</t>
  </si>
  <si>
    <t>Иванов Иван, В. Тотев, И. Костадинова</t>
  </si>
  <si>
    <t>Mitko Stoikov</t>
  </si>
  <si>
    <t>Oleksii Bychkov, Kateryna Merkulova, Georgi Dimitrov, Yelyzaveta Zhabska, Iva Kostadinova,Pepa Petrova, Pavel Petrov, Iglika Getova,Galina Panayotova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</si>
</sst>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17">
    <font>
      <sz val="10"/>
      <color rgb="FF000000"/>
      <name val="Arial"/>
    </font>
    <font>
      <b/>
      <sz val="10"/>
      <color theme="1"/>
      <name val="Arial"/>
    </font>
    <font>
      <sz val="10"/>
      <color theme="1"/>
      <name val="Arial"/>
    </font>
    <font>
      <b/>
      <sz val="12"/>
      <color theme="1"/>
      <name val="Calibri"/>
    </font>
    <font>
      <b/>
      <sz val="12"/>
      <color rgb="FF000000"/>
      <name val="Calibri"/>
    </font>
    <font>
      <b/>
      <sz val="10"/>
      <color rgb="FF000000"/>
      <name val="Calibri"/>
    </font>
    <font>
      <sz val="11"/>
      <color rgb="FF000000"/>
      <name val="Inconsolata"/>
    </font>
    <font>
      <sz val="10"/>
      <color theme="1"/>
      <name val="Arial"/>
    </font>
    <font>
      <sz val="11"/>
      <color theme="1"/>
      <name val="Calibri"/>
    </font>
    <font>
      <sz val="11"/>
      <color rgb="FF000000"/>
      <name val="Calibri"/>
    </font>
    <font>
      <sz val="10"/>
      <color rgb="FF000000"/>
      <name val="Roboto"/>
    </font>
    <font>
      <sz val="9"/>
      <color rgb="FF000000"/>
      <name val="Calibri"/>
    </font>
    <font>
      <sz val="11"/>
      <color rgb="FF008000"/>
      <name val="Inconsolata"/>
    </font>
    <font>
      <sz val="11"/>
      <color rgb="FF000000"/>
      <name val="&quot;Calibri&quot;"/>
    </font>
    <font>
      <u/>
      <sz val="10"/>
      <color rgb="FF0000FF"/>
      <name val="Arial"/>
    </font>
    <font>
      <b/>
      <sz val="12"/>
      <color rgb="FF000000"/>
      <name val="Calibri, sans-serif"/>
    </font>
    <font>
      <b/>
      <sz val="10"/>
      <color rgb="FF000000"/>
      <name val="Calibri, sans-serif"/>
    </font>
  </fonts>
  <fills count="10">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theme="2" tint="-0.14999847407452621"/>
        <bgColor rgb="FFD9D9D9"/>
      </patternFill>
    </fill>
    <fill>
      <patternFill patternType="solid">
        <fgColor theme="2" tint="-0.14999847407452621"/>
        <bgColor indexed="64"/>
      </patternFill>
    </fill>
    <fill>
      <patternFill patternType="solid">
        <fgColor theme="2" tint="-0.14999847407452621"/>
        <bgColor rgb="FFFFFFFF"/>
      </patternFill>
    </fill>
    <fill>
      <patternFill patternType="solid">
        <fgColor theme="3" tint="0.499984740745262"/>
        <bgColor rgb="FFD9D9D9"/>
      </patternFill>
    </fill>
    <fill>
      <patternFill patternType="solid">
        <fgColor theme="3" tint="0.499984740745262"/>
        <bgColor indexed="64"/>
      </patternFill>
    </fill>
    <fill>
      <patternFill patternType="solid">
        <fgColor theme="3" tint="0.499984740745262"/>
        <bgColor rgb="FFFFFFFF"/>
      </patternFill>
    </fill>
  </fills>
  <borders count="4">
    <border>
      <left/>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41">
    <xf numFmtId="0" fontId="0" fillId="0" borderId="0" xfId="0" applyFont="1" applyAlignment="1"/>
    <xf numFmtId="1" fontId="3" fillId="3" borderId="0" xfId="0" applyNumberFormat="1" applyFont="1" applyFill="1" applyAlignment="1">
      <alignment horizontal="left" vertical="center"/>
    </xf>
    <xf numFmtId="0" fontId="4" fillId="3" borderId="3" xfId="0" applyFont="1" applyFill="1" applyBorder="1" applyAlignment="1">
      <alignment horizontal="center" vertical="center"/>
    </xf>
    <xf numFmtId="0" fontId="4" fillId="3" borderId="1" xfId="0" applyFont="1" applyFill="1" applyBorder="1" applyAlignment="1">
      <alignment horizontal="center" vertical="center"/>
    </xf>
    <xf numFmtId="0" fontId="1" fillId="3" borderId="0" xfId="0" applyFont="1" applyFill="1" applyAlignment="1">
      <alignment horizontal="center" vertical="center"/>
    </xf>
    <xf numFmtId="0" fontId="4" fillId="3" borderId="2" xfId="0" applyFont="1" applyFill="1" applyBorder="1" applyAlignment="1">
      <alignment horizontal="center" vertical="center"/>
    </xf>
    <xf numFmtId="0" fontId="5" fillId="3" borderId="0" xfId="0" applyFont="1" applyFill="1" applyAlignment="1">
      <alignment horizontal="center" vertical="center" wrapText="1"/>
    </xf>
    <xf numFmtId="164" fontId="6" fillId="2" borderId="0" xfId="0" applyNumberFormat="1" applyFont="1" applyFill="1"/>
    <xf numFmtId="0" fontId="4" fillId="2" borderId="0" xfId="0" applyFont="1" applyFill="1" applyAlignment="1"/>
    <xf numFmtId="0" fontId="7" fillId="0" borderId="0" xfId="0" applyFont="1" applyAlignment="1"/>
    <xf numFmtId="0" fontId="7" fillId="0" borderId="0" xfId="0" applyFont="1"/>
    <xf numFmtId="0" fontId="1" fillId="0" borderId="0" xfId="0" applyFont="1"/>
    <xf numFmtId="0" fontId="7" fillId="0" borderId="0" xfId="0" applyFont="1" applyAlignment="1">
      <alignment horizontal="center"/>
    </xf>
    <xf numFmtId="0" fontId="5" fillId="3" borderId="0" xfId="0" applyFont="1" applyFill="1" applyAlignment="1">
      <alignment horizontal="center" vertical="center" wrapText="1"/>
    </xf>
    <xf numFmtId="0" fontId="9" fillId="0" borderId="0" xfId="0" applyFont="1" applyAlignment="1"/>
    <xf numFmtId="0" fontId="9" fillId="0" borderId="0" xfId="0" applyFont="1" applyAlignment="1">
      <alignment horizontal="center"/>
    </xf>
    <xf numFmtId="0" fontId="9" fillId="0" borderId="0" xfId="0" applyFont="1" applyAlignment="1"/>
    <xf numFmtId="0" fontId="9" fillId="0" borderId="0" xfId="0" applyFont="1" applyAlignment="1"/>
    <xf numFmtId="0" fontId="10" fillId="2" borderId="0" xfId="0" applyFont="1" applyFill="1" applyAlignment="1"/>
    <xf numFmtId="0" fontId="8" fillId="2" borderId="0" xfId="0" applyFont="1" applyFill="1" applyAlignment="1">
      <alignment horizontal="left"/>
    </xf>
    <xf numFmtId="0" fontId="11" fillId="2" borderId="0" xfId="0" applyFont="1" applyFill="1" applyAlignment="1">
      <alignment horizontal="left" wrapText="1"/>
    </xf>
    <xf numFmtId="0" fontId="7" fillId="2" borderId="0" xfId="0" applyFont="1" applyFill="1"/>
    <xf numFmtId="0" fontId="1" fillId="0" borderId="0" xfId="0" applyFont="1" applyAlignment="1"/>
    <xf numFmtId="1" fontId="1" fillId="0" borderId="0" xfId="0" applyNumberFormat="1" applyFont="1"/>
    <xf numFmtId="49" fontId="1" fillId="0" borderId="0" xfId="0" applyNumberFormat="1" applyFont="1"/>
    <xf numFmtId="49" fontId="7" fillId="0" borderId="0" xfId="0" applyNumberFormat="1" applyFont="1"/>
    <xf numFmtId="0" fontId="12" fillId="2" borderId="0" xfId="0" applyFont="1" applyFill="1" applyAlignment="1"/>
    <xf numFmtId="0" fontId="13" fillId="2" borderId="0" xfId="0" applyFont="1" applyFill="1"/>
    <xf numFmtId="0" fontId="14" fillId="0" borderId="0" xfId="0" applyFont="1"/>
    <xf numFmtId="0" fontId="5" fillId="4" borderId="0" xfId="0" applyFont="1" applyFill="1" applyAlignment="1">
      <alignment horizontal="center" vertical="center" wrapText="1"/>
    </xf>
    <xf numFmtId="0" fontId="7" fillId="5" borderId="0" xfId="0" applyFont="1" applyFill="1" applyAlignment="1"/>
    <xf numFmtId="0" fontId="10" fillId="6" borderId="0" xfId="0" applyFont="1" applyFill="1" applyAlignment="1"/>
    <xf numFmtId="0" fontId="0" fillId="5" borderId="0" xfId="0" applyFont="1" applyFill="1" applyAlignment="1"/>
    <xf numFmtId="0" fontId="5" fillId="7" borderId="0" xfId="0" applyFont="1" applyFill="1" applyAlignment="1">
      <alignment horizontal="center" vertical="center" wrapText="1"/>
    </xf>
    <xf numFmtId="0" fontId="0" fillId="8" borderId="0" xfId="0" applyFont="1" applyFill="1" applyAlignment="1"/>
    <xf numFmtId="0" fontId="10" fillId="9" borderId="0" xfId="0" applyFont="1" applyFill="1" applyAlignment="1"/>
    <xf numFmtId="0" fontId="7" fillId="8" borderId="0" xfId="0" applyFont="1" applyFill="1" applyAlignment="1"/>
    <xf numFmtId="0" fontId="2" fillId="5" borderId="0" xfId="0" applyFont="1" applyFill="1" applyAlignment="1"/>
    <xf numFmtId="0" fontId="2" fillId="0" borderId="0" xfId="0" applyFont="1" applyAlignment="1"/>
    <xf numFmtId="0" fontId="16" fillId="3" borderId="0" xfId="0" applyFont="1" applyFill="1" applyAlignment="1">
      <alignment horizontal="center" vertical="center" wrapText="1"/>
    </xf>
    <xf numFmtId="0" fontId="2" fillId="2"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nationallibrary.bg/wp/?p=68233" TargetMode="External"/><Relationship Id="rId21" Type="http://schemas.openxmlformats.org/officeDocument/2006/relationships/hyperlink" Target="http://cobiss.bg/" TargetMode="External"/><Relationship Id="rId42" Type="http://schemas.openxmlformats.org/officeDocument/2006/relationships/hyperlink" Target="http://meritresearchjournals.org/er/index.htm" TargetMode="External"/><Relationship Id="rId47" Type="http://schemas.openxmlformats.org/officeDocument/2006/relationships/hyperlink" Target="http://dinamika.omgtu.ru/images/stories/content2/dinamika_tom5.pdf" TargetMode="External"/><Relationship Id="rId63" Type="http://schemas.openxmlformats.org/officeDocument/2006/relationships/hyperlink" Target="http://www.unesco-centerbg.org/wp-new/wp-content/.../izdanie_UNESCO_interavtive.pdf" TargetMode="External"/><Relationship Id="rId68" Type="http://schemas.openxmlformats.org/officeDocument/2006/relationships/hyperlink" Target="https://ojs.letras.up.pt/index.php/paginasaeb/article/view/7811" TargetMode="External"/><Relationship Id="rId7" Type="http://schemas.openxmlformats.org/officeDocument/2006/relationships/hyperlink" Target="http://www.economy.bg/" TargetMode="External"/><Relationship Id="rId71" Type="http://schemas.openxmlformats.org/officeDocument/2006/relationships/hyperlink" Target="https://www.clg2016.org/documents/CLG2016-Chantova.pdf." TargetMode="External"/><Relationship Id="rId2" Type="http://schemas.openxmlformats.org/officeDocument/2006/relationships/hyperlink" Target="https://www.balkan-history.com/wp-content/uploads/2020/04/Spring-in-the-Festal-Ritual-Calendar-2019.pdf" TargetMode="External"/><Relationship Id="rId16" Type="http://schemas.openxmlformats.org/officeDocument/2006/relationships/hyperlink" Target="http://cobiss.bg/" TargetMode="External"/><Relationship Id="rId29" Type="http://schemas.openxmlformats.org/officeDocument/2006/relationships/hyperlink" Target="http://www.zabukvite.org/" TargetMode="External"/><Relationship Id="rId11" Type="http://schemas.openxmlformats.org/officeDocument/2006/relationships/hyperlink" Target="https://www.facebook.com/InstituteforPopulationandHumanStudies/" TargetMode="External"/><Relationship Id="rId24" Type="http://schemas.openxmlformats.org/officeDocument/2006/relationships/hyperlink" Target="http://elibraru.ru/" TargetMode="External"/><Relationship Id="rId32" Type="http://schemas.openxmlformats.org/officeDocument/2006/relationships/hyperlink" Target="http://httpbgob.net/acad_publ-house.asp" TargetMode="External"/><Relationship Id="rId37" Type="http://schemas.openxmlformats.org/officeDocument/2006/relationships/hyperlink" Target="http://cobiss.bg/" TargetMode="External"/><Relationship Id="rId40" Type="http://schemas.openxmlformats.org/officeDocument/2006/relationships/hyperlink" Target="http://cobiss.bg/" TargetMode="External"/><Relationship Id="rId45" Type="http://schemas.openxmlformats.org/officeDocument/2006/relationships/hyperlink" Target="http://researchechgate.net/" TargetMode="External"/><Relationship Id="rId53" Type="http://schemas.openxmlformats.org/officeDocument/2006/relationships/hyperlink" Target="http://conference.ott-iict.bas.bg/" TargetMode="External"/><Relationship Id="rId58" Type="http://schemas.openxmlformats.org/officeDocument/2006/relationships/hyperlink" Target="https://www.icdsapienza.org/journal/index.php/jicd" TargetMode="External"/><Relationship Id="rId66" Type="http://schemas.openxmlformats.org/officeDocument/2006/relationships/hyperlink" Target="http://www.museite.com/bg/index.php/musei/ot-bulgarski-musei/85-2013-04-25-20-28-24" TargetMode="External"/><Relationship Id="rId5" Type="http://schemas.openxmlformats.org/officeDocument/2006/relationships/hyperlink" Target="http://unitech.tugab.bg/" TargetMode="External"/><Relationship Id="rId61" Type="http://schemas.openxmlformats.org/officeDocument/2006/relationships/hyperlink" Target="https://scholar.google.bg/citations?user=AlGKo-gAAAAJ&amp;hl=bg" TargetMode="External"/><Relationship Id="rId19" Type="http://schemas.openxmlformats.org/officeDocument/2006/relationships/hyperlink" Target="http://cobiss.bg/" TargetMode="External"/><Relationship Id="rId14" Type="http://schemas.openxmlformats.org/officeDocument/2006/relationships/hyperlink" Target="http://unicat.nalis.bg/Record/BAS.000105371" TargetMode="External"/><Relationship Id="rId22" Type="http://schemas.openxmlformats.org/officeDocument/2006/relationships/hyperlink" Target="http://cobiss.bg/" TargetMode="External"/><Relationship Id="rId27" Type="http://schemas.openxmlformats.org/officeDocument/2006/relationships/hyperlink" Target="http://nationallibrary.bg/wp/wp-content/uploads/2020/06/Biblioteka_br_1_2019.pdf" TargetMode="External"/><Relationship Id="rId30" Type="http://schemas.openxmlformats.org/officeDocument/2006/relationships/hyperlink" Target="http://www.zabukvite.org/" TargetMode="External"/><Relationship Id="rId35" Type="http://schemas.openxmlformats.org/officeDocument/2006/relationships/hyperlink" Target="http://cobiss.bg/" TargetMode="External"/><Relationship Id="rId43" Type="http://schemas.openxmlformats.org/officeDocument/2006/relationships/hyperlink" Target="http://meritresearchjournals.org/er/index.htm" TargetMode="External"/><Relationship Id="rId48" Type="http://schemas.openxmlformats.org/officeDocument/2006/relationships/hyperlink" Target="https://cpo.unibit.bg/index.php/dopylnitelni-resursi" TargetMode="External"/><Relationship Id="rId56" Type="http://schemas.openxmlformats.org/officeDocument/2006/relationships/hyperlink" Target="http://cobiss.bg/" TargetMode="External"/><Relationship Id="rId64" Type="http://schemas.openxmlformats.org/officeDocument/2006/relationships/hyperlink" Target="https://scholar.google.bg/citations?user=AlGKo-gAAAAJ&amp;hl=bg" TargetMode="External"/><Relationship Id="rId69" Type="http://schemas.openxmlformats.org/officeDocument/2006/relationships/hyperlink" Target="http://elibrary.ru/" TargetMode="External"/><Relationship Id="rId8" Type="http://schemas.openxmlformats.org/officeDocument/2006/relationships/hyperlink" Target="http://www.economy.bg/" TargetMode="External"/><Relationship Id="rId51" Type="http://schemas.openxmlformats.org/officeDocument/2006/relationships/hyperlink" Target="http://cobiss.bg/" TargetMode="External"/><Relationship Id="rId72" Type="http://schemas.openxmlformats.org/officeDocument/2006/relationships/hyperlink" Target="https://doi.org/10.1051/shsconf/20140801154." TargetMode="External"/><Relationship Id="rId3" Type="http://schemas.openxmlformats.org/officeDocument/2006/relationships/hyperlink" Target="http://www.vwh-verlag.de/vwh/?p=1283" TargetMode="External"/><Relationship Id="rId12" Type="http://schemas.openxmlformats.org/officeDocument/2006/relationships/hyperlink" Target="http://unicat.nalis.bg/Search/Results?sort=relevance&amp;join=AND&amp;lookfor0%5B%5D=ISSN+1314-1937&amp;type0%5B%5D=AllFields&amp;bool0%5B%5D=AND&amp;illustration=-1&amp;daterange%5B%5D=publishDate&amp;publishDatefrom=&amp;publishDateto=" TargetMode="External"/><Relationship Id="rId17" Type="http://schemas.openxmlformats.org/officeDocument/2006/relationships/hyperlink" Target="http://cobiss.bg/" TargetMode="External"/><Relationship Id="rId25" Type="http://schemas.openxmlformats.org/officeDocument/2006/relationships/hyperlink" Target="https://scholar.google.bg/" TargetMode="External"/><Relationship Id="rId33" Type="http://schemas.openxmlformats.org/officeDocument/2006/relationships/hyperlink" Target="http://elibrary.ru/contents.asp?issueid=1587771" TargetMode="External"/><Relationship Id="rId38" Type="http://schemas.openxmlformats.org/officeDocument/2006/relationships/hyperlink" Target="http://cobiss.bg/" TargetMode="External"/><Relationship Id="rId46" Type="http://schemas.openxmlformats.org/officeDocument/2006/relationships/hyperlink" Target="http://researchechgate.net/" TargetMode="External"/><Relationship Id="rId59" Type="http://schemas.openxmlformats.org/officeDocument/2006/relationships/hyperlink" Target="https://scholar.google.bg/citations?user=AlGKo-gAAAAJ&amp;hl=bg" TargetMode="External"/><Relationship Id="rId67" Type="http://schemas.openxmlformats.org/officeDocument/2006/relationships/hyperlink" Target="https://geopolitica.eu/" TargetMode="External"/><Relationship Id="rId20" Type="http://schemas.openxmlformats.org/officeDocument/2006/relationships/hyperlink" Target="http://cobiss.bg/" TargetMode="External"/><Relationship Id="rId41" Type="http://schemas.openxmlformats.org/officeDocument/2006/relationships/hyperlink" Target="http://cobiss.bg/" TargetMode="External"/><Relationship Id="rId54" Type="http://schemas.openxmlformats.org/officeDocument/2006/relationships/hyperlink" Target="http://qqml.org/wp-content/uploads/2017/09/Book-of-Abstracts-26-5-2020-.pdf" TargetMode="External"/><Relationship Id="rId62" Type="http://schemas.openxmlformats.org/officeDocument/2006/relationships/hyperlink" Target="https://scholar.google.bg/citations?user=AlGKo-gAAAAJ&amp;hl=bg" TargetMode="External"/><Relationship Id="rId70" Type="http://schemas.openxmlformats.org/officeDocument/2006/relationships/hyperlink" Target="http://elibrary.ru/" TargetMode="External"/><Relationship Id="rId1" Type="http://schemas.openxmlformats.org/officeDocument/2006/relationships/hyperlink" Target="http://bibliograf.ru/" TargetMode="External"/><Relationship Id="rId6" Type="http://schemas.openxmlformats.org/officeDocument/2006/relationships/hyperlink" Target="http://unitech.tugab.bg/" TargetMode="External"/><Relationship Id="rId15" Type="http://schemas.openxmlformats.org/officeDocument/2006/relationships/hyperlink" Target="https://dspace.ou.nl/handle/1820/1590" TargetMode="External"/><Relationship Id="rId23" Type="http://schemas.openxmlformats.org/officeDocument/2006/relationships/hyperlink" Target="https://conference.pixel-online.net/NPSE/files/npse/ed0006/FP/2295-SEPI2172-FP-NPSE6.pdf" TargetMode="External"/><Relationship Id="rId28" Type="http://schemas.openxmlformats.org/officeDocument/2006/relationships/hyperlink" Target="https://library.iated.org/publications/EDULEARN18" TargetMode="External"/><Relationship Id="rId36" Type="http://schemas.openxmlformats.org/officeDocument/2006/relationships/hyperlink" Target="http://cobiss.bg/" TargetMode="External"/><Relationship Id="rId49" Type="http://schemas.openxmlformats.org/officeDocument/2006/relationships/hyperlink" Target="http://cobiss.bg/" TargetMode="External"/><Relationship Id="rId57" Type="http://schemas.openxmlformats.org/officeDocument/2006/relationships/hyperlink" Target="https://www.ceeol.com/search/journal-detail?id=1588" TargetMode="External"/><Relationship Id="rId10" Type="http://schemas.openxmlformats.org/officeDocument/2006/relationships/hyperlink" Target="http://macrotheme.com/yahoo_site_admin/assets/docs/2MR74Ma.337233611.pdf" TargetMode="External"/><Relationship Id="rId31" Type="http://schemas.openxmlformats.org/officeDocument/2006/relationships/hyperlink" Target="http://www.zabukvite.org/" TargetMode="External"/><Relationship Id="rId44" Type="http://schemas.openxmlformats.org/officeDocument/2006/relationships/hyperlink" Target="http://researchechgate.net/" TargetMode="External"/><Relationship Id="rId52" Type="http://schemas.openxmlformats.org/officeDocument/2006/relationships/hyperlink" Target="http://cobiss.bg/" TargetMode="External"/><Relationship Id="rId60" Type="http://schemas.openxmlformats.org/officeDocument/2006/relationships/hyperlink" Target="http://www.subplovdiv.com/nauchni-trudove-na-sub-plovdiv/nauchni-trudove-pdf" TargetMode="External"/><Relationship Id="rId65" Type="http://schemas.openxmlformats.org/officeDocument/2006/relationships/hyperlink" Target="https://scholar.google.bg/citations?user=AlGKo-gAAAAJ&amp;hl=bg" TargetMode="External"/><Relationship Id="rId4" Type="http://schemas.openxmlformats.org/officeDocument/2006/relationships/hyperlink" Target="https://elibrary.ru/item.asp?id=32471954" TargetMode="External"/><Relationship Id="rId9" Type="http://schemas.openxmlformats.org/officeDocument/2006/relationships/hyperlink" Target="http://unicat.nalis.bg/Search/Results?sort=relevance&amp;join=AND&amp;lookfor0%5B%5D=ISSN+1314-1937&amp;type0%5B%5D=AllFields&amp;bool0%5B%5D=AND&amp;illustration=-" TargetMode="External"/><Relationship Id="rId13" Type="http://schemas.openxmlformats.org/officeDocument/2006/relationships/hyperlink" Target="http://macrotheme.com/yahoo_site_admin/assets/docs/1MR61Pe.297130637.pdf" TargetMode="External"/><Relationship Id="rId18" Type="http://schemas.openxmlformats.org/officeDocument/2006/relationships/hyperlink" Target="http://cobiss.bg/" TargetMode="External"/><Relationship Id="rId39" Type="http://schemas.openxmlformats.org/officeDocument/2006/relationships/hyperlink" Target="http://cobiss.bg/" TargetMode="External"/><Relationship Id="rId34" Type="http://schemas.openxmlformats.org/officeDocument/2006/relationships/hyperlink" Target="http://cobiss.bg/" TargetMode="External"/><Relationship Id="rId50" Type="http://schemas.openxmlformats.org/officeDocument/2006/relationships/hyperlink" Target="http://cobiss.bg/" TargetMode="External"/><Relationship Id="rId55" Type="http://schemas.openxmlformats.org/officeDocument/2006/relationships/hyperlink" Target="http://cobiss.b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00"/>
    <outlinePr summaryBelow="0" summaryRight="0"/>
  </sheetPr>
  <dimension ref="A1:H50"/>
  <sheetViews>
    <sheetView workbookViewId="0">
      <pane ySplit="1" topLeftCell="A2" activePane="bottomLeft" state="frozen"/>
      <selection pane="bottomLeft" activeCell="B3" sqref="B3"/>
    </sheetView>
  </sheetViews>
  <sheetFormatPr defaultColWidth="14.42578125" defaultRowHeight="15.75" customHeight="1"/>
  <cols>
    <col min="1" max="1" width="24.85546875" hidden="1" customWidth="1"/>
    <col min="2" max="2" width="48.28515625" customWidth="1"/>
    <col min="3" max="3" width="55.42578125" customWidth="1"/>
    <col min="4" max="4" width="13.85546875" customWidth="1"/>
    <col min="5" max="5" width="48.5703125" customWidth="1"/>
    <col min="6" max="6" width="7.7109375" customWidth="1"/>
    <col min="8" max="8" width="23.42578125" customWidth="1"/>
  </cols>
  <sheetData>
    <row r="1" spans="1:8" ht="28.5" customHeight="1">
      <c r="A1" s="1" t="s">
        <v>4</v>
      </c>
      <c r="B1" s="2" t="s">
        <v>5</v>
      </c>
      <c r="C1" s="3" t="s">
        <v>6</v>
      </c>
      <c r="D1" s="4" t="s">
        <v>7</v>
      </c>
      <c r="E1" s="3" t="s">
        <v>8</v>
      </c>
      <c r="F1" s="5" t="s">
        <v>9</v>
      </c>
      <c r="G1" s="4" t="s">
        <v>10</v>
      </c>
      <c r="H1" s="6" t="s">
        <v>11</v>
      </c>
    </row>
    <row r="2" spans="1:8">
      <c r="A2" s="7" t="e">
        <f>#REF!</f>
        <v>#REF!</v>
      </c>
      <c r="B2" s="8" t="s">
        <v>12</v>
      </c>
      <c r="C2" s="9" t="s">
        <v>13</v>
      </c>
      <c r="D2" s="9" t="s">
        <v>14</v>
      </c>
      <c r="E2" s="9" t="s">
        <v>15</v>
      </c>
      <c r="F2" s="9">
        <v>1</v>
      </c>
      <c r="G2" s="9" t="s">
        <v>16</v>
      </c>
      <c r="H2" s="9">
        <v>10</v>
      </c>
    </row>
    <row r="3" spans="1:8">
      <c r="A3" s="7" t="e">
        <f>#REF!</f>
        <v>#REF!</v>
      </c>
      <c r="B3" s="8" t="s">
        <v>12</v>
      </c>
      <c r="C3" s="9" t="s">
        <v>13</v>
      </c>
      <c r="D3" s="9" t="s">
        <v>14</v>
      </c>
      <c r="E3" s="9" t="s">
        <v>17</v>
      </c>
      <c r="F3" s="9">
        <v>1</v>
      </c>
      <c r="G3" s="9" t="s">
        <v>16</v>
      </c>
      <c r="H3" s="9">
        <v>10</v>
      </c>
    </row>
    <row r="4" spans="1:8">
      <c r="A4" s="7" t="e">
        <f>#REF!</f>
        <v>#REF!</v>
      </c>
      <c r="B4" s="8" t="s">
        <v>12</v>
      </c>
      <c r="C4" s="9" t="s">
        <v>18</v>
      </c>
      <c r="D4" s="9" t="s">
        <v>19</v>
      </c>
      <c r="E4" s="9" t="s">
        <v>20</v>
      </c>
      <c r="F4" s="9">
        <v>1</v>
      </c>
      <c r="G4" s="9" t="s">
        <v>21</v>
      </c>
      <c r="H4" s="9">
        <v>102.5</v>
      </c>
    </row>
    <row r="5" spans="1:8">
      <c r="A5" s="7" t="e">
        <f>#REF!</f>
        <v>#REF!</v>
      </c>
      <c r="B5" s="8" t="s">
        <v>12</v>
      </c>
      <c r="C5" s="9" t="s">
        <v>18</v>
      </c>
      <c r="D5" s="9" t="s">
        <v>19</v>
      </c>
      <c r="E5" s="9" t="s">
        <v>20</v>
      </c>
      <c r="F5" s="9">
        <v>1</v>
      </c>
      <c r="G5" s="9" t="s">
        <v>16</v>
      </c>
      <c r="H5" s="9">
        <v>60</v>
      </c>
    </row>
    <row r="6" spans="1:8">
      <c r="A6" s="7" t="e">
        <f>#REF!</f>
        <v>#REF!</v>
      </c>
      <c r="B6" s="8" t="s">
        <v>12</v>
      </c>
      <c r="C6" s="9" t="s">
        <v>22</v>
      </c>
      <c r="D6" s="9" t="s">
        <v>19</v>
      </c>
      <c r="E6" s="9" t="s">
        <v>20</v>
      </c>
      <c r="F6" s="9">
        <v>1</v>
      </c>
      <c r="G6" s="9" t="s">
        <v>21</v>
      </c>
      <c r="H6" s="9">
        <v>220</v>
      </c>
    </row>
    <row r="7" spans="1:8">
      <c r="A7" s="7" t="e">
        <f>#REF!</f>
        <v>#REF!</v>
      </c>
      <c r="B7" s="8" t="s">
        <v>12</v>
      </c>
      <c r="C7" s="9" t="s">
        <v>22</v>
      </c>
      <c r="D7" s="9" t="s">
        <v>19</v>
      </c>
      <c r="E7" s="9" t="s">
        <v>20</v>
      </c>
      <c r="F7" s="9">
        <v>1</v>
      </c>
      <c r="G7" s="9" t="s">
        <v>16</v>
      </c>
      <c r="H7" s="9">
        <v>30</v>
      </c>
    </row>
    <row r="8" spans="1:8">
      <c r="A8" s="7" t="e">
        <f>#REF!</f>
        <v>#REF!</v>
      </c>
      <c r="B8" s="8"/>
      <c r="D8" s="10"/>
      <c r="E8" s="10"/>
      <c r="F8" s="10"/>
      <c r="G8" s="10"/>
    </row>
    <row r="9" spans="1:8">
      <c r="A9" s="7" t="e">
        <f>#REF!</f>
        <v>#REF!</v>
      </c>
      <c r="B9" s="8"/>
      <c r="D9" s="10"/>
      <c r="E9" s="10"/>
      <c r="F9" s="10"/>
      <c r="G9" s="10"/>
    </row>
    <row r="10" spans="1:8">
      <c r="A10" s="7" t="e">
        <f>#REF!</f>
        <v>#REF!</v>
      </c>
      <c r="B10" s="8"/>
      <c r="D10" s="10"/>
      <c r="E10" s="10"/>
      <c r="F10" s="10"/>
      <c r="G10" s="10"/>
    </row>
    <row r="11" spans="1:8">
      <c r="A11" s="7" t="e">
        <f>#REF!</f>
        <v>#REF!</v>
      </c>
      <c r="B11" s="8"/>
      <c r="D11" s="10"/>
      <c r="E11" s="10"/>
      <c r="F11" s="10"/>
      <c r="G11" s="10"/>
    </row>
    <row r="12" spans="1:8">
      <c r="A12" s="7" t="e">
        <f>#REF!</f>
        <v>#REF!</v>
      </c>
      <c r="B12" s="8"/>
      <c r="D12" s="10"/>
      <c r="E12" s="10"/>
      <c r="F12" s="10"/>
      <c r="G12" s="10"/>
    </row>
    <row r="13" spans="1:8">
      <c r="A13" s="7" t="e">
        <f>#REF!</f>
        <v>#REF!</v>
      </c>
      <c r="B13" s="8"/>
      <c r="D13" s="10"/>
      <c r="E13" s="10"/>
      <c r="F13" s="10"/>
      <c r="G13" s="10"/>
    </row>
    <row r="14" spans="1:8">
      <c r="A14" s="7" t="e">
        <f>#REF!</f>
        <v>#REF!</v>
      </c>
      <c r="B14" s="8"/>
      <c r="D14" s="10"/>
      <c r="E14" s="10"/>
      <c r="F14" s="10"/>
      <c r="G14" s="10"/>
    </row>
    <row r="15" spans="1:8">
      <c r="A15" s="7" t="e">
        <f>#REF!</f>
        <v>#REF!</v>
      </c>
      <c r="B15" s="8"/>
      <c r="D15" s="10"/>
      <c r="E15" s="10"/>
      <c r="F15" s="10"/>
      <c r="G15" s="10"/>
    </row>
    <row r="16" spans="1:8">
      <c r="A16" s="7" t="e">
        <f>#REF!</f>
        <v>#REF!</v>
      </c>
      <c r="B16" s="8"/>
      <c r="D16" s="10"/>
      <c r="E16" s="10"/>
      <c r="F16" s="10"/>
      <c r="G16" s="10"/>
    </row>
    <row r="17" spans="1:7">
      <c r="A17" s="7" t="e">
        <f>#REF!</f>
        <v>#REF!</v>
      </c>
      <c r="B17" s="8"/>
      <c r="D17" s="10"/>
      <c r="E17" s="10"/>
      <c r="F17" s="10"/>
      <c r="G17" s="10"/>
    </row>
    <row r="18" spans="1:7">
      <c r="A18" s="7" t="e">
        <f>#REF!</f>
        <v>#REF!</v>
      </c>
      <c r="B18" s="8"/>
      <c r="D18" s="10"/>
      <c r="E18" s="10"/>
      <c r="F18" s="10"/>
      <c r="G18" s="10"/>
    </row>
    <row r="19" spans="1:7">
      <c r="A19" s="7" t="e">
        <f>#REF!</f>
        <v>#REF!</v>
      </c>
      <c r="B19" s="8"/>
      <c r="D19" s="10"/>
      <c r="E19" s="10"/>
      <c r="F19" s="10"/>
      <c r="G19" s="10"/>
    </row>
    <row r="20" spans="1:7">
      <c r="A20" s="7" t="e">
        <f>#REF!</f>
        <v>#REF!</v>
      </c>
      <c r="B20" s="8"/>
      <c r="D20" s="10"/>
      <c r="E20" s="10"/>
      <c r="F20" s="10"/>
      <c r="G20" s="10"/>
    </row>
    <row r="21" spans="1:7">
      <c r="A21" s="7" t="e">
        <f>#REF!</f>
        <v>#REF!</v>
      </c>
      <c r="B21" s="8"/>
      <c r="D21" s="10"/>
      <c r="E21" s="10"/>
      <c r="F21" s="10"/>
      <c r="G21" s="10"/>
    </row>
    <row r="22" spans="1:7">
      <c r="A22" s="7" t="e">
        <f>#REF!</f>
        <v>#REF!</v>
      </c>
      <c r="B22" s="8"/>
      <c r="D22" s="10"/>
      <c r="E22" s="10"/>
      <c r="F22" s="10"/>
      <c r="G22" s="10"/>
    </row>
    <row r="23" spans="1:7">
      <c r="A23" s="7" t="e">
        <f>#REF!</f>
        <v>#REF!</v>
      </c>
      <c r="B23" s="8"/>
      <c r="D23" s="10"/>
      <c r="E23" s="10"/>
      <c r="F23" s="10"/>
      <c r="G23" s="10"/>
    </row>
    <row r="24" spans="1:7">
      <c r="A24" s="7" t="e">
        <f>#REF!</f>
        <v>#REF!</v>
      </c>
      <c r="B24" s="8"/>
      <c r="D24" s="10"/>
      <c r="E24" s="10"/>
      <c r="F24" s="10"/>
      <c r="G24" s="10"/>
    </row>
    <row r="25" spans="1:7">
      <c r="A25" s="7" t="e">
        <f>#REF!</f>
        <v>#REF!</v>
      </c>
      <c r="B25" s="8"/>
      <c r="D25" s="10"/>
      <c r="E25" s="10"/>
      <c r="F25" s="10"/>
      <c r="G25" s="10"/>
    </row>
    <row r="26" spans="1:7">
      <c r="A26" s="7" t="e">
        <f>#REF!</f>
        <v>#REF!</v>
      </c>
      <c r="B26" s="8"/>
      <c r="D26" s="10"/>
      <c r="E26" s="10"/>
      <c r="F26" s="10"/>
      <c r="G26" s="10"/>
    </row>
    <row r="27" spans="1:7">
      <c r="A27" s="7" t="e">
        <f>#REF!</f>
        <v>#REF!</v>
      </c>
      <c r="B27" s="8"/>
      <c r="D27" s="10"/>
      <c r="E27" s="10"/>
      <c r="F27" s="10"/>
      <c r="G27" s="10"/>
    </row>
    <row r="28" spans="1:7">
      <c r="A28" s="7" t="e">
        <f>#REF!</f>
        <v>#REF!</v>
      </c>
      <c r="B28" s="8"/>
      <c r="D28" s="10"/>
      <c r="E28" s="10"/>
      <c r="F28" s="10"/>
      <c r="G28" s="10"/>
    </row>
    <row r="29" spans="1:7">
      <c r="A29" s="7" t="e">
        <f>#REF!</f>
        <v>#REF!</v>
      </c>
      <c r="B29" s="8"/>
      <c r="D29" s="10"/>
      <c r="E29" s="10"/>
      <c r="F29" s="10"/>
      <c r="G29" s="10"/>
    </row>
    <row r="30" spans="1:7">
      <c r="A30" s="7" t="e">
        <f>#REF!</f>
        <v>#REF!</v>
      </c>
      <c r="B30" s="8"/>
      <c r="D30" s="10"/>
      <c r="E30" s="10"/>
      <c r="F30" s="10"/>
      <c r="G30" s="10"/>
    </row>
    <row r="31" spans="1:7">
      <c r="A31" s="7" t="e">
        <f>#REF!</f>
        <v>#REF!</v>
      </c>
      <c r="B31" s="8"/>
      <c r="D31" s="10"/>
      <c r="E31" s="10"/>
      <c r="F31" s="10"/>
      <c r="G31" s="10"/>
    </row>
    <row r="32" spans="1:7">
      <c r="A32" s="7" t="e">
        <f>#REF!</f>
        <v>#REF!</v>
      </c>
      <c r="B32" s="8"/>
      <c r="D32" s="10"/>
      <c r="E32" s="10"/>
      <c r="F32" s="10"/>
      <c r="G32" s="10"/>
    </row>
    <row r="33" spans="1:7">
      <c r="A33" s="7" t="e">
        <f>#REF!</f>
        <v>#REF!</v>
      </c>
      <c r="B33" s="8"/>
      <c r="D33" s="10"/>
      <c r="E33" s="10"/>
      <c r="F33" s="10"/>
      <c r="G33" s="10"/>
    </row>
    <row r="34" spans="1:7">
      <c r="A34" s="7" t="e">
        <f>#REF!</f>
        <v>#REF!</v>
      </c>
      <c r="B34" s="8"/>
      <c r="D34" s="10"/>
      <c r="E34" s="10"/>
      <c r="F34" s="10"/>
      <c r="G34" s="10"/>
    </row>
    <row r="35" spans="1:7">
      <c r="A35" s="7" t="e">
        <f>#REF!</f>
        <v>#REF!</v>
      </c>
      <c r="B35" s="8"/>
      <c r="D35" s="10"/>
      <c r="E35" s="10"/>
      <c r="F35" s="10"/>
      <c r="G35" s="10"/>
    </row>
    <row r="36" spans="1:7">
      <c r="A36" s="7" t="e">
        <f>#REF!</f>
        <v>#REF!</v>
      </c>
      <c r="B36" s="8"/>
      <c r="D36" s="10"/>
      <c r="E36" s="10"/>
      <c r="F36" s="10"/>
      <c r="G36" s="10"/>
    </row>
    <row r="37" spans="1:7">
      <c r="A37" s="7" t="e">
        <f>#REF!</f>
        <v>#REF!</v>
      </c>
      <c r="B37" s="8"/>
      <c r="D37" s="10"/>
      <c r="E37" s="10"/>
      <c r="F37" s="10"/>
      <c r="G37" s="10"/>
    </row>
    <row r="38" spans="1:7">
      <c r="A38" s="7" t="e">
        <f>#REF!</f>
        <v>#REF!</v>
      </c>
      <c r="B38" s="8"/>
      <c r="D38" s="10"/>
      <c r="E38" s="10"/>
      <c r="F38" s="10"/>
      <c r="G38" s="10"/>
    </row>
    <row r="39" spans="1:7">
      <c r="A39" s="7" t="e">
        <f>#REF!</f>
        <v>#REF!</v>
      </c>
      <c r="B39" s="8"/>
      <c r="D39" s="10"/>
      <c r="E39" s="10"/>
      <c r="F39" s="10"/>
      <c r="G39" s="10"/>
    </row>
    <row r="40" spans="1:7">
      <c r="A40" s="7" t="e">
        <f>#REF!</f>
        <v>#REF!</v>
      </c>
      <c r="B40" s="8"/>
      <c r="D40" s="10"/>
      <c r="E40" s="10"/>
      <c r="F40" s="10"/>
      <c r="G40" s="10"/>
    </row>
    <row r="41" spans="1:7">
      <c r="A41" s="7" t="e">
        <f>#REF!</f>
        <v>#REF!</v>
      </c>
      <c r="B41" s="8"/>
      <c r="D41" s="10"/>
      <c r="E41" s="10"/>
      <c r="F41" s="10"/>
      <c r="G41" s="10"/>
    </row>
    <row r="42" spans="1:7">
      <c r="A42" s="7" t="e">
        <f>#REF!</f>
        <v>#REF!</v>
      </c>
      <c r="B42" s="8"/>
      <c r="D42" s="10"/>
      <c r="E42" s="10"/>
      <c r="F42" s="10"/>
      <c r="G42" s="10"/>
    </row>
    <row r="43" spans="1:7">
      <c r="A43" s="7" t="e">
        <f>#REF!</f>
        <v>#REF!</v>
      </c>
      <c r="B43" s="8"/>
      <c r="D43" s="10"/>
      <c r="E43" s="10"/>
      <c r="F43" s="10"/>
      <c r="G43" s="10"/>
    </row>
    <row r="44" spans="1:7">
      <c r="A44" s="7" t="e">
        <f>#REF!</f>
        <v>#REF!</v>
      </c>
      <c r="B44" s="8"/>
      <c r="D44" s="10"/>
      <c r="E44" s="10"/>
      <c r="F44" s="10"/>
      <c r="G44" s="10"/>
    </row>
    <row r="45" spans="1:7">
      <c r="A45" s="7" t="e">
        <f>#REF!</f>
        <v>#REF!</v>
      </c>
      <c r="B45" s="8"/>
      <c r="D45" s="10"/>
      <c r="E45" s="10"/>
      <c r="F45" s="10"/>
      <c r="G45" s="10"/>
    </row>
    <row r="46" spans="1:7">
      <c r="A46" s="7" t="e">
        <f>#REF!</f>
        <v>#REF!</v>
      </c>
      <c r="B46" s="8"/>
      <c r="D46" s="10"/>
      <c r="E46" s="10"/>
      <c r="F46" s="10"/>
      <c r="G46" s="10"/>
    </row>
    <row r="47" spans="1:7">
      <c r="A47" s="7" t="e">
        <f>#REF!</f>
        <v>#REF!</v>
      </c>
      <c r="B47" s="8"/>
      <c r="D47" s="10"/>
      <c r="E47" s="10"/>
      <c r="F47" s="10"/>
      <c r="G47" s="10"/>
    </row>
    <row r="48" spans="1:7">
      <c r="A48" s="7" t="e">
        <f>#REF!</f>
        <v>#REF!</v>
      </c>
      <c r="B48" s="8"/>
      <c r="D48" s="10"/>
      <c r="E48" s="10"/>
      <c r="F48" s="10"/>
      <c r="G48" s="10"/>
    </row>
    <row r="49" spans="1:7">
      <c r="A49" s="7" t="e">
        <f>#REF!</f>
        <v>#REF!</v>
      </c>
      <c r="B49" s="8"/>
      <c r="D49" s="10"/>
      <c r="E49" s="10"/>
      <c r="F49" s="10"/>
      <c r="G49" s="10"/>
    </row>
    <row r="50" spans="1:7">
      <c r="A50" s="7" t="e">
        <f>#REF!</f>
        <v>#REF!</v>
      </c>
      <c r="B50" s="8"/>
      <c r="D50" s="10"/>
      <c r="E50" s="10"/>
      <c r="F50" s="10"/>
      <c r="G50" s="10"/>
    </row>
  </sheetData>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r:uid="{00000000-0002-0000-0200-000000000000}">
          <x14:formula1>
            <xm:f>DB!$P$2:$P$60</xm:f>
          </x14:formula1>
          <xm:sqref>E2:E50</xm:sqref>
        </x14:dataValidation>
        <x14:dataValidation type="list" allowBlank="1" showErrorMessage="1" xr:uid="{00000000-0002-0000-0200-000001000000}">
          <x14:formula1>
            <xm:f>DB!$L$2:$L$20</xm:f>
          </x14:formula1>
          <xm:sqref>B2:B50</xm:sqref>
        </x14:dataValidation>
        <x14:dataValidation type="list" allowBlank="1" showErrorMessage="1" xr:uid="{00000000-0002-0000-0200-000002000000}">
          <x14:formula1>
            <xm:f>DB!$O$2:$O$3</xm:f>
          </x14:formula1>
          <xm:sqref>D2:D15</xm:sqref>
        </x14:dataValidation>
        <x14:dataValidation type="list" allowBlank="1" showErrorMessage="1" xr:uid="{00000000-0002-0000-0200-000003000000}">
          <x14:formula1>
            <xm:f>DB!$M$2:$M$5</xm:f>
          </x14:formula1>
          <xm:sqref>F2:F50</xm:sqref>
        </x14:dataValidation>
        <x14:dataValidation type="list" allowBlank="1" showErrorMessage="1" xr:uid="{00000000-0002-0000-0200-000004000000}">
          <x14:formula1>
            <xm:f>DB!$N$2:$N$11</xm:f>
          </x14:formula1>
          <xm:sqref>D16:D50 G2:G50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FF00"/>
    <outlinePr summaryBelow="0" summaryRight="0"/>
  </sheetPr>
  <dimension ref="A1:O1000"/>
  <sheetViews>
    <sheetView tabSelected="1" zoomScale="85" zoomScaleNormal="85" workbookViewId="0">
      <pane xSplit="3" ySplit="1" topLeftCell="H2" activePane="bottomRight" state="frozen"/>
      <selection pane="topRight" activeCell="D1" sqref="D1"/>
      <selection pane="bottomLeft" activeCell="A2" sqref="A2"/>
      <selection pane="bottomRight" activeCell="J11" sqref="J11"/>
    </sheetView>
  </sheetViews>
  <sheetFormatPr defaultColWidth="14.42578125" defaultRowHeight="15.75" customHeight="1"/>
  <cols>
    <col min="1" max="1" width="22.7109375" hidden="1" customWidth="1"/>
    <col min="2" max="2" width="23.140625" customWidth="1"/>
    <col min="3" max="3" width="64.42578125" customWidth="1"/>
    <col min="5" max="5" width="186.28515625" style="32" bestFit="1" customWidth="1"/>
    <col min="6" max="6" width="41.7109375" style="34" bestFit="1" customWidth="1"/>
    <col min="7" max="7" width="27.140625" customWidth="1"/>
    <col min="8" max="9" width="28.85546875" customWidth="1"/>
    <col min="10" max="10" width="135.42578125" bestFit="1" customWidth="1"/>
    <col min="11" max="11" width="28.28515625" customWidth="1"/>
    <col min="12" max="12" width="22" customWidth="1"/>
    <col min="13" max="13" width="18.85546875" customWidth="1"/>
    <col min="14" max="14" width="17.28515625" customWidth="1"/>
    <col min="15" max="15" width="22.140625" bestFit="1" customWidth="1"/>
  </cols>
  <sheetData>
    <row r="1" spans="1:15" ht="36" customHeight="1">
      <c r="A1" s="13" t="s">
        <v>4</v>
      </c>
      <c r="B1" s="13" t="s">
        <v>24</v>
      </c>
      <c r="C1" s="13" t="s">
        <v>25</v>
      </c>
      <c r="D1" s="13" t="s">
        <v>23</v>
      </c>
      <c r="E1" s="29" t="s">
        <v>26</v>
      </c>
      <c r="F1" s="33" t="s">
        <v>27</v>
      </c>
      <c r="G1" s="13" t="s">
        <v>28</v>
      </c>
      <c r="H1" s="13" t="s">
        <v>29</v>
      </c>
      <c r="I1" s="13" t="s">
        <v>30</v>
      </c>
      <c r="J1" s="13" t="s">
        <v>31</v>
      </c>
      <c r="K1" s="13" t="s">
        <v>32</v>
      </c>
      <c r="L1" s="39" t="s">
        <v>33</v>
      </c>
      <c r="M1" s="13" t="s">
        <v>34</v>
      </c>
      <c r="N1" s="13" t="s">
        <v>35</v>
      </c>
      <c r="O1" s="13" t="s">
        <v>36</v>
      </c>
    </row>
    <row r="2" spans="1:15" ht="15">
      <c r="A2" s="14" t="e">
        <f>#REF!</f>
        <v>#REF!</v>
      </c>
      <c r="B2" s="14" t="s">
        <v>3</v>
      </c>
      <c r="C2" s="38" t="s">
        <v>37</v>
      </c>
      <c r="D2" s="15">
        <v>2018</v>
      </c>
      <c r="E2" s="30" t="s">
        <v>38</v>
      </c>
      <c r="G2" s="16" t="s">
        <v>39</v>
      </c>
      <c r="H2" s="14"/>
      <c r="I2" s="14"/>
      <c r="J2" s="14" t="s">
        <v>40</v>
      </c>
      <c r="K2" s="17" t="s">
        <v>83</v>
      </c>
      <c r="L2" s="17"/>
      <c r="M2" s="17"/>
      <c r="N2" s="9" t="s">
        <v>41</v>
      </c>
    </row>
    <row r="3" spans="1:15" ht="15">
      <c r="A3" s="14" t="e">
        <f>#REF!</f>
        <v>#REF!</v>
      </c>
      <c r="B3" s="14" t="s">
        <v>3</v>
      </c>
      <c r="C3" s="9" t="s">
        <v>42</v>
      </c>
      <c r="D3" s="15">
        <v>2019</v>
      </c>
      <c r="E3" s="30" t="s">
        <v>43</v>
      </c>
      <c r="F3" s="35" t="s">
        <v>44</v>
      </c>
      <c r="G3" s="16" t="s">
        <v>39</v>
      </c>
      <c r="H3" s="14"/>
      <c r="J3" s="9" t="s">
        <v>45</v>
      </c>
      <c r="N3" s="9" t="s">
        <v>41</v>
      </c>
    </row>
    <row r="4" spans="1:15" ht="15">
      <c r="A4" s="14" t="e">
        <f>#REF!</f>
        <v>#REF!</v>
      </c>
      <c r="B4" s="14" t="s">
        <v>3</v>
      </c>
      <c r="C4" s="9" t="s">
        <v>46</v>
      </c>
      <c r="D4" s="15">
        <v>2019</v>
      </c>
      <c r="E4" s="30" t="s">
        <v>47</v>
      </c>
      <c r="F4" s="36" t="s">
        <v>44</v>
      </c>
      <c r="G4" s="16" t="s">
        <v>39</v>
      </c>
      <c r="H4" s="14"/>
      <c r="I4" s="19"/>
      <c r="J4" s="19" t="s">
        <v>48</v>
      </c>
      <c r="K4" s="20"/>
      <c r="L4" s="20"/>
      <c r="N4" s="9" t="s">
        <v>41</v>
      </c>
    </row>
    <row r="5" spans="1:15" ht="15">
      <c r="A5" s="14" t="e">
        <f>#REF!</f>
        <v>#REF!</v>
      </c>
      <c r="B5" s="14" t="s">
        <v>3</v>
      </c>
      <c r="C5" s="9" t="s">
        <v>49</v>
      </c>
      <c r="D5" s="15">
        <v>2019</v>
      </c>
      <c r="E5" s="30" t="s">
        <v>50</v>
      </c>
      <c r="F5" s="36" t="s">
        <v>51</v>
      </c>
      <c r="G5" s="16" t="s">
        <v>0</v>
      </c>
      <c r="H5" s="14"/>
      <c r="I5" s="21"/>
      <c r="J5" s="40" t="s">
        <v>82</v>
      </c>
      <c r="K5" s="21"/>
      <c r="L5" s="21"/>
      <c r="N5" s="9" t="s">
        <v>52</v>
      </c>
    </row>
    <row r="6" spans="1:15" ht="15">
      <c r="A6" s="14" t="e">
        <f>#REF!</f>
        <v>#REF!</v>
      </c>
      <c r="B6" s="14" t="s">
        <v>2</v>
      </c>
      <c r="C6" s="9" t="s">
        <v>53</v>
      </c>
      <c r="D6" s="15">
        <v>2020</v>
      </c>
      <c r="E6" s="30" t="s">
        <v>54</v>
      </c>
      <c r="F6" s="36" t="s">
        <v>55</v>
      </c>
      <c r="G6" s="16" t="s">
        <v>0</v>
      </c>
      <c r="H6" s="14"/>
      <c r="I6" s="21"/>
      <c r="J6" s="18" t="s">
        <v>80</v>
      </c>
      <c r="K6" s="21"/>
      <c r="L6" s="21"/>
      <c r="N6" s="9" t="s">
        <v>52</v>
      </c>
    </row>
    <row r="7" spans="1:15" ht="15">
      <c r="A7" s="14" t="e">
        <f>#REF!</f>
        <v>#REF!</v>
      </c>
      <c r="B7" s="14" t="s">
        <v>2</v>
      </c>
      <c r="C7" s="18" t="s">
        <v>56</v>
      </c>
      <c r="D7" s="15">
        <v>2020</v>
      </c>
      <c r="E7" s="31" t="s">
        <v>57</v>
      </c>
      <c r="F7" s="35" t="s">
        <v>58</v>
      </c>
      <c r="G7" s="16" t="s">
        <v>0</v>
      </c>
      <c r="H7" s="14"/>
      <c r="J7" s="18" t="s">
        <v>80</v>
      </c>
      <c r="K7" s="18"/>
      <c r="N7" s="18" t="s">
        <v>52</v>
      </c>
    </row>
    <row r="8" spans="1:15" ht="15">
      <c r="A8" s="14" t="e">
        <f>#REF!</f>
        <v>#REF!</v>
      </c>
      <c r="B8" s="14" t="s">
        <v>3</v>
      </c>
      <c r="C8" s="9" t="s">
        <v>59</v>
      </c>
      <c r="D8" s="15">
        <v>2020</v>
      </c>
      <c r="E8" s="37" t="s">
        <v>79</v>
      </c>
      <c r="F8" s="35" t="s">
        <v>60</v>
      </c>
      <c r="G8" s="16" t="s">
        <v>39</v>
      </c>
      <c r="H8" s="14"/>
      <c r="J8" s="9" t="s">
        <v>61</v>
      </c>
      <c r="N8" s="9" t="s">
        <v>41</v>
      </c>
    </row>
    <row r="9" spans="1:15" ht="15">
      <c r="A9" s="14" t="e">
        <f>#REF!</f>
        <v>#REF!</v>
      </c>
      <c r="B9" s="14" t="s">
        <v>3</v>
      </c>
      <c r="C9" s="9" t="s">
        <v>62</v>
      </c>
      <c r="D9" s="15">
        <v>2020</v>
      </c>
      <c r="E9" s="30" t="s">
        <v>63</v>
      </c>
      <c r="F9" s="36" t="s">
        <v>64</v>
      </c>
      <c r="G9" s="16" t="s">
        <v>39</v>
      </c>
      <c r="H9" s="14"/>
      <c r="J9" s="38" t="s">
        <v>81</v>
      </c>
      <c r="N9" s="9" t="s">
        <v>41</v>
      </c>
    </row>
    <row r="10" spans="1:15" ht="15">
      <c r="A10" s="14" t="e">
        <f>#REF!</f>
        <v>#REF!</v>
      </c>
      <c r="B10" s="14" t="s">
        <v>3</v>
      </c>
      <c r="C10" s="9" t="s">
        <v>65</v>
      </c>
      <c r="D10" s="15">
        <v>2020</v>
      </c>
      <c r="E10" s="30" t="s">
        <v>66</v>
      </c>
      <c r="G10" s="16" t="s">
        <v>67</v>
      </c>
      <c r="H10" s="14"/>
      <c r="J10" s="9" t="s">
        <v>68</v>
      </c>
      <c r="N10" s="9" t="s">
        <v>41</v>
      </c>
    </row>
    <row r="11" spans="1:15" ht="15">
      <c r="A11" s="14" t="e">
        <f>#REF!</f>
        <v>#REF!</v>
      </c>
      <c r="B11" s="14" t="s">
        <v>3</v>
      </c>
      <c r="C11" s="9" t="s">
        <v>69</v>
      </c>
      <c r="D11" s="15">
        <v>2020</v>
      </c>
      <c r="E11" s="31" t="s">
        <v>70</v>
      </c>
      <c r="G11" s="16" t="s">
        <v>67</v>
      </c>
      <c r="H11" s="14"/>
      <c r="J11" s="38" t="s">
        <v>84</v>
      </c>
      <c r="N11" s="9" t="s">
        <v>41</v>
      </c>
    </row>
    <row r="12" spans="1:15" ht="15">
      <c r="A12" s="14" t="e">
        <f>#REF!</f>
        <v>#REF!</v>
      </c>
      <c r="B12" s="14" t="s">
        <v>3</v>
      </c>
      <c r="C12" s="9" t="s">
        <v>71</v>
      </c>
      <c r="D12" s="15">
        <v>2020</v>
      </c>
      <c r="E12" s="30" t="s">
        <v>72</v>
      </c>
      <c r="F12" s="36" t="s">
        <v>73</v>
      </c>
      <c r="G12" s="16" t="s">
        <v>67</v>
      </c>
      <c r="H12" s="14"/>
      <c r="J12" s="9" t="s">
        <v>74</v>
      </c>
      <c r="N12" s="9" t="s">
        <v>41</v>
      </c>
    </row>
    <row r="13" spans="1:15" ht="15">
      <c r="A13" s="14" t="e">
        <f>#REF!</f>
        <v>#REF!</v>
      </c>
      <c r="B13" s="14" t="s">
        <v>1</v>
      </c>
      <c r="C13" s="38" t="s">
        <v>75</v>
      </c>
      <c r="D13" s="15">
        <v>2020</v>
      </c>
      <c r="E13" s="30" t="s">
        <v>76</v>
      </c>
      <c r="F13" s="36" t="s">
        <v>77</v>
      </c>
      <c r="G13" s="16" t="s">
        <v>0</v>
      </c>
      <c r="H13" s="14"/>
      <c r="J13" s="9" t="s">
        <v>78</v>
      </c>
      <c r="N13" s="9" t="s">
        <v>52</v>
      </c>
    </row>
    <row r="14" spans="1:15" ht="15">
      <c r="A14" s="14" t="e">
        <f>#REF!</f>
        <v>#REF!</v>
      </c>
      <c r="B14" s="14"/>
      <c r="D14" s="15"/>
      <c r="G14" s="16" t="s">
        <v>0</v>
      </c>
      <c r="H14" s="14"/>
    </row>
    <row r="15" spans="1:15" ht="15">
      <c r="A15" s="14" t="e">
        <f>#REF!</f>
        <v>#REF!</v>
      </c>
      <c r="B15" s="14"/>
      <c r="D15" s="15"/>
      <c r="G15" s="16" t="s">
        <v>0</v>
      </c>
      <c r="H15" s="14"/>
    </row>
    <row r="16" spans="1:15" ht="15">
      <c r="A16" s="14" t="e">
        <f>#REF!</f>
        <v>#REF!</v>
      </c>
      <c r="B16" s="14"/>
      <c r="D16" s="15"/>
      <c r="G16" s="16" t="s">
        <v>0</v>
      </c>
      <c r="H16" s="14"/>
    </row>
    <row r="17" spans="1:8" ht="15">
      <c r="A17" s="14" t="e">
        <f>#REF!</f>
        <v>#REF!</v>
      </c>
      <c r="B17" s="14"/>
      <c r="D17" s="15"/>
      <c r="G17" s="16" t="s">
        <v>0</v>
      </c>
      <c r="H17" s="14"/>
    </row>
    <row r="18" spans="1:8" ht="15">
      <c r="A18" s="14" t="e">
        <f>#REF!</f>
        <v>#REF!</v>
      </c>
      <c r="B18" s="14"/>
      <c r="D18" s="15"/>
      <c r="G18" s="16" t="s">
        <v>0</v>
      </c>
      <c r="H18" s="14"/>
    </row>
    <row r="19" spans="1:8" ht="15">
      <c r="A19" s="14" t="e">
        <f>#REF!</f>
        <v>#REF!</v>
      </c>
      <c r="B19" s="14"/>
      <c r="D19" s="15"/>
      <c r="G19" s="16" t="s">
        <v>0</v>
      </c>
      <c r="H19" s="14"/>
    </row>
    <row r="20" spans="1:8" ht="15">
      <c r="A20" s="14" t="e">
        <f>#REF!</f>
        <v>#REF!</v>
      </c>
      <c r="B20" s="14"/>
      <c r="D20" s="15"/>
      <c r="G20" s="16" t="s">
        <v>0</v>
      </c>
      <c r="H20" s="14"/>
    </row>
    <row r="21" spans="1:8" ht="15">
      <c r="A21" s="14" t="e">
        <f>#REF!</f>
        <v>#REF!</v>
      </c>
      <c r="B21" s="14"/>
      <c r="D21" s="15"/>
      <c r="G21" s="16" t="s">
        <v>0</v>
      </c>
      <c r="H21" s="14"/>
    </row>
    <row r="22" spans="1:8" ht="15">
      <c r="A22" s="14" t="e">
        <f>#REF!</f>
        <v>#REF!</v>
      </c>
      <c r="B22" s="14"/>
      <c r="D22" s="15"/>
      <c r="G22" s="16" t="s">
        <v>0</v>
      </c>
      <c r="H22" s="14"/>
    </row>
    <row r="23" spans="1:8" ht="15">
      <c r="A23" s="14" t="e">
        <f>#REF!</f>
        <v>#REF!</v>
      </c>
      <c r="B23" s="14"/>
      <c r="D23" s="15"/>
      <c r="G23" s="16" t="s">
        <v>0</v>
      </c>
      <c r="H23" s="14"/>
    </row>
    <row r="24" spans="1:8" ht="15">
      <c r="A24" s="14" t="e">
        <f>#REF!</f>
        <v>#REF!</v>
      </c>
      <c r="B24" s="14"/>
      <c r="D24" s="15"/>
      <c r="G24" s="16" t="s">
        <v>0</v>
      </c>
      <c r="H24" s="14"/>
    </row>
    <row r="25" spans="1:8" ht="15">
      <c r="A25" s="14" t="e">
        <f>#REF!</f>
        <v>#REF!</v>
      </c>
      <c r="B25" s="14"/>
      <c r="D25" s="15"/>
      <c r="G25" s="16" t="s">
        <v>0</v>
      </c>
      <c r="H25" s="14"/>
    </row>
    <row r="26" spans="1:8" ht="15">
      <c r="A26" s="14" t="e">
        <f>#REF!</f>
        <v>#REF!</v>
      </c>
      <c r="B26" s="14"/>
      <c r="D26" s="15"/>
      <c r="G26" s="16" t="s">
        <v>0</v>
      </c>
      <c r="H26" s="14"/>
    </row>
    <row r="27" spans="1:8" ht="15">
      <c r="A27" s="14" t="e">
        <f>#REF!</f>
        <v>#REF!</v>
      </c>
      <c r="B27" s="14"/>
      <c r="D27" s="15"/>
      <c r="G27" s="16" t="s">
        <v>0</v>
      </c>
      <c r="H27" s="14"/>
    </row>
    <row r="28" spans="1:8" ht="15">
      <c r="A28" s="14" t="e">
        <f>#REF!</f>
        <v>#REF!</v>
      </c>
      <c r="B28" s="14"/>
      <c r="D28" s="15"/>
      <c r="G28" s="16" t="s">
        <v>0</v>
      </c>
      <c r="H28" s="14"/>
    </row>
    <row r="29" spans="1:8" ht="15">
      <c r="A29" s="14" t="e">
        <f>#REF!</f>
        <v>#REF!</v>
      </c>
      <c r="B29" s="14"/>
      <c r="D29" s="15"/>
      <c r="G29" s="16" t="s">
        <v>0</v>
      </c>
      <c r="H29" s="14"/>
    </row>
    <row r="30" spans="1:8" ht="15">
      <c r="A30" s="14" t="e">
        <f>#REF!</f>
        <v>#REF!</v>
      </c>
      <c r="B30" s="14"/>
      <c r="D30" s="15"/>
      <c r="G30" s="16" t="s">
        <v>0</v>
      </c>
      <c r="H30" s="14"/>
    </row>
    <row r="31" spans="1:8" ht="15">
      <c r="A31" s="14" t="e">
        <f>#REF!</f>
        <v>#REF!</v>
      </c>
      <c r="B31" s="14"/>
      <c r="D31" s="15"/>
      <c r="G31" s="16" t="s">
        <v>0</v>
      </c>
      <c r="H31" s="14"/>
    </row>
    <row r="32" spans="1:8" ht="15">
      <c r="A32" s="14" t="e">
        <f>#REF!</f>
        <v>#REF!</v>
      </c>
      <c r="B32" s="14"/>
      <c r="D32" s="15"/>
      <c r="G32" s="16" t="s">
        <v>0</v>
      </c>
      <c r="H32" s="14"/>
    </row>
    <row r="33" spans="1:8" ht="15">
      <c r="A33" s="14" t="e">
        <f>#REF!</f>
        <v>#REF!</v>
      </c>
      <c r="B33" s="14"/>
      <c r="D33" s="15"/>
      <c r="G33" s="16" t="s">
        <v>0</v>
      </c>
      <c r="H33" s="14"/>
    </row>
    <row r="34" spans="1:8" ht="15">
      <c r="A34" s="14" t="e">
        <f>#REF!</f>
        <v>#REF!</v>
      </c>
      <c r="B34" s="14"/>
      <c r="D34" s="15"/>
      <c r="G34" s="16" t="s">
        <v>0</v>
      </c>
      <c r="H34" s="14"/>
    </row>
    <row r="35" spans="1:8" ht="15">
      <c r="A35" s="14" t="e">
        <f>#REF!</f>
        <v>#REF!</v>
      </c>
      <c r="B35" s="14"/>
      <c r="D35" s="15"/>
      <c r="G35" s="16" t="s">
        <v>0</v>
      </c>
      <c r="H35" s="14"/>
    </row>
    <row r="36" spans="1:8" ht="15">
      <c r="A36" s="14" t="e">
        <f>#REF!</f>
        <v>#REF!</v>
      </c>
      <c r="B36" s="14"/>
      <c r="D36" s="15"/>
      <c r="G36" s="16" t="s">
        <v>0</v>
      </c>
      <c r="H36" s="14"/>
    </row>
    <row r="37" spans="1:8" ht="15">
      <c r="A37" s="14" t="e">
        <f>#REF!</f>
        <v>#REF!</v>
      </c>
      <c r="B37" s="14"/>
      <c r="D37" s="15"/>
      <c r="G37" s="16" t="s">
        <v>0</v>
      </c>
      <c r="H37" s="14"/>
    </row>
    <row r="38" spans="1:8" ht="15">
      <c r="A38" s="14" t="e">
        <f>#REF!</f>
        <v>#REF!</v>
      </c>
      <c r="B38" s="14"/>
      <c r="D38" s="15"/>
      <c r="G38" s="16" t="s">
        <v>0</v>
      </c>
      <c r="H38" s="14"/>
    </row>
    <row r="39" spans="1:8" ht="15">
      <c r="A39" s="14" t="e">
        <f>#REF!</f>
        <v>#REF!</v>
      </c>
      <c r="B39" s="14"/>
      <c r="D39" s="15"/>
      <c r="G39" s="16" t="s">
        <v>0</v>
      </c>
      <c r="H39" s="14"/>
    </row>
    <row r="40" spans="1:8" ht="15">
      <c r="A40" s="14" t="e">
        <f>#REF!</f>
        <v>#REF!</v>
      </c>
      <c r="B40" s="14"/>
      <c r="D40" s="15"/>
      <c r="G40" s="16" t="s">
        <v>0</v>
      </c>
      <c r="H40" s="14"/>
    </row>
    <row r="41" spans="1:8" ht="15">
      <c r="A41" s="14" t="e">
        <f>#REF!</f>
        <v>#REF!</v>
      </c>
      <c r="B41" s="14"/>
      <c r="D41" s="15"/>
      <c r="G41" s="16" t="s">
        <v>0</v>
      </c>
      <c r="H41" s="14"/>
    </row>
    <row r="42" spans="1:8" ht="15">
      <c r="A42" s="14" t="e">
        <f>#REF!</f>
        <v>#REF!</v>
      </c>
      <c r="B42" s="14"/>
      <c r="D42" s="15"/>
      <c r="G42" s="16" t="s">
        <v>0</v>
      </c>
      <c r="H42" s="14"/>
    </row>
    <row r="43" spans="1:8" ht="15">
      <c r="A43" s="14" t="e">
        <f>#REF!</f>
        <v>#REF!</v>
      </c>
      <c r="B43" s="14"/>
      <c r="D43" s="15"/>
      <c r="G43" s="16" t="s">
        <v>0</v>
      </c>
      <c r="H43" s="14"/>
    </row>
    <row r="44" spans="1:8" ht="15">
      <c r="A44" s="14" t="e">
        <f>#REF!</f>
        <v>#REF!</v>
      </c>
      <c r="B44" s="14"/>
      <c r="D44" s="15"/>
      <c r="G44" s="16" t="s">
        <v>0</v>
      </c>
      <c r="H44" s="14"/>
    </row>
    <row r="45" spans="1:8" ht="15">
      <c r="A45" s="14" t="e">
        <f>#REF!</f>
        <v>#REF!</v>
      </c>
      <c r="B45" s="14"/>
      <c r="D45" s="15"/>
      <c r="G45" s="16" t="s">
        <v>0</v>
      </c>
      <c r="H45" s="14"/>
    </row>
    <row r="46" spans="1:8" ht="15">
      <c r="A46" s="14" t="e">
        <f>#REF!</f>
        <v>#REF!</v>
      </c>
      <c r="B46" s="14"/>
      <c r="D46" s="15"/>
      <c r="G46" s="16" t="s">
        <v>0</v>
      </c>
      <c r="H46" s="14"/>
    </row>
    <row r="47" spans="1:8" ht="15">
      <c r="A47" s="14" t="e">
        <f>#REF!</f>
        <v>#REF!</v>
      </c>
      <c r="B47" s="14"/>
      <c r="D47" s="15"/>
      <c r="G47" s="16" t="s">
        <v>0</v>
      </c>
      <c r="H47" s="14"/>
    </row>
    <row r="48" spans="1:8" ht="15">
      <c r="A48" s="14" t="e">
        <f>#REF!</f>
        <v>#REF!</v>
      </c>
      <c r="B48" s="14"/>
      <c r="D48" s="15"/>
      <c r="G48" s="16" t="s">
        <v>0</v>
      </c>
      <c r="H48" s="14"/>
    </row>
    <row r="49" spans="1:8" ht="15">
      <c r="A49" s="14" t="e">
        <f>#REF!</f>
        <v>#REF!</v>
      </c>
      <c r="B49" s="14"/>
      <c r="D49" s="15"/>
      <c r="G49" s="16" t="s">
        <v>0</v>
      </c>
      <c r="H49" s="14"/>
    </row>
    <row r="50" spans="1:8" ht="15">
      <c r="A50" s="14" t="e">
        <f>#REF!</f>
        <v>#REF!</v>
      </c>
      <c r="B50" s="14"/>
      <c r="D50" s="15"/>
      <c r="G50" s="16" t="s">
        <v>0</v>
      </c>
      <c r="H50" s="14"/>
    </row>
    <row r="51" spans="1:8" ht="15">
      <c r="A51" s="14" t="e">
        <f>#REF!</f>
        <v>#REF!</v>
      </c>
      <c r="B51" s="14"/>
      <c r="D51" s="15"/>
      <c r="G51" s="16" t="s">
        <v>0</v>
      </c>
      <c r="H51" s="14"/>
    </row>
    <row r="52" spans="1:8" ht="15">
      <c r="A52" s="14" t="e">
        <f>#REF!</f>
        <v>#REF!</v>
      </c>
      <c r="B52" s="14"/>
      <c r="D52" s="15"/>
      <c r="G52" s="16" t="s">
        <v>0</v>
      </c>
      <c r="H52" s="14"/>
    </row>
    <row r="53" spans="1:8" ht="15">
      <c r="A53" s="14" t="e">
        <f>#REF!</f>
        <v>#REF!</v>
      </c>
      <c r="B53" s="14"/>
      <c r="D53" s="15"/>
      <c r="G53" s="16" t="s">
        <v>0</v>
      </c>
      <c r="H53" s="14"/>
    </row>
    <row r="54" spans="1:8" ht="15">
      <c r="A54" s="14" t="e">
        <f>#REF!</f>
        <v>#REF!</v>
      </c>
      <c r="B54" s="14"/>
      <c r="D54" s="15"/>
      <c r="G54" s="16" t="s">
        <v>0</v>
      </c>
      <c r="H54" s="14"/>
    </row>
    <row r="55" spans="1:8" ht="15">
      <c r="A55" s="14" t="e">
        <f>#REF!</f>
        <v>#REF!</v>
      </c>
      <c r="B55" s="14"/>
      <c r="D55" s="15"/>
      <c r="G55" s="16" t="s">
        <v>0</v>
      </c>
      <c r="H55" s="14"/>
    </row>
    <row r="56" spans="1:8" ht="15">
      <c r="A56" s="14" t="e">
        <f>#REF!</f>
        <v>#REF!</v>
      </c>
      <c r="B56" s="14"/>
      <c r="D56" s="15"/>
      <c r="G56" s="16" t="s">
        <v>0</v>
      </c>
      <c r="H56" s="14"/>
    </row>
    <row r="57" spans="1:8" ht="15">
      <c r="A57" s="14" t="e">
        <f>#REF!</f>
        <v>#REF!</v>
      </c>
      <c r="B57" s="14"/>
      <c r="D57" s="15"/>
      <c r="G57" s="16" t="s">
        <v>0</v>
      </c>
      <c r="H57" s="14"/>
    </row>
    <row r="58" spans="1:8" ht="15">
      <c r="A58" s="14" t="e">
        <f>#REF!</f>
        <v>#REF!</v>
      </c>
      <c r="B58" s="14"/>
      <c r="D58" s="15"/>
      <c r="G58" s="16" t="s">
        <v>0</v>
      </c>
      <c r="H58" s="14"/>
    </row>
    <row r="59" spans="1:8" ht="15">
      <c r="A59" s="14" t="e">
        <f>#REF!</f>
        <v>#REF!</v>
      </c>
      <c r="B59" s="14"/>
      <c r="D59" s="15"/>
      <c r="G59" s="16" t="s">
        <v>0</v>
      </c>
      <c r="H59" s="14"/>
    </row>
    <row r="60" spans="1:8" ht="15">
      <c r="A60" s="14" t="e">
        <f>#REF!</f>
        <v>#REF!</v>
      </c>
      <c r="B60" s="14"/>
      <c r="D60" s="15"/>
      <c r="G60" s="16" t="s">
        <v>0</v>
      </c>
      <c r="H60" s="14"/>
    </row>
    <row r="61" spans="1:8" ht="15">
      <c r="A61" s="14" t="e">
        <f>#REF!</f>
        <v>#REF!</v>
      </c>
      <c r="B61" s="14"/>
      <c r="D61" s="15"/>
      <c r="G61" s="16" t="s">
        <v>0</v>
      </c>
      <c r="H61" s="14"/>
    </row>
    <row r="62" spans="1:8" ht="15">
      <c r="A62" s="14" t="e">
        <f>#REF!</f>
        <v>#REF!</v>
      </c>
      <c r="B62" s="14"/>
      <c r="D62" s="15"/>
      <c r="G62" s="16" t="s">
        <v>0</v>
      </c>
      <c r="H62" s="14"/>
    </row>
    <row r="63" spans="1:8" ht="15">
      <c r="A63" s="14" t="e">
        <f>#REF!</f>
        <v>#REF!</v>
      </c>
      <c r="B63" s="14"/>
      <c r="D63" s="15"/>
      <c r="G63" s="16" t="s">
        <v>0</v>
      </c>
      <c r="H63" s="14"/>
    </row>
    <row r="64" spans="1:8" ht="15">
      <c r="A64" s="14" t="e">
        <f>#REF!</f>
        <v>#REF!</v>
      </c>
      <c r="B64" s="14"/>
      <c r="D64" s="15"/>
      <c r="G64" s="16" t="s">
        <v>0</v>
      </c>
      <c r="H64" s="14"/>
    </row>
    <row r="65" spans="1:8" ht="15">
      <c r="A65" s="14" t="e">
        <f>#REF!</f>
        <v>#REF!</v>
      </c>
      <c r="B65" s="14"/>
      <c r="D65" s="15"/>
      <c r="G65" s="16" t="s">
        <v>0</v>
      </c>
      <c r="H65" s="14"/>
    </row>
    <row r="66" spans="1:8" ht="15">
      <c r="A66" s="14" t="e">
        <f>#REF!</f>
        <v>#REF!</v>
      </c>
      <c r="B66" s="14"/>
      <c r="D66" s="15"/>
      <c r="G66" s="16" t="s">
        <v>0</v>
      </c>
      <c r="H66" s="14"/>
    </row>
    <row r="67" spans="1:8" ht="15">
      <c r="A67" s="14" t="e">
        <f>#REF!</f>
        <v>#REF!</v>
      </c>
      <c r="B67" s="14"/>
      <c r="D67" s="15"/>
      <c r="G67" s="16" t="s">
        <v>0</v>
      </c>
      <c r="H67" s="14"/>
    </row>
    <row r="68" spans="1:8" ht="15">
      <c r="A68" s="14" t="e">
        <f>#REF!</f>
        <v>#REF!</v>
      </c>
      <c r="B68" s="14"/>
      <c r="D68" s="15"/>
      <c r="G68" s="16" t="s">
        <v>0</v>
      </c>
      <c r="H68" s="14"/>
    </row>
    <row r="69" spans="1:8" ht="15">
      <c r="A69" s="14" t="e">
        <f>#REF!</f>
        <v>#REF!</v>
      </c>
      <c r="B69" s="14"/>
      <c r="D69" s="15"/>
      <c r="G69" s="16" t="s">
        <v>0</v>
      </c>
      <c r="H69" s="14"/>
    </row>
    <row r="70" spans="1:8" ht="15">
      <c r="A70" s="14" t="e">
        <f>#REF!</f>
        <v>#REF!</v>
      </c>
      <c r="B70" s="14"/>
      <c r="D70" s="15"/>
      <c r="G70" s="16" t="s">
        <v>0</v>
      </c>
      <c r="H70" s="14"/>
    </row>
    <row r="71" spans="1:8" ht="15">
      <c r="A71" s="14" t="e">
        <f>#REF!</f>
        <v>#REF!</v>
      </c>
      <c r="B71" s="14"/>
      <c r="D71" s="15"/>
      <c r="G71" s="16" t="s">
        <v>0</v>
      </c>
      <c r="H71" s="14"/>
    </row>
    <row r="72" spans="1:8" ht="15">
      <c r="A72" s="14" t="e">
        <f>#REF!</f>
        <v>#REF!</v>
      </c>
      <c r="B72" s="14"/>
      <c r="D72" s="15"/>
      <c r="G72" s="16" t="s">
        <v>0</v>
      </c>
      <c r="H72" s="14"/>
    </row>
    <row r="73" spans="1:8" ht="15">
      <c r="A73" s="14" t="e">
        <f>#REF!</f>
        <v>#REF!</v>
      </c>
      <c r="B73" s="14"/>
      <c r="D73" s="15"/>
      <c r="G73" s="16" t="s">
        <v>0</v>
      </c>
      <c r="H73" s="14"/>
    </row>
    <row r="74" spans="1:8" ht="15">
      <c r="A74" s="14" t="e">
        <f>#REF!</f>
        <v>#REF!</v>
      </c>
      <c r="B74" s="14"/>
      <c r="D74" s="15"/>
      <c r="G74" s="16" t="s">
        <v>0</v>
      </c>
      <c r="H74" s="14"/>
    </row>
    <row r="75" spans="1:8" ht="15">
      <c r="A75" s="14" t="e">
        <f>#REF!</f>
        <v>#REF!</v>
      </c>
      <c r="B75" s="14"/>
      <c r="D75" s="15"/>
      <c r="G75" s="16" t="s">
        <v>0</v>
      </c>
      <c r="H75" s="14"/>
    </row>
    <row r="76" spans="1:8" ht="15">
      <c r="A76" s="14" t="e">
        <f>#REF!</f>
        <v>#REF!</v>
      </c>
      <c r="B76" s="14"/>
      <c r="D76" s="15"/>
      <c r="G76" s="16" t="s">
        <v>0</v>
      </c>
      <c r="H76" s="14"/>
    </row>
    <row r="77" spans="1:8" ht="15">
      <c r="A77" s="14" t="e">
        <f>#REF!</f>
        <v>#REF!</v>
      </c>
      <c r="B77" s="14"/>
      <c r="D77" s="15"/>
      <c r="G77" s="16" t="s">
        <v>0</v>
      </c>
      <c r="H77" s="14"/>
    </row>
    <row r="78" spans="1:8" ht="15">
      <c r="A78" s="14" t="e">
        <f>#REF!</f>
        <v>#REF!</v>
      </c>
      <c r="B78" s="14"/>
      <c r="D78" s="15"/>
      <c r="G78" s="16" t="s">
        <v>0</v>
      </c>
      <c r="H78" s="14"/>
    </row>
    <row r="79" spans="1:8" ht="15">
      <c r="A79" s="14" t="e">
        <f>#REF!</f>
        <v>#REF!</v>
      </c>
      <c r="B79" s="14"/>
      <c r="D79" s="15"/>
      <c r="G79" s="16" t="s">
        <v>0</v>
      </c>
      <c r="H79" s="14"/>
    </row>
    <row r="80" spans="1:8" ht="15">
      <c r="A80" s="14" t="e">
        <f>#REF!</f>
        <v>#REF!</v>
      </c>
      <c r="B80" s="14"/>
      <c r="D80" s="15"/>
      <c r="G80" s="16" t="s">
        <v>0</v>
      </c>
      <c r="H80" s="14"/>
    </row>
    <row r="81" spans="1:8" ht="15">
      <c r="A81" s="14" t="e">
        <f>#REF!</f>
        <v>#REF!</v>
      </c>
      <c r="B81" s="14"/>
      <c r="D81" s="15"/>
      <c r="G81" s="16" t="s">
        <v>0</v>
      </c>
      <c r="H81" s="14"/>
    </row>
    <row r="82" spans="1:8" ht="15">
      <c r="A82" s="14" t="e">
        <f>#REF!</f>
        <v>#REF!</v>
      </c>
      <c r="B82" s="14"/>
      <c r="D82" s="15"/>
      <c r="G82" s="16" t="s">
        <v>0</v>
      </c>
      <c r="H82" s="14"/>
    </row>
    <row r="83" spans="1:8" ht="15">
      <c r="A83" s="14" t="e">
        <f>#REF!</f>
        <v>#REF!</v>
      </c>
      <c r="B83" s="14"/>
      <c r="D83" s="15"/>
      <c r="G83" s="16" t="s">
        <v>0</v>
      </c>
      <c r="H83" s="14"/>
    </row>
    <row r="84" spans="1:8" ht="15">
      <c r="A84" s="14" t="e">
        <f>#REF!</f>
        <v>#REF!</v>
      </c>
      <c r="B84" s="14"/>
      <c r="D84" s="15"/>
      <c r="G84" s="16" t="s">
        <v>0</v>
      </c>
      <c r="H84" s="14"/>
    </row>
    <row r="85" spans="1:8" ht="15">
      <c r="A85" s="14" t="e">
        <f>#REF!</f>
        <v>#REF!</v>
      </c>
      <c r="B85" s="14"/>
      <c r="D85" s="15"/>
      <c r="G85" s="16" t="s">
        <v>0</v>
      </c>
      <c r="H85" s="14"/>
    </row>
    <row r="86" spans="1:8" ht="15">
      <c r="A86" s="14" t="e">
        <f>#REF!</f>
        <v>#REF!</v>
      </c>
      <c r="B86" s="14"/>
      <c r="D86" s="15"/>
      <c r="G86" s="16" t="s">
        <v>0</v>
      </c>
      <c r="H86" s="14"/>
    </row>
    <row r="87" spans="1:8" ht="15">
      <c r="A87" s="14" t="e">
        <f>#REF!</f>
        <v>#REF!</v>
      </c>
      <c r="B87" s="14"/>
      <c r="D87" s="15"/>
      <c r="G87" s="16" t="s">
        <v>0</v>
      </c>
      <c r="H87" s="14"/>
    </row>
    <row r="88" spans="1:8" ht="15">
      <c r="A88" s="14" t="e">
        <f>#REF!</f>
        <v>#REF!</v>
      </c>
      <c r="B88" s="14"/>
      <c r="D88" s="15"/>
      <c r="G88" s="16" t="s">
        <v>0</v>
      </c>
      <c r="H88" s="14"/>
    </row>
    <row r="89" spans="1:8" ht="15">
      <c r="A89" s="14" t="e">
        <f>#REF!</f>
        <v>#REF!</v>
      </c>
      <c r="B89" s="14"/>
      <c r="D89" s="15"/>
      <c r="G89" s="16" t="s">
        <v>0</v>
      </c>
      <c r="H89" s="14"/>
    </row>
    <row r="90" spans="1:8" ht="15">
      <c r="A90" s="14" t="e">
        <f>#REF!</f>
        <v>#REF!</v>
      </c>
      <c r="B90" s="14"/>
      <c r="D90" s="15"/>
      <c r="G90" s="16" t="s">
        <v>0</v>
      </c>
      <c r="H90" s="14"/>
    </row>
    <row r="91" spans="1:8" ht="15">
      <c r="A91" s="14" t="e">
        <f>#REF!</f>
        <v>#REF!</v>
      </c>
      <c r="B91" s="14"/>
      <c r="D91" s="15"/>
      <c r="G91" s="16" t="s">
        <v>0</v>
      </c>
      <c r="H91" s="14"/>
    </row>
    <row r="92" spans="1:8" ht="15">
      <c r="A92" s="14" t="e">
        <f>#REF!</f>
        <v>#REF!</v>
      </c>
      <c r="B92" s="14"/>
      <c r="D92" s="15"/>
      <c r="G92" s="16" t="s">
        <v>0</v>
      </c>
      <c r="H92" s="14"/>
    </row>
    <row r="93" spans="1:8" ht="15">
      <c r="A93" s="14" t="e">
        <f>#REF!</f>
        <v>#REF!</v>
      </c>
      <c r="B93" s="14"/>
      <c r="D93" s="15"/>
      <c r="G93" s="16" t="s">
        <v>0</v>
      </c>
      <c r="H93" s="14"/>
    </row>
    <row r="94" spans="1:8" ht="15">
      <c r="A94" s="14" t="e">
        <f>#REF!</f>
        <v>#REF!</v>
      </c>
      <c r="B94" s="14"/>
      <c r="D94" s="15"/>
      <c r="G94" s="16" t="s">
        <v>0</v>
      </c>
      <c r="H94" s="14"/>
    </row>
    <row r="95" spans="1:8" ht="15">
      <c r="A95" s="14" t="e">
        <f>#REF!</f>
        <v>#REF!</v>
      </c>
      <c r="B95" s="14"/>
      <c r="D95" s="15"/>
      <c r="G95" s="16" t="s">
        <v>0</v>
      </c>
      <c r="H95" s="14"/>
    </row>
    <row r="96" spans="1:8" ht="15">
      <c r="A96" s="14" t="e">
        <f>#REF!</f>
        <v>#REF!</v>
      </c>
      <c r="B96" s="14"/>
      <c r="D96" s="15"/>
      <c r="G96" s="16" t="s">
        <v>0</v>
      </c>
      <c r="H96" s="14"/>
    </row>
    <row r="97" spans="1:8" ht="15">
      <c r="A97" s="14" t="e">
        <f>#REF!</f>
        <v>#REF!</v>
      </c>
      <c r="B97" s="14"/>
      <c r="D97" s="15"/>
      <c r="G97" s="16" t="s">
        <v>0</v>
      </c>
      <c r="H97" s="14"/>
    </row>
    <row r="98" spans="1:8" ht="15">
      <c r="A98" s="14" t="e">
        <f>#REF!</f>
        <v>#REF!</v>
      </c>
      <c r="B98" s="14"/>
      <c r="D98" s="15"/>
      <c r="G98" s="16" t="s">
        <v>0</v>
      </c>
      <c r="H98" s="14"/>
    </row>
    <row r="99" spans="1:8" ht="15">
      <c r="A99" s="14" t="e">
        <f>#REF!</f>
        <v>#REF!</v>
      </c>
      <c r="B99" s="14"/>
      <c r="D99" s="15"/>
      <c r="G99" s="16" t="s">
        <v>0</v>
      </c>
      <c r="H99" s="14"/>
    </row>
    <row r="100" spans="1:8" ht="15">
      <c r="A100" s="14" t="e">
        <f>#REF!</f>
        <v>#REF!</v>
      </c>
      <c r="B100" s="14"/>
      <c r="D100" s="15"/>
      <c r="G100" s="16" t="s">
        <v>0</v>
      </c>
      <c r="H100" s="14"/>
    </row>
    <row r="101" spans="1:8" ht="15">
      <c r="A101" s="14" t="e">
        <f>#REF!</f>
        <v>#REF!</v>
      </c>
      <c r="B101" s="14"/>
      <c r="D101" s="15"/>
      <c r="G101" s="16" t="s">
        <v>0</v>
      </c>
      <c r="H101" s="14"/>
    </row>
    <row r="102" spans="1:8" ht="15">
      <c r="A102" s="14" t="e">
        <f>#REF!</f>
        <v>#REF!</v>
      </c>
      <c r="B102" s="14"/>
      <c r="D102" s="15"/>
      <c r="G102" s="16" t="s">
        <v>0</v>
      </c>
      <c r="H102" s="14"/>
    </row>
    <row r="103" spans="1:8" ht="15">
      <c r="A103" s="14" t="e">
        <f>#REF!</f>
        <v>#REF!</v>
      </c>
      <c r="B103" s="14"/>
      <c r="D103" s="15"/>
      <c r="G103" s="16" t="s">
        <v>0</v>
      </c>
      <c r="H103" s="14"/>
    </row>
    <row r="104" spans="1:8" ht="15">
      <c r="A104" s="14" t="e">
        <f>#REF!</f>
        <v>#REF!</v>
      </c>
      <c r="B104" s="14"/>
      <c r="D104" s="15"/>
      <c r="G104" s="16" t="s">
        <v>0</v>
      </c>
      <c r="H104" s="14"/>
    </row>
    <row r="105" spans="1:8" ht="15">
      <c r="A105" s="14" t="e">
        <f>#REF!</f>
        <v>#REF!</v>
      </c>
      <c r="B105" s="14"/>
      <c r="D105" s="15"/>
      <c r="G105" s="16" t="s">
        <v>0</v>
      </c>
      <c r="H105" s="14"/>
    </row>
    <row r="106" spans="1:8" ht="15">
      <c r="A106" s="14" t="e">
        <f>#REF!</f>
        <v>#REF!</v>
      </c>
      <c r="B106" s="14"/>
      <c r="D106" s="15"/>
      <c r="G106" s="16" t="s">
        <v>0</v>
      </c>
      <c r="H106" s="14"/>
    </row>
    <row r="107" spans="1:8" ht="15">
      <c r="A107" s="14" t="e">
        <f>#REF!</f>
        <v>#REF!</v>
      </c>
      <c r="B107" s="14"/>
      <c r="D107" s="15"/>
      <c r="G107" s="16" t="s">
        <v>0</v>
      </c>
      <c r="H107" s="14"/>
    </row>
    <row r="108" spans="1:8" ht="15">
      <c r="A108" s="14" t="e">
        <f>#REF!</f>
        <v>#REF!</v>
      </c>
      <c r="B108" s="14"/>
      <c r="D108" s="15"/>
      <c r="G108" s="16" t="s">
        <v>0</v>
      </c>
      <c r="H108" s="14"/>
    </row>
    <row r="109" spans="1:8" ht="15">
      <c r="A109" s="14" t="e">
        <f>#REF!</f>
        <v>#REF!</v>
      </c>
      <c r="B109" s="14"/>
      <c r="D109" s="15"/>
      <c r="G109" s="16" t="s">
        <v>0</v>
      </c>
      <c r="H109" s="14"/>
    </row>
    <row r="110" spans="1:8" ht="15">
      <c r="A110" s="14" t="e">
        <f>#REF!</f>
        <v>#REF!</v>
      </c>
      <c r="B110" s="14"/>
      <c r="D110" s="15"/>
      <c r="G110" s="16" t="s">
        <v>0</v>
      </c>
      <c r="H110" s="14"/>
    </row>
    <row r="111" spans="1:8" ht="15">
      <c r="A111" s="14" t="e">
        <f>#REF!</f>
        <v>#REF!</v>
      </c>
      <c r="B111" s="14"/>
      <c r="D111" s="15"/>
      <c r="G111" s="16" t="s">
        <v>0</v>
      </c>
      <c r="H111" s="14"/>
    </row>
    <row r="112" spans="1:8" ht="15">
      <c r="A112" s="14" t="e">
        <f>#REF!</f>
        <v>#REF!</v>
      </c>
      <c r="B112" s="14"/>
      <c r="D112" s="15"/>
      <c r="G112" s="16" t="s">
        <v>0</v>
      </c>
      <c r="H112" s="14"/>
    </row>
    <row r="113" spans="1:8" ht="15">
      <c r="A113" s="14" t="e">
        <f>#REF!</f>
        <v>#REF!</v>
      </c>
      <c r="B113" s="14"/>
      <c r="D113" s="15"/>
      <c r="G113" s="16" t="s">
        <v>0</v>
      </c>
      <c r="H113" s="14"/>
    </row>
    <row r="114" spans="1:8" ht="15">
      <c r="A114" s="14" t="e">
        <f>#REF!</f>
        <v>#REF!</v>
      </c>
      <c r="B114" s="14"/>
      <c r="D114" s="15"/>
      <c r="G114" s="16" t="s">
        <v>0</v>
      </c>
      <c r="H114" s="14"/>
    </row>
    <row r="115" spans="1:8" ht="15">
      <c r="D115" s="12"/>
      <c r="G115" s="16" t="s">
        <v>0</v>
      </c>
    </row>
    <row r="116" spans="1:8" ht="15">
      <c r="D116" s="12"/>
      <c r="G116" s="16" t="s">
        <v>0</v>
      </c>
    </row>
    <row r="117" spans="1:8" ht="15">
      <c r="D117" s="12"/>
      <c r="G117" s="16" t="s">
        <v>0</v>
      </c>
    </row>
    <row r="118" spans="1:8" ht="15">
      <c r="D118" s="12"/>
      <c r="G118" s="16" t="s">
        <v>0</v>
      </c>
    </row>
    <row r="119" spans="1:8" ht="15">
      <c r="D119" s="12"/>
      <c r="G119" s="16" t="s">
        <v>0</v>
      </c>
    </row>
    <row r="120" spans="1:8" ht="15">
      <c r="D120" s="12"/>
      <c r="G120" s="16" t="s">
        <v>0</v>
      </c>
    </row>
    <row r="121" spans="1:8" ht="15">
      <c r="D121" s="12"/>
      <c r="G121" s="16" t="s">
        <v>0</v>
      </c>
    </row>
    <row r="122" spans="1:8" ht="15">
      <c r="D122" s="12"/>
      <c r="G122" s="16" t="s">
        <v>0</v>
      </c>
    </row>
    <row r="123" spans="1:8" ht="15">
      <c r="D123" s="12"/>
      <c r="G123" s="16" t="s">
        <v>0</v>
      </c>
    </row>
    <row r="124" spans="1:8" ht="15">
      <c r="D124" s="12"/>
      <c r="G124" s="16" t="s">
        <v>0</v>
      </c>
    </row>
    <row r="125" spans="1:8" ht="15">
      <c r="D125" s="12"/>
      <c r="G125" s="16" t="s">
        <v>0</v>
      </c>
    </row>
    <row r="126" spans="1:8" ht="15">
      <c r="D126" s="12"/>
      <c r="G126" s="16" t="s">
        <v>0</v>
      </c>
    </row>
    <row r="127" spans="1:8" ht="15">
      <c r="D127" s="12"/>
      <c r="G127" s="16" t="s">
        <v>0</v>
      </c>
    </row>
    <row r="128" spans="1:8" ht="15">
      <c r="D128" s="12"/>
      <c r="G128" s="16" t="s">
        <v>0</v>
      </c>
    </row>
    <row r="129" spans="4:7" ht="15">
      <c r="D129" s="12"/>
      <c r="G129" s="16" t="s">
        <v>0</v>
      </c>
    </row>
    <row r="130" spans="4:7" ht="15">
      <c r="D130" s="12"/>
      <c r="G130" s="16" t="s">
        <v>0</v>
      </c>
    </row>
    <row r="131" spans="4:7" ht="15">
      <c r="D131" s="12"/>
      <c r="G131" s="16" t="s">
        <v>0</v>
      </c>
    </row>
    <row r="132" spans="4:7" ht="15">
      <c r="D132" s="12"/>
      <c r="G132" s="16" t="s">
        <v>0</v>
      </c>
    </row>
    <row r="133" spans="4:7" ht="15">
      <c r="D133" s="12"/>
      <c r="G133" s="16" t="s">
        <v>0</v>
      </c>
    </row>
    <row r="134" spans="4:7" ht="15">
      <c r="D134" s="12"/>
      <c r="G134" s="16" t="s">
        <v>0</v>
      </c>
    </row>
    <row r="135" spans="4:7" ht="15">
      <c r="D135" s="12"/>
      <c r="G135" s="16" t="s">
        <v>0</v>
      </c>
    </row>
    <row r="136" spans="4:7" ht="15">
      <c r="D136" s="12"/>
      <c r="G136" s="16" t="s">
        <v>0</v>
      </c>
    </row>
    <row r="137" spans="4:7" ht="15">
      <c r="D137" s="12"/>
      <c r="G137" s="16" t="s">
        <v>0</v>
      </c>
    </row>
    <row r="138" spans="4:7" ht="15">
      <c r="D138" s="12"/>
      <c r="G138" s="16" t="s">
        <v>0</v>
      </c>
    </row>
    <row r="139" spans="4:7" ht="15">
      <c r="D139" s="12"/>
      <c r="G139" s="16" t="s">
        <v>0</v>
      </c>
    </row>
    <row r="140" spans="4:7" ht="15">
      <c r="D140" s="12"/>
      <c r="G140" s="16" t="s">
        <v>0</v>
      </c>
    </row>
    <row r="141" spans="4:7" ht="15">
      <c r="D141" s="12"/>
      <c r="G141" s="16" t="s">
        <v>0</v>
      </c>
    </row>
    <row r="142" spans="4:7" ht="15">
      <c r="D142" s="12"/>
      <c r="G142" s="16" t="s">
        <v>0</v>
      </c>
    </row>
    <row r="143" spans="4:7" ht="15">
      <c r="D143" s="12"/>
      <c r="G143" s="16" t="s">
        <v>0</v>
      </c>
    </row>
    <row r="144" spans="4:7" ht="15">
      <c r="D144" s="12"/>
      <c r="G144" s="16" t="s">
        <v>0</v>
      </c>
    </row>
    <row r="145" spans="4:7" ht="15">
      <c r="D145" s="12"/>
      <c r="G145" s="16" t="s">
        <v>0</v>
      </c>
    </row>
    <row r="146" spans="4:7" ht="15">
      <c r="D146" s="12"/>
      <c r="G146" s="16" t="s">
        <v>0</v>
      </c>
    </row>
    <row r="147" spans="4:7" ht="15">
      <c r="D147" s="12"/>
      <c r="G147" s="16" t="s">
        <v>0</v>
      </c>
    </row>
    <row r="148" spans="4:7" ht="15">
      <c r="D148" s="12"/>
      <c r="G148" s="16" t="s">
        <v>0</v>
      </c>
    </row>
    <row r="149" spans="4:7" ht="15">
      <c r="D149" s="12"/>
      <c r="G149" s="16" t="s">
        <v>0</v>
      </c>
    </row>
    <row r="150" spans="4:7" ht="15">
      <c r="D150" s="12"/>
      <c r="G150" s="16" t="s">
        <v>0</v>
      </c>
    </row>
    <row r="151" spans="4:7" ht="15">
      <c r="D151" s="12"/>
      <c r="G151" s="16" t="s">
        <v>0</v>
      </c>
    </row>
    <row r="152" spans="4:7" ht="15">
      <c r="D152" s="12"/>
      <c r="G152" s="16" t="s">
        <v>0</v>
      </c>
    </row>
    <row r="153" spans="4:7" ht="15">
      <c r="D153" s="12"/>
      <c r="G153" s="16" t="s">
        <v>0</v>
      </c>
    </row>
    <row r="154" spans="4:7" ht="15">
      <c r="D154" s="12"/>
      <c r="G154" s="16" t="s">
        <v>0</v>
      </c>
    </row>
    <row r="155" spans="4:7" ht="15">
      <c r="D155" s="12"/>
      <c r="G155" s="16" t="s">
        <v>0</v>
      </c>
    </row>
    <row r="156" spans="4:7" ht="15">
      <c r="D156" s="12"/>
      <c r="G156" s="16" t="s">
        <v>0</v>
      </c>
    </row>
    <row r="157" spans="4:7" ht="15">
      <c r="D157" s="12"/>
      <c r="G157" s="16" t="s">
        <v>0</v>
      </c>
    </row>
    <row r="158" spans="4:7" ht="15">
      <c r="D158" s="12"/>
      <c r="G158" s="16" t="s">
        <v>0</v>
      </c>
    </row>
    <row r="159" spans="4:7" ht="15">
      <c r="D159" s="12"/>
      <c r="G159" s="16" t="s">
        <v>0</v>
      </c>
    </row>
    <row r="160" spans="4:7" ht="15">
      <c r="D160" s="12"/>
      <c r="G160" s="16" t="s">
        <v>0</v>
      </c>
    </row>
    <row r="161" spans="4:7" ht="15">
      <c r="D161" s="12"/>
      <c r="G161" s="16" t="s">
        <v>0</v>
      </c>
    </row>
    <row r="162" spans="4:7" ht="15">
      <c r="D162" s="12"/>
      <c r="G162" s="16" t="s">
        <v>0</v>
      </c>
    </row>
    <row r="163" spans="4:7" ht="15">
      <c r="D163" s="12"/>
      <c r="G163" s="16" t="s">
        <v>0</v>
      </c>
    </row>
    <row r="164" spans="4:7" ht="15">
      <c r="D164" s="12"/>
      <c r="G164" s="16" t="s">
        <v>0</v>
      </c>
    </row>
    <row r="165" spans="4:7" ht="15">
      <c r="D165" s="12"/>
      <c r="G165" s="16" t="s">
        <v>0</v>
      </c>
    </row>
    <row r="166" spans="4:7" ht="15">
      <c r="D166" s="12"/>
      <c r="G166" s="16" t="s">
        <v>0</v>
      </c>
    </row>
    <row r="167" spans="4:7" ht="15">
      <c r="D167" s="12"/>
      <c r="G167" s="16" t="s">
        <v>0</v>
      </c>
    </row>
    <row r="168" spans="4:7" ht="15">
      <c r="D168" s="12"/>
      <c r="G168" s="16" t="s">
        <v>0</v>
      </c>
    </row>
    <row r="169" spans="4:7" ht="15">
      <c r="D169" s="12"/>
      <c r="G169" s="16" t="s">
        <v>0</v>
      </c>
    </row>
    <row r="170" spans="4:7" ht="15">
      <c r="D170" s="12"/>
      <c r="G170" s="16" t="s">
        <v>0</v>
      </c>
    </row>
    <row r="171" spans="4:7" ht="15">
      <c r="D171" s="12"/>
      <c r="G171" s="16" t="s">
        <v>0</v>
      </c>
    </row>
    <row r="172" spans="4:7" ht="15">
      <c r="D172" s="12"/>
      <c r="G172" s="16" t="s">
        <v>0</v>
      </c>
    </row>
    <row r="173" spans="4:7" ht="15">
      <c r="D173" s="12"/>
      <c r="G173" s="16" t="s">
        <v>0</v>
      </c>
    </row>
    <row r="174" spans="4:7" ht="15">
      <c r="D174" s="12"/>
      <c r="G174" s="16" t="s">
        <v>0</v>
      </c>
    </row>
    <row r="175" spans="4:7" ht="15">
      <c r="D175" s="12"/>
      <c r="G175" s="16" t="s">
        <v>0</v>
      </c>
    </row>
    <row r="176" spans="4:7" ht="15">
      <c r="D176" s="12"/>
      <c r="G176" s="16" t="s">
        <v>0</v>
      </c>
    </row>
    <row r="177" spans="4:7" ht="15">
      <c r="D177" s="12"/>
      <c r="G177" s="16" t="s">
        <v>0</v>
      </c>
    </row>
    <row r="178" spans="4:7" ht="15">
      <c r="D178" s="12"/>
      <c r="G178" s="16" t="s">
        <v>0</v>
      </c>
    </row>
    <row r="179" spans="4:7" ht="15">
      <c r="D179" s="12"/>
      <c r="G179" s="16" t="s">
        <v>0</v>
      </c>
    </row>
    <row r="180" spans="4:7" ht="15">
      <c r="D180" s="12"/>
      <c r="G180" s="16" t="s">
        <v>0</v>
      </c>
    </row>
    <row r="181" spans="4:7" ht="15">
      <c r="D181" s="12"/>
      <c r="G181" s="16" t="s">
        <v>0</v>
      </c>
    </row>
    <row r="182" spans="4:7" ht="15">
      <c r="D182" s="12"/>
      <c r="G182" s="16" t="s">
        <v>0</v>
      </c>
    </row>
    <row r="183" spans="4:7" ht="15">
      <c r="D183" s="12"/>
      <c r="G183" s="16" t="s">
        <v>0</v>
      </c>
    </row>
    <row r="184" spans="4:7" ht="15">
      <c r="D184" s="12"/>
      <c r="G184" s="16" t="s">
        <v>0</v>
      </c>
    </row>
    <row r="185" spans="4:7" ht="15">
      <c r="D185" s="12"/>
      <c r="G185" s="16" t="s">
        <v>0</v>
      </c>
    </row>
    <row r="186" spans="4:7" ht="15">
      <c r="D186" s="12"/>
      <c r="G186" s="16" t="s">
        <v>0</v>
      </c>
    </row>
    <row r="187" spans="4:7" ht="15">
      <c r="D187" s="12"/>
      <c r="G187" s="16" t="s">
        <v>0</v>
      </c>
    </row>
    <row r="188" spans="4:7" ht="15">
      <c r="D188" s="12"/>
      <c r="G188" s="16" t="s">
        <v>0</v>
      </c>
    </row>
    <row r="189" spans="4:7" ht="15">
      <c r="D189" s="12"/>
      <c r="G189" s="16" t="s">
        <v>0</v>
      </c>
    </row>
    <row r="190" spans="4:7" ht="15">
      <c r="D190" s="12"/>
      <c r="G190" s="16" t="s">
        <v>0</v>
      </c>
    </row>
    <row r="191" spans="4:7" ht="15">
      <c r="D191" s="12"/>
      <c r="G191" s="16" t="s">
        <v>0</v>
      </c>
    </row>
    <row r="192" spans="4:7" ht="15">
      <c r="D192" s="12"/>
      <c r="G192" s="16" t="s">
        <v>0</v>
      </c>
    </row>
    <row r="193" spans="4:7" ht="15">
      <c r="D193" s="12"/>
      <c r="G193" s="16" t="s">
        <v>0</v>
      </c>
    </row>
    <row r="194" spans="4:7" ht="15">
      <c r="D194" s="12"/>
      <c r="G194" s="16" t="s">
        <v>0</v>
      </c>
    </row>
    <row r="195" spans="4:7" ht="15">
      <c r="D195" s="12"/>
      <c r="G195" s="16" t="s">
        <v>0</v>
      </c>
    </row>
    <row r="196" spans="4:7" ht="15">
      <c r="D196" s="12"/>
      <c r="G196" s="16" t="s">
        <v>0</v>
      </c>
    </row>
    <row r="197" spans="4:7" ht="15">
      <c r="D197" s="12"/>
      <c r="G197" s="16" t="s">
        <v>0</v>
      </c>
    </row>
    <row r="198" spans="4:7" ht="15">
      <c r="D198" s="12"/>
      <c r="G198" s="16" t="s">
        <v>0</v>
      </c>
    </row>
    <row r="199" spans="4:7" ht="15">
      <c r="D199" s="12"/>
      <c r="G199" s="16" t="s">
        <v>0</v>
      </c>
    </row>
    <row r="200" spans="4:7" ht="15">
      <c r="D200" s="12"/>
      <c r="G200" s="16" t="s">
        <v>0</v>
      </c>
    </row>
    <row r="201" spans="4:7" ht="15">
      <c r="D201" s="12"/>
      <c r="G201" s="16" t="s">
        <v>0</v>
      </c>
    </row>
    <row r="202" spans="4:7" ht="15">
      <c r="D202" s="12"/>
      <c r="G202" s="16" t="s">
        <v>0</v>
      </c>
    </row>
    <row r="203" spans="4:7" ht="15">
      <c r="D203" s="12"/>
      <c r="G203" s="16" t="s">
        <v>0</v>
      </c>
    </row>
    <row r="204" spans="4:7" ht="15">
      <c r="D204" s="12"/>
      <c r="G204" s="16" t="s">
        <v>0</v>
      </c>
    </row>
    <row r="205" spans="4:7" ht="15">
      <c r="D205" s="12"/>
      <c r="G205" s="16" t="s">
        <v>0</v>
      </c>
    </row>
    <row r="206" spans="4:7" ht="15">
      <c r="D206" s="12"/>
      <c r="G206" s="16" t="s">
        <v>0</v>
      </c>
    </row>
    <row r="207" spans="4:7" ht="15">
      <c r="D207" s="12"/>
      <c r="G207" s="16" t="s">
        <v>0</v>
      </c>
    </row>
    <row r="208" spans="4:7" ht="15">
      <c r="D208" s="12"/>
      <c r="G208" s="16" t="s">
        <v>0</v>
      </c>
    </row>
    <row r="209" spans="4:7" ht="15">
      <c r="D209" s="12"/>
      <c r="G209" s="16" t="s">
        <v>0</v>
      </c>
    </row>
    <row r="210" spans="4:7" ht="15">
      <c r="D210" s="12"/>
      <c r="G210" s="16" t="s">
        <v>0</v>
      </c>
    </row>
    <row r="211" spans="4:7" ht="15">
      <c r="D211" s="12"/>
      <c r="G211" s="16" t="s">
        <v>0</v>
      </c>
    </row>
    <row r="212" spans="4:7" ht="15">
      <c r="D212" s="12"/>
      <c r="G212" s="16" t="s">
        <v>0</v>
      </c>
    </row>
    <row r="213" spans="4:7" ht="15">
      <c r="D213" s="12"/>
      <c r="G213" s="16" t="s">
        <v>0</v>
      </c>
    </row>
    <row r="214" spans="4:7" ht="15">
      <c r="D214" s="12"/>
      <c r="G214" s="16" t="s">
        <v>0</v>
      </c>
    </row>
    <row r="215" spans="4:7" ht="15">
      <c r="D215" s="12"/>
      <c r="G215" s="16" t="s">
        <v>0</v>
      </c>
    </row>
    <row r="216" spans="4:7" ht="15">
      <c r="D216" s="12"/>
      <c r="G216" s="16" t="s">
        <v>0</v>
      </c>
    </row>
    <row r="217" spans="4:7" ht="15">
      <c r="D217" s="12"/>
      <c r="G217" s="16" t="s">
        <v>0</v>
      </c>
    </row>
    <row r="218" spans="4:7" ht="15">
      <c r="D218" s="12"/>
      <c r="G218" s="16" t="s">
        <v>0</v>
      </c>
    </row>
    <row r="219" spans="4:7" ht="15">
      <c r="D219" s="12"/>
      <c r="G219" s="16" t="s">
        <v>0</v>
      </c>
    </row>
    <row r="220" spans="4:7" ht="15">
      <c r="D220" s="12"/>
      <c r="G220" s="16" t="s">
        <v>0</v>
      </c>
    </row>
    <row r="221" spans="4:7" ht="15">
      <c r="D221" s="12"/>
      <c r="G221" s="16" t="s">
        <v>0</v>
      </c>
    </row>
    <row r="222" spans="4:7" ht="15">
      <c r="D222" s="12"/>
      <c r="G222" s="16" t="s">
        <v>0</v>
      </c>
    </row>
    <row r="223" spans="4:7" ht="15">
      <c r="D223" s="12"/>
      <c r="G223" s="16" t="s">
        <v>0</v>
      </c>
    </row>
    <row r="224" spans="4:7" ht="15">
      <c r="D224" s="12"/>
      <c r="G224" s="16" t="s">
        <v>0</v>
      </c>
    </row>
    <row r="225" spans="4:7" ht="15">
      <c r="D225" s="12"/>
      <c r="G225" s="16" t="s">
        <v>0</v>
      </c>
    </row>
    <row r="226" spans="4:7" ht="15">
      <c r="D226" s="12"/>
      <c r="G226" s="16" t="s">
        <v>0</v>
      </c>
    </row>
    <row r="227" spans="4:7" ht="15">
      <c r="D227" s="12"/>
      <c r="G227" s="16" t="s">
        <v>0</v>
      </c>
    </row>
    <row r="228" spans="4:7" ht="15">
      <c r="D228" s="12"/>
      <c r="G228" s="16" t="s">
        <v>0</v>
      </c>
    </row>
    <row r="229" spans="4:7" ht="15">
      <c r="D229" s="12"/>
      <c r="G229" s="16" t="s">
        <v>0</v>
      </c>
    </row>
    <row r="230" spans="4:7" ht="15">
      <c r="D230" s="12"/>
      <c r="G230" s="16" t="s">
        <v>0</v>
      </c>
    </row>
    <row r="231" spans="4:7" ht="15">
      <c r="D231" s="12"/>
      <c r="G231" s="16" t="s">
        <v>0</v>
      </c>
    </row>
    <row r="232" spans="4:7" ht="15">
      <c r="D232" s="12"/>
      <c r="G232" s="16" t="s">
        <v>0</v>
      </c>
    </row>
    <row r="233" spans="4:7" ht="15">
      <c r="D233" s="12"/>
      <c r="G233" s="16" t="s">
        <v>0</v>
      </c>
    </row>
    <row r="234" spans="4:7" ht="15">
      <c r="D234" s="12"/>
      <c r="G234" s="16" t="s">
        <v>0</v>
      </c>
    </row>
    <row r="235" spans="4:7" ht="15">
      <c r="D235" s="12"/>
      <c r="G235" s="16" t="s">
        <v>0</v>
      </c>
    </row>
    <row r="236" spans="4:7" ht="15">
      <c r="D236" s="12"/>
      <c r="G236" s="16" t="s">
        <v>0</v>
      </c>
    </row>
    <row r="237" spans="4:7" ht="15">
      <c r="D237" s="12"/>
      <c r="G237" s="16" t="s">
        <v>0</v>
      </c>
    </row>
    <row r="238" spans="4:7" ht="15">
      <c r="D238" s="12"/>
      <c r="G238" s="16" t="s">
        <v>0</v>
      </c>
    </row>
    <row r="239" spans="4:7" ht="15">
      <c r="D239" s="12"/>
      <c r="G239" s="16" t="s">
        <v>0</v>
      </c>
    </row>
    <row r="240" spans="4:7" ht="15">
      <c r="D240" s="12"/>
      <c r="G240" s="16" t="s">
        <v>0</v>
      </c>
    </row>
    <row r="241" spans="4:7" ht="15">
      <c r="D241" s="12"/>
      <c r="G241" s="16" t="s">
        <v>0</v>
      </c>
    </row>
    <row r="242" spans="4:7" ht="15">
      <c r="D242" s="12"/>
      <c r="G242" s="16" t="s">
        <v>0</v>
      </c>
    </row>
    <row r="243" spans="4:7" ht="15">
      <c r="D243" s="12"/>
      <c r="G243" s="16" t="s">
        <v>0</v>
      </c>
    </row>
    <row r="244" spans="4:7" ht="15">
      <c r="D244" s="12"/>
      <c r="G244" s="16" t="s">
        <v>0</v>
      </c>
    </row>
    <row r="245" spans="4:7" ht="15">
      <c r="D245" s="12"/>
      <c r="G245" s="16" t="s">
        <v>0</v>
      </c>
    </row>
    <row r="246" spans="4:7" ht="15">
      <c r="D246" s="12"/>
      <c r="G246" s="16" t="s">
        <v>0</v>
      </c>
    </row>
    <row r="247" spans="4:7" ht="15">
      <c r="D247" s="12"/>
      <c r="G247" s="16" t="s">
        <v>0</v>
      </c>
    </row>
    <row r="248" spans="4:7" ht="15">
      <c r="D248" s="12"/>
      <c r="G248" s="16" t="s">
        <v>0</v>
      </c>
    </row>
    <row r="249" spans="4:7" ht="15">
      <c r="D249" s="12"/>
      <c r="G249" s="16" t="s">
        <v>0</v>
      </c>
    </row>
    <row r="250" spans="4:7" ht="15">
      <c r="D250" s="12"/>
      <c r="G250" s="16" t="s">
        <v>0</v>
      </c>
    </row>
    <row r="251" spans="4:7" ht="15">
      <c r="D251" s="12"/>
      <c r="G251" s="16" t="s">
        <v>0</v>
      </c>
    </row>
    <row r="252" spans="4:7" ht="15">
      <c r="D252" s="12"/>
      <c r="G252" s="16" t="s">
        <v>0</v>
      </c>
    </row>
    <row r="253" spans="4:7" ht="15">
      <c r="D253" s="12"/>
      <c r="G253" s="16" t="s">
        <v>0</v>
      </c>
    </row>
    <row r="254" spans="4:7" ht="15">
      <c r="D254" s="12"/>
      <c r="G254" s="16" t="s">
        <v>0</v>
      </c>
    </row>
    <row r="255" spans="4:7" ht="15">
      <c r="D255" s="12"/>
      <c r="G255" s="16" t="s">
        <v>0</v>
      </c>
    </row>
    <row r="256" spans="4:7" ht="15">
      <c r="D256" s="12"/>
      <c r="G256" s="16" t="s">
        <v>0</v>
      </c>
    </row>
    <row r="257" spans="4:7" ht="15">
      <c r="D257" s="12"/>
      <c r="G257" s="16" t="s">
        <v>0</v>
      </c>
    </row>
    <row r="258" spans="4:7" ht="15">
      <c r="D258" s="12"/>
      <c r="G258" s="16" t="s">
        <v>0</v>
      </c>
    </row>
    <row r="259" spans="4:7" ht="15">
      <c r="D259" s="12"/>
      <c r="G259" s="16" t="s">
        <v>0</v>
      </c>
    </row>
    <row r="260" spans="4:7" ht="15">
      <c r="D260" s="12"/>
      <c r="G260" s="16" t="s">
        <v>0</v>
      </c>
    </row>
    <row r="261" spans="4:7" ht="15">
      <c r="D261" s="12"/>
      <c r="G261" s="16" t="s">
        <v>0</v>
      </c>
    </row>
    <row r="262" spans="4:7" ht="15">
      <c r="D262" s="12"/>
      <c r="G262" s="16" t="s">
        <v>0</v>
      </c>
    </row>
    <row r="263" spans="4:7" ht="15">
      <c r="D263" s="12"/>
      <c r="G263" s="16" t="s">
        <v>0</v>
      </c>
    </row>
    <row r="264" spans="4:7" ht="15">
      <c r="D264" s="12"/>
      <c r="G264" s="16" t="s">
        <v>0</v>
      </c>
    </row>
    <row r="265" spans="4:7" ht="15">
      <c r="D265" s="12"/>
      <c r="G265" s="16" t="s">
        <v>0</v>
      </c>
    </row>
    <row r="266" spans="4:7" ht="15">
      <c r="D266" s="12"/>
      <c r="G266" s="16" t="s">
        <v>0</v>
      </c>
    </row>
    <row r="267" spans="4:7" ht="15">
      <c r="D267" s="12"/>
      <c r="G267" s="16" t="s">
        <v>0</v>
      </c>
    </row>
    <row r="268" spans="4:7" ht="15">
      <c r="D268" s="12"/>
      <c r="G268" s="16" t="s">
        <v>0</v>
      </c>
    </row>
    <row r="269" spans="4:7" ht="15">
      <c r="D269" s="12"/>
      <c r="G269" s="16" t="s">
        <v>0</v>
      </c>
    </row>
    <row r="270" spans="4:7" ht="15">
      <c r="D270" s="12"/>
      <c r="G270" s="16" t="s">
        <v>0</v>
      </c>
    </row>
    <row r="271" spans="4:7" ht="15">
      <c r="D271" s="12"/>
      <c r="G271" s="16" t="s">
        <v>0</v>
      </c>
    </row>
    <row r="272" spans="4:7" ht="15">
      <c r="D272" s="12"/>
      <c r="G272" s="16" t="s">
        <v>0</v>
      </c>
    </row>
    <row r="273" spans="4:7" ht="15">
      <c r="D273" s="12"/>
      <c r="G273" s="16" t="s">
        <v>0</v>
      </c>
    </row>
    <row r="274" spans="4:7" ht="15">
      <c r="D274" s="12"/>
      <c r="G274" s="16" t="s">
        <v>0</v>
      </c>
    </row>
    <row r="275" spans="4:7" ht="15">
      <c r="D275" s="12"/>
      <c r="G275" s="16" t="s">
        <v>0</v>
      </c>
    </row>
    <row r="276" spans="4:7" ht="15">
      <c r="D276" s="12"/>
      <c r="G276" s="16" t="s">
        <v>0</v>
      </c>
    </row>
    <row r="277" spans="4:7" ht="15">
      <c r="D277" s="12"/>
      <c r="G277" s="16" t="s">
        <v>0</v>
      </c>
    </row>
    <row r="278" spans="4:7" ht="15">
      <c r="D278" s="12"/>
      <c r="G278" s="16" t="s">
        <v>0</v>
      </c>
    </row>
    <row r="279" spans="4:7" ht="15">
      <c r="D279" s="12"/>
      <c r="G279" s="16" t="s">
        <v>0</v>
      </c>
    </row>
    <row r="280" spans="4:7" ht="15">
      <c r="D280" s="12"/>
      <c r="G280" s="16" t="s">
        <v>0</v>
      </c>
    </row>
    <row r="281" spans="4:7" ht="15">
      <c r="D281" s="12"/>
      <c r="G281" s="16" t="s">
        <v>0</v>
      </c>
    </row>
    <row r="282" spans="4:7" ht="15">
      <c r="D282" s="12"/>
      <c r="G282" s="16" t="s">
        <v>0</v>
      </c>
    </row>
    <row r="283" spans="4:7" ht="15">
      <c r="D283" s="12"/>
      <c r="G283" s="16" t="s">
        <v>0</v>
      </c>
    </row>
    <row r="284" spans="4:7" ht="15">
      <c r="D284" s="12"/>
      <c r="G284" s="16" t="s">
        <v>0</v>
      </c>
    </row>
    <row r="285" spans="4:7" ht="15">
      <c r="D285" s="12"/>
      <c r="G285" s="16" t="s">
        <v>0</v>
      </c>
    </row>
    <row r="286" spans="4:7" ht="15">
      <c r="D286" s="12"/>
      <c r="G286" s="16" t="s">
        <v>0</v>
      </c>
    </row>
    <row r="287" spans="4:7" ht="15">
      <c r="D287" s="12"/>
      <c r="G287" s="16" t="s">
        <v>0</v>
      </c>
    </row>
    <row r="288" spans="4:7" ht="15">
      <c r="D288" s="12"/>
      <c r="G288" s="16" t="s">
        <v>0</v>
      </c>
    </row>
    <row r="289" spans="4:7" ht="15">
      <c r="D289" s="12"/>
      <c r="G289" s="16" t="s">
        <v>0</v>
      </c>
    </row>
    <row r="290" spans="4:7" ht="15">
      <c r="D290" s="12"/>
      <c r="G290" s="16" t="s">
        <v>0</v>
      </c>
    </row>
    <row r="291" spans="4:7" ht="15">
      <c r="D291" s="12"/>
      <c r="G291" s="16" t="s">
        <v>0</v>
      </c>
    </row>
    <row r="292" spans="4:7" ht="15">
      <c r="D292" s="12"/>
      <c r="G292" s="16" t="s">
        <v>0</v>
      </c>
    </row>
    <row r="293" spans="4:7" ht="15">
      <c r="D293" s="12"/>
      <c r="G293" s="16" t="s">
        <v>0</v>
      </c>
    </row>
    <row r="294" spans="4:7" ht="15">
      <c r="D294" s="12"/>
      <c r="G294" s="16" t="s">
        <v>0</v>
      </c>
    </row>
    <row r="295" spans="4:7" ht="15">
      <c r="D295" s="12"/>
      <c r="G295" s="16" t="s">
        <v>0</v>
      </c>
    </row>
    <row r="296" spans="4:7" ht="15">
      <c r="D296" s="12"/>
      <c r="G296" s="16" t="s">
        <v>0</v>
      </c>
    </row>
    <row r="297" spans="4:7" ht="15">
      <c r="D297" s="12"/>
      <c r="G297" s="16" t="s">
        <v>0</v>
      </c>
    </row>
    <row r="298" spans="4:7" ht="15">
      <c r="D298" s="12"/>
      <c r="G298" s="16" t="s">
        <v>0</v>
      </c>
    </row>
    <row r="299" spans="4:7" ht="15">
      <c r="D299" s="12"/>
      <c r="G299" s="16" t="s">
        <v>0</v>
      </c>
    </row>
    <row r="300" spans="4:7" ht="15">
      <c r="D300" s="12"/>
      <c r="G300" s="16" t="s">
        <v>0</v>
      </c>
    </row>
    <row r="301" spans="4:7" ht="15">
      <c r="D301" s="12"/>
      <c r="G301" s="16" t="s">
        <v>0</v>
      </c>
    </row>
    <row r="302" spans="4:7" ht="15">
      <c r="D302" s="12"/>
      <c r="G302" s="16" t="s">
        <v>0</v>
      </c>
    </row>
    <row r="303" spans="4:7" ht="15">
      <c r="D303" s="12"/>
      <c r="G303" s="16" t="s">
        <v>0</v>
      </c>
    </row>
    <row r="304" spans="4:7" ht="15">
      <c r="D304" s="12"/>
      <c r="G304" s="16" t="s">
        <v>0</v>
      </c>
    </row>
    <row r="305" spans="4:7" ht="15">
      <c r="D305" s="12"/>
      <c r="G305" s="16" t="s">
        <v>0</v>
      </c>
    </row>
    <row r="306" spans="4:7" ht="15">
      <c r="D306" s="12"/>
      <c r="G306" s="16" t="s">
        <v>0</v>
      </c>
    </row>
    <row r="307" spans="4:7" ht="15">
      <c r="D307" s="12"/>
      <c r="G307" s="16" t="s">
        <v>0</v>
      </c>
    </row>
    <row r="308" spans="4:7" ht="15">
      <c r="D308" s="12"/>
      <c r="G308" s="16" t="s">
        <v>0</v>
      </c>
    </row>
    <row r="309" spans="4:7" ht="15">
      <c r="D309" s="12"/>
      <c r="G309" s="16" t="s">
        <v>0</v>
      </c>
    </row>
    <row r="310" spans="4:7" ht="15">
      <c r="D310" s="12"/>
      <c r="G310" s="16" t="s">
        <v>0</v>
      </c>
    </row>
    <row r="311" spans="4:7" ht="15">
      <c r="D311" s="12"/>
      <c r="G311" s="16" t="s">
        <v>0</v>
      </c>
    </row>
    <row r="312" spans="4:7" ht="15">
      <c r="D312" s="12"/>
      <c r="G312" s="16" t="s">
        <v>0</v>
      </c>
    </row>
    <row r="313" spans="4:7" ht="15">
      <c r="D313" s="12"/>
      <c r="G313" s="16" t="s">
        <v>0</v>
      </c>
    </row>
    <row r="314" spans="4:7" ht="15">
      <c r="D314" s="12"/>
      <c r="G314" s="16" t="s">
        <v>0</v>
      </c>
    </row>
    <row r="315" spans="4:7" ht="15">
      <c r="D315" s="12"/>
      <c r="G315" s="16" t="s">
        <v>0</v>
      </c>
    </row>
    <row r="316" spans="4:7" ht="15">
      <c r="D316" s="12"/>
      <c r="G316" s="16" t="s">
        <v>0</v>
      </c>
    </row>
    <row r="317" spans="4:7" ht="15">
      <c r="D317" s="12"/>
      <c r="G317" s="16" t="s">
        <v>0</v>
      </c>
    </row>
    <row r="318" spans="4:7" ht="15">
      <c r="D318" s="12"/>
      <c r="G318" s="16" t="s">
        <v>0</v>
      </c>
    </row>
    <row r="319" spans="4:7" ht="15">
      <c r="D319" s="12"/>
      <c r="G319" s="16" t="s">
        <v>0</v>
      </c>
    </row>
    <row r="320" spans="4:7" ht="15">
      <c r="D320" s="12"/>
      <c r="G320" s="16" t="s">
        <v>0</v>
      </c>
    </row>
    <row r="321" spans="4:7" ht="15">
      <c r="D321" s="12"/>
      <c r="G321" s="16" t="s">
        <v>0</v>
      </c>
    </row>
    <row r="322" spans="4:7" ht="15">
      <c r="D322" s="12"/>
      <c r="G322" s="16" t="s">
        <v>0</v>
      </c>
    </row>
    <row r="323" spans="4:7" ht="15">
      <c r="D323" s="12"/>
      <c r="G323" s="16" t="s">
        <v>0</v>
      </c>
    </row>
    <row r="324" spans="4:7" ht="15">
      <c r="D324" s="12"/>
      <c r="G324" s="16" t="s">
        <v>0</v>
      </c>
    </row>
    <row r="325" spans="4:7" ht="15">
      <c r="D325" s="12"/>
      <c r="G325" s="16" t="s">
        <v>0</v>
      </c>
    </row>
    <row r="326" spans="4:7" ht="15">
      <c r="D326" s="12"/>
      <c r="G326" s="16" t="s">
        <v>0</v>
      </c>
    </row>
    <row r="327" spans="4:7" ht="15">
      <c r="D327" s="12"/>
      <c r="G327" s="16" t="s">
        <v>0</v>
      </c>
    </row>
    <row r="328" spans="4:7" ht="15">
      <c r="D328" s="12"/>
      <c r="G328" s="16" t="s">
        <v>0</v>
      </c>
    </row>
    <row r="329" spans="4:7" ht="15">
      <c r="D329" s="12"/>
      <c r="G329" s="16" t="s">
        <v>0</v>
      </c>
    </row>
    <row r="330" spans="4:7" ht="15">
      <c r="D330" s="12"/>
      <c r="G330" s="16" t="s">
        <v>0</v>
      </c>
    </row>
    <row r="331" spans="4:7" ht="15">
      <c r="D331" s="12"/>
      <c r="G331" s="16" t="s">
        <v>0</v>
      </c>
    </row>
    <row r="332" spans="4:7" ht="15">
      <c r="D332" s="12"/>
      <c r="G332" s="16" t="s">
        <v>0</v>
      </c>
    </row>
    <row r="333" spans="4:7" ht="15">
      <c r="D333" s="12"/>
      <c r="G333" s="16" t="s">
        <v>0</v>
      </c>
    </row>
    <row r="334" spans="4:7" ht="15">
      <c r="D334" s="12"/>
      <c r="G334" s="16" t="s">
        <v>0</v>
      </c>
    </row>
    <row r="335" spans="4:7" ht="15">
      <c r="D335" s="12"/>
      <c r="G335" s="16" t="s">
        <v>0</v>
      </c>
    </row>
    <row r="336" spans="4:7" ht="15">
      <c r="D336" s="12"/>
      <c r="G336" s="16" t="s">
        <v>0</v>
      </c>
    </row>
    <row r="337" spans="4:7" ht="15">
      <c r="D337" s="12"/>
      <c r="G337" s="16" t="s">
        <v>0</v>
      </c>
    </row>
    <row r="338" spans="4:7" ht="15">
      <c r="D338" s="12"/>
      <c r="G338" s="16" t="s">
        <v>0</v>
      </c>
    </row>
    <row r="339" spans="4:7" ht="15">
      <c r="D339" s="12"/>
      <c r="G339" s="16" t="s">
        <v>0</v>
      </c>
    </row>
    <row r="340" spans="4:7" ht="15">
      <c r="D340" s="12"/>
      <c r="G340" s="16" t="s">
        <v>0</v>
      </c>
    </row>
    <row r="341" spans="4:7" ht="15">
      <c r="D341" s="12"/>
      <c r="G341" s="16" t="s">
        <v>0</v>
      </c>
    </row>
    <row r="342" spans="4:7" ht="15">
      <c r="D342" s="12"/>
      <c r="G342" s="16" t="s">
        <v>0</v>
      </c>
    </row>
    <row r="343" spans="4:7" ht="15">
      <c r="D343" s="12"/>
      <c r="G343" s="16" t="s">
        <v>0</v>
      </c>
    </row>
    <row r="344" spans="4:7" ht="15">
      <c r="D344" s="12"/>
      <c r="G344" s="16" t="s">
        <v>0</v>
      </c>
    </row>
    <row r="345" spans="4:7" ht="15">
      <c r="D345" s="12"/>
      <c r="G345" s="16" t="s">
        <v>0</v>
      </c>
    </row>
    <row r="346" spans="4:7" ht="15">
      <c r="D346" s="12"/>
      <c r="G346" s="16" t="s">
        <v>0</v>
      </c>
    </row>
    <row r="347" spans="4:7" ht="15">
      <c r="D347" s="12"/>
      <c r="G347" s="16" t="s">
        <v>0</v>
      </c>
    </row>
    <row r="348" spans="4:7" ht="15">
      <c r="D348" s="12"/>
      <c r="G348" s="16" t="s">
        <v>0</v>
      </c>
    </row>
    <row r="349" spans="4:7" ht="15">
      <c r="D349" s="12"/>
      <c r="G349" s="16" t="s">
        <v>0</v>
      </c>
    </row>
    <row r="350" spans="4:7" ht="15">
      <c r="D350" s="12"/>
      <c r="G350" s="16" t="s">
        <v>0</v>
      </c>
    </row>
    <row r="351" spans="4:7" ht="15">
      <c r="D351" s="12"/>
      <c r="G351" s="16" t="s">
        <v>0</v>
      </c>
    </row>
    <row r="352" spans="4:7" ht="15">
      <c r="D352" s="12"/>
      <c r="G352" s="16" t="s">
        <v>0</v>
      </c>
    </row>
    <row r="353" spans="4:7" ht="15">
      <c r="D353" s="12"/>
      <c r="G353" s="16" t="s">
        <v>0</v>
      </c>
    </row>
    <row r="354" spans="4:7" ht="15">
      <c r="D354" s="12"/>
      <c r="G354" s="16" t="s">
        <v>0</v>
      </c>
    </row>
    <row r="355" spans="4:7" ht="15">
      <c r="D355" s="12"/>
      <c r="G355" s="16" t="s">
        <v>0</v>
      </c>
    </row>
    <row r="356" spans="4:7" ht="15">
      <c r="D356" s="12"/>
      <c r="G356" s="16" t="s">
        <v>0</v>
      </c>
    </row>
    <row r="357" spans="4:7" ht="15">
      <c r="D357" s="12"/>
      <c r="G357" s="16" t="s">
        <v>0</v>
      </c>
    </row>
    <row r="358" spans="4:7" ht="15">
      <c r="D358" s="12"/>
      <c r="G358" s="16" t="s">
        <v>0</v>
      </c>
    </row>
    <row r="359" spans="4:7" ht="15">
      <c r="D359" s="12"/>
      <c r="G359" s="16" t="s">
        <v>0</v>
      </c>
    </row>
    <row r="360" spans="4:7" ht="15">
      <c r="D360" s="12"/>
      <c r="G360" s="16" t="s">
        <v>0</v>
      </c>
    </row>
    <row r="361" spans="4:7" ht="15">
      <c r="D361" s="12"/>
      <c r="G361" s="16" t="s">
        <v>0</v>
      </c>
    </row>
    <row r="362" spans="4:7" ht="15">
      <c r="D362" s="12"/>
      <c r="G362" s="16" t="s">
        <v>0</v>
      </c>
    </row>
    <row r="363" spans="4:7" ht="15">
      <c r="D363" s="12"/>
      <c r="G363" s="16" t="s">
        <v>0</v>
      </c>
    </row>
    <row r="364" spans="4:7" ht="15">
      <c r="D364" s="12"/>
      <c r="G364" s="16" t="s">
        <v>0</v>
      </c>
    </row>
    <row r="365" spans="4:7" ht="15">
      <c r="D365" s="12"/>
      <c r="G365" s="16" t="s">
        <v>0</v>
      </c>
    </row>
    <row r="366" spans="4:7" ht="15">
      <c r="D366" s="12"/>
      <c r="G366" s="16" t="s">
        <v>0</v>
      </c>
    </row>
    <row r="367" spans="4:7" ht="15">
      <c r="D367" s="12"/>
      <c r="G367" s="16" t="s">
        <v>0</v>
      </c>
    </row>
    <row r="368" spans="4:7" ht="15">
      <c r="D368" s="12"/>
      <c r="G368" s="16" t="s">
        <v>0</v>
      </c>
    </row>
    <row r="369" spans="4:7" ht="15">
      <c r="D369" s="12"/>
      <c r="G369" s="16" t="s">
        <v>0</v>
      </c>
    </row>
    <row r="370" spans="4:7" ht="15">
      <c r="D370" s="12"/>
      <c r="G370" s="16" t="s">
        <v>0</v>
      </c>
    </row>
    <row r="371" spans="4:7" ht="15">
      <c r="D371" s="12"/>
      <c r="G371" s="16" t="s">
        <v>0</v>
      </c>
    </row>
    <row r="372" spans="4:7" ht="15">
      <c r="D372" s="12"/>
      <c r="G372" s="16" t="s">
        <v>0</v>
      </c>
    </row>
    <row r="373" spans="4:7" ht="15">
      <c r="D373" s="12"/>
      <c r="G373" s="16" t="s">
        <v>0</v>
      </c>
    </row>
    <row r="374" spans="4:7" ht="15">
      <c r="D374" s="12"/>
      <c r="G374" s="16" t="s">
        <v>0</v>
      </c>
    </row>
    <row r="375" spans="4:7" ht="15">
      <c r="D375" s="12"/>
      <c r="G375" s="16" t="s">
        <v>0</v>
      </c>
    </row>
    <row r="376" spans="4:7" ht="15">
      <c r="D376" s="12"/>
      <c r="G376" s="16" t="s">
        <v>0</v>
      </c>
    </row>
    <row r="377" spans="4:7" ht="15">
      <c r="D377" s="12"/>
      <c r="G377" s="16" t="s">
        <v>0</v>
      </c>
    </row>
    <row r="378" spans="4:7" ht="15">
      <c r="D378" s="12"/>
      <c r="G378" s="16" t="s">
        <v>0</v>
      </c>
    </row>
    <row r="379" spans="4:7" ht="15">
      <c r="D379" s="12"/>
      <c r="G379" s="16" t="s">
        <v>0</v>
      </c>
    </row>
    <row r="380" spans="4:7" ht="15">
      <c r="D380" s="12"/>
      <c r="G380" s="16" t="s">
        <v>0</v>
      </c>
    </row>
    <row r="381" spans="4:7" ht="15">
      <c r="D381" s="12"/>
      <c r="G381" s="16" t="s">
        <v>0</v>
      </c>
    </row>
    <row r="382" spans="4:7" ht="15">
      <c r="D382" s="12"/>
      <c r="G382" s="16" t="s">
        <v>0</v>
      </c>
    </row>
    <row r="383" spans="4:7" ht="15">
      <c r="D383" s="12"/>
      <c r="G383" s="16" t="s">
        <v>0</v>
      </c>
    </row>
    <row r="384" spans="4:7" ht="15">
      <c r="D384" s="12"/>
      <c r="G384" s="16" t="s">
        <v>0</v>
      </c>
    </row>
    <row r="385" spans="4:7" ht="15">
      <c r="D385" s="12"/>
      <c r="G385" s="16" t="s">
        <v>0</v>
      </c>
    </row>
    <row r="386" spans="4:7" ht="15">
      <c r="D386" s="12"/>
      <c r="G386" s="16" t="s">
        <v>0</v>
      </c>
    </row>
    <row r="387" spans="4:7" ht="15">
      <c r="D387" s="12"/>
      <c r="G387" s="16" t="s">
        <v>0</v>
      </c>
    </row>
    <row r="388" spans="4:7" ht="15">
      <c r="D388" s="12"/>
      <c r="G388" s="16" t="s">
        <v>0</v>
      </c>
    </row>
    <row r="389" spans="4:7" ht="15">
      <c r="D389" s="12"/>
      <c r="G389" s="16" t="s">
        <v>0</v>
      </c>
    </row>
    <row r="390" spans="4:7" ht="15">
      <c r="D390" s="12"/>
      <c r="G390" s="16" t="s">
        <v>0</v>
      </c>
    </row>
    <row r="391" spans="4:7" ht="15">
      <c r="D391" s="12"/>
      <c r="G391" s="16" t="s">
        <v>0</v>
      </c>
    </row>
    <row r="392" spans="4:7" ht="15">
      <c r="D392" s="12"/>
      <c r="G392" s="16" t="s">
        <v>0</v>
      </c>
    </row>
    <row r="393" spans="4:7" ht="15">
      <c r="D393" s="12"/>
      <c r="G393" s="16" t="s">
        <v>0</v>
      </c>
    </row>
    <row r="394" spans="4:7" ht="15">
      <c r="D394" s="12"/>
      <c r="G394" s="16" t="s">
        <v>0</v>
      </c>
    </row>
    <row r="395" spans="4:7" ht="15">
      <c r="D395" s="12"/>
      <c r="G395" s="16" t="s">
        <v>0</v>
      </c>
    </row>
    <row r="396" spans="4:7" ht="15">
      <c r="D396" s="12"/>
      <c r="G396" s="16" t="s">
        <v>0</v>
      </c>
    </row>
    <row r="397" spans="4:7" ht="15">
      <c r="D397" s="12"/>
      <c r="G397" s="16" t="s">
        <v>0</v>
      </c>
    </row>
    <row r="398" spans="4:7" ht="15">
      <c r="D398" s="12"/>
      <c r="G398" s="16" t="s">
        <v>0</v>
      </c>
    </row>
    <row r="399" spans="4:7" ht="15">
      <c r="D399" s="12"/>
      <c r="G399" s="16" t="s">
        <v>0</v>
      </c>
    </row>
    <row r="400" spans="4:7" ht="15">
      <c r="D400" s="12"/>
      <c r="G400" s="16" t="s">
        <v>0</v>
      </c>
    </row>
    <row r="401" spans="4:7" ht="15">
      <c r="D401" s="12"/>
      <c r="G401" s="16" t="s">
        <v>0</v>
      </c>
    </row>
    <row r="402" spans="4:7" ht="15">
      <c r="D402" s="12"/>
      <c r="G402" s="16" t="s">
        <v>0</v>
      </c>
    </row>
    <row r="403" spans="4:7" ht="15">
      <c r="D403" s="12"/>
      <c r="G403" s="16" t="s">
        <v>0</v>
      </c>
    </row>
    <row r="404" spans="4:7" ht="15">
      <c r="D404" s="12"/>
      <c r="G404" s="16" t="s">
        <v>0</v>
      </c>
    </row>
    <row r="405" spans="4:7" ht="15">
      <c r="D405" s="12"/>
      <c r="G405" s="16" t="s">
        <v>0</v>
      </c>
    </row>
    <row r="406" spans="4:7" ht="15">
      <c r="D406" s="12"/>
      <c r="G406" s="16" t="s">
        <v>0</v>
      </c>
    </row>
    <row r="407" spans="4:7" ht="15">
      <c r="D407" s="12"/>
      <c r="G407" s="16" t="s">
        <v>0</v>
      </c>
    </row>
    <row r="408" spans="4:7" ht="15">
      <c r="D408" s="12"/>
      <c r="G408" s="16" t="s">
        <v>0</v>
      </c>
    </row>
    <row r="409" spans="4:7" ht="15">
      <c r="D409" s="12"/>
      <c r="G409" s="16" t="s">
        <v>0</v>
      </c>
    </row>
    <row r="410" spans="4:7" ht="15">
      <c r="D410" s="12"/>
      <c r="G410" s="16" t="s">
        <v>0</v>
      </c>
    </row>
    <row r="411" spans="4:7" ht="15">
      <c r="D411" s="12"/>
      <c r="G411" s="16" t="s">
        <v>0</v>
      </c>
    </row>
    <row r="412" spans="4:7" ht="15">
      <c r="D412" s="12"/>
      <c r="G412" s="16" t="s">
        <v>0</v>
      </c>
    </row>
    <row r="413" spans="4:7" ht="15">
      <c r="D413" s="12"/>
      <c r="G413" s="16" t="s">
        <v>0</v>
      </c>
    </row>
    <row r="414" spans="4:7" ht="15">
      <c r="D414" s="12"/>
      <c r="G414" s="16" t="s">
        <v>0</v>
      </c>
    </row>
    <row r="415" spans="4:7" ht="15">
      <c r="D415" s="12"/>
      <c r="G415" s="16" t="s">
        <v>0</v>
      </c>
    </row>
    <row r="416" spans="4:7" ht="15">
      <c r="D416" s="12"/>
      <c r="G416" s="16" t="s">
        <v>0</v>
      </c>
    </row>
    <row r="417" spans="4:7" ht="15">
      <c r="D417" s="12"/>
      <c r="G417" s="16" t="s">
        <v>0</v>
      </c>
    </row>
    <row r="418" spans="4:7" ht="15">
      <c r="D418" s="12"/>
      <c r="G418" s="16" t="s">
        <v>0</v>
      </c>
    </row>
    <row r="419" spans="4:7" ht="15">
      <c r="D419" s="12"/>
      <c r="G419" s="16" t="s">
        <v>0</v>
      </c>
    </row>
    <row r="420" spans="4:7" ht="15">
      <c r="D420" s="12"/>
      <c r="G420" s="16" t="s">
        <v>0</v>
      </c>
    </row>
    <row r="421" spans="4:7" ht="15">
      <c r="D421" s="12"/>
      <c r="G421" s="16" t="s">
        <v>0</v>
      </c>
    </row>
    <row r="422" spans="4:7" ht="15">
      <c r="D422" s="12"/>
      <c r="G422" s="16" t="s">
        <v>0</v>
      </c>
    </row>
    <row r="423" spans="4:7" ht="15">
      <c r="D423" s="12"/>
      <c r="G423" s="16" t="s">
        <v>0</v>
      </c>
    </row>
    <row r="424" spans="4:7" ht="15">
      <c r="D424" s="12"/>
      <c r="G424" s="16" t="s">
        <v>0</v>
      </c>
    </row>
    <row r="425" spans="4:7" ht="15">
      <c r="D425" s="12"/>
      <c r="G425" s="16" t="s">
        <v>0</v>
      </c>
    </row>
    <row r="426" spans="4:7" ht="15">
      <c r="D426" s="12"/>
      <c r="G426" s="16" t="s">
        <v>0</v>
      </c>
    </row>
    <row r="427" spans="4:7" ht="15">
      <c r="D427" s="12"/>
      <c r="G427" s="16" t="s">
        <v>0</v>
      </c>
    </row>
    <row r="428" spans="4:7" ht="15">
      <c r="D428" s="12"/>
      <c r="G428" s="16" t="s">
        <v>0</v>
      </c>
    </row>
    <row r="429" spans="4:7" ht="15">
      <c r="D429" s="12"/>
      <c r="G429" s="16" t="s">
        <v>0</v>
      </c>
    </row>
    <row r="430" spans="4:7" ht="15">
      <c r="D430" s="12"/>
      <c r="G430" s="16" t="s">
        <v>0</v>
      </c>
    </row>
    <row r="431" spans="4:7" ht="15">
      <c r="D431" s="12"/>
      <c r="G431" s="16" t="s">
        <v>0</v>
      </c>
    </row>
    <row r="432" spans="4:7" ht="15">
      <c r="D432" s="12"/>
      <c r="G432" s="16" t="s">
        <v>0</v>
      </c>
    </row>
    <row r="433" spans="4:4" ht="12.75">
      <c r="D433" s="12"/>
    </row>
    <row r="434" spans="4:4" ht="12.75">
      <c r="D434" s="12"/>
    </row>
    <row r="435" spans="4:4" ht="12.75">
      <c r="D435" s="12"/>
    </row>
    <row r="436" spans="4:4" ht="12.75">
      <c r="D436" s="12"/>
    </row>
    <row r="437" spans="4:4" ht="12.75">
      <c r="D437" s="12"/>
    </row>
    <row r="438" spans="4:4" ht="12.75">
      <c r="D438" s="12"/>
    </row>
    <row r="439" spans="4:4" ht="12.75">
      <c r="D439" s="12"/>
    </row>
    <row r="440" spans="4:4" ht="12.75">
      <c r="D440" s="12"/>
    </row>
    <row r="441" spans="4:4" ht="12.75">
      <c r="D441" s="12"/>
    </row>
    <row r="442" spans="4:4" ht="12.75">
      <c r="D442" s="12"/>
    </row>
    <row r="443" spans="4:4" ht="12.75">
      <c r="D443" s="12"/>
    </row>
    <row r="444" spans="4:4" ht="12.75">
      <c r="D444" s="12"/>
    </row>
    <row r="445" spans="4:4" ht="12.75">
      <c r="D445" s="12"/>
    </row>
    <row r="446" spans="4:4" ht="12.75">
      <c r="D446" s="12"/>
    </row>
    <row r="447" spans="4:4" ht="12.75">
      <c r="D447" s="12"/>
    </row>
    <row r="448" spans="4:4" ht="12.75">
      <c r="D448" s="12"/>
    </row>
    <row r="449" spans="4:4" ht="12.75">
      <c r="D449" s="12"/>
    </row>
    <row r="450" spans="4:4" ht="12.75">
      <c r="D450" s="12"/>
    </row>
    <row r="451" spans="4:4" ht="12.75">
      <c r="D451" s="12"/>
    </row>
    <row r="452" spans="4:4" ht="12.75">
      <c r="D452" s="12"/>
    </row>
    <row r="453" spans="4:4" ht="12.75">
      <c r="D453" s="12"/>
    </row>
    <row r="454" spans="4:4" ht="12.75">
      <c r="D454" s="12"/>
    </row>
    <row r="455" spans="4:4" ht="12.75">
      <c r="D455" s="12"/>
    </row>
    <row r="456" spans="4:4" ht="12.75">
      <c r="D456" s="12"/>
    </row>
    <row r="457" spans="4:4" ht="12.75">
      <c r="D457" s="12"/>
    </row>
    <row r="458" spans="4:4" ht="12.75">
      <c r="D458" s="12"/>
    </row>
    <row r="459" spans="4:4" ht="12.75">
      <c r="D459" s="12"/>
    </row>
    <row r="460" spans="4:4" ht="12.75">
      <c r="D460" s="12"/>
    </row>
    <row r="461" spans="4:4" ht="12.75">
      <c r="D461" s="12"/>
    </row>
    <row r="462" spans="4:4" ht="12.75">
      <c r="D462" s="12"/>
    </row>
    <row r="463" spans="4:4" ht="12.75">
      <c r="D463" s="12"/>
    </row>
    <row r="464" spans="4:4" ht="12.75">
      <c r="D464" s="12"/>
    </row>
    <row r="465" spans="4:4" ht="12.75">
      <c r="D465" s="12"/>
    </row>
    <row r="466" spans="4:4" ht="12.75">
      <c r="D466" s="12"/>
    </row>
    <row r="467" spans="4:4" ht="12.75">
      <c r="D467" s="12"/>
    </row>
    <row r="468" spans="4:4" ht="12.75">
      <c r="D468" s="12"/>
    </row>
    <row r="469" spans="4:4" ht="12.75">
      <c r="D469" s="12"/>
    </row>
    <row r="470" spans="4:4" ht="12.75">
      <c r="D470" s="12"/>
    </row>
    <row r="471" spans="4:4" ht="12.75">
      <c r="D471" s="12"/>
    </row>
    <row r="472" spans="4:4" ht="12.75">
      <c r="D472" s="12"/>
    </row>
    <row r="473" spans="4:4" ht="12.75">
      <c r="D473" s="12"/>
    </row>
    <row r="474" spans="4:4" ht="12.75">
      <c r="D474" s="12"/>
    </row>
    <row r="475" spans="4:4" ht="12.75">
      <c r="D475" s="12"/>
    </row>
    <row r="476" spans="4:4" ht="12.75">
      <c r="D476" s="12"/>
    </row>
    <row r="477" spans="4:4" ht="12.75">
      <c r="D477" s="12"/>
    </row>
    <row r="478" spans="4:4" ht="12.75">
      <c r="D478" s="12"/>
    </row>
    <row r="479" spans="4:4" ht="12.75">
      <c r="D479" s="12"/>
    </row>
    <row r="480" spans="4:4" ht="12.75">
      <c r="D480" s="12"/>
    </row>
    <row r="481" spans="4:4" ht="12.75">
      <c r="D481" s="12"/>
    </row>
    <row r="482" spans="4:4" ht="12.75">
      <c r="D482" s="12"/>
    </row>
    <row r="483" spans="4:4" ht="12.75">
      <c r="D483" s="12"/>
    </row>
    <row r="484" spans="4:4" ht="12.75">
      <c r="D484" s="12"/>
    </row>
    <row r="485" spans="4:4" ht="12.75">
      <c r="D485" s="12"/>
    </row>
    <row r="486" spans="4:4" ht="12.75">
      <c r="D486" s="12"/>
    </row>
    <row r="487" spans="4:4" ht="12.75">
      <c r="D487" s="12"/>
    </row>
    <row r="488" spans="4:4" ht="12.75">
      <c r="D488" s="12"/>
    </row>
    <row r="489" spans="4:4" ht="12.75">
      <c r="D489" s="12"/>
    </row>
    <row r="490" spans="4:4" ht="12.75">
      <c r="D490" s="12"/>
    </row>
    <row r="491" spans="4:4" ht="12.75">
      <c r="D491" s="12"/>
    </row>
    <row r="492" spans="4:4" ht="12.75">
      <c r="D492" s="12"/>
    </row>
    <row r="493" spans="4:4" ht="12.75">
      <c r="D493" s="12"/>
    </row>
    <row r="494" spans="4:4" ht="12.75">
      <c r="D494" s="12"/>
    </row>
    <row r="495" spans="4:4" ht="12.75">
      <c r="D495" s="12"/>
    </row>
    <row r="496" spans="4:4" ht="12.75">
      <c r="D496" s="12"/>
    </row>
    <row r="497" spans="4:4" ht="12.75">
      <c r="D497" s="12"/>
    </row>
    <row r="498" spans="4:4" ht="12.75">
      <c r="D498" s="12"/>
    </row>
    <row r="499" spans="4:4" ht="12.75">
      <c r="D499" s="12"/>
    </row>
    <row r="500" spans="4:4" ht="12.75">
      <c r="D500" s="12"/>
    </row>
    <row r="501" spans="4:4" ht="12.75">
      <c r="D501" s="12"/>
    </row>
    <row r="502" spans="4:4" ht="12.75">
      <c r="D502" s="12"/>
    </row>
    <row r="503" spans="4:4" ht="12.75">
      <c r="D503" s="12"/>
    </row>
    <row r="504" spans="4:4" ht="12.75">
      <c r="D504" s="12"/>
    </row>
    <row r="505" spans="4:4" ht="12.75">
      <c r="D505" s="12"/>
    </row>
    <row r="506" spans="4:4" ht="12.75">
      <c r="D506" s="12"/>
    </row>
    <row r="507" spans="4:4" ht="12.75">
      <c r="D507" s="12"/>
    </row>
    <row r="508" spans="4:4" ht="12.75">
      <c r="D508" s="12"/>
    </row>
    <row r="509" spans="4:4" ht="12.75">
      <c r="D509" s="12"/>
    </row>
    <row r="510" spans="4:4" ht="12.75">
      <c r="D510" s="12"/>
    </row>
    <row r="511" spans="4:4" ht="12.75">
      <c r="D511" s="12"/>
    </row>
    <row r="512" spans="4:4" ht="12.75">
      <c r="D512" s="12"/>
    </row>
    <row r="513" spans="4:4" ht="12.75">
      <c r="D513" s="12"/>
    </row>
    <row r="514" spans="4:4" ht="12.75">
      <c r="D514" s="12"/>
    </row>
    <row r="515" spans="4:4" ht="12.75">
      <c r="D515" s="12"/>
    </row>
    <row r="516" spans="4:4" ht="12.75">
      <c r="D516" s="12"/>
    </row>
    <row r="517" spans="4:4" ht="12.75">
      <c r="D517" s="12"/>
    </row>
    <row r="518" spans="4:4" ht="12.75">
      <c r="D518" s="12"/>
    </row>
    <row r="519" spans="4:4" ht="12.75">
      <c r="D519" s="12"/>
    </row>
    <row r="520" spans="4:4" ht="12.75">
      <c r="D520" s="12"/>
    </row>
    <row r="521" spans="4:4" ht="12.75">
      <c r="D521" s="12"/>
    </row>
    <row r="522" spans="4:4" ht="12.75">
      <c r="D522" s="12"/>
    </row>
    <row r="523" spans="4:4" ht="12.75">
      <c r="D523" s="12"/>
    </row>
    <row r="524" spans="4:4" ht="12.75">
      <c r="D524" s="12"/>
    </row>
    <row r="525" spans="4:4" ht="12.75">
      <c r="D525" s="12"/>
    </row>
    <row r="526" spans="4:4" ht="12.75">
      <c r="D526" s="12"/>
    </row>
    <row r="527" spans="4:4" ht="12.75">
      <c r="D527" s="12"/>
    </row>
    <row r="528" spans="4:4" ht="12.75">
      <c r="D528" s="12"/>
    </row>
    <row r="529" spans="4:4" ht="12.75">
      <c r="D529" s="12"/>
    </row>
    <row r="530" spans="4:4" ht="12.75">
      <c r="D530" s="12"/>
    </row>
    <row r="531" spans="4:4" ht="12.75">
      <c r="D531" s="12"/>
    </row>
    <row r="532" spans="4:4" ht="12.75">
      <c r="D532" s="12"/>
    </row>
    <row r="533" spans="4:4" ht="12.75">
      <c r="D533" s="12"/>
    </row>
    <row r="534" spans="4:4" ht="12.75">
      <c r="D534" s="12"/>
    </row>
    <row r="535" spans="4:4" ht="12.75">
      <c r="D535" s="12"/>
    </row>
    <row r="536" spans="4:4" ht="12.75">
      <c r="D536" s="12"/>
    </row>
    <row r="537" spans="4:4" ht="12.75">
      <c r="D537" s="12"/>
    </row>
    <row r="538" spans="4:4" ht="12.75">
      <c r="D538" s="12"/>
    </row>
    <row r="539" spans="4:4" ht="12.75">
      <c r="D539" s="12"/>
    </row>
    <row r="540" spans="4:4" ht="12.75">
      <c r="D540" s="12"/>
    </row>
    <row r="541" spans="4:4" ht="12.75">
      <c r="D541" s="12"/>
    </row>
    <row r="542" spans="4:4" ht="12.75">
      <c r="D542" s="12"/>
    </row>
    <row r="543" spans="4:4" ht="12.75">
      <c r="D543" s="12"/>
    </row>
    <row r="544" spans="4:4" ht="12.75">
      <c r="D544" s="12"/>
    </row>
    <row r="545" spans="4:4" ht="12.75">
      <c r="D545" s="12"/>
    </row>
    <row r="546" spans="4:4" ht="12.75">
      <c r="D546" s="12"/>
    </row>
    <row r="547" spans="4:4" ht="12.75">
      <c r="D547" s="12"/>
    </row>
    <row r="548" spans="4:4" ht="12.75">
      <c r="D548" s="12"/>
    </row>
    <row r="549" spans="4:4" ht="12.75">
      <c r="D549" s="12"/>
    </row>
    <row r="550" spans="4:4" ht="12.75">
      <c r="D550" s="12"/>
    </row>
    <row r="551" spans="4:4" ht="12.75">
      <c r="D551" s="12"/>
    </row>
    <row r="552" spans="4:4" ht="12.75">
      <c r="D552" s="12"/>
    </row>
    <row r="553" spans="4:4" ht="12.75">
      <c r="D553" s="12"/>
    </row>
    <row r="554" spans="4:4" ht="12.75">
      <c r="D554" s="12"/>
    </row>
    <row r="555" spans="4:4" ht="12.75">
      <c r="D555" s="12"/>
    </row>
    <row r="556" spans="4:4" ht="12.75">
      <c r="D556" s="12"/>
    </row>
    <row r="557" spans="4:4" ht="12.75">
      <c r="D557" s="12"/>
    </row>
    <row r="558" spans="4:4" ht="12.75">
      <c r="D558" s="12"/>
    </row>
    <row r="559" spans="4:4" ht="12.75">
      <c r="D559" s="12"/>
    </row>
    <row r="560" spans="4:4" ht="12.75">
      <c r="D560" s="12"/>
    </row>
    <row r="561" spans="4:4" ht="12.75">
      <c r="D561" s="12"/>
    </row>
    <row r="562" spans="4:4" ht="12.75">
      <c r="D562" s="12"/>
    </row>
    <row r="563" spans="4:4" ht="12.75">
      <c r="D563" s="12"/>
    </row>
    <row r="564" spans="4:4" ht="12.75">
      <c r="D564" s="12"/>
    </row>
    <row r="565" spans="4:4" ht="12.75">
      <c r="D565" s="12"/>
    </row>
    <row r="566" spans="4:4" ht="12.75">
      <c r="D566" s="12"/>
    </row>
    <row r="567" spans="4:4" ht="12.75">
      <c r="D567" s="12"/>
    </row>
    <row r="568" spans="4:4" ht="12.75">
      <c r="D568" s="12"/>
    </row>
    <row r="569" spans="4:4" ht="12.75">
      <c r="D569" s="12"/>
    </row>
    <row r="570" spans="4:4" ht="12.75">
      <c r="D570" s="12"/>
    </row>
    <row r="571" spans="4:4" ht="12.75">
      <c r="D571" s="12"/>
    </row>
    <row r="572" spans="4:4" ht="12.75">
      <c r="D572" s="12"/>
    </row>
    <row r="573" spans="4:4" ht="12.75">
      <c r="D573" s="12"/>
    </row>
    <row r="574" spans="4:4" ht="12.75">
      <c r="D574" s="12"/>
    </row>
    <row r="575" spans="4:4" ht="12.75">
      <c r="D575" s="12"/>
    </row>
    <row r="576" spans="4:4" ht="12.75">
      <c r="D576" s="12"/>
    </row>
    <row r="577" spans="4:4" ht="12.75">
      <c r="D577" s="12"/>
    </row>
    <row r="578" spans="4:4" ht="12.75">
      <c r="D578" s="12"/>
    </row>
    <row r="579" spans="4:4" ht="12.75">
      <c r="D579" s="12"/>
    </row>
    <row r="580" spans="4:4" ht="12.75">
      <c r="D580" s="12"/>
    </row>
    <row r="581" spans="4:4" ht="12.75">
      <c r="D581" s="12"/>
    </row>
    <row r="582" spans="4:4" ht="12.75">
      <c r="D582" s="12"/>
    </row>
    <row r="583" spans="4:4" ht="12.75">
      <c r="D583" s="12"/>
    </row>
    <row r="584" spans="4:4" ht="12.75">
      <c r="D584" s="12"/>
    </row>
    <row r="585" spans="4:4" ht="12.75">
      <c r="D585" s="12"/>
    </row>
    <row r="586" spans="4:4" ht="12.75">
      <c r="D586" s="12"/>
    </row>
    <row r="587" spans="4:4" ht="12.75">
      <c r="D587" s="12"/>
    </row>
    <row r="588" spans="4:4" ht="12.75">
      <c r="D588" s="12"/>
    </row>
    <row r="589" spans="4:4" ht="12.75">
      <c r="D589" s="12"/>
    </row>
    <row r="590" spans="4:4" ht="12.75">
      <c r="D590" s="12"/>
    </row>
    <row r="591" spans="4:4" ht="12.75">
      <c r="D591" s="12"/>
    </row>
    <row r="592" spans="4:4" ht="12.75">
      <c r="D592" s="12"/>
    </row>
    <row r="593" spans="4:4" ht="12.75">
      <c r="D593" s="12"/>
    </row>
    <row r="594" spans="4:4" ht="12.75">
      <c r="D594" s="12"/>
    </row>
    <row r="595" spans="4:4" ht="12.75">
      <c r="D595" s="12"/>
    </row>
    <row r="596" spans="4:4" ht="12.75">
      <c r="D596" s="12"/>
    </row>
    <row r="597" spans="4:4" ht="12.75">
      <c r="D597" s="12"/>
    </row>
    <row r="598" spans="4:4" ht="12.75">
      <c r="D598" s="12"/>
    </row>
    <row r="599" spans="4:4" ht="12.75">
      <c r="D599" s="12"/>
    </row>
    <row r="600" spans="4:4" ht="12.75">
      <c r="D600" s="12"/>
    </row>
    <row r="601" spans="4:4" ht="12.75">
      <c r="D601" s="12"/>
    </row>
    <row r="602" spans="4:4" ht="12.75">
      <c r="D602" s="12"/>
    </row>
    <row r="603" spans="4:4" ht="12.75">
      <c r="D603" s="12"/>
    </row>
    <row r="604" spans="4:4" ht="12.75">
      <c r="D604" s="12"/>
    </row>
    <row r="605" spans="4:4" ht="12.75">
      <c r="D605" s="12"/>
    </row>
    <row r="606" spans="4:4" ht="12.75">
      <c r="D606" s="12"/>
    </row>
    <row r="607" spans="4:4" ht="12.75">
      <c r="D607" s="12"/>
    </row>
    <row r="608" spans="4:4" ht="12.75">
      <c r="D608" s="12"/>
    </row>
    <row r="609" spans="4:4" ht="12.75">
      <c r="D609" s="12"/>
    </row>
    <row r="610" spans="4:4" ht="12.75">
      <c r="D610" s="12"/>
    </row>
    <row r="611" spans="4:4" ht="12.75">
      <c r="D611" s="12"/>
    </row>
    <row r="612" spans="4:4" ht="12.75">
      <c r="D612" s="12"/>
    </row>
    <row r="613" spans="4:4" ht="12.75">
      <c r="D613" s="12"/>
    </row>
    <row r="614" spans="4:4" ht="12.75">
      <c r="D614" s="12"/>
    </row>
    <row r="615" spans="4:4" ht="12.75">
      <c r="D615" s="12"/>
    </row>
    <row r="616" spans="4:4" ht="12.75">
      <c r="D616" s="12"/>
    </row>
    <row r="617" spans="4:4" ht="12.75">
      <c r="D617" s="12"/>
    </row>
    <row r="618" spans="4:4" ht="12.75">
      <c r="D618" s="12"/>
    </row>
    <row r="619" spans="4:4" ht="12.75">
      <c r="D619" s="12"/>
    </row>
    <row r="620" spans="4:4" ht="12.75">
      <c r="D620" s="12"/>
    </row>
    <row r="621" spans="4:4" ht="12.75">
      <c r="D621" s="12"/>
    </row>
    <row r="622" spans="4:4" ht="12.75">
      <c r="D622" s="12"/>
    </row>
    <row r="623" spans="4:4" ht="12.75">
      <c r="D623" s="12"/>
    </row>
    <row r="624" spans="4:4" ht="12.75">
      <c r="D624" s="12"/>
    </row>
    <row r="625" spans="4:4" ht="12.75">
      <c r="D625" s="12"/>
    </row>
    <row r="626" spans="4:4" ht="12.75">
      <c r="D626" s="12"/>
    </row>
    <row r="627" spans="4:4" ht="12.75">
      <c r="D627" s="12"/>
    </row>
    <row r="628" spans="4:4" ht="12.75">
      <c r="D628" s="12"/>
    </row>
    <row r="629" spans="4:4" ht="12.75">
      <c r="D629" s="12"/>
    </row>
    <row r="630" spans="4:4" ht="12.75">
      <c r="D630" s="12"/>
    </row>
    <row r="631" spans="4:4" ht="12.75">
      <c r="D631" s="12"/>
    </row>
    <row r="632" spans="4:4" ht="12.75">
      <c r="D632" s="12"/>
    </row>
    <row r="633" spans="4:4" ht="12.75">
      <c r="D633" s="12"/>
    </row>
    <row r="634" spans="4:4" ht="12.75">
      <c r="D634" s="12"/>
    </row>
    <row r="635" spans="4:4" ht="12.75">
      <c r="D635" s="12"/>
    </row>
    <row r="636" spans="4:4" ht="12.75">
      <c r="D636" s="12"/>
    </row>
    <row r="637" spans="4:4" ht="12.75">
      <c r="D637" s="12"/>
    </row>
    <row r="638" spans="4:4" ht="12.75">
      <c r="D638" s="12"/>
    </row>
    <row r="639" spans="4:4" ht="12.75">
      <c r="D639" s="12"/>
    </row>
    <row r="640" spans="4:4" ht="12.75">
      <c r="D640" s="12"/>
    </row>
    <row r="641" spans="4:4" ht="12.75">
      <c r="D641" s="12"/>
    </row>
    <row r="642" spans="4:4" ht="12.75">
      <c r="D642" s="12"/>
    </row>
    <row r="643" spans="4:4" ht="12.75">
      <c r="D643" s="12"/>
    </row>
    <row r="644" spans="4:4" ht="12.75">
      <c r="D644" s="12"/>
    </row>
    <row r="645" spans="4:4" ht="12.75">
      <c r="D645" s="12"/>
    </row>
    <row r="646" spans="4:4" ht="12.75">
      <c r="D646" s="12"/>
    </row>
    <row r="647" spans="4:4" ht="12.75">
      <c r="D647" s="12"/>
    </row>
    <row r="648" spans="4:4" ht="12.75">
      <c r="D648" s="12"/>
    </row>
    <row r="649" spans="4:4" ht="12.75">
      <c r="D649" s="12"/>
    </row>
    <row r="650" spans="4:4" ht="12.75">
      <c r="D650" s="12"/>
    </row>
    <row r="651" spans="4:4" ht="12.75">
      <c r="D651" s="12"/>
    </row>
    <row r="652" spans="4:4" ht="12.75">
      <c r="D652" s="12"/>
    </row>
    <row r="653" spans="4:4" ht="12.75">
      <c r="D653" s="12"/>
    </row>
    <row r="654" spans="4:4" ht="12.75">
      <c r="D654" s="12"/>
    </row>
    <row r="655" spans="4:4" ht="12.75">
      <c r="D655" s="12"/>
    </row>
    <row r="656" spans="4:4" ht="12.75">
      <c r="D656" s="12"/>
    </row>
    <row r="657" spans="4:4" ht="12.75">
      <c r="D657" s="12"/>
    </row>
    <row r="658" spans="4:4" ht="12.75">
      <c r="D658" s="12"/>
    </row>
    <row r="659" spans="4:4" ht="12.75">
      <c r="D659" s="12"/>
    </row>
    <row r="660" spans="4:4" ht="12.75">
      <c r="D660" s="12"/>
    </row>
    <row r="661" spans="4:4" ht="12.75">
      <c r="D661" s="12"/>
    </row>
    <row r="662" spans="4:4" ht="12.75">
      <c r="D662" s="12"/>
    </row>
    <row r="663" spans="4:4" ht="12.75">
      <c r="D663" s="12"/>
    </row>
    <row r="664" spans="4:4" ht="12.75">
      <c r="D664" s="12"/>
    </row>
    <row r="665" spans="4:4" ht="12.75">
      <c r="D665" s="12"/>
    </row>
    <row r="666" spans="4:4" ht="12.75">
      <c r="D666" s="12"/>
    </row>
    <row r="667" spans="4:4" ht="12.75">
      <c r="D667" s="12"/>
    </row>
    <row r="668" spans="4:4" ht="12.75">
      <c r="D668" s="12"/>
    </row>
    <row r="669" spans="4:4" ht="12.75">
      <c r="D669" s="12"/>
    </row>
    <row r="670" spans="4:4" ht="12.75">
      <c r="D670" s="12"/>
    </row>
    <row r="671" spans="4:4" ht="12.75">
      <c r="D671" s="12"/>
    </row>
    <row r="672" spans="4:4" ht="12.75">
      <c r="D672" s="12"/>
    </row>
    <row r="673" spans="4:4" ht="12.75">
      <c r="D673" s="12"/>
    </row>
    <row r="674" spans="4:4" ht="12.75">
      <c r="D674" s="12"/>
    </row>
    <row r="675" spans="4:4" ht="12.75">
      <c r="D675" s="12"/>
    </row>
    <row r="676" spans="4:4" ht="12.75">
      <c r="D676" s="12"/>
    </row>
    <row r="677" spans="4:4" ht="12.75">
      <c r="D677" s="12"/>
    </row>
    <row r="678" spans="4:4" ht="12.75">
      <c r="D678" s="12"/>
    </row>
    <row r="679" spans="4:4" ht="12.75">
      <c r="D679" s="12"/>
    </row>
    <row r="680" spans="4:4" ht="12.75">
      <c r="D680" s="12"/>
    </row>
    <row r="681" spans="4:4" ht="12.75">
      <c r="D681" s="12"/>
    </row>
    <row r="682" spans="4:4" ht="12.75">
      <c r="D682" s="12"/>
    </row>
    <row r="683" spans="4:4" ht="12.75">
      <c r="D683" s="12"/>
    </row>
    <row r="684" spans="4:4" ht="12.75">
      <c r="D684" s="12"/>
    </row>
    <row r="685" spans="4:4" ht="12.75">
      <c r="D685" s="12"/>
    </row>
    <row r="686" spans="4:4" ht="12.75">
      <c r="D686" s="12"/>
    </row>
    <row r="687" spans="4:4" ht="12.75">
      <c r="D687" s="12"/>
    </row>
    <row r="688" spans="4:4" ht="12.75">
      <c r="D688" s="12"/>
    </row>
    <row r="689" spans="4:4" ht="12.75">
      <c r="D689" s="12"/>
    </row>
    <row r="690" spans="4:4" ht="12.75">
      <c r="D690" s="12"/>
    </row>
    <row r="691" spans="4:4" ht="12.75">
      <c r="D691" s="12"/>
    </row>
    <row r="692" spans="4:4" ht="12.75">
      <c r="D692" s="12"/>
    </row>
    <row r="693" spans="4:4" ht="12.75">
      <c r="D693" s="12"/>
    </row>
    <row r="694" spans="4:4" ht="12.75">
      <c r="D694" s="12"/>
    </row>
    <row r="695" spans="4:4" ht="12.75">
      <c r="D695" s="12"/>
    </row>
    <row r="696" spans="4:4" ht="12.75">
      <c r="D696" s="12"/>
    </row>
    <row r="697" spans="4:4" ht="12.75">
      <c r="D697" s="12"/>
    </row>
    <row r="698" spans="4:4" ht="12.75">
      <c r="D698" s="12"/>
    </row>
    <row r="699" spans="4:4" ht="12.75">
      <c r="D699" s="12"/>
    </row>
    <row r="700" spans="4:4" ht="12.75">
      <c r="D700" s="12"/>
    </row>
    <row r="701" spans="4:4" ht="12.75">
      <c r="D701" s="12"/>
    </row>
    <row r="702" spans="4:4" ht="12.75">
      <c r="D702" s="12"/>
    </row>
    <row r="703" spans="4:4" ht="12.75">
      <c r="D703" s="12"/>
    </row>
    <row r="704" spans="4:4" ht="12.75">
      <c r="D704" s="12"/>
    </row>
    <row r="705" spans="4:4" ht="12.75">
      <c r="D705" s="12"/>
    </row>
    <row r="706" spans="4:4" ht="12.75">
      <c r="D706" s="12"/>
    </row>
    <row r="707" spans="4:4" ht="12.75">
      <c r="D707" s="12"/>
    </row>
    <row r="708" spans="4:4" ht="12.75">
      <c r="D708" s="12"/>
    </row>
    <row r="709" spans="4:4" ht="12.75">
      <c r="D709" s="12"/>
    </row>
    <row r="710" spans="4:4" ht="12.75">
      <c r="D710" s="12"/>
    </row>
    <row r="711" spans="4:4" ht="12.75">
      <c r="D711" s="12"/>
    </row>
    <row r="712" spans="4:4" ht="12.75">
      <c r="D712" s="12"/>
    </row>
    <row r="713" spans="4:4" ht="12.75">
      <c r="D713" s="12"/>
    </row>
    <row r="714" spans="4:4" ht="12.75">
      <c r="D714" s="12"/>
    </row>
    <row r="715" spans="4:4" ht="12.75">
      <c r="D715" s="12"/>
    </row>
    <row r="716" spans="4:4" ht="12.75">
      <c r="D716" s="12"/>
    </row>
    <row r="717" spans="4:4" ht="12.75">
      <c r="D717" s="12"/>
    </row>
    <row r="718" spans="4:4" ht="12.75">
      <c r="D718" s="12"/>
    </row>
    <row r="719" spans="4:4" ht="12.75">
      <c r="D719" s="12"/>
    </row>
    <row r="720" spans="4:4" ht="12.75">
      <c r="D720" s="12"/>
    </row>
    <row r="721" spans="4:4" ht="12.75">
      <c r="D721" s="12"/>
    </row>
    <row r="722" spans="4:4" ht="12.75">
      <c r="D722" s="12"/>
    </row>
    <row r="723" spans="4:4" ht="12.75">
      <c r="D723" s="12"/>
    </row>
    <row r="724" spans="4:4" ht="12.75">
      <c r="D724" s="12"/>
    </row>
    <row r="725" spans="4:4" ht="12.75">
      <c r="D725" s="12"/>
    </row>
    <row r="726" spans="4:4" ht="12.75">
      <c r="D726" s="12"/>
    </row>
    <row r="727" spans="4:4" ht="12.75">
      <c r="D727" s="12"/>
    </row>
    <row r="728" spans="4:4" ht="12.75">
      <c r="D728" s="12"/>
    </row>
    <row r="729" spans="4:4" ht="12.75">
      <c r="D729" s="12"/>
    </row>
    <row r="730" spans="4:4" ht="12.75">
      <c r="D730" s="12"/>
    </row>
    <row r="731" spans="4:4" ht="12.75">
      <c r="D731" s="12"/>
    </row>
    <row r="732" spans="4:4" ht="12.75">
      <c r="D732" s="12"/>
    </row>
    <row r="733" spans="4:4" ht="12.75">
      <c r="D733" s="12"/>
    </row>
    <row r="734" spans="4:4" ht="12.75">
      <c r="D734" s="12"/>
    </row>
    <row r="735" spans="4:4" ht="12.75">
      <c r="D735" s="12"/>
    </row>
    <row r="736" spans="4:4" ht="12.75">
      <c r="D736" s="12"/>
    </row>
    <row r="737" spans="4:4" ht="12.75">
      <c r="D737" s="12"/>
    </row>
    <row r="738" spans="4:4" ht="12.75">
      <c r="D738" s="12"/>
    </row>
    <row r="739" spans="4:4" ht="12.75">
      <c r="D739" s="12"/>
    </row>
    <row r="740" spans="4:4" ht="12.75">
      <c r="D740" s="12"/>
    </row>
    <row r="741" spans="4:4" ht="12.75">
      <c r="D741" s="12"/>
    </row>
    <row r="742" spans="4:4" ht="12.75">
      <c r="D742" s="12"/>
    </row>
    <row r="743" spans="4:4" ht="12.75">
      <c r="D743" s="12"/>
    </row>
    <row r="744" spans="4:4" ht="12.75">
      <c r="D744" s="12"/>
    </row>
    <row r="745" spans="4:4" ht="12.75">
      <c r="D745" s="12"/>
    </row>
    <row r="746" spans="4:4" ht="12.75">
      <c r="D746" s="12"/>
    </row>
    <row r="747" spans="4:4" ht="12.75">
      <c r="D747" s="12"/>
    </row>
    <row r="748" spans="4:4" ht="12.75">
      <c r="D748" s="12"/>
    </row>
    <row r="749" spans="4:4" ht="12.75">
      <c r="D749" s="12"/>
    </row>
    <row r="750" spans="4:4" ht="12.75">
      <c r="D750" s="12"/>
    </row>
    <row r="751" spans="4:4" ht="12.75">
      <c r="D751" s="12"/>
    </row>
    <row r="752" spans="4:4" ht="12.75">
      <c r="D752" s="12"/>
    </row>
    <row r="753" spans="4:4" ht="12.75">
      <c r="D753" s="12"/>
    </row>
    <row r="754" spans="4:4" ht="12.75">
      <c r="D754" s="12"/>
    </row>
    <row r="755" spans="4:4" ht="12.75">
      <c r="D755" s="12"/>
    </row>
    <row r="756" spans="4:4" ht="12.75">
      <c r="D756" s="12"/>
    </row>
    <row r="757" spans="4:4" ht="12.75">
      <c r="D757" s="12"/>
    </row>
    <row r="758" spans="4:4" ht="12.75">
      <c r="D758" s="12"/>
    </row>
    <row r="759" spans="4:4" ht="12.75">
      <c r="D759" s="12"/>
    </row>
    <row r="760" spans="4:4" ht="12.75">
      <c r="D760" s="12"/>
    </row>
    <row r="761" spans="4:4" ht="12.75">
      <c r="D761" s="12"/>
    </row>
    <row r="762" spans="4:4" ht="12.75">
      <c r="D762" s="12"/>
    </row>
    <row r="763" spans="4:4" ht="12.75">
      <c r="D763" s="12"/>
    </row>
    <row r="764" spans="4:4" ht="12.75">
      <c r="D764" s="12"/>
    </row>
    <row r="765" spans="4:4" ht="12.75">
      <c r="D765" s="12"/>
    </row>
    <row r="766" spans="4:4" ht="12.75">
      <c r="D766" s="12"/>
    </row>
    <row r="767" spans="4:4" ht="12.75">
      <c r="D767" s="12"/>
    </row>
    <row r="768" spans="4:4" ht="12.75">
      <c r="D768" s="12"/>
    </row>
    <row r="769" spans="4:4" ht="12.75">
      <c r="D769" s="12"/>
    </row>
    <row r="770" spans="4:4" ht="12.75">
      <c r="D770" s="12"/>
    </row>
    <row r="771" spans="4:4" ht="12.75">
      <c r="D771" s="12"/>
    </row>
    <row r="772" spans="4:4" ht="12.75">
      <c r="D772" s="12"/>
    </row>
    <row r="773" spans="4:4" ht="12.75">
      <c r="D773" s="12"/>
    </row>
    <row r="774" spans="4:4" ht="12.75">
      <c r="D774" s="12"/>
    </row>
    <row r="775" spans="4:4" ht="12.75">
      <c r="D775" s="12"/>
    </row>
    <row r="776" spans="4:4" ht="12.75">
      <c r="D776" s="12"/>
    </row>
    <row r="777" spans="4:4" ht="12.75">
      <c r="D777" s="12"/>
    </row>
    <row r="778" spans="4:4" ht="12.75">
      <c r="D778" s="12"/>
    </row>
    <row r="779" spans="4:4" ht="12.75">
      <c r="D779" s="12"/>
    </row>
    <row r="780" spans="4:4" ht="12.75">
      <c r="D780" s="12"/>
    </row>
    <row r="781" spans="4:4" ht="12.75">
      <c r="D781" s="12"/>
    </row>
    <row r="782" spans="4:4" ht="12.75">
      <c r="D782" s="12"/>
    </row>
    <row r="783" spans="4:4" ht="12.75">
      <c r="D783" s="12"/>
    </row>
    <row r="784" spans="4:4" ht="12.75">
      <c r="D784" s="12"/>
    </row>
    <row r="785" spans="4:4" ht="12.75">
      <c r="D785" s="12"/>
    </row>
    <row r="786" spans="4:4" ht="12.75">
      <c r="D786" s="12"/>
    </row>
    <row r="787" spans="4:4" ht="12.75">
      <c r="D787" s="12"/>
    </row>
    <row r="788" spans="4:4" ht="12.75">
      <c r="D788" s="12"/>
    </row>
    <row r="789" spans="4:4" ht="12.75">
      <c r="D789" s="12"/>
    </row>
    <row r="790" spans="4:4" ht="12.75">
      <c r="D790" s="12"/>
    </row>
    <row r="791" spans="4:4" ht="12.75">
      <c r="D791" s="12"/>
    </row>
    <row r="792" spans="4:4" ht="12.75">
      <c r="D792" s="12"/>
    </row>
    <row r="793" spans="4:4" ht="12.75">
      <c r="D793" s="12"/>
    </row>
    <row r="794" spans="4:4" ht="12.75">
      <c r="D794" s="12"/>
    </row>
    <row r="795" spans="4:4" ht="12.75">
      <c r="D795" s="12"/>
    </row>
    <row r="796" spans="4:4" ht="12.75">
      <c r="D796" s="12"/>
    </row>
    <row r="797" spans="4:4" ht="12.75">
      <c r="D797" s="12"/>
    </row>
    <row r="798" spans="4:4" ht="12.75">
      <c r="D798" s="12"/>
    </row>
    <row r="799" spans="4:4" ht="12.75">
      <c r="D799" s="12"/>
    </row>
    <row r="800" spans="4:4" ht="12.75">
      <c r="D800" s="12"/>
    </row>
    <row r="801" spans="4:4" ht="12.75">
      <c r="D801" s="12"/>
    </row>
    <row r="802" spans="4:4" ht="12.75">
      <c r="D802" s="12"/>
    </row>
    <row r="803" spans="4:4" ht="12.75">
      <c r="D803" s="12"/>
    </row>
    <row r="804" spans="4:4" ht="12.75">
      <c r="D804" s="12"/>
    </row>
    <row r="805" spans="4:4" ht="12.75">
      <c r="D805" s="12"/>
    </row>
    <row r="806" spans="4:4" ht="12.75">
      <c r="D806" s="12"/>
    </row>
    <row r="807" spans="4:4" ht="12.75">
      <c r="D807" s="12"/>
    </row>
    <row r="808" spans="4:4" ht="12.75">
      <c r="D808" s="12"/>
    </row>
    <row r="809" spans="4:4" ht="12.75">
      <c r="D809" s="12"/>
    </row>
    <row r="810" spans="4:4" ht="12.75">
      <c r="D810" s="12"/>
    </row>
    <row r="811" spans="4:4" ht="12.75">
      <c r="D811" s="12"/>
    </row>
    <row r="812" spans="4:4" ht="12.75">
      <c r="D812" s="12"/>
    </row>
    <row r="813" spans="4:4" ht="12.75">
      <c r="D813" s="12"/>
    </row>
    <row r="814" spans="4:4" ht="12.75">
      <c r="D814" s="12"/>
    </row>
    <row r="815" spans="4:4" ht="12.75">
      <c r="D815" s="12"/>
    </row>
    <row r="816" spans="4:4" ht="12.75">
      <c r="D816" s="12"/>
    </row>
    <row r="817" spans="4:4" ht="12.75">
      <c r="D817" s="12"/>
    </row>
    <row r="818" spans="4:4" ht="12.75">
      <c r="D818" s="12"/>
    </row>
    <row r="819" spans="4:4" ht="12.75">
      <c r="D819" s="12"/>
    </row>
    <row r="820" spans="4:4" ht="12.75">
      <c r="D820" s="12"/>
    </row>
    <row r="821" spans="4:4" ht="12.75">
      <c r="D821" s="12"/>
    </row>
    <row r="822" spans="4:4" ht="12.75">
      <c r="D822" s="12"/>
    </row>
    <row r="823" spans="4:4" ht="12.75">
      <c r="D823" s="12"/>
    </row>
    <row r="824" spans="4:4" ht="12.75">
      <c r="D824" s="12"/>
    </row>
    <row r="825" spans="4:4" ht="12.75">
      <c r="D825" s="12"/>
    </row>
    <row r="826" spans="4:4" ht="12.75">
      <c r="D826" s="12"/>
    </row>
    <row r="827" spans="4:4" ht="12.75">
      <c r="D827" s="12"/>
    </row>
    <row r="828" spans="4:4" ht="12.75">
      <c r="D828" s="12"/>
    </row>
    <row r="829" spans="4:4" ht="12.75">
      <c r="D829" s="12"/>
    </row>
    <row r="830" spans="4:4" ht="12.75">
      <c r="D830" s="12"/>
    </row>
    <row r="831" spans="4:4" ht="12.75">
      <c r="D831" s="12"/>
    </row>
    <row r="832" spans="4:4" ht="12.75">
      <c r="D832" s="12"/>
    </row>
    <row r="833" spans="4:4" ht="12.75">
      <c r="D833" s="12"/>
    </row>
    <row r="834" spans="4:4" ht="12.75">
      <c r="D834" s="12"/>
    </row>
    <row r="835" spans="4:4" ht="12.75">
      <c r="D835" s="12"/>
    </row>
    <row r="836" spans="4:4" ht="12.75">
      <c r="D836" s="12"/>
    </row>
    <row r="837" spans="4:4" ht="12.75">
      <c r="D837" s="12"/>
    </row>
    <row r="838" spans="4:4" ht="12.75">
      <c r="D838" s="12"/>
    </row>
    <row r="839" spans="4:4" ht="12.75">
      <c r="D839" s="12"/>
    </row>
    <row r="840" spans="4:4" ht="12.75">
      <c r="D840" s="12"/>
    </row>
    <row r="841" spans="4:4" ht="12.75">
      <c r="D841" s="12"/>
    </row>
    <row r="842" spans="4:4" ht="12.75">
      <c r="D842" s="12"/>
    </row>
    <row r="843" spans="4:4" ht="12.75">
      <c r="D843" s="12"/>
    </row>
    <row r="844" spans="4:4" ht="12.75">
      <c r="D844" s="12"/>
    </row>
    <row r="845" spans="4:4" ht="12.75">
      <c r="D845" s="12"/>
    </row>
    <row r="846" spans="4:4" ht="12.75">
      <c r="D846" s="12"/>
    </row>
    <row r="847" spans="4:4" ht="12.75">
      <c r="D847" s="12"/>
    </row>
    <row r="848" spans="4:4" ht="12.75">
      <c r="D848" s="12"/>
    </row>
    <row r="849" spans="4:4" ht="12.75">
      <c r="D849" s="12"/>
    </row>
    <row r="850" spans="4:4" ht="12.75">
      <c r="D850" s="12"/>
    </row>
    <row r="851" spans="4:4" ht="12.75">
      <c r="D851" s="12"/>
    </row>
    <row r="852" spans="4:4" ht="12.75">
      <c r="D852" s="12"/>
    </row>
    <row r="853" spans="4:4" ht="12.75">
      <c r="D853" s="12"/>
    </row>
    <row r="854" spans="4:4" ht="12.75">
      <c r="D854" s="12"/>
    </row>
    <row r="855" spans="4:4" ht="12.75">
      <c r="D855" s="12"/>
    </row>
    <row r="856" spans="4:4" ht="12.75">
      <c r="D856" s="12"/>
    </row>
    <row r="857" spans="4:4" ht="12.75">
      <c r="D857" s="12"/>
    </row>
    <row r="858" spans="4:4" ht="12.75">
      <c r="D858" s="12"/>
    </row>
    <row r="859" spans="4:4" ht="12.75">
      <c r="D859" s="12"/>
    </row>
    <row r="860" spans="4:4" ht="12.75">
      <c r="D860" s="12"/>
    </row>
    <row r="861" spans="4:4" ht="12.75">
      <c r="D861" s="12"/>
    </row>
    <row r="862" spans="4:4" ht="12.75">
      <c r="D862" s="12"/>
    </row>
    <row r="863" spans="4:4" ht="12.75">
      <c r="D863" s="12"/>
    </row>
    <row r="864" spans="4:4" ht="12.75">
      <c r="D864" s="12"/>
    </row>
    <row r="865" spans="4:4" ht="12.75">
      <c r="D865" s="12"/>
    </row>
    <row r="866" spans="4:4" ht="12.75">
      <c r="D866" s="12"/>
    </row>
    <row r="867" spans="4:4" ht="12.75">
      <c r="D867" s="12"/>
    </row>
    <row r="868" spans="4:4" ht="12.75">
      <c r="D868" s="12"/>
    </row>
    <row r="869" spans="4:4" ht="12.75">
      <c r="D869" s="12"/>
    </row>
    <row r="870" spans="4:4" ht="12.75">
      <c r="D870" s="12"/>
    </row>
    <row r="871" spans="4:4" ht="12.75">
      <c r="D871" s="12"/>
    </row>
    <row r="872" spans="4:4" ht="12.75">
      <c r="D872" s="12"/>
    </row>
    <row r="873" spans="4:4" ht="12.75">
      <c r="D873" s="12"/>
    </row>
    <row r="874" spans="4:4" ht="12.75">
      <c r="D874" s="12"/>
    </row>
    <row r="875" spans="4:4" ht="12.75">
      <c r="D875" s="12"/>
    </row>
    <row r="876" spans="4:4" ht="12.75">
      <c r="D876" s="12"/>
    </row>
    <row r="877" spans="4:4" ht="12.75">
      <c r="D877" s="12"/>
    </row>
    <row r="878" spans="4:4" ht="12.75">
      <c r="D878" s="12"/>
    </row>
    <row r="879" spans="4:4" ht="12.75">
      <c r="D879" s="12"/>
    </row>
    <row r="880" spans="4:4" ht="12.75">
      <c r="D880" s="12"/>
    </row>
    <row r="881" spans="4:4" ht="12.75">
      <c r="D881" s="12"/>
    </row>
    <row r="882" spans="4:4" ht="12.75">
      <c r="D882" s="12"/>
    </row>
    <row r="883" spans="4:4" ht="12.75">
      <c r="D883" s="12"/>
    </row>
    <row r="884" spans="4:4" ht="12.75">
      <c r="D884" s="12"/>
    </row>
    <row r="885" spans="4:4" ht="12.75">
      <c r="D885" s="12"/>
    </row>
    <row r="886" spans="4:4" ht="12.75">
      <c r="D886" s="12"/>
    </row>
    <row r="887" spans="4:4" ht="12.75">
      <c r="D887" s="12"/>
    </row>
    <row r="888" spans="4:4" ht="12.75">
      <c r="D888" s="12"/>
    </row>
    <row r="889" spans="4:4" ht="12.75">
      <c r="D889" s="12"/>
    </row>
    <row r="890" spans="4:4" ht="12.75">
      <c r="D890" s="12"/>
    </row>
    <row r="891" spans="4:4" ht="12.75">
      <c r="D891" s="12"/>
    </row>
    <row r="892" spans="4:4" ht="12.75">
      <c r="D892" s="12"/>
    </row>
    <row r="893" spans="4:4" ht="12.75">
      <c r="D893" s="12"/>
    </row>
    <row r="894" spans="4:4" ht="12.75">
      <c r="D894" s="12"/>
    </row>
    <row r="895" spans="4:4" ht="12.75">
      <c r="D895" s="12"/>
    </row>
    <row r="896" spans="4:4" ht="12.75">
      <c r="D896" s="12"/>
    </row>
    <row r="897" spans="4:4" ht="12.75">
      <c r="D897" s="12"/>
    </row>
    <row r="898" spans="4:4" ht="12.75">
      <c r="D898" s="12"/>
    </row>
    <row r="899" spans="4:4" ht="12.75">
      <c r="D899" s="12"/>
    </row>
    <row r="900" spans="4:4" ht="12.75">
      <c r="D900" s="12"/>
    </row>
    <row r="901" spans="4:4" ht="12.75">
      <c r="D901" s="12"/>
    </row>
    <row r="902" spans="4:4" ht="12.75">
      <c r="D902" s="12"/>
    </row>
    <row r="903" spans="4:4" ht="12.75">
      <c r="D903" s="12"/>
    </row>
    <row r="904" spans="4:4" ht="12.75">
      <c r="D904" s="12"/>
    </row>
    <row r="905" spans="4:4" ht="12.75">
      <c r="D905" s="12"/>
    </row>
    <row r="906" spans="4:4" ht="12.75">
      <c r="D906" s="12"/>
    </row>
    <row r="907" spans="4:4" ht="12.75">
      <c r="D907" s="12"/>
    </row>
    <row r="908" spans="4:4" ht="12.75">
      <c r="D908" s="12"/>
    </row>
    <row r="909" spans="4:4" ht="12.75">
      <c r="D909" s="12"/>
    </row>
    <row r="910" spans="4:4" ht="12.75">
      <c r="D910" s="12"/>
    </row>
    <row r="911" spans="4:4" ht="12.75">
      <c r="D911" s="12"/>
    </row>
    <row r="912" spans="4:4" ht="12.75">
      <c r="D912" s="12"/>
    </row>
    <row r="913" spans="4:4" ht="12.75">
      <c r="D913" s="12"/>
    </row>
    <row r="914" spans="4:4" ht="12.75">
      <c r="D914" s="12"/>
    </row>
    <row r="915" spans="4:4" ht="12.75">
      <c r="D915" s="12"/>
    </row>
    <row r="916" spans="4:4" ht="12.75">
      <c r="D916" s="12"/>
    </row>
    <row r="917" spans="4:4" ht="12.75">
      <c r="D917" s="12"/>
    </row>
    <row r="918" spans="4:4" ht="12.75">
      <c r="D918" s="12"/>
    </row>
    <row r="919" spans="4:4" ht="12.75">
      <c r="D919" s="12"/>
    </row>
    <row r="920" spans="4:4" ht="12.75">
      <c r="D920" s="12"/>
    </row>
    <row r="921" spans="4:4" ht="12.75">
      <c r="D921" s="12"/>
    </row>
    <row r="922" spans="4:4" ht="12.75">
      <c r="D922" s="12"/>
    </row>
    <row r="923" spans="4:4" ht="12.75">
      <c r="D923" s="12"/>
    </row>
    <row r="924" spans="4:4" ht="12.75">
      <c r="D924" s="12"/>
    </row>
    <row r="925" spans="4:4" ht="12.75">
      <c r="D925" s="12"/>
    </row>
    <row r="926" spans="4:4" ht="12.75">
      <c r="D926" s="12"/>
    </row>
    <row r="927" spans="4:4" ht="12.75">
      <c r="D927" s="12"/>
    </row>
    <row r="928" spans="4:4" ht="12.75">
      <c r="D928" s="12"/>
    </row>
    <row r="929" spans="4:4" ht="12.75">
      <c r="D929" s="12"/>
    </row>
    <row r="930" spans="4:4" ht="12.75">
      <c r="D930" s="12"/>
    </row>
    <row r="931" spans="4:4" ht="12.75">
      <c r="D931" s="12"/>
    </row>
    <row r="932" spans="4:4" ht="12.75">
      <c r="D932" s="12"/>
    </row>
    <row r="933" spans="4:4" ht="12.75">
      <c r="D933" s="12"/>
    </row>
    <row r="934" spans="4:4" ht="12.75">
      <c r="D934" s="12"/>
    </row>
    <row r="935" spans="4:4" ht="12.75">
      <c r="D935" s="12"/>
    </row>
    <row r="936" spans="4:4" ht="12.75">
      <c r="D936" s="12"/>
    </row>
    <row r="937" spans="4:4" ht="12.75">
      <c r="D937" s="12"/>
    </row>
    <row r="938" spans="4:4" ht="12.75">
      <c r="D938" s="12"/>
    </row>
    <row r="939" spans="4:4" ht="12.75">
      <c r="D939" s="12"/>
    </row>
    <row r="940" spans="4:4" ht="12.75">
      <c r="D940" s="12"/>
    </row>
    <row r="941" spans="4:4" ht="12.75">
      <c r="D941" s="12"/>
    </row>
    <row r="942" spans="4:4" ht="12.75">
      <c r="D942" s="12"/>
    </row>
    <row r="943" spans="4:4" ht="12.75">
      <c r="D943" s="12"/>
    </row>
    <row r="944" spans="4:4" ht="12.75">
      <c r="D944" s="12"/>
    </row>
    <row r="945" spans="4:4" ht="12.75">
      <c r="D945" s="12"/>
    </row>
    <row r="946" spans="4:4" ht="12.75">
      <c r="D946" s="12"/>
    </row>
    <row r="947" spans="4:4" ht="12.75">
      <c r="D947" s="12"/>
    </row>
    <row r="948" spans="4:4" ht="12.75">
      <c r="D948" s="12"/>
    </row>
    <row r="949" spans="4:4" ht="12.75">
      <c r="D949" s="12"/>
    </row>
    <row r="950" spans="4:4" ht="12.75">
      <c r="D950" s="12"/>
    </row>
    <row r="951" spans="4:4" ht="12.75">
      <c r="D951" s="12"/>
    </row>
    <row r="952" spans="4:4" ht="12.75">
      <c r="D952" s="12"/>
    </row>
    <row r="953" spans="4:4" ht="12.75">
      <c r="D953" s="12"/>
    </row>
    <row r="954" spans="4:4" ht="12.75">
      <c r="D954" s="12"/>
    </row>
    <row r="955" spans="4:4" ht="12.75">
      <c r="D955" s="12"/>
    </row>
    <row r="956" spans="4:4" ht="12.75">
      <c r="D956" s="12"/>
    </row>
    <row r="957" spans="4:4" ht="12.75">
      <c r="D957" s="12"/>
    </row>
    <row r="958" spans="4:4" ht="12.75">
      <c r="D958" s="12"/>
    </row>
    <row r="959" spans="4:4" ht="12.75">
      <c r="D959" s="12"/>
    </row>
    <row r="960" spans="4:4" ht="12.75">
      <c r="D960" s="12"/>
    </row>
    <row r="961" spans="4:4" ht="12.75">
      <c r="D961" s="12"/>
    </row>
    <row r="962" spans="4:4" ht="12.75">
      <c r="D962" s="12"/>
    </row>
    <row r="963" spans="4:4" ht="12.75">
      <c r="D963" s="12"/>
    </row>
    <row r="964" spans="4:4" ht="12.75">
      <c r="D964" s="12"/>
    </row>
    <row r="965" spans="4:4" ht="12.75">
      <c r="D965" s="12"/>
    </row>
    <row r="966" spans="4:4" ht="12.75">
      <c r="D966" s="12"/>
    </row>
    <row r="967" spans="4:4" ht="12.75">
      <c r="D967" s="12"/>
    </row>
    <row r="968" spans="4:4" ht="12.75">
      <c r="D968" s="12"/>
    </row>
    <row r="969" spans="4:4" ht="12.75">
      <c r="D969" s="12"/>
    </row>
    <row r="970" spans="4:4" ht="12.75">
      <c r="D970" s="12"/>
    </row>
    <row r="971" spans="4:4" ht="12.75">
      <c r="D971" s="12"/>
    </row>
    <row r="972" spans="4:4" ht="12.75">
      <c r="D972" s="12"/>
    </row>
    <row r="973" spans="4:4" ht="12.75">
      <c r="D973" s="12"/>
    </row>
    <row r="974" spans="4:4" ht="12.75">
      <c r="D974" s="12"/>
    </row>
    <row r="975" spans="4:4" ht="12.75">
      <c r="D975" s="12"/>
    </row>
    <row r="976" spans="4:4" ht="12.75">
      <c r="D976" s="12"/>
    </row>
    <row r="977" spans="4:4" ht="12.75">
      <c r="D977" s="12"/>
    </row>
    <row r="978" spans="4:4" ht="12.75">
      <c r="D978" s="12"/>
    </row>
    <row r="979" spans="4:4" ht="12.75">
      <c r="D979" s="12"/>
    </row>
    <row r="980" spans="4:4" ht="12.75">
      <c r="D980" s="12"/>
    </row>
    <row r="981" spans="4:4" ht="12.75">
      <c r="D981" s="12"/>
    </row>
    <row r="982" spans="4:4" ht="12.75">
      <c r="D982" s="12"/>
    </row>
    <row r="983" spans="4:4" ht="12.75">
      <c r="D983" s="12"/>
    </row>
    <row r="984" spans="4:4" ht="12.75">
      <c r="D984" s="12"/>
    </row>
    <row r="985" spans="4:4" ht="12.75">
      <c r="D985" s="12"/>
    </row>
    <row r="986" spans="4:4" ht="12.75">
      <c r="D986" s="12"/>
    </row>
    <row r="987" spans="4:4" ht="12.75">
      <c r="D987" s="12"/>
    </row>
    <row r="988" spans="4:4" ht="12.75">
      <c r="D988" s="12"/>
    </row>
    <row r="989" spans="4:4" ht="12.75">
      <c r="D989" s="12"/>
    </row>
    <row r="990" spans="4:4" ht="12.75">
      <c r="D990" s="12"/>
    </row>
    <row r="991" spans="4:4" ht="12.75">
      <c r="D991" s="12"/>
    </row>
    <row r="992" spans="4:4" ht="12.75">
      <c r="D992" s="12"/>
    </row>
    <row r="993" spans="4:4" ht="12.75">
      <c r="D993" s="12"/>
    </row>
    <row r="994" spans="4:4" ht="12.75">
      <c r="D994" s="12"/>
    </row>
    <row r="995" spans="4:4" ht="12.75">
      <c r="D995" s="12"/>
    </row>
    <row r="996" spans="4:4" ht="12.75">
      <c r="D996" s="12"/>
    </row>
    <row r="997" spans="4:4" ht="12.75">
      <c r="D997" s="12"/>
    </row>
    <row r="998" spans="4:4" ht="12.75">
      <c r="D998" s="12"/>
    </row>
    <row r="999" spans="4:4" ht="12.75">
      <c r="D999" s="12"/>
    </row>
    <row r="1000" spans="4:4" ht="12.75">
      <c r="D1000" s="12"/>
    </row>
  </sheetData>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8">
        <x14:dataValidation type="list" allowBlank="1" showErrorMessage="1" xr:uid="{00000000-0002-0000-0500-000000000000}">
          <x14:formula1>
            <xm:f>DB!$I$2:$I$11</xm:f>
          </x14:formula1>
          <xm:sqref>D2:D60</xm:sqref>
        </x14:dataValidation>
        <x14:dataValidation type="list" allowBlank="1" showErrorMessage="1" xr:uid="{00000000-0002-0000-0500-000001000000}">
          <x14:formula1>
            <xm:f>DB!$T$2:$T$6</xm:f>
          </x14:formula1>
          <xm:sqref>H2:H60</xm:sqref>
        </x14:dataValidation>
        <x14:dataValidation type="list" allowBlank="1" showErrorMessage="1" xr:uid="{00000000-0002-0000-0500-000002000000}">
          <x14:formula1>
            <xm:f>DB!$R$2:$R$5</xm:f>
          </x14:formula1>
          <xm:sqref>G61:G432</xm:sqref>
        </x14:dataValidation>
        <x14:dataValidation type="list" allowBlank="1" showErrorMessage="1" xr:uid="{00000000-0002-0000-0500-000003000000}">
          <x14:formula1>
            <xm:f>DB!$H$2:$H$11</xm:f>
          </x14:formula1>
          <xm:sqref>D61:D114</xm:sqref>
        </x14:dataValidation>
        <x14:dataValidation type="list" allowBlank="1" showErrorMessage="1" xr:uid="{00000000-0002-0000-0500-000004000000}">
          <x14:formula1>
            <xm:f>DB!$S$2:$S$5</xm:f>
          </x14:formula1>
          <xm:sqref>G2:G60</xm:sqref>
        </x14:dataValidation>
        <x14:dataValidation type="list" allowBlank="1" showErrorMessage="1" xr:uid="{00000000-0002-0000-0500-000005000000}">
          <x14:formula1>
            <xm:f>DB!$H$2:$H$12</xm:f>
          </x14:formula1>
          <xm:sqref>B2:B60</xm:sqref>
        </x14:dataValidation>
        <x14:dataValidation type="list" allowBlank="1" showErrorMessage="1" xr:uid="{00000000-0002-0000-0500-000006000000}">
          <x14:formula1>
            <xm:f>DB!$G$2:$G$12</xm:f>
          </x14:formula1>
          <xm:sqref>B61:B114</xm:sqref>
        </x14:dataValidation>
        <x14:dataValidation type="list" allowBlank="1" showErrorMessage="1" xr:uid="{00000000-0002-0000-0500-000007000000}">
          <x14:formula1>
            <xm:f>DB!$S$2:$S$6</xm:f>
          </x14:formula1>
          <xm:sqref>H61:H114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BL157"/>
  <sheetViews>
    <sheetView workbookViewId="0"/>
  </sheetViews>
  <sheetFormatPr defaultColWidth="14.42578125" defaultRowHeight="15.75" customHeight="1"/>
  <cols>
    <col min="1" max="1" width="18.7109375" customWidth="1"/>
    <col min="2" max="2" width="16.7109375" customWidth="1"/>
    <col min="3" max="3" width="49" customWidth="1"/>
    <col min="4" max="4" width="33.85546875" customWidth="1"/>
    <col min="5" max="5" width="37.42578125" customWidth="1"/>
    <col min="6" max="6" width="57.42578125" customWidth="1"/>
    <col min="7" max="7" width="30" customWidth="1"/>
    <col min="8" max="8" width="19.140625" customWidth="1"/>
    <col min="17" max="17" width="20.140625" customWidth="1"/>
  </cols>
  <sheetData>
    <row r="1" spans="1:64" ht="15.75" customHeight="1">
      <c r="A1" s="22" t="str">
        <f ca="1">IFERROR(__xludf.DUMMYFUNCTION("IMPORTRANGE(""https://docs.google.com/spreadsheets/d/1Rby7HLpnIr61RHE_MmXwjtU0o2maU-qdMmcmHM43c40/edit"",""Alldata"")"),"Научни длъжности")</f>
        <v>Научни длъжности</v>
      </c>
      <c r="B1" s="11" t="str">
        <f ca="1">IFERROR(__xludf.DUMMYFUNCTION("""COMPUTED_VALUE"""),"Научни степени")</f>
        <v>Научни степени</v>
      </c>
      <c r="C1" s="11" t="str">
        <f ca="1">IFERROR(__xludf.DUMMYFUNCTION("""COMPUTED_VALUE"""),"Професионални направления")</f>
        <v>Професионални направления</v>
      </c>
      <c r="D1" s="11" t="str">
        <f ca="1">IFERROR(__xludf.DUMMYFUNCTION("""COMPUTED_VALUE"""),"Катедри")</f>
        <v>Катедри</v>
      </c>
      <c r="E1" s="11" t="str">
        <f ca="1">IFERROR(__xludf.DUMMYFUNCTION("""COMPUTED_VALUE"""),"Факултети")</f>
        <v>Факултети</v>
      </c>
      <c r="F1" s="11" t="str">
        <f ca="1">IFERROR(__xludf.DUMMYFUNCTION("""COMPUTED_VALUE"""),"факулт. кратко")</f>
        <v>факулт. кратко</v>
      </c>
      <c r="G1" s="11" t="str">
        <f ca="1">IFERROR(__xludf.DUMMYFUNCTION("""COMPUTED_VALUE"""),"Висши училища в България")</f>
        <v>Висши училища в България</v>
      </c>
      <c r="H1" s="11" t="str">
        <f ca="1">IFERROR(__xludf.DUMMYFUNCTION("""COMPUTED_VALUE"""),"Вид на публикация")</f>
        <v>Вид на публикация</v>
      </c>
      <c r="I1" s="11" t="str">
        <f ca="1">IFERROR(__xludf.DUMMYFUNCTION("""COMPUTED_VALUE"""),"Година на издаване")</f>
        <v>Година на издаване</v>
      </c>
      <c r="J1" s="11" t="str">
        <f ca="1">IFERROR(__xludf.DUMMYFUNCTION("""COMPUTED_VALUE"""),"Година на проект")</f>
        <v>Година на проект</v>
      </c>
      <c r="K1" s="11" t="str">
        <f ca="1">IFERROR(__xludf.DUMMYFUNCTION("""COMPUTED_VALUE"""),"Език")</f>
        <v>Език</v>
      </c>
      <c r="L1" s="11" t="str">
        <f ca="1">IFERROR(__xludf.DUMMYFUNCTION("""COMPUTED_VALUE"""),"Вид участие в конференция")</f>
        <v>Вид участие в конференция</v>
      </c>
      <c r="M1" s="11" t="str">
        <f ca="1">IFERROR(__xludf.DUMMYFUNCTION("""COMPUTED_VALUE"""),"Учебна дейност (1)")</f>
        <v>Учебна дейност (1)</v>
      </c>
      <c r="N1" s="11" t="str">
        <f ca="1">IFERROR(__xludf.DUMMYFUNCTION("""COMPUTED_VALUE"""),"курс")</f>
        <v>курс</v>
      </c>
      <c r="O1" s="11" t="str">
        <f ca="1">IFERROR(__xludf.DUMMYFUNCTION("""COMPUTED_VALUE"""),"форма")</f>
        <v>форма</v>
      </c>
      <c r="P1" s="11" t="str">
        <f ca="1">IFERROR(__xludf.DUMMYFUNCTION("""COMPUTED_VALUE"""),"ОКС")</f>
        <v>ОКС</v>
      </c>
      <c r="Q1" s="11" t="str">
        <f ca="1">IFERROR(__xludf.DUMMYFUNCTION("""COMPUTED_VALUE"""),"специалности")</f>
        <v>специалности</v>
      </c>
      <c r="R1" s="23" t="str">
        <f ca="1">IFERROR(__xludf.DUMMYFUNCTION("""COMPUTED_VALUE"""),"Ръководни:")</f>
        <v>Ръководни:</v>
      </c>
      <c r="S1" s="11" t="str">
        <f ca="1">IFERROR(__xludf.DUMMYFUNCTION("""COMPUTED_VALUE"""),"Реферирани - 1")</f>
        <v>Реферирани - 1</v>
      </c>
      <c r="T1" s="11" t="str">
        <f ca="1">IFERROR(__xludf.DUMMYFUNCTION("""COMPUTED_VALUE"""),"ДРУГИ реферирани")</f>
        <v>ДРУГИ реферирани</v>
      </c>
      <c r="U1" s="11" t="str">
        <f ca="1">IFERROR(__xludf.DUMMYFUNCTION("""COMPUTED_VALUE"""),"обхват друг вид дейност")</f>
        <v>обхват друг вид дейност</v>
      </c>
      <c r="V1" s="11" t="str">
        <f ca="1">IFERROR(__xludf.DUMMYFUNCTION("""COMPUTED_VALUE"""),"Вид на участието в проекта ")</f>
        <v xml:space="preserve">Вид на участието в проекта </v>
      </c>
      <c r="W1" s="11" t="str">
        <f ca="1">IFERROR(__xludf.DUMMYFUNCTION("""COMPUTED_VALUE"""),"Тип на проекта")</f>
        <v>Тип на проекта</v>
      </c>
      <c r="X1" s="11" t="str">
        <f ca="1">IFERROR(__xludf.DUMMYFUNCTION("""COMPUTED_VALUE"""),"друг вид дейност")</f>
        <v>друг вид дейност</v>
      </c>
      <c r="Y1" s="11" t="str">
        <f ca="1">IFERROR(__xludf.DUMMYFUNCTION("""COMPUTED_VALUE"""),"ВУ пълен списък")</f>
        <v>ВУ пълен списък</v>
      </c>
      <c r="Z1" s="11"/>
      <c r="AA1" s="11" t="str">
        <f ca="1">IFERROR(__xludf.DUMMYFUNCTION("""COMPUTED_VALUE"""),"Форма на провеждане на уч. занятия")</f>
        <v>Форма на провеждане на уч. занятия</v>
      </c>
      <c r="AB1" s="11" t="str">
        <f ca="1">IFERROR(__xludf.DUMMYFUNCTION("""COMPUTED_VALUE"""),"Метод на обмен на материали")</f>
        <v>Метод на обмен на материали</v>
      </c>
      <c r="AC1" s="11" t="str">
        <f ca="1">IFERROR(__xludf.DUMMYFUNCTION("""COMPUTED_VALUE"""),"Студентска активност - вид")</f>
        <v>Студентска активност - вид</v>
      </c>
      <c r="AD1" s="11" t="str">
        <f ca="1">IFERROR(__xludf.DUMMYFUNCTION("""COMPUTED_VALUE"""),"Линк към е-платформа или е-архив")</f>
        <v>Линк към е-платформа или е-архив</v>
      </c>
      <c r="AE1" s="24" t="str">
        <f ca="1">IFERROR(__xludf.DUMMYFUNCTION("""COMPUTED_VALUE"""),"месец, година")</f>
        <v>месец, година</v>
      </c>
      <c r="AF1" s="24" t="str">
        <f ca="1">IFERROR(__xludf.DUMMYFUNCTION("""COMPUTED_VALUE"""),"мм. гг")</f>
        <v>мм. гг</v>
      </c>
      <c r="AG1" s="11" t="str">
        <f ca="1">IFERROR(__xludf.DUMMYFUNCTION("""COMPUTED_VALUE"""),"Учебна дейност 2021")</f>
        <v>Учебна дейност 2021</v>
      </c>
      <c r="AH1" s="11" t="str">
        <f ca="1">IFERROR(__xludf.DUMMYFUNCTION("""COMPUTED_VALUE"""),"специалности ФИН")</f>
        <v>специалности ФИН</v>
      </c>
      <c r="AI1" s="11" t="str">
        <f ca="1">IFERROR(__xludf.DUMMYFUNCTION("""COMPUTED_VALUE"""),"специалности ФБКН")</f>
        <v>специалности ФБКН</v>
      </c>
      <c r="AJ1" s="11" t="str">
        <f ca="1">IFERROR(__xludf.DUMMYFUNCTION("""COMPUTED_VALUE"""),"поток/група")</f>
        <v>поток/група</v>
      </c>
      <c r="AK1" s="11"/>
      <c r="AL1" s="11"/>
      <c r="AM1" s="11"/>
      <c r="AN1" s="11"/>
      <c r="AO1" s="11"/>
      <c r="AP1" s="11"/>
      <c r="AQ1" s="11"/>
      <c r="AR1" s="11"/>
      <c r="AS1" s="11"/>
      <c r="AT1" s="11"/>
      <c r="AU1" s="11"/>
      <c r="AV1" s="11"/>
      <c r="AW1" s="11"/>
      <c r="AX1" s="11"/>
      <c r="AY1" s="11" t="str">
        <f ca="1">IFERROR(__xludf.DUMMYFUNCTION("""COMPUTED_VALUE"""),"Антетка на отчет за учебна дейност")</f>
        <v>Антетка на отчет за учебна дейност</v>
      </c>
      <c r="AZ1" s="11" t="str">
        <f ca="1">IFERROR(__xludf.DUMMYFUNCTION("""COMPUTED_VALUE"""),"дисциплина - пълно наимование")</f>
        <v>дисциплина - пълно наимование</v>
      </c>
      <c r="BA1" s="11" t="str">
        <f ca="1">IFERROR(__xludf.DUMMYFUNCTION("""COMPUTED_VALUE"""),"абревиа-тура")</f>
        <v>абревиа-тура</v>
      </c>
      <c r="BB1" s="11" t="str">
        <f ca="1">IFERROR(__xludf.DUMMYFUNCTION("""COMPUTED_VALUE"""),"факултет")</f>
        <v>факултет</v>
      </c>
      <c r="BC1" s="11"/>
      <c r="BD1" s="11"/>
      <c r="BE1" s="11"/>
      <c r="BF1" s="11"/>
      <c r="BG1" s="11"/>
      <c r="BH1" s="11"/>
      <c r="BI1" s="11"/>
      <c r="BJ1" s="11"/>
      <c r="BK1" s="11"/>
      <c r="BL1" s="11"/>
    </row>
    <row r="2" spans="1:64" ht="15.75" customHeight="1">
      <c r="A2" s="10" t="str">
        <f ca="1">IFERROR(__xludf.DUMMYFUNCTION("""COMPUTED_VALUE"""),"асистент")</f>
        <v>асистент</v>
      </c>
      <c r="B2" s="10" t="str">
        <f ca="1">IFERROR(__xludf.DUMMYFUNCTION("""COMPUTED_VALUE"""),"доктор")</f>
        <v>доктор</v>
      </c>
      <c r="C2" s="10" t="str">
        <f ca="1">IFERROR(__xludf.DUMMYFUNCTION("""COMPUTED_VALUE"""),"4.6. Информатика и компютърни науки")</f>
        <v>4.6. Информатика и компютърни науки</v>
      </c>
      <c r="D2" s="10" t="str">
        <f ca="1">IFERROR(__xludf.DUMMYFUNCTION("""COMPUTED_VALUE"""),"Библиотечни науки")</f>
        <v>Библиотечни науки</v>
      </c>
      <c r="E2" s="10" t="str">
        <f ca="1">IFERROR(__xludf.DUMMYFUNCTION("""COMPUTED_VALUE"""),"Информационни науки")</f>
        <v>Информационни науки</v>
      </c>
      <c r="F2" s="10" t="str">
        <f ca="1">IFERROR(__xludf.DUMMYFUNCTION("""COMPUTED_VALUE"""),"ФИН")</f>
        <v>ФИН</v>
      </c>
      <c r="G2" s="10" t="str">
        <f ca="1">IFERROR(__xludf.DUMMYFUNCTION("""COMPUTED_VALUE"""),"Университет по библиотекознание и информационни технологии")</f>
        <v>Университет по библиотекознание и информационни технологии</v>
      </c>
      <c r="H2" s="10" t="str">
        <f ca="1">IFERROR(__xludf.DUMMYFUNCTION("""COMPUTED_VALUE"""),"Доклад от конференция")</f>
        <v>Доклад от конференция</v>
      </c>
      <c r="I2" s="10">
        <f ca="1">IFERROR(__xludf.DUMMYFUNCTION("""COMPUTED_VALUE"""),2021)</f>
        <v>2021</v>
      </c>
      <c r="J2" s="10">
        <f ca="1">IFERROR(__xludf.DUMMYFUNCTION("""COMPUTED_VALUE"""),2026)</f>
        <v>2026</v>
      </c>
      <c r="K2" s="10" t="str">
        <f ca="1">IFERROR(__xludf.DUMMYFUNCTION("""COMPUTED_VALUE"""),"български")</f>
        <v>български</v>
      </c>
      <c r="L2" s="10" t="str">
        <f ca="1">IFERROR(__xludf.DUMMYFUNCTION("""COMPUTED_VALUE"""),"доклад")</f>
        <v>доклад</v>
      </c>
      <c r="M2" s="10" t="str">
        <f ca="1">IFERROR(__xludf.DUMMYFUNCTION("""COMPUTED_VALUE"""),"лекции")</f>
        <v>лекции</v>
      </c>
      <c r="N2" s="10">
        <f ca="1">IFERROR(__xludf.DUMMYFUNCTION("""COMPUTED_VALUE"""),1)</f>
        <v>1</v>
      </c>
      <c r="O2" s="10" t="str">
        <f ca="1">IFERROR(__xludf.DUMMYFUNCTION("""COMPUTED_VALUE"""),"редовна")</f>
        <v>редовна</v>
      </c>
      <c r="P2" s="10" t="str">
        <f ca="1">IFERROR(__xludf.DUMMYFUNCTION("""COMPUTED_VALUE"""),"бакалавър")</f>
        <v>бакалавър</v>
      </c>
      <c r="Q2" s="10" t="str">
        <f ca="1">IFERROR(__xludf.DUMMYFUNCTION("""COMPUTED_VALUE"""),"--------------------------ФБКН БАКАЛАВРИ")</f>
        <v>--------------------------ФБКН БАКАЛАВРИ</v>
      </c>
      <c r="R2" s="10" t="str">
        <f ca="1">IFERROR(__xludf.DUMMYFUNCTION("""COMPUTED_VALUE"""),"рък. дипломант маг.")</f>
        <v>рък. дипломант маг.</v>
      </c>
      <c r="S2" s="10" t="str">
        <f ca="1">IFERROR(__xludf.DUMMYFUNCTION("""COMPUTED_VALUE"""),"Web of Science")</f>
        <v>Web of Science</v>
      </c>
      <c r="T2" s="10" t="str">
        <f ca="1">IFERROR(__xludf.DUMMYFUNCTION("""COMPUTED_VALUE"""),"Zentralblatt")</f>
        <v>Zentralblatt</v>
      </c>
      <c r="U2" s="10" t="str">
        <f ca="1">IFERROR(__xludf.DUMMYFUNCTION("""COMPUTED_VALUE"""),"национална")</f>
        <v>национална</v>
      </c>
      <c r="V2" s="10" t="str">
        <f ca="1">IFERROR(__xludf.DUMMYFUNCTION("""COMPUTED_VALUE"""),"ръководител")</f>
        <v>ръководител</v>
      </c>
      <c r="W2" s="10" t="str">
        <f ca="1">IFERROR(__xludf.DUMMYFUNCTION("""COMPUTED_VALUE"""),"вътрешен")</f>
        <v>вътрешен</v>
      </c>
      <c r="X2" s="10" t="str">
        <f ca="1">IFERROR(__xludf.DUMMYFUNCTION("""COMPUTED_VALUE"""),"Получени научни награди")</f>
        <v>Получени научни награди</v>
      </c>
      <c r="Y2" s="10" t="str">
        <f ca="1">IFERROR(__xludf.DUMMYFUNCTION("""COMPUTED_VALUE"""),"Университет по библиотекознание и информационни технологии")</f>
        <v>Университет по библиотекознание и информационни технологии</v>
      </c>
      <c r="Z2" s="10"/>
      <c r="AA2" s="10" t="str">
        <f ca="1">IFERROR(__xludf.DUMMYFUNCTION("""COMPUTED_VALUE"""),"присъствено в зала")</f>
        <v>присъствено в зала</v>
      </c>
      <c r="AB2" s="10" t="str">
        <f ca="1">IFERROR(__xludf.DUMMYFUNCTION("""COMPUTED_VALUE"""),"платформата edu.unibt.bg")</f>
        <v>платформата edu.unibt.bg</v>
      </c>
      <c r="AC2" s="10" t="str">
        <f ca="1">IFERROR(__xludf.DUMMYFUNCTION("""COMPUTED_VALUE"""),"присъствие в уч. зала")</f>
        <v>присъствие в уч. зала</v>
      </c>
      <c r="AD2" s="10"/>
      <c r="AE2" s="25" t="str">
        <f ca="1">IFERROR(__xludf.DUMMYFUNCTION("""COMPUTED_VALUE"""),"септември 2019")</f>
        <v>септември 2019</v>
      </c>
      <c r="AF2" s="25" t="str">
        <f ca="1">IFERROR(__xludf.DUMMYFUNCTION("""COMPUTED_VALUE"""),"09.19")</f>
        <v>09.19</v>
      </c>
      <c r="AG2" s="10" t="str">
        <f ca="1">IFERROR(__xludf.DUMMYFUNCTION("""COMPUTED_VALUE"""),"лекции")</f>
        <v>лекции</v>
      </c>
      <c r="AH2" s="10" t="str">
        <f ca="1">IFERROR(__xludf.DUMMYFUNCTION("""COMPUTED_VALUE"""),"--------------------------ФИН БАКАЛАВРИ")</f>
        <v>--------------------------ФИН БАКАЛАВРИ</v>
      </c>
      <c r="AI2" s="10" t="str">
        <f ca="1">IFERROR(__xludf.DUMMYFUNCTION("""COMPUTED_VALUE"""),"--------------------------ФБКН БАКАЛАВРИ")</f>
        <v>--------------------------ФБКН БАКАЛАВРИ</v>
      </c>
      <c r="AJ2" s="10" t="str">
        <f ca="1">IFERROR(__xludf.DUMMYFUNCTION("""COMPUTED_VALUE"""),"1-ва група")</f>
        <v>1-ва група</v>
      </c>
      <c r="AK2" s="10"/>
      <c r="AL2" s="10"/>
      <c r="AM2" s="10"/>
      <c r="AN2" s="10"/>
      <c r="AO2" s="10"/>
      <c r="AP2" s="10"/>
      <c r="AQ2" s="10"/>
      <c r="AR2" s="10"/>
      <c r="AS2" s="10"/>
      <c r="AT2" s="10"/>
      <c r="AU2" s="10"/>
      <c r="AV2" s="10"/>
      <c r="AW2" s="10"/>
      <c r="AX2" s="10"/>
      <c r="AY2" s="10"/>
      <c r="AZ2" s="10"/>
      <c r="BA2" s="10"/>
      <c r="BB2" s="10"/>
    </row>
    <row r="3" spans="1:64" ht="15.75" customHeight="1">
      <c r="A3" s="10" t="str">
        <f ca="1">IFERROR(__xludf.DUMMYFUNCTION("""COMPUTED_VALUE"""),"главен асистент")</f>
        <v>главен асистент</v>
      </c>
      <c r="B3" s="10" t="str">
        <f ca="1">IFERROR(__xludf.DUMMYFUNCTION("""COMPUTED_VALUE"""),"доктор на науките")</f>
        <v>доктор на науките</v>
      </c>
      <c r="C3" s="10" t="str">
        <f ca="1">IFERROR(__xludf.DUMMYFUNCTION("""COMPUTED_VALUE"""),"3.5. Обществени комуникации и информационни науки")</f>
        <v>3.5. Обществени комуникации и информационни науки</v>
      </c>
      <c r="D3" s="10" t="str">
        <f ca="1">IFERROR(__xludf.DUMMYFUNCTION("""COMPUTED_VALUE"""),"Библиотечен мениджмънт и архивистика")</f>
        <v>Библиотечен мениджмънт и архивистика</v>
      </c>
      <c r="E3" s="10" t="str">
        <f ca="1">IFERROR(__xludf.DUMMYFUNCTION("""COMPUTED_VALUE"""),"Библиотекознание и културно наследство")</f>
        <v>Библиотекознание и културно наследство</v>
      </c>
      <c r="F3" s="10" t="str">
        <f ca="1">IFERROR(__xludf.DUMMYFUNCTION("""COMPUTED_VALUE"""),"ФБКН")</f>
        <v>ФБКН</v>
      </c>
      <c r="G3" s="10" t="str">
        <f ca="1">IFERROR(__xludf.DUMMYFUNCTION("""COMPUTED_VALUE"""),"БАН-ИИКТ")</f>
        <v>БАН-ИИКТ</v>
      </c>
      <c r="H3" s="10" t="str">
        <f ca="1">IFERROR(__xludf.DUMMYFUNCTION("""COMPUTED_VALUE"""),"Статия в списания и поредици")</f>
        <v>Статия в списания и поредици</v>
      </c>
      <c r="I3" s="10">
        <f ca="1">IFERROR(__xludf.DUMMYFUNCTION("""COMPUTED_VALUE"""),2020)</f>
        <v>2020</v>
      </c>
      <c r="J3" s="10">
        <f ca="1">IFERROR(__xludf.DUMMYFUNCTION("""COMPUTED_VALUE"""),2025)</f>
        <v>2025</v>
      </c>
      <c r="K3" s="10" t="str">
        <f ca="1">IFERROR(__xludf.DUMMYFUNCTION("""COMPUTED_VALUE"""),"английски")</f>
        <v>английски</v>
      </c>
      <c r="L3" s="10" t="str">
        <f ca="1">IFERROR(__xludf.DUMMYFUNCTION("""COMPUTED_VALUE"""),"постер")</f>
        <v>постер</v>
      </c>
      <c r="M3" s="10" t="str">
        <f ca="1">IFERROR(__xludf.DUMMYFUNCTION("""COMPUTED_VALUE"""),"упражнения")</f>
        <v>упражнения</v>
      </c>
      <c r="N3" s="10">
        <f ca="1">IFERROR(__xludf.DUMMYFUNCTION("""COMPUTED_VALUE"""),2)</f>
        <v>2</v>
      </c>
      <c r="O3" s="10" t="str">
        <f ca="1">IFERROR(__xludf.DUMMYFUNCTION("""COMPUTED_VALUE"""),"задочна")</f>
        <v>задочна</v>
      </c>
      <c r="P3" s="10"/>
      <c r="Q3" s="10" t="str">
        <f ca="1">IFERROR(__xludf.DUMMYFUNCTION("""COMPUTED_VALUE"""),"2.2 Културно-историческо наследство (КИН)")</f>
        <v>2.2 Културно-историческо наследство (КИН)</v>
      </c>
      <c r="R3" s="10" t="str">
        <f ca="1">IFERROR(__xludf.DUMMYFUNCTION("""COMPUTED_VALUE"""),"рък. дипломант бак.")</f>
        <v>рък. дипломант бак.</v>
      </c>
      <c r="S3" s="10" t="str">
        <f ca="1">IFERROR(__xludf.DUMMYFUNCTION("""COMPUTED_VALUE"""),"Scopus")</f>
        <v>Scopus</v>
      </c>
      <c r="T3" s="10" t="str">
        <f ca="1">IFERROR(__xludf.DUMMYFUNCTION("""COMPUTED_VALUE"""),"MathSciNet")</f>
        <v>MathSciNet</v>
      </c>
      <c r="U3" s="10" t="str">
        <f ca="1">IFERROR(__xludf.DUMMYFUNCTION("""COMPUTED_VALUE"""),"международна")</f>
        <v>международна</v>
      </c>
      <c r="V3" s="10" t="str">
        <f ca="1">IFERROR(__xludf.DUMMYFUNCTION("""COMPUTED_VALUE"""),"координатор")</f>
        <v>координатор</v>
      </c>
      <c r="W3" s="10" t="str">
        <f ca="1">IFERROR(__xludf.DUMMYFUNCTION("""COMPUTED_VALUE"""),"национален")</f>
        <v>национален</v>
      </c>
      <c r="X3" s="10" t="str">
        <f ca="1">IFERROR(__xludf.DUMMYFUNCTION("""COMPUTED_VALUE"""),"Членство в научни и експертни организации")</f>
        <v>Членство в научни и експертни организации</v>
      </c>
      <c r="Y3" s="10" t="str">
        <f ca="1">IFERROR(__xludf.DUMMYFUNCTION("""COMPUTED_VALUE"""),"Аграрен университет")</f>
        <v>Аграрен университет</v>
      </c>
      <c r="Z3" s="10"/>
      <c r="AA3" s="10" t="str">
        <f ca="1">IFERROR(__xludf.DUMMYFUNCTION("""COMPUTED_VALUE"""),"онлайн  в edu.unibit.bg/BgBlueButton")</f>
        <v>онлайн  в edu.unibit.bg/BgBlueButton</v>
      </c>
      <c r="AB3" s="10" t="str">
        <f ca="1">IFERROR(__xludf.DUMMYFUNCTION("""COMPUTED_VALUE"""),"платформата e-learning.unibit.bg")</f>
        <v>платформата e-learning.unibit.bg</v>
      </c>
      <c r="AC3" s="10" t="str">
        <f ca="1">IFERROR(__xludf.DUMMYFUNCTION("""COMPUTED_VALUE"""),"участие във видео урок")</f>
        <v>участие във видео урок</v>
      </c>
      <c r="AD3" s="10"/>
      <c r="AE3" s="25" t="str">
        <f ca="1">IFERROR(__xludf.DUMMYFUNCTION("""COMPUTED_VALUE"""),"октомври 2019")</f>
        <v>октомври 2019</v>
      </c>
      <c r="AF3" s="25" t="str">
        <f ca="1">IFERROR(__xludf.DUMMYFUNCTION("""COMPUTED_VALUE"""),"10.19")</f>
        <v>10.19</v>
      </c>
      <c r="AG3" s="10" t="str">
        <f ca="1">IFERROR(__xludf.DUMMYFUNCTION("""COMPUTED_VALUE"""),"упражнения")</f>
        <v>упражнения</v>
      </c>
      <c r="AH3" s="10" t="str">
        <f ca="1">IFERROR(__xludf.DUMMYFUNCTION("""COMPUTED_VALUE"""),"ИКН - Информатика и комютърни науки ")</f>
        <v xml:space="preserve">ИКН - Информатика и комютърни науки </v>
      </c>
      <c r="AI3" s="10" t="str">
        <f ca="1">IFERROR(__xludf.DUMMYFUNCTION("""COMPUTED_VALUE"""),"КИН Културно-историческо наследство")</f>
        <v>КИН Културно-историческо наследство</v>
      </c>
      <c r="AJ3" s="10" t="str">
        <f ca="1">IFERROR(__xludf.DUMMYFUNCTION("""COMPUTED_VALUE"""),"2-ра група")</f>
        <v>2-ра група</v>
      </c>
      <c r="AK3" s="10"/>
      <c r="AL3" s="10"/>
      <c r="AM3" s="10"/>
      <c r="AN3" s="10"/>
      <c r="AO3" s="10"/>
      <c r="AP3" s="10"/>
      <c r="AQ3" s="10"/>
      <c r="AR3" s="10"/>
      <c r="AS3" s="10"/>
      <c r="AT3" s="10"/>
      <c r="AU3" s="10"/>
      <c r="AV3" s="10"/>
      <c r="AW3" s="10"/>
      <c r="AX3" s="10"/>
      <c r="AY3" s="10"/>
      <c r="AZ3" s="10"/>
      <c r="BA3" s="10"/>
      <c r="BB3" s="10"/>
    </row>
    <row r="4" spans="1:64" ht="15.75" customHeight="1">
      <c r="A4" s="10" t="str">
        <f ca="1">IFERROR(__xludf.DUMMYFUNCTION("""COMPUTED_VALUE"""),"доцент")</f>
        <v>доцент</v>
      </c>
      <c r="B4" s="10" t="str">
        <f ca="1">IFERROR(__xludf.DUMMYFUNCTION("""COMPUTED_VALUE"""),"-")</f>
        <v>-</v>
      </c>
      <c r="C4" s="10" t="str">
        <f ca="1">IFERROR(__xludf.DUMMYFUNCTION("""COMPUTED_VALUE"""),"9.1. Национална сигурност")</f>
        <v>9.1. Национална сигурност</v>
      </c>
      <c r="D4" s="10" t="str">
        <f ca="1">IFERROR(__xludf.DUMMYFUNCTION("""COMPUTED_VALUE"""),"Обществени комуникации")</f>
        <v>Обществени комуникации</v>
      </c>
      <c r="E4" s="10" t="str">
        <f ca="1">IFERROR(__xludf.DUMMYFUNCTION("""COMPUTED_VALUE"""),"-")</f>
        <v>-</v>
      </c>
      <c r="F4" s="10"/>
      <c r="G4" s="10" t="str">
        <f ca="1">IFERROR(__xludf.DUMMYFUNCTION("""COMPUTED_VALUE"""),"БАН-ИМИ")</f>
        <v>БАН-ИМИ</v>
      </c>
      <c r="H4" s="10" t="str">
        <f ca="1">IFERROR(__xludf.DUMMYFUNCTION("""COMPUTED_VALUE"""),"Книга")</f>
        <v>Книга</v>
      </c>
      <c r="I4" s="10">
        <f ca="1">IFERROR(__xludf.DUMMYFUNCTION("""COMPUTED_VALUE"""),2019)</f>
        <v>2019</v>
      </c>
      <c r="J4" s="10">
        <f ca="1">IFERROR(__xludf.DUMMYFUNCTION("""COMPUTED_VALUE"""),2024)</f>
        <v>2024</v>
      </c>
      <c r="K4" s="10" t="str">
        <f ca="1">IFERROR(__xludf.DUMMYFUNCTION("""COMPUTED_VALUE"""),"френски")</f>
        <v>френски</v>
      </c>
      <c r="L4" s="10" t="str">
        <f ca="1">IFERROR(__xludf.DUMMYFUNCTION("""COMPUTED_VALUE"""),"презентация")</f>
        <v>презентация</v>
      </c>
      <c r="M4" s="10" t="str">
        <f ca="1">IFERROR(__xludf.DUMMYFUNCTION("""COMPUTED_VALUE"""),"консултации")</f>
        <v>консултации</v>
      </c>
      <c r="N4" s="10">
        <f ca="1">IFERROR(__xludf.DUMMYFUNCTION("""COMPUTED_VALUE"""),3)</f>
        <v>3</v>
      </c>
      <c r="O4" s="10"/>
      <c r="P4" s="10"/>
      <c r="Q4" s="10" t="str">
        <f ca="1">IFERROR(__xludf.DUMMYFUNCTION("""COMPUTED_VALUE"""),"3.5 Архивистика и документалистика (АД)")</f>
        <v>3.5 Архивистика и документалистика (АД)</v>
      </c>
      <c r="R4" s="10" t="str">
        <f ca="1">IFERROR(__xludf.DUMMYFUNCTION("""COMPUTED_VALUE"""),"рък. докторант")</f>
        <v>рък. докторант</v>
      </c>
      <c r="S4" s="10" t="str">
        <f ca="1">IFERROR(__xludf.DUMMYFUNCTION("""COMPUTED_VALUE"""),"Web of Science и Scopus")</f>
        <v>Web of Science и Scopus</v>
      </c>
      <c r="T4" s="10" t="str">
        <f ca="1">IFERROR(__xludf.DUMMYFUNCTION("""COMPUTED_VALUE"""),"ACM Digital Library")</f>
        <v>ACM Digital Library</v>
      </c>
      <c r="U4" s="10"/>
      <c r="V4" s="10" t="str">
        <f ca="1">IFERROR(__xludf.DUMMYFUNCTION("""COMPUTED_VALUE"""),"член на научен колектив")</f>
        <v>член на научен колектив</v>
      </c>
      <c r="W4" s="10" t="str">
        <f ca="1">IFERROR(__xludf.DUMMYFUNCTION("""COMPUTED_VALUE"""),"международен")</f>
        <v>международен</v>
      </c>
      <c r="X4" s="10" t="str">
        <f ca="1">IFERROR(__xludf.DUMMYFUNCTION("""COMPUTED_VALUE"""),"Телевизионни изяви в полза на университета")</f>
        <v>Телевизионни изяви в полза на университета</v>
      </c>
      <c r="Y4" s="10" t="str">
        <f ca="1">IFERROR(__xludf.DUMMYFUNCTION("""COMPUTED_VALUE"""),"Академия за музикално, танцово и изобразително изкуство")</f>
        <v>Академия за музикално, танцово и изобразително изкуство</v>
      </c>
      <c r="Z4" s="10"/>
      <c r="AA4" s="10" t="str">
        <f ca="1">IFERROR(__xludf.DUMMYFUNCTION("""COMPUTED_VALUE"""),"онлайн  в Godgle Meet")</f>
        <v>онлайн  в Godgle Meet</v>
      </c>
      <c r="AB4" s="10" t="str">
        <f ca="1">IFERROR(__xludf.DUMMYFUNCTION("""COMPUTED_VALUE"""),"друга платформа")</f>
        <v>друга платформа</v>
      </c>
      <c r="AC4" s="10" t="str">
        <f ca="1">IFERROR(__xludf.DUMMYFUNCTION("""COMPUTED_VALUE"""),"предадено задание в платформата")</f>
        <v>предадено задание в платформата</v>
      </c>
      <c r="AD4" s="10"/>
      <c r="AE4" s="25" t="str">
        <f ca="1">IFERROR(__xludf.DUMMYFUNCTION("""COMPUTED_VALUE"""),"ноември 2019")</f>
        <v>ноември 2019</v>
      </c>
      <c r="AF4" s="25" t="str">
        <f ca="1">IFERROR(__xludf.DUMMYFUNCTION("""COMPUTED_VALUE"""),"11.19")</f>
        <v>11.19</v>
      </c>
      <c r="AG4" s="10" t="str">
        <f ca="1">IFERROR(__xludf.DUMMYFUNCTION("""COMPUTED_VALUE"""),"в поток")</f>
        <v>в поток</v>
      </c>
      <c r="AH4" s="10" t="str">
        <f ca="1">IFERROR(__xludf.DUMMYFUNCTION("""COMPUTED_VALUE"""),"КН - Компютърни науки ")</f>
        <v xml:space="preserve">КН - Компютърни науки </v>
      </c>
      <c r="AI4" s="10" t="str">
        <f ca="1">IFERROR(__xludf.DUMMYFUNCTION("""COMPUTED_VALUE"""),"АД - Архивистика и документалистика")</f>
        <v>АД - Архивистика и документалистика</v>
      </c>
      <c r="AJ4" s="10" t="str">
        <f ca="1">IFERROR(__xludf.DUMMYFUNCTION("""COMPUTED_VALUE"""),"3-та група")</f>
        <v>3-та група</v>
      </c>
      <c r="AK4" s="10"/>
      <c r="AL4" s="10"/>
      <c r="AM4" s="10"/>
      <c r="AN4" s="10"/>
      <c r="AO4" s="10"/>
      <c r="AP4" s="10"/>
      <c r="AQ4" s="10"/>
      <c r="AR4" s="10"/>
      <c r="AS4" s="10"/>
      <c r="AT4" s="10"/>
      <c r="AU4" s="10"/>
      <c r="AV4" s="10"/>
      <c r="AW4" s="10"/>
      <c r="AX4" s="10"/>
      <c r="AY4" s="10"/>
      <c r="AZ4" s="10"/>
      <c r="BA4" s="10"/>
      <c r="BB4" s="10"/>
    </row>
    <row r="5" spans="1:64" ht="15.75" customHeight="1">
      <c r="A5" s="10" t="str">
        <f ca="1">IFERROR(__xludf.DUMMYFUNCTION("""COMPUTED_VALUE"""),"професор")</f>
        <v>професор</v>
      </c>
      <c r="B5" s="10"/>
      <c r="C5" s="10" t="str">
        <f ca="1">IFERROR(__xludf.DUMMYFUNCTION("""COMPUTED_VALUE"""),"2.2 История и археология")</f>
        <v>2.2 История и археология</v>
      </c>
      <c r="D5" s="10" t="str">
        <f ca="1">IFERROR(__xludf.DUMMYFUNCTION("""COMPUTED_VALUE"""),"Култура, историческо наследство и туризъм")</f>
        <v>Култура, историческо наследство и туризъм</v>
      </c>
      <c r="E5" s="10"/>
      <c r="F5" s="10"/>
      <c r="G5" s="10" t="str">
        <f ca="1">IFERROR(__xludf.DUMMYFUNCTION("""COMPUTED_VALUE"""),"Академия на МВР")</f>
        <v>Академия на МВР</v>
      </c>
      <c r="H5" s="10" t="str">
        <f ca="1">IFERROR(__xludf.DUMMYFUNCTION("""COMPUTED_VALUE"""),"Учебник")</f>
        <v>Учебник</v>
      </c>
      <c r="I5" s="10">
        <f ca="1">IFERROR(__xludf.DUMMYFUNCTION("""COMPUTED_VALUE"""),2018)</f>
        <v>2018</v>
      </c>
      <c r="J5" s="10">
        <f ca="1">IFERROR(__xludf.DUMMYFUNCTION("""COMPUTED_VALUE"""),2023)</f>
        <v>2023</v>
      </c>
      <c r="K5" s="10" t="str">
        <f ca="1">IFERROR(__xludf.DUMMYFUNCTION("""COMPUTED_VALUE"""),"руски")</f>
        <v>руски</v>
      </c>
      <c r="L5" s="10" t="str">
        <f ca="1">IFERROR(__xludf.DUMMYFUNCTION("""COMPUTED_VALUE"""),"член на прог.комитет")</f>
        <v>член на прог.комитет</v>
      </c>
      <c r="M5" s="10" t="str">
        <f ca="1">IFERROR(__xludf.DUMMYFUNCTION("""COMPUTED_VALUE"""),"изпит")</f>
        <v>изпит</v>
      </c>
      <c r="N5" s="10">
        <f ca="1">IFERROR(__xludf.DUMMYFUNCTION("""COMPUTED_VALUE"""),4)</f>
        <v>4</v>
      </c>
      <c r="O5" s="10"/>
      <c r="P5" s="10"/>
      <c r="Q5" s="10" t="str">
        <f ca="1">IFERROR(__xludf.DUMMYFUNCTION("""COMPUTED_VALUE"""),"3.5 Библиотекознание и библиография (ББ)")</f>
        <v>3.5 Библиотекознание и библиография (ББ)</v>
      </c>
      <c r="R5" s="10" t="str">
        <f ca="1">IFERROR(__xludf.DUMMYFUNCTION("""COMPUTED_VALUE"""),"рък. маг. програма")</f>
        <v>рък. маг. програма</v>
      </c>
      <c r="S5" s="10" t="str">
        <f ca="1">IFERROR(__xludf.DUMMYFUNCTION("""COMPUTED_VALUE"""),"-")</f>
        <v>-</v>
      </c>
      <c r="T5" s="10" t="str">
        <f ca="1">IFERROR(__xludf.DUMMYFUNCTION("""COMPUTED_VALUE"""),"IEEE Xplore")</f>
        <v>IEEE Xplore</v>
      </c>
      <c r="U5" s="10"/>
      <c r="V5" s="10" t="str">
        <f ca="1">IFERROR(__xludf.DUMMYFUNCTION("""COMPUTED_VALUE"""),"оценител")</f>
        <v>оценител</v>
      </c>
      <c r="W5" s="10"/>
      <c r="X5" s="10" t="str">
        <f ca="1">IFERROR(__xludf.DUMMYFUNCTION("""COMPUTED_VALUE"""),"Публикации в печатни и електрони издания в полза на унив.")</f>
        <v>Публикации в печатни и електрони издания в полза на унив.</v>
      </c>
      <c r="Y5" s="10" t="str">
        <f ca="1">IFERROR(__xludf.DUMMYFUNCTION("""COMPUTED_VALUE"""),"Академия на МВР")</f>
        <v>Академия на МВР</v>
      </c>
      <c r="Z5" s="10"/>
      <c r="AA5" s="10" t="str">
        <f ca="1">IFERROR(__xludf.DUMMYFUNCTION("""COMPUTED_VALUE"""),"онлайн в e-learn.unibit.bg")</f>
        <v>онлайн в e-learn.unibit.bg</v>
      </c>
      <c r="AB5" s="10" t="str">
        <f ca="1">IFERROR(__xludf.DUMMYFUNCTION("""COMPUTED_VALUE"""),"по имейл (електорнна поща)")</f>
        <v>по имейл (електорнна поща)</v>
      </c>
      <c r="AC5" s="10" t="str">
        <f ca="1">IFERROR(__xludf.DUMMYFUNCTION("""COMPUTED_VALUE"""),"предадено задание по имейл")</f>
        <v>предадено задание по имейл</v>
      </c>
      <c r="AD5" s="10"/>
      <c r="AE5" s="25" t="str">
        <f ca="1">IFERROR(__xludf.DUMMYFUNCTION("""COMPUTED_VALUE"""),"декември 2019")</f>
        <v>декември 2019</v>
      </c>
      <c r="AF5" s="25" t="str">
        <f ca="1">IFERROR(__xludf.DUMMYFUNCTION("""COMPUTED_VALUE"""),"12.19")</f>
        <v>12.19</v>
      </c>
      <c r="AG5" s="10" t="str">
        <f ca="1">IFERROR(__xludf.DUMMYFUNCTION("""COMPUTED_VALUE"""),"изпит (бр. изп. студ.)")</f>
        <v>изпит (бр. изп. студ.)</v>
      </c>
      <c r="AH5" s="10" t="str">
        <f ca="1">IFERROR(__xludf.DUMMYFUNCTION("""COMPUTED_VALUE"""),"ИТ - Информационни технологии")</f>
        <v>ИТ - Информационни технологии</v>
      </c>
      <c r="AI5" s="10" t="str">
        <f ca="1">IFERROR(__xludf.DUMMYFUNCTION("""COMPUTED_VALUE"""),"ББ -  Библиотекознание и библиография")</f>
        <v>ББ -  Библиотекознание и библиография</v>
      </c>
      <c r="AJ5" s="10" t="str">
        <f ca="1">IFERROR(__xludf.DUMMYFUNCTION("""COMPUTED_VALUE"""),"4-та група")</f>
        <v>4-та група</v>
      </c>
      <c r="AK5" s="10"/>
      <c r="AL5" s="10"/>
      <c r="AM5" s="10"/>
      <c r="AN5" s="10"/>
      <c r="AO5" s="10"/>
      <c r="AP5" s="10"/>
      <c r="AQ5" s="10"/>
      <c r="AR5" s="10"/>
      <c r="AS5" s="10"/>
      <c r="AT5" s="10"/>
      <c r="AU5" s="10"/>
      <c r="AV5" s="10"/>
      <c r="AW5" s="10"/>
      <c r="AX5" s="10"/>
      <c r="AY5" s="10"/>
      <c r="AZ5" s="10"/>
      <c r="BA5" s="10"/>
      <c r="BB5" s="10"/>
    </row>
    <row r="6" spans="1:64" ht="14.25">
      <c r="A6" s="26" t="str">
        <f ca="1">IFERROR(__xludf.DUMMYFUNCTION("""COMPUTED_VALUE"""),"-")</f>
        <v>-</v>
      </c>
      <c r="B6" s="10"/>
      <c r="C6" s="10" t="str">
        <f ca="1">IFERROR(__xludf.DUMMYFUNCTION("""COMPUTED_VALUE"""),"4.5. Математика")</f>
        <v>4.5. Математика</v>
      </c>
      <c r="D6" s="10" t="str">
        <f ca="1">IFERROR(__xludf.DUMMYFUNCTION("""COMPUTED_VALUE"""),"Информционни системи и технологии")</f>
        <v>Информционни системи и технологии</v>
      </c>
      <c r="E6" s="10"/>
      <c r="F6" s="10"/>
      <c r="G6" s="10" t="str">
        <f ca="1">IFERROR(__xludf.DUMMYFUNCTION("""COMPUTED_VALUE"""),"Американски университет в България")</f>
        <v>Американски университет в България</v>
      </c>
      <c r="H6" s="10" t="str">
        <f ca="1">IFERROR(__xludf.DUMMYFUNCTION("""COMPUTED_VALUE"""),"Учебно пособие")</f>
        <v>Учебно пособие</v>
      </c>
      <c r="I6" s="10">
        <f ca="1">IFERROR(__xludf.DUMMYFUNCTION("""COMPUTED_VALUE"""),2017)</f>
        <v>2017</v>
      </c>
      <c r="J6" s="10">
        <f ca="1">IFERROR(__xludf.DUMMYFUNCTION("""COMPUTED_VALUE"""),2022)</f>
        <v>2022</v>
      </c>
      <c r="K6" s="10" t="str">
        <f ca="1">IFERROR(__xludf.DUMMYFUNCTION("""COMPUTED_VALUE"""),"китайски")</f>
        <v>китайски</v>
      </c>
      <c r="L6" s="10" t="str">
        <f ca="1">IFERROR(__xludf.DUMMYFUNCTION("""COMPUTED_VALUE"""),"председател на програмен комитет")</f>
        <v>председател на програмен комитет</v>
      </c>
      <c r="M6" s="10" t="str">
        <f ca="1">IFERROR(__xludf.DUMMYFUNCTION("""COMPUTED_VALUE"""),"р-во дипломни")</f>
        <v>р-во дипломни</v>
      </c>
      <c r="N6" s="10"/>
      <c r="O6" s="10"/>
      <c r="P6" s="10"/>
      <c r="Q6" s="10" t="str">
        <f ca="1">IFERROR(__xludf.DUMMYFUNCTION("""COMPUTED_VALUE"""),"3.5 Библиотечен и информационен мениджмънт (БИМ)")</f>
        <v>3.5 Библиотечен и информационен мениджмънт (БИМ)</v>
      </c>
      <c r="R6" s="10" t="str">
        <f ca="1">IFERROR(__xludf.DUMMYFUNCTION("""COMPUTED_VALUE"""),"рък. бак. програма")</f>
        <v>рък. бак. програма</v>
      </c>
      <c r="S6" s="10"/>
      <c r="T6" s="10" t="str">
        <f ca="1">IFERROR(__xludf.DUMMYFUNCTION("""COMPUTED_VALUE"""),"AIS eLibrary")</f>
        <v>AIS eLibrary</v>
      </c>
      <c r="U6" s="10"/>
      <c r="V6" s="10"/>
      <c r="W6" s="10"/>
      <c r="X6" s="10" t="str">
        <f ca="1">IFERROR(__xludf.DUMMYFUNCTION("""COMPUTED_VALUE"""),"Обучения за повишаване на квалификацията")</f>
        <v>Обучения за повишаване на квалификацията</v>
      </c>
      <c r="Y6" s="10" t="str">
        <f ca="1">IFERROR(__xludf.DUMMYFUNCTION("""COMPUTED_VALUE"""),"Американски университет в България")</f>
        <v>Американски университет в България</v>
      </c>
      <c r="Z6" s="10"/>
      <c r="AA6" s="10" t="str">
        <f ca="1">IFERROR(__xludf.DUMMYFUNCTION("""COMPUTED_VALUE"""),"онлайн в Microsoft Team")</f>
        <v>онлайн в Microsoft Team</v>
      </c>
      <c r="AB6" s="10" t="str">
        <f ca="1">IFERROR(__xludf.DUMMYFUNCTION("""COMPUTED_VALUE"""),"друг електронен метод")</f>
        <v>друг електронен метод</v>
      </c>
      <c r="AC6" s="10" t="str">
        <f ca="1">IFERROR(__xludf.DUMMYFUNCTION("""COMPUTED_VALUE"""),"дискусия")</f>
        <v>дискусия</v>
      </c>
      <c r="AD6" s="10"/>
      <c r="AE6" s="25" t="str">
        <f ca="1">IFERROR(__xludf.DUMMYFUNCTION("""COMPUTED_VALUE"""),"януари 2020")</f>
        <v>януари 2020</v>
      </c>
      <c r="AF6" s="25" t="str">
        <f ca="1">IFERROR(__xludf.DUMMYFUNCTION("""COMPUTED_VALUE"""),"01.20")</f>
        <v>01.20</v>
      </c>
      <c r="AG6" s="10" t="str">
        <f ca="1">IFERROR(__xludf.DUMMYFUNCTION("""COMPUTED_VALUE"""),"р-во на дипломант (бак.)(бр. студ.)")</f>
        <v>р-во на дипломант (бак.)(бр. студ.)</v>
      </c>
      <c r="AH6" s="10" t="str">
        <f ca="1">IFERROR(__xludf.DUMMYFUNCTION("""COMPUTED_VALUE"""),"ИС - Информационна сигурност")</f>
        <v>ИС - Информационна сигурност</v>
      </c>
      <c r="AI6" s="10" t="str">
        <f ca="1">IFERROR(__xludf.DUMMYFUNCTION("""COMPUTED_VALUE"""),"БИМ -  Библиотечен и информационен мениджмънт")</f>
        <v>БИМ -  Библиотечен и информационен мениджмънт</v>
      </c>
      <c r="AJ6" s="10" t="str">
        <f ca="1">IFERROR(__xludf.DUMMYFUNCTION("""COMPUTED_VALUE"""),"5-та група")</f>
        <v>5-та група</v>
      </c>
      <c r="AK6" s="10"/>
      <c r="AL6" s="10"/>
      <c r="AM6" s="10"/>
      <c r="AN6" s="10"/>
      <c r="AO6" s="10"/>
      <c r="AP6" s="10"/>
      <c r="AQ6" s="10"/>
      <c r="AR6" s="10"/>
      <c r="AS6" s="10"/>
      <c r="AT6" s="10"/>
      <c r="AU6" s="10"/>
      <c r="AV6" s="10"/>
      <c r="AW6" s="10"/>
      <c r="AX6" s="10"/>
      <c r="AY6" s="10"/>
      <c r="AZ6" s="10"/>
      <c r="BA6" s="10"/>
      <c r="BB6" s="10"/>
    </row>
    <row r="7" spans="1:64" ht="15.75" customHeight="1">
      <c r="A7" s="10"/>
      <c r="B7" s="10"/>
      <c r="C7" s="10" t="str">
        <f ca="1">IFERROR(__xludf.DUMMYFUNCTION("""COMPUTED_VALUE"""),"2.1. Филология")</f>
        <v>2.1. Филология</v>
      </c>
      <c r="D7" s="10" t="str">
        <f ca="1">IFERROR(__xludf.DUMMYFUNCTION("""COMPUTED_VALUE"""),"Компютърни науки ")</f>
        <v xml:space="preserve">Компютърни науки </v>
      </c>
      <c r="E7" s="10"/>
      <c r="F7" s="10"/>
      <c r="G7" s="10" t="str">
        <f ca="1">IFERROR(__xludf.DUMMYFUNCTION("""COMPUTED_VALUE"""),"Минно-геоложки университет „Свети Иван Рилски“")</f>
        <v>Минно-геоложки университет „Свети Иван Рилски“</v>
      </c>
      <c r="H7" s="10" t="str">
        <f ca="1">IFERROR(__xludf.DUMMYFUNCTION("""COMPUTED_VALUE"""),"Монография")</f>
        <v>Монография</v>
      </c>
      <c r="I7" s="10">
        <f ca="1">IFERROR(__xludf.DUMMYFUNCTION("""COMPUTED_VALUE"""),2016)</f>
        <v>2016</v>
      </c>
      <c r="J7" s="10">
        <f ca="1">IFERROR(__xludf.DUMMYFUNCTION("""COMPUTED_VALUE"""),2021)</f>
        <v>2021</v>
      </c>
      <c r="K7" s="10"/>
      <c r="L7" s="10" t="str">
        <f ca="1">IFERROR(__xludf.DUMMYFUNCTION("""COMPUTED_VALUE"""),"съставител на сборник")</f>
        <v>съставител на сборник</v>
      </c>
      <c r="M7" s="10" t="str">
        <f ca="1">IFERROR(__xludf.DUMMYFUNCTION("""COMPUTED_VALUE"""),"рецензии")</f>
        <v>рецензии</v>
      </c>
      <c r="N7" s="10"/>
      <c r="O7" s="10"/>
      <c r="P7" s="10"/>
      <c r="Q7" s="10" t="str">
        <f ca="1">IFERROR(__xludf.DUMMYFUNCTION("""COMPUTED_VALUE"""),"3.5 Библиотечно-информационни науки и управление на знанието (БИНУЗ)")</f>
        <v>3.5 Библиотечно-информационни науки и управление на знанието (БИНУЗ)</v>
      </c>
      <c r="R7" s="10" t="str">
        <f ca="1">IFERROR(__xludf.DUMMYFUNCTION("""COMPUTED_VALUE"""),"рък. лаборатория")</f>
        <v>рък. лаборатория</v>
      </c>
      <c r="S7" s="10"/>
      <c r="T7" s="10" t="str">
        <f ca="1">IFERROR(__xludf.DUMMYFUNCTION("""COMPUTED_VALUE"""),"-")</f>
        <v>-</v>
      </c>
      <c r="U7" s="10"/>
      <c r="V7" s="10"/>
      <c r="W7" s="10"/>
      <c r="X7" s="10" t="str">
        <f ca="1">IFERROR(__xludf.DUMMYFUNCTION("""COMPUTED_VALUE"""),"Изходяща мобилност - преподавателска дейност извън УниБИТ")</f>
        <v>Изходяща мобилност - преподавателска дейност извън УниБИТ</v>
      </c>
      <c r="Y7" s="10" t="str">
        <f ca="1">IFERROR(__xludf.DUMMYFUNCTION("""COMPUTED_VALUE"""),"Бургаски свободен университет")</f>
        <v>Бургаски свободен университет</v>
      </c>
      <c r="Z7" s="10"/>
      <c r="AA7" s="10" t="str">
        <f ca="1">IFERROR(__xludf.DUMMYFUNCTION("""COMPUTED_VALUE"""),"онлайн на друго място")</f>
        <v>онлайн на друго място</v>
      </c>
      <c r="AB7" s="10"/>
      <c r="AC7" s="10" t="str">
        <f ca="1">IFERROR(__xludf.DUMMYFUNCTION("""COMPUTED_VALUE"""),"форум")</f>
        <v>форум</v>
      </c>
      <c r="AD7" s="10"/>
      <c r="AE7" s="25" t="str">
        <f ca="1">IFERROR(__xludf.DUMMYFUNCTION("""COMPUTED_VALUE"""),"февруари 2020")</f>
        <v>февруари 2020</v>
      </c>
      <c r="AF7" s="25" t="str">
        <f ca="1">IFERROR(__xludf.DUMMYFUNCTION("""COMPUTED_VALUE"""),"02.20")</f>
        <v>02.20</v>
      </c>
      <c r="AG7" s="10" t="str">
        <f ca="1">IFERROR(__xludf.DUMMYFUNCTION("""COMPUTED_VALUE"""),"държ. изп. комисия (бр.изп.студ.)")</f>
        <v>държ. изп. комисия (бр.изп.студ.)</v>
      </c>
      <c r="AH7" s="10" t="str">
        <f ca="1">IFERROR(__xludf.DUMMYFUNCTION("""COMPUTED_VALUE"""),"ИТИКС - ИТ в институционална и корпоративна среда")</f>
        <v>ИТИКС - ИТ в институционална и корпоративна среда</v>
      </c>
      <c r="AI7" s="10" t="str">
        <f ca="1">IFERROR(__xludf.DUMMYFUNCTION("""COMPUTED_VALUE"""),"БИНУЗ - Библиотечно-информационни науки и управление на знанието")</f>
        <v>БИНУЗ - Библиотечно-информационни науки и управление на знанието</v>
      </c>
      <c r="AJ7" s="10" t="str">
        <f ca="1">IFERROR(__xludf.DUMMYFUNCTION("""COMPUTED_VALUE"""),"6-та група")</f>
        <v>6-та група</v>
      </c>
      <c r="AK7" s="10"/>
      <c r="AL7" s="10"/>
      <c r="AM7" s="10"/>
      <c r="AN7" s="10"/>
      <c r="AO7" s="10"/>
      <c r="AP7" s="10"/>
      <c r="AQ7" s="10"/>
      <c r="AR7" s="10"/>
      <c r="AS7" s="10"/>
      <c r="AT7" s="10"/>
      <c r="AU7" s="10"/>
      <c r="AV7" s="10"/>
      <c r="AW7" s="10"/>
      <c r="AX7" s="10"/>
      <c r="AY7" s="10"/>
      <c r="AZ7" s="10"/>
      <c r="BA7" s="10"/>
      <c r="BB7" s="10"/>
    </row>
    <row r="8" spans="1:64" ht="15.75" customHeight="1">
      <c r="A8" s="10"/>
      <c r="B8" s="10"/>
      <c r="C8" s="10" t="str">
        <f ca="1">IFERROR(__xludf.DUMMYFUNCTION("""COMPUTED_VALUE"""),"3.1. Социология, антропология и науки за културата")</f>
        <v>3.1. Социология, антропология и науки за културата</v>
      </c>
      <c r="D8" s="10" t="str">
        <f ca="1">IFERROR(__xludf.DUMMYFUNCTION("""COMPUTED_VALUE"""),"Национална сигурност")</f>
        <v>Национална сигурност</v>
      </c>
      <c r="E8" s="10"/>
      <c r="F8" s="10"/>
      <c r="G8" s="10" t="str">
        <f ca="1">IFERROR(__xludf.DUMMYFUNCTION("""COMPUTED_VALUE"""),"Бургаски свободен университет")</f>
        <v>Бургаски свободен университет</v>
      </c>
      <c r="H8" s="10" t="str">
        <f ca="1">IFERROR(__xludf.DUMMYFUNCTION("""COMPUTED_VALUE"""),"Глава от колективна монография")</f>
        <v>Глава от колективна монография</v>
      </c>
      <c r="I8" s="10">
        <f ca="1">IFERROR(__xludf.DUMMYFUNCTION("""COMPUTED_VALUE"""),2015)</f>
        <v>2015</v>
      </c>
      <c r="J8" s="10">
        <f ca="1">IFERROR(__xludf.DUMMYFUNCTION("""COMPUTED_VALUE"""),2020)</f>
        <v>2020</v>
      </c>
      <c r="K8" s="10"/>
      <c r="L8" s="10"/>
      <c r="M8" s="10" t="str">
        <f ca="1">IFERROR(__xludf.DUMMYFUNCTION("""COMPUTED_VALUE"""),"дипл. комисия")</f>
        <v>дипл. комисия</v>
      </c>
      <c r="N8" s="10"/>
      <c r="O8" s="10"/>
      <c r="P8" s="10"/>
      <c r="Q8" s="10" t="str">
        <f ca="1">IFERROR(__xludf.DUMMYFUNCTION("""COMPUTED_VALUE"""),"3.5 Иновативни комуникации и медийни технологии (ИКМТ)")</f>
        <v>3.5 Иновативни комуникации и медийни технологии (ИКМТ)</v>
      </c>
      <c r="R8" s="10" t="str">
        <f ca="1">IFERROR(__xludf.DUMMYFUNCTION("""COMPUTED_VALUE"""),"рък. катедра")</f>
        <v>рък. катедра</v>
      </c>
      <c r="S8" s="10"/>
      <c r="T8" s="10"/>
      <c r="U8" s="10"/>
      <c r="V8" s="10"/>
      <c r="W8" s="10"/>
      <c r="X8" s="10" t="str">
        <f ca="1">IFERROR(__xludf.DUMMYFUNCTION("""COMPUTED_VALUE"""),"Входяща мобилност - организиране на преподавателска дейност на външни лица в УниБИТ")</f>
        <v>Входяща мобилност - организиране на преподавателска дейност на външни лица в УниБИТ</v>
      </c>
      <c r="Y8" s="10" t="str">
        <f ca="1">IFERROR(__xludf.DUMMYFUNCTION("""COMPUTED_VALUE"""),"Варненски свободен университет „Черноризец Храбър“")</f>
        <v>Варненски свободен университет „Черноризец Храбър“</v>
      </c>
      <c r="Z8" s="10"/>
      <c r="AA8" s="10" t="str">
        <f ca="1">IFERROR(__xludf.DUMMYFUNCTION("""COMPUTED_VALUE"""),"със задания в платформата")</f>
        <v>със задания в платформата</v>
      </c>
      <c r="AB8" s="10"/>
      <c r="AC8" s="10" t="str">
        <f ca="1">IFERROR(__xludf.DUMMYFUNCTION("""COMPUTED_VALUE"""),"чат")</f>
        <v>чат</v>
      </c>
      <c r="AD8" s="10"/>
      <c r="AE8" s="25" t="str">
        <f ca="1">IFERROR(__xludf.DUMMYFUNCTION("""COMPUTED_VALUE"""),"март 2020")</f>
        <v>март 2020</v>
      </c>
      <c r="AF8" s="25" t="str">
        <f ca="1">IFERROR(__xludf.DUMMYFUNCTION("""COMPUTED_VALUE"""),"03.20")</f>
        <v>03.20</v>
      </c>
      <c r="AG8" s="10" t="str">
        <f ca="1">IFERROR(__xludf.DUMMYFUNCTION("""COMPUTED_VALUE"""),"консултации (часове)")</f>
        <v>консултации (часове)</v>
      </c>
      <c r="AH8" s="10" t="str">
        <f ca="1">IFERROR(__xludf.DUMMYFUNCTION("""COMPUTED_VALUE"""),"КНИБ - Компютърни науки и информационно брокерство")</f>
        <v>КНИБ - Компютърни науки и информационно брокерство</v>
      </c>
      <c r="AI8" s="10" t="str">
        <f ca="1">IFERROR(__xludf.DUMMYFUNCTION("""COMPUTED_VALUE"""),"ИКМТ - Иновативни комуникации и медийни технологии")</f>
        <v>ИКМТ - Иновативни комуникации и медийни технологии</v>
      </c>
      <c r="AJ8" s="10" t="str">
        <f ca="1">IFERROR(__xludf.DUMMYFUNCTION("""COMPUTED_VALUE"""),"1-ви поток")</f>
        <v>1-ви поток</v>
      </c>
      <c r="AK8" s="10"/>
      <c r="AL8" s="10"/>
      <c r="AM8" s="10"/>
      <c r="AN8" s="10"/>
      <c r="AO8" s="10"/>
      <c r="AP8" s="10"/>
      <c r="AQ8" s="10"/>
      <c r="AR8" s="10"/>
      <c r="AS8" s="10"/>
      <c r="AT8" s="10"/>
      <c r="AU8" s="10"/>
      <c r="AV8" s="10"/>
      <c r="AW8" s="10"/>
      <c r="AX8" s="10"/>
      <c r="AY8" s="10"/>
      <c r="AZ8" s="10"/>
      <c r="BA8" s="10"/>
      <c r="BB8" s="10"/>
    </row>
    <row r="9" spans="1:64" ht="15.75" customHeight="1">
      <c r="A9" s="10"/>
      <c r="B9" s="10"/>
      <c r="C9" s="10" t="str">
        <f ca="1">IFERROR(__xludf.DUMMYFUNCTION("""COMPUTED_VALUE"""),"-")</f>
        <v>-</v>
      </c>
      <c r="D9" s="10" t="str">
        <f ca="1">IFERROR(__xludf.DUMMYFUNCTION("""COMPUTED_VALUE"""),"-")</f>
        <v>-</v>
      </c>
      <c r="E9" s="10"/>
      <c r="F9" s="10"/>
      <c r="G9" s="10" t="str">
        <f ca="1">IFERROR(__xludf.DUMMYFUNCTION("""COMPUTED_VALUE"""),"Варненски свободен университет „Черноризец Храбър“")</f>
        <v>Варненски свободен университет „Черноризец Храбър“</v>
      </c>
      <c r="H9" s="10" t="str">
        <f ca="1">IFERROR(__xludf.DUMMYFUNCTION("""COMPUTED_VALUE"""),"Студия")</f>
        <v>Студия</v>
      </c>
      <c r="I9" s="10">
        <f ca="1">IFERROR(__xludf.DUMMYFUNCTION("""COMPUTED_VALUE"""),2014)</f>
        <v>2014</v>
      </c>
      <c r="J9" s="10">
        <f ca="1">IFERROR(__xludf.DUMMYFUNCTION("""COMPUTED_VALUE"""),2019)</f>
        <v>2019</v>
      </c>
      <c r="K9" s="10"/>
      <c r="L9" s="10"/>
      <c r="M9" s="10" t="str">
        <f ca="1">IFERROR(__xludf.DUMMYFUNCTION("""COMPUTED_VALUE"""),"Разработени електронни нови учебни материали")</f>
        <v>Разработени електронни нови учебни материали</v>
      </c>
      <c r="N9" s="10"/>
      <c r="O9" s="10"/>
      <c r="P9" s="10"/>
      <c r="Q9" s="10" t="str">
        <f ca="1">IFERROR(__xludf.DUMMYFUNCTION("""COMPUTED_VALUE"""),"3.5 Информационни ресурси на туризма (ИРТ)")</f>
        <v>3.5 Информационни ресурси на туризма (ИРТ)</v>
      </c>
      <c r="R9" s="10" t="str">
        <f ca="1">IFERROR(__xludf.DUMMYFUNCTION("""COMPUTED_VALUE"""),"директор на департамент")</f>
        <v>директор на департамент</v>
      </c>
      <c r="S9" s="10"/>
      <c r="T9" s="10"/>
      <c r="U9" s="10"/>
      <c r="V9" s="10"/>
      <c r="W9" s="10"/>
      <c r="X9" s="10" t="str">
        <f ca="1">IFERROR(__xludf.DUMMYFUNCTION("""COMPUTED_VALUE"""),"Член на редколегия")</f>
        <v>Член на редколегия</v>
      </c>
      <c r="Y9" s="10" t="str">
        <f ca="1">IFERROR(__xludf.DUMMYFUNCTION("""COMPUTED_VALUE"""),"Великотърновски университет „Свети свети Кирил и Методий“")</f>
        <v>Великотърновски университет „Свети свети Кирил и Методий“</v>
      </c>
      <c r="Z9" s="10"/>
      <c r="AA9" s="10" t="str">
        <f ca="1">IFERROR(__xludf.DUMMYFUNCTION("""COMPUTED_VALUE"""),"със задания по имейл")</f>
        <v>със задания по имейл</v>
      </c>
      <c r="AB9" s="10"/>
      <c r="AC9" s="10" t="str">
        <f ca="1">IFERROR(__xludf.DUMMYFUNCTION("""COMPUTED_VALUE"""),"текущи тестове")</f>
        <v>текущи тестове</v>
      </c>
      <c r="AD9" s="10"/>
      <c r="AE9" s="25" t="str">
        <f ca="1">IFERROR(__xludf.DUMMYFUNCTION("""COMPUTED_VALUE"""),"април 2020")</f>
        <v>април 2020</v>
      </c>
      <c r="AF9" s="25" t="str">
        <f ca="1">IFERROR(__xludf.DUMMYFUNCTION("""COMPUTED_VALUE"""),"04.20")</f>
        <v>04.20</v>
      </c>
      <c r="AG9" s="10"/>
      <c r="AH9" s="10" t="str">
        <f ca="1">IFERROR(__xludf.DUMMYFUNCTION("""COMPUTED_VALUE"""),"НС - Национална сигурност")</f>
        <v>НС - Национална сигурност</v>
      </c>
      <c r="AI9" s="10" t="str">
        <f ca="1">IFERROR(__xludf.DUMMYFUNCTION("""COMPUTED_VALUE"""),"ИРТ -  Информационни ресурси на туризма")</f>
        <v>ИРТ -  Информационни ресурси на туризма</v>
      </c>
      <c r="AJ9" s="10" t="str">
        <f ca="1">IFERROR(__xludf.DUMMYFUNCTION("""COMPUTED_VALUE"""),"2-ри поток")</f>
        <v>2-ри поток</v>
      </c>
      <c r="AK9" s="10"/>
      <c r="AL9" s="10"/>
      <c r="AM9" s="10"/>
      <c r="AN9" s="10"/>
      <c r="AO9" s="10"/>
      <c r="AP9" s="10"/>
      <c r="AQ9" s="10"/>
      <c r="AR9" s="10"/>
      <c r="AS9" s="10"/>
      <c r="AT9" s="10"/>
      <c r="AU9" s="10"/>
      <c r="AV9" s="10"/>
      <c r="AW9" s="10"/>
      <c r="AX9" s="10"/>
      <c r="AY9" s="10"/>
      <c r="AZ9" s="10"/>
      <c r="BA9" s="10"/>
      <c r="BB9" s="10"/>
    </row>
    <row r="10" spans="1:64" ht="15.75" customHeight="1">
      <c r="A10" s="10"/>
      <c r="B10" s="10"/>
      <c r="C10" s="10"/>
      <c r="D10" s="10"/>
      <c r="E10" s="10"/>
      <c r="F10" s="10"/>
      <c r="G10" s="10" t="str">
        <f ca="1">IFERROR(__xludf.DUMMYFUNCTION("""COMPUTED_VALUE"""),"Великотърновски университет „Свети свети Кирил и Методий“")</f>
        <v>Великотърновски университет „Свети свети Кирил и Методий“</v>
      </c>
      <c r="H10" s="10" t="str">
        <f ca="1">IFERROR(__xludf.DUMMYFUNCTION("""COMPUTED_VALUE"""),"Речник")</f>
        <v>Речник</v>
      </c>
      <c r="I10" s="10">
        <f ca="1">IFERROR(__xludf.DUMMYFUNCTION("""COMPUTED_VALUE"""),2013)</f>
        <v>2013</v>
      </c>
      <c r="J10" s="10">
        <f ca="1">IFERROR(__xludf.DUMMYFUNCTION("""COMPUTED_VALUE"""),2018)</f>
        <v>2018</v>
      </c>
      <c r="K10" s="10"/>
      <c r="L10" s="10"/>
      <c r="M10" s="10" t="str">
        <f ca="1">IFERROR(__xludf.DUMMYFUNCTION("""COMPUTED_VALUE"""),"Подготовка на нови и актуализиране на учебни програми")</f>
        <v>Подготовка на нови и актуализиране на учебни програми</v>
      </c>
      <c r="N10" s="10"/>
      <c r="O10" s="10"/>
      <c r="P10" s="10"/>
      <c r="Q10" s="10" t="str">
        <f ca="1">IFERROR(__xludf.DUMMYFUNCTION("""COMPUTED_VALUE"""),"3.5 Комуникации и информиране (КИ)")</f>
        <v>3.5 Комуникации и информиране (КИ)</v>
      </c>
      <c r="R10" s="10" t="str">
        <f ca="1">IFERROR(__xludf.DUMMYFUNCTION("""COMPUTED_VALUE"""),"директор на дирекция")</f>
        <v>директор на дирекция</v>
      </c>
      <c r="S10" s="10"/>
      <c r="T10" s="10"/>
      <c r="U10" s="10"/>
      <c r="V10" s="10"/>
      <c r="W10" s="10"/>
      <c r="X10" s="10"/>
      <c r="Y10" s="10" t="str">
        <f ca="1">IFERROR(__xludf.DUMMYFUNCTION("""COMPUTED_VALUE"""),"Висше военноморско училище „Никола Вапцаров“")</f>
        <v>Висше военноморско училище „Никола Вапцаров“</v>
      </c>
      <c r="Z10" s="10"/>
      <c r="AA10" s="10"/>
      <c r="AB10" s="10"/>
      <c r="AC10" s="10"/>
      <c r="AD10" s="10"/>
      <c r="AE10" s="25" t="str">
        <f ca="1">IFERROR(__xludf.DUMMYFUNCTION("""COMPUTED_VALUE"""),"май 2020")</f>
        <v>май 2020</v>
      </c>
      <c r="AF10" s="25" t="str">
        <f ca="1">IFERROR(__xludf.DUMMYFUNCTION("""COMPUTED_VALUE"""),"05.20")</f>
        <v>05.20</v>
      </c>
      <c r="AG10" s="10"/>
      <c r="AH10" s="10" t="str">
        <f ca="1">IFERROR(__xludf.DUMMYFUNCTION("""COMPUTED_VALUE"""),"НС КИН - НС и културно-историческо наследство")</f>
        <v>НС КИН - НС и културно-историческо наследство</v>
      </c>
      <c r="AI10" s="10" t="str">
        <f ca="1">IFERROR(__xludf.DUMMYFUNCTION("""COMPUTED_VALUE"""),"КИ - Комуникации и информиране")</f>
        <v>КИ - Комуникации и информиране</v>
      </c>
      <c r="AJ10" s="10"/>
      <c r="AK10" s="10"/>
      <c r="AL10" s="10"/>
      <c r="AM10" s="10"/>
      <c r="AN10" s="10"/>
      <c r="AO10" s="10"/>
      <c r="AP10" s="10"/>
      <c r="AQ10" s="10"/>
      <c r="AR10" s="10"/>
      <c r="AS10" s="10"/>
      <c r="AT10" s="10"/>
      <c r="AU10" s="10"/>
      <c r="AV10" s="10"/>
      <c r="AW10" s="10"/>
      <c r="AX10" s="10"/>
      <c r="AY10" s="10"/>
      <c r="AZ10" s="10"/>
      <c r="BA10" s="10"/>
      <c r="BB10" s="10"/>
    </row>
    <row r="11" spans="1:64" ht="12.75">
      <c r="A11" s="10"/>
      <c r="B11" s="10"/>
      <c r="C11" s="10"/>
      <c r="D11" s="10"/>
      <c r="E11" s="10"/>
      <c r="F11" s="10"/>
      <c r="G11" s="10" t="str">
        <f ca="1">IFERROR(__xludf.DUMMYFUNCTION("""COMPUTED_VALUE"""),"Висше военноморско училище „Никола Вапцаров“")</f>
        <v>Висше военноморско училище „Никола Вапцаров“</v>
      </c>
      <c r="H11" s="10" t="str">
        <f ca="1">IFERROR(__xludf.DUMMYFUNCTION("""COMPUTED_VALUE"""),"Патент")</f>
        <v>Патент</v>
      </c>
      <c r="I11" s="10">
        <f ca="1">IFERROR(__xludf.DUMMYFUNCTION("""COMPUTED_VALUE"""),2012)</f>
        <v>2012</v>
      </c>
      <c r="J11" s="10">
        <f ca="1">IFERROR(__xludf.DUMMYFUNCTION("""COMPUTED_VALUE"""),2017)</f>
        <v>2017</v>
      </c>
      <c r="K11" s="10"/>
      <c r="L11" s="10"/>
      <c r="M11" s="10" t="str">
        <f ca="1">IFERROR(__xludf.DUMMYFUNCTION("""COMPUTED_VALUE"""),"научна дейност")</f>
        <v>научна дейност</v>
      </c>
      <c r="N11" s="10"/>
      <c r="O11" s="10"/>
      <c r="P11" s="10"/>
      <c r="Q11" s="10" t="str">
        <f ca="1">IFERROR(__xludf.DUMMYFUNCTION("""COMPUTED_VALUE"""),"3.5 Обществени политики и практики (ОПП)")</f>
        <v>3.5 Обществени политики и практики (ОПП)</v>
      </c>
      <c r="R11" s="10" t="str">
        <f ca="1">IFERROR(__xludf.DUMMYFUNCTION("""COMPUTED_VALUE"""),"директор на институт")</f>
        <v>директор на институт</v>
      </c>
      <c r="S11" s="10"/>
      <c r="T11" s="10"/>
      <c r="U11" s="10"/>
      <c r="V11" s="10"/>
      <c r="W11" s="10"/>
      <c r="X11" s="10"/>
      <c r="Y11" s="10" t="str">
        <f ca="1">IFERROR(__xludf.DUMMYFUNCTION("""COMPUTED_VALUE"""),"Висше строително училище „Любен Каравелов“")</f>
        <v>Висше строително училище „Любен Каравелов“</v>
      </c>
      <c r="Z11" s="10"/>
      <c r="AA11" s="10"/>
      <c r="AB11" s="10"/>
      <c r="AC11" s="10"/>
      <c r="AD11" s="10"/>
      <c r="AE11" s="25" t="str">
        <f ca="1">IFERROR(__xludf.DUMMYFUNCTION("""COMPUTED_VALUE"""),"юни 2020")</f>
        <v>юни 2020</v>
      </c>
      <c r="AF11" s="25" t="str">
        <f ca="1">IFERROR(__xludf.DUMMYFUNCTION("""COMPUTED_VALUE"""),"06.20")</f>
        <v>06.20</v>
      </c>
      <c r="AG11" s="10"/>
      <c r="AH11" s="10" t="str">
        <f ca="1">IFERROR(__xludf.DUMMYFUNCTION("""COMPUTED_VALUE"""),"--------------------------ФБКН БАКАЛАВРИ")</f>
        <v>--------------------------ФБКН БАКАЛАВРИ</v>
      </c>
      <c r="AI11" s="10" t="str">
        <f ca="1">IFERROR(__xludf.DUMMYFUNCTION("""COMPUTED_VALUE"""),"ОПП - Обществени политики и практики")</f>
        <v>ОПП - Обществени политики и практики</v>
      </c>
      <c r="AJ11" s="10"/>
      <c r="AK11" s="10"/>
      <c r="AL11" s="10"/>
      <c r="AM11" s="10"/>
      <c r="AN11" s="10"/>
      <c r="AO11" s="10"/>
      <c r="AP11" s="10"/>
      <c r="AQ11" s="10"/>
      <c r="AR11" s="10"/>
      <c r="AS11" s="10"/>
      <c r="AT11" s="10"/>
      <c r="AU11" s="10"/>
      <c r="AV11" s="10"/>
      <c r="AW11" s="10"/>
      <c r="AX11" s="10"/>
      <c r="AY11" s="10"/>
      <c r="AZ11" s="10"/>
      <c r="BA11" s="10"/>
      <c r="BB11" s="10"/>
    </row>
    <row r="12" spans="1:64" ht="12.75">
      <c r="A12" s="10"/>
      <c r="B12" s="10"/>
      <c r="C12" s="10"/>
      <c r="D12" s="10"/>
      <c r="E12" s="10"/>
      <c r="F12" s="10"/>
      <c r="G12" s="10" t="str">
        <f ca="1">IFERROR(__xludf.DUMMYFUNCTION("""COMPUTED_VALUE"""),"Висше училище по сигурност и икономика")</f>
        <v>Висше училище по сигурност и икономика</v>
      </c>
      <c r="H12" s="10" t="str">
        <f ca="1">IFERROR(__xludf.DUMMYFUNCTION("""COMPUTED_VALUE"""),"-")</f>
        <v>-</v>
      </c>
      <c r="I12" s="10">
        <f ca="1">IFERROR(__xludf.DUMMYFUNCTION("""COMPUTED_VALUE"""),2011)</f>
        <v>2011</v>
      </c>
      <c r="J12" s="10">
        <f ca="1">IFERROR(__xludf.DUMMYFUNCTION("""COMPUTED_VALUE"""),2016)</f>
        <v>2016</v>
      </c>
      <c r="K12" s="10"/>
      <c r="L12" s="10"/>
      <c r="M12" s="10" t="str">
        <f ca="1">IFERROR(__xludf.DUMMYFUNCTION("""COMPUTED_VALUE"""),"проектна дейност")</f>
        <v>проектна дейност</v>
      </c>
      <c r="N12" s="10"/>
      <c r="O12" s="10"/>
      <c r="P12" s="10"/>
      <c r="Q12" s="10" t="str">
        <f ca="1">IFERROR(__xludf.DUMMYFUNCTION("""COMPUTED_VALUE"""),"3.5 Печатни комуникации")</f>
        <v>3.5 Печатни комуникации</v>
      </c>
      <c r="R12" s="10" t="str">
        <f ca="1">IFERROR(__xludf.DUMMYFUNCTION("""COMPUTED_VALUE"""),"зам.-декан")</f>
        <v>зам.-декан</v>
      </c>
      <c r="S12" s="10"/>
      <c r="T12" s="10"/>
      <c r="U12" s="10"/>
      <c r="V12" s="10"/>
      <c r="W12" s="10"/>
      <c r="X12" s="10"/>
      <c r="Y12" s="10" t="str">
        <f ca="1">IFERROR(__xludf.DUMMYFUNCTION("""COMPUTED_VALUE"""),"Висше транспортно училище „Тодор Каблешков“")</f>
        <v>Висше транспортно училище „Тодор Каблешков“</v>
      </c>
      <c r="Z12" s="10"/>
      <c r="AA12" s="10"/>
      <c r="AB12" s="10"/>
      <c r="AC12" s="10"/>
      <c r="AD12" s="10"/>
      <c r="AE12" s="25" t="str">
        <f ca="1">IFERROR(__xludf.DUMMYFUNCTION("""COMPUTED_VALUE"""),"юли 2020")</f>
        <v>юли 2020</v>
      </c>
      <c r="AF12" s="25" t="str">
        <f ca="1">IFERROR(__xludf.DUMMYFUNCTION("""COMPUTED_VALUE"""),"07.20")</f>
        <v>07.20</v>
      </c>
      <c r="AG12" s="10"/>
      <c r="AH12" s="10" t="str">
        <f ca="1">IFERROR(__xludf.DUMMYFUNCTION("""COMPUTED_VALUE"""),"КИН Културно-историческо наследство")</f>
        <v>КИН Културно-историческо наследство</v>
      </c>
      <c r="AI12" s="10" t="str">
        <f ca="1">IFERROR(__xludf.DUMMYFUNCTION("""COMPUTED_VALUE"""),"ПК - Печатни комуникации")</f>
        <v>ПК - Печатни комуникации</v>
      </c>
      <c r="AJ12" s="10"/>
      <c r="AK12" s="10"/>
      <c r="AL12" s="10"/>
      <c r="AM12" s="10"/>
      <c r="AN12" s="10"/>
      <c r="AO12" s="10"/>
      <c r="AP12" s="10"/>
      <c r="AQ12" s="10"/>
      <c r="AR12" s="10"/>
      <c r="AS12" s="10"/>
      <c r="AT12" s="10"/>
      <c r="AU12" s="10"/>
      <c r="AV12" s="10"/>
      <c r="AW12" s="10"/>
      <c r="AX12" s="10"/>
      <c r="AY12" s="10"/>
      <c r="AZ12" s="10"/>
      <c r="BA12" s="10"/>
      <c r="BB12" s="10"/>
    </row>
    <row r="13" spans="1:64" ht="12.75">
      <c r="A13" s="10"/>
      <c r="B13" s="10"/>
      <c r="C13" s="10"/>
      <c r="D13" s="10"/>
      <c r="E13" s="10"/>
      <c r="F13" s="10"/>
      <c r="G13" s="10" t="str">
        <f ca="1">IFERROR(__xludf.DUMMYFUNCTION("""COMPUTED_VALUE"""),"Висше училище по телекомуникации и пощи")</f>
        <v>Висше училище по телекомуникации и пощи</v>
      </c>
      <c r="H13" s="10"/>
      <c r="I13" s="10">
        <f ca="1">IFERROR(__xludf.DUMMYFUNCTION("""COMPUTED_VALUE"""),2010)</f>
        <v>2010</v>
      </c>
      <c r="J13" s="10">
        <f ca="1">IFERROR(__xludf.DUMMYFUNCTION("""COMPUTED_VALUE"""),2015)</f>
        <v>2015</v>
      </c>
      <c r="K13" s="10"/>
      <c r="L13" s="10"/>
      <c r="M13" s="10" t="str">
        <f ca="1">IFERROR(__xludf.DUMMYFUNCTION("""COMPUTED_VALUE"""),"административна дейност")</f>
        <v>административна дейност</v>
      </c>
      <c r="N13" s="10"/>
      <c r="O13" s="10"/>
      <c r="P13" s="10"/>
      <c r="Q13" s="10" t="str">
        <f ca="1">IFERROR(__xludf.DUMMYFUNCTION("""COMPUTED_VALUE"""),"--------------------------ФИН БАКАЛАВРИ")</f>
        <v>--------------------------ФИН БАКАЛАВРИ</v>
      </c>
      <c r="R13" s="10" t="str">
        <f ca="1">IFERROR(__xludf.DUMMYFUNCTION("""COMPUTED_VALUE"""),"декан")</f>
        <v>декан</v>
      </c>
      <c r="S13" s="10"/>
      <c r="T13" s="10"/>
      <c r="U13" s="10"/>
      <c r="V13" s="10"/>
      <c r="W13" s="10"/>
      <c r="X13" s="10"/>
      <c r="Y13" s="10" t="str">
        <f ca="1">IFERROR(__xludf.DUMMYFUNCTION("""COMPUTED_VALUE"""),"Висше училище по агробизнес и развитие на регионите")</f>
        <v>Висше училище по агробизнес и развитие на регионите</v>
      </c>
      <c r="Z13" s="10"/>
      <c r="AA13" s="10"/>
      <c r="AB13" s="10"/>
      <c r="AC13" s="10"/>
      <c r="AD13" s="10"/>
      <c r="AE13" s="25" t="str">
        <f ca="1">IFERROR(__xludf.DUMMYFUNCTION("""COMPUTED_VALUE"""),"август 2020")</f>
        <v>август 2020</v>
      </c>
      <c r="AF13" s="25" t="str">
        <f ca="1">IFERROR(__xludf.DUMMYFUNCTION("""COMPUTED_VALUE"""),"08.20")</f>
        <v>08.20</v>
      </c>
      <c r="AG13" s="10"/>
      <c r="AH13" s="10" t="str">
        <f ca="1">IFERROR(__xludf.DUMMYFUNCTION("""COMPUTED_VALUE"""),"АД - Архивистика и документалистика")</f>
        <v>АД - Архивистика и документалистика</v>
      </c>
      <c r="AI13" s="10"/>
      <c r="AJ13" s="10"/>
      <c r="AK13" s="10"/>
      <c r="AL13" s="10"/>
      <c r="AM13" s="10"/>
      <c r="AN13" s="10"/>
      <c r="AO13" s="10"/>
      <c r="AP13" s="10"/>
      <c r="AQ13" s="10"/>
      <c r="AR13" s="10"/>
      <c r="AS13" s="10"/>
      <c r="AT13" s="10"/>
      <c r="AU13" s="10"/>
      <c r="AV13" s="10"/>
      <c r="AW13" s="10"/>
      <c r="AX13" s="10"/>
      <c r="AY13" s="10"/>
      <c r="AZ13" s="10"/>
      <c r="BA13" s="10"/>
      <c r="BB13" s="10"/>
    </row>
    <row r="14" spans="1:64" ht="12.75">
      <c r="A14" s="10"/>
      <c r="B14" s="10"/>
      <c r="C14" s="10"/>
      <c r="D14" s="10"/>
      <c r="E14" s="10"/>
      <c r="F14" s="10"/>
      <c r="G14" s="10" t="str">
        <f ca="1">IFERROR(__xludf.DUMMYFUNCTION("""COMPUTED_VALUE"""),"Военна академия „Георги Раковски“")</f>
        <v>Военна академия „Георги Раковски“</v>
      </c>
      <c r="H14" s="10"/>
      <c r="I14" s="10">
        <f ca="1">IFERROR(__xludf.DUMMYFUNCTION("""COMPUTED_VALUE"""),2009)</f>
        <v>2009</v>
      </c>
      <c r="J14" s="10">
        <f ca="1">IFERROR(__xludf.DUMMYFUNCTION("""COMPUTED_VALUE"""),2014)</f>
        <v>2014</v>
      </c>
      <c r="K14" s="10"/>
      <c r="L14" s="10"/>
      <c r="M14" s="10"/>
      <c r="N14" s="10"/>
      <c r="O14" s="10"/>
      <c r="P14" s="10"/>
      <c r="Q14" s="10" t="str">
        <f ca="1">IFERROR(__xludf.DUMMYFUNCTION("""COMPUTED_VALUE"""),"4.6 Информатика и комютърни науки (ИКН)")</f>
        <v>4.6 Информатика и комютърни науки (ИКН)</v>
      </c>
      <c r="R14" s="10" t="str">
        <f ca="1">IFERROR(__xludf.DUMMYFUNCTION("""COMPUTED_VALUE"""),"зам.-ректор")</f>
        <v>зам.-ректор</v>
      </c>
      <c r="S14" s="10"/>
      <c r="T14" s="10"/>
      <c r="U14" s="10"/>
      <c r="V14" s="10"/>
      <c r="W14" s="10"/>
      <c r="X14" s="10"/>
      <c r="Y14" s="10" t="str">
        <f ca="1">IFERROR(__xludf.DUMMYFUNCTION("""COMPUTED_VALUE"""),"Висше училище по застраховане и финанси")</f>
        <v>Висше училище по застраховане и финанси</v>
      </c>
      <c r="Z14" s="10"/>
      <c r="AA14" s="10"/>
      <c r="AB14" s="10"/>
      <c r="AC14" s="10"/>
      <c r="AD14" s="10"/>
      <c r="AE14" s="25" t="str">
        <f ca="1">IFERROR(__xludf.DUMMYFUNCTION("""COMPUTED_VALUE"""),"септември 2020")</f>
        <v>септември 2020</v>
      </c>
      <c r="AF14" s="25" t="str">
        <f ca="1">IFERROR(__xludf.DUMMYFUNCTION("""COMPUTED_VALUE"""),"09.20")</f>
        <v>09.20</v>
      </c>
      <c r="AG14" s="10"/>
      <c r="AH14" s="10" t="str">
        <f ca="1">IFERROR(__xludf.DUMMYFUNCTION("""COMPUTED_VALUE"""),"ББ -  Библиотекознание и библиография")</f>
        <v>ББ -  Библиотекознание и библиография</v>
      </c>
      <c r="AI14" s="10"/>
      <c r="AJ14" s="10"/>
      <c r="AK14" s="10"/>
      <c r="AL14" s="10"/>
      <c r="AM14" s="10"/>
      <c r="AN14" s="10"/>
      <c r="AO14" s="10"/>
      <c r="AP14" s="10"/>
      <c r="AQ14" s="10"/>
      <c r="AR14" s="10"/>
      <c r="AS14" s="10"/>
      <c r="AT14" s="10"/>
      <c r="AU14" s="10"/>
      <c r="AV14" s="10"/>
      <c r="AW14" s="10"/>
      <c r="AX14" s="10"/>
      <c r="AY14" s="10"/>
      <c r="AZ14" s="10"/>
      <c r="BA14" s="10"/>
      <c r="BB14" s="10"/>
    </row>
    <row r="15" spans="1:64" ht="12.75">
      <c r="A15" s="10"/>
      <c r="B15" s="10"/>
      <c r="C15" s="10"/>
      <c r="D15" s="10"/>
      <c r="E15" s="10"/>
      <c r="F15" s="10"/>
      <c r="G15" s="10" t="str">
        <f ca="1">IFERROR(__xludf.DUMMYFUNCTION("""COMPUTED_VALUE"""),"Икономически университет, Варна")</f>
        <v>Икономически университет, Варна</v>
      </c>
      <c r="H15" s="10"/>
      <c r="I15" s="10">
        <f ca="1">IFERROR(__xludf.DUMMYFUNCTION("""COMPUTED_VALUE"""),2008)</f>
        <v>2008</v>
      </c>
      <c r="J15" s="10"/>
      <c r="K15" s="10"/>
      <c r="L15" s="10"/>
      <c r="M15" s="10"/>
      <c r="N15" s="10"/>
      <c r="O15" s="10"/>
      <c r="P15" s="10"/>
      <c r="Q15" s="10" t="str">
        <f ca="1">IFERROR(__xludf.DUMMYFUNCTION("""COMPUTED_VALUE"""),"4.6 Компютърни науки (КН)")</f>
        <v>4.6 Компютърни науки (КН)</v>
      </c>
      <c r="R15" s="10" t="str">
        <f ca="1">IFERROR(__xludf.DUMMYFUNCTION("""COMPUTED_VALUE"""),"ректор")</f>
        <v>ректор</v>
      </c>
      <c r="S15" s="10"/>
      <c r="T15" s="10"/>
      <c r="U15" s="10"/>
      <c r="V15" s="10"/>
      <c r="W15" s="10"/>
      <c r="X15" s="10"/>
      <c r="Y15" s="10" t="str">
        <f ca="1">IFERROR(__xludf.DUMMYFUNCTION("""COMPUTED_VALUE"""),"Висше училище по мениджмънт")</f>
        <v>Висше училище по мениджмънт</v>
      </c>
      <c r="Z15" s="10"/>
      <c r="AA15" s="10"/>
      <c r="AB15" s="10"/>
      <c r="AC15" s="10"/>
      <c r="AD15" s="10"/>
      <c r="AE15" s="25" t="str">
        <f ca="1">IFERROR(__xludf.DUMMYFUNCTION("""COMPUTED_VALUE"""),"октомври 2020")</f>
        <v>октомври 2020</v>
      </c>
      <c r="AF15" s="25" t="str">
        <f ca="1">IFERROR(__xludf.DUMMYFUNCTION("""COMPUTED_VALUE"""),"10.20")</f>
        <v>10.20</v>
      </c>
      <c r="AG15" s="10"/>
      <c r="AH15" s="10" t="str">
        <f ca="1">IFERROR(__xludf.DUMMYFUNCTION("""COMPUTED_VALUE"""),"БИМ -  Библиотечен и информационен мениджмънт")</f>
        <v>БИМ -  Библиотечен и информационен мениджмънт</v>
      </c>
      <c r="AI15" s="10"/>
      <c r="AJ15" s="10"/>
      <c r="AK15" s="10"/>
      <c r="AL15" s="10"/>
      <c r="AM15" s="10"/>
      <c r="AN15" s="10"/>
      <c r="AO15" s="10"/>
      <c r="AP15" s="10"/>
      <c r="AQ15" s="10"/>
      <c r="AR15" s="10"/>
      <c r="AS15" s="10"/>
      <c r="AT15" s="10"/>
      <c r="AU15" s="10"/>
      <c r="AV15" s="10"/>
      <c r="AW15" s="10"/>
      <c r="AX15" s="10"/>
      <c r="AY15" s="10"/>
      <c r="AZ15" s="10"/>
      <c r="BA15" s="10"/>
      <c r="BB15" s="10"/>
    </row>
    <row r="16" spans="1:64" ht="12.75">
      <c r="A16" s="10"/>
      <c r="B16" s="10"/>
      <c r="C16" s="10"/>
      <c r="D16" s="10"/>
      <c r="E16" s="10"/>
      <c r="F16" s="10"/>
      <c r="G16" s="10" t="str">
        <f ca="1">IFERROR(__xludf.DUMMYFUNCTION("""COMPUTED_VALUE"""),"Пловдивски университет „Паисий Хилендарски“")</f>
        <v>Пловдивски университет „Паисий Хилендарски“</v>
      </c>
      <c r="H16" s="10"/>
      <c r="I16" s="10">
        <f ca="1">IFERROR(__xludf.DUMMYFUNCTION("""COMPUTED_VALUE"""),2007)</f>
        <v>2007</v>
      </c>
      <c r="J16" s="10"/>
      <c r="K16" s="10"/>
      <c r="L16" s="10"/>
      <c r="M16" s="10"/>
      <c r="N16" s="10"/>
      <c r="O16" s="10"/>
      <c r="P16" s="10"/>
      <c r="Q16" s="10" t="str">
        <f ca="1">IFERROR(__xludf.DUMMYFUNCTION("""COMPUTED_VALUE"""),"4.6 Информационни технологии (ИТ)")</f>
        <v>4.6 Информационни технологии (ИТ)</v>
      </c>
      <c r="R16" s="10"/>
      <c r="S16" s="10"/>
      <c r="T16" s="10"/>
      <c r="U16" s="10"/>
      <c r="V16" s="10"/>
      <c r="W16" s="10"/>
      <c r="X16" s="10"/>
      <c r="Y16" s="10" t="str">
        <f ca="1">IFERROR(__xludf.DUMMYFUNCTION("""COMPUTED_VALUE"""),"Висше училище по сигурност и икономика")</f>
        <v>Висше училище по сигурност и икономика</v>
      </c>
      <c r="Z16" s="10"/>
      <c r="AA16" s="10"/>
      <c r="AB16" s="10"/>
      <c r="AC16" s="10"/>
      <c r="AD16" s="10"/>
      <c r="AE16" s="25" t="str">
        <f ca="1">IFERROR(__xludf.DUMMYFUNCTION("""COMPUTED_VALUE"""),"ноември 2020")</f>
        <v>ноември 2020</v>
      </c>
      <c r="AF16" s="25" t="str">
        <f ca="1">IFERROR(__xludf.DUMMYFUNCTION("""COMPUTED_VALUE"""),"11.20")</f>
        <v>11.20</v>
      </c>
      <c r="AG16" s="10"/>
      <c r="AH16" s="10" t="str">
        <f ca="1">IFERROR(__xludf.DUMMYFUNCTION("""COMPUTED_VALUE"""),"БИНУЗ - Библиотечно-информационни науки и управление на знанието")</f>
        <v>БИНУЗ - Библиотечно-информационни науки и управление на знанието</v>
      </c>
      <c r="AI16" s="10"/>
      <c r="AJ16" s="10"/>
      <c r="AK16" s="10"/>
      <c r="AL16" s="10"/>
      <c r="AM16" s="10"/>
      <c r="AN16" s="10"/>
      <c r="AO16" s="10"/>
      <c r="AP16" s="10"/>
      <c r="AQ16" s="10"/>
      <c r="AR16" s="10"/>
      <c r="AS16" s="10"/>
      <c r="AT16" s="10"/>
      <c r="AU16" s="10"/>
      <c r="AV16" s="10"/>
      <c r="AW16" s="10"/>
      <c r="AX16" s="10"/>
      <c r="AY16" s="10"/>
      <c r="AZ16" s="10"/>
      <c r="BA16" s="10"/>
      <c r="BB16" s="10"/>
    </row>
    <row r="17" spans="1:54" ht="12.75">
      <c r="A17" s="10"/>
      <c r="B17" s="10"/>
      <c r="C17" s="10"/>
      <c r="D17" s="10"/>
      <c r="E17" s="10"/>
      <c r="F17" s="10"/>
      <c r="G17" s="10" t="str">
        <f ca="1">IFERROR(__xludf.DUMMYFUNCTION("""COMPUTED_VALUE"""),"Софийски университет „Свети Климент Охридски“")</f>
        <v>Софийски университет „Свети Климент Охридски“</v>
      </c>
      <c r="H17" s="10"/>
      <c r="I17" s="10">
        <f ca="1">IFERROR(__xludf.DUMMYFUNCTION("""COMPUTED_VALUE"""),2006)</f>
        <v>2006</v>
      </c>
      <c r="J17" s="10"/>
      <c r="K17" s="10"/>
      <c r="L17" s="10"/>
      <c r="M17" s="10"/>
      <c r="N17" s="10"/>
      <c r="O17" s="10"/>
      <c r="P17" s="10"/>
      <c r="Q17" s="10" t="str">
        <f ca="1">IFERROR(__xludf.DUMMYFUNCTION("""COMPUTED_VALUE"""),"4.6 Информационна сигурност (ИС - бак.)")</f>
        <v>4.6 Информационна сигурност (ИС - бак.)</v>
      </c>
      <c r="R17" s="10"/>
      <c r="S17" s="10"/>
      <c r="T17" s="10"/>
      <c r="U17" s="10"/>
      <c r="V17" s="10"/>
      <c r="W17" s="10"/>
      <c r="X17" s="10"/>
      <c r="Y17" s="10" t="str">
        <f ca="1">IFERROR(__xludf.DUMMYFUNCTION("""COMPUTED_VALUE"""),"Висше училище по телекомуникации и пощи")</f>
        <v>Висше училище по телекомуникации и пощи</v>
      </c>
      <c r="Z17" s="10"/>
      <c r="AA17" s="10"/>
      <c r="AB17" s="10"/>
      <c r="AC17" s="10"/>
      <c r="AD17" s="10"/>
      <c r="AE17" s="25" t="str">
        <f ca="1">IFERROR(__xludf.DUMMYFUNCTION("""COMPUTED_VALUE"""),"декември 2020")</f>
        <v>декември 2020</v>
      </c>
      <c r="AF17" s="25" t="str">
        <f ca="1">IFERROR(__xludf.DUMMYFUNCTION("""COMPUTED_VALUE"""),"12.20")</f>
        <v>12.20</v>
      </c>
      <c r="AG17" s="10"/>
      <c r="AH17" s="10" t="str">
        <f ca="1">IFERROR(__xludf.DUMMYFUNCTION("""COMPUTED_VALUE"""),"ИКМТ - Иновативни комуникации и медийни технологии")</f>
        <v>ИКМТ - Иновативни комуникации и медийни технологии</v>
      </c>
      <c r="AI17" s="10"/>
      <c r="AJ17" s="10"/>
      <c r="AK17" s="10"/>
      <c r="AL17" s="10"/>
      <c r="AM17" s="10"/>
      <c r="AN17" s="10"/>
      <c r="AO17" s="10"/>
      <c r="AP17" s="10"/>
      <c r="AQ17" s="10"/>
      <c r="AR17" s="10"/>
      <c r="AS17" s="10"/>
      <c r="AT17" s="10"/>
      <c r="AU17" s="10"/>
      <c r="AV17" s="10"/>
      <c r="AW17" s="10"/>
      <c r="AX17" s="10"/>
      <c r="AY17" s="10"/>
      <c r="AZ17" s="10"/>
      <c r="BA17" s="10"/>
      <c r="BB17" s="10"/>
    </row>
    <row r="18" spans="1:54" ht="12.75">
      <c r="A18" s="10"/>
      <c r="B18" s="10"/>
      <c r="C18" s="10"/>
      <c r="D18" s="10"/>
      <c r="E18" s="10"/>
      <c r="F18" s="10"/>
      <c r="G18" s="10" t="str">
        <f ca="1">IFERROR(__xludf.DUMMYFUNCTION("""COMPUTED_VALUE"""),"Технически университет, София")</f>
        <v>Технически университет, София</v>
      </c>
      <c r="H18" s="10"/>
      <c r="I18" s="10">
        <f ca="1">IFERROR(__xludf.DUMMYFUNCTION("""COMPUTED_VALUE"""),2005)</f>
        <v>2005</v>
      </c>
      <c r="J18" s="10"/>
      <c r="K18" s="10"/>
      <c r="L18" s="10"/>
      <c r="M18" s="10"/>
      <c r="N18" s="10"/>
      <c r="O18" s="10"/>
      <c r="P18" s="10"/>
      <c r="Q18" s="10" t="str">
        <f ca="1">IFERROR(__xludf.DUMMYFUNCTION("""COMPUTED_VALUE"""),"4.6 ИТ в институционална и корпоративна среда (ИТИКС)")</f>
        <v>4.6 ИТ в институционална и корпоративна среда (ИТИКС)</v>
      </c>
      <c r="R18" s="10"/>
      <c r="S18" s="10"/>
      <c r="T18" s="10"/>
      <c r="U18" s="10"/>
      <c r="V18" s="10"/>
      <c r="W18" s="10"/>
      <c r="X18" s="10"/>
      <c r="Y18" s="10" t="str">
        <f ca="1">IFERROR(__xludf.DUMMYFUNCTION("""COMPUTED_VALUE"""),"Военна академия „Георги Раковски“")</f>
        <v>Военна академия „Георги Раковски“</v>
      </c>
      <c r="Z18" s="10"/>
      <c r="AA18" s="10"/>
      <c r="AB18" s="10"/>
      <c r="AC18" s="10"/>
      <c r="AD18" s="10"/>
      <c r="AE18" s="25" t="str">
        <f ca="1">IFERROR(__xludf.DUMMYFUNCTION("""COMPUTED_VALUE"""),"януари 2021")</f>
        <v>януари 2021</v>
      </c>
      <c r="AF18" s="25" t="str">
        <f ca="1">IFERROR(__xludf.DUMMYFUNCTION("""COMPUTED_VALUE"""),"01.21")</f>
        <v>01.21</v>
      </c>
      <c r="AG18" s="10"/>
      <c r="AH18" s="10" t="str">
        <f ca="1">IFERROR(__xludf.DUMMYFUNCTION("""COMPUTED_VALUE"""),"ИРТ -  Информационни ресурси на туризма")</f>
        <v>ИРТ -  Информационни ресурси на туризма</v>
      </c>
      <c r="AI18" s="10"/>
      <c r="AJ18" s="10"/>
      <c r="AK18" s="10"/>
      <c r="AL18" s="10"/>
      <c r="AM18" s="10"/>
      <c r="AN18" s="10"/>
      <c r="AO18" s="10"/>
      <c r="AP18" s="10"/>
      <c r="AQ18" s="10"/>
      <c r="AR18" s="10"/>
      <c r="AS18" s="10"/>
      <c r="AT18" s="10"/>
      <c r="AU18" s="10"/>
      <c r="AV18" s="10"/>
      <c r="AW18" s="10"/>
      <c r="AX18" s="10"/>
      <c r="AY18" s="10"/>
      <c r="AZ18" s="10"/>
      <c r="BA18" s="10"/>
      <c r="BB18" s="10"/>
    </row>
    <row r="19" spans="1:54" ht="12.75">
      <c r="A19" s="10"/>
      <c r="B19" s="10"/>
      <c r="C19" s="10"/>
      <c r="D19" s="10"/>
      <c r="E19" s="10"/>
      <c r="F19" s="10"/>
      <c r="G19" s="10" t="str">
        <f ca="1">IFERROR(__xludf.DUMMYFUNCTION("""COMPUTED_VALUE"""),"Университет ""Проф. д-р Асен Златаров""")</f>
        <v>Университет "Проф. д-р Асен Златаров"</v>
      </c>
      <c r="H19" s="10"/>
      <c r="I19" s="10">
        <f ca="1">IFERROR(__xludf.DUMMYFUNCTION("""COMPUTED_VALUE"""),2004)</f>
        <v>2004</v>
      </c>
      <c r="J19" s="10"/>
      <c r="K19" s="10"/>
      <c r="L19" s="10"/>
      <c r="M19" s="10"/>
      <c r="N19" s="10"/>
      <c r="O19" s="10"/>
      <c r="P19" s="10"/>
      <c r="Q19" s="10" t="str">
        <f ca="1">IFERROR(__xludf.DUMMYFUNCTION("""COMPUTED_VALUE"""),"4.6 Компютърни науки и информационно брокерство (КНИБ)")</f>
        <v>4.6 Компютърни науки и информационно брокерство (КНИБ)</v>
      </c>
      <c r="R19" s="10"/>
      <c r="S19" s="10"/>
      <c r="T19" s="10"/>
      <c r="U19" s="10"/>
      <c r="V19" s="10"/>
      <c r="W19" s="10"/>
      <c r="X19" s="10"/>
      <c r="Y19" s="10" t="str">
        <f ca="1">IFERROR(__xludf.DUMMYFUNCTION("""COMPUTED_VALUE"""),"Европейски политехнически университет")</f>
        <v>Европейски политехнически университет</v>
      </c>
      <c r="Z19" s="10"/>
      <c r="AA19" s="10"/>
      <c r="AB19" s="10"/>
      <c r="AC19" s="10"/>
      <c r="AD19" s="10"/>
      <c r="AE19" s="25" t="str">
        <f ca="1">IFERROR(__xludf.DUMMYFUNCTION("""COMPUTED_VALUE"""),"февруари 2021")</f>
        <v>февруари 2021</v>
      </c>
      <c r="AF19" s="25" t="str">
        <f ca="1">IFERROR(__xludf.DUMMYFUNCTION("""COMPUTED_VALUE"""),"02.21")</f>
        <v>02.21</v>
      </c>
      <c r="AG19" s="10"/>
      <c r="AH19" s="10" t="str">
        <f ca="1">IFERROR(__xludf.DUMMYFUNCTION("""COMPUTED_VALUE"""),"КИ - Комуникации и информиране")</f>
        <v>КИ - Комуникации и информиране</v>
      </c>
      <c r="AI19" s="10"/>
      <c r="AJ19" s="10"/>
      <c r="AK19" s="10"/>
      <c r="AL19" s="10"/>
      <c r="AM19" s="10"/>
      <c r="AN19" s="10"/>
      <c r="AO19" s="10"/>
      <c r="AP19" s="10"/>
      <c r="AQ19" s="10"/>
      <c r="AR19" s="10"/>
      <c r="AS19" s="10"/>
      <c r="AT19" s="10"/>
      <c r="AU19" s="10"/>
      <c r="AV19" s="10"/>
      <c r="AW19" s="10"/>
      <c r="AX19" s="10"/>
      <c r="AY19" s="10"/>
      <c r="AZ19" s="10"/>
      <c r="BA19" s="10"/>
      <c r="BB19" s="10"/>
    </row>
    <row r="20" spans="1:54" ht="12.75">
      <c r="A20" s="10"/>
      <c r="B20" s="10"/>
      <c r="C20" s="10"/>
      <c r="D20" s="10"/>
      <c r="E20" s="10"/>
      <c r="F20" s="10"/>
      <c r="G20" s="10" t="str">
        <f ca="1">IFERROR(__xludf.DUMMYFUNCTION("""COMPUTED_VALUE"""),"Университет за национално и световно стопанство")</f>
        <v>Университет за национално и световно стопанство</v>
      </c>
      <c r="H20" s="10"/>
      <c r="I20" s="10">
        <f ca="1">IFERROR(__xludf.DUMMYFUNCTION("""COMPUTED_VALUE"""),2003)</f>
        <v>2003</v>
      </c>
      <c r="J20" s="10"/>
      <c r="K20" s="10"/>
      <c r="L20" s="10"/>
      <c r="M20" s="10"/>
      <c r="N20" s="10"/>
      <c r="O20" s="10"/>
      <c r="P20" s="10"/>
      <c r="Q20" s="10" t="str">
        <f ca="1">IFERROR(__xludf.DUMMYFUNCTION("""COMPUTED_VALUE"""),"9.1 Национална сигурност (НС-бак.)")</f>
        <v>9.1 Национална сигурност (НС-бак.)</v>
      </c>
      <c r="R20" s="10"/>
      <c r="S20" s="10"/>
      <c r="T20" s="10"/>
      <c r="U20" s="10"/>
      <c r="V20" s="10"/>
      <c r="W20" s="10"/>
      <c r="X20" s="10"/>
      <c r="Y20" s="10" t="str">
        <f ca="1">IFERROR(__xludf.DUMMYFUNCTION("""COMPUTED_VALUE"""),"Европейско висше училище по икономика и мениджмънт")</f>
        <v>Европейско висше училище по икономика и мениджмънт</v>
      </c>
      <c r="Z20" s="10"/>
      <c r="AA20" s="10"/>
      <c r="AB20" s="10"/>
      <c r="AC20" s="10"/>
      <c r="AD20" s="10"/>
      <c r="AE20" s="25" t="str">
        <f ca="1">IFERROR(__xludf.DUMMYFUNCTION("""COMPUTED_VALUE"""),"март 2021")</f>
        <v>март 2021</v>
      </c>
      <c r="AF20" s="25" t="str">
        <f ca="1">IFERROR(__xludf.DUMMYFUNCTION("""COMPUTED_VALUE"""),"03.21")</f>
        <v>03.21</v>
      </c>
      <c r="AG20" s="10"/>
      <c r="AH20" s="10" t="str">
        <f ca="1">IFERROR(__xludf.DUMMYFUNCTION("""COMPUTED_VALUE"""),"ОПП - Обществени политики и практики")</f>
        <v>ОПП - Обществени политики и практики</v>
      </c>
      <c r="AI20" s="10"/>
      <c r="AJ20" s="10"/>
      <c r="AK20" s="10"/>
      <c r="AL20" s="10"/>
      <c r="AM20" s="10"/>
      <c r="AN20" s="10"/>
      <c r="AO20" s="10"/>
      <c r="AP20" s="10"/>
      <c r="AQ20" s="10"/>
      <c r="AR20" s="10"/>
      <c r="AS20" s="10"/>
      <c r="AT20" s="10"/>
      <c r="AU20" s="10"/>
      <c r="AV20" s="10"/>
      <c r="AW20" s="10"/>
      <c r="AX20" s="10"/>
      <c r="AY20" s="10"/>
      <c r="AZ20" s="10"/>
      <c r="BA20" s="10"/>
      <c r="BB20" s="10"/>
    </row>
    <row r="21" spans="1:54" ht="12.75">
      <c r="A21" s="10"/>
      <c r="B21" s="10"/>
      <c r="C21" s="10"/>
      <c r="D21" s="10"/>
      <c r="E21" s="10"/>
      <c r="F21" s="10"/>
      <c r="G21" s="10" t="str">
        <f ca="1">IFERROR(__xludf.DUMMYFUNCTION("""COMPUTED_VALUE"""),"Шуменски университет „Епископ Константин Преславски“")</f>
        <v>Шуменски университет „Епископ Константин Преславски“</v>
      </c>
      <c r="H21" s="10"/>
      <c r="I21" s="10">
        <f ca="1">IFERROR(__xludf.DUMMYFUNCTION("""COMPUTED_VALUE"""),2002)</f>
        <v>2002</v>
      </c>
      <c r="J21" s="10"/>
      <c r="K21" s="10"/>
      <c r="L21" s="10"/>
      <c r="M21" s="10"/>
      <c r="N21" s="10"/>
      <c r="O21" s="10"/>
      <c r="P21" s="10"/>
      <c r="Q21" s="10" t="str">
        <f ca="1">IFERROR(__xludf.DUMMYFUNCTION("""COMPUTED_VALUE"""),"9.1 НС и културно-историческо наследство (НС КИН)")</f>
        <v>9.1 НС и културно-историческо наследство (НС КИН)</v>
      </c>
      <c r="R21" s="10"/>
      <c r="S21" s="10"/>
      <c r="T21" s="10"/>
      <c r="U21" s="10"/>
      <c r="V21" s="10"/>
      <c r="W21" s="10"/>
      <c r="X21" s="10"/>
      <c r="Y21" s="10" t="str">
        <f ca="1">IFERROR(__xludf.DUMMYFUNCTION("""COMPUTED_VALUE"""),"Икономически университет, Варна")</f>
        <v>Икономически университет, Варна</v>
      </c>
      <c r="Z21" s="10"/>
      <c r="AA21" s="10"/>
      <c r="AB21" s="10"/>
      <c r="AC21" s="10"/>
      <c r="AD21" s="10"/>
      <c r="AE21" s="25" t="str">
        <f ca="1">IFERROR(__xludf.DUMMYFUNCTION("""COMPUTED_VALUE"""),"април 2021")</f>
        <v>април 2021</v>
      </c>
      <c r="AF21" s="25" t="str">
        <f ca="1">IFERROR(__xludf.DUMMYFUNCTION("""COMPUTED_VALUE"""),"04.21")</f>
        <v>04.21</v>
      </c>
      <c r="AG21" s="10"/>
      <c r="AH21" s="10" t="str">
        <f ca="1">IFERROR(__xludf.DUMMYFUNCTION("""COMPUTED_VALUE"""),"ПК - Печатни комуникации")</f>
        <v>ПК - Печатни комуникации</v>
      </c>
      <c r="AI21" s="10"/>
      <c r="AJ21" s="10"/>
      <c r="AK21" s="10"/>
      <c r="AL21" s="10"/>
      <c r="AM21" s="10"/>
      <c r="AN21" s="10"/>
      <c r="AO21" s="10"/>
      <c r="AP21" s="10"/>
      <c r="AQ21" s="10"/>
      <c r="AR21" s="10"/>
      <c r="AS21" s="10"/>
      <c r="AT21" s="10"/>
      <c r="AU21" s="10"/>
      <c r="AV21" s="10"/>
      <c r="AW21" s="10"/>
      <c r="AX21" s="10"/>
      <c r="AY21" s="10"/>
      <c r="AZ21" s="10"/>
      <c r="BA21" s="10"/>
      <c r="BB21" s="10"/>
    </row>
    <row r="22" spans="1:54" ht="12.75">
      <c r="A22" s="10"/>
      <c r="B22" s="10"/>
      <c r="C22" s="10"/>
      <c r="D22" s="10"/>
      <c r="E22" s="10"/>
      <c r="F22" s="10"/>
      <c r="G22" s="10" t="str">
        <f ca="1">IFERROR(__xludf.DUMMYFUNCTION("""COMPUTED_VALUE"""),"Югозападен университет „Неофит Рилски“")</f>
        <v>Югозападен университет „Неофит Рилски“</v>
      </c>
      <c r="H22" s="10"/>
      <c r="I22" s="10">
        <f ca="1">IFERROR(__xludf.DUMMYFUNCTION("""COMPUTED_VALUE"""),2001)</f>
        <v>2001</v>
      </c>
      <c r="J22" s="10"/>
      <c r="K22" s="10"/>
      <c r="L22" s="10"/>
      <c r="M22" s="10"/>
      <c r="N22" s="10"/>
      <c r="O22" s="10"/>
      <c r="P22" s="10"/>
      <c r="Q22" s="10" t="str">
        <f ca="1">IFERROR(__xludf.DUMMYFUNCTION("""COMPUTED_VALUE"""),"--------------------------ФБКН МАГИСТРИ")</f>
        <v>--------------------------ФБКН МАГИСТРИ</v>
      </c>
      <c r="R22" s="10"/>
      <c r="S22" s="10"/>
      <c r="T22" s="10"/>
      <c r="U22" s="10"/>
      <c r="V22" s="10"/>
      <c r="W22" s="10"/>
      <c r="X22" s="10"/>
      <c r="Y22" s="10" t="str">
        <f ca="1">IFERROR(__xludf.DUMMYFUNCTION("""COMPUTED_VALUE"""),"Колеж по мениджмънт, търговия и маркетинг")</f>
        <v>Колеж по мениджмънт, търговия и маркетинг</v>
      </c>
      <c r="Z22" s="10"/>
      <c r="AA22" s="10"/>
      <c r="AB22" s="10"/>
      <c r="AC22" s="10"/>
      <c r="AD22" s="10"/>
      <c r="AE22" s="25" t="str">
        <f ca="1">IFERROR(__xludf.DUMMYFUNCTION("""COMPUTED_VALUE"""),"май 2021")</f>
        <v>май 2021</v>
      </c>
      <c r="AF22" s="25" t="str">
        <f ca="1">IFERROR(__xludf.DUMMYFUNCTION("""COMPUTED_VALUE"""),"05.21")</f>
        <v>05.21</v>
      </c>
      <c r="AG22" s="10"/>
      <c r="AH22" s="10"/>
      <c r="AI22" s="10"/>
      <c r="AJ22" s="10"/>
      <c r="AK22" s="10"/>
      <c r="AL22" s="10"/>
      <c r="AM22" s="10"/>
      <c r="AN22" s="10"/>
      <c r="AO22" s="10"/>
      <c r="AP22" s="10"/>
      <c r="AQ22" s="10"/>
      <c r="AR22" s="10"/>
      <c r="AS22" s="10"/>
      <c r="AT22" s="10"/>
      <c r="AU22" s="10"/>
      <c r="AV22" s="10"/>
      <c r="AW22" s="10"/>
      <c r="AX22" s="10"/>
      <c r="AY22" s="10"/>
      <c r="AZ22" s="10"/>
      <c r="BA22" s="10"/>
      <c r="BB22" s="10"/>
    </row>
    <row r="23" spans="1:54" ht="12.75">
      <c r="A23" s="10"/>
      <c r="B23" s="10"/>
      <c r="C23" s="10"/>
      <c r="D23" s="10"/>
      <c r="E23" s="10"/>
      <c r="F23" s="10"/>
      <c r="G23" s="10" t="str">
        <f ca="1">IFERROR(__xludf.DUMMYFUNCTION("""COMPUTED_VALUE"""),"-")</f>
        <v>-</v>
      </c>
      <c r="H23" s="10"/>
      <c r="I23" s="10">
        <f ca="1">IFERROR(__xludf.DUMMYFUNCTION("""COMPUTED_VALUE"""),2000)</f>
        <v>2000</v>
      </c>
      <c r="J23" s="10"/>
      <c r="K23" s="10"/>
      <c r="L23" s="10"/>
      <c r="M23" s="10"/>
      <c r="N23" s="10"/>
      <c r="O23" s="10"/>
      <c r="P23" s="10"/>
      <c r="Q23" s="10" t="str">
        <f ca="1">IFERROR(__xludf.DUMMYFUNCTION("""COMPUTED_VALUE"""),"2.2 Историческо наследство и културни институции")</f>
        <v>2.2 Историческо наследство и културни институции</v>
      </c>
      <c r="R23" s="10"/>
      <c r="S23" s="10"/>
      <c r="T23" s="10"/>
      <c r="U23" s="10"/>
      <c r="V23" s="10"/>
      <c r="W23" s="10"/>
      <c r="X23" s="10"/>
      <c r="Y23" s="10" t="str">
        <f ca="1">IFERROR(__xludf.DUMMYFUNCTION("""COMPUTED_VALUE"""),"Лесотехнически университет")</f>
        <v>Лесотехнически университет</v>
      </c>
      <c r="Z23" s="10"/>
      <c r="AA23" s="10"/>
      <c r="AB23" s="10"/>
      <c r="AC23" s="10"/>
      <c r="AD23" s="10"/>
      <c r="AE23" s="25" t="str">
        <f ca="1">IFERROR(__xludf.DUMMYFUNCTION("""COMPUTED_VALUE"""),"юни 2021")</f>
        <v>юни 2021</v>
      </c>
      <c r="AF23" s="25" t="str">
        <f ca="1">IFERROR(__xludf.DUMMYFUNCTION("""COMPUTED_VALUE"""),"06.21")</f>
        <v>06.21</v>
      </c>
      <c r="AG23" s="10"/>
      <c r="AH23" s="10"/>
      <c r="AI23" s="10"/>
      <c r="AJ23" s="10"/>
      <c r="AK23" s="10"/>
      <c r="AL23" s="10"/>
      <c r="AM23" s="10"/>
      <c r="AN23" s="10"/>
      <c r="AO23" s="10"/>
      <c r="AP23" s="10"/>
      <c r="AQ23" s="10"/>
      <c r="AR23" s="10"/>
      <c r="AS23" s="10"/>
      <c r="AT23" s="10"/>
      <c r="AU23" s="10"/>
      <c r="AV23" s="10"/>
      <c r="AW23" s="10"/>
      <c r="AX23" s="10"/>
      <c r="AY23" s="10"/>
      <c r="AZ23" s="10"/>
      <c r="BA23" s="10"/>
      <c r="BB23" s="10"/>
    </row>
    <row r="24" spans="1:54" ht="12.75">
      <c r="A24" s="10"/>
      <c r="B24" s="10"/>
      <c r="C24" s="10"/>
      <c r="D24" s="10"/>
      <c r="E24" s="10"/>
      <c r="F24" s="10"/>
      <c r="G24" s="10"/>
      <c r="H24" s="10"/>
      <c r="I24" s="10" t="str">
        <f ca="1">IFERROR(__xludf.DUMMYFUNCTION("""COMPUTED_VALUE"""),"-")</f>
        <v>-</v>
      </c>
      <c r="J24" s="10"/>
      <c r="K24" s="10"/>
      <c r="L24" s="10"/>
      <c r="M24" s="10"/>
      <c r="N24" s="10"/>
      <c r="O24" s="10"/>
      <c r="P24" s="10"/>
      <c r="Q24" s="10" t="str">
        <f ca="1">IFERROR(__xludf.DUMMYFUNCTION("""COMPUTED_VALUE"""),"2.2 Наследство и музеи в информационна среда")</f>
        <v>2.2 Наследство и музеи в информационна среда</v>
      </c>
      <c r="R24" s="10"/>
      <c r="S24" s="10"/>
      <c r="T24" s="10"/>
      <c r="U24" s="10"/>
      <c r="V24" s="10"/>
      <c r="W24" s="10"/>
      <c r="X24" s="10"/>
      <c r="Y24" s="10" t="str">
        <f ca="1">IFERROR(__xludf.DUMMYFUNCTION("""COMPUTED_VALUE"""),"Медицински университет, Плевен")</f>
        <v>Медицински университет, Плевен</v>
      </c>
      <c r="Z24" s="10"/>
      <c r="AA24" s="10"/>
      <c r="AB24" s="10"/>
      <c r="AC24" s="10"/>
      <c r="AD24" s="10"/>
      <c r="AE24" s="25" t="str">
        <f ca="1">IFERROR(__xludf.DUMMYFUNCTION("""COMPUTED_VALUE"""),"юли 2021")</f>
        <v>юли 2021</v>
      </c>
      <c r="AF24" s="25" t="str">
        <f ca="1">IFERROR(__xludf.DUMMYFUNCTION("""COMPUTED_VALUE"""),"07.21")</f>
        <v>07.21</v>
      </c>
      <c r="AG24" s="10"/>
      <c r="AH24" s="10"/>
      <c r="AI24" s="10"/>
      <c r="AJ24" s="10"/>
      <c r="AK24" s="10"/>
      <c r="AL24" s="10"/>
      <c r="AM24" s="10"/>
      <c r="AN24" s="10"/>
      <c r="AO24" s="10"/>
      <c r="AP24" s="10"/>
      <c r="AQ24" s="10"/>
      <c r="AR24" s="10"/>
      <c r="AS24" s="10"/>
      <c r="AT24" s="10"/>
      <c r="AU24" s="10"/>
      <c r="AV24" s="10"/>
      <c r="AW24" s="10"/>
      <c r="AX24" s="10"/>
      <c r="AY24" s="10"/>
      <c r="AZ24" s="10"/>
      <c r="BA24" s="10"/>
      <c r="BB24" s="10"/>
    </row>
    <row r="25" spans="1:54" ht="12.75">
      <c r="A25" s="10"/>
      <c r="B25" s="10"/>
      <c r="C25" s="10"/>
      <c r="D25" s="10"/>
      <c r="E25" s="10"/>
      <c r="F25" s="10"/>
      <c r="G25" s="10"/>
      <c r="H25" s="10"/>
      <c r="I25" s="10"/>
      <c r="J25" s="10"/>
      <c r="K25" s="10"/>
      <c r="L25" s="10"/>
      <c r="M25" s="10"/>
      <c r="N25" s="10"/>
      <c r="O25" s="10"/>
      <c r="P25" s="10"/>
      <c r="Q25" s="10" t="str">
        <f ca="1">IFERROR(__xludf.DUMMYFUNCTION("""COMPUTED_VALUE"""),"3.5 Библиотечни колекции")</f>
        <v>3.5 Библиотечни колекции</v>
      </c>
      <c r="R25" s="10"/>
      <c r="S25" s="10"/>
      <c r="T25" s="10"/>
      <c r="U25" s="10"/>
      <c r="V25" s="10"/>
      <c r="W25" s="10"/>
      <c r="X25" s="10"/>
      <c r="Y25" s="10" t="str">
        <f ca="1">IFERROR(__xludf.DUMMYFUNCTION("""COMPUTED_VALUE"""),"Медицински университет, Пловдив")</f>
        <v>Медицински университет, Пловдив</v>
      </c>
      <c r="Z25" s="10"/>
      <c r="AA25" s="10"/>
      <c r="AB25" s="10"/>
      <c r="AC25" s="10"/>
      <c r="AD25" s="10"/>
      <c r="AE25" s="25" t="str">
        <f ca="1">IFERROR(__xludf.DUMMYFUNCTION("""COMPUTED_VALUE"""),"август 2021")</f>
        <v>август 2021</v>
      </c>
      <c r="AF25" s="25" t="str">
        <f ca="1">IFERROR(__xludf.DUMMYFUNCTION("""COMPUTED_VALUE"""),"08.21")</f>
        <v>08.21</v>
      </c>
      <c r="AG25" s="10"/>
      <c r="AH25" s="10"/>
      <c r="AI25" s="10"/>
      <c r="AJ25" s="10"/>
      <c r="AK25" s="10"/>
      <c r="AL25" s="10"/>
      <c r="AM25" s="10"/>
      <c r="AN25" s="10"/>
      <c r="AO25" s="10"/>
      <c r="AP25" s="10"/>
      <c r="AQ25" s="10"/>
      <c r="AR25" s="10"/>
      <c r="AS25" s="10"/>
      <c r="AT25" s="10"/>
      <c r="AU25" s="10"/>
      <c r="AV25" s="10"/>
      <c r="AW25" s="10"/>
      <c r="AX25" s="10"/>
      <c r="AY25" s="10"/>
      <c r="AZ25" s="10"/>
      <c r="BA25" s="10"/>
      <c r="BB25" s="10"/>
    </row>
    <row r="26" spans="1:54" ht="12.75">
      <c r="A26" s="10"/>
      <c r="B26" s="10"/>
      <c r="C26" s="10"/>
      <c r="D26" s="10"/>
      <c r="E26" s="10"/>
      <c r="F26" s="10"/>
      <c r="G26" s="10"/>
      <c r="H26" s="10"/>
      <c r="I26" s="10"/>
      <c r="J26" s="10"/>
      <c r="K26" s="10"/>
      <c r="L26" s="10"/>
      <c r="M26" s="10"/>
      <c r="N26" s="10"/>
      <c r="O26" s="10"/>
      <c r="P26" s="10"/>
      <c r="Q26" s="10" t="str">
        <f ca="1">IFERROR(__xludf.DUMMYFUNCTION("""COMPUTED_VALUE"""),"3.5 Библиотечно-информационен и културен мениджмънт")</f>
        <v>3.5 Библиотечно-информационен и културен мениджмънт</v>
      </c>
      <c r="R26" s="10"/>
      <c r="S26" s="10"/>
      <c r="T26" s="10"/>
      <c r="U26" s="10"/>
      <c r="V26" s="10"/>
      <c r="W26" s="10"/>
      <c r="X26" s="10"/>
      <c r="Y26" s="10" t="str">
        <f ca="1">IFERROR(__xludf.DUMMYFUNCTION("""COMPUTED_VALUE"""),"Медицински университет, София")</f>
        <v>Медицински университет, София</v>
      </c>
      <c r="Z26" s="10"/>
      <c r="AA26" s="10"/>
      <c r="AB26" s="10"/>
      <c r="AC26" s="10"/>
      <c r="AD26" s="10"/>
      <c r="AE26" s="25" t="str">
        <f ca="1">IFERROR(__xludf.DUMMYFUNCTION("""COMPUTED_VALUE"""),"септември 2021")</f>
        <v>септември 2021</v>
      </c>
      <c r="AF26" s="25" t="str">
        <f ca="1">IFERROR(__xludf.DUMMYFUNCTION("""COMPUTED_VALUE"""),"09.21")</f>
        <v>09.21</v>
      </c>
      <c r="AG26" s="10"/>
      <c r="AH26" s="10"/>
      <c r="AI26" s="10"/>
      <c r="AJ26" s="10"/>
      <c r="AK26" s="10"/>
      <c r="AL26" s="10"/>
      <c r="AM26" s="10"/>
      <c r="AN26" s="10"/>
      <c r="AO26" s="10"/>
      <c r="AP26" s="10"/>
      <c r="AQ26" s="10"/>
      <c r="AR26" s="10"/>
      <c r="AS26" s="10"/>
      <c r="AT26" s="10"/>
      <c r="AU26" s="10"/>
      <c r="AV26" s="10"/>
      <c r="AW26" s="10"/>
      <c r="AX26" s="10"/>
      <c r="AY26" s="10"/>
      <c r="AZ26" s="10"/>
      <c r="BA26" s="10"/>
      <c r="BB26" s="10"/>
    </row>
    <row r="27" spans="1:54" ht="12.75">
      <c r="A27" s="10"/>
      <c r="B27" s="10"/>
      <c r="C27" s="10"/>
      <c r="D27" s="10"/>
      <c r="E27" s="10"/>
      <c r="F27" s="10"/>
      <c r="G27" s="10"/>
      <c r="H27" s="10"/>
      <c r="I27" s="10"/>
      <c r="J27" s="10"/>
      <c r="K27" s="10"/>
      <c r="L27" s="10"/>
      <c r="M27" s="10"/>
      <c r="N27" s="10"/>
      <c r="O27" s="10"/>
      <c r="P27" s="10"/>
      <c r="Q27" s="10" t="str">
        <f ca="1">IFERROR(__xludf.DUMMYFUNCTION("""COMPUTED_VALUE"""),"3.5 Бизнес и административни информационни технологии и комуникации")</f>
        <v>3.5 Бизнес и административни информационни технологии и комуникации</v>
      </c>
      <c r="R27" s="10"/>
      <c r="S27" s="10"/>
      <c r="T27" s="10"/>
      <c r="U27" s="10"/>
      <c r="V27" s="10"/>
      <c r="W27" s="10"/>
      <c r="X27" s="10"/>
      <c r="Y27" s="10" t="str">
        <f ca="1">IFERROR(__xludf.DUMMYFUNCTION("""COMPUTED_VALUE"""),"Медицински университет „Професор доктор Параскев Стоянов“, Варна")</f>
        <v>Медицински университет „Професор доктор Параскев Стоянов“, Варна</v>
      </c>
      <c r="Z27" s="10"/>
      <c r="AA27" s="10"/>
      <c r="AB27" s="10"/>
      <c r="AC27" s="10"/>
      <c r="AD27" s="10"/>
      <c r="AE27" s="25" t="str">
        <f ca="1">IFERROR(__xludf.DUMMYFUNCTION("""COMPUTED_VALUE"""),"октомври 2021")</f>
        <v>октомври 2021</v>
      </c>
      <c r="AF27" s="25" t="str">
        <f ca="1">IFERROR(__xludf.DUMMYFUNCTION("""COMPUTED_VALUE"""),"10.21")</f>
        <v>10.21</v>
      </c>
      <c r="AG27" s="10"/>
      <c r="AH27" s="10"/>
      <c r="AI27" s="10"/>
      <c r="AJ27" s="10"/>
      <c r="AK27" s="10"/>
      <c r="AL27" s="10"/>
      <c r="AM27" s="10"/>
      <c r="AN27" s="10"/>
      <c r="AO27" s="10"/>
      <c r="AP27" s="10"/>
      <c r="AQ27" s="10"/>
      <c r="AR27" s="10"/>
      <c r="AS27" s="10"/>
      <c r="AT27" s="10"/>
      <c r="AU27" s="10"/>
      <c r="AV27" s="10"/>
      <c r="AW27" s="10"/>
      <c r="AX27" s="10"/>
      <c r="AY27" s="10"/>
      <c r="AZ27" s="10"/>
      <c r="BA27" s="10"/>
      <c r="BB27" s="10"/>
    </row>
    <row r="28" spans="1:54" ht="12.75">
      <c r="A28" s="10"/>
      <c r="B28" s="10"/>
      <c r="C28" s="10"/>
      <c r="D28" s="10"/>
      <c r="E28" s="10"/>
      <c r="F28" s="10"/>
      <c r="G28" s="10"/>
      <c r="H28" s="10"/>
      <c r="I28" s="10"/>
      <c r="J28" s="10"/>
      <c r="K28" s="10"/>
      <c r="L28" s="10"/>
      <c r="M28" s="10"/>
      <c r="N28" s="10"/>
      <c r="O28" s="10"/>
      <c r="P28" s="10"/>
      <c r="Q28" s="10" t="str">
        <f ca="1">IFERROR(__xludf.DUMMYFUNCTION("""COMPUTED_VALUE"""),"3.5 Защита на културно-историческото наследство в Република България")</f>
        <v>3.5 Защита на културно-историческото наследство в Република България</v>
      </c>
      <c r="R28" s="10"/>
      <c r="S28" s="10"/>
      <c r="T28" s="10"/>
      <c r="U28" s="10"/>
      <c r="V28" s="10"/>
      <c r="W28" s="10"/>
      <c r="X28" s="10"/>
      <c r="Y28" s="10" t="str">
        <f ca="1">IFERROR(__xludf.DUMMYFUNCTION("""COMPUTED_VALUE"""),"Международно висше бизнес училище")</f>
        <v>Международно висше бизнес училище</v>
      </c>
      <c r="Z28" s="10"/>
      <c r="AA28" s="10"/>
      <c r="AB28" s="10"/>
      <c r="AC28" s="10"/>
      <c r="AD28" s="10"/>
      <c r="AE28" s="25" t="str">
        <f ca="1">IFERROR(__xludf.DUMMYFUNCTION("""COMPUTED_VALUE"""),"ноември 2021")</f>
        <v>ноември 2021</v>
      </c>
      <c r="AF28" s="25" t="str">
        <f ca="1">IFERROR(__xludf.DUMMYFUNCTION("""COMPUTED_VALUE"""),"11.21")</f>
        <v>11.21</v>
      </c>
      <c r="AG28" s="10"/>
      <c r="AH28" s="10"/>
      <c r="AI28" s="10"/>
      <c r="AJ28" s="10"/>
      <c r="AK28" s="10"/>
      <c r="AL28" s="10"/>
      <c r="AM28" s="10"/>
      <c r="AN28" s="10"/>
      <c r="AO28" s="10"/>
      <c r="AP28" s="10"/>
      <c r="AQ28" s="10"/>
      <c r="AR28" s="10"/>
      <c r="AS28" s="10"/>
      <c r="AT28" s="10"/>
      <c r="AU28" s="10"/>
      <c r="AV28" s="10"/>
      <c r="AW28" s="10"/>
      <c r="AX28" s="10"/>
      <c r="AY28" s="10"/>
      <c r="AZ28" s="10"/>
      <c r="BA28" s="10"/>
      <c r="BB28" s="10"/>
    </row>
    <row r="29" spans="1:54" ht="12.75">
      <c r="A29" s="10"/>
      <c r="B29" s="10"/>
      <c r="C29" s="10"/>
      <c r="D29" s="10"/>
      <c r="E29" s="10"/>
      <c r="F29" s="10"/>
      <c r="G29" s="10"/>
      <c r="H29" s="10"/>
      <c r="I29" s="10"/>
      <c r="J29" s="10"/>
      <c r="K29" s="10"/>
      <c r="L29" s="10"/>
      <c r="M29" s="10"/>
      <c r="N29" s="10"/>
      <c r="O29" s="10"/>
      <c r="P29" s="10"/>
      <c r="Q29" s="10" t="str">
        <f ca="1">IFERROR(__xludf.DUMMYFUNCTION("""COMPUTED_VALUE"""),"3.5 Идентификация, автентификация и оценяване на културни и художествени ценности")</f>
        <v>3.5 Идентификация, автентификация и оценяване на културни и художествени ценности</v>
      </c>
      <c r="R29" s="10"/>
      <c r="S29" s="10"/>
      <c r="T29" s="10"/>
      <c r="U29" s="10"/>
      <c r="V29" s="10"/>
      <c r="W29" s="10"/>
      <c r="X29" s="10"/>
      <c r="Y29" s="10" t="str">
        <f ca="1">IFERROR(__xludf.DUMMYFUNCTION("""COMPUTED_VALUE"""),"Минно-геоложки университет „Свети Иван Рилски“")</f>
        <v>Минно-геоложки университет „Свети Иван Рилски“</v>
      </c>
      <c r="Z29" s="10"/>
      <c r="AA29" s="10"/>
      <c r="AB29" s="10"/>
      <c r="AC29" s="10"/>
      <c r="AD29" s="10"/>
      <c r="AE29" s="25" t="str">
        <f ca="1">IFERROR(__xludf.DUMMYFUNCTION("""COMPUTED_VALUE"""),"декември 2021")</f>
        <v>декември 2021</v>
      </c>
      <c r="AF29" s="25" t="str">
        <f ca="1">IFERROR(__xludf.DUMMYFUNCTION("""COMPUTED_VALUE"""),"12.21")</f>
        <v>12.21</v>
      </c>
      <c r="AG29" s="10"/>
      <c r="AH29" s="10"/>
      <c r="AI29" s="10"/>
      <c r="AJ29" s="10"/>
      <c r="AK29" s="10"/>
      <c r="AL29" s="10"/>
      <c r="AM29" s="10"/>
      <c r="AN29" s="10"/>
      <c r="AO29" s="10"/>
      <c r="AP29" s="10"/>
      <c r="AQ29" s="10"/>
      <c r="AR29" s="10"/>
      <c r="AS29" s="10"/>
      <c r="AT29" s="10"/>
      <c r="AU29" s="10"/>
      <c r="AV29" s="10"/>
      <c r="AW29" s="10"/>
      <c r="AX29" s="10"/>
      <c r="AY29" s="10"/>
      <c r="AZ29" s="10"/>
      <c r="BA29" s="10"/>
      <c r="BB29" s="10"/>
    </row>
    <row r="30" spans="1:54" ht="12.75">
      <c r="A30" s="10"/>
      <c r="B30" s="10"/>
      <c r="C30" s="10"/>
      <c r="D30" s="10"/>
      <c r="E30" s="10"/>
      <c r="F30" s="10"/>
      <c r="G30" s="10"/>
      <c r="H30" s="10"/>
      <c r="I30" s="10"/>
      <c r="J30" s="10"/>
      <c r="K30" s="10"/>
      <c r="L30" s="10"/>
      <c r="M30" s="10"/>
      <c r="N30" s="10"/>
      <c r="O30" s="10"/>
      <c r="P30" s="10"/>
      <c r="Q30" s="10" t="str">
        <f ca="1">IFERROR(__xludf.DUMMYFUNCTION("""COMPUTED_VALUE"""),"3.5 Издателски бизнес и електронни ресурси")</f>
        <v>3.5 Издателски бизнес и електронни ресурси</v>
      </c>
      <c r="R30" s="10"/>
      <c r="S30" s="10"/>
      <c r="T30" s="10"/>
      <c r="U30" s="10"/>
      <c r="V30" s="10"/>
      <c r="W30" s="10"/>
      <c r="X30" s="10"/>
      <c r="Y30" s="10" t="str">
        <f ca="1">IFERROR(__xludf.DUMMYFUNCTION("""COMPUTED_VALUE"""),"Национален военен университет „Васил Левски“")</f>
        <v>Национален военен университет „Васил Левски“</v>
      </c>
      <c r="Z30" s="10"/>
      <c r="AA30" s="10"/>
      <c r="AB30" s="10"/>
      <c r="AC30" s="10"/>
      <c r="AD30" s="10"/>
      <c r="AE30" s="25" t="str">
        <f ca="1">IFERROR(__xludf.DUMMYFUNCTION("""COMPUTED_VALUE"""),"януари 2022")</f>
        <v>януари 2022</v>
      </c>
      <c r="AF30" s="25" t="str">
        <f ca="1">IFERROR(__xludf.DUMMYFUNCTION("""COMPUTED_VALUE"""),"01.22")</f>
        <v>01.22</v>
      </c>
      <c r="AG30" s="10"/>
      <c r="AH30" s="10"/>
      <c r="AI30" s="10"/>
      <c r="AJ30" s="10"/>
      <c r="AK30" s="10"/>
      <c r="AL30" s="10"/>
      <c r="AM30" s="10"/>
      <c r="AN30" s="10"/>
      <c r="AO30" s="10"/>
      <c r="AP30" s="10"/>
      <c r="AQ30" s="10"/>
      <c r="AR30" s="10"/>
      <c r="AS30" s="10"/>
      <c r="AT30" s="10"/>
      <c r="AU30" s="10"/>
      <c r="AV30" s="10"/>
      <c r="AW30" s="10"/>
      <c r="AX30" s="10"/>
      <c r="AY30" s="10"/>
      <c r="AZ30" s="10"/>
      <c r="BA30" s="10"/>
      <c r="BB30" s="10"/>
    </row>
    <row r="31" spans="1:54" ht="12.75">
      <c r="A31" s="10"/>
      <c r="B31" s="10"/>
      <c r="C31" s="10"/>
      <c r="D31" s="10"/>
      <c r="E31" s="10"/>
      <c r="F31" s="10"/>
      <c r="G31" s="10"/>
      <c r="H31" s="10"/>
      <c r="I31" s="10"/>
      <c r="J31" s="10"/>
      <c r="K31" s="10"/>
      <c r="L31" s="10"/>
      <c r="M31" s="10"/>
      <c r="N31" s="10"/>
      <c r="O31" s="10"/>
      <c r="P31" s="10"/>
      <c r="Q31" s="10" t="str">
        <f ca="1">IFERROR(__xludf.DUMMYFUNCTION("""COMPUTED_VALUE"""),"3.5 Информационните процеси при администрирането на туристическия сектор")</f>
        <v>3.5 Информационните процеси при администрирането на туристическия сектор</v>
      </c>
      <c r="R31" s="10"/>
      <c r="S31" s="10"/>
      <c r="T31" s="10"/>
      <c r="U31" s="10"/>
      <c r="V31" s="10"/>
      <c r="W31" s="10"/>
      <c r="X31" s="10"/>
      <c r="Y31" s="10" t="str">
        <f ca="1">IFERROR(__xludf.DUMMYFUNCTION("""COMPUTED_VALUE"""),"Национална академия за театрално и филмово изкуство „Кръстьо Сарафов“")</f>
        <v>Национална академия за театрално и филмово изкуство „Кръстьо Сарафов“</v>
      </c>
      <c r="Z31" s="10"/>
      <c r="AA31" s="10"/>
      <c r="AB31" s="10"/>
      <c r="AC31" s="10"/>
      <c r="AD31" s="10"/>
      <c r="AE31" s="25" t="str">
        <f ca="1">IFERROR(__xludf.DUMMYFUNCTION("""COMPUTED_VALUE"""),"февруари 2022")</f>
        <v>февруари 2022</v>
      </c>
      <c r="AF31" s="25" t="str">
        <f ca="1">IFERROR(__xludf.DUMMYFUNCTION("""COMPUTED_VALUE"""),"02.22")</f>
        <v>02.22</v>
      </c>
      <c r="AG31" s="10"/>
      <c r="AH31" s="10"/>
      <c r="AI31" s="10"/>
      <c r="AJ31" s="10"/>
      <c r="AK31" s="10"/>
      <c r="AL31" s="10"/>
      <c r="AM31" s="10"/>
      <c r="AN31" s="10"/>
      <c r="AO31" s="10"/>
      <c r="AP31" s="10"/>
      <c r="AQ31" s="10"/>
      <c r="AR31" s="10"/>
      <c r="AS31" s="10"/>
      <c r="AT31" s="10"/>
      <c r="AU31" s="10"/>
      <c r="AV31" s="10"/>
      <c r="AW31" s="10"/>
      <c r="AX31" s="10"/>
      <c r="AY31" s="10"/>
      <c r="AZ31" s="10"/>
      <c r="BA31" s="10"/>
      <c r="BB31" s="10"/>
    </row>
    <row r="32" spans="1:54" ht="12.75">
      <c r="A32" s="10"/>
      <c r="B32" s="10"/>
      <c r="C32" s="10"/>
      <c r="D32" s="10"/>
      <c r="E32" s="10"/>
      <c r="F32" s="10"/>
      <c r="G32" s="10"/>
      <c r="H32" s="10"/>
      <c r="I32" s="10"/>
      <c r="J32" s="10"/>
      <c r="K32" s="10"/>
      <c r="L32" s="10"/>
      <c r="M32" s="10"/>
      <c r="N32" s="10"/>
      <c r="O32" s="10"/>
      <c r="P32" s="10"/>
      <c r="Q32" s="10" t="str">
        <f ca="1">IFERROR(__xludf.DUMMYFUNCTION("""COMPUTED_VALUE"""),"3.5 Културни взаимодействия и културни политики в Югоизточна Европа")</f>
        <v>3.5 Културни взаимодействия и културни политики в Югоизточна Европа</v>
      </c>
      <c r="R32" s="10"/>
      <c r="S32" s="10"/>
      <c r="T32" s="10"/>
      <c r="U32" s="10"/>
      <c r="V32" s="10"/>
      <c r="W32" s="10"/>
      <c r="X32" s="10"/>
      <c r="Y32" s="10" t="str">
        <f ca="1">IFERROR(__xludf.DUMMYFUNCTION("""COMPUTED_VALUE"""),"Национална музикална академия „Професор Панчо Владигеров“")</f>
        <v>Национална музикална академия „Професор Панчо Владигеров“</v>
      </c>
      <c r="Z32" s="10"/>
      <c r="AA32" s="10"/>
      <c r="AB32" s="10"/>
      <c r="AC32" s="10"/>
      <c r="AD32" s="10"/>
      <c r="AE32" s="25" t="str">
        <f ca="1">IFERROR(__xludf.DUMMYFUNCTION("""COMPUTED_VALUE"""),"март 2022")</f>
        <v>март 2022</v>
      </c>
      <c r="AF32" s="25" t="str">
        <f ca="1">IFERROR(__xludf.DUMMYFUNCTION("""COMPUTED_VALUE"""),"03.22")</f>
        <v>03.22</v>
      </c>
      <c r="AG32" s="10"/>
      <c r="AH32" s="10"/>
      <c r="AI32" s="10"/>
      <c r="AJ32" s="10"/>
      <c r="AK32" s="10"/>
      <c r="AL32" s="10"/>
      <c r="AM32" s="10"/>
      <c r="AN32" s="10"/>
      <c r="AO32" s="10"/>
      <c r="AP32" s="10"/>
      <c r="AQ32" s="10"/>
      <c r="AR32" s="10"/>
      <c r="AS32" s="10"/>
      <c r="AT32" s="10"/>
      <c r="AU32" s="10"/>
      <c r="AV32" s="10"/>
      <c r="AW32" s="10"/>
      <c r="AX32" s="10"/>
      <c r="AY32" s="10"/>
      <c r="AZ32" s="10"/>
      <c r="BA32" s="10"/>
      <c r="BB32" s="10"/>
    </row>
    <row r="33" spans="1:54" ht="12.75">
      <c r="A33" s="10"/>
      <c r="B33" s="10"/>
      <c r="C33" s="10"/>
      <c r="D33" s="10"/>
      <c r="E33" s="10"/>
      <c r="F33" s="10"/>
      <c r="G33" s="10"/>
      <c r="H33" s="10"/>
      <c r="I33" s="10"/>
      <c r="J33" s="10"/>
      <c r="K33" s="10"/>
      <c r="L33" s="10"/>
      <c r="M33" s="10"/>
      <c r="N33" s="10"/>
      <c r="O33" s="10"/>
      <c r="P33" s="10"/>
      <c r="Q33" s="10" t="str">
        <f ca="1">IFERROR(__xludf.DUMMYFUNCTION("""COMPUTED_VALUE"""),"3.5 Лидерски практики в държавността, духовността и сигурността")</f>
        <v>3.5 Лидерски практики в държавността, духовността и сигурността</v>
      </c>
      <c r="R33" s="10"/>
      <c r="S33" s="10"/>
      <c r="T33" s="10"/>
      <c r="U33" s="10"/>
      <c r="V33" s="10"/>
      <c r="W33" s="10"/>
      <c r="X33" s="10"/>
      <c r="Y33" s="10" t="str">
        <f ca="1">IFERROR(__xludf.DUMMYFUNCTION("""COMPUTED_VALUE"""),"Национална спортна академия „Васил Левски“")</f>
        <v>Национална спортна академия „Васил Левски“</v>
      </c>
      <c r="Z33" s="10"/>
      <c r="AA33" s="10"/>
      <c r="AB33" s="10"/>
      <c r="AC33" s="10"/>
      <c r="AD33" s="10"/>
      <c r="AE33" s="25" t="str">
        <f ca="1">IFERROR(__xludf.DUMMYFUNCTION("""COMPUTED_VALUE"""),"април 2022")</f>
        <v>април 2022</v>
      </c>
      <c r="AF33" s="25" t="str">
        <f ca="1">IFERROR(__xludf.DUMMYFUNCTION("""COMPUTED_VALUE"""),"04.22")</f>
        <v>04.22</v>
      </c>
      <c r="AG33" s="10"/>
      <c r="AH33" s="10"/>
      <c r="AI33" s="10"/>
      <c r="AJ33" s="10"/>
      <c r="AK33" s="10"/>
      <c r="AL33" s="10"/>
      <c r="AM33" s="10"/>
      <c r="AN33" s="10"/>
      <c r="AO33" s="10"/>
      <c r="AP33" s="10"/>
      <c r="AQ33" s="10"/>
      <c r="AR33" s="10"/>
      <c r="AS33" s="10"/>
      <c r="AT33" s="10"/>
      <c r="AU33" s="10"/>
      <c r="AV33" s="10"/>
      <c r="AW33" s="10"/>
      <c r="AX33" s="10"/>
      <c r="AY33" s="10"/>
      <c r="AZ33" s="10"/>
      <c r="BA33" s="10"/>
      <c r="BB33" s="10"/>
    </row>
    <row r="34" spans="1:54" ht="12.75">
      <c r="A34" s="10"/>
      <c r="B34" s="10"/>
      <c r="C34" s="10"/>
      <c r="D34" s="10"/>
      <c r="E34" s="10"/>
      <c r="F34" s="10"/>
      <c r="G34" s="10"/>
      <c r="H34" s="10"/>
      <c r="I34" s="10"/>
      <c r="J34" s="10"/>
      <c r="K34" s="10"/>
      <c r="L34" s="10"/>
      <c r="M34" s="10"/>
      <c r="N34" s="10"/>
      <c r="O34" s="10"/>
      <c r="P34" s="10"/>
      <c r="Q34" s="10" t="str">
        <f ca="1">IFERROR(__xludf.DUMMYFUNCTION("""COMPUTED_VALUE"""),"3.5 Медиация")</f>
        <v>3.5 Медиация</v>
      </c>
      <c r="R34" s="10"/>
      <c r="S34" s="10"/>
      <c r="T34" s="10"/>
      <c r="U34" s="10"/>
      <c r="V34" s="10"/>
      <c r="W34" s="10"/>
      <c r="X34" s="10"/>
      <c r="Y34" s="10" t="str">
        <f ca="1">IFERROR(__xludf.DUMMYFUNCTION("""COMPUTED_VALUE"""),"Шуменски университет „Епископ Константин Преславски“")</f>
        <v>Шуменски университет „Епископ Константин Преславски“</v>
      </c>
      <c r="Z34" s="10"/>
      <c r="AA34" s="10"/>
      <c r="AB34" s="10"/>
      <c r="AC34" s="10"/>
      <c r="AD34" s="10"/>
      <c r="AE34" s="25" t="str">
        <f ca="1">IFERROR(__xludf.DUMMYFUNCTION("""COMPUTED_VALUE"""),"май 2022")</f>
        <v>май 2022</v>
      </c>
      <c r="AF34" s="25" t="str">
        <f ca="1">IFERROR(__xludf.DUMMYFUNCTION("""COMPUTED_VALUE"""),"05.22")</f>
        <v>05.22</v>
      </c>
      <c r="AG34" s="10"/>
      <c r="AH34" s="10"/>
      <c r="AI34" s="10"/>
      <c r="AJ34" s="10"/>
      <c r="AK34" s="10"/>
      <c r="AL34" s="10"/>
      <c r="AM34" s="10"/>
      <c r="AN34" s="10"/>
      <c r="AO34" s="10"/>
      <c r="AP34" s="10"/>
      <c r="AQ34" s="10"/>
      <c r="AR34" s="10"/>
      <c r="AS34" s="10"/>
      <c r="AT34" s="10"/>
      <c r="AU34" s="10"/>
      <c r="AV34" s="10"/>
      <c r="AW34" s="10"/>
      <c r="AX34" s="10"/>
      <c r="AY34" s="10"/>
      <c r="AZ34" s="10"/>
      <c r="BA34" s="10"/>
      <c r="BB34" s="10"/>
    </row>
    <row r="35" spans="1:54" ht="12.75">
      <c r="A35" s="10"/>
      <c r="B35" s="10"/>
      <c r="C35" s="10"/>
      <c r="D35" s="10"/>
      <c r="E35" s="10"/>
      <c r="F35" s="10"/>
      <c r="G35" s="10"/>
      <c r="H35" s="10"/>
      <c r="I35" s="10"/>
      <c r="J35" s="10"/>
      <c r="K35" s="10"/>
      <c r="L35" s="10"/>
      <c r="M35" s="10"/>
      <c r="N35" s="10"/>
      <c r="O35" s="10"/>
      <c r="P35" s="10"/>
      <c r="Q35" s="10" t="str">
        <f ca="1">IFERROR(__xludf.DUMMYFUNCTION("""COMPUTED_VALUE"""),"3.5 Медийна информация и реклама")</f>
        <v>3.5 Медийна информация и реклама</v>
      </c>
      <c r="R35" s="10"/>
      <c r="S35" s="10"/>
      <c r="T35" s="10"/>
      <c r="U35" s="10"/>
      <c r="V35" s="10"/>
      <c r="W35" s="10"/>
      <c r="X35" s="10"/>
      <c r="Y35" s="10" t="str">
        <f ca="1">IFERROR(__xludf.DUMMYFUNCTION("""COMPUTED_VALUE"""),"Национална художествена академия")</f>
        <v>Национална художествена академия</v>
      </c>
      <c r="Z35" s="10"/>
      <c r="AA35" s="10"/>
      <c r="AB35" s="10"/>
      <c r="AC35" s="10"/>
      <c r="AD35" s="10"/>
      <c r="AE35" s="25" t="str">
        <f ca="1">IFERROR(__xludf.DUMMYFUNCTION("""COMPUTED_VALUE"""),"юни 2022")</f>
        <v>юни 2022</v>
      </c>
      <c r="AF35" s="25" t="str">
        <f ca="1">IFERROR(__xludf.DUMMYFUNCTION("""COMPUTED_VALUE"""),"06.22")</f>
        <v>06.22</v>
      </c>
      <c r="AG35" s="10"/>
      <c r="AH35" s="10"/>
      <c r="AI35" s="10"/>
      <c r="AJ35" s="10"/>
      <c r="AK35" s="10"/>
      <c r="AL35" s="10"/>
      <c r="AM35" s="10"/>
      <c r="AN35" s="10"/>
      <c r="AO35" s="10"/>
      <c r="AP35" s="10"/>
      <c r="AQ35" s="10"/>
      <c r="AR35" s="10"/>
      <c r="AS35" s="10"/>
      <c r="AT35" s="10"/>
      <c r="AU35" s="10"/>
      <c r="AV35" s="10"/>
      <c r="AW35" s="10"/>
      <c r="AX35" s="10"/>
      <c r="AY35" s="10"/>
      <c r="AZ35" s="10"/>
      <c r="BA35" s="10"/>
      <c r="BB35" s="10"/>
    </row>
    <row r="36" spans="1:54" ht="12.75">
      <c r="A36" s="10"/>
      <c r="B36" s="10"/>
      <c r="C36" s="10"/>
      <c r="D36" s="10"/>
      <c r="E36" s="10"/>
      <c r="F36" s="10"/>
      <c r="G36" s="10"/>
      <c r="H36" s="10"/>
      <c r="I36" s="10"/>
      <c r="J36" s="10"/>
      <c r="K36" s="10"/>
      <c r="L36" s="10"/>
      <c r="M36" s="10"/>
      <c r="N36" s="10"/>
      <c r="O36" s="10"/>
      <c r="P36" s="10"/>
      <c r="Q36" s="10" t="str">
        <f ca="1">IFERROR(__xludf.DUMMYFUNCTION("""COMPUTED_VALUE"""),"3.5 Мениджмънт на документи и архиви")</f>
        <v>3.5 Мениджмънт на документи и архиви</v>
      </c>
      <c r="R36" s="10"/>
      <c r="S36" s="10"/>
      <c r="T36" s="10"/>
      <c r="U36" s="10"/>
      <c r="V36" s="10"/>
      <c r="W36" s="10"/>
      <c r="X36" s="10"/>
      <c r="Y36" s="10" t="str">
        <f ca="1">IFERROR(__xludf.DUMMYFUNCTION("""COMPUTED_VALUE"""),"Нов български университет")</f>
        <v>Нов български университет</v>
      </c>
      <c r="Z36" s="10"/>
      <c r="AA36" s="10"/>
      <c r="AB36" s="10"/>
      <c r="AC36" s="10"/>
      <c r="AD36" s="10"/>
      <c r="AE36" s="25" t="str">
        <f ca="1">IFERROR(__xludf.DUMMYFUNCTION("""COMPUTED_VALUE"""),"юли 2022")</f>
        <v>юли 2022</v>
      </c>
      <c r="AF36" s="25" t="str">
        <f ca="1">IFERROR(__xludf.DUMMYFUNCTION("""COMPUTED_VALUE"""),"07.22")</f>
        <v>07.22</v>
      </c>
      <c r="AG36" s="10"/>
      <c r="AH36" s="10"/>
      <c r="AI36" s="10"/>
      <c r="AJ36" s="10"/>
      <c r="AK36" s="10"/>
      <c r="AL36" s="10"/>
      <c r="AM36" s="10"/>
      <c r="AN36" s="10"/>
      <c r="AO36" s="10"/>
      <c r="AP36" s="10"/>
      <c r="AQ36" s="10"/>
      <c r="AR36" s="10"/>
      <c r="AS36" s="10"/>
      <c r="AT36" s="10"/>
      <c r="AU36" s="10"/>
      <c r="AV36" s="10"/>
      <c r="AW36" s="10"/>
      <c r="AX36" s="10"/>
      <c r="AY36" s="10"/>
      <c r="AZ36" s="10"/>
      <c r="BA36" s="10"/>
      <c r="BB36" s="10"/>
    </row>
    <row r="37" spans="1:54" ht="12.75">
      <c r="A37" s="10"/>
      <c r="B37" s="10"/>
      <c r="C37" s="10"/>
      <c r="D37" s="10"/>
      <c r="E37" s="10"/>
      <c r="F37" s="10"/>
      <c r="G37" s="10"/>
      <c r="H37" s="10"/>
      <c r="I37" s="10"/>
      <c r="J37" s="10"/>
      <c r="K37" s="10"/>
      <c r="L37" s="10"/>
      <c r="M37" s="10"/>
      <c r="N37" s="10"/>
      <c r="O37" s="10"/>
      <c r="P37" s="10"/>
      <c r="Q37" s="10" t="str">
        <f ca="1">IFERROR(__xludf.DUMMYFUNCTION("""COMPUTED_VALUE"""),"3.5 Управление и информиране при стратегическите комуникации")</f>
        <v>3.5 Управление и информиране при стратегическите комуникации</v>
      </c>
      <c r="R37" s="10"/>
      <c r="S37" s="10"/>
      <c r="T37" s="10"/>
      <c r="U37" s="10"/>
      <c r="V37" s="10"/>
      <c r="W37" s="10"/>
      <c r="X37" s="10"/>
      <c r="Y37" s="10" t="str">
        <f ca="1">IFERROR(__xludf.DUMMYFUNCTION("""COMPUTED_VALUE"""),"Пловдивски университет „Паисий Хилендарски“")</f>
        <v>Пловдивски университет „Паисий Хилендарски“</v>
      </c>
      <c r="Z37" s="10"/>
      <c r="AA37" s="10"/>
      <c r="AB37" s="10"/>
      <c r="AC37" s="10"/>
      <c r="AD37" s="10"/>
      <c r="AE37" s="25" t="str">
        <f ca="1">IFERROR(__xludf.DUMMYFUNCTION("""COMPUTED_VALUE"""),"август 2022")</f>
        <v>август 2022</v>
      </c>
      <c r="AF37" s="25" t="str">
        <f ca="1">IFERROR(__xludf.DUMMYFUNCTION("""COMPUTED_VALUE"""),"08.22")</f>
        <v>08.22</v>
      </c>
      <c r="AG37" s="10"/>
      <c r="AH37" s="10"/>
      <c r="AI37" s="10"/>
      <c r="AJ37" s="10"/>
      <c r="AK37" s="10"/>
      <c r="AL37" s="10"/>
      <c r="AM37" s="10"/>
      <c r="AN37" s="10"/>
      <c r="AO37" s="10"/>
      <c r="AP37" s="10"/>
      <c r="AQ37" s="10"/>
      <c r="AR37" s="10"/>
      <c r="AS37" s="10"/>
      <c r="AT37" s="10"/>
      <c r="AU37" s="10"/>
      <c r="AV37" s="10"/>
      <c r="AW37" s="10"/>
      <c r="AX37" s="10"/>
      <c r="AY37" s="10"/>
      <c r="AZ37" s="10"/>
      <c r="BA37" s="10"/>
      <c r="BB37" s="10"/>
    </row>
    <row r="38" spans="1:54" ht="12.75">
      <c r="A38" s="10"/>
      <c r="B38" s="10"/>
      <c r="C38" s="10"/>
      <c r="D38" s="10"/>
      <c r="E38" s="10"/>
      <c r="F38" s="10"/>
      <c r="G38" s="10"/>
      <c r="H38" s="10"/>
      <c r="I38" s="10"/>
      <c r="J38" s="10"/>
      <c r="K38" s="10"/>
      <c r="L38" s="10"/>
      <c r="M38" s="10"/>
      <c r="N38" s="10"/>
      <c r="O38" s="10"/>
      <c r="P38" s="10"/>
      <c r="Q38" s="10" t="str">
        <f ca="1">IFERROR(__xludf.DUMMYFUNCTION("""COMPUTED_VALUE"""),"3.5 Читалищно дело")</f>
        <v>3.5 Читалищно дело</v>
      </c>
      <c r="R38" s="10"/>
      <c r="S38" s="10"/>
      <c r="T38" s="10"/>
      <c r="U38" s="10"/>
      <c r="V38" s="10"/>
      <c r="W38" s="10"/>
      <c r="X38" s="10"/>
      <c r="Y38" s="10" t="str">
        <f ca="1">IFERROR(__xludf.DUMMYFUNCTION("""COMPUTED_VALUE"""),"Русенски университет „Ангел Кънчев“")</f>
        <v>Русенски университет „Ангел Кънчев“</v>
      </c>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row>
    <row r="39" spans="1:54" ht="12.75">
      <c r="A39" s="10"/>
      <c r="B39" s="10"/>
      <c r="C39" s="10"/>
      <c r="D39" s="10"/>
      <c r="E39" s="10"/>
      <c r="F39" s="10"/>
      <c r="G39" s="10"/>
      <c r="H39" s="10"/>
      <c r="I39" s="10"/>
      <c r="J39" s="10"/>
      <c r="K39" s="10"/>
      <c r="L39" s="10"/>
      <c r="M39" s="10"/>
      <c r="N39" s="10"/>
      <c r="O39" s="10"/>
      <c r="P39" s="10"/>
      <c r="Q39" s="10" t="str">
        <f ca="1">IFERROR(__xludf.DUMMYFUNCTION("""COMPUTED_VALUE"""),"--------------------------ФИН МАГИСТРИ")</f>
        <v>--------------------------ФИН МАГИСТРИ</v>
      </c>
      <c r="R39" s="10"/>
      <c r="S39" s="10"/>
      <c r="T39" s="10"/>
      <c r="U39" s="10"/>
      <c r="V39" s="10"/>
      <c r="W39" s="10"/>
      <c r="X39" s="10"/>
      <c r="Y39" s="10" t="str">
        <f ca="1">IFERROR(__xludf.DUMMYFUNCTION("""COMPUTED_VALUE"""),"Софийски университет „Свети Климент Охридски“")</f>
        <v>Софийски университет „Свети Климент Охридски“</v>
      </c>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row>
    <row r="40" spans="1:54" ht="12.75">
      <c r="A40" s="10"/>
      <c r="B40" s="10"/>
      <c r="C40" s="10"/>
      <c r="D40" s="10"/>
      <c r="E40" s="10"/>
      <c r="F40" s="10"/>
      <c r="G40" s="10"/>
      <c r="H40" s="10"/>
      <c r="I40" s="10"/>
      <c r="J40" s="10"/>
      <c r="K40" s="10"/>
      <c r="L40" s="10"/>
      <c r="M40" s="10"/>
      <c r="N40" s="10"/>
      <c r="O40" s="10"/>
      <c r="P40" s="10"/>
      <c r="Q40" s="10" t="str">
        <f ca="1">IFERROR(__xludf.DUMMYFUNCTION("""COMPUTED_VALUE"""),"4.6 Анализ и управление на данни (АУД)")</f>
        <v>4.6 Анализ и управление на данни (АУД)</v>
      </c>
      <c r="R40" s="10"/>
      <c r="S40" s="10"/>
      <c r="T40" s="10"/>
      <c r="U40" s="10"/>
      <c r="V40" s="10"/>
      <c r="W40" s="10"/>
      <c r="X40" s="10"/>
      <c r="Y40" s="10" t="str">
        <f ca="1">IFERROR(__xludf.DUMMYFUNCTION("""COMPUTED_VALUE"""),"Стопанска академия „Димитър Ценов“")</f>
        <v>Стопанска академия „Димитър Ценов“</v>
      </c>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row>
    <row r="41" spans="1:54" ht="12.75">
      <c r="A41" s="10"/>
      <c r="B41" s="10"/>
      <c r="C41" s="10"/>
      <c r="D41" s="10"/>
      <c r="E41" s="10"/>
      <c r="F41" s="10"/>
      <c r="G41" s="10"/>
      <c r="H41" s="10"/>
      <c r="I41" s="10"/>
      <c r="J41" s="10"/>
      <c r="K41" s="10"/>
      <c r="L41" s="10"/>
      <c r="M41" s="10"/>
      <c r="N41" s="10"/>
      <c r="O41" s="10"/>
      <c r="P41" s="10"/>
      <c r="Q41" s="10" t="str">
        <f ca="1">IFERROR(__xludf.DUMMYFUNCTION("""COMPUTED_VALUE"""),"4.6 Дигитален маркетинг и уеб дизайн (ДМУД)")</f>
        <v>4.6 Дигитален маркетинг и уеб дизайн (ДМУД)</v>
      </c>
      <c r="R41" s="10"/>
      <c r="S41" s="10"/>
      <c r="T41" s="10"/>
      <c r="U41" s="10"/>
      <c r="V41" s="10"/>
      <c r="W41" s="10"/>
      <c r="X41" s="10"/>
      <c r="Y41" s="10" t="str">
        <f ca="1">IFERROR(__xludf.DUMMYFUNCTION("""COMPUTED_VALUE"""),"Театрален колеж „Любен Гройс“")</f>
        <v>Театрален колеж „Любен Гройс“</v>
      </c>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row>
    <row r="42" spans="1:54" ht="12.75">
      <c r="A42" s="10"/>
      <c r="B42" s="10"/>
      <c r="C42" s="10"/>
      <c r="D42" s="10"/>
      <c r="E42" s="10"/>
      <c r="F42" s="10"/>
      <c r="G42" s="10"/>
      <c r="H42" s="10"/>
      <c r="I42" s="10"/>
      <c r="J42" s="10"/>
      <c r="K42" s="10"/>
      <c r="L42" s="10"/>
      <c r="M42" s="10"/>
      <c r="N42" s="10"/>
      <c r="O42" s="10"/>
      <c r="P42" s="10"/>
      <c r="Q42" s="10" t="str">
        <f ca="1">IFERROR(__xludf.DUMMYFUNCTION("""COMPUTED_VALUE"""),"4.6 Електронен бизнес и електронно управление (ЕБЕУ)")</f>
        <v>4.6 Електронен бизнес и електронно управление (ЕБЕУ)</v>
      </c>
      <c r="R42" s="10"/>
      <c r="S42" s="10"/>
      <c r="T42" s="10"/>
      <c r="U42" s="10"/>
      <c r="V42" s="10"/>
      <c r="W42" s="10"/>
      <c r="X42" s="10"/>
      <c r="Y42" s="10" t="str">
        <f ca="1">IFERROR(__xludf.DUMMYFUNCTION("""COMPUTED_VALUE"""),"Технически университет, Варна")</f>
        <v>Технически университет, Варна</v>
      </c>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row>
    <row r="43" spans="1:54" ht="12.75">
      <c r="A43" s="10"/>
      <c r="B43" s="10"/>
      <c r="C43" s="10"/>
      <c r="D43" s="10"/>
      <c r="E43" s="10"/>
      <c r="F43" s="10"/>
      <c r="G43" s="10"/>
      <c r="H43" s="10"/>
      <c r="I43" s="10"/>
      <c r="J43" s="10"/>
      <c r="K43" s="10"/>
      <c r="L43" s="10"/>
      <c r="M43" s="10"/>
      <c r="N43" s="10"/>
      <c r="O43" s="10"/>
      <c r="P43" s="10"/>
      <c r="Q43" s="10" t="str">
        <f ca="1">IFERROR(__xludf.DUMMYFUNCTION("""COMPUTED_VALUE"""),"4.6 Информационна сигурност (ИС-маг.)")</f>
        <v>4.6 Информационна сигурност (ИС-маг.)</v>
      </c>
      <c r="R43" s="10"/>
      <c r="S43" s="10"/>
      <c r="T43" s="10"/>
      <c r="U43" s="10"/>
      <c r="V43" s="10"/>
      <c r="W43" s="10"/>
      <c r="X43" s="10"/>
      <c r="Y43" s="10" t="str">
        <f ca="1">IFERROR(__xludf.DUMMYFUNCTION("""COMPUTED_VALUE"""),"Технически университет, Габрово")</f>
        <v>Технически университет, Габрово</v>
      </c>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row>
    <row r="44" spans="1:54" ht="12.75">
      <c r="A44" s="10"/>
      <c r="B44" s="10"/>
      <c r="C44" s="10"/>
      <c r="D44" s="10"/>
      <c r="E44" s="10"/>
      <c r="F44" s="10"/>
      <c r="G44" s="10"/>
      <c r="H44" s="10"/>
      <c r="I44" s="10"/>
      <c r="J44" s="10"/>
      <c r="K44" s="10"/>
      <c r="L44" s="10"/>
      <c r="M44" s="10"/>
      <c r="N44" s="10"/>
      <c r="O44" s="10"/>
      <c r="P44" s="10"/>
      <c r="Q44" s="10" t="str">
        <f ca="1">IFERROR(__xludf.DUMMYFUNCTION("""COMPUTED_VALUE"""),"4.6 Информационни ресурси на правосъдието (ИРП)")</f>
        <v>4.6 Информационни ресурси на правосъдието (ИРП)</v>
      </c>
      <c r="R44" s="10"/>
      <c r="S44" s="10"/>
      <c r="T44" s="10"/>
      <c r="U44" s="10"/>
      <c r="V44" s="10"/>
      <c r="W44" s="10"/>
      <c r="X44" s="10"/>
      <c r="Y44" s="10" t="str">
        <f ca="1">IFERROR(__xludf.DUMMYFUNCTION("""COMPUTED_VALUE"""),"Технически университет, София")</f>
        <v>Технически университет, София</v>
      </c>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row>
    <row r="45" spans="1:54" ht="12.75">
      <c r="A45" s="10"/>
      <c r="B45" s="10"/>
      <c r="C45" s="10"/>
      <c r="D45" s="10"/>
      <c r="E45" s="10"/>
      <c r="F45" s="10"/>
      <c r="G45" s="10"/>
      <c r="H45" s="10"/>
      <c r="I45" s="10"/>
      <c r="J45" s="10"/>
      <c r="K45" s="10"/>
      <c r="L45" s="10"/>
      <c r="M45" s="10"/>
      <c r="N45" s="10"/>
      <c r="O45" s="10"/>
      <c r="P45" s="10"/>
      <c r="Q45" s="10" t="str">
        <f ca="1">IFERROR(__xludf.DUMMYFUNCTION("""COMPUTED_VALUE"""),"4.6 Информационни системи и технологии (ИСТ)")</f>
        <v>4.6 Информационни системи и технологии (ИСТ)</v>
      </c>
      <c r="R45" s="10"/>
      <c r="S45" s="10"/>
      <c r="T45" s="10"/>
      <c r="U45" s="10"/>
      <c r="V45" s="10"/>
      <c r="W45" s="10"/>
      <c r="X45" s="10"/>
      <c r="Y45" s="10" t="str">
        <f ca="1">IFERROR(__xludf.DUMMYFUNCTION("""COMPUTED_VALUE"""),"Тракийски университет")</f>
        <v>Тракийски университет</v>
      </c>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row>
    <row r="46" spans="1:54" ht="12.75">
      <c r="A46" s="10"/>
      <c r="B46" s="10"/>
      <c r="C46" s="10"/>
      <c r="D46" s="10"/>
      <c r="E46" s="10"/>
      <c r="F46" s="10"/>
      <c r="G46" s="10"/>
      <c r="H46" s="10"/>
      <c r="I46" s="10"/>
      <c r="J46" s="10"/>
      <c r="K46" s="10"/>
      <c r="L46" s="10"/>
      <c r="M46" s="10"/>
      <c r="N46" s="10"/>
      <c r="O46" s="10"/>
      <c r="P46" s="10"/>
      <c r="Q46" s="10" t="str">
        <f ca="1">IFERROR(__xludf.DUMMYFUNCTION("""COMPUTED_VALUE"""),"4.6 Софтуерни архитектури и управление на качеството (САУК)")</f>
        <v>4.6 Софтуерни архитектури и управление на качеството (САУК)</v>
      </c>
      <c r="R46" s="10"/>
      <c r="S46" s="10"/>
      <c r="T46" s="10"/>
      <c r="U46" s="10"/>
      <c r="V46" s="10"/>
      <c r="W46" s="10"/>
      <c r="X46" s="10"/>
      <c r="Y46" s="10" t="str">
        <f ca="1">IFERROR(__xludf.DUMMYFUNCTION("""COMPUTED_VALUE"""),"Университет ""Проф. д-р Асен Златаров""")</f>
        <v>Университет "Проф. д-р Асен Златаров"</v>
      </c>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row>
    <row r="47" spans="1:54" ht="12.75">
      <c r="A47" s="10"/>
      <c r="B47" s="10"/>
      <c r="C47" s="10"/>
      <c r="D47" s="10"/>
      <c r="E47" s="10"/>
      <c r="F47" s="10"/>
      <c r="G47" s="10"/>
      <c r="H47" s="10"/>
      <c r="I47" s="10"/>
      <c r="J47" s="10"/>
      <c r="K47" s="10"/>
      <c r="L47" s="10"/>
      <c r="M47" s="10"/>
      <c r="N47" s="10"/>
      <c r="O47" s="10"/>
      <c r="P47" s="10"/>
      <c r="Q47" s="10" t="str">
        <f ca="1">IFERROR(__xludf.DUMMYFUNCTION("""COMPUTED_VALUE"""),"4.6 Софтуерно инженерство (СИ)")</f>
        <v>4.6 Софтуерно инженерство (СИ)</v>
      </c>
      <c r="R47" s="10"/>
      <c r="S47" s="10"/>
      <c r="T47" s="10"/>
      <c r="U47" s="10"/>
      <c r="V47" s="10"/>
      <c r="W47" s="10"/>
      <c r="X47" s="10"/>
      <c r="Y47" s="10" t="str">
        <f ca="1">IFERROR(__xludf.DUMMYFUNCTION("""COMPUTED_VALUE"""),"Университет за национално и световно стопанство")</f>
        <v>Университет за национално и световно стопанство</v>
      </c>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row>
    <row r="48" spans="1:54" ht="12.75">
      <c r="A48" s="10"/>
      <c r="B48" s="10"/>
      <c r="C48" s="10"/>
      <c r="D48" s="10"/>
      <c r="E48" s="10"/>
      <c r="F48" s="10"/>
      <c r="G48" s="10"/>
      <c r="H48" s="10"/>
      <c r="I48" s="10"/>
      <c r="J48" s="10"/>
      <c r="K48" s="10"/>
      <c r="L48" s="10"/>
      <c r="M48" s="10"/>
      <c r="N48" s="10"/>
      <c r="O48" s="10"/>
      <c r="P48" s="10"/>
      <c r="Q48" s="10" t="str">
        <f ca="1">IFERROR(__xludf.DUMMYFUNCTION("""COMPUTED_VALUE"""),"9.1 Защита на личните данни и класифицираната информация (НС-маг.)")</f>
        <v>9.1 Защита на личните данни и класифицираната информация (НС-маг.)</v>
      </c>
      <c r="R48" s="10"/>
      <c r="S48" s="10"/>
      <c r="T48" s="10"/>
      <c r="U48" s="10"/>
      <c r="V48" s="10"/>
      <c r="W48" s="10"/>
      <c r="X48" s="10"/>
      <c r="Y48" s="10" t="str">
        <f ca="1">IFERROR(__xludf.DUMMYFUNCTION("""COMPUTED_VALUE"""),"Университет по архитектура, строителство и геодезия")</f>
        <v>Университет по архитектура, строителство и геодезия</v>
      </c>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row>
    <row r="49" spans="1:54" ht="12.75">
      <c r="A49" s="10"/>
      <c r="B49" s="10"/>
      <c r="C49" s="10"/>
      <c r="D49" s="10"/>
      <c r="E49" s="10"/>
      <c r="F49" s="10"/>
      <c r="G49" s="10"/>
      <c r="H49" s="10"/>
      <c r="I49" s="10"/>
      <c r="J49" s="10"/>
      <c r="K49" s="10"/>
      <c r="L49" s="10"/>
      <c r="M49" s="10"/>
      <c r="N49" s="10"/>
      <c r="O49" s="10"/>
      <c r="P49" s="10"/>
      <c r="Q49" s="10" t="str">
        <f ca="1">IFERROR(__xludf.DUMMYFUNCTION("""COMPUTED_VALUE"""),"9.1 Национална сигурност (НС-маг.)")</f>
        <v>9.1 Национална сигурност (НС-маг.)</v>
      </c>
      <c r="R49" s="10"/>
      <c r="S49" s="10"/>
      <c r="T49" s="10"/>
      <c r="U49" s="10"/>
      <c r="V49" s="10"/>
      <c r="W49" s="10"/>
      <c r="X49" s="10"/>
      <c r="Y49" s="10" t="str">
        <f ca="1">IFERROR(__xludf.DUMMYFUNCTION("""COMPUTED_VALUE"""),"Университет по хранителни технологии")</f>
        <v>Университет по хранителни технологии</v>
      </c>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row>
    <row r="50" spans="1:54" ht="12.75">
      <c r="A50" s="10"/>
      <c r="B50" s="10"/>
      <c r="C50" s="10"/>
      <c r="D50" s="10"/>
      <c r="E50" s="10"/>
      <c r="F50" s="10"/>
      <c r="G50" s="10"/>
      <c r="H50" s="10"/>
      <c r="I50" s="10"/>
      <c r="J50" s="10"/>
      <c r="K50" s="10"/>
      <c r="L50" s="10"/>
      <c r="M50" s="10"/>
      <c r="N50" s="10"/>
      <c r="O50" s="10"/>
      <c r="P50" s="10"/>
      <c r="Q50" s="10"/>
      <c r="R50" s="10"/>
      <c r="S50" s="10"/>
      <c r="T50" s="10"/>
      <c r="U50" s="10"/>
      <c r="V50" s="10"/>
      <c r="W50" s="10"/>
      <c r="X50" s="10"/>
      <c r="Y50" s="10" t="str">
        <f ca="1">IFERROR(__xludf.DUMMYFUNCTION("""COMPUTED_VALUE"""),"Химикотехнологичен и металургичен университет")</f>
        <v>Химикотехнологичен и металургичен университет</v>
      </c>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row>
    <row r="51" spans="1:54" ht="12.75">
      <c r="A51" s="10"/>
      <c r="B51" s="10"/>
      <c r="C51" s="10"/>
      <c r="D51" s="10"/>
      <c r="E51" s="10"/>
      <c r="F51" s="10"/>
      <c r="G51" s="10"/>
      <c r="H51" s="10"/>
      <c r="I51" s="10"/>
      <c r="J51" s="10"/>
      <c r="K51" s="10"/>
      <c r="L51" s="10"/>
      <c r="M51" s="10"/>
      <c r="N51" s="10"/>
      <c r="O51" s="10"/>
      <c r="P51" s="10"/>
      <c r="Q51" s="10"/>
      <c r="R51" s="10"/>
      <c r="S51" s="10"/>
      <c r="T51" s="10"/>
      <c r="U51" s="10"/>
      <c r="V51" s="10"/>
      <c r="W51" s="10"/>
      <c r="X51" s="10"/>
      <c r="Y51" s="10" t="str">
        <f ca="1">IFERROR(__xludf.DUMMYFUNCTION("""COMPUTED_VALUE"""),"Югозападен университет „Неофит Рилски“")</f>
        <v>Югозападен университет „Неофит Рилски“</v>
      </c>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row>
    <row r="52" spans="1:54" ht="12.7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row>
    <row r="53" spans="1:54" ht="12.7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row>
    <row r="54" spans="1:54" ht="12.7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row>
    <row r="55" spans="1:54" ht="12.7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row>
    <row r="56" spans="1:54" ht="12.7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row>
    <row r="57" spans="1:54" ht="12.7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row>
    <row r="58" spans="1:54" ht="12.7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row>
    <row r="59" spans="1:54" ht="12.7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row>
    <row r="60" spans="1:54" ht="12.7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row>
    <row r="61" spans="1:54" ht="12.7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row>
    <row r="62" spans="1:54" ht="12.7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row>
    <row r="63" spans="1:54" ht="12.7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row>
    <row r="64" spans="1:54" ht="12.7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row>
    <row r="65" spans="1:54" ht="12.7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row>
    <row r="66" spans="1:54" ht="12.7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row>
    <row r="67" spans="1:54" ht="12.7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row>
    <row r="68" spans="1:54" ht="12.7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row>
    <row r="69" spans="1:54" ht="12.7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row>
    <row r="70" spans="1:54" ht="12.7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row>
    <row r="71" spans="1:54" ht="12.7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row>
    <row r="72" spans="1:54" ht="12.7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row>
    <row r="73" spans="1:54" ht="12.7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row>
    <row r="74" spans="1:54" ht="12.7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row>
    <row r="75" spans="1:54" ht="12.7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row>
    <row r="76" spans="1:54" ht="12.7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row>
    <row r="77" spans="1:54" ht="12.7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row>
    <row r="78" spans="1:54" ht="12.7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row>
    <row r="79" spans="1:54" ht="12.7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row>
    <row r="80" spans="1:54" ht="12.7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row>
    <row r="81" spans="1:54" ht="12.7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row>
    <row r="82" spans="1:54" ht="12.7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row>
    <row r="83" spans="1:54" ht="12.7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row>
    <row r="84" spans="1:54" ht="12.7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row>
    <row r="85" spans="1:54" ht="12.7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row>
    <row r="86" spans="1:54" ht="12.7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row>
    <row r="87" spans="1:54" ht="12.7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row>
    <row r="88" spans="1:54" ht="12.7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row>
    <row r="89" spans="1:54" ht="12.7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row>
    <row r="90" spans="1:54" ht="12.7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row>
    <row r="91" spans="1:54" ht="12.7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row>
    <row r="92" spans="1:54" ht="12.7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row>
    <row r="93" spans="1:54" ht="12.7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row>
    <row r="94" spans="1:54" ht="12.7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row>
    <row r="95" spans="1:54" ht="12.7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row>
    <row r="96" spans="1:54" ht="12.7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row>
    <row r="97" spans="1:54" ht="12.7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row>
    <row r="98" spans="1:54" ht="12.7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row>
    <row r="99" spans="1:54" ht="12.7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row>
    <row r="100" spans="1:54" ht="12.7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row>
    <row r="101" spans="1:54" ht="12.7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row>
    <row r="102" spans="1:54" ht="12.7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row>
    <row r="103" spans="1:54" ht="12.7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row>
    <row r="104" spans="1:54" ht="12.7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row>
    <row r="105" spans="1:54" ht="12.7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row>
    <row r="106" spans="1:54" ht="12.7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row>
    <row r="107" spans="1:54" ht="12.7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row>
    <row r="108" spans="1:54" ht="12.7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row>
    <row r="109" spans="1:54" ht="12.7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row>
    <row r="110" spans="1:54" ht="12.7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row>
    <row r="111" spans="1:54" ht="12.7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row>
    <row r="112" spans="1:54" ht="12.7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row>
    <row r="113" spans="1:54" ht="12.7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row>
    <row r="114" spans="1:54" ht="12.7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row>
    <row r="115" spans="1:54" ht="12.7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row>
    <row r="116" spans="1:54" ht="12.7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row>
    <row r="117" spans="1:54" ht="12.7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row>
    <row r="118" spans="1:54" ht="12.7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row>
    <row r="119" spans="1:54" ht="12.7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row>
    <row r="120" spans="1:54" ht="12.7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row>
    <row r="121" spans="1:54" ht="12.7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row>
    <row r="122" spans="1:54" ht="12.7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row>
    <row r="123" spans="1:54" ht="12.7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row>
    <row r="124" spans="1:54" ht="12.7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row>
    <row r="125" spans="1:54" ht="12.7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row>
    <row r="126" spans="1:54" ht="12.7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row>
    <row r="127" spans="1:54" ht="12.7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row>
    <row r="128" spans="1:54" ht="12.7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row>
    <row r="129" spans="1:54" ht="12.7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row>
    <row r="130" spans="1:54" ht="12.7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row>
    <row r="131" spans="1:54" ht="12.7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row>
    <row r="132" spans="1:54" ht="12.7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row>
    <row r="133" spans="1:54" ht="12.7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row>
    <row r="134" spans="1:54" ht="12.7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row>
    <row r="135" spans="1:54" ht="12.7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row>
    <row r="136" spans="1:54" ht="12.7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row>
    <row r="137" spans="1:54" ht="12.7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row>
    <row r="138" spans="1:54" ht="12.7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row>
    <row r="139" spans="1:54" ht="12.7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row>
    <row r="140" spans="1:54" ht="12.7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row>
    <row r="141" spans="1:54" ht="12.7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row>
    <row r="142" spans="1:54" ht="12.7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row>
    <row r="143" spans="1:54" ht="12.7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row>
    <row r="144" spans="1:54" ht="12.7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row>
    <row r="145" spans="1:54" ht="12.7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row>
    <row r="146" spans="1:54" ht="12.7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row>
    <row r="147" spans="1:54" ht="12.7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row>
    <row r="148" spans="1:54" ht="12.7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row>
    <row r="149" spans="1:54" ht="12.7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row>
    <row r="150" spans="1:54" ht="12.7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row>
    <row r="151" spans="1:54" ht="12.7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row>
    <row r="152" spans="1:54" ht="12.7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row>
    <row r="153" spans="1:54" ht="12.7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row>
    <row r="154" spans="1:54" ht="12.7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row>
    <row r="155" spans="1:54" ht="12.7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row>
    <row r="156" spans="1:54" ht="12.7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row>
    <row r="157" spans="1:54" ht="12.7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2110"/>
  <sheetViews>
    <sheetView workbookViewId="0"/>
  </sheetViews>
  <sheetFormatPr defaultColWidth="14.42578125" defaultRowHeight="15.75" customHeight="1"/>
  <cols>
    <col min="1" max="1" width="28.28515625" customWidth="1"/>
    <col min="2" max="2" width="27.28515625" customWidth="1"/>
    <col min="5" max="5" width="31.42578125" customWidth="1"/>
    <col min="6" max="6" width="36.28515625" customWidth="1"/>
    <col min="7" max="7" width="33.140625" customWidth="1"/>
  </cols>
  <sheetData>
    <row r="1" spans="1:26" ht="14.25">
      <c r="A1" s="27" t="str">
        <f ca="1">IFERROR(__xludf.DUMMYFUNCTION("IMPORTRANGE(""https://docs.google.com/spreadsheets/d/1qfRl7xYSDqt2R7WyPEIRMRiDmSs1oaK59LlZ-Wdvx4k/edit"",""all"")"),"Име на учен")</f>
        <v>Име на учен</v>
      </c>
      <c r="B1" s="10" t="str">
        <f ca="1">IFERROR(__xludf.DUMMYFUNCTION("""COMPUTED_VALUE"""),"Вид на публикация")</f>
        <v>Вид на публикация</v>
      </c>
      <c r="C1" s="10" t="str">
        <f ca="1">IFERROR(__xludf.DUMMYFUNCTION("""COMPUTED_VALUE"""),"Оригинално заглавие")</f>
        <v>Оригинално заглавие</v>
      </c>
      <c r="D1" s="10" t="str">
        <f ca="1">IFERROR(__xludf.DUMMYFUNCTION("""COMPUTED_VALUE"""),"Година на издаване")</f>
        <v>Година на издаване</v>
      </c>
      <c r="E1" s="10" t="str">
        <f ca="1">IFERROR(__xludf.DUMMYFUNCTION("""COMPUTED_VALUE"""),"Издателски данни")</f>
        <v>Издателски данни</v>
      </c>
      <c r="F1" s="10" t="str">
        <f ca="1">IFERROR(__xludf.DUMMYFUNCTION("""COMPUTED_VALUE"""),"Инф. бази данни, в които е реферирана/индексирана публикацията")</f>
        <v>Инф. бази данни, в които е реферирана/индексирана публикацията</v>
      </c>
      <c r="G1" s="10" t="str">
        <f ca="1">IFERROR(__xludf.DUMMYFUNCTION("""COMPUTED_VALUE"""),"Съавтори")</f>
        <v>Съавтори</v>
      </c>
      <c r="H1" s="10"/>
      <c r="I1" s="10"/>
      <c r="J1" s="10"/>
      <c r="K1" s="10"/>
      <c r="L1" s="10"/>
      <c r="M1" s="10"/>
      <c r="N1" s="10"/>
      <c r="O1" s="10"/>
      <c r="P1" s="10"/>
      <c r="Q1" s="10"/>
      <c r="R1" s="10"/>
      <c r="S1" s="10"/>
      <c r="T1" s="10"/>
      <c r="U1" s="10"/>
      <c r="V1" s="10"/>
      <c r="W1" s="10"/>
      <c r="X1" s="10"/>
      <c r="Y1" s="10"/>
      <c r="Z1" s="10"/>
    </row>
    <row r="2" spans="1:26" ht="15.75" customHeight="1">
      <c r="A2" s="10" t="str">
        <f ca="1">IFERROR(__xludf.DUMMYFUNCTION("""COMPUTED_VALUE"""),"Александра Венкова Куманова")</f>
        <v>Александра Венкова Куманова</v>
      </c>
      <c r="B2" s="10" t="str">
        <f ca="1">IFERROR(__xludf.DUMMYFUNCTION("""COMPUTED_VALUE"""),"Статия в списания и поредици")</f>
        <v>Статия в списания и поредици</v>
      </c>
      <c r="C2" s="10" t="str">
        <f ca="1">IFERROR(__xludf.DUMMYFUNCTION("""COMPUTED_VALUE"""),"Алфред Фриц Майнхард : Иноверен (Ибн Сина) / Посв. се на петата год. от преминаването в Небето на Ф. М. (4.06.1933, София – 18.05.2014, София).")</f>
        <v>Алфред Фриц Майнхард : Иноверен (Ибн Сина) / Посв. се на петата год. от преминаването в Небето на Ф. М. (4.06.1933, София – 18.05.2014, София).</v>
      </c>
      <c r="D2" s="10">
        <f ca="1">IFERROR(__xludf.DUMMYFUNCTION("""COMPUTED_VALUE"""),2020)</f>
        <v>2020</v>
      </c>
      <c r="E2" s="10" t="str">
        <f ca="1">IFERROR(__xludf.DUMMYFUNCTION("""COMPUTED_VALUE"""),"// Библиотека (София). – ISSN 0861-847X. – 2020, N 2, с. 1 : с портр. ; ил. – Рез. на англ. ез. – Рубр. Библиотечно-библиогр. хуманитаристика.")</f>
        <v>// Библиотека (София). – ISSN 0861-847X. – 2020, N 2, с. 1 : с портр. ; ил. – Рез. на англ. ез. – Рубр. Библиотечно-библиогр. хуманитаристика.</v>
      </c>
      <c r="F2" s="10"/>
      <c r="G2" s="10"/>
      <c r="H2" s="10"/>
      <c r="I2" s="10"/>
      <c r="J2" s="10"/>
      <c r="K2" s="10"/>
      <c r="L2" s="10"/>
      <c r="M2" s="10"/>
      <c r="N2" s="10"/>
      <c r="O2" s="10"/>
      <c r="P2" s="10"/>
      <c r="Q2" s="10"/>
      <c r="R2" s="10"/>
      <c r="S2" s="10"/>
      <c r="T2" s="10"/>
      <c r="U2" s="10"/>
      <c r="V2" s="10"/>
      <c r="W2" s="10"/>
      <c r="X2" s="10"/>
      <c r="Y2" s="10"/>
      <c r="Z2" s="10"/>
    </row>
    <row r="3" spans="1:26" ht="15.75" customHeight="1">
      <c r="A3" s="10" t="str">
        <f ca="1">IFERROR(__xludf.DUMMYFUNCTION("""COMPUTED_VALUE"""),"Александра Венкова Куманова")</f>
        <v>Александра Венкова Куманова</v>
      </c>
      <c r="B3" s="10" t="str">
        <f ca="1">IFERROR(__xludf.DUMMYFUNCTION("""COMPUTED_VALUE"""),"Статия в списания и поредици")</f>
        <v>Статия в списания и поредици</v>
      </c>
      <c r="C3" s="10" t="str">
        <f ca="1">IFERROR(__xludf.DUMMYFUNCTION("""COMPUTED_VALUE"""),"Живият университет – живото общуване (Триптих за доброто на универсалното хуманитарно познание и мисията на служенето на информационните технологии през ХХІ в.) : ІІ. Интродукция към конкурс „Декамерон” (Посланието ми към човечеството през пролетта на 202"&amp;"0 г.) Черната Гостенка – „Декамерон” – Бокачо и НИЕ...” [конкурс по идея на А. К. с цел да се създадат и представят на ежегодн. XVІ Студентска науч. виртуална конф. и изложба на Унив. по библиотекозн. и информ. технолог. с межд. участие „Информация – инфо"&amp;"рмационна среда – идея” – „Information – information environment – idea” (22.05.2020 г.) есета, възникнала във връзка с пандемията през пролетта на 2020 г. и вдъхновена от знаменитата творба на Джовани Бокачо (Giovanni Boccaccio, 1313-1375) ; биобиблиогр."&amp;" скица на живота и творчеството на Бокачо и чумната епидемия във Флоренция през 1348 г.] / Епигр.: „Когато гръм удари, как ехото заглъхва” – Пейо Яворов.")</f>
        <v>Живият университет – живото общуване (Триптих за доброто на универсалното хуманитарно познание и мисията на служенето на информационните технологии през ХХІ в.) : ІІ. Интродукция към конкурс „Декамерон” (Посланието ми към човечеството през пролетта на 2020 г.) Черната Гостенка – „Декамерон” – Бокачо и НИЕ...” [конкурс по идея на А. К. с цел да се създадат и представят на ежегодн. XVІ Студентска науч. виртуална конф. и изложба на Унив. по библиотекозн. и информ. технолог. с межд. участие „Информация – информационна среда – идея” – „Information – information environment – idea” (22.05.2020 г.) есета, възникнала във връзка с пандемията през пролетта на 2020 г. и вдъхновена от знаменитата творба на Джовани Бокачо (Giovanni Boccaccio, 1313-1375) ; биобиблиогр. скица на живота и творчеството на Бокачо и чумната епидемия във Флоренция през 1348 г.] / Епигр.: „Когато гръм удари, как ехото заглъхва” – Пейо Яворов.</v>
      </c>
      <c r="D3" s="10">
        <f ca="1">IFERROR(__xludf.DUMMYFUNCTION("""COMPUTED_VALUE"""),2020)</f>
        <v>2020</v>
      </c>
      <c r="E3" s="10" t="str">
        <f ca="1">IFERROR(__xludf.DUMMYFUNCTION("""COMPUTED_VALUE"""),"// Библиотека (София). – ISSN 0861-847X. – 2020, N 3, с. 93-98 : с 4 ил. – Библиогр.: лит. и бел.: 27 неном. назв. – Рез. на англ. ез.")</f>
        <v>// Библиотека (София). – ISSN 0861-847X. – 2020, N 3, с. 93-98 : с 4 ил. – Библиогр.: лит. и бел.: 27 неном. назв. – Рез. на англ. ез.</v>
      </c>
      <c r="F3" s="10"/>
      <c r="G3" s="10"/>
      <c r="H3" s="10"/>
      <c r="I3" s="10"/>
      <c r="J3" s="10"/>
      <c r="K3" s="10"/>
      <c r="L3" s="10"/>
      <c r="M3" s="10"/>
      <c r="N3" s="10"/>
      <c r="O3" s="10"/>
      <c r="P3" s="10"/>
      <c r="Q3" s="10"/>
      <c r="R3" s="10"/>
      <c r="S3" s="10"/>
      <c r="T3" s="10"/>
      <c r="U3" s="10"/>
      <c r="V3" s="10"/>
      <c r="W3" s="10"/>
      <c r="X3" s="10"/>
      <c r="Y3" s="10"/>
      <c r="Z3" s="10"/>
    </row>
    <row r="4" spans="1:26" ht="15.75" customHeight="1">
      <c r="A4" s="10" t="str">
        <f ca="1">IFERROR(__xludf.DUMMYFUNCTION("""COMPUTED_VALUE"""),"Александра Венкова Куманова")</f>
        <v>Александра Венкова Куманова</v>
      </c>
      <c r="B4" s="10" t="str">
        <f ca="1">IFERROR(__xludf.DUMMYFUNCTION("""COMPUTED_VALUE"""),"Доклад от конференция")</f>
        <v>Доклад от конференция</v>
      </c>
      <c r="C4" s="10" t="str">
        <f ca="1">IFERROR(__xludf.DUMMYFUNCTION("""COMPUTED_VALUE"""),"Записка в олтара (Уникален първи обобщаващ монографичен труд за уникалния Бицилли – дело на уникалния Бирман) ; Михаил Абрамович Бирман (10.10.1919- ) : Биобиблиогр. в чест на 100-год. от рожд. на бициллиеведа (N 2903)")</f>
        <v>Записка в олтара (Уникален първи обобщаващ монографичен труд за уникалния Бицилли – дело на уникалния Бирман) ; Михаил Абрамович Бирман (10.10.1919- ) : Биобиблиогр. в чест на 100-год. от рожд. на бициллиеведа (N 2903)</v>
      </c>
      <c r="D4" s="10">
        <f ca="1">IFERROR(__xludf.DUMMYFUNCTION("""COMPUTED_VALUE"""),2020)</f>
        <v>2020</v>
      </c>
      <c r="E4" s="10" t="str">
        <f ca="1">IFERROR(__xludf.DUMMYFUNCTION("""COMPUTED_VALUE"""),"Трудове на Студентското научно общество при Университет по библиотекознание и информационни технологии. Т. 15, София, 2020, с. 723-795. ISSN 1314-2526")</f>
        <v>Трудове на Студентското научно общество при Университет по библиотекознание и информационни технологии. Т. 15, София, 2020, с. 723-795. ISSN 1314-2526</v>
      </c>
      <c r="F4" s="10"/>
      <c r="G4" s="10" t="str">
        <f ca="1">IFERROR(__xludf.DUMMYFUNCTION("""COMPUTED_VALUE"""),"Милен Куманов, Силвия Филипова")</f>
        <v>Милен Куманов, Силвия Филипова</v>
      </c>
      <c r="H4" s="10"/>
      <c r="I4" s="10"/>
      <c r="J4" s="10"/>
      <c r="K4" s="10"/>
      <c r="L4" s="10"/>
      <c r="M4" s="10"/>
      <c r="N4" s="10"/>
      <c r="O4" s="10"/>
      <c r="P4" s="10"/>
      <c r="Q4" s="10"/>
      <c r="R4" s="10"/>
      <c r="S4" s="10"/>
      <c r="T4" s="10"/>
      <c r="U4" s="10"/>
      <c r="V4" s="10"/>
      <c r="W4" s="10"/>
      <c r="X4" s="10"/>
      <c r="Y4" s="10"/>
      <c r="Z4" s="10"/>
    </row>
    <row r="5" spans="1:26" ht="15.75" customHeight="1">
      <c r="A5" s="10" t="str">
        <f ca="1">IFERROR(__xludf.DUMMYFUNCTION("""COMPUTED_VALUE"""),"Александра Венкова Куманова")</f>
        <v>Александра Венкова Куманова</v>
      </c>
      <c r="B5" s="10" t="str">
        <f ca="1">IFERROR(__xludf.DUMMYFUNCTION("""COMPUTED_VALUE"""),"Доклад от конференция")</f>
        <v>Доклад от конференция</v>
      </c>
      <c r="C5" s="10" t="str">
        <f ca="1">IFERROR(__xludf.DUMMYFUNCTION("""COMPUTED_VALUE"""),"Tabula gratulatorum [ХV]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2005-2019 (NN 1-3006)")</f>
        <v>Tabula gratulatorum [ХV]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2005-2019 (NN 1-3006)</v>
      </c>
      <c r="D5" s="10">
        <f ca="1">IFERROR(__xludf.DUMMYFUNCTION("""COMPUTED_VALUE"""),2020)</f>
        <v>2020</v>
      </c>
      <c r="E5" s="10" t="str">
        <f ca="1">IFERROR(__xludf.DUMMYFUNCTION("""COMPUTED_VALUE"""),"Трудове на Студентското научно общество при Университет по библиотекознание и информ. технолог. София. Т. 15, 2020, с. 7-458. ISSN 1314-2526.")</f>
        <v>Трудове на Студентското научно общество при Университет по библиотекознание и информ. технолог. София. Т. 15, 2020, с. 7-458. ISSN 1314-2526.</v>
      </c>
      <c r="F5" s="10"/>
      <c r="G5" s="10" t="str">
        <f ca="1">IFERROR(__xludf.DUMMYFUNCTION("""COMPUTED_VALUE"""),"Николай Василев, Илияна Камбурова, Мариана Матова")</f>
        <v>Николай Василев, Илияна Камбурова, Мариана Матова</v>
      </c>
      <c r="H5" s="10"/>
      <c r="I5" s="10"/>
      <c r="J5" s="10"/>
      <c r="K5" s="10"/>
      <c r="L5" s="10"/>
      <c r="M5" s="10"/>
      <c r="N5" s="10"/>
      <c r="O5" s="10"/>
      <c r="P5" s="10"/>
      <c r="Q5" s="10"/>
      <c r="R5" s="10"/>
      <c r="S5" s="10"/>
      <c r="T5" s="10"/>
      <c r="U5" s="10"/>
      <c r="V5" s="10"/>
      <c r="W5" s="10"/>
      <c r="X5" s="10"/>
      <c r="Y5" s="10"/>
      <c r="Z5" s="10"/>
    </row>
    <row r="6" spans="1:26" ht="15.75" customHeight="1">
      <c r="A6" s="10" t="str">
        <f ca="1">IFERROR(__xludf.DUMMYFUNCTION("""COMPUTED_VALUE"""),"Александра Венкова Куманова")</f>
        <v>Александра Венкова Куманова</v>
      </c>
      <c r="B6" s="10" t="str">
        <f ca="1">IFERROR(__xludf.DUMMYFUNCTION("""COMPUTED_VALUE"""),"Доклад от конференция")</f>
        <v>Доклад от конференция</v>
      </c>
      <c r="C6" s="10" t="str">
        <f ca="1">IFERROR(__xludf.DUMMYFUNCTION("""COMPUTED_VALUE"""),"Феноменологично обобщение на форума – образованието – внимание към онтологичните свойства на почвата")</f>
        <v>Феноменологично обобщение на форума – образованието – внимание към онтологичните свойства на почвата</v>
      </c>
      <c r="D6" s="10">
        <f ca="1">IFERROR(__xludf.DUMMYFUNCTION("""COMPUTED_VALUE"""),2020)</f>
        <v>2020</v>
      </c>
      <c r="E6" s="10" t="str">
        <f ca="1">IFERROR(__xludf.DUMMYFUNCTION("""COMPUTED_VALUE"""),"Трудове на Студентското научно общество при
 Университет по библиотекознание и информ. технолог. София. Т. 15, 2020, с. 288-290. ISSN 1314-2526.")</f>
        <v>Трудове на Студентското научно общество при
 Университет по библиотекознание и информ. технолог. София. Т. 15, 2020, с. 288-290. ISSN 1314-2526.</v>
      </c>
      <c r="F6" s="10"/>
      <c r="G6" s="10" t="str">
        <f ca="1">IFERROR(__xludf.DUMMYFUNCTION("""COMPUTED_VALUE"""),"Н. Василев")</f>
        <v>Н. Василев</v>
      </c>
      <c r="H6" s="10"/>
      <c r="I6" s="10"/>
      <c r="J6" s="10"/>
      <c r="K6" s="10"/>
      <c r="L6" s="10"/>
      <c r="M6" s="10"/>
      <c r="N6" s="10"/>
      <c r="O6" s="10"/>
      <c r="P6" s="10"/>
      <c r="Q6" s="10"/>
      <c r="R6" s="10"/>
      <c r="S6" s="10"/>
      <c r="T6" s="10"/>
      <c r="U6" s="10"/>
      <c r="V6" s="10"/>
      <c r="W6" s="10"/>
      <c r="X6" s="10"/>
      <c r="Y6" s="10"/>
      <c r="Z6" s="10"/>
    </row>
    <row r="7" spans="1:26" ht="15.75" customHeight="1">
      <c r="A7" s="10" t="str">
        <f ca="1">IFERROR(__xludf.DUMMYFUNCTION("""COMPUTED_VALUE"""),"Александра Венкова Куманова")</f>
        <v>Александра Венкова Куманова</v>
      </c>
      <c r="B7" s="10" t="str">
        <f ca="1">IFERROR(__xludf.DUMMYFUNCTION("""COMPUTED_VALUE"""),"Доклад от конференция")</f>
        <v>Доклад от конференция</v>
      </c>
      <c r="C7" s="10" t="str">
        <f ca="1">IFERROR(__xludf.DUMMYFUNCTION("""COMPUTED_VALUE"""),"Компаративистичен модел на триадата „Електронна библиотека – четене – комуникации” (Стратификация на библиометрично и хуманитарно измерение на структуриран интелектуален ресурс : Към въпроса за облагородяването на социалния климат)")</f>
        <v>Компаративистичен модел на триадата „Електронна библиотека – четене – комуникации” (Стратификация на библиометрично и хуманитарно измерение на структуриран интелектуален ресурс : Към въпроса за облагородяването на социалния климат)</v>
      </c>
      <c r="D7" s="10">
        <f ca="1">IFERROR(__xludf.DUMMYFUNCTION("""COMPUTED_VALUE"""),2020)</f>
        <v>2020</v>
      </c>
      <c r="E7" s="10" t="str">
        <f ca="1">IFERROR(__xludf.DUMMYFUNCTION("""COMPUTED_VALUE"""),"// Библиотеки, четене, комуникации (Велико Търново) : ХVІІІ нац. науч. конф. с межд. участие – 14-15 ноември 2019 / Нар. библ. „П. Р. Славейков” – В. Търново ; Посв. на 130-год. от учредяването на първ. обществ. библ. в гр. В. Търново и на темата за прила"&amp;"гането на библиотечното законодателство, авт. право и сродните му права в работата на библиотеките и на 70-год. от рожд. на проф. д-р Елена Георгиева, една от основателите на катедра „Библиотекознание” и неин дългогод. Преподавател ; Изд. се осъществява с"&amp;" финанс. подкрепа на Фондация „Глобални библиотеки – България” ; Състав. Александър Ковачев, Калина Иванова, Иван Александров ; Науч. ред. Калина Иванова. – ISSN 1313-8138 (print) ; ISSN 2683-0981 (online). – с.143-156")</f>
        <v>// Библиотеки, четене, комуникации (Велико Търново) : ХVІІІ нац. науч. конф. с межд. участие – 14-15 ноември 2019 / Нар. библ. „П. Р. Славейков” – В. Търново ; Посв. на 130-год. от учредяването на първ. обществ. библ. в гр. В. Търново и на темата за прилагането на библиотечното законодателство, авт. право и сродните му права в работата на библиотеките и на 70-год. от рожд. на проф. д-р Елена Георгиева, една от основателите на катедра „Библиотекознание” и неин дългогод. Преподавател ; Изд. се осъществява с финанс. подкрепа на Фондация „Глобални библиотеки – България” ; Състав. Александър Ковачев, Калина Иванова, Иван Александров ; Науч. ред. Калина Иванова. – ISSN 1313-8138 (print) ; ISSN 2683-0981 (online). – с.143-156</v>
      </c>
      <c r="F7" s="10"/>
      <c r="G7" s="10" t="str">
        <f ca="1">IFERROR(__xludf.DUMMYFUNCTION("""COMPUTED_VALUE"""),"Н. Василев, Мирослава Траянова")</f>
        <v>Н. Василев, Мирослава Траянова</v>
      </c>
      <c r="H7" s="10"/>
      <c r="I7" s="10"/>
      <c r="J7" s="10"/>
      <c r="K7" s="10"/>
      <c r="L7" s="10"/>
      <c r="M7" s="10"/>
      <c r="N7" s="10"/>
      <c r="O7" s="10"/>
      <c r="P7" s="10"/>
      <c r="Q7" s="10"/>
      <c r="R7" s="10"/>
      <c r="S7" s="10"/>
      <c r="T7" s="10"/>
      <c r="U7" s="10"/>
      <c r="V7" s="10"/>
      <c r="W7" s="10"/>
      <c r="X7" s="10"/>
      <c r="Y7" s="10"/>
      <c r="Z7" s="10"/>
    </row>
    <row r="8" spans="1:26" ht="15.75" customHeight="1">
      <c r="A8" s="10" t="str">
        <f ca="1">IFERROR(__xludf.DUMMYFUNCTION("""COMPUTED_VALUE"""),"Александра Венкова Куманова")</f>
        <v>Александра Венкова Куманова</v>
      </c>
      <c r="B8" s="10" t="str">
        <f ca="1">IFERROR(__xludf.DUMMYFUNCTION("""COMPUTED_VALUE"""),"Доклад от конференция")</f>
        <v>Доклад от конференция</v>
      </c>
      <c r="C8" s="10" t="str">
        <f ca="1">IFERROR(__xludf.DUMMYFUNCTION("""COMPUTED_VALUE"""),"Специфика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1774 с.) и „НИШКАТА НА АРИАДНА” (София,"&amp;" 2017. – 952 с.) (Библиографски и историографски черти на информационната ризома и академизма) / „Errores depraehendere leve est, meliora praestare virum probum decet.” („Грешки да се забелязват не е много сложно; да се даде нещо по-добро – ето кое приляг"&amp;"а на достойния човек.”) – М. В. Ломоносов")</f>
        <v>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1774 с.) и „НИШКАТА НА АРИАДНА” (София, 2017. – 952 с.) (Библиографски и историографски черти на информационната ризома и академизма) / „Errores depraehendere leve est, meliora praestare virum probum decet.” („Грешки да се забелязват не е много сложно; да се даде нещо по-добро – ето кое приляга на достойния човек.”) – М. В. Ломоносов</v>
      </c>
      <c r="D8" s="10">
        <f ca="1">IFERROR(__xludf.DUMMYFUNCTION("""COMPUTED_VALUE"""),2020)</f>
        <v>2020</v>
      </c>
      <c r="E8" s="10" t="str">
        <f ca="1">IFERROR(__xludf.DUMMYFUNCTION("""COMPUTED_VALUE"""),"Нематериалното културно наследство: самобитност, приемственост, опорочаване : Науч. конф. – София, 28.03.2018, УниБИТ : Сб. с докл. = Intangible cultural heritage: authenticity, continuity, vitiation : [Sci.] conf. – Sofia, 28 March 2018 : Proceedings / Ф"&amp;"ондация Арете-Фол, катедра „Културно-историческо наследство” при УниБИТ, катедра „Етнология” при Софийския университетт „Св. Климент Охридски” с подкрепата на Регионалния център за опазване на нематериалното културно наследство в Югоизточна Европа под еги"&amp;"дата на ЮНЕСКО ; Състав. Нина Дебрюне, Джени Маджаров ; Ред. съвет.: В. Фол, Ваня Добрева, Василики Хрисантополу, Енгин Бексач, Михай Драгня. – София, 2020. – ISBN 978-619-185-414-1. – с. 274-296. – Съавт. С. Денчев, Н. Василев. – (Проблеми на културното "&amp;"наследство ; Том 1 = Cultural heritage ; Vol. 1). – Рез. на англ. ез. – Разшир. публ. 
 Публ.: &lt;https://drive.google.com/file/d/1i_0SuyoI-xd2XYb55-CAKHvhow34UPN8/view?usp=sharing&gt;.")</f>
        <v>Нематериалното културно наследство: самобитност, приемственост, опорочаване : Науч. конф. – София, 28.03.2018, УниБИТ : Сб. с докл. = Intangible cultural heritage: authenticity, continuity, vitiation : [Sci.] conf. – Sofia, 28 March 2018 : Proceedings / Фондация Арете-Фол, катедра „Културно-историческо наследство” при УниБИТ, катедра „Етнология” при Софийския университетт „Св. Климент Охридски” с подкрепата на Регионалния център за опазване на нематериалното културно наследство в Югоизточна Европа под егидата на ЮНЕСКО ; Състав. Нина Дебрюне, Джени Маджаров ; Ред. съвет.: В. Фол, Ваня Добрева, Василики Хрисантополу, Енгин Бексач, Михай Драгня. – София, 2020. – ISBN 978-619-185-414-1. – с. 274-296. – Съавт. С. Денчев, Н. Василев. – (Проблеми на културното наследство ; Том 1 = Cultural heritage ; Vol. 1). – Рез. на англ. ез. – Разшир. публ. 
 Публ.: &lt;https://drive.google.com/file/d/1i_0SuyoI-xd2XYb55-CAKHvhow34UPN8/view?usp=sharing&gt;.</v>
      </c>
      <c r="F8" s="10"/>
      <c r="G8" s="10" t="str">
        <f ca="1">IFERROR(__xludf.DUMMYFUNCTION("""COMPUTED_VALUE"""),"С. Денчев, Н. Василев")</f>
        <v>С. Денчев, Н. Василев</v>
      </c>
      <c r="H8" s="10"/>
      <c r="I8" s="10"/>
      <c r="J8" s="10"/>
      <c r="K8" s="10"/>
      <c r="L8" s="10"/>
      <c r="M8" s="10"/>
      <c r="N8" s="10"/>
      <c r="O8" s="10"/>
      <c r="P8" s="10"/>
      <c r="Q8" s="10"/>
      <c r="R8" s="10"/>
      <c r="S8" s="10"/>
      <c r="T8" s="10"/>
      <c r="U8" s="10"/>
      <c r="V8" s="10"/>
      <c r="W8" s="10"/>
      <c r="X8" s="10"/>
      <c r="Y8" s="10"/>
      <c r="Z8" s="10"/>
    </row>
    <row r="9" spans="1:26" ht="15.75" customHeight="1">
      <c r="A9" s="10" t="str">
        <f ca="1">IFERROR(__xludf.DUMMYFUNCTION("""COMPUTED_VALUE"""),"Александра Венкова Куманова")</f>
        <v>Александра Венкова Куманова</v>
      </c>
      <c r="B9" s="10" t="str">
        <f ca="1">IFERROR(__xludf.DUMMYFUNCTION("""COMPUTED_VALUE"""),"Доклад от конференция")</f>
        <v>Доклад от конференция</v>
      </c>
      <c r="C9" s="10" t="str">
        <f ca="1">IFERROR(__xludf.DUMMYFUNCTION("""COMPUTED_VALUE"""),"Елена Нерлих–Златева : EN GRAND (В чест на 50-годишнината от първата й публикация)")</f>
        <v>Елена Нерлих–Златева : EN GRAND (В чест на 50-годишнината от първата й публикация)</v>
      </c>
      <c r="D9" s="10">
        <f ca="1">IFERROR(__xludf.DUMMYFUNCTION("""COMPUTED_VALUE"""),2020)</f>
        <v>2020</v>
      </c>
      <c r="E9" s="10" t="str">
        <f ca="1">IFERROR(__xludf.DUMMYFUNCTION("""COMPUTED_VALUE"""),"Трудове на Студентското научно общество при Университет по библиотекознание и информ. технологии. Т. 15, София, 2020, с. 472-485. ISSN 1314-2526.")</f>
        <v>Трудове на Студентското научно общество при Университет по библиотекознание и информ. технологии. Т. 15, София, 2020, с. 472-485. ISSN 1314-2526.</v>
      </c>
      <c r="F9" s="10"/>
      <c r="G9" s="10"/>
      <c r="H9" s="10"/>
      <c r="I9" s="10"/>
      <c r="J9" s="10"/>
      <c r="K9" s="10"/>
      <c r="L9" s="10"/>
      <c r="M9" s="10"/>
      <c r="N9" s="10"/>
      <c r="O9" s="10"/>
      <c r="P9" s="10"/>
      <c r="Q9" s="10"/>
      <c r="R9" s="10"/>
      <c r="S9" s="10"/>
      <c r="T9" s="10"/>
      <c r="U9" s="10"/>
      <c r="V9" s="10"/>
      <c r="W9" s="10"/>
      <c r="X9" s="10"/>
      <c r="Y9" s="10"/>
      <c r="Z9" s="10"/>
    </row>
    <row r="10" spans="1:26" ht="15.75" customHeight="1">
      <c r="A10" s="10" t="str">
        <f ca="1">IFERROR(__xludf.DUMMYFUNCTION("""COMPUTED_VALUE"""),"Александра Венкова Куманова")</f>
        <v>Александра Венкова Куманова</v>
      </c>
      <c r="B10" s="10" t="str">
        <f ca="1">IFERROR(__xludf.DUMMYFUNCTION("""COMPUTED_VALUE"""),"Доклад от конференция")</f>
        <v>Доклад от конференция</v>
      </c>
      <c r="C10" s="10" t="str">
        <f ca="1">IFERROR(__xludf.DUMMYFUNCTION("""COMPUTED_VALUE"""),"Майсторски клас по световна универсална библиография : Феноменът на GENERATIO SPONTANEA. Картографиране. Райониране на вторично-документалното знание (Университет по библиотекознание и информационни технологии – 17.05.2019) (Тезиси) (N 2879).")</f>
        <v>Майсторски клас по световна универсална библиография : Феноменът на GENERATIO SPONTANEA. Картографиране. Райониране на вторично-документалното знание (Университет по библиотекознание и информационни технологии – 17.05.2019) (Тезиси) (N 2879).</v>
      </c>
      <c r="D10" s="10">
        <f ca="1">IFERROR(__xludf.DUMMYFUNCTION("""COMPUTED_VALUE"""),2020)</f>
        <v>2020</v>
      </c>
      <c r="E10" s="10" t="str">
        <f ca="1">IFERROR(__xludf.DUMMYFUNCTION("""COMPUTED_VALUE"""),"Трудове на Студентското научно общество при Университет по библиотекознание и информ. технолог. София. Т. 15, 2020, с. 525-547. ISSN 1314-2526.")</f>
        <v>Трудове на Студентското научно общество при Университет по библиотекознание и информ. технолог. София. Т. 15, 2020, с. 525-547. ISSN 1314-2526.</v>
      </c>
      <c r="F10" s="10"/>
      <c r="G10" s="10"/>
      <c r="H10" s="10"/>
      <c r="I10" s="10"/>
      <c r="J10" s="10"/>
      <c r="K10" s="10"/>
      <c r="L10" s="10"/>
      <c r="M10" s="10"/>
      <c r="N10" s="10"/>
      <c r="O10" s="10"/>
      <c r="P10" s="10"/>
      <c r="Q10" s="10"/>
      <c r="R10" s="10"/>
      <c r="S10" s="10"/>
      <c r="T10" s="10"/>
      <c r="U10" s="10"/>
      <c r="V10" s="10"/>
      <c r="W10" s="10"/>
      <c r="X10" s="10"/>
      <c r="Y10" s="10"/>
      <c r="Z10" s="10"/>
    </row>
    <row r="11" spans="1:26" ht="12.75">
      <c r="A11" s="10" t="str">
        <f ca="1">IFERROR(__xludf.DUMMYFUNCTION("""COMPUTED_VALUE"""),"Александра Венкова Куманова")</f>
        <v>Александра Венкова Куманова</v>
      </c>
      <c r="B11" s="10" t="str">
        <f ca="1">IFERROR(__xludf.DUMMYFUNCTION("""COMPUTED_VALUE"""),"Доклад от конференция")</f>
        <v>Доклад от конференция</v>
      </c>
      <c r="C11" s="10" t="str">
        <f ca="1">IFERROR(__xludf.DUMMYFUNCTION("""COMPUTED_VALUE"""),"Майсторски клас по автобиобиблиография (Университет по библиотекознание и информационни технологии – 17.05.2019) (Тезиси) (N 2888).")</f>
        <v>Майсторски клас по автобиобиблиография (Университет по библиотекознание и информационни технологии – 17.05.2019) (Тезиси) (N 2888).</v>
      </c>
      <c r="D11" s="10">
        <f ca="1">IFERROR(__xludf.DUMMYFUNCTION("""COMPUTED_VALUE"""),2020)</f>
        <v>2020</v>
      </c>
      <c r="E11" s="10" t="str">
        <f ca="1">IFERROR(__xludf.DUMMYFUNCTION("""COMPUTED_VALUE"""),"Трудове на Студентското научно общество при
 Университет по библиотекознание и информационни технологии. София. Т. 15, 2020, с. 586-640.
 ISSN 1314-2526.")</f>
        <v>Трудове на Студентското научно общество при
 Университет по библиотекознание и информационни технологии. София. Т. 15, 2020, с. 586-640.
 ISSN 1314-2526.</v>
      </c>
      <c r="F11" s="10"/>
      <c r="G11" s="10"/>
      <c r="H11" s="10"/>
      <c r="I11" s="10"/>
      <c r="J11" s="10"/>
      <c r="K11" s="10"/>
      <c r="L11" s="10"/>
      <c r="M11" s="10"/>
      <c r="N11" s="10"/>
      <c r="O11" s="10"/>
      <c r="P11" s="10"/>
      <c r="Q11" s="10"/>
      <c r="R11" s="10"/>
      <c r="S11" s="10"/>
      <c r="T11" s="10"/>
      <c r="U11" s="10"/>
      <c r="V11" s="10"/>
      <c r="W11" s="10"/>
      <c r="X11" s="10"/>
      <c r="Y11" s="10"/>
      <c r="Z11" s="10"/>
    </row>
    <row r="12" spans="1:26" ht="12.75">
      <c r="A12" s="10" t="str">
        <f ca="1">IFERROR(__xludf.DUMMYFUNCTION("""COMPUTED_VALUE"""),"Александра Венкова Куманова")</f>
        <v>Александра Венкова Куманова</v>
      </c>
      <c r="B12" s="10" t="str">
        <f ca="1">IFERROR(__xludf.DUMMYFUNCTION("""COMPUTED_VALUE"""),"Доклад от конференция")</f>
        <v>Доклад от конференция</v>
      </c>
      <c r="C12" s="10" t="str">
        <f ca="1">IFERROR(__xludf.DUMMYFUNCTION("""COMPUTED_VALUE"""),"Културното наследство на световната универсална библиография (Райониране и картографиране на текущите хуманитарни вторично-документални форми в електронна библиотека UNIVERSALICA : Топонимия на „интелигентните градове” на планетата)")</f>
        <v>Културното наследство на световната универсална библиография (Райониране и картографиране на текущите хуманитарни вторично-документални форми в електронна библиотека UNIVERSALICA : Топонимия на „интелигентните градове” на планетата)</v>
      </c>
      <c r="D12" s="10">
        <f ca="1">IFERROR(__xludf.DUMMYFUNCTION("""COMPUTED_VALUE"""),2020)</f>
        <v>2020</v>
      </c>
      <c r="E12" s="10" t="str">
        <f ca="1">IFERROR(__xludf.DUMMYFUNCTION("""COMPUTED_VALUE"""),"Културно наследство и съвременни информационни технологии : Сб. с докл. от нац. науч. конф. – София, 9.04.2020 г. = Cultural Heritage and Contemporary Information
 Technologies : Proceedings of the National sci. conf. – Sofia, April 9 th 2020 / Състав. С."&amp;" Василева, Т.
 Петрова ; ред. С. Василева ; науч. ред. С. Денчев ; рец. Д. Стоянова. – София, 2020. с. 69-76.
 ISBN 978-619-185-402-8 ; E ISBN 978-619-185-403-5.")</f>
        <v>Културно наследство и съвременни информационни технологии : Сб. с докл. от нац. науч. конф. – София, 9.04.2020 г. = Cultural Heritage and Contemporary Information
 Technologies : Proceedings of the National sci. conf. – Sofia, April 9 th 2020 / Състав. С. Василева, Т.
 Петрова ; ред. С. Василева ; науч. ред. С. Денчев ; рец. Д. Стоянова. – София, 2020. с. 69-76.
 ISBN 978-619-185-402-8 ; E ISBN 978-619-185-403-5.</v>
      </c>
      <c r="F12" s="10"/>
      <c r="G12" s="10" t="str">
        <f ca="1">IFERROR(__xludf.DUMMYFUNCTION("""COMPUTED_VALUE"""),"Никола Казански, Николай Василев")</f>
        <v>Никола Казански, Николай Василев</v>
      </c>
      <c r="H12" s="10"/>
      <c r="I12" s="10"/>
      <c r="J12" s="10"/>
      <c r="K12" s="10"/>
      <c r="L12" s="10"/>
      <c r="M12" s="10"/>
      <c r="N12" s="10"/>
      <c r="O12" s="10"/>
      <c r="P12" s="10"/>
      <c r="Q12" s="10"/>
      <c r="R12" s="10"/>
      <c r="S12" s="10"/>
      <c r="T12" s="10"/>
      <c r="U12" s="10"/>
      <c r="V12" s="10"/>
      <c r="W12" s="10"/>
      <c r="X12" s="10"/>
      <c r="Y12" s="10"/>
      <c r="Z12" s="10"/>
    </row>
    <row r="13" spans="1:26" ht="12.75">
      <c r="A13" s="10" t="str">
        <f ca="1">IFERROR(__xludf.DUMMYFUNCTION("""COMPUTED_VALUE"""),"Александра Венкова Куманова")</f>
        <v>Александра Венкова Куманова</v>
      </c>
      <c r="B13" s="10" t="str">
        <f ca="1">IFERROR(__xludf.DUMMYFUNCTION("""COMPUTED_VALUE"""),"Доклад от конференция")</f>
        <v>Доклад от конференция</v>
      </c>
      <c r="C13"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(2005- 2019 г.) (Към проблема за ризомно-ретикуларното структуриране на информацията : Метасинтез на емпи"&amp;"рични научноизследователски картини – хуманитарни измерения)")</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(2005- 2019 г.) (Към проблема за ризомно-ретикуларното структуриране на информацията : Метасинтез на емпирични научноизследователски картини – хуманитарни измерения)</v>
      </c>
      <c r="D13" s="10">
        <f ca="1">IFERROR(__xludf.DUMMYFUNCTION("""COMPUTED_VALUE"""),2020)</f>
        <v>2020</v>
      </c>
      <c r="E13" s="10" t="str">
        <f ca="1">IFERROR(__xludf.DUMMYFUNCTION("""COMPUTED_VALUE"""),"Трудове на Студентското научно общество при Университет по библиотекознание и информационни технологии. Т. 15, София, 2020, с. 253-287.
 ISSN 1314-2526.")</f>
        <v>Трудове на Студентското научно общество при Университет по библиотекознание и информационни технологии. Т. 15, София, 2020, с. 253-287.
 ISSN 1314-2526.</v>
      </c>
      <c r="F13" s="10"/>
      <c r="G13" s="10" t="str">
        <f ca="1">IFERROR(__xludf.DUMMYFUNCTION("""COMPUTED_VALUE"""),"Николай Василев")</f>
        <v>Николай Василев</v>
      </c>
      <c r="H13" s="10"/>
      <c r="I13" s="10"/>
      <c r="J13" s="10"/>
      <c r="K13" s="10"/>
      <c r="L13" s="10"/>
      <c r="M13" s="10"/>
      <c r="N13" s="10"/>
      <c r="O13" s="10"/>
      <c r="P13" s="10"/>
      <c r="Q13" s="10"/>
      <c r="R13" s="10"/>
      <c r="S13" s="10"/>
      <c r="T13" s="10"/>
      <c r="U13" s="10"/>
      <c r="V13" s="10"/>
      <c r="W13" s="10"/>
      <c r="X13" s="10"/>
      <c r="Y13" s="10"/>
      <c r="Z13" s="10"/>
    </row>
    <row r="14" spans="1:26" ht="12.75">
      <c r="A14" s="10" t="str">
        <f ca="1">IFERROR(__xludf.DUMMYFUNCTION("""COMPUTED_VALUE"""),"Александра Венкова Куманова")</f>
        <v>Александра Венкова Куманова</v>
      </c>
      <c r="B14" s="10" t="str">
        <f ca="1">IFERROR(__xludf.DUMMYFUNCTION("""COMPUTED_VALUE"""),"Доклад от конференция")</f>
        <v>Доклад от конференция</v>
      </c>
      <c r="C14" s="10" t="str">
        <f ca="1">IFERROR(__xludf.DUMMYFUNCTION("""COMPUTED_VALUE"""),"Дискусия по информационния код на естествения език на конституциите на република България, Съединените Американски щати и Декларацията за правата на човека на Организацията на Обединените нации (Обобщено лексикално и морфологично хуманитарно измерение на "&amp;"библиометрична информационна картина)")</f>
        <v>Дискусия по информационния код на естествения език на конституциите на република България, Съединените Американски щати и Декларацията за правата на човека на Организацията на Обединените нации (Обобщено лексикално и морфологично хуманитарно измерение на библиометрична информационна картина)</v>
      </c>
      <c r="D14" s="10">
        <f ca="1">IFERROR(__xludf.DUMMYFUNCTION("""COMPUTED_VALUE"""),2020)</f>
        <v>2020</v>
      </c>
      <c r="E14" s="10" t="str">
        <f ca="1">IFERROR(__xludf.DUMMYFUNCTION("""COMPUTED_VALUE"""),"Трудове на Студентското научно общество при Университет по библиотекознание и информ. технолог. (София). Т. 15, 2020, с. 310-315. ISSN 1314-2526.")</f>
        <v>Трудове на Студентското научно общество при Университет по библиотекознание и информ. технолог. (София). Т. 15, 2020, с. 310-315. ISSN 1314-2526.</v>
      </c>
      <c r="F14" s="10"/>
      <c r="G14" s="10" t="str">
        <f ca="1">IFERROR(__xludf.DUMMYFUNCTION("""COMPUTED_VALUE"""),"Николай Василев")</f>
        <v>Николай Василев</v>
      </c>
      <c r="H14" s="10"/>
      <c r="I14" s="10"/>
      <c r="J14" s="10"/>
      <c r="K14" s="10"/>
      <c r="L14" s="10"/>
      <c r="M14" s="10"/>
      <c r="N14" s="10"/>
      <c r="O14" s="10"/>
      <c r="P14" s="10"/>
      <c r="Q14" s="10"/>
      <c r="R14" s="10"/>
      <c r="S14" s="10"/>
      <c r="T14" s="10"/>
      <c r="U14" s="10"/>
      <c r="V14" s="10"/>
      <c r="W14" s="10"/>
      <c r="X14" s="10"/>
      <c r="Y14" s="10"/>
      <c r="Z14" s="10"/>
    </row>
    <row r="15" spans="1:26" ht="12.75">
      <c r="A15" s="10" t="str">
        <f ca="1">IFERROR(__xludf.DUMMYFUNCTION("""COMPUTED_VALUE"""),"Александра Венкова Куманова")</f>
        <v>Александра Венкова Куманова</v>
      </c>
      <c r="B15" s="10" t="str">
        <f ca="1">IFERROR(__xludf.DUMMYFUNCTION("""COMPUTED_VALUE"""),"Статия в списания и поредици")</f>
        <v>Статия в списания и поредици</v>
      </c>
      <c r="C15" s="10" t="str">
        <f ca="1">IFERROR(__xludf.DUMMYFUNCTION("""COMPUTED_VALUE"""),"Games to improve students information literacy skills.")</f>
        <v>Games to improve students information literacy skills.</v>
      </c>
      <c r="D15" s="10">
        <f ca="1">IFERROR(__xludf.DUMMYFUNCTION("""COMPUTED_VALUE"""),2020)</f>
        <v>2020</v>
      </c>
      <c r="E15" s="10" t="str">
        <f ca="1">IFERROR(__xludf.DUMMYFUNCTION("""COMPUTED_VALUE"""),"// International Information &amp; Library Review. – Print ISSN 1057-2317 ; Online ISSN 1095-9297. – 2020, Vol. 52, N 2, p. 130-138. – Co-auth.: M. Encheva, A. M. Tammaro. – DOI: 10.1080/10572317.2020.1746024. &lt;https://www.tandfonline.com/eprint/5Q7BKKDX2SIV2"&amp;"JAE3RCT/full?target=10.1080/10572317.2020.1746024&gt; &lt;https://doi.org/10.1080/10572317.2020.1746024&gt;")</f>
        <v>// International Information &amp; Library Review. – Print ISSN 1057-2317 ; Online ISSN 1095-9297. – 2020, Vol. 52, N 2, p. 130-138. – Co-auth.: M. Encheva, A. M. Tammaro. – DOI: 10.1080/10572317.2020.1746024. &lt;https://www.tandfonline.com/eprint/5Q7BKKDX2SIV2JAE3RCT/full?target=10.1080/10572317.2020.1746024&gt; &lt;https://doi.org/10.1080/10572317.2020.1746024&gt;</v>
      </c>
      <c r="F15" s="10"/>
      <c r="G15" s="10" t="str">
        <f ca="1">IFERROR(__xludf.DUMMYFUNCTION("""COMPUTED_VALUE"""),"M. Encheva, A. M. Tammaro.")</f>
        <v>M. Encheva, A. M. Tammaro.</v>
      </c>
      <c r="H15" s="10"/>
      <c r="I15" s="10"/>
      <c r="J15" s="10"/>
      <c r="K15" s="10"/>
      <c r="L15" s="10"/>
      <c r="M15" s="10"/>
      <c r="N15" s="10"/>
      <c r="O15" s="10"/>
      <c r="P15" s="10"/>
      <c r="Q15" s="10"/>
      <c r="R15" s="10"/>
      <c r="S15" s="10"/>
      <c r="T15" s="10"/>
      <c r="U15" s="10"/>
      <c r="V15" s="10"/>
      <c r="W15" s="10"/>
      <c r="X15" s="10"/>
      <c r="Y15" s="10"/>
      <c r="Z15" s="10"/>
    </row>
    <row r="16" spans="1:26" ht="12.75">
      <c r="A16" s="10" t="str">
        <f ca="1">IFERROR(__xludf.DUMMYFUNCTION("""COMPUTED_VALUE"""),"Александра Венкова Куманова")</f>
        <v>Александра Венкова Куманова</v>
      </c>
      <c r="B16" s="10" t="str">
        <f ca="1">IFERROR(__xludf.DUMMYFUNCTION("""COMPUTED_VALUE"""),"Статия в списания и поредици")</f>
        <v>Статия в списания и поредици</v>
      </c>
      <c r="C16" s="10" t="str">
        <f ca="1">IFERROR(__xludf.DUMMYFUNCTION("""COMPUTED_VALUE"""),"Образование : [Определение].")</f>
        <v>Образование : [Определение].</v>
      </c>
      <c r="D16" s="10">
        <f ca="1">IFERROR(__xludf.DUMMYFUNCTION("""COMPUTED_VALUE"""),2020)</f>
        <v>2020</v>
      </c>
      <c r="E16" s="10" t="str">
        <f ca="1">IFERROR(__xludf.DUMMYFUNCTION("""COMPUTED_VALUE"""),"// Тр. на Студентското науч. о-во при Унив. по библиотекознание и информ. технолог. (София). – ISSN 1314-2526. – Т. 15, 2020, с. 933.")</f>
        <v>// Тр. на Студентското науч. о-во при Унив. по библиотекознание и информ. технолог. (София). – ISSN 1314-2526. – Т. 15, 2020, с. 933.</v>
      </c>
      <c r="F16" s="10"/>
      <c r="G16" s="10"/>
      <c r="H16" s="10"/>
      <c r="I16" s="10"/>
      <c r="J16" s="10"/>
      <c r="K16" s="10"/>
      <c r="L16" s="10"/>
      <c r="M16" s="10"/>
      <c r="N16" s="10"/>
      <c r="O16" s="10"/>
      <c r="P16" s="10"/>
      <c r="Q16" s="10"/>
      <c r="R16" s="10"/>
      <c r="S16" s="10"/>
      <c r="T16" s="10"/>
      <c r="U16" s="10"/>
      <c r="V16" s="10"/>
      <c r="W16" s="10"/>
      <c r="X16" s="10"/>
      <c r="Y16" s="10"/>
      <c r="Z16" s="10"/>
    </row>
    <row r="17" spans="1:26" ht="12.75">
      <c r="A17" s="10" t="str">
        <f ca="1">IFERROR(__xludf.DUMMYFUNCTION("""COMPUTED_VALUE"""),"Александра Венкова Куманова")</f>
        <v>Александра Венкова Куманова</v>
      </c>
      <c r="B17" s="10" t="str">
        <f ca="1">IFERROR(__xludf.DUMMYFUNCTION("""COMPUTED_VALUE"""),"Монография")</f>
        <v>Монография</v>
      </c>
      <c r="C17" s="10" t="str">
        <f ca="1">IFERROR(__xludf.DUMMYFUNCTION("""COMPUTED_VALUE"""),"Game- и play-феноменология : двукнижие. Кн. 1, SOGDIANA. Стоян Денчев : game- и play- феноменология на информационната среда : юбилейна препоръчителна енциклопедична книга по информационно моделиране (вторично-документална информационна база на Студентско"&amp;"то научно общество при УниБИТ)")</f>
        <v>Game- и play-феноменология : двукнижие. Кн. 1, SOGDIANA. Стоян Денчев : game- и play- феноменология на информационната среда : юбилейна препоръчителна енциклопедична книга по информационно моделиране (вторично-документална информационна база на Студентското научно общество при УниБИТ)</v>
      </c>
      <c r="D17" s="10">
        <f ca="1">IFERROR(__xludf.DUMMYFUNCTION("""COMPUTED_VALUE"""),2019)</f>
        <v>2019</v>
      </c>
      <c r="E17" s="10" t="str">
        <f ca="1">IFERROR(__xludf.DUMMYFUNCTION("""COMPUTED_VALUE"""),"София : За буквите – О писменехь, 2019. – 754 с. : с 83 ил., 16 граф., 21 к., 1 сх. – (Факлоносци ; ХХVІ), ISBN 978-619-185-318-2 (мека подв.) ISBN 978-619-185-319-9 (твърда подв.) ISBN 978-619-185-320-5 online (e-book, pdf)")</f>
        <v>София : За буквите – О писменехь, 2019. – 754 с. : с 83 ил., 16 граф., 21 к., 1 сх. – (Факлоносци ; ХХVІ), ISBN 978-619-185-318-2 (мека подв.) ISBN 978-619-185-319-9 (твърда подв.) ISBN 978-619-185-320-5 online (e-book, pdf)</v>
      </c>
      <c r="F17" s="10" t="str">
        <f ca="1">IFERROR(__xludf.DUMMYFUNCTION("""COMPUTED_VALUE"""),"Cobiss")</f>
        <v>Cobiss</v>
      </c>
      <c r="G17" s="10" t="str">
        <f ca="1">IFERROR(__xludf.DUMMYFUNCTION("""COMPUTED_VALUE"""),"Николай Василев, Никола Казански, Венцислав Велев, Румелина Василева, Добри Бояджиев, Елисавета Цветкова, Соня Спасова, Северина Георгиева, Иво Георгиев, Тервел Стилиянов, Апостол Джерекаров, Борис Мадолев, Илиян Барзев")</f>
        <v>Николай Василев, Никола Казански, Венцислав Велев, Румелина Василева, Добри Бояджиев, Елисавета Цветкова, Соня Спасова, Северина Георгиева, Иво Георгиев, Тервел Стилиянов, Апостол Джерекаров, Борис Мадолев, Илиян Барзев</v>
      </c>
      <c r="H17" s="10"/>
      <c r="I17" s="10"/>
      <c r="J17" s="10"/>
      <c r="K17" s="10"/>
      <c r="L17" s="10"/>
      <c r="M17" s="10"/>
      <c r="N17" s="10"/>
      <c r="O17" s="10"/>
      <c r="P17" s="10"/>
      <c r="Q17" s="10"/>
      <c r="R17" s="10"/>
      <c r="S17" s="10"/>
      <c r="T17" s="10"/>
      <c r="U17" s="10"/>
      <c r="V17" s="10"/>
      <c r="W17" s="10"/>
      <c r="X17" s="10"/>
      <c r="Y17" s="10"/>
      <c r="Z17" s="10"/>
    </row>
    <row r="18" spans="1:26" ht="12.75">
      <c r="A18" s="10" t="str">
        <f ca="1">IFERROR(__xludf.DUMMYFUNCTION("""COMPUTED_VALUE"""),"Александра Венкова Куманова")</f>
        <v>Александра Венкова Куманова</v>
      </c>
      <c r="B18" s="10" t="str">
        <f ca="1">IFERROR(__xludf.DUMMYFUNCTION("""COMPUTED_VALUE"""),"Доклад от конференция")</f>
        <v>Доклад от конференция</v>
      </c>
      <c r="C18" s="10" t="str">
        <f ca="1">IFERROR(__xludf.DUMMYFUNCTION("""COMPUTED_VALUE"""),"Тодор Боров за ситото на информацията (Демиургът на ризомно-ретикуларната феноменология на библиографията : когнитология, свързана с хронотопа на Библиотеката като елемент от библио-инфо-ноосферата)")</f>
        <v>Тодор Боров за ситото на информацията (Демиургът на ризомно-ретикуларната феноменология на библиографията : когнитология, свързана с хронотопа на Библиотеката като елемент от библио-инфо-ноосферата)</v>
      </c>
      <c r="D18" s="10">
        <f ca="1">IFERROR(__xludf.DUMMYFUNCTION("""COMPUTED_VALUE"""),2019)</f>
        <v>2019</v>
      </c>
      <c r="E18" s="10" t="str">
        <f ca="1">IFERROR(__xludf.DUMMYFUNCTION("""COMPUTED_VALUE"""),"Обществото на знанието и хуманизмът на ХХІ век : Сб. с науч. докл. от ХVІ Нац. науч. конф. с межд. участие – 1 ноември 2018, София. – ISSN 1314-7099. – 2019, с. 115-129 : с ил. – Рез. на англ. ез.")</f>
        <v>Обществото на знанието и хуманизмът на ХХІ век : Сб. с науч. докл. от ХVІ Нац. науч. конф. с межд. участие – 1 ноември 2018, София. – ISSN 1314-7099. – 2019, с. 115-129 : с ил. – Рез. на англ. ез.</v>
      </c>
      <c r="F18" s="10"/>
      <c r="G18" s="10" t="str">
        <f ca="1">IFERROR(__xludf.DUMMYFUNCTION("""COMPUTED_VALUE"""),"Николай Василев")</f>
        <v>Николай Василев</v>
      </c>
      <c r="H18" s="10"/>
      <c r="I18" s="10"/>
      <c r="J18" s="10"/>
      <c r="K18" s="10"/>
      <c r="L18" s="10"/>
      <c r="M18" s="10"/>
      <c r="N18" s="10"/>
      <c r="O18" s="10"/>
      <c r="P18" s="10"/>
      <c r="Q18" s="10"/>
      <c r="R18" s="10"/>
      <c r="S18" s="10"/>
      <c r="T18" s="10"/>
      <c r="U18" s="10"/>
      <c r="V18" s="10"/>
      <c r="W18" s="10"/>
      <c r="X18" s="10"/>
      <c r="Y18" s="10"/>
      <c r="Z18" s="10"/>
    </row>
    <row r="19" spans="1:26" ht="12.75">
      <c r="A19" s="10" t="str">
        <f ca="1">IFERROR(__xludf.DUMMYFUNCTION("""COMPUTED_VALUE"""),"Александра Венкова Куманова")</f>
        <v>Александра Венкова Куманова</v>
      </c>
      <c r="B19" s="10" t="str">
        <f ca="1">IFERROR(__xludf.DUMMYFUNCTION("""COMPUTED_VALUE"""),"Статия в списания и поредици")</f>
        <v>Статия в списания и поредици</v>
      </c>
      <c r="C19" s="10" t="str">
        <f ca="1">IFERROR(__xludf.DUMMYFUNCTION("""COMPUTED_VALUE"""),"Tabula gratulatorum [ХІV]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2005-2018 (NN 1-2581)")</f>
        <v>Tabula gratulatorum [ХІV]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2005-2018 (NN 1-2581)</v>
      </c>
      <c r="D19" s="10">
        <f ca="1">IFERROR(__xludf.DUMMYFUNCTION("""COMPUTED_VALUE"""),2019)</f>
        <v>2019</v>
      </c>
      <c r="E19" s="10" t="str">
        <f ca="1">IFERROR(__xludf.DUMMYFUNCTION("""COMPUTED_VALUE"""),"Тр. на Студентското науч. о-во при Унив. по библиотекознание и информ. технолог. (София). – ISSN 1314-2526. – Т. 14, 2019, с. 7-458 : 2581 номерирани назв.")</f>
        <v>Тр. на Студентското науч. о-во при Унив. по библиотекознание и информ. технолог. (София). – ISSN 1314-2526. – Т. 14, 2019, с. 7-458 : 2581 номерирани назв.</v>
      </c>
      <c r="F19" s="10"/>
      <c r="G19" s="10" t="str">
        <f ca="1">IFERROR(__xludf.DUMMYFUNCTION("""COMPUTED_VALUE"""),"Николай Василев, Илияна Камбурова, Мирослава Траянова, Евелина Василева")</f>
        <v>Николай Василев, Илияна Камбурова, Мирослава Траянова, Евелина Василева</v>
      </c>
      <c r="H19" s="10"/>
      <c r="I19" s="10"/>
      <c r="J19" s="10"/>
      <c r="K19" s="10"/>
      <c r="L19" s="10"/>
      <c r="M19" s="10"/>
      <c r="N19" s="10"/>
      <c r="O19" s="10"/>
      <c r="P19" s="10"/>
      <c r="Q19" s="10"/>
      <c r="R19" s="10"/>
      <c r="S19" s="10"/>
      <c r="T19" s="10"/>
      <c r="U19" s="10"/>
      <c r="V19" s="10"/>
      <c r="W19" s="10"/>
      <c r="X19" s="10"/>
      <c r="Y19" s="10"/>
      <c r="Z19" s="10"/>
    </row>
    <row r="20" spans="1:26" ht="12.75">
      <c r="A20" s="10" t="str">
        <f ca="1">IFERROR(__xludf.DUMMYFUNCTION("""COMPUTED_VALUE"""),"Александра Венкова Куманова")</f>
        <v>Александра Венкова Куманова</v>
      </c>
      <c r="B20" s="10" t="str">
        <f ca="1">IFERROR(__xludf.DUMMYFUNCTION("""COMPUTED_VALUE"""),"Статия в списания и поредици")</f>
        <v>Статия в списания и поредици</v>
      </c>
      <c r="C20" s="10" t="str">
        <f ca="1">IFERROR(__xludf.DUMMYFUNCTION("""COMPUTED_VALUE"""),"Общуването (комуникацията) : Феноменологично обобщение на ХІV Студентска научна конференция на УниБИТ)")</f>
        <v>Общуването (комуникацията) : Феноменологично обобщение на ХІV Студентска научна конференция на УниБИТ)</v>
      </c>
      <c r="D20" s="10">
        <f ca="1">IFERROR(__xludf.DUMMYFUNCTION("""COMPUTED_VALUE"""),2019)</f>
        <v>2019</v>
      </c>
      <c r="E20" s="10" t="str">
        <f ca="1">IFERROR(__xludf.DUMMYFUNCTION("""COMPUTED_VALUE"""),"Тр. на Студентското науч. о-во при Унив. по библиотекознание и информ. технолог. (София). – ISSN 1314-2526. – Т. 14, 2019, с. 544-549 : ил. – Съавт. Н. Василев.")</f>
        <v>Тр. на Студентското науч. о-во при Унив. по библиотекознание и информ. технолог. (София). – ISSN 1314-2526. – Т. 14, 2019, с. 544-549 : ил. – Съавт. Н. Василев.</v>
      </c>
      <c r="F20" s="10"/>
      <c r="G20" s="10" t="str">
        <f ca="1">IFERROR(__xludf.DUMMYFUNCTION("""COMPUTED_VALUE"""),"Николай Василев")</f>
        <v>Николай Василев</v>
      </c>
      <c r="H20" s="10"/>
      <c r="I20" s="10"/>
      <c r="J20" s="10"/>
      <c r="K20" s="10"/>
      <c r="L20" s="10"/>
      <c r="M20" s="10"/>
      <c r="N20" s="10"/>
      <c r="O20" s="10"/>
      <c r="P20" s="10"/>
      <c r="Q20" s="10"/>
      <c r="R20" s="10"/>
      <c r="S20" s="10"/>
      <c r="T20" s="10"/>
      <c r="U20" s="10"/>
      <c r="V20" s="10"/>
      <c r="W20" s="10"/>
      <c r="X20" s="10"/>
      <c r="Y20" s="10"/>
      <c r="Z20" s="10"/>
    </row>
    <row r="21" spans="1:26" ht="12.75">
      <c r="A21" s="10" t="str">
        <f ca="1">IFERROR(__xludf.DUMMYFUNCTION("""COMPUTED_VALUE"""),"Александра Венкова Куманова")</f>
        <v>Александра Венкова Куманова</v>
      </c>
      <c r="B21" s="10" t="str">
        <f ca="1">IFERROR(__xludf.DUMMYFUNCTION("""COMPUTED_VALUE"""),"Доклад от конференция")</f>
        <v>Доклад от конференция</v>
      </c>
      <c r="C21" s="10" t="str">
        <f ca="1">IFERROR(__xludf.DUMMYFUNCTION("""COMPUTED_VALUE"""),"Еволюционният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f>
        <v>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v>
      </c>
      <c r="D21" s="10">
        <f ca="1">IFERROR(__xludf.DUMMYFUNCTION("""COMPUTED_VALUE"""),2019)</f>
        <v>2019</v>
      </c>
      <c r="E21" s="10" t="str">
        <f ca="1">IFERROR(__xludf.DUMMYFUNCTION("""COMPUTED_VALUE"""),"Обществото на знанието и хуманизмът на ХХІ век : Сб. с науч. докл. от ХVІ Нац. науч. конф. с межд. участие – 1 ноември 2018, София. – ISSN 1314-7099. – 2019, с. 64-98 : с табл., ил. – Рез. на англ. ез.")</f>
        <v>Обществото на знанието и хуманизмът на ХХІ век : Сб. с науч. докл. от ХVІ Нац. науч. конф. с межд. участие – 1 ноември 2018, София. – ISSN 1314-7099. – 2019, с. 64-98 : с табл., ил. – Рез. на англ. ез.</v>
      </c>
      <c r="F21" s="10"/>
      <c r="G21" s="10" t="str">
        <f ca="1">IFERROR(__xludf.DUMMYFUNCTION("""COMPUTED_VALUE"""),"Стоян Денчев, Николай Василев")</f>
        <v>Стоян Денчев, Николай Василев</v>
      </c>
      <c r="H21" s="10"/>
      <c r="I21" s="10"/>
      <c r="J21" s="10"/>
      <c r="K21" s="10"/>
      <c r="L21" s="10"/>
      <c r="M21" s="10"/>
      <c r="N21" s="10"/>
      <c r="O21" s="10"/>
      <c r="P21" s="10"/>
      <c r="Q21" s="10"/>
      <c r="R21" s="10"/>
      <c r="S21" s="10"/>
      <c r="T21" s="10"/>
      <c r="U21" s="10"/>
      <c r="V21" s="10"/>
      <c r="W21" s="10"/>
      <c r="X21" s="10"/>
      <c r="Y21" s="10"/>
      <c r="Z21" s="10"/>
    </row>
    <row r="22" spans="1:26" ht="12.75">
      <c r="A22" s="10" t="str">
        <f ca="1">IFERROR(__xludf.DUMMYFUNCTION("""COMPUTED_VALUE"""),"Александра Венкова Куманова")</f>
        <v>Александра Венкова Куманова</v>
      </c>
      <c r="B22" s="10" t="str">
        <f ca="1">IFERROR(__xludf.DUMMYFUNCTION("""COMPUTED_VALUE"""),"Статия в списания и поредици")</f>
        <v>Статия в списания и поредици</v>
      </c>
      <c r="C22" s="10" t="str">
        <f ca="1">IFERROR(__xludf.DUMMYFUNCTION("""COMPUTED_VALUE"""),"Теренно, библиографско и историографско изследване на нестинарството като соларен култ със северен генезис, проникнал на Балканския полуостров от Иран през Мала Азия (Основни публикации по автобиобиблиографията на Александра Куманова) (Вторично-документал"&amp;"на информационна база).")</f>
        <v>Теренно, библиографско и историографско изследване на нестинарството като соларен култ със северен генезис, проникнал на Балканския полуостров от Иран през Мала Азия (Основни публикации по автобиобиблиографията на Александра Куманова) (Вторично-документална информационна база).</v>
      </c>
      <c r="D22" s="10">
        <f ca="1">IFERROR(__xludf.DUMMYFUNCTION("""COMPUTED_VALUE"""),2019)</f>
        <v>2019</v>
      </c>
      <c r="E22" s="10" t="str">
        <f ca="1">IFERROR(__xludf.DUMMYFUNCTION("""COMPUTED_VALUE"""),"// Тр. на Студентското науч. о-во при Унив. по библиотекознание и информ. технолог. (София). – ISSN 1314-2526. – Т. 14, 2019, с. 732-736 : ил. – Съавт.: Н. Василев.
 &lt;http://www.unibit.sno.bg&gt;")</f>
        <v>// Тр. на Студентското науч. о-во при Унив. по библиотекознание и информ. технолог. (София). – ISSN 1314-2526. – Т. 14, 2019, с. 732-736 : ил. – Съавт.: Н. Василев.
 &lt;http://www.unibit.sno.bg&gt;</v>
      </c>
      <c r="F22" s="10"/>
      <c r="G22" s="10" t="str">
        <f ca="1">IFERROR(__xludf.DUMMYFUNCTION("""COMPUTED_VALUE"""),"Н. Василев.")</f>
        <v>Н. Василев.</v>
      </c>
      <c r="H22" s="10"/>
      <c r="I22" s="10"/>
      <c r="J22" s="10"/>
      <c r="K22" s="10"/>
      <c r="L22" s="10"/>
      <c r="M22" s="10"/>
      <c r="N22" s="10"/>
      <c r="O22" s="10"/>
      <c r="P22" s="10"/>
      <c r="Q22" s="10"/>
      <c r="R22" s="10"/>
      <c r="S22" s="10"/>
      <c r="T22" s="10"/>
      <c r="U22" s="10"/>
      <c r="V22" s="10"/>
      <c r="W22" s="10"/>
      <c r="X22" s="10"/>
      <c r="Y22" s="10"/>
      <c r="Z22" s="10"/>
    </row>
    <row r="23" spans="1:26" ht="12.75">
      <c r="A23" s="10" t="str">
        <f ca="1">IFERROR(__xludf.DUMMYFUNCTION("""COMPUTED_VALUE"""),"Александра Венкова Куманова")</f>
        <v>Александра Венкова Куманова</v>
      </c>
      <c r="B23" s="10" t="str">
        <f ca="1">IFERROR(__xludf.DUMMYFUNCTION("""COMPUTED_VALUE"""),"Статия в списания и поредици")</f>
        <v>Статия в списания и поредици</v>
      </c>
      <c r="C23" s="10" t="str">
        <f ca="1">IFERROR(__xludf.DUMMYFUNCTION("""COMPUTED_VALUE"""),"Около оформлението на публикациите на Студентското научно общество при Университета по библиотекознание и информационни технологии. Регламент за участие в XIV студентска научна конференция на УниБИТ „Информ. „Информ.я – институции – комуникации” – „Inform"&amp;"ation – institutions – communications” (девиз: „От устата на малките – истината” – „Еx ore parvulorum veritas”) (17.05.2018 г.) / [Състав. А. Куманова, Н. Василев].")</f>
        <v>Около оформлението на публикациите на Студентското научно общество при Университета по библиотекознание и информационни технологии. Регламент за участие в XIV студентска научна конференция на УниБИТ „Информ. „Информ.я – институции – комуникации” – „Information – institutions – communications” (девиз: „От устата на малките – истината” – „Еx ore parvulorum veritas”) (17.05.2018 г.) / [Състав. А. Куманова, Н. Василев].</v>
      </c>
      <c r="D23" s="10">
        <f ca="1">IFERROR(__xludf.DUMMYFUNCTION("""COMPUTED_VALUE"""),2019)</f>
        <v>2019</v>
      </c>
      <c r="E23" s="10" t="str">
        <f ca="1">IFERROR(__xludf.DUMMYFUNCTION("""COMPUTED_VALUE"""),"// Тр. на Студентското науч. о-во при Унив. по библиотекознание и информ. технолог. (София). – ISSN 1314-2526. – Т. 14, 2019, с. 556-558 : ил.")</f>
        <v>// Тр. на Студентското науч. о-во при Унив. по библиотекознание и информ. технолог. (София). – ISSN 1314-2526. – Т. 14, 2019, с. 556-558 : ил.</v>
      </c>
      <c r="F23" s="10"/>
      <c r="G23" s="10"/>
      <c r="H23" s="10"/>
      <c r="I23" s="10"/>
      <c r="J23" s="10"/>
      <c r="K23" s="10"/>
      <c r="L23" s="10"/>
      <c r="M23" s="10"/>
      <c r="N23" s="10"/>
      <c r="O23" s="10"/>
      <c r="P23" s="10"/>
      <c r="Q23" s="10"/>
      <c r="R23" s="10"/>
      <c r="S23" s="10"/>
      <c r="T23" s="10"/>
      <c r="U23" s="10"/>
      <c r="V23" s="10"/>
      <c r="W23" s="10"/>
      <c r="X23" s="10"/>
      <c r="Y23" s="10"/>
      <c r="Z23" s="10"/>
    </row>
    <row r="24" spans="1:26" ht="12.75">
      <c r="A24" s="10" t="str">
        <f ca="1">IFERROR(__xludf.DUMMYFUNCTION("""COMPUTED_VALUE"""),"Александра Венкова Куманова")</f>
        <v>Александра Венкова Куманова</v>
      </c>
      <c r="B24" s="10" t="str">
        <f ca="1">IFERROR(__xludf.DUMMYFUNCTION("""COMPUTED_VALUE"""),"Статия в списания и поредици")</f>
        <v>Статия в списания и поредици</v>
      </c>
      <c r="C24" s="10" t="str">
        <f ca="1">IFERROR(__xludf.DUMMYFUNCTION("""COMPUTED_VALUE"""),"Енциклопедични книги от библиографската и историографската серия „Факлоносци” на издателство „За буквите – О писменехь” на Университета по библиотекознание и информационни технологии, издадени през 2013-2018 г., които методологично обезпечават изследвания"&amp;"та на Студентското научно общество при Университета, докладвани на ХІV Студентска научна конференция (17.05.2018) (Вторично-документална информационна база).")</f>
        <v>Енциклопедични книги от библиографската и историографската серия „Факлоносци” на издателство „За буквите – О писменехь” на Университета по библиотекознание и информационни технологии, издадени през 2013-2018 г., които методологично обезпечават изследванията на Студентското научно общество при Университета, докладвани на ХІV Студентска научна конференция (17.05.2018) (Вторично-документална информационна база).</v>
      </c>
      <c r="D24" s="10">
        <f ca="1">IFERROR(__xludf.DUMMYFUNCTION("""COMPUTED_VALUE"""),2019)</f>
        <v>2019</v>
      </c>
      <c r="E24" s="10" t="str">
        <f ca="1">IFERROR(__xludf.DUMMYFUNCTION("""COMPUTED_VALUE"""),"// Тр. на Студентското науч. о-во при Унив. по библиотекознание и информ. технолог. (София). – ISSN 1314-2526. – Т. 14, 2019, с. 689-731 : с ил. – Съавт.: Н. Василев.
 &lt;http://www.unibit.sno.bg&gt;")</f>
        <v>// Тр. на Студентското науч. о-во при Унив. по библиотекознание и информ. технолог. (София). – ISSN 1314-2526. – Т. 14, 2019, с. 689-731 : с ил. – Съавт.: Н. Василев.
 &lt;http://www.unibit.sno.bg&gt;</v>
      </c>
      <c r="F24" s="10"/>
      <c r="G24" s="10" t="str">
        <f ca="1">IFERROR(__xludf.DUMMYFUNCTION("""COMPUTED_VALUE"""),"Н. Василев.")</f>
        <v>Н. Василев.</v>
      </c>
      <c r="H24" s="10"/>
      <c r="I24" s="10"/>
      <c r="J24" s="10"/>
      <c r="K24" s="10"/>
      <c r="L24" s="10"/>
      <c r="M24" s="10"/>
      <c r="N24" s="10"/>
      <c r="O24" s="10"/>
      <c r="P24" s="10"/>
      <c r="Q24" s="10"/>
      <c r="R24" s="10"/>
      <c r="S24" s="10"/>
      <c r="T24" s="10"/>
      <c r="U24" s="10"/>
      <c r="V24" s="10"/>
      <c r="W24" s="10"/>
      <c r="X24" s="10"/>
      <c r="Y24" s="10"/>
      <c r="Z24" s="10"/>
    </row>
    <row r="25" spans="1:26" ht="12.75">
      <c r="A25" s="10" t="str">
        <f ca="1">IFERROR(__xludf.DUMMYFUNCTION("""COMPUTED_VALUE"""),"Александра Венкова Куманова")</f>
        <v>Александра Венкова Куманова</v>
      </c>
      <c r="B25" s="10" t="str">
        <f ca="1">IFERROR(__xludf.DUMMYFUNCTION("""COMPUTED_VALUE"""),"Доклад от конференция")</f>
        <v>Доклад от конференция</v>
      </c>
      <c r="C25" s="10" t="str">
        <f ca="1">IFERROR(__xludf.DUMMYFUNCTION("""COMPUTED_VALUE"""),"Соотношение проблем гуманитарного знания и специфики библиографической информации о нем : Гуманитарная библиография как вторично-документальный след ноосферизма (Ризоматическая модель планетарного мышления)")</f>
        <v>Соотношение проблем гуманитарного знания и специфики библиографической информации о нем : Гуманитарная библиография как вторично-документальный след ноосферизма (Ризоматическая модель планетарного мышления)</v>
      </c>
      <c r="D25" s="10">
        <f ca="1">IFERROR(__xludf.DUMMYFUNCTION("""COMPUTED_VALUE"""),2019)</f>
        <v>2019</v>
      </c>
      <c r="E25" s="10" t="str">
        <f ca="1">IFERROR(__xludf.DUMMYFUNCTION("""COMPUTED_VALUE"""),"Ноосферное образование в евразийском
 пространстве. Т. 9, ІХ международная научая конференция „Ноосферное человековедение
 как основа ноосферной парадигмы образования, воспитания просвещения” – Санкт-Петербург, 12-
 13 декабря 2019 г. / Ноосферная обществ"&amp;". акад. наук, Ц-р Ноосферного Развития Сев.-Зап. инст.
 управления – филиала РАНХиГС при Президенте России, Рус. космич. о-во. Санкт-Петерсбургск.
 отд. Философск. совет, Петровск. акад. наук и искусств, Рос. акад. естеств. наук, Европ. акад.
 естеств. на"&amp;"ук, Межд. акад. гармонического развития человека (ЮНЕСКО), Рос. гос. педаг. унив. им.
 А. И. Герцена, Новгородск. гос. унив. им. Ярослава Мудрого, Саратовск. нац. исслед. гос. унив. им.
 Н. Г. Чернышевского, Липецк. гос. педаг. унив. им. П. П. Семенова-Тя"&amp;"н-Шанского, Фонд перспект.
 технолог. и новаций / Под науч. ред. А. И. Субетто. – Санкт-Петербург, 2019. с. 569-602.
 ISBN 978-5-00045-794-8.")</f>
        <v>Ноосферное образование в евразийском
 пространстве. Т. 9, ІХ международная научая конференция „Ноосферное человековедение
 как основа ноосферной парадигмы образования, воспитания просвещения” – Санкт-Петербург, 12-
 13 декабря 2019 г. / Ноосферная обществ. акад. наук, Ц-р Ноосферного Развития Сев.-Зап. инст.
 управления – филиала РАНХиГС при Президенте России, Рус. космич. о-во. Санкт-Петерсбургск.
 отд. Философск. совет, Петровск. акад. наук и искусств, Рос. акад. естеств. наук, Европ. акад.
 естеств. наук, Межд. акад. гармонического развития человека (ЮНЕСКО), Рос. гос. педаг. унив. им.
 А. И. Герцена, Новгородск. гос. унив. им. Ярослава Мудрого, Саратовск. нац. исслед. гос. унив. им.
 Н. Г. Чернышевского, Липецк. гос. педаг. унив. им. П. П. Семенова-Тян-Шанского, Фонд перспект.
 технолог. и новаций / Под науч. ред. А. И. Субетто. – Санкт-Петербург, 2019. с. 569-602.
 ISBN 978-5-00045-794-8.</v>
      </c>
      <c r="F25" s="10"/>
      <c r="G25" s="10"/>
      <c r="H25" s="10"/>
      <c r="I25" s="10"/>
      <c r="J25" s="10"/>
      <c r="K25" s="10"/>
      <c r="L25" s="10"/>
      <c r="M25" s="10"/>
      <c r="N25" s="10"/>
      <c r="O25" s="10"/>
      <c r="P25" s="10"/>
      <c r="Q25" s="10"/>
      <c r="R25" s="10"/>
      <c r="S25" s="10"/>
      <c r="T25" s="10"/>
      <c r="U25" s="10"/>
      <c r="V25" s="10"/>
      <c r="W25" s="10"/>
      <c r="X25" s="10"/>
      <c r="Y25" s="10"/>
      <c r="Z25" s="10"/>
    </row>
    <row r="26" spans="1:26" ht="12.75">
      <c r="A26" s="10" t="str">
        <f ca="1">IFERROR(__xludf.DUMMYFUNCTION("""COMPUTED_VALUE"""),"Александра Венкова Куманова")</f>
        <v>Александра Венкова Куманова</v>
      </c>
      <c r="B26" s="10" t="str">
        <f ca="1">IFERROR(__xludf.DUMMYFUNCTION("""COMPUTED_VALUE"""),"Доклад от конференция")</f>
        <v>Доклад от конференция</v>
      </c>
      <c r="C26" s="10" t="str">
        <f ca="1">IFERROR(__xludf.DUMMYFUNCTION("""COMPUTED_VALUE"""),"Арабската световна универсална библиография „Ал-Фихрист” на Ибн ан-Надимот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f>
        <v>Арабската световна универсална библиография „Ал-Фихрист” на Ибн ан-Надимот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v>
      </c>
      <c r="D26" s="10">
        <f ca="1">IFERROR(__xludf.DUMMYFUNCTION("""COMPUTED_VALUE"""),2019)</f>
        <v>2019</v>
      </c>
      <c r="E26" s="10" t="str">
        <f ca="1">IFERROR(__xludf.DUMMYFUNCTION("""COMPUTED_VALUE"""),"ОБЩЕСТВОТО на знанието и хуманизмът на XXI век – София: За буквите - О писменехь, 2019,с. 152-161. ISSN 2683- 0094.")</f>
        <v>ОБЩЕСТВОТО на знанието и хуманизмът на XXI век – София: За буквите - О писменехь, 2019,с. 152-161. ISSN 2683- 0094.</v>
      </c>
      <c r="F26" s="10" t="str">
        <f ca="1">IFERROR(__xludf.DUMMYFUNCTION("""COMPUTED_VALUE"""),"Референтен списък на НАЦИД")</f>
        <v>Референтен списък на НАЦИД</v>
      </c>
      <c r="G26" s="10" t="str">
        <f ca="1">IFERROR(__xludf.DUMMYFUNCTION("""COMPUTED_VALUE"""),"Николай Василев")</f>
        <v>Николай Василев</v>
      </c>
      <c r="H26" s="10"/>
      <c r="I26" s="10"/>
      <c r="J26" s="10"/>
      <c r="K26" s="10"/>
      <c r="L26" s="10"/>
      <c r="M26" s="10"/>
      <c r="N26" s="10"/>
      <c r="O26" s="10"/>
      <c r="P26" s="10"/>
      <c r="Q26" s="10"/>
      <c r="R26" s="10"/>
      <c r="S26" s="10"/>
      <c r="T26" s="10"/>
      <c r="U26" s="10"/>
      <c r="V26" s="10"/>
      <c r="W26" s="10"/>
      <c r="X26" s="10"/>
      <c r="Y26" s="10"/>
      <c r="Z26" s="10"/>
    </row>
    <row r="27" spans="1:26" ht="12.75">
      <c r="A27" s="10" t="str">
        <f ca="1">IFERROR(__xludf.DUMMYFUNCTION("""COMPUTED_VALUE"""),"Александра Венкова Куманова")</f>
        <v>Александра Венкова Куманова</v>
      </c>
      <c r="B27" s="10" t="str">
        <f ca="1">IFERROR(__xludf.DUMMYFUNCTION("""COMPUTED_VALUE"""),"Доклад от конференция")</f>
        <v>Доклад от конференция</v>
      </c>
      <c r="C27" s="10" t="str">
        <f ca="1">IFERROR(__xludf.DUMMYFUNCTION("""COMPUTED_VALUE"""),"Серендипност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f>
        <v>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v>
      </c>
      <c r="D27" s="10">
        <f ca="1">IFERROR(__xludf.DUMMYFUNCTION("""COMPUTED_VALUE"""),2019)</f>
        <v>2019</v>
      </c>
      <c r="E27" s="10" t="str">
        <f ca="1">IFERROR(__xludf.DUMMYFUNCTION("""COMPUTED_VALUE"""),"ХАРМОНИЯ в различията = Harmony in diversity: За буквите - О писменехь, София, 2019. с. 506-517.
 ISSN 2367-7899.")</f>
        <v>ХАРМОНИЯ в различията = Harmony in diversity: За буквите - О писменехь, София, 2019. с. 506-517.
 ISSN 2367-7899.</v>
      </c>
      <c r="F27" s="10" t="str">
        <f ca="1">IFERROR(__xludf.DUMMYFUNCTION("""COMPUTED_VALUE"""),"Рефериран списък на НАЦИД")</f>
        <v>Рефериран списък на НАЦИД</v>
      </c>
      <c r="G27" s="10" t="str">
        <f ca="1">IFERROR(__xludf.DUMMYFUNCTION("""COMPUTED_VALUE"""),"Н. Казански, Н. Василев.")</f>
        <v>Н. Казански, Н. Василев.</v>
      </c>
      <c r="H27" s="10"/>
      <c r="I27" s="10"/>
      <c r="J27" s="10"/>
      <c r="K27" s="10"/>
      <c r="L27" s="10"/>
      <c r="M27" s="10"/>
      <c r="N27" s="10"/>
      <c r="O27" s="10"/>
      <c r="P27" s="10"/>
      <c r="Q27" s="10"/>
      <c r="R27" s="10"/>
      <c r="S27" s="10"/>
      <c r="T27" s="10"/>
      <c r="U27" s="10"/>
      <c r="V27" s="10"/>
      <c r="W27" s="10"/>
      <c r="X27" s="10"/>
      <c r="Y27" s="10"/>
      <c r="Z27" s="10"/>
    </row>
    <row r="28" spans="1:26" ht="12.75">
      <c r="A28" s="10" t="str">
        <f ca="1">IFERROR(__xludf.DUMMYFUNCTION("""COMPUTED_VALUE"""),"Александра Венкова Куманова")</f>
        <v>Александра Венкова Куманова</v>
      </c>
      <c r="B28" s="10" t="str">
        <f ca="1">IFERROR(__xludf.DUMMYFUNCTION("""COMPUTED_VALUE"""),"Доклад от конференция")</f>
        <v>Доклад от конференция</v>
      </c>
      <c r="C28" s="10" t="str">
        <f ca="1">IFERROR(__xludf.DUMMYFUNCTION("""COMPUTED_VALUE"""),"Изданието за световната универсална библиография (ІІІ в. пр. н.е. ХХІ в.) на международен колектив от автори, посветено на 140-годишния юбилей на Националната библиотека „Св. Св. Кирил и Методий” – принос на постмодерната научна култура – като дар на библ"&amp;"иотеките по света")</f>
        <v>Изданието за световната универсална библиография (ІІІ в. пр. н.е. ХХІ в.) на международен колектив от автори, посветено на 140-годишния юбилей на Националната библиотека „Св. Св. Кирил и Методий” – принос на постмодерната научна култура – като дар на библиотеките по света</v>
      </c>
      <c r="D28" s="10">
        <f ca="1">IFERROR(__xludf.DUMMYFUNCTION("""COMPUTED_VALUE"""),2019)</f>
        <v>2019</v>
      </c>
      <c r="E28" s="10" t="str">
        <f ca="1">IFERROR(__xludf.DUMMYFUNCTION("""COMPUTED_VALUE"""),"Благотворителност и култура на дарителството : Докл. на Междунар. науч. конф., посв. на 140 години от основаването на Националната библиотека „Св. Св. Кирил и Методий”, 10-11 дек. 2018 г., София = Donation and the culture of giving : Papers from the Int. "&amp;"Sci. Conf. Dedicated to the 140th Anniversary of the St. St. Cyril and Methodius National Library, Sofia, 10-11 December, 2018 / Състав. К. Александрова, А. Тотоманова. – София, 2019. – ISBN 978-954-523-165-0. – с. 28-52 : 4 сх., 6 табл., 3 к. – Библиогр."&amp;": 14 номерирани назв. – Рез. на англ. ез.")</f>
        <v>Благотворителност и култура на дарителството : Докл. на Междунар. науч. конф., посв. на 140 години от основаването на Националната библиотека „Св. Св. Кирил и Методий”, 10-11 дек. 2018 г., София = Donation and the culture of giving : Papers from the Int. Sci. Conf. Dedicated to the 140th Anniversary of the St. St. Cyril and Methodius National Library, Sofia, 10-11 December, 2018 / Състав. К. Александрова, А. Тотоманова. – София, 2019. – ISBN 978-954-523-165-0. – с. 28-52 : 4 сх., 6 табл., 3 к. – Библиогр.: 14 номерирани назв. – Рез. на англ. ез.</v>
      </c>
      <c r="F28" s="10" t="str">
        <f ca="1">IFERROR(__xludf.DUMMYFUNCTION("""COMPUTED_VALUE"""),"Cobiss")</f>
        <v>Cobiss</v>
      </c>
      <c r="G28" s="10" t="str">
        <f ca="1">IFERROR(__xludf.DUMMYFUNCTION("""COMPUTED_VALUE"""),"Николай Василев")</f>
        <v>Николай Василев</v>
      </c>
      <c r="H28" s="10"/>
      <c r="I28" s="10"/>
      <c r="J28" s="10"/>
      <c r="K28" s="10"/>
      <c r="L28" s="10"/>
      <c r="M28" s="10"/>
      <c r="N28" s="10"/>
      <c r="O28" s="10"/>
      <c r="P28" s="10"/>
      <c r="Q28" s="10"/>
      <c r="R28" s="10"/>
      <c r="S28" s="10"/>
      <c r="T28" s="10"/>
      <c r="U28" s="10"/>
      <c r="V28" s="10"/>
      <c r="W28" s="10"/>
      <c r="X28" s="10"/>
      <c r="Y28" s="10"/>
      <c r="Z28" s="10"/>
    </row>
    <row r="29" spans="1:26" ht="12.75">
      <c r="A29" s="10" t="str">
        <f ca="1">IFERROR(__xludf.DUMMYFUNCTION("""COMPUTED_VALUE"""),"Александра Венкова Куманова")</f>
        <v>Александра Венкова Куманова</v>
      </c>
      <c r="B29" s="10" t="str">
        <f ca="1">IFERROR(__xludf.DUMMYFUNCTION("""COMPUTED_VALUE"""),"Доклад от конференция")</f>
        <v>Доклад от конференция</v>
      </c>
      <c r="C29"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(2005-2018 г.) (Към проблема за ризомно-ретикуларното структуриране на информацията : Метасинтез на емпир"&amp;"ични научноизслед. кар. – хуманитарни измерения)")</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(2005-2018 г.) (Към проблема за ризомно-ретикуларното структуриране на информацията : Метасинтез на емпирични научноизслед. кар. – хуманитарни измерения)</v>
      </c>
      <c r="D29" s="10">
        <f ca="1">IFERROR(__xludf.DUMMYFUNCTION("""COMPUTED_VALUE"""),2019)</f>
        <v>2019</v>
      </c>
      <c r="E29" s="10" t="str">
        <f ca="1">IFERROR(__xludf.DUMMYFUNCTION("""COMPUTED_VALUE"""),"Тр. на Студентското науч. о-во при Унив. по библиотекознание и информ. технолог. (София). – ISSN 1314-2526. – Т. 14, 2019, с. 478-543 : ил., табл.")</f>
        <v>Тр. на Студентското науч. о-во при Унив. по библиотекознание и информ. технолог. (София). – ISSN 1314-2526. – Т. 14, 2019, с. 478-543 : ил., табл.</v>
      </c>
      <c r="F29" s="10"/>
      <c r="G29" s="10" t="str">
        <f ca="1">IFERROR(__xludf.DUMMYFUNCTION("""COMPUTED_VALUE"""),"Николай Василев")</f>
        <v>Николай Василев</v>
      </c>
      <c r="H29" s="10"/>
      <c r="I29" s="10"/>
      <c r="J29" s="10"/>
      <c r="K29" s="10"/>
      <c r="L29" s="10"/>
      <c r="M29" s="10"/>
      <c r="N29" s="10"/>
      <c r="O29" s="10"/>
      <c r="P29" s="10"/>
      <c r="Q29" s="10"/>
      <c r="R29" s="10"/>
      <c r="S29" s="10"/>
      <c r="T29" s="10"/>
      <c r="U29" s="10"/>
      <c r="V29" s="10"/>
      <c r="W29" s="10"/>
      <c r="X29" s="10"/>
      <c r="Y29" s="10"/>
      <c r="Z29" s="10"/>
    </row>
    <row r="30" spans="1:26" ht="12.75">
      <c r="A30" s="10" t="str">
        <f ca="1">IFERROR(__xludf.DUMMYFUNCTION("""COMPUTED_VALUE"""),"Александра Венкова Куманова")</f>
        <v>Александра Венкова Куманова</v>
      </c>
      <c r="B30" s="10" t="str">
        <f ca="1">IFERROR(__xludf.DUMMYFUNCTION("""COMPUTED_VALUE"""),"Доклад от конференция")</f>
        <v>Доклад от конференция</v>
      </c>
      <c r="C30" s="10" t="str">
        <f ca="1">IFERROR(__xludf.DUMMYFUNCTION("""COMPUTED_VALUE"""),"На русском языке сотворена уникальная универсальная наднациональная русская литература")</f>
        <v>На русском языке сотворена уникальная универсальная наднациональная русская литература</v>
      </c>
      <c r="D30" s="10">
        <f ca="1">IFERROR(__xludf.DUMMYFUNCTION("""COMPUTED_VALUE"""),2019)</f>
        <v>2019</v>
      </c>
      <c r="E30" s="10" t="str">
        <f ca="1">IFERROR(__xludf.DUMMYFUNCTION("""COMPUTED_VALUE"""),"&lt;https://youtu.be/CkWZdXnACFI&gt;. – 3.05.2019. – 1 с.")</f>
        <v>&lt;https://youtu.be/CkWZdXnACFI&gt;. – 3.05.2019. – 1 с.</v>
      </c>
      <c r="F30" s="10"/>
      <c r="G30" s="10"/>
      <c r="H30" s="10"/>
      <c r="I30" s="10"/>
      <c r="J30" s="10"/>
      <c r="K30" s="10"/>
      <c r="L30" s="10"/>
      <c r="M30" s="10"/>
      <c r="N30" s="10"/>
      <c r="O30" s="10"/>
      <c r="P30" s="10"/>
      <c r="Q30" s="10"/>
      <c r="R30" s="10"/>
      <c r="S30" s="10"/>
      <c r="T30" s="10"/>
      <c r="U30" s="10"/>
      <c r="V30" s="10"/>
      <c r="W30" s="10"/>
      <c r="X30" s="10"/>
      <c r="Y30" s="10"/>
      <c r="Z30" s="10"/>
    </row>
    <row r="31" spans="1:26" ht="12.75">
      <c r="A31" s="10" t="str">
        <f ca="1">IFERROR(__xludf.DUMMYFUNCTION("""COMPUTED_VALUE"""),"Александра Венкова Куманова")</f>
        <v>Александра Венкова Куманова</v>
      </c>
      <c r="B31" s="10" t="str">
        <f ca="1">IFERROR(__xludf.DUMMYFUNCTION("""COMPUTED_VALUE"""),"Доклад от конференция")</f>
        <v>Доклад от конференция</v>
      </c>
      <c r="C31" s="10" t="str">
        <f ca="1">IFERROR(__xludf.DUMMYFUNCTION("""COMPUTED_VALUE"""),"Серендипност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f>
        <v>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v>
      </c>
      <c r="D31" s="10">
        <f ca="1">IFERROR(__xludf.DUMMYFUNCTION("""COMPUTED_VALUE"""),2019)</f>
        <v>2019</v>
      </c>
      <c r="E31" s="10" t="str">
        <f ca="1">IFERROR(__xludf.DUMMYFUNCTION("""COMPUTED_VALUE"""),"ХАРМОНИЯ в различията – София: За буквите - О писменехь, 2019, София, 2019, с. 506-517. 
 ISSN 978-619-185-151-5")</f>
        <v>ХАРМОНИЯ в различията – София: За буквите - О писменехь, 2019, София, 2019, с. 506-517. 
 ISSN 978-619-185-151-5</v>
      </c>
      <c r="F31" s="10" t="str">
        <f ca="1">IFERROR(__xludf.DUMMYFUNCTION("""COMPUTED_VALUE"""),"Референтен списък на НАЦИД")</f>
        <v>Референтен списък на НАЦИД</v>
      </c>
      <c r="G31" s="10" t="str">
        <f ca="1">IFERROR(__xludf.DUMMYFUNCTION("""COMPUTED_VALUE"""),"Н. Казански, Н. Василев")</f>
        <v>Н. Казански, Н. Василев</v>
      </c>
      <c r="H31" s="10"/>
      <c r="I31" s="10"/>
      <c r="J31" s="10"/>
      <c r="K31" s="10"/>
      <c r="L31" s="10"/>
      <c r="M31" s="10"/>
      <c r="N31" s="10"/>
      <c r="O31" s="10"/>
      <c r="P31" s="10"/>
      <c r="Q31" s="10"/>
      <c r="R31" s="10"/>
      <c r="S31" s="10"/>
      <c r="T31" s="10"/>
      <c r="U31" s="10"/>
      <c r="V31" s="10"/>
      <c r="W31" s="10"/>
      <c r="X31" s="10"/>
      <c r="Y31" s="10"/>
      <c r="Z31" s="10"/>
    </row>
    <row r="32" spans="1:26" ht="12.75">
      <c r="A32" s="10" t="str">
        <f ca="1">IFERROR(__xludf.DUMMYFUNCTION("""COMPUTED_VALUE"""),"Александра Венкова Куманова")</f>
        <v>Александра Венкова Куманова</v>
      </c>
      <c r="B32" s="10" t="str">
        <f ca="1">IFERROR(__xludf.DUMMYFUNCTION("""COMPUTED_VALUE"""),"Доклад от конференция")</f>
        <v>Доклад от конференция</v>
      </c>
      <c r="C32" s="10" t="str">
        <f ca="1">IFERROR(__xludf.DUMMYFUNCTION("""COMPUTED_VALUE"""),"Денчев, С. и др. 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ISBN 978-619-185-211-6"&amp;") и „Нишката на Ариадна” (София, 2017. – ISBN 978-619-185-285-7) (Библиографски и историографски черти на информационната ризома и академизма)")</f>
        <v>Денчев, С. и др. 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ISBN 978-619-185-211-6) и „Нишката на Ариадна” (София, 2017. – ISBN 978-619-185-285-7) (Библиографски и историографски черти на информационната ризома и академизма)</v>
      </c>
      <c r="D32" s="10">
        <f ca="1">IFERROR(__xludf.DUMMYFUNCTION("""COMPUTED_VALUE"""),2019)</f>
        <v>2019</v>
      </c>
      <c r="E32" s="10" t="str">
        <f ca="1">IFERROR(__xludf.DUMMYFUNCTION("""COMPUTED_VALUE"""),"Тр. на Студентското науч. о-во при Унив. по библиотекознание и информ. технолог. (София). – ISSN 1314-2526. – Т. 14, 2019, с. 673-688.")</f>
        <v>Тр. на Студентското науч. о-во при Унив. по библиотекознание и информ. технолог. (София). – ISSN 1314-2526. – Т. 14, 2019, с. 673-688.</v>
      </c>
      <c r="F32" s="10"/>
      <c r="G32" s="10" t="str">
        <f ca="1">IFERROR(__xludf.DUMMYFUNCTION("""COMPUTED_VALUE"""),"Стоян Денчев, Николай Василев")</f>
        <v>Стоян Денчев, Николай Василев</v>
      </c>
      <c r="H32" s="10"/>
      <c r="I32" s="10"/>
      <c r="J32" s="10"/>
      <c r="K32" s="10"/>
      <c r="L32" s="10"/>
      <c r="M32" s="10"/>
      <c r="N32" s="10"/>
      <c r="O32" s="10"/>
      <c r="P32" s="10"/>
      <c r="Q32" s="10"/>
      <c r="R32" s="10"/>
      <c r="S32" s="10"/>
      <c r="T32" s="10"/>
      <c r="U32" s="10"/>
      <c r="V32" s="10"/>
      <c r="W32" s="10"/>
      <c r="X32" s="10"/>
      <c r="Y32" s="10"/>
      <c r="Z32" s="10"/>
    </row>
    <row r="33" spans="1:26" ht="12.75">
      <c r="A33" s="10" t="str">
        <f ca="1">IFERROR(__xludf.DUMMYFUNCTION("""COMPUTED_VALUE"""),"Александра Венкова Куманова")</f>
        <v>Александра Венкова Куманова</v>
      </c>
      <c r="B33" s="10" t="str">
        <f ca="1">IFERROR(__xludf.DUMMYFUNCTION("""COMPUTED_VALUE"""),"Статия в списания и поредици")</f>
        <v>Статия в списания и поредици</v>
      </c>
      <c r="C33" s="10" t="str">
        <f ca="1">IFERROR(__xludf.DUMMYFUNCTION("""COMPUTED_VALUE"""),"Автобиобиблиографията – знанието за библиотечната библиография, ризомно-ретикуларната методология и свободата в моралната отговорност на съвестта (Епилог на авт. по [4. прераб. и доп.] изд.: Куманова, А. Модел за съставяне на персонални автобиобиблиографи"&amp;"и")</f>
        <v>Автобиобиблиографията – знанието за библиотечната библиография, ризомно-ретикуларната методология и свободата в моралната отговорност на съвестта (Епилог на авт. по [4. прераб. и доп.] изд.: Куманова, А. Модел за съставяне на персонални автобиобиблиографии</v>
      </c>
      <c r="D33" s="10">
        <f ca="1">IFERROR(__xludf.DUMMYFUNCTION("""COMPUTED_VALUE"""),2019)</f>
        <v>2019</v>
      </c>
      <c r="E33" s="10" t="str">
        <f ca="1">IFERROR(__xludf.DUMMYFUNCTION("""COMPUTED_VALUE"""),"София, 2018. – Е ISBN 978-619-185-311-3. // &lt;http://sno.unibit.bg/forum.html&gt;. – 19.03.2019. – 36 с. : сх. – Библиогр.: 40 неномерирани назв. в 19 бел. – Редуц. публ.")</f>
        <v>София, 2018. – Е ISBN 978-619-185-311-3. // &lt;http://sno.unibit.bg/forum.html&gt;. – 19.03.2019. – 36 с. : сх. – Библиогр.: 40 неномерирани назв. в 19 бел. – Редуц. публ.</v>
      </c>
      <c r="F33" s="10"/>
      <c r="G33" s="10"/>
      <c r="H33" s="10"/>
      <c r="I33" s="10"/>
      <c r="J33" s="10"/>
      <c r="K33" s="10"/>
      <c r="L33" s="10"/>
      <c r="M33" s="10"/>
      <c r="N33" s="10"/>
      <c r="O33" s="10"/>
      <c r="P33" s="10"/>
      <c r="Q33" s="10"/>
      <c r="R33" s="10"/>
      <c r="S33" s="10"/>
      <c r="T33" s="10"/>
      <c r="U33" s="10"/>
      <c r="V33" s="10"/>
      <c r="W33" s="10"/>
      <c r="X33" s="10"/>
      <c r="Y33" s="10"/>
      <c r="Z33" s="10"/>
    </row>
    <row r="34" spans="1:26" ht="12.75">
      <c r="A34" s="10" t="str">
        <f ca="1">IFERROR(__xludf.DUMMYFUNCTION("""COMPUTED_VALUE"""),"Александра Венкова Куманова")</f>
        <v>Александра Венкова Куманова</v>
      </c>
      <c r="B34" s="10" t="str">
        <f ca="1">IFERROR(__xludf.DUMMYFUNCTION("""COMPUTED_VALUE"""),"Статия в списания и поредици")</f>
        <v>Статия в списания и поредици</v>
      </c>
      <c r="C34" s="10" t="str">
        <f ca="1">IFERROR(__xludf.DUMMYFUNCTION("""COMPUTED_VALUE"""),"Доц. д-р Елена Нерлих–Златева : En Grand (В чест на 50-год. от първата й публикация в списание „Библиотекар”)")</f>
        <v>Доц. д-р Елена Нерлих–Златева : En Grand (В чест на 50-год. от първата й публикация в списание „Библиотекар”)</v>
      </c>
      <c r="D34" s="10">
        <f ca="1">IFERROR(__xludf.DUMMYFUNCTION("""COMPUTED_VALUE"""),2019)</f>
        <v>2019</v>
      </c>
      <c r="E34" s="10" t="str">
        <f ca="1">IFERROR(__xludf.DUMMYFUNCTION("""COMPUTED_VALUE"""),"Библиотека (София). – ISSN 0861-847X. – 2019, N 4, с. 44-59 : с портр. : 65 номерирани загл. ; систематика на западноевропейската лит. – Библиогр. ред.: К. Александрова, С. Филипова ; Науч. ред. Н. Василев. – Рез. на англ. ез.")</f>
        <v>Библиотека (София). – ISSN 0861-847X. – 2019, N 4, с. 44-59 : с портр. : 65 номерирани загл. ; систематика на западноевропейската лит. – Библиогр. ред.: К. Александрова, С. Филипова ; Науч. ред. Н. Василев. – Рез. на англ. ез.</v>
      </c>
      <c r="F34" s="10"/>
      <c r="G34" s="10"/>
      <c r="H34" s="10"/>
      <c r="I34" s="10"/>
      <c r="J34" s="10"/>
      <c r="K34" s="10"/>
      <c r="L34" s="10"/>
      <c r="M34" s="10"/>
      <c r="N34" s="10"/>
      <c r="O34" s="10"/>
      <c r="P34" s="10"/>
      <c r="Q34" s="10"/>
      <c r="R34" s="10"/>
      <c r="S34" s="10"/>
      <c r="T34" s="10"/>
      <c r="U34" s="10"/>
      <c r="V34" s="10"/>
      <c r="W34" s="10"/>
      <c r="X34" s="10"/>
      <c r="Y34" s="10"/>
      <c r="Z34" s="10"/>
    </row>
    <row r="35" spans="1:26" ht="12.75">
      <c r="A35" s="10" t="str">
        <f ca="1">IFERROR(__xludf.DUMMYFUNCTION("""COMPUTED_VALUE"""),"Александра Венкова Куманова")</f>
        <v>Александра Венкова Куманова</v>
      </c>
      <c r="B35" s="10" t="str">
        <f ca="1">IFERROR(__xludf.DUMMYFUNCTION("""COMPUTED_VALUE"""),"Доклад от конференция")</f>
        <v>Доклад от конференция</v>
      </c>
      <c r="C35" s="10" t="str">
        <f ca="1">IFERROR(__xludf.DUMMYFUNCTION("""COMPUTED_VALUE"""),"Визуализация историографии мировой универсальной библиографии")</f>
        <v>Визуализация историографии мировой универсальной библиографии</v>
      </c>
      <c r="D35" s="10">
        <f ca="1">IFERROR(__xludf.DUMMYFUNCTION("""COMPUTED_VALUE"""),2019)</f>
        <v>2019</v>
      </c>
      <c r="E35" s="10" t="str">
        <f ca="1">IFERROR(__xludf.DUMMYFUNCTION("""COMPUTED_VALUE"""),"Культура: Теория и практика : Эл. науч. журнал (Библиотечное дело – 2019 : Библиотека в цифровой среде : тенденции разв.) / Моск. гос. инст. культуры. – 2019, N 1. – ЭЛ N ФC 77-61646 от 7.05.2017. &lt;http://theoryofculture.ru/issues/102/1203/&gt; &lt;http://theor"&amp;"yofculture.ru&gt;. – 16.04.2019. – 5 с. – Библиогр. 7 нум. назв. – Рез. на англ.")</f>
        <v>Культура: Теория и практика : Эл. науч. журнал (Библиотечное дело – 2019 : Библиотека в цифровой среде : тенденции разв.) / Моск. гос. инст. культуры. – 2019, N 1. – ЭЛ N ФC 77-61646 от 7.05.2017. &lt;http://theoryofculture.ru/issues/102/1203/&gt; &lt;http://theoryofculture.ru&gt;. – 16.04.2019. – 5 с. – Библиогр. 7 нум. назв. – Рез. на англ.</v>
      </c>
      <c r="F35" s="10" t="str">
        <f ca="1">IFERROR(__xludf.DUMMYFUNCTION("""COMPUTED_VALUE"""),"&lt;http://theoryofculture.ru/issues/102/1203/&gt; 
 &lt;http://theoryofculture.ru&gt;
 &lt;http://sgf.mgik.org/news/27530/&gt;
 &lt;http://sgf.mgik.org/nauka/Скворцовские%20чтения%202019.%20Программа.pdf&gt;
 &lt;http://www.rba.ru/news/news_2069.html&gt;")</f>
        <v>&lt;http://theoryofculture.ru/issues/102/1203/&gt; 
 &lt;http://theoryofculture.ru&gt;
 &lt;http://sgf.mgik.org/news/27530/&gt;
 &lt;http://sgf.mgik.org/nauka/Скворцовские%20чтения%202019.%20Программа.pdf&gt;
 &lt;http://www.rba.ru/news/news_2069.html&gt;</v>
      </c>
      <c r="G35" s="10"/>
      <c r="H35" s="10"/>
      <c r="I35" s="10"/>
      <c r="J35" s="10"/>
      <c r="K35" s="10"/>
      <c r="L35" s="10"/>
      <c r="M35" s="10"/>
      <c r="N35" s="10"/>
      <c r="O35" s="10"/>
      <c r="P35" s="10"/>
      <c r="Q35" s="10"/>
      <c r="R35" s="10"/>
      <c r="S35" s="10"/>
      <c r="T35" s="10"/>
      <c r="U35" s="10"/>
      <c r="V35" s="10"/>
      <c r="W35" s="10"/>
      <c r="X35" s="10"/>
      <c r="Y35" s="10"/>
      <c r="Z35" s="10"/>
    </row>
    <row r="36" spans="1:26" ht="12.75">
      <c r="A36" s="10" t="str">
        <f ca="1">IFERROR(__xludf.DUMMYFUNCTION("""COMPUTED_VALUE"""),"Александра Венкова Куманова")</f>
        <v>Александра Венкова Куманова</v>
      </c>
      <c r="B36" s="10" t="str">
        <f ca="1">IFERROR(__xludf.DUMMYFUNCTION("""COMPUTED_VALUE"""),"Доклад от конференция")</f>
        <v>Доклад от конференция</v>
      </c>
      <c r="C36" s="10" t="str">
        <f ca="1">IFERROR(__xludf.DUMMYFUNCTION("""COMPUTED_VALUE"""),"Арабската световна универсална библиография „Ал-Фихрист” на Ибн ан-Надим 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f>
        <v>Арабската световна универсална библиография „Ал-Фихрист” на Ибн ан-Надим 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v>
      </c>
      <c r="D36" s="10">
        <f ca="1">IFERROR(__xludf.DUMMYFUNCTION("""COMPUTED_VALUE"""),2019)</f>
        <v>2019</v>
      </c>
      <c r="E36" s="10" t="str">
        <f ca="1">IFERROR(__xludf.DUMMYFUNCTION("""COMPUTED_VALUE"""),"Обществото на знанието и хуманизмът на ХХІ век : Сб. с науч. докл. от ХVІІ Нац. науч. конф. с межд. участие – 1 ноември 2019, София. – ISSN 2683-0094. – 2019, с. 152-161. – Рез. на англ. ез.")</f>
        <v>Обществото на знанието и хуманизмът на ХХІ век : Сб. с науч. докл. от ХVІІ Нац. науч. конф. с межд. участие – 1 ноември 2019, София. – ISSN 2683-0094. – 2019, с. 152-161. – Рез. на англ. ез.</v>
      </c>
      <c r="F36" s="10"/>
      <c r="G36" s="10"/>
      <c r="H36" s="10"/>
      <c r="I36" s="10"/>
      <c r="J36" s="10"/>
      <c r="K36" s="10"/>
      <c r="L36" s="10"/>
      <c r="M36" s="10"/>
      <c r="N36" s="10"/>
      <c r="O36" s="10"/>
      <c r="P36" s="10"/>
      <c r="Q36" s="10"/>
      <c r="R36" s="10"/>
      <c r="S36" s="10"/>
      <c r="T36" s="10"/>
      <c r="U36" s="10"/>
      <c r="V36" s="10"/>
      <c r="W36" s="10"/>
      <c r="X36" s="10"/>
      <c r="Y36" s="10"/>
      <c r="Z36" s="10"/>
    </row>
    <row r="37" spans="1:26" ht="12.75">
      <c r="A37" s="10" t="str">
        <f ca="1">IFERROR(__xludf.DUMMYFUNCTION("""COMPUTED_VALUE"""),"Александра Венкова Куманова")</f>
        <v>Александра Венкова Куманова</v>
      </c>
      <c r="B37" s="10" t="str">
        <f ca="1">IFERROR(__xludf.DUMMYFUNCTION("""COMPUTED_VALUE"""),"Доклад от конференция")</f>
        <v>Доклад от конференция</v>
      </c>
      <c r="C37" s="10" t="str">
        <f ca="1">IFERROR(__xludf.DUMMYFUNCTION("""COMPUTED_VALUE"""),"Майсторски клас по световна (международна) универсална библиография пред руската библиотечна общност : Мировая универсальная библиография ІІІ в. до н.э. – ХХІ в. (Санкт-Петербургский государственный институт культуры – 25.04.2018) (Тезисы)")</f>
        <v>Майсторски клас по световна (международна) универсална библиография пред руската библиотечна общност : Мировая универсальная библиография ІІІ в. до н.э. – ХХІ в. (Санкт-Петербургский государственный институт культуры – 25.04.2018) (Тезисы)</v>
      </c>
      <c r="D37" s="10">
        <f ca="1">IFERROR(__xludf.DUMMYFUNCTION("""COMPUTED_VALUE"""),2019)</f>
        <v>2019</v>
      </c>
      <c r="E37" s="10" t="str">
        <f ca="1">IFERROR(__xludf.DUMMYFUNCTION("""COMPUTED_VALUE"""),"Тр. на Студентското науч. о-во при Унив. по библиотекознание и информ. технолог. (София). – ISSN 1314-2526. – Т. 14, 2019, с. 752-774 : ил.")</f>
        <v>Тр. на Студентското науч. о-во при Унив. по библиотекознание и информ. технолог. (София). – ISSN 1314-2526. – Т. 14, 2019, с. 752-774 : ил.</v>
      </c>
      <c r="F37" s="10"/>
      <c r="G37" s="10"/>
      <c r="H37" s="10"/>
      <c r="I37" s="10"/>
      <c r="J37" s="10"/>
      <c r="K37" s="10"/>
      <c r="L37" s="10"/>
      <c r="M37" s="10"/>
      <c r="N37" s="10"/>
      <c r="O37" s="10"/>
      <c r="P37" s="10"/>
      <c r="Q37" s="10"/>
      <c r="R37" s="10"/>
      <c r="S37" s="10"/>
      <c r="T37" s="10"/>
      <c r="U37" s="10"/>
      <c r="V37" s="10"/>
      <c r="W37" s="10"/>
      <c r="X37" s="10"/>
      <c r="Y37" s="10"/>
      <c r="Z37" s="10"/>
    </row>
    <row r="38" spans="1:26" ht="12.75">
      <c r="A38" s="10" t="str">
        <f ca="1">IFERROR(__xludf.DUMMYFUNCTION("""COMPUTED_VALUE"""),"Александра Венкова Куманова")</f>
        <v>Александра Венкова Куманова</v>
      </c>
      <c r="B38" s="10" t="str">
        <f ca="1">IFERROR(__xludf.DUMMYFUNCTION("""COMPUTED_VALUE"""),"Доклад от конференция")</f>
        <v>Доклад от конференция</v>
      </c>
      <c r="C38" s="10" t="str">
        <f ca="1">IFERROR(__xludf.DUMMYFUNCTION("""COMPUTED_VALUE"""),"Световното културно наследство на международната универсална библиография (Райониране и картографиране на авторските ретроспективни вторично-документални форми в електронна библиотека UNIVERSALICA)")</f>
        <v>Световното културно наследство на международната универсална библиография (Райониране и картографиране на авторските ретроспективни вторично-документални форми в електронна библиотека UNIVERSALICA)</v>
      </c>
      <c r="D38" s="10">
        <f ca="1">IFERROR(__xludf.DUMMYFUNCTION("""COMPUTED_VALUE"""),2019)</f>
        <v>2019</v>
      </c>
      <c r="E38" s="10" t="str">
        <f ca="1">IFERROR(__xludf.DUMMYFUNCTION("""COMPUTED_VALUE"""),"сб. с докл. от нац. конф. с межд. участие „Библиотеките в контекста на европейското културно наследство” – Шумен, 7-8.10.2019 г. / Рег. библ. „Стилиян Чилингиров” – Шумен ; Форумът се организира с подкрепата на ИЦ „Европа Директно” – Шумен ; Ред. Росица Д"&amp;"обрева, Марияна Дженева, Татяна Вътова ; Рец. Марияна Петева. – Шумен, 2019. – ISBN 978-954-2936-54-1. – с. 22-40 : 11 к. – Библиогр.: 24 ед. в 13 ном. бел.")</f>
        <v>сб. с докл. от нац. конф. с межд. участие „Библиотеките в контекста на европейското културно наследство” – Шумен, 7-8.10.2019 г. / Рег. библ. „Стилиян Чилингиров” – Шумен ; Форумът се организира с подкрепата на ИЦ „Европа Директно” – Шумен ; Ред. Росица Добрева, Марияна Дженева, Татяна Вътова ; Рец. Марияна Петева. – Шумен, 2019. – ISBN 978-954-2936-54-1. – с. 22-40 : 11 к. – Библиогр.: 24 ед. в 13 ном. бел.</v>
      </c>
      <c r="F38" s="10"/>
      <c r="G38" s="10" t="str">
        <f ca="1">IFERROR(__xludf.DUMMYFUNCTION("""COMPUTED_VALUE"""),"Никола Казански, Николай Василев")</f>
        <v>Никола Казански, Николай Василев</v>
      </c>
      <c r="H38" s="10"/>
      <c r="I38" s="10"/>
      <c r="J38" s="10"/>
      <c r="K38" s="10"/>
      <c r="L38" s="10"/>
      <c r="M38" s="10"/>
      <c r="N38" s="10"/>
      <c r="O38" s="10"/>
      <c r="P38" s="10"/>
      <c r="Q38" s="10"/>
      <c r="R38" s="10"/>
      <c r="S38" s="10"/>
      <c r="T38" s="10"/>
      <c r="U38" s="10"/>
      <c r="V38" s="10"/>
      <c r="W38" s="10"/>
      <c r="X38" s="10"/>
      <c r="Y38" s="10"/>
      <c r="Z38" s="10"/>
    </row>
    <row r="39" spans="1:26" ht="12.75">
      <c r="A39" s="10" t="str">
        <f ca="1">IFERROR(__xludf.DUMMYFUNCTION("""COMPUTED_VALUE"""),"Александра Венкова Куманова")</f>
        <v>Александра Венкова Куманова</v>
      </c>
      <c r="B39" s="10" t="str">
        <f ca="1">IFERROR(__xludf.DUMMYFUNCTION("""COMPUTED_VALUE"""),"Доклад от конференция")</f>
        <v>Доклад от конференция</v>
      </c>
      <c r="C39" s="10" t="str">
        <f ca="1">IFERROR(__xludf.DUMMYFUNCTION("""COMPUTED_VALUE"""),"Майсторски клас по биобиблиография : Феноменът на Умберто Еко и библиографирането му (Университет по библиотекознание и информационни технологии – 17.05.2018) (Тезиси)")</f>
        <v>Майсторски клас по биобиблиография : Феноменът на Умберто Еко и библиографирането му (Университет по библиотекознание и информационни технологии – 17.05.2018) (Тезиси)</v>
      </c>
      <c r="D39" s="10">
        <f ca="1">IFERROR(__xludf.DUMMYFUNCTION("""COMPUTED_VALUE"""),2019)</f>
        <v>2019</v>
      </c>
      <c r="E39" s="10" t="str">
        <f ca="1">IFERROR(__xludf.DUMMYFUNCTION("""COMPUTED_VALUE"""),"Тр. на Студентското науч. о-во при Унив. по библиотекознание и информ. технолог. (София). – ISSN 1314-2526. – Т. 14, 2019, с. 739-751 : ил.")</f>
        <v>Тр. на Студентското науч. о-во при Унив. по библиотекознание и информ. технолог. (София). – ISSN 1314-2526. – Т. 14, 2019, с. 739-751 : ил.</v>
      </c>
      <c r="F39" s="10"/>
      <c r="G39" s="10"/>
      <c r="H39" s="10"/>
      <c r="I39" s="10"/>
      <c r="J39" s="10"/>
      <c r="K39" s="10"/>
      <c r="L39" s="10"/>
      <c r="M39" s="10"/>
      <c r="N39" s="10"/>
      <c r="O39" s="10"/>
      <c r="P39" s="10"/>
      <c r="Q39" s="10"/>
      <c r="R39" s="10"/>
      <c r="S39" s="10"/>
      <c r="T39" s="10"/>
      <c r="U39" s="10"/>
      <c r="V39" s="10"/>
      <c r="W39" s="10"/>
      <c r="X39" s="10"/>
      <c r="Y39" s="10"/>
      <c r="Z39" s="10"/>
    </row>
    <row r="40" spans="1:26" ht="12.75">
      <c r="A40" s="10" t="str">
        <f ca="1">IFERROR(__xludf.DUMMYFUNCTION("""COMPUTED_VALUE"""),"Александра Венкова Куманова")</f>
        <v>Александра Венкова Куманова</v>
      </c>
      <c r="B40" s="10" t="str">
        <f ca="1">IFERROR(__xludf.DUMMYFUNCTION("""COMPUTED_VALUE"""),"Доклад от конференция")</f>
        <v>Доклад от конференция</v>
      </c>
      <c r="C40" s="10" t="str">
        <f ca="1">IFERROR(__xludf.DUMMYFUNCTION("""COMPUTED_VALUE"""),"Национално литературно мислене :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f>
        <v>Национално литературно мислене :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v>
      </c>
      <c r="D40" s="10">
        <f ca="1">IFERROR(__xludf.DUMMYFUNCTION("""COMPUTED_VALUE"""),2019)</f>
        <v>2019</v>
      </c>
      <c r="E40" s="10" t="str">
        <f ca="1">IFERROR(__xludf.DUMMYFUNCTION("""COMPUTED_VALUE"""),"Обществото на знанието и хуманизмът на ХХІ век : Сб. с науч. докл. от ХVІІ Нац. науч. конф. с межд. участие – 1 ноември 2019, София. – ISSN 2683-0094. – 2019, с. 51-59. – Рез. на англ. ез.")</f>
        <v>Обществото на знанието и хуманизмът на ХХІ век : Сб. с науч. докл. от ХVІІ Нац. науч. конф. с межд. участие – 1 ноември 2019, София. – ISSN 2683-0094. – 2019, с. 51-59. – Рез. на англ. ез.</v>
      </c>
      <c r="F40" s="10"/>
      <c r="G40" s="10" t="str">
        <f ca="1">IFERROR(__xludf.DUMMYFUNCTION("""COMPUTED_VALUE"""),"Стоян Денчев, Николай Василев")</f>
        <v>Стоян Денчев, Николай Василев</v>
      </c>
      <c r="H40" s="10"/>
      <c r="I40" s="10"/>
      <c r="J40" s="10"/>
      <c r="K40" s="10"/>
      <c r="L40" s="10"/>
      <c r="M40" s="10"/>
      <c r="N40" s="10"/>
      <c r="O40" s="10"/>
      <c r="P40" s="10"/>
      <c r="Q40" s="10"/>
      <c r="R40" s="10"/>
      <c r="S40" s="10"/>
      <c r="T40" s="10"/>
      <c r="U40" s="10"/>
      <c r="V40" s="10"/>
      <c r="W40" s="10"/>
      <c r="X40" s="10"/>
      <c r="Y40" s="10"/>
      <c r="Z40" s="10"/>
    </row>
    <row r="41" spans="1:26" ht="12.75">
      <c r="A41" s="10" t="str">
        <f ca="1">IFERROR(__xludf.DUMMYFUNCTION("""COMPUTED_VALUE"""),"Александра Венкова Куманова")</f>
        <v>Александра Венкова Куманова</v>
      </c>
      <c r="B41" s="10" t="str">
        <f ca="1">IFERROR(__xludf.DUMMYFUNCTION("""COMPUTED_VALUE"""),"Доклад от конференция")</f>
        <v>Доклад от конференция</v>
      </c>
      <c r="C41" s="10" t="str">
        <f ca="1">IFERROR(__xludf.DUMMYFUNCTION("""COMPUTED_VALUE"""),"К постнеклассическому эскизу информационной карты Арктической духовности (Вторичнодокументальная панорама полевых, библиографических и историографических исследованиий международного коллектива ученых планетарного солярного культа – култа света, проводимы"&amp;"х под эгидой Арктической Академии наук)")</f>
        <v>К постнеклассическому эскизу информационной карты Арктической духовности (Вторичнодокументальная панорама полевых, библиографических и историографических исследованиий международного коллектива ученых планетарного солярного культа – култа света, проводимых под эгидой Арктической Академии наук)</v>
      </c>
      <c r="D41" s="10">
        <f ca="1">IFERROR(__xludf.DUMMYFUNCTION("""COMPUTED_VALUE"""),2019)</f>
        <v>2019</v>
      </c>
      <c r="E41" s="10" t="str">
        <f ca="1">IFERROR(__xludf.DUMMYFUNCTION("""COMPUTED_VALUE"""),"Арктические чтения : Материалы междунар. науч. конф., посв. 15-лет. Санкт-Петербургск. науч. обществ. организации „Арктическая общественная академия наук” – Санкт-Петербург, 15.02.2019 г. / Санкт-Петербургск. отд. Секц. геополитики и безопасности Рос. ака"&amp;"д. естеств. наук ; Арктическ. обществ. акад. наук ; Агентство по наукоемкости и инновационным технологиям „Прогноз-Норд”. – Санкт-Петербург, 2019. – ISBN 978-5-7629-2413-9. – с. 262-280. – Библиогр.: 76 нум. назв. – Рез. на англ. яз.")</f>
        <v>Арктические чтения : Материалы междунар. науч. конф., посв. 15-лет. Санкт-Петербургск. науч. обществ. организации „Арктическая общественная академия наук” – Санкт-Петербург, 15.02.2019 г. / Санкт-Петербургск. отд. Секц. геополитики и безопасности Рос. акад. естеств. наук ; Арктическ. обществ. акад. наук ; Агентство по наукоемкости и инновационным технологиям „Прогноз-Норд”. – Санкт-Петербург, 2019. – ISBN 978-5-7629-2413-9. – с. 262-280. – Библиогр.: 76 нум. назв. – Рез. на англ. яз.</v>
      </c>
      <c r="F41" s="10"/>
      <c r="G41" s="10"/>
      <c r="H41" s="10"/>
      <c r="I41" s="10"/>
      <c r="J41" s="10"/>
      <c r="K41" s="10"/>
      <c r="L41" s="10"/>
      <c r="M41" s="10"/>
      <c r="N41" s="10"/>
      <c r="O41" s="10"/>
      <c r="P41" s="10"/>
      <c r="Q41" s="10"/>
      <c r="R41" s="10"/>
      <c r="S41" s="10"/>
      <c r="T41" s="10"/>
      <c r="U41" s="10"/>
      <c r="V41" s="10"/>
      <c r="W41" s="10"/>
      <c r="X41" s="10"/>
      <c r="Y41" s="10"/>
      <c r="Z41" s="10"/>
    </row>
    <row r="42" spans="1:26" ht="12.75">
      <c r="A42" s="10" t="str">
        <f ca="1">IFERROR(__xludf.DUMMYFUNCTION("""COMPUTED_VALUE"""),"Александра Венкова Куманова")</f>
        <v>Александра Венкова Куманова</v>
      </c>
      <c r="B42" s="10" t="str">
        <f ca="1">IFERROR(__xludf.DUMMYFUNCTION("""COMPUTED_VALUE"""),"Доклад от конференция")</f>
        <v>Доклад от конференция</v>
      </c>
      <c r="C42" s="10" t="str">
        <f ca="1">IFERROR(__xludf.DUMMYFUNCTION("""COMPUTED_VALUE"""),"К вопросу о кардинале планетарного мышления : от космизма В. И. Вернадского до неклассической постмодерности ХХІ века – У. Эко (Нить Ариадны и личность в лабиринте информации : Семиозис кадастра универсального знания и его макроризома в потоке гуманитарны"&amp;"х змерений человечества)")</f>
        <v>К вопросу о кардинале планетарного мышления : от космизма В. И. Вернадского до неклассической постмодерности ХХІ века – У. Эко (Нить Ариадны и личность в лабиринте информации : Семиозис кадастра универсального знания и его макроризома в потоке гуманитарных змерений человечества)</v>
      </c>
      <c r="D42" s="10">
        <f ca="1">IFERROR(__xludf.DUMMYFUNCTION("""COMPUTED_VALUE"""),2018)</f>
        <v>2018</v>
      </c>
      <c r="E42" s="10" t="str">
        <f ca="1">IFERROR(__xludf.DUMMYFUNCTION("""COMPUTED_VALUE"""),"Ноосферное образование в евразийском пространстве. Т. 8, [Восьмая] VІІІ международная научая конференция „Ноосферное образование как механизм становления Ноосферной России” – Санкт-Петербург, 6-7 декабря 2018 г. / Рус. космич. о-во. Санкт-Петерсбургск. от"&amp;"д. Философск. совет, Смольн. инст. РАО, Ноосферная обществ. акад. наук, Рос. гос. педаг. Унив. им. А. И. Герцена, Петровск. акад. наук и искусств, Европ. акад. естеств. наук, Новгородск. гос. унив. им. Ярослава Мудрого, Рос. акад. естеств. наук, Саратовск"&amp;". нац. исслед. гос. унив. им. Н. Г. Чернышевского, Междунар. акад. гармонического развития человека (ЮНЕСКО), Междунар. Высш. Учен. Совет / Под науч. ред. А. И. Субетто. – Санкт-Петербург, 2018. – ISBN 978-5-00045-633-0. – с. 535-543. – Рез. на рус. и анг"&amp;"л. яз.: с. 575-576.")</f>
        <v>Ноосферное образование в евразийском пространстве. Т. 8, [Восьмая] VІІІ международная научая конференция „Ноосферное образование как механизм становления Ноосферной России” – Санкт-Петербург, 6-7 декабря 2018 г. / Рус. космич. о-во. Санкт-Петерсбургск. отд. Философск. совет, Смольн. инст. РАО, Ноосферная обществ. акад. наук, Рос. гос. педаг. Унив. им. А. И. Герцена, Петровск. акад. наук и искусств, Европ. акад. естеств. наук, Новгородск. гос. унив. им. Ярослава Мудрого, Рос. акад. естеств. наук, Саратовск. нац. исслед. гос. унив. им. Н. Г. Чернышевского, Междунар. акад. гармонического развития человека (ЮНЕСКО), Междунар. Высш. Учен. Совет / Под науч. ред. А. И. Субетто. – Санкт-Петербург, 2018. – ISBN 978-5-00045-633-0. – с. 535-543. – Рез. на рус. и англ. яз.: с. 575-576.</v>
      </c>
      <c r="F42" s="10" t="str">
        <f ca="1">IFERROR(__xludf.DUMMYFUNCTION("""COMPUTED_VALUE"""),"&lt;https://books.google.bg/books?isbn=5457722465&gt;
 &lt;www.ejournal20.com&gt; 
 &lt;www.nlr.ru/tus/20100921/rus/prog.doc&gt; 
 &lt;http://www.trinitas.ru/rus/doc/0203/001a/02031046.htm&gt;")</f>
        <v>&lt;https://books.google.bg/books?isbn=5457722465&gt;
 &lt;www.ejournal20.com&gt; 
 &lt;www.nlr.ru/tus/20100921/rus/prog.doc&gt; 
 &lt;http://www.trinitas.ru/rus/doc/0203/001a/02031046.htm&gt;</v>
      </c>
      <c r="G42" s="10"/>
      <c r="H42" s="10"/>
      <c r="I42" s="10"/>
      <c r="J42" s="10"/>
      <c r="K42" s="10"/>
      <c r="L42" s="10"/>
      <c r="M42" s="10"/>
      <c r="N42" s="10"/>
      <c r="O42" s="10"/>
      <c r="P42" s="10"/>
      <c r="Q42" s="10"/>
      <c r="R42" s="10"/>
      <c r="S42" s="10"/>
      <c r="T42" s="10"/>
      <c r="U42" s="10"/>
      <c r="V42" s="10"/>
      <c r="W42" s="10"/>
      <c r="X42" s="10"/>
      <c r="Y42" s="10"/>
      <c r="Z42" s="10"/>
    </row>
    <row r="43" spans="1:26" ht="12.75">
      <c r="A43" s="10" t="str">
        <f ca="1">IFERROR(__xludf.DUMMYFUNCTION("""COMPUTED_VALUE"""),"Александра Венкова Куманова")</f>
        <v>Александра Венкова Куманова</v>
      </c>
      <c r="B43" s="10" t="str">
        <f ca="1">IFERROR(__xludf.DUMMYFUNCTION("""COMPUTED_VALUE"""),"Статия в списания и поредици")</f>
        <v>Статия в списания и поредици</v>
      </c>
      <c r="C43" s="10" t="str">
        <f ca="1">IFERROR(__xludf.DUMMYFUNCTION("""COMPUTED_VALUE"""),"Разработка на предметен пермутационен показалец на български, руски и английски език към публикациите на международния научен сборник „GLORIA BIBLIOSPHERAE”")</f>
        <v>Разработка на предметен пермутационен показалец на български, руски и английски език към публикациите на международния научен сборник „GLORIA BIBLIOSPHERAE”</v>
      </c>
      <c r="D43" s="10">
        <f ca="1">IFERROR(__xludf.DUMMYFUNCTION("""COMPUTED_VALUE"""),2018)</f>
        <v>2018</v>
      </c>
      <c r="E43" s="10" t="str">
        <f ca="1">IFERROR(__xludf.DUMMYFUNCTION("""COMPUTED_VALUE"""),"Тр. на Студентското научно общество при УниБИТ (София). – ISSN 1314-2526. – Т. ХІІІ, 2018, с. 521-567.")</f>
        <v>Тр. на Студентското научно общество при УниБИТ (София). – ISSN 1314-2526. – Т. ХІІІ, 2018, с. 521-567.</v>
      </c>
      <c r="F43" s="10"/>
      <c r="G43" s="10" t="str">
        <f ca="1">IFERROR(__xludf.DUMMYFUNCTION("""COMPUTED_VALUE"""),"Николай Василев, Марта Бояджиева")</f>
        <v>Николай Василев, Марта Бояджиева</v>
      </c>
      <c r="H43" s="10"/>
      <c r="I43" s="10"/>
      <c r="J43" s="10"/>
      <c r="K43" s="10"/>
      <c r="L43" s="10"/>
      <c r="M43" s="10"/>
      <c r="N43" s="10"/>
      <c r="O43" s="10"/>
      <c r="P43" s="10"/>
      <c r="Q43" s="10"/>
      <c r="R43" s="10"/>
      <c r="S43" s="10"/>
      <c r="T43" s="10"/>
      <c r="U43" s="10"/>
      <c r="V43" s="10"/>
      <c r="W43" s="10"/>
      <c r="X43" s="10"/>
      <c r="Y43" s="10"/>
      <c r="Z43" s="10"/>
    </row>
    <row r="44" spans="1:26" ht="12.75">
      <c r="A44" s="10" t="str">
        <f ca="1">IFERROR(__xludf.DUMMYFUNCTION("""COMPUTED_VALUE"""),"Александра Венкова Куманова")</f>
        <v>Александра Венкова Куманова</v>
      </c>
      <c r="B44" s="10" t="str">
        <f ca="1">IFERROR(__xludf.DUMMYFUNCTION("""COMPUTED_VALUE"""),"Доклад от конференция")</f>
        <v>Доклад от конференция</v>
      </c>
      <c r="C44" s="10" t="str">
        <f ca="1">IFERROR(__xludf.DUMMYFUNCTION("""COMPUTED_VALUE"""),"Методология на информационната решетка (сито – Т. Боров; ретикула – А. Любишчев; ризома – Ж. Дельоз, Ф. Гуатари; фрейм – М. Мински; стълба – У. Еко) на дисциплините „Академично писане” и „Методика на научните изследвания”, преподавани в Университета по би"&amp;"блиотекознание и информационни технологии – интелектуална онтологична база на единственото в България Студентско научно общество (СНО) при университета")</f>
        <v>Методология на информационната решетка (сито – Т. Боров; ретикула – А. Любишчев; ризома – Ж. Дельоз, Ф. Гуатари; фрейм – М. Мински; стълба – У. Еко) на дисциплините „Академично писане” и „Методика на научните изследвания”, преподавани в Университета по библиотекознание и информационни технологии – интелектуална онтологична база на единственото в България Студентско научно общество (СНО) при университета</v>
      </c>
      <c r="D44" s="10">
        <f ca="1">IFERROR(__xludf.DUMMYFUNCTION("""COMPUTED_VALUE"""),2018)</f>
        <v>2018</v>
      </c>
      <c r="E44" s="10" t="str">
        <f ca="1">IFERROR(__xludf.DUMMYFUNCTION("""COMPUTED_VALUE"""),"Антиплагиатство и академизъм – проблеми и решения : Нац. форум с междунар. участие / Соф. унив. „Св. Климент Охридски” (Аула) – София, 6.11.2018. // &lt;https://goo.gl/forms/tazF6W0tj1AZ1wTZ2&gt; &lt;https://acadcloud.uni-sofia.bg/index.php/s/24P1fszmNw5jJvS&gt;. – 1"&amp;"5 с. – Рез. на англ. ез.")</f>
        <v>Антиплагиатство и академизъм – проблеми и решения : Нац. форум с междунар. участие / Соф. унив. „Св. Климент Охридски” (Аула) – София, 6.11.2018. // &lt;https://goo.gl/forms/tazF6W0tj1AZ1wTZ2&gt; &lt;https://acadcloud.uni-sofia.bg/index.php/s/24P1fszmNw5jJvS&gt;. – 15 с. – Рез. на англ. ез.</v>
      </c>
      <c r="F44" s="10"/>
      <c r="G44" s="10" t="str">
        <f ca="1">IFERROR(__xludf.DUMMYFUNCTION("""COMPUTED_VALUE"""),"Николай Василев")</f>
        <v>Николай Василев</v>
      </c>
      <c r="H44" s="10"/>
      <c r="I44" s="10"/>
      <c r="J44" s="10"/>
      <c r="K44" s="10"/>
      <c r="L44" s="10"/>
      <c r="M44" s="10"/>
      <c r="N44" s="10"/>
      <c r="O44" s="10"/>
      <c r="P44" s="10"/>
      <c r="Q44" s="10"/>
      <c r="R44" s="10"/>
      <c r="S44" s="10"/>
      <c r="T44" s="10"/>
      <c r="U44" s="10"/>
      <c r="V44" s="10"/>
      <c r="W44" s="10"/>
      <c r="X44" s="10"/>
      <c r="Y44" s="10"/>
      <c r="Z44" s="10"/>
    </row>
    <row r="45" spans="1:26" ht="12.75">
      <c r="A45" s="10" t="str">
        <f ca="1">IFERROR(__xludf.DUMMYFUNCTION("""COMPUTED_VALUE"""),"Александра Венкова Куманова")</f>
        <v>Александра Венкова Куманова</v>
      </c>
      <c r="B45" s="10" t="str">
        <f ca="1">IFERROR(__xludf.DUMMYFUNCTION("""COMPUTED_VALUE"""),"Учебно пособие")</f>
        <v>Учебно пособие</v>
      </c>
      <c r="C45" s="10" t="str">
        <f ca="1">IFERROR(__xludf.DUMMYFUNCTION("""COMPUTED_VALUE"""),"Модел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Систематично-хроноло"&amp;"г.-азб. автобиобиблиогр. списък на тр. [4038 ном. назв.]")</f>
        <v>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Систематично-хронолог.-азб. автобиобиблиогр. списък на тр. [4038 ном. назв.]</v>
      </c>
      <c r="D45" s="10">
        <f ca="1">IFERROR(__xludf.DUMMYFUNCTION("""COMPUTED_VALUE"""),2018)</f>
        <v>2018</v>
      </c>
      <c r="E45" s="10" t="str">
        <f ca="1">IFERROR(__xludf.DUMMYFUNCTION("""COMPUTED_VALUE"""),"София : За буквите – О писменехь, 2018. – 1040 с. : портр, сх. – (Факлоносци ; ХХІV), Е ISBN 978-619-185-311-3")</f>
        <v>София : За буквите – О писменехь, 2018. – 1040 с. : портр, сх. – (Факлоносци ; ХХІV), Е ISBN 978-619-185-311-3</v>
      </c>
      <c r="F45" s="10" t="str">
        <f ca="1">IFERROR(__xludf.DUMMYFUNCTION("""COMPUTED_VALUE"""),"Cobiss")</f>
        <v>Cobiss</v>
      </c>
      <c r="G45" s="10"/>
      <c r="H45" s="10"/>
      <c r="I45" s="10"/>
      <c r="J45" s="10"/>
      <c r="K45" s="10"/>
      <c r="L45" s="10"/>
      <c r="M45" s="10"/>
      <c r="N45" s="10"/>
      <c r="O45" s="10"/>
      <c r="P45" s="10"/>
      <c r="Q45" s="10"/>
      <c r="R45" s="10"/>
      <c r="S45" s="10"/>
      <c r="T45" s="10"/>
      <c r="U45" s="10"/>
      <c r="V45" s="10"/>
      <c r="W45" s="10"/>
      <c r="X45" s="10"/>
      <c r="Y45" s="10"/>
      <c r="Z45" s="10"/>
    </row>
    <row r="46" spans="1:26" ht="12.75">
      <c r="A46" s="10" t="str">
        <f ca="1">IFERROR(__xludf.DUMMYFUNCTION("""COMPUTED_VALUE"""),"Александра Венкова Куманова")</f>
        <v>Александра Венкова Куманова</v>
      </c>
      <c r="B46" s="10" t="str">
        <f ca="1">IFERROR(__xludf.DUMMYFUNCTION("""COMPUTED_VALUE"""),"Доклад от конференция")</f>
        <v>Доклад от конференция</v>
      </c>
      <c r="C46" s="10" t="str">
        <f ca="1">IFERROR(__xludf.DUMMYFUNCTION("""COMPUTED_VALUE"""),"Интердисциплинарно позициониране на практическата ориентация на симбиозата на педагогиката на учебния и научноизследователския процес на студенти с говорно-езикова патология и дисграфия (Към въпроса за решаването на проблемите)")</f>
        <v>Интердисциплинарно позициониране на практическата ориентация на симбиозата на педагогиката на учебния и научноизследователския процес на студенти с говорно-езикова патология и дисграфия (Към въпроса за решаването на проблемите)</v>
      </c>
      <c r="D46" s="10">
        <f ca="1">IFERROR(__xludf.DUMMYFUNCTION("""COMPUTED_VALUE"""),2018)</f>
        <v>2018</v>
      </c>
      <c r="E46" s="10" t="str">
        <f ca="1">IFERROR(__xludf.DUMMYFUNCTION("""COMPUTED_VALUE"""),"Хармония в различията : Сб. с докл. от [Пета] науч. конф. „Хармония в различията” (София, 10.12.2018 г.) / Състав. Ж. Назърска, С. Шапкалова. – София, 2018. – ISSN 2367-7899. – с. 433-439. – Рез. на англ. ез.")</f>
        <v>Хармония в различията : Сб. с докл. от [Пета] науч. конф. „Хармония в различията” (София, 10.12.2018 г.) / Състав. Ж. Назърска, С. Шапкалова. – София, 2018. – ISSN 2367-7899. – с. 433-439. – Рез. на англ. ез.</v>
      </c>
      <c r="F46" s="10"/>
      <c r="G46" s="10" t="str">
        <f ca="1">IFERROR(__xludf.DUMMYFUNCTION("""COMPUTED_VALUE"""),"Николай Василев")</f>
        <v>Николай Василев</v>
      </c>
      <c r="H46" s="10"/>
      <c r="I46" s="10"/>
      <c r="J46" s="10"/>
      <c r="K46" s="10"/>
      <c r="L46" s="10"/>
      <c r="M46" s="10"/>
      <c r="N46" s="10"/>
      <c r="O46" s="10"/>
      <c r="P46" s="10"/>
      <c r="Q46" s="10"/>
      <c r="R46" s="10"/>
      <c r="S46" s="10"/>
      <c r="T46" s="10"/>
      <c r="U46" s="10"/>
      <c r="V46" s="10"/>
      <c r="W46" s="10"/>
      <c r="X46" s="10"/>
      <c r="Y46" s="10"/>
      <c r="Z46" s="10"/>
    </row>
    <row r="47" spans="1:26" ht="12.75">
      <c r="A47" s="10" t="str">
        <f ca="1">IFERROR(__xludf.DUMMYFUNCTION("""COMPUTED_VALUE"""),"Александра Венкова Куманова")</f>
        <v>Александра Венкова Куманова</v>
      </c>
      <c r="B47" s="10" t="str">
        <f ca="1">IFERROR(__xludf.DUMMYFUNCTION("""COMPUTED_VALUE"""),"Статия в списания и поредици")</f>
        <v>Статия в списания и поредици</v>
      </c>
      <c r="C47" s="10" t="str">
        <f ca="1">IFERROR(__xludf.DUMMYFUNCTION("""COMPUTED_VALUE"""),"К проблеме антологизма в болгарской литературе (1910-2018 гг.) : историографо-библиографический дискурс")</f>
        <v>К проблеме антологизма в болгарской литературе (1910-2018 гг.) : историографо-библиографический дискурс</v>
      </c>
      <c r="D47" s="10">
        <f ca="1">IFERROR(__xludf.DUMMYFUNCTION("""COMPUTED_VALUE"""),2018)</f>
        <v>2018</v>
      </c>
      <c r="E47" s="10" t="str">
        <f ca="1">IFERROR(__xludf.DUMMYFUNCTION("""COMPUTED_VALUE"""),"Музей – памятник – наследие : Междунар. науч. журнал / ICOM [Int. counc. of museums] (Москва). – ISSN 2523–5109 (online version). – 2018, N 2 (4), с. 112-126. – Библиогр.: 41 нум. ед. на болг. и рус. яз., которые даны и в англ. транслитерации. – Рез. на р"&amp;"ус. и англ. яз.")</f>
        <v>Музей – памятник – наследие : Междунар. науч. журнал / ICOM [Int. counc. of museums] (Москва). – ISSN 2523–5109 (online version). – 2018, N 2 (4), с. 112-126. – Библиогр.: 41 нум. ед. на болг. и рус. яз., которые даны и в англ. транслитерации. – Рез. на рус. и англ. яз.</v>
      </c>
      <c r="F47" s="10" t="str">
        <f ca="1">IFERROR(__xludf.DUMMYFUNCTION("""COMPUTED_VALUE"""),"&lt;www.museumstudy.ru/mmh-journal&gt; 
 &lt;https://scholar.google.com/scholar?hl=bg&amp;as_sdt=0%2C5&amp;q=Kumanova%2C+Alexandra&amp;btnG=&amp;oq=alexa&gt;")</f>
        <v>&lt;www.museumstudy.ru/mmh-journal&gt; 
 &lt;https://scholar.google.com/scholar?hl=bg&amp;as_sdt=0%2C5&amp;q=Kumanova%2C+Alexandra&amp;btnG=&amp;oq=alexa&gt;</v>
      </c>
      <c r="G47" s="10" t="str">
        <f ca="1">IFERROR(__xludf.DUMMYFUNCTION("""COMPUTED_VALUE"""),"Николай Василев, Никола Казански")</f>
        <v>Николай Василев, Никола Казански</v>
      </c>
      <c r="H47" s="10"/>
      <c r="I47" s="10"/>
      <c r="J47" s="10"/>
      <c r="K47" s="10"/>
      <c r="L47" s="10"/>
      <c r="M47" s="10"/>
      <c r="N47" s="10"/>
      <c r="O47" s="10"/>
      <c r="P47" s="10"/>
      <c r="Q47" s="10"/>
      <c r="R47" s="10"/>
      <c r="S47" s="10"/>
      <c r="T47" s="10"/>
      <c r="U47" s="10"/>
      <c r="V47" s="10"/>
      <c r="W47" s="10"/>
      <c r="X47" s="10"/>
      <c r="Y47" s="10"/>
      <c r="Z47" s="10"/>
    </row>
    <row r="48" spans="1:26" ht="12.75">
      <c r="A48" s="10" t="str">
        <f ca="1">IFERROR(__xludf.DUMMYFUNCTION("""COMPUTED_VALUE"""),"Александра Венкова Куманова")</f>
        <v>Александра Венкова Куманова</v>
      </c>
      <c r="B48" s="10" t="str">
        <f ca="1">IFERROR(__xludf.DUMMYFUNCTION("""COMPUTED_VALUE"""),"Статия в списания и поредици")</f>
        <v>Статия в списания и поредици</v>
      </c>
      <c r="C48" s="10" t="str">
        <f ca="1">IFERROR(__xludf.DUMMYFUNCTION("""COMPUTED_VALUE"""),"Tabula gratulatorum [ХІІІ]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2005-2017 (NN 1-2141)")</f>
        <v>Tabula gratulatorum [ХІІІ]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2005-2017 (NN 1-2141)</v>
      </c>
      <c r="D48" s="10">
        <f ca="1">IFERROR(__xludf.DUMMYFUNCTION("""COMPUTED_VALUE"""),2018)</f>
        <v>2018</v>
      </c>
      <c r="E48" s="10" t="str">
        <f ca="1">IFERROR(__xludf.DUMMYFUNCTION("""COMPUTED_VALUE"""),"Тр. на Студентското науч. о-во при Унив. по библиотекознание и информ. технолог. (София). – ISSN 1314-2526. – Т. 13, 2018, с. 7-163 : 2141 номерирани назв. – Други състав.: Н. Василев, И. Камбурова. – Именен показалец.")</f>
        <v>Тр. на Студентското науч. о-во при Унив. по библиотекознание и информ. технолог. (София). – ISSN 1314-2526. – Т. 13, 2018, с. 7-163 : 2141 номерирани назв. – Други състав.: Н. Василев, И. Камбурова. – Именен показалец.</v>
      </c>
      <c r="F48" s="10"/>
      <c r="G48" s="10" t="str">
        <f ca="1">IFERROR(__xludf.DUMMYFUNCTION("""COMPUTED_VALUE"""),"Николай Василев, Илияна Камбурова")</f>
        <v>Николай Василев, Илияна Камбурова</v>
      </c>
      <c r="H48" s="10"/>
      <c r="I48" s="10"/>
      <c r="J48" s="10"/>
      <c r="K48" s="10"/>
      <c r="L48" s="10"/>
      <c r="M48" s="10"/>
      <c r="N48" s="10"/>
      <c r="O48" s="10"/>
      <c r="P48" s="10"/>
      <c r="Q48" s="10"/>
      <c r="R48" s="10"/>
      <c r="S48" s="10"/>
      <c r="T48" s="10"/>
      <c r="U48" s="10"/>
      <c r="V48" s="10"/>
      <c r="W48" s="10"/>
      <c r="X48" s="10"/>
      <c r="Y48" s="10"/>
      <c r="Z48" s="10"/>
    </row>
    <row r="49" spans="1:26" ht="12.75">
      <c r="A49" s="10" t="str">
        <f ca="1">IFERROR(__xludf.DUMMYFUNCTION("""COMPUTED_VALUE"""),"Александра Венкова Куманова")</f>
        <v>Александра Венкова Куманова</v>
      </c>
      <c r="B49" s="10" t="str">
        <f ca="1">IFERROR(__xludf.DUMMYFUNCTION("""COMPUTED_VALUE"""),"Учебно пособие")</f>
        <v>Учебно пособие</v>
      </c>
      <c r="C49" s="10" t="str">
        <f ca="1">IFERROR(__xludf.DUMMYFUNCTION("""COMPUTED_VALUE"""),"GENERATIO SPONTANEA : Synoptic table of the World universal bibliography from 3RD c. BC to 21st c. : An atlas – electronic library „Universalica” (Model of the secondary-documental framework of the biblio-info-noosphere) : Textbook-compendium of General B"&amp;"ibliography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библиографов"&amp;"едению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библиог"&amp;"рафознание")</f>
        <v>GENERATIO SPONTANEA : Synoptic table of the World universal bibliography from 3RD c. BC to 21st c. : An atlas – electronic library „Universalica” (Model of the secondary-documental framework of the biblio-info-noosphere) : Textbook-compendium of General Bibliography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библиографознание</v>
      </c>
      <c r="D49" s="10">
        <f ca="1">IFERROR(__xludf.DUMMYFUNCTION("""COMPUTED_VALUE"""),2018)</f>
        <v>2018</v>
      </c>
      <c r="E49" s="10" t="str">
        <f ca="1">IFERROR(__xludf.DUMMYFUNCTION("""COMPUTED_VALUE"""),"Sofia : About letters – O pismeneh, 2018. – 232 p. : with ill. – (Torchbearers ; ХХV) ISBN 978-619-185-321-2 ISBN 978-619-185-322-9 Е ISBN 978-619-185-323-6")</f>
        <v>Sofia : About letters – O pismeneh, 2018. – 232 p. : with ill. – (Torchbearers ; ХХV) ISBN 978-619-185-321-2 ISBN 978-619-185-322-9 Е ISBN 978-619-185-323-6</v>
      </c>
      <c r="F49" s="10" t="str">
        <f ca="1">IFERROR(__xludf.DUMMYFUNCTION("""COMPUTED_VALUE"""),"Публ.: &lt;http://www.sno.unibit.bg&gt; 
 &lt;https://vk.com/bif_club_1?w=wall-17854653_4163&gt; 
 &lt;https://vk.com/album-17854653_222619546&gt; 
 &lt;http://www.ilit.bas.bg/bg/&gt; 
 &lt;http://www.ilit.bas.bg/bg/structure/library.html&gt; 
 &lt;http://www.ilit.bas.bg/bg/mission/konta"&amp;"kti.html&gt; 
 &lt;https://www.academia.edu/37220885/AK-Syn-Tabl-World-Universal-Bibliogr-2018.pdf&gt; &lt;https://www.researchgate.net/publication/326983409_GENERATIO_SPONTANEA&gt; &lt;https://wetransfer.com/downloads/30355da19b5d04f4439f1379006674bc20181004200213/11e5a2c"&amp;"dee2c136db4e4c09eeb5d277420181004200213/0fcde4")</f>
        <v>Публ.: &lt;http://www.sno.unibit.bg&gt; 
 &lt;https://vk.com/bif_club_1?w=wall-17854653_4163&gt; 
 &lt;https://vk.com/album-17854653_222619546&gt; 
 &lt;http://www.ilit.bas.bg/bg/&gt; 
 &lt;http://www.ilit.bas.bg/bg/structure/library.html&gt; 
 &lt;http://www.ilit.bas.bg/bg/mission/kontakti.html&gt; 
 &lt;https://www.academia.edu/37220885/AK-Syn-Tabl-World-Universal-Bibliogr-2018.pdf&gt; &lt;https://www.researchgate.net/publication/326983409_GENERATIO_SPONTANEA&gt; &lt;https://wetransfer.com/downloads/30355da19b5d04f4439f1379006674bc20181004200213/11e5a2cdee2c136db4e4c09eeb5d277420181004200213/0fcde4</v>
      </c>
      <c r="G49" s="10" t="str">
        <f ca="1">IFERROR(__xludf.DUMMYFUNCTION("""COMPUTED_VALUE"""),"Comp., bibliogr., preface A. Kumanova Sci. ed. S. Denchev Gen. ed. N. Vasilev")</f>
        <v>Comp., bibliogr., preface A. Kumanova Sci. ed. S. Denchev Gen. ed. N. Vasilev</v>
      </c>
      <c r="H49" s="10"/>
      <c r="I49" s="10"/>
      <c r="J49" s="10"/>
      <c r="K49" s="10"/>
      <c r="L49" s="10"/>
      <c r="M49" s="10"/>
      <c r="N49" s="10"/>
      <c r="O49" s="10"/>
      <c r="P49" s="10"/>
      <c r="Q49" s="10"/>
      <c r="R49" s="10"/>
      <c r="S49" s="10"/>
      <c r="T49" s="10"/>
      <c r="U49" s="10"/>
      <c r="V49" s="10"/>
      <c r="W49" s="10"/>
      <c r="X49" s="10"/>
      <c r="Y49" s="10"/>
      <c r="Z49" s="10"/>
    </row>
    <row r="50" spans="1:26" ht="12.75">
      <c r="A50" s="10" t="str">
        <f ca="1">IFERROR(__xludf.DUMMYFUNCTION("""COMPUTED_VALUE"""),"Александра Венкова Куманова")</f>
        <v>Александра Венкова Куманова</v>
      </c>
      <c r="B50" s="10" t="str">
        <f ca="1">IFERROR(__xludf.DUMMYFUNCTION("""COMPUTED_VALUE"""),"Статия в списания и поредици")</f>
        <v>Статия в списания и поредици</v>
      </c>
      <c r="C50" s="10" t="str">
        <f ca="1">IFERROR(__xludf.DUMMYFUNCTION("""COMPUTED_VALUE"""),"Expedition in Vottovaara – Karelia and Arkaim – the Urals : Centres of the Proto-European Civilization in Russia (Proto-Aryans and Proto-Slavs) (Cultural and phenomenological decoding of the mythological, historical and linguistic approach).")</f>
        <v>Expedition in Vottovaara – Karelia and Arkaim – the Urals : Centres of the Proto-European Civilization in Russia (Proto-Aryans and Proto-Slavs) (Cultural and phenomenological decoding of the mythological, historical and linguistic approach).</v>
      </c>
      <c r="D50" s="10">
        <f ca="1">IFERROR(__xludf.DUMMYFUNCTION("""COMPUTED_VALUE"""),2018)</f>
        <v>2018</v>
      </c>
      <c r="E50" s="10" t="str">
        <f ca="1">IFERROR(__xludf.DUMMYFUNCTION("""COMPUTED_VALUE"""),"Ancient Iranian Cultural &amp; Religious Research &amp; Development Center / Zoroastr. Soc. of British Columbia (Burnaby, British Columbia, Canada). – Burnaby, British Columbia, Canada. – 9.08.2018. – 19 p. : 33 Ill.")</f>
        <v>Ancient Iranian Cultural &amp; Religious Research &amp; Development Center / Zoroastr. Soc. of British Columbia (Burnaby, British Columbia, Canada). – Burnaby, British Columbia, Canada. – 9.08.2018. – 19 p. : 33 Ill.</v>
      </c>
      <c r="F50" s="10" t="str">
        <f ca="1">IFERROR(__xludf.DUMMYFUNCTION("""COMPUTED_VALUE"""),"&lt;http://ahura.homestead.com&gt; &lt;http://www.ancientiran.com&gt; &lt;http://ahura.homestead.com/English.html&gt; &lt;http://zarathushticalendar.com/&gt;.")</f>
        <v>&lt;http://ahura.homestead.com&gt; &lt;http://www.ancientiran.com&gt; &lt;http://ahura.homestead.com/English.html&gt; &lt;http://zarathushticalendar.com/&gt;.</v>
      </c>
      <c r="G50" s="10" t="str">
        <f ca="1">IFERROR(__xludf.DUMMYFUNCTION("""COMPUTED_VALUE"""),"S. Denchev. N. Kazanski, N. Vasilev")</f>
        <v>S. Denchev. N. Kazanski, N. Vasilev</v>
      </c>
      <c r="H50" s="10"/>
      <c r="I50" s="10"/>
      <c r="J50" s="10"/>
      <c r="K50" s="10"/>
      <c r="L50" s="10"/>
      <c r="M50" s="10"/>
      <c r="N50" s="10"/>
      <c r="O50" s="10"/>
      <c r="P50" s="10"/>
      <c r="Q50" s="10"/>
      <c r="R50" s="10"/>
      <c r="S50" s="10"/>
      <c r="T50" s="10"/>
      <c r="U50" s="10"/>
      <c r="V50" s="10"/>
      <c r="W50" s="10"/>
      <c r="X50" s="10"/>
      <c r="Y50" s="10"/>
      <c r="Z50" s="10"/>
    </row>
    <row r="51" spans="1:26" ht="12.75">
      <c r="A51" s="10" t="str">
        <f ca="1">IFERROR(__xludf.DUMMYFUNCTION("""COMPUTED_VALUE"""),"Александра Венкова Куманова")</f>
        <v>Александра Венкова Куманова</v>
      </c>
      <c r="B51" s="10" t="str">
        <f ca="1">IFERROR(__xludf.DUMMYFUNCTION("""COMPUTED_VALUE"""),"Книга")</f>
        <v>Книга</v>
      </c>
      <c r="C51" s="10" t="str">
        <f ca="1">IFERROR(__xludf.DUMMYFUNCTION("""COMPUTED_VALUE"""),"Златна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f>
        <v>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v>
      </c>
      <c r="D51" s="10">
        <f ca="1">IFERROR(__xludf.DUMMYFUNCTION("""COMPUTED_VALUE"""),2018)</f>
        <v>2018</v>
      </c>
      <c r="E51" s="10" t="str">
        <f ca="1">IFERROR(__xludf.DUMMYFUNCTION("""COMPUTED_VALUE"""),"Ново ел. изд. София : За буквите – О писменехь, 2018. – 840, CCXXVIII с. : с ил. – (Факлоносци ; ХХІІІ) Е ISBN 978-619-185-313-7")</f>
        <v>Ново ел. изд. София : За буквите – О писменехь, 2018. – 840, CCXXVIII с. : с ил. – (Факлоносци ; ХХІІІ) Е ISBN 978-619-185-313-7</v>
      </c>
      <c r="F51" s="10" t="str">
        <f ca="1">IFERROR(__xludf.DUMMYFUNCTION("""COMPUTED_VALUE"""),"Публ.: &lt;http://www.sno.unibit.bg&gt; 
 &lt;http://www.ilit.bas.bg/bg/&gt; 
 &lt;http://www.ilit.bas.bg/bg/structure/library.html&gt; 
 &lt;http://www.ilit.bas.bg/bg/mission/kontakti.html&gt;")</f>
        <v>Публ.: &lt;http://www.sno.unibit.bg&gt; 
 &lt;http://www.ilit.bas.bg/bg/&gt; 
 &lt;http://www.ilit.bas.bg/bg/structure/library.html&gt; 
 &lt;http://www.ilit.bas.bg/bg/mission/kontakti.html&gt;</v>
      </c>
      <c r="G51" s="10" t="str">
        <f ca="1">IFERROR(__xludf.DUMMYFUNCTION("""COMPUTED_VALUE"""),"Състав., послесл. Н. Василев")</f>
        <v>Състав., послесл. Н. Василев</v>
      </c>
      <c r="H51" s="10"/>
      <c r="I51" s="10"/>
      <c r="J51" s="10"/>
      <c r="K51" s="10"/>
      <c r="L51" s="10"/>
      <c r="M51" s="10"/>
      <c r="N51" s="10"/>
      <c r="O51" s="10"/>
      <c r="P51" s="10"/>
      <c r="Q51" s="10"/>
      <c r="R51" s="10"/>
      <c r="S51" s="10"/>
      <c r="T51" s="10"/>
      <c r="U51" s="10"/>
      <c r="V51" s="10"/>
      <c r="W51" s="10"/>
      <c r="X51" s="10"/>
      <c r="Y51" s="10"/>
      <c r="Z51" s="10"/>
    </row>
    <row r="52" spans="1:26" ht="12.75">
      <c r="A52" s="10" t="str">
        <f ca="1">IFERROR(__xludf.DUMMYFUNCTION("""COMPUTED_VALUE"""),"Александра Венкова Куманова")</f>
        <v>Александра Венкова Куманова</v>
      </c>
      <c r="B52" s="10" t="str">
        <f ca="1">IFERROR(__xludf.DUMMYFUNCTION("""COMPUTED_VALUE"""),"Доклад от конференция")</f>
        <v>Доклад от конференция</v>
      </c>
      <c r="C52" s="10" t="str">
        <f ca="1">IFERROR(__xludf.DUMMYFUNCTION("""COMPUTED_VALUE"""),"Феноменологично обобщение на форума – избор (запис на диалога между ръководителите на Студентското научно общество при УниБИТ проф. д.п.н. Александра Куманова и ас. д-р Николай Василев, направен по време на обсъждане на даваните от студентите определения "&amp;"и проведен пред студентите на университета на 28.04.2017 г.)")</f>
        <v>Феноменологично обобщение на форума – избор (запис на диалога между ръководителите на Студентското научно общество при УниБИТ проф. д.п.н. Александра Куманова и ас. д-р Николай Василев, направен по време на обсъждане на даваните от студентите определения и проведен пред студентите на университета на 28.04.2017 г.)</v>
      </c>
      <c r="D52" s="10">
        <f ca="1">IFERROR(__xludf.DUMMYFUNCTION("""COMPUTED_VALUE"""),2018)</f>
        <v>2018</v>
      </c>
      <c r="E52" s="10" t="str">
        <f ca="1">IFERROR(__xludf.DUMMYFUNCTION("""COMPUTED_VALUE"""),"Тр. на Студентското науч. о-во при Унив. по библиотекознание и информ. технолог. (София). – ISSN 1314-2526. – Т. 13, 2018, с. 247-248.")</f>
        <v>Тр. на Студентското науч. о-во при Унив. по библиотекознание и информ. технолог. (София). – ISSN 1314-2526. – Т. 13, 2018, с. 247-248.</v>
      </c>
      <c r="F52" s="10" t="str">
        <f ca="1">IFERROR(__xludf.DUMMYFUNCTION("""COMPUTED_VALUE"""),"Публ. &lt;http://www.unibit.bg&gt;")</f>
        <v>Публ. &lt;http://www.unibit.bg&gt;</v>
      </c>
      <c r="G52" s="10" t="str">
        <f ca="1">IFERROR(__xludf.DUMMYFUNCTION("""COMPUTED_VALUE"""),"Н. Василев")</f>
        <v>Н. Василев</v>
      </c>
      <c r="H52" s="10"/>
      <c r="I52" s="10"/>
      <c r="J52" s="10"/>
      <c r="K52" s="10"/>
      <c r="L52" s="10"/>
      <c r="M52" s="10"/>
      <c r="N52" s="10"/>
      <c r="O52" s="10"/>
      <c r="P52" s="10"/>
      <c r="Q52" s="10"/>
      <c r="R52" s="10"/>
      <c r="S52" s="10"/>
      <c r="T52" s="10"/>
      <c r="U52" s="10"/>
      <c r="V52" s="10"/>
      <c r="W52" s="10"/>
      <c r="X52" s="10"/>
      <c r="Y52" s="10"/>
      <c r="Z52" s="10"/>
    </row>
    <row r="53" spans="1:26" ht="12.75">
      <c r="A53" s="10" t="str">
        <f ca="1">IFERROR(__xludf.DUMMYFUNCTION("""COMPUTED_VALUE"""),"Александра Венкова Куманова")</f>
        <v>Александра Венкова Куманова</v>
      </c>
      <c r="B53" s="10" t="str">
        <f ca="1">IFERROR(__xludf.DUMMYFUNCTION("""COMPUTED_VALUE"""),"Статия в списания и поредици")</f>
        <v>Статия в списания и поредици</v>
      </c>
      <c r="C53" s="10" t="str">
        <f ca="1">IFERROR(__xludf.DUMMYFUNCTION("""COMPUTED_VALUE"""),"Професор Тодор Боров или сито за информацията (Към въпроса за националния пантеон на Духа на България)")</f>
        <v>Професор Тодор Боров или сито за информацията (Към въпроса за националния пантеон на Духа на България)</v>
      </c>
      <c r="D53" s="10">
        <f ca="1">IFERROR(__xludf.DUMMYFUNCTION("""COMPUTED_VALUE"""),2018)</f>
        <v>2018</v>
      </c>
      <c r="E53" s="10" t="str">
        <f ca="1">IFERROR(__xludf.DUMMYFUNCTION("""COMPUTED_VALUE"""),"Библиотека (София). – ISSN 0861-847X. – 2018, N 6, с. 12-37 : с ил. (Репрод. от фотоархивн. колекция на М. К. и А. К.: Странстващият пастир / Борис Георгиев ; фотопортр. на акад. Н. Михов и проф. Т. Боров). – Библиогр.: 78 библиогр. ед. в 30 ном. бел. – Р"&amp;"ез. на англ. ез.")</f>
        <v>Библиотека (София). – ISSN 0861-847X. – 2018, N 6, с. 12-37 : с ил. (Репрод. от фотоархивн. колекция на М. К. и А. К.: Странстващият пастир / Борис Георгиев ; фотопортр. на акад. Н. Михов и проф. Т. Боров). – Библиогр.: 78 библиогр. ед. в 30 ном. бел. – Рез. на англ. ез.</v>
      </c>
      <c r="F53" s="10" t="str">
        <f ca="1">IFERROR(__xludf.DUMMYFUNCTION("""COMPUTED_VALUE"""),"Cobiss")</f>
        <v>Cobiss</v>
      </c>
      <c r="G53" s="10"/>
      <c r="H53" s="10"/>
      <c r="I53" s="10"/>
      <c r="J53" s="10"/>
      <c r="K53" s="10"/>
      <c r="L53" s="10"/>
      <c r="M53" s="10"/>
      <c r="N53" s="10"/>
      <c r="O53" s="10"/>
      <c r="P53" s="10"/>
      <c r="Q53" s="10"/>
      <c r="R53" s="10"/>
      <c r="S53" s="10"/>
      <c r="T53" s="10"/>
      <c r="U53" s="10"/>
      <c r="V53" s="10"/>
      <c r="W53" s="10"/>
      <c r="X53" s="10"/>
      <c r="Y53" s="10"/>
      <c r="Z53" s="10"/>
    </row>
    <row r="54" spans="1:26" ht="12.75">
      <c r="A54" s="10" t="str">
        <f ca="1">IFERROR(__xludf.DUMMYFUNCTION("""COMPUTED_VALUE"""),"Александра Венкова Куманова")</f>
        <v>Александра Венкова Куманова</v>
      </c>
      <c r="B54" s="10" t="str">
        <f ca="1">IFERROR(__xludf.DUMMYFUNCTION("""COMPUTED_VALUE"""),"Доклад от конференция")</f>
        <v>Доклад от конференция</v>
      </c>
      <c r="C54" s="10" t="str">
        <f ca="1">IFERROR(__xludf.DUMMYFUNCTION("""COMPUTED_VALUE"""),"Панорама научной школы библиосферы – инфосферы – ноосферы Болгарии в энциклопедических изданиях и многоязычных словарях")</f>
        <v>Панорама научной школы библиосферы – инфосферы – ноосферы Болгарии в энциклопедических изданиях и многоязычных словарях</v>
      </c>
      <c r="D54" s="10">
        <f ca="1">IFERROR(__xludf.DUMMYFUNCTION("""COMPUTED_VALUE"""),2018)</f>
        <v>2018</v>
      </c>
      <c r="E54" s="10" t="str">
        <f ca="1">IFERROR(__xludf.DUMMYFUNCTION("""COMPUTED_VALUE"""),"Двадцать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Крым, 16-24 июня 2018 г. [Ел. ресурс] : Материалы = Twenty-Fifth Jubilee international conferen"&amp;"ce „Crimea 2018” „Libraries and information resources in the modern world of science, culture, education, and business”, Crimea, 16-24 June, 2018 : Proceedings / Гос. публ. науч.-техн. библ. России ; М-во культуры Рос. Фед. ; Фед. агенство по печати и мас"&amp;"с. коммуникациям туризма ; М-во куультуры Респ. Крым ; Нац. библ. ассоц. „Библ. будущего” (НАББ) ; Рос. гос. библ. ; Рос. нац. библ. ; Всеросс. гос. иностр. библ. иностр. лит. им. М. И. Рудомино ; Междунар. ассоц. пользователей и разработчиков эл. библ. и"&amp;" новых информ. технолог. – Судак, 2018. – 1 оптичен диск (CD-ROM), с. 1-10. – Съавт. С. Денчев. – Библиогр.: 14 неномерирани загл. в 9 номерирани бел. – ISBN 978-5-85638-214-2. – Рез. на рус. и англ. ез.")</f>
        <v>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Крым, 16-24 июня 2018 г. [Ел. ресурс] : Материалы = Twenty-Fifth Jubilee international conference „Crimea 2018” „Libraries and information resources in the modern world of science, culture, education, and business”, Crimea, 16-24 June, 2018 : Proceedings / Гос. публ. науч.-техн. библ. России ; М-во культуры Рос. Фед. ; Фед. агенство по печати и масс. коммуникациям туризма ; М-во куультуры Респ. Крым ; Нац. библ. ассоц. „Библ. будущего” (НАББ) ; Рос. гос. библ. ; Рос. нац. библ. ; Всеросс. гос. иностр. библ. иностр. лит. им. М. И. Рудомино ; Междунар. ассоц. пользователей и разработчиков эл. библ. и новых информ. технолог. – Судак, 2018. – 1 оптичен диск (CD-ROM), с. 1-10. – Съавт. С. Денчев. – Библиогр.: 14 неномерирани загл. в 9 номерирани бел. – ISBN 978-5-85638-214-2. – Рез. на рус. и англ. ез.</v>
      </c>
      <c r="F54" s="10"/>
      <c r="G54" s="10" t="str">
        <f ca="1">IFERROR(__xludf.DUMMYFUNCTION("""COMPUTED_VALUE"""),"С. Денчев")</f>
        <v>С. Денчев</v>
      </c>
      <c r="H54" s="10"/>
      <c r="I54" s="10"/>
      <c r="J54" s="10"/>
      <c r="K54" s="10"/>
      <c r="L54" s="10"/>
      <c r="M54" s="10"/>
      <c r="N54" s="10"/>
      <c r="O54" s="10"/>
      <c r="P54" s="10"/>
      <c r="Q54" s="10"/>
      <c r="R54" s="10"/>
      <c r="S54" s="10"/>
      <c r="T54" s="10"/>
      <c r="U54" s="10"/>
      <c r="V54" s="10"/>
      <c r="W54" s="10"/>
      <c r="X54" s="10"/>
      <c r="Y54" s="10"/>
      <c r="Z54" s="10"/>
    </row>
    <row r="55" spans="1:26" ht="12.75">
      <c r="A55" s="10" t="str">
        <f ca="1">IFERROR(__xludf.DUMMYFUNCTION("""COMPUTED_VALUE"""),"Александра Венкова Куманова")</f>
        <v>Александра Венкова Куманова</v>
      </c>
      <c r="B55" s="10" t="str">
        <f ca="1">IFERROR(__xludf.DUMMYFUNCTION("""COMPUTED_VALUE"""),"Доклад от конференция")</f>
        <v>Доклад от конференция</v>
      </c>
      <c r="C55" s="10" t="str">
        <f ca="1">IFERROR(__xludf.DUMMYFUNCTION("""COMPUTED_VALUE"""),"Синоптична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f>
        <v>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v>
      </c>
      <c r="D55" s="10">
        <f ca="1">IFERROR(__xludf.DUMMYFUNCTION("""COMPUTED_VALUE"""),2018)</f>
        <v>2018</v>
      </c>
      <c r="E55" s="10" t="str">
        <f ca="1">IFERROR(__xludf.DUMMYFUNCTION("""COMPUTED_VALUE"""),"Обществото на знанието и хуманизмът на ХХІ век (София). – ISSN 1314-7099. – 2018, с. 109-122")</f>
        <v>Обществото на знанието и хуманизмът на ХХІ век (София). – ISSN 1314-7099. – 2018, с. 109-122</v>
      </c>
      <c r="F55" s="10"/>
      <c r="G55" s="10" t="str">
        <f ca="1">IFERROR(__xludf.DUMMYFUNCTION("""COMPUTED_VALUE"""),"Н. Василев")</f>
        <v>Н. Василев</v>
      </c>
      <c r="H55" s="10"/>
      <c r="I55" s="10"/>
      <c r="J55" s="10"/>
      <c r="K55" s="10"/>
      <c r="L55" s="10"/>
      <c r="M55" s="10"/>
      <c r="N55" s="10"/>
      <c r="O55" s="10"/>
      <c r="P55" s="10"/>
      <c r="Q55" s="10"/>
      <c r="R55" s="10"/>
      <c r="S55" s="10"/>
      <c r="T55" s="10"/>
      <c r="U55" s="10"/>
      <c r="V55" s="10"/>
      <c r="W55" s="10"/>
      <c r="X55" s="10"/>
      <c r="Y55" s="10"/>
      <c r="Z55" s="10"/>
    </row>
    <row r="56" spans="1:26" ht="12.75">
      <c r="A56" s="10" t="str">
        <f ca="1">IFERROR(__xludf.DUMMYFUNCTION("""COMPUTED_VALUE"""),"Александра Венкова Куманова")</f>
        <v>Александра Венкова Куманова</v>
      </c>
      <c r="B56" s="10" t="str">
        <f ca="1">IFERROR(__xludf.DUMMYFUNCTION("""COMPUTED_VALUE"""),"Студия")</f>
        <v>Студия</v>
      </c>
      <c r="C56" s="10" t="str">
        <f ca="1">IFERROR(__xludf.DUMMYFUNCTION("""COMPUTED_VALUE"""),"Историографски модел на коментарите към Електронната библиотека на УниБИТ „Антологика”, направени от Студентското научно общество при университета (N 2178)")</f>
        <v>Историографски модел на коментарите към Електронната библиотека на УниБИТ „Антологика”, направени от Студентското научно общество при университета (N 2178)</v>
      </c>
      <c r="D56" s="10">
        <f ca="1">IFERROR(__xludf.DUMMYFUNCTION("""COMPUTED_VALUE"""),2018)</f>
        <v>2018</v>
      </c>
      <c r="E56" s="10" t="str">
        <f ca="1">IFERROR(__xludf.DUMMYFUNCTION("""COMPUTED_VALUE"""),"Тр. на Студентското научно общество при УниБИТ (София). – ISSN 1314-2526. – Т. ХІІІ, 2018, с. 432-460.")</f>
        <v>Тр. на Студентското научно общество при УниБИТ (София). – ISSN 1314-2526. – Т. ХІІІ, 2018, с. 432-460.</v>
      </c>
      <c r="F56" s="10" t="str">
        <f ca="1">IFERROR(__xludf.DUMMYFUNCTION("""COMPUTED_VALUE"""),"Публ. &lt;http://www.unibit.bg&gt;")</f>
        <v>Публ. &lt;http://www.unibit.bg&gt;</v>
      </c>
      <c r="G56" s="10" t="str">
        <f ca="1">IFERROR(__xludf.DUMMYFUNCTION("""COMPUTED_VALUE"""),"Съавт.: А. Куманова, Н. Василев, П. Караиванова, Б. Борисова, Г. Ангелова, И. Камбурова, Б. Матева, Г. Станимирова, И. Атанасова-Стойчева, М. Страхилова, С. Русева, С. Тончева, Ц. Атанасова")</f>
        <v>Съавт.: А. Куманова, Н. Василев, П. Караиванова, Б. Борисова, Г. Ангелова, И. Камбурова, Б. Матева, Г. Станимирова, И. Атанасова-Стойчева, М. Страхилова, С. Русева, С. Тончева, Ц. Атанасова</v>
      </c>
      <c r="H56" s="10"/>
      <c r="I56" s="10"/>
      <c r="J56" s="10"/>
      <c r="K56" s="10"/>
      <c r="L56" s="10"/>
      <c r="M56" s="10"/>
      <c r="N56" s="10"/>
      <c r="O56" s="10"/>
      <c r="P56" s="10"/>
      <c r="Q56" s="10"/>
      <c r="R56" s="10"/>
      <c r="S56" s="10"/>
      <c r="T56" s="10"/>
      <c r="U56" s="10"/>
      <c r="V56" s="10"/>
      <c r="W56" s="10"/>
      <c r="X56" s="10"/>
      <c r="Y56" s="10"/>
      <c r="Z56" s="10"/>
    </row>
    <row r="57" spans="1:26" ht="12.75">
      <c r="A57" s="10" t="str">
        <f ca="1">IFERROR(__xludf.DUMMYFUNCTION("""COMPUTED_VALUE"""),"Александра Венкова Куманова")</f>
        <v>Александра Венкова Куманова</v>
      </c>
      <c r="B57" s="10" t="str">
        <f ca="1">IFERROR(__xludf.DUMMYFUNCTION("""COMPUTED_VALUE"""),"Книга")</f>
        <v>Книга</v>
      </c>
      <c r="C57" s="10" t="str">
        <f ca="1">IFERROR(__xludf.DUMMYFUNCTION("""COMPUTED_VALUE"""),"Модел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Систематично-хроноло"&amp;"г.-азб. автобиобиблиогр. списък на тр. [4038 ном. назв.] : Уч. пособие – практикум по общо библиографознание")</f>
        <v>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Систематично-хронолог.-азб. автобиобиблиогр. списък на тр. [4038 ном. назв.] : Уч. пособие – практикум по общо библиографознание</v>
      </c>
      <c r="D57" s="10">
        <f ca="1">IFERROR(__xludf.DUMMYFUNCTION("""COMPUTED_VALUE"""),2018)</f>
        <v>2018</v>
      </c>
      <c r="E57" s="10" t="str">
        <f ca="1">IFERROR(__xludf.DUMMYFUNCTION("""COMPUTED_VALUE"""),"#ERROR!")</f>
        <v>#ERROR!</v>
      </c>
      <c r="F57" s="10"/>
      <c r="G57" s="10"/>
      <c r="H57" s="10"/>
      <c r="I57" s="10"/>
      <c r="J57" s="10"/>
      <c r="K57" s="10"/>
      <c r="L57" s="10"/>
      <c r="M57" s="10"/>
      <c r="N57" s="10"/>
      <c r="O57" s="10"/>
      <c r="P57" s="10"/>
      <c r="Q57" s="10"/>
      <c r="R57" s="10"/>
      <c r="S57" s="10"/>
      <c r="T57" s="10"/>
      <c r="U57" s="10"/>
      <c r="V57" s="10"/>
      <c r="W57" s="10"/>
      <c r="X57" s="10"/>
      <c r="Y57" s="10"/>
      <c r="Z57" s="10"/>
    </row>
    <row r="58" spans="1:26" ht="12.75">
      <c r="A58" s="10" t="str">
        <f ca="1">IFERROR(__xludf.DUMMYFUNCTION("""COMPUTED_VALUE"""),"Александра Венкова Куманова")</f>
        <v>Александра Венкова Куманова</v>
      </c>
      <c r="B58" s="10" t="str">
        <f ca="1">IFERROR(__xludf.DUMMYFUNCTION("""COMPUTED_VALUE"""),"Статия в списания и поредици")</f>
        <v>Статия в списания и поредици</v>
      </c>
      <c r="C58" s="10" t="str">
        <f ca="1">IFERROR(__xludf.DUMMYFUNCTION("""COMPUTED_VALUE"""),"Императив на теорията на библиографията в Западна Европа през ХVІІІ-XXI в. и разпространението по света на „немската линия” (Историко-културен феноменологичен каркас на информационна ризома)")</f>
        <v>Императив на теорията на библиографията в Западна Европа през ХVІІІ-XXI в. и разпространението по света на „немската линия” (Историко-културен феноменологичен каркас на информационна ризома)</v>
      </c>
      <c r="D58" s="10">
        <f ca="1">IFERROR(__xludf.DUMMYFUNCTION("""COMPUTED_VALUE"""),2018)</f>
        <v>2018</v>
      </c>
      <c r="E58" s="10" t="str">
        <f ca="1">IFERROR(__xludf.DUMMYFUNCTION("""COMPUTED_VALUE"""),"Библиотека (София). – ISSN 0861-847X. – 2018, N 4, с. 34-54 : портр. – Библиогр.: 72 библиогр. ед. в 11 ном. бел. – Рез. на англ. ез.")</f>
        <v>Библиотека (София). – ISSN 0861-847X. – 2018, N 4, с. 34-54 : портр. – Библиогр.: 72 библиогр. ед. в 11 ном. бел. – Рез. на англ. ез.</v>
      </c>
      <c r="F58" s="10" t="str">
        <f ca="1">IFERROR(__xludf.DUMMYFUNCTION("""COMPUTED_VALUE"""),"Google Scholar")</f>
        <v>Google Scholar</v>
      </c>
      <c r="G58" s="10"/>
      <c r="H58" s="10"/>
      <c r="I58" s="10"/>
      <c r="J58" s="10"/>
      <c r="K58" s="10"/>
      <c r="L58" s="10"/>
      <c r="M58" s="10"/>
      <c r="N58" s="10"/>
      <c r="O58" s="10"/>
      <c r="P58" s="10"/>
      <c r="Q58" s="10"/>
      <c r="R58" s="10"/>
      <c r="S58" s="10"/>
      <c r="T58" s="10"/>
      <c r="U58" s="10"/>
      <c r="V58" s="10"/>
      <c r="W58" s="10"/>
      <c r="X58" s="10"/>
      <c r="Y58" s="10"/>
      <c r="Z58" s="10"/>
    </row>
    <row r="59" spans="1:26" ht="12.75">
      <c r="A59" s="10" t="str">
        <f ca="1">IFERROR(__xludf.DUMMYFUNCTION("""COMPUTED_VALUE"""),"Александра Венкова Куманова")</f>
        <v>Александра Венкова Куманова</v>
      </c>
      <c r="B59" s="10" t="str">
        <f ca="1">IFERROR(__xludf.DUMMYFUNCTION("""COMPUTED_VALUE"""),"Монография")</f>
        <v>Монография</v>
      </c>
      <c r="C59" s="10" t="str">
        <f ca="1">IFERROR(__xludf.DUMMYFUNCTION("""COMPUTED_VALUE"""),"Академик, професор Христо Георгиев Мутафов (Aurea mediocritas) : Двукнижие (Кн. 1. Когнитологичен портр. в стила на интервюто или Творец и организатор на науката : За усилията за приобщаване на България към световната научно-информ. практика ; Кн. 2. Сист"&amp;"ематично-хронолог.-азб. биобиблиогр.) [328 ном. назв.]")</f>
        <v>Академик, професор Христо Георгиев Мутафов (Aurea mediocritas) : Двукнижие (Кн. 1. Когнитологичен портр. в стила на интервюто или Творец и организатор на науката : За усилията за приобщаване на България към световната научно-информ. практика ; Кн. 2. Систематично-хронолог.-азб. биобиблиогр.) [328 ном. назв.]</v>
      </c>
      <c r="D59" s="10">
        <f ca="1">IFERROR(__xludf.DUMMYFUNCTION("""COMPUTED_VALUE"""),2018)</f>
        <v>2018</v>
      </c>
      <c r="E59" s="10" t="str">
        <f ca="1">IFERROR(__xludf.DUMMYFUNCTION("""COMPUTED_VALUE"""),"София : За буквите – О писменехь, 2018. – 180 с. : с ил. – Именен показалец ; Списък на период. изд. ; Списък на съкр. ISBN 978-619-185-336-6 , Е ISBN 978-619-185-335-9")</f>
        <v>София : За буквите – О писменехь, 2018. – 180 с. : с ил. – Именен показалец ; Списък на период. изд. ; Списък на съкр. ISBN 978-619-185-336-6 , Е ISBN 978-619-185-335-9</v>
      </c>
      <c r="F59" s="10" t="str">
        <f ca="1">IFERROR(__xludf.DUMMYFUNCTION("""COMPUTED_VALUE"""),"Cobiss")</f>
        <v>Cobiss</v>
      </c>
      <c r="G59" s="10"/>
      <c r="H59" s="10"/>
      <c r="I59" s="10"/>
      <c r="J59" s="10"/>
      <c r="K59" s="10"/>
      <c r="L59" s="10"/>
      <c r="M59" s="10"/>
      <c r="N59" s="10"/>
      <c r="O59" s="10"/>
      <c r="P59" s="10"/>
      <c r="Q59" s="10"/>
      <c r="R59" s="10"/>
      <c r="S59" s="10"/>
      <c r="T59" s="10"/>
      <c r="U59" s="10"/>
      <c r="V59" s="10"/>
      <c r="W59" s="10"/>
      <c r="X59" s="10"/>
      <c r="Y59" s="10"/>
      <c r="Z59" s="10"/>
    </row>
    <row r="60" spans="1:26" ht="12.75">
      <c r="A60" s="10" t="str">
        <f ca="1">IFERROR(__xludf.DUMMYFUNCTION("""COMPUTED_VALUE"""),"Александра Венкова Куманова")</f>
        <v>Александра Венкова Куманова</v>
      </c>
      <c r="B60" s="10" t="str">
        <f ca="1">IFERROR(__xludf.DUMMYFUNCTION("""COMPUTED_VALUE"""),"Статия в списания и поредици")</f>
        <v>Статия в списания и поредици</v>
      </c>
      <c r="C60" s="10" t="str">
        <f ca="1">IFERROR(__xludf.DUMMYFUNCTION("""COMPUTED_VALUE"""),"Библиосфера – инфосфера – ноосфера : Неклассическое ноосферное библиографоведение (Проблема историографии кристаллизации форм генезиса международной универсальной библиографии ІІІ в. до н.э. – ХХІ вв.: Кадастр)")</f>
        <v>Библиосфера – инфосфера – ноосфера : Неклассическое ноосферное библиографоведение (Проблема историографии кристаллизации форм генезиса международной универсальной библиографии ІІІ в. до н.э. – ХХІ вв.: Кадастр)</v>
      </c>
      <c r="D60" s="10">
        <f ca="1">IFERROR(__xludf.DUMMYFUNCTION("""COMPUTED_VALUE"""),2018)</f>
        <v>2018</v>
      </c>
      <c r="E60" s="10" t="str">
        <f ca="1">IFERROR(__xludf.DUMMYFUNCTION("""COMPUTED_VALUE"""),"Библиография (Москва). – ISSN 0869-6020. – 2018, N 6, с. 50-78 : с портр. – Библиогр.: 145 нумерированные назв. на 20 ез. – Рез. на англ. ез.")</f>
        <v>Библиография (Москва). – ISSN 0869-6020. – 2018, N 6, с. 50-78 : с портр. – Библиогр.: 145 нумерированные назв. на 20 ез. – Рез. на англ. ез.</v>
      </c>
      <c r="F60" s="10" t="str">
        <f ca="1">IFERROR(__xludf.DUMMYFUNCTION("""COMPUTED_VALUE"""),"Google Scholar")</f>
        <v>Google Scholar</v>
      </c>
      <c r="G60" s="10"/>
      <c r="H60" s="10"/>
      <c r="I60" s="10"/>
      <c r="J60" s="10"/>
      <c r="K60" s="10"/>
      <c r="L60" s="10"/>
      <c r="M60" s="10"/>
      <c r="N60" s="10"/>
      <c r="O60" s="10"/>
      <c r="P60" s="10"/>
      <c r="Q60" s="10"/>
      <c r="R60" s="10"/>
      <c r="S60" s="10"/>
      <c r="T60" s="10"/>
      <c r="U60" s="10"/>
      <c r="V60" s="10"/>
      <c r="W60" s="10"/>
      <c r="X60" s="10"/>
      <c r="Y60" s="10"/>
      <c r="Z60" s="10"/>
    </row>
    <row r="61" spans="1:26" ht="12.75">
      <c r="A61" s="10" t="str">
        <f ca="1">IFERROR(__xludf.DUMMYFUNCTION("""COMPUTED_VALUE"""),"Александра Венкова Куманова")</f>
        <v>Александра Венкова Куманова</v>
      </c>
      <c r="B61" s="10" t="str">
        <f ca="1">IFERROR(__xludf.DUMMYFUNCTION("""COMPUTED_VALUE"""),"Статия в списания и поредици")</f>
        <v>Статия в списания и поредици</v>
      </c>
      <c r="C61" s="10" t="str">
        <f ca="1">IFERROR(__xludf.DUMMYFUNCTION("""COMPUTED_VALUE"""),"Из Болгарии с любовью! (О науч. школе по библиотековедению – проф. Л. П. Москаленко, А. М. Панченко, С. А. Рейсере, В. И. Каминском, С. С. Ланде, И. В. Гудовщиковой, А. В. Мамонтове, А. В. Соколове, доц. Е. А. Корсунском)")</f>
        <v>Из Болгарии с любовью! (О науч. школе по библиотековедению – проф. Л. П. Москаленко, А. М. Панченко, С. А. Рейсере, В. И. Каминском, С. С. Ланде, И. В. Гудовщиковой, А. В. Мамонтове, А. В. Соколове, доц. Е. А. Корсунском)</v>
      </c>
      <c r="D61" s="10">
        <f ca="1">IFERROR(__xludf.DUMMYFUNCTION("""COMPUTED_VALUE"""),2018)</f>
        <v>2018</v>
      </c>
      <c r="E61" s="10" t="str">
        <f ca="1">IFERROR(__xludf.DUMMYFUNCTION("""COMPUTED_VALUE"""),"Библиотечное дело (Санкт-Петербург). – ISSN 17274893. – 2018, N 20 (326), спецвыпуск : Сто лет Санкт-Петербургск. инст. культуры, с. 39 : портр.")</f>
        <v>Библиотечное дело (Санкт-Петербург). – ISSN 17274893. – 2018, N 20 (326), спецвыпуск : Сто лет Санкт-Петербургск. инст. культуры, с. 39 : портр.</v>
      </c>
      <c r="F61" s="28" t="str">
        <f ca="1">IFERROR(__xludf.DUMMYFUNCTION("""COMPUTED_VALUE"""),"Bibliograf.ru")</f>
        <v>Bibliograf.ru</v>
      </c>
      <c r="G61" s="10"/>
      <c r="H61" s="10"/>
      <c r="I61" s="10"/>
      <c r="J61" s="10"/>
      <c r="K61" s="10"/>
      <c r="L61" s="10"/>
      <c r="M61" s="10"/>
      <c r="N61" s="10"/>
      <c r="O61" s="10"/>
      <c r="P61" s="10"/>
      <c r="Q61" s="10"/>
      <c r="R61" s="10"/>
      <c r="S61" s="10"/>
      <c r="T61" s="10"/>
      <c r="U61" s="10"/>
      <c r="V61" s="10"/>
      <c r="W61" s="10"/>
      <c r="X61" s="10"/>
      <c r="Y61" s="10"/>
      <c r="Z61" s="10"/>
    </row>
    <row r="62" spans="1:26" ht="12.75">
      <c r="A62" s="10" t="str">
        <f ca="1">IFERROR(__xludf.DUMMYFUNCTION("""COMPUTED_VALUE"""),"Александра Венкова Куманова")</f>
        <v>Александра Венкова Куманова</v>
      </c>
      <c r="B62" s="10" t="str">
        <f ca="1">IFERROR(__xludf.DUMMYFUNCTION("""COMPUTED_VALUE"""),"Книга")</f>
        <v>Книга</v>
      </c>
      <c r="C62" s="10" t="str">
        <f ca="1">IFERROR(__xludf.DUMMYFUNCTION("""COMPUTED_VALUE"""),"Златна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Божестве"&amp;"н флорилегиум – идил. триптих : [1-3]")</f>
        <v>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Божествен флорилегиум – идил. триптих : [1-3]</v>
      </c>
      <c r="D62" s="10">
        <f ca="1">IFERROR(__xludf.DUMMYFUNCTION("""COMPUTED_VALUE"""),2018)</f>
        <v>2018</v>
      </c>
      <c r="E62" s="10" t="str">
        <f ca="1">IFERROR(__xludf.DUMMYFUNCTION("""COMPUTED_VALUE"""),"Ново ел. изд. София : За буквите – О писменехь, 2018. – 400 с. : с ил. – (Факлоносци ; ХХІІ) Е ISBN 978-619-185-312-0")</f>
        <v>Ново ел. изд. София : За буквите – О писменехь, 2018. – 400 с. : с ил. – (Факлоносци ; ХХІІ) Е ISBN 978-619-185-312-0</v>
      </c>
      <c r="F62" s="10" t="str">
        <f ca="1">IFERROR(__xludf.DUMMYFUNCTION("""COMPUTED_VALUE"""),"Публ. &lt;http://www.sno.unibit.bg&gt;")</f>
        <v>Публ. &lt;http://www.sno.unibit.bg&gt;</v>
      </c>
      <c r="G62" s="10" t="str">
        <f ca="1">IFERROR(__xludf.DUMMYFUNCTION("""COMPUTED_VALUE"""),"Н. Василев")</f>
        <v>Н. Василев</v>
      </c>
      <c r="H62" s="10"/>
      <c r="I62" s="10"/>
      <c r="J62" s="10"/>
      <c r="K62" s="10"/>
      <c r="L62" s="10"/>
      <c r="M62" s="10"/>
      <c r="N62" s="10"/>
      <c r="O62" s="10"/>
      <c r="P62" s="10"/>
      <c r="Q62" s="10"/>
      <c r="R62" s="10"/>
      <c r="S62" s="10"/>
      <c r="T62" s="10"/>
      <c r="U62" s="10"/>
      <c r="V62" s="10"/>
      <c r="W62" s="10"/>
      <c r="X62" s="10"/>
      <c r="Y62" s="10"/>
      <c r="Z62" s="10"/>
    </row>
    <row r="63" spans="1:26" ht="12.75">
      <c r="A63" s="10" t="str">
        <f ca="1">IFERROR(__xludf.DUMMYFUNCTION("""COMPUTED_VALUE"""),"Александра Венкова Куманова")</f>
        <v>Александра Венкова Куманова</v>
      </c>
      <c r="B63" s="10" t="str">
        <f ca="1">IFERROR(__xludf.DUMMYFUNCTION("""COMPUTED_VALUE"""),"Доклад от конференция")</f>
        <v>Доклад от конференция</v>
      </c>
      <c r="C63" s="10" t="str">
        <f ca="1">IFERROR(__xludf.DUMMYFUNCTION("""COMPUTED_VALUE"""),"Езикът на Васил Левски. Към въпроса за генома и универсалния информационен код на Българското национално възраждане от втората половина на ХІХ в. (1867-1872) : синтактика, семантика прагматика")</f>
        <v>Езикът на Васил Левски. Към въпроса за генома и универсалния информационен код на Българското национално възраждане от втората половина на ХІХ в. (1867-1872) : синтактика, семантика прагматика</v>
      </c>
      <c r="D63" s="10">
        <f ca="1">IFERROR(__xludf.DUMMYFUNCTION("""COMPUTED_VALUE"""),2018)</f>
        <v>2018</v>
      </c>
      <c r="E63" s="10" t="str">
        <f ca="1">IFERROR(__xludf.DUMMYFUNCTION("""COMPUTED_VALUE"""),"Обществото на знанието и хуманизмът на ХХІ век (София). – ISSN 1314-7099. – 2018, с. 50-85 : с табл. – Рез. на англ. ез.")</f>
        <v>Обществото на знанието и хуманизмът на ХХІ век (София). – ISSN 1314-7099. – 2018, с. 50-85 : с табл. – Рез. на англ. ез.</v>
      </c>
      <c r="F63" s="10"/>
      <c r="G63" s="10" t="str">
        <f ca="1">IFERROR(__xludf.DUMMYFUNCTION("""COMPUTED_VALUE"""),"Стоян Денчев, Николай Василев")</f>
        <v>Стоян Денчев, Николай Василев</v>
      </c>
      <c r="H63" s="10"/>
      <c r="I63" s="10"/>
      <c r="J63" s="10"/>
      <c r="K63" s="10"/>
      <c r="L63" s="10"/>
      <c r="M63" s="10"/>
      <c r="N63" s="10"/>
      <c r="O63" s="10"/>
      <c r="P63" s="10"/>
      <c r="Q63" s="10"/>
      <c r="R63" s="10"/>
      <c r="S63" s="10"/>
      <c r="T63" s="10"/>
      <c r="U63" s="10"/>
      <c r="V63" s="10"/>
      <c r="W63" s="10"/>
      <c r="X63" s="10"/>
      <c r="Y63" s="10"/>
      <c r="Z63" s="10"/>
    </row>
    <row r="64" spans="1:26" ht="12.75">
      <c r="A64" s="10" t="str">
        <f ca="1">IFERROR(__xludf.DUMMYFUNCTION("""COMPUTED_VALUE"""),"Александра Венкова Куманова")</f>
        <v>Александра Венкова Куманова</v>
      </c>
      <c r="B64" s="10" t="str">
        <f ca="1">IFERROR(__xludf.DUMMYFUNCTION("""COMPUTED_VALUE"""),"Доклад от конференция")</f>
        <v>Доклад от конференция</v>
      </c>
      <c r="C64" s="10" t="str">
        <f ca="1">IFERROR(__xludf.DUMMYFUNCTION("""COMPUTED_VALUE"""),"Синоптична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f>
        <v>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v>
      </c>
      <c r="D64" s="10">
        <f ca="1">IFERROR(__xludf.DUMMYFUNCTION("""COMPUTED_VALUE"""),2018)</f>
        <v>2018</v>
      </c>
      <c r="E64" s="10" t="str">
        <f ca="1">IFERROR(__xludf.DUMMYFUNCTION("""COMPUTED_VALUE"""),"Обществото на знанието и хуманизмът на ХХІ век (София). – ISSN 1314-7099. – 2018, с. 109-122 : с табл. – Рез. на англ. ез.")</f>
        <v>Обществото на знанието и хуманизмът на ХХІ век (София). – ISSN 1314-7099. – 2018, с. 109-122 : с табл. – Рез. на англ. ез.</v>
      </c>
      <c r="F64" s="10"/>
      <c r="G64" s="10" t="str">
        <f ca="1">IFERROR(__xludf.DUMMYFUNCTION("""COMPUTED_VALUE"""),"Николай Василев")</f>
        <v>Николай Василев</v>
      </c>
      <c r="H64" s="10"/>
      <c r="I64" s="10"/>
      <c r="J64" s="10"/>
      <c r="K64" s="10"/>
      <c r="L64" s="10"/>
      <c r="M64" s="10"/>
      <c r="N64" s="10"/>
      <c r="O64" s="10"/>
      <c r="P64" s="10"/>
      <c r="Q64" s="10"/>
      <c r="R64" s="10"/>
      <c r="S64" s="10"/>
      <c r="T64" s="10"/>
      <c r="U64" s="10"/>
      <c r="V64" s="10"/>
      <c r="W64" s="10"/>
      <c r="X64" s="10"/>
      <c r="Y64" s="10"/>
      <c r="Z64" s="10"/>
    </row>
    <row r="65" spans="1:26" ht="12.75">
      <c r="A65" s="10" t="str">
        <f ca="1">IFERROR(__xludf.DUMMYFUNCTION("""COMPUTED_VALUE"""),"Александра Венкова Куманова")</f>
        <v>Александра Венкова Куманова</v>
      </c>
      <c r="B65" s="10" t="str">
        <f ca="1">IFERROR(__xludf.DUMMYFUNCTION("""COMPUTED_VALUE"""),"Доклад от конференция")</f>
        <v>Доклад от конференция</v>
      </c>
      <c r="C65" s="10" t="str">
        <f ca="1">IFERROR(__xludf.DUMMYFUNCTION("""COMPUTED_VALUE"""),"Профессор Иосиф Евсеевич Баренбаум (1921-2006) (Архитектоника прижизненной сжатой систематической биобиблиографии ученого с историографией его творческой деятельности, уточненные в личной беседе с ним 7.06.2006 г. в Санкт-Петербурге и выверенные de visu д"&amp;"ля целей энциклопедического представления персоналии)")</f>
        <v>Профессор Иосиф Евсеевич Баренбаум (1921-2006) (Архитектоника прижизненной сжатой систематической биобиблиографии ученого с историографией его творческой деятельности, уточненные в личной беседе с ним 7.06.2006 г. в Санкт-Петербурге и выверенные de visu для целей энциклопедического представления персоналии)</v>
      </c>
      <c r="D65" s="10">
        <f ca="1">IFERROR(__xludf.DUMMYFUNCTION("""COMPUTED_VALUE"""),2018)</f>
        <v>2018</v>
      </c>
      <c r="E65" s="10" t="str">
        <f ca="1">IFERROR(__xludf.DUMMYFUNCTION("""COMPUTED_VALUE"""),"&lt;http://www.spbgik.ru/news/YUbileynaya-mezhdunarodnaya-konferenciya-HH-Smirdinskie-chteniya-Kniga-i-knizhnoe-delo-v-XIX-XXI-veke-k-100-letiyu-Sankt-Peterburgskogo-gosudarstvennogo-instituta-kultury/&gt;. – 16.05.2018. – 15 с. : ил. – Библиогр.: в 73 нум. при"&amp;"м. 201 ненум. записей.")</f>
        <v>&lt;http://www.spbgik.ru/news/YUbileynaya-mezhdunarodnaya-konferenciya-HH-Smirdinskie-chteniya-Kniga-i-knizhnoe-delo-v-XIX-XXI-veke-k-100-letiyu-Sankt-Peterburgskogo-gosudarstvennogo-instituta-kultury/&gt;. – 16.05.2018. – 15 с. : ил. – Библиогр.: в 73 нум. прим. 201 ненум. записей.</v>
      </c>
      <c r="F65" s="10" t="str">
        <f ca="1">IFERROR(__xludf.DUMMYFUNCTION("""COMPUTED_VALUE"""),"&lt;http://www.spbgik.ru/news/YUbileynaya-mezhdunarodnaya-konferenciya-HH-Smirdinskie-chteniya-Kniga-i-knizhnoe-delo-v-XIX-XXI-veke-k-100-letiyu-Sankt-Peterburgskogo-gosudarstvennogo-instituta-kultury/&gt;")</f>
        <v>&lt;http://www.spbgik.ru/news/YUbileynaya-mezhdunarodnaya-konferenciya-HH-Smirdinskie-chteniya-Kniga-i-knizhnoe-delo-v-XIX-XXI-veke-k-100-letiyu-Sankt-Peterburgskogo-gosudarstvennogo-instituta-kultury/&gt;</v>
      </c>
      <c r="G65" s="10"/>
      <c r="H65" s="10"/>
      <c r="I65" s="10"/>
      <c r="J65" s="10"/>
      <c r="K65" s="10"/>
      <c r="L65" s="10"/>
      <c r="M65" s="10"/>
      <c r="N65" s="10"/>
      <c r="O65" s="10"/>
      <c r="P65" s="10"/>
      <c r="Q65" s="10"/>
      <c r="R65" s="10"/>
      <c r="S65" s="10"/>
      <c r="T65" s="10"/>
      <c r="U65" s="10"/>
      <c r="V65" s="10"/>
      <c r="W65" s="10"/>
      <c r="X65" s="10"/>
      <c r="Y65" s="10"/>
      <c r="Z65" s="10"/>
    </row>
    <row r="66" spans="1:26" ht="12.75">
      <c r="A66" s="10" t="str">
        <f ca="1">IFERROR(__xludf.DUMMYFUNCTION("""COMPUTED_VALUE"""),"Александра Венкова Куманова")</f>
        <v>Александра Венкова Куманова</v>
      </c>
      <c r="B66" s="10" t="str">
        <f ca="1">IFERROR(__xludf.DUMMYFUNCTION("""COMPUTED_VALUE"""),"Доклад от конференция")</f>
        <v>Доклад от конференция</v>
      </c>
      <c r="C66" s="10" t="str">
        <f ca="1">IFERROR(__xludf.DUMMYFUNCTION("""COMPUTED_VALUE"""),"Синоптична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f>
        <v>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v>
      </c>
      <c r="D66" s="10">
        <f ca="1">IFERROR(__xludf.DUMMYFUNCTION("""COMPUTED_VALUE"""),2018)</f>
        <v>2018</v>
      </c>
      <c r="E66" s="10" t="str">
        <f ca="1">IFERROR(__xludf.DUMMYFUNCTION("""COMPUTED_VALUE"""),"Обществото на знанието и хуманизмът на ХХІ век (София). – ISSN 1314-7099. – 2018, с. 00-00 : с табл.")</f>
        <v>Обществото на знанието и хуманизмът на ХХІ век (София). – ISSN 1314-7099. – 2018, с. 00-00 : с табл.</v>
      </c>
      <c r="F66" s="10" t="str">
        <f ca="1">IFERROR(__xludf.DUMMYFUNCTION("""COMPUTED_VALUE"""),"Публ. &lt;http://www.unibit.bg&gt;")</f>
        <v>Публ. &lt;http://www.unibit.bg&gt;</v>
      </c>
      <c r="G66" s="10" t="str">
        <f ca="1">IFERROR(__xludf.DUMMYFUNCTION("""COMPUTED_VALUE"""),"Н. Василев")</f>
        <v>Н. Василев</v>
      </c>
      <c r="H66" s="10"/>
      <c r="I66" s="10"/>
      <c r="J66" s="10"/>
      <c r="K66" s="10"/>
      <c r="L66" s="10"/>
      <c r="M66" s="10"/>
      <c r="N66" s="10"/>
      <c r="O66" s="10"/>
      <c r="P66" s="10"/>
      <c r="Q66" s="10"/>
      <c r="R66" s="10"/>
      <c r="S66" s="10"/>
      <c r="T66" s="10"/>
      <c r="U66" s="10"/>
      <c r="V66" s="10"/>
      <c r="W66" s="10"/>
      <c r="X66" s="10"/>
      <c r="Y66" s="10"/>
      <c r="Z66" s="10"/>
    </row>
    <row r="67" spans="1:26" ht="12.75">
      <c r="A67" s="10" t="str">
        <f ca="1">IFERROR(__xludf.DUMMYFUNCTION("""COMPUTED_VALUE"""),"Александра Венкова Куманова")</f>
        <v>Александра Венкова Куманова</v>
      </c>
      <c r="B67" s="10" t="str">
        <f ca="1">IFERROR(__xludf.DUMMYFUNCTION("""COMPUTED_VALUE"""),"Доклад от конференция")</f>
        <v>Доклад от конференция</v>
      </c>
      <c r="C67"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(2005-2017 г.) (Към проблема за ризомно-ретикуларното структуриране на информацията : Метасинтез на емпир"&amp;"ични научноизслед. кар. – хуманитарни измерения)")</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(2005-2017 г.) (Към проблема за ризомно-ретикуларното структуриране на информацията : Метасинтез на емпирични научноизслед. кар. – хуманитарни измерения)</v>
      </c>
      <c r="D67" s="10">
        <f ca="1">IFERROR(__xludf.DUMMYFUNCTION("""COMPUTED_VALUE"""),2018)</f>
        <v>2018</v>
      </c>
      <c r="E67" s="10" t="str">
        <f ca="1">IFERROR(__xludf.DUMMYFUNCTION("""COMPUTED_VALUE"""),"Тр. на Студентското науч. о-во при Унив. по библиотекознание и информ. технолог. (София). – ISSN 1314-2526. – Т. 13, 2018, с. 179-246 : ил., табл.")</f>
        <v>Тр. на Студентското науч. о-во при Унив. по библиотекознание и информ. технолог. (София). – ISSN 1314-2526. – Т. 13, 2018, с. 179-246 : ил., табл.</v>
      </c>
      <c r="F67" s="10"/>
      <c r="G67" s="10"/>
      <c r="H67" s="10"/>
      <c r="I67" s="10"/>
      <c r="J67" s="10"/>
      <c r="K67" s="10"/>
      <c r="L67" s="10"/>
      <c r="M67" s="10"/>
      <c r="N67" s="10"/>
      <c r="O67" s="10"/>
      <c r="P67" s="10"/>
      <c r="Q67" s="10"/>
      <c r="R67" s="10"/>
      <c r="S67" s="10"/>
      <c r="T67" s="10"/>
      <c r="U67" s="10"/>
      <c r="V67" s="10"/>
      <c r="W67" s="10"/>
      <c r="X67" s="10"/>
      <c r="Y67" s="10"/>
      <c r="Z67" s="10"/>
    </row>
    <row r="68" spans="1:26" ht="12.75">
      <c r="A68" s="10" t="str">
        <f ca="1">IFERROR(__xludf.DUMMYFUNCTION("""COMPUTED_VALUE"""),"Александра Венкова Куманова")</f>
        <v>Александра Венкова Куманова</v>
      </c>
      <c r="B68" s="10" t="str">
        <f ca="1">IFERROR(__xludf.DUMMYFUNCTION("""COMPUTED_VALUE"""),"Доклад от конференция")</f>
        <v>Доклад от конференция</v>
      </c>
      <c r="C68" s="10" t="str">
        <f ca="1">IFERROR(__xludf.DUMMYFUNCTION("""COMPUTED_VALUE"""),"Пролегомены к Синоптической таблице мировой универсальной библиографии ІІІ в. до н.э. – ХХІ в. (Модель историографии вторично-документального контура библио-инфо-семио-ноосферы)")</f>
        <v>Пролегомены к Синоптической таблице мировой универсальной библиографии ІІІ в. до н.э. – ХХІ в. (Модель историографии вторично-документального контура библио-инфо-семио-ноосферы)</v>
      </c>
      <c r="D68" s="10">
        <f ca="1">IFERROR(__xludf.DUMMYFUNCTION("""COMPUTED_VALUE"""),2018)</f>
        <v>2018</v>
      </c>
      <c r="E68" s="10" t="str">
        <f ca="1">IFERROR(__xludf.DUMMYFUNCTION("""COMPUTED_VALUE"""),"Роль библиографии в информационном обеспечении исторической науки : сб. ст. / Междунар. науч. конф. „Роль библиогр. в информ. обеспечении ист. науки” – Москва, Гос. публ. ист. б-ка России, 19.04.2018 г. ; Совм. засед. секц. 24 (Секц. библиогр. и информ.-б"&amp;"иблиогр. обслуж.) и 34 (Секц. по особо ценным рукописн. док. и редк. кн.) „Роль библиогр. в информ. обеспечении ист. науки” на Всерос. библиотечн. конгр. ХХІІІ ежегодн. конф. – ХХІІІ ежегодн. конф. Рос. библ. ассоц., Владимир, 15.05.2018 г. ; Авт.-сост. Е"&amp;". А. Воронцова ; отв. ред. М. Д. Афанасьев, Н. К. Леликова, А. Ю. Самарин. – Москва, 2018. – ISBN 978-5-480-00399-4. – с. 670-690. – Библиогр.: 125 неномерирани назв. – Рез. на рус. и англ. ез.")</f>
        <v>Роль библиографии в информационном обеспечении исторической науки : сб. ст. / Междунар. науч. конф. „Роль библиогр. в информ. обеспечении ист. науки” – Москва, Гос. публ. ист. б-ка России, 19.04.2018 г. ; Совм. засед. секц. 24 (Секц. библиогр. и информ.-библиогр. обслуж.) и 34 (Секц. по особо ценным рукописн. док. и редк. кн.) „Роль библиогр. в информ. обеспечении ист. науки” на Всерос. библиотечн. конгр. ХХІІІ ежегодн. конф. – ХХІІІ ежегодн. конф. Рос. библ. ассоц., Владимир, 15.05.2018 г. ; Авт.-сост. Е. А. Воронцова ; отв. ред. М. Д. Афанасьев, Н. К. Леликова, А. Ю. Самарин. – Москва, 2018. – ISBN 978-5-480-00399-4. – с. 670-690. – Библиогр.: 125 неномерирани назв. – Рез. на рус. и англ. ез.</v>
      </c>
      <c r="F68" s="10" t="str">
        <f ca="1">IFERROR(__xludf.DUMMYFUNCTION("""COMPUTED_VALUE"""),"Google Scholar")</f>
        <v>Google Scholar</v>
      </c>
      <c r="G68" s="10"/>
      <c r="H68" s="10"/>
      <c r="I68" s="10"/>
      <c r="J68" s="10"/>
      <c r="K68" s="10"/>
      <c r="L68" s="10"/>
      <c r="M68" s="10"/>
      <c r="N68" s="10"/>
      <c r="O68" s="10"/>
      <c r="P68" s="10"/>
      <c r="Q68" s="10"/>
      <c r="R68" s="10"/>
      <c r="S68" s="10"/>
      <c r="T68" s="10"/>
      <c r="U68" s="10"/>
      <c r="V68" s="10"/>
      <c r="W68" s="10"/>
      <c r="X68" s="10"/>
      <c r="Y68" s="10"/>
      <c r="Z68" s="10"/>
    </row>
    <row r="69" spans="1:26" ht="12.75">
      <c r="A69" s="10" t="str">
        <f ca="1">IFERROR(__xludf.DUMMYFUNCTION("""COMPUTED_VALUE"""),"Александра Венкова Куманова")</f>
        <v>Александра Венкова Куманова</v>
      </c>
      <c r="B69" s="10" t="str">
        <f ca="1">IFERROR(__xludf.DUMMYFUNCTION("""COMPUTED_VALUE"""),"Доклад от конференция")</f>
        <v>Доклад от конференция</v>
      </c>
      <c r="C69" s="10" t="str">
        <f ca="1">IFERROR(__xludf.DUMMYFUNCTION("""COMPUTED_VALUE"""),"Езикът на Васил Левски. Към въпроса за генома и универсалния информационен код на Българското национално възраждане от втората половина на ХІХ в. (1867-1872): синтактика, семантика прагматика : Плен. докл. на ХV Нац. науч. конф. с междунар. участие „О-вот"&amp;"о на знанието и хуманизмът на ХХІ в.”, 1.11.2017 г., София, УниБИТ, НБКМ")</f>
        <v>Езикът на Васил Левски. Към въпроса за генома и универсалния информационен код на Българското национално възраждане от втората половина на ХІХ в. (1867-1872): синтактика, семантика прагматика : Плен. докл. на ХV Нац. науч. конф. с междунар. участие „О-вото на знанието и хуманизмът на ХХІ в.”, 1.11.2017 г., София, УниБИТ, НБКМ</v>
      </c>
      <c r="D69" s="10">
        <f ca="1">IFERROR(__xludf.DUMMYFUNCTION("""COMPUTED_VALUE"""),2018)</f>
        <v>2018</v>
      </c>
      <c r="E69" s="10" t="str">
        <f ca="1">IFERROR(__xludf.DUMMYFUNCTION("""COMPUTED_VALUE"""),"Обществото на знанието и хуманизмът на ХХІ век (София). – ISSN 1314-7099. – 2018, с. 00-00 : с табл.")</f>
        <v>Обществото на знанието и хуманизмът на ХХІ век (София). – ISSN 1314-7099. – 2018, с. 00-00 : с табл.</v>
      </c>
      <c r="F69" s="10" t="str">
        <f ca="1">IFERROR(__xludf.DUMMYFUNCTION("""COMPUTED_VALUE"""),"Публ. &lt;http://www.unibit.bg&gt;")</f>
        <v>Публ. &lt;http://www.unibit.bg&gt;</v>
      </c>
      <c r="G69" s="10" t="str">
        <f ca="1">IFERROR(__xludf.DUMMYFUNCTION("""COMPUTED_VALUE"""),"С. Денчев, А. Куманова, Н. Василев")</f>
        <v>С. Денчев, А. Куманова, Н. Василев</v>
      </c>
      <c r="H69" s="10"/>
      <c r="I69" s="10"/>
      <c r="J69" s="10"/>
      <c r="K69" s="10"/>
      <c r="L69" s="10"/>
      <c r="M69" s="10"/>
      <c r="N69" s="10"/>
      <c r="O69" s="10"/>
      <c r="P69" s="10"/>
      <c r="Q69" s="10"/>
      <c r="R69" s="10"/>
      <c r="S69" s="10"/>
      <c r="T69" s="10"/>
      <c r="U69" s="10"/>
      <c r="V69" s="10"/>
      <c r="W69" s="10"/>
      <c r="X69" s="10"/>
      <c r="Y69" s="10"/>
      <c r="Z69" s="10"/>
    </row>
    <row r="70" spans="1:26" ht="12.75">
      <c r="A70" s="10" t="str">
        <f ca="1">IFERROR(__xludf.DUMMYFUNCTION("""COMPUTED_VALUE"""),"Александра Венкова Куманова")</f>
        <v>Александра Венкова Куманова</v>
      </c>
      <c r="B70" s="10" t="str">
        <f ca="1">IFERROR(__xludf.DUMMYFUNCTION("""COMPUTED_VALUE"""),"Статия в списания и поредици")</f>
        <v>Статия в списания и поредици</v>
      </c>
      <c r="C70" s="10" t="str">
        <f ca="1">IFERROR(__xludf.DUMMYFUNCTION("""COMPUTED_VALUE"""),"Профессор Иосиф Евсеевич Баренбаум (1921-2006) (Биобиблиогр. эскиз жизни и деятельности историка и теоретика книговедения выполнен в жанре энциклопедической научной статьи) : Докл. на ХХ Юбил. межд. науч. конф. „Смирдинские чтения. Книга и книжное дело в "&amp;"XIX – XXI веке : к 100-лет. Санкт-Петербургск. гос. инст. культуры”, 26-27 апр. 2018, Санкт-Петербург.")</f>
        <v>Профессор Иосиф Евсеевич Баренбаум (1921-2006) (Биобиблиогр. эскиз жизни и деятельности историка и теоретика книговедения выполнен в жанре энциклопедической научной статьи) : Докл. на ХХ Юбил. межд. науч. конф. „Смирдинские чтения. Книга и книжное дело в XIX – XXI веке : к 100-лет. Санкт-Петербургск. гос. инст. культуры”, 26-27 апр. 2018, Санкт-Петербург.</v>
      </c>
      <c r="D70" s="10">
        <f ca="1">IFERROR(__xludf.DUMMYFUNCTION("""COMPUTED_VALUE"""),2018)</f>
        <v>2018</v>
      </c>
      <c r="E70" s="10" t="str">
        <f ca="1">IFERROR(__xludf.DUMMYFUNCTION("""COMPUTED_VALUE"""),"// Тр. Санкт-Петербургск. гос. инст. культуры : Книга и книжное дело в ХІХ-ХХІ в. : Материалы межд. науч. конф. „Смирдинские чтения”, 26-27 апр. 2018, Санкт-Петербург. – ISSN 2308-0051. – Т. 217, 2018, с. 7-12. – Библиогр.: 2 нум. назв.: дис. тр. И. Б. (о"&amp;"пущена прил. в ориг. рукоп. библиогр.: в 73 нум. прим. 201 ненум. записей). – Ведущая публ. в изд., посв. 100-лет. Санкт-Петербургск. гос. инст. культуры. Публ. и в: &lt;http://spbgik.ru/works/&gt; &lt;http://elibrary.ru/title_about.asp?id=37883&gt; &lt;http://cyberleni"&amp;"nka.ru/journal/n/&gt; &lt;trudy-sankt-peterburgskogo-gosudarstvennogo-universiteta-kultury-i-iskusstv&gt;.")</f>
        <v>// Тр. Санкт-Петербургск. гос. инст. культуры : Книга и книжное дело в ХІХ-ХХІ в. : Материалы межд. науч. конф. „Смирдинские чтения”, 26-27 апр. 2018, Санкт-Петербург. – ISSN 2308-0051. – Т. 217, 2018, с. 7-12. – Библиогр.: 2 нум. назв.: дис. тр. И. Б. (опущена прил. в ориг. рукоп. библиогр.: в 73 нум. прим. 201 ненум. записей). – Ведущая публ. в изд., посв. 100-лет. Санкт-Петербургск. гос. инст. культуры. Публ. и в: &lt;http://spbgik.ru/works/&gt; &lt;http://elibrary.ru/title_about.asp?id=37883&gt; &lt;http://cyberleninka.ru/journal/n/&gt; &lt;trudy-sankt-peterburgskogo-gosudarstvennogo-universiteta-kultury-i-iskusstv&gt;.</v>
      </c>
      <c r="F70" s="10"/>
      <c r="G70" s="10"/>
      <c r="H70" s="10"/>
      <c r="I70" s="10"/>
      <c r="J70" s="10"/>
      <c r="K70" s="10"/>
      <c r="L70" s="10"/>
      <c r="M70" s="10"/>
      <c r="N70" s="10"/>
      <c r="O70" s="10"/>
      <c r="P70" s="10"/>
      <c r="Q70" s="10"/>
      <c r="R70" s="10"/>
      <c r="S70" s="10"/>
      <c r="T70" s="10"/>
      <c r="U70" s="10"/>
      <c r="V70" s="10"/>
      <c r="W70" s="10"/>
      <c r="X70" s="10"/>
      <c r="Y70" s="10"/>
      <c r="Z70" s="10"/>
    </row>
    <row r="71" spans="1:26" ht="12.75">
      <c r="A71" s="10" t="str">
        <f ca="1">IFERROR(__xludf.DUMMYFUNCTION("""COMPUTED_VALUE"""),"Александра Венкова Куманова")</f>
        <v>Александра Венкова Куманова</v>
      </c>
      <c r="B71" s="10" t="str">
        <f ca="1">IFERROR(__xludf.DUMMYFUNCTION("""COMPUTED_VALUE"""),"Статия в списания и поредици")</f>
        <v>Статия в списания и поредици</v>
      </c>
      <c r="C71" s="10" t="str">
        <f ca="1">IFERROR(__xludf.DUMMYFUNCTION("""COMPUTED_VALUE"""),"Семиозис на Умберто Еко (Нишката на Ариадна и личността в лабиринта на информацията : Кадастър на универсалното знание) / Епигр.: „Името Божие е Бог; но Бог не е име.” – о. Павел Флоренски ; Посв.: По случай 50 години от излизането на първата фундаменталн"&amp;"а теоретична студия по семиотика на Умберто Еко (1932-1916) La Struttura Assente (1968) – The Absent Structure – „Отсъстващата структура”, която е с непреходно значение.")</f>
        <v>Семиозис на Умберто Еко (Нишката на Ариадна и личността в лабиринта на информацията : Кадастър на универсалното знание) / Епигр.: „Името Божие е Бог; но Бог не е име.” – о. Павел Флоренски ; Посв.: По случай 50 години от излизането на първата фундаментална теоретична студия по семиотика на Умберто Еко (1932-1916) La Struttura Assente (1968) – The Absent Structure – „Отсъстващата структура”, която е с непреходно значение.</v>
      </c>
      <c r="D71" s="10">
        <f ca="1">IFERROR(__xludf.DUMMYFUNCTION("""COMPUTED_VALUE"""),2018)</f>
        <v>2018</v>
      </c>
      <c r="E71" s="10" t="str">
        <f ca="1">IFERROR(__xludf.DUMMYFUNCTION("""COMPUTED_VALUE"""),"// Информ. бюл. на Центр. библ. на БАН (София). – ISSN 1312-9899. – 2018, N 1 (110), с. 4-11 : с ил. &lt;http://cl.bas.bg/za-centralna-biblioteka-1/byuletin-na-cb-na-ban/byuletin-na-cb-na-ban&gt;.")</f>
        <v>// Информ. бюл. на Центр. библ. на БАН (София). – ISSN 1312-9899. – 2018, N 1 (110), с. 4-11 : с ил. &lt;http://cl.bas.bg/za-centralna-biblioteka-1/byuletin-na-cb-na-ban/byuletin-na-cb-na-ban&gt;.</v>
      </c>
      <c r="F71" s="10"/>
      <c r="G71" s="10"/>
      <c r="H71" s="10"/>
      <c r="I71" s="10"/>
      <c r="J71" s="10"/>
      <c r="K71" s="10"/>
      <c r="L71" s="10"/>
      <c r="M71" s="10"/>
      <c r="N71" s="10"/>
      <c r="O71" s="10"/>
      <c r="P71" s="10"/>
      <c r="Q71" s="10"/>
      <c r="R71" s="10"/>
      <c r="S71" s="10"/>
      <c r="T71" s="10"/>
      <c r="U71" s="10"/>
      <c r="V71" s="10"/>
      <c r="W71" s="10"/>
      <c r="X71" s="10"/>
      <c r="Y71" s="10"/>
      <c r="Z71" s="10"/>
    </row>
    <row r="72" spans="1:26" ht="12.75">
      <c r="A72" s="10" t="str">
        <f ca="1">IFERROR(__xludf.DUMMYFUNCTION("""COMPUTED_VALUE"""),"Александра Венкова Куманова")</f>
        <v>Александра Венкова Куманова</v>
      </c>
      <c r="B72" s="10" t="str">
        <f ca="1">IFERROR(__xludf.DUMMYFUNCTION("""COMPUTED_VALUE"""),"Статия в списания и поредици")</f>
        <v>Статия в списания и поредици</v>
      </c>
      <c r="C72" s="10" t="str">
        <f ca="1">IFERROR(__xludf.DUMMYFUNCTION("""COMPUTED_VALUE"""),"Представителна извадка от TABULA GRATULATORUM (Публикации за целите на библиотекознанието, библиографията и книгознанието на докторанти и студенти от катедра „Библиотечни науки” за периода 2013-2017 г. и 2018 г.")</f>
        <v>Представителна извадка от TABULA GRATULATORUM (Публикации за целите на библиотекознанието, библиографията и книгознанието на докторанти и студенти от катедра „Библиотечни науки” за периода 2013-2017 г. и 2018 г.</v>
      </c>
      <c r="D72" s="10">
        <f ca="1">IFERROR(__xludf.DUMMYFUNCTION("""COMPUTED_VALUE"""),2018)</f>
        <v>2018</v>
      </c>
      <c r="E72" s="10" t="str">
        <f ca="1">IFERROR(__xludf.DUMMYFUNCTION("""COMPUTED_VALUE"""),"; по Трудовете на СНО при УниБИТ, публикувани във вътрешната електронна страница на СНО &lt;http://www.unibit.sno.bg&gt; се проследяват курсовете на студентите; в настоящата извадка е включен 1% от масива, представен в Ректората на УниБИТ). Систематизиран хроно"&amp;"логично-азбучен библиографски списък на публикациите на членовете на Студентското научно общество на университета, осъществени под научното ръководство или рецензирането на проф. д.п.н. Александра Куманова под научната редакция на ас. д-р Николай Василев "&amp;"/ А. Куманова, Н. Василев, И. Камбурова (N 2207-2). // Тр. на Студентското научно общество при УниБИТ (София). – ISSN 1314-2526. – Т. ХІІІ, 2018, с. 572-578.")</f>
        <v>; по Трудовете на СНО при УниБИТ, публикувани във вътрешната електронна страница на СНО &lt;http://www.unibit.sno.bg&gt; се проследяват курсовете на студентите; в настоящата извадка е включен 1% от масива, представен в Ректората на УниБИТ). Систематизиран хронологично-азбучен библиографски списък на публикациите на членовете на Студентското научно общество на университета, осъществени под научното ръководство или рецензирането на проф. д.п.н. Александра Куманова под научната редакция на ас. д-р Николай Василев / А. Куманова, Н. Василев, И. Камбурова (N 2207-2). // Тр. на Студентското научно общество при УниБИТ (София). – ISSN 1314-2526. – Т. ХІІІ, 2018, с. 572-578.</v>
      </c>
      <c r="F72" s="10"/>
      <c r="G72" s="10" t="str">
        <f ca="1">IFERROR(__xludf.DUMMYFUNCTION("""COMPUTED_VALUE"""),"А. Куманова, Н. Василев, И. Камбурова")</f>
        <v>А. Куманова, Н. Василев, И. Камбурова</v>
      </c>
      <c r="H72" s="10"/>
      <c r="I72" s="10"/>
      <c r="J72" s="10"/>
      <c r="K72" s="10"/>
      <c r="L72" s="10"/>
      <c r="M72" s="10"/>
      <c r="N72" s="10"/>
      <c r="O72" s="10"/>
      <c r="P72" s="10"/>
      <c r="Q72" s="10"/>
      <c r="R72" s="10"/>
      <c r="S72" s="10"/>
      <c r="T72" s="10"/>
      <c r="U72" s="10"/>
      <c r="V72" s="10"/>
      <c r="W72" s="10"/>
      <c r="X72" s="10"/>
      <c r="Y72" s="10"/>
      <c r="Z72" s="10"/>
    </row>
    <row r="73" spans="1:26" ht="12.75">
      <c r="A73" s="10" t="str">
        <f ca="1">IFERROR(__xludf.DUMMYFUNCTION("""COMPUTED_VALUE"""),"Александра Венкова Куманова")</f>
        <v>Александра Венкова Куманова</v>
      </c>
      <c r="B73" s="10" t="str">
        <f ca="1">IFERROR(__xludf.DUMMYFUNCTION("""COMPUTED_VALUE"""),"Доклад от конференция")</f>
        <v>Доклад от конференция</v>
      </c>
      <c r="C73" s="10" t="str">
        <f ca="1">IFERROR(__xludf.DUMMYFUNCTION("""COMPUTED_VALUE"""),"Панорама научной школы библиосферы – инфосферы – ноосферы Болгарии в энциклопедических изданиях и многоязычных словарях")</f>
        <v>Панорама научной школы библиосферы – инфосферы – ноосферы Болгарии в энциклопедических изданиях и многоязычных словарях</v>
      </c>
      <c r="D73" s="10">
        <f ca="1">IFERROR(__xludf.DUMMYFUNCTION("""COMPUTED_VALUE"""),2018)</f>
        <v>2018</v>
      </c>
      <c r="E73" s="10" t="str">
        <f ca="1">IFERROR(__xludf.DUMMYFUNCTION("""COMPUTED_VALUE"""),"Двадцать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Крым, 16-24 июня 2018 г. [Ел. ресурс] : Материалы = Twenty-Fifth Jubilee international conferen"&amp;"ce „Crimea 2018” „Libraries and information resources in the modern world of science, culture, education, and business”, Crimea, 16-24 June, 2018 : Proceedings / Гос. публ. науч.-техн. библ. России ; М-во культуры Рос. Фед. ; Фед. агенство по печати и мас"&amp;"с. коммуникациям туризма ; М-во куультуры Респ. Крым ; Нац. библ. ассоц. „Библ. будущего” (НАББ) ; Рос. гос. библ. ; Рос. нац. библ. ; Всеросс. гос. иностр. библ. иностр. лит. им. М. И. Рудомино ; Междунар. ассоц. пользователей и разработчиков эл. библ. и"&amp;" новых информ. технолог. – Судак, 2018. – 1 оптичен диск (CD-ROM), с. 1-10. – Библиогр.: 14 неномерирани загл. в 9 номерирани бел. – ISBN 978-5-85638-214-2. – Рез. на рус. и англ. ез.")</f>
        <v>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Крым, 16-24 июня 2018 г. [Ел. ресурс] : Материалы = Twenty-Fifth Jubilee international conference „Crimea 2018” „Libraries and information resources in the modern world of science, culture, education, and business”, Crimea, 16-24 June, 2018 : Proceedings / Гос. публ. науч.-техн. библ. России ; М-во культуры Рос. Фед. ; Фед. агенство по печати и масс. коммуникациям туризма ; М-во куультуры Респ. Крым ; Нац. библ. ассоц. „Библ. будущего” (НАББ) ; Рос. гос. библ. ; Рос. нац. библ. ; Всеросс. гос. иностр. библ. иностр. лит. им. М. И. Рудомино ; Междунар. ассоц. пользователей и разработчиков эл. библ. и новых информ. технолог. – Судак, 2018. – 1 оптичен диск (CD-ROM), с. 1-10. – Библиогр.: 14 неномерирани загл. в 9 номерирани бел. – ISBN 978-5-85638-214-2. – Рез. на рус. и англ. ез.</v>
      </c>
      <c r="F73" s="10" t="str">
        <f ca="1">IFERROR(__xludf.DUMMYFUNCTION("""COMPUTED_VALUE"""),"Google Scholar")</f>
        <v>Google Scholar</v>
      </c>
      <c r="G73" s="10" t="str">
        <f ca="1">IFERROR(__xludf.DUMMYFUNCTION("""COMPUTED_VALUE"""),"Стоян Денчев")</f>
        <v>Стоян Денчев</v>
      </c>
      <c r="H73" s="10"/>
      <c r="I73" s="10"/>
      <c r="J73" s="10"/>
      <c r="K73" s="10"/>
      <c r="L73" s="10"/>
      <c r="M73" s="10"/>
      <c r="N73" s="10"/>
      <c r="O73" s="10"/>
      <c r="P73" s="10"/>
      <c r="Q73" s="10"/>
      <c r="R73" s="10"/>
      <c r="S73" s="10"/>
      <c r="T73" s="10"/>
      <c r="U73" s="10"/>
      <c r="V73" s="10"/>
      <c r="W73" s="10"/>
      <c r="X73" s="10"/>
      <c r="Y73" s="10"/>
      <c r="Z73" s="10"/>
    </row>
    <row r="74" spans="1:26" ht="12.75">
      <c r="A74" s="10" t="str">
        <f ca="1">IFERROR(__xludf.DUMMYFUNCTION("""COMPUTED_VALUE"""),"Александра Венкова Куманова")</f>
        <v>Александра Венкова Куманова</v>
      </c>
      <c r="B74" s="10" t="str">
        <f ca="1">IFERROR(__xludf.DUMMYFUNCTION("""COMPUTED_VALUE"""),"Доклад от конференция")</f>
        <v>Доклад от конференция</v>
      </c>
      <c r="C74" s="10" t="str">
        <f ca="1">IFERROR(__xludf.DUMMYFUNCTION("""COMPUTED_VALUE"""),"Когнитология энциклопедичности библиотечной и информационной деятельности (Теоретико-методологический дискурс)")</f>
        <v>Когнитология энциклопедичности библиотечной и информационной деятельности (Теоретико-методологический дискурс)</v>
      </c>
      <c r="D74" s="10">
        <f ca="1">IFERROR(__xludf.DUMMYFUNCTION("""COMPUTED_VALUE"""),2018)</f>
        <v>2018</v>
      </c>
      <c r="E74" s="10" t="str">
        <f ca="1">IFERROR(__xludf.DUMMYFUNCTION("""COMPUTED_VALUE"""),"Роль библиографии в информационном обеспечении исторической науки : сб. ст. / Междунар. науч. конф. „Роль библиогр. в информ. обеспечении ист. науки” – Москва, Гос. публ. ист. б-ка России, 19.04.2018 г. ; Совм. засед. секц. 24 (Секц. библиогр. и информ.-б"&amp;"иблиогр. обслуж.) и 34 (Секц. по особо ценным рукописн. док. и редк. кн.) „Роль библиогр. в информ. обеспечении ист. науки” на Всерос. библиотечн. конгр. ХХІІІ ежегодн. конф. – ХХІІІ ежегодн. конф. Рос. библ. ассоц., Владимир, 15.05.2018 г. ; Авт.-сост. Е"&amp;". А. Воронцова ; отв. ред. М. Д. Афанасьев, Н. К. Леликова, А. Ю. Самарин. – Москва, 2018. – ISBN 978-5-480-00399-4. – с. 204-216. – Библиогр.: 7 неномерирани назв. – Рез. на рус. и англ. ез.")</f>
        <v>Роль библиографии в информационном обеспечении исторической науки : сб. ст. / Междунар. науч. конф. „Роль библиогр. в информ. обеспечении ист. науки” – Москва, Гос. публ. ист. б-ка России, 19.04.2018 г. ; Совм. засед. секц. 24 (Секц. библиогр. и информ.-библиогр. обслуж.) и 34 (Секц. по особо ценным рукописн. док. и редк. кн.) „Роль библиогр. в информ. обеспечении ист. науки” на Всерос. библиотечн. конгр. ХХІІІ ежегодн. конф. – ХХІІІ ежегодн. конф. Рос. библ. ассоц., Владимир, 15.05.2018 г. ; Авт.-сост. Е. А. Воронцова ; отв. ред. М. Д. Афанасьев, Н. К. Леликова, А. Ю. Самарин. – Москва, 2018. – ISBN 978-5-480-00399-4. – с. 204-216. – Библиогр.: 7 неномерирани назв. – Рез. на рус. и англ. ез.</v>
      </c>
      <c r="F74" s="10" t="str">
        <f ca="1">IFERROR(__xludf.DUMMYFUNCTION("""COMPUTED_VALUE"""),"&lt;https://izvuz_gn.pnzgu.ru/gn10119&gt; 
 &lt;izvuz_gn.pnzgu.ru&gt;")</f>
        <v>&lt;https://izvuz_gn.pnzgu.ru/gn10119&gt; 
 &lt;izvuz_gn.pnzgu.ru&gt;</v>
      </c>
      <c r="G74" s="10" t="str">
        <f ca="1">IFERROR(__xludf.DUMMYFUNCTION("""COMPUTED_VALUE"""),"Николай Василев")</f>
        <v>Николай Василев</v>
      </c>
      <c r="H74" s="10"/>
      <c r="I74" s="10"/>
      <c r="J74" s="10"/>
      <c r="K74" s="10"/>
      <c r="L74" s="10"/>
      <c r="M74" s="10"/>
      <c r="N74" s="10"/>
      <c r="O74" s="10"/>
      <c r="P74" s="10"/>
      <c r="Q74" s="10"/>
      <c r="R74" s="10"/>
      <c r="S74" s="10"/>
      <c r="T74" s="10"/>
      <c r="U74" s="10"/>
      <c r="V74" s="10"/>
      <c r="W74" s="10"/>
      <c r="X74" s="10"/>
      <c r="Y74" s="10"/>
      <c r="Z74" s="10"/>
    </row>
    <row r="75" spans="1:26" ht="12.75">
      <c r="A75" s="10" t="str">
        <f ca="1">IFERROR(__xludf.DUMMYFUNCTION("""COMPUTED_VALUE"""),"Александра Венкова Куманова")</f>
        <v>Александра Венкова Куманова</v>
      </c>
      <c r="B75" s="10" t="str">
        <f ca="1">IFERROR(__xludf.DUMMYFUNCTION("""COMPUTED_VALUE"""),"Доклад от конференция")</f>
        <v>Доклад от конференция</v>
      </c>
      <c r="C75" s="10" t="str">
        <f ca="1">IFERROR(__xludf.DUMMYFUNCTION("""COMPUTED_VALUE"""),"Генезис на библиографската теория във Франция, Великобритания и Германия (ХVІІІ-ХІХ в.) (Към въпроса за описанието на дистинкцията в лексикографията на именуването на библиографските форми : Морфология на различията)")</f>
        <v>Генезис на библиографската теория във Франция, Великобритания и Германия (ХVІІІ-ХІХ в.) (Към въпроса за описанието на дистинкцията в лексикографията на именуването на библиографските форми : Морфология на различията)</v>
      </c>
      <c r="D75" s="10">
        <f ca="1">IFERROR(__xludf.DUMMYFUNCTION("""COMPUTED_VALUE"""),2017)</f>
        <v>2017</v>
      </c>
      <c r="E75" s="10" t="str">
        <f ca="1">IFERROR(__xludf.DUMMYFUNCTION("""COMPUTED_VALUE"""),"Обществото на знанието и хуманизмът на ХХІ век (София). – ISSN 1314-7099. – 2017, с. 57-67.")</f>
        <v>Обществото на знанието и хуманизмът на ХХІ век (София). – ISSN 1314-7099. – 2017, с. 57-67.</v>
      </c>
      <c r="F75" s="10"/>
      <c r="G75" s="10" t="str">
        <f ca="1">IFERROR(__xludf.DUMMYFUNCTION("""COMPUTED_VALUE"""),"Н. Василев")</f>
        <v>Н. Василев</v>
      </c>
      <c r="H75" s="10"/>
      <c r="I75" s="10"/>
      <c r="J75" s="10"/>
      <c r="K75" s="10"/>
      <c r="L75" s="10"/>
      <c r="M75" s="10"/>
      <c r="N75" s="10"/>
      <c r="O75" s="10"/>
      <c r="P75" s="10"/>
      <c r="Q75" s="10"/>
      <c r="R75" s="10"/>
      <c r="S75" s="10"/>
      <c r="T75" s="10"/>
      <c r="U75" s="10"/>
      <c r="V75" s="10"/>
      <c r="W75" s="10"/>
      <c r="X75" s="10"/>
      <c r="Y75" s="10"/>
      <c r="Z75" s="10"/>
    </row>
    <row r="76" spans="1:26" ht="12.75">
      <c r="A76" s="10" t="str">
        <f ca="1">IFERROR(__xludf.DUMMYFUNCTION("""COMPUTED_VALUE"""),"Александра Венкова Куманова")</f>
        <v>Александра Венкова Куманова</v>
      </c>
      <c r="B76" s="10" t="str">
        <f ca="1">IFERROR(__xludf.DUMMYFUNCTION("""COMPUTED_VALUE"""),"Статия в списания и поредици")</f>
        <v>Статия в списания и поредици</v>
      </c>
      <c r="C76"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76" s="10">
        <f ca="1">IFERROR(__xludf.DUMMYFUNCTION("""COMPUTED_VALUE"""),2017)</f>
        <v>2017</v>
      </c>
      <c r="E76" s="10" t="str">
        <f ca="1">IFERROR(__xludf.DUMMYFUNCTION("""COMPUTED_VALUE"""),"За буквите – О писменехь : Кирило-Методиевски вестник (София). – ISSN 1312-3785. – N 49, март 2017, с. 7. – Редуц. публ.")</f>
        <v>За буквите – О писменехь : Кирило-Методиевски вестник (София). – ISSN 1312-3785. – N 49, март 2017, с. 7. – Редуц. публ.</v>
      </c>
      <c r="F76" s="10" t="str">
        <f ca="1">IFERROR(__xludf.DUMMYFUNCTION("""COMPUTED_VALUE"""),"Публ. &lt;http://www.unibit.bg&gt;")</f>
        <v>Публ. &lt;http://www.unibit.bg&gt;</v>
      </c>
      <c r="G76" s="10" t="str">
        <f ca="1">IFERROR(__xludf.DUMMYFUNCTION("""COMPUTED_VALUE"""),"Съавт.: [С. Денчев, А. Куманова, Н. Казански, Н. Василев]")</f>
        <v>Съавт.: [С. Денчев, А. Куманова, Н. Казански, Н. Василев]</v>
      </c>
      <c r="H76" s="10"/>
      <c r="I76" s="10"/>
      <c r="J76" s="10"/>
      <c r="K76" s="10"/>
      <c r="L76" s="10"/>
      <c r="M76" s="10"/>
      <c r="N76" s="10"/>
      <c r="O76" s="10"/>
      <c r="P76" s="10"/>
      <c r="Q76" s="10"/>
      <c r="R76" s="10"/>
      <c r="S76" s="10"/>
      <c r="T76" s="10"/>
      <c r="U76" s="10"/>
      <c r="V76" s="10"/>
      <c r="W76" s="10"/>
      <c r="X76" s="10"/>
      <c r="Y76" s="10"/>
      <c r="Z76" s="10"/>
    </row>
    <row r="77" spans="1:26" ht="12.75">
      <c r="A77" s="10" t="str">
        <f ca="1">IFERROR(__xludf.DUMMYFUNCTION("""COMPUTED_VALUE"""),"Александра Венкова Куманова")</f>
        <v>Александра Венкова Куманова</v>
      </c>
      <c r="B77" s="10" t="str">
        <f ca="1">IFERROR(__xludf.DUMMYFUNCTION("""COMPUTED_VALUE"""),"Учебник")</f>
        <v>Учебник</v>
      </c>
      <c r="C77" s="10" t="str">
        <f ca="1">IFERROR(__xludf.DUMMYFUNCTION("""COMPUTED_VALUE"""),"Ризома на инфосферата. Генезис на световната универсална библиография")</f>
        <v>Ризома на инфосферата. Генезис на световната универсална библиография</v>
      </c>
      <c r="D77" s="10">
        <f ca="1">IFERROR(__xludf.DUMMYFUNCTION("""COMPUTED_VALUE"""),2017)</f>
        <v>2017</v>
      </c>
      <c r="E77" s="10" t="str">
        <f ca="1">IFERROR(__xludf.DUMMYFUNCTION("""COMPUTED_VALUE"""),"Учебник по общо библиографознание / Предг., рец. С. Денчев ; Обща ред., дейксис Н. Василев ; Експертна ред. Н. Казански ; Библиогр. ред. М. Максимова ; Терминолог. ред. Д. Ралева ; Справ.-информ. ред. Ц. Найденова, А. Даскалов ; Рец. А. Соколов ... [и др."&amp;"]. – Ново ел. изд. – София : За буквите – О писменехь, 2017. – CCCLІІ, 534 с. : с 350 ил., 59 сх., 22 репрод. – (Факлоносци ; ХХ) ISBN 978-619-185-295-6")</f>
        <v>Учебник по общо библиографознание / Предг., рец. С. Денчев ; Обща ред., дейксис Н. Василев ; Експертна ред. Н. Казански ; Библиогр. ред. М. Максимова ; Терминолог. ред. Д. Ралева ; Справ.-информ. ред. Ц. Найденова, А. Даскалов ; Рец. А. Соколов ... [и др.]. – Ново ел. изд. – София : За буквите – О писменехь, 2017. – CCCLІІ, 534 с. : с 350 ил., 59 сх., 22 репрод. – (Факлоносци ; ХХ) ISBN 978-619-185-295-6</v>
      </c>
      <c r="F77" s="10"/>
      <c r="G77" s="10"/>
      <c r="H77" s="10"/>
      <c r="I77" s="10"/>
      <c r="J77" s="10"/>
      <c r="K77" s="10"/>
      <c r="L77" s="10"/>
      <c r="M77" s="10"/>
      <c r="N77" s="10"/>
      <c r="O77" s="10"/>
      <c r="P77" s="10"/>
      <c r="Q77" s="10"/>
      <c r="R77" s="10"/>
      <c r="S77" s="10"/>
      <c r="T77" s="10"/>
      <c r="U77" s="10"/>
      <c r="V77" s="10"/>
      <c r="W77" s="10"/>
      <c r="X77" s="10"/>
      <c r="Y77" s="10"/>
      <c r="Z77" s="10"/>
    </row>
    <row r="78" spans="1:26" ht="12.75">
      <c r="A78" s="10" t="str">
        <f ca="1">IFERROR(__xludf.DUMMYFUNCTION("""COMPUTED_VALUE"""),"Александра Венкова Куманова")</f>
        <v>Александра Венкова Куманова</v>
      </c>
      <c r="B78" s="10" t="str">
        <f ca="1">IFERROR(__xludf.DUMMYFUNCTION("""COMPUTED_VALUE"""),"Доклад от конференция")</f>
        <v>Доклад от конференция</v>
      </c>
      <c r="C78" s="10" t="str">
        <f ca="1">IFERROR(__xludf.DUMMYFUNCTION("""COMPUTED_VALUE"""),"Синоптическая таблица мировой универсальной библиографии ІІІ в. до н.э. – ХХІ в. : атлас [79 ном. назв. с букв. индекс.] (модель вторично-документального контура библио-инфо-ноосферы планеты)")</f>
        <v>Синоптическая таблица мировой универсальной библиографии ІІІ в. до н.э. – ХХІ в. : атлас [79 ном. назв. с букв. индекс.] (модель вторично-документального контура библио-инфо-ноосферы планеты)</v>
      </c>
      <c r="D78" s="10">
        <f ca="1">IFERROR(__xludf.DUMMYFUNCTION("""COMPUTED_VALUE"""),2017)</f>
        <v>2017</v>
      </c>
      <c r="E78" s="10" t="str">
        <f ca="1">IFERROR(__xludf.DUMMYFUNCTION("""COMPUTED_VALUE"""),"// Сахаровские чтения-2017 : Сб. ст. по материалам VІ межд. науч.-практ. конф., посв. 155-лет. Н. А. Рубакина и грядущему 100-лет. СПбГИК, Санкт-Петербург, 1-2 дек. 2017 г. / С.-Петерб. гос. инст. культуры ; науч. ред. М. Н. Колесникова. – Санкт-Петербург"&amp;", 2017. – ISBN 978-5-8392-0690-8. – с. 96-100.")</f>
        <v>// Сахаровские чтения-2017 : Сб. ст. по материалам VІ межд. науч.-практ. конф., посв. 155-лет. Н. А. Рубакина и грядущему 100-лет. СПбГИК, Санкт-Петербург, 1-2 дек. 2017 г. / С.-Петерб. гос. инст. культуры ; науч. ред. М. Н. Колесникова. – Санкт-Петербург, 2017. – ISBN 978-5-8392-0690-8. – с. 96-100.</v>
      </c>
      <c r="F78" s="10"/>
      <c r="G78" s="10"/>
      <c r="H78" s="10"/>
      <c r="I78" s="10"/>
      <c r="J78" s="10"/>
      <c r="K78" s="10"/>
      <c r="L78" s="10"/>
      <c r="M78" s="10"/>
      <c r="N78" s="10"/>
      <c r="O78" s="10"/>
      <c r="P78" s="10"/>
      <c r="Q78" s="10"/>
      <c r="R78" s="10"/>
      <c r="S78" s="10"/>
      <c r="T78" s="10"/>
      <c r="U78" s="10"/>
      <c r="V78" s="10"/>
      <c r="W78" s="10"/>
      <c r="X78" s="10"/>
      <c r="Y78" s="10"/>
      <c r="Z78" s="10"/>
    </row>
    <row r="79" spans="1:26" ht="12.75">
      <c r="A79" s="10" t="str">
        <f ca="1">IFERROR(__xludf.DUMMYFUNCTION("""COMPUTED_VALUE"""),"Александра Венкова Куманова")</f>
        <v>Александра Венкова Куманова</v>
      </c>
      <c r="B79" s="10" t="str">
        <f ca="1">IFERROR(__xludf.DUMMYFUNCTION("""COMPUTED_VALUE"""),"Доклад от конференция")</f>
        <v>Доклад от конференция</v>
      </c>
      <c r="C79" s="10" t="str">
        <f ca="1">IFERROR(__xludf.DUMMYFUNCTION("""COMPUTED_VALUE"""),"Научните изследвания в областта на информационно-комуникативната сфера (Комплексът: Библиотекознание – Библиография – Книгознание) в „Трудове на Студентското научно общество при УниБИТ” – томове І-ХІ (2005-2016 г.) (Обобщена контурна информационна картина"&amp;" на качеството)")</f>
        <v>Научните изследвания в областта на информационно-комуникативната сфера (Комплексът: Библиотекознание – Библиография – Книгознание) в „Трудове на Студентското научно общество при УниБИТ” – томове І-ХІ (2005-2016 г.) (Обобщена контурна информационна картина на качеството)</v>
      </c>
      <c r="D79" s="10">
        <f ca="1">IFERROR(__xludf.DUMMYFUNCTION("""COMPUTED_VALUE"""),2017)</f>
        <v>2017</v>
      </c>
      <c r="E79" s="10" t="str">
        <f ca="1">IFERROR(__xludf.DUMMYFUNCTION("""COMPUTED_VALUE"""),"Докл. на ХІІ Студентска науч. конф. и изложба на УниБИТ. // Тр. на Студентското науч. о-во при Унив. по библиотекознание и информ. технолог. (София). – ISSN 1314-2526. – Т. ХІІ, 2017, с. 193-206.")</f>
        <v>Докл. на ХІІ Студентска науч. конф. и изложба на УниБИТ. // Тр. на Студентското науч. о-во при Унив. по библиотекознание и информ. технолог. (София). – ISSN 1314-2526. – Т. ХІІ, 2017, с. 193-206.</v>
      </c>
      <c r="F79" s="10"/>
      <c r="G79" s="10"/>
      <c r="H79" s="10"/>
      <c r="I79" s="10"/>
      <c r="J79" s="10"/>
      <c r="K79" s="10"/>
      <c r="L79" s="10"/>
      <c r="M79" s="10"/>
      <c r="N79" s="10"/>
      <c r="O79" s="10"/>
      <c r="P79" s="10"/>
      <c r="Q79" s="10"/>
      <c r="R79" s="10"/>
      <c r="S79" s="10"/>
      <c r="T79" s="10"/>
      <c r="U79" s="10"/>
      <c r="V79" s="10"/>
      <c r="W79" s="10"/>
      <c r="X79" s="10"/>
      <c r="Y79" s="10"/>
      <c r="Z79" s="10"/>
    </row>
    <row r="80" spans="1:26" ht="12.75">
      <c r="A80" s="10" t="str">
        <f ca="1">IFERROR(__xludf.DUMMYFUNCTION("""COMPUTED_VALUE"""),"Александра Венкова Куманова")</f>
        <v>Александра Венкова Куманова</v>
      </c>
      <c r="B80" s="10" t="str">
        <f ca="1">IFERROR(__xludf.DUMMYFUNCTION("""COMPUTED_VALUE"""),"Доклад от конференция")</f>
        <v>Доклад от конференция</v>
      </c>
      <c r="C80" s="10" t="str">
        <f ca="1">IFERROR(__xludf.DUMMYFUNCTION("""COMPUTED_VALUE"""),"Електронна библиотека UNIVERSALICA – среща на традиционната библиография с информационно-комуникативните технологии в информационното общество = Electronic library UNIVERSALICA – meeting of the traditional bibliography with the information and communicati"&amp;"on technologies in the information society")</f>
        <v>Електронна библиотека UNIVERSALICA – среща на традиционната библиография с информационно-комуникативните технологии в информационното общество = Electronic library UNIVERSALICA – meeting of the traditional bibliography with the information and communication technologies in the information society</v>
      </c>
      <c r="D80" s="10">
        <f ca="1">IFERROR(__xludf.DUMMYFUNCTION("""COMPUTED_VALUE"""),2017)</f>
        <v>2017</v>
      </c>
      <c r="E80" s="10" t="str">
        <f ca="1">IFERROR(__xludf.DUMMYFUNCTION("""COMPUTED_VALUE"""),"съвременното информационно общество : Сб. с докл. от Кръгла маса (София, 4.10.2017 г.) / Състав. К. Рашева-Йорданова. – София, 2017. – ISBN 978-619-185-299-4. – с. 25-43. – Съавт.: Н. Казански, Н. Василев. – Рез. на англ. ез. 
 Публ.: &lt;https://search.abv."&amp;"bg/search.php&gt; &lt;https://unesco.unibit.bg/sites/.../files/National_Conference-May29_2015.pdf&gt;.
 Кръглата маса и сборникът са реализирани в рамките на проект за частично финансиране на научни или творчески форуми на тема:
 „ИКТ – перспективи и развитие” с Д"&amp;"оговор N ПЧФНП 2017-05 по Наредба за условията и реда за оценката, планирането, разпределението и разходването на средствата от държавния бюджет за финансиране на присъщата на държавните висши училища научна или художественотворческа дейност на МОН.")</f>
        <v>съвременното информационно общество : Сб. с докл. от Кръгла маса (София, 4.10.2017 г.) / Състав. К. Рашева-Йорданова. – София, 2017. – ISBN 978-619-185-299-4. – с. 25-43. – Съавт.: Н. Казански, Н. Василев. – Рез. на англ. ез. 
 Публ.: &lt;https://search.abv.bg/search.php&gt; &lt;https://unesco.unibit.bg/sites/.../files/National_Conference-May29_2015.pdf&gt;.
 Кръглата маса и сборникът са реализирани в рамките на проект за частично финансиране на научни или творчески форуми на тема:
 „ИКТ – перспективи и развитие” с Договор N ПЧФНП 2017-05 по Наредба за условията и реда за оценката, планирането, разпределението и разходването на средствата от държавния бюджет за финансиране на присъщата на държавните висши училища научна или художественотворческа дейност на МОН.</v>
      </c>
      <c r="F80" s="10"/>
      <c r="G80" s="10" t="str">
        <f ca="1">IFERROR(__xludf.DUMMYFUNCTION("""COMPUTED_VALUE"""),"Н. Казански, Н. Василев")</f>
        <v>Н. Казански, Н. Василев</v>
      </c>
      <c r="H80" s="10"/>
      <c r="I80" s="10"/>
      <c r="J80" s="10"/>
      <c r="K80" s="10"/>
      <c r="L80" s="10"/>
      <c r="M80" s="10"/>
      <c r="N80" s="10"/>
      <c r="O80" s="10"/>
      <c r="P80" s="10"/>
      <c r="Q80" s="10"/>
      <c r="R80" s="10"/>
      <c r="S80" s="10"/>
      <c r="T80" s="10"/>
      <c r="U80" s="10"/>
      <c r="V80" s="10"/>
      <c r="W80" s="10"/>
      <c r="X80" s="10"/>
      <c r="Y80" s="10"/>
      <c r="Z80" s="10"/>
    </row>
    <row r="81" spans="1:26" ht="12.75">
      <c r="A81" s="10" t="str">
        <f ca="1">IFERROR(__xludf.DUMMYFUNCTION("""COMPUTED_VALUE"""),"Александра Венкова Куманова")</f>
        <v>Александра Венкова Куманова</v>
      </c>
      <c r="B81" s="10" t="str">
        <f ca="1">IFERROR(__xludf.DUMMYFUNCTION("""COMPUTED_VALUE"""),"Доклад от конференция")</f>
        <v>Доклад от конференция</v>
      </c>
      <c r="C81" s="10" t="str">
        <f ca="1">IFERROR(__xludf.DUMMYFUNCTION("""COMPUTED_VALUE"""),"The Study of Civilizations : The right way to the real Cultural Globalization (Life-giving tree of the historical and cultural development of the Humanity)")</f>
        <v>The Study of Civilizations : The right way to the real Cultural Globalization (Life-giving tree of the historical and cultural development of the Humanity)</v>
      </c>
      <c r="D81" s="10">
        <f ca="1">IFERROR(__xludf.DUMMYFUNCTION("""COMPUTED_VALUE"""),2017)</f>
        <v>2017</v>
      </c>
      <c r="E81" s="10" t="str">
        <f ca="1">IFERROR(__xludf.DUMMYFUNCTION("""COMPUTED_VALUE"""),"Наука в современном информационном обществе : XI Междунар. науч.-практ. конф. Философские науки : Science in the modern information society : Proceedings of the Conference. – North Charleston, USA, 13-14.03.2017. – North Charleston, USA, 2017. – ISBN 978-"&amp;"1544756592. – с. 190-202 : 10 Ill.")</f>
        <v>Наука в современном информационном обществе : XI Междунар. науч.-практ. конф. Философские науки : Science in the modern information society : Proceedings of the Conference. – North Charleston, USA, 13-14.03.2017. – North Charleston, USA, 2017. – ISBN 978-1544756592. – с. 190-202 : 10 Ill.</v>
      </c>
      <c r="F81" s="10" t="str">
        <f ca="1">IFERROR(__xludf.DUMMYFUNCTION("""COMPUTED_VALUE"""),"&lt;http://science-publish.ru/node/2&gt;")</f>
        <v>&lt;http://science-publish.ru/node/2&gt;</v>
      </c>
      <c r="G81" s="10" t="str">
        <f ca="1">IFERROR(__xludf.DUMMYFUNCTION("""COMPUTED_VALUE"""),"Coaut.: S. G. Denchev, A. V. Kumanova, N. R. Kazanski, N. K. Vasilev")</f>
        <v>Coaut.: S. G. Denchev, A. V. Kumanova, N. R. Kazanski, N. K. Vasilev</v>
      </c>
      <c r="H81" s="10"/>
      <c r="I81" s="10"/>
      <c r="J81" s="10"/>
      <c r="K81" s="10"/>
      <c r="L81" s="10"/>
      <c r="M81" s="10"/>
      <c r="N81" s="10"/>
      <c r="O81" s="10"/>
      <c r="P81" s="10"/>
      <c r="Q81" s="10"/>
      <c r="R81" s="10"/>
      <c r="S81" s="10"/>
      <c r="T81" s="10"/>
      <c r="U81" s="10"/>
      <c r="V81" s="10"/>
      <c r="W81" s="10"/>
      <c r="X81" s="10"/>
      <c r="Y81" s="10"/>
      <c r="Z81" s="10"/>
    </row>
    <row r="82" spans="1:26" ht="12.75">
      <c r="A82" s="10" t="str">
        <f ca="1">IFERROR(__xludf.DUMMYFUNCTION("""COMPUTED_VALUE"""),"Александра Венкова Куманова")</f>
        <v>Александра Венкова Куманова</v>
      </c>
      <c r="B82" s="10" t="str">
        <f ca="1">IFERROR(__xludf.DUMMYFUNCTION("""COMPUTED_VALUE"""),"Доклад от конференция")</f>
        <v>Доклад от конференция</v>
      </c>
      <c r="C82" s="10" t="str">
        <f ca="1">IFERROR(__xludf.DUMMYFUNCTION("""COMPUTED_VALUE"""),"Время и пространство как высшее существо или о свободе в библио-инфо-ноосфере (Когнитология энциклопедичности библиотечной и информационной деятельности. Целость и фрагментарность познания. Гармония многообразия. Панэпистемия : Феноменология двух энциклоп"&amp;"едических изданий)")</f>
        <v>Время и пространство как высшее существо или о свободе в библио-инфо-ноосфере (Когнитология энциклопедичности библиотечной и информационной деятельности. Целость и фрагментарность познания. Гармония многообразия. Панэпистемия : Феноменология двух энциклопедических изданий)</v>
      </c>
      <c r="D82" s="10">
        <f ca="1">IFERROR(__xludf.DUMMYFUNCTION("""COMPUTED_VALUE"""),2017)</f>
        <v>2017</v>
      </c>
      <c r="E82" s="10" t="str">
        <f ca="1">IFERROR(__xludf.DUMMYFUNCTION("""COMPUTED_VALUE"""),"Докл. // Ноосферное образование в евразийском пространстве. Т. 7, [Седьмая] VІІ международная научая конференция „Ноосферное образование в евразийском пространстве” – Санкт-Петербург, 7-8 декабря 2017 г. : [В 2 кн.] Кн. 2 / Смольн. инст. РАО, Ноосферная о"&amp;"бществ. акад., Рус. космич. о-во, Сев.-Вост. Федер. унив. им. М. К. Аммосова и др. ; Под науч. ред. Субетто А. И., Иманова Г. М. – Санкт-Петербург, 2017. – ISBN 978-5-00045-532-6 ; ISBN 978-5-00045-534-0. – с. 589-611. – Соавт. Н. Василев. – Разшир. публ.")</f>
        <v>Докл. // Ноосферное образование в евразийском пространстве. Т. 7, [Седьмая] VІІ международная научая конференция „Ноосферное образование в евразийском пространстве” – Санкт-Петербург, 7-8 декабря 2017 г. : [В 2 кн.] Кн. 2 / Смольн. инст. РАО, Ноосферная обществ. акад., Рус. космич. о-во, Сев.-Вост. Федер. унив. им. М. К. Аммосова и др. ; Под науч. ред. Субетто А. И., Иманова Г. М. – Санкт-Петербург, 2017. – ISBN 978-5-00045-532-6 ; ISBN 978-5-00045-534-0. – с. 589-611. – Соавт. Н. Василев. – Разшир. публ.</v>
      </c>
      <c r="F82" s="10"/>
      <c r="G82" s="10" t="str">
        <f ca="1">IFERROR(__xludf.DUMMYFUNCTION("""COMPUTED_VALUE"""),"Н. Василев.")</f>
        <v>Н. Василев.</v>
      </c>
      <c r="H82" s="10"/>
      <c r="I82" s="10"/>
      <c r="J82" s="10"/>
      <c r="K82" s="10"/>
      <c r="L82" s="10"/>
      <c r="M82" s="10"/>
      <c r="N82" s="10"/>
      <c r="O82" s="10"/>
      <c r="P82" s="10"/>
      <c r="Q82" s="10"/>
      <c r="R82" s="10"/>
      <c r="S82" s="10"/>
      <c r="T82" s="10"/>
      <c r="U82" s="10"/>
      <c r="V82" s="10"/>
      <c r="W82" s="10"/>
      <c r="X82" s="10"/>
      <c r="Y82" s="10"/>
      <c r="Z82" s="10"/>
    </row>
    <row r="83" spans="1:26" ht="12.75">
      <c r="A83" s="10" t="str">
        <f ca="1">IFERROR(__xludf.DUMMYFUNCTION("""COMPUTED_VALUE"""),"Александра Венкова Куманова")</f>
        <v>Александра Венкова Куманова</v>
      </c>
      <c r="B83" s="10" t="str">
        <f ca="1">IFERROR(__xludf.DUMMYFUNCTION("""COMPUTED_VALUE"""),"Книга")</f>
        <v>Книга</v>
      </c>
      <c r="C83" s="10" t="str">
        <f ca="1">IFERROR(__xludf.DUMMYFUNCTION("""COMPUTED_VALUE"""),"The Russian–Bulgarian–English dictionary of library and information terminology = Русско-болгаро-английский словарь по библиотечной и информационной деятельности = Руско-българо-английски речник по библиотечна и информационна дейност")</f>
        <v>The Russian–Bulgarian–English dictionary of library and information terminology = Русско-болгаро-английский словарь по библиотечной и информационной деятельности = Руско-българо-английски речник по библиотечна и информационна дейност</v>
      </c>
      <c r="D83" s="10">
        <f ca="1">IFERROR(__xludf.DUMMYFUNCTION("""COMPUTED_VALUE"""),2017)</f>
        <v>2017</v>
      </c>
      <c r="E83" s="10" t="str">
        <f ca="1">IFERROR(__xludf.DUMMYFUNCTION("""COMPUTED_VALUE"""),"Ново ел. изд. София : За буквите – О писменехь, 2017. – 818 с. – (Факлоносци ; ХVІІІ) Юбилейно изд., посв. на 70-год. на ЮНЕСКО и 65-год. на Унив. по библиотекознание и информ. технолог. Е ISBN 978-619-185-276-5 Публ. и в: &lt;http://www.unibit.sno.bg&gt; &lt;http"&amp;"s://www.researchgate.net/publication/316926648_THE_ENGLISH-RUSSIAN-BULGARIAN_DICTIONARY_OF_LIBRARY_AND_INFORMATION_TERMINOLOGY&gt; &lt;https://www.google.bg/search?q=%D0%95+ISBN+978-619-185-276-5&amp;ie=utf-8&amp;oe=utf-8&amp;client=firefox-b&amp;gfe_rd=cr&amp;ei= AilKWfSRE-jHXtPs"&amp;"nMAO&gt; &lt;http://lic.vumk.eu/Eng-Rus-Bulg-Dictionary-Library-Inform-Terminolog.pdf&gt; &lt;https://www.researchgate.net/profile/Alexandra_Kumanova&gt;")</f>
        <v>Ново ел. изд. София : За буквите – О писменехь, 2017. – 818 с. – (Факлоносци ; ХVІІІ) Юбилейно изд., посв. на 70-год. на ЮНЕСКО и 65-год. на Унив. по библиотекознание и информ. технолог. Е ISBN 978-619-185-276-5 Публ. и в: &lt;http://www.unibit.sno.bg&gt; &lt;https://www.researchgate.net/publication/316926648_THE_ENGLISH-RUSSIAN-BULGARIAN_DICTIONARY_OF_LIBRARY_AND_INFORMATION_TERMINOLOGY&gt; &lt;https://www.google.bg/search?q=%D0%95+ISBN+978-619-185-276-5&amp;ie=utf-8&amp;oe=utf-8&amp;client=firefox-b&amp;gfe_rd=cr&amp;ei= AilKWfSRE-jHXtPsnMAO&gt; &lt;http://lic.vumk.eu/Eng-Rus-Bulg-Dictionary-Library-Inform-Terminolog.pdf&gt; &lt;https://www.researchgate.net/profile/Alexandra_Kumanova&gt;</v>
      </c>
      <c r="F83" s="10" t="str">
        <f ca="1">IFERROR(__xludf.DUMMYFUNCTION("""COMPUTED_VALUE"""),"[Национален регистър] &lt;http://www.booksinprint.bg/Publication/Details/a1f853ed-dcea-4df4-a465-12aed51a384f&gt;
 COBIS.BG на НБКМ &lt;http://www.bg.cobiss.net/&gt;")</f>
        <v>[Национален регистър] &lt;http://www.booksinprint.bg/Publication/Details/a1f853ed-dcea-4df4-a465-12aed51a384f&gt;
 COBIS.BG на НБКМ &lt;http://www.bg.cobiss.net/&gt;</v>
      </c>
      <c r="G83" s="10" t="str">
        <f ca="1">IFERROR(__xludf.DUMMYFUNCTION("""COMPUTED_VALUE"""),"Comp. J. V. Richardson ... [и др.] Managing ed. S. Denchev Ed.-in-chief, comp. A. Kumanova Ed. board R. Burger ... [и др.] Language еd. N. Vasilev ... [и др.] Сост. Э. Р. Сукиасян ... [и др.] Отв. ред. С. Денчев Глав. ред., сост. А. Куманова Редкол. Р. Бу"&amp;"ргер ... [и др.] Eз. ред. Н. Василев ... [и др.] Състав. А. Куманова ... [и др.] Отг. ред. С. Денчев Глав. ред., състав. А. Куманова Ред. кол. Р. Бургер ... [и др.] Ез. ред. Н. Василев ... [и др.]")</f>
        <v>Comp. J. V. Richardson ... [и др.] Managing ed. S. Denchev Ed.-in-chief, comp. A. Kumanova Ed. board R. Burger ... [и др.] Language еd. N. Vasilev ... [и др.] Сост. Э. Р. Сукиасян ... [и др.] Отв. ред. С. Денчев Глав. ред., сост. А. Куманова Редкол. Р. Бургер ... [и др.] Eз. ред. Н. Василев ... [и др.] Състав. А. Куманова ... [и др.] Отг. ред. С. Денчев Глав. ред., състав. А. Куманова Ред. кол. Р. Бургер ... [и др.] Ез. ред. Н. Василев ... [и др.]</v>
      </c>
      <c r="H83" s="10"/>
      <c r="I83" s="10"/>
      <c r="J83" s="10"/>
      <c r="K83" s="10"/>
      <c r="L83" s="10"/>
      <c r="M83" s="10"/>
      <c r="N83" s="10"/>
      <c r="O83" s="10"/>
      <c r="P83" s="10"/>
      <c r="Q83" s="10"/>
      <c r="R83" s="10"/>
      <c r="S83" s="10"/>
      <c r="T83" s="10"/>
      <c r="U83" s="10"/>
      <c r="V83" s="10"/>
      <c r="W83" s="10"/>
      <c r="X83" s="10"/>
      <c r="Y83" s="10"/>
      <c r="Z83" s="10"/>
    </row>
    <row r="84" spans="1:26" ht="12.75">
      <c r="A84" s="10" t="str">
        <f ca="1">IFERROR(__xludf.DUMMYFUNCTION("""COMPUTED_VALUE"""),"Александра Венкова Куманова")</f>
        <v>Александра Венкова Куманова</v>
      </c>
      <c r="B84" s="10" t="str">
        <f ca="1">IFERROR(__xludf.DUMMYFUNCTION("""COMPUTED_VALUE"""),"Статия в списания и поредици")</f>
        <v>Статия в списания и поредици</v>
      </c>
      <c r="C84" s="10" t="str">
        <f ca="1">IFERROR(__xludf.DUMMYFUNCTION("""COMPUTED_VALUE"""),"Time and Space as a Supreme Being or on the Liberty in The Biblio-Info-Noosphere (Cognitology of encyclopaedicity of the library and information activity. Globality and fragmentariness of knowledge. Harmony of the variety. Panepisteme) (Compiler’s Forewar"&amp;"d).")</f>
        <v>Time and Space as a Supreme Being or on the Liberty in The Biblio-Info-Noosphere (Cognitology of encyclopaedicity of the library and information activity. Globality and fragmentariness of knowledge. Harmony of the variety. Panepisteme) (Compiler’s Foreward).</v>
      </c>
      <c r="D84" s="10">
        <f ca="1">IFERROR(__xludf.DUMMYFUNCTION("""COMPUTED_VALUE"""),2017)</f>
        <v>2017</v>
      </c>
      <c r="E84" s="10" t="str">
        <f ca="1">IFERROR(__xludf.DUMMYFUNCTION("""COMPUTED_VALUE"""),"//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Стоя"&amp;"н Денчев ; Състав., предг., библиогр. Александра Куманова, Николай Василев. – София, 2017. – ISBN 978-619-185-285-7. – с. 39-50. – Co-auth.: N. Vasilev.")</f>
        <v>//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Стоян Денчев ; Състав., предг., библиогр. Александра Куманова, Николай Василев. – София, 2017. – ISBN 978-619-185-285-7. – с. 39-50. – Co-auth.: N. Vasilev.</v>
      </c>
      <c r="F84" s="10"/>
      <c r="G84" s="10"/>
      <c r="H84" s="10"/>
      <c r="I84" s="10"/>
      <c r="J84" s="10"/>
      <c r="K84" s="10"/>
      <c r="L84" s="10"/>
      <c r="M84" s="10"/>
      <c r="N84" s="10"/>
      <c r="O84" s="10"/>
      <c r="P84" s="10"/>
      <c r="Q84" s="10"/>
      <c r="R84" s="10"/>
      <c r="S84" s="10"/>
      <c r="T84" s="10"/>
      <c r="U84" s="10"/>
      <c r="V84" s="10"/>
      <c r="W84" s="10"/>
      <c r="X84" s="10"/>
      <c r="Y84" s="10"/>
      <c r="Z84" s="10"/>
    </row>
    <row r="85" spans="1:26" ht="12.75">
      <c r="A85" s="10" t="str">
        <f ca="1">IFERROR(__xludf.DUMMYFUNCTION("""COMPUTED_VALUE"""),"Александра Венкова Куманова")</f>
        <v>Александра Венкова Куманова</v>
      </c>
      <c r="B85" s="10" t="str">
        <f ca="1">IFERROR(__xludf.DUMMYFUNCTION("""COMPUTED_VALUE"""),"Доклад от конференция")</f>
        <v>Доклад от конференция</v>
      </c>
      <c r="C85" s="10" t="str">
        <f ca="1">IFERROR(__xludf.DUMMYFUNCTION("""COMPUTED_VALUE"""),"Хармония на многоезичието в терминологията по библиотечна и информационна дейност (За това как е създадено Новото електронно издание на „The English – Russian – Bulgarian Dictionary of Library and Information Terminology = Англо-русско-болгарский словарь "&amp;"по библиотечной и информационной деятельности = Англо-руско-български речник по библиотечна и информационна дейност”")</f>
        <v>Хармония на многоезичието в терминологията по библиотечна и информационна дейност (За това как е създадено Новото електронно издание на „The English – Russian – 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v>
      </c>
      <c r="D85" s="10">
        <f ca="1">IFERROR(__xludf.DUMMYFUNCTION("""COMPUTED_VALUE"""),2017)</f>
        <v>2017</v>
      </c>
      <c r="E85" s="10" t="str">
        <f ca="1">IFERROR(__xludf.DUMMYFUNCTION("""COMPUTED_VALUE"""),"Хармония в различията : Сб. с докл. от [Четвърта] науч. конф. „Хармония в различията” (София, 11.12.2017 г.) / Състав. Ж. Назърска, С. Шапкалова. – София, 2017. – ISSN 2367-7899. – с. 467-478. – Съавт. Н. Василев. – Рез. на англ. ез.")</f>
        <v>Хармония в различията : Сб. с докл. от [Четвърта] науч. конф. „Хармония в различията” (София, 11.12.2017 г.) / Състав. Ж. Назърска, С. Шапкалова. – София, 2017. – ISSN 2367-7899. – с. 467-478. – Съавт. Н. Василев. – Рез. на англ. ез.</v>
      </c>
      <c r="F85" s="10"/>
      <c r="G85" s="10" t="str">
        <f ca="1">IFERROR(__xludf.DUMMYFUNCTION("""COMPUTED_VALUE"""),"Н. Василев")</f>
        <v>Н. Василев</v>
      </c>
      <c r="H85" s="10"/>
      <c r="I85" s="10"/>
      <c r="J85" s="10"/>
      <c r="K85" s="10"/>
      <c r="L85" s="10"/>
      <c r="M85" s="10"/>
      <c r="N85" s="10"/>
      <c r="O85" s="10"/>
      <c r="P85" s="10"/>
      <c r="Q85" s="10"/>
      <c r="R85" s="10"/>
      <c r="S85" s="10"/>
      <c r="T85" s="10"/>
      <c r="U85" s="10"/>
      <c r="V85" s="10"/>
      <c r="W85" s="10"/>
      <c r="X85" s="10"/>
      <c r="Y85" s="10"/>
      <c r="Z85" s="10"/>
    </row>
    <row r="86" spans="1:26" ht="12.75">
      <c r="A86" s="10" t="str">
        <f ca="1">IFERROR(__xludf.DUMMYFUNCTION("""COMPUTED_VALUE"""),"Александра Венкова Куманова")</f>
        <v>Александра Венкова Куманова</v>
      </c>
      <c r="B86" s="10" t="str">
        <f ca="1">IFERROR(__xludf.DUMMYFUNCTION("""COMPUTED_VALUE"""),"Учебник")</f>
        <v>Учебник</v>
      </c>
      <c r="C86" s="10" t="str">
        <f ca="1">IFERROR(__xludf.DUMMYFUNCTION("""COMPUTED_VALUE"""),"Интеграл гуманитарной библиографии в ХХІ веке (Генезис мировой универсальной библиографии)")</f>
        <v>Интеграл гуманитарной библиографии в ХХІ веке (Генезис мировой универсальной библиографии)</v>
      </c>
      <c r="D86" s="10">
        <f ca="1">IFERROR(__xludf.DUMMYFUNCTION("""COMPUTED_VALUE"""),2017)</f>
        <v>2017</v>
      </c>
      <c r="E86" s="10" t="str">
        <f ca="1">IFERROR(__xludf.DUMMYFUNCTION("""COMPUTED_VALUE"""),"Учебник – компендиум по общему библиографоведению (Теория библиографической формы) / Общ. ред., дейксис Н. Василев ; Библиогр. ред. Д. Ралева, М. Максимова ; Рец. С. Денчев, Н. Казански. – София : За буквите – О писменехь, 2017. – 184 с. : 4 портр., 5 сх."&amp;" – (Факлоносцы ; ХVІІ). – Список цит. источников: 175 нум. назв. – Индекс заглавий ; Именной индекс ; Список сокращений. ISBN 978-619-185-249-9; E-ISBN 978-619-185-205-5")</f>
        <v>Учебник – компендиум по общему библиографоведению (Теория библиографической формы) / Общ. ред., дейксис Н. Василев ; Библиогр. ред. Д. Ралева, М. Максимова ; Рец. С. Денчев, Н. Казански. – София : За буквите – О писменехь, 2017. – 184 с. : 4 портр., 5 сх. – (Факлоносцы ; ХVІІ). – Список цит. источников: 175 нум. назв. – Индекс заглавий ; Именной индекс ; Список сокращений. ISBN 978-619-185-249-9; E-ISBN 978-619-185-205-5</v>
      </c>
      <c r="F86" s="10"/>
      <c r="G86" s="10"/>
      <c r="H86" s="10"/>
      <c r="I86" s="10"/>
      <c r="J86" s="10"/>
      <c r="K86" s="10"/>
      <c r="L86" s="10"/>
      <c r="M86" s="10"/>
      <c r="N86" s="10"/>
      <c r="O86" s="10"/>
      <c r="P86" s="10"/>
      <c r="Q86" s="10"/>
      <c r="R86" s="10"/>
      <c r="S86" s="10"/>
      <c r="T86" s="10"/>
      <c r="U86" s="10"/>
      <c r="V86" s="10"/>
      <c r="W86" s="10"/>
      <c r="X86" s="10"/>
      <c r="Y86" s="10"/>
      <c r="Z86" s="10"/>
    </row>
    <row r="87" spans="1:26" ht="12.75">
      <c r="A87" s="10" t="str">
        <f ca="1">IFERROR(__xludf.DUMMYFUNCTION("""COMPUTED_VALUE"""),"Александра Венкова Куманова")</f>
        <v>Александра Венкова Куманова</v>
      </c>
      <c r="B87" s="10" t="str">
        <f ca="1">IFERROR(__xludf.DUMMYFUNCTION("""COMPUTED_VALUE"""),"Книга")</f>
        <v>Книга</v>
      </c>
      <c r="C87" s="10" t="str">
        <f ca="1">IFERROR(__xludf.DUMMYFUNCTION("""COMPUTED_VALUE"""),"Синоптическая таблица мировой универсальной библиографии ІІІ в. до н.э. – ХХІ в.")</f>
        <v>Синоптическая таблица мировой универсальной библиографии ІІІ в. до н.э. – ХХІ в.</v>
      </c>
      <c r="D87" s="10">
        <f ca="1">IFERROR(__xludf.DUMMYFUNCTION("""COMPUTED_VALUE"""),2017)</f>
        <v>2017</v>
      </c>
      <c r="E87" s="10" t="str">
        <f ca="1">IFERROR(__xludf.DUMMYFUNCTION("""COMPUTED_VALUE"""),"Атлас [79 ном. назв. с букв. индекс.] /
 Състав. А. Куманова, Н. Казански, Н. Василев ; Эпигр.: „В отличие от естествознания, в культуре то, что было в прошлом, не умерло.” – Ю. М. Лотман ; Посв. светлой памяти Г. Шнейдера, Л.-Н. Мальклес, К. Р. Симона, А"&amp;". Тейлора и И. В. Гудовщиковой. //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infor"&amp;"mation activity / Науч. ред. С.
 Денчев ; Състав., предг., библиогр. А. Куманова, Н. Василев. – София, 2017. – ISBN 978-19-185-285-7. – с. 811-858.")</f>
        <v>Атлас [79 ном. назв. с букв. индекс.] /
 Състав. А. Куманова, Н. Казански, Н. Василев ; Эпигр.: „В отличие от естествознания, в культуре то, что было в прошлом, не умерло.” – Ю. М. Лотман ; Посв. светлой памяти Г. Шнейдера, Л.-Н. Мальклес, К. Р. Симона, А. Тейлора и И. В. Гудовщиковой. //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
 Денчев ; Състав., предг., библиогр. А. Куманова, Н. Василев. – София, 2017. – ISBN 978-19-185-285-7. – с. 811-858.</v>
      </c>
      <c r="F87" s="10"/>
      <c r="G87" s="10" t="str">
        <f ca="1">IFERROR(__xludf.DUMMYFUNCTION("""COMPUTED_VALUE"""),"Н. Василев")</f>
        <v>Н. Василев</v>
      </c>
      <c r="H87" s="10"/>
      <c r="I87" s="10"/>
      <c r="J87" s="10"/>
      <c r="K87" s="10"/>
      <c r="L87" s="10"/>
      <c r="M87" s="10"/>
      <c r="N87" s="10"/>
      <c r="O87" s="10"/>
      <c r="P87" s="10"/>
      <c r="Q87" s="10"/>
      <c r="R87" s="10"/>
      <c r="S87" s="10"/>
      <c r="T87" s="10"/>
      <c r="U87" s="10"/>
      <c r="V87" s="10"/>
      <c r="W87" s="10"/>
      <c r="X87" s="10"/>
      <c r="Y87" s="10"/>
      <c r="Z87" s="10"/>
    </row>
    <row r="88" spans="1:26" ht="12.75">
      <c r="A88" s="10" t="str">
        <f ca="1">IFERROR(__xludf.DUMMYFUNCTION("""COMPUTED_VALUE"""),"Александра Венкова Куманова")</f>
        <v>Александра Венкова Куманова</v>
      </c>
      <c r="B88" s="10" t="str">
        <f ca="1">IFERROR(__xludf.DUMMYFUNCTION("""COMPUTED_VALUE"""),"Доклад от конференция")</f>
        <v>Доклад от конференция</v>
      </c>
      <c r="C88" s="10" t="str">
        <f ca="1">IFERROR(__xludf.DUMMYFUNCTION("""COMPUTED_VALUE"""),"Expedition in Vottovaara – Karelia and Arkaim – the Urals : Centres of the Proto-European Civilization in Russia (Proto-Aryans and Proto-Slavs) (Cultural and phenomenological decoding of the mythological, historical and linguistic approach)")</f>
        <v>Expedition in Vottovaara – Karelia and Arkaim – the Urals : Centres of the Proto-European Civilization in Russia (Proto-Aryans and Proto-Slavs) (Cultural and phenomenological decoding of the mythological, historical and linguistic approach)</v>
      </c>
      <c r="D88" s="10">
        <f ca="1">IFERROR(__xludf.DUMMYFUNCTION("""COMPUTED_VALUE"""),2017)</f>
        <v>2017</v>
      </c>
      <c r="E88" s="10" t="str">
        <f ca="1">IFERROR(__xludf.DUMMYFUNCTION("""COMPUTED_VALUE"""),"Academic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176"&amp;"-198 : 33 Ill.")</f>
        <v>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176-198 : 33 Ill.</v>
      </c>
      <c r="F88" s="10" t="str">
        <f ca="1">IFERROR(__xludf.DUMMYFUNCTION("""COMPUTED_VALUE"""),"&lt;http://science-publish.ru/node/2&gt;")</f>
        <v>&lt;http://science-publish.ru/node/2&gt;</v>
      </c>
      <c r="G88" s="10" t="str">
        <f ca="1">IFERROR(__xludf.DUMMYFUNCTION("""COMPUTED_VALUE"""),"S. G. Denchev, A. V. Kumanova, N. R. Kazanski, N. K. Vasilev")</f>
        <v>S. G. Denchev, A. V. Kumanova, N. R. Kazanski, N. K. Vasilev</v>
      </c>
      <c r="H88" s="10"/>
      <c r="I88" s="10"/>
      <c r="J88" s="10"/>
      <c r="K88" s="10"/>
      <c r="L88" s="10"/>
      <c r="M88" s="10"/>
      <c r="N88" s="10"/>
      <c r="O88" s="10"/>
      <c r="P88" s="10"/>
      <c r="Q88" s="10"/>
      <c r="R88" s="10"/>
      <c r="S88" s="10"/>
      <c r="T88" s="10"/>
      <c r="U88" s="10"/>
      <c r="V88" s="10"/>
      <c r="W88" s="10"/>
      <c r="X88" s="10"/>
      <c r="Y88" s="10"/>
      <c r="Z88" s="10"/>
    </row>
    <row r="89" spans="1:26" ht="12.75">
      <c r="A89" s="10" t="str">
        <f ca="1">IFERROR(__xludf.DUMMYFUNCTION("""COMPUTED_VALUE"""),"Александра Венкова Куманова")</f>
        <v>Александра Венкова Куманова</v>
      </c>
      <c r="B89" s="10" t="str">
        <f ca="1">IFERROR(__xludf.DUMMYFUNCTION("""COMPUTED_VALUE"""),"Доклад от конференция")</f>
        <v>Доклад от конференция</v>
      </c>
      <c r="C89" s="10" t="str">
        <f ca="1">IFERROR(__xludf.DUMMYFUNCTION("""COMPUTED_VALUE"""),"Феноменологично обобщение на форума – цивилизация")</f>
        <v>Феноменологично обобщение на форума – цивилизация</v>
      </c>
      <c r="D89" s="10">
        <f ca="1">IFERROR(__xludf.DUMMYFUNCTION("""COMPUTED_VALUE"""),2017)</f>
        <v>2017</v>
      </c>
      <c r="E89" s="10" t="str">
        <f ca="1">IFERROR(__xludf.DUMMYFUNCTION("""COMPUTED_VALUE"""),"Докл. на ХІІ Студентска науч. конф. и изложба на УниБИТ. // Тр. на Студентското науч. о-во при Унив. по библиотекознание и информ. технолог. (София). – ISSN 1314-2526. – Т. ХІІ, 2017, с. 222-224. – Съавт. Н. Василев.")</f>
        <v>Докл. на ХІІ Студентска науч. конф. и изложба на УниБИТ. // Тр. на Студентското науч. о-во при Унив. по библиотекознание и информ. технолог. (София). – ISSN 1314-2526. – Т. ХІІ, 2017, с. 222-224. – Съавт. Н. Василев.</v>
      </c>
      <c r="F89" s="10"/>
      <c r="G89" s="10" t="str">
        <f ca="1">IFERROR(__xludf.DUMMYFUNCTION("""COMPUTED_VALUE"""),"Н. Василев")</f>
        <v>Н. Василев</v>
      </c>
      <c r="H89" s="10"/>
      <c r="I89" s="10"/>
      <c r="J89" s="10"/>
      <c r="K89" s="10"/>
      <c r="L89" s="10"/>
      <c r="M89" s="10"/>
      <c r="N89" s="10"/>
      <c r="O89" s="10"/>
      <c r="P89" s="10"/>
      <c r="Q89" s="10"/>
      <c r="R89" s="10"/>
      <c r="S89" s="10"/>
      <c r="T89" s="10"/>
      <c r="U89" s="10"/>
      <c r="V89" s="10"/>
      <c r="W89" s="10"/>
      <c r="X89" s="10"/>
      <c r="Y89" s="10"/>
      <c r="Z89" s="10"/>
    </row>
    <row r="90" spans="1:26" ht="12.75">
      <c r="A90" s="10" t="str">
        <f ca="1">IFERROR(__xludf.DUMMYFUNCTION("""COMPUTED_VALUE"""),"Александра Венкова Куманова")</f>
        <v>Александра Венкова Куманова</v>
      </c>
      <c r="B90" s="10" t="str">
        <f ca="1">IFERROR(__xludf.DUMMYFUNCTION("""COMPUTED_VALUE"""),"Статия в списания и поредици")</f>
        <v>Статия в списания и поредици</v>
      </c>
      <c r="C90" s="10" t="str">
        <f ca="1">IFERROR(__xludf.DUMMYFUNCTION("""COMPUTED_VALUE"""),"Omnia praeclara rara. На многая лета на професор Владимир Клюев (За 60-год. на библиотековеда).")</f>
        <v>Omnia praeclara rara. На многая лета на професор Владимир Клюев (За 60-год. на библиотековеда).</v>
      </c>
      <c r="D90" s="10">
        <f ca="1">IFERROR(__xludf.DUMMYFUNCTION("""COMPUTED_VALUE"""),2017)</f>
        <v>2017</v>
      </c>
      <c r="E90" s="10" t="str">
        <f ca="1">IFERROR(__xludf.DUMMYFUNCTION("""COMPUTED_VALUE"""),"// Библиотека (София). – ISSN 0861-847X. – 2017, N 1, с. 66-71 : с портр. – Съавт. К. Александрова. – Рез. на англ. ез. Библиогр. 41 ном. назв.")</f>
        <v>// Библиотека (София). – ISSN 0861-847X. – 2017, N 1, с. 66-71 : с портр. – Съавт. К. Александрова. – Рез. на англ. ез. Библиогр. 41 ном. назв.</v>
      </c>
      <c r="F90" s="10"/>
      <c r="G90" s="10"/>
      <c r="H90" s="10"/>
      <c r="I90" s="10"/>
      <c r="J90" s="10"/>
      <c r="K90" s="10"/>
      <c r="L90" s="10"/>
      <c r="M90" s="10"/>
      <c r="N90" s="10"/>
      <c r="O90" s="10"/>
      <c r="P90" s="10"/>
      <c r="Q90" s="10"/>
      <c r="R90" s="10"/>
      <c r="S90" s="10"/>
      <c r="T90" s="10"/>
      <c r="U90" s="10"/>
      <c r="V90" s="10"/>
      <c r="W90" s="10"/>
      <c r="X90" s="10"/>
      <c r="Y90" s="10"/>
      <c r="Z90" s="10"/>
    </row>
    <row r="91" spans="1:26" ht="12.75">
      <c r="A91" s="10" t="str">
        <f ca="1">IFERROR(__xludf.DUMMYFUNCTION("""COMPUTED_VALUE"""),"Александра Венкова Куманова")</f>
        <v>Александра Венкова Куманова</v>
      </c>
      <c r="B91" s="10" t="str">
        <f ca="1">IFERROR(__xludf.DUMMYFUNCTION("""COMPUTED_VALUE"""),"Статия в списания и поредици")</f>
        <v>Статия в списания и поредици</v>
      </c>
      <c r="C91" s="10" t="str">
        <f ca="1">IFERROR(__xludf.DUMMYFUNCTION("""COMPUTED_VALUE"""),"Толкова можем, колкото знаем : [За ХІІІ Студентска научна конференция и изложба „Информ. като цивилизационен избор – път към всеобщото знание” – „Information as a civilization choice – a path to the universal knowledge” на Унив. по библиотекознание и инфо"&amp;"рм. технолог., 19 май 2017 г. – Ден на отворените врати].")</f>
        <v>Толкова можем, колкото знаем : [За ХІІІ Студентска научна конференция и изложба „Информ. като цивилизационен избор – път към всеобщото знание” – „Information as a civilization choice – a path to the universal knowledge” на Унив. по библиотекознание и информ. технолог., 19 май 2017 г. – Ден на отворените врати].</v>
      </c>
      <c r="D91" s="10">
        <f ca="1">IFERROR(__xludf.DUMMYFUNCTION("""COMPUTED_VALUE"""),2017)</f>
        <v>2017</v>
      </c>
      <c r="E91" s="10" t="str">
        <f ca="1">IFERROR(__xludf.DUMMYFUNCTION("""COMPUTED_VALUE"""),"// За буквите – О писменехь : Кирило-Методиевски вестник (София). – ISSN 1312-3785. – N 53, ноември 2017, с. 14 : с ил. – Съавт. Н. Василев.")</f>
        <v>// За буквите – О писменехь : Кирило-Методиевски вестник (София). – ISSN 1312-3785. – N 53, ноември 2017, с. 14 : с ил. – Съавт. Н. Василев.</v>
      </c>
      <c r="F91" s="10"/>
      <c r="G91" s="10" t="str">
        <f ca="1">IFERROR(__xludf.DUMMYFUNCTION("""COMPUTED_VALUE"""),"Н. Василев")</f>
        <v>Н. Василев</v>
      </c>
      <c r="H91" s="10"/>
      <c r="I91" s="10"/>
      <c r="J91" s="10"/>
      <c r="K91" s="10"/>
      <c r="L91" s="10"/>
      <c r="M91" s="10"/>
      <c r="N91" s="10"/>
      <c r="O91" s="10"/>
      <c r="P91" s="10"/>
      <c r="Q91" s="10"/>
      <c r="R91" s="10"/>
      <c r="S91" s="10"/>
      <c r="T91" s="10"/>
      <c r="U91" s="10"/>
      <c r="V91" s="10"/>
      <c r="W91" s="10"/>
      <c r="X91" s="10"/>
      <c r="Y91" s="10"/>
      <c r="Z91" s="10"/>
    </row>
    <row r="92" spans="1:26" ht="12.75">
      <c r="A92" s="10" t="str">
        <f ca="1">IFERROR(__xludf.DUMMYFUNCTION("""COMPUTED_VALUE"""),"Александра Венкова Куманова")</f>
        <v>Александра Венкова Куманова</v>
      </c>
      <c r="B92" s="10" t="str">
        <f ca="1">IFERROR(__xludf.DUMMYFUNCTION("""COMPUTED_VALUE"""),"Книга")</f>
        <v>Книга</v>
      </c>
      <c r="C92" s="10" t="str">
        <f ca="1">IFERROR(__xludf.DUMMYFUNCTION("""COMPUTED_VALUE"""),"Умберто Еко в България : Биобиблиогр. (Публ. на тр. му и лит. за него) [168 ном. назв.]")</f>
        <v>Умберто Еко в България : Биобиблиогр. (Публ. на тр. му и лит. за него) [168 ном. назв.]</v>
      </c>
      <c r="D92" s="10">
        <f ca="1">IFERROR(__xludf.DUMMYFUNCTION("""COMPUTED_VALUE"""),2017)</f>
        <v>2017</v>
      </c>
      <c r="E92" s="10" t="str">
        <f ca="1">IFERROR(__xludf.DUMMYFUNCTION("""COMPUTED_VALUE"""),"Нишката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 / Науч. ред. С. Денч"&amp;"ев ; Състав., предг., библиогр. А. Куманова, Н. Василев. – София, 2017. – ISBN 978-619-185-285-7. – с. 859-895 : с портр. – Редуц. публ.")</f>
        <v>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 / Науч. ред. С. Денчев ; Състав., предг., библиогр. А. Куманова, Н. Василев. – София, 2017. – ISBN 978-619-185-285-7. – с. 859-895 : с портр. – Редуц. публ.</v>
      </c>
      <c r="F92" s="10"/>
      <c r="G92" s="10" t="str">
        <f ca="1">IFERROR(__xludf.DUMMYFUNCTION("""COMPUTED_VALUE"""),"М. Найдова")</f>
        <v>М. Найдова</v>
      </c>
      <c r="H92" s="10"/>
      <c r="I92" s="10"/>
      <c r="J92" s="10"/>
      <c r="K92" s="10"/>
      <c r="L92" s="10"/>
      <c r="M92" s="10"/>
      <c r="N92" s="10"/>
      <c r="O92" s="10"/>
      <c r="P92" s="10"/>
      <c r="Q92" s="10"/>
      <c r="R92" s="10"/>
      <c r="S92" s="10"/>
      <c r="T92" s="10"/>
      <c r="U92" s="10"/>
      <c r="V92" s="10"/>
      <c r="W92" s="10"/>
      <c r="X92" s="10"/>
      <c r="Y92" s="10"/>
      <c r="Z92" s="10"/>
    </row>
    <row r="93" spans="1:26" ht="12.75">
      <c r="A93" s="10" t="str">
        <f ca="1">IFERROR(__xludf.DUMMYFUNCTION("""COMPUTED_VALUE"""),"Александра Венкова Куманова")</f>
        <v>Александра Венкова Куманова</v>
      </c>
      <c r="B93" s="10" t="str">
        <f ca="1">IFERROR(__xludf.DUMMYFUNCTION("""COMPUTED_VALUE"""),"Книга")</f>
        <v>Книга</v>
      </c>
      <c r="C93" s="10" t="str">
        <f ca="1">IFERROR(__xludf.DUMMYFUNCTION("""COMPUTED_VALUE"""),"The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f>
        <v>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v>
      </c>
      <c r="D93" s="10">
        <f ca="1">IFERROR(__xludf.DUMMYFUNCTION("""COMPUTED_VALUE"""),2017)</f>
        <v>2017</v>
      </c>
      <c r="E93" s="10" t="str">
        <f ca="1">IFERROR(__xludf.DUMMYFUNCTION("""COMPUTED_VALUE"""),"Comp. J. V. Richardson ... [и др.] Managing ed. S. Denchev Ed.-in-chief A. Kumanova Ed. board R. Burger ... [и др.] Language еd. N. Vasilev ... [и др.] Ново ел. изд. София : За буквите – О писменехь, 2017. – 818 с. – (Факлоносци ; ХVІІІ) Юбилейно изд., по"&amp;"св. на 70-год. на ЮНЕСКО и 65-год. на Унив. по библиотекознание и информ. технолог. Е ISBN 978-619-185-276-5 Публ. и в: &lt;http://www.unibit.sno.bg&gt; &lt;https://www.researchgate.net/publication/316926648_THE_ENGLISH-RUSSIAN-BULGARIAN_DICTIONARY_OF_LIBRARY_AND_"&amp;"INFORMATION_TERMINOLOGY&gt; &lt;https://www.google.bg/search?q=%D0%95+ISBN+978-619-185-276-5&amp;ie=utf-8&amp;oe=utf-8&amp;client=firefox-b&amp;gfe_rd=cr&amp;ei=AilKWfSRE-jHXtPsnMAO&gt; &lt;http://lic.vumk.eu/Eng-Rus-Bulg-Dictionary-Library-Inform-Terminolog.pdf&gt; &lt;https://www.researchga"&amp;"te.net/profile/Alexandra_Kumanova&gt;")</f>
        <v>Comp. J. V. Richardson ... [и др.] Managing ed. S. Denchev Ed.-in-chief A. Kumanova Ed. board R. Burger ... [и др.] Language еd. N. Vasilev ... [и др.] Ново ел. изд. София : За буквите – О писменехь, 2017. – 818 с. – (Факлоносци ; ХVІІІ) Юбилейно изд., посв. на 70-год. на ЮНЕСКО и 65-год. на Унив. по библиотекознание и информ. технолог. Е ISBN 978-619-185-276-5 Публ. и в: &lt;http://www.unibit.sno.bg&gt; &lt;https://www.researchgate.net/publication/316926648_THE_ENGLISH-RUSSIAN-BULGARIAN_DICTIONARY_OF_LIBRARY_AND_INFORMATION_TERMINOLOGY&gt; &lt;https://www.google.bg/search?q=%D0%95+ISBN+978-619-185-276-5&amp;ie=utf-8&amp;oe=utf-8&amp;client=firefox-b&amp;gfe_rd=cr&amp;ei=AilKWfSRE-jHXtPsnMAO&gt; &lt;http://lic.vumk.eu/Eng-Rus-Bulg-Dictionary-Library-Inform-Terminolog.pdf&gt; &lt;https://www.researchgate.net/profile/Alexandra_Kumanova&gt;</v>
      </c>
      <c r="F93" s="10" t="str">
        <f ca="1">IFERROR(__xludf.DUMMYFUNCTION("""COMPUTED_VALUE"""),"[Национален регистър] &lt;http://www.booksinprint.bg/Publication/Details/a1f853ed-dcea-4df4-a465-12aed51a384f&gt;
 COBIS.BG на НБКМ &lt;http://www.bg.cobiss.net/&gt;")</f>
        <v>[Национален регистър] &lt;http://www.booksinprint.bg/Publication/Details/a1f853ed-dcea-4df4-a465-12aed51a384f&gt;
 COBIS.BG на НБКМ &lt;http://www.bg.cobiss.net/&gt;</v>
      </c>
      <c r="G93" s="10" t="str">
        <f ca="1">IFERROR(__xludf.DUMMYFUNCTION("""COMPUTED_VALUE"""),"Comp. J. V. Richardson ... [и др.] Managing ed. S. Denchev Ed.-in-chief, comp. A. Kumanova Ed. board R. Burger ... [и др.] Language еd. N. Vasilev ... [и др.] Сост. Э. Р. Сукиасян ... [и др.] Отв. ред. С. Денчев Глав. ред., сост. А. Куманова Редкол. Р. Бу"&amp;"ргер ... [и др.] Eз. ред. Н. Василев ... [и др.] Състав. А. Куманова ... [и др.] Отг. ред. С. Денчев Глав. ред., състав. А. Куманова Ред. кол. Р. Бургер ... [и др.] Ез. ред. Н. Василев ... [и др.]")</f>
        <v>Comp. J. V. Richardson ... [и др.] Managing ed. S. Denchev Ed.-in-chief, comp. A. Kumanova Ed. board R. Burger ... [и др.] Language еd. N. Vasilev ... [и др.] Сост. Э. Р. Сукиасян ... [и др.] Отв. ред. С. Денчев Глав. ред., сост. А. Куманова Редкол. Р. Бургер ... [и др.] Eз. ред. Н. Василев ... [и др.] Състав. А. Куманова ... [и др.] Отг. ред. С. Денчев Глав. ред., състав. А. Куманова Ред. кол. Р. Бургер ... [и др.] Ез. ред. Н. Василев ... [и др.]</v>
      </c>
      <c r="H93" s="10"/>
      <c r="I93" s="10"/>
      <c r="J93" s="10"/>
      <c r="K93" s="10"/>
      <c r="L93" s="10"/>
      <c r="M93" s="10"/>
      <c r="N93" s="10"/>
      <c r="O93" s="10"/>
      <c r="P93" s="10"/>
      <c r="Q93" s="10"/>
      <c r="R93" s="10"/>
      <c r="S93" s="10"/>
      <c r="T93" s="10"/>
      <c r="U93" s="10"/>
      <c r="V93" s="10"/>
      <c r="W93" s="10"/>
      <c r="X93" s="10"/>
      <c r="Y93" s="10"/>
      <c r="Z93" s="10"/>
    </row>
    <row r="94" spans="1:26" ht="12.75">
      <c r="A94" s="10" t="str">
        <f ca="1">IFERROR(__xludf.DUMMYFUNCTION("""COMPUTED_VALUE"""),"Александра Венкова Куманова")</f>
        <v>Александра Венкова Куманова</v>
      </c>
      <c r="B94" s="10" t="str">
        <f ca="1">IFERROR(__xludf.DUMMYFUNCTION("""COMPUTED_VALUE"""),"Статия в списания и поредици")</f>
        <v>Статия в списания и поредици</v>
      </c>
      <c r="C94" s="10" t="str">
        <f ca="1">IFERROR(__xludf.DUMMYFUNCTION("""COMPUTED_VALUE"""),"Трансмисия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 (1. Образи на слънцето, огъня"&amp;", ковача и вълка в българските народни приказки, идилиите на Петко Ю. Тодоров и авторските приказки на Николай Райнов и символика на Мадарския конник; 2. Национални носии по културния коридор „Мала Азия – Балкански полуостров” по птичето трасе „Via Pontic"&amp;"a”; 3. Светилища и храмове на огъня и принадлежащите им исторически комплекси в Северна Месопотамия – днешни: Иран, Централна и Източна Турция, и нестинарската феноменология в Странджа; 4. Свидетелство на „История славяноболгарская …” на Св. о. Паисий Хил"&amp;"ендарски)")</f>
        <v>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 (1. Образи на слънцето, огъня, ковача и вълка в българските народни приказки, идилиите на Петко Ю. Тодоров и авторските приказки на Николай Райнов и символика на Мадарския конник; 2. Национални носии по културния коридор „Мала Азия – Балкански полуостров” по птичето трасе „Via Pontica”; 3. Светилища и храмове на огъня и принадлежащите им исторически комплекси в Северна Месопотамия – днешни: Иран, Централна и Източна Турция, и нестинарската феноменология в Странджа; 4. Свидетелство на „История славяноболгарская …” на Св. о. Паисий Хилендарски)</v>
      </c>
      <c r="D94" s="10">
        <f ca="1">IFERROR(__xludf.DUMMYFUNCTION("""COMPUTED_VALUE"""),2017)</f>
        <v>2017</v>
      </c>
      <c r="E94" s="10" t="str">
        <f ca="1">IFERROR(__xludf.DUMMYFUNCTION("""COMPUTED_VALUE"""),"Издател (В. Търново). – ISSN 1310-4624. – 2017, N 2 (3-4), с. 67-94 : ил.")</f>
        <v>Издател (В. Търново). – ISSN 1310-4624. – 2017, N 2 (3-4), с. 67-94 : ил.</v>
      </c>
      <c r="F94" s="10" t="str">
        <f ca="1">IFERROR(__xludf.DUMMYFUNCTION("""COMPUTED_VALUE"""),"Публ. &lt;http://www.unibit.bg&gt;")</f>
        <v>Публ. &lt;http://www.unibit.bg&gt;</v>
      </c>
      <c r="G94" s="10" t="str">
        <f ca="1">IFERROR(__xludf.DUMMYFUNCTION("""COMPUTED_VALUE"""),"Съавт.: С. Денчев, А. Куманова, Н. Казански, Н. Василев")</f>
        <v>Съавт.: С. Денчев, А. Куманова, Н. Казански, Н. Василев</v>
      </c>
      <c r="H94" s="10"/>
      <c r="I94" s="10"/>
      <c r="J94" s="10"/>
      <c r="K94" s="10"/>
      <c r="L94" s="10"/>
      <c r="M94" s="10"/>
      <c r="N94" s="10"/>
      <c r="O94" s="10"/>
      <c r="P94" s="10"/>
      <c r="Q94" s="10"/>
      <c r="R94" s="10"/>
      <c r="S94" s="10"/>
      <c r="T94" s="10"/>
      <c r="U94" s="10"/>
      <c r="V94" s="10"/>
      <c r="W94" s="10"/>
      <c r="X94" s="10"/>
      <c r="Y94" s="10"/>
      <c r="Z94" s="10"/>
    </row>
    <row r="95" spans="1:26" ht="12.75">
      <c r="A95" s="10" t="str">
        <f ca="1">IFERROR(__xludf.DUMMYFUNCTION("""COMPUTED_VALUE"""),"Александра Венкова Куманова")</f>
        <v>Александра Венкова Куманова</v>
      </c>
      <c r="B95" s="10" t="str">
        <f ca="1">IFERROR(__xludf.DUMMYFUNCTION("""COMPUTED_VALUE"""),"Доклад от конференция")</f>
        <v>Доклад от конференция</v>
      </c>
      <c r="C95" s="10" t="str">
        <f ca="1">IFERROR(__xludf.DUMMYFUNCTION("""COMPUTED_VALUE"""),"Умберто Еко в България : Биобиблиогр")</f>
        <v>Умберто Еко в България : Биобиблиогр</v>
      </c>
      <c r="D95" s="10">
        <f ca="1">IFERROR(__xludf.DUMMYFUNCTION("""COMPUTED_VALUE"""),2017)</f>
        <v>2017</v>
      </c>
      <c r="E95" s="10" t="str">
        <f ca="1">IFERROR(__xludf.DUMMYFUNCTION("""COMPUTED_VALUE"""),"2. изд. София : За буквите – О писменехь, 2017. – 122 с. : с портр. – (Факлоносци ; ХХІ) Публ. и в: &lt;http://www.sno.unibit.bg&gt; &lt;https://www.researchgate.net/publication/321586733_Umberto_Eko_v_Blgaria_biobibliografia&gt; &lt;https://www.academia.edu/35361392/&gt; "&amp;"&lt;https://www.researchgate.net/publication/321586733_Umberto_Eko_v_Blgaria_biobibliografia&gt; ISBN 978-619-185-300-7 ISBN 978-619-185-301-4 E ISBN 978-619-185-302-1")</f>
        <v>2. изд. София : За буквите – О писменехь, 2017. – 122 с. : с портр. – (Факлоносци ; ХХІ) Публ. и в: &lt;http://www.sno.unibit.bg&gt; &lt;https://www.researchgate.net/publication/321586733_Umberto_Eko_v_Blgaria_biobibliografia&gt; &lt;https://www.academia.edu/35361392/&gt; &lt;https://www.researchgate.net/publication/321586733_Umberto_Eko_v_Blgaria_biobibliografia&gt; ISBN 978-619-185-300-7 ISBN 978-619-185-301-4 E ISBN 978-619-185-302-1</v>
      </c>
      <c r="F95" s="10" t="str">
        <f ca="1">IFERROR(__xludf.DUMMYFUNCTION("""COMPUTED_VALUE"""),"Централна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&lt;http://primo.n"&amp;"alis.bg/&gt;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&lt;https://www.uni-s"&amp;"ofia.bg&gt;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В"&amp;"ашингтон, САЩ (The Library of Congress – Washington, USA) &lt;https://www.loc.gov&gt;
 Британска библиотека – Лондон, Великобритания (The British Library – London, UK) &lt;www.bl.uk&gt;")</f>
        <v>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v>
      </c>
      <c r="G95" s="10" t="str">
        <f ca="1">IFERROR(__xludf.DUMMYFUNCTION("""COMPUTED_VALUE"""),"Куманова, А. и др. Състав.: А. Куманова (предговор), М. Найдова Науч. ред. С. Денчев (предговор) Титулни рец.: Н. Казански, Н. Василев")</f>
        <v>Куманова, А. и др. Състав.: А. Куманова (предговор), М. Найдова Науч. ред. С. Денчев (предговор) Титулни рец.: Н. Казански, Н. Василев</v>
      </c>
      <c r="H95" s="10"/>
      <c r="I95" s="10"/>
      <c r="J95" s="10"/>
      <c r="K95" s="10"/>
      <c r="L95" s="10"/>
      <c r="M95" s="10"/>
      <c r="N95" s="10"/>
      <c r="O95" s="10"/>
      <c r="P95" s="10"/>
      <c r="Q95" s="10"/>
      <c r="R95" s="10"/>
      <c r="S95" s="10"/>
      <c r="T95" s="10"/>
      <c r="U95" s="10"/>
      <c r="V95" s="10"/>
      <c r="W95" s="10"/>
      <c r="X95" s="10"/>
      <c r="Y95" s="10"/>
      <c r="Z95" s="10"/>
    </row>
    <row r="96" spans="1:26" ht="12.75">
      <c r="A96" s="10" t="str">
        <f ca="1">IFERROR(__xludf.DUMMYFUNCTION("""COMPUTED_VALUE"""),"Александра Венкова Куманова")</f>
        <v>Александра Венкова Куманова</v>
      </c>
      <c r="B96" s="10" t="str">
        <f ca="1">IFERROR(__xludf.DUMMYFUNCTION("""COMPUTED_VALUE"""),"Статия в списания и поредици")</f>
        <v>Статия в списания и поредици</v>
      </c>
      <c r="C96" s="10" t="str">
        <f ca="1">IFERROR(__xludf.DUMMYFUNCTION("""COMPUTED_VALUE"""),"Времето и пространството като висше същество или за свободата в библио-инфо-ноосферата (Когнитология на енциклопедичността на библиотечната и информационната дейност. Цялост и фрагментарност на познанието. Хармония на многообразието. Панепистемия) (Предго"&amp;"вор от състав.).")</f>
        <v>Времето и пространството като висше същество или за свободата в библио-инфо-ноосферата (Когнитология на енциклопедичността на библиотечната и информационната дейност. Цялост и фрагментарност на познанието. Хармония на многообразието. Панепистемия) (Предговор от състав.).</v>
      </c>
      <c r="D96" s="10">
        <f ca="1">IFERROR(__xludf.DUMMYFUNCTION("""COMPUTED_VALUE"""),2017)</f>
        <v>2017</v>
      </c>
      <c r="E96" s="10" t="str">
        <f ca="1">IFERROR(__xludf.DUMMYFUNCTION("""COMPUTED_VALUE"""),"//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Стоя"&amp;"н Денчев ; Състав., предг., библиогр. Александра Куманова, Николай Василев. – София, 2017. – ISBN 978-619-185-285-7. – с. 11-23. – Съавт. Н. Василев.")</f>
        <v>// 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Стоян Денчев ; Състав., предг., библиогр. Александра Куманова, Николай Василев. – София, 2017. – ISBN 978-619-185-285-7. – с. 11-23. – Съавт. Н. Василев.</v>
      </c>
      <c r="F96" s="10"/>
      <c r="G96" s="10" t="str">
        <f ca="1">IFERROR(__xludf.DUMMYFUNCTION("""COMPUTED_VALUE"""),"Н. Василев")</f>
        <v>Н. Василев</v>
      </c>
      <c r="H96" s="10"/>
      <c r="I96" s="10"/>
      <c r="J96" s="10"/>
      <c r="K96" s="10"/>
      <c r="L96" s="10"/>
      <c r="M96" s="10"/>
      <c r="N96" s="10"/>
      <c r="O96" s="10"/>
      <c r="P96" s="10"/>
      <c r="Q96" s="10"/>
      <c r="R96" s="10"/>
      <c r="S96" s="10"/>
      <c r="T96" s="10"/>
      <c r="U96" s="10"/>
      <c r="V96" s="10"/>
      <c r="W96" s="10"/>
      <c r="X96" s="10"/>
      <c r="Y96" s="10"/>
      <c r="Z96" s="10"/>
    </row>
    <row r="97" spans="1:26" ht="12.75">
      <c r="A97" s="10" t="str">
        <f ca="1">IFERROR(__xludf.DUMMYFUNCTION("""COMPUTED_VALUE"""),"Александра Венкова Куманова")</f>
        <v>Александра Венкова Куманова</v>
      </c>
      <c r="B97" s="10" t="str">
        <f ca="1">IFERROR(__xludf.DUMMYFUNCTION("""COMPUTED_VALUE"""),"Доклад от конференция")</f>
        <v>Доклад от конференция</v>
      </c>
      <c r="C97" s="10" t="str">
        <f ca="1">IFERROR(__xludf.DUMMYFUNCTION("""COMPUTED_VALUE"""),"Вторично-документальный предметный контур гуманитарного знания библиосферы (Истоки современной международной универсальной библиографии)")</f>
        <v>Вторично-документальный предметный контур гуманитарного знания библиосферы (Истоки современной международной универсальной библиографии)</v>
      </c>
      <c r="D97" s="10">
        <f ca="1">IFERROR(__xludf.DUMMYFUNCTION("""COMPUTED_VALUE"""),2017)</f>
        <v>2017</v>
      </c>
      <c r="E97" s="10" t="str">
        <f ca="1">IFERROR(__xludf.DUMMYFUNCTION("""COMPUTED_VALUE"""),"Fundamental and applied sciences today X : Фундаментальные и прикладные науки. Философские науки : Vol. 1 : Proceedings of the Conference. – North Charleston, USA, 26-27.12.2016. – North Charleston, USA, 2017. – ISBN 978-1541337480. – с. 115-120.")</f>
        <v>Fundamental and applied sciences today X : Фундаментальные и прикладные науки. Философские науки : Vol. 1 : Proceedings of the Conference. – North Charleston, USA, 26-27.12.2016. – North Charleston, USA, 2017. – ISBN 978-1541337480. – с. 115-120.</v>
      </c>
      <c r="F97" s="10" t="str">
        <f ca="1">IFERROR(__xludf.DUMMYFUNCTION("""COMPUTED_VALUE"""),"&lt;http://science-publish.ru/node/2&gt;")</f>
        <v>&lt;http://science-publish.ru/node/2&gt;</v>
      </c>
      <c r="G97" s="10" t="str">
        <f ca="1">IFERROR(__xludf.DUMMYFUNCTION("""COMPUTED_VALUE"""),"S. G. Denchev, A. V. Kumanova, N. К. Vasilev")</f>
        <v>S. G. Denchev, A. V. Kumanova, N. К. Vasilev</v>
      </c>
      <c r="H97" s="10"/>
      <c r="I97" s="10"/>
      <c r="J97" s="10"/>
      <c r="K97" s="10"/>
      <c r="L97" s="10"/>
      <c r="M97" s="10"/>
      <c r="N97" s="10"/>
      <c r="O97" s="10"/>
      <c r="P97" s="10"/>
      <c r="Q97" s="10"/>
      <c r="R97" s="10"/>
      <c r="S97" s="10"/>
      <c r="T97" s="10"/>
      <c r="U97" s="10"/>
      <c r="V97" s="10"/>
      <c r="W97" s="10"/>
      <c r="X97" s="10"/>
      <c r="Y97" s="10"/>
      <c r="Z97" s="10"/>
    </row>
    <row r="98" spans="1:26" ht="12.75">
      <c r="A98" s="10" t="str">
        <f ca="1">IFERROR(__xludf.DUMMYFUNCTION("""COMPUTED_VALUE"""),"Александра Венкова Куманова")</f>
        <v>Александра Венкова Куманова</v>
      </c>
      <c r="B98" s="10" t="str">
        <f ca="1">IFERROR(__xludf.DUMMYFUNCTION("""COMPUTED_VALUE"""),"Доклад от конференция")</f>
        <v>Доклад от конференция</v>
      </c>
      <c r="C98" s="10" t="str">
        <f ca="1">IFERROR(__xludf.DUMMYFUNCTION("""COMPUTED_VALUE"""),"Ноосфера – инфосфера – библиосфера : Синопсис естественного универсального эволюционизма / Эпигр.: „Творчество необходимо человеку, оно выполняет космическую развивающую функцию, без него возможна гибель человечества.” – А. И. Субетто.")</f>
        <v>Ноосфера – инфосфера – библиосфера : Синопсис естественного универсального эволюционизма / Эпигр.: „Творчество необходимо человеку, оно выполняет космическую развивающую функцию, без него возможна гибель человечества.” – А. И. Субетто.</v>
      </c>
      <c r="D98" s="10">
        <f ca="1">IFERROR(__xludf.DUMMYFUNCTION("""COMPUTED_VALUE"""),2017)</f>
        <v>2017</v>
      </c>
      <c r="E98" s="10" t="str">
        <f ca="1">IFERROR(__xludf.DUMMYFUNCTION("""COMPUTED_VALUE"""),"// Ноосферизм – новый путь развития : Монография посвящается 80-лет. Александра Ивановича Субетто : Материаллы межд. науч. конф., состоявшейся 28 янв. 2017 г. в Смольн. инст. Рос. акад. образования, в Санкт-Петербурге : В 2 кн. / [под. науч. ред. Г. М. Им"&amp;"анова ... и др]. (Субеттовские чтения). – ISBN 978-5-00045-419-0. – Кн. 2 / [В. Л. Бабурин ... и др.]. – Санкт-Петербург, 2017. – ISBN 978-5-00045-420-6 (кн. 1). – с. 423-435.")</f>
        <v>// Ноосферизм – новый путь развития : Монография посвящается 80-лет. Александра Ивановича Субетто : Материаллы межд. науч. конф., состоявшейся 28 янв. 2017 г. в Смольн. инст. Рос. акад. образования, в Санкт-Петербурге : В 2 кн. / [под. науч. ред. Г. М. Иманова ... и др]. (Субеттовские чтения). – ISBN 978-5-00045-419-0. – Кн. 2 / [В. Л. Бабурин ... и др.]. – Санкт-Петербург, 2017. – ISBN 978-5-00045-420-6 (кн. 1). – с. 423-435.</v>
      </c>
      <c r="F98" s="10"/>
      <c r="G98" s="10"/>
      <c r="H98" s="10"/>
      <c r="I98" s="10"/>
      <c r="J98" s="10"/>
      <c r="K98" s="10"/>
      <c r="L98" s="10"/>
      <c r="M98" s="10"/>
      <c r="N98" s="10"/>
      <c r="O98" s="10"/>
      <c r="P98" s="10"/>
      <c r="Q98" s="10"/>
      <c r="R98" s="10"/>
      <c r="S98" s="10"/>
      <c r="T98" s="10"/>
      <c r="U98" s="10"/>
      <c r="V98" s="10"/>
      <c r="W98" s="10"/>
      <c r="X98" s="10"/>
      <c r="Y98" s="10"/>
      <c r="Z98" s="10"/>
    </row>
    <row r="99" spans="1:26" ht="12.75">
      <c r="A99" s="10" t="str">
        <f ca="1">IFERROR(__xludf.DUMMYFUNCTION("""COMPUTED_VALUE"""),"Александра Венкова Куманова")</f>
        <v>Александра Венкова Куманова</v>
      </c>
      <c r="B99" s="10" t="str">
        <f ca="1">IFERROR(__xludf.DUMMYFUNCTION("""COMPUTED_VALUE"""),"Книга")</f>
        <v>Книга</v>
      </c>
      <c r="C99" s="10" t="str">
        <f ca="1">IFERROR(__xludf.DUMMYFUNCTION("""COMPUTED_VALUE"""),"Нишката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f>
        <v>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v>
      </c>
      <c r="D99" s="10">
        <f ca="1">IFERROR(__xludf.DUMMYFUNCTION("""COMPUTED_VALUE"""),2017)</f>
        <v>2017</v>
      </c>
      <c r="E99" s="10" t="str">
        <f ca="1">IFERROR(__xludf.DUMMYFUNCTION("""COMPUTED_VALUE"""),"София : За буквите – О писменехь, 2017. – 952 с. : с ил. – (Факлоносци ; ХІХ) Публ. и на ел. адрес http://www.unibit.sno.bg, със самостоятелен Е ISBN 978-619-185-286-4. ISBN 978-619-185-285-7 Публ. и в: &lt;http://www.sno.unibit.bg&gt;; &lt;https://www.academia.ed"&amp;"u/35361374&gt; &lt;https://www.academia.edu/35361374_GLORIA_BIBLIOSPHERAE&gt; &lt;https://nm40.abv.bg/Mail.html#message:fid/10:pid/0:mid/15598944520:tid/60:r/0&gt; &lt;https://www.researchgate.net/publication/321586389_Niskata_na_Ariadna_Gloria_bibliospherae&gt;")</f>
        <v>София : За буквите – О писменехь, 2017. – 952 с. : с ил. – (Факлоносци ; ХІХ) Публ. и на ел. адрес http://www.unibit.sno.bg, със самостоятелен Е ISBN 978-619-185-286-4. ISBN 978-619-185-285-7 Публ. и в: &lt;http://www.sno.unibit.bg&gt;; &lt;https://www.academia.edu/35361374&gt; &lt;https://www.academia.edu/35361374_GLORIA_BIBLIOSPHERAE&gt; &lt;https://nm40.abv.bg/Mail.html#message:fid/10:pid/0:mid/15598944520:tid/60:r/0&gt; &lt;https://www.researchgate.net/publication/321586389_Niskata_na_Ariadna_Gloria_bibliospherae&gt;</v>
      </c>
      <c r="F99" s="10" t="str">
        <f ca="1">IFERROR(__xludf.DUMMYFUNCTION("""COMPUTED_VALUE"""),"Централна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&lt;http://primo.n"&amp;"alis.bg/&gt;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&lt;https://www.uni-s"&amp;"ofia.bg&gt;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В"&amp;"ашингтон, САЩ (The Library of Congress – Washington, USA) &lt;https://www.loc.gov&gt;
 Британска библиотека – Лондон, Великобритания (The British Library – London, UK) &lt;www.bl.uk&gt;")</f>
        <v>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v>
      </c>
      <c r="G99" s="10" t="str">
        <f ca="1">IFERROR(__xludf.DUMMYFUNCTION("""COMPUTED_VALUE"""),"Състав., предг., библиогр. А. Куманова, Н. Василев Автори (текст на англ., бълг., рус. ез.): Александрова Красимира, Алексеева Елена, Анселмо Пекорари, Баражиоли Жан-Луи, Бенумелгар Хаким, Бояджиева Марта, Брежнева Валентина, Василев Николай, Велев Венцис"&amp;"лав, Велчев Петър, Винокурова Уляна, Вранчева Свободна, Гарванов Иван, Гарванова Магдалена, Георгиев Любомир, Гиляревский Руджеро, Грба Милан, Данчева-Василева Ани, Денчев Стоян, Джахая Леонид, Захаренко Марина, Зданович Геннадий, Зданович Димитрий, Илиев"&amp;"а Стефка, Казански Никола Р., Калоянов Владимир, Камбурова Илияна, Кендерова Стоянка, Кенън Анжела, Кикарина Емилия, Кияни Мохаммад, Клюев Владимир, Колесникова Марина, Константинова Константина, Кулиш Оксана, Куманов Милен, Куманова Александра, Кшищоф Ку"&amp;"жок, Кьосева Цветана, Леликова Наталия, Ленкарт Джоузеф, Лиркова Мария-Румяна, Мавродиева Мария, Максимова Марияна, Мамонтов Марк, Манчев Владимир, Матисън Ан, Милкинска Татяна, Михеева Галина , Младенова Мария, Модева Мариела, Мутафов Христо, Найденова С"&amp;"илвия, Найдова Мариета, Панов Иво, Пенева Ангелина, Пенева Венета, Пепескул-Калоянова Раиса, Петева Ирена, Петрицкий Вили, Писанов Владислав, Писанов Леонид, Правдомирова Донка, Ралева Диана, Симова Полина, Соколов Аркадий, Соколова Марианна, Субето Алекс"&amp;"андър, Сукиасян Eдуард, Теофанов Цветан, Теофилов Иван, Тодорова Таня, Филипова Силвия, Фиюзи Хаджар, Христо Пройков, Чолова Станислава, Чьорний Юрий, Шмит Алфред, Шомракова Инга, Яръмов Николай")</f>
        <v>Състав., предг., библиогр. А. Куманова, Н. Василев Автори (текст на англ., бълг., рус. ез.): Александрова Красимира, Алексеева Елена, Анселмо Пекорари, Баражиоли Жан-Луи, Бенумелгар Хаким, Бояджиева Марта, Брежнева Валентина, Василев Николай, Велев Венцислав, Велчев Петър, Винокурова Уляна, Вранчева Свободна, Гарванов Иван, Гарванова Магдалена, Георгиев Любомир, Гиляревский Руджеро, Грба Милан, Данчева-Василева Ани, Денчев Стоян, Джахая Леонид, Захаренко Марина, Зданович Геннадий, Зданович Димитрий, Илиева Стефка, Казански Никола Р., Калоянов Владимир, Камбурова Илияна, Кендерова Стоянка, Кенън Анжела, Кикарина Емилия, Кияни Мохаммад, Клюев Владимир, Колесникова Марина, Константинова Константина, Кулиш Оксана, Куманов Милен, Куманова Александра, Кшищоф Кужок, Кьосева Цветана, Леликова Наталия, Ленкарт Джоузеф, Лиркова Мария-Румяна, Мавродиева Мария, Максимова Марияна, Мамонтов Марк, Манчев Владимир, Матисън Ан, Милкинска Татяна, Михеева Галина , Младенова Мария, Модева Мариела, Мутафов Христо, Найденова Силвия, Найдова Мариета, Панов Иво, Пенева Ангелина, Пенева Венета, Пепескул-Калоянова Раиса, Петева Ирена, Петрицкий Вили, Писанов Владислав, Писанов Леонид, Правдомирова Донка, Ралева Диана, Симова Полина, Соколов Аркадий, Соколова Марианна, Субето Александър, Сукиасян Eдуард, Теофанов Цветан, Теофилов Иван, Тодорова Таня, Филипова Силвия, Фиюзи Хаджар, Христо Пройков, Чолова Станислава, Чьорний Юрий, Шмит Алфред, Шомракова Инга, Яръмов Николай</v>
      </c>
      <c r="H99" s="10"/>
      <c r="I99" s="10"/>
      <c r="J99" s="10"/>
      <c r="K99" s="10"/>
      <c r="L99" s="10"/>
      <c r="M99" s="10"/>
      <c r="N99" s="10"/>
      <c r="O99" s="10"/>
      <c r="P99" s="10"/>
      <c r="Q99" s="10"/>
      <c r="R99" s="10"/>
      <c r="S99" s="10"/>
      <c r="T99" s="10"/>
      <c r="U99" s="10"/>
      <c r="V99" s="10"/>
      <c r="W99" s="10"/>
      <c r="X99" s="10"/>
      <c r="Y99" s="10"/>
      <c r="Z99" s="10"/>
    </row>
    <row r="100" spans="1:26" ht="12.75">
      <c r="A100" s="10" t="str">
        <f ca="1">IFERROR(__xludf.DUMMYFUNCTION("""COMPUTED_VALUE"""),"Александра Венкова Куманова")</f>
        <v>Александра Венкова Куманова</v>
      </c>
      <c r="B100" s="10" t="str">
        <f ca="1">IFERROR(__xludf.DUMMYFUNCTION("""COMPUTED_VALUE"""),"Статия в списания и поредици")</f>
        <v>Статия в списания и поредици</v>
      </c>
      <c r="C100" s="10" t="str">
        <f ca="1">IFERROR(__xludf.DUMMYFUNCTION("""COMPUTED_VALUE"""),"Панорама на международната универсална библиография в дъгата на структурите на библиографознанието (Интеграл на преподаването по вторично-документално информационно моделиране – хуманитарна библиография по подход).")</f>
        <v>Панорама на международната универсална библиография в дъгата на структурите на библиографознанието (Интеграл на преподаването по вторично-документално информационно моделиране – хуманитарна библиография по подход).</v>
      </c>
      <c r="D100" s="10">
        <f ca="1">IFERROR(__xludf.DUMMYFUNCTION("""COMPUTED_VALUE"""),2017)</f>
        <v>2017</v>
      </c>
      <c r="E100" s="10" t="str">
        <f ca="1">IFERROR(__xludf.DUMMYFUNCTION("""COMPUTED_VALUE"""),"// Библиотека (София). – ISSN 0861-847X. – 2017, N 5, с. 5-25 : сх. – Рез. на англ. ез.")</f>
        <v>// Библиотека (София). – ISSN 0861-847X. – 2017, N 5, с. 5-25 : сх. – Рез. на англ. ез.</v>
      </c>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 r="A101" s="10" t="str">
        <f ca="1">IFERROR(__xludf.DUMMYFUNCTION("""COMPUTED_VALUE"""),"Александра Венкова Куманова")</f>
        <v>Александра Венкова Куманова</v>
      </c>
      <c r="B101" s="10" t="str">
        <f ca="1">IFERROR(__xludf.DUMMYFUNCTION("""COMPUTED_VALUE"""),"Доклад от конференция")</f>
        <v>Доклад от конференция</v>
      </c>
      <c r="C101" s="10" t="str">
        <f ca="1">IFERROR(__xludf.DUMMYFUNCTION("""COMPUTED_VALUE"""),"Езикът на народните будители (Морфологични, лексикални и фонетични стойности) (Към въпроса за ценностния геном на българското изящно слово) : Плен. докл. на ХІV Нац. науч. конф. с междунар. участие „О-вото на знанието и хуманизмът на ХХІ в.”, 1.11.2016 г."&amp;", София, УниБИТ")</f>
        <v>Езикът на народните будители (Морфологични, лексикални и фонетични стойности) (Към въпроса за ценностния геном на българското изящно слово) : Плен. докл. на ХІV Нац. науч. конф. с междунар. участие „О-вото на знанието и хуманизмът на ХХІ в.”, 1.11.2016 г., София, УниБИТ</v>
      </c>
      <c r="D101" s="10">
        <f ca="1">IFERROR(__xludf.DUMMYFUNCTION("""COMPUTED_VALUE"""),2017)</f>
        <v>2017</v>
      </c>
      <c r="E101" s="10" t="str">
        <f ca="1">IFERROR(__xludf.DUMMYFUNCTION("""COMPUTED_VALUE"""),"Обществото на знанието и хуманизмът на ХХІ век (София). – ISSN 1314-7099. – 2017, с. 18-36 : с табл.")</f>
        <v>Обществото на знанието и хуманизмът на ХХІ век (София). – ISSN 1314-7099. – 2017, с. 18-36 : с табл.</v>
      </c>
      <c r="F101" s="10" t="str">
        <f ca="1">IFERROR(__xludf.DUMMYFUNCTION("""COMPUTED_VALUE"""),"&lt;http://science-publish.ru/node/2&gt;")</f>
        <v>&lt;http://science-publish.ru/node/2&gt;</v>
      </c>
      <c r="G101" s="10" t="str">
        <f ca="1">IFERROR(__xludf.DUMMYFUNCTION("""COMPUTED_VALUE"""),"С. Денчев, А. Куманова, Н. Василев")</f>
        <v>С. Денчев, А. Куманова, Н. Василев</v>
      </c>
      <c r="H101" s="10"/>
      <c r="I101" s="10"/>
      <c r="J101" s="10"/>
      <c r="K101" s="10"/>
      <c r="L101" s="10"/>
      <c r="M101" s="10"/>
      <c r="N101" s="10"/>
      <c r="O101" s="10"/>
      <c r="P101" s="10"/>
      <c r="Q101" s="10"/>
      <c r="R101" s="10"/>
      <c r="S101" s="10"/>
      <c r="T101" s="10"/>
      <c r="U101" s="10"/>
      <c r="V101" s="10"/>
      <c r="W101" s="10"/>
      <c r="X101" s="10"/>
      <c r="Y101" s="10"/>
      <c r="Z101" s="10"/>
    </row>
    <row r="102" spans="1:26" ht="12.75">
      <c r="A102" s="10" t="str">
        <f ca="1">IFERROR(__xludf.DUMMYFUNCTION("""COMPUTED_VALUE"""),"Александра Венкова Куманова")</f>
        <v>Александра Венкова Куманова</v>
      </c>
      <c r="B102" s="10" t="str">
        <f ca="1">IFERROR(__xludf.DUMMYFUNCTION("""COMPUTED_VALUE"""),"Статия в списания и поредици")</f>
        <v>Статия в списания и поредици</v>
      </c>
      <c r="C102" s="10" t="str">
        <f ca="1">IFERROR(__xludf.DUMMYFUNCTION("""COMPUTED_VALUE"""),"Интеграл гуманитарной библиографии в ХХІ в.")</f>
        <v>Интеграл гуманитарной библиографии в ХХІ в.</v>
      </c>
      <c r="D102" s="10">
        <f ca="1">IFERROR(__xludf.DUMMYFUNCTION("""COMPUTED_VALUE"""),2016)</f>
        <v>2016</v>
      </c>
      <c r="E102" s="10" t="str">
        <f ca="1">IFERROR(__xludf.DUMMYFUNCTION("""COMPUTED_VALUE"""),"// Библиография и книговедение (Москва). – ISSN 2411-2305. – 2016, N 5 (406), с. 131-143. 
 Публ. и в: &lt;http://www.bookchamber.ru/journal.html&gt;.")</f>
        <v>// Библиография и книговедение (Москва). – ISSN 2411-2305. – 2016, N 5 (406), с. 131-143. 
 Публ. и в: &lt;http://www.bookchamber.ru/journal.html&gt;.</v>
      </c>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 r="A103" s="10" t="str">
        <f ca="1">IFERROR(__xludf.DUMMYFUNCTION("""COMPUTED_VALUE"""),"Александра Венкова Куманова")</f>
        <v>Александра Венкова Куманова</v>
      </c>
      <c r="B103" s="10" t="str">
        <f ca="1">IFERROR(__xludf.DUMMYFUNCTION("""COMPUTED_VALUE"""),"Доклад от конференция")</f>
        <v>Доклад от конференция</v>
      </c>
      <c r="C103" s="10" t="str">
        <f ca="1">IFERROR(__xludf.DUMMYFUNCTION("""COMPUTED_VALUE"""),"Ризомата на терминосистемата на библиосферата (Системно-структурно описание на видовете вторично-документални реалии в евро-американската класификационна и теоретична мисъл на ХVІІІ-ХХІ в.)")</f>
        <v>Ризомата на терминосистемата на библиосферата (Системно-структурно описание на видовете вторично-документални реалии в евро-американската класификационна и теоретична мисъл на ХVІІІ-ХХІ в.)</v>
      </c>
      <c r="D103" s="10">
        <f ca="1">IFERROR(__xludf.DUMMYFUNCTION("""COMPUTED_VALUE"""),2016)</f>
        <v>2016</v>
      </c>
      <c r="E103" s="10" t="str">
        <f ca="1">IFERROR(__xludf.DUMMYFUNCTION("""COMPUTED_VALUE"""),"Обществото на знанието и хуманизмът на ХХІ век (София). – ISSN 1314-7099. – 2016, с. 207-218.")</f>
        <v>Обществото на знанието и хуманизмът на ХХІ век (София). – ISSN 1314-7099. – 2016, с. 207-218.</v>
      </c>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 r="A104" s="10" t="str">
        <f ca="1">IFERROR(__xludf.DUMMYFUNCTION("""COMPUTED_VALUE"""),"Александра Венкова Куманова")</f>
        <v>Александра Венкова Куманова</v>
      </c>
      <c r="B104" s="10" t="str">
        <f ca="1">IFERROR(__xludf.DUMMYFUNCTION("""COMPUTED_VALUE"""),"Доклад от конференция")</f>
        <v>Доклад от конференция</v>
      </c>
      <c r="C104" s="10" t="str">
        <f ca="1">IFERROR(__xludf.DUMMYFUNCTION("""COMPUTED_VALUE"""),"Трансмисия на арийски соларен религиозен култ, проникнал от Иран в България = Transmission of aryan solar religious cult from Iran into Bulgaria")</f>
        <v>Трансмисия на арийски соларен религиозен култ, проникнал от Иран в България = Transmission of aryan solar religious cult from Iran into Bulgaria</v>
      </c>
      <c r="D104" s="10">
        <f ca="1">IFERROR(__xludf.DUMMYFUNCTION("""COMPUTED_VALUE"""),2016)</f>
        <v>2016</v>
      </c>
      <c r="E104" s="10" t="str">
        <f ca="1">IFERROR(__xludf.DUMMYFUNCTION("""COMPUTED_VALUE"""),"Докл. на науч. конф. с межд. участие „Булгарика-Ираника” (София, 25 окт. 2012). // Булгарика – ираника : Сб. с докл. от науч. конф., посв. на 115 г. от установяването на дипломатически отношения между Република България и Ислямска република Иран – София, "&amp;"[25] окт. 2012 г. / Ц-р за изследвания по история на българите Тангра ТанНакРа ИК ; Библ. „Българска вечност” ; Кн. се издава с подкрепата на Културното представителство към Посолството на Ислямска република Иран в България. – София, 2016. – ISSN 978-954-"&amp;"378-139-3. – с. 105-169. – Библиогр.: 88 неном. назв. в 40 ном. бел. – Съавт. Н. Казански. – Разшир. публ.")</f>
        <v>Докл. на науч. конф. с межд. участие „Булгарика-Ираника” (София, 25 окт. 2012). // Булгарика – ираника : Сб. с докл. от науч. конф., посв. на 115 г. от установяването на дипломатически отношения между Република България и Ислямска република Иран – София, [25] окт. 2012 г. / Ц-р за изследвания по история на българите Тангра ТанНакРа ИК ; Библ. „Българска вечност” ; Кн. се издава с подкрепата на Културното представителство към Посолството на Ислямска република Иран в България. – София, 2016. – ISSN 978-954-378-139-3. – с. 105-169. – Библиогр.: 88 неном. назв. в 40 ном. бел. – Съавт. Н. Казански. – Разшир. публ.</v>
      </c>
      <c r="F104" s="10"/>
      <c r="G104" s="10" t="str">
        <f ca="1">IFERROR(__xludf.DUMMYFUNCTION("""COMPUTED_VALUE"""),"Н. Казански")</f>
        <v>Н. Казански</v>
      </c>
      <c r="H104" s="10"/>
      <c r="I104" s="10"/>
      <c r="J104" s="10"/>
      <c r="K104" s="10"/>
      <c r="L104" s="10"/>
      <c r="M104" s="10"/>
      <c r="N104" s="10"/>
      <c r="O104" s="10"/>
      <c r="P104" s="10"/>
      <c r="Q104" s="10"/>
      <c r="R104" s="10"/>
      <c r="S104" s="10"/>
      <c r="T104" s="10"/>
      <c r="U104" s="10"/>
      <c r="V104" s="10"/>
      <c r="W104" s="10"/>
      <c r="X104" s="10"/>
      <c r="Y104" s="10"/>
      <c r="Z104" s="10"/>
    </row>
    <row r="105" spans="1:26" ht="12.75">
      <c r="A105" s="10" t="str">
        <f ca="1">IFERROR(__xludf.DUMMYFUNCTION("""COMPUTED_VALUE"""),"Александра Венкова Куманова")</f>
        <v>Александра Венкова Куманова</v>
      </c>
      <c r="B105" s="10" t="str">
        <f ca="1">IFERROR(__xludf.DUMMYFUNCTION("""COMPUTED_VALUE"""),"Статия в списания и поредици")</f>
        <v>Статия в списания и поредици</v>
      </c>
      <c r="C105" s="10" t="str">
        <f ca="1">IFERROR(__xludf.DUMMYFUNCTION("""COMPUTED_VALUE"""),". Библиографоведческий интеграл преподавания библиографии : Генезис мировой универсальной библиографии")</f>
        <v>. Библиографоведческий интеграл преподавания библиографии : Генезис мировой универсальной библиографии</v>
      </c>
      <c r="D105" s="10">
        <f ca="1">IFERROR(__xludf.DUMMYFUNCTION("""COMPUTED_VALUE"""),2016)</f>
        <v>2016</v>
      </c>
      <c r="E105" s="10" t="str">
        <f ca="1">IFERROR(__xludf.DUMMYFUNCTION("""COMPUTED_VALUE"""),"Вестник Санкт-Петербургск. гос. унив. культуры и искусств : Науч. журнал. – ISSN 2220-3044. – 2016, N 3 (28) сентябрь, с. 74-81.")</f>
        <v>Вестник Санкт-Петербургск. гос. унив. культуры и искусств : Науч. журнал. – ISSN 2220-3044. – 2016, N 3 (28) сентябрь, с. 74-81.</v>
      </c>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 r="A106" s="10" t="str">
        <f ca="1">IFERROR(__xludf.DUMMYFUNCTION("""COMPUTED_VALUE"""),"Александра Венкова Куманова")</f>
        <v>Александра Венкова Куманова</v>
      </c>
      <c r="B106" s="10" t="str">
        <f ca="1">IFERROR(__xludf.DUMMYFUNCTION("""COMPUTED_VALUE"""),"Учебник")</f>
        <v>Учебник</v>
      </c>
      <c r="C106" s="10" t="str">
        <f ca="1">IFERROR(__xludf.DUMMYFUNCTION("""COMPUTED_VALUE"""),"Интеграл библиографии : Учебник-компендиум по общему библиографоведению")</f>
        <v>Интеграл библиографии : Учебник-компендиум по общему библиографоведению</v>
      </c>
      <c r="D106" s="10">
        <f ca="1">IFERROR(__xludf.DUMMYFUNCTION("""COMPUTED_VALUE"""),2016)</f>
        <v>2016</v>
      </c>
      <c r="E106" s="10" t="str">
        <f ca="1">IFERROR(__xludf.DUMMYFUNCTION("""COMPUTED_VALUE"""),"А. Куманова Общ. ред. Н. Василев Saarbrücken : LAP LAMBERT Academic Publishing, 2016. – 132 с. : с портр. ISBN 978-3-659-96247-9")</f>
        <v>А. Куманова Общ. ред. Н. Василев Saarbrücken : LAP LAMBERT Academic Publishing, 2016. – 132 с. : с портр. ISBN 978-3-659-96247-9</v>
      </c>
      <c r="F106" s="10" t="str">
        <f ca="1">IFERROR(__xludf.DUMMYFUNCTION("""COMPUTED_VALUE"""),"Публ. и в: &lt;https://www.lap-publishing.com//registration/registerwithtoken/a3142ba5e26c4e4427c7b2977c01ba61?locale=ru&gt;; &lt;http://sno.unibit.bg&gt;; &lt;https://www.academia.edu/30043130/&gt;; &lt;https://www.researchgate.net/profile/Alexandra_Kumanova&gt;; &lt;https://www.r"&amp;"esearchgate.net/...Kumanova/&gt;
 Национална библиотека „Св. Св. Кирил и Методий” &lt;https://www.nationallibrary.bg&gt;
 Bibliogr. Inform. der Deutschen Nationalbibliothek &lt;https://dnb.d-nb.de&gt;
 [В каталог LAP:] &lt;https://www.lap-publishing.com/catalog/detai"&amp;"ls/store/ru/book/978-3-659-96247-9/search=978-3-659-96247-9&gt;
 [В каталозите за кн. на онлайн магазините:] &lt;https://www.ljubljuknigi.ru/store/gb/book/ /isbn/978-3-659-96247-9&gt; &lt;https://www.morebooks.de/store/gb/book/isbn/978-3-659-96247-9&gt;
 &lt;https://www."&amp;"knigozal.com/store/gb/book/isbn/978-3-659-96247-9&gt;
 &lt;https://www.amazon.com/E-Russian/dp/3659962473/ref=sr_1_1?ie=UTF8&amp;qid=1477385391&amp;sr=8-1&amp;keywords=9783659962479&gt;
 [В Немския книжен каталог на Немската нац. б-ка:] &lt;https://portal.dnb.de&gt;
 Integral b"&amp;"ibliografii : Kompendium po obshhemu bibliografovedeniju &lt;https://books.google.bg/books/about/Integral_bibliografii.html?id=7Tk_vgAACAAJ&amp;redir_esc=y&gt;
 Amazon.com &lt;https://www.amazon.com/x418-x43D-x442-x435-x433/dp/3659962473&gt;")</f>
        <v>Публ. и в: &lt;https://www.lap-publishing.com//registration/registerwithtoken/a3142ba5e26c4e4427c7b2977c01ba61?locale=ru&gt;; &lt;http://sno.unibit.bg&gt;; &lt;https://www.academia.edu/30043130/&gt;; &lt;https://www.researchgate.net/profile/Alexandra_Kumanova&gt;; &lt;https://www.researchgate.net/...Kumanova/&gt;
 Национална библиотека „Св. Св. Кирил и Методий” &lt;https://www.nationallibrary.bg&gt;
 Bibliogr. Inform. der Deutschen Nationalbibliothek &lt;https://dnb.d-nb.de&gt;
 [В каталог LAP:] &lt;https://www.lap-publishing.com/catalog/details/store/ru/book/978-3-659-96247-9/search=978-3-659-96247-9&gt;
 [В каталозите за кн. на онлайн магазините:] &lt;https://www.ljubljuknigi.ru/store/gb/book/ /isbn/978-3-659-96247-9&gt; &lt;https://www.morebooks.de/store/gb/book/isbn/978-3-659-96247-9&gt;
 &lt;https://www.knigozal.com/store/gb/book/isbn/978-3-659-96247-9&gt;
 &lt;https://www.amazon.com/E-Russian/dp/3659962473/ref=sr_1_1?ie=UTF8&amp;qid=1477385391&amp;sr=8-1&amp;keywords=9783659962479&gt;
 [В Немския книжен каталог на Немската нац. б-ка:] &lt;https://portal.dnb.de&gt;
 Integral bibliografii : Kompendium po obshhemu bibliografovedeniju &lt;https://books.google.bg/books/about/Integral_bibliografii.html?id=7Tk_vgAACAAJ&amp;redir_esc=y&gt;
 Amazon.com &lt;https://www.amazon.com/x418-x43D-x442-x435-x433/dp/3659962473&gt;</v>
      </c>
      <c r="G106" s="10" t="str">
        <f ca="1">IFERROR(__xludf.DUMMYFUNCTION("""COMPUTED_VALUE"""),"Н. Василев")</f>
        <v>Н. Василев</v>
      </c>
      <c r="H106" s="10"/>
      <c r="I106" s="10"/>
      <c r="J106" s="10"/>
      <c r="K106" s="10"/>
      <c r="L106" s="10"/>
      <c r="M106" s="10"/>
      <c r="N106" s="10"/>
      <c r="O106" s="10"/>
      <c r="P106" s="10"/>
      <c r="Q106" s="10"/>
      <c r="R106" s="10"/>
      <c r="S106" s="10"/>
      <c r="T106" s="10"/>
      <c r="U106" s="10"/>
      <c r="V106" s="10"/>
      <c r="W106" s="10"/>
      <c r="X106" s="10"/>
      <c r="Y106" s="10"/>
      <c r="Z106" s="10"/>
    </row>
    <row r="107" spans="1:26" ht="12.75">
      <c r="A107" s="10" t="str">
        <f ca="1">IFERROR(__xludf.DUMMYFUNCTION("""COMPUTED_VALUE"""),"Александра Венкова Куманова")</f>
        <v>Александра Венкова Куманова</v>
      </c>
      <c r="B107" s="10" t="str">
        <f ca="1">IFERROR(__xludf.DUMMYFUNCTION("""COMPUTED_VALUE"""),"Статия в списания и поредици")</f>
        <v>Статия в списания и поредици</v>
      </c>
      <c r="C107"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107" s="10">
        <f ca="1">IFERROR(__xludf.DUMMYFUNCTION("""COMPUTED_VALUE"""),2016)</f>
        <v>2016</v>
      </c>
      <c r="E107" s="10" t="str">
        <f ca="1">IFERROR(__xludf.DUMMYFUNCTION("""COMPUTED_VALUE"""),"Издател (В. Търново). – ISSN 1310-4624. – 2016, N 2 (3-4), с. 111-121 : с ил. – Разшир. публ.")</f>
        <v>Издател (В. Търново). – ISSN 1310-4624. – 2016, N 2 (3-4), с. 111-121 : с ил. – Разшир. публ.</v>
      </c>
      <c r="F107" s="10" t="str">
        <f ca="1">IFERROR(__xludf.DUMMYFUNCTION("""COMPUTED_VALUE"""),"Публ.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f>
        <v>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v>
      </c>
      <c r="G107" s="10" t="str">
        <f ca="1">IFERROR(__xludf.DUMMYFUNCTION("""COMPUTED_VALUE"""),"Съавт.: С. Денчев, А. Куманова, Н. Казански, Н. Василев")</f>
        <v>Съавт.: С. Денчев, А. Куманова, Н. Казански, Н. Василев</v>
      </c>
      <c r="H107" s="10"/>
      <c r="I107" s="10"/>
      <c r="J107" s="10"/>
      <c r="K107" s="10"/>
      <c r="L107" s="10"/>
      <c r="M107" s="10"/>
      <c r="N107" s="10"/>
      <c r="O107" s="10"/>
      <c r="P107" s="10"/>
      <c r="Q107" s="10"/>
      <c r="R107" s="10"/>
      <c r="S107" s="10"/>
      <c r="T107" s="10"/>
      <c r="U107" s="10"/>
      <c r="V107" s="10"/>
      <c r="W107" s="10"/>
      <c r="X107" s="10"/>
      <c r="Y107" s="10"/>
      <c r="Z107" s="10"/>
    </row>
    <row r="108" spans="1:26" ht="12.75">
      <c r="A108" s="10" t="str">
        <f ca="1">IFERROR(__xludf.DUMMYFUNCTION("""COMPUTED_VALUE"""),"Александра Венкова Куманова")</f>
        <v>Александра Венкова Куманова</v>
      </c>
      <c r="B108" s="10" t="str">
        <f ca="1">IFERROR(__xludf.DUMMYFUNCTION("""COMPUTED_VALUE"""),"Доклад от конференция")</f>
        <v>Доклад от конференция</v>
      </c>
      <c r="C108" s="10" t="str">
        <f ca="1">IFERROR(__xludf.DUMMYFUNCTION("""COMPUTED_VALUE"""),"Генезис на библиографската теория във Франция, Великобритания и Германия (ХVІІІ-ХІХ в.) (Към въпроса за трактуването на дистинкцията в лексикографията на именуването на библиографските форми : Морфология на различията)")</f>
        <v>Генезис на библиографската теория във Франция, Великобритания и Германия (ХVІІІ-ХІХ в.) (Към въпроса за трактуването на дистинкцията в лексикографията на именуването на библиографските форми : Морфология на различията)</v>
      </c>
      <c r="D108" s="10">
        <f ca="1">IFERROR(__xludf.DUMMYFUNCTION("""COMPUTED_VALUE"""),2016)</f>
        <v>2016</v>
      </c>
      <c r="E108" s="10" t="str">
        <f ca="1">IFERROR(__xludf.DUMMYFUNCTION("""COMPUTED_VALUE"""),"Хармония в различията : Сб. с докл. от [Трета] науч. конф. „Хармония в различията” (София, 9.12.2016 г.) / Състав. Ж. Назърска, С. Шапкалова. – София, 2016. – ISSN 2367-7899. – с. 383-392")</f>
        <v>Хармония в различията : Сб. с докл. от [Трета] науч. конф. „Хармония в различията” (София, 9.12.2016 г.) / Състав. Ж. Назърска, С. Шапкалова. – София, 2016. – ISSN 2367-7899. – с. 383-392</v>
      </c>
      <c r="F108" s="10"/>
      <c r="G108" s="10" t="str">
        <f ca="1">IFERROR(__xludf.DUMMYFUNCTION("""COMPUTED_VALUE"""),"Н. Василев")</f>
        <v>Н. Василев</v>
      </c>
      <c r="H108" s="10"/>
      <c r="I108" s="10"/>
      <c r="J108" s="10"/>
      <c r="K108" s="10"/>
      <c r="L108" s="10"/>
      <c r="M108" s="10"/>
      <c r="N108" s="10"/>
      <c r="O108" s="10"/>
      <c r="P108" s="10"/>
      <c r="Q108" s="10"/>
      <c r="R108" s="10"/>
      <c r="S108" s="10"/>
      <c r="T108" s="10"/>
      <c r="U108" s="10"/>
      <c r="V108" s="10"/>
      <c r="W108" s="10"/>
      <c r="X108" s="10"/>
      <c r="Y108" s="10"/>
      <c r="Z108" s="10"/>
    </row>
    <row r="109" spans="1:26" ht="12.75">
      <c r="A109" s="10" t="str">
        <f ca="1">IFERROR(__xludf.DUMMYFUNCTION("""COMPUTED_VALUE"""),"Александра Венкова Куманова")</f>
        <v>Александра Венкова Куманова</v>
      </c>
      <c r="B109" s="10" t="str">
        <f ca="1">IFERROR(__xludf.DUMMYFUNCTION("""COMPUTED_VALUE"""),"Книга")</f>
        <v>Книга</v>
      </c>
      <c r="C109" s="10" t="str">
        <f ca="1">IFERROR(__xludf.DUMMYFUNCTION("""COMPUTED_VALUE"""),"Арианика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Инфор"&amp;"м. кодове на култ. наследство”")</f>
        <v>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Информ. кодове на култ. наследство”</v>
      </c>
      <c r="D109" s="10">
        <f ca="1">IFERROR(__xludf.DUMMYFUNCTION("""COMPUTED_VALUE"""),2016)</f>
        <v>2016</v>
      </c>
      <c r="E109" s="10" t="str">
        <f ca="1">IFERROR(__xludf.DUMMYFUNCTION("""COMPUTED_VALUE"""),"София : За буквите – О писменехь, 2016. – 208 с. : с ил. – (Факлоносци ; ХV) ISBN 978-619-185-192-8")</f>
        <v>София : За буквите – О писменехь, 2016. – 208 с. : с ил. – (Факлоносци ; ХV) ISBN 978-619-185-192-8</v>
      </c>
      <c r="F109" s="10" t="str">
        <f ca="1">IFERROR(__xludf.DUMMYFUNCTION("""COMPUTED_VALUE"""),"Университет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Den"&amp;"chev,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&lt;www.cnshb.ru/mai/m"&amp;"ai.htm&gt;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Петерб"&amp;"ург,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USA"&amp;")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Librar"&amp;"y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Мюнхен,"&amp;" Германия (Universitätsbibliothek [University Library] – München [Munich]) &lt;https://www.en.uni-muenchen&gt;")</f>
        <v>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 Германия (Universitätsbibliothek [University Library] – München [Munich]) &lt;https://www.en.uni-muenchen&gt;</v>
      </c>
      <c r="G109" s="10" t="str">
        <f ca="1">IFERROR(__xludf.DUMMYFUNCTION("""COMPUTED_VALUE"""),"С. Денчев , А. Куманова, Н. Казански, Н. Василев")</f>
        <v>С. Денчев , А. Куманова, Н. Казански, Н. Василев</v>
      </c>
      <c r="H109" s="10"/>
      <c r="I109" s="10"/>
      <c r="J109" s="10"/>
      <c r="K109" s="10"/>
      <c r="L109" s="10"/>
      <c r="M109" s="10"/>
      <c r="N109" s="10"/>
      <c r="O109" s="10"/>
      <c r="P109" s="10"/>
      <c r="Q109" s="10"/>
      <c r="R109" s="10"/>
      <c r="S109" s="10"/>
      <c r="T109" s="10"/>
      <c r="U109" s="10"/>
      <c r="V109" s="10"/>
      <c r="W109" s="10"/>
      <c r="X109" s="10"/>
      <c r="Y109" s="10"/>
      <c r="Z109" s="10"/>
    </row>
    <row r="110" spans="1:26" ht="12.75">
      <c r="A110" s="10" t="str">
        <f ca="1">IFERROR(__xludf.DUMMYFUNCTION("""COMPUTED_VALUE"""),"Александра Венкова Куманова")</f>
        <v>Александра Венкова Куманова</v>
      </c>
      <c r="B110" s="10" t="str">
        <f ca="1">IFERROR(__xludf.DUMMYFUNCTION("""COMPUTED_VALUE"""),"Статия в списания и поредици")</f>
        <v>Статия в списания и поредици</v>
      </c>
      <c r="C110" s="10" t="str">
        <f ca="1">IFERROR(__xludf.DUMMYFUNCTION("""COMPUTED_VALUE"""),"Творчество : [Определение].")</f>
        <v>Творчество : [Определение].</v>
      </c>
      <c r="D110" s="10">
        <f ca="1">IFERROR(__xludf.DUMMYFUNCTION("""COMPUTED_VALUE"""),2016)</f>
        <v>2016</v>
      </c>
      <c r="E110" s="10" t="str">
        <f ca="1">IFERROR(__xludf.DUMMYFUNCTION("""COMPUTED_VALUE"""),"// Тр. на Студентското науч. о-во при Унив. по библиотекознание и информ. технолог. (София). – ISSN 1314-2526. – Т. 10, 2015, с. 238-239.")</f>
        <v>// Тр. на Студентското науч. о-во при Унив. по библиотекознание и информ. технолог. (София). – ISSN 1314-2526. – Т. 10, 2015, с. 238-239.</v>
      </c>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 r="A111" s="10" t="str">
        <f ca="1">IFERROR(__xludf.DUMMYFUNCTION("""COMPUTED_VALUE"""),"Александра Венкова Куманова")</f>
        <v>Александра Венкова Куманова</v>
      </c>
      <c r="B111" s="10" t="str">
        <f ca="1">IFERROR(__xludf.DUMMYFUNCTION("""COMPUTED_VALUE"""),"Доклад от конференция")</f>
        <v>Доклад от конференция</v>
      </c>
      <c r="C111" s="10" t="str">
        <f ca="1">IFERROR(__xludf.DUMMYFUNCTION("""COMPUTED_VALUE"""),"Към проблема за синтактиката на трансформационните процеси в съвременния български език – хипотаксични, паратаксични и интермодални модели (Трансмисия на езика на Св. Константин-Кирил Философ и архиепископ Методий във филологическия модел на славянските е"&amp;"зици) : Плен. докл. на ХІІІ Нац. науч. конф. с междунар. участие „О-вото на знанието и хуманизмът на ХХІ в.”, 1.11.2015 г., София, УниБИТ / Посв. на 1150-год. от Покръстването на българите")</f>
        <v>Към проблема за синтактиката на трансформационните процеси в съвременния български език – хипотаксични, паратаксични и интермодални модели (Трансмисия на езика на Св. Константин-Кирил Философ и архиепископ Методий във филологическия модел на славянските езици) : Плен. докл. на ХІІІ Нац. науч. конф. с междунар. участие „О-вото на знанието и хуманизмът на ХХІ в.”, 1.11.2015 г., София, УниБИТ / Посв. на 1150-год. от Покръстването на българите</v>
      </c>
      <c r="D111" s="10">
        <f ca="1">IFERROR(__xludf.DUMMYFUNCTION("""COMPUTED_VALUE"""),2016)</f>
        <v>2016</v>
      </c>
      <c r="E111" s="10" t="str">
        <f ca="1">IFERROR(__xludf.DUMMYFUNCTION("""COMPUTED_VALUE"""),"Обществото на знанието и хуманизмът на ХХІ век (София). – ISSN 1314-7099. – 2016, с. 79-106 : с табл.")</f>
        <v>Обществото на знанието и хуманизмът на ХХІ век (София). – ISSN 1314-7099. – 2016, с. 79-106 : с табл.</v>
      </c>
      <c r="F111" s="10" t="str">
        <f ca="1">IFERROR(__xludf.DUMMYFUNCTION("""COMPUTED_VALUE"""),"Публ. &lt;http://www.unibit.bg&gt;")</f>
        <v>Публ. &lt;http://www.unibit.bg&gt;</v>
      </c>
      <c r="G111" s="10" t="str">
        <f ca="1">IFERROR(__xludf.DUMMYFUNCTION("""COMPUTED_VALUE"""),"С. Денчев, А. Куманова, Н. Василев")</f>
        <v>С. Денчев, А. Куманова, Н. Василев</v>
      </c>
      <c r="H111" s="10"/>
      <c r="I111" s="10"/>
      <c r="J111" s="10"/>
      <c r="K111" s="10"/>
      <c r="L111" s="10"/>
      <c r="M111" s="10"/>
      <c r="N111" s="10"/>
      <c r="O111" s="10"/>
      <c r="P111" s="10"/>
      <c r="Q111" s="10"/>
      <c r="R111" s="10"/>
      <c r="S111" s="10"/>
      <c r="T111" s="10"/>
      <c r="U111" s="10"/>
      <c r="V111" s="10"/>
      <c r="W111" s="10"/>
      <c r="X111" s="10"/>
      <c r="Y111" s="10"/>
      <c r="Z111" s="10"/>
    </row>
    <row r="112" spans="1:26" ht="12.75">
      <c r="A112" s="10" t="str">
        <f ca="1">IFERROR(__xludf.DUMMYFUNCTION("""COMPUTED_VALUE"""),"Александра Венкова Куманова")</f>
        <v>Александра Венкова Куманова</v>
      </c>
      <c r="B112" s="10" t="str">
        <f ca="1">IFERROR(__xludf.DUMMYFUNCTION("""COMPUTED_VALUE"""),"Статия в списания и поредици")</f>
        <v>Статия в списания и поредици</v>
      </c>
      <c r="C112" s="10" t="str">
        <f ca="1">IFERROR(__xludf.DUMMYFUNCTION("""COMPUTED_VALUE"""),"Нестинарството – феноменът на Странджа планина. Историографска справка, библиографски преглед на регионалния периодичен печат на Бургас и Бургаска област за периода м. януари 2010 – м. март 2015 г. и показалец на прегледаните периодичните издания / (N 135"&amp;"7)")</f>
        <v>Нестинарството – феноменът на Странджа планина. Историографска справка, библиографски преглед на регионалния периодичен печат на Бургас и Бургаска област за периода м. януари 2010 – м. март 2015 г. и показалец на прегледаните периодичните издания / (N 1357)</v>
      </c>
      <c r="D112" s="10">
        <f ca="1">IFERROR(__xludf.DUMMYFUNCTION("""COMPUTED_VALUE"""),2016)</f>
        <v>2016</v>
      </c>
      <c r="E112" s="10" t="str">
        <f ca="1">IFERROR(__xludf.DUMMYFUNCTION("""COMPUTED_VALUE"""),"// Тр. на Студентското науч. о-во при Унив. по библиотекознание и информ. технолог. (София). – ISSN 1314-2526. – Т. 11, 2016, с. 476-483. &lt;http://www.unibit.sno.bg&gt;. – Съавт. В. Колева. – Доп.")</f>
        <v>// Тр. на Студентското науч. о-во при Унив. по библиотекознание и информ. технолог. (София). – ISSN 1314-2526. – Т. 11, 2016, с. 476-483. &lt;http://www.unibit.sno.bg&gt;. – Съавт. В. Колева. – Доп.</v>
      </c>
      <c r="F112" s="10"/>
      <c r="G112" s="10" t="str">
        <f ca="1">IFERROR(__xludf.DUMMYFUNCTION("""COMPUTED_VALUE"""),"В. Колева")</f>
        <v>В. Колева</v>
      </c>
      <c r="H112" s="10"/>
      <c r="I112" s="10"/>
      <c r="J112" s="10"/>
      <c r="K112" s="10"/>
      <c r="L112" s="10"/>
      <c r="M112" s="10"/>
      <c r="N112" s="10"/>
      <c r="O112" s="10"/>
      <c r="P112" s="10"/>
      <c r="Q112" s="10"/>
      <c r="R112" s="10"/>
      <c r="S112" s="10"/>
      <c r="T112" s="10"/>
      <c r="U112" s="10"/>
      <c r="V112" s="10"/>
      <c r="W112" s="10"/>
      <c r="X112" s="10"/>
      <c r="Y112" s="10"/>
      <c r="Z112" s="10"/>
    </row>
    <row r="113" spans="1:26" ht="12.75">
      <c r="A113" s="10" t="str">
        <f ca="1">IFERROR(__xludf.DUMMYFUNCTION("""COMPUTED_VALUE"""),"Александра Венкова Куманова")</f>
        <v>Александра Венкова Куманова</v>
      </c>
      <c r="B113" s="10" t="str">
        <f ca="1">IFERROR(__xludf.DUMMYFUNCTION("""COMPUTED_VALUE"""),"Статия в списания и поредици")</f>
        <v>Статия в списания и поредици</v>
      </c>
      <c r="C113" s="10" t="str">
        <f ca="1">IFERROR(__xludf.DUMMYFUNCTION("""COMPUTED_VALUE"""),"Information Modeling of the International Universal Bibliography : Rhizome of the Humanitarian Knowledge")</f>
        <v>Information Modeling of the International Universal Bibliography : Rhizome of the Humanitarian Knowledge</v>
      </c>
      <c r="D113" s="10">
        <f ca="1">IFERROR(__xludf.DUMMYFUNCTION("""COMPUTED_VALUE"""),2016)</f>
        <v>2016</v>
      </c>
      <c r="E113" s="10" t="str">
        <f ca="1">IFERROR(__xludf.DUMMYFUNCTION("""COMPUTED_VALUE"""),"// Library Philosophy and Practice (LPP) (e-journal). – ISSN 1522-0222. &lt;http://digitalcommons.unl.edu/libphilprac/&gt;; &lt;http://digitalcommons.unl.edu/cgi/viewcontent.cgi?article=3893&amp;context=libphilprac&amp;z=1463489765&amp;preview_mode=1&amp;login=2357202&gt;. – 21.05.2"&amp;"016. – 6 p. – Enlarged publ.")</f>
        <v>// Library Philosophy and Practice (LPP) (e-journal). – ISSN 1522-0222. &lt;http://digitalcommons.unl.edu/libphilprac/&gt;; &lt;http://digitalcommons.unl.edu/cgi/viewcontent.cgi?article=3893&amp;context=libphilprac&amp;z=1463489765&amp;preview_mode=1&amp;login=2357202&gt;. – 21.05.2016. – 6 p. – Enlarged publ.</v>
      </c>
      <c r="F113" s="10"/>
      <c r="G113" s="10" t="str">
        <f ca="1">IFERROR(__xludf.DUMMYFUNCTION("""COMPUTED_VALUE"""),"А. Кumanova, N. Kazanski, N. Vasilev.")</f>
        <v>А. Кumanova, N. Kazanski, N. Vasilev.</v>
      </c>
      <c r="H113" s="10"/>
      <c r="I113" s="10"/>
      <c r="J113" s="10"/>
      <c r="K113" s="10"/>
      <c r="L113" s="10"/>
      <c r="M113" s="10"/>
      <c r="N113" s="10"/>
      <c r="O113" s="10"/>
      <c r="P113" s="10"/>
      <c r="Q113" s="10"/>
      <c r="R113" s="10"/>
      <c r="S113" s="10"/>
      <c r="T113" s="10"/>
      <c r="U113" s="10"/>
      <c r="V113" s="10"/>
      <c r="W113" s="10"/>
      <c r="X113" s="10"/>
      <c r="Y113" s="10"/>
      <c r="Z113" s="10"/>
    </row>
    <row r="114" spans="1:26" ht="12.75">
      <c r="A114" s="10" t="str">
        <f ca="1">IFERROR(__xludf.DUMMYFUNCTION("""COMPUTED_VALUE"""),"Александра Венкова Куманова")</f>
        <v>Александра Венкова Куманова</v>
      </c>
      <c r="B114" s="10" t="str">
        <f ca="1">IFERROR(__xludf.DUMMYFUNCTION("""COMPUTED_VALUE"""),"Статия в списания и поредици")</f>
        <v>Статия в списания и поредици</v>
      </c>
      <c r="C114" s="10" t="str">
        <f ca="1">IFERROR(__xludf.DUMMYFUNCTION("""COMPUTED_VALUE"""),"За ролята на научните изследвания, осъществявани от студентите на УниБИТ в съвременната система на образование по библиотечно-информационната социокомуникативна сфера (Форум за библиотечното образование на ХХІ в.)")</f>
        <v>За ролята на научните изследвания, осъществявани от студентите на УниБИТ в съвременната система на образование по библиотечно-информационната социокомуникативна сфера (Форум за библиотечното образование на ХХІ в.)</v>
      </c>
      <c r="D114" s="10">
        <f ca="1">IFERROR(__xludf.DUMMYFUNCTION("""COMPUTED_VALUE"""),2016)</f>
        <v>2016</v>
      </c>
      <c r="E114" s="10" t="str">
        <f ca="1">IFERROR(__xludf.DUMMYFUNCTION("""COMPUTED_VALUE"""),"Докл. на семинар в УниБИТ, 14.10.2015 г. // Издател (В. Търново). – ISSN 1310-4624. – 2016, N 1 (1-2), с. 42-48. – Рез. на англ. ез.
 Публ. и в: &lt;http://journals.uni-vt.bg/izdatel/bul/&gt;.")</f>
        <v>Докл. на семинар в УниБИТ, 14.10.2015 г. // Издател (В. Търново). – ISSN 1310-4624. – 2016, N 1 (1-2), с. 42-48. – Рез. на англ. ез.
 Публ. и в: &lt;http://journals.uni-vt.bg/izdatel/bul/&gt;.</v>
      </c>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 r="A115" s="10" t="str">
        <f ca="1">IFERROR(__xludf.DUMMYFUNCTION("""COMPUTED_VALUE"""),"Александра Венкова Куманова")</f>
        <v>Александра Венкова Куманова</v>
      </c>
      <c r="B115" s="10" t="str">
        <f ca="1">IFERROR(__xludf.DUMMYFUNCTION("""COMPUTED_VALUE"""),"Доклад от конференция")</f>
        <v>Доклад от конференция</v>
      </c>
      <c r="C115" s="10" t="str">
        <f ca="1">IFERROR(__xludf.DUMMYFUNCTION("""COMPUTED_VALUE"""),"Гуманитарная библиография (Терминосистемное описание)")</f>
        <v>Гуманитарная библиография (Терминосистемное описание)</v>
      </c>
      <c r="D115" s="10">
        <f ca="1">IFERROR(__xludf.DUMMYFUNCTION("""COMPUTED_VALUE"""),2016)</f>
        <v>2016</v>
      </c>
      <c r="E115" s="10" t="str">
        <f ca="1">IFERROR(__xludf.DUMMYFUNCTION("""COMPUTED_VALUE"""),"// Библиотечное дело – 2016 : Библ.-информ. коммуникации в поликультурном пространстве : Скворцовские чтения-2016 : Материалы ХХІ межд. науч. конф. – Москва, 27-28 апр. 2016 г. / Моск. гос. унив. культуры и искусств ... [и др.]. – Москва, 2016. – ISBN 998"&amp;"-5-94778-450-3. – с. 40-45. – Разшир. публ.
 Публ. и в: &lt;http://www.spsl.nsc.ru/fulltext/SOTR/.pdf&gt;.")</f>
        <v>// Библиотечное дело – 2016 : Библ.-информ. коммуникации в поликультурном пространстве : Скворцовские чтения-2016 : Материалы ХХІ межд. науч. конф. – Москва, 27-28 апр. 2016 г. / Моск. гос. унив. культуры и искусств ... [и др.]. – Москва, 2016. – ISBN 998-5-94778-450-3. – с. 40-45. – Разшир. публ.
 Публ. и в: &lt;http://www.spsl.nsc.ru/fulltext/SOTR/.pdf&gt;.</v>
      </c>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 r="A116" s="10" t="str">
        <f ca="1">IFERROR(__xludf.DUMMYFUNCTION("""COMPUTED_VALUE"""),"Александра Венкова Куманова")</f>
        <v>Александра Венкова Куманова</v>
      </c>
      <c r="B116" s="10" t="str">
        <f ca="1">IFERROR(__xludf.DUMMYFUNCTION("""COMPUTED_VALUE"""),"Статия в списания и поредици")</f>
        <v>Статия в списания и поредици</v>
      </c>
      <c r="C116" s="10" t="str">
        <f ca="1">IFERROR(__xludf.DUMMYFUNCTION("""COMPUTED_VALUE"""),"[Шейсет и пет] 65-годишнината на Държавния библиотекарски институт – днес: Университет по библиотекозание и информационни технологии (Модерно-традиционно осмисляне на научноизследователските линии : Щрихи към въпроса за построяване на ризома на изследоват"&amp;"елите на информ.-комуникативната сфера) (N 1302).")</f>
        <v>[Шейсет и пет] 65-годишнината на Държавния библиотекарски институт – днес: Университет по библиотекозание и информационни технологии (Модерно-традиционно осмисляне на научноизследователските линии : Щрихи към въпроса за построяване на ризома на изследователите на информ.-комуникативната сфера) (N 1302).</v>
      </c>
      <c r="D116" s="10">
        <f ca="1">IFERROR(__xludf.DUMMYFUNCTION("""COMPUTED_VALUE"""),2016)</f>
        <v>2016</v>
      </c>
      <c r="E116" s="10" t="str">
        <f ca="1">IFERROR(__xludf.DUMMYFUNCTION("""COMPUTED_VALUE"""),"// Тр. на Студентското науч. о-во при Унив. по библиотекознание и информ. технолог. (София). – ISSN 1314-2526. – Т. 11, 2016, с. 328-368. – Разшир. публ. &lt;http://www.unibit.sno.bg&gt;.")</f>
        <v>// Тр. на Студентското науч. о-во при Унив. по библиотекознание и информ. технолог. (София). – ISSN 1314-2526. – Т. 11, 2016, с. 328-368. – Разшир. публ. &lt;http://www.unibit.sno.bg&gt;.</v>
      </c>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 r="A117" s="10" t="str">
        <f ca="1">IFERROR(__xludf.DUMMYFUNCTION("""COMPUTED_VALUE"""),"Александра Венкова Куманова")</f>
        <v>Александра Венкова Куманова</v>
      </c>
      <c r="B117" s="10" t="str">
        <f ca="1">IFERROR(__xludf.DUMMYFUNCTION("""COMPUTED_VALUE"""),"Статия в списания и поредици")</f>
        <v>Статия в списания и поредици</v>
      </c>
      <c r="C117" s="10" t="str">
        <f ca="1">IFERROR(__xludf.DUMMYFUNCTION("""COMPUTED_VALUE"""),"Ключ към научното списание за книгата „Издател”")</f>
        <v>Ключ към научното списание за книгата „Издател”</v>
      </c>
      <c r="D117" s="10">
        <f ca="1">IFERROR(__xludf.DUMMYFUNCTION("""COMPUTED_VALUE"""),2016)</f>
        <v>2016</v>
      </c>
      <c r="E117" s="10" t="str">
        <f ca="1">IFERROR(__xludf.DUMMYFUNCTION("""COMPUTED_VALUE"""),"/ Изд. на Великотърновски унив. „Св. Св. Кирил и Методий” (В. Търново) ; УниБИТ (София) (Общи бележки, вторичнодокументални черти, корпус, архитектура, именен показалец) (2002-2013) (N 1356) / [Библиогр. ред. М. Максимома]. // Тр. на Студентското науч. о-"&amp;"во при Унив. по библиотекознание и информ. технолог. (София). – ISSN 1314-2526. – Т. 11, 2016, с. 377-463.")</f>
        <v>/ Изд. на Великотърновски унив. „Св. Св. Кирил и Методий” (В. Търново) ; УниБИТ (София) (Общи бележки, вторичнодокументални черти, корпус, архитектура, именен показалец) (2002-2013) (N 1356) / [Библиогр. ред. М. Максимома]. // Тр. на Студентското науч. о-во при Унив. по библиотекознание и информ. технолог. (София). – ISSN 1314-2526. – Т. 11, 2016, с. 377-463.</v>
      </c>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 r="A118" s="10" t="str">
        <f ca="1">IFERROR(__xludf.DUMMYFUNCTION("""COMPUTED_VALUE"""),"Александра Венкова Куманова")</f>
        <v>Александра Венкова Куманова</v>
      </c>
      <c r="B118" s="10" t="str">
        <f ca="1">IFERROR(__xludf.DUMMYFUNCTION("""COMPUTED_VALUE"""),"Статия в списания и поредици")</f>
        <v>Статия в списания и поредици</v>
      </c>
      <c r="C118"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(Към проблема за ризомно-ретикуларното структуриране на информ. : Метасинтез на емпир. научноизслед. карт"&amp;".) / Епигр.: „Учим не за училището, а за живота” – „Non schole, sed vitae discimus”.")</f>
        <v>Когнитологичните компаративистични изследвания на Студентското научно общество при УниБИТ : Панорама. Статистика. Методология. Синопсис. Визуализация (Към проблема за ризомно-ретикуларното структуриране на информ. : Метасинтез на емпир. научноизслед. карт.) / Епигр.: „Учим не за училището, а за живота” – „Non schole, sed vitae discimus”.</v>
      </c>
      <c r="D118" s="10">
        <f ca="1">IFERROR(__xludf.DUMMYFUNCTION("""COMPUTED_VALUE"""),2016)</f>
        <v>2016</v>
      </c>
      <c r="E118" s="10" t="str">
        <f ca="1">IFERROR(__xludf.DUMMYFUNCTION("""COMPUTED_VALUE"""),"// Тр. на Студентското науч. о-во при Унив. по библиотекознание и информ. технолог. (София). – ISSN 1314-2526. – Т. 11, 2016, с. 187-246 : с ил., табл. – Библиогр.: 836 неном. назв. в 21 ном. бел.
 Публ. и в: &lt;http://www.sno.unibit.bg&gt;.")</f>
        <v>// Тр. на Студентското науч. о-во при Унив. по библиотекознание и информ. технолог. (София). – ISSN 1314-2526. – Т. 11, 2016, с. 187-246 : с ил., табл. – Библиогр.: 836 неном. назв. в 21 ном. бел.
 Публ. и в: &lt;http://www.sno.unibit.bg&gt;.</v>
      </c>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 r="A119" s="10" t="str">
        <f ca="1">IFERROR(__xludf.DUMMYFUNCTION("""COMPUTED_VALUE"""),"Александра Венкова Куманова")</f>
        <v>Александра Венкова Куманова</v>
      </c>
      <c r="B119" s="10" t="str">
        <f ca="1">IFERROR(__xludf.DUMMYFUNCTION("""COMPUTED_VALUE"""),"Статия в списания и поредици")</f>
        <v>Статия в списания и поредици</v>
      </c>
      <c r="C119" s="10" t="str">
        <f ca="1">IFERROR(__xludf.DUMMYFUNCTION("""COMPUTED_VALUE"""),"Молитва за паметта : Феноменолог. обобщение на форума : [ХІ Студентска науч. конф. на УниБИТ „Магистрали на цивилизацията – информация, знание, памет”")</f>
        <v>Молитва за паметта : Феноменолог. обобщение на форума : [ХІ Студентска науч. конф. на УниБИТ „Магистрали на цивилизацията – информация, знание, памет”</v>
      </c>
      <c r="D119" s="10">
        <f ca="1">IFERROR(__xludf.DUMMYFUNCTION("""COMPUTED_VALUE"""),2016)</f>
        <v>2016</v>
      </c>
      <c r="E119" s="10" t="str">
        <f ca="1">IFERROR(__xludf.DUMMYFUNCTION("""COMPUTED_VALUE"""),"22.05.2015 г.] (Запис на диалога между ръководителите на Студентското науч. о-во при УниБИТ проф. А. Куманова и д-р Н. Василев, направен по време на обсъждане на даваните от студентите определения и проведен на 23.04.2015 г.) / Записът е направен от А. Па"&amp;"ндулис. // Тр. на Студентското науч. о-во при Унив. по библиотекознание и информ. технолог. (София). – ISSN 1314-2526. – Т. 11, 2016, с. 547-550. – Съавт. Н. Василев.
 Отз.: Пандулис, А. ХІ Студентска научна конференция и изложба на УниБИТ [: За ораторият"&amp;"а „Homo legens” ; „Златната христоматия на България” (София, 2013), „Tabula gratulatorum” (1561 ном. загл.), Плен. докл. на форума, рец. изд. на унив. „Апостоли на инфосферата” (София, 2010), „Методика на науч. изследвания” (София, 2014), „Ризома на инфос"&amp;"ферата” (София, 2012) и интеракцията „Молитва за паметта”]. // Учит. дело (София), CXX, N 22, 8 юни 2015, с. 6 : с ил. / [Фотогр. Д. Бояджиев.] &lt;http://www.unibit.sno.bg&gt;.")</f>
        <v>22.05.2015 г.] (Запис на диалога между ръководителите на Студентското науч. о-во при УниБИТ проф. А. Куманова и д-р Н. Василев, направен по време на обсъждане на даваните от студентите определения и проведен на 23.04.2015 г.) / Записът е направен от А. Пандулис. // Тр. на Студентското науч. о-во при Унив. по библиотекознание и информ. технолог. (София). – ISSN 1314-2526. – Т. 11, 2016, с. 547-550. – Съавт. Н. Василев.
 Отз.: Пандулис, А. ХІ Студентска научна конференция и изложба на УниБИТ [: За ораторията „Homo legens” ; „Златната христоматия на България” (София, 2013), „Tabula gratulatorum” (1561 ном. загл.), Плен. докл. на форума, рец. изд. на унив. „Апостоли на инфосферата” (София, 2010), „Методика на науч. изследвания” (София, 2014), „Ризома на инфосферата” (София, 2012) и интеракцията „Молитва за паметта”]. // Учит. дело (София), CXX, N 22, 8 юни 2015, с. 6 : с ил. / [Фотогр. Д. Бояджиев.] &lt;http://www.unibit.sno.bg&gt;.</v>
      </c>
      <c r="F119" s="10"/>
      <c r="G119" s="10" t="str">
        <f ca="1">IFERROR(__xludf.DUMMYFUNCTION("""COMPUTED_VALUE"""),"Н. Василев")</f>
        <v>Н. Василев</v>
      </c>
      <c r="H119" s="10"/>
      <c r="I119" s="10"/>
      <c r="J119" s="10"/>
      <c r="K119" s="10"/>
      <c r="L119" s="10"/>
      <c r="M119" s="10"/>
      <c r="N119" s="10"/>
      <c r="O119" s="10"/>
      <c r="P119" s="10"/>
      <c r="Q119" s="10"/>
      <c r="R119" s="10"/>
      <c r="S119" s="10"/>
      <c r="T119" s="10"/>
      <c r="U119" s="10"/>
      <c r="V119" s="10"/>
      <c r="W119" s="10"/>
      <c r="X119" s="10"/>
      <c r="Y119" s="10"/>
      <c r="Z119" s="10"/>
    </row>
    <row r="120" spans="1:26" ht="12.75">
      <c r="A120" s="10" t="str">
        <f ca="1">IFERROR(__xludf.DUMMYFUNCTION("""COMPUTED_VALUE"""),"Александра Венкова Куманова")</f>
        <v>Александра Венкова Куманова</v>
      </c>
      <c r="B120" s="10" t="str">
        <f ca="1">IFERROR(__xludf.DUMMYFUNCTION("""COMPUTED_VALUE"""),"Доклад от конференция")</f>
        <v>Доклад от конференция</v>
      </c>
      <c r="C120" s="10" t="str">
        <f ca="1">IFERROR(__xludf.DUMMYFUNCTION("""COMPUTED_VALUE"""),"Гуманитарная библиография : Терминосистема")</f>
        <v>Гуманитарная библиография : Терминосистема</v>
      </c>
      <c r="D120" s="10">
        <f ca="1">IFERROR(__xludf.DUMMYFUNCTION("""COMPUTED_VALUE"""),2016)</f>
        <v>2016</v>
      </c>
      <c r="E120" s="10" t="str">
        <f ca="1">IFERROR(__xludf.DUMMYFUNCTION("""COMPUTED_VALUE"""),"// Topical areas of fundamental and applied research ІХ : Актуальные направления фундаментальных и прикладных исследований : IX межд. науч.-практ. конф. – North Charleston, USA, 11-12 июля 2016. – North Charleston, USA, 2016. – ISBN 978-1535303415. – с. 5"&amp;"5-57. &lt;http://science-publish.ru/node/2&gt;. – Соавт.: Б. Апостолова. – Редуц. публ.")</f>
        <v>// Topical areas of fundamental and applied research ІХ : Актуальные направления фундаментальных и прикладных исследований : IX межд. науч.-практ. конф. – North Charleston, USA, 11-12 июля 2016. – North Charleston, USA, 2016. – ISBN 978-1535303415. – с. 55-57. &lt;http://science-publish.ru/node/2&gt;. – Соавт.: Б. Апостолова. – Редуц. публ.</v>
      </c>
      <c r="F120" s="10"/>
      <c r="G120" s="10" t="str">
        <f ca="1">IFERROR(__xludf.DUMMYFUNCTION("""COMPUTED_VALUE"""),"Б. Апостолова.")</f>
        <v>Б. Апостолова.</v>
      </c>
      <c r="H120" s="10"/>
      <c r="I120" s="10"/>
      <c r="J120" s="10"/>
      <c r="K120" s="10"/>
      <c r="L120" s="10"/>
      <c r="M120" s="10"/>
      <c r="N120" s="10"/>
      <c r="O120" s="10"/>
      <c r="P120" s="10"/>
      <c r="Q120" s="10"/>
      <c r="R120" s="10"/>
      <c r="S120" s="10"/>
      <c r="T120" s="10"/>
      <c r="U120" s="10"/>
      <c r="V120" s="10"/>
      <c r="W120" s="10"/>
      <c r="X120" s="10"/>
      <c r="Y120" s="10"/>
      <c r="Z120" s="10"/>
    </row>
    <row r="121" spans="1:26" ht="12.75">
      <c r="A121" s="10" t="str">
        <f ca="1">IFERROR(__xludf.DUMMYFUNCTION("""COMPUTED_VALUE"""),"Александра Венкова Куманова")</f>
        <v>Александра Венкова Куманова</v>
      </c>
      <c r="B121" s="10" t="str">
        <f ca="1">IFERROR(__xludf.DUMMYFUNCTION("""COMPUTED_VALUE"""),"Доклад от конференция")</f>
        <v>Доклад от конференция</v>
      </c>
      <c r="C121" s="10" t="str">
        <f ca="1">IFERROR(__xludf.DUMMYFUNCTION("""COMPUTED_VALUE"""),"Академик професор, доктор на педагогическите науки Александра Куманова : Систематично-хронолог.-азб. автобиобиблиогр. списък на тр. [2589 ном. назв.]")</f>
        <v>Академик професор, доктор на педагогическите науки Александра Куманова : Систематично-хронолог.-азб. автобиобиблиогр. списък на тр. [2589 ном. назв.]</v>
      </c>
      <c r="D121" s="10">
        <f ca="1">IFERROR(__xludf.DUMMYFUNCTION("""COMPUTED_VALUE"""),2016)</f>
        <v>2016</v>
      </c>
      <c r="E121" s="10" t="str">
        <f ca="1">IFERROR(__xludf.DUMMYFUNCTION("""COMPUTED_VALUE"""),"GLORIA BIBLIOSPHERAE (Нишката на Ариадна) : Изследвания в чест на акад. проф. Александра Куманова : Юбилеен сб. по случай 65 год. от основаването на УниБИТ = GLORIA BIBLIOSPHERAE (Ariadne’s Thread) : Studia in honorem Acad. Prof. Alexandra Kumanova : A Fe"&amp;"stschrift for 65th Golden Jubilee of the University of Library Studies and Information Technologies in Sofia / Науч. ред. С. Денчев ; Състав., предг. и интервю Н. Василев. – София, 2016. – ISBN 978-619-185-211-6. – с. 1275-1698.")</f>
        <v>GLORIA BIBLIOSPHERAE (Нишката на Ариадна) : Изследвания в чест на акад. проф. Александра Куманова : Юбилеен сб. по случай 65 год. от основаването на УниБИТ = GLORIA BIBLIOSPHERAE (Ariadne’s Thread) : Studia in honorem Acad. Prof. Alexandra Kumanova : A Festschrift for 65th Golden Jubilee of the University of Library Studies and Information Technologies in Sofia / Науч. ред. С. Денчев ; Състав., предг. и интервю Н. Василев. – София, 2016. – ISBN 978-619-185-211-6. – с. 1275-1698.</v>
      </c>
      <c r="F121" s="10"/>
      <c r="G121" s="10" t="str">
        <f ca="1">IFERROR(__xludf.DUMMYFUNCTION("""COMPUTED_VALUE"""),"Науч. ред. С. Денчев ; Състав., предг. и интервю Н. Василев.")</f>
        <v>Науч. ред. С. Денчев ; Състав., предг. и интервю Н. Василев.</v>
      </c>
      <c r="H121" s="10"/>
      <c r="I121" s="10"/>
      <c r="J121" s="10"/>
      <c r="K121" s="10"/>
      <c r="L121" s="10"/>
      <c r="M121" s="10"/>
      <c r="N121" s="10"/>
      <c r="O121" s="10"/>
      <c r="P121" s="10"/>
      <c r="Q121" s="10"/>
      <c r="R121" s="10"/>
      <c r="S121" s="10"/>
      <c r="T121" s="10"/>
      <c r="U121" s="10"/>
      <c r="V121" s="10"/>
      <c r="W121" s="10"/>
      <c r="X121" s="10"/>
      <c r="Y121" s="10"/>
      <c r="Z121" s="10"/>
    </row>
    <row r="122" spans="1:26" ht="12.75">
      <c r="A122" s="10" t="str">
        <f ca="1">IFERROR(__xludf.DUMMYFUNCTION("""COMPUTED_VALUE"""),"Александра Венкова Куманова")</f>
        <v>Александра Венкова Куманова</v>
      </c>
      <c r="B122" s="10" t="str">
        <f ca="1">IFERROR(__xludf.DUMMYFUNCTION("""COMPUTED_VALUE"""),"Книга")</f>
        <v>Книга</v>
      </c>
      <c r="C122"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"&amp;": A Festschrift for 65th Golden Jubilee of the University of Library Studies and Information Technologies in Sofia")</f>
        <v>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 A Festschrift for 65th Golden Jubilee of the University of Library Studies and Information Technologies in Sofia</v>
      </c>
      <c r="D122" s="10">
        <f ca="1">IFERROR(__xludf.DUMMYFUNCTION("""COMPUTED_VALUE"""),2016)</f>
        <v>2016</v>
      </c>
      <c r="E122" s="10" t="str">
        <f ca="1">IFERROR(__xludf.DUMMYFUNCTION("""COMPUTED_VALUE"""),"София : За буквите – О писменехь, 2016. – 1774 с. : с ил. – (Факлоносци ; ХVІ) Публ. и на електронен адрес http://www.unibit.sno.bg, със самостоятелен Е ISBN 978-619-185-212-3. ISBN 978-619-185-211-6")</f>
        <v>София : За буквите – О писменехь, 2016. – 1774 с. : с ил. – (Факлоносци ; ХVІ) Публ. и на електронен адрес http://www.unibit.sno.bg, със самостоятелен Е ISBN 978-619-185-212-3. ISBN 978-619-185-211-6</v>
      </c>
      <c r="F122" s="10" t="str">
        <f ca="1">IFERROR(__xludf.DUMMYFUNCTION("""COMPUTED_VALUE"""),"Национален регистър на Националната библиотека „Св. Св. Кирил и Методий” &lt;http://booksinprint.bg/Publication/Details/b3a55106-5b07-4abb-a910-b7473e002473&gt;
 Санктпетербургский институт культуры &lt;http://elibrary.spbguki.ru/323261091/view#page=1&gt;
 &lt;http://"&amp;"elibrary.spbguki.ru/323261091/details&gt; &lt;http://elibrary.spbguki.ru/#/search?query=GLORIA+BIBLIOSPHERAE&amp;ShowSnippets=true&amp;sorting=&amp;&gt;
 Denchev, Stoyan : Selected Co-authors – Kumanova, Aleksandra – Gloria bibliospherae (Ariadne’s Thread) : The Virtual Int"&amp;"ernational Authority File – ID : 167234376 (Personal) &lt;https://viaf.org/viaf/167234376&gt;
 Национална библиотека „Св. Св. Кирил и Методий” &lt;https://www.nationallibrary.bg&gt;
 Централна библиотека на БАН &lt;http://www.cl.bas.bg&gt; 
 Университетска библиотека"&amp;"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"&amp;"
 Конгресна библиотека – Вашингтон, САЩ (The Library of Congress – Washington, USA) &lt;https://www.loc.gov&gt;
 Британска библиотека – Лондон, Великобритания (The British Library – London, UK) &lt;www.bl.uk&gt;
 Национална библиотека – Будапеща, Унгария (Nationa"&amp;"l Széchényi Library of Hungary – Budapest, Hungary)
 &lt;http://www.oszk.hu/en&gt;
 Some specific methods for knowledge distribution of intangible cultural heritage. // New perspective in science education : Int. conf. : 6th ed. : Conf. proceedings – Florence"&amp;", Italy, 16-17 March 2017. – Firence, 2017, p. 421. – Coaut.: S. Denchev, I. Peteva, D. Stoyanova, T. Varadinova. &lt;https://books.google.bg/books?id=rvc8DgAAQBAJ&amp;pg=PA421&amp;lpg=PA421&amp;dq&gt;
 OCLC – WorldCat &lt;http://worldcat.org/identities/lccn-no2013059149/&gt; "&amp;"
 COBIS.BG на НБКМ &lt;http://www.bg.cobiss.net/&gt;")</f>
        <v>Национален регистър на Националната библиотека „Св. Св. Кирил и Методий” &lt;http://booksinprint.bg/Publication/Details/b3a55106-5b07-4abb-a910-b7473e002473&gt;
 Санктпетербургский институт культуры &lt;http://elibrary.spbguki.ru/323261091/view#page=1&gt;
 &lt;http://elibrary.spbguki.ru/323261091/details&gt; &lt;http://elibrary.spbguki.ru/#/search?query=GLORIA+BIBLIOSPHERAE&amp;ShowSnippets=true&amp;sorting=&amp;&gt;
 Denchev, Stoyan : Selected Co-authors – Kumanova, Aleksandra – Gloria bibliospherae (Ariadne’s Thread) : The Virtual International Authority File – ID : 167234376 (Personal) &lt;https://viaf.org/viaf/167234376&gt;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
 Национална библиотека – Будапеща, Унгария (National Széchényi Library of Hungary – Budapest, Hungary)
 &lt;http://www.oszk.hu/en&gt;
 Some specific methods for knowledge distribution of intangible cultural heritage. // New perspective in science education : Int. conf. : 6th ed. : Conf. proceedings – Florence, Italy, 16-17 March 2017. – Firence, 2017, p. 421. – Coaut.: S. Denchev, I. Peteva, D. Stoyanova, T. Varadinova. &lt;https://books.google.bg/books?id=rvc8DgAAQBAJ&amp;pg=PA421&amp;lpg=PA421&amp;dq&gt;
 OCLC – WorldCat &lt;http://worldcat.org/identities/lccn-no2013059149/&gt; 
 COBIS.BG на НБКМ &lt;http://www.bg.cobiss.net/&gt;</v>
      </c>
      <c r="G122" s="10" t="str">
        <f ca="1">IFERROR(__xludf.DUMMYFUNCTION("""COMPUTED_VALUE"""),"Н. Василев, Автори (текст на англ., араб., нем., пол., рус., тур., укр., фр. ез.): Абдулах Ариф, Александрова Красимира, Алексеева Елена, Антонов Валерий, Апостолова Боряна, Арсенова Искра, Балабанова Елисавета, Баражиоли Жан-Луи, Бенбасат Алберт, Бенумел"&amp;"гар Хаким, Беспалов Владимир, Брежнева Валентина, Варадинова Цветелина, Василев Николай, Василева Румелина, Василева София, Велев Венцислав, Величков Петър, Велчев Петър, Винокурова Уляна, Вранчева Свободна, Гарванов Иван, Гарванова Магдалена, Георгиев Ас"&amp;"ен, Георгиев Лъчезар, Георгиева Северина, Гетова Иглика, Гиляревский Руджеро, Гордукалова Галина, Грба Милан, Гречнев Вячеслав, Грошева Елена, Данчева-Василева Ани, Денчев Стоян, Дерменджиева Татяна, Джахая Леонид, Добрева Ваня, Дубровский Борис, Енчева М"&amp;"арина, Ефтимова Събина, Загоров Васил, Загоров Орлин, Зафер Зейнеп, Захаренко Марина, Захариева Йорданка, Збигнев Тенча, Зданович Геннадий, Зданович Димитрий, Златкова Пламена, Илиева Стефка, Йотова Ралица, Казански Никола Р., Калоянов Владимир, Камбуров "&amp;"Самуил, Кендерова Стоянка, Кенън Анжела, Кикарина Емилия, Кирилов Андрей, Кирилова Катя, Кияни Мохаммад, Клементиев Александър, Клюев Владимир, Коен Илай, Константинова Константина, Кръстева Росица, Кулиш Оксана, Куманов Милен, Куманова Александра, Кшищоф"&amp;" Кужок, Кшищоф Ожадович, Кьосева Цветана, Леликова Наталия, Ленкарт Джоузеф, Леонов Валерий, Линден Ирина, Линден Фредерик К., Лобанкова Инна, Лойд Скот Дж., Льоблан Силви, Максимова Марияна, Мамонтов Марк, Манчев Владимир, Матисън Ан, Минина Марина, Минч"&amp;"ева Калина, Митко Валерий, Михеева Галина, Москаленко Лариса, Муканова Поли, Мутафов Христо, Назърска Жоржета, Найденова Силвия, Нанкова Мариела, Панайотова Галина, Панов Иво, Парижкова Любомира, Пейков Петър, Пенева Ангелина, Петрицкий Вили, Петрова Кали"&amp;"на, Писанов Владислав, Писанов Леонид, Попандонова-Желязова Екатерина, Поппетров Николай, Поппетрова Маргарет, Правдомирова Донка, Пьотижан Александра, Равински Дмитрий, Ралева Диана, Рашева-Йорданова Катя, Русинова Евгения, Савова Юлия, Симеонова Ружа, С"&amp;"имова Полина, Соколов Аркадий, Соколова Марианна, Стайкова Цветана, Станчева Силвия, Степанов Станислав, Столяров Юрий, Стоянов Желязко, Стоянова Диана, Стойкова Добринка, Субето Александър, Сукиасян Eдуард, Тахиров Мюмюн, Теофанов Цветан, Теофилов Иван, "&amp;"Тодорова Богдана, Тодорова Таня, Томашева Елена, Томов Васил, Федотов Александър, Филипова Силвия, Фиюзи Хаджар, Хорхордина Татяна, Цветкова Люба, Чантов Веселин, Чолова Станислава, Чьорний Юрий, Шапкалова Светла, Шмит Алфред, Шомракова Инга, Шрайберг Яко"&amp;"в, Янева Наталия, Яръмов Николай")</f>
        <v>Н. Василев, Автори (текст на англ., араб., нем., пол., рус., тур., укр., фр. ез.): Абдулах Ариф, Александрова Красимира, Алексеева Елена, Антонов Валерий, Апостолова Боряна, Арсенова Искра, Балабанова Елисавета, Баражиоли Жан-Луи, Бенбасат Алберт, Бенумелгар Хаким, Беспалов Владимир, Брежнева Валентина, Варадинова Цветелина, Василев Николай, Василева Румелина, Василева София, Велев Венцислав, Величков Петър, Велчев Петър, Винокурова Уляна, Вранчева Свободна, Гарванов Иван, Гарванова Магдалена, Георгиев Асен, Георгиев Лъчезар, Георгиева Северина, Гетова Иглика, Гиляревский Руджеро, Гордукалова Галина, Грба Милан, Гречнев Вячеслав, Грошева Елена, Данчева-Василева Ани, Денчев Стоян, Дерменджиева Татяна, Джахая Леонид, Добрева Ваня, Дубровский Борис, Енчева Марина, Ефтимова Събина, Загоров Васил, Загоров Орлин, Зафер Зейнеп, Захаренко Марина, Захариева Йорданка, Збигнев Тенча, Зданович Геннадий, Зданович Димитрий, Златкова Пламена, Илиева Стефка, Йотова Ралица, Казански Никола Р., Калоянов Владимир, Камбуров Самуил, Кендерова Стоянка, Кенън Анжела, Кикарина Емилия, Кирилов Андрей, Кирилова Катя, Кияни Мохаммад, Клементиев Александър, Клюев Владимир, Коен Илай, Константинова Константина, Кръстева Росица, Кулиш Оксана, Куманов Милен, Куманова Александра, Кшищоф Кужок, Кшищоф Ожадович, Кьосева Цветана, Леликова Наталия, Ленкарт Джоузеф, Леонов Валерий, Линден Ирина, Линден Фредерик К., Лобанкова Инна, Лойд Скот Дж., Льоблан Силви, Максимова Марияна, Мамонтов Марк, Манчев Владимир, Матисън Ан, Минина Марина, Минчева Калина, Митко Валерий, Михеева Галина, Москаленко Лариса, Муканова Поли, Мутафов Христо, Назърска Жоржета, Найденова Силвия, Нанкова Мариела, Панайотова Галина, Панов Иво, Парижкова Любомира, Пейков Петър, Пенева Ангелина, Петрицкий Вили, Петрова Калина, Писанов Владислав, Писанов Леонид, Попандонова-Желязова Екатерина, Поппетров Николай, Поппетрова Маргарет, Правдомирова Донка, Пьотижан Александра, Равински Дмитрий, Ралева Диана, Рашева-Йорданова Катя, Русинова Евгения, Савова Юлия, Симеонова Ружа, Симова Полина, Соколов Аркадий, Соколова Марианна, Стайкова Цветана, Станчева Силвия, Степанов Станислав, Столяров Юрий, Стоянов Желязко, Стоянова Диана, Стойкова Добринка, Субето Александър, Сукиасян Eдуард, Тахиров Мюмюн, Теофанов Цветан, Теофилов Иван, Тодорова Богдана, Тодорова Таня, Томашева Елена, Томов Васил, Федотов Александър, Филипова Силвия, Фиюзи Хаджар, Хорхордина Татяна, Цветкова Люба, Чантов Веселин, Чолова Станислава, Чьорний Юрий, Шапкалова Светла, Шмит Алфред, Шомракова Инга, Шрайберг Яков, Янева Наталия, Яръмов Николай</v>
      </c>
      <c r="H122" s="10"/>
      <c r="I122" s="10"/>
      <c r="J122" s="10"/>
      <c r="K122" s="10"/>
      <c r="L122" s="10"/>
      <c r="M122" s="10"/>
      <c r="N122" s="10"/>
      <c r="O122" s="10"/>
      <c r="P122" s="10"/>
      <c r="Q122" s="10"/>
      <c r="R122" s="10"/>
      <c r="S122" s="10"/>
      <c r="T122" s="10"/>
      <c r="U122" s="10"/>
      <c r="V122" s="10"/>
      <c r="W122" s="10"/>
      <c r="X122" s="10"/>
      <c r="Y122" s="10"/>
      <c r="Z122" s="10"/>
    </row>
    <row r="123" spans="1:26" ht="12.75">
      <c r="A123" s="10" t="str">
        <f ca="1">IFERROR(__xludf.DUMMYFUNCTION("""COMPUTED_VALUE"""),"Александра Венкова Куманова")</f>
        <v>Александра Венкова Куманова</v>
      </c>
      <c r="B123" s="10" t="str">
        <f ca="1">IFERROR(__xludf.DUMMYFUNCTION("""COMPUTED_VALUE"""),"Статия в списания и поредици")</f>
        <v>Статия в списания и поредици</v>
      </c>
      <c r="C123" s="10" t="str">
        <f ca="1">IFERROR(__xludf.DUMMYFUNCTION("""COMPUTED_VALUE"""),"Експедиция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f>
        <v>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v>
      </c>
      <c r="D123" s="10">
        <f ca="1">IFERROR(__xludf.DUMMYFUNCTION("""COMPUTED_VALUE"""),2016)</f>
        <v>2016</v>
      </c>
      <c r="E123" s="10" t="str">
        <f ca="1">IFERROR(__xludf.DUMMYFUNCTION("""COMPUTED_VALUE"""),"Издател (В. Търново). – ISSN 1310-4624. – 2016, N 1 (1-2), с. 15-28 : с 29 ил.")</f>
        <v>Издател (В. Търново). – ISSN 1310-4624. – 2016, N 1 (1-2), с. 15-28 : с 29 ил.</v>
      </c>
      <c r="F123" s="10" t="str">
        <f ca="1">IFERROR(__xludf.DUMMYFUNCTION("""COMPUTED_VALUE"""),"Публ. и в: &lt;http://journals.uni-vt.bg/izdatel/bul/&gt;")</f>
        <v>Публ. и в: &lt;http://journals.uni-vt.bg/izdatel/bul/&gt;</v>
      </c>
      <c r="G123" s="10" t="str">
        <f ca="1">IFERROR(__xludf.DUMMYFUNCTION("""COMPUTED_VALUE"""),"Съавт.: С. Денчев, А. Куманова, Н. Казански, Н. Василев")</f>
        <v>Съавт.: С. Денчев, А. Куманова, Н. Казански, Н. Василев</v>
      </c>
      <c r="H123" s="10"/>
      <c r="I123" s="10"/>
      <c r="J123" s="10"/>
      <c r="K123" s="10"/>
      <c r="L123" s="10"/>
      <c r="M123" s="10"/>
      <c r="N123" s="10"/>
      <c r="O123" s="10"/>
      <c r="P123" s="10"/>
      <c r="Q123" s="10"/>
      <c r="R123" s="10"/>
      <c r="S123" s="10"/>
      <c r="T123" s="10"/>
      <c r="U123" s="10"/>
      <c r="V123" s="10"/>
      <c r="W123" s="10"/>
      <c r="X123" s="10"/>
      <c r="Y123" s="10"/>
      <c r="Z123" s="10"/>
    </row>
    <row r="124" spans="1:26" ht="12.75">
      <c r="A124" s="10" t="str">
        <f ca="1">IFERROR(__xludf.DUMMYFUNCTION("""COMPUTED_VALUE"""),"Александра Венкова Куманова")</f>
        <v>Александра Венкова Куманова</v>
      </c>
      <c r="B124" s="10" t="str">
        <f ca="1">IFERROR(__xludf.DUMMYFUNCTION("""COMPUTED_VALUE"""),"Доклад от конференция")</f>
        <v>Доклад от конференция</v>
      </c>
      <c r="C124" s="10" t="str">
        <f ca="1">IFERROR(__xludf.DUMMYFUNCTION("""COMPUTED_VALUE"""),"Ризома инфосферы : Морфология библиографии : Презентация сути одноименного учебника по общему библиографоведению и ведущей к нему книги „Введение в гуманитарную библиографию”")</f>
        <v>Ризома инфосферы : Морфология библиографии : Презентация сути одноименного учебника по общему библиографоведению и ведущей к нему книги „Введение в гуманитарную библиографию”</v>
      </c>
      <c r="D124" s="10">
        <f ca="1">IFERROR(__xludf.DUMMYFUNCTION("""COMPUTED_VALUE"""),2016)</f>
        <v>2016</v>
      </c>
      <c r="E124" s="10" t="str">
        <f ca="1">IFERROR(__xludf.DUMMYFUNCTION("""COMPUTED_VALUE"""),"Тр. Санкт-Петербургск. гос. унив. культуры и искусств : Материалы ХVІІІ междунар. науч.-практ. конф. „Смирдинские чтения. Книжное дело: вчера, сегодня, завтра”, посвященной 450-лет. отечественного книгопечатания 23-25 апр. 2013, Санкт-Петербург. – ISSN 23"&amp;"08-0051. – Т. 213, 2016, с. 227-267 : с 3 рис.")</f>
        <v>Тр. Санкт-Петербургск. гос. унив. культуры и искусств : Материалы ХVІІІ междунар. науч.-практ. конф. „Смирдинские чтения. Книжное дело: вчера, сегодня, завтра”, посвященной 450-лет. отечественного книгопечатания 23-25 апр. 2013, Санкт-Петербург. – ISSN 2308-0051. – Т. 213, 2016, с. 227-267 : с 3 рис.</v>
      </c>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 r="A125" s="10" t="str">
        <f ca="1">IFERROR(__xludf.DUMMYFUNCTION("""COMPUTED_VALUE"""),"Александра Венкова Куманова")</f>
        <v>Александра Венкова Куманова</v>
      </c>
      <c r="B125" s="10" t="str">
        <f ca="1">IFERROR(__xludf.DUMMYFUNCTION("""COMPUTED_VALUE"""),"Статия в списания и поредици")</f>
        <v>Статия в списания и поредици</v>
      </c>
      <c r="C125" s="10" t="str">
        <f ca="1">IFERROR(__xludf.DUMMYFUNCTION("""COMPUTED_VALUE"""),"Библиография на списание „Издател” (2002-2013) – за неговата 20-годишнина")</f>
        <v>Библиография на списание „Издател” (2002-2013) – за неговата 20-годишнина</v>
      </c>
      <c r="D125" s="10">
        <f ca="1">IFERROR(__xludf.DUMMYFUNCTION("""COMPUTED_VALUE"""),2015)</f>
        <v>2015</v>
      </c>
      <c r="E125" s="10" t="str">
        <f ca="1">IFERROR(__xludf.DUMMYFUNCTION("""COMPUTED_VALUE"""),"Издател: Науч. сп. за кн. / Университетско издателство „Св. Св. Кирил и Методий” (В. Търново) ; УниБИТ (София). Библиогр. указател – ключ (І. Общи бележки; ІІ. Вторичнодокументални черти; ІІІ. Корпус (по реда на броевете и съдържанието в тях) / [Библиогр."&amp;" ред. М. Максимома]. // Издател (В. Търново). – ISSN 1310-4624. – 2015, N 1 (1-2), с. 49-54. – Начало. – Рез. на англ. ез.")</f>
        <v>Издател: Науч. сп. за кн. / Университетско издателство „Св. Св. Кирил и Методий” (В. Търново) ; УниБИТ (София). Библиогр. указател – ключ (І. Общи бележки; ІІ. Вторичнодокументални черти; ІІІ. Корпус (по реда на броевете и съдържанието в тях) / [Библиогр. ред. М. Максимома]. // Издател (В. Търново). – ISSN 1310-4624. – 2015, N 1 (1-2), с. 49-54. – Начало. – Рез. на англ. ез.</v>
      </c>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 r="A126" s="10" t="str">
        <f ca="1">IFERROR(__xludf.DUMMYFUNCTION("""COMPUTED_VALUE"""),"Александра Венкова Куманова")</f>
        <v>Александра Венкова Куманова</v>
      </c>
      <c r="B126" s="10" t="str">
        <f ca="1">IFERROR(__xludf.DUMMYFUNCTION("""COMPUTED_VALUE"""),"Доклад от конференция")</f>
        <v>Доклад от конференция</v>
      </c>
      <c r="C126" s="10" t="str">
        <f ca="1">IFERROR(__xludf.DUMMYFUNCTION("""COMPUTED_VALUE"""),"Нравственно-этические императивы гуманного и принцип духовной свободы в инфосфере (К многомерному вопросу о видах знания и их естественной классификации)")</f>
        <v>Нравственно-этические императивы гуманного и принцип духовной свободы в инфосфере (К многомерному вопросу о видах знания и их естественной классификации)</v>
      </c>
      <c r="D126" s="10">
        <f ca="1">IFERROR(__xludf.DUMMYFUNCTION("""COMPUTED_VALUE"""),2015)</f>
        <v>2015</v>
      </c>
      <c r="E126" s="10" t="str">
        <f ca="1">IFERROR(__xludf.DUMMYFUNCTION("""COMPUTED_VALUE"""),"Докл. // Библиотечное дело – 2015 : Док.-информ. коммуникации и библ. в пространстве, образования, науки : Скворцовские чтения-2015 : Материалы ХХ межд. науч. конф. (Москва, 22-23 апр. 2015 г.). Ч. 1 / Моск. гос. унив. культуры и искусств. – Москва, 2015."&amp;" – ISBN 978-5-94778-401-5. – с. 124-130. – Редуц. публ.")</f>
        <v>Докл. // Библиотечное дело – 2015 : Док.-информ. коммуникации и библ. в пространстве, образования, науки : Скворцовские чтения-2015 : Материалы ХХ межд. науч. конф. (Москва, 22-23 апр. 2015 г.). Ч. 1 / Моск. гос. унив. культуры и искусств. – Москва, 2015. – ISBN 978-5-94778-401-5. – с. 124-130. – Редуц. публ.</v>
      </c>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 r="A127" s="10" t="str">
        <f ca="1">IFERROR(__xludf.DUMMYFUNCTION("""COMPUTED_VALUE"""),"Александра Венкова Куманова")</f>
        <v>Александра Венкова Куманова</v>
      </c>
      <c r="B127" s="10" t="str">
        <f ca="1">IFERROR(__xludf.DUMMYFUNCTION("""COMPUTED_VALUE"""),"Учебник")</f>
        <v>Учебник</v>
      </c>
      <c r="C127" s="10" t="str">
        <f ca="1">IFERROR(__xludf.DUMMYFUNCTION("""COMPUTED_VALUE"""),"Професор Стоян Денчев : Primus inter pares : Щрихи към когнитолог. биобиблиогр. портр., направен в стила на интервюто : Учебник за студенти … в дисциплините от информ.-комуникативния цикъл на знанието")</f>
        <v>Професор Стоян Денчев : Primus inter pares : Щрихи към когнитолог. биобиблиогр. портр., направен в стила на интервюто : Учебник за студенти … в дисциплините от информ.-комуникативния цикъл на знанието</v>
      </c>
      <c r="D127" s="10">
        <f ca="1">IFERROR(__xludf.DUMMYFUNCTION("""COMPUTED_VALUE"""),2015)</f>
        <v>2015</v>
      </c>
      <c r="E127" s="10" t="str">
        <f ca="1">IFERROR(__xludf.DUMMYFUNCTION("""COMPUTED_VALUE"""),"– София : За буквите – О писменехь, 2015. – 184 с. : с ил. – (Факлоносци ; ХІV), ISBN 978-619-185-189-8")</f>
        <v>– София : За буквите – О писменехь, 2015. – 184 с. : с ил. – (Факлоносци ; ХІV), ISBN 978-619-185-189-8</v>
      </c>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 r="A128" s="10" t="str">
        <f ca="1">IFERROR(__xludf.DUMMYFUNCTION("""COMPUTED_VALUE"""),"Александра Венкова Куманова")</f>
        <v>Александра Венкова Куманова</v>
      </c>
      <c r="B128" s="10" t="str">
        <f ca="1">IFERROR(__xludf.DUMMYFUNCTION("""COMPUTED_VALUE"""),"Доклад от конференция")</f>
        <v>Доклад от конференция</v>
      </c>
      <c r="C128" s="10" t="str">
        <f ca="1">IFERROR(__xludf.DUMMYFUNCTION("""COMPUTED_VALUE"""),"Панэпистемия библиотечно-информационной сферы : Трехъяз. словарь – тектон. мент. прибор (Опыт публ. в Софии изд. межд. коллектива авт. из России, США и Болгарии)")</f>
        <v>Панэпистемия библиотечно-информационной сферы : Трехъяз. словарь – тектон. мент. прибор (Опыт публ. в Софии изд. межд. коллектива авт. из России, США и Болгарии)</v>
      </c>
      <c r="D128" s="10">
        <f ca="1">IFERROR(__xludf.DUMMYFUNCTION("""COMPUTED_VALUE"""),2015)</f>
        <v>2015</v>
      </c>
      <c r="E128" s="10" t="str">
        <f ca="1">IFERROR(__xludf.DUMMYFUNCTION("""COMPUTED_VALUE"""),"// Ноосферное образование в евразийском пространстве. Т. 5, [Пятая] V международная научая конференция – Санкт-Петербург, 15-16 октября 2015 г. / Сев.-Зап. инст. упр. – фил. Рос. акад. нар. хоз-ва и гос. службы при Президенте Рос. Федерации при участии: С"&amp;"мольн. инст. РАО, Сев.-Вост. Федер. унив. им. М. К. Аммосова, Костром. гос. унив. им. Н. А. Некрасова ; Под ред. Субетто А. И. – Санкт-Петербург, 2015. – ISBN 978-5-00045-323-0. – с. 361-376. – Рез. на англ. и рус. ез. – Редуц. публ.")</f>
        <v>// Ноосферное образование в евразийском пространстве. Т. 5, [Пятая] V международная научая конференция – Санкт-Петербург, 15-16 октября 2015 г. / Сев.-Зап. инст. упр. – фил. Рос. акад. нар. хоз-ва и гос. службы при Президенте Рос. Федерации при участии: Смольн. инст. РАО, Сев.-Вост. Федер. унив. им. М. К. Аммосова, Костром. гос. унив. им. Н. А. Некрасова ; Под ред. Субетто А. И. – Санкт-Петербург, 2015. – ISBN 978-5-00045-323-0. – с. 361-376. – Рез. на англ. и рус. ез. – Редуц. публ.</v>
      </c>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 r="A129" s="10" t="str">
        <f ca="1">IFERROR(__xludf.DUMMYFUNCTION("""COMPUTED_VALUE"""),"Александра Венкова Куманова")</f>
        <v>Александра Венкова Куманова</v>
      </c>
      <c r="B129" s="10" t="str">
        <f ca="1">IFERROR(__xludf.DUMMYFUNCTION("""COMPUTED_VALUE"""),"Студия")</f>
        <v>Студия</v>
      </c>
      <c r="C129" s="10" t="str">
        <f ca="1">IFERROR(__xludf.DUMMYFUNCTION("""COMPUTED_VALUE"""),"Международната универсална библиография в дъгата на структурите на библиографознанието (Интеграл на преподаването по вторичнодокументално информационно моделиране – хуманитарна библиография по подход)")</f>
        <v>Международната универсална библиография в дъгата на структурите на библиографознанието (Интеграл на преподаването по вторичнодокументално информационно моделиране – хуманитарна библиография по подход)</v>
      </c>
      <c r="D129" s="10">
        <f ca="1">IFERROR(__xludf.DUMMYFUNCTION("""COMPUTED_VALUE"""),2015)</f>
        <v>2015</v>
      </c>
      <c r="E129" s="10" t="str">
        <f ca="1">IFERROR(__xludf.DUMMYFUNCTION("""COMPUTED_VALUE"""),"Науч. трудове на Унив. по библиотекознание и информ. технолог. (София). – ISSN 1314-2623. – Т. 13, 2015, с. 11-34 : 5 сх")</f>
        <v>Науч. трудове на Унив. по библиотекознание и информ. технолог. (София). – ISSN 1314-2623. – Т. 13, 2015, с. 11-34 : 5 сх</v>
      </c>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 r="A130" s="10" t="str">
        <f ca="1">IFERROR(__xludf.DUMMYFUNCTION("""COMPUTED_VALUE"""),"Александра Венкова Куманова")</f>
        <v>Александра Венкова Куманова</v>
      </c>
      <c r="B130" s="10" t="str">
        <f ca="1">IFERROR(__xludf.DUMMYFUNCTION("""COMPUTED_VALUE"""),"Учебно пособие")</f>
        <v>Учебно пособие</v>
      </c>
      <c r="C130" s="10" t="str">
        <f ca="1">IFERROR(__xludf.DUMMYFUNCTION("""COMPUTED_VALUE"""),"Златна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f>
        <v>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v>
      </c>
      <c r="D130" s="10">
        <f ca="1">IFERROR(__xludf.DUMMYFUNCTION("""COMPUTED_VALUE"""),2015)</f>
        <v>2015</v>
      </c>
      <c r="E130" s="10" t="str">
        <f ca="1">IFERROR(__xludf.DUMMYFUNCTION("""COMPUTED_VALUE"""),"София : За буквите – О писменехь, 2015. – 840, CCXXVIII с. : с ил. – (Факлоносци ; ІХ), ISBN 978-619-185-170-6")</f>
        <v>София : За буквите – О писменехь, 2015. – 840, CCXXVIII с. : с ил. – (Факлоносци ; ІХ), ISBN 978-619-185-170-6</v>
      </c>
      <c r="F130" s="10"/>
      <c r="G130" s="10" t="str">
        <f ca="1">IFERROR(__xludf.DUMMYFUNCTION("""COMPUTED_VALUE"""),"Н. Василев")</f>
        <v>Н. Василев</v>
      </c>
      <c r="H130" s="10"/>
      <c r="I130" s="10"/>
      <c r="J130" s="10"/>
      <c r="K130" s="10"/>
      <c r="L130" s="10"/>
      <c r="M130" s="10"/>
      <c r="N130" s="10"/>
      <c r="O130" s="10"/>
      <c r="P130" s="10"/>
      <c r="Q130" s="10"/>
      <c r="R130" s="10"/>
      <c r="S130" s="10"/>
      <c r="T130" s="10"/>
      <c r="U130" s="10"/>
      <c r="V130" s="10"/>
      <c r="W130" s="10"/>
      <c r="X130" s="10"/>
      <c r="Y130" s="10"/>
      <c r="Z130" s="10"/>
    </row>
    <row r="131" spans="1:26" ht="12.75">
      <c r="A131" s="10" t="str">
        <f ca="1">IFERROR(__xludf.DUMMYFUNCTION("""COMPUTED_VALUE"""),"Александра Венкова Куманова")</f>
        <v>Александра Венкова Куманова</v>
      </c>
      <c r="B131" s="10" t="str">
        <f ca="1">IFERROR(__xludf.DUMMYFUNCTION("""COMPUTED_VALUE"""),"Доклад от конференция")</f>
        <v>Доклад от конференция</v>
      </c>
      <c r="C131" s="10" t="str">
        <f ca="1">IFERROR(__xludf.DUMMYFUNCTION("""COMPUTED_VALUE"""),"Проблемът за формата на вторичнодокументалната информация : [Диптих : Статия втора] (Интерактивна философско-информационна картина)")</f>
        <v>Проблемът за формата на вторичнодокументалната информация : [Диптих : Статия втора] (Интерактивна философско-информационна картина)</v>
      </c>
      <c r="D131" s="10">
        <f ca="1">IFERROR(__xludf.DUMMYFUNCTION("""COMPUTED_VALUE"""),2015)</f>
        <v>2015</v>
      </c>
      <c r="E131" s="10" t="str">
        <f ca="1">IFERROR(__xludf.DUMMYFUNCTION("""COMPUTED_VALUE"""),"Обществото на знанието и хуманизмът на ХХІ век (София). – 2015. – ISSN 1314-7099, с. 105-116.")</f>
        <v>Обществото на знанието и хуманизмът на ХХІ век (София). – 2015. – ISSN 1314-7099, с. 105-116.</v>
      </c>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 r="A132" s="10" t="str">
        <f ca="1">IFERROR(__xludf.DUMMYFUNCTION("""COMPUTED_VALUE"""),"Александра Венкова Куманова")</f>
        <v>Александра Венкова Куманова</v>
      </c>
      <c r="B132" s="10" t="str">
        <f ca="1">IFERROR(__xludf.DUMMYFUNCTION("""COMPUTED_VALUE"""),"Статия в списания и поредици")</f>
        <v>Статия в списания и поредици</v>
      </c>
      <c r="C132" s="10" t="str">
        <f ca="1">IFERROR(__xludf.DUMMYFUNCTION("""COMPUTED_VALUE"""),"Философские проблемы ноосферизма вторично-документального информационного моделирования : Системогенет. аспекты.")</f>
        <v>Философские проблемы ноосферизма вторично-документального информационного моделирования : Системогенет. аспекты.</v>
      </c>
      <c r="D132" s="10">
        <f ca="1">IFERROR(__xludf.DUMMYFUNCTION("""COMPUTED_VALUE"""),2015)</f>
        <v>2015</v>
      </c>
      <c r="E132" s="10" t="str">
        <f ca="1">IFERROR(__xludf.DUMMYFUNCTION("""COMPUTED_VALUE"""),"Вестник Санкт-Петербургск. гос. унив. культуры и искусств : Науч. журн. – ISSN 2220-3044. – 2015, N 3 (24) сент., с. 30-36.")</f>
        <v>Вестник Санкт-Петербургск. гос. унив. культуры и искусств : Науч. журн. – ISSN 2220-3044. – 2015, N 3 (24) сент., с. 30-36.</v>
      </c>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 r="A133" s="10" t="str">
        <f ca="1">IFERROR(__xludf.DUMMYFUNCTION("""COMPUTED_VALUE"""),"Александра Венкова Куманова")</f>
        <v>Александра Венкова Куманова</v>
      </c>
      <c r="B133" s="10" t="str">
        <f ca="1">IFERROR(__xludf.DUMMYFUNCTION("""COMPUTED_VALUE"""),"Доклад от конференция")</f>
        <v>Доклад от конференция</v>
      </c>
      <c r="C133" s="10" t="str">
        <f ca="1">IFERROR(__xludf.DUMMYFUNCTION("""COMPUTED_VALUE"""),"Library and information sphere as a panepistemia : Trilingiual dictionary – mental tectonic instrument (Experience of publ. in Sofia of an ed. by intern. team of auth. from Russia, USA and Bulgaria) = Библиотечно-информационная сфера как панэпистемия : Тр"&amp;"ехъяз. словарь – тектон. мент. прибор (Опыт публ. в Софии изд. межд. коллектива авт. из России, США и Болгарии)")</f>
        <v>Library and information sphere as a panepistemia : Trilingiual dictionary – mental tectonic instrument (Experience of publ. in Sofia of an ed. by intern. team of auth. from Russia, USA and Bulgaria) = Библиотечно-информационная сфера как панэпистемия : Трехъяз. словарь – тектон. мент. прибор (Опыт публ. в Софии изд. межд. коллектива авт. из России, США и Болгарии)</v>
      </c>
      <c r="D133" s="10">
        <f ca="1">IFERROR(__xludf.DUMMYFUNCTION("""COMPUTED_VALUE"""),2015)</f>
        <v>2015</v>
      </c>
      <c r="E133" s="10" t="str">
        <f ca="1">IFERROR(__xludf.DUMMYFUNCTION("""COMPUTED_VALUE"""),": Докл. // Science, technology and higher education / [Strategic Studies Inst. (SSI)] : Materials of the VIII Int. research and practice conf. – Westwood, Canada – Oct. 14th-15th, 2015. – Westwood, Canada, 2015. – ISBN 978-1-77192-233-3. – с. 115-119. – C"&amp;"o-auth.: S. Denchev. – Рез. на англ. и рус. ез. &lt;http://science-canada.com/archive.php&gt; &lt;science-canada.com/ru/archive.php&gt;.")</f>
        <v>: Докл. // Science, technology and higher education / [Strategic Studies Inst. (SSI)] : Materials of the VIII Int. research and practice conf. – Westwood, Canada – Oct. 14th-15th, 2015. – Westwood, Canada, 2015. – ISBN 978-1-77192-233-3. – с. 115-119. – Co-auth.: S. Denchev. – Рез. на англ. и рус. ез. &lt;http://science-canada.com/archive.php&gt; &lt;science-canada.com/ru/archive.php&gt;.</v>
      </c>
      <c r="F133" s="10"/>
      <c r="G133" s="10" t="str">
        <f ca="1">IFERROR(__xludf.DUMMYFUNCTION("""COMPUTED_VALUE"""),"S. Denchev")</f>
        <v>S. Denchev</v>
      </c>
      <c r="H133" s="10"/>
      <c r="I133" s="10"/>
      <c r="J133" s="10"/>
      <c r="K133" s="10"/>
      <c r="L133" s="10"/>
      <c r="M133" s="10"/>
      <c r="N133" s="10"/>
      <c r="O133" s="10"/>
      <c r="P133" s="10"/>
      <c r="Q133" s="10"/>
      <c r="R133" s="10"/>
      <c r="S133" s="10"/>
      <c r="T133" s="10"/>
      <c r="U133" s="10"/>
      <c r="V133" s="10"/>
      <c r="W133" s="10"/>
      <c r="X133" s="10"/>
      <c r="Y133" s="10"/>
      <c r="Z133" s="10"/>
    </row>
    <row r="134" spans="1:26" ht="12.75">
      <c r="A134" s="10" t="str">
        <f ca="1">IFERROR(__xludf.DUMMYFUNCTION("""COMPUTED_VALUE"""),"Александра Венкова Куманова")</f>
        <v>Александра Венкова Куманова</v>
      </c>
      <c r="B134" s="10" t="str">
        <f ca="1">IFERROR(__xludf.DUMMYFUNCTION("""COMPUTED_VALUE"""),"Доклад от конференция")</f>
        <v>Доклад от конференция</v>
      </c>
      <c r="C134" s="10" t="str">
        <f ca="1">IFERROR(__xludf.DUMMYFUNCTION("""COMPUTED_VALUE"""),"Философские проблемы ноосферизма вторично-документального информационного моделирования : Системогенет. аспекты : Докл. / Эпигр.: „в науке нет до сих пор ясного сознания, что явления жизни и явления мертвой природы, взятые с геологической, т.е. планетной,"&amp;" точки зрения, являются проявлением единого процесса.” – В. И. Вернадский.")</f>
        <v>Философские проблемы ноосферизма вторично-документального информационного моделирования : Системогенет. аспекты : Докл. / Эпигр.: „в науке нет до сих пор ясного сознания, что явления жизни и явления мертвой природы, взятые с геологической, т.е. планетной, точки зрения, являются проявлением единого процесса.” – В. И. Вернадский.</v>
      </c>
      <c r="D134" s="10">
        <f ca="1">IFERROR(__xludf.DUMMYFUNCTION("""COMPUTED_VALUE"""),2015)</f>
        <v>2015</v>
      </c>
      <c r="E134" s="10" t="str">
        <f ca="1">IFERROR(__xludf.DUMMYFUNCTION("""COMPUTED_VALUE"""),"// Системогенетика и проблемы глобального развития : Межд. науч. конф. – Санкт-Петербург, 10 дек. 2015 г. / Сев.-Зап. инст. упр. – фил. Рос. Акад. нар. хоз-ва и гос. службы при Президенте Росс. Федерации при участии: Смольн. инст. РАО, Сев.-Вост. Федер. у"&amp;"нив. им. М. К. Амосова, Костром. гос. унив. им. Н. А. Некрасова ; Под ред. Субетто А. И., Шамахова В. А. – Санкт-Петербург, 2015. – ISBN 978-5-00045-325-4. – с. 238-248. – Разшир. публ.")</f>
        <v>// Системогенетика и проблемы глобального развития : Межд. науч. конф. – Санкт-Петербург, 10 дек. 2015 г. / Сев.-Зап. инст. упр. – фил. Рос. Акад. нар. хоз-ва и гос. службы при Президенте Росс. Федерации при участии: Смольн. инст. РАО, Сев.-Вост. Федер. унив. им. М. К. Амосова, Костром. гос. унив. им. Н. А. Некрасова ; Под ред. Субетто А. И., Шамахова В. А. – Санкт-Петербург, 2015. – ISBN 978-5-00045-325-4. – с. 238-248. – Разшир. публ.</v>
      </c>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 r="A135" s="10" t="str">
        <f ca="1">IFERROR(__xludf.DUMMYFUNCTION("""COMPUTED_VALUE"""),"Александра Венкова Куманова")</f>
        <v>Александра Венкова Куманова</v>
      </c>
      <c r="B135" s="10" t="str">
        <f ca="1">IFERROR(__xludf.DUMMYFUNCTION("""COMPUTED_VALUE"""),"Глава от колективна монография")</f>
        <v>Глава от колективна монография</v>
      </c>
      <c r="C135" s="10" t="str">
        <f ca="1">IFERROR(__xludf.DUMMYFUNCTION("""COMPUTED_VALUE"""),"За настоящата антология.")</f>
        <v>За настоящата антология.</v>
      </c>
      <c r="D135" s="10">
        <f ca="1">IFERROR(__xludf.DUMMYFUNCTION("""COMPUTED_VALUE"""),2015)</f>
        <v>2015</v>
      </c>
      <c r="E135" s="10" t="str">
        <f ca="1">IFERROR(__xludf.DUMMYFUNCTION("""COMPUTED_VALUE"""),"Златна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 Ново ел. изд. – София, 2015. – ISBN 978-619-185-170-6. – "&amp;"с. CLXXXV-CCI.")</f>
        <v>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 Ново ел. изд. – София, 2015. – ISBN 978-619-185-170-6. – с. CLXXXV-CCI.</v>
      </c>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 r="A136" s="10" t="str">
        <f ca="1">IFERROR(__xludf.DUMMYFUNCTION("""COMPUTED_VALUE"""),"Александра Венкова Куманова")</f>
        <v>Александра Венкова Куманова</v>
      </c>
      <c r="B136" s="10" t="str">
        <f ca="1">IFERROR(__xludf.DUMMYFUNCTION("""COMPUTED_VALUE"""),"Доклад от конференция")</f>
        <v>Доклад от конференция</v>
      </c>
      <c r="C136" s="10" t="str">
        <f ca="1">IFERROR(__xludf.DUMMYFUNCTION("""COMPUTED_VALUE"""),"Unique meetings of the women from Iran and Bulgaria – a touch from the heart of Iran (Travel book for the visit of the Delegation of Bulgarian women in Iran – September 2014)")</f>
        <v>Unique meetings of the women from Iran and Bulgaria – a touch from the heart of Iran (Travel book for the visit of the Delegation of Bulgarian women in Iran – September 2014)</v>
      </c>
      <c r="D136" s="10">
        <f ca="1">IFERROR(__xludf.DUMMYFUNCTION("""COMPUTED_VALUE"""),2015)</f>
        <v>2015</v>
      </c>
      <c r="E136" s="10" t="str">
        <f ca="1">IFERROR(__xludf.DUMMYFUNCTION("""COMPUTED_VALUE"""),"// Хармония в различията : Сб. с докл. от [Втора] науч. конф. „Хармония в различията” (София, 10.12.2015 г.) / Състав. Ж. Назърска, С. Шапкалова. – София, 2015. – ISBN 978-619-185-151-5. – с. 3. –Редуц. публ.")</f>
        <v>// Хармония в различията : Сб. с докл. от [Втора] науч. конф. „Хармония в различията” (София, 10.12.2015 г.) / Състав. Ж. Назърска, С. Шапкалова. – София, 2015. – ISBN 978-619-185-151-5. – с. 3. –Редуц. публ.</v>
      </c>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 r="A137" s="10" t="str">
        <f ca="1">IFERROR(__xludf.DUMMYFUNCTION("""COMPUTED_VALUE"""),"Александра Венкова Куманова")</f>
        <v>Александра Венкова Куманова</v>
      </c>
      <c r="B137" s="10" t="str">
        <f ca="1">IFERROR(__xludf.DUMMYFUNCTION("""COMPUTED_VALUE"""),"Статия в списания и поредици")</f>
        <v>Статия в списания и поредици</v>
      </c>
      <c r="C137" s="10" t="str">
        <f ca="1">IFERROR(__xludf.DUMMYFUNCTION("""COMPUTED_VALUE"""),"Рационално за идеалното – историография на информационния код на българската изящна словесност (Изследване – учебник) : Дейксис")</f>
        <v>Рационално за идеалното – историография на информационния код на българската изящна словесност (Изследване – учебник) : Дейксис</v>
      </c>
      <c r="D137" s="10">
        <f ca="1">IFERROR(__xludf.DUMMYFUNCTION("""COMPUTED_VALUE"""),2015)</f>
        <v>2015</v>
      </c>
      <c r="E137" s="10" t="str">
        <f ca="1">IFERROR(__xludf.DUMMYFUNCTION("""COMPUTED_VALUE"""),"// Василев, Н. Златна христоматия на България : Аналит.-синтет. архитектоника на бълг. изящно слово от ІХ до ХХІ в. (Универс. информ. модел). Кн. 3, Историография : Уч. пособие по синтактика, семантика и прагматика на акад. текстописане / Н. Василев ; Нау"&amp;"ч. ред., дейксис А. Куманова ; Науч. консултанти И. Паси, С. Денчев. – Ново ел. изд. – София, 2016. – ISBN 978-619-185-008-2. – с. 251-264.")</f>
        <v>// Василев, Н. Златна христоматия на България : Аналит.-синтет. архитектоника на бълг. изящно слово от ІХ до ХХІ в. (Универс. информ. модел). Кн. 3, Историография : Уч. пособие по синтактика, семантика и прагматика на акад. текстописане / Н. Василев ; Науч. ред., дейксис А. Куманова ; Науч. консултанти И. Паси, С. Денчев. – Ново ел. изд. – София, 2016. – ISBN 978-619-185-008-2. – с. 251-264.</v>
      </c>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 r="A138" s="10" t="str">
        <f ca="1">IFERROR(__xludf.DUMMYFUNCTION("""COMPUTED_VALUE"""),"Александра Венкова Куманова")</f>
        <v>Александра Венкова Куманова</v>
      </c>
      <c r="B138" s="10" t="str">
        <f ca="1">IFERROR(__xludf.DUMMYFUNCTION("""COMPUTED_VALUE"""),"Доклад от конференция")</f>
        <v>Доклад от конференция</v>
      </c>
      <c r="C138" s="10" t="str">
        <f ca="1">IFERROR(__xludf.DUMMYFUNCTION("""COMPUTED_VALUE"""),"Уникални срещи на жените от Иран и България – докосване до сърцето на Иран (Дневникови бележки от посещението на Делегацията на българските жени в Иран – септември 2014 г.)")</f>
        <v>Уникални срещи на жените от Иран и България – докосване до сърцето на Иран (Дневникови бележки от посещението на Делегацията на българските жени в Иран – септември 2014 г.)</v>
      </c>
      <c r="D138" s="10">
        <f ca="1">IFERROR(__xludf.DUMMYFUNCTION("""COMPUTED_VALUE"""),2015)</f>
        <v>2015</v>
      </c>
      <c r="E138" s="10" t="str">
        <f ca="1">IFERROR(__xludf.DUMMYFUNCTION("""COMPUTED_VALUE"""),"Хармония в различията : Сб. с докл. от [Втора] науч. конф. „Хармония в различията” (София, 10.12.2015 г.) / Състав. Ж. Назърска, С. Шапкалова. – София, 2015. – ISBN 978-619-185-151-5. – с. 197-210.")</f>
        <v>Хармония в различията : Сб. с докл. от [Втора] науч. конф. „Хармония в различията” (София, 10.12.2015 г.) / Състав. Ж. Назърска, С. Шапкалова. – София, 2015. – ISBN 978-619-185-151-5. – с. 197-210.</v>
      </c>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 r="A139" s="10" t="str">
        <f ca="1">IFERROR(__xludf.DUMMYFUNCTION("""COMPUTED_VALUE"""),"Александра Венкова Куманова")</f>
        <v>Александра Венкова Куманова</v>
      </c>
      <c r="B139" s="10"/>
      <c r="C139"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(2005-2014 г.) (Към проблема за ризомно-ретикуларното структуриране на информацията : Метасинтез на емпир"&amp;". научноизслед. карт.)")</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(2005-2014 г.) (Към проблема за ризомно-ретикуларното структуриране на информацията : Метасинтез на емпир. научноизслед. карт.)</v>
      </c>
      <c r="D139" s="10">
        <f ca="1">IFERROR(__xludf.DUMMYFUNCTION("""COMPUTED_VALUE"""),2015)</f>
        <v>2015</v>
      </c>
      <c r="E139" s="10" t="str">
        <f ca="1">IFERROR(__xludf.DUMMYFUNCTION("""COMPUTED_VALUE"""),"Обществото на знанието и хуманизмът на ХХІ век (София). – ISSN 1314-7099. – 2015, с. 430-440.")</f>
        <v>Обществото на знанието и хуманизмът на ХХІ век (София). – ISSN 1314-7099. – 2015, с. 430-440.</v>
      </c>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 r="A140" s="10" t="str">
        <f ca="1">IFERROR(__xludf.DUMMYFUNCTION("""COMPUTED_VALUE"""),"Александра Венкова Куманова")</f>
        <v>Александра Венкова Куманова</v>
      </c>
      <c r="B140" s="10" t="str">
        <f ca="1">IFERROR(__xludf.DUMMYFUNCTION("""COMPUTED_VALUE"""),"Доклад от конференция")</f>
        <v>Доклад от конференция</v>
      </c>
      <c r="C140" s="10" t="str">
        <f ca="1">IFERROR(__xludf.DUMMYFUNCTION("""COMPUTED_VALUE"""),"Делото на Св. княз Борис І Михаил и на Св. Св. Седмочисленици (Св. Константин-Кирил Философ, Св. архиепископ Методий, Св. архиепископ Климент, Св. епископ Наум, Св. епископ Горазд, Св. Сава, Св. Ангеларий) – двете страни на един и същ цивилизационен избор")</f>
        <v>Делото на Св. княз Борис І Михаил и на Св. Св. Седмочисленици (Св. Константин-Кирил Философ, Св. архиепископ Методий, Св. архиепископ Климент, Св. епископ Наум, Св. епископ Горазд, Св. Сава, Св. Ангеларий) – двете страни на един и същ цивилизационен избор</v>
      </c>
      <c r="D140" s="10">
        <f ca="1">IFERROR(__xludf.DUMMYFUNCTION("""COMPUTED_VALUE"""),2015)</f>
        <v>2015</v>
      </c>
      <c r="E140" s="10" t="str">
        <f ca="1">IFERROR(__xludf.DUMMYFUNCTION("""COMPUTED_VALUE"""),"Плен. докл. на ХІІ Нац. науч. конф. с межд. участие „О-вото на знанието и хуманизмът на ХХІ в.” / Посв. на 1150-год. от Покръстването на българите. // Обществото на знанието и хуманизмът на ХХІ век (София). – ISSN 1314-7099. – 2015, с. 55-71 : с ил. – Съа"&amp;"вт. С. Денчев, Н. Василев. – Рез. на англ. ез.")</f>
        <v>Плен. докл. на ХІІ Нац. науч. конф. с межд. участие „О-вото на знанието и хуманизмът на ХХІ в.” / Посв. на 1150-год. от Покръстването на българите. // Обществото на знанието и хуманизмът на ХХІ век (София). – ISSN 1314-7099. – 2015, с. 55-71 : с ил. – Съавт. С. Денчев, Н. Василев. – Рез. на англ. ез.</v>
      </c>
      <c r="F140" s="10"/>
      <c r="G140" s="10" t="str">
        <f ca="1">IFERROR(__xludf.DUMMYFUNCTION("""COMPUTED_VALUE"""),"С. Денчев, Н. Василев")</f>
        <v>С. Денчев, Н. Василев</v>
      </c>
      <c r="H140" s="10"/>
      <c r="I140" s="10"/>
      <c r="J140" s="10"/>
      <c r="K140" s="10"/>
      <c r="L140" s="10"/>
      <c r="M140" s="10"/>
      <c r="N140" s="10"/>
      <c r="O140" s="10"/>
      <c r="P140" s="10"/>
      <c r="Q140" s="10"/>
      <c r="R140" s="10"/>
      <c r="S140" s="10"/>
      <c r="T140" s="10"/>
      <c r="U140" s="10"/>
      <c r="V140" s="10"/>
      <c r="W140" s="10"/>
      <c r="X140" s="10"/>
      <c r="Y140" s="10"/>
      <c r="Z140" s="10"/>
    </row>
    <row r="141" spans="1:26" ht="12.75">
      <c r="A141" s="10" t="str">
        <f ca="1">IFERROR(__xludf.DUMMYFUNCTION("""COMPUTED_VALUE"""),"Александра Венкова Куманова")</f>
        <v>Александра Венкова Куманова</v>
      </c>
      <c r="B141" s="10" t="str">
        <f ca="1">IFERROR(__xludf.DUMMYFUNCTION("""COMPUTED_VALUE"""),"Доклад от конференция")</f>
        <v>Доклад от конференция</v>
      </c>
      <c r="C141" s="10" t="str">
        <f ca="1">IFERROR(__xludf.DUMMYFUNCTION("""COMPUTED_VALUE"""),"[Шейсет и пет] 65-годишнината на Държавния библиотекарски институт – днес: Университет по библиотекознание и информационни технологии (Модерно-традиционно осмисляне на научноизследователските линии : Щрихи към въпроса за построяване на ризома на изследова"&amp;"телите на информ.-комуникативната сфера) : Докл. / Епигр.: „Там, където няма форми, няма и идеи...” – Г. Флобер.")</f>
        <v>[Шейсет и пет] 65-годишнината на Държавния библиотекарски институт – днес: Университет по библиотекознание и информационни технологии (Модерно-традиционно осмисляне на научноизследователските линии : Щрихи към въпроса за построяване на ризома на изследователите на информ.-комуникативната сфера) : Докл. / Епигр.: „Там, където няма форми, няма и идеи...” – Г. Флобер.</v>
      </c>
      <c r="D141" s="10">
        <f ca="1">IFERROR(__xludf.DUMMYFUNCTION("""COMPUTED_VALUE"""),2015)</f>
        <v>2015</v>
      </c>
      <c r="E141" s="10" t="str">
        <f ca="1">IFERROR(__xludf.DUMMYFUNCTION("""COMPUTED_VALUE"""),"// ИКТ [Информационно-комуникативните технолог.] в библиотечно-информационните науки, образованието и културното наследство : Сб. с науч. докл. и съобщения от Нац. науч. конф. в чест на 70 г. от създаването на ЮНЕСКО и 65-та год. на УниБИТ, 29 май 2015 г."&amp;", УниБИТ, София / Състав. Т. Тодорова ... [и др.]. – София, 2015. – ISBN 978-619-185-164-5. – с. 144-154. – Други състав.: Е. Ковачева, Р. Николов. – Рудуц. публ.")</f>
        <v>// ИКТ [Информационно-комуникативните технолог.] в библиотечно-информационните науки, образованието и културното наследство : Сб. с науч. докл. и съобщения от Нац. науч. конф. в чест на 70 г. от създаването на ЮНЕСКО и 65-та год. на УниБИТ, 29 май 2015 г., УниБИТ, София / Състав. Т. Тодорова ... [и др.]. – София, 2015. – ISBN 978-619-185-164-5. – с. 144-154. – Други състав.: Е. Ковачева, Р. Николов. – Рудуц. публ.</v>
      </c>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 r="A142" s="10" t="str">
        <f ca="1">IFERROR(__xludf.DUMMYFUNCTION("""COMPUTED_VALUE"""),"Александра Венкова Куманова")</f>
        <v>Александра Венкова Куманова</v>
      </c>
      <c r="B142" s="10" t="str">
        <f ca="1">IFERROR(__xludf.DUMMYFUNCTION("""COMPUTED_VALUE"""),"Статия в списания и поредици")</f>
        <v>Статия в списания и поредици</v>
      </c>
      <c r="C142" s="10" t="str">
        <f ca="1">IFERROR(__xludf.DUMMYFUNCTION("""COMPUTED_VALUE"""),"Милен К. Куманов : Систематично-хронолог. библиогр. списък на кн., публ. с неговото авт. (Stabat Bibliography)")</f>
        <v>Милен К. Куманов : Систематично-хронолог. библиогр. списък на кн., публ. с неговото авт. (Stabat Bibliography)</v>
      </c>
      <c r="D142" s="10">
        <f ca="1">IFERROR(__xludf.DUMMYFUNCTION("""COMPUTED_VALUE"""),2014)</f>
        <v>2014</v>
      </c>
      <c r="E142" s="10" t="str">
        <f ca="1">IFERROR(__xludf.DUMMYFUNCTION("""COMPUTED_VALUE"""),". // Науч. тр. на Унив. по библиотекознание и информ. технолог. (София). – ISSN 1314-2623. – Т. 12, 2014, с. 545-565 : с ил. – Други библиогр. ред.: С. Филипова, М. Максимова. – Библиогр. списък: 164 ном. загл. в разд.: Многотомни публ. ; Еднотомни изд. –"&amp;" Именен показалец. – Рез. на рус. и англ. ез.")</f>
        <v>. // Науч. тр. на Унив. по библиотекознание и информ. технолог. (София). – ISSN 1314-2623. – Т. 12, 2014, с. 545-565 : с ил. – Други библиогр. ред.: С. Филипова, М. Максимова. – Библиогр. списък: 164 ном. загл. в разд.: Многотомни публ. ; Еднотомни изд. – Именен показалец. – Рез. на рус. и англ. ез.</v>
      </c>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 r="A143" s="10" t="str">
        <f ca="1">IFERROR(__xludf.DUMMYFUNCTION("""COMPUTED_VALUE"""),"Александра Венкова Куманова")</f>
        <v>Александра Венкова Куманова</v>
      </c>
      <c r="B143" s="10" t="str">
        <f ca="1">IFERROR(__xludf.DUMMYFUNCTION("""COMPUTED_VALUE"""),"Доклад от конференция")</f>
        <v>Доклад от конференция</v>
      </c>
      <c r="C143" s="10" t="str">
        <f ca="1">IFERROR(__xludf.DUMMYFUNCTION("""COMPUTED_VALUE"""),"За поезията като онтология на познанието (Мислители на присъственото знание. Тезиси)")</f>
        <v>За поезията като онтология на познанието (Мислители на присъственото знание. Тезиси)</v>
      </c>
      <c r="D143" s="10">
        <f ca="1">IFERROR(__xludf.DUMMYFUNCTION("""COMPUTED_VALUE"""),2014)</f>
        <v>2014</v>
      </c>
      <c r="E143" s="10" t="str">
        <f ca="1">IFERROR(__xludf.DUMMYFUNCTION("""COMPUTED_VALUE"""),"Науч. тр. на Унив. по библиотекознание и информ. технолог. (София). – ISSN 1314-2623. – Т. 13, 2015, с. 315-319")</f>
        <v>Науч. тр. на Унив. по библиотекознание и информ. технолог. (София). – ISSN 1314-2623. – Т. 13, 2015, с. 315-319</v>
      </c>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 r="A144" s="10" t="str">
        <f ca="1">IFERROR(__xludf.DUMMYFUNCTION("""COMPUTED_VALUE"""),"Александра Венкова Куманова")</f>
        <v>Александра Венкова Куманова</v>
      </c>
      <c r="B144" s="10" t="str">
        <f ca="1">IFERROR(__xludf.DUMMYFUNCTION("""COMPUTED_VALUE"""),"Учебно пособие")</f>
        <v>Учебно пособие</v>
      </c>
      <c r="C144" s="10" t="str">
        <f ca="1">IFERROR(__xludf.DUMMYFUNCTION("""COMPUTED_VALUE"""),"Нестинариана : Историография. Фотомонография")</f>
        <v>Нестинариана : Историография. Фотомонография</v>
      </c>
      <c r="D144" s="10">
        <f ca="1">IFERROR(__xludf.DUMMYFUNCTION("""COMPUTED_VALUE"""),2014)</f>
        <v>2014</v>
      </c>
      <c r="E144" s="10" t="str">
        <f ca="1">IFERROR(__xludf.DUMMYFUNCTION("""COMPUTED_VALUE"""),"Уч. пособие / Науч. и яз. ред. Н. Василев ; Науч. ред. С. Денчев ... [и др.] ; Терминолог. и справ.-информ. ред. Н. Казански ; Библиогр. и справ.-информ. ред. М. Максимова ; Справ.-информ. ред. Д. Ралева ; Рец. Ж. Стоянов ... [и др.]. – София : За буквите"&amp;" – О писменехь, 2014. – 206 с. : с ил. – (Факлоносци ; ХІІ) Други науч. ред.: Н. Цв. Кочев, Н. Ярымов, М. Куманов ; Други рец.: Х. Мутафов, С. Райчевски, В. Велев, И. Теофилов. ISBN 978-619-185-028-0")</f>
        <v>Уч. пособие / Науч. и яз. ред. Н. Василев ; Науч. ред. С. Денчев ... [и др.] ; Терминолог. и справ.-информ. ред. Н. Казански ; Библиогр. и справ.-информ. ред. М. Максимова ; Справ.-информ. ред. Д. Ралева ; Рец. Ж. Стоянов ... [и др.]. – София : За буквите – О писменехь, 2014. – 206 с. : с ил. – (Факлоносци ; ХІІ) Други науч. ред.: Н. Цв. Кочев, Н. Ярымов, М. Куманов ; Други рец.: Х. Мутафов, С. Райчевски, В. Велев, И. Теофилов. ISBN 978-619-185-028-0</v>
      </c>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 r="A145" s="10" t="str">
        <f ca="1">IFERROR(__xludf.DUMMYFUNCTION("""COMPUTED_VALUE"""),"Александра Венкова Куманова")</f>
        <v>Александра Венкова Куманова</v>
      </c>
      <c r="B145" s="10" t="str">
        <f ca="1">IFERROR(__xludf.DUMMYFUNCTION("""COMPUTED_VALUE"""),"Учебник")</f>
        <v>Учебник</v>
      </c>
      <c r="C145" s="10" t="str">
        <f ca="1">IFERROR(__xludf.DUMMYFUNCTION("""COMPUTED_VALUE"""),"Методика на научните изследвания")</f>
        <v>Методика на научните изследвания</v>
      </c>
      <c r="D145" s="10">
        <f ca="1">IFERROR(__xludf.DUMMYFUNCTION("""COMPUTED_VALUE"""),2014)</f>
        <v>2014</v>
      </c>
      <c r="E145" s="10" t="str">
        <f ca="1">IFERROR(__xludf.DUMMYFUNCTION("""COMPUTED_VALUE"""),"Учебник. Ч. 1, Терминосистема / Науч. ред. Н. Василев ; Ред. Р. Василева ; Рец. С. Денчев, Н. Казански. – София : За буквите – О писменехь, 2014. – 246 с. : със сх., ил. ISBN 978-619-185-057-0")</f>
        <v>Учебник. Ч. 1, Терминосистема / Науч. ред. Н. Василев ; Ред. Р. Василева ; Рец. С. Денчев, Н. Казански. – София : За буквите – О писменехь, 2014. – 246 с. : със сх., ил. ISBN 978-619-185-057-0</v>
      </c>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 r="A146" s="10" t="str">
        <f ca="1">IFERROR(__xludf.DUMMYFUNCTION("""COMPUTED_VALUE"""),"Александра Венкова Куманова")</f>
        <v>Александра Венкова Куманова</v>
      </c>
      <c r="B146" s="10" t="str">
        <f ca="1">IFERROR(__xludf.DUMMYFUNCTION("""COMPUTED_VALUE"""),"Учебник")</f>
        <v>Учебник</v>
      </c>
      <c r="C146" s="10" t="str">
        <f ca="1">IFERROR(__xludf.DUMMYFUNCTION("""COMPUTED_VALUE"""),"Класификационни построения на видовете библиография, библиографската дейност, библиографските указатели и библиографската информация")</f>
        <v>Класификационни построения на видовете библиография, библиографската дейност, библиографските указатели и библиографската информация</v>
      </c>
      <c r="D146" s="10">
        <f ca="1">IFERROR(__xludf.DUMMYFUNCTION("""COMPUTED_VALUE"""),2014)</f>
        <v>2014</v>
      </c>
      <c r="E146" s="10" t="str">
        <f ca="1">IFERROR(__xludf.DUMMYFUNCTION("""COMPUTED_VALUE"""),"Учебник по общо библиографознание за обучение на задочни студенти / Обща ред. Н. Василев ; Експертна ред. Н. Казански ; Библиогр. ред. М. Максимова ; Терминолог. ред. Д. Ралева ; Справ.-информ. ред. Ц. Найденова, А. Даскалов ; Рец. С. Денчев ... [и др.]. "&amp;"– София : За буквите – О писменехь, 2014. – 186 с. : с 42 ил., 19 сх. ISBN 978-954-2946-66-3")</f>
        <v>Учебник по общо библиографознание за обучение на задочни студенти / Обща ред. Н. Василев ; Експертна ред. Н. Казански ; Библиогр. ред. М. Максимова ; Терминолог. ред. Д. Ралева ; Справ.-информ. ред. Ц. Найденова, А. Даскалов ; Рец. С. Денчев ... [и др.]. – София : За буквите – О писменехь, 2014. – 186 с. : с 42 ил., 19 сх. ISBN 978-954-2946-66-3</v>
      </c>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 r="A147" s="10" t="str">
        <f ca="1">IFERROR(__xludf.DUMMYFUNCTION("""COMPUTED_VALUE"""),"Александра Венкова Куманова")</f>
        <v>Александра Венкова Куманова</v>
      </c>
      <c r="B147" s="10" t="str">
        <f ca="1">IFERROR(__xludf.DUMMYFUNCTION("""COMPUTED_VALUE"""),"Студия")</f>
        <v>Студия</v>
      </c>
      <c r="C147" s="10" t="str">
        <f ca="1">IFERROR(__xludf.DUMMYFUNCTION("""COMPUTED_VALUE"""),"Семантични възли на ризомата на терминосистемата на библиосферата (Видове вторичнодокументални реалии в евро-американската класификационна и теоретична мисъл на ХVІІІ-ХХІ в.)")</f>
        <v>Семантични възли на ризомата на терминосистемата на библиосферата (Видове вторичнодокументални реалии в евро-американската класификационна и теоретична мисъл на ХVІІІ-ХХІ в.)</v>
      </c>
      <c r="D147" s="10">
        <f ca="1">IFERROR(__xludf.DUMMYFUNCTION("""COMPUTED_VALUE"""),2014)</f>
        <v>2014</v>
      </c>
      <c r="E147" s="10" t="str">
        <f ca="1">IFERROR(__xludf.DUMMYFUNCTION("""COMPUTED_VALUE"""),"Науч. тр. на Унив. по библиотекознание и информ. технолог. (София). – ISSN 1314-2623. – Т. 12, 2014, с. 13-29.")</f>
        <v>Науч. тр. на Унив. по библиотекознание и информ. технолог. (София). – ISSN 1314-2623. – Т. 12, 2014, с. 13-29.</v>
      </c>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 r="A148" s="10" t="str">
        <f ca="1">IFERROR(__xludf.DUMMYFUNCTION("""COMPUTED_VALUE"""),"Александра Венкова Куманова")</f>
        <v>Александра Венкова Куманова</v>
      </c>
      <c r="B148" s="10" t="str">
        <f ca="1">IFERROR(__xludf.DUMMYFUNCTION("""COMPUTED_VALUE"""),"Доклад от конференция")</f>
        <v>Доклад от конференция</v>
      </c>
      <c r="C148" s="10" t="str">
        <f ca="1">IFERROR(__xludf.DUMMYFUNCTION("""COMPUTED_VALUE"""),"Ценностен, лингвистичен и библиографски модел на „Житие и страдания грешнаго Софрония...” от Св. епископ Софроний Врачански : Информ. код (Към проблема за поетиката)")</f>
        <v>Ценностен, лингвистичен и библиографски модел на „Житие и страдания грешнаго Софрония...” от Св. епископ Софроний Врачански : Информ. код (Към проблема за поетиката)</v>
      </c>
      <c r="D148" s="10">
        <f ca="1">IFERROR(__xludf.DUMMYFUNCTION("""COMPUTED_VALUE"""),2014)</f>
        <v>2014</v>
      </c>
      <c r="E148" s="10" t="str">
        <f ca="1">IFERROR(__xludf.DUMMYFUNCTION("""COMPUTED_VALUE"""),"Плен. докл. [на ХІ нац. науч. конф. с межд. участие „О-вото на знанието и хуманизмът на ХХІ в.”, 1.11.2013 г., София, Голям салон на БАН] / Посв. на 200-год. от смъртта на Св. епископ Софроний Врачански (1739-1813) ; Епигр.: „Болгария тебе венец плете, / "&amp;"а на небесе уже готов!” – Димитър Попски. „Ода за Софроний”. // Обществото на знанието и хуманизмът на ХХІ век (София). – ISSN 1314-7099. – 2014, с. 51-68 : с ил. – Съавт.: С. Денчев, Н. Василев. – Библиогр.: в 25 сист. и ном. бел. – Разшир. публ.")</f>
        <v>Плен. докл. [на ХІ нац. науч. конф. с межд. участие „О-вото на знанието и хуманизмът на ХХІ в.”, 1.11.2013 г., София, Голям салон на БАН] / Посв. на 200-год. от смъртта на Св. епископ Софроний Врачански (1739-1813) ; Епигр.: „Болгария тебе венец плете, / а на небесе уже готов!” – Димитър Попски. „Ода за Софроний”. // Обществото на знанието и хуманизмът на ХХІ век (София). – ISSN 1314-7099. – 2014, с. 51-68 : с ил. – Съавт.: С. Денчев, Н. Василев. – Библиогр.: в 25 сист. и ном. бел. – Разшир. публ.</v>
      </c>
      <c r="F148" s="10"/>
      <c r="G148" s="10" t="str">
        <f ca="1">IFERROR(__xludf.DUMMYFUNCTION("""COMPUTED_VALUE"""),"С. Денчев, Н. Василев.")</f>
        <v>С. Денчев, Н. Василев.</v>
      </c>
      <c r="H148" s="10"/>
      <c r="I148" s="10"/>
      <c r="J148" s="10"/>
      <c r="K148" s="10"/>
      <c r="L148" s="10"/>
      <c r="M148" s="10"/>
      <c r="N148" s="10"/>
      <c r="O148" s="10"/>
      <c r="P148" s="10"/>
      <c r="Q148" s="10"/>
      <c r="R148" s="10"/>
      <c r="S148" s="10"/>
      <c r="T148" s="10"/>
      <c r="U148" s="10"/>
      <c r="V148" s="10"/>
      <c r="W148" s="10"/>
      <c r="X148" s="10"/>
      <c r="Y148" s="10"/>
      <c r="Z148" s="10"/>
    </row>
    <row r="149" spans="1:26" ht="12.75">
      <c r="A149" s="10" t="str">
        <f ca="1">IFERROR(__xludf.DUMMYFUNCTION("""COMPUTED_VALUE"""),"Александра Венкова Куманова")</f>
        <v>Александра Венкова Куманова</v>
      </c>
      <c r="B149" s="10" t="str">
        <f ca="1">IFERROR(__xludf.DUMMYFUNCTION("""COMPUTED_VALUE"""),"Доклад от конференция")</f>
        <v>Доклад от конференция</v>
      </c>
      <c r="C149" s="10" t="str">
        <f ca="1">IFERROR(__xludf.DUMMYFUNCTION("""COMPUTED_VALUE"""),"Когнитология на компаративистичната терминология по библиотечна и информационна дейност (Към проблема за създаването на речник на английски, руски и български език)")</f>
        <v>Когнитология на компаративистичната терминология по библиотечна и информационна дейност (Към проблема за създаването на речник на английски, руски и български език)</v>
      </c>
      <c r="D149" s="10">
        <f ca="1">IFERROR(__xludf.DUMMYFUNCTION("""COMPUTED_VALUE"""),2014)</f>
        <v>2014</v>
      </c>
      <c r="E149" s="10" t="str">
        <f ca="1">IFERROR(__xludf.DUMMYFUNCTION("""COMPUTED_VALUE"""),"Докл. // Четенето в реална и електронна среда. Мотивация и опит на библиотеките и образователните институции : Сб. с науч. докл. и съобщения : Кръгла маса с межд. участие, 18 септ. 2014 г. – Унив. по библиотекознание и информ. технолог., София, България ="&amp;" Чтение в реальной и электронной среде. Мотивация и опыт библиотек и образовательных институциий : Сб. науч. докл. и сообщений : Круглый стол с межд. участием, 18 септ. 2014 г. – Унив. библиотековедения и информ. технолог., София, Болгария. – София, 2014."&amp;" – ISBN 978-619-185-087-7. – с. 83-87. – Редуц. публ.
 Публ. и в: &lt;http://www.sno.unibit.bg&gt;.")</f>
        <v>Докл. // Четенето в реална и електронна среда. Мотивация и опит на библиотеките и образователните институции : Сб. с науч. докл. и съобщения : Кръгла маса с межд. участие, 18 септ. 2014 г. – Унив. по библиотекознание и информ. технолог., София, България = Чтение в реальной и электронной среде. Мотивация и опыт библиотек и образовательных институциий : Сб. науч. докл. и сообщений : Круглый стол с межд. участием, 18 септ. 2014 г. – Унив. библиотековедения и информ. технолог., София, Болгария. – София, 2014. – ISBN 978-619-185-087-7. – с. 83-87. – Редуц. публ.
 Публ. и в: &lt;http://www.sno.unibit.bg&gt;.</v>
      </c>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 r="A150" s="10" t="str">
        <f ca="1">IFERROR(__xludf.DUMMYFUNCTION("""COMPUTED_VALUE"""),"Александра Венкова Куманова")</f>
        <v>Александра Венкова Куманова</v>
      </c>
      <c r="B150" s="10" t="str">
        <f ca="1">IFERROR(__xludf.DUMMYFUNCTION("""COMPUTED_VALUE"""),"Статия в списания и поредици")</f>
        <v>Статия в списания и поредици</v>
      </c>
      <c r="C150" s="10" t="str">
        <f ca="1">IFERROR(__xludf.DUMMYFUNCTION("""COMPUTED_VALUE"""),"Верният път (Изучаването на цивилизациите : път към истинската култ. глобализация) : (Paper of the Intern. conf. on education and globalization – 2-3 Oct. 2012 in Tehran, Islamic Rep. of Iran ; Comm. 2. Communication, education and globalization E. Civili"&amp;"zations, education and globalization).")</f>
        <v>Верният път (Изучаването на цивилизациите : път към истинската култ. глобализация) : (Paper of the Intern. conf. on education and globalization – 2-3 Oct. 2012 in Tehran, Islamic Rep. of Iran ; Comm. 2. Communication, education and globalization E. Civilizations, education and globalization).</v>
      </c>
      <c r="D150" s="10">
        <f ca="1">IFERROR(__xludf.DUMMYFUNCTION("""COMPUTED_VALUE"""),2014)</f>
        <v>2014</v>
      </c>
      <c r="E150" s="10" t="str">
        <f ca="1">IFERROR(__xludf.DUMMYFUNCTION("""COMPUTED_VALUE"""),"// Съвременник : Сп. за лит. и изкуство (София). – ISSN 0204-6962. – 2014, N 1, с. 131-139. – Съавт. Н. Казански. – Предв. публ.")</f>
        <v>// Съвременник : Сп. за лит. и изкуство (София). – ISSN 0204-6962. – 2014, N 1, с. 131-139. – Съавт. Н. Казански. – Предв. публ.</v>
      </c>
      <c r="F150" s="10"/>
      <c r="G150" s="10" t="str">
        <f ca="1">IFERROR(__xludf.DUMMYFUNCTION("""COMPUTED_VALUE"""),"Н. Казански.")</f>
        <v>Н. Казански.</v>
      </c>
      <c r="H150" s="10"/>
      <c r="I150" s="10"/>
      <c r="J150" s="10"/>
      <c r="K150" s="10"/>
      <c r="L150" s="10"/>
      <c r="M150" s="10"/>
      <c r="N150" s="10"/>
      <c r="O150" s="10"/>
      <c r="P150" s="10"/>
      <c r="Q150" s="10"/>
      <c r="R150" s="10"/>
      <c r="S150" s="10"/>
      <c r="T150" s="10"/>
      <c r="U150" s="10"/>
      <c r="V150" s="10"/>
      <c r="W150" s="10"/>
      <c r="X150" s="10"/>
      <c r="Y150" s="10"/>
      <c r="Z150" s="10"/>
    </row>
    <row r="151" spans="1:26" ht="12.75">
      <c r="A151" s="10" t="str">
        <f ca="1">IFERROR(__xludf.DUMMYFUNCTION("""COMPUTED_VALUE"""),"Александра Венкова Куманова")</f>
        <v>Александра Венкова Куманова</v>
      </c>
      <c r="B151" s="10" t="str">
        <f ca="1">IFERROR(__xludf.DUMMYFUNCTION("""COMPUTED_VALUE"""),"Статия в списания и поредици")</f>
        <v>Статия в списания и поредици</v>
      </c>
      <c r="C151" s="10" t="str">
        <f ca="1">IFERROR(__xludf.DUMMYFUNCTION("""COMPUTED_VALUE"""),"Докосване до сърцето на Иран (Дневникови бележки по пътя до люлката на цивилизацията и обратно : [7-16] септ. 2014 г.) / Епигр.: „Читателю, моли за прошка Бога, / създавах дълго туй, което мога. / Полезното от Него само сподели, / а след това за писаря се"&amp;" помоли.” – Абу Абдалах Мушрифаддин Саади Ширази (1184/1203 – 1283/1292).")</f>
        <v>Докосване до сърцето на Иран (Дневникови бележки по пътя до люлката на цивилизацията и обратно : [7-16] септ. 2014 г.) / Епигр.: „Читателю, моли за прошка Бога, / създавах дълго туй, което мога. / Полезното от Него само сподели, / а след това за писаря се помоли.” – Абу Абдалах Мушрифаддин Саади Ширази (1184/1203 – 1283/1292).</v>
      </c>
      <c r="D151" s="10">
        <f ca="1">IFERROR(__xludf.DUMMYFUNCTION("""COMPUTED_VALUE"""),2014)</f>
        <v>2014</v>
      </c>
      <c r="E151" s="10" t="str">
        <f ca="1">IFERROR(__xludf.DUMMYFUNCTION("""COMPUTED_VALUE"""),"// Издател : научно списание за книгата (В. Търново). – ISSN 1310-4624. – 2014, N 3-4, с. 30-39. – Начало. – Рез. на англ. ез. – Осн. публ. 
 Публ. и в: &lt;journals.uni-vt.bg/getarticle.aspx?aid=516&amp;type=.pdf&gt;.")</f>
        <v>// Издател : научно списание за книгата (В. Търново). – ISSN 1310-4624. – 2014, N 3-4, с. 30-39. – Начало. – Рез. на англ. ез. – Осн. публ. 
 Публ. и в: &lt;journals.uni-vt.bg/getarticle.aspx?aid=516&amp;type=.pdf&gt;.</v>
      </c>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 r="A152" s="10" t="str">
        <f ca="1">IFERROR(__xludf.DUMMYFUNCTION("""COMPUTED_VALUE"""),"Александра Венкова Куманова")</f>
        <v>Александра Венкова Куманова</v>
      </c>
      <c r="B152" s="10" t="str">
        <f ca="1">IFERROR(__xludf.DUMMYFUNCTION("""COMPUTED_VALUE"""),"Статия в списания и поредици")</f>
        <v>Статия в списания и поредици</v>
      </c>
      <c r="C152" s="10" t="str">
        <f ca="1">IFERROR(__xludf.DUMMYFUNCTION("""COMPUTED_VALUE"""),"За антологията на България (Liber aureus) (Принципи, структура, дидактика)")</f>
        <v>За антологията на България (Liber aureus) (Принципи, структура, дидактика)</v>
      </c>
      <c r="D152" s="10">
        <f ca="1">IFERROR(__xludf.DUMMYFUNCTION("""COMPUTED_VALUE"""),2014)</f>
        <v>2014</v>
      </c>
      <c r="E152" s="10" t="str">
        <f ca="1">IFERROR(__xludf.DUMMYFUNCTION("""COMPUTED_VALUE"""),"// Издател (В. Търново). – ISSN 1310-4624. – 2014, N 1-2, с. 19-32. – Съавт. Н. Василев. – Рез. на англ. ез.")</f>
        <v>// Издател (В. Търново). – ISSN 1310-4624. – 2014, N 1-2, с. 19-32. – Съавт. Н. Василев. – Рез. на англ. ез.</v>
      </c>
      <c r="F152" s="10"/>
      <c r="G152" s="10" t="str">
        <f ca="1">IFERROR(__xludf.DUMMYFUNCTION("""COMPUTED_VALUE"""),"Н. Василев")</f>
        <v>Н. Василев</v>
      </c>
      <c r="H152" s="10"/>
      <c r="I152" s="10"/>
      <c r="J152" s="10"/>
      <c r="K152" s="10"/>
      <c r="L152" s="10"/>
      <c r="M152" s="10"/>
      <c r="N152" s="10"/>
      <c r="O152" s="10"/>
      <c r="P152" s="10"/>
      <c r="Q152" s="10"/>
      <c r="R152" s="10"/>
      <c r="S152" s="10"/>
      <c r="T152" s="10"/>
      <c r="U152" s="10"/>
      <c r="V152" s="10"/>
      <c r="W152" s="10"/>
      <c r="X152" s="10"/>
      <c r="Y152" s="10"/>
      <c r="Z152" s="10"/>
    </row>
    <row r="153" spans="1:26" ht="12.75">
      <c r="A153" s="10" t="str">
        <f ca="1">IFERROR(__xludf.DUMMYFUNCTION("""COMPUTED_VALUE"""),"Александра Венкова Куманова")</f>
        <v>Александра Венкова Куманова</v>
      </c>
      <c r="B153" s="10" t="str">
        <f ca="1">IFERROR(__xludf.DUMMYFUNCTION("""COMPUTED_VALUE"""),"Статия в списания и поредици")</f>
        <v>Статия в списания и поредици</v>
      </c>
      <c r="C153" s="10" t="str">
        <f ca="1">IFERROR(__xludf.DUMMYFUNCTION("""COMPUTED_VALUE"""),"Наука : [Определение].")</f>
        <v>Наука : [Определение].</v>
      </c>
      <c r="D153" s="10">
        <f ca="1">IFERROR(__xludf.DUMMYFUNCTION("""COMPUTED_VALUE"""),2014)</f>
        <v>2014</v>
      </c>
      <c r="E153" s="10" t="str">
        <f ca="1">IFERROR(__xludf.DUMMYFUNCTION("""COMPUTED_VALUE"""),"// Тр. на Студентското науч. о-во при Унив. по библиотекознание и информ. технолог. (София). – ISSN 1314-2526. – Т. 9, 2014, с. 72.")</f>
        <v>// Тр. на Студентското науч. о-во при Унив. по библиотекознание и информ. технолог. (София). – ISSN 1314-2526. – Т. 9, 2014, с. 72.</v>
      </c>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 r="A154" s="10" t="str">
        <f ca="1">IFERROR(__xludf.DUMMYFUNCTION("""COMPUTED_VALUE"""),"Александра Венкова Куманова")</f>
        <v>Александра Венкова Куманова</v>
      </c>
      <c r="B154" s="10" t="str">
        <f ca="1">IFERROR(__xludf.DUMMYFUNCTION("""COMPUTED_VALUE"""),"Статия в списания и поредици")</f>
        <v>Статия в списания и поредици</v>
      </c>
      <c r="C154" s="10" t="str">
        <f ca="1">IFERROR(__xludf.DUMMYFUNCTION("""COMPUTED_VALUE"""),"Пред Вас е първи брой на списание „Съвременни медицински проблеми” – национална научна периодика за медицина на МИ – МВР.")</f>
        <v>Пред Вас е първи брой на списание „Съвременни медицински проблеми” – национална научна периодика за медицина на МИ – МВР.</v>
      </c>
      <c r="D154" s="10">
        <f ca="1">IFERROR(__xludf.DUMMYFUNCTION("""COMPUTED_VALUE"""),2014)</f>
        <v>2014</v>
      </c>
      <c r="E154" s="10" t="str">
        <f ca="1">IFERROR(__xludf.DUMMYFUNCTION("""COMPUTED_VALUE"""),"// Съвременни медицински проблеми (София). – ISSN 2367-4776. – 2014, N 1, с. 5. – Съавт. И. Баташки.")</f>
        <v>// Съвременни медицински проблеми (София). – ISSN 2367-4776. – 2014, N 1, с. 5. – Съавт. И. Баташки.</v>
      </c>
      <c r="F154" s="10"/>
      <c r="G154" s="10" t="str">
        <f ca="1">IFERROR(__xludf.DUMMYFUNCTION("""COMPUTED_VALUE"""),"И. Баташки.")</f>
        <v>И. Баташки.</v>
      </c>
      <c r="H154" s="10"/>
      <c r="I154" s="10"/>
      <c r="J154" s="10"/>
      <c r="K154" s="10"/>
      <c r="L154" s="10"/>
      <c r="M154" s="10"/>
      <c r="N154" s="10"/>
      <c r="O154" s="10"/>
      <c r="P154" s="10"/>
      <c r="Q154" s="10"/>
      <c r="R154" s="10"/>
      <c r="S154" s="10"/>
      <c r="T154" s="10"/>
      <c r="U154" s="10"/>
      <c r="V154" s="10"/>
      <c r="W154" s="10"/>
      <c r="X154" s="10"/>
      <c r="Y154" s="10"/>
      <c r="Z154" s="10"/>
    </row>
    <row r="155" spans="1:26" ht="12.75">
      <c r="A155" s="10" t="str">
        <f ca="1">IFERROR(__xludf.DUMMYFUNCTION("""COMPUTED_VALUE"""),"Александра Венкова Куманова")</f>
        <v>Александра Венкова Куманова</v>
      </c>
      <c r="B155" s="10" t="str">
        <f ca="1">IFERROR(__xludf.DUMMYFUNCTION("""COMPUTED_VALUE"""),"Статия в списания и поредици")</f>
        <v>Статия в списания и поредици</v>
      </c>
      <c r="C155" s="10" t="str">
        <f ca="1">IFERROR(__xludf.DUMMYFUNCTION("""COMPUTED_VALUE"""),"Tabula gratulatorum [ІХ] : Систематизиран хронолог.-азб. библиогр. списък на публ. на чл. на Студентското науч. о-во на унив. : 2005-2013 (NN 1-879)")</f>
        <v>Tabula gratulatorum [ІХ] : Систематизиран хронолог.-азб. библиогр. списък на публ. на чл. на Студентското науч. о-во на унив. : 2005-2013 (NN 1-879)</v>
      </c>
      <c r="D155" s="10">
        <f ca="1">IFERROR(__xludf.DUMMYFUNCTION("""COMPUTED_VALUE"""),2014)</f>
        <v>2014</v>
      </c>
      <c r="E155" s="10" t="str">
        <f ca="1">IFERROR(__xludf.DUMMYFUNCTION("""COMPUTED_VALUE"""),"// Тр. на Студентското науч. о-во при Унив. по библиотекознание и информ. технолог. (София). – ISSN 1314-2526. – Т. 9, 2014, с. 7-50 : 879 ном. назв. – Други състав.: Н. Василев, Г. Каламова.
 Публ. и в: &lt;http://www.sno.unibit.bg&gt;.")</f>
        <v>// Тр. на Студентското науч. о-во при Унив. по библиотекознание и информ. технолог. (София). – ISSN 1314-2526. – Т. 9, 2014, с. 7-50 : 879 ном. назв. – Други състав.: Н. Василев, Г. Каламова.
 Публ. и в: &lt;http://www.sno.unibit.bg&gt;.</v>
      </c>
      <c r="F155" s="10"/>
      <c r="G155" s="10" t="str">
        <f ca="1">IFERROR(__xludf.DUMMYFUNCTION("""COMPUTED_VALUE"""),"Н. Василев, Г. Каламова")</f>
        <v>Н. Василев, Г. Каламова</v>
      </c>
      <c r="H155" s="10"/>
      <c r="I155" s="10"/>
      <c r="J155" s="10"/>
      <c r="K155" s="10"/>
      <c r="L155" s="10"/>
      <c r="M155" s="10"/>
      <c r="N155" s="10"/>
      <c r="O155" s="10"/>
      <c r="P155" s="10"/>
      <c r="Q155" s="10"/>
      <c r="R155" s="10"/>
      <c r="S155" s="10"/>
      <c r="T155" s="10"/>
      <c r="U155" s="10"/>
      <c r="V155" s="10"/>
      <c r="W155" s="10"/>
      <c r="X155" s="10"/>
      <c r="Y155" s="10"/>
      <c r="Z155" s="10"/>
    </row>
    <row r="156" spans="1:26" ht="12.75">
      <c r="A156" s="10" t="str">
        <f ca="1">IFERROR(__xludf.DUMMYFUNCTION("""COMPUTED_VALUE"""),"Александра Венкова Куманова")</f>
        <v>Александра Венкова Куманова</v>
      </c>
      <c r="B156" s="10" t="str">
        <f ca="1">IFERROR(__xludf.DUMMYFUNCTION("""COMPUTED_VALUE"""),"Доклад от конференция")</f>
        <v>Доклад от конференция</v>
      </c>
      <c r="C156" s="10" t="str">
        <f ca="1">IFERROR(__xludf.DUMMYFUNCTION("""COMPUTED_VALUE"""),"Проблемът за формата на вторичнодокументалната информация : [Диптих. Статия първа]. (Формообразуване във философията и библиографията. Справочно-енциклопедичен арсенал)")</f>
        <v>Проблемът за формата на вторичнодокументалната информация : [Диптих. Статия първа]. (Формообразуване във философията и библиографията. Справочно-енциклопедичен арсенал)</v>
      </c>
      <c r="D156" s="10">
        <f ca="1">IFERROR(__xludf.DUMMYFUNCTION("""COMPUTED_VALUE"""),2014)</f>
        <v>2014</v>
      </c>
      <c r="E156" s="10" t="str">
        <f ca="1">IFERROR(__xludf.DUMMYFUNCTION("""COMPUTED_VALUE"""),"Обществото на знанието и хуманизмът на ХХІ век (София). – ISSN 1314-7099. – 2014, с. 95-109 : с ил. – Библиогр.: 66 неномерирани назв.")</f>
        <v>Обществото на знанието и хуманизмът на ХХІ век (София). – ISSN 1314-7099. – 2014, с. 95-109 : с ил. – Библиогр.: 66 неномерирани назв.</v>
      </c>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 r="A157" s="10" t="str">
        <f ca="1">IFERROR(__xludf.DUMMYFUNCTION("""COMPUTED_VALUE"""),"Александра Венкова Куманова")</f>
        <v>Александра Венкова Куманова</v>
      </c>
      <c r="B157" s="10" t="str">
        <f ca="1">IFERROR(__xludf.DUMMYFUNCTION("""COMPUTED_VALUE"""),"Студия")</f>
        <v>Студия</v>
      </c>
      <c r="C157" s="10" t="str">
        <f ca="1">IFERROR(__xludf.DUMMYFUNCTION("""COMPUTED_VALUE"""),"Дейксис на българската поезия от ІХ до ХХІ в. (N 805).")</f>
        <v>Дейксис на българската поезия от ІХ до ХХІ в. (N 805).</v>
      </c>
      <c r="D157" s="10">
        <f ca="1">IFERROR(__xludf.DUMMYFUNCTION("""COMPUTED_VALUE"""),2014)</f>
        <v>2014</v>
      </c>
      <c r="E157" s="10" t="str">
        <f ca="1">IFERROR(__xludf.DUMMYFUNCTION("""COMPUTED_VALUE"""),"// Тр. на Студентското науч. о-во при Унив. по библиотекознание и информ. технолог. (София). – ISSN 1314-2526. – Т. 9, 2014, с. 83-103. – Съавт.: Н. Василев, А. Пандулис.")</f>
        <v>// Тр. на Студентското науч. о-во при Унив. по библиотекознание и информ. технолог. (София). – ISSN 1314-2526. – Т. 9, 2014, с. 83-103. – Съавт.: Н. Василев, А. Пандулис.</v>
      </c>
      <c r="F157" s="10"/>
      <c r="G157" s="10" t="str">
        <f ca="1">IFERROR(__xludf.DUMMYFUNCTION("""COMPUTED_VALUE"""),"Н. Василев, А. Пандулис.")</f>
        <v>Н. Василев, А. Пандулис.</v>
      </c>
      <c r="H157" s="10"/>
      <c r="I157" s="10"/>
      <c r="J157" s="10"/>
      <c r="K157" s="10"/>
      <c r="L157" s="10"/>
      <c r="M157" s="10"/>
      <c r="N157" s="10"/>
      <c r="O157" s="10"/>
      <c r="P157" s="10"/>
      <c r="Q157" s="10"/>
      <c r="R157" s="10"/>
      <c r="S157" s="10"/>
      <c r="T157" s="10"/>
      <c r="U157" s="10"/>
      <c r="V157" s="10"/>
      <c r="W157" s="10"/>
      <c r="X157" s="10"/>
      <c r="Y157" s="10"/>
      <c r="Z157" s="10"/>
    </row>
    <row r="158" spans="1:26" ht="12.75">
      <c r="A158" s="10" t="str">
        <f ca="1">IFERROR(__xludf.DUMMYFUNCTION("""COMPUTED_VALUE"""),"Александра Венкова Куманова")</f>
        <v>Александра Венкова Куманова</v>
      </c>
      <c r="B158" s="10" t="str">
        <f ca="1">IFERROR(__xludf.DUMMYFUNCTION("""COMPUTED_VALUE"""),"Студия")</f>
        <v>Студия</v>
      </c>
      <c r="C158" s="10" t="str">
        <f ca="1">IFERROR(__xludf.DUMMYFUNCTION("""COMPUTED_VALUE"""),"Панорама на електронна библиотека „Антологика” (Архитектоника. Принципи. Форми. Цел. Структура) / (N 709).")</f>
        <v>Панорама на електронна библиотека „Антологика” (Архитектоника. Принципи. Форми. Цел. Структура) / (N 709).</v>
      </c>
      <c r="D158" s="10">
        <f ca="1">IFERROR(__xludf.DUMMYFUNCTION("""COMPUTED_VALUE"""),2014)</f>
        <v>2014</v>
      </c>
      <c r="E158" s="10" t="str">
        <f ca="1">IFERROR(__xludf.DUMMYFUNCTION("""COMPUTED_VALUE"""),"// Тр. на Студентското науч. о-во при Унив. по библиотекознание и информ. технолог. (София). – ISSN 1314-2526. – Т. 9, 2014, с. 74-114. – Съавт. А. Пандулис.")</f>
        <v>// Тр. на Студентското науч. о-во при Унив. по библиотекознание и информ. технолог. (София). – ISSN 1314-2526. – Т. 9, 2014, с. 74-114. – Съавт. А. Пандулис.</v>
      </c>
      <c r="F158" s="10"/>
      <c r="G158" s="10" t="str">
        <f ca="1">IFERROR(__xludf.DUMMYFUNCTION("""COMPUTED_VALUE"""),"А. Пандулис.")</f>
        <v>А. Пандулис.</v>
      </c>
      <c r="H158" s="10"/>
      <c r="I158" s="10"/>
      <c r="J158" s="10"/>
      <c r="K158" s="10"/>
      <c r="L158" s="10"/>
      <c r="M158" s="10"/>
      <c r="N158" s="10"/>
      <c r="O158" s="10"/>
      <c r="P158" s="10"/>
      <c r="Q158" s="10"/>
      <c r="R158" s="10"/>
      <c r="S158" s="10"/>
      <c r="T158" s="10"/>
      <c r="U158" s="10"/>
      <c r="V158" s="10"/>
      <c r="W158" s="10"/>
      <c r="X158" s="10"/>
      <c r="Y158" s="10"/>
      <c r="Z158" s="10"/>
    </row>
    <row r="159" spans="1:26" ht="12.75">
      <c r="A159" s="10" t="str">
        <f ca="1">IFERROR(__xludf.DUMMYFUNCTION("""COMPUTED_VALUE"""),"Александра Венкова Куманова")</f>
        <v>Александра Венкова Куманова</v>
      </c>
      <c r="B159" s="10" t="str">
        <f ca="1">IFERROR(__xludf.DUMMYFUNCTION("""COMPUTED_VALUE"""),"Учебно пособие")</f>
        <v>Учебно пособие</v>
      </c>
      <c r="C159" s="10" t="str">
        <f ca="1">IFERROR(__xludf.DUMMYFUNCTION("""COMPUTED_VALUE"""),"Златна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f>
        <v>Златна христоматия на България : Аналит.-синтет. архитектоника на бълг. изящно слово от ІХ до ХХІ в. (Универс. информ. модел). Кн. 2, Антология : Уч. пособие по лексикография на акад. текстописане</v>
      </c>
      <c r="D159" s="10">
        <f ca="1">IFERROR(__xludf.DUMMYFUNCTION("""COMPUTED_VALUE"""),2014)</f>
        <v>2014</v>
      </c>
      <c r="E159" s="10" t="str">
        <f ca="1">IFERROR(__xludf.DUMMYFUNCTION("""COMPUTED_VALUE"""),"София : За буквите – О писменехь, 2014. – 840, CCXX с. : с ил. ISBN 978-619-185-006-8")</f>
        <v>София : За буквите – О писменехь, 2014. – 840, CCXX с. : с ил. ISBN 978-619-185-006-8</v>
      </c>
      <c r="F159" s="10"/>
      <c r="G159" s="10" t="str">
        <f ca="1">IFERROR(__xludf.DUMMYFUNCTION("""COMPUTED_VALUE"""),"Н. Василев")</f>
        <v>Н. Василев</v>
      </c>
      <c r="H159" s="10"/>
      <c r="I159" s="10"/>
      <c r="J159" s="10"/>
      <c r="K159" s="10"/>
      <c r="L159" s="10"/>
      <c r="M159" s="10"/>
      <c r="N159" s="10"/>
      <c r="O159" s="10"/>
      <c r="P159" s="10"/>
      <c r="Q159" s="10"/>
      <c r="R159" s="10"/>
      <c r="S159" s="10"/>
      <c r="T159" s="10"/>
      <c r="U159" s="10"/>
      <c r="V159" s="10"/>
      <c r="W159" s="10"/>
      <c r="X159" s="10"/>
      <c r="Y159" s="10"/>
      <c r="Z159" s="10"/>
    </row>
    <row r="160" spans="1:26" ht="12.75">
      <c r="A160" s="10" t="str">
        <f ca="1">IFERROR(__xludf.DUMMYFUNCTION("""COMPUTED_VALUE"""),"Александра Венкова Куманова")</f>
        <v>Александра Венкова Куманова</v>
      </c>
      <c r="B160" s="10" t="str">
        <f ca="1">IFERROR(__xludf.DUMMYFUNCTION("""COMPUTED_VALUE"""),"Учебно пособие")</f>
        <v>Учебно пособие</v>
      </c>
      <c r="C160" s="10" t="str">
        <f ca="1">IFERROR(__xludf.DUMMYFUNCTION("""COMPUTED_VALUE"""),"Академик, професор, доктор на педагогическите науки Александра Куманова. Vade mecum : Систематичен азб.-хронолог. автобиобиблиогр. указ. [1559 ном. назв.] : Уч. пособие по персон. автобиобиблиогр. по дисциплината „Библиогр. модел на знанието”")</f>
        <v>Академик, професор, доктор на педагогическите науки Александра Куманова. Vade mecum : Систематичен азб.-хронолог. автобиобиблиогр. указ. [1559 ном. назв.] : Уч. пособие по персон. автобиобиблиогр. по дисциплината „Библиогр. модел на знанието”</v>
      </c>
      <c r="D160" s="10">
        <f ca="1">IFERROR(__xludf.DUMMYFUNCTION("""COMPUTED_VALUE"""),2014)</f>
        <v>2014</v>
      </c>
      <c r="E160" s="10" t="str">
        <f ca="1">IFERROR(__xludf.DUMMYFUNCTION("""COMPUTED_VALUE"""),"София : За буквите – О писменехь, 2014. – 334 с. : със сх., репрод. ISBN 978-619-185-009-9")</f>
        <v>София : За буквите – О писменехь, 2014. – 334 с. : със сх., репрод. ISBN 978-619-185-009-9</v>
      </c>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 r="A161" s="10" t="str">
        <f ca="1">IFERROR(__xludf.DUMMYFUNCTION("""COMPUTED_VALUE"""),"Александра Венкова Куманова")</f>
        <v>Александра Венкова Куманова</v>
      </c>
      <c r="B161" s="10" t="str">
        <f ca="1">IFERROR(__xludf.DUMMYFUNCTION("""COMPUTED_VALUE"""),"Учебно пособие")</f>
        <v>Учебно пособие</v>
      </c>
      <c r="C161" s="10" t="str">
        <f ca="1">IFERROR(__xludf.DUMMYFUNCTION("""COMPUTED_VALUE"""),"Nestinariana : Historiography. Photomonography")</f>
        <v>Nestinariana : Historiography. Photomonography</v>
      </c>
      <c r="D161" s="10">
        <f ca="1">IFERROR(__xludf.DUMMYFUNCTION("""COMPUTED_VALUE"""),2014)</f>
        <v>2014</v>
      </c>
      <c r="E161" s="10" t="str">
        <f ca="1">IFERROR(__xludf.DUMMYFUNCTION("""COMPUTED_VALUE"""),"Compendium / Sci. and lang. ed. N. Vasilev ; Sci. ed. S. Denchev ... [и др.] ; Terminological, ref. and inform. ed. N. Kazanski ; Bibliogr., ref. and inform. ed. M. Maximova ; Ref. and inform. ed. D. Raleva ; Rev. Z. Stoyanov... [и др.]. – София : За букв"&amp;"ите – О писменехь, 2014. – 190 с. : с ил. – (Torchbearers ; ХІІІ) ISBN 978-619-185-028-0")</f>
        <v>Compendium / Sci. and lang. ed. N. Vasilev ; Sci. ed. S. Denchev ... [и др.] ; Terminological, ref. and inform. ed. N. Kazanski ; Bibliogr., ref. and inform. ed. M. Maximova ; Ref. and inform. ed. D. Raleva ; Rev. Z. Stoyanov... [и др.]. – София : За буквите – О писменехь, 2014. – 190 с. : с ил. – (Torchbearers ; ХІІІ) ISBN 978-619-185-028-0</v>
      </c>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 r="A162" s="10" t="str">
        <f ca="1">IFERROR(__xludf.DUMMYFUNCTION("""COMPUTED_VALUE"""),"Александра Венкова Куманова")</f>
        <v>Александра Венкова Куманова</v>
      </c>
      <c r="B162" s="10" t="str">
        <f ca="1">IFERROR(__xludf.DUMMYFUNCTION("""COMPUTED_VALUE"""),"Книга")</f>
        <v>Книга</v>
      </c>
      <c r="C162" s="10" t="str">
        <f ca="1">IFERROR(__xludf.DUMMYFUNCTION("""COMPUTED_VALUE"""),"Очите на Шари. Sub rosa : Страници от един забравен дневник [по науч. експедиции в Иран, Турция /Сев. Месопотамия/, Италия, Русия, България]) = Shari`s eyes. Sub rosa : Pages of a forgotten diary [according to sci. missions in Iran, Turkey /North Mesopota"&amp;"mia/, Italy, Russia, Bulgaria])")</f>
        <v>Очите на Шари. Sub rosa : Страници от един забравен дневник [по науч. експедиции в Иран, Турция /Сев. Месопотамия/, Италия, Русия, България]) = Shari`s eyes. Sub rosa : Pages of a forgotten diary [according to sci. missions in Iran, Turkey /North Mesopotamia/, Italy, Russia, Bulgaria])</v>
      </c>
      <c r="D162" s="10">
        <f ca="1">IFERROR(__xludf.DUMMYFUNCTION("""COMPUTED_VALUE"""),2014)</f>
        <v>2014</v>
      </c>
      <c r="E162" s="10" t="str">
        <f ca="1">IFERROR(__xludf.DUMMYFUNCTION("""COMPUTED_VALUE"""),"/ Ред., бел. Н. Василев ; Ред.-иранист И. Панов ; Рец. Ц. Теофанов ... [и др.] ; Посв.: „На всички, които ме изпълват със съществуването си – на Духа, който животвори!” ; Еpigr.: „Une nuit noire, par un calme, sous
 l’Équateur. / Le Temps, l’Étendue et le"&amp;" Nombre / Sont tombés du noir firmament / Dans la mer immobile et sombre.” (Le Temps, l&amp;#39;Etendue et le Nombre...) – Charles Leconte de Lisle. – София : WINI 1837, 2014. – 414 с. : с ил. Други рец.: А. Федотов, Б. Тодорова, П. Велчев, Н. Казански. – Рез"&amp;". на бълг., рус., англ. ез. ; В част от тир. – рез. на перс. ез. – Кн. се изд. със съдействието на Културното представителство към Посолството на Ислямска Републ. Иран в Републ. България.
 ISBN 978-954-9437-45-4")</f>
        <v>/ Ред., бел. Н. Василев ; Ред.-иранист И. Панов ; Рец. Ц. Теофанов ... [и др.] ; Посв.: „На всички, които ме изпълват със съществуването си – на Духа, който животвори!” ; Еpigr.: „Une nuit noire, par un calme, sous
 l’Équateur. / Le Temps, l’Étendue et le Nombre / Sont tombés du noir firmament / Dans la mer immobile et sombre.” (Le Temps, l&amp;#39;Etendue et le Nombre...) – Charles Leconte de Lisle. – София : WINI 1837, 2014. – 414 с. : с ил. Други рец.: А. Федотов, Б. Тодорова, П. Велчев, Н. Казански. – Рез. на бълг., рус., англ. ез. ; В част от тир. – рез. на перс. ез. – Кн. се изд. със съдействието на Културното представителство към Посолството на Ислямска Републ. Иран в Републ. България.
 ISBN 978-954-9437-45-4</v>
      </c>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 r="A163" s="10" t="str">
        <f ca="1">IFERROR(__xludf.DUMMYFUNCTION("""COMPUTED_VALUE"""),"Александра Венкова Куманова")</f>
        <v>Александра Венкова Куманова</v>
      </c>
      <c r="B163" s="10" t="str">
        <f ca="1">IFERROR(__xludf.DUMMYFUNCTION("""COMPUTED_VALUE"""),"Статия в списания и поредици")</f>
        <v>Статия в списания и поредици</v>
      </c>
      <c r="C163" s="10" t="str">
        <f ca="1">IFERROR(__xludf.DUMMYFUNCTION("""COMPUTED_VALUE"""),"Академик Александр Иванович Субетто – мыслитель ХХ-ХХІ вв. (Ноосферизм. Метаклассификация. Квалиметрия : Вторичнодок. макроопис. ; Интервью) / Эпистолярную беседу ведет Александра Куманова)")</f>
        <v>Академик Александр Иванович Субетто – мыслитель ХХ-ХХІ вв. (Ноосферизм. Метаклассификация. Квалиметрия : Вторичнодок. макроопис. ; Интервью) / Эпистолярную беседу ведет Александра Куманова)</v>
      </c>
      <c r="D163" s="10">
        <f ca="1">IFERROR(__xludf.DUMMYFUNCTION("""COMPUTED_VALUE"""),2014)</f>
        <v>2014</v>
      </c>
      <c r="E163" s="10" t="str">
        <f ca="1">IFERROR(__xludf.DUMMYFUNCTION("""COMPUTED_VALUE"""),"Ноосфера. Общество. Человек. – 2014, N 4 &lt;http://www.es.rae.ru/noocivil/236-1268&gt;. – Рез. на рус. и англ. ез. – Без ISSN.")</f>
        <v>Ноосфера. Общество. Человек. – 2014, N 4 &lt;http://www.es.rae.ru/noocivil/236-1268&gt;. – Рез. на рус. и англ. ез. – Без ISSN.</v>
      </c>
      <c r="F163" s="10" t="str">
        <f ca="1">IFERROR(__xludf.DUMMYFUNCTION("""COMPUTED_VALUE"""),"1-2. Scopus, Web of Science (Thomson Reuters). // &lt;www.global-university-press.ru&gt; (science@global-university-press.ru). – 2.01.2015 ; 2.01.2018. – 30 с.")</f>
        <v>1-2. Scopus, Web of Science (Thomson Reuters). // &lt;www.global-university-press.ru&gt; (science@global-university-press.ru). – 2.01.2015 ; 2.01.2018. – 30 с.</v>
      </c>
      <c r="G163" s="10"/>
      <c r="H163" s="10"/>
      <c r="I163" s="10"/>
      <c r="J163" s="10"/>
      <c r="K163" s="10"/>
      <c r="L163" s="10"/>
      <c r="M163" s="10"/>
      <c r="N163" s="10"/>
      <c r="O163" s="10"/>
      <c r="P163" s="10"/>
      <c r="Q163" s="10"/>
      <c r="R163" s="10"/>
      <c r="S163" s="10"/>
      <c r="T163" s="10"/>
      <c r="U163" s="10"/>
      <c r="V163" s="10"/>
      <c r="W163" s="10"/>
      <c r="X163" s="10"/>
      <c r="Y163" s="10"/>
      <c r="Z163" s="10"/>
    </row>
    <row r="164" spans="1:26" ht="12.75">
      <c r="A164" s="10" t="str">
        <f ca="1">IFERROR(__xludf.DUMMYFUNCTION("""COMPUTED_VALUE"""),"Александра Венкова Куманова")</f>
        <v>Александра Венкова Куманова</v>
      </c>
      <c r="B164" s="10" t="str">
        <f ca="1">IFERROR(__xludf.DUMMYFUNCTION("""COMPUTED_VALUE"""),"Учебник")</f>
        <v>Учебник</v>
      </c>
      <c r="C164" s="10" t="str">
        <f ca="1">IFERROR(__xludf.DUMMYFUNCTION("""COMPUTED_VALUE"""),"Класификационни построения на видовете библиография, библиографската дейност, библиографските указатели и библиографската информация : Учебник по общо библиографознание за дистанционно обучение")</f>
        <v>Класификационни построения на видовете библиография, библиографската дейност, библиографските указатели и библиографската информация : Учебник по общо библиографознание за дистанционно обучение</v>
      </c>
      <c r="D164" s="10">
        <f ca="1">IFERROR(__xludf.DUMMYFUNCTION("""COMPUTED_VALUE"""),2014)</f>
        <v>2014</v>
      </c>
      <c r="E164" s="10" t="str">
        <f ca="1">IFERROR(__xludf.DUMMYFUNCTION("""COMPUTED_VALUE"""),"Учебник по общо библиографознание за дистанционно обучение / Обща ред. Н. Василев ; Рец. А. Соколов [, С. Денчев]. – София : За буквите – О писменехь, 2014. – 218 с. Библиогр.: 315 номерирани назв. E-ISBN 978-619-185-032-7")</f>
        <v>Учебник по общо библиографознание за дистанционно обучение / Обща ред. Н. Василев ; Рец. А. Соколов [, С. Денчев]. – София : За буквите – О писменехь, 2014. – 218 с. Библиогр.: 315 номерирани назв. E-ISBN 978-619-185-032-7</v>
      </c>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 r="A165" s="10" t="str">
        <f ca="1">IFERROR(__xludf.DUMMYFUNCTION("""COMPUTED_VALUE"""),"Александра Венкова Куманова")</f>
        <v>Александра Венкова Куманова</v>
      </c>
      <c r="B165" s="10" t="str">
        <f ca="1">IFERROR(__xludf.DUMMYFUNCTION("""COMPUTED_VALUE"""),"Доклад от конференция")</f>
        <v>Доклад от конференция</v>
      </c>
      <c r="C165" s="10" t="str">
        <f ca="1">IFERROR(__xludf.DUMMYFUNCTION("""COMPUTED_VALUE"""),"„Симеоновият сборник” („Светославов изборник”) – универсална енциклопедична антология (Към въпроса за съотнасянето на началния стадий на антологичното мислене в книжовната култура на България от Ранното средновековие с традицията на универсалната хуманита"&amp;"рна библиография : Визант.-слав. линия и букетът от методол. на VІІ-ХV в. в универс. и препоръч. информ. моделиране) : Докл. (N 679).")</f>
        <v>„Симеоновият сборник” („Светославов изборник”) – универсална енциклопедична антология (Към въпроса за съотнасянето на началния стадий на антологичното мислене в книжовната култура на България от Ранното средновековие с традицията на универсалната хуманитарна библиография : Визант.-слав. линия и букетът от методол. на VІІ-ХV в. в универс. и препоръч. информ. моделиране) : Докл. (N 679).</v>
      </c>
      <c r="D165" s="10">
        <f ca="1">IFERROR(__xludf.DUMMYFUNCTION("""COMPUTED_VALUE"""),2013)</f>
        <v>2013</v>
      </c>
      <c r="E165" s="10" t="str">
        <f ca="1">IFERROR(__xludf.DUMMYFUNCTION("""COMPUTED_VALUE"""),"// Тр. на Студентското науч. о-во при Унив. по библиотекознание и информ. технолог. (София). – ISSN 1314-2526. – Т. 8, 2013, с. 196-215. – Съавт. Б. Николова. 
 Публ. и в: &lt;http://www.unibit.sno.bg&gt;.")</f>
        <v>// Тр. на Студентското науч. о-во при Унив. по библиотекознание и информ. технолог. (София). – ISSN 1314-2526. – Т. 8, 2013, с. 196-215. – Съавт. Б. Николова. 
 Публ. и в: &lt;http://www.unibit.sno.bg&gt;.</v>
      </c>
      <c r="F165" s="10"/>
      <c r="G165" s="10" t="str">
        <f ca="1">IFERROR(__xludf.DUMMYFUNCTION("""COMPUTED_VALUE"""),"Б. Николова.")</f>
        <v>Б. Николова.</v>
      </c>
      <c r="H165" s="10"/>
      <c r="I165" s="10"/>
      <c r="J165" s="10"/>
      <c r="K165" s="10"/>
      <c r="L165" s="10"/>
      <c r="M165" s="10"/>
      <c r="N165" s="10"/>
      <c r="O165" s="10"/>
      <c r="P165" s="10"/>
      <c r="Q165" s="10"/>
      <c r="R165" s="10"/>
      <c r="S165" s="10"/>
      <c r="T165" s="10"/>
      <c r="U165" s="10"/>
      <c r="V165" s="10"/>
      <c r="W165" s="10"/>
      <c r="X165" s="10"/>
      <c r="Y165" s="10"/>
      <c r="Z165" s="10"/>
    </row>
    <row r="166" spans="1:26" ht="12.75">
      <c r="A166" s="10" t="str">
        <f ca="1">IFERROR(__xludf.DUMMYFUNCTION("""COMPUTED_VALUE"""),"Александра Венкова Куманова")</f>
        <v>Александра Венкова Куманова</v>
      </c>
      <c r="B166" s="10" t="str">
        <f ca="1">IFERROR(__xludf.DUMMYFUNCTION("""COMPUTED_VALUE"""),"Доклад от конференция")</f>
        <v>Доклад от конференция</v>
      </c>
      <c r="C166" s="10" t="str">
        <f ca="1">IFERROR(__xludf.DUMMYFUNCTION("""COMPUTED_VALUE"""),"Когерентный контур ризомы гуманитарного знания и платформа ноосферы В. И. Вернадского для библиосферы (К истории вопроса) / Эпиграф: „Это не карта. Это проект устройства для испытания различных вариантов, для изготовления альтернативных карт, пока не найд"&amp;"ут настоящую.” – У. Эко.")</f>
        <v>Когерентный контур ризомы гуманитарного знания и платформа ноосферы В. И. Вернадского для библиосферы (К истории вопроса) / Эпиграф: „Это не карта. Это проект устройства для испытания различных вариантов, для изготовления альтернативных карт, пока не найдут настоящую.” – У. Эко.</v>
      </c>
      <c r="D166" s="10">
        <f ca="1">IFERROR(__xludf.DUMMYFUNCTION("""COMPUTED_VALUE"""),2013)</f>
        <v>2013</v>
      </c>
      <c r="E166" s="10" t="str">
        <f ca="1">IFERROR(__xludf.DUMMYFUNCTION("""COMPUTED_VALUE"""),"Юбилейна Междунар. науч. конф. „В. И. Вернадский и ноосферная парадигма развития общества, науки, культуры, образования и экономики в XXI веке”, посвященной 150-лет. со дня рожд. великого рус. ученого-энциклопедиста В. И. Вернадского – Санкт-Петербург, 12"&amp;"-14 марта 2013 г. / Рос. акад. естеств. наук, Ноосферная обществ. акад. наук, Европ. акад. естеств. наук, Петров. акад. наук и искусств, Акад. гуманит. наук, Сев.-Зап. инст. управл. Рос. акад. нар. хоз-ва и гос. упр. при Президенте РФ ; Под ред. А. И. Суб"&amp;"етто и В. А. Шамахова. – Санкт-Петербург, 2013. – ISBN 978-5-906152-61-9. – Т. 2, с. 331-343.")</f>
        <v>Юбилейна Междунар. науч. конф. „В. И. Вернадский и ноосферная парадигма развития общества, науки, культуры, образования и экономики в XXI веке”, посвященной 150-лет. со дня рожд. великого рус. ученого-энциклопедиста В. И. Вернадского – Санкт-Петербург, 12-14 марта 2013 г. / Рос. акад. естеств. наук, Ноосферная обществ. акад. наук, Европ. акад. естеств. наук, Петров. акад. наук и искусств, Акад. гуманит. наук, Сев.-Зап. инст. управл. Рос. акад. нар. хоз-ва и гос. упр. при Президенте РФ ; Под ред. А. И. Субетто и В. А. Шамахова. – Санкт-Петербург, 2013. – ISBN 978-5-906152-61-9. – Т. 2, с. 331-343.</v>
      </c>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 r="A167" s="10" t="str">
        <f ca="1">IFERROR(__xludf.DUMMYFUNCTION("""COMPUTED_VALUE"""),"Александра Венкова Куманова")</f>
        <v>Александра Венкова Куманова</v>
      </c>
      <c r="B167" s="10" t="str">
        <f ca="1">IFERROR(__xludf.DUMMYFUNCTION("""COMPUTED_VALUE"""),"Учебно пособие")</f>
        <v>Учебно пособие</v>
      </c>
      <c r="C167" s="10" t="str">
        <f ca="1">IFERROR(__xludf.DUMMYFUNCTION("""COMPUTED_VALUE"""),"Златна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Божестве"&amp;"н флорилегиум – идил. триптих : [1-3]")</f>
        <v>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Божествен флорилегиум – идил. триптих : [1-3]</v>
      </c>
      <c r="D167" s="10">
        <f ca="1">IFERROR(__xludf.DUMMYFUNCTION("""COMPUTED_VALUE"""),2013)</f>
        <v>2013</v>
      </c>
      <c r="E167" s="10" t="str">
        <f ca="1">IFERROR(__xludf.DUMMYFUNCTION("""COMPUTED_VALUE"""),"София : За буквите – О писменехь, 2013. – X, 392 с. : с ил. ISBN 978-954-2946-21-2")</f>
        <v>София : За буквите – О писменехь, 2013. – X, 392 с. : с ил. ISBN 978-954-2946-21-2</v>
      </c>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 r="A168" s="10" t="str">
        <f ca="1">IFERROR(__xludf.DUMMYFUNCTION("""COMPUTED_VALUE"""),"Александра Венкова Куманова")</f>
        <v>Александра Венкова Куманова</v>
      </c>
      <c r="B168" s="10" t="str">
        <f ca="1">IFERROR(__xludf.DUMMYFUNCTION("""COMPUTED_VALUE"""),"Доклад от конференция")</f>
        <v>Доклад от конференция</v>
      </c>
      <c r="C168" s="10" t="str">
        <f ca="1">IFERROR(__xludf.DUMMYFUNCTION("""COMPUTED_VALUE"""),"От дефицити към възможности в педагогиката на висшето образование (Към въпроса за интерактивното обучение в УниБИТ на студенти в неравностойно положение : глухонямост – информ.-комуникативни аспекти) : Докл. от VІІ Науч. семинар на УниБИТ, Охрид, 29-31.05"&amp;".2012 г. / Епигр.: „Наистина, който знае най-старейшото и най-доброто, той е най-старейшият и най-добрият.” – Упанишади.")</f>
        <v>От дефицити към възможности в педагогиката на висшето образование (Към въпроса за интерактивното обучение в УниБИТ на студенти в неравностойно положение : глухонямост – информ.-комуникативни аспекти) : Докл. от VІІ Науч. семинар на УниБИТ, Охрид, 29-31.05.2012 г. / Епигр.: „Наистина, който знае най-старейшото и най-доброто, той е най-старейшият и най-добрият.” – Упанишади.</v>
      </c>
      <c r="D168" s="10">
        <f ca="1">IFERROR(__xludf.DUMMYFUNCTION("""COMPUTED_VALUE"""),2013)</f>
        <v>2013</v>
      </c>
      <c r="E168" s="10" t="str">
        <f ca="1">IFERROR(__xludf.DUMMYFUNCTION("""COMPUTED_VALUE"""),"// Нови информационни технологии в образователния процес (София). – ISSN 1313-2768. – 2013, с. 37-50. – Библиогр.: 40 неном. назв. в 38 ном. бел.")</f>
        <v>// Нови информационни технологии в образователния процес (София). – ISSN 1313-2768. – 2013, с. 37-50. – Библиогр.: 40 неном. назв. в 38 ном. бел.</v>
      </c>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 r="A169" s="10" t="str">
        <f ca="1">IFERROR(__xludf.DUMMYFUNCTION("""COMPUTED_VALUE"""),"Александра Венкова Куманова")</f>
        <v>Александра Венкова Куманова</v>
      </c>
      <c r="B169" s="10" t="str">
        <f ca="1">IFERROR(__xludf.DUMMYFUNCTION("""COMPUTED_VALUE"""),"Статия в списания и поредици")</f>
        <v>Статия в списания и поредици</v>
      </c>
      <c r="C169" s="10" t="str">
        <f ca="1">IFERROR(__xludf.DUMMYFUNCTION("""COMPUTED_VALUE"""),"Тодор Петров (15.10.1936, Варшава, Полша – 11.12.2000, Флорида, САЩ).")</f>
        <v>Тодор Петров (15.10.1936, Варшава, Полша – 11.12.2000, Флорида, САЩ).</v>
      </c>
      <c r="D169" s="10">
        <f ca="1">IFERROR(__xludf.DUMMYFUNCTION("""COMPUTED_VALUE"""),2013)</f>
        <v>2013</v>
      </c>
      <c r="E169" s="10" t="str">
        <f ca="1">IFERROR(__xludf.DUMMYFUNCTION("""COMPUTED_VALUE"""),"// Бележити българи на съвременна България : В 2 т. – София, 2013. – ISBN 978-954-8898-30-0. – Том. 2, с. 236-237.")</f>
        <v>// Бележити българи на съвременна България : В 2 т. – София, 2013. – ISBN 978-954-8898-30-0. – Том. 2, с. 236-237.</v>
      </c>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 r="A170" s="10" t="str">
        <f ca="1">IFERROR(__xludf.DUMMYFUNCTION("""COMPUTED_VALUE"""),"Александра Венкова Куманова")</f>
        <v>Александра Венкова Куманова</v>
      </c>
      <c r="B170" s="10"/>
      <c r="C170"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(Към проблема за ризомно-ретикуларното структуриране на информацията : Метасинтез на емпир. научноизслед."&amp;" карт.)")</f>
        <v>Когнитологичните компаративистични изследвания на Студентското научно общество при УниБИТ : Панорама. Статистика. Методология. Синопсис. Визуализация (Към проблема за ризомно-ретикуларното структуриране на информацията : Метасинтез на емпир. научноизслед. карт.)</v>
      </c>
      <c r="D170" s="10">
        <f ca="1">IFERROR(__xludf.DUMMYFUNCTION("""COMPUTED_VALUE"""),2013)</f>
        <v>2013</v>
      </c>
      <c r="E170" s="10" t="str">
        <f ca="1">IFERROR(__xludf.DUMMYFUNCTION("""COMPUTED_VALUE"""),"Обществото на знанието и хуманизмът на ХХІ век (София). – ISSN 1314-7099. – 2013, с. 488-506 : с ил., табл. – Библиогр.: 14 неномерирани назв. в 12 номерирани бел.")</f>
        <v>Обществото на знанието и хуманизмът на ХХІ век (София). – ISSN 1314-7099. – 2013, с. 488-506 : с ил., табл. – Библиогр.: 14 неномерирани назв. в 12 номерирани бел.</v>
      </c>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 r="A171" s="10" t="str">
        <f ca="1">IFERROR(__xludf.DUMMYFUNCTION("""COMPUTED_VALUE"""),"Александра Венкова Куманова")</f>
        <v>Александра Венкова Куманова</v>
      </c>
      <c r="B171" s="10" t="str">
        <f ca="1">IFERROR(__xludf.DUMMYFUNCTION("""COMPUTED_VALUE"""),"Статия в списания и поредици")</f>
        <v>Статия в списания и поредици</v>
      </c>
      <c r="C171" s="10" t="str">
        <f ca="1">IFERROR(__xludf.DUMMYFUNCTION("""COMPUTED_VALUE"""),"Универсальное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 / Эпиг.: „Знание делает человека тем, о чем он знает.” – Упанишады.")</f>
        <v>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 / Эпиг.: „Знание делает человека тем, о чем он знает.” – Упанишады.</v>
      </c>
      <c r="D171" s="10">
        <f ca="1">IFERROR(__xludf.DUMMYFUNCTION("""COMPUTED_VALUE"""),2013)</f>
        <v>2013</v>
      </c>
      <c r="E171" s="10" t="str">
        <f ca="1">IFERROR(__xludf.DUMMYFUNCTION("""COMPUTED_VALUE"""),"// Вестник Санкт-Петербургск. гос. унив. культуры и искусств : Науч. журн. – ISSN 2220-3044. – 2013, N 4 (17) дек., с. 84-90. – Осн. публ. Публ. и в: &lt;https://elibrary.ru/item.asp?id=20779406&gt;.")</f>
        <v>// Вестник Санкт-Петербургск. гос. унив. культуры и искусств : Науч. журн. – ISSN 2220-3044. – 2013, N 4 (17) дек., с. 84-90. – Осн. публ. Публ. и в: &lt;https://elibrary.ru/item.asp?id=20779406&gt;.</v>
      </c>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 r="A172" s="10" t="str">
        <f ca="1">IFERROR(__xludf.DUMMYFUNCTION("""COMPUTED_VALUE"""),"Александра Венкова Куманова")</f>
        <v>Александра Венкова Куманова</v>
      </c>
      <c r="B172" s="10" t="str">
        <f ca="1">IFERROR(__xludf.DUMMYFUNCTION("""COMPUTED_VALUE"""),"Доклад от конференция")</f>
        <v>Доклад от конференция</v>
      </c>
      <c r="C172" s="10" t="str">
        <f ca="1">IFERROR(__xludf.DUMMYFUNCTION("""COMPUTED_VALUE"""),"Из Академичното слово на проф. д.п.н. Александра Куманова по случай избирането й за академик")</f>
        <v>Из Академичното слово на проф. д.п.н. Александра Куманова по случай избирането й за академик</v>
      </c>
      <c r="D172" s="10">
        <f ca="1">IFERROR(__xludf.DUMMYFUNCTION("""COMPUTED_VALUE"""),2013)</f>
        <v>2013</v>
      </c>
      <c r="E172" s="10" t="str">
        <f ca="1">IFERROR(__xludf.DUMMYFUNCTION("""COMPUTED_VALUE"""),"Докл. 5.03.2014 г., год. събрание, посв. на 20-год. юбилей на секция „Библиотекознание” на Межд. акад. по информ. при ООН : Акад. четения : Биогр. бел. // Издател (В. Търново). – ISSN 1310-4624. – 2013, N 3-4, с. 22 : с ил. – Рез. на англ. ез.
 Публ. и в:"&amp;" &lt;http://journals.uni-vt.bg/izdatel/bul/vol15/iss2/2&gt; &lt;http://www.sno.unibit.bg&gt;.")</f>
        <v>Докл. 5.03.2014 г., год. събрание, посв. на 20-год. юбилей на секция „Библиотекознание” на Межд. акад. по информ. при ООН : Акад. четения : Биогр. бел. // Издател (В. Търново). – ISSN 1310-4624. – 2013, N 3-4, с. 22 : с ил. – Рез. на англ. ез.
 Публ. и в: &lt;http://journals.uni-vt.bg/izdatel/bul/vol15/iss2/2&gt; &lt;http://www.sno.unibit.bg&gt;.</v>
      </c>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 r="A173" s="10" t="str">
        <f ca="1">IFERROR(__xludf.DUMMYFUNCTION("""COMPUTED_VALUE"""),"Александра Венкова Куманова")</f>
        <v>Александра Венкова Куманова</v>
      </c>
      <c r="B173" s="10" t="str">
        <f ca="1">IFERROR(__xludf.DUMMYFUNCTION("""COMPUTED_VALUE"""),"Доклад от конференция")</f>
        <v>Доклад от конференция</v>
      </c>
      <c r="C173" s="10" t="str">
        <f ca="1">IFERROR(__xludf.DUMMYFUNCTION("""COMPUTED_VALUE"""),"Историографската логика на библистиката и патрологията като изрази на универсалния историко-културен процес в топонимията на „История славяноболгарская …” на Св. о. Паисий Хилендарски („Свети отец Паисий Хилендарски. История славяноболгарская … : Информ. "&amp;"код на бълг. книжовност и лит. І. Аналитика (Историография. Сигнифициран препис. Коментар. Именен показалец. Географски показалец. Тезаурус) ; ІІ. Синтез (Лексикална морфология. Семантика. Синтагматика. Синархия)” (2011 г.)")</f>
        <v>Историографската логика на библистиката и патрологията като изрази на универсалния историко-културен процес в топонимията на „История славяноболгарская …” на Св. о. Паисий Хилендарски („Свети отец Паисий Хилендарски. История славяноболгарская … : Информ. код на бълг. книжовност и лит. І. Аналитика (Историография. Сигнифициран препис. Коментар. Именен показалец. Географски показалец. Тезаурус) ; ІІ. Синтез (Лексикална морфология. Семантика. Синтагматика. Синархия)” (2011 г.)</v>
      </c>
      <c r="D173" s="10">
        <f ca="1">IFERROR(__xludf.DUMMYFUNCTION("""COMPUTED_VALUE"""),2013)</f>
        <v>2013</v>
      </c>
      <c r="E173" s="10" t="str">
        <f ca="1">IFERROR(__xludf.DUMMYFUNCTION("""COMPUTED_VALUE"""),"Докл. (N 685). // Тр. на Студентското науч. о-во при Унив. по библиотекознание и информ. технолог. (София). – ISSN 1314-2526. – Т. 8, 2013, с. 458-461. – Съавт. Б. Николова.
 Публ. и в: &lt;http://www.unibit.sno.bg&gt;.")</f>
        <v>Докл. (N 685). // Тр. на Студентското науч. о-во при Унив. по библиотекознание и информ. технолог. (София). – ISSN 1314-2526. – Т. 8, 2013, с. 458-461. – Съавт. Б. Николова.
 Публ. и в: &lt;http://www.unibit.sno.bg&gt;.</v>
      </c>
      <c r="F173" s="10"/>
      <c r="G173" s="10" t="str">
        <f ca="1">IFERROR(__xludf.DUMMYFUNCTION("""COMPUTED_VALUE"""),"Б. Николова")</f>
        <v>Б. Николова</v>
      </c>
      <c r="H173" s="10"/>
      <c r="I173" s="10"/>
      <c r="J173" s="10"/>
      <c r="K173" s="10"/>
      <c r="L173" s="10"/>
      <c r="M173" s="10"/>
      <c r="N173" s="10"/>
      <c r="O173" s="10"/>
      <c r="P173" s="10"/>
      <c r="Q173" s="10"/>
      <c r="R173" s="10"/>
      <c r="S173" s="10"/>
      <c r="T173" s="10"/>
      <c r="U173" s="10"/>
      <c r="V173" s="10"/>
      <c r="W173" s="10"/>
      <c r="X173" s="10"/>
      <c r="Y173" s="10"/>
      <c r="Z173" s="10"/>
    </row>
    <row r="174" spans="1:26" ht="12.75">
      <c r="A174" s="10" t="str">
        <f ca="1">IFERROR(__xludf.DUMMYFUNCTION("""COMPUTED_VALUE"""),"Александра Венкова Куманова")</f>
        <v>Александра Венкова Куманова</v>
      </c>
      <c r="B174" s="10" t="str">
        <f ca="1">IFERROR(__xludf.DUMMYFUNCTION("""COMPUTED_VALUE"""),"Статия в списания и поредици")</f>
        <v>Статия в списания и поредици</v>
      </c>
      <c r="C174" s="10" t="str">
        <f ca="1">IFERROR(__xludf.DUMMYFUNCTION("""COMPUTED_VALUE"""),"Знание : [Определение].")</f>
        <v>Знание : [Определение].</v>
      </c>
      <c r="D174" s="10">
        <f ca="1">IFERROR(__xludf.DUMMYFUNCTION("""COMPUTED_VALUE"""),2013)</f>
        <v>2013</v>
      </c>
      <c r="E174" s="10" t="str">
        <f ca="1">IFERROR(__xludf.DUMMYFUNCTION("""COMPUTED_VALUE"""),"// Тр. на Студентското науч. о-во при Унив. по библиотекознание и информ. технолог. (София). – ISSN 1314-2526. – Т. 8, 2013, с. 625-628.")</f>
        <v>// Тр. на Студентското науч. о-во при Унив. по библиотекознание и информ. технолог. (София). – ISSN 1314-2526. – Т. 8, 2013, с. 625-628.</v>
      </c>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 r="A175" s="10" t="str">
        <f ca="1">IFERROR(__xludf.DUMMYFUNCTION("""COMPUTED_VALUE"""),"Александра Венкова Куманова")</f>
        <v>Александра Венкова Куманова</v>
      </c>
      <c r="B175" s="10" t="str">
        <f ca="1">IFERROR(__xludf.DUMMYFUNCTION("""COMPUTED_VALUE"""),"Студия")</f>
        <v>Студия</v>
      </c>
      <c r="C175" s="10" t="str">
        <f ca="1">IFERROR(__xludf.DUMMYFUNCTION("""COMPUTED_VALUE"""),"Verba magistri : Пролегомена към ризома на библиосферата (Симон, К. Р. История иностранной библиографии")</f>
        <v>Verba magistri : Пролегомена към ризома на библиосферата (Симон, К. Р. История иностранной библиографии</v>
      </c>
      <c r="D175" s="10">
        <f ca="1">IFERROR(__xludf.DUMMYFUNCTION("""COMPUTED_VALUE"""),2013)</f>
        <v>2013</v>
      </c>
      <c r="E175" s="10" t="str">
        <f ca="1">IFERROR(__xludf.DUMMYFUNCTION("""COMPUTED_VALUE"""),"Науч. тр. на Унив. по библиотекознание и информ. технолог. (София). – ISSN 1314-2623. – Т. 11, 2013, с. 405-425.")</f>
        <v>Науч. тр. на Унив. по библиотекознание и информ. технолог. (София). – ISSN 1314-2623. – Т. 11, 2013, с. 405-425.</v>
      </c>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 r="A176" s="10" t="str">
        <f ca="1">IFERROR(__xludf.DUMMYFUNCTION("""COMPUTED_VALUE"""),"Александра Венкова Куманова")</f>
        <v>Александра Венкова Куманова</v>
      </c>
      <c r="B176" s="10" t="str">
        <f ca="1">IFERROR(__xludf.DUMMYFUNCTION("""COMPUTED_VALUE"""),"Статия в списания и поредици")</f>
        <v>Статия в списания и поредици</v>
      </c>
      <c r="C176" s="10" t="str">
        <f ca="1">IFERROR(__xludf.DUMMYFUNCTION("""COMPUTED_VALUE"""),"Дарение на колекцията „Нестинариана” – библиографски указател, електронна и традиционна библиотека от 1549 документални единици : Докл. на ІХ Студентска науч. конф. и изложба „Информ. култура: наука – изкуство – религия” – „Inform. culture: science – art "&amp;"– religion” – София, 17.05.2013 г.")</f>
        <v>Дарение на колекцията „Нестинариана” – библиографски указател, електронна и традиционна библиотека от 1549 документални единици : Докл. на ІХ Студентска науч. конф. и изложба „Информ. култура: наука – изкуство – религия” – „Inform. culture: science – art – religion” – София, 17.05.2013 г.</v>
      </c>
      <c r="D176" s="10">
        <f ca="1">IFERROR(__xludf.DUMMYFUNCTION("""COMPUTED_VALUE"""),2013)</f>
        <v>2013</v>
      </c>
      <c r="E176" s="10" t="str">
        <f ca="1">IFERROR(__xludf.DUMMYFUNCTION("""COMPUTED_VALUE"""),"// Издател (В. Търново). – ISSN 1310-4624. – 2013, N 1-2, с. 36-45 : ил. – Рез. на англ. ез.")</f>
        <v>// Издател (В. Търново). – ISSN 1310-4624. – 2013, N 1-2, с. 36-45 : ил. – Рез. на англ. ез.</v>
      </c>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 r="A177" s="10" t="str">
        <f ca="1">IFERROR(__xludf.DUMMYFUNCTION("""COMPUTED_VALUE"""),"Александра Венкова Куманова")</f>
        <v>Александра Венкова Куманова</v>
      </c>
      <c r="B177" s="10" t="str">
        <f ca="1">IFERROR(__xludf.DUMMYFUNCTION("""COMPUTED_VALUE"""),"Доклад от конференция")</f>
        <v>Доклад от конференция</v>
      </c>
      <c r="C177" s="10" t="str">
        <f ca="1">IFERROR(__xludf.DUMMYFUNCTION("""COMPUTED_VALUE"""),"Метонимичната интеракция – символното метазнание на бъдещето (Към онтологията на УниБИТ „Бяла светлина” – динамичен синтез : Когнитолог., компаративист. и библиогр. универс. информ. модел на света и на мястото на България в него)")</f>
        <v>Метонимичната интеракция – символното метазнание на бъдещето (Към онтологията на УниБИТ „Бяла светлина” – динамичен синтез : Когнитолог., компаративист. и библиогр. универс. информ. модел на света и на мястото на България в него)</v>
      </c>
      <c r="D177" s="10">
        <f ca="1">IFERROR(__xludf.DUMMYFUNCTION("""COMPUTED_VALUE"""),2013)</f>
        <v>2013</v>
      </c>
      <c r="E177" s="10" t="str">
        <f ca="1">IFERROR(__xludf.DUMMYFUNCTION("""COMPUTED_VALUE"""),"Плен. докл. на Х юбил. нац. науч. конф. с межд. участие „О-вото на знанието и хуманизмът на ХХІ в.”, 1.11.2012 г., София, БАН / Епигр.: „… кога дойде съвършеното знание, тогава това „донейде” ще изчезне” – 1 Кор. (13:10). // Обществото на знанието и хуман"&amp;"измът на ХХІ век (София). – ISSN 1314-7099. – 2013, с. 39-53 : с ил. – Съавт. С. Денчев, Н. Василев. – Библиогр.: 50 неном. назв. в 37 ном. бел.")</f>
        <v>Плен. докл. на Х юбил. нац. науч. конф. с межд. участие „О-вото на знанието и хуманизмът на ХХІ в.”, 1.11.2012 г., София, БАН / Епигр.: „… кога дойде съвършеното знание, тогава това „донейде” ще изчезне” – 1 Кор. (13:10). // Обществото на знанието и хуманизмът на ХХІ век (София). – ISSN 1314-7099. – 2013, с. 39-53 : с ил. – Съавт. С. Денчев, Н. Василев. – Библиогр.: 50 неном. назв. в 37 ном. бел.</v>
      </c>
      <c r="F177" s="10"/>
      <c r="G177" s="10" t="str">
        <f ca="1">IFERROR(__xludf.DUMMYFUNCTION("""COMPUTED_VALUE"""),"С. Денчев, Н. Василев.")</f>
        <v>С. Денчев, Н. Василев.</v>
      </c>
      <c r="H177" s="10"/>
      <c r="I177" s="10"/>
      <c r="J177" s="10"/>
      <c r="K177" s="10"/>
      <c r="L177" s="10"/>
      <c r="M177" s="10"/>
      <c r="N177" s="10"/>
      <c r="O177" s="10"/>
      <c r="P177" s="10"/>
      <c r="Q177" s="10"/>
      <c r="R177" s="10"/>
      <c r="S177" s="10"/>
      <c r="T177" s="10"/>
      <c r="U177" s="10"/>
      <c r="V177" s="10"/>
      <c r="W177" s="10"/>
      <c r="X177" s="10"/>
      <c r="Y177" s="10"/>
      <c r="Z177" s="10"/>
    </row>
    <row r="178" spans="1:26" ht="12.75">
      <c r="A178" s="10" t="str">
        <f ca="1">IFERROR(__xludf.DUMMYFUNCTION("""COMPUTED_VALUE"""),"Александра Венкова Куманова")</f>
        <v>Александра Венкова Куманова</v>
      </c>
      <c r="B178" s="10" t="str">
        <f ca="1">IFERROR(__xludf.DUMMYFUNCTION("""COMPUTED_VALUE"""),"Доклад от конференция")</f>
        <v>Доклад от конференция</v>
      </c>
      <c r="C178" s="10" t="str">
        <f ca="1">IFERROR(__xludf.DUMMYFUNCTION("""COMPUTED_VALUE"""),"Когерентный контур ризомы гуманитарного знания и платформа ноосферы В. И. Вернадского для библиосферы (К истории вопроса)")</f>
        <v>Когерентный контур ризомы гуманитарного знания и платформа ноосферы В. И. Вернадского для библиосферы (К истории вопроса)</v>
      </c>
      <c r="D178" s="10">
        <f ca="1">IFERROR(__xludf.DUMMYFUNCTION("""COMPUTED_VALUE"""),2013)</f>
        <v>2013</v>
      </c>
      <c r="E178" s="10" t="str">
        <f ca="1">IFERROR(__xludf.DUMMYFUNCTION("""COMPUTED_VALUE"""),"// Вернадски и ХХІ век : геосфера, биосфера, ноосфера и симетрия : Докл. / Юбил. науч. конф., посв. на 150 год. от рожд. на акад. В. И. Вернадски (1863-1945) – София, 14 февр. 2013 г., Рус. култ.-информ. център в България. – София, 2013. – ISBN 978-954-35"&amp;"3-206-3. – с. 93-98. – Редуц. публ.")</f>
        <v>// Вернадски и ХХІ век : геосфера, биосфера, ноосфера и симетрия : Докл. / Юбил. науч. конф., посв. на 150 год. от рожд. на акад. В. И. Вернадски (1863-1945) – София, 14 февр. 2013 г., Рус. култ.-информ. център в България. – София, 2013. – ISBN 978-954-353-206-3. – с. 93-98. – Редуц. публ.</v>
      </c>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 r="A179" s="10" t="str">
        <f ca="1">IFERROR(__xludf.DUMMYFUNCTION("""COMPUTED_VALUE"""),"Александра Венкова Куманова")</f>
        <v>Александра Венкова Куманова</v>
      </c>
      <c r="B179" s="10" t="str">
        <f ca="1">IFERROR(__xludf.DUMMYFUNCTION("""COMPUTED_VALUE"""),"Доклад от конференция")</f>
        <v>Доклад от конференция</v>
      </c>
      <c r="C179" s="10" t="str">
        <f ca="1">IFERROR(__xludf.DUMMYFUNCTION("""COMPUTED_VALUE"""),"Кохерентен контур на ризомата на хуманитарного знание и платформа на ноосферата на В. И. Вернадски за библиосферата [Към историята на въпроса] / Епигр.: „Това не е карта. Това е проект на устройство за изпитание на различни варианти, за изготвяне на алтер"&amp;"нативни карти, докато не се намери истинската.” – У. Еко")</f>
        <v>Кохерентен контур на ризомата на хуманитарного знание и платформа на ноосферата на В. И. Вернадски за библиосферата [Към историята на въпроса] / Епигр.: „Това не е карта. Това е проект на устройство за изпитание на различни варианти, за изготвяне на алтернативни карти, докато не се намери истинската.” – У. Еко</v>
      </c>
      <c r="D179" s="10">
        <f ca="1">IFERROR(__xludf.DUMMYFUNCTION("""COMPUTED_VALUE"""),2013)</f>
        <v>2013</v>
      </c>
      <c r="E179" s="10" t="str">
        <f ca="1">IFERROR(__xludf.DUMMYFUNCTION("""COMPUTED_VALUE"""),"Науч. тр. на Унив. по библиотекознание и информ. технолог. (София). – ISSN 1314-2623. – Т. 11, 2013, с. 11-26. – Рез. на рус. и англ. ез.")</f>
        <v>Науч. тр. на Унив. по библиотекознание и информ. технолог. (София). – ISSN 1314-2623. – Т. 11, 2013, с. 11-26. – Рез. на рус. и англ. ез.</v>
      </c>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 r="A180" s="10" t="str">
        <f ca="1">IFERROR(__xludf.DUMMYFUNCTION("""COMPUTED_VALUE"""),"Александра Венкова Куманова")</f>
        <v>Александра Венкова Куманова</v>
      </c>
      <c r="B180" s="10" t="str">
        <f ca="1">IFERROR(__xludf.DUMMYFUNCTION("""COMPUTED_VALUE"""),"Доклад от конференция")</f>
        <v>Доклад от конференция</v>
      </c>
      <c r="C180" s="10" t="str">
        <f ca="1">IFERROR(__xludf.DUMMYFUNCTION("""COMPUTED_VALUE"""),"Стоян Денчев : Primus inter pares. Game- и play-феноменология на информационната среда (Аполонова – Дионисиева – Орфеева – Одисеева линии и Тезей : Методология на излизането от лабиринта в о-вото на знанието) / Епигр.: „Аз имам това, което съм дал на друг"&amp;"ите.” – Грузинска мъдрост. // Cogito[,] ergo sum : Проф. Стоян Денчев на 60 [години]")</f>
        <v>Стоян Денчев : Primus inter pares. Game- и play-феноменология на информационната среда (Аполонова – Дионисиева – Орфеева – Одисеева линии и Тезей : Методология на излизането от лабиринта в о-вото на знанието) / Епигр.: „Аз имам това, което съм дал на другите.” – Грузинска мъдрост. // Cogito[,] ergo sum : Проф. Стоян Денчев на 60 [години]</v>
      </c>
      <c r="D180" s="10">
        <f ca="1">IFERROR(__xludf.DUMMYFUNCTION("""COMPUTED_VALUE"""),2013)</f>
        <v>2013</v>
      </c>
      <c r="E180" s="10" t="str">
        <f ca="1">IFERROR(__xludf.DUMMYFUNCTION("""COMPUTED_VALUE"""),"Юбил. сб. / Състав. Д. Иванов, Н. Костова ; Ред. Д. Иванов. – София, 2013. – ISBN 978-954-2946-58-8. – с. 98-128. – Съавт.: М. Куманов, Н. Василев.")</f>
        <v>Юбил. сб. / Състав. Д. Иванов, Н. Костова ; Ред. Д. Иванов. – София, 2013. – ISBN 978-954-2946-58-8. – с. 98-128. – Съавт.: М. Куманов, Н. Василев.</v>
      </c>
      <c r="F180" s="10"/>
      <c r="G180" s="10" t="str">
        <f ca="1">IFERROR(__xludf.DUMMYFUNCTION("""COMPUTED_VALUE"""),"М. Куманов, Н. Василев")</f>
        <v>М. Куманов, Н. Василев</v>
      </c>
      <c r="H180" s="10"/>
      <c r="I180" s="10"/>
      <c r="J180" s="10"/>
      <c r="K180" s="10"/>
      <c r="L180" s="10"/>
      <c r="M180" s="10"/>
      <c r="N180" s="10"/>
      <c r="O180" s="10"/>
      <c r="P180" s="10"/>
      <c r="Q180" s="10"/>
      <c r="R180" s="10"/>
      <c r="S180" s="10"/>
      <c r="T180" s="10"/>
      <c r="U180" s="10"/>
      <c r="V180" s="10"/>
      <c r="W180" s="10"/>
      <c r="X180" s="10"/>
      <c r="Y180" s="10"/>
      <c r="Z180" s="10"/>
    </row>
    <row r="181" spans="1:26" ht="12.75">
      <c r="A181" s="10" t="str">
        <f ca="1">IFERROR(__xludf.DUMMYFUNCTION("""COMPUTED_VALUE"""),"Александра Венкова Куманова")</f>
        <v>Александра Венкова Куманова</v>
      </c>
      <c r="B181" s="10" t="str">
        <f ca="1">IFERROR(__xludf.DUMMYFUNCTION("""COMPUTED_VALUE"""),"Статия в списания и поредици")</f>
        <v>Статия в списания и поредици</v>
      </c>
      <c r="C181" s="10" t="str">
        <f ca="1">IFERROR(__xludf.DUMMYFUNCTION("""COMPUTED_VALUE"""),"Просветител и възродител. Ценностен, лингвистичен и библиографски модел на „Житие и страдания грешнаго Софрония...” от Св. епископ Софроний Врачански : Информ. код (Към проблема за поетиката) / Посв. се на 200-год. от смъртта на Св. епископ Софроний Врача"&amp;"нски (1739-1813) ; Епигр.: „Болгария тебе венец плете, а на небесе уже готов!” – Димитър Попски.")</f>
        <v>Просветител и възродител. Ценностен, лингвистичен и библиографски модел на „Житие и страдания грешнаго Софрония...” от Св. епископ Софроний Врачански : Информ. код (Към проблема за поетиката) / Посв. се на 200-год. от смъртта на Св. епископ Софроний Врачански (1739-1813) ; Епигр.: „Болгария тебе венец плете, а на небесе уже готов!” – Димитър Попски.</v>
      </c>
      <c r="D181" s="10">
        <f ca="1">IFERROR(__xludf.DUMMYFUNCTION("""COMPUTED_VALUE"""),2013)</f>
        <v>2013</v>
      </c>
      <c r="E181" s="10" t="str">
        <f ca="1">IFERROR(__xludf.DUMMYFUNCTION("""COMPUTED_VALUE"""),"// За буквите – О писменехь : Кирило-Методиевски вестник (София). – ISSN 1312-3785. – N 40, ноем. 2013, с. 30. – Съавт.: С. Денчев, Н. Василев. – Редуц. публ.")</f>
        <v>// За буквите – О писменехь : Кирило-Методиевски вестник (София). – ISSN 1312-3785. – N 40, ноем. 2013, с. 30. – Съавт.: С. Денчев, Н. Василев. – Редуц. публ.</v>
      </c>
      <c r="F181" s="10"/>
      <c r="G181" s="10" t="str">
        <f ca="1">IFERROR(__xludf.DUMMYFUNCTION("""COMPUTED_VALUE"""),"С. Денчев, Н. Василев")</f>
        <v>С. Денчев, Н. Василев</v>
      </c>
      <c r="H181" s="10"/>
      <c r="I181" s="10"/>
      <c r="J181" s="10"/>
      <c r="K181" s="10"/>
      <c r="L181" s="10"/>
      <c r="M181" s="10"/>
      <c r="N181" s="10"/>
      <c r="O181" s="10"/>
      <c r="P181" s="10"/>
      <c r="Q181" s="10"/>
      <c r="R181" s="10"/>
      <c r="S181" s="10"/>
      <c r="T181" s="10"/>
      <c r="U181" s="10"/>
      <c r="V181" s="10"/>
      <c r="W181" s="10"/>
      <c r="X181" s="10"/>
      <c r="Y181" s="10"/>
      <c r="Z181" s="10"/>
    </row>
    <row r="182" spans="1:26" ht="12.75">
      <c r="A182" s="10" t="str">
        <f ca="1">IFERROR(__xludf.DUMMYFUNCTION("""COMPUTED_VALUE"""),"Александра Венкова Куманова")</f>
        <v>Александра Венкова Куманова</v>
      </c>
      <c r="B182" s="10" t="str">
        <f ca="1">IFERROR(__xludf.DUMMYFUNCTION("""COMPUTED_VALUE"""),"Доклад от конференция")</f>
        <v>Доклад от конференция</v>
      </c>
      <c r="C182" s="10" t="str">
        <f ca="1">IFERROR(__xludf.DUMMYFUNCTION("""COMPUTED_VALUE"""),"Топоними в „История славяноболгарская ...” на Св. о. Паисий Хилендарски и историографията й (Съвременни карти на света, Европа и България)")</f>
        <v>Топоними в „История славяноболгарская ...” на Св. о. Паисий Хилендарски и историографията й (Съвременни карти на света, Европа и България)</v>
      </c>
      <c r="D182" s="10">
        <f ca="1">IFERROR(__xludf.DUMMYFUNCTION("""COMPUTED_VALUE"""),2013)</f>
        <v>2013</v>
      </c>
      <c r="E182" s="10" t="str">
        <f ca="1">IFERROR(__xludf.DUMMYFUNCTION("""COMPUTED_VALUE"""),"Докл. (N 686). // Тр. на Студентското науч. о-во при Унив. по библиотекознание и информ. технолог. (София). – ISSN 1314-2526. – Т. 8, 2013, с. 462-469. – Съавт.: А. Владимирова, И. Казаков.
 Публ. и в: &lt;http://www.unibit.sno.bg&gt;.")</f>
        <v>Докл. (N 686). // Тр. на Студентското науч. о-во при Унив. по библиотекознание и информ. технолог. (София). – ISSN 1314-2526. – Т. 8, 2013, с. 462-469. – Съавт.: А. Владимирова, И. Казаков.
 Публ. и в: &lt;http://www.unibit.sno.bg&gt;.</v>
      </c>
      <c r="F182" s="10"/>
      <c r="G182" s="10" t="str">
        <f ca="1">IFERROR(__xludf.DUMMYFUNCTION("""COMPUTED_VALUE"""),"А. Владимирова, И. Казаков.")</f>
        <v>А. Владимирова, И. Казаков.</v>
      </c>
      <c r="H182" s="10"/>
      <c r="I182" s="10"/>
      <c r="J182" s="10"/>
      <c r="K182" s="10"/>
      <c r="L182" s="10"/>
      <c r="M182" s="10"/>
      <c r="N182" s="10"/>
      <c r="O182" s="10"/>
      <c r="P182" s="10"/>
      <c r="Q182" s="10"/>
      <c r="R182" s="10"/>
      <c r="S182" s="10"/>
      <c r="T182" s="10"/>
      <c r="U182" s="10"/>
      <c r="V182" s="10"/>
      <c r="W182" s="10"/>
      <c r="X182" s="10"/>
      <c r="Y182" s="10"/>
      <c r="Z182" s="10"/>
    </row>
    <row r="183" spans="1:26" ht="12.75">
      <c r="A183" s="10" t="str">
        <f ca="1">IFERROR(__xludf.DUMMYFUNCTION("""COMPUTED_VALUE"""),"Александра Венкова Куманова")</f>
        <v>Александра Венкова Куманова</v>
      </c>
      <c r="B183" s="10" t="str">
        <f ca="1">IFERROR(__xludf.DUMMYFUNCTION("""COMPUTED_VALUE"""),"Книга")</f>
        <v>Книга</v>
      </c>
      <c r="C183" s="10" t="str">
        <f ca="1">IFERROR(__xludf.DUMMYFUNCTION("""COMPUTED_VALUE"""),"Когнитология на компаративистичната терминология по библиотечна и информационна дейност : Към проблема за създаването на англ.-рус.-бълг. речник : Панепистемия на библ.-информ. сфера : Триез. речник – тектон. мент. етимолог. прибор")</f>
        <v>Когнитология на компаративистичната терминология по библиотечна и информационна дейност : Към проблема за създаването на англ.-рус.-бълг. речник : Панепистемия на библ.-информ. сфера : Триез. речник – тектон. мент. етимолог. прибор</v>
      </c>
      <c r="D183" s="10">
        <f ca="1">IFERROR(__xludf.DUMMYFUNCTION("""COMPUTED_VALUE"""),2012)</f>
        <v>2012</v>
      </c>
      <c r="E183" s="10" t="str">
        <f ca="1">IFERROR(__xludf.DUMMYFUNCTION("""COMPUTED_VALUE"""),"София : За буквите – О писменехь, 2012. – 76 с. : с 22 ил., 3 табл. – (Факлоносци ; V), ISBN 978-954-2946-16-8")</f>
        <v>София : За буквите – О писменехь, 2012. – 76 с. : с 22 ил., 3 табл. – (Факлоносци ; V), ISBN 978-954-2946-16-8</v>
      </c>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 r="A184" s="10" t="str">
        <f ca="1">IFERROR(__xludf.DUMMYFUNCTION("""COMPUTED_VALUE"""),"Александра Венкова Куманова")</f>
        <v>Александра Венкова Куманова</v>
      </c>
      <c r="B184" s="10" t="str">
        <f ca="1">IFERROR(__xludf.DUMMYFUNCTION("""COMPUTED_VALUE"""),"Доклад от конференция")</f>
        <v>Доклад от конференция</v>
      </c>
      <c r="C184" s="10" t="str">
        <f ca="1">IFERROR(__xludf.DUMMYFUNCTION("""COMPUTED_VALUE"""),"ЕVRISTIANA : Ел. библ. (Информ. ризома : Ретикула [на 165 открития на учени в историята])")</f>
        <v>ЕVRISTIANA : Ел. библ. (Информ. ризома : Ретикула [на 165 открития на учени в историята])</v>
      </c>
      <c r="D184" s="10">
        <f ca="1">IFERROR(__xludf.DUMMYFUNCTION("""COMPUTED_VALUE"""),2012)</f>
        <v>2012</v>
      </c>
      <c r="E184" s="10" t="str">
        <f ca="1">IFERROR(__xludf.DUMMYFUNCTION("""COMPUTED_VALUE"""),". // Тр. на Студентското науч. о-во при Унив. по библиотекознание и информ. технолог. (София). – ISSN 1314-2526. – Т. 7, 2012, с. 179-184 : с ил. – Съавт.: С. Денчев, Н. Василев, С. Пенева, Р. Димитрова. 
 Публ. и в: &lt;http://www.sno.unibit.bg&gt;.")</f>
        <v>. // Тр. на Студентското науч. о-во при Унив. по библиотекознание и информ. технолог. (София). – ISSN 1314-2526. – Т. 7, 2012, с. 179-184 : с ил. – Съавт.: С. Денчев, Н. Василев, С. Пенева, Р. Димитрова. 
 Публ. и в: &lt;http://www.sno.unibit.bg&gt;.</v>
      </c>
      <c r="F184" s="10"/>
      <c r="G184" s="10" t="str">
        <f ca="1">IFERROR(__xludf.DUMMYFUNCTION("""COMPUTED_VALUE"""),"С. Денчев, Н. Василев, С. Пенева, Р. Димитрова.")</f>
        <v>С. Денчев, Н. Василев, С. Пенева, Р. Димитрова.</v>
      </c>
      <c r="H184" s="10"/>
      <c r="I184" s="10"/>
      <c r="J184" s="10"/>
      <c r="K184" s="10"/>
      <c r="L184" s="10"/>
      <c r="M184" s="10"/>
      <c r="N184" s="10"/>
      <c r="O184" s="10"/>
      <c r="P184" s="10"/>
      <c r="Q184" s="10"/>
      <c r="R184" s="10"/>
      <c r="S184" s="10"/>
      <c r="T184" s="10"/>
      <c r="U184" s="10"/>
      <c r="V184" s="10"/>
      <c r="W184" s="10"/>
      <c r="X184" s="10"/>
      <c r="Y184" s="10"/>
      <c r="Z184" s="10"/>
    </row>
    <row r="185" spans="1:26" ht="12.75">
      <c r="A185" s="10" t="str">
        <f ca="1">IFERROR(__xludf.DUMMYFUNCTION("""COMPUTED_VALUE"""),"Александра Венкова Куманова")</f>
        <v>Александра Венкова Куманова</v>
      </c>
      <c r="B185" s="10" t="str">
        <f ca="1">IFERROR(__xludf.DUMMYFUNCTION("""COMPUTED_VALUE"""),"Статия в списания и поредици")</f>
        <v>Статия в списания и поредици</v>
      </c>
      <c r="C185" s="10" t="str">
        <f ca="1">IFERROR(__xludf.DUMMYFUNCTION("""COMPUTED_VALUE"""),"Идеите на професор Тодор Боров за съответствието на свода и подбора на информацията („сито”) и пътят към осъществяването им – международната универсална библиография (Посв. се на 110-год. от рожд. на учения) (N 538).")</f>
        <v>Идеите на професор Тодор Боров за съответствието на свода и подбора на информацията („сито”) и пътят към осъществяването им – международната универсална библиография (Посв. се на 110-год. от рожд. на учения) (N 538).</v>
      </c>
      <c r="D185" s="10">
        <f ca="1">IFERROR(__xludf.DUMMYFUNCTION("""COMPUTED_VALUE"""),2012)</f>
        <v>2012</v>
      </c>
      <c r="E185" s="10" t="str">
        <f ca="1">IFERROR(__xludf.DUMMYFUNCTION("""COMPUTED_VALUE"""),"// Тр. на Студентското науч. о-во при Унив. по библиотекознание и информ. технолог. (София). – ISSN 1314-2526. – Т. 7, 2012, с. 189-193. – Съавт. И. Николова.
 Публ. и в: &lt;http://www.unibit.sno.bg&gt;.")</f>
        <v>// Тр. на Студентското науч. о-во при Унив. по библиотекознание и информ. технолог. (София). – ISSN 1314-2526. – Т. 7, 2012, с. 189-193. – Съавт. И. Николова.
 Публ. и в: &lt;http://www.unibit.sno.bg&gt;.</v>
      </c>
      <c r="F185" s="10"/>
      <c r="G185" s="10" t="str">
        <f ca="1">IFERROR(__xludf.DUMMYFUNCTION("""COMPUTED_VALUE"""),"И. Николова.")</f>
        <v>И. Николова.</v>
      </c>
      <c r="H185" s="10"/>
      <c r="I185" s="10"/>
      <c r="J185" s="10"/>
      <c r="K185" s="10"/>
      <c r="L185" s="10"/>
      <c r="M185" s="10"/>
      <c r="N185" s="10"/>
      <c r="O185" s="10"/>
      <c r="P185" s="10"/>
      <c r="Q185" s="10"/>
      <c r="R185" s="10"/>
      <c r="S185" s="10"/>
      <c r="T185" s="10"/>
      <c r="U185" s="10"/>
      <c r="V185" s="10"/>
      <c r="W185" s="10"/>
      <c r="X185" s="10"/>
      <c r="Y185" s="10"/>
      <c r="Z185" s="10"/>
    </row>
    <row r="186" spans="1:26" ht="12.75">
      <c r="A186" s="10" t="str">
        <f ca="1">IFERROR(__xludf.DUMMYFUNCTION("""COMPUTED_VALUE"""),"Александра Венкова Куманова")</f>
        <v>Александра Венкова Куманова</v>
      </c>
      <c r="B186" s="10" t="str">
        <f ca="1">IFERROR(__xludf.DUMMYFUNCTION("""COMPUTED_VALUE"""),"Статия в списания и поредици")</f>
        <v>Статия в списания и поредици</v>
      </c>
      <c r="C186" s="10" t="str">
        <f ca="1">IFERROR(__xludf.DUMMYFUNCTION("""COMPUTED_VALUE"""),"Истина : [Определение].")</f>
        <v>Истина : [Определение].</v>
      </c>
      <c r="D186" s="10">
        <f ca="1">IFERROR(__xludf.DUMMYFUNCTION("""COMPUTED_VALUE"""),2012)</f>
        <v>2012</v>
      </c>
      <c r="E186" s="10" t="str">
        <f ca="1">IFERROR(__xludf.DUMMYFUNCTION("""COMPUTED_VALUE"""),"// Тр. на Студентското науч. о-во при Унив. по библиотекознание и информ. технолог. (София). – ISSN 1314-2526. – Т. 7, 2012, с. 737-738.")</f>
        <v>// Тр. на Студентското науч. о-во при Унив. по библиотекознание и информ. технолог. (София). – ISSN 1314-2526. – Т. 7, 2012, с. 737-738.</v>
      </c>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 r="A187" s="10" t="str">
        <f ca="1">IFERROR(__xludf.DUMMYFUNCTION("""COMPUTED_VALUE"""),"Александра Венкова Куманова")</f>
        <v>Александра Венкова Куманова</v>
      </c>
      <c r="B187" s="10" t="str">
        <f ca="1">IFERROR(__xludf.DUMMYFUNCTION("""COMPUTED_VALUE"""),"Доклад от конференция")</f>
        <v>Доклад от конференция</v>
      </c>
      <c r="C187" s="10" t="str">
        <f ca="1">IFERROR(__xludf.DUMMYFUNCTION("""COMPUTED_VALUE"""),"Универсално – хуманитарно – епистемологично знание")</f>
        <v>Универсално – хуманитарно – епистемологично знание</v>
      </c>
      <c r="D187" s="10">
        <f ca="1">IFERROR(__xludf.DUMMYFUNCTION("""COMPUTED_VALUE"""),2012)</f>
        <v>2012</v>
      </c>
      <c r="E187" s="10" t="str">
        <f ca="1">IFERROR(__xludf.DUMMYFUNCTION("""COMPUTED_VALUE"""),"„О-ото на знанието и хуманизмът на ХХІ в.”, 1.11.2011 г., София, Нац. дворец на културата] / Епигр.: „Знанието прави човека това, което той знае.” – Упанишади. // Обществото на знанието и хуманизмът на ХХІ век (София). – ISSN 1314-7099. – 2012, с. 105-115"&amp;".")</f>
        <v>„О-ото на знанието и хуманизмът на ХХІ в.”, 1.11.2011 г., София, Нац. дворец на културата] / Епигр.: „Знанието прави човека това, което той знае.” – Упанишади. // Обществото на знанието и хуманизмът на ХХІ век (София). – ISSN 1314-7099. – 2012, с. 105-115.</v>
      </c>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 r="A188" s="10" t="str">
        <f ca="1">IFERROR(__xludf.DUMMYFUNCTION("""COMPUTED_VALUE"""),"Александра Венкова Куманова")</f>
        <v>Александра Венкова Куманова</v>
      </c>
      <c r="B188" s="10" t="str">
        <f ca="1">IFERROR(__xludf.DUMMYFUNCTION("""COMPUTED_VALUE"""),"Доклад от конференция")</f>
        <v>Доклад от конференция</v>
      </c>
      <c r="C188" s="10" t="str">
        <f ca="1">IFERROR(__xludf.DUMMYFUNCTION("""COMPUTED_VALUE"""),"Когнитология на компаративистичната терминология по библиотечна и информационна дейност : Към проблема за създаването на речник на англ., рус. и бълг. ез")</f>
        <v>Когнитология на компаративистичната терминология по библиотечна и информационна дейност : Към проблема за създаването на речник на англ., рус. и бълг. ез</v>
      </c>
      <c r="D188" s="10">
        <f ca="1">IFERROR(__xludf.DUMMYFUNCTION("""COMPUTED_VALUE"""),2012)</f>
        <v>2012</v>
      </c>
      <c r="E188" s="10" t="str">
        <f ca="1">IFERROR(__xludf.DUMMYFUNCTION("""COMPUTED_VALUE"""),"Науч. тр. на Унив. по библиотекознание и информ. технолог. (София). – ISSN 1314-2623. – Т. 10, 2012, с. 11-52 : с ил. – Библиогр.: 81 номерирани. загл. – Рез. на рус. и англ. ез.")</f>
        <v>Науч. тр. на Унив. по библиотекознание и информ. технолог. (София). – ISSN 1314-2623. – Т. 10, 2012, с. 11-52 : с ил. – Библиогр.: 81 номерирани. загл. – Рез. на рус. и англ. ез.</v>
      </c>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 r="A189" s="10" t="str">
        <f ca="1">IFERROR(__xludf.DUMMYFUNCTION("""COMPUTED_VALUE"""),"Александра Венкова Куманова")</f>
        <v>Александра Венкова Куманова</v>
      </c>
      <c r="B189" s="10" t="str">
        <f ca="1">IFERROR(__xludf.DUMMYFUNCTION("""COMPUTED_VALUE"""),"Доклад от конференция")</f>
        <v>Доклад от конференция</v>
      </c>
      <c r="C189" s="10" t="str">
        <f ca="1">IFERROR(__xludf.DUMMYFUNCTION("""COMPUTED_VALUE"""),"Универсальное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f>
        <v>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v>
      </c>
      <c r="D189" s="10">
        <f ca="1">IFERROR(__xludf.DUMMYFUNCTION("""COMPUTED_VALUE"""),2012)</f>
        <v>2012</v>
      </c>
      <c r="E189" s="10" t="str">
        <f ca="1">IFERROR(__xludf.DUMMYFUNCTION("""COMPUTED_VALUE"""),"Эпиграф: „Знание делает человека тем, о чем он знает.” – Упанишады. // Владимир Иванович Вернадский и Лев Николаевич Гумилев : Великий Синтез творческих наследий : Междунар. науч. конф. / Костром. гос. унив. им. Н. А. Некрасова. – Кострома, 2012. – ISBN 9"&amp;"78-5-7591-1307-2. – с. 489-500. – Осн. публ.")</f>
        <v>Эпиграф: „Знание делает человека тем, о чем он знает.” – Упанишады. // Владимир Иванович Вернадский и Лев Николаевич Гумилев : Великий Синтез творческих наследий : Междунар. науч. конф. / Костром. гос. унив. им. Н. А. Некрасова. – Кострома, 2012. – ISBN 978-5-7591-1307-2. – с. 489-500. – Осн. публ.</v>
      </c>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 r="A190" s="10" t="str">
        <f ca="1">IFERROR(__xludf.DUMMYFUNCTION("""COMPUTED_VALUE"""),"Александра Венкова Куманова")</f>
        <v>Александра Венкова Куманова</v>
      </c>
      <c r="B190" s="10" t="str">
        <f ca="1">IFERROR(__xludf.DUMMYFUNCTION("""COMPUTED_VALUE"""),"Книга")</f>
        <v>Книга</v>
      </c>
      <c r="C190" s="10" t="str">
        <f ca="1">IFERROR(__xludf.DUMMYFUNCTION("""COMPUTED_VALUE"""),"Cognitology of the comparativistic terminology of library and information terminology : To the problem of creation of a dict. in Engl., Russ. and Bulg. lang. : Panepisteme of the libr.-inform. sphere : The trilingual dict. – tectonic mental device")</f>
        <v>Cognitology of the comparativistic terminology of library and information terminology : To the problem of creation of a dict. in Engl., Russ. and Bulg. lang. : Panepisteme of the libr.-inform. sphere : The trilingual dict. – tectonic mental device</v>
      </c>
      <c r="D190" s="10">
        <f ca="1">IFERROR(__xludf.DUMMYFUNCTION("""COMPUTED_VALUE"""),2012)</f>
        <v>2012</v>
      </c>
      <c r="E190" s="10" t="str">
        <f ca="1">IFERROR(__xludf.DUMMYFUNCTION("""COMPUTED_VALUE"""),"София : За буквите – О писменехь, 2012. – 76 с. : с 22 ил., 3 табл. – (Torchbearers ; VІІ) Други рец.: А. Соколов, В. Леонов, М. Младенова, Д. Христозов, С. Илиева. – Библиогр.: с. 50-57 : 81 номерирани назв. Jubilee ed., consecrated to the 250-anniversar"&amp;"y of „Istoriya slavyanobolgarskaya…” by St Father Paisiy Hilendarski. ISBN 978-954-2946-18-2")</f>
        <v>София : За буквите – О писменехь, 2012. – 76 с. : с 22 ил., 3 табл. – (Torchbearers ; VІІ) Други рец.: А. Соколов, В. Леонов, М. Младенова, Д. Христозов, С. Илиева. – Библиогр.: с. 50-57 : 81 номерирани назв. Jubilee ed., consecrated to the 250-anniversary of „Istoriya slavyanobolgarskaya…” by St Father Paisiy Hilendarski. ISBN 978-954-2946-18-2</v>
      </c>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 r="A191" s="10" t="str">
        <f ca="1">IFERROR(__xludf.DUMMYFUNCTION("""COMPUTED_VALUE"""),"Александра Венкова Куманова")</f>
        <v>Александра Венкова Куманова</v>
      </c>
      <c r="B191" s="10" t="str">
        <f ca="1">IFERROR(__xludf.DUMMYFUNCTION("""COMPUTED_VALUE"""),"Доклад от конференция")</f>
        <v>Доклад от конференция</v>
      </c>
      <c r="C191" s="10" t="str">
        <f ca="1">IFERROR(__xludf.DUMMYFUNCTION("""COMPUTED_VALUE"""),"Професор Тодор Боров : Сито за информацията (Хуманитарна библиогр. – межд. универс. библиогр.)")</f>
        <v>Професор Тодор Боров : Сито за информацията (Хуманитарна библиогр. – межд. универс. библиогр.)</v>
      </c>
      <c r="D191" s="10">
        <f ca="1">IFERROR(__xludf.DUMMYFUNCTION("""COMPUTED_VALUE"""),2012)</f>
        <v>2012</v>
      </c>
      <c r="E191" s="10" t="str">
        <f ca="1">IFERROR(__xludf.DUMMYFUNCTION("""COMPUTED_VALUE"""),"Докл. на VІ науч. семинар на УниБИТ, Костенец, 24-26.03.2011 г. / Посв. се на 110-год. от рожд. на проф. Тодор Боров ; Епигр.: „О, Дух възвишен, ти ми даде всичко” – Й. В. фон Гьоте / прев. В. Петров. // Нови информационни технологии в образователния проц"&amp;"ес (София). – ISSN 1313-2768. – 2012, с. 270-299. – Библиогр.: 50 неном. назв. в 17 ном. бел. 
 Библиогр. информ.: COBIS.BG на НБКМ. // &lt;http://www.bg.cobiss.net/&gt;. – 27.11.2017. – 1 с.")</f>
        <v>Докл. на VІ науч. семинар на УниБИТ, Костенец, 24-26.03.2011 г. / Посв. се на 110-год. от рожд. на проф. Тодор Боров ; Епигр.: „О, Дух възвишен, ти ми даде всичко” – Й. В. фон Гьоте / прев. В. Петров. // Нови информационни технологии в образователния процес (София). – ISSN 1313-2768. – 2012, с. 270-299. – Библиогр.: 50 неном. назв. в 17 ном. бел. 
 Библиогр. информ.: COBIS.BG на НБКМ. // &lt;http://www.bg.cobiss.net/&gt;. – 27.11.2017. – 1 с.</v>
      </c>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 r="A192" s="10" t="str">
        <f ca="1">IFERROR(__xludf.DUMMYFUNCTION("""COMPUTED_VALUE"""),"Александра Венкова Куманова")</f>
        <v>Александра Венкова Куманова</v>
      </c>
      <c r="B192" s="10" t="str">
        <f ca="1">IFERROR(__xludf.DUMMYFUNCTION("""COMPUTED_VALUE"""),"Статия в списания и поредици")</f>
        <v>Статия в списания и поредици</v>
      </c>
      <c r="C192" s="10" t="str">
        <f ca="1">IFERROR(__xludf.DUMMYFUNCTION("""COMPUTED_VALUE"""),"Трехъязычный словарь по библиотечной и информационной деятельности : Инструмент разрушения языковых, географических и прочих границ [: Исслед.].")</f>
        <v>Трехъязычный словарь по библиотечной и информационной деятельности : Инструмент разрушения языковых, географических и прочих границ [: Исслед.].</v>
      </c>
      <c r="D192" s="10">
        <f ca="1">IFERROR(__xludf.DUMMYFUNCTION("""COMPUTED_VALUE"""),2012)</f>
        <v>2012</v>
      </c>
      <c r="E192" s="10" t="str">
        <f ca="1">IFERROR(__xludf.DUMMYFUNCTION("""COMPUTED_VALUE"""),"// Вестник Челябинск. гос. акад. культуры и искусств. – ISSN 1815-9176. – 2012, N 1 (29), с. 34-36.")</f>
        <v>// Вестник Челябинск. гос. акад. культуры и искусств. – ISSN 1815-9176. – 2012, N 1 (29), с. 34-36.</v>
      </c>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 r="A193" s="10" t="str">
        <f ca="1">IFERROR(__xludf.DUMMYFUNCTION("""COMPUTED_VALUE"""),"Александра Венкова Куманова")</f>
        <v>Александра Венкова Куманова</v>
      </c>
      <c r="B193" s="10" t="str">
        <f ca="1">IFERROR(__xludf.DUMMYFUNCTION("""COMPUTED_VALUE"""),"Учебник")</f>
        <v>Учебник</v>
      </c>
      <c r="C193" s="10" t="str">
        <f ca="1">IFERROR(__xludf.DUMMYFUNCTION("""COMPUTED_VALUE"""),"Ризома на инфосферата : Морфология на библиогр. : Генезис на световната универс. библиогр. : Теория на библиогр. форма : Учебник по общо библиографознание")</f>
        <v>Ризома на инфосферата : Морфология на библиогр. : Генезис на световната универс. библиогр. : Теория на библиогр. форма : Учебник по общо библиографознание</v>
      </c>
      <c r="D193" s="10">
        <f ca="1">IFERROR(__xludf.DUMMYFUNCTION("""COMPUTED_VALUE"""),2012)</f>
        <v>2012</v>
      </c>
      <c r="E193" s="10" t="str">
        <f ca="1">IFERROR(__xludf.DUMMYFUNCTION("""COMPUTED_VALUE"""),"– София : За буквите – О писменехь, 2012. – CCCLІІ, 534 с. : с 350 ил., 59 сх., 22 репрод., ISBN 978-954-2946-12-0")</f>
        <v>– София : За буквите – О писменехь, 2012. – CCCLІІ, 534 с. : с 350 ил., 59 сх., 22 репрод., ISBN 978-954-2946-12-0</v>
      </c>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 r="A194" s="10" t="str">
        <f ca="1">IFERROR(__xludf.DUMMYFUNCTION("""COMPUTED_VALUE"""),"Александра Венкова Куманова")</f>
        <v>Александра Венкова Куманова</v>
      </c>
      <c r="B194" s="10" t="str">
        <f ca="1">IFERROR(__xludf.DUMMYFUNCTION("""COMPUTED_VALUE"""),"Книга")</f>
        <v>Книга</v>
      </c>
      <c r="C194" s="10" t="str">
        <f ca="1">IFERROR(__xludf.DUMMYFUNCTION("""COMPUTED_VALUE"""),"Тодор Петров. Qualis avis, talis cantus : Опит за биогр. щрихи")</f>
        <v>Тодор Петров. Qualis avis, talis cantus : Опит за биогр. щрихи</v>
      </c>
      <c r="D194" s="10">
        <f ca="1">IFERROR(__xludf.DUMMYFUNCTION("""COMPUTED_VALUE"""),2012)</f>
        <v>2012</v>
      </c>
      <c r="E194" s="10" t="str">
        <f ca="1">IFERROR(__xludf.DUMMYFUNCTION("""COMPUTED_VALUE"""),"– В. Търново : Ивис, 2012. – 68 с. : с ил. ISBN 978-954-2968-39-9")</f>
        <v>– В. Търново : Ивис, 2012. – 68 с. : с ил. ISBN 978-954-2968-39-9</v>
      </c>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 r="A195" s="10" t="str">
        <f ca="1">IFERROR(__xludf.DUMMYFUNCTION("""COMPUTED_VALUE"""),"Александра Венкова Куманова")</f>
        <v>Александра Венкова Куманова</v>
      </c>
      <c r="B195" s="10" t="str">
        <f ca="1">IFERROR(__xludf.DUMMYFUNCTION("""COMPUTED_VALUE"""),"Доклад от конференция")</f>
        <v>Доклад от конференция</v>
      </c>
      <c r="C195" s="10" t="str">
        <f ca="1">IFERROR(__xludf.DUMMYFUNCTION("""COMPUTED_VALUE"""),"Световната универсална библиография и българската следа в нея (Информационна роза. Изобразителна емблематика)")</f>
        <v>Световната универсална библиография и българската следа в нея (Информационна роза. Изобразителна емблематика)</v>
      </c>
      <c r="D195" s="10">
        <f ca="1">IFERROR(__xludf.DUMMYFUNCTION("""COMPUTED_VALUE"""),2012)</f>
        <v>2012</v>
      </c>
      <c r="E195" s="10" t="str">
        <f ca="1">IFERROR(__xludf.DUMMYFUNCTION("""COMPUTED_VALUE"""),"Докл. на ІІ науч. конф. по проблемите на култ.-ист. наследство „Нац. култ. стратегия и европ. духовна интеграция”, проведена в Големия салон на БАН, 9.02.2012 / Фонд. Арете-Фол, Арх. инст. с музей при БАН, Унив. по библиотекознание и информ. технолог. / П"&amp;"осв. се на тези, които следват естетическата максима на Св. патриарх Евтимий ; Епигр.: „Вселената няма граница и край, а е неизмерима и безкрайна” – Дж. Бруно. // Бюлетин на Фондация Арете-Фол. – ISSN 1314-5517. – 4, 2012, бр. 1, с. 177-195 : с 14 ил. – С"&amp;"ъавт.: С. Денчев, Н. Василев. – Сх.: Информ. роза.")</f>
        <v>Докл. на ІІ науч. конф. по проблемите на култ.-ист. наследство „Нац. култ. стратегия и европ. духовна интеграция”, проведена в Големия салон на БАН, 9.02.2012 / Фонд. Арете-Фол, Арх. инст. с музей при БАН, Унив. по библиотекознание и информ. технолог. / Посв. се на тези, които следват естетическата максима на Св. патриарх Евтимий ; Епигр.: „Вселената няма граница и край, а е неизмерима и безкрайна” – Дж. Бруно. // Бюлетин на Фондация Арете-Фол. – ISSN 1314-5517. – 4, 2012, бр. 1, с. 177-195 : с 14 ил. – Съавт.: С. Денчев, Н. Василев. – Сх.: Информ. роза.</v>
      </c>
      <c r="F195" s="10"/>
      <c r="G195" s="10" t="str">
        <f ca="1">IFERROR(__xludf.DUMMYFUNCTION("""COMPUTED_VALUE"""),"С. Денчев, Н. Василев")</f>
        <v>С. Денчев, Н. Василев</v>
      </c>
      <c r="H195" s="10"/>
      <c r="I195" s="10"/>
      <c r="J195" s="10"/>
      <c r="K195" s="10"/>
      <c r="L195" s="10"/>
      <c r="M195" s="10"/>
      <c r="N195" s="10"/>
      <c r="O195" s="10"/>
      <c r="P195" s="10"/>
      <c r="Q195" s="10"/>
      <c r="R195" s="10"/>
      <c r="S195" s="10"/>
      <c r="T195" s="10"/>
      <c r="U195" s="10"/>
      <c r="V195" s="10"/>
      <c r="W195" s="10"/>
      <c r="X195" s="10"/>
      <c r="Y195" s="10"/>
      <c r="Z195" s="10"/>
    </row>
    <row r="196" spans="1:26" ht="12.75">
      <c r="A196" s="10" t="str">
        <f ca="1">IFERROR(__xludf.DUMMYFUNCTION("""COMPUTED_VALUE"""),"Александра Венкова Куманова")</f>
        <v>Александра Венкова Куманова</v>
      </c>
      <c r="B196" s="10" t="str">
        <f ca="1">IFERROR(__xludf.DUMMYFUNCTION("""COMPUTED_VALUE"""),"Учебно пособие")</f>
        <v>Учебно пособие</v>
      </c>
      <c r="C196" s="10" t="str">
        <f ca="1">IFERROR(__xludf.DUMMYFUNCTION("""COMPUTED_VALUE"""),"Нестинариана : Историография : Систематизиран анот. библиогр. указ. Фотомонография")</f>
        <v>Нестинариана : Историография : Систематизиран анот. библиогр. указ. Фотомонография</v>
      </c>
      <c r="D196" s="10">
        <f ca="1">IFERROR(__xludf.DUMMYFUNCTION("""COMPUTED_VALUE"""),2012)</f>
        <v>2012</v>
      </c>
      <c r="E196" s="10" t="str">
        <f ca="1">IFERROR(__xludf.DUMMYFUNCTION("""COMPUTED_VALUE"""),"София : За буквите – О писменехь, 2012. – CXXXII, 352 с., ISBN 978-954-2946-47-2")</f>
        <v>София : За буквите – О писменехь, 2012. – CXXXII, 352 с., ISBN 978-954-2946-47-2</v>
      </c>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 r="A197" s="10" t="str">
        <f ca="1">IFERROR(__xludf.DUMMYFUNCTION("""COMPUTED_VALUE"""),"Александра Венкова Куманова")</f>
        <v>Александра Венкова Куманова</v>
      </c>
      <c r="B197" s="10" t="str">
        <f ca="1">IFERROR(__xludf.DUMMYFUNCTION("""COMPUTED_VALUE"""),"Статия в списания и поредици")</f>
        <v>Статия в списания и поредици</v>
      </c>
      <c r="C197" s="10" t="str">
        <f ca="1">IFERROR(__xludf.DUMMYFUNCTION("""COMPUTED_VALUE"""),"Универсальное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 / Эпигр.: „Знание делает человека тем, о чем он знает.” – Упанишады")</f>
        <v>Универсальное – гуманитарное – эпистемиологическое знание (Естественная классификация. Международная библиография. Идея мирового культурного объединения) / Эпигр.: „Знание делает человека тем, о чем он знает.” – Упанишады</v>
      </c>
      <c r="D197" s="10">
        <f ca="1">IFERROR(__xludf.DUMMYFUNCTION("""COMPUTED_VALUE"""),2012)</f>
        <v>2012</v>
      </c>
      <c r="E197" s="10" t="str">
        <f ca="1">IFERROR(__xludf.DUMMYFUNCTION("""COMPUTED_VALUE"""),"// Проблемы современного образования : Науч.-информ. журн. / Рос. акад. образования ; Науч. педаг. библ. им. К. Д. Ушинского (Москва). – ISSN 2218-8711. – 2012, N 6, с. 71-82. – Редуц. публ.")</f>
        <v>// Проблемы современного образования : Науч.-информ. журн. / Рос. акад. образования ; Науч. педаг. библ. им. К. Д. Ушинского (Москва). – ISSN 2218-8711. – 2012, N 6, с. 71-82. – Редуц. публ.</v>
      </c>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 r="A198" s="10" t="str">
        <f ca="1">IFERROR(__xludf.DUMMYFUNCTION("""COMPUTED_VALUE"""),"Александра Венкова Куманова")</f>
        <v>Александра Венкова Куманова</v>
      </c>
      <c r="B198" s="10" t="str">
        <f ca="1">IFERROR(__xludf.DUMMYFUNCTION("""COMPUTED_VALUE"""),"Статия в списания и поредици")</f>
        <v>Статия в списания и поредици</v>
      </c>
      <c r="C198" s="10" t="str">
        <f ca="1">IFERROR(__xludf.DUMMYFUNCTION("""COMPUTED_VALUE"""),"За том VІІ на Студентското научно общество при Университета по библиотекознание и информационни технологии (Вместо предговор от съставителите) (Стратификация на изследванията на Студентското научно общество (СНО) на УниБИТ по І-VІІ Студентски научни конфе"&amp;"ренции (2005-2011 г.) : Табл. 1 ; Систематизиран хронологично-азбучен библиографски списък на публикациите на студентите „Tabula gratulatorum” (І-VІІ TG) (2005-2011 г.), поместван в „Трудовете на СНО при УниБИТ” (Т. І-VІ) : Табл. 2. //")</f>
        <v>За том VІІ на Студентското научно общество при Университета по библиотекознание и информационни технологии (Вместо предговор от съставителите) (Стратификация на изследванията на Студентското научно общество (СНО) на УниБИТ по І-VІІ Студентски научни конференции (2005-2011 г.) : Табл. 1 ; Систематизиран хронологично-азбучен библиографски списък на публикациите на студентите „Tabula gratulatorum” (І-VІІ TG) (2005-2011 г.), поместван в „Трудовете на СНО при УниБИТ” (Т. І-VІ) : Табл. 2. //</v>
      </c>
      <c r="D198" s="10">
        <f ca="1">IFERROR(__xludf.DUMMYFUNCTION("""COMPUTED_VALUE"""),2012)</f>
        <v>2012</v>
      </c>
      <c r="E198" s="10" t="str">
        <f ca="1">IFERROR(__xludf.DUMMYFUNCTION("""COMPUTED_VALUE"""),". // Тр. на Студентското науч. о-во при Унив. по библиотекознание и информ. технолог. (София). – ISSN 1314-2526. – Т. 7, 2012, с. 22-32 : с табл. – Съавт.: С. Василева, С. Бойчева, С. Шапкалова, Т. Генова, П. Златкова, И. Гетова-Златева, П. Попова.")</f>
        <v>. // Тр. на Студентското науч. о-во при Унив. по библиотекознание и информ. технолог. (София). – ISSN 1314-2526. – Т. 7, 2012, с. 22-32 : с табл. – Съавт.: С. Василева, С. Бойчева, С. Шапкалова, Т. Генова, П. Златкова, И. Гетова-Златева, П. Попова.</v>
      </c>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 r="A199" s="10" t="str">
        <f ca="1">IFERROR(__xludf.DUMMYFUNCTION("""COMPUTED_VALUE"""),"Александра Венкова Куманова")</f>
        <v>Александра Венкова Куманова</v>
      </c>
      <c r="B199" s="10" t="str">
        <f ca="1">IFERROR(__xludf.DUMMYFUNCTION("""COMPUTED_VALUE"""),"Доклад от конференция")</f>
        <v>Доклад от конференция</v>
      </c>
      <c r="C199" s="10" t="str">
        <f ca="1">IFERROR(__xludf.DUMMYFUNCTION("""COMPUTED_VALUE"""),"Морфология на семиозата и етимология на тезауруса на езика на Св. о. Паисий Хилендарски : Историогр. и универс. онтолог. черти")</f>
        <v>Морфология на семиозата и етимология на тезауруса на езика на Св. о. Паисий Хилендарски : Историогр. и универс. онтолог. черти</v>
      </c>
      <c r="D199" s="10">
        <f ca="1">IFERROR(__xludf.DUMMYFUNCTION("""COMPUTED_VALUE"""),2012)</f>
        <v>2012</v>
      </c>
      <c r="E199" s="10" t="str">
        <f ca="1">IFERROR(__xludf.DUMMYFUNCTION("""COMPUTED_VALUE"""),"Докл. на ІХ нац. науч. конф. с межд. участие „О-вото на знанието и хуманизмът на ХХІ в.”, 1.11.2011 г., София, Нац. дворец на културата / Посв. се на 250-год. юбилей от създаването на „История славяноболгарская …” от Св. о. Паисий Хилендарски ; Епигр.: „И"&amp;"сторията е изключително важно знание за неизвървяните пътища.” – Ю. М. Лотман. // Обществото на знанието и хуманизмът на ХХІ век (София). – ISSN 1314-7099. – 2012, с. 36-68 : с ил. – Съавт. С. Денчев, М. Куманов, Н. Василев.")</f>
        <v>Докл. на ІХ нац. науч. конф. с межд. участие „О-вото на знанието и хуманизмът на ХХІ в.”, 1.11.2011 г., София, Нац. дворец на културата / Посв. се на 250-год. юбилей от създаването на „История славяноболгарская …” от Св. о. Паисий Хилендарски ; Епигр.: „Историята е изключително важно знание за неизвървяните пътища.” – Ю. М. Лотман. // Обществото на знанието и хуманизмът на ХХІ век (София). – ISSN 1314-7099. – 2012, с. 36-68 : с ил. – Съавт. С. Денчев, М. Куманов, Н. Василев.</v>
      </c>
      <c r="F199" s="10"/>
      <c r="G199" s="10" t="str">
        <f ca="1">IFERROR(__xludf.DUMMYFUNCTION("""COMPUTED_VALUE"""),"С. Денчев, М. Куманов, Н. Василев.")</f>
        <v>С. Денчев, М. Куманов, Н. Василев.</v>
      </c>
      <c r="H199" s="10"/>
      <c r="I199" s="10"/>
      <c r="J199" s="10"/>
      <c r="K199" s="10"/>
      <c r="L199" s="10"/>
      <c r="M199" s="10"/>
      <c r="N199" s="10"/>
      <c r="O199" s="10"/>
      <c r="P199" s="10"/>
      <c r="Q199" s="10"/>
      <c r="R199" s="10"/>
      <c r="S199" s="10"/>
      <c r="T199" s="10"/>
      <c r="U199" s="10"/>
      <c r="V199" s="10"/>
      <c r="W199" s="10"/>
      <c r="X199" s="10"/>
      <c r="Y199" s="10"/>
      <c r="Z199" s="10"/>
    </row>
    <row r="200" spans="1:26" ht="12.75">
      <c r="A200" s="10" t="str">
        <f ca="1">IFERROR(__xludf.DUMMYFUNCTION("""COMPUTED_VALUE"""),"Александра Венкова Куманова")</f>
        <v>Александра Венкова Куманова</v>
      </c>
      <c r="B200" s="10" t="str">
        <f ca="1">IFERROR(__xludf.DUMMYFUNCTION("""COMPUTED_VALUE"""),"Книга")</f>
        <v>Книга</v>
      </c>
      <c r="C200" s="10" t="str">
        <f ca="1">IFERROR(__xludf.DUMMYFUNCTION("""COMPUTED_VALUE"""),"Когнитология компаративистической терминологии в сфере библиотечной и информационной деятельности : К проблеме создания англ.-рус.-болг. словаря : Панэпистемия библ.-информ. сферы : Трехъяз. словарь – тектон. мент. прибор")</f>
        <v>Когнитология компаративистической терминологии в сфере библиотечной и информационной деятельности : К проблеме создания англ.-рус.-болг. словаря : Панэпистемия библ.-информ. сферы : Трехъяз. словарь – тектон. мент. прибор</v>
      </c>
      <c r="D200" s="10">
        <f ca="1">IFERROR(__xludf.DUMMYFUNCTION("""COMPUTED_VALUE"""),2012)</f>
        <v>2012</v>
      </c>
      <c r="E200" s="10" t="str">
        <f ca="1">IFERROR(__xludf.DUMMYFUNCTION("""COMPUTED_VALUE"""),"– София : За буквите – О писменехь, 2012. – 76 с. : с 22 ил., 3 табл. ISBN 978-954-2946-17-5")</f>
        <v>– София : За буквите – О писменехь, 2012. – 76 с. : с 22 ил., 3 табл. ISBN 978-954-2946-17-5</v>
      </c>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c r="A201" s="10" t="str">
        <f ca="1">IFERROR(__xludf.DUMMYFUNCTION("""COMPUTED_VALUE"""),"Александра Венкова Куманова")</f>
        <v>Александра Венкова Куманова</v>
      </c>
      <c r="B201" s="10" t="str">
        <f ca="1">IFERROR(__xludf.DUMMYFUNCTION("""COMPUTED_VALUE"""),"Статия в списания и поредици")</f>
        <v>Статия в списания и поредици</v>
      </c>
      <c r="C201" s="10" t="str">
        <f ca="1">IFERROR(__xludf.DUMMYFUNCTION("""COMPUTED_VALUE"""),"Експедиция в Иран за установяване историографската информационна карта на нестинарската феноменология в България / Епигр.: „Чадата на Адам едно са тяло” – Саади")</f>
        <v>Експедиция в Иран за установяване историографската информационна карта на нестинарската феноменология в България / Епигр.: „Чадата на Адам едно са тяло” – Саади</v>
      </c>
      <c r="D201" s="10">
        <f ca="1">IFERROR(__xludf.DUMMYFUNCTION("""COMPUTED_VALUE"""),2011)</f>
        <v>2011</v>
      </c>
      <c r="E201" s="10" t="str">
        <f ca="1">IFERROR(__xludf.DUMMYFUNCTION("""COMPUTED_VALUE"""),"// Списание на БАН (София). – ISSN 0007-3989. – 2011, N 3, с. 36-51 : с ил. – Съавт.: С. Денчев, М. Куманов, Н. Казански. – Библиогр.: 219 неном. загл. в 117 ном. бел. – Рез. на англ. ез.")</f>
        <v>// Списание на БАН (София). – ISSN 0007-3989. – 2011, N 3, с. 36-51 : с ил. – Съавт.: С. Денчев, М. Куманов, Н. Казански. – Библиогр.: 219 неном. загл. в 117 ном. бел. – Рез. на англ. ез.</v>
      </c>
      <c r="F201" s="10"/>
      <c r="G201" s="10" t="str">
        <f ca="1">IFERROR(__xludf.DUMMYFUNCTION("""COMPUTED_VALUE"""),"С. Денчев, М. Куманов, Н. Казански")</f>
        <v>С. Денчев, М. Куманов, Н. Казански</v>
      </c>
      <c r="H201" s="10"/>
      <c r="I201" s="10"/>
      <c r="J201" s="10"/>
      <c r="K201" s="10"/>
      <c r="L201" s="10"/>
      <c r="M201" s="10"/>
      <c r="N201" s="10"/>
      <c r="O201" s="10"/>
      <c r="P201" s="10"/>
      <c r="Q201" s="10"/>
      <c r="R201" s="10"/>
      <c r="S201" s="10"/>
      <c r="T201" s="10"/>
      <c r="U201" s="10"/>
      <c r="V201" s="10"/>
      <c r="W201" s="10"/>
      <c r="X201" s="10"/>
      <c r="Y201" s="10"/>
      <c r="Z201" s="10"/>
    </row>
    <row r="202" spans="1:26" ht="12.75">
      <c r="A202" s="10" t="str">
        <f ca="1">IFERROR(__xludf.DUMMYFUNCTION("""COMPUTED_VALUE"""),"Александра Венкова Куманова")</f>
        <v>Александра Венкова Куманова</v>
      </c>
      <c r="B202" s="10" t="str">
        <f ca="1">IFERROR(__xludf.DUMMYFUNCTION("""COMPUTED_VALUE"""),"Статия в списания и поредици")</f>
        <v>Статия в списания и поредици</v>
      </c>
      <c r="C202" s="10" t="str">
        <f ca="1">IFERROR(__xludf.DUMMYFUNCTION("""COMPUTED_VALUE"""),"Конституциите на Република България, САЩ и Декларацията за правата на човека на ООН : Морфология ; Табл. и графика към табл. (Използвани ключови думи по грамат. категории) ; Библиогр. ; Морфолог. информ. карт.")</f>
        <v>Конституциите на Република България, САЩ и Декларацията за правата на човека на ООН : Морфология ; Табл. и графика към табл. (Използвани ключови думи по грамат. категории) ; Библиогр. ; Морфолог. информ. карт.</v>
      </c>
      <c r="D202" s="10">
        <f ca="1">IFERROR(__xludf.DUMMYFUNCTION("""COMPUTED_VALUE"""),2011)</f>
        <v>2011</v>
      </c>
      <c r="E202" s="10" t="str">
        <f ca="1">IFERROR(__xludf.DUMMYFUNCTION("""COMPUTED_VALUE"""),"// Тр. на Студентското науч. о-во при Унив. по библиотекознание и информ. технолог. (София). – ISSN 1314-2526. – Т. 6, 2011, с. 65-157. – Съавт.: С. Денчев, Н. Василев.")</f>
        <v>// Тр. на Студентското науч. о-во при Унив. по библиотекознание и информ. технолог. (София). – ISSN 1314-2526. – Т. 6, 2011, с. 65-157. – Съавт.: С. Денчев, Н. Василев.</v>
      </c>
      <c r="F202" s="10"/>
      <c r="G202" s="10" t="str">
        <f ca="1">IFERROR(__xludf.DUMMYFUNCTION("""COMPUTED_VALUE"""),"С. Денчев, Н. Василев.")</f>
        <v>С. Денчев, Н. Василев.</v>
      </c>
      <c r="H202" s="10"/>
      <c r="I202" s="10"/>
      <c r="J202" s="10"/>
      <c r="K202" s="10"/>
      <c r="L202" s="10"/>
      <c r="M202" s="10"/>
      <c r="N202" s="10"/>
      <c r="O202" s="10"/>
      <c r="P202" s="10"/>
      <c r="Q202" s="10"/>
      <c r="R202" s="10"/>
      <c r="S202" s="10"/>
      <c r="T202" s="10"/>
      <c r="U202" s="10"/>
      <c r="V202" s="10"/>
      <c r="W202" s="10"/>
      <c r="X202" s="10"/>
      <c r="Y202" s="10"/>
      <c r="Z202" s="10"/>
    </row>
    <row r="203" spans="1:26" ht="12.75">
      <c r="A203" s="10" t="str">
        <f ca="1">IFERROR(__xludf.DUMMYFUNCTION("""COMPUTED_VALUE"""),"Александра Венкова Куманова")</f>
        <v>Александра Венкова Куманова</v>
      </c>
      <c r="B203" s="10" t="str">
        <f ca="1">IFERROR(__xludf.DUMMYFUNCTION("""COMPUTED_VALUE"""),"Доклад от конференция")</f>
        <v>Доклад от конференция</v>
      </c>
      <c r="C203" s="10" t="str">
        <f ca="1">IFERROR(__xludf.DUMMYFUNCTION("""COMPUTED_VALUE"""),"Класификационни построения във връзка с генезиса на теорията на библиографията в Западна Европа през XVIII-XXI век : Ист.-култ. феноменолог. каркас на информ. ризома и нейната феноменология : III фрагм. : Докл. / Епигр.: „Може всичко да се знае за Махалот"&amp;"о, но ако е неизвестно каква карта да се използва, работата е изгубена.” – У. Еко.")</f>
        <v>Класификационни построения във връзка с генезиса на теорията на библиографията в Западна Европа през XVIII-XXI век : Ист.-култ. феноменолог. каркас на информ. ризома и нейната феноменология : III фрагм. : Докл. / Епигр.: „Може всичко да се знае за Махалото, но ако е неизвестно каква карта да се използва, работата е изгубена.” – У. Еко.</v>
      </c>
      <c r="D203" s="10">
        <f ca="1">IFERROR(__xludf.DUMMYFUNCTION("""COMPUTED_VALUE"""),2011)</f>
        <v>2011</v>
      </c>
      <c r="E203" s="10" t="str">
        <f ca="1">IFERROR(__xludf.DUMMYFUNCTION("""COMPUTED_VALUE"""),"//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88-115. – Библиогр. с. 102-115, вкл. 9"&amp;"9 ном. загл.")</f>
        <v>//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88-115. – Библиогр. с. 102-115, вкл. 99 ном. загл.</v>
      </c>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c r="A204" s="10" t="str">
        <f ca="1">IFERROR(__xludf.DUMMYFUNCTION("""COMPUTED_VALUE"""),"Александра Венкова Куманова")</f>
        <v>Александра Венкова Куманова</v>
      </c>
      <c r="B204" s="10" t="str">
        <f ca="1">IFERROR(__xludf.DUMMYFUNCTION("""COMPUTED_VALUE"""),"Статия в списания и поредици")</f>
        <v>Статия в списания и поредици</v>
      </c>
      <c r="C204" s="10" t="str">
        <f ca="1">IFERROR(__xludf.DUMMYFUNCTION("""COMPUTED_VALUE"""),"Информационна картина на феномена „ценност”: Соц.-психол. и онтолог. дискурс (Емпир. изследв. и теор. обобщение на Студентското науч. о-во при Специализ. висше у-ще по библиотекознание и информ. технолог.) ; Табл. и графика към табл. : Морфолог. информ. к"&amp;"арт.")</f>
        <v>Информационна картина на феномена „ценност”: Соц.-психол. и онтолог. дискурс (Емпир. изследв. и теор. обобщение на Студентското науч. о-во при Специализ. висше у-ще по библиотекознание и информ. технолог.) ; Табл. и графика към табл. : Морфолог. информ. карт.</v>
      </c>
      <c r="D204" s="10">
        <f ca="1">IFERROR(__xludf.DUMMYFUNCTION("""COMPUTED_VALUE"""),2011)</f>
        <v>2011</v>
      </c>
      <c r="E204" s="10" t="str">
        <f ca="1">IFERROR(__xludf.DUMMYFUNCTION("""COMPUTED_VALUE"""),"// Тр. на Студентското науч. о-во при Унив. по библиотекознание и информ. технолог. (София). – ISSN 1314-2526. – Т. 6, 2011, с. 158-179. – Съавт.: С. Денчев, Т. Тодорова, П. Златкова, С. Ефтимова, Е. Игнатова, М. Никова, Б. Николова.")</f>
        <v>// Тр. на Студентското науч. о-во при Унив. по библиотекознание и информ. технолог. (София). – ISSN 1314-2526. – Т. 6, 2011, с. 158-179. – Съавт.: С. Денчев, Т. Тодорова, П. Златкова, С. Ефтимова, Е. Игнатова, М. Никова, Б. Николова.</v>
      </c>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c r="A205" s="10" t="str">
        <f ca="1">IFERROR(__xludf.DUMMYFUNCTION("""COMPUTED_VALUE"""),"Александра Венкова Куманова")</f>
        <v>Александра Венкова Куманова</v>
      </c>
      <c r="B205" s="10" t="str">
        <f ca="1">IFERROR(__xludf.DUMMYFUNCTION("""COMPUTED_VALUE"""),"Статия в списания и поредици")</f>
        <v>Статия в списания и поредици</v>
      </c>
      <c r="C205" s="10" t="str">
        <f ca="1">IFERROR(__xludf.DUMMYFUNCTION("""COMPUTED_VALUE"""),"Информационна картина на феномена „свобода” : Соц.-психол. и онтолог. дискурс (Емпир. изследв. и теор. обобщение на Студентското науч. о-во при Специализ. висше у-ще по библиотекознание и информ. технолог.) ; Табл. и графика към табл. : Морфолог. информ. "&amp;"карт.")</f>
        <v>Информационна картина на феномена „свобода” : Соц.-психол. и онтолог. дискурс (Емпир. изследв. и теор. обобщение на Студентското науч. о-во при Специализ. висше у-ще по библиотекознание и информ. технолог.) ; Табл. и графика към табл. : Морфолог. информ. карт.</v>
      </c>
      <c r="D205" s="10">
        <f ca="1">IFERROR(__xludf.DUMMYFUNCTION("""COMPUTED_VALUE"""),2011)</f>
        <v>2011</v>
      </c>
      <c r="E205" s="10" t="str">
        <f ca="1">IFERROR(__xludf.DUMMYFUNCTION("""COMPUTED_VALUE"""),"// Тр. на Студентското науч. о-во при Унив. по библиотекознание и информ. технолог. (София). – ISSN 1314-2526. – Т. 6, 2011, с. 180-193. – Съавт.: С. Денчев, Т. Тодорова, М. Нанкова, М. Енчева, Л. Парижкова, П. Златкова, М. Никова, Б. Николова.")</f>
        <v>// Тр. на Студентското науч. о-во при Унив. по библиотекознание и информ. технолог. (София). – ISSN 1314-2526. – Т. 6, 2011, с. 180-193. – Съавт.: С. Денчев, Т. Тодорова, М. Нанкова, М. Енчева, Л. Парижкова, П. Златкова, М. Никова, Б. Николова.</v>
      </c>
      <c r="F205" s="10"/>
      <c r="G205" s="10"/>
      <c r="H205" s="10"/>
      <c r="I205" s="10"/>
      <c r="J205" s="10"/>
      <c r="K205" s="10"/>
      <c r="L205" s="10"/>
      <c r="M205" s="10"/>
      <c r="N205" s="10"/>
      <c r="O205" s="10"/>
      <c r="P205" s="10"/>
      <c r="Q205" s="10"/>
      <c r="R205" s="10"/>
      <c r="S205" s="10"/>
      <c r="T205" s="10"/>
      <c r="U205" s="10"/>
      <c r="V205" s="10"/>
      <c r="W205" s="10"/>
      <c r="X205" s="10"/>
      <c r="Y205" s="10"/>
      <c r="Z205" s="10"/>
    </row>
    <row r="206" spans="1:26" ht="12.75">
      <c r="A206" s="10" t="str">
        <f ca="1">IFERROR(__xludf.DUMMYFUNCTION("""COMPUTED_VALUE"""),"Александра Венкова Куманова")</f>
        <v>Александра Венкова Куманова</v>
      </c>
      <c r="B206" s="10" t="str">
        <f ca="1">IFERROR(__xludf.DUMMYFUNCTION("""COMPUTED_VALUE"""),"Статия в списания и поредици")</f>
        <v>Статия в списания и поредици</v>
      </c>
      <c r="C206" s="10" t="str">
        <f ca="1">IFERROR(__xludf.DUMMYFUNCTION("""COMPUTED_VALUE"""),"Информационен код на българското изящно слово : Хуманизираща феноменология (Аксиология на семант., лексик. и фонет.-морфолог. й декодиране) / Епигр.: „Език свещен на моите деди, / език на мъки, стонове вековни, / език на тая, дето ни роди / за радост не –"&amp;" за ядове отровни.” – И. Вазов")</f>
        <v>Информационен код на българското изящно слово : Хуманизираща феноменология (Аксиология на семант., лексик. и фонет.-морфолог. й декодиране) / Епигр.: „Език свещен на моите деди, / език на мъки, стонове вековни, / език на тая, дето ни роди / за радост не – за ядове отровни.” – И. Вазов</v>
      </c>
      <c r="D206" s="10">
        <f ca="1">IFERROR(__xludf.DUMMYFUNCTION("""COMPUTED_VALUE"""),2011)</f>
        <v>2011</v>
      </c>
      <c r="E206" s="10" t="str">
        <f ca="1">IFERROR(__xludf.DUMMYFUNCTION("""COMPUTED_VALUE"""),"// Издател (В. Търново). – ISSN 1310-4624. – 2011, N 1-2, с. 19-25 : с ил. – Съавт.: С. Денчев, Н. Василев. – Редуц. публ.")</f>
        <v>// Издател (В. Търново). – ISSN 1310-4624. – 2011, N 1-2, с. 19-25 : с ил. – Съавт.: С. Денчев, Н. Василев. – Редуц. публ.</v>
      </c>
      <c r="F206" s="10"/>
      <c r="G206" s="10" t="str">
        <f ca="1">IFERROR(__xludf.DUMMYFUNCTION("""COMPUTED_VALUE"""),"С. Денчев, Н. Василев")</f>
        <v>С. Денчев, Н. Василев</v>
      </c>
      <c r="H206" s="10"/>
      <c r="I206" s="10"/>
      <c r="J206" s="10"/>
      <c r="K206" s="10"/>
      <c r="L206" s="10"/>
      <c r="M206" s="10"/>
      <c r="N206" s="10"/>
      <c r="O206" s="10"/>
      <c r="P206" s="10"/>
      <c r="Q206" s="10"/>
      <c r="R206" s="10"/>
      <c r="S206" s="10"/>
      <c r="T206" s="10"/>
      <c r="U206" s="10"/>
      <c r="V206" s="10"/>
      <c r="W206" s="10"/>
      <c r="X206" s="10"/>
      <c r="Y206" s="10"/>
      <c r="Z206" s="10"/>
    </row>
    <row r="207" spans="1:26" ht="12.75">
      <c r="A207" s="10" t="str">
        <f ca="1">IFERROR(__xludf.DUMMYFUNCTION("""COMPUTED_VALUE"""),"Александра Венкова Куманова")</f>
        <v>Александра Венкова Куманова</v>
      </c>
      <c r="B207" s="10" t="str">
        <f ca="1">IFERROR(__xludf.DUMMYFUNCTION("""COMPUTED_VALUE"""),"Статия в списания и поредици")</f>
        <v>Статия в списания и поредици</v>
      </c>
      <c r="C207" s="10" t="str">
        <f ca="1">IFERROR(__xludf.DUMMYFUNCTION("""COMPUTED_VALUE"""),"Концепцията „Арете” и нейните измерения")</f>
        <v>Концепцията „Арете” и нейните измерения</v>
      </c>
      <c r="D207" s="10">
        <f ca="1">IFERROR(__xludf.DUMMYFUNCTION("""COMPUTED_VALUE"""),2011)</f>
        <v>2011</v>
      </c>
      <c r="E207" s="10" t="str">
        <f ca="1">IFERROR(__xludf.DUMMYFUNCTION("""COMPUTED_VALUE"""),"// Ценности и добродетели на индивида – личността – лидера : Юбил. сб. за проф. Димитър Иванов / Изд. проект „Унив. библ.” при УниБИТ ; Фонд. Арете-Фол. – София, 2011. – ISBN 978-954-8887-98-4. – с. 76-77.")</f>
        <v>// Ценности и добродетели на индивида – личността – лидера : Юбил. сб. за проф. Димитър Иванов / Изд. проект „Унив. библ.” при УниБИТ ; Фонд. Арете-Фол. – София, 2011. – ISBN 978-954-8887-98-4. – с. 76-77.</v>
      </c>
      <c r="F207" s="10"/>
      <c r="G207" s="10"/>
      <c r="H207" s="10"/>
      <c r="I207" s="10"/>
      <c r="J207" s="10"/>
      <c r="K207" s="10"/>
      <c r="L207" s="10"/>
      <c r="M207" s="10"/>
      <c r="N207" s="10"/>
      <c r="O207" s="10"/>
      <c r="P207" s="10"/>
      <c r="Q207" s="10"/>
      <c r="R207" s="10"/>
      <c r="S207" s="10"/>
      <c r="T207" s="10"/>
      <c r="U207" s="10"/>
      <c r="V207" s="10"/>
      <c r="W207" s="10"/>
      <c r="X207" s="10"/>
      <c r="Y207" s="10"/>
      <c r="Z207" s="10"/>
    </row>
    <row r="208" spans="1:26" ht="12.75">
      <c r="A208" s="10" t="str">
        <f ca="1">IFERROR(__xludf.DUMMYFUNCTION("""COMPUTED_VALUE"""),"Александра Венкова Куманова")</f>
        <v>Александра Венкова Куманова</v>
      </c>
      <c r="B208" s="10" t="str">
        <f ca="1">IFERROR(__xludf.DUMMYFUNCTION("""COMPUTED_VALUE"""),"Статия в списания и поредици")</f>
        <v>Статия в списания и поредици</v>
      </c>
      <c r="C208" s="10" t="str">
        <f ca="1">IFERROR(__xludf.DUMMYFUNCTION("""COMPUTED_VALUE"""),"Онтологична, лексикална, морфологична и синтактична информационна характеристика на езика на Св. о. Паисий Хилендарски в „История славяноболгарская ...” (Към въпроса за смисъла на интелектуално-комуникативния акт) / Епигр.: „моят език е тоталната сума на "&amp;"самия мен” – Ч. С. Пърс")</f>
        <v>Онтологична, лексикална, морфологична и синтактична информационна характеристика на езика на Св. о. Паисий Хилендарски в „История славяноболгарская ...” (Към въпроса за смисъла на интелектуално-комуникативния акт) / Епигр.: „моят език е тоталната сума на самия мен” – Ч. С. Пърс</v>
      </c>
      <c r="D208" s="10">
        <f ca="1">IFERROR(__xludf.DUMMYFUNCTION("""COMPUTED_VALUE"""),2011)</f>
        <v>2011</v>
      </c>
      <c r="E208" s="10" t="str">
        <f ca="1">IFERROR(__xludf.DUMMYFUNCTION("""COMPUTED_VALUE"""),"// Издател (В. Търново). – ISSN 1310-4624. – 2011, N 3-4, с. 30-54 : с табл., ил. – Съавт.: С. Денчев, М. Куманов, Н. Василев. – Разшир. публ.")</f>
        <v>// Издател (В. Търново). – ISSN 1310-4624. – 2011, N 3-4, с. 30-54 : с табл., ил. – Съавт.: С. Денчев, М. Куманов, Н. Василев. – Разшир. публ.</v>
      </c>
      <c r="F208" s="10"/>
      <c r="G208" s="10" t="str">
        <f ca="1">IFERROR(__xludf.DUMMYFUNCTION("""COMPUTED_VALUE"""),"С. Денчев, М. Куманов, Н. Василев")</f>
        <v>С. Денчев, М. Куманов, Н. Василев</v>
      </c>
      <c r="H208" s="10"/>
      <c r="I208" s="10"/>
      <c r="J208" s="10"/>
      <c r="K208" s="10"/>
      <c r="L208" s="10"/>
      <c r="M208" s="10"/>
      <c r="N208" s="10"/>
      <c r="O208" s="10"/>
      <c r="P208" s="10"/>
      <c r="Q208" s="10"/>
      <c r="R208" s="10"/>
      <c r="S208" s="10"/>
      <c r="T208" s="10"/>
      <c r="U208" s="10"/>
      <c r="V208" s="10"/>
      <c r="W208" s="10"/>
      <c r="X208" s="10"/>
      <c r="Y208" s="10"/>
      <c r="Z208" s="10"/>
    </row>
    <row r="209" spans="1:26" ht="12.75">
      <c r="A209" s="10" t="str">
        <f ca="1">IFERROR(__xludf.DUMMYFUNCTION("""COMPUTED_VALUE"""),"Александра Венкова Куманова")</f>
        <v>Александра Венкова Куманова</v>
      </c>
      <c r="B209" s="10" t="str">
        <f ca="1">IFERROR(__xludf.DUMMYFUNCTION("""COMPUTED_VALUE"""),"Статия в списания и поредици")</f>
        <v>Статия в списания и поредици</v>
      </c>
      <c r="C209" s="10" t="str">
        <f ca="1">IFERROR(__xludf.DUMMYFUNCTION("""COMPUTED_VALUE"""),"За том VІ на Студентското научно общество при Специализираното висше училище по библиотекознание и информационни технологии (Вместо предговор от съставителите) (Стратификация на изследванията на Студентското научно общество (СНО) на УниБИТ по І-VІ Студент"&amp;"ски научни конференции (2005-2010 г.) : Табл. 1 ; Систематизиран хронологично-азбучен библиографски списък на публикациите на студентите „Tabula gratulatorum” (І-VІ TG) (2005-2010 г.), поместван в „Трудовете на СНО при УниБИТ” (Т. І-VІ) : Табл. 2.")</f>
        <v>За том VІ на Студентското научно общество при Специализираното висше училище по библиотекознание и информационни технологии (Вместо предговор от съставителите) (Стратификация на изследванията на Студентското научно общество (СНО) на УниБИТ по І-VІ Студентски научни конференции (2005-2010 г.) : Табл. 1 ; Систематизиран хронологично-азбучен библиографски списък на публикациите на студентите „Tabula gratulatorum” (І-VІ TG) (2005-2010 г.), поместван в „Трудовете на СНО при УниБИТ” (Т. І-VІ) : Табл. 2.</v>
      </c>
      <c r="D209" s="10">
        <f ca="1">IFERROR(__xludf.DUMMYFUNCTION("""COMPUTED_VALUE"""),2011)</f>
        <v>2011</v>
      </c>
      <c r="E209" s="10" t="str">
        <f ca="1">IFERROR(__xludf.DUMMYFUNCTION("""COMPUTED_VALUE"""),"// Тр. на Студентското науч. о-во при Унив. по библиотекознание и информ. технолог. (София). – ISSN 1314-2526. – Т. 6, 2011, с. 42-64 : с табл")</f>
        <v>// Тр. на Студентското науч. о-во при Унив. по библиотекознание и информ. технолог. (София). – ISSN 1314-2526. – Т. 6, 2011, с. 42-64 : с табл</v>
      </c>
      <c r="F209" s="10"/>
      <c r="G209" s="10" t="str">
        <f ca="1">IFERROR(__xludf.DUMMYFUNCTION("""COMPUTED_VALUE"""),"С. Василева, С. Бойчева, С. Шапкалова, Т. Генова, П. Златкова, И. Гетова-Златева, П. Попова.")</f>
        <v>С. Василева, С. Бойчева, С. Шапкалова, Т. Генова, П. Златкова, И. Гетова-Златева, П. Попова.</v>
      </c>
      <c r="H209" s="10"/>
      <c r="I209" s="10"/>
      <c r="J209" s="10"/>
      <c r="K209" s="10"/>
      <c r="L209" s="10"/>
      <c r="M209" s="10"/>
      <c r="N209" s="10"/>
      <c r="O209" s="10"/>
      <c r="P209" s="10"/>
      <c r="Q209" s="10"/>
      <c r="R209" s="10"/>
      <c r="S209" s="10"/>
      <c r="T209" s="10"/>
      <c r="U209" s="10"/>
      <c r="V209" s="10"/>
      <c r="W209" s="10"/>
      <c r="X209" s="10"/>
      <c r="Y209" s="10"/>
      <c r="Z209" s="10"/>
    </row>
    <row r="210" spans="1:26" ht="12.75">
      <c r="A210" s="10" t="str">
        <f ca="1">IFERROR(__xludf.DUMMYFUNCTION("""COMPUTED_VALUE"""),"Александра Венкова Куманова")</f>
        <v>Александра Венкова Куманова</v>
      </c>
      <c r="B210" s="10" t="str">
        <f ca="1">IFERROR(__xludf.DUMMYFUNCTION("""COMPUTED_VALUE"""),"Статия в списания и поредици")</f>
        <v>Статия в списания и поредици</v>
      </c>
      <c r="C210" s="10" t="str">
        <f ca="1">IFERROR(__xludf.DUMMYFUNCTION("""COMPUTED_VALUE"""),"Препис на ръка и на компютър на „История славяноболгарская ...”. Научен коментар и справочно-информационен апарат към текста. Тезаурус на езика на о. Паисий Хилендарски : Лексик. морфология (Към въпроса за ез. на о. Паисий Хилендарски) ; „История славяноб"&amp;"олгарская ...” : Морфология (Използвани ключови думи по грамат. категории : Табл. 1-4.")</f>
        <v>Препис на ръка и на компютър на „История славяноболгарская ...”. Научен коментар и справочно-информационен апарат към текста. Тезаурус на езика на о. Паисий Хилендарски : Лексик. морфология (Към въпроса за ез. на о. Паисий Хилендарски) ; „История славяноболгарская ...” : Морфология (Използвани ключови думи по грамат. категории : Табл. 1-4.</v>
      </c>
      <c r="D210" s="10">
        <f ca="1">IFERROR(__xludf.DUMMYFUNCTION("""COMPUTED_VALUE"""),2011)</f>
        <v>2011</v>
      </c>
      <c r="E210" s="10" t="str">
        <f ca="1">IFERROR(__xludf.DUMMYFUNCTION("""COMPUTED_VALUE"""),"// Тр. на Студентското науч. о-во при Унив. по библиотекознание и информ. технолог. (София). – ISSN 1314-2526. – Т. 6, 2011, с. СВ. О. П ИС 38-51. – Съавт. Н. Василев. – Библиогр. в 10 ном. бел.")</f>
        <v>// Тр. на Студентското науч. о-во при Унив. по библиотекознание и информ. технолог. (София). – ISSN 1314-2526. – Т. 6, 2011, с. СВ. О. П ИС 38-51. – Съавт. Н. Василев. – Библиогр. в 10 ном. бел.</v>
      </c>
      <c r="F210" s="10"/>
      <c r="G210" s="10" t="str">
        <f ca="1">IFERROR(__xludf.DUMMYFUNCTION("""COMPUTED_VALUE"""),"Н. Василев")</f>
        <v>Н. Василев</v>
      </c>
      <c r="H210" s="10"/>
      <c r="I210" s="10"/>
      <c r="J210" s="10"/>
      <c r="K210" s="10"/>
      <c r="L210" s="10"/>
      <c r="M210" s="10"/>
      <c r="N210" s="10"/>
      <c r="O210" s="10"/>
      <c r="P210" s="10"/>
      <c r="Q210" s="10"/>
      <c r="R210" s="10"/>
      <c r="S210" s="10"/>
      <c r="T210" s="10"/>
      <c r="U210" s="10"/>
      <c r="V210" s="10"/>
      <c r="W210" s="10"/>
      <c r="X210" s="10"/>
      <c r="Y210" s="10"/>
      <c r="Z210" s="10"/>
    </row>
    <row r="211" spans="1:26" ht="12.75">
      <c r="A211" s="10" t="str">
        <f ca="1">IFERROR(__xludf.DUMMYFUNCTION("""COMPUTED_VALUE"""),"Александра Венкова Куманова")</f>
        <v>Александра Венкова Куманова</v>
      </c>
      <c r="B211" s="10" t="str">
        <f ca="1">IFERROR(__xludf.DUMMYFUNCTION("""COMPUTED_VALUE"""),"Статия в списания и поредици")</f>
        <v>Статия в списания и поредици</v>
      </c>
      <c r="C211" s="10" t="str">
        <f ca="1">IFERROR(__xludf.DUMMYFUNCTION("""COMPUTED_VALUE"""),"Танец на раскаленных углях (Информ. карта нестинарской феноменологии) / Эпигр..: „Стихийный лабиринт, непостижимый лес, / Души готической рассудочная пропасть, / Египетская мощь и христианства робость, / С тростинкой рядом – дуб, и всюду царь отвес.” – О."&amp;" Э. Мандельштам.")</f>
        <v>Танец на раскаленных углях (Информ. карта нестинарской феноменологии) / Эпигр..: „Стихийный лабиринт, непостижимый лес, / Души готической рассудочная пропасть, / Египетская мощь и христианства робость, / С тростинкой рядом – дуб, и всюду царь отвес.” – О. Э. Мандельштам.</v>
      </c>
      <c r="D211" s="10">
        <f ca="1">IFERROR(__xludf.DUMMYFUNCTION("""COMPUTED_VALUE"""),2011)</f>
        <v>2011</v>
      </c>
      <c r="E211" s="10" t="str">
        <f ca="1">IFERROR(__xludf.DUMMYFUNCTION("""COMPUTED_VALUE"""),"// Мир библиографии (Москва). – ISSN 1560-7968. – 2011, N 2, с. 13-18 : с ил. – Соавт.: С. Денчев.")</f>
        <v>// Мир библиографии (Москва). – ISSN 1560-7968. – 2011, N 2, с. 13-18 : с ил. – Соавт.: С. Денчев.</v>
      </c>
      <c r="F211" s="10"/>
      <c r="G211" s="10" t="str">
        <f ca="1">IFERROR(__xludf.DUMMYFUNCTION("""COMPUTED_VALUE"""),"С. Денчев.")</f>
        <v>С. Денчев.</v>
      </c>
      <c r="H211" s="10"/>
      <c r="I211" s="10"/>
      <c r="J211" s="10"/>
      <c r="K211" s="10"/>
      <c r="L211" s="10"/>
      <c r="M211" s="10"/>
      <c r="N211" s="10"/>
      <c r="O211" s="10"/>
      <c r="P211" s="10"/>
      <c r="Q211" s="10"/>
      <c r="R211" s="10"/>
      <c r="S211" s="10"/>
      <c r="T211" s="10"/>
      <c r="U211" s="10"/>
      <c r="V211" s="10"/>
      <c r="W211" s="10"/>
      <c r="X211" s="10"/>
      <c r="Y211" s="10"/>
      <c r="Z211" s="10"/>
    </row>
    <row r="212" spans="1:26" ht="12.75">
      <c r="A212" s="10" t="str">
        <f ca="1">IFERROR(__xludf.DUMMYFUNCTION("""COMPUTED_VALUE"""),"Александра Венкова Куманова")</f>
        <v>Александра Венкова Куманова</v>
      </c>
      <c r="B212" s="10" t="str">
        <f ca="1">IFERROR(__xludf.DUMMYFUNCTION("""COMPUTED_VALUE"""),"Статия в списания и поредици")</f>
        <v>Статия в списания и поредици</v>
      </c>
      <c r="C212" s="10" t="str">
        <f ca="1">IFERROR(__xludf.DUMMYFUNCTION("""COMPUTED_VALUE"""),"Tabula gratulatorum [VІ] : Систематизиран хронолог.-азб. библиогр. списък на публ. на чл. на Студентското науч. о-во на унив. : 2005-2010 (NN 1-507)")</f>
        <v>Tabula gratulatorum [VІ] : Систематизиран хронолог.-азб. библиогр. списък на публ. на чл. на Студентското науч. о-во на унив. : 2005-2010 (NN 1-507)</v>
      </c>
      <c r="D212" s="10">
        <f ca="1">IFERROR(__xludf.DUMMYFUNCTION("""COMPUTED_VALUE"""),2011)</f>
        <v>2011</v>
      </c>
      <c r="E212" s="10" t="str">
        <f ca="1">IFERROR(__xludf.DUMMYFUNCTION("""COMPUTED_VALUE"""),"// Тр. на Студентското науч. о-во при Унив. по библиотекознание и информ. технолог. (София). – ISSN 1314-2526. – Т. 6, 2011, с. 7-39 : 507 ном. назв. 
 Публ. и в: &lt;http://www.sno.unibit.bg&gt;.
 2012")</f>
        <v>// Тр. на Студентското науч. о-во при Унив. по библиотекознание и информ. технолог. (София). – ISSN 1314-2526. – Т. 6, 2011, с. 7-39 : 507 ном. назв. 
 Публ. и в: &lt;http://www.sno.unibit.bg&gt;.
 2012</v>
      </c>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c r="A213" s="10" t="str">
        <f ca="1">IFERROR(__xludf.DUMMYFUNCTION("""COMPUTED_VALUE"""),"Александра Венкова Куманова")</f>
        <v>Александра Венкова Куманова</v>
      </c>
      <c r="B213" s="10" t="str">
        <f ca="1">IFERROR(__xludf.DUMMYFUNCTION("""COMPUTED_VALUE"""),"Статия в списания и поредици")</f>
        <v>Статия в списания и поредици</v>
      </c>
      <c r="C213" s="10" t="str">
        <f ca="1">IFERROR(__xludf.DUMMYFUNCTION("""COMPUTED_VALUE"""),"Апостоли на инфосферата : [В. Младенова, С. Кралев, Т. Арабаджиева, Б. Паунов, Е. Георгиева] : Онтолог. наблюдение на ценностите. В чест на 60-год. юбилей на Държ. библ. инст. – днес: Унив. по библиотекознание и информ. технолог. / Епигр.: „Явното, знайно"&amp;"то / всеки ден бива, / тука най-тайното / нам се открива: / своя Божествен мост / в тоз рядък час / Вечната женственост / спуска над нас.”")</f>
        <v>Апостоли на инфосферата : [В. Младенова, С. Кралев, Т. Арабаджиева, Б. Паунов, Е. Георгиева] : Онтолог. наблюдение на ценностите. В чест на 60-год. юбилей на Държ. библ. инст. – днес: Унив. по библиотекознание и информ. технолог. / Епигр.: „Явното, знайното / всеки ден бива, / тука най-тайното / нам се открива: / своя Божествен мост / в тоз рядък час / Вечната женственост / спуска над нас.”</v>
      </c>
      <c r="D213" s="10">
        <f ca="1">IFERROR(__xludf.DUMMYFUNCTION("""COMPUTED_VALUE"""),2011)</f>
        <v>2011</v>
      </c>
      <c r="E213" s="10" t="str">
        <f ca="1">IFERROR(__xludf.DUMMYFUNCTION("""COMPUTED_VALUE"""),"// Науч. тр. на Унив. по библиотекознание и информ. технолог. (София). – ISSN 1314-2623. – Т. 9, 2011, с. 35-61. – Библиогр.: лит. и бел.: 17 ном. назв. [+ 24 доп. вътр. ном. библиогр. опис.]. – Рез на рус. и англ. ез.")</f>
        <v>// Науч. тр. на Унив. по библиотекознание и информ. технолог. (София). – ISSN 1314-2623. – Т. 9, 2011, с. 35-61. – Библиогр.: лит. и бел.: 17 ном. назв. [+ 24 доп. вътр. ном. библиогр. опис.]. – Рез на рус. и англ. ез.</v>
      </c>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c r="A214" s="10" t="str">
        <f ca="1">IFERROR(__xludf.DUMMYFUNCTION("""COMPUTED_VALUE"""),"Александра Венкова Куманова")</f>
        <v>Александра Венкова Куманова</v>
      </c>
      <c r="B214" s="10" t="str">
        <f ca="1">IFERROR(__xludf.DUMMYFUNCTION("""COMPUTED_VALUE"""),"Статия в списания и поредици")</f>
        <v>Статия в списания и поредици</v>
      </c>
      <c r="C214" s="10" t="str">
        <f ca="1">IFERROR(__xludf.DUMMYFUNCTION("""COMPUTED_VALUE"""),"Онтологична, лексикална, морфологична и синтактична информационна характеристика на езика на Св. о. Паисий Хилендарски в „История славяноболгарская ...” (Към въпроса за смисъла на интелектуално-комуникативния акт) / Епигр.: „моят език е тоталната сума на "&amp;"самия мен” – Ч. С. Пърс.")</f>
        <v>Онтологична, лексикална, морфологична и синтактична информационна характеристика на езика на Св. о. Паисий Хилендарски в „История славяноболгарская ...” (Към въпроса за смисъла на интелектуално-комуникативния акт) / Епигр.: „моят език е тоталната сума на самия мен” – Ч. С. Пърс.</v>
      </c>
      <c r="D214" s="10">
        <f ca="1">IFERROR(__xludf.DUMMYFUNCTION("""COMPUTED_VALUE"""),2011)</f>
        <v>2011</v>
      </c>
      <c r="E214" s="10" t="str">
        <f ca="1">IFERROR(__xludf.DUMMYFUNCTION("""COMPUTED_VALUE"""),"// Информ. бюл. на Центр. библ. на БАН (София). – ISSN 1312-9899. – 2011, N 8, с. 6-18. – Съавт.: С. Денчев, М. Куманов, Н. Василев. – Редуц. публ. 
 Публ. и в: &lt;cl.bas.bg/about-central-library/bulletin-of-central-library-of-bas/volume-54/54_4.pdf&gt;.")</f>
        <v>// Информ. бюл. на Центр. библ. на БАН (София). – ISSN 1312-9899. – 2011, N 8, с. 6-18. – Съавт.: С. Денчев, М. Куманов, Н. Василев. – Редуц. публ. 
 Публ. и в: &lt;cl.bas.bg/about-central-library/bulletin-of-central-library-of-bas/volume-54/54_4.pdf&gt;.</v>
      </c>
      <c r="F214" s="10"/>
      <c r="G214" s="10" t="str">
        <f ca="1">IFERROR(__xludf.DUMMYFUNCTION("""COMPUTED_VALUE"""),"С. Денчев, М. Куманов, Н. Василев")</f>
        <v>С. Денчев, М. Куманов, Н. Василев</v>
      </c>
      <c r="H214" s="10"/>
      <c r="I214" s="10"/>
      <c r="J214" s="10"/>
      <c r="K214" s="10"/>
      <c r="L214" s="10"/>
      <c r="M214" s="10"/>
      <c r="N214" s="10"/>
      <c r="O214" s="10"/>
      <c r="P214" s="10"/>
      <c r="Q214" s="10"/>
      <c r="R214" s="10"/>
      <c r="S214" s="10"/>
      <c r="T214" s="10"/>
      <c r="U214" s="10"/>
      <c r="V214" s="10"/>
      <c r="W214" s="10"/>
      <c r="X214" s="10"/>
      <c r="Y214" s="10"/>
      <c r="Z214" s="10"/>
    </row>
    <row r="215" spans="1:26" ht="12.75">
      <c r="A215" s="10" t="str">
        <f ca="1">IFERROR(__xludf.DUMMYFUNCTION("""COMPUTED_VALUE"""),"Александра Венкова Куманова")</f>
        <v>Александра Венкова Куманова</v>
      </c>
      <c r="B215" s="10" t="str">
        <f ca="1">IFERROR(__xludf.DUMMYFUNCTION("""COMPUTED_VALUE"""),"Доклад от конференция")</f>
        <v>Доклад от конференция</v>
      </c>
      <c r="C215" s="10" t="str">
        <f ca="1">IFERROR(__xludf.DUMMYFUNCTION("""COMPUTED_VALUE"""),"The religious code of the Bulgarian refined speech : A christian universal model")</f>
        <v>The religious code of the Bulgarian refined speech : A christian universal model</v>
      </c>
      <c r="D215" s="10">
        <f ca="1">IFERROR(__xludf.DUMMYFUNCTION("""COMPUTED_VALUE"""),2011)</f>
        <v>2011</v>
      </c>
      <c r="E215" s="10" t="str">
        <f ca="1">IFERROR(__xludf.DUMMYFUNCTION("""COMPUTED_VALUE"""),"// Ethnic and religious tolerance : Civil soc. in South East Europe : Conf. papers / State Univ. of Lib. Stud. and Inform. Technologies (SULSIT) ; Еd. S. Denchev … [и др.] ; Epigr.: „Because the word about useful brings benefits to the audience!” – St. Pa"&amp;"triarch Evtimiy Tarnovski – Sofia, Dec. 2, 2010. – Sofia, 2011. – ISBN 978-954-2956-02-1. – с. 143-149. – Co-auth.: S. Denchev, N. Vasilev.")</f>
        <v>// Ethnic and religious tolerance : Civil soc. in South East Europe : Conf. papers / State Univ. of Lib. Stud. and Inform. Technologies (SULSIT) ; Еd. S. Denchev … [и др.] ; Epigr.: „Because the word about useful brings benefits to the audience!” – St. Patriarch Evtimiy Tarnovski – Sofia, Dec. 2, 2010. – Sofia, 2011. – ISBN 978-954-2956-02-1. – с. 143-149. – Co-auth.: S. Denchev, N. Vasilev.</v>
      </c>
      <c r="F215" s="10"/>
      <c r="G215" s="10" t="str">
        <f ca="1">IFERROR(__xludf.DUMMYFUNCTION("""COMPUTED_VALUE"""),"S. Denchev, N. Vasilev.")</f>
        <v>S. Denchev, N. Vasilev.</v>
      </c>
      <c r="H215" s="10"/>
      <c r="I215" s="10"/>
      <c r="J215" s="10"/>
      <c r="K215" s="10"/>
      <c r="L215" s="10"/>
      <c r="M215" s="10"/>
      <c r="N215" s="10"/>
      <c r="O215" s="10"/>
      <c r="P215" s="10"/>
      <c r="Q215" s="10"/>
      <c r="R215" s="10"/>
      <c r="S215" s="10"/>
      <c r="T215" s="10"/>
      <c r="U215" s="10"/>
      <c r="V215" s="10"/>
      <c r="W215" s="10"/>
      <c r="X215" s="10"/>
      <c r="Y215" s="10"/>
      <c r="Z215" s="10"/>
    </row>
    <row r="216" spans="1:26" ht="12.75">
      <c r="A216" s="10" t="str">
        <f ca="1">IFERROR(__xludf.DUMMYFUNCTION("""COMPUTED_VALUE"""),"Александра Венкова Куманова")</f>
        <v>Александра Венкова Куманова</v>
      </c>
      <c r="B216" s="10" t="str">
        <f ca="1">IFERROR(__xludf.DUMMYFUNCTION("""COMPUTED_VALUE"""),"Доклад от конференция")</f>
        <v>Доклад от конференция</v>
      </c>
      <c r="C216" s="10" t="str">
        <f ca="1">IFERROR(__xludf.DUMMYFUNCTION("""COMPUTED_VALUE"""),"Цитиране на книгите на Св. Писание (Библия)")</f>
        <v>Цитиране на книгите на Св. Писание (Библия)</v>
      </c>
      <c r="D216" s="10">
        <f ca="1">IFERROR(__xludf.DUMMYFUNCTION("""COMPUTED_VALUE"""),2011)</f>
        <v>2011</v>
      </c>
      <c r="E216" s="10" t="str">
        <f ca="1">IFERROR(__xludf.DUMMYFUNCTION("""COMPUTED_VALUE"""),"// Тр. на Студентското науч. о-во при Унив. по библиотекознание и информ. технолог. (София). – ISSN 1314-2526. – Т. 6, 2011, с. 249-257. – Съавт.: М. Максимова, Б. Апостолова")</f>
        <v>// Тр. на Студентското науч. о-во при Унив. по библиотекознание и информ. технолог. (София). – ISSN 1314-2526. – Т. 6, 2011, с. 249-257. – Съавт.: М. Максимова, Б. Апостолова</v>
      </c>
      <c r="F216" s="10"/>
      <c r="G216" s="10" t="str">
        <f ca="1">IFERROR(__xludf.DUMMYFUNCTION("""COMPUTED_VALUE"""),"М. Максимова, Б. Апостолова")</f>
        <v>М. Максимова, Б. Апостолова</v>
      </c>
      <c r="H216" s="10"/>
      <c r="I216" s="10"/>
      <c r="J216" s="10"/>
      <c r="K216" s="10"/>
      <c r="L216" s="10"/>
      <c r="M216" s="10"/>
      <c r="N216" s="10"/>
      <c r="O216" s="10"/>
      <c r="P216" s="10"/>
      <c r="Q216" s="10"/>
      <c r="R216" s="10"/>
      <c r="S216" s="10"/>
      <c r="T216" s="10"/>
      <c r="U216" s="10"/>
      <c r="V216" s="10"/>
      <c r="W216" s="10"/>
      <c r="X216" s="10"/>
      <c r="Y216" s="10"/>
      <c r="Z216" s="10"/>
    </row>
    <row r="217" spans="1:26" ht="12.75">
      <c r="A217" s="10" t="str">
        <f ca="1">IFERROR(__xludf.DUMMYFUNCTION("""COMPUTED_VALUE"""),"Александра Венкова Куманова")</f>
        <v>Александра Венкова Куманова</v>
      </c>
      <c r="B217" s="10" t="str">
        <f ca="1">IFERROR(__xludf.DUMMYFUNCTION("""COMPUTED_VALUE"""),"Доклад от конференция")</f>
        <v>Доклад от конференция</v>
      </c>
      <c r="C217" s="10" t="str">
        <f ca="1">IFERROR(__xludf.DUMMYFUNCTION("""COMPUTED_VALUE"""),"Когнитологичните компаративистични изследвания на Студентското научно общество при УниБИТ : Естествено възникващи информ. масиви и кохезия (Към проблема за компактното обозримо и детайлно представяне на информ. за целите на нейното разпространение в ел. п"&amp;"ространство : Емпир. карт.)")</f>
        <v>Когнитологичните компаративистични изследвания на Студентското научно общество при УниБИТ : Естествено възникващи информ. масиви и кохезия (Към проблема за компактното обозримо и детайлно представяне на информ. за целите на нейното разпространение в ел. пространство : Емпир. карт.)</v>
      </c>
      <c r="D217" s="10">
        <f ca="1">IFERROR(__xludf.DUMMYFUNCTION("""COMPUTED_VALUE"""),2011)</f>
        <v>2011</v>
      </c>
      <c r="E217" s="10" t="str">
        <f ca="1">IFERROR(__xludf.DUMMYFUNCTION("""COMPUTED_VALUE"""),"//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614-627 : с ил. – Библиогр. с. 622-626"&amp;", вкл. 16 ном. загл.")</f>
        <v>//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614-627 : с ил. – Библиогр. с. 622-626, вкл. 16 ном. загл.</v>
      </c>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c r="A218" s="10" t="str">
        <f ca="1">IFERROR(__xludf.DUMMYFUNCTION("""COMPUTED_VALUE"""),"Александра Венкова Куманова")</f>
        <v>Александра Венкова Куманова</v>
      </c>
      <c r="B218" s="10" t="str">
        <f ca="1">IFERROR(__xludf.DUMMYFUNCTION("""COMPUTED_VALUE"""),"Книга")</f>
        <v>Книга</v>
      </c>
      <c r="C218" s="10" t="str">
        <f ca="1">IFERROR(__xludf.DUMMYFUNCTION("""COMPUTED_VALUE"""),"Свети отец Паисий Хилендарски. История славяноболгарская … : Информ. код на бълг. книжовност и лит. : І. Аналитика (Историография. Сигнифициран препис. Коментар. Именен показалец. Географски показалец. Тезаурус) ; ІІ. Синтез (Лексикална морфология. Семант"&amp;"ика. Синтагматика. Синархия)")</f>
        <v>Свети отец Паисий Хилендарски. История славяноболгарская … : Информ. код на бълг. книжовност и лит. : І. Аналитика (Историография. Сигнифициран препис. Коментар. Именен показалец. Географски показалец. Тезаурус) ; ІІ. Синтез (Лексикална морфология. Семантика. Синтагматика. Синархия)</v>
      </c>
      <c r="D218" s="10">
        <f ca="1">IFERROR(__xludf.DUMMYFUNCTION("""COMPUTED_VALUE"""),2011)</f>
        <v>2011</v>
      </c>
      <c r="E218" s="10" t="str">
        <f ca="1">IFERROR(__xludf.DUMMYFUNCTION("""COMPUTED_VALUE"""),"/ Обща ред. и епилог С. Денчев ; Науч. ред., историография, комент., именен показалец, геогр. показалец М. Куманов ; Библиогр. и текстолог. ред., тезаурус, предисл., сигнифициран препис А. Куманова ; Ез. ред., предисл., сигнифициран препис, послесл. (дейк"&amp;"сис) Н. Василев ; Терминолог. ред. Е. Томова ... [и др.] ; Справ.-информ. ред. М. Максимова ... [и др.] ; Рец. И. Теофилов, Н. Казански. – София : За буквите – О писменехь, 2011. – 208 с. : с ил. – (Факлоносци ; ІІ)
 Други терминолог. ред.: Д. Ралева, В. "&amp;"Велев ; Други справ.-информ. ред.: Ц. Найденова, А. Даскалов.
 Юбил. изд., посв. на 60-год. на Държ. библ. инст., днес: Унив. по библиотекознание и информ. технолог.
 ISBN 978-954-8887-92-2")</f>
        <v>/ Обща ред. и епилог С. Денчев ; Науч. ред., историография, комент., именен показалец, геогр. показалец М. Куманов ; Библиогр. и текстолог. ред., тезаурус, предисл., сигнифициран препис А. Куманова ; Ез. ред., предисл., сигнифициран препис, послесл. (дейксис) Н. Василев ; Терминолог. ред. Е. Томова ... [и др.] ; Справ.-информ. ред. М. Максимова ... [и др.] ; Рец. И. Теофилов, Н. Казански. – София : За буквите – О писменехь, 2011. – 208 с. : с ил. – (Факлоносци ; ІІ)
 Други терминолог. ред.: Д. Ралева, В. Велев ; Други справ.-информ. ред.: Ц. Найденова, А. Даскалов.
 Юбил. изд., посв. на 60-год. на Държ. библ. инст., днес: Унив. по библиотекознание и информ. технолог.
 ISBN 978-954-8887-92-2</v>
      </c>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c r="A219" s="10" t="str">
        <f ca="1">IFERROR(__xludf.DUMMYFUNCTION("""COMPUTED_VALUE"""),"Александра Венкова Куманова")</f>
        <v>Александра Венкова Куманова</v>
      </c>
      <c r="B219" s="10" t="str">
        <f ca="1">IFERROR(__xludf.DUMMYFUNCTION("""COMPUTED_VALUE"""),"Доклад от конференция")</f>
        <v>Доклад от конференция</v>
      </c>
      <c r="C219" s="10" t="str">
        <f ca="1">IFERROR(__xludf.DUMMYFUNCTION("""COMPUTED_VALUE"""),"Rational intellectual picture of the philosophical-religious knowledge for contemporary information modelling : Universal structural presentation. A tree of historic-cultural development of the humanity. Religious branches")</f>
        <v>Rational intellectual picture of the philosophical-religious knowledge for contemporary information modelling : Universal structural presentation. A tree of historic-cultural development of the humanity. Religious branches</v>
      </c>
      <c r="D219" s="10">
        <f ca="1">IFERROR(__xludf.DUMMYFUNCTION("""COMPUTED_VALUE"""),2011)</f>
        <v>2011</v>
      </c>
      <c r="E219" s="10" t="str">
        <f ca="1">IFERROR(__xludf.DUMMYFUNCTION("""COMPUTED_VALUE"""),"Ethnic and religious tolerance : Civil soc. in South East Europe : Conf. papers / State Univ. of Lib. Stud. and Inform. Technologies (SULSIT) ; Еd. S. Denchev … [и др.] ; Epigr.: „Le tronc explique les branches qui expliquent les feuilles” – E. Zola – Sof"&amp;"ia, Dec. 2, 2010. – Sofia, 2011. – ISBN 978-954-2956-02-1. – с. 150-160 : с ил.")</f>
        <v>Ethnic and religious tolerance : Civil soc. in South East Europe : Conf. papers / State Univ. of Lib. Stud. and Inform. Technologies (SULSIT) ; Еd. S. Denchev … [и др.] ; Epigr.: „Le tronc explique les branches qui expliquent les feuilles” – E. Zola – Sofia, Dec. 2, 2010. – Sofia, 2011. – ISBN 978-954-2956-02-1. – с. 150-160 : с ил.</v>
      </c>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c r="A220" s="10" t="str">
        <f ca="1">IFERROR(__xludf.DUMMYFUNCTION("""COMPUTED_VALUE"""),"Александра Венкова Куманова")</f>
        <v>Александра Венкова Куманова</v>
      </c>
      <c r="B220" s="10" t="str">
        <f ca="1">IFERROR(__xludf.DUMMYFUNCTION("""COMPUTED_VALUE"""),"Доклад от конференция")</f>
        <v>Доклад от конференция</v>
      </c>
      <c r="C220" s="10" t="str">
        <f ca="1">IFERROR(__xludf.DUMMYFUNCTION("""COMPUTED_VALUE"""),"ХУМАНИТАРИАНА (HUMANITARIANA) : Хуманитарна ел. библ. (Философи, учени, дейци на културата, представители на художествено-творческата интелигенция, писатели, поети, художници, които имат съществен принос в областта на хуманитарното знание – знанието за чо"&amp;"века – 160 номерирани назв.) ; Информационна ризома : Ретикула")</f>
        <v>ХУМАНИТАРИАНА (HUMANITARIANA) : Хуманитарна ел. библ. (Философи, учени, дейци на културата, представители на художествено-творческата интелигенция, писатели, поети, художници, които имат съществен принос в областта на хуманитарното знание – знанието за човека – 160 номерирани назв.) ; Информационна ризома : Ретикула</v>
      </c>
      <c r="D220" s="10">
        <f ca="1">IFERROR(__xludf.DUMMYFUNCTION("""COMPUTED_VALUE"""),2011)</f>
        <v>2011</v>
      </c>
      <c r="E220" s="10" t="str">
        <f ca="1">IFERROR(__xludf.DUMMYFUNCTION("""COMPUTED_VALUE"""),"// Тр. на Студентското науч. о-во при Унив. по библиотекознание и информ. технолог. (София). – ISSN 1314-2526. – Т. 6, 2011, с. 222-248. – Съавт.: С. Денчев, Н. Василев.")</f>
        <v>// Тр. на Студентското науч. о-во при Унив. по библиотекознание и информ. технолог. (София). – ISSN 1314-2526. – Т. 6, 2011, с. 222-248. – Съавт.: С. Денчев, Н. Василев.</v>
      </c>
      <c r="F220" s="10"/>
      <c r="G220" s="10" t="str">
        <f ca="1">IFERROR(__xludf.DUMMYFUNCTION("""COMPUTED_VALUE"""),"С. Денчев, Н. Василев.")</f>
        <v>С. Денчев, Н. Василев.</v>
      </c>
      <c r="H220" s="10"/>
      <c r="I220" s="10"/>
      <c r="J220" s="10"/>
      <c r="K220" s="10"/>
      <c r="L220" s="10"/>
      <c r="M220" s="10"/>
      <c r="N220" s="10"/>
      <c r="O220" s="10"/>
      <c r="P220" s="10"/>
      <c r="Q220" s="10"/>
      <c r="R220" s="10"/>
      <c r="S220" s="10"/>
      <c r="T220" s="10"/>
      <c r="U220" s="10"/>
      <c r="V220" s="10"/>
      <c r="W220" s="10"/>
      <c r="X220" s="10"/>
      <c r="Y220" s="10"/>
      <c r="Z220" s="10"/>
    </row>
    <row r="221" spans="1:26" ht="12.75">
      <c r="A221" s="10" t="str">
        <f ca="1">IFERROR(__xludf.DUMMYFUNCTION("""COMPUTED_VALUE"""),"Александра Венкова Куманова")</f>
        <v>Александра Венкова Куманова</v>
      </c>
      <c r="B221" s="10" t="str">
        <f ca="1">IFERROR(__xludf.DUMMYFUNCTION("""COMPUTED_VALUE"""),"Доклад от конференция")</f>
        <v>Доклад от конференция</v>
      </c>
      <c r="C221" s="10" t="str">
        <f ca="1">IFERROR(__xludf.DUMMYFUNCTION("""COMPUTED_VALUE"""),"Социализация на знанието за културно-историческото наследство : Към въпроса за рацион. универс. информ. карт. на епистемолог. – технолог. – хуманитарното – тацитното – скритото – окултното – изгубеното знание : Онтолог. постановка на въпроса и емпир. прин"&amp;"оси (Паисиада, нестинарство)")</f>
        <v>Социализация на знанието за културно-историческото наследство : Към въпроса за рацион. универс. информ. карт. на епистемолог. – технолог. – хуманитарното – тацитното – скритото – окултното – изгубеното знание : Онтолог. постановка на въпроса и емпир. приноси (Паисиада, нестинарство)</v>
      </c>
      <c r="D221" s="10">
        <f ca="1">IFERROR(__xludf.DUMMYFUNCTION("""COMPUTED_VALUE"""),2011)</f>
        <v>2011</v>
      </c>
      <c r="E221" s="10" t="str">
        <f ca="1">IFERROR(__xludf.DUMMYFUNCTION("""COMPUTED_VALUE"""),"Докл., изнесен на Първата науч. конф. по проблемите на култ.-ист. наследство „Социализация на бълг. култ.-ист. наследство”, София, 31 ян. 2011. // Бюлетин на Фондация Аретè-Фол. – ISSN 1314-5517. – 3, 2011, N 4, с. 177-205. – Библиогр. с. 200-205.")</f>
        <v>Докл., изнесен на Първата науч. конф. по проблемите на култ.-ист. наследство „Социализация на бълг. култ.-ист. наследство”, София, 31 ян. 2011. // Бюлетин на Фондация Аретè-Фол. – ISSN 1314-5517. – 3, 2011, N 4, с. 177-205. – Библиогр. с. 200-205.</v>
      </c>
      <c r="F221" s="10"/>
      <c r="G221" s="10"/>
      <c r="H221" s="10"/>
      <c r="I221" s="10"/>
      <c r="J221" s="10"/>
      <c r="K221" s="10"/>
      <c r="L221" s="10"/>
      <c r="M221" s="10"/>
      <c r="N221" s="10"/>
      <c r="O221" s="10"/>
      <c r="P221" s="10"/>
      <c r="Q221" s="10"/>
      <c r="R221" s="10"/>
      <c r="S221" s="10"/>
      <c r="T221" s="10"/>
      <c r="U221" s="10"/>
      <c r="V221" s="10"/>
      <c r="W221" s="10"/>
      <c r="X221" s="10"/>
      <c r="Y221" s="10"/>
      <c r="Z221" s="10"/>
    </row>
    <row r="222" spans="1:26" ht="12.75">
      <c r="A222" s="10" t="str">
        <f ca="1">IFERROR(__xludf.DUMMYFUNCTION("""COMPUTED_VALUE"""),"Александра Венкова Куманова")</f>
        <v>Александра Венкова Куманова</v>
      </c>
      <c r="B222" s="10" t="str">
        <f ca="1">IFERROR(__xludf.DUMMYFUNCTION("""COMPUTED_VALUE"""),"Доклад от конференция")</f>
        <v>Доклад от конференция</v>
      </c>
      <c r="C222" s="10" t="str">
        <f ca="1">IFERROR(__xludf.DUMMYFUNCTION("""COMPUTED_VALUE"""),"Осмысление проблем терминологического характера в сфере библиотечно-информационной деятельности")</f>
        <v>Осмысление проблем терминологического характера в сфере библиотечно-информационной деятельности</v>
      </c>
      <c r="D222" s="10">
        <f ca="1">IFERROR(__xludf.DUMMYFUNCTION("""COMPUTED_VALUE"""),2011)</f>
        <v>2011</v>
      </c>
      <c r="E222" s="10" t="str">
        <f ca="1">IFERROR(__xludf.DUMMYFUNCTION("""COMPUTED_VALUE"""),"Региональные проблемы истории книжного дела : Материалы ІІ Всерос. (с межд. участием) науч. конф., Челябинск, 25-26 окт. 2011 г. – Челябинск, 2011. – ISBN 978-5-94839-362-9. – с. 215-220.")</f>
        <v>Региональные проблемы истории книжного дела : Материалы ІІ Всерос. (с межд. участием) науч. конф., Челябинск, 25-26 окт. 2011 г. – Челябинск, 2011. – ISBN 978-5-94839-362-9. – с. 215-220.</v>
      </c>
      <c r="F222" s="10"/>
      <c r="G222" s="10"/>
      <c r="H222" s="10"/>
      <c r="I222" s="10"/>
      <c r="J222" s="10"/>
      <c r="K222" s="10"/>
      <c r="L222" s="10"/>
      <c r="M222" s="10"/>
      <c r="N222" s="10"/>
      <c r="O222" s="10"/>
      <c r="P222" s="10"/>
      <c r="Q222" s="10"/>
      <c r="R222" s="10"/>
      <c r="S222" s="10"/>
      <c r="T222" s="10"/>
      <c r="U222" s="10"/>
      <c r="V222" s="10"/>
      <c r="W222" s="10"/>
      <c r="X222" s="10"/>
      <c r="Y222" s="10"/>
      <c r="Z222" s="10"/>
    </row>
    <row r="223" spans="1:26" ht="12.75">
      <c r="A223" s="10" t="str">
        <f ca="1">IFERROR(__xludf.DUMMYFUNCTION("""COMPUTED_VALUE"""),"Александра Венкова Куманова")</f>
        <v>Александра Венкова Куманова</v>
      </c>
      <c r="B223" s="10" t="str">
        <f ca="1">IFERROR(__xludf.DUMMYFUNCTION("""COMPUTED_VALUE"""),"Доклад от конференция")</f>
        <v>Доклад от конференция</v>
      </c>
      <c r="C223" s="10" t="str">
        <f ca="1">IFERROR(__xludf.DUMMYFUNCTION("""COMPUTED_VALUE"""),"Методология исследования информационной среды : Информ. карта нестинарской феноменологии (К вопросу о вторично-док. исслед. инфосферы) : Докл. / Эпигр.: „Стихийный лабиринт, непостижимый лес, / Души готической рассудочная пропасть, / Египетская мощь и хри"&amp;"стианства робость, / С тростинкой рядом – дуб, и всюду царь отвес” – О. Э. Мандельштам.")</f>
        <v>Методология исследования информационной среды : Информ. карта нестинарской феноменологии (К вопросу о вторично-док. исслед. инфосферы) : Докл. / Эпигр.: „Стихийный лабиринт, непостижимый лес, / Души готической рассудочная пропасть, / Египетская мощь и христианства робость, / С тростинкой рядом – дуб, и всюду царь отвес” – О. Э. Мандельштам.</v>
      </c>
      <c r="D223" s="10">
        <f ca="1">IFERROR(__xludf.DUMMYFUNCTION("""COMPUTED_VALUE"""),2011)</f>
        <v>2011</v>
      </c>
      <c r="E223" s="10" t="str">
        <f ca="1">IFERROR(__xludf.DUMMYFUNCTION("""COMPUTED_VALUE"""),"// Ноосферное образование в евразийском пространстве. Т. 3, [Третья] ІІІ научная конференция – Санкт-Петербург, 5 апреля 2011 г. / Смольный унив. РАО. – Санкт-Петербург, 2011. – ISBN 978-5-94856-804-1 (кн. 2). – Кн. 2, с. 194-203. – Соавт.: С. Денчев. – Б"&amp;"иблиогр.: 21 неном. назв. в 14 ном. бел.")</f>
        <v>// Ноосферное образование в евразийском пространстве. Т. 3, [Третья] ІІІ научная конференция – Санкт-Петербург, 5 апреля 2011 г. / Смольный унив. РАО. – Санкт-Петербург, 2011. – ISBN 978-5-94856-804-1 (кн. 2). – Кн. 2, с. 194-203. – Соавт.: С. Денчев. – Библиогр.: 21 неном. назв. в 14 ном. бел.</v>
      </c>
      <c r="F223" s="10"/>
      <c r="G223" s="10" t="str">
        <f ca="1">IFERROR(__xludf.DUMMYFUNCTION("""COMPUTED_VALUE"""),"С. Денчев.")</f>
        <v>С. Денчев.</v>
      </c>
      <c r="H223" s="10"/>
      <c r="I223" s="10"/>
      <c r="J223" s="10"/>
      <c r="K223" s="10"/>
      <c r="L223" s="10"/>
      <c r="M223" s="10"/>
      <c r="N223" s="10"/>
      <c r="O223" s="10"/>
      <c r="P223" s="10"/>
      <c r="Q223" s="10"/>
      <c r="R223" s="10"/>
      <c r="S223" s="10"/>
      <c r="T223" s="10"/>
      <c r="U223" s="10"/>
      <c r="V223" s="10"/>
      <c r="W223" s="10"/>
      <c r="X223" s="10"/>
      <c r="Y223" s="10"/>
      <c r="Z223" s="10"/>
    </row>
    <row r="224" spans="1:26" ht="12.75">
      <c r="A224" s="10" t="str">
        <f ca="1">IFERROR(__xludf.DUMMYFUNCTION("""COMPUTED_VALUE"""),"Александра Венкова Куманова")</f>
        <v>Александра Венкова Куманова</v>
      </c>
      <c r="B224" s="10" t="str">
        <f ca="1">IFERROR(__xludf.DUMMYFUNCTION("""COMPUTED_VALUE"""),"Доклад от конференция")</f>
        <v>Доклад от конференция</v>
      </c>
      <c r="C224" s="10" t="str">
        <f ca="1">IFERROR(__xludf.DUMMYFUNCTION("""COMPUTED_VALUE"""),"Когнитологична компаративистична информационна картина на естествено възникващите универсални вторичнодокументални информационни масиви : Кохезия")</f>
        <v>Когнитологична компаративистична информационна картина на естествено възникващите универсални вторичнодокументални информационни масиви : Кохезия</v>
      </c>
      <c r="D224" s="10">
        <f ca="1">IFERROR(__xludf.DUMMYFUNCTION("""COMPUTED_VALUE"""),2011)</f>
        <v>2011</v>
      </c>
      <c r="E224" s="10" t="str">
        <f ca="1">IFERROR(__xludf.DUMMYFUNCTION("""COMPUTED_VALUE"""),"Докл. на IX нац. конф. с межд. участие, В. Търново, 17-18 ноем. 2010, посв. на 65-год. от рожд. на проф. дфн Мария Младенова / Епигр.: „Светът преминава в течно състояние &lt;…&gt;. Изчезват твърдите форми на космоса &lt;…&gt;.” – Н. А. Бердяев. // Библиотеки, четене"&amp;", комуникации (Велико Търново). – ISSN 1313-8138. – 2011, с. 85-98. – Съавт. С. Денчев. – Библиогр.: с. 89-98, вкл. 31 ном. загл.")</f>
        <v>Докл. на IX нац. конф. с межд. участие, В. Търново, 17-18 ноем. 2010, посв. на 65-год. от рожд. на проф. дфн Мария Младенова / Епигр.: „Светът преминава в течно състояние &lt;…&gt;. Изчезват твърдите форми на космоса &lt;…&gt;.” – Н. А. Бердяев. // Библиотеки, четене, комуникации (Велико Търново). – ISSN 1313-8138. – 2011, с. 85-98. – Съавт. С. Денчев. – Библиогр.: с. 89-98, вкл. 31 ном. загл.</v>
      </c>
      <c r="F224" s="10"/>
      <c r="G224" s="10" t="str">
        <f ca="1">IFERROR(__xludf.DUMMYFUNCTION("""COMPUTED_VALUE"""),"С. Денчев")</f>
        <v>С. Денчев</v>
      </c>
      <c r="H224" s="10"/>
      <c r="I224" s="10"/>
      <c r="J224" s="10"/>
      <c r="K224" s="10"/>
      <c r="L224" s="10"/>
      <c r="M224" s="10"/>
      <c r="N224" s="10"/>
      <c r="O224" s="10"/>
      <c r="P224" s="10"/>
      <c r="Q224" s="10"/>
      <c r="R224" s="10"/>
      <c r="S224" s="10"/>
      <c r="T224" s="10"/>
      <c r="U224" s="10"/>
      <c r="V224" s="10"/>
      <c r="W224" s="10"/>
      <c r="X224" s="10"/>
      <c r="Y224" s="10"/>
      <c r="Z224" s="10"/>
    </row>
    <row r="225" spans="1:26" ht="12.75">
      <c r="A225" s="10" t="str">
        <f ca="1">IFERROR(__xludf.DUMMYFUNCTION("""COMPUTED_VALUE"""),"Александра Венкова Куманова")</f>
        <v>Александра Венкова Куманова</v>
      </c>
      <c r="B225" s="10" t="str">
        <f ca="1">IFERROR(__xludf.DUMMYFUNCTION("""COMPUTED_VALUE"""),"Доклад от конференция")</f>
        <v>Доклад от конференция</v>
      </c>
      <c r="C225" s="10" t="str">
        <f ca="1">IFERROR(__xludf.DUMMYFUNCTION("""COMPUTED_VALUE"""),"Информационен код на българското изящно слово : Хуманизираща феноменология (Аксиология на семант., лексик. и фонет.-морфолог. й декодиране) : Плен. докл. / Епигр.: „Език свещен на моите деди, / език на мъки, стонове вековни, / език на тая, дето ни роди / "&amp;"за радост не – за ядове отровни.” – И. Вазов.")</f>
        <v>Информационен код на българското изящно слово : Хуманизираща феноменология (Аксиология на семант., лексик. и фонет.-морфолог. й декодиране) : Плен. докл. / Епигр.: „Език свещен на моите деди, / език на мъки, стонове вековни, / език на тая, дето ни роди / за радост не – за ядове отровни.” – И. Вазов.</v>
      </c>
      <c r="D225" s="10">
        <f ca="1">IFERROR(__xludf.DUMMYFUNCTION("""COMPUTED_VALUE"""),2011)</f>
        <v>2011</v>
      </c>
      <c r="E225" s="10" t="str">
        <f ca="1">IFERROR(__xludf.DUMMYFUNCTION("""COMPUTED_VALUE"""),"//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43-61 : с ил. – Съавт.: С. Денчев, Н. "&amp;"Василев. – Библиогр.: с. 51-55, вкл. 11 ном. загл. – Разшир. публ.")</f>
        <v>// [Осма] VІІІ национална научна конференция с международно участие „Обществото на знанието и хуманизмът на ХХІ век”, 1.11.2010 г., София, Национален дворец на културата. – София, 2011. – ISBN 978-954-2946-09-0. – с. 43-61 : с ил. – Съавт.: С. Денчев, Н. Василев. – Библиогр.: с. 51-55, вкл. 11 ном. загл. – Разшир. публ.</v>
      </c>
      <c r="F225" s="10"/>
      <c r="G225" s="10" t="str">
        <f ca="1">IFERROR(__xludf.DUMMYFUNCTION("""COMPUTED_VALUE"""),"С. Денчев, Н. Василев")</f>
        <v>С. Денчев, Н. Василев</v>
      </c>
      <c r="H225" s="10"/>
      <c r="I225" s="10"/>
      <c r="J225" s="10"/>
      <c r="K225" s="10"/>
      <c r="L225" s="10"/>
      <c r="M225" s="10"/>
      <c r="N225" s="10"/>
      <c r="O225" s="10"/>
      <c r="P225" s="10"/>
      <c r="Q225" s="10"/>
      <c r="R225" s="10"/>
      <c r="S225" s="10"/>
      <c r="T225" s="10"/>
      <c r="U225" s="10"/>
      <c r="V225" s="10"/>
      <c r="W225" s="10"/>
      <c r="X225" s="10"/>
      <c r="Y225" s="10"/>
      <c r="Z225" s="10"/>
    </row>
    <row r="226" spans="1:26" ht="12.75">
      <c r="A226" s="10" t="str">
        <f ca="1">IFERROR(__xludf.DUMMYFUNCTION("""COMPUTED_VALUE"""),"Александра Венкова Куманова")</f>
        <v>Александра Венкова Куманова</v>
      </c>
      <c r="B226" s="10" t="str">
        <f ca="1">IFERROR(__xludf.DUMMYFUNCTION("""COMPUTED_VALUE"""),"Доклад от конференция")</f>
        <v>Доклад от конференция</v>
      </c>
      <c r="C226" s="10" t="str">
        <f ca="1">IFERROR(__xludf.DUMMYFUNCTION("""COMPUTED_VALUE"""),"Езикът на о. Паисий Хилендарски : Уплътнен тезаурус І-ІІІ : 3194 лексик. единици : 1019 съществителни имена; 853 причастия; 451 глаголи; 750 прилагателни; 121 местоимения")</f>
        <v>Езикът на о. Паисий Хилендарски : Уплътнен тезаурус І-ІІІ : 3194 лексик. единици : 1019 съществителни имена; 853 причастия; 451 глаголи; 750 прилагателни; 121 местоимения</v>
      </c>
      <c r="D226" s="10">
        <f ca="1">IFERROR(__xludf.DUMMYFUNCTION("""COMPUTED_VALUE"""),2011)</f>
        <v>2011</v>
      </c>
      <c r="E226" s="10" t="str">
        <f ca="1">IFERROR(__xludf.DUMMYFUNCTION("""COMPUTED_VALUE"""),"// Тр. на Студентското науч. о-во при Унив. по библиотекознание и информ. технолог. (София). – ISSN 1314-2526. – Т. 6, 2011, с. СВ. О. П ИС 135-174.")</f>
        <v>// Тр. на Студентското науч. о-во при Унив. по библиотекознание и информ. технолог. (София). – ISSN 1314-2526. – Т. 6, 2011, с. СВ. О. П ИС 135-174.</v>
      </c>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c r="A227" s="10" t="str">
        <f ca="1">IFERROR(__xludf.DUMMYFUNCTION("""COMPUTED_VALUE"""),"Александра Венкова Куманова")</f>
        <v>Александра Венкова Куманова</v>
      </c>
      <c r="B227" s="10" t="str">
        <f ca="1">IFERROR(__xludf.DUMMYFUNCTION("""COMPUTED_VALUE"""),"Статия в списания и поредици")</f>
        <v>Статия в списания и поредици</v>
      </c>
      <c r="C227" s="10" t="str">
        <f ca="1">IFERROR(__xludf.DUMMYFUNCTION("""COMPUTED_VALUE"""),"За лингвистичните информационни картини на основните документи на Република България, САЩ и ООН, „История славяноболгарская …” на о. Паисий Хилендарски, емблематични представи за приемственост в изобразителното изкуство и творческите портрети на преподава"&amp;"телите от нашия университет")</f>
        <v>За лингвистичните информационни картини на основните документи на Република България, САЩ и ООН, „История славяноболгарская …” на о. Паисий Хилендарски, емблематични представи за приемственост в изобразителното изкуство и творческите портрети на преподавателите от нашия университет</v>
      </c>
      <c r="D227" s="10">
        <f ca="1">IFERROR(__xludf.DUMMYFUNCTION("""COMPUTED_VALUE"""),2011)</f>
        <v>2011</v>
      </c>
      <c r="E227" s="10" t="str">
        <f ca="1">IFERROR(__xludf.DUMMYFUNCTION("""COMPUTED_VALUE"""),"// Тр. на Студентското науч. о-во при Унив. по библиотекознание и информ. технолог. (София). – ISSN 1314-2526. – Т. 6, 2011, с. 258-260.")</f>
        <v>// Тр. на Студентското науч. о-во при Унив. по библиотекознание и информ. технолог. (София). – ISSN 1314-2526. – Т. 6, 2011, с. 258-260.</v>
      </c>
      <c r="F227" s="10"/>
      <c r="G227" s="10" t="str">
        <f ca="1">IFERROR(__xludf.DUMMYFUNCTION("""COMPUTED_VALUE"""),"Й. Кръстевa")</f>
        <v>Й. Кръстевa</v>
      </c>
      <c r="H227" s="10"/>
      <c r="I227" s="10"/>
      <c r="J227" s="10"/>
      <c r="K227" s="10"/>
      <c r="L227" s="10"/>
      <c r="M227" s="10"/>
      <c r="N227" s="10"/>
      <c r="O227" s="10"/>
      <c r="P227" s="10"/>
      <c r="Q227" s="10"/>
      <c r="R227" s="10"/>
      <c r="S227" s="10"/>
      <c r="T227" s="10"/>
      <c r="U227" s="10"/>
      <c r="V227" s="10"/>
      <c r="W227" s="10"/>
      <c r="X227" s="10"/>
      <c r="Y227" s="10"/>
      <c r="Z227" s="10"/>
    </row>
    <row r="228" spans="1:26" ht="12.75">
      <c r="A228" s="10" t="str">
        <f ca="1">IFERROR(__xludf.DUMMYFUNCTION("""COMPUTED_VALUE"""),"Александра Венкова Куманова")</f>
        <v>Александра Венкова Куманова</v>
      </c>
      <c r="B228" s="10" t="str">
        <f ca="1">IFERROR(__xludf.DUMMYFUNCTION("""COMPUTED_VALUE"""),"Статия в списания и поредици")</f>
        <v>Статия в списания и поредици</v>
      </c>
      <c r="C228" s="10" t="str">
        <f ca="1">IFERROR(__xludf.DUMMYFUNCTION("""COMPUTED_VALUE"""),"Свобода : [Определение].")</f>
        <v>Свобода : [Определение].</v>
      </c>
      <c r="D228" s="10">
        <f ca="1">IFERROR(__xludf.DUMMYFUNCTION("""COMPUTED_VALUE"""),2011)</f>
        <v>2011</v>
      </c>
      <c r="E228" s="10" t="str">
        <f ca="1">IFERROR(__xludf.DUMMYFUNCTION("""COMPUTED_VALUE"""),"// Тр. на Студентското науч. о-во при Унив. по библиотекознание и информ. технологии (София). – ISSN 1314-2526. – Т. 6, 2011, с. 535-536.")</f>
        <v>// Тр. на Студентското науч. о-во при Унив. по библиотекознание и информ. технологии (София). – ISSN 1314-2526. – Т. 6, 2011, с. 535-536.</v>
      </c>
      <c r="F228" s="10"/>
      <c r="G228" s="10"/>
      <c r="H228" s="10"/>
      <c r="I228" s="10"/>
      <c r="J228" s="10"/>
      <c r="K228" s="10"/>
      <c r="L228" s="10"/>
      <c r="M228" s="10"/>
      <c r="N228" s="10"/>
      <c r="O228" s="10"/>
      <c r="P228" s="10"/>
      <c r="Q228" s="10"/>
      <c r="R228" s="10"/>
      <c r="S228" s="10"/>
      <c r="T228" s="10"/>
      <c r="U228" s="10"/>
      <c r="V228" s="10"/>
      <c r="W228" s="10"/>
      <c r="X228" s="10"/>
      <c r="Y228" s="10"/>
      <c r="Z228" s="10"/>
    </row>
    <row r="229" spans="1:26" ht="12.75">
      <c r="A229" s="10" t="str">
        <f ca="1">IFERROR(__xludf.DUMMYFUNCTION("""COMPUTED_VALUE"""),"Александра Венкова Куманова")</f>
        <v>Александра Венкова Куманова</v>
      </c>
      <c r="B229" s="10" t="str">
        <f ca="1">IFERROR(__xludf.DUMMYFUNCTION("""COMPUTED_VALUE"""),"Доклад от конференция")</f>
        <v>Доклад от конференция</v>
      </c>
      <c r="C229" s="10" t="str">
        <f ca="1">IFERROR(__xludf.DUMMYFUNCTION("""COMPUTED_VALUE"""),"Българското начало в европейската цивилизация : Онтология на иназациятa")</f>
        <v>Българското начало в европейската цивилизация : Онтология на иназациятa</v>
      </c>
      <c r="D229" s="10">
        <f ca="1">IFERROR(__xludf.DUMMYFUNCTION("""COMPUTED_VALUE"""),2010)</f>
        <v>2010</v>
      </c>
      <c r="E229" s="10" t="str">
        <f ca="1">IFERROR(__xludf.DUMMYFUNCTION("""COMPUTED_VALUE"""),"(Из плен. докл. на VІІ нац. науч. конф. с межд. участие „България – кръстопът на култури и цивилизации”, 1.11.2009 г., София). // За буквите – О писменехь : Кирило-Методиевски вестник (София). – ISSN 1312-3785. – N 32, май 2010, с. 32. – Съавт.: С. Денчев"&amp;", Н. Василев.")</f>
        <v>(Из плен. докл. на VІІ нац. науч. конф. с межд. участие „България – кръстопът на култури и цивилизации”, 1.11.2009 г., София). // За буквите – О писменехь : Кирило-Методиевски вестник (София). – ISSN 1312-3785. – N 32, май 2010, с. 32. – Съавт.: С. Денчев, Н. Василев.</v>
      </c>
      <c r="F229" s="10"/>
      <c r="G229" s="10" t="str">
        <f ca="1">IFERROR(__xludf.DUMMYFUNCTION("""COMPUTED_VALUE"""),"С. Денчев, Н. Василев")</f>
        <v>С. Денчев, Н. Василев</v>
      </c>
      <c r="H229" s="10"/>
      <c r="I229" s="10"/>
      <c r="J229" s="10"/>
      <c r="K229" s="10"/>
      <c r="L229" s="10"/>
      <c r="M229" s="10"/>
      <c r="N229" s="10"/>
      <c r="O229" s="10"/>
      <c r="P229" s="10"/>
      <c r="Q229" s="10"/>
      <c r="R229" s="10"/>
      <c r="S229" s="10"/>
      <c r="T229" s="10"/>
      <c r="U229" s="10"/>
      <c r="V229" s="10"/>
      <c r="W229" s="10"/>
      <c r="X229" s="10"/>
      <c r="Y229" s="10"/>
      <c r="Z229" s="10"/>
    </row>
    <row r="230" spans="1:26" ht="12.75">
      <c r="A230" s="10" t="str">
        <f ca="1">IFERROR(__xludf.DUMMYFUNCTION("""COMPUTED_VALUE"""),"Александра Венкова Куманова")</f>
        <v>Александра Венкова Куманова</v>
      </c>
      <c r="B230" s="10" t="str">
        <f ca="1">IFERROR(__xludf.DUMMYFUNCTION("""COMPUTED_VALUE"""),"Статия в списания и поредици")</f>
        <v>Статия в списания и поредици</v>
      </c>
      <c r="C230" s="10" t="str">
        <f ca="1">IFERROR(__xludf.DUMMYFUNCTION("""COMPUTED_VALUE"""),"Графемы письма Homo sapiens`a (Естественная знаковая классификация человечества) : К аксиолог. вопросу методологии письменной эры / Эпигр.: „Мы уста пространства / И времени” – А. А. Тарковский ; Мудрец не тот, кто различает, а тот, кто сопоставляет полос"&amp;"ки света, откуда бы они не исходили …” – У. Эко ; „Когда теряем познание о путях развития знания, мы теряем его полноту, целостность, теряем реальность.” – Н. Ярымов.")</f>
        <v>Графемы письма Homo sapiens`a (Естественная знаковая классификация человечества) : К аксиолог. вопросу методологии письменной эры / Эпигр.: „Мы уста пространства / И времени” – А. А. Тарковский ; Мудрец не тот, кто различает, а тот, кто сопоставляет полоски света, откуда бы они не исходили …” – У. Эко ; „Когда теряем познание о путях развития знания, мы теряем его полноту, целостность, теряем реальность.” – Н. Ярымов.</v>
      </c>
      <c r="D230" s="10">
        <f ca="1">IFERROR(__xludf.DUMMYFUNCTION("""COMPUTED_VALUE"""),2010)</f>
        <v>2010</v>
      </c>
      <c r="E230" s="10" t="str">
        <f ca="1">IFERROR(__xludf.DUMMYFUNCTION("""COMPUTED_VALUE"""),"// Мир библиографии (Москва). – ISSN 1560-7968. – 2010, N
 3, с. 2-8. – Соавт.: С. Денчев. – Разшир. публ.")</f>
        <v>// Мир библиографии (Москва). – ISSN 1560-7968. – 2010, N
 3, с. 2-8. – Соавт.: С. Денчев. – Разшир. публ.</v>
      </c>
      <c r="F230" s="10"/>
      <c r="G230" s="10" t="str">
        <f ca="1">IFERROR(__xludf.DUMMYFUNCTION("""COMPUTED_VALUE"""),"Ст. Денчев")</f>
        <v>Ст. Денчев</v>
      </c>
      <c r="H230" s="10"/>
      <c r="I230" s="10"/>
      <c r="J230" s="10"/>
      <c r="K230" s="10"/>
      <c r="L230" s="10"/>
      <c r="M230" s="10"/>
      <c r="N230" s="10"/>
      <c r="O230" s="10"/>
      <c r="P230" s="10"/>
      <c r="Q230" s="10"/>
      <c r="R230" s="10"/>
      <c r="S230" s="10"/>
      <c r="T230" s="10"/>
      <c r="U230" s="10"/>
      <c r="V230" s="10"/>
      <c r="W230" s="10"/>
      <c r="X230" s="10"/>
      <c r="Y230" s="10"/>
      <c r="Z230" s="10"/>
    </row>
    <row r="231" spans="1:26" ht="12.75">
      <c r="A231" s="10" t="str">
        <f ca="1">IFERROR(__xludf.DUMMYFUNCTION("""COMPUTED_VALUE"""),"Александра Венкова Куманова")</f>
        <v>Александра Венкова Куманова</v>
      </c>
      <c r="B231" s="10" t="str">
        <f ca="1">IFERROR(__xludf.DUMMYFUNCTION("""COMPUTED_VALUE"""),"Статия в списания и поредици")</f>
        <v>Статия в списания и поредици</v>
      </c>
      <c r="C231" s="10" t="str">
        <f ca="1">IFERROR(__xludf.DUMMYFUNCTION("""COMPUTED_VALUE"""),"Cоgnitology of the comparativistic terminology of library and information terminology : About the present ed. (Forew. by the editor-in- chief and the comp.) (11 Sept. 2009).")</f>
        <v>Cоgnitology of the comparativistic terminology of library and information terminology : About the present ed. (Forew. by the editor-in- chief and the comp.) (11 Sept. 2009).</v>
      </c>
      <c r="D231" s="10">
        <f ca="1">IFERROR(__xludf.DUMMYFUNCTION("""COMPUTED_VALUE"""),2010)</f>
        <v>2010</v>
      </c>
      <c r="E231" s="10" t="str">
        <f ca="1">IFERROR(__xludf.DUMMYFUNCTION("""COMPUTED_VALUE"""),"// The English–Russian–Bulgarian dictionary of library and information terminology = Русско- болгаро-английский словарь по библиотечной и информационной деятельности = Българо-англо-руски речник по библиотечна и информационна дейност. – София, 2010, с. 59"&amp;"-84 : с ил. – (Тр. на Студентското науч. о-во при Унив. по библиотекознание и информ. технолог., ISSN 1314-2526 ; 2009, Т. 3). – Bibliogr.: 81 num. titles.")</f>
        <v>// The English–Russian–Bulgarian dictionary of library and information terminology = Русско- болгаро-английский словарь по библиотечной и информационной деятельности = Българо-англо-руски речник по библиотечна и информационна дейност. – София, 2010, с. 59-84 : с ил. – (Тр. на Студентското науч. о-во при Унив. по библиотекознание и информ. технолог., ISSN 1314-2526 ; 2009, Т. 3). – Bibliogr.: 81 num. titles.</v>
      </c>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c r="A232" s="10" t="str">
        <f ca="1">IFERROR(__xludf.DUMMYFUNCTION("""COMPUTED_VALUE"""),"Александра Венкова Куманова")</f>
        <v>Александра Венкова Куманова</v>
      </c>
      <c r="B232" s="10" t="str">
        <f ca="1">IFERROR(__xludf.DUMMYFUNCTION("""COMPUTED_VALUE"""),"Статия в списания и поредици")</f>
        <v>Статия в списания и поредици</v>
      </c>
      <c r="C232" s="10" t="str">
        <f ca="1">IFERROR(__xludf.DUMMYFUNCTION("""COMPUTED_VALUE"""),"Ценност : [Определение].")</f>
        <v>Ценност : [Определение].</v>
      </c>
      <c r="D232" s="10">
        <f ca="1">IFERROR(__xludf.DUMMYFUNCTION("""COMPUTED_VALUE"""),2010)</f>
        <v>2010</v>
      </c>
      <c r="E232" s="10" t="str">
        <f ca="1">IFERROR(__xludf.DUMMYFUNCTION("""COMPUTED_VALUE"""),"// Тр. на Студентското науч. о-во при Специализ.висше у-ще по библиотекознание и информ. технолог. (София). – ISSN 1314-4566. – Т. 5, 2010, с. 737-738. – Редуц. публ.")</f>
        <v>// Тр. на Студентското науч. о-во при Специализ.висше у-ще по библиотекознание и информ. технолог. (София). – ISSN 1314-4566. – Т. 5, 2010, с. 737-738. – Редуц. публ.</v>
      </c>
      <c r="F232" s="10"/>
      <c r="G232" s="10"/>
      <c r="H232" s="10"/>
      <c r="I232" s="10"/>
      <c r="J232" s="10"/>
      <c r="K232" s="10"/>
      <c r="L232" s="10"/>
      <c r="M232" s="10"/>
      <c r="N232" s="10"/>
      <c r="O232" s="10"/>
      <c r="P232" s="10"/>
      <c r="Q232" s="10"/>
      <c r="R232" s="10"/>
      <c r="S232" s="10"/>
      <c r="T232" s="10"/>
      <c r="U232" s="10"/>
      <c r="V232" s="10"/>
      <c r="W232" s="10"/>
      <c r="X232" s="10"/>
      <c r="Y232" s="10"/>
      <c r="Z232" s="10"/>
    </row>
    <row r="233" spans="1:26" ht="12.75">
      <c r="A233" s="10" t="str">
        <f ca="1">IFERROR(__xludf.DUMMYFUNCTION("""COMPUTED_VALUE"""),"Александра Венкова Куманова")</f>
        <v>Александра Венкова Куманова</v>
      </c>
      <c r="B233" s="10" t="str">
        <f ca="1">IFERROR(__xludf.DUMMYFUNCTION("""COMPUTED_VALUE"""),"Статия в списания и поредици")</f>
        <v>Статия в списания и поредици</v>
      </c>
      <c r="C233" s="10" t="str">
        <f ca="1">IFERROR(__xludf.DUMMYFUNCTION("""COMPUTED_VALUE"""),"Студентското научно общество : [За І-VІ Студентски науч. конф. на УниБИТ и Т. І-VІ на Тр. Студентското науч. о-во при Унив. по библиотекознание и информ. технолог.] / Епигр.: „&amp;lt;…&amp;gt; ново вино наливат в нови мехове” – Мат. (9:17).")</f>
        <v>Студентското научно общество : [За І-VІ Студентски науч. конф. на УниБИТ и Т. І-VІ на Тр. Студентското науч. о-во при Унив. по библиотекознание и информ. технолог.] / Епигр.: „&amp;lt;…&amp;gt; ново вино наливат в нови мехове” – Мат. (9:17).</v>
      </c>
      <c r="D233" s="10">
        <f ca="1">IFERROR(__xludf.DUMMYFUNCTION("""COMPUTED_VALUE"""),2010)</f>
        <v>2010</v>
      </c>
      <c r="E233" s="10" t="str">
        <f ca="1">IFERROR(__xludf.DUMMYFUNCTION("""COMPUTED_VALUE"""),"// Библиотека (София). – ISSN 0861-847X. – 2010, N 4, с. 43-48. – Прил.: Табл. 1 (с. 46-47).")</f>
        <v>// Библиотека (София). – ISSN 0861-847X. – 2010, N 4, с. 43-48. – Прил.: Табл. 1 (с. 46-47).</v>
      </c>
      <c r="F233" s="10"/>
      <c r="G233" s="10"/>
      <c r="H233" s="10"/>
      <c r="I233" s="10"/>
      <c r="J233" s="10"/>
      <c r="K233" s="10"/>
      <c r="L233" s="10"/>
      <c r="M233" s="10"/>
      <c r="N233" s="10"/>
      <c r="O233" s="10"/>
      <c r="P233" s="10"/>
      <c r="Q233" s="10"/>
      <c r="R233" s="10"/>
      <c r="S233" s="10"/>
      <c r="T233" s="10"/>
      <c r="U233" s="10"/>
      <c r="V233" s="10"/>
      <c r="W233" s="10"/>
      <c r="X233" s="10"/>
      <c r="Y233" s="10"/>
      <c r="Z233" s="10"/>
    </row>
    <row r="234" spans="1:26" ht="12.75">
      <c r="A234" s="10" t="str">
        <f ca="1">IFERROR(__xludf.DUMMYFUNCTION("""COMPUTED_VALUE"""),"Александра Венкова Куманова")</f>
        <v>Александра Венкова Куманова</v>
      </c>
      <c r="B234" s="10" t="str">
        <f ca="1">IFERROR(__xludf.DUMMYFUNCTION("""COMPUTED_VALUE"""),"Статия в списания и поредици")</f>
        <v>Статия в списания и поредици</v>
      </c>
      <c r="C234" s="10" t="str">
        <f ca="1">IFERROR(__xludf.DUMMYFUNCTION("""COMPUTED_VALUE"""),"Новият хуманизъм и университетите – след 50-годишнината от подписването на Римските договори")</f>
        <v>Новият хуманизъм и университетите – след 50-годишнината от подписването на Римските договори</v>
      </c>
      <c r="D234" s="10">
        <f ca="1">IFERROR(__xludf.DUMMYFUNCTION("""COMPUTED_VALUE"""),2010)</f>
        <v>2010</v>
      </c>
      <c r="E234" s="10" t="str">
        <f ca="1">IFERROR(__xludf.DUMMYFUNCTION("""COMPUTED_VALUE"""),"[„Нов хуманизъм за Европа. Ролята на университетите”, Рим, 21-24 юни 2007 г.]. // Тр. на Студентското науч. о-во при Специализ. висше у-ще по библиотекознание и информ. технолог. (София). – ISSN 1313-4566. – Т. 5, 2010, с. 87-89.")</f>
        <v>[„Нов хуманизъм за Европа. Ролята на университетите”, Рим, 21-24 юни 2007 г.]. // Тр. на Студентското науч. о-во при Специализ. висше у-ще по библиотекознание и информ. технолог. (София). – ISSN 1313-4566. – Т. 5, 2010, с. 87-89.</v>
      </c>
      <c r="F234" s="10"/>
      <c r="G234" s="10" t="str">
        <f ca="1">IFERROR(__xludf.DUMMYFUNCTION("""COMPUTED_VALUE"""),"Н. Казански")</f>
        <v>Н. Казански</v>
      </c>
      <c r="H234" s="10"/>
      <c r="I234" s="10"/>
      <c r="J234" s="10"/>
      <c r="K234" s="10"/>
      <c r="L234" s="10"/>
      <c r="M234" s="10"/>
      <c r="N234" s="10"/>
      <c r="O234" s="10"/>
      <c r="P234" s="10"/>
      <c r="Q234" s="10"/>
      <c r="R234" s="10"/>
      <c r="S234" s="10"/>
      <c r="T234" s="10"/>
      <c r="U234" s="10"/>
      <c r="V234" s="10"/>
      <c r="W234" s="10"/>
      <c r="X234" s="10"/>
      <c r="Y234" s="10"/>
      <c r="Z234" s="10"/>
    </row>
    <row r="235" spans="1:26" ht="12.75">
      <c r="A235" s="10" t="str">
        <f ca="1">IFERROR(__xludf.DUMMYFUNCTION("""COMPUTED_VALUE"""),"Александра Венкова Куманова")</f>
        <v>Александра Венкова Куманова</v>
      </c>
      <c r="B235" s="10" t="str">
        <f ca="1">IFERROR(__xludf.DUMMYFUNCTION("""COMPUTED_VALUE"""),"Статия в списания и поредици")</f>
        <v>Статия в списания и поредици</v>
      </c>
      <c r="C235" s="10" t="str">
        <f ca="1">IFERROR(__xludf.DUMMYFUNCTION("""COMPUTED_VALUE"""),"Личност : [Определение].")</f>
        <v>Личност : [Определение].</v>
      </c>
      <c r="D235" s="10">
        <f ca="1">IFERROR(__xludf.DUMMYFUNCTION("""COMPUTED_VALUE"""),2010)</f>
        <v>2010</v>
      </c>
      <c r="E235" s="10" t="str">
        <f ca="1">IFERROR(__xludf.DUMMYFUNCTION("""COMPUTED_VALUE"""),"// Куманова, А. Апостоли на инфосферата : Наблюдение на ценностите : Увод в онтологията на триединството информация – наука – школа : Учебник за студенти по когнитолог. портретиране на персоналии в дисциплините
 от информ.-комуникативния цикъл на знанието"&amp;". – София, 2010. – ISBN 978-954-8887-69-4. – с. 249-250.")</f>
        <v>// Куманова, А. Апостоли на инфосферата : Наблюдение на ценностите : Увод в онтологията на триединството информация – наука – школа : Учебник за студенти по когнитолог. портретиране на персоналии в дисциплините
 от информ.-комуникативния цикъл на знанието. – София, 2010. – ISBN 978-954-8887-69-4. – с. 249-250.</v>
      </c>
      <c r="F235" s="10"/>
      <c r="G235" s="10"/>
      <c r="H235" s="10"/>
      <c r="I235" s="10"/>
      <c r="J235" s="10"/>
      <c r="K235" s="10"/>
      <c r="L235" s="10"/>
      <c r="M235" s="10"/>
      <c r="N235" s="10"/>
      <c r="O235" s="10"/>
      <c r="P235" s="10"/>
      <c r="Q235" s="10"/>
      <c r="R235" s="10"/>
      <c r="S235" s="10"/>
      <c r="T235" s="10"/>
      <c r="U235" s="10"/>
      <c r="V235" s="10"/>
      <c r="W235" s="10"/>
      <c r="X235" s="10"/>
      <c r="Y235" s="10"/>
      <c r="Z235" s="10"/>
    </row>
    <row r="236" spans="1:26" ht="12.75">
      <c r="A236" s="10" t="str">
        <f ca="1">IFERROR(__xludf.DUMMYFUNCTION("""COMPUTED_VALUE"""),"Александра Венкова Куманова")</f>
        <v>Александра Венкова Куманова</v>
      </c>
      <c r="B236" s="10" t="str">
        <f ca="1">IFERROR(__xludf.DUMMYFUNCTION("""COMPUTED_VALUE"""),"Студия")</f>
        <v>Студия</v>
      </c>
      <c r="C236" s="10" t="str">
        <f ca="1">IFERROR(__xludf.DUMMYFUNCTION("""COMPUTED_VALUE"""),"Когнитология на компаративистичната терминология по библиотечна и информационна дейност : За настоящото изд. (Предисл. на глав. ред.) (11 септ. 2009 г.).")</f>
        <v>Когнитология на компаративистичната терминология по библиотечна и информационна дейност : За настоящото изд. (Предисл. на глав. ред.) (11 септ. 2009 г.).</v>
      </c>
      <c r="D236" s="10">
        <f ca="1">IFERROR(__xludf.DUMMYFUNCTION("""COMPUTED_VALUE"""),2010)</f>
        <v>2010</v>
      </c>
      <c r="E236" s="10" t="str">
        <f ca="1">IFERROR(__xludf.DUMMYFUNCTION("""COMPUTED_VALUE"""),"// The English–Russian–Bulgarian dictionary of library and information terminology = Русско-болгаро-английский словарь по библиотечной и информационной деятельности = Българо-англо-руски речник по библиотечна и информационна дейност. – София, 2010, с. 23-"&amp;"58 : с ил. – (Тр. на Студентското науч. о-во при Унив. по библиотекознание и информ. технолог., ISSN 1314-2526 ; 2009, Т. 3). – Библиогр.: 81 ном. загл.")</f>
        <v>// The English–Russian–Bulgarian dictionary of library and information terminology = Русско-болгаро-английский словарь по библиотечной и информационной деятельности = Българо-англо-руски речник по библиотечна и информационна дейност. – София, 2010, с. 23-58 : с ил. – (Тр. на Студентското науч. о-во при Унив. по библиотекознание и информ. технолог., ISSN 1314-2526 ; 2009, Т. 3). – Библиогр.: 81 ном. загл.</v>
      </c>
      <c r="F236" s="10"/>
      <c r="G236" s="10"/>
      <c r="H236" s="10"/>
      <c r="I236" s="10"/>
      <c r="J236" s="10"/>
      <c r="K236" s="10"/>
      <c r="L236" s="10"/>
      <c r="M236" s="10"/>
      <c r="N236" s="10"/>
      <c r="O236" s="10"/>
      <c r="P236" s="10"/>
      <c r="Q236" s="10"/>
      <c r="R236" s="10"/>
      <c r="S236" s="10"/>
      <c r="T236" s="10"/>
      <c r="U236" s="10"/>
      <c r="V236" s="10"/>
      <c r="W236" s="10"/>
      <c r="X236" s="10"/>
      <c r="Y236" s="10"/>
      <c r="Z236" s="10"/>
    </row>
    <row r="237" spans="1:26" ht="12.75">
      <c r="A237" s="10" t="str">
        <f ca="1">IFERROR(__xludf.DUMMYFUNCTION("""COMPUTED_VALUE"""),"Александра Венкова Куманова")</f>
        <v>Александра Венкова Куманова</v>
      </c>
      <c r="B237" s="10" t="str">
        <f ca="1">IFERROR(__xludf.DUMMYFUNCTION("""COMPUTED_VALUE"""),"Статия в списания и поредици")</f>
        <v>Статия в списания и поредици</v>
      </c>
      <c r="C237" s="10" t="str">
        <f ca="1">IFERROR(__xludf.DUMMYFUNCTION("""COMPUTED_VALUE"""),"За Том V на Студентското научно общество при Специализираното висше училище по библиотекознание и информационни технологии (Вместо предговор от съставителите).")</f>
        <v>За Том V на Студентското научно общество при Специализираното висше училище по библиотекознание и информационни технологии (Вместо предговор от съставителите).</v>
      </c>
      <c r="D237" s="10">
        <f ca="1">IFERROR(__xludf.DUMMYFUNCTION("""COMPUTED_VALUE"""),2010)</f>
        <v>2010</v>
      </c>
      <c r="E237" s="10" t="str">
        <f ca="1">IFERROR(__xludf.DUMMYFUNCTION("""COMPUTED_VALUE"""),"// Тр. на Студентското науч. о-во при Специализ. висше у-ще по библиотекознание и информ. технолог. (София). – ISSN 1313-4566. – Т. 5, 2010, с. 56-68 : с табл.")</f>
        <v>// Тр. на Студентското науч. о-во при Специализ. висше у-ще по библиотекознание и информ. технолог. (София). – ISSN 1313-4566. – Т. 5, 2010, с. 56-68 : с табл.</v>
      </c>
      <c r="F237" s="10"/>
      <c r="G237" s="10" t="str">
        <f ca="1">IFERROR(__xludf.DUMMYFUNCTION("""COMPUTED_VALUE"""),"С. Василева, С. Бойчева, С. Шапкалова, Т. Генова, П. Златкова, И. Гетова-Златева, П. Попова.")</f>
        <v>С. Василева, С. Бойчева, С. Шапкалова, Т. Генова, П. Златкова, И. Гетова-Златева, П. Попова.</v>
      </c>
      <c r="H237" s="10"/>
      <c r="I237" s="10"/>
      <c r="J237" s="10"/>
      <c r="K237" s="10"/>
      <c r="L237" s="10"/>
      <c r="M237" s="10"/>
      <c r="N237" s="10"/>
      <c r="O237" s="10"/>
      <c r="P237" s="10"/>
      <c r="Q237" s="10"/>
      <c r="R237" s="10"/>
      <c r="S237" s="10"/>
      <c r="T237" s="10"/>
      <c r="U237" s="10"/>
      <c r="V237" s="10"/>
      <c r="W237" s="10"/>
      <c r="X237" s="10"/>
      <c r="Y237" s="10"/>
      <c r="Z237" s="10"/>
    </row>
    <row r="238" spans="1:26" ht="12.75">
      <c r="A238" s="10" t="str">
        <f ca="1">IFERROR(__xludf.DUMMYFUNCTION("""COMPUTED_VALUE"""),"Александра Венкова Куманова")</f>
        <v>Александра Венкова Куманова</v>
      </c>
      <c r="B238" s="10" t="str">
        <f ca="1">IFERROR(__xludf.DUMMYFUNCTION("""COMPUTED_VALUE"""),"Статия в списания и поредици")</f>
        <v>Статия в списания и поредици</v>
      </c>
      <c r="C238" s="10" t="str">
        <f ca="1">IFERROR(__xludf.DUMMYFUNCTION("""COMPUTED_VALUE"""),"Азбучен свод на термините и понятията, използвани от евро-американските специалисти през ХVІІІ-ХХІ в. за диференциация на библиографските явления, имащи отношение към формата на библиографската информация : Табл.: 1180 назв.")</f>
        <v>Азбучен свод на термините и понятията, използвани от евро-американските специалисти през ХVІІІ-ХХІ в. за диференциация на библиографските явления, имащи отношение към формата на библиографската информация : Табл.: 1180 назв.</v>
      </c>
      <c r="D238" s="10">
        <f ca="1">IFERROR(__xludf.DUMMYFUNCTION("""COMPUTED_VALUE"""),2010)</f>
        <v>2010</v>
      </c>
      <c r="E238" s="10" t="str">
        <f ca="1">IFERROR(__xludf.DUMMYFUNCTION("""COMPUTED_VALUE"""),"// Тр. на Студентското науч. о-во при Специализ. висше у-ще по библиотекознание и информ. технолог. (София). – ISSN 1313-4566. – Т. 5, 2010, с. 90-278.")</f>
        <v>// Тр. на Студентското науч. о-во при Специализ. висше у-ще по библиотекознание и информ. технолог. (София). – ISSN 1313-4566. – Т. 5, 2010, с. 90-278.</v>
      </c>
      <c r="F238" s="10"/>
      <c r="G238" s="10"/>
      <c r="H238" s="10"/>
      <c r="I238" s="10"/>
      <c r="J238" s="10"/>
      <c r="K238" s="10"/>
      <c r="L238" s="10"/>
      <c r="M238" s="10"/>
      <c r="N238" s="10"/>
      <c r="O238" s="10"/>
      <c r="P238" s="10"/>
      <c r="Q238" s="10"/>
      <c r="R238" s="10"/>
      <c r="S238" s="10"/>
      <c r="T238" s="10"/>
      <c r="U238" s="10"/>
      <c r="V238" s="10"/>
      <c r="W238" s="10"/>
      <c r="X238" s="10"/>
      <c r="Y238" s="10"/>
      <c r="Z238" s="10"/>
    </row>
    <row r="239" spans="1:26" ht="12.75">
      <c r="A239" s="10" t="str">
        <f ca="1">IFERROR(__xludf.DUMMYFUNCTION("""COMPUTED_VALUE"""),"Александра Венкова Куманова")</f>
        <v>Александра Венкова Куманова</v>
      </c>
      <c r="B239" s="10" t="str">
        <f ca="1">IFERROR(__xludf.DUMMYFUNCTION("""COMPUTED_VALUE"""),"Статия в списания и поредици")</f>
        <v>Статия в списания и поредици</v>
      </c>
      <c r="C239" s="10" t="str">
        <f ca="1">IFERROR(__xludf.DUMMYFUNCTION("""COMPUTED_VALUE"""),"Договорености за студенти от Специализираното висше училище по библиотекознание и информационни технологии : Санктпетербургският държавен университет по култура и изкуство – Русия на 90 години / Эпигр.: „Час ученичества – он в жизни каждой / Торжественно "&amp;"неотвратим.” – М. Цветаева.")</f>
        <v>Договорености за студенти от Специализираното висше училище по библиотекознание и информационни технологии : Санктпетербургският държавен университет по култура и изкуство – Русия на 90 години / Эпигр.: „Час ученичества – он в жизни каждой / Торжественно неотвратим.” – М. Цветаева.</v>
      </c>
      <c r="D239" s="10">
        <f ca="1">IFERROR(__xludf.DUMMYFUNCTION("""COMPUTED_VALUE"""),2010)</f>
        <v>2010</v>
      </c>
      <c r="E239" s="10" t="str">
        <f ca="1">IFERROR(__xludf.DUMMYFUNCTION("""COMPUTED_VALUE"""),"// Тр. на Студентското науч. о-во при Специализ. висше у-ще по библиотекознание и информ. технолог. (София). – ISSN 1313-4566. – Т. 5, 2010, с. 84-86. – Съавт. Н. Костова.")</f>
        <v>// Тр. на Студентското науч. о-во при Специализ. висше у-ще по библиотекознание и информ. технолог. (София). – ISSN 1313-4566. – Т. 5, 2010, с. 84-86. – Съавт. Н. Костова.</v>
      </c>
      <c r="F239" s="10"/>
      <c r="G239" s="10" t="str">
        <f ca="1">IFERROR(__xludf.DUMMYFUNCTION("""COMPUTED_VALUE"""),"Н. Костова")</f>
        <v>Н. Костова</v>
      </c>
      <c r="H239" s="10"/>
      <c r="I239" s="10"/>
      <c r="J239" s="10"/>
      <c r="K239" s="10"/>
      <c r="L239" s="10"/>
      <c r="M239" s="10"/>
      <c r="N239" s="10"/>
      <c r="O239" s="10"/>
      <c r="P239" s="10"/>
      <c r="Q239" s="10"/>
      <c r="R239" s="10"/>
      <c r="S239" s="10"/>
      <c r="T239" s="10"/>
      <c r="U239" s="10"/>
      <c r="V239" s="10"/>
      <c r="W239" s="10"/>
      <c r="X239" s="10"/>
      <c r="Y239" s="10"/>
      <c r="Z239" s="10"/>
    </row>
    <row r="240" spans="1:26" ht="12.75">
      <c r="A240" s="10" t="str">
        <f ca="1">IFERROR(__xludf.DUMMYFUNCTION("""COMPUTED_VALUE"""),"Александра Венкова Куманова")</f>
        <v>Александра Венкова Куманова</v>
      </c>
      <c r="B240" s="10" t="str">
        <f ca="1">IFERROR(__xludf.DUMMYFUNCTION("""COMPUTED_VALUE"""),"Доклад от конференция")</f>
        <v>Доклад от конференция</v>
      </c>
      <c r="C240" s="10" t="str">
        <f ca="1">IFERROR(__xludf.DUMMYFUNCTION("""COMPUTED_VALUE"""),"Когнитологично портретиране на учени : Към проблема за интерактивната интроспекция и създаването на учебник по онтология на наблюдаване на ценностите [Апостоли на инфосферата : Увод в онтологията на триединството информация – наука – школа : Учебник за ст"&amp;"уденти по когнитолог. портретиране на персоналии в дисциплините от информ.-комуникативния цикъл на знанието] : Докл. / Епигр.: „За да се нарисува такъв портрет, е необходимо преди всичко да се постигне такъв облик”. – Чански изречения.")</f>
        <v>Когнитологично портретиране на учени : Към проблема за интерактивната интроспекция и създаването на учебник по онтология на наблюдаване на ценностите [Апостоли на инфосферата : Увод в онтологията на триединството информация – наука – школа : Учебник за студенти по когнитолог. портретиране на персоналии в дисциплините от информ.-комуникативния цикъл на знанието] : Докл. / Епигр.: „За да се нарисува такъв портрет, е необходимо преди всичко да се постигне такъв облик”. – Чански изречения.</v>
      </c>
      <c r="D240" s="10">
        <f ca="1">IFERROR(__xludf.DUMMYFUNCTION("""COMPUTED_VALUE"""),2010)</f>
        <v>2010</v>
      </c>
      <c r="E240" s="10" t="str">
        <f ca="1">IFERROR(__xludf.DUMMYFUNCTION("""COMPUTED_VALUE"""),"// [Седма] VІІ национална научна конференция с международно участие „България – кръстопът на култури и цивилизации”, 1.11.2009 г., София, Национален дворец на културата. – София, 2010. – ISBN 978-954-8887-91-5. – с. 157-171. – Съавт. С. Денчев.")</f>
        <v>// [Седма] VІІ национална научна конференция с международно участие „България – кръстопът на култури и цивилизации”, 1.11.2009 г., София, Национален дворец на културата. – София, 2010. – ISBN 978-954-8887-91-5. – с. 157-171. – Съавт. С. Денчев.</v>
      </c>
      <c r="F240" s="10"/>
      <c r="G240" s="10" t="str">
        <f ca="1">IFERROR(__xludf.DUMMYFUNCTION("""COMPUTED_VALUE"""),"С. Денчев")</f>
        <v>С. Денчев</v>
      </c>
      <c r="H240" s="10"/>
      <c r="I240" s="10"/>
      <c r="J240" s="10"/>
      <c r="K240" s="10"/>
      <c r="L240" s="10"/>
      <c r="M240" s="10"/>
      <c r="N240" s="10"/>
      <c r="O240" s="10"/>
      <c r="P240" s="10"/>
      <c r="Q240" s="10"/>
      <c r="R240" s="10"/>
      <c r="S240" s="10"/>
      <c r="T240" s="10"/>
      <c r="U240" s="10"/>
      <c r="V240" s="10"/>
      <c r="W240" s="10"/>
      <c r="X240" s="10"/>
      <c r="Y240" s="10"/>
      <c r="Z240" s="10"/>
    </row>
    <row r="241" spans="1:26" ht="12.75">
      <c r="A241" s="10" t="str">
        <f ca="1">IFERROR(__xludf.DUMMYFUNCTION("""COMPUTED_VALUE"""),"Александра Венкова Куманова")</f>
        <v>Александра Венкова Куманова</v>
      </c>
      <c r="B241" s="10" t="str">
        <f ca="1">IFERROR(__xludf.DUMMYFUNCTION("""COMPUTED_VALUE"""),"Учебник")</f>
        <v>Учебник</v>
      </c>
      <c r="C241" s="10" t="str">
        <f ca="1">IFERROR(__xludf.DUMMYFUNCTION("""COMPUTED_VALUE"""),"Апостоли на инфосферата : Наблюдение на ценностите : Увод в онтологията на триединството „Информ. – наука – школа” : Учебник за студенти по когнитолог. биобиблиогр. портретиране на персоналии в дисциплините от информ.-комуникативния цикъл на знанието")</f>
        <v>Апостоли на инфосферата : Наблюдение на ценностите : Увод в онтологията на триединството „Информ. – наука – школа” : Учебник за студенти по когнитолог. биобиблиогр. портретиране на персоналии в дисциплините от информ.-комуникативния цикъл на знанието</v>
      </c>
      <c r="D241" s="10">
        <f ca="1">IFERROR(__xludf.DUMMYFUNCTION("""COMPUTED_VALUE"""),2010)</f>
        <v>2010</v>
      </c>
      <c r="E241" s="10" t="str">
        <f ca="1">IFERROR(__xludf.DUMMYFUNCTION("""COMPUTED_VALUE"""),"София : За буквите – О писменехь, 2010. – 314 с. : с портр. – (Факлоносци ; I) ISBN 978-954-8887-69-4")</f>
        <v>София : За буквите – О писменехь, 2010. – 314 с. : с портр. – (Факлоносци ; I) ISBN 978-954-8887-69-4</v>
      </c>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c r="A242" s="10" t="str">
        <f ca="1">IFERROR(__xludf.DUMMYFUNCTION("""COMPUTED_VALUE"""),"Александра Венкова Куманова")</f>
        <v>Александра Венкова Куманова</v>
      </c>
      <c r="B242" s="10" t="str">
        <f ca="1">IFERROR(__xludf.DUMMYFUNCTION("""COMPUTED_VALUE"""),"Статия в списания и поредици")</f>
        <v>Статия в списания и поредици</v>
      </c>
      <c r="C242" s="10" t="str">
        <f ca="1">IFERROR(__xludf.DUMMYFUNCTION("""COMPUTED_VALUE"""),"Информационна картина на феномена „ценност”: Соц.-психол. и онтолог. дискурс (Емпир. изследване и теор. обобщение на Студентското науч. о-во при Специализ. висше у-ще по библиотекознание и информ. технолог.) ; Табл. и графики към табл.")</f>
        <v>Информационна картина на феномена „ценност”: Соц.-психол. и онтолог. дискурс (Емпир. изследване и теор. обобщение на Студентското науч. о-во при Специализ. висше у-ще по библиотекознание и информ. технолог.) ; Табл. и графики към табл.</v>
      </c>
      <c r="D242" s="10">
        <f ca="1">IFERROR(__xludf.DUMMYFUNCTION("""COMPUTED_VALUE"""),2010)</f>
        <v>2010</v>
      </c>
      <c r="E242" s="10" t="str">
        <f ca="1">IFERROR(__xludf.DUMMYFUNCTION("""COMPUTED_VALUE"""),"Тр. на Студентското науч. о-во при Специализ. висше у-ще по библиотекознание и информ. технолог. (София). – ISSN 1313- 4566. – Т. 5, 2010, с. 73-75.")</f>
        <v>Тр. на Студентското науч. о-во при Специализ. висше у-ще по библиотекознание и информ. технолог. (София). – ISSN 1313- 4566. – Т. 5, 2010, с. 73-75.</v>
      </c>
      <c r="F242" s="10"/>
      <c r="G242" s="10" t="str">
        <f ca="1">IFERROR(__xludf.DUMMYFUNCTION("""COMPUTED_VALUE"""),"С. Денчев, Т. Тодорова, П. Златкова, С. Ефтимова, Е. Игнатова, М. Никова.")</f>
        <v>С. Денчев, Т. Тодорова, П. Златкова, С. Ефтимова, Е. Игнатова, М. Никова.</v>
      </c>
      <c r="H242" s="10"/>
      <c r="I242" s="10"/>
      <c r="J242" s="10"/>
      <c r="K242" s="10"/>
      <c r="L242" s="10"/>
      <c r="M242" s="10"/>
      <c r="N242" s="10"/>
      <c r="O242" s="10"/>
      <c r="P242" s="10"/>
      <c r="Q242" s="10"/>
      <c r="R242" s="10"/>
      <c r="S242" s="10"/>
      <c r="T242" s="10"/>
      <c r="U242" s="10"/>
      <c r="V242" s="10"/>
      <c r="W242" s="10"/>
      <c r="X242" s="10"/>
      <c r="Y242" s="10"/>
      <c r="Z242" s="10"/>
    </row>
    <row r="243" spans="1:26" ht="12.75">
      <c r="A243" s="10" t="str">
        <f ca="1">IFERROR(__xludf.DUMMYFUNCTION("""COMPUTED_VALUE"""),"Александра Венкова Куманова")</f>
        <v>Александра Венкова Куманова</v>
      </c>
      <c r="B243" s="10" t="str">
        <f ca="1">IFERROR(__xludf.DUMMYFUNCTION("""COMPUTED_VALUE"""),"Доклад от конференция")</f>
        <v>Доклад от конференция</v>
      </c>
      <c r="C243" s="10" t="str">
        <f ca="1">IFERROR(__xludf.DUMMYFUNCTION("""COMPUTED_VALUE"""),"Ценностен геном на българския книжовен и литературен език : Генеалог. феноменология – информ. код на изящното слово")</f>
        <v>Ценностен геном на българския книжовен и литературен език : Генеалог. феноменология – информ. код на изящното слово</v>
      </c>
      <c r="D243" s="10">
        <f ca="1">IFERROR(__xludf.DUMMYFUNCTION("""COMPUTED_VALUE"""),2010)</f>
        <v>2010</v>
      </c>
      <c r="E243" s="10" t="str">
        <f ca="1">IFERROR(__xludf.DUMMYFUNCTION("""COMPUTED_VALUE"""),"Плен. докл. [на ІV науч. семинар на СВУБИТ, Хисаря, 27-29.03.2009 г.] / Посв. се на 130-год. от приемането на Търновската конституция, увенчала Кръстния път на българските възрожденски идеали ; Епигр.: „Времето е чисто злато” – Петко Р. Славейков ; „Миним"&amp;"алната единица за появата на нова информация са три прояви: Аз, Другият човек и семиотичната среда около нас (нещо като Троица!).” – Ю. М. Лотман. // Нови информационни технологии в образователния процес (София). – ISSN 1313-2768. – 2010, с. 13-48. – Съав"&amp;"т.: С. Денчев, Н. Василев. – Библиогр.: с. 41-47. – Рез. на бълг. ез.")</f>
        <v>Плен. докл. [на ІV науч. семинар на СВУБИТ, Хисаря, 27-29.03.2009 г.] / Посв. се на 130-год. от приемането на Търновската конституция, увенчала Кръстния път на българските възрожденски идеали ; Епигр.: „Времето е чисто злато” – Петко Р. Славейков ; „Минималната единица за появата на нова информация са три прояви: Аз, Другият човек и семиотичната среда около нас (нещо като Троица!).” – Ю. М. Лотман. // Нови информационни технологии в образователния процес (София). – ISSN 1313-2768. – 2010, с. 13-48. – Съавт.: С. Денчев, Н. Василев. – Библиогр.: с. 41-47. – Рез. на бълг. ез.</v>
      </c>
      <c r="F243" s="10"/>
      <c r="G243" s="10" t="str">
        <f ca="1">IFERROR(__xludf.DUMMYFUNCTION("""COMPUTED_VALUE"""),"С. Денчев, Н. Василев")</f>
        <v>С. Денчев, Н. Василев</v>
      </c>
      <c r="H243" s="10"/>
      <c r="I243" s="10"/>
      <c r="J243" s="10"/>
      <c r="K243" s="10"/>
      <c r="L243" s="10"/>
      <c r="M243" s="10"/>
      <c r="N243" s="10"/>
      <c r="O243" s="10"/>
      <c r="P243" s="10"/>
      <c r="Q243" s="10"/>
      <c r="R243" s="10"/>
      <c r="S243" s="10"/>
      <c r="T243" s="10"/>
      <c r="U243" s="10"/>
      <c r="V243" s="10"/>
      <c r="W243" s="10"/>
      <c r="X243" s="10"/>
      <c r="Y243" s="10"/>
      <c r="Z243" s="10"/>
    </row>
    <row r="244" spans="1:26" ht="12.75">
      <c r="A244" s="10" t="str">
        <f ca="1">IFERROR(__xludf.DUMMYFUNCTION("""COMPUTED_VALUE"""),"Александра Венкова Куманова")</f>
        <v>Александра Венкова Куманова</v>
      </c>
      <c r="B244" s="10" t="str">
        <f ca="1">IFERROR(__xludf.DUMMYFUNCTION("""COMPUTED_VALUE"""),"Статия в списания и поредици")</f>
        <v>Статия в списания и поредици</v>
      </c>
      <c r="C244" s="10" t="str">
        <f ca="1">IFERROR(__xludf.DUMMYFUNCTION("""COMPUTED_VALUE"""),"Българското начало в европейската цивилизация : Онтология на иназацията (Към някои психол. проблеми, свързани със създаването на глаголицата и кирилицата и делото на Св. Константин-Кирил философ и Св. архиепископ Методий).")</f>
        <v>Българското начало в европейската цивилизация : Онтология на иназацията (Към някои психол. проблеми, свързани със създаването на глаголицата и кирилицата и делото на Св. Константин-Кирил философ и Св. архиепископ Методий).</v>
      </c>
      <c r="D244" s="10">
        <f ca="1">IFERROR(__xludf.DUMMYFUNCTION("""COMPUTED_VALUE"""),2010)</f>
        <v>2010</v>
      </c>
      <c r="E244" s="10" t="str">
        <f ca="1">IFERROR(__xludf.DUMMYFUNCTION("""COMPUTED_VALUE"""),"Издател (В. Търново). – ISSN 1310-4624. – 2010, N 1-3, с. 4-13 : с ил.")</f>
        <v>Издател (В. Търново). – ISSN 1310-4624. – 2010, N 1-3, с. 4-13 : с ил.</v>
      </c>
      <c r="F244" s="10"/>
      <c r="G244" s="10" t="str">
        <f ca="1">IFERROR(__xludf.DUMMYFUNCTION("""COMPUTED_VALUE"""),"С. Денчев, Н. Василев")</f>
        <v>С. Денчев, Н. Василев</v>
      </c>
      <c r="H244" s="10"/>
      <c r="I244" s="10"/>
      <c r="J244" s="10"/>
      <c r="K244" s="10"/>
      <c r="L244" s="10"/>
      <c r="M244" s="10"/>
      <c r="N244" s="10"/>
      <c r="O244" s="10"/>
      <c r="P244" s="10"/>
      <c r="Q244" s="10"/>
      <c r="R244" s="10"/>
      <c r="S244" s="10"/>
      <c r="T244" s="10"/>
      <c r="U244" s="10"/>
      <c r="V244" s="10"/>
      <c r="W244" s="10"/>
      <c r="X244" s="10"/>
      <c r="Y244" s="10"/>
      <c r="Z244" s="10"/>
    </row>
    <row r="245" spans="1:26" ht="12.75">
      <c r="A245" s="10" t="str">
        <f ca="1">IFERROR(__xludf.DUMMYFUNCTION("""COMPUTED_VALUE"""),"Александра Венкова Куманова")</f>
        <v>Александра Венкова Куманова</v>
      </c>
      <c r="B245" s="10" t="str">
        <f ca="1">IFERROR(__xludf.DUMMYFUNCTION("""COMPUTED_VALUE"""),"Доклад от конференция")</f>
        <v>Доклад от конференция</v>
      </c>
      <c r="C245" s="10" t="str">
        <f ca="1">IFERROR(__xludf.DUMMYFUNCTION("""COMPUTED_VALUE"""),"Българското начало в европейската цивилизация (Към проблема за изключ. психол. основания, отразени в книжовната система, създадена от Св. Св. Константин-Кирил философ и Методий) : Плен. докл. / Епигр.: „Не хората говорят „с език”, а езикът говори на хорат"&amp;"а и „с хората” – M. Heidegger.")</f>
        <v>Българското начало в европейската цивилизация (Към проблема за изключ. психол. основания, отразени в книжовната система, създадена от Св. Св. Константин-Кирил философ и Методий) : Плен. докл. / Епигр.: „Не хората говорят „с език”, а езикът говори на хората и „с хората” – M. Heidegger.</v>
      </c>
      <c r="D245" s="10">
        <f ca="1">IFERROR(__xludf.DUMMYFUNCTION("""COMPUTED_VALUE"""),2010)</f>
        <v>2010</v>
      </c>
      <c r="E245" s="10" t="str">
        <f ca="1">IFERROR(__xludf.DUMMYFUNCTION("""COMPUTED_VALUE"""),"и”, 1.11.2009 г., София, Национален дворец на културата. – София, 2010. – ISBN 978-954-8887-91-5. – с. 45-101 : с ил. – Съавт.: С. Денчев, Н. Василев. – Разшир. публ.")</f>
        <v>и”, 1.11.2009 г., София, Национален дворец на културата. – София, 2010. – ISBN 978-954-8887-91-5. – с. 45-101 : с ил. – Съавт.: С. Денчев, Н. Василев. – Разшир. публ.</v>
      </c>
      <c r="F245" s="10"/>
      <c r="G245" s="10" t="str">
        <f ca="1">IFERROR(__xludf.DUMMYFUNCTION("""COMPUTED_VALUE"""),"С. Денчев, Н. Василев.")</f>
        <v>С. Денчев, Н. Василев.</v>
      </c>
      <c r="H245" s="10"/>
      <c r="I245" s="10"/>
      <c r="J245" s="10"/>
      <c r="K245" s="10"/>
      <c r="L245" s="10"/>
      <c r="M245" s="10"/>
      <c r="N245" s="10"/>
      <c r="O245" s="10"/>
      <c r="P245" s="10"/>
      <c r="Q245" s="10"/>
      <c r="R245" s="10"/>
      <c r="S245" s="10"/>
      <c r="T245" s="10"/>
      <c r="U245" s="10"/>
      <c r="V245" s="10"/>
      <c r="W245" s="10"/>
      <c r="X245" s="10"/>
      <c r="Y245" s="10"/>
      <c r="Z245" s="10"/>
    </row>
    <row r="246" spans="1:26" ht="12.75">
      <c r="A246" s="10" t="str">
        <f ca="1">IFERROR(__xludf.DUMMYFUNCTION("""COMPUTED_VALUE"""),"Александра Венкова Куманова")</f>
        <v>Александра Венкова Куманова</v>
      </c>
      <c r="B246" s="10" t="str">
        <f ca="1">IFERROR(__xludf.DUMMYFUNCTION("""COMPUTED_VALUE"""),"Речник (съставителство)")</f>
        <v>Речник (съставителство)</v>
      </c>
      <c r="C246" s="10" t="str">
        <f ca="1">IFERROR(__xludf.DUMMYFUNCTION("""COMPUTED_VALUE"""),"The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f>
        <v>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v>
      </c>
      <c r="D246" s="10">
        <f ca="1">IFERROR(__xludf.DUMMYFUNCTION("""COMPUTED_VALUE"""),2010)</f>
        <v>2010</v>
      </c>
      <c r="E246" s="10" t="str">
        <f ca="1">IFERROR(__xludf.DUMMYFUNCTION("""COMPUTED_VALUE"""),"– София : За буквите – О писменехь, 2010. – 886 с. : с ил. , ISBN 978-954-8887-93-9")</f>
        <v>– София : За буквите – О писменехь, 2010. – 886 с. : с ил. , ISBN 978-954-8887-93-9</v>
      </c>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c r="A247" s="10" t="str">
        <f ca="1">IFERROR(__xludf.DUMMYFUNCTION("""COMPUTED_VALUE"""),"Александра Венкова Куманова")</f>
        <v>Александра Венкова Куманова</v>
      </c>
      <c r="B247" s="10" t="str">
        <f ca="1">IFERROR(__xludf.DUMMYFUNCTION("""COMPUTED_VALUE"""),"Доклад от конференция")</f>
        <v>Доклад от конференция</v>
      </c>
      <c r="C247" s="10" t="str">
        <f ca="1">IFERROR(__xludf.DUMMYFUNCTION("""COMPUTED_VALUE"""),"Класификационни построения на англо-американското библиографознание. Съотносимост с кирилическите библиографоведски концепции и „немската линия” в развитието на библиографията през ХVІІІ-XXI в. (Ист.-култ. феноменолог. каркас на информ. ризома: І фрагм.) "&amp;": Докл. / Епигр.: „Може всичко да се знае за Махалото, но ако е неизвестно каква карта да се използва, работата е изгубена.” – У. Еко.")</f>
        <v>Класификационни построения на англо-американското библиографознание. Съотносимост с кирилическите библиографоведски концепции и „немската линия” в развитието на библиографията през ХVІІІ-XXI в. (Ист.-култ. феноменолог. каркас на информ. ризома: І фрагм.) : Докл. / Епигр.: „Може всичко да се знае за Махалото, но ако е неизвестно каква карта да се използва, работата е изгубена.” – У. Еко.</v>
      </c>
      <c r="D247" s="10">
        <f ca="1">IFERROR(__xludf.DUMMYFUNCTION("""COMPUTED_VALUE"""),2010)</f>
        <v>2010</v>
      </c>
      <c r="E247" s="10" t="str">
        <f ca="1">IFERROR(__xludf.DUMMYFUNCTION("""COMPUTED_VALUE"""),"// [Седма] VІІ национална научна конференция с международно участие „България – кръстопът на култури и цивилизации”, 1.11.2009 г., София, Национален дворец на културата : Фрагмент. – София, 2010. – ISBN 978-954-8887-91-5. – с. 139-1 – 139-18. – Библиогр.:"&amp;" 56 ном. назв. в систем.-азб. вид и 13 ном. бел.")</f>
        <v>// [Седма] VІІ национална научна конференция с международно участие „България – кръстопът на култури и цивилизации”, 1.11.2009 г., София, Национален дворец на културата : Фрагмент. – София, 2010. – ISBN 978-954-8887-91-5. – с. 139-1 – 139-18. – Библиогр.: 56 ном. назв. в систем.-азб. вид и 13 ном. бел.</v>
      </c>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c r="A248" s="10" t="str">
        <f ca="1">IFERROR(__xludf.DUMMYFUNCTION("""COMPUTED_VALUE"""),"Александра Венкова Куманова")</f>
        <v>Александра Венкова Куманова</v>
      </c>
      <c r="B248" s="10" t="str">
        <f ca="1">IFERROR(__xludf.DUMMYFUNCTION("""COMPUTED_VALUE"""),"Доклад от конференция")</f>
        <v>Доклад от конференция</v>
      </c>
      <c r="C248" s="10" t="str">
        <f ca="1">IFERROR(__xludf.DUMMYFUNCTION("""COMPUTED_VALUE"""),"Библиографският хомеостаз на планетата – историологичен морфизъм на ноосферата и аксиология на социокултурното единство на многообразието на информационната среда на човечеството (Вторичнодокументална проскопия)")</f>
        <v>Библиографският хомеостаз на планетата – историологичен морфизъм на ноосферата и аксиология на социокултурното единство на многообразието на информационната среда на човечеството (Вторичнодокументална проскопия)</v>
      </c>
      <c r="D248" s="10">
        <f ca="1">IFERROR(__xludf.DUMMYFUNCTION("""COMPUTED_VALUE"""),2010)</f>
        <v>2010</v>
      </c>
      <c r="E248" s="10" t="str">
        <f ca="1">IFERROR(__xludf.DUMMYFUNCTION("""COMPUTED_VALUE"""),"Докл. на VІІІ Нац. конф., В. Търново, 17-18 ноем. 2009 г. / Епигр.: „Светът преминава в течно състояние, той губи своите форми, и няма повече твърди тела &lt;...&gt;.” – Н. А. Бердяев. // Библиотеки – четене – комуникации (В. Търново). – ISSN 1313-8138. – 2010,"&amp;" с. 13-35. – Съавт. С. Денчев. – Посв. на 120-та год. от осн. на Нар. библ. „П. Р. Славейков”.")</f>
        <v>Докл. на VІІІ Нац. конф., В. Търново, 17-18 ноем. 2009 г. / Епигр.: „Светът преминава в течно състояние, той губи своите форми, и няма повече твърди тела &lt;...&gt;.” – Н. А. Бердяев. // Библиотеки – четене – комуникации (В. Търново). – ISSN 1313-8138. – 2010, с. 13-35. – Съавт. С. Денчев. – Посв. на 120-та год. от осн. на Нар. библ. „П. Р. Славейков”.</v>
      </c>
      <c r="F248" s="10"/>
      <c r="G248" s="10" t="str">
        <f ca="1">IFERROR(__xludf.DUMMYFUNCTION("""COMPUTED_VALUE"""),"С. Денчев")</f>
        <v>С. Денчев</v>
      </c>
      <c r="H248" s="10"/>
      <c r="I248" s="10"/>
      <c r="J248" s="10"/>
      <c r="K248" s="10"/>
      <c r="L248" s="10"/>
      <c r="M248" s="10"/>
      <c r="N248" s="10"/>
      <c r="O248" s="10"/>
      <c r="P248" s="10"/>
      <c r="Q248" s="10"/>
      <c r="R248" s="10"/>
      <c r="S248" s="10"/>
      <c r="T248" s="10"/>
      <c r="U248" s="10"/>
      <c r="V248" s="10"/>
      <c r="W248" s="10"/>
      <c r="X248" s="10"/>
      <c r="Y248" s="10"/>
      <c r="Z248" s="10"/>
    </row>
    <row r="249" spans="1:26" ht="12.75">
      <c r="A249" s="10" t="str">
        <f ca="1">IFERROR(__xludf.DUMMYFUNCTION("""COMPUTED_VALUE"""),"Александра Венкова Куманова")</f>
        <v>Александра Венкова Куманова</v>
      </c>
      <c r="B249" s="10" t="str">
        <f ca="1">IFERROR(__xludf.DUMMYFUNCTION("""COMPUTED_VALUE"""),"Статия в списания и поредици")</f>
        <v>Статия в списания и поредици</v>
      </c>
      <c r="C249" s="10" t="str">
        <f ca="1">IFERROR(__xludf.DUMMYFUNCTION("""COMPUTED_VALUE"""),"Tabula gratulatorum [V] : Систематизиран хронолог.-азб. библиогр. списък на публ. на чл. на Студентското науч. о-во на унив.")</f>
        <v>Tabula gratulatorum [V] : Систематизиран хронолог.-азб. библиогр. списък на публ. на чл. на Студентското науч. о-во на унив.</v>
      </c>
      <c r="D249" s="10">
        <f ca="1">IFERROR(__xludf.DUMMYFUNCTION("""COMPUTED_VALUE"""),2010)</f>
        <v>2010</v>
      </c>
      <c r="E249" s="10" t="str">
        <f ca="1">IFERROR(__xludf.DUMMYFUNCTION("""COMPUTED_VALUE"""),"// Тр. на Студентското науч. о-во при Специализ. висше у-ще по библиотекознание и информ. технолог. (София). – ISSN 1313-4566. – Т. 5, 2010, с. 7-56 : 419 ном. назв.")</f>
        <v>// Тр. на Студентското науч. о-во при Специализ. висше у-ще по библиотекознание и информ. технолог. (София). – ISSN 1313-4566. – Т. 5, 2010, с. 7-56 : 419 ном. назв.</v>
      </c>
      <c r="F249" s="10"/>
      <c r="G249" s="10" t="str">
        <f ca="1">IFERROR(__xludf.DUMMYFUNCTION("""COMPUTED_VALUE"""),"А. Куманова, Д. Рагьова")</f>
        <v>А. Куманова, Д. Рагьова</v>
      </c>
      <c r="H249" s="10"/>
      <c r="I249" s="10"/>
      <c r="J249" s="10"/>
      <c r="K249" s="10"/>
      <c r="L249" s="10"/>
      <c r="M249" s="10"/>
      <c r="N249" s="10"/>
      <c r="O249" s="10"/>
      <c r="P249" s="10"/>
      <c r="Q249" s="10"/>
      <c r="R249" s="10"/>
      <c r="S249" s="10"/>
      <c r="T249" s="10"/>
      <c r="U249" s="10"/>
      <c r="V249" s="10"/>
      <c r="W249" s="10"/>
      <c r="X249" s="10"/>
      <c r="Y249" s="10"/>
      <c r="Z249" s="10"/>
    </row>
    <row r="250" spans="1:26" ht="12.75">
      <c r="A250" s="10" t="str">
        <f ca="1">IFERROR(__xludf.DUMMYFUNCTION("""COMPUTED_VALUE"""),"Александра Венкова Куманова")</f>
        <v>Александра Венкова Куманова</v>
      </c>
      <c r="B250" s="10" t="str">
        <f ca="1">IFERROR(__xludf.DUMMYFUNCTION("""COMPUTED_VALUE"""),"Доклад от конференция")</f>
        <v>Доклад от конференция</v>
      </c>
      <c r="C250" s="10" t="str">
        <f ca="1">IFERROR(__xludf.DUMMYFUNCTION("""COMPUTED_VALUE"""),"Класификационни построения на руското библиографознание през ХХ-ХХІ в. : Съотносимост с центр. и източноевроп. библиографоведски концепции в калейдоскопа на планетарната мисъл за вторичнодок. информ. моделиране (Ист.-култ. феноменолог. каркас на информ. р"&amp;"изома и нейната феноменология : ІІ фрагм.) : Докл. / Епигр.: „Може всичко да се знае за Махалото, но ако е неизвестно каква карта да се използва, работата е изгубена.” – У. Еко.")</f>
        <v>Класификационни построения на руското библиографознание през ХХ-ХХІ в. : Съотносимост с центр. и източноевроп. библиографоведски концепции в калейдоскопа на планетарната мисъл за вторичнодок. информ. моделиране (Ист.-култ. феноменолог. каркас на информ. ризома и нейната феноменология : ІІ фрагм.) : Докл. / Епигр.: „Може всичко да се знае за Махалото, но ако е неизвестно каква карта да се използва, работата е изгубена.” – У. Еко.</v>
      </c>
      <c r="D250" s="10">
        <f ca="1">IFERROR(__xludf.DUMMYFUNCTION("""COMPUTED_VALUE"""),2010)</f>
        <v>2010</v>
      </c>
      <c r="E250" s="10" t="str">
        <f ca="1">IFERROR(__xludf.DUMMYFUNCTION("""COMPUTED_VALUE"""),"// Тр. на Студентското науч. о-во при Специализ. висше у-ще по библиотекознание и информ. технолог. (София). – ISSN 1313-4566. – Т. 8, 2010, с. 13-50 : 136 ном. загл. в сист.-азб. ред.")</f>
        <v>// Тр. на Студентското науч. о-во при Специализ. висше у-ще по библиотекознание и информ. технолог. (София). – ISSN 1313-4566. – Т. 8, 2010, с. 13-50 : 136 ном. загл. в сист.-азб. ред.</v>
      </c>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c r="A251" s="10" t="str">
        <f ca="1">IFERROR(__xludf.DUMMYFUNCTION("""COMPUTED_VALUE"""),"Александра Венкова Куманова")</f>
        <v>Александра Венкова Куманова</v>
      </c>
      <c r="B251" s="10" t="str">
        <f ca="1">IFERROR(__xludf.DUMMYFUNCTION("""COMPUTED_VALUE"""),"Доклад от конференция")</f>
        <v>Доклад от конференция</v>
      </c>
      <c r="C251" s="10" t="str">
        <f ca="1">IFERROR(__xludf.DUMMYFUNCTION("""COMPUTED_VALUE"""),"Тракия – трансмисия на световни култури и цивилизации : Историогр. поглед (На прага на синтез на траколог. знание : Към въпроса за неговата онтология) / Епигр.: „Жетвата е голяма, а работниците малко” – Мат. (9:37)")</f>
        <v>Тракия – трансмисия на световни култури и цивилизации : Историогр. поглед (На прага на синтез на траколог. знание : Към въпроса за неговата онтология) / Епигр.: „Жетвата е голяма, а работниците малко” – Мат. (9:37)</v>
      </c>
      <c r="D251" s="10">
        <f ca="1">IFERROR(__xludf.DUMMYFUNCTION("""COMPUTED_VALUE"""),2009)</f>
        <v>2009</v>
      </c>
      <c r="E251" s="10" t="str">
        <f ca="1">IFERROR(__xludf.DUMMYFUNCTION("""COMPUTED_VALUE"""),"Докл. // Тракия – кръстопът на цивилизации (Споделен опит) : Сб. с материали по конф. на СВУБИТ, съфинансирана от Европ. съюз чрез Европ. соц. фонд – проект BG051PO001/07/3.3.-01/14, София, 14.05.2009. – София, 2009. – ISBN 978-954-9437-20-1. – с. 19-49. "&amp;"– Съавт.: С. Денчев, М. Куманов.")</f>
        <v>Докл. // Тракия – кръстопът на цивилизации (Споделен опит) : Сб. с материали по конф. на СВУБИТ, съфинансирана от Европ. съюз чрез Европ. соц. фонд – проект BG051PO001/07/3.3.-01/14, София, 14.05.2009. – София, 2009. – ISBN 978-954-9437-20-1. – с. 19-49. – Съавт.: С. Денчев, М. Куманов.</v>
      </c>
      <c r="F251" s="10"/>
      <c r="G251" s="10" t="str">
        <f ca="1">IFERROR(__xludf.DUMMYFUNCTION("""COMPUTED_VALUE"""),"С. Денчев, М. Куманов")</f>
        <v>С. Денчев, М. Куманов</v>
      </c>
      <c r="H251" s="10"/>
      <c r="I251" s="10"/>
      <c r="J251" s="10"/>
      <c r="K251" s="10"/>
      <c r="L251" s="10"/>
      <c r="M251" s="10"/>
      <c r="N251" s="10"/>
      <c r="O251" s="10"/>
      <c r="P251" s="10"/>
      <c r="Q251" s="10"/>
      <c r="R251" s="10"/>
      <c r="S251" s="10"/>
      <c r="T251" s="10"/>
      <c r="U251" s="10"/>
      <c r="V251" s="10"/>
      <c r="W251" s="10"/>
      <c r="X251" s="10"/>
      <c r="Y251" s="10"/>
      <c r="Z251" s="10"/>
    </row>
    <row r="252" spans="1:26" ht="12.75">
      <c r="A252" s="10" t="str">
        <f ca="1">IFERROR(__xludf.DUMMYFUNCTION("""COMPUTED_VALUE"""),"Александра Венкова Куманова")</f>
        <v>Александра Венкова Куманова</v>
      </c>
      <c r="B252" s="10" t="str">
        <f ca="1">IFERROR(__xludf.DUMMYFUNCTION("""COMPUTED_VALUE"""),"Статия в списания и поредици")</f>
        <v>Статия в списания и поредици</v>
      </c>
      <c r="C252" s="10" t="str">
        <f ca="1">IFERROR(__xludf.DUMMYFUNCTION("""COMPUTED_VALUE"""),"Бележки към изискванията за библиографското оформление на публикациите, представяни в „Трудовете на Студентското научно общество” на Специализираното висше училище по библиотекознание и информационни технологии.")</f>
        <v>Бележки към изискванията за библиографското оформление на публикациите, представяни в „Трудовете на Студентското научно общество” на Специализираното висше училище по библиотекознание и информационни технологии.</v>
      </c>
      <c r="D252" s="10">
        <f ca="1">IFERROR(__xludf.DUMMYFUNCTION("""COMPUTED_VALUE"""),2009)</f>
        <v>2009</v>
      </c>
      <c r="E252" s="10" t="str">
        <f ca="1">IFERROR(__xludf.DUMMYFUNCTION("""COMPUTED_VALUE"""),"Тр. на Студентското науч. о-во при Специализ. висше у-ще по библиотекознание и информ. технолог. (София). – ISSN 1313-4566. – Т. 4, 2009, с. 110-120.")</f>
        <v>Тр. на Студентското науч. о-во при Специализ. висше у-ще по библиотекознание и информ. технолог. (София). – ISSN 1313-4566. – Т. 4, 2009, с. 110-120.</v>
      </c>
      <c r="F252" s="10"/>
      <c r="G252" s="10" t="str">
        <f ca="1">IFERROR(__xludf.DUMMYFUNCTION("""COMPUTED_VALUE"""),"М. Максимова.")</f>
        <v>М. Максимова.</v>
      </c>
      <c r="H252" s="10"/>
      <c r="I252" s="10"/>
      <c r="J252" s="10"/>
      <c r="K252" s="10"/>
      <c r="L252" s="10"/>
      <c r="M252" s="10"/>
      <c r="N252" s="10"/>
      <c r="O252" s="10"/>
      <c r="P252" s="10"/>
      <c r="Q252" s="10"/>
      <c r="R252" s="10"/>
      <c r="S252" s="10"/>
      <c r="T252" s="10"/>
      <c r="U252" s="10"/>
      <c r="V252" s="10"/>
      <c r="W252" s="10"/>
      <c r="X252" s="10"/>
      <c r="Y252" s="10"/>
      <c r="Z252" s="10"/>
    </row>
    <row r="253" spans="1:26" ht="12.75">
      <c r="A253" s="10" t="str">
        <f ca="1">IFERROR(__xludf.DUMMYFUNCTION("""COMPUTED_VALUE"""),"Александра Венкова Куманова")</f>
        <v>Александра Венкова Куманова</v>
      </c>
      <c r="B253" s="10" t="str">
        <f ca="1">IFERROR(__xludf.DUMMYFUNCTION("""COMPUTED_VALUE"""),"Статия в списания и поредици")</f>
        <v>Статия в списания и поредици</v>
      </c>
      <c r="C253" s="10" t="str">
        <f ca="1">IFERROR(__xludf.DUMMYFUNCTION("""COMPUTED_VALUE"""),"Личност : [Определение].")</f>
        <v>Личност : [Определение].</v>
      </c>
      <c r="D253" s="10">
        <f ca="1">IFERROR(__xludf.DUMMYFUNCTION("""COMPUTED_VALUE"""),2009)</f>
        <v>2009</v>
      </c>
      <c r="E253" s="10" t="str">
        <f ca="1">IFERROR(__xludf.DUMMYFUNCTION("""COMPUTED_VALUE"""),"Тр. на Студентското науч. о-во при Специализ. висше у-ще по библиотекознание и информ. технолог. (София). – ISSN 1313-4566. – Т. 4, 2009, с. 457-458.")</f>
        <v>Тр. на Студентското науч. о-во при Специализ. висше у-ще по библиотекознание и информ. технолог. (София). – ISSN 1313-4566. – Т. 4, 2009, с. 457-458.</v>
      </c>
      <c r="F253" s="10"/>
      <c r="G253" s="10"/>
      <c r="H253" s="10"/>
      <c r="I253" s="10"/>
      <c r="J253" s="10"/>
      <c r="K253" s="10"/>
      <c r="L253" s="10"/>
      <c r="M253" s="10"/>
      <c r="N253" s="10"/>
      <c r="O253" s="10"/>
      <c r="P253" s="10"/>
      <c r="Q253" s="10"/>
      <c r="R253" s="10"/>
      <c r="S253" s="10"/>
      <c r="T253" s="10"/>
      <c r="U253" s="10"/>
      <c r="V253" s="10"/>
      <c r="W253" s="10"/>
      <c r="X253" s="10"/>
      <c r="Y253" s="10"/>
      <c r="Z253" s="10"/>
    </row>
    <row r="254" spans="1:26" ht="12.75">
      <c r="A254" s="10" t="str">
        <f ca="1">IFERROR(__xludf.DUMMYFUNCTION("""COMPUTED_VALUE"""),"Александра Венкова Куманова")</f>
        <v>Александра Венкова Куманова</v>
      </c>
      <c r="B254" s="10" t="str">
        <f ca="1">IFERROR(__xludf.DUMMYFUNCTION("""COMPUTED_VALUE"""),"Статия в списания и поредици")</f>
        <v>Статия в списания и поредици</v>
      </c>
      <c r="C254" s="10" t="str">
        <f ca="1">IFERROR(__xludf.DUMMYFUNCTION("""COMPUTED_VALUE"""),"Уникати – мълчаливи свидетели на интеракциите на древните цивилизации : Експедиции на Специализ. висше у-ще по библиотекознание и информ. технолог. за установяване историогр. информ. карта на нестинарската феноменология в България (2007-2008 г.)")</f>
        <v>Уникати – мълчаливи свидетели на интеракциите на древните цивилизации : Експедиции на Специализ. висше у-ще по библиотекознание и информ. технолог. за установяване историогр. информ. карта на нестинарската феноменология в България (2007-2008 г.)</v>
      </c>
      <c r="D254" s="10">
        <f ca="1">IFERROR(__xludf.DUMMYFUNCTION("""COMPUTED_VALUE"""),2009)</f>
        <v>2009</v>
      </c>
      <c r="E254" s="10" t="str">
        <f ca="1">IFERROR(__xludf.DUMMYFUNCTION("""COMPUTED_VALUE"""),"// За буквите – О писменехь : Кирило-Методиевски вестник (София). – ISSN 1312-3785. – N 30, май 2009, с. 33 : с ил.")</f>
        <v>// За буквите – О писменехь : Кирило-Методиевски вестник (София). – ISSN 1312-3785. – N 30, май 2009, с. 33 : с ил.</v>
      </c>
      <c r="F254" s="10"/>
      <c r="G254" s="10" t="str">
        <f ca="1">IFERROR(__xludf.DUMMYFUNCTION("""COMPUTED_VALUE"""),"С. Денчев, М. Куманов, Н. Казански.")</f>
        <v>С. Денчев, М. Куманов, Н. Казански.</v>
      </c>
      <c r="H254" s="10"/>
      <c r="I254" s="10"/>
      <c r="J254" s="10"/>
      <c r="K254" s="10"/>
      <c r="L254" s="10"/>
      <c r="M254" s="10"/>
      <c r="N254" s="10"/>
      <c r="O254" s="10"/>
      <c r="P254" s="10"/>
      <c r="Q254" s="10"/>
      <c r="R254" s="10"/>
      <c r="S254" s="10"/>
      <c r="T254" s="10"/>
      <c r="U254" s="10"/>
      <c r="V254" s="10"/>
      <c r="W254" s="10"/>
      <c r="X254" s="10"/>
      <c r="Y254" s="10"/>
      <c r="Z254" s="10"/>
    </row>
    <row r="255" spans="1:26" ht="12.75">
      <c r="A255" s="10" t="str">
        <f ca="1">IFERROR(__xludf.DUMMYFUNCTION("""COMPUTED_VALUE"""),"Александра Венкова Куманова")</f>
        <v>Александра Венкова Куманова</v>
      </c>
      <c r="B255" s="10" t="str">
        <f ca="1">IFERROR(__xludf.DUMMYFUNCTION("""COMPUTED_VALUE"""),"Доклад от конференция")</f>
        <v>Доклад от конференция</v>
      </c>
      <c r="C255" s="10" t="str">
        <f ca="1">IFERROR(__xludf.DUMMYFUNCTION("""COMPUTED_VALUE"""),"Феноменът „лидер” : пасионарност : търсене – намиране – създаване")</f>
        <v>Феноменът „лидер” : пасионарност : търсене – намиране – създаване</v>
      </c>
      <c r="D255" s="10">
        <f ca="1">IFERROR(__xludf.DUMMYFUNCTION("""COMPUTED_VALUE"""),2009)</f>
        <v>2009</v>
      </c>
      <c r="E255" s="10" t="str">
        <f ca="1">IFERROR(__xludf.DUMMYFUNCTION("""COMPUTED_VALUE"""),"Докл. на ІІ науч. сес. Лидерите на социалните идеи в България XIX-XX век, проведена в Големия салон на БАН – 25 юни 2009 г. // Бюлетин / Инст. по теория и практика на лидерството „Стефан Стамболов”. – ISSN 1313-8782. – 2009, N 2, с. 52-53.
 Публ. и в: &lt;ht"&amp;"tp://eleadership.unibit.bg/?page=publications&gt;.")</f>
        <v>Докл. на ІІ науч. сес. Лидерите на социалните идеи в България XIX-XX век, проведена в Големия салон на БАН – 25 юни 2009 г. // Бюлетин / Инст. по теория и практика на лидерството „Стефан Стамболов”. – ISSN 1313-8782. – 2009, N 2, с. 52-53.
 Публ. и в: &lt;http://eleadership.unibit.bg/?page=publications&gt;.</v>
      </c>
      <c r="F255" s="10"/>
      <c r="G255" s="10"/>
      <c r="H255" s="10"/>
      <c r="I255" s="10"/>
      <c r="J255" s="10"/>
      <c r="K255" s="10"/>
      <c r="L255" s="10"/>
      <c r="M255" s="10"/>
      <c r="N255" s="10"/>
      <c r="O255" s="10"/>
      <c r="P255" s="10"/>
      <c r="Q255" s="10"/>
      <c r="R255" s="10"/>
      <c r="S255" s="10"/>
      <c r="T255" s="10"/>
      <c r="U255" s="10"/>
      <c r="V255" s="10"/>
      <c r="W255" s="10"/>
      <c r="X255" s="10"/>
      <c r="Y255" s="10"/>
      <c r="Z255" s="10"/>
    </row>
    <row r="256" spans="1:26" ht="12.75">
      <c r="A256" s="10" t="str">
        <f ca="1">IFERROR(__xludf.DUMMYFUNCTION("""COMPUTED_VALUE"""),"Александра Венкова Куманова")</f>
        <v>Александра Венкова Куманова</v>
      </c>
      <c r="B256" s="10" t="str">
        <f ca="1">IFERROR(__xludf.DUMMYFUNCTION("""COMPUTED_VALUE"""),"Статия в списания и поредици")</f>
        <v>Статия в списания и поредици</v>
      </c>
      <c r="C256" s="10" t="str">
        <f ca="1">IFERROR(__xludf.DUMMYFUNCTION("""COMPUTED_VALUE"""),"Tabula gratulatorum [ІІІ-ІV] : Систематизиран хронолог.-азб. библиогр. списък на пуб. на чл. на Студентското науч. о-во на унив. : 2005-2009 (NN 1-319)")</f>
        <v>Tabula gratulatorum [ІІІ-ІV] : Систематизиран хронолог.-азб. библиогр. списък на пуб. на чл. на Студентското науч. о-во на унив. : 2005-2009 (NN 1-319)</v>
      </c>
      <c r="D256" s="10">
        <f ca="1">IFERROR(__xludf.DUMMYFUNCTION("""COMPUTED_VALUE"""),2009)</f>
        <v>2009</v>
      </c>
      <c r="E256" s="10" t="str">
        <f ca="1">IFERROR(__xludf.DUMMYFUNCTION("""COMPUTED_VALUE"""),"[Състав. А. Куманова ; Библиогр. ред. М. Максимова ; Посв. се на С. Денчев]. // Тр. на Студентското науч. о-во при Специализ. висше у-ще по библиотекознание и информ. технолог. (София). – ISSN 1313-4566. – Т. 4, 2009, с. 7-48 : 319 ном. назв. Публ. и в: &amp;"&amp;"lt; http://www.sno.unibit.bg &amp;gt;.")</f>
        <v>[Състав. А. Куманова ; Библиогр. ред. М. Максимова ; Посв. се на С. Денчев]. // Тр. на Студентското науч. о-во при Специализ. висше у-ще по библиотекознание и информ. технолог. (София). – ISSN 1313-4566. – Т. 4, 2009, с. 7-48 : 319 ном. назв. Публ. и в: &amp;lt; http://www.sno.unibit.bg &amp;gt;.</v>
      </c>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c r="A257" s="10" t="str">
        <f ca="1">IFERROR(__xludf.DUMMYFUNCTION("""COMPUTED_VALUE"""),"Александра Венкова Куманова")</f>
        <v>Александра Венкова Куманова</v>
      </c>
      <c r="B257" s="10" t="str">
        <f ca="1">IFERROR(__xludf.DUMMYFUNCTION("""COMPUTED_VALUE"""),"Доклад от конференция")</f>
        <v>Доклад от конференция</v>
      </c>
      <c r="C257" s="10" t="str">
        <f ca="1">IFERROR(__xludf.DUMMYFUNCTION("""COMPUTED_VALUE"""),"Информационна картина на феномена „личност” :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f>
        <v>Информационна картина на феномена „личност” :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v>
      </c>
      <c r="D257" s="10">
        <f ca="1">IFERROR(__xludf.DUMMYFUNCTION("""COMPUTED_VALUE"""),2009)</f>
        <v>2009</v>
      </c>
      <c r="E257" s="10" t="str">
        <f ca="1">IFERROR(__xludf.DUMMYFUNCTION("""COMPUTED_VALUE"""),"Докл. на ІV Студентска науч. конф. на СВУБИТ. // Тр. на Студентското науч. о-во при Специализ. висше у-ще по библиотекознание и информ. технолог. (София). – ISSN 1313-4566. – Т. 4, 2009, с. 63-76 : с 1-5 табл., ил. – Съавт.: С. Денчев, П. Златкова, Е. Игн"&amp;"атова, М. Никова. – Предварит. публ.")</f>
        <v>Докл. на ІV Студентска науч. конф. на СВУБИТ. // Тр. на Студентското науч. о-во при Специализ. висше у-ще по библиотекознание и информ. технолог. (София). – ISSN 1313-4566. – Т. 4, 2009, с. 63-76 : с 1-5 табл., ил. – Съавт.: С. Денчев, П. Златкова, Е. Игнатова, М. Никова. – Предварит. публ.</v>
      </c>
      <c r="F257" s="10"/>
      <c r="G257" s="10" t="str">
        <f ca="1">IFERROR(__xludf.DUMMYFUNCTION("""COMPUTED_VALUE"""),"С. Денчев, П. Златкова, Е. Игнатова, М. Никова")</f>
        <v>С. Денчев, П. Златкова, Е. Игнатова, М. Никова</v>
      </c>
      <c r="H257" s="10"/>
      <c r="I257" s="10"/>
      <c r="J257" s="10"/>
      <c r="K257" s="10"/>
      <c r="L257" s="10"/>
      <c r="M257" s="10"/>
      <c r="N257" s="10"/>
      <c r="O257" s="10"/>
      <c r="P257" s="10"/>
      <c r="Q257" s="10"/>
      <c r="R257" s="10"/>
      <c r="S257" s="10"/>
      <c r="T257" s="10"/>
      <c r="U257" s="10"/>
      <c r="V257" s="10"/>
      <c r="W257" s="10"/>
      <c r="X257" s="10"/>
      <c r="Y257" s="10"/>
      <c r="Z257" s="10"/>
    </row>
    <row r="258" spans="1:26" ht="12.75">
      <c r="A258" s="10" t="str">
        <f ca="1">IFERROR(__xludf.DUMMYFUNCTION("""COMPUTED_VALUE"""),"Александра Венкова Куманова")</f>
        <v>Александра Венкова Куманова</v>
      </c>
      <c r="B258" s="10" t="str">
        <f ca="1">IFERROR(__xludf.DUMMYFUNCTION("""COMPUTED_VALUE"""),"Доклад от конференция")</f>
        <v>Доклад от конференция</v>
      </c>
      <c r="C258" s="10" t="str">
        <f ca="1">IFERROR(__xludf.DUMMYFUNCTION("""COMPUTED_VALUE"""),"Графемите на кирилицата в естествената знакова класификация на писмото на Homo sapiens`a (Към аксиолог. въпрос за методологията на писмената ера) : Докл. / Епигр.: „Слънцето не свети ли на всички” – Св. Климент Охридски")</f>
        <v>Графемите на кирилицата в естествената знакова класификация на писмото на Homo sapiens`a (Към аксиолог. въпрос за методологията на писмената ера) : Докл. / Епигр.: „Слънцето не свети ли на всички” – Св. Климент Охридски</v>
      </c>
      <c r="D258" s="10">
        <f ca="1">IFERROR(__xludf.DUMMYFUNCTION("""COMPUTED_VALUE"""),2009)</f>
        <v>2009</v>
      </c>
      <c r="E258" s="10" t="str">
        <f ca="1">IFERROR(__xludf.DUMMYFUNCTION("""COMPUTED_VALUE"""),"[Шеста] VІ национална научна конференция с международно участие „България в културното многообразие на Европа”, 1.11.2008 г., София, Национален дворец на културата. – София, 2009. – ISBN 978-954-8887-65-6. – с. 111-118. – Съавт. С. Денчев.")</f>
        <v>[Шеста] VІ национална научна конференция с международно участие „България в културното многообразие на Европа”, 1.11.2008 г., София, Национален дворец на културата. – София, 2009. – ISBN 978-954-8887-65-6. – с. 111-118. – Съавт. С. Денчев.</v>
      </c>
      <c r="F258" s="10"/>
      <c r="G258" s="10" t="str">
        <f ca="1">IFERROR(__xludf.DUMMYFUNCTION("""COMPUTED_VALUE"""),"С. Денчев")</f>
        <v>С. Денчев</v>
      </c>
      <c r="H258" s="10"/>
      <c r="I258" s="10"/>
      <c r="J258" s="10"/>
      <c r="K258" s="10"/>
      <c r="L258" s="10"/>
      <c r="M258" s="10"/>
      <c r="N258" s="10"/>
      <c r="O258" s="10"/>
      <c r="P258" s="10"/>
      <c r="Q258" s="10"/>
      <c r="R258" s="10"/>
      <c r="S258" s="10"/>
      <c r="T258" s="10"/>
      <c r="U258" s="10"/>
      <c r="V258" s="10"/>
      <c r="W258" s="10"/>
      <c r="X258" s="10"/>
      <c r="Y258" s="10"/>
      <c r="Z258" s="10"/>
    </row>
    <row r="259" spans="1:26" ht="12.75">
      <c r="A259" s="10" t="str">
        <f ca="1">IFERROR(__xludf.DUMMYFUNCTION("""COMPUTED_VALUE"""),"Александра Венкова Куманова")</f>
        <v>Александра Венкова Куманова</v>
      </c>
      <c r="B259" s="10" t="str">
        <f ca="1">IFERROR(__xludf.DUMMYFUNCTION("""COMPUTED_VALUE"""),"Доклад от конференция")</f>
        <v>Доклад от конференция</v>
      </c>
      <c r="C259" s="10" t="str">
        <f ca="1">IFERROR(__xludf.DUMMYFUNCTION("""COMPUTED_VALUE"""),"Графемите на писмото на Homo sapiens`a (Естествена знакова класификация на човечеството) : Плен. докл. [на ІІІ науч. семинар на СВУБИТ, Слънчев бряг, 8-10.05.2008 г.] / Епигр.: „Ние сме устата на пространството / И времето” – А. А. Тарковски ; „Мъдрец не "&amp;"е този, който различава, а този, който съпоставя ивиците светлина, откъдето и да излизат те …” – У. Еко ; „Когато губим познанието за пътищата на развитие на знанието, ние губим неговата пълнота, цялостност, губим реалността.” – Н. Яръмов.")</f>
        <v>Графемите на писмото на Homo sapiens`a (Естествена знакова класификация на човечеството) : Плен. докл. [на ІІІ науч. семинар на СВУБИТ, Слънчев бряг, 8-10.05.2008 г.] / Епигр.: „Ние сме устата на пространството / И времето” – А. А. Тарковски ; „Мъдрец не е този, който различава, а този, който съпоставя ивиците светлина, откъдето и да излизат те …” – У. Еко ; „Когато губим познанието за пътищата на развитие на знанието, ние губим неговата пълнота, цялостност, губим реалността.” – Н. Яръмов.</v>
      </c>
      <c r="D259" s="10">
        <f ca="1">IFERROR(__xludf.DUMMYFUNCTION("""COMPUTED_VALUE"""),2009)</f>
        <v>2009</v>
      </c>
      <c r="E259" s="10" t="str">
        <f ca="1">IFERROR(__xludf.DUMMYFUNCTION("""COMPUTED_VALUE"""),"// Нови информационни технологии в образователния процес (София). – ISSN 1313-2768. – 2009, с. 9-26. – Съавт. С. Денчев. – С рис. на авт. – Библиогр.: 19 неном. назв. в 35 ном. бел.")</f>
        <v>// Нови информационни технологии в образователния процес (София). – ISSN 1313-2768. – 2009, с. 9-26. – Съавт. С. Денчев. – С рис. на авт. – Библиогр.: 19 неном. назв. в 35 ном. бел.</v>
      </c>
      <c r="F259" s="10"/>
      <c r="G259" s="10" t="str">
        <f ca="1">IFERROR(__xludf.DUMMYFUNCTION("""COMPUTED_VALUE"""),"С. Денчев")</f>
        <v>С. Денчев</v>
      </c>
      <c r="H259" s="10"/>
      <c r="I259" s="10"/>
      <c r="J259" s="10"/>
      <c r="K259" s="10"/>
      <c r="L259" s="10"/>
      <c r="M259" s="10"/>
      <c r="N259" s="10"/>
      <c r="O259" s="10"/>
      <c r="P259" s="10"/>
      <c r="Q259" s="10"/>
      <c r="R259" s="10"/>
      <c r="S259" s="10"/>
      <c r="T259" s="10"/>
      <c r="U259" s="10"/>
      <c r="V259" s="10"/>
      <c r="W259" s="10"/>
      <c r="X259" s="10"/>
      <c r="Y259" s="10"/>
      <c r="Z259" s="10"/>
    </row>
    <row r="260" spans="1:26" ht="12.75">
      <c r="A260" s="10" t="str">
        <f ca="1">IFERROR(__xludf.DUMMYFUNCTION("""COMPUTED_VALUE"""),"Александра Венкова Куманова")</f>
        <v>Александра Венкова Куманова</v>
      </c>
      <c r="B260" s="10" t="str">
        <f ca="1">IFERROR(__xludf.DUMMYFUNCTION("""COMPUTED_VALUE"""),"Доклад от конференция")</f>
        <v>Доклад от конференция</v>
      </c>
      <c r="C260" s="10" t="str">
        <f ca="1">IFERROR(__xludf.DUMMYFUNCTION("""COMPUTED_VALUE"""),"Планетарна информационна среда на културата (Върху опита за прочит на нестинарството : Рацион. карта) (ІІ. Анализ) / Епигр.: „… и се раздаваше всекиму според нуждата” – Деян. (4:35)")</f>
        <v>Планетарна информационна среда на културата (Върху опита за прочит на нестинарството : Рацион. карта) (ІІ. Анализ) / Епигр.: „… и се раздаваше всекиму според нуждата” – Деян. (4:35)</v>
      </c>
      <c r="D260" s="10">
        <f ca="1">IFERROR(__xludf.DUMMYFUNCTION("""COMPUTED_VALUE"""),2009)</f>
        <v>2009</v>
      </c>
      <c r="E260" s="10" t="str">
        <f ca="1">IFERROR(__xludf.DUMMYFUNCTION("""COMPUTED_VALUE"""),": Докл. // [Шеста] VІ национална научна конференция с международно участие „България в културното многообразие на Европа”, 1 ноември 2008 г., София, Национален дворец на културата. – София, 2009. – ISBN 978-954-8887-65-6. – с. 475-504. – Съавт.: С. Денчев"&amp;", М. Куманов, Н. Казански. – Библиогр.: 92 неном. назв. в 16 ном. бел. – Продълж.")</f>
        <v>: Докл. // [Шеста] VІ национална научна конференция с международно участие „България в културното многообразие на Европа”, 1 ноември 2008 г., София, Национален дворец на културата. – София, 2009. – ISBN 978-954-8887-65-6. – с. 475-504. – Съавт.: С. Денчев, М. Куманов, Н. Казански. – Библиогр.: 92 неном. назв. в 16 ном. бел. – Продълж.</v>
      </c>
      <c r="F260" s="10"/>
      <c r="G260" s="10" t="str">
        <f ca="1">IFERROR(__xludf.DUMMYFUNCTION("""COMPUTED_VALUE"""),"С. Денчев, М. Куманов, Н. Казански")</f>
        <v>С. Денчев, М. Куманов, Н. Казански</v>
      </c>
      <c r="H260" s="10"/>
      <c r="I260" s="10"/>
      <c r="J260" s="10"/>
      <c r="K260" s="10"/>
      <c r="L260" s="10"/>
      <c r="M260" s="10"/>
      <c r="N260" s="10"/>
      <c r="O260" s="10"/>
      <c r="P260" s="10"/>
      <c r="Q260" s="10"/>
      <c r="R260" s="10"/>
      <c r="S260" s="10"/>
      <c r="T260" s="10"/>
      <c r="U260" s="10"/>
      <c r="V260" s="10"/>
      <c r="W260" s="10"/>
      <c r="X260" s="10"/>
      <c r="Y260" s="10"/>
      <c r="Z260" s="10"/>
    </row>
    <row r="261" spans="1:26" ht="12.75">
      <c r="A261" s="10" t="str">
        <f ca="1">IFERROR(__xludf.DUMMYFUNCTION("""COMPUTED_VALUE"""),"Александра Венкова Куманова")</f>
        <v>Александра Венкова Куманова</v>
      </c>
      <c r="B261" s="10" t="str">
        <f ca="1">IFERROR(__xludf.DUMMYFUNCTION("""COMPUTED_VALUE"""),"Доклад от конференция")</f>
        <v>Доклад от конференция</v>
      </c>
      <c r="C261" s="10" t="str">
        <f ca="1">IFERROR(__xludf.DUMMYFUNCTION("""COMPUTED_VALUE"""),"Изследване на информационната карта на трансмисиите на култура в нестинарската обредност като открита информационна среда на култовите практики и вярвания, установими в музеите на Централна и Източна Турция (Ист.: Сев. Месопотамия)")</f>
        <v>Изследване на информационната карта на трансмисиите на култура в нестинарската обредност като открита информационна среда на култовите практики и вярвания, установими в музеите на Централна и Източна Турция (Ист.: Сев. Месопотамия)</v>
      </c>
      <c r="D261" s="10">
        <f ca="1">IFERROR(__xludf.DUMMYFUNCTION("""COMPUTED_VALUE"""),2009)</f>
        <v>2009</v>
      </c>
      <c r="E261" s="10" t="str">
        <f ca="1">IFERROR(__xludf.DUMMYFUNCTION("""COMPUTED_VALUE"""),"Докл. на заседание на Науч. съвет на Специализ. висше у-ще по библиотекознание и информ. технолог. на 29.06.2009 г. / Епигр.: „Вяра е жива представа на онова, за което се надяваме, и разкриване на онова, що се не вижда” – Евр. (11: 1). // За буквите – О п"&amp;"исменехь : Кирило-Методиевски вестник (София). – ISSN 1312-3785. – N 31, ноем. 2009, с. 31 : с ил. – Съавт.: С. Денчев, Н. Казански, Н. Василев. – Начало. – Редуц. публ.")</f>
        <v>Докл. на заседание на Науч. съвет на Специализ. висше у-ще по библиотекознание и информ. технолог. на 29.06.2009 г. / Епигр.: „Вяра е жива представа на онова, за което се надяваме, и разкриване на онова, що се не вижда” – Евр. (11: 1). // За буквите – О писменехь : Кирило-Методиевски вестник (София). – ISSN 1312-3785. – N 31, ноем. 2009, с. 31 : с ил. – Съавт.: С. Денчев, Н. Казански, Н. Василев. – Начало. – Редуц. публ.</v>
      </c>
      <c r="F261" s="10"/>
      <c r="G261" s="10" t="str">
        <f ca="1">IFERROR(__xludf.DUMMYFUNCTION("""COMPUTED_VALUE"""),"С. Денчев, Н. Казански, Н. Василев")</f>
        <v>С. Денчев, Н. Казански, Н. Василев</v>
      </c>
      <c r="H261" s="10"/>
      <c r="I261" s="10"/>
      <c r="J261" s="10"/>
      <c r="K261" s="10"/>
      <c r="L261" s="10"/>
      <c r="M261" s="10"/>
      <c r="N261" s="10"/>
      <c r="O261" s="10"/>
      <c r="P261" s="10"/>
      <c r="Q261" s="10"/>
      <c r="R261" s="10"/>
      <c r="S261" s="10"/>
      <c r="T261" s="10"/>
      <c r="U261" s="10"/>
      <c r="V261" s="10"/>
      <c r="W261" s="10"/>
      <c r="X261" s="10"/>
      <c r="Y261" s="10"/>
      <c r="Z261" s="10"/>
    </row>
    <row r="262" spans="1:26" ht="12.75">
      <c r="A262" s="10" t="str">
        <f ca="1">IFERROR(__xludf.DUMMYFUNCTION("""COMPUTED_VALUE"""),"Александра Венкова Куманова")</f>
        <v>Александра Венкова Куманова</v>
      </c>
      <c r="B262" s="10" t="str">
        <f ca="1">IFERROR(__xludf.DUMMYFUNCTION("""COMPUTED_VALUE"""),"Статия в списания и поредици")</f>
        <v>Статия в списания и поредици</v>
      </c>
      <c r="C262" s="10" t="str">
        <f ca="1">IFERROR(__xludf.DUMMYFUNCTION("""COMPUTED_VALUE"""),"Личност : [Определение].")</f>
        <v>Личност : [Определение].</v>
      </c>
      <c r="D262" s="10">
        <f ca="1">IFERROR(__xludf.DUMMYFUNCTION("""COMPUTED_VALUE"""),2009)</f>
        <v>2009</v>
      </c>
      <c r="E262" s="10" t="str">
        <f ca="1">IFERROR(__xludf.DUMMYFUNCTION("""COMPUTED_VALUE"""),"// Тр. на Студентското науч. о-во при Специализ. висше у-ще по библиотекознание и информ. технолог. (София). – ISSN 1313-4566. – Т. 4, 2009, с. 457-458.")</f>
        <v>// Тр. на Студентското науч. о-во при Специализ. висше у-ще по библиотекознание и информ. технолог. (София). – ISSN 1313-4566. – Т. 4, 2009, с. 457-458.</v>
      </c>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c r="A263" s="10" t="str">
        <f ca="1">IFERROR(__xludf.DUMMYFUNCTION("""COMPUTED_VALUE"""),"Александра Венкова Куманова")</f>
        <v>Александра Венкова Куманова</v>
      </c>
      <c r="B263" s="10" t="str">
        <f ca="1">IFERROR(__xludf.DUMMYFUNCTION("""COMPUTED_VALUE"""),"Статия в списания и поредици")</f>
        <v>Статия в списания и поредици</v>
      </c>
      <c r="C263" s="10" t="str">
        <f ca="1">IFERROR(__xludf.DUMMYFUNCTION("""COMPUTED_VALUE"""),"Научноизследователското творчество на членовете на Студентското научно общество на СВУБИТ (Стратификация по проведените І-ІІІ и подготвяната ІV Студентска научна конференция, 2005-2008 г. : Докл. и съобщ. на ІІІ Науч. семинар на СВУБИТ, Слънчев бряг, 8-10"&amp;".05.2008 г. ; Епигр.: „Varius multiplex multiformis” [крилата мисъл].")</f>
        <v>Научноизследователското творчество на членовете на Студентското научно общество на СВУБИТ (Стратификация по проведените І-ІІІ и подготвяната ІV Студентска научна конференция, 2005-2008 г. : Докл. и съобщ. на ІІІ Науч. семинар на СВУБИТ, Слънчев бряг, 8-10.05.2008 г. ; Епигр.: „Varius multiplex multiformis” [крилата мисъл].</v>
      </c>
      <c r="D263" s="10">
        <f ca="1">IFERROR(__xludf.DUMMYFUNCTION("""COMPUTED_VALUE"""),2009)</f>
        <v>2009</v>
      </c>
      <c r="E263" s="10" t="str">
        <f ca="1">IFERROR(__xludf.DUMMYFUNCTION("""COMPUTED_VALUE"""),"Нови информационни технологии в образователния процес (София). – ISSN 1313-2768. – 2009, с. 9-26 : с табл")</f>
        <v>Нови информационни технологии в образователния процес (София). – ISSN 1313-2768. – 2009, с. 9-26 : с табл</v>
      </c>
      <c r="F263" s="10"/>
      <c r="G263" s="10" t="str">
        <f ca="1">IFERROR(__xludf.DUMMYFUNCTION("""COMPUTED_VALUE"""),"С. Денчев, Иглика Гетова-Златева, П. Попова, С. Шапкалова, П. Златкова, С. Ефтимова, Е. Игнатова, Г. Трифонова")</f>
        <v>С. Денчев, Иглика Гетова-Златева, П. Попова, С. Шапкалова, П. Златкова, С. Ефтимова, Е. Игнатова, Г. Трифонова</v>
      </c>
      <c r="H263" s="10"/>
      <c r="I263" s="10"/>
      <c r="J263" s="10"/>
      <c r="K263" s="10"/>
      <c r="L263" s="10"/>
      <c r="M263" s="10"/>
      <c r="N263" s="10"/>
      <c r="O263" s="10"/>
      <c r="P263" s="10"/>
      <c r="Q263" s="10"/>
      <c r="R263" s="10"/>
      <c r="S263" s="10"/>
      <c r="T263" s="10"/>
      <c r="U263" s="10"/>
      <c r="V263" s="10"/>
      <c r="W263" s="10"/>
      <c r="X263" s="10"/>
      <c r="Y263" s="10"/>
      <c r="Z263" s="10"/>
    </row>
    <row r="264" spans="1:26" ht="12.75">
      <c r="A264" s="10" t="str">
        <f ca="1">IFERROR(__xludf.DUMMYFUNCTION("""COMPUTED_VALUE"""),"Александра Венкова Куманова")</f>
        <v>Александра Венкова Куманова</v>
      </c>
      <c r="B264" s="10" t="str">
        <f ca="1">IFERROR(__xludf.DUMMYFUNCTION("""COMPUTED_VALUE"""),"Статия в списания и поредици")</f>
        <v>Статия в списания и поредици</v>
      </c>
      <c r="C264" s="10" t="str">
        <f ca="1">IFERROR(__xludf.DUMMYFUNCTION("""COMPUTED_VALUE"""),"Иранские корни нестинарского феномена (Экспедиция в Иран с целью установления историографической информационной карты нестинарской феноменологии в Болгарии в качестве трансмиссии мировой культуры) / Эпиграф: „Все племя Адамово – тело одно…” – Саади / пер."&amp;" К. Липскерова.")</f>
        <v>Иранские корни нестинарского феномена (Экспедиция в Иран с целью установления историографической информационной карты нестинарской феноменологии в Болгарии в качестве трансмиссии мировой культуры) / Эпиграф: „Все племя Адамово – тело одно…” – Саади / пер. К. Липскерова.</v>
      </c>
      <c r="D264" s="10">
        <f ca="1">IFERROR(__xludf.DUMMYFUNCTION("""COMPUTED_VALUE"""),2009)</f>
        <v>2009</v>
      </c>
      <c r="E264" s="10" t="str">
        <f ca="1">IFERROR(__xludf.DUMMYFUNCTION("""COMPUTED_VALUE"""),"Митра : Зороастр. информ.-аналит. журн. (Санкт-Петербург), 2009, N 10 (14), с. 131-141 : с ил.")</f>
        <v>Митра : Зороастр. информ.-аналит. журн. (Санкт-Петербург), 2009, N 10 (14), с. 131-141 : с ил.</v>
      </c>
      <c r="F264" s="10"/>
      <c r="G264" s="10" t="str">
        <f ca="1">IFERROR(__xludf.DUMMYFUNCTION("""COMPUTED_VALUE"""),"С. Денчев, М. Куманов, Н. Казански.")</f>
        <v>С. Денчев, М. Куманов, Н. Казански.</v>
      </c>
      <c r="H264" s="10"/>
      <c r="I264" s="10"/>
      <c r="J264" s="10"/>
      <c r="K264" s="10"/>
      <c r="L264" s="10"/>
      <c r="M264" s="10"/>
      <c r="N264" s="10"/>
      <c r="O264" s="10"/>
      <c r="P264" s="10"/>
      <c r="Q264" s="10"/>
      <c r="R264" s="10"/>
      <c r="S264" s="10"/>
      <c r="T264" s="10"/>
      <c r="U264" s="10"/>
      <c r="V264" s="10"/>
      <c r="W264" s="10"/>
      <c r="X264" s="10"/>
      <c r="Y264" s="10"/>
      <c r="Z264" s="10"/>
    </row>
    <row r="265" spans="1:26" ht="12.75">
      <c r="A265" s="10" t="str">
        <f ca="1">IFERROR(__xludf.DUMMYFUNCTION("""COMPUTED_VALUE"""),"Александра Венкова Куманова")</f>
        <v>Александра Венкова Куманова</v>
      </c>
      <c r="B265" s="10" t="str">
        <f ca="1">IFERROR(__xludf.DUMMYFUNCTION("""COMPUTED_VALUE"""),"Статия в списания и поредици")</f>
        <v>Статия в списания и поредици</v>
      </c>
      <c r="C265" s="10" t="str">
        <f ca="1">IFERROR(__xludf.DUMMYFUNCTION("""COMPUTED_VALUE"""),"Азбучен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библи"&amp;"отекознание – информатика – информационни технологии)")</f>
        <v>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библиотекознание – информатика – информационни технологии)</v>
      </c>
      <c r="D265" s="10">
        <f ca="1">IFERROR(__xludf.DUMMYFUNCTION("""COMPUTED_VALUE"""),2009)</f>
        <v>2009</v>
      </c>
      <c r="E265" s="10" t="str">
        <f ca="1">IFERROR(__xludf.DUMMYFUNCTION("""COMPUTED_VALUE"""),"// Тр. на Студентското науч. о-во при Специализ. висше у-ще по библиотекознание и информ. технолог. (София). – ISSN 1313-4566. – Т. 4, 2009, с. 121-136. – Съавт. С. Денчев. – Библиогр.: 105 ном. назв. – Разшир.публ.")</f>
        <v>// Тр. на Студентското науч. о-во при Специализ. висше у-ще по библиотекознание и информ. технолог. (София). – ISSN 1313-4566. – Т. 4, 2009, с. 121-136. – Съавт. С. Денчев. – Библиогр.: 105 ном. назв. – Разшир.публ.</v>
      </c>
      <c r="F265" s="10"/>
      <c r="G265" s="10" t="str">
        <f ca="1">IFERROR(__xludf.DUMMYFUNCTION("""COMPUTED_VALUE"""),"Ст. Денчев")</f>
        <v>Ст. Денчев</v>
      </c>
      <c r="H265" s="10"/>
      <c r="I265" s="10"/>
      <c r="J265" s="10"/>
      <c r="K265" s="10"/>
      <c r="L265" s="10"/>
      <c r="M265" s="10"/>
      <c r="N265" s="10"/>
      <c r="O265" s="10"/>
      <c r="P265" s="10"/>
      <c r="Q265" s="10"/>
      <c r="R265" s="10"/>
      <c r="S265" s="10"/>
      <c r="T265" s="10"/>
      <c r="U265" s="10"/>
      <c r="V265" s="10"/>
      <c r="W265" s="10"/>
      <c r="X265" s="10"/>
      <c r="Y265" s="10"/>
      <c r="Z265" s="10"/>
    </row>
    <row r="266" spans="1:26" ht="12.75">
      <c r="A266" s="10" t="str">
        <f ca="1">IFERROR(__xludf.DUMMYFUNCTION("""COMPUTED_VALUE"""),"Александра Венкова Куманова")</f>
        <v>Александра Венкова Куманова</v>
      </c>
      <c r="B266" s="10" t="str">
        <f ca="1">IFERROR(__xludf.DUMMYFUNCTION("""COMPUTED_VALUE"""),"Статия в списания и поредици")</f>
        <v>Статия в списания и поредици</v>
      </c>
      <c r="C266" s="10" t="str">
        <f ca="1">IFERROR(__xludf.DUMMYFUNCTION("""COMPUTED_VALUE"""),"Библиографски данни за филма „Ритъмът на времето (Нестинарство: Информационна карта)”, премиери и научни публикации на авторския колектив.")</f>
        <v>Библиографски данни за филма „Ритъмът на времето (Нестинарство: Информационна карта)”, премиери и научни публикации на авторския колектив.</v>
      </c>
      <c r="D266" s="10">
        <f ca="1">IFERROR(__xludf.DUMMYFUNCTION("""COMPUTED_VALUE"""),2009)</f>
        <v>2009</v>
      </c>
      <c r="E266" s="10" t="str">
        <f ca="1">IFERROR(__xludf.DUMMYFUNCTION("""COMPUTED_VALUE"""),"// Издател (В. Търново). – ISSN 1310-4624. – 2009, N 3-4, с. 41-46 : с ил.")</f>
        <v>// Издател (В. Търново). – ISSN 1310-4624. – 2009, N 3-4, с. 41-46 : с ил.</v>
      </c>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c r="A267" s="10" t="str">
        <f ca="1">IFERROR(__xludf.DUMMYFUNCTION("""COMPUTED_VALUE"""),"Александра Венкова Куманова")</f>
        <v>Александра Венкова Куманова</v>
      </c>
      <c r="B267" s="10" t="str">
        <f ca="1">IFERROR(__xludf.DUMMYFUNCTION("""COMPUTED_VALUE"""),"Доклад от конференция")</f>
        <v>Доклад от конференция</v>
      </c>
      <c r="C267" s="10" t="str">
        <f ca="1">IFERROR(__xludf.DUMMYFUNCTION("""COMPUTED_VALUE"""),"Историографска експедиция в Санкт-Петербург за установяване информационната карта на нестинарската феноменология в България / Епигр.: „Uno itinere non potest pervenire ad tantum grande secretum” [крилата мисъл]")</f>
        <v>Историографска експедиция в Санкт-Петербург за установяване информационната карта на нестинарската феноменология в България / Епигр.: „Uno itinere non potest pervenire ad tantum grande secretum” [крилата мисъл]</v>
      </c>
      <c r="D267" s="10">
        <f ca="1">IFERROR(__xludf.DUMMYFUNCTION("""COMPUTED_VALUE"""),2009)</f>
        <v>2009</v>
      </c>
      <c r="E267" s="10" t="str">
        <f ca="1">IFERROR(__xludf.DUMMYFUNCTION("""COMPUTED_VALUE"""),"Докл. // [Шеста] VІ национална научна конференция с международно участие „България в културното многообразие на Европа”, 1 ноември 2008 г., София, Национален дворец на културата. – София, 2009. – ISBN 978-954-8887-65-6. – с. 505-610. – Съавт.: С. Денчев, "&amp;"М. Куманов, Н. Казански. – Библиогр.: 1036 неном. загл. в 136 ном. бел.")</f>
        <v>Докл. // [Шеста] VІ национална научна конференция с международно участие „България в културното многообразие на Европа”, 1 ноември 2008 г., София, Национален дворец на културата. – София, 2009. – ISBN 978-954-8887-65-6. – с. 505-610. – Съавт.: С. Денчев, М. Куманов, Н. Казански. – Библиогр.: 1036 неном. загл. в 136 ном. бел.</v>
      </c>
      <c r="F267" s="10"/>
      <c r="G267" s="10" t="str">
        <f ca="1">IFERROR(__xludf.DUMMYFUNCTION("""COMPUTED_VALUE"""),"С. Денчев, М. Куманов, Н. Казански.")</f>
        <v>С. Денчев, М. Куманов, Н. Казански.</v>
      </c>
      <c r="H267" s="10"/>
      <c r="I267" s="10"/>
      <c r="J267" s="10"/>
      <c r="K267" s="10"/>
      <c r="L267" s="10"/>
      <c r="M267" s="10"/>
      <c r="N267" s="10"/>
      <c r="O267" s="10"/>
      <c r="P267" s="10"/>
      <c r="Q267" s="10"/>
      <c r="R267" s="10"/>
      <c r="S267" s="10"/>
      <c r="T267" s="10"/>
      <c r="U267" s="10"/>
      <c r="V267" s="10"/>
      <c r="W267" s="10"/>
      <c r="X267" s="10"/>
      <c r="Y267" s="10"/>
      <c r="Z267" s="10"/>
    </row>
    <row r="268" spans="1:26" ht="12.75">
      <c r="A268" s="10" t="str">
        <f ca="1">IFERROR(__xludf.DUMMYFUNCTION("""COMPUTED_VALUE"""),"Александра Венкова Куманова")</f>
        <v>Александра Венкова Куманова</v>
      </c>
      <c r="B268" s="10" t="str">
        <f ca="1">IFERROR(__xludf.DUMMYFUNCTION("""COMPUTED_VALUE"""),"Статия в списания и поредици")</f>
        <v>Статия в списания и поредици</v>
      </c>
      <c r="C268" s="10" t="str">
        <f ca="1">IFERROR(__xludf.DUMMYFUNCTION("""COMPUTED_VALUE"""),"За Том ІV на Студентското научно общество при Специализираното висше училище по библиотекознание и информационни технологии (Вместо предговор от съставителите).")</f>
        <v>За Том ІV на Студентското научно общество при Специализираното висше училище по библиотекознание и информационни технологии (Вместо предговор от съставителите).</v>
      </c>
      <c r="D268" s="10">
        <f ca="1">IFERROR(__xludf.DUMMYFUNCTION("""COMPUTED_VALUE"""),2009)</f>
        <v>2009</v>
      </c>
      <c r="E268" s="10" t="str">
        <f ca="1">IFERROR(__xludf.DUMMYFUNCTION("""COMPUTED_VALUE"""),"Тр. на Студентското науч. о-во при Специализ. висше у-ще по библиотекознание и информ. технолог. (София). – ISSN 1313-4566. – Т. 4, 2009, с. 51-62 : с табл.")</f>
        <v>Тр. на Студентското науч. о-во при Специализ. висше у-ще по библиотекознание и информ. технолог. (София). – ISSN 1313-4566. – Т. 4, 2009, с. 51-62 : с табл.</v>
      </c>
      <c r="F268" s="10"/>
      <c r="G268" s="10" t="str">
        <f ca="1">IFERROR(__xludf.DUMMYFUNCTION("""COMPUTED_VALUE"""),"С. Шапкалова, Т. Генова, П. Златкова, И. Гетова-Златева, П. Попова.")</f>
        <v>С. Шапкалова, Т. Генова, П. Златкова, И. Гетова-Златева, П. Попова.</v>
      </c>
      <c r="H268" s="10"/>
      <c r="I268" s="10"/>
      <c r="J268" s="10"/>
      <c r="K268" s="10"/>
      <c r="L268" s="10"/>
      <c r="M268" s="10"/>
      <c r="N268" s="10"/>
      <c r="O268" s="10"/>
      <c r="P268" s="10"/>
      <c r="Q268" s="10"/>
      <c r="R268" s="10"/>
      <c r="S268" s="10"/>
      <c r="T268" s="10"/>
      <c r="U268" s="10"/>
      <c r="V268" s="10"/>
      <c r="W268" s="10"/>
      <c r="X268" s="10"/>
      <c r="Y268" s="10"/>
      <c r="Z268" s="10"/>
    </row>
    <row r="269" spans="1:26" ht="12.75">
      <c r="A269" s="10" t="str">
        <f ca="1">IFERROR(__xludf.DUMMYFUNCTION("""COMPUTED_VALUE"""),"Александра Венкова Куманова")</f>
        <v>Александра Венкова Куманова</v>
      </c>
      <c r="B269" s="10" t="str">
        <f ca="1">IFERROR(__xludf.DUMMYFUNCTION("""COMPUTED_VALUE"""),"Статия в списания и поредици")</f>
        <v>Статия в списания и поредици</v>
      </c>
      <c r="C269" s="10" t="str">
        <f ca="1">IFERROR(__xludf.DUMMYFUNCTION("""COMPUTED_VALUE"""),"Нестинарството – живата старина : Експедиции в Странджа – Древен Иран – Санкт Петербург – Центр. и Изт. Турция (Кападокия) : Изследване на информ. карта на трансмисиите на култура в нестинарската обредност като открита информ. среда на култовите практики "&amp;"и вярвяния, установими в музеите на Центр. и Изт. Турция (ист.: Сев. Месопотамия) / Епигр.: „Вяра е жива представа на онова, за което се надяваме, и разкриване на онова, що се не вижда” – Евр. (11:1).")</f>
        <v>Нестинарството – живата старина : Експедиции в Странджа – Древен Иран – Санкт Петербург – Центр. и Изт. Турция (Кападокия) : Изследване на информ. карта на трансмисиите на култура в нестинарската обредност като открита информ. среда на култовите практики и вярвяния, установими в музеите на Центр. и Изт. Турция (ист.: Сев. Месопотамия) / Епигр.: „Вяра е жива представа на онова, за което се надяваме, и разкриване на онова, що се не вижда” – Евр. (11:1).</v>
      </c>
      <c r="D269" s="10">
        <f ca="1">IFERROR(__xludf.DUMMYFUNCTION("""COMPUTED_VALUE"""),2009)</f>
        <v>2009</v>
      </c>
      <c r="E269" s="10" t="str">
        <f ca="1">IFERROR(__xludf.DUMMYFUNCTION("""COMPUTED_VALUE"""),"За буквите – О писменехь : Кирило-Методиевски вестник (София). – ISSN 1312-3785. – N 31, ноем. 2009, с. 28-29 : с ил.")</f>
        <v>За буквите – О писменехь : Кирило-Методиевски вестник (София). – ISSN 1312-3785. – N 31, ноем. 2009, с. 28-29 : с ил.</v>
      </c>
      <c r="F269" s="10"/>
      <c r="G269" s="10" t="str">
        <f ca="1">IFERROR(__xludf.DUMMYFUNCTION("""COMPUTED_VALUE"""),"С. Денчев, Н. Казански, Н. Василев.")</f>
        <v>С. Денчев, Н. Казански, Н. Василев.</v>
      </c>
      <c r="H269" s="10"/>
      <c r="I269" s="10"/>
      <c r="J269" s="10"/>
      <c r="K269" s="10"/>
      <c r="L269" s="10"/>
      <c r="M269" s="10"/>
      <c r="N269" s="10"/>
      <c r="O269" s="10"/>
      <c r="P269" s="10"/>
      <c r="Q269" s="10"/>
      <c r="R269" s="10"/>
      <c r="S269" s="10"/>
      <c r="T269" s="10"/>
      <c r="U269" s="10"/>
      <c r="V269" s="10"/>
      <c r="W269" s="10"/>
      <c r="X269" s="10"/>
      <c r="Y269" s="10"/>
      <c r="Z269" s="10"/>
    </row>
    <row r="270" spans="1:26" ht="12.75">
      <c r="A270" s="10" t="str">
        <f ca="1">IFERROR(__xludf.DUMMYFUNCTION("""COMPUTED_VALUE"""),"Александра Венкова Куманова")</f>
        <v>Александра Венкова Куманова</v>
      </c>
      <c r="B270" s="10" t="str">
        <f ca="1">IFERROR(__xludf.DUMMYFUNCTION("""COMPUTED_VALUE"""),"Статия в списания и поредици")</f>
        <v>Статия в списания и поредици</v>
      </c>
      <c r="C270" s="10" t="str">
        <f ca="1">IFERROR(__xludf.DUMMYFUNCTION("""COMPUTED_VALUE"""),"От Древна Тракия до Плиска и Преслав : По птичето трасе Via Pontica : Науч. експедиция в доислямски Иран. Историогр. информ. карта на нестинарската феноменология в България (17-29.06.2008. – София – Техеран – София).")</f>
        <v>От Древна Тракия до Плиска и Преслав : По птичето трасе Via Pontica : Науч. експедиция в доислямски Иран. Историогр. информ. карта на нестинарската феноменология в България (17-29.06.2008. – София – Техеран – София).</v>
      </c>
      <c r="D270" s="10">
        <f ca="1">IFERROR(__xludf.DUMMYFUNCTION("""COMPUTED_VALUE"""),2009)</f>
        <v>2009</v>
      </c>
      <c r="E270" s="10" t="str">
        <f ca="1">IFERROR(__xludf.DUMMYFUNCTION("""COMPUTED_VALUE"""),"// За буквите – О писменехь : Кирило-Методиевски вестник (София). – ISSN 1312-3785. – N 30, май 2009, с. 32-33 : с ил.")</f>
        <v>// За буквите – О писменехь : Кирило-Методиевски вестник (София). – ISSN 1312-3785. – N 30, май 2009, с. 32-33 : с ил.</v>
      </c>
      <c r="F270" s="10"/>
      <c r="G270" s="10" t="str">
        <f ca="1">IFERROR(__xludf.DUMMYFUNCTION("""COMPUTED_VALUE"""),"С. Денчев, М. Куманов, Н. Казански.")</f>
        <v>С. Денчев, М. Куманов, Н. Казански.</v>
      </c>
      <c r="H270" s="10"/>
      <c r="I270" s="10"/>
      <c r="J270" s="10"/>
      <c r="K270" s="10"/>
      <c r="L270" s="10"/>
      <c r="M270" s="10"/>
      <c r="N270" s="10"/>
      <c r="O270" s="10"/>
      <c r="P270" s="10"/>
      <c r="Q270" s="10"/>
      <c r="R270" s="10"/>
      <c r="S270" s="10"/>
      <c r="T270" s="10"/>
      <c r="U270" s="10"/>
      <c r="V270" s="10"/>
      <c r="W270" s="10"/>
      <c r="X270" s="10"/>
      <c r="Y270" s="10"/>
      <c r="Z270" s="10"/>
    </row>
    <row r="271" spans="1:26" ht="12.75">
      <c r="A271" s="10" t="str">
        <f ca="1">IFERROR(__xludf.DUMMYFUNCTION("""COMPUTED_VALUE"""),"Александра Венкова Куманова")</f>
        <v>Александра Венкова Куманова</v>
      </c>
      <c r="B271" s="10" t="str">
        <f ca="1">IFERROR(__xludf.DUMMYFUNCTION("""COMPUTED_VALUE"""),"Статия в списания и поредици")</f>
        <v>Статия в списания и поредици</v>
      </c>
      <c r="C271" s="10" t="str">
        <f ca="1">IFERROR(__xludf.DUMMYFUNCTION("""COMPUTED_VALUE"""),"Експедиция в Иран за установяване историографската информационна карта на нестинарската феноменология в България : [Изследване на информ. паралел между културите на Древен Иран и България] / Епигр.: „Чадата на Адам едно са тяло” – Саади.")</f>
        <v>Експедиция в Иран за установяване историографската информационна карта на нестинарската феноменология в България : [Изследване на информ. паралел между културите на Древен Иран и България] / Епигр.: „Чадата на Адам едно са тяло” – Саади.</v>
      </c>
      <c r="D271" s="10">
        <f ca="1">IFERROR(__xludf.DUMMYFUNCTION("""COMPUTED_VALUE"""),2008)</f>
        <v>2008</v>
      </c>
      <c r="E271" s="10" t="str">
        <f ca="1">IFERROR(__xludf.DUMMYFUNCTION("""COMPUTED_VALUE"""),"Издател (В. Търново). – ISSN 1310-4624. – 2008, N 3-4, с. 45-55 : с ил.")</f>
        <v>Издател (В. Търново). – ISSN 1310-4624. – 2008, N 3-4, с. 45-55 : с ил.</v>
      </c>
      <c r="F271" s="10"/>
      <c r="G271" s="10" t="str">
        <f ca="1">IFERROR(__xludf.DUMMYFUNCTION("""COMPUTED_VALUE"""),"С. Денчев, М. Куманов, Н. Казански.")</f>
        <v>С. Денчев, М. Куманов, Н. Казански.</v>
      </c>
      <c r="H271" s="10"/>
      <c r="I271" s="10"/>
      <c r="J271" s="10"/>
      <c r="K271" s="10"/>
      <c r="L271" s="10"/>
      <c r="M271" s="10"/>
      <c r="N271" s="10"/>
      <c r="O271" s="10"/>
      <c r="P271" s="10"/>
      <c r="Q271" s="10"/>
      <c r="R271" s="10"/>
      <c r="S271" s="10"/>
      <c r="T271" s="10"/>
      <c r="U271" s="10"/>
      <c r="V271" s="10"/>
      <c r="W271" s="10"/>
      <c r="X271" s="10"/>
      <c r="Y271" s="10"/>
      <c r="Z271" s="10"/>
    </row>
    <row r="272" spans="1:26" ht="12.75">
      <c r="A272" s="10" t="str">
        <f ca="1">IFERROR(__xludf.DUMMYFUNCTION("""COMPUTED_VALUE"""),"Александра Венкова Куманова")</f>
        <v>Александра Венкова Куманова</v>
      </c>
      <c r="B272" s="10" t="str">
        <f ca="1">IFERROR(__xludf.DUMMYFUNCTION("""COMPUTED_VALUE"""),"Статия в списания и поредици")</f>
        <v>Статия в списания и поредици</v>
      </c>
      <c r="C272" s="10" t="str">
        <f ca="1">IFERROR(__xludf.DUMMYFUNCTION("""COMPUTED_VALUE"""),"Графемите на писмото на Homo sapiens’a")</f>
        <v>Графемите на писмото на Homo sapiens’a</v>
      </c>
      <c r="D272" s="10">
        <f ca="1">IFERROR(__xludf.DUMMYFUNCTION("""COMPUTED_VALUE"""),2008)</f>
        <v>2008</v>
      </c>
      <c r="E272" s="10" t="str">
        <f ca="1">IFERROR(__xludf.DUMMYFUNCTION("""COMPUTED_VALUE"""),"// Издател (В. Търново). – ISSN 1310-4624. – 2008, N 1-2, с. 2-8. – Съавт. С. Денчев. –")</f>
        <v>// Издател (В. Търново). – ISSN 1310-4624. – 2008, N 1-2, с. 2-8. – Съавт. С. Денчев. –</v>
      </c>
      <c r="F272" s="10"/>
      <c r="G272" s="10" t="str">
        <f ca="1">IFERROR(__xludf.DUMMYFUNCTION("""COMPUTED_VALUE"""),"Ст. Денчев")</f>
        <v>Ст. Денчев</v>
      </c>
      <c r="H272" s="10"/>
      <c r="I272" s="10"/>
      <c r="J272" s="10"/>
      <c r="K272" s="10"/>
      <c r="L272" s="10"/>
      <c r="M272" s="10"/>
      <c r="N272" s="10"/>
      <c r="O272" s="10"/>
      <c r="P272" s="10"/>
      <c r="Q272" s="10"/>
      <c r="R272" s="10"/>
      <c r="S272" s="10"/>
      <c r="T272" s="10"/>
      <c r="U272" s="10"/>
      <c r="V272" s="10"/>
      <c r="W272" s="10"/>
      <c r="X272" s="10"/>
      <c r="Y272" s="10"/>
      <c r="Z272" s="10"/>
    </row>
    <row r="273" spans="1:26" ht="12.75">
      <c r="A273" s="10" t="str">
        <f ca="1">IFERROR(__xludf.DUMMYFUNCTION("""COMPUTED_VALUE"""),"Александра Венкова Куманова")</f>
        <v>Александра Венкова Куманова</v>
      </c>
      <c r="B273" s="10" t="str">
        <f ca="1">IFERROR(__xludf.DUMMYFUNCTION("""COMPUTED_VALUE"""),"Статия в списания и поредици")</f>
        <v>Статия в списания и поредици</v>
      </c>
      <c r="C273" s="10" t="str">
        <f ca="1">IFERROR(__xludf.DUMMYFUNCTION("""COMPUTED_VALUE"""),"Святото Кирило-Методиево дело : Провидчество на ХХІ в. (Филос. и информ. карт. на познанието и о-вото) : [ За феноменологията на акад. интерактивни интертекстуални аксиологии на Студентското науч. о-во при Унив. по библиотекознание и информ. технолог. „Бя"&amp;"ла светлина” (Lux alba) : Оратория : Божествен флорилегиум – Идил. триптих : 1-3 / Епигр.: „и ний сме дали нещо на светът / и на вси словене книга да четът” – И. Вазов].")</f>
        <v>Святото Кирило-Методиево дело : Провидчество на ХХІ в. (Филос. и информ. карт. на познанието и о-вото) : [ За феноменологията на акад. интерактивни интертекстуални аксиологии на Студентското науч. о-во при Унив. по библиотекознание и информ. технолог. „Бяла светлина” (Lux alba) : Оратория : Божествен флорилегиум – Идил. триптих : 1-3 / Епигр.: „и ний сме дали нещо на светът / и на вси словене книга да четът” – И. Вазов].</v>
      </c>
      <c r="D273" s="10">
        <f ca="1">IFERROR(__xludf.DUMMYFUNCTION("""COMPUTED_VALUE"""),2008)</f>
        <v>2008</v>
      </c>
      <c r="E273" s="10" t="str">
        <f ca="1">IFERROR(__xludf.DUMMYFUNCTION("""COMPUTED_VALUE"""),"Тр. на Студентското науч. о-во при Специализ. висше у-ще по библиотекознание и информ. технолог. (София). – ISSN 1313-4566. – Т. 2, 2008, с. 493-502. – Библиогр.: 19 неномерирани назв. в 24 номерирани бел. – Без подпис. – Осн. публ.")</f>
        <v>Тр. на Студентското науч. о-во при Специализ. висше у-ще по библиотекознание и информ. технолог. (София). – ISSN 1313-4566. – Т. 2, 2008, с. 493-502. – Библиогр.: 19 неномерирани назв. в 24 номерирани бел. – Без подпис. – Осн. публ.</v>
      </c>
      <c r="F273" s="10"/>
      <c r="G273" s="10"/>
      <c r="H273" s="10"/>
      <c r="I273" s="10"/>
      <c r="J273" s="10"/>
      <c r="K273" s="10"/>
      <c r="L273" s="10"/>
      <c r="M273" s="10"/>
      <c r="N273" s="10"/>
      <c r="O273" s="10"/>
      <c r="P273" s="10"/>
      <c r="Q273" s="10"/>
      <c r="R273" s="10"/>
      <c r="S273" s="10"/>
      <c r="T273" s="10"/>
      <c r="U273" s="10"/>
      <c r="V273" s="10"/>
      <c r="W273" s="10"/>
      <c r="X273" s="10"/>
      <c r="Y273" s="10"/>
      <c r="Z273" s="10"/>
    </row>
    <row r="274" spans="1:26" ht="12.75">
      <c r="A274" s="10" t="str">
        <f ca="1">IFERROR(__xludf.DUMMYFUNCTION("""COMPUTED_VALUE"""),"Александра Венкова Куманова")</f>
        <v>Александра Венкова Куманова</v>
      </c>
      <c r="B274" s="10" t="str">
        <f ca="1">IFERROR(__xludf.DUMMYFUNCTION("""COMPUTED_VALUE"""),"Доклад от конференция")</f>
        <v>Доклад от конференция</v>
      </c>
      <c r="C274" s="10" t="str">
        <f ca="1">IFERROR(__xludf.DUMMYFUNCTION("""COMPUTED_VALUE"""),"Универсалност на хуманитарното знание : Когнитивен библиогр. контекст на инфосферата в антропол. трансформации на времето (Постановка. Методология. Историография. Терминосистема. Структура. Обобщение) : Докл. / Епигр.: „… и се раздаваше всекиму според нуж"&amp;"дата” – Деян. (4: 35) ; „Медиократичната култура – външно разширение на човека.” – М. Маклуън")</f>
        <v>Универсалност на хуманитарното знание : Когнитивен библиогр. контекст на инфосферата в антропол. трансформации на времето (Постановка. Методология. Историография. Терминосистема. Структура. Обобщение) : Докл. / Епигр.: „… и се раздаваше всекиму според нуждата” – Деян. (4: 35) ; „Медиократичната култура – външно разширение на човека.” – М. Маклуън</v>
      </c>
      <c r="D274" s="10">
        <f ca="1">IFERROR(__xludf.DUMMYFUNCTION("""COMPUTED_VALUE"""),2008)</f>
        <v>2008</v>
      </c>
      <c r="E274" s="10" t="str">
        <f ca="1">IFERROR(__xludf.DUMMYFUNCTION("""COMPUTED_VALUE"""),"// Пета нац. науч. конф. с межд. участие „Кирилицата в духовността на европейската информационна цивилизация”, София, 1 ноември 2007 г. – София, 2008. – ISBN 978-954-8887-42-7. – с. 393-423. – Съавт.: С. Денчев, Н. Казански. – Библиогр.: 16 бел. + 80 нено"&amp;"м. загл.")</f>
        <v>// Пета нац. науч. конф. с межд. участие „Кирилицата в духовността на европейската информационна цивилизация”, София, 1 ноември 2007 г. – София, 2008. – ISBN 978-954-8887-42-7. – с. 393-423. – Съавт.: С. Денчев, Н. Казански. – Библиогр.: 16 бел. + 80 неном. загл.</v>
      </c>
      <c r="F274" s="10"/>
      <c r="G274" s="10" t="str">
        <f ca="1">IFERROR(__xludf.DUMMYFUNCTION("""COMPUTED_VALUE"""),"С. Денчев, Н. Казански")</f>
        <v>С. Денчев, Н. Казански</v>
      </c>
      <c r="H274" s="10"/>
      <c r="I274" s="10"/>
      <c r="J274" s="10"/>
      <c r="K274" s="10"/>
      <c r="L274" s="10"/>
      <c r="M274" s="10"/>
      <c r="N274" s="10"/>
      <c r="O274" s="10"/>
      <c r="P274" s="10"/>
      <c r="Q274" s="10"/>
      <c r="R274" s="10"/>
      <c r="S274" s="10"/>
      <c r="T274" s="10"/>
      <c r="U274" s="10"/>
      <c r="V274" s="10"/>
      <c r="W274" s="10"/>
      <c r="X274" s="10"/>
      <c r="Y274" s="10"/>
      <c r="Z274" s="10"/>
    </row>
    <row r="275" spans="1:26" ht="12.75">
      <c r="A275" s="10" t="str">
        <f ca="1">IFERROR(__xludf.DUMMYFUNCTION("""COMPUTED_VALUE"""),"Александра Венкова Куманова")</f>
        <v>Александра Венкова Куманова</v>
      </c>
      <c r="B275" s="10" t="str">
        <f ca="1">IFERROR(__xludf.DUMMYFUNCTION("""COMPUTED_VALUE"""),"Статия в списания и поредици")</f>
        <v>Статия в списания и поредици</v>
      </c>
      <c r="C275" s="10" t="str">
        <f ca="1">IFERROR(__xludf.DUMMYFUNCTION("""COMPUTED_VALUE"""),"За изследователя, науката и информационната реалност – за Трудовете на Студентското научно общество (Вместо предговор от съставителите).")</f>
        <v>За изследователя, науката и информационната реалност – за Трудовете на Студентското научно общество (Вместо предговор от съставителите).</v>
      </c>
      <c r="D275" s="10">
        <f ca="1">IFERROR(__xludf.DUMMYFUNCTION("""COMPUTED_VALUE"""),2008)</f>
        <v>2008</v>
      </c>
      <c r="E275" s="10" t="str">
        <f ca="1">IFERROR(__xludf.DUMMYFUNCTION("""COMPUTED_VALUE"""),"Тр. на Студентското науч. о-во при Специализ. висше у-ще по библиотекознание и информ. технолог. (София). – ISSN 1313-4566. – Т. 1, 2008, с. 19-30.")</f>
        <v>Тр. на Студентското науч. о-во при Специализ. висше у-ще по библиотекознание и информ. технолог. (София). – ISSN 1313-4566. – Т. 1, 2008, с. 19-30.</v>
      </c>
      <c r="F275" s="10"/>
      <c r="G275" s="10" t="str">
        <f ca="1">IFERROR(__xludf.DUMMYFUNCTION("""COMPUTED_VALUE"""),"С. Шапкалова, Т. Генова, П. Златкова, И. Гетова-Златева, П. Попова.")</f>
        <v>С. Шапкалова, Т. Генова, П. Златкова, И. Гетова-Златева, П. Попова.</v>
      </c>
      <c r="H275" s="10"/>
      <c r="I275" s="10"/>
      <c r="J275" s="10"/>
      <c r="K275" s="10"/>
      <c r="L275" s="10"/>
      <c r="M275" s="10"/>
      <c r="N275" s="10"/>
      <c r="O275" s="10"/>
      <c r="P275" s="10"/>
      <c r="Q275" s="10"/>
      <c r="R275" s="10"/>
      <c r="S275" s="10"/>
      <c r="T275" s="10"/>
      <c r="U275" s="10"/>
      <c r="V275" s="10"/>
      <c r="W275" s="10"/>
      <c r="X275" s="10"/>
      <c r="Y275" s="10"/>
      <c r="Z275" s="10"/>
    </row>
    <row r="276" spans="1:26" ht="12.75">
      <c r="A276" s="10" t="str">
        <f ca="1">IFERROR(__xludf.DUMMYFUNCTION("""COMPUTED_VALUE"""),"Александра Венкова Куманова")</f>
        <v>Александра Венкова Куманова</v>
      </c>
      <c r="B276" s="10" t="str">
        <f ca="1">IFERROR(__xludf.DUMMYFUNCTION("""COMPUTED_VALUE"""),"Студия")</f>
        <v>Студия</v>
      </c>
      <c r="C276" s="10" t="str">
        <f ca="1">IFERROR(__xludf.DUMMYFUNCTION("""COMPUTED_VALUE"""),"Классификационные построения евро-американского библиографоведения ХVІІІ-ХХІ веков : Ист.-культ. феноменол. каркас информ. ризомы / Эпигр.: „В науке нет до сих пор ясного сознания, что явления жизни и явления мертвой природы, взятые с геологической, т.е. "&amp;"планетной, точки зрения, являются проявлением единого процесса” – В. И. Вернадский ; „...в культуре то, что было в прошлом, не умерло” – Ю. М. Лотман.")</f>
        <v>Классификационные построения евро-американского библиографоведения ХVІІІ-ХХІ веков : Ист.-культ. феноменол. каркас информ. ризомы / Эпигр.: „В науке нет до сих пор ясного сознания, что явления жизни и явления мертвой природы, взятые с геологической, т.е. планетной, точки зрения, являются проявлением единого процесса” – В. И. Вернадский ; „...в культуре то, что было в прошлом, не умерло” – Ю. М. Лотман.</v>
      </c>
      <c r="D276" s="10">
        <f ca="1">IFERROR(__xludf.DUMMYFUNCTION("""COMPUTED_VALUE"""),2008)</f>
        <v>2008</v>
      </c>
      <c r="E276" s="10" t="str">
        <f ca="1">IFERROR(__xludf.DUMMYFUNCTION("""COMPUTED_VALUE"""),"// Историко-библиографические исследования : Сб. науч. тр. / Рос. нац. библ. – Санкт-Петербург, 2008. – ISBN 978-5-8192-0342-2. – Вып. 11, с. 7-106. – 265 ном. загл. в сист. азб. ред.")</f>
        <v>// Историко-библиографические исследования : Сб. науч. тр. / Рос. нац. библ. – Санкт-Петербург, 2008. – ISBN 978-5-8192-0342-2. – Вып. 11, с. 7-106. – 265 ном. загл. в сист. азб. ред.</v>
      </c>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c r="A277" s="10" t="str">
        <f ca="1">IFERROR(__xludf.DUMMYFUNCTION("""COMPUTED_VALUE"""),"Александра Венкова Куманова")</f>
        <v>Александра Венкова Куманова</v>
      </c>
      <c r="B277" s="10" t="str">
        <f ca="1">IFERROR(__xludf.DUMMYFUNCTION("""COMPUTED_VALUE"""),"Доклад от конференция")</f>
        <v>Доклад от конференция</v>
      </c>
      <c r="C277" s="10" t="str">
        <f ca="1">IFERROR(__xludf.DUMMYFUNCTION("""COMPUTED_VALUE"""),"Планетарна информационна среда на културата (Върху опита за прочит на нестинарството : Рацион. карта) (І. Синтез) / Епигр.: „… и се раздаваше всекиму според нуждата” – Деян. (4:35).")</f>
        <v>Планетарна информационна среда на културата (Върху опита за прочит на нестинарството : Рацион. карта) (І. Синтез) / Епигр.: „… и се раздаваше всекиму според нуждата” – Деян. (4:35).</v>
      </c>
      <c r="D277" s="10">
        <f ca="1">IFERROR(__xludf.DUMMYFUNCTION("""COMPUTED_VALUE"""),2008)</f>
        <v>2008</v>
      </c>
      <c r="E277" s="10" t="str">
        <f ca="1">IFERROR(__xludf.DUMMYFUNCTION("""COMPUTED_VALUE"""),"Пета национална научна конференция с международно участие „Кирилицата в духовността на европейската информационна цивилизация”, София, 1 ноември 2007 г. – София, 2008. – ISBN 978-954-8887-42-7. – с. 608-619.")</f>
        <v>Пета национална научна конференция с международно участие „Кирилицата в духовността на европейската информационна цивилизация”, София, 1 ноември 2007 г. – София, 2008. – ISBN 978-954-8887-42-7. – с. 608-619.</v>
      </c>
      <c r="F277" s="10"/>
      <c r="G277" s="10" t="str">
        <f ca="1">IFERROR(__xludf.DUMMYFUNCTION("""COMPUTED_VALUE"""),"С. Денчев, Н. Казански.")</f>
        <v>С. Денчев, Н. Казански.</v>
      </c>
      <c r="H277" s="10"/>
      <c r="I277" s="10"/>
      <c r="J277" s="10"/>
      <c r="K277" s="10"/>
      <c r="L277" s="10"/>
      <c r="M277" s="10"/>
      <c r="N277" s="10"/>
      <c r="O277" s="10"/>
      <c r="P277" s="10"/>
      <c r="Q277" s="10"/>
      <c r="R277" s="10"/>
      <c r="S277" s="10"/>
      <c r="T277" s="10"/>
      <c r="U277" s="10"/>
      <c r="V277" s="10"/>
      <c r="W277" s="10"/>
      <c r="X277" s="10"/>
      <c r="Y277" s="10"/>
      <c r="Z277" s="10"/>
    </row>
    <row r="278" spans="1:26" ht="12.75">
      <c r="A278" s="10" t="str">
        <f ca="1">IFERROR(__xludf.DUMMYFUNCTION("""COMPUTED_VALUE"""),"Александра Венкова Куманова")</f>
        <v>Александра Венкова Куманова</v>
      </c>
      <c r="B278" s="10" t="str">
        <f ca="1">IFERROR(__xludf.DUMMYFUNCTION("""COMPUTED_VALUE"""),"Студия")</f>
        <v>Студия</v>
      </c>
      <c r="C278" s="10" t="str">
        <f ca="1">IFERROR(__xludf.DUMMYFUNCTION("""COMPUTED_VALUE"""),"Tabula gratulatorum [ІІ] : Систематизиран хронолог.-азб. библиогр. списък на публ. на чл. на Студентското науч. о-во на унив. : 2005-2008 (NN 1-229)")</f>
        <v>Tabula gratulatorum [ІІ] : Систематизиран хронолог.-азб. библиогр. списък на публ. на чл. на Студентското науч. о-во на унив. : 2005-2008 (NN 1-229)</v>
      </c>
      <c r="D278" s="10">
        <f ca="1">IFERROR(__xludf.DUMMYFUNCTION("""COMPUTED_VALUE"""),2008)</f>
        <v>2008</v>
      </c>
      <c r="E278" s="10" t="str">
        <f ca="1">IFERROR(__xludf.DUMMYFUNCTION("""COMPUTED_VALUE"""),"// Тр. на Студентското науч. о-во при Специализ. висше у-ще по библиотекознание и информ. технолог. (София). – ISSN 1313-4566. – Т. 2, 2008, с. 7-32 : 223 ном.
 назв. Публ. и в: &amp;lt; http://www.sno.unibit.bg &amp;gt;.")</f>
        <v>// Тр. на Студентското науч. о-во при Специализ. висше у-ще по библиотекознание и информ. технолог. (София). – ISSN 1313-4566. – Т. 2, 2008, с. 7-32 : 223 ном.
 назв. Публ. и в: &amp;lt; http://www.sno.unibit.bg &amp;gt;.</v>
      </c>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c r="A279" s="10" t="str">
        <f ca="1">IFERROR(__xludf.DUMMYFUNCTION("""COMPUTED_VALUE"""),"Александра Венкова Куманова")</f>
        <v>Александра Венкова Куманова</v>
      </c>
      <c r="B279" s="10" t="str">
        <f ca="1">IFERROR(__xludf.DUMMYFUNCTION("""COMPUTED_VALUE"""),"Статия в списания и поредици")</f>
        <v>Статия в списания и поредици</v>
      </c>
      <c r="C279" s="10" t="str">
        <f ca="1">IFERROR(__xludf.DUMMYFUNCTION("""COMPUTED_VALUE"""),"Святото Кирило-Методиево дело : Провидчество на ХХІ в. (Филос. и информ. карт. на познанието и о-вото) : [ За феноменологията на акад. интерактивни интертекстуални аксиологии на Студентското науч. о-во при Унив. по библиотекознание и информ. технологии „Б"&amp;"яла светлина” (Lux alba) : Оратория : Божествен флорилегиум – Идил. триптих : 1-3 / Епигр.: „и ний сме дали нещо на светът / и на вси словене книга да четът” – И. Вазов].")</f>
        <v>Святото Кирило-Методиево дело : Провидчество на ХХІ в. (Филос. и информ. карт. на познанието и о-вото) : [ За феноменологията на акад. интерактивни интертекстуални аксиологии на Студентското науч. о-во при Унив. по библиотекознание и информ. технологии „Бяла светлина” (Lux alba) : Оратория : Божествен флорилегиум – Идил. триптих : 1-3 / Епигр.: „и ний сме дали нещо на светът / и на вси словене книга да четът” – И. Вазов].</v>
      </c>
      <c r="D279" s="10">
        <f ca="1">IFERROR(__xludf.DUMMYFUNCTION("""COMPUTED_VALUE"""),2008)</f>
        <v>2008</v>
      </c>
      <c r="E279" s="10" t="str">
        <f ca="1">IFERROR(__xludf.DUMMYFUNCTION("""COMPUTED_VALUE"""),"Издател (В. Търново) – ISSN 1310-4624. – 2008, N 1-2, с. 33-38. – Предварит. публ.")</f>
        <v>Издател (В. Търново) – ISSN 1310-4624. – 2008, N 1-2, с. 33-38. – Предварит. публ.</v>
      </c>
      <c r="F279" s="10"/>
      <c r="G279" s="10"/>
      <c r="H279" s="10"/>
      <c r="I279" s="10"/>
      <c r="J279" s="10"/>
      <c r="K279" s="10"/>
      <c r="L279" s="10"/>
      <c r="M279" s="10"/>
      <c r="N279" s="10"/>
      <c r="O279" s="10"/>
      <c r="P279" s="10"/>
      <c r="Q279" s="10"/>
      <c r="R279" s="10"/>
      <c r="S279" s="10"/>
      <c r="T279" s="10"/>
      <c r="U279" s="10"/>
      <c r="V279" s="10"/>
      <c r="W279" s="10"/>
      <c r="X279" s="10"/>
      <c r="Y279" s="10"/>
      <c r="Z279" s="10"/>
    </row>
    <row r="280" spans="1:26" ht="12.75">
      <c r="A280" s="10" t="str">
        <f ca="1">IFERROR(__xludf.DUMMYFUNCTION("""COMPUTED_VALUE"""),"Александра Венкова Куманова")</f>
        <v>Александра Венкова Куманова</v>
      </c>
      <c r="B280" s="10" t="str">
        <f ca="1">IFERROR(__xludf.DUMMYFUNCTION("""COMPUTED_VALUE"""),"Статия в списания и поредици")</f>
        <v>Статия в списания и поредици</v>
      </c>
      <c r="C280" s="10" t="str">
        <f ca="1">IFERROR(__xludf.DUMMYFUNCTION("""COMPUTED_VALUE"""),"Информация : [Определение].")</f>
        <v>Информация : [Определение].</v>
      </c>
      <c r="D280" s="10">
        <f ca="1">IFERROR(__xludf.DUMMYFUNCTION("""COMPUTED_VALUE"""),2008)</f>
        <v>2008</v>
      </c>
      <c r="E280" s="10" t="str">
        <f ca="1">IFERROR(__xludf.DUMMYFUNCTION("""COMPUTED_VALUE"""),"Тр. на Студентското науч. о-во при Специализ. висше у-ще по библиотекознание и информ. технолог. (София). – ISSN 1313-4566. – Т. 1, 2008, с. 489. – Редуц. публ.")</f>
        <v>Тр. на Студентското науч. о-во при Специализ. висше у-ще по библиотекознание и информ. технолог. (София). – ISSN 1313-4566. – Т. 1, 2008, с. 489. – Редуц. публ.</v>
      </c>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c r="A281" s="10" t="str">
        <f ca="1">IFERROR(__xludf.DUMMYFUNCTION("""COMPUTED_VALUE"""),"Александра Венкова Куманова")</f>
        <v>Александра Венкова Куманова</v>
      </c>
      <c r="B281" s="10" t="str">
        <f ca="1">IFERROR(__xludf.DUMMYFUNCTION("""COMPUTED_VALUE"""),"Статия в списания и поредици")</f>
        <v>Статия в списания и поредици</v>
      </c>
      <c r="C281" s="10" t="str">
        <f ca="1">IFERROR(__xludf.DUMMYFUNCTION("""COMPUTED_VALUE"""),"За филма „Ритъмът на времето”")</f>
        <v>За филма „Ритъмът на времето”</v>
      </c>
      <c r="D281" s="10">
        <f ca="1">IFERROR(__xludf.DUMMYFUNCTION("""COMPUTED_VALUE"""),2008)</f>
        <v>2008</v>
      </c>
      <c r="E281" s="10" t="str">
        <f ca="1">IFERROR(__xludf.DUMMYFUNCTION("""COMPUTED_VALUE"""),"// Издател (В. Търново). – ISSN 1310-4624. – 2008, N 3-4, с. 63-66.")</f>
        <v>// Издател (В. Търново). – ISSN 1310-4624. – 2008, N 3-4, с. 63-66.</v>
      </c>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c r="A282" s="10" t="str">
        <f ca="1">IFERROR(__xludf.DUMMYFUNCTION("""COMPUTED_VALUE"""),"Александра Венкова Куманова")</f>
        <v>Александра Венкова Куманова</v>
      </c>
      <c r="B282" s="10" t="str">
        <f ca="1">IFERROR(__xludf.DUMMYFUNCTION("""COMPUTED_VALUE"""),"Статия в списания и поредици")</f>
        <v>Статия в списания и поредици</v>
      </c>
      <c r="C282" s="10" t="str">
        <f ca="1">IFERROR(__xludf.DUMMYFUNCTION("""COMPUTED_VALUE"""),"Графемите на писмото на Homo sapiens’a.")</f>
        <v>Графемите на писмото на Homo sapiens’a.</v>
      </c>
      <c r="D282" s="10">
        <f ca="1">IFERROR(__xludf.DUMMYFUNCTION("""COMPUTED_VALUE"""),2008)</f>
        <v>2008</v>
      </c>
      <c r="E282" s="10" t="str">
        <f ca="1">IFERROR(__xludf.DUMMYFUNCTION("""COMPUTED_VALUE"""),"Издател (В. Търново). – ISSN 1310-4624. – 2008, N 1-2, с. 2-8.")</f>
        <v>Издател (В. Търново). – ISSN 1310-4624. – 2008, N 1-2, с. 2-8.</v>
      </c>
      <c r="F282" s="10"/>
      <c r="G282" s="10" t="str">
        <f ca="1">IFERROR(__xludf.DUMMYFUNCTION("""COMPUTED_VALUE"""),"Стоян Денчев")</f>
        <v>Стоян Денчев</v>
      </c>
      <c r="H282" s="10"/>
      <c r="I282" s="10"/>
      <c r="J282" s="10"/>
      <c r="K282" s="10"/>
      <c r="L282" s="10"/>
      <c r="M282" s="10"/>
      <c r="N282" s="10"/>
      <c r="O282" s="10"/>
      <c r="P282" s="10"/>
      <c r="Q282" s="10"/>
      <c r="R282" s="10"/>
      <c r="S282" s="10"/>
      <c r="T282" s="10"/>
      <c r="U282" s="10"/>
      <c r="V282" s="10"/>
      <c r="W282" s="10"/>
      <c r="X282" s="10"/>
      <c r="Y282" s="10"/>
      <c r="Z282" s="10"/>
    </row>
    <row r="283" spans="1:26" ht="12.75">
      <c r="A283" s="10" t="str">
        <f ca="1">IFERROR(__xludf.DUMMYFUNCTION("""COMPUTED_VALUE"""),"Александра Венкова Куманова")</f>
        <v>Александра Венкова Куманова</v>
      </c>
      <c r="B283" s="10" t="str">
        <f ca="1">IFERROR(__xludf.DUMMYFUNCTION("""COMPUTED_VALUE"""),"Статия в списания и поредици")</f>
        <v>Статия в списания и поредици</v>
      </c>
      <c r="C283" s="10" t="str">
        <f ca="1">IFERROR(__xludf.DUMMYFUNCTION("""COMPUTED_VALUE"""),"За научноизследователското творчество на Студентското научно общество и неговите І-ІV конференции : За том ІІ. Избрани публикации (Вместо предговор от съставителите).")</f>
        <v>За научноизследователското творчество на Студентското научно общество и неговите І-ІV конференции : За том ІІ. Избрани публикации (Вместо предговор от съставителите).</v>
      </c>
      <c r="D283" s="10">
        <f ca="1">IFERROR(__xludf.DUMMYFUNCTION("""COMPUTED_VALUE"""),2008)</f>
        <v>2008</v>
      </c>
      <c r="E283" s="10" t="str">
        <f ca="1">IFERROR(__xludf.DUMMYFUNCTION("""COMPUTED_VALUE"""),"Тр. на Студентското науч. о-во при Специализ. висше у-ще по библиотекознание и информ. технолог. (София). – ISSN 1313-4566. – Т. 2, 2008, с. 36-78 : с табл.")</f>
        <v>Тр. на Студентското науч. о-во при Специализ. висше у-ще по библиотекознание и информ. технолог. (София). – ISSN 1313-4566. – Т. 2, 2008, с. 36-78 : с табл.</v>
      </c>
      <c r="F283" s="10"/>
      <c r="G283" s="10" t="str">
        <f ca="1">IFERROR(__xludf.DUMMYFUNCTION("""COMPUTED_VALUE"""),"С. Шапкалова, Т. Генова, П. Златкова, И. Гетова-Златева, П. Попова")</f>
        <v>С. Шапкалова, Т. Генова, П. Златкова, И. Гетова-Златева, П. Попова</v>
      </c>
      <c r="H283" s="10"/>
      <c r="I283" s="10"/>
      <c r="J283" s="10"/>
      <c r="K283" s="10"/>
      <c r="L283" s="10"/>
      <c r="M283" s="10"/>
      <c r="N283" s="10"/>
      <c r="O283" s="10"/>
      <c r="P283" s="10"/>
      <c r="Q283" s="10"/>
      <c r="R283" s="10"/>
      <c r="S283" s="10"/>
      <c r="T283" s="10"/>
      <c r="U283" s="10"/>
      <c r="V283" s="10"/>
      <c r="W283" s="10"/>
      <c r="X283" s="10"/>
      <c r="Y283" s="10"/>
      <c r="Z283" s="10"/>
    </row>
    <row r="284" spans="1:26" ht="12.75">
      <c r="A284" s="10" t="str">
        <f ca="1">IFERROR(__xludf.DUMMYFUNCTION("""COMPUTED_VALUE"""),"Александра Венкова Куманова")</f>
        <v>Александра Венкова Куманова</v>
      </c>
      <c r="B284" s="10" t="str">
        <f ca="1">IFERROR(__xludf.DUMMYFUNCTION("""COMPUTED_VALUE"""),"Статия в списания и поредици")</f>
        <v>Статия в списания и поредици</v>
      </c>
      <c r="C284" s="10" t="str">
        <f ca="1">IFERROR(__xludf.DUMMYFUNCTION("""COMPUTED_VALUE"""),"Tabula gratulatorum [І] : Систематизиран хронолог.-азб. библиогр. списък на публ. на чл. на Студентското науч. о-во на унив. : 2005-2007 (NN 1-78)")</f>
        <v>Tabula gratulatorum [І] : Систематизиран хронолог.-азб. библиогр. списък на публ. на чл. на Студентското науч. о-во на унив. : 2005-2007 (NN 1-78)</v>
      </c>
      <c r="D284" s="10">
        <f ca="1">IFERROR(__xludf.DUMMYFUNCTION("""COMPUTED_VALUE"""),2008)</f>
        <v>2008</v>
      </c>
      <c r="E284" s="10" t="str">
        <f ca="1">IFERROR(__xludf.DUMMYFUNCTION("""COMPUTED_VALUE"""),"// Тр. на Студентското науч. о-во при Специализ. висше у-ще по библиотекознание и информ. технолог. (София). – ISSN 1313-4566. – Т. 1, 2008, с. 7-16 : 72 ном. назв.
 Публ. и в: &amp;lt; http://www.sno.unibit.bg &amp;gt;.")</f>
        <v>// Тр. на Студентското науч. о-во при Специализ. висше у-ще по библиотекознание и информ. технолог. (София). – ISSN 1313-4566. – Т. 1, 2008, с. 7-16 : 72 ном. назв.
 Публ. и в: &amp;lt; http://www.sno.unibit.bg &amp;gt;.</v>
      </c>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c r="A285" s="10" t="str">
        <f ca="1">IFERROR(__xludf.DUMMYFUNCTION("""COMPUTED_VALUE"""),"Александра Венкова Куманова")</f>
        <v>Александра Венкова Куманова</v>
      </c>
      <c r="B285" s="10" t="str">
        <f ca="1">IFERROR(__xludf.DUMMYFUNCTION("""COMPUTED_VALUE"""),"Студия")</f>
        <v>Студия</v>
      </c>
      <c r="C285" s="10" t="str">
        <f ca="1">IFERROR(__xludf.DUMMYFUNCTION("""COMPUTED_VALUE"""),"Милен К. Куманов : Систематично-хронолог. библиогр. списък на кн., публ. с неговото авт. (Stabat Bibliography) [1978-2007]")</f>
        <v>Милен К. Куманов : Систематично-хронолог. библиогр. списък на кн., публ. с неговото авт. (Stabat Bibliography) [1978-2007]</v>
      </c>
      <c r="D285" s="10">
        <f ca="1">IFERROR(__xludf.DUMMYFUNCTION("""COMPUTED_VALUE"""),2008)</f>
        <v>2008</v>
      </c>
      <c r="E285" s="10" t="str">
        <f ca="1">IFERROR(__xludf.DUMMYFUNCTION("""COMPUTED_VALUE"""),"// Клио : Сб. в чест на 65-год. на … Милен
 Куманов. – София, 2008. – ISBN 978-954-617-042-2. – с. 779-800 : 136 ном. загл. – Други библиогр. ред.: М. Гаврилова, М. Максимова, Е. Недева. – Рез. на рус. и англ. ез.")</f>
        <v>// Клио : Сб. в чест на 65-год. на … Милен
 Куманов. – София, 2008. – ISBN 978-954-617-042-2. – с. 779-800 : 136 ном. загл. – Други библиогр. ред.: М. Гаврилова, М. Максимова, Е. Недева. – Рез. на рус. и англ. ез.</v>
      </c>
      <c r="F285" s="10"/>
      <c r="G285" s="10"/>
      <c r="H285" s="10"/>
      <c r="I285" s="10"/>
      <c r="J285" s="10"/>
      <c r="K285" s="10"/>
      <c r="L285" s="10"/>
      <c r="M285" s="10"/>
      <c r="N285" s="10"/>
      <c r="O285" s="10"/>
      <c r="P285" s="10"/>
      <c r="Q285" s="10"/>
      <c r="R285" s="10"/>
      <c r="S285" s="10"/>
      <c r="T285" s="10"/>
      <c r="U285" s="10"/>
      <c r="V285" s="10"/>
      <c r="W285" s="10"/>
      <c r="X285" s="10"/>
      <c r="Y285" s="10"/>
      <c r="Z285" s="10"/>
    </row>
    <row r="286" spans="1:26" ht="12.75">
      <c r="A286" s="10" t="str">
        <f ca="1">IFERROR(__xludf.DUMMYFUNCTION("""COMPUTED_VALUE"""),"Александра Венкова Куманова")</f>
        <v>Александра Венкова Куманова</v>
      </c>
      <c r="B286" s="10" t="str">
        <f ca="1">IFERROR(__xludf.DUMMYFUNCTION("""COMPUTED_VALUE"""),"Доклад от конференция")</f>
        <v>Доклад от конференция</v>
      </c>
      <c r="C286" s="10" t="str">
        <f ca="1">IFERROR(__xludf.DUMMYFUNCTION("""COMPUTED_VALUE"""),"Информационная среда культуры планеты (на опыте прочтения нестинарства /ритуальный танец на жараве/ : Рацион. карта : Докл. / Эпигр.: „Чтоб видеть то, чего искать напрасно” – Данте Алигьери / пер. М. Л. Лозинского.")</f>
        <v>Информационная среда культуры планеты (на опыте прочтения нестинарства /ритуальный танец на жараве/ : Рацион. карта : Докл. / Эпигр.: „Чтоб видеть то, чего искать напрасно” – Данте Алигьери / пер. М. Л. Лозинского.</v>
      </c>
      <c r="D286" s="10">
        <f ca="1">IFERROR(__xludf.DUMMYFUNCTION("""COMPUTED_VALUE"""),2007)</f>
        <v>2007</v>
      </c>
      <c r="E286" s="10" t="str">
        <f ca="1">IFERROR(__xludf.DUMMYFUNCTION("""COMPUTED_VALUE"""),"// Information society technologies and culture [Ел. ресурс] : X Jubilee intern. conf. „EVA 2007 Moscow : Culture and inform. soc. technologies. Cent. XXI : Electronic inform., the visual arts and beyond” = Технологии информационного общества и культура :"&amp;" X юбил. межд. конф. EVA 2007 Москва, 3-6 дек. 2007 г. : Культура и технологии информ. о-ва. Век XXI : Электрон. информ., визуальные искусства и за пределами” : [Материалы] / Всерос. гос. библ. иностр. лит. им. М. И. Рудомино ; Европ. комис. – 1 оптичен д"&amp;"иск (CD-ROM). – Тр. / Конф. – Съавт. С. Денчев. – Библиогр.: 17 неном. назв. – Без ISBN. – Публ. и на англ. ез.")</f>
        <v>// Information society technologies and culture [Ел. ресурс] : X Jubilee intern. conf. „EVA 2007 Moscow : Culture and inform. soc. technologies. Cent. XXI : Electronic inform., the visual arts and beyond” = Технологии информационного общества и культура : X юбил. межд. конф. EVA 2007 Москва, 3-6 дек. 2007 г. : Культура и технологии информ. о-ва. Век XXI : Электрон. информ., визуальные искусства и за пределами” : [Материалы] / Всерос. гос. библ. иностр. лит. им. М. И. Рудомино ; Европ. комис. – 1 оптичен диск (CD-ROM). – Тр. / Конф. – Съавт. С. Денчев. – Библиогр.: 17 неном. назв. – Без ISBN. – Публ. и на англ. ез.</v>
      </c>
      <c r="F286" s="10"/>
      <c r="G286" s="10" t="str">
        <f ca="1">IFERROR(__xludf.DUMMYFUNCTION("""COMPUTED_VALUE"""),"С. Денчев")</f>
        <v>С. Денчев</v>
      </c>
      <c r="H286" s="10"/>
      <c r="I286" s="10"/>
      <c r="J286" s="10"/>
      <c r="K286" s="10"/>
      <c r="L286" s="10"/>
      <c r="M286" s="10"/>
      <c r="N286" s="10"/>
      <c r="O286" s="10"/>
      <c r="P286" s="10"/>
      <c r="Q286" s="10"/>
      <c r="R286" s="10"/>
      <c r="S286" s="10"/>
      <c r="T286" s="10"/>
      <c r="U286" s="10"/>
      <c r="V286" s="10"/>
      <c r="W286" s="10"/>
      <c r="X286" s="10"/>
      <c r="Y286" s="10"/>
      <c r="Z286" s="10"/>
    </row>
    <row r="287" spans="1:26" ht="12.75">
      <c r="A287" s="10" t="str">
        <f ca="1">IFERROR(__xludf.DUMMYFUNCTION("""COMPUTED_VALUE"""),"Александра Венкова Куманова")</f>
        <v>Александра Венкова Куманова</v>
      </c>
      <c r="B287" s="10" t="str">
        <f ca="1">IFERROR(__xludf.DUMMYFUNCTION("""COMPUTED_VALUE"""),"Книга")</f>
        <v>Книга</v>
      </c>
      <c r="C287" s="10" t="str">
        <f ca="1">IFERROR(__xludf.DUMMYFUNCTION("""COMPUTED_VALUE"""),"Введение в гуманитарную библиографию [Ел. ресурс] : Библиографовед. исслед. : Курс лекций по общ. библиографоведению : [Ч. 1-2]")</f>
        <v>Введение в гуманитарную библиографию [Ел. ресурс] : Библиографовед. исслед. : Курс лекций по общ. библиографоведению : [Ч. 1-2]</v>
      </c>
      <c r="D287" s="10">
        <f ca="1">IFERROR(__xludf.DUMMYFUNCTION("""COMPUTED_VALUE"""),2007)</f>
        <v>2007</v>
      </c>
      <c r="E287" s="10" t="str">
        <f ca="1">IFERROR(__xludf.DUMMYFUNCTION("""COMPUTED_VALUE"""),"– София : Гутенберг, 2007. – 1 оптичен диск (CD-ROM) (42,1 MB) (1358 с.) : текст, ISBN 978-954-617-023-1")</f>
        <v>– София : Гутенберг, 2007. – 1 оптичен диск (CD-ROM) (42,1 MB) (1358 с.) : текст, ISBN 978-954-617-023-1</v>
      </c>
      <c r="F287" s="10"/>
      <c r="G287" s="10"/>
      <c r="H287" s="10"/>
      <c r="I287" s="10"/>
      <c r="J287" s="10"/>
      <c r="K287" s="10"/>
      <c r="L287" s="10"/>
      <c r="M287" s="10"/>
      <c r="N287" s="10"/>
      <c r="O287" s="10"/>
      <c r="P287" s="10"/>
      <c r="Q287" s="10"/>
      <c r="R287" s="10"/>
      <c r="S287" s="10"/>
      <c r="T287" s="10"/>
      <c r="U287" s="10"/>
      <c r="V287" s="10"/>
      <c r="W287" s="10"/>
      <c r="X287" s="10"/>
      <c r="Y287" s="10"/>
      <c r="Z287" s="10"/>
    </row>
    <row r="288" spans="1:26" ht="12.75">
      <c r="A288" s="10" t="str">
        <f ca="1">IFERROR(__xludf.DUMMYFUNCTION("""COMPUTED_VALUE"""),"Александра Венкова Куманова")</f>
        <v>Александра Венкова Куманова</v>
      </c>
      <c r="B288" s="10" t="str">
        <f ca="1">IFERROR(__xludf.DUMMYFUNCTION("""COMPUTED_VALUE"""),"Статия в списания и поредици")</f>
        <v>Статия в списания и поредици</v>
      </c>
      <c r="C288" s="10" t="str">
        <f ca="1">IFERROR(__xludf.DUMMYFUNCTION("""COMPUTED_VALUE"""),"Среща на науката с бизнеса и образованието : Знаниева индустр. навигация за информ. технолог. : Девета междунар. науч. конф. и изложба LIBCOM-2005 : [Историогр.-етимол. дискурс на междунар. науч. конф. на Русия на границата между ХХ-ХХІ в.].")</f>
        <v>Среща на науката с бизнеса и образованието : Знаниева индустр. навигация за информ. технолог. : Девета междунар. науч. конф. и изложба LIBCOM-2005 : [Историогр.-етимол. дискурс на междунар. науч. конф. на Русия на границата между ХХ-ХХІ в.].</v>
      </c>
      <c r="D288" s="10">
        <f ca="1">IFERROR(__xludf.DUMMYFUNCTION("""COMPUTED_VALUE"""),2007)</f>
        <v>2007</v>
      </c>
      <c r="E288" s="10" t="str">
        <f ca="1">IFERROR(__xludf.DUMMYFUNCTION("""COMPUTED_VALUE"""),"Тр. на Специализ. висше у-ще по библиотекознание и информ. технолог. (София). – ISSN 1312-5834. – Т. 6, 2007, с. 149-171. – Съавт. С. Денчев. – Рез. на рус. и англ. ез.")</f>
        <v>Тр. на Специализ. висше у-ще по библиотекознание и информ. технолог. (София). – ISSN 1312-5834. – Т. 6, 2007, с. 149-171. – Съавт. С. Денчев. – Рез. на рус. и англ. ез.</v>
      </c>
      <c r="F288" s="10"/>
      <c r="G288" s="10" t="str">
        <f ca="1">IFERROR(__xludf.DUMMYFUNCTION("""COMPUTED_VALUE"""),"Стоян Денчев")</f>
        <v>Стоян Денчев</v>
      </c>
      <c r="H288" s="10"/>
      <c r="I288" s="10"/>
      <c r="J288" s="10"/>
      <c r="K288" s="10"/>
      <c r="L288" s="10"/>
      <c r="M288" s="10"/>
      <c r="N288" s="10"/>
      <c r="O288" s="10"/>
      <c r="P288" s="10"/>
      <c r="Q288" s="10"/>
      <c r="R288" s="10"/>
      <c r="S288" s="10"/>
      <c r="T288" s="10"/>
      <c r="U288" s="10"/>
      <c r="V288" s="10"/>
      <c r="W288" s="10"/>
      <c r="X288" s="10"/>
      <c r="Y288" s="10"/>
      <c r="Z288" s="10"/>
    </row>
    <row r="289" spans="1:26" ht="12.75">
      <c r="A289" s="10" t="str">
        <f ca="1">IFERROR(__xludf.DUMMYFUNCTION("""COMPUTED_VALUE"""),"Александра Венкова Куманова")</f>
        <v>Александра Венкова Куманова</v>
      </c>
      <c r="B289" s="10" t="str">
        <f ca="1">IFERROR(__xludf.DUMMYFUNCTION("""COMPUTED_VALUE"""),"Статия в списания и поредици")</f>
        <v>Статия в списания и поредици</v>
      </c>
      <c r="C289" s="10" t="str">
        <f ca="1">IFERROR(__xludf.DUMMYFUNCTION("""COMPUTED_VALUE"""),"Ризоматика на информационната среда : Визуализация на хуманитарната библиогр. (Епистемология на инфосферата) / Епигр.: „Чтоб видеть то, чего искать напрасно” – Данте Алигьери / пер. М. Л. Лозинского.")</f>
        <v>Ризоматика на информационната среда : Визуализация на хуманитарната библиогр. (Епистемология на инфосферата) / Епигр.: „Чтоб видеть то, чего искать напрасно” – Данте Алигьери / пер. М. Л. Лозинского.</v>
      </c>
      <c r="D289" s="10">
        <f ca="1">IFERROR(__xludf.DUMMYFUNCTION("""COMPUTED_VALUE"""),2007)</f>
        <v>2007</v>
      </c>
      <c r="E289" s="10" t="str">
        <f ca="1">IFERROR(__xludf.DUMMYFUNCTION("""COMPUTED_VALUE"""),"Тр. на Специализ. висше у-ще по библиотекознание и информ. технолог. (София). – ISSN 1312-5834. – Т. 6, 2007, с. 127-136.")</f>
        <v>Тр. на Специализ. висше у-ще по библиотекознание и информ. технолог. (София). – ISSN 1312-5834. – Т. 6, 2007, с. 127-136.</v>
      </c>
      <c r="F289" s="10"/>
      <c r="G289" s="10" t="str">
        <f ca="1">IFERROR(__xludf.DUMMYFUNCTION("""COMPUTED_VALUE"""),"Стоян Денчев")</f>
        <v>Стоян Денчев</v>
      </c>
      <c r="H289" s="10"/>
      <c r="I289" s="10"/>
      <c r="J289" s="10"/>
      <c r="K289" s="10"/>
      <c r="L289" s="10"/>
      <c r="M289" s="10"/>
      <c r="N289" s="10"/>
      <c r="O289" s="10"/>
      <c r="P289" s="10"/>
      <c r="Q289" s="10"/>
      <c r="R289" s="10"/>
      <c r="S289" s="10"/>
      <c r="T289" s="10"/>
      <c r="U289" s="10"/>
      <c r="V289" s="10"/>
      <c r="W289" s="10"/>
      <c r="X289" s="10"/>
      <c r="Y289" s="10"/>
      <c r="Z289" s="10"/>
    </row>
    <row r="290" spans="1:26" ht="12.75">
      <c r="A290" s="10" t="str">
        <f ca="1">IFERROR(__xludf.DUMMYFUNCTION("""COMPUTED_VALUE"""),"Александра Венкова Куманова")</f>
        <v>Александра Венкова Куманова</v>
      </c>
      <c r="B290" s="10" t="str">
        <f ca="1">IFERROR(__xludf.DUMMYFUNCTION("""COMPUTED_VALUE"""),"Статия в списания и поредици")</f>
        <v>Статия в списания и поредици</v>
      </c>
      <c r="C290" s="10" t="str">
        <f ca="1">IFERROR(__xludf.DUMMYFUNCTION("""COMPUTED_VALUE"""),"Нов хуманизъм за Европа : Християнска конференция [„Нов хуманизъм за Европа. Ролята на университетите”, Рим, 21-24 юни 2007 г.].")</f>
        <v>Нов хуманизъм за Европа : Християнска конференция [„Нов хуманизъм за Европа. Ролята на университетите”, Рим, 21-24 юни 2007 г.].</v>
      </c>
      <c r="D290" s="10">
        <f ca="1">IFERROR(__xludf.DUMMYFUNCTION("""COMPUTED_VALUE"""),2007)</f>
        <v>2007</v>
      </c>
      <c r="E290" s="10" t="str">
        <f ca="1">IFERROR(__xludf.DUMMYFUNCTION("""COMPUTED_VALUE"""),"За буквите – О писменехь : Кирило-Методиевски вестник (София). – ISSN 1312-3785. – N 26, ноем. 2007, с. 22. – Съавт. Н. Казански. – Редуц. публ.")</f>
        <v>За буквите – О писменехь : Кирило-Методиевски вестник (София). – ISSN 1312-3785. – N 26, ноем. 2007, с. 22. – Съавт. Н. Казански. – Редуц. публ.</v>
      </c>
      <c r="F290" s="10"/>
      <c r="G290" s="10"/>
      <c r="H290" s="10"/>
      <c r="I290" s="10"/>
      <c r="J290" s="10"/>
      <c r="K290" s="10"/>
      <c r="L290" s="10"/>
      <c r="M290" s="10"/>
      <c r="N290" s="10"/>
      <c r="O290" s="10"/>
      <c r="P290" s="10"/>
      <c r="Q290" s="10"/>
      <c r="R290" s="10"/>
      <c r="S290" s="10"/>
      <c r="T290" s="10"/>
      <c r="U290" s="10"/>
      <c r="V290" s="10"/>
      <c r="W290" s="10"/>
      <c r="X290" s="10"/>
      <c r="Y290" s="10"/>
      <c r="Z290" s="10"/>
    </row>
    <row r="291" spans="1:26" ht="12.75">
      <c r="A291" s="10" t="str">
        <f ca="1">IFERROR(__xludf.DUMMYFUNCTION("""COMPUTED_VALUE"""),"Александра Венкова Куманова")</f>
        <v>Александра Венкова Куманова</v>
      </c>
      <c r="B291" s="10" t="str">
        <f ca="1">IFERROR(__xludf.DUMMYFUNCTION("""COMPUTED_VALUE"""),"Статия в списания и поредици")</f>
        <v>Статия в списания и поредици</v>
      </c>
      <c r="C291" s="10" t="str">
        <f ca="1">IFERROR(__xludf.DUMMYFUNCTION("""COMPUTED_VALUE"""),"Между небето и земята : Информ. картина на нестинарството като информ. среда на пластовете на културата : Фрагм. от дикторския текст на филма „Ритъмът на времето (Нестинарство. Информ. карта)” / Идея и концепция С. Денчев ; Епигр.: „Вяра е жива представа "&amp;"на онова, за което се надяваме, и разкриване на онова, що се не вижда.” – Евр. (11:1).")</f>
        <v>Между небето и земята : Информ. картина на нестинарството като информ. среда на пластовете на културата : Фрагм. от дикторския текст на филма „Ритъмът на времето (Нестинарство. Информ. карта)” / Идея и концепция С. Денчев ; Епигр.: „Вяра е жива представа на онова, за което се надяваме, и разкриване на онова, що се не вижда.” – Евр. (11:1).</v>
      </c>
      <c r="D291" s="10">
        <f ca="1">IFERROR(__xludf.DUMMYFUNCTION("""COMPUTED_VALUE"""),2007)</f>
        <v>2007</v>
      </c>
      <c r="E291" s="10" t="str">
        <f ca="1">IFERROR(__xludf.DUMMYFUNCTION("""COMPUTED_VALUE"""),"За буквите – О писменехь : Кирило-Методиевски вестник (София). – ISSN 1312-3785. – N 26, ноем. 2007, с. 34. – Без подпис.")</f>
        <v>За буквите – О писменехь : Кирило-Методиевски вестник (София). – ISSN 1312-3785. – N 26, ноем. 2007, с. 34. – Без подпис.</v>
      </c>
      <c r="F291" s="10"/>
      <c r="G291" s="10"/>
      <c r="H291" s="10"/>
      <c r="I291" s="10"/>
      <c r="J291" s="10"/>
      <c r="K291" s="10"/>
      <c r="L291" s="10"/>
      <c r="M291" s="10"/>
      <c r="N291" s="10"/>
      <c r="O291" s="10"/>
      <c r="P291" s="10"/>
      <c r="Q291" s="10"/>
      <c r="R291" s="10"/>
      <c r="S291" s="10"/>
      <c r="T291" s="10"/>
      <c r="U291" s="10"/>
      <c r="V291" s="10"/>
      <c r="W291" s="10"/>
      <c r="X291" s="10"/>
      <c r="Y291" s="10"/>
      <c r="Z291" s="10"/>
    </row>
    <row r="292" spans="1:26" ht="12.75">
      <c r="A292" s="10" t="str">
        <f ca="1">IFERROR(__xludf.DUMMYFUNCTION("""COMPUTED_VALUE"""),"Александра Венкова Куманова")</f>
        <v>Александра Венкова Куманова</v>
      </c>
      <c r="B292" s="10" t="str">
        <f ca="1">IFERROR(__xludf.DUMMYFUNCTION("""COMPUTED_VALUE"""),"Статия в списания и поредици")</f>
        <v>Статия в списания и поредици</v>
      </c>
      <c r="C292" s="10" t="str">
        <f ca="1">IFERROR(__xludf.DUMMYFUNCTION("""COMPUTED_VALUE"""),"Конференция за християнския хуманизъм в Рим [„Нов хуманизъм за Европа. Ролята на университетите”, Рим, 21-24 юни 2007 г.].")</f>
        <v>Конференция за християнския хуманизъм в Рим [„Нов хуманизъм за Европа. Ролята на университетите”, Рим, 21-24 юни 2007 г.].</v>
      </c>
      <c r="D292" s="10">
        <f ca="1">IFERROR(__xludf.DUMMYFUNCTION("""COMPUTED_VALUE"""),2007)</f>
        <v>2007</v>
      </c>
      <c r="E292" s="10" t="str">
        <f ca="1">IFERROR(__xludf.DUMMYFUNCTION("""COMPUTED_VALUE"""),"Истина – Veritas (София). – ISSN 0861-6450. – N 9 (1406), септ. 2007. – Съавт. Н. Казански. – Разшир. публ.")</f>
        <v>Истина – Veritas (София). – ISSN 0861-6450. – N 9 (1406), септ. 2007. – Съавт. Н. Казански. – Разшир. публ.</v>
      </c>
      <c r="F292" s="10"/>
      <c r="G292" s="10"/>
      <c r="H292" s="10"/>
      <c r="I292" s="10"/>
      <c r="J292" s="10"/>
      <c r="K292" s="10"/>
      <c r="L292" s="10"/>
      <c r="M292" s="10"/>
      <c r="N292" s="10"/>
      <c r="O292" s="10"/>
      <c r="P292" s="10"/>
      <c r="Q292" s="10"/>
      <c r="R292" s="10"/>
      <c r="S292" s="10"/>
      <c r="T292" s="10"/>
      <c r="U292" s="10"/>
      <c r="V292" s="10"/>
      <c r="W292" s="10"/>
      <c r="X292" s="10"/>
      <c r="Y292" s="10"/>
      <c r="Z292" s="10"/>
    </row>
    <row r="293" spans="1:26" ht="12.75">
      <c r="A293" s="10" t="str">
        <f ca="1">IFERROR(__xludf.DUMMYFUNCTION("""COMPUTED_VALUE"""),"Александра Венкова Куманова")</f>
        <v>Александра Венкова Куманова</v>
      </c>
      <c r="B293" s="10" t="str">
        <f ca="1">IFERROR(__xludf.DUMMYFUNCTION("""COMPUTED_VALUE"""),"Доклад от конференция")</f>
        <v>Доклад от конференция</v>
      </c>
      <c r="C293" s="10" t="str">
        <f ca="1">IFERROR(__xludf.DUMMYFUNCTION("""COMPUTED_VALUE"""),"Эпистемология инфосферы : Методол. вскрытие : Докл. / Эпиг.: „Мерить нужно / лишь силу, а не видимость того, / что здесь перед тобой стремится кружно” – Данте Алигьери / пер. М. Л. Лозинского")</f>
        <v>Эпистемология инфосферы : Методол. вскрытие : Докл. / Эпиг.: „Мерить нужно / лишь силу, а не видимость того, / что здесь перед тобой стремится кружно” – Данте Алигьери / пер. М. Л. Лозинского</v>
      </c>
      <c r="D293" s="10">
        <f ca="1">IFERROR(__xludf.DUMMYFUNCTION("""COMPUTED_VALUE"""),2007)</f>
        <v>2007</v>
      </c>
      <c r="E293" s="10" t="str">
        <f ca="1">IFERROR(__xludf.DUMMYFUNCTION("""COMPUTED_VALUE"""),"// Вузы культуры и искусств в едином мировом образовательном пространстве : Межд. симп., Москва, 17-18 мая 2007 г. : Сб. ст. : [В 2 т.] / [М-во культуры и массовых коммуникаций РФ, Федер. агенство по культуру и кинематографию, Моск. гос. унив. культуры и "&amp;"искусств; При содействии: ЮНЕСКО, М-во образования и науки] ; Науч. ред. Н. В. Кротова ... [и др.] = [Universities of culture and arts in a common world education space : Intern. symp.] / Min. of Culture and Mass Communication of the Russ. Federation, Fed"&amp;"eration Agency for Culture and Cinematography, The Moscow State Univ. of Culture and Arts, With the assistance of UNESCO, Min. of Education snd Science of the Russ. Federation – Moscow, 17-18 May 2007]. – Москва, 2007. – ISBN 5-94778-126-3. – Т. 2, с. 118"&amp;"-121. – Съавт. С. Денчев. – Библиогр.: 30 неном. назв. – Публ. и на англ. ез.")</f>
        <v>// Вузы культуры и искусств в едином мировом образовательном пространстве : Межд. симп., Москва, 17-18 мая 2007 г. : Сб. ст. : [В 2 т.] / [М-во культуры и массовых коммуникаций РФ, Федер. агенство по культуру и кинематографию, Моск. гос. унив. культуры и искусств; При содействии: ЮНЕСКО, М-во образования и науки] ; Науч. ред. Н. В. Кротова ... [и др.] = [Universities of culture and arts in a common world education space : Intern. symp.] / Min. of Culture and Mass Communication of the Russ. Federation, Federation Agency for Culture and Cinematography, The Moscow State Univ. of Culture and Arts, With the assistance of UNESCO, Min. of Education snd Science of the Russ. Federation – Moscow, 17-18 May 2007]. – Москва, 2007. – ISBN 5-94778-126-3. – Т. 2, с. 118-121. – Съавт. С. Денчев. – Библиогр.: 30 неном. назв. – Публ. и на англ. ез.</v>
      </c>
      <c r="F293" s="10"/>
      <c r="G293" s="10" t="str">
        <f ca="1">IFERROR(__xludf.DUMMYFUNCTION("""COMPUTED_VALUE"""),"С. Денчев")</f>
        <v>С. Денчев</v>
      </c>
      <c r="H293" s="10"/>
      <c r="I293" s="10"/>
      <c r="J293" s="10"/>
      <c r="K293" s="10"/>
      <c r="L293" s="10"/>
      <c r="M293" s="10"/>
      <c r="N293" s="10"/>
      <c r="O293" s="10"/>
      <c r="P293" s="10"/>
      <c r="Q293" s="10"/>
      <c r="R293" s="10"/>
      <c r="S293" s="10"/>
      <c r="T293" s="10"/>
      <c r="U293" s="10"/>
      <c r="V293" s="10"/>
      <c r="W293" s="10"/>
      <c r="X293" s="10"/>
      <c r="Y293" s="10"/>
      <c r="Z293" s="10"/>
    </row>
    <row r="294" spans="1:26" ht="12.75">
      <c r="A294" s="10" t="str">
        <f ca="1">IFERROR(__xludf.DUMMYFUNCTION("""COMPUTED_VALUE"""),"Александра Венкова Куманова")</f>
        <v>Александра Венкова Куманова</v>
      </c>
      <c r="B294" s="10" t="str">
        <f ca="1">IFERROR(__xludf.DUMMYFUNCTION("""COMPUTED_VALUE"""),"Доклад от конференция")</f>
        <v>Доклад от конференция</v>
      </c>
      <c r="C294" s="10" t="str">
        <f ca="1">IFERROR(__xludf.DUMMYFUNCTION("""COMPUTED_VALUE"""),"Хуманитарно знание – хуманитарна библиография (Порядък. Хармония. Симетрия. Синархия. Слово)")</f>
        <v>Хуманитарно знание – хуманитарна библиография (Порядък. Хармония. Симетрия. Синархия. Слово)</v>
      </c>
      <c r="D294" s="10">
        <f ca="1">IFERROR(__xludf.DUMMYFUNCTION("""COMPUTED_VALUE"""),2007)</f>
        <v>2007</v>
      </c>
      <c r="E294" s="10" t="str">
        <f ca="1">IFERROR(__xludf.DUMMYFUNCTION("""COMPUTED_VALUE"""),"IV Нац. науч. конф. с междунар. участие „Държавата на духа”, София, 1 ноем. 2006 г. / Специализ. висше у-ще по библиотекознание и информ. технолог. ; Изд. Захарий Стоянов ; Нац. дворец на културата ; Нац. център за кн. при М-во на културата ; Посв. на 100"&amp;"-год. от рожд. на акад. Д. С. Лихачов ; Епигр.: „Homo mensura omnium rerum” – Protagoras. // Държавата на духа. – София, 2007. – ISBN 978-954-8887-29-8. – с. 519-544. – Библиогр.: 33 неномерирани назв. в 20 номерирани бел. – Рез. на англ. ез.")</f>
        <v>IV Нац. науч. конф. с междунар. участие „Държавата на духа”, София, 1 ноем. 2006 г. / Специализ. висше у-ще по библиотекознание и информ. технолог. ; Изд. Захарий Стоянов ; Нац. дворец на културата ; Нац. център за кн. при М-во на културата ; Посв. на 100-год. от рожд. на акад. Д. С. Лихачов ; Епигр.: „Homo mensura omnium rerum” – Protagoras. // Държавата на духа. – София, 2007. – ISBN 978-954-8887-29-8. – с. 519-544. – Библиогр.: 33 неномерирани назв. в 20 номерирани бел. – Рез. на англ. ез.</v>
      </c>
      <c r="F294" s="10"/>
      <c r="G294" s="10"/>
      <c r="H294" s="10"/>
      <c r="I294" s="10"/>
      <c r="J294" s="10"/>
      <c r="K294" s="10"/>
      <c r="L294" s="10"/>
      <c r="M294" s="10"/>
      <c r="N294" s="10"/>
      <c r="O294" s="10"/>
      <c r="P294" s="10"/>
      <c r="Q294" s="10"/>
      <c r="R294" s="10"/>
      <c r="S294" s="10"/>
      <c r="T294" s="10"/>
      <c r="U294" s="10"/>
      <c r="V294" s="10"/>
      <c r="W294" s="10"/>
      <c r="X294" s="10"/>
      <c r="Y294" s="10"/>
      <c r="Z294" s="10"/>
    </row>
    <row r="295" spans="1:26" ht="12.75">
      <c r="A295" s="10" t="str">
        <f ca="1">IFERROR(__xludf.DUMMYFUNCTION("""COMPUTED_VALUE"""),"Александра Венкова Куманова")</f>
        <v>Александра Венкова Куманова</v>
      </c>
      <c r="B295" s="10" t="str">
        <f ca="1">IFERROR(__xludf.DUMMYFUNCTION("""COMPUTED_VALUE"""),"Статия в списания и поредици")</f>
        <v>Статия в списания и поредици</v>
      </c>
      <c r="C295" s="10" t="str">
        <f ca="1">IFERROR(__xludf.DUMMYFUNCTION("""COMPUTED_VALUE"""),"Знание-episteme – знание-tеchne : Трансформатизъм на инфосферата (Онтология на информ. среда) / Епигр.: „Наистина, паметта е по-голямото от пространството.” – Упанишади.")</f>
        <v>Знание-episteme – знание-tеchne : Трансформатизъм на инфосферата (Онтология на информ. среда) / Епигр.: „Наистина, паметта е по-голямото от пространството.” – Упанишади.</v>
      </c>
      <c r="D295" s="10">
        <f ca="1">IFERROR(__xludf.DUMMYFUNCTION("""COMPUTED_VALUE"""),2007)</f>
        <v>2007</v>
      </c>
      <c r="E295" s="10" t="str">
        <f ca="1">IFERROR(__xludf.DUMMYFUNCTION("""COMPUTED_VALUE"""),"Философски алтернативи (София). – ISSN 0861-7899. – XVI, 2007, N 2-3, с. 168-186. – Съавт. С. Денчев. – Библиогр. – Рез. на англ. ез.")</f>
        <v>Философски алтернативи (София). – ISSN 0861-7899. – XVI, 2007, N 2-3, с. 168-186. – Съавт. С. Денчев. – Библиогр. – Рез. на англ. ез.</v>
      </c>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c r="A296" s="10" t="str">
        <f ca="1">IFERROR(__xludf.DUMMYFUNCTION("""COMPUTED_VALUE"""),"Александра Венкова Куманова")</f>
        <v>Александра Венкова Куманова</v>
      </c>
      <c r="B296" s="10" t="str">
        <f ca="1">IFERROR(__xludf.DUMMYFUNCTION("""COMPUTED_VALUE"""),"Книга")</f>
        <v>Книга</v>
      </c>
      <c r="C296" s="10" t="str">
        <f ca="1">IFERROR(__xludf.DUMMYFUNCTION("""COMPUTED_VALUE"""),"Универсалната библиография от втора степен с международен обхват – ретроспективният многостепенен пътеводител по информационната среда на планетата : Т. Боров – „Пътя към книгите” (Историография. Хронотоп. Феноменология. Теория) : Изследване")</f>
        <v>Универсалната библиография от втора степен с международен обхват – ретроспективният многостепенен пътеводител по информационната среда на планетата : Т. Боров – „Пътя към книгите” (Историография. Хронотоп. Феноменология. Теория) : Изследване</v>
      </c>
      <c r="D296" s="10">
        <f ca="1">IFERROR(__xludf.DUMMYFUNCTION("""COMPUTED_VALUE"""),2007)</f>
        <v>2007</v>
      </c>
      <c r="E296" s="10" t="str">
        <f ca="1">IFERROR(__xludf.DUMMYFUNCTION("""COMPUTED_VALUE"""),"Библиогр. ред. Н. Казански ; Граф. дизайн-ред. Ц. Найденова ; Техн. ред. С. Янев ; Рец. С. Денчев, Ж. Стоянов ; Епигр.: „О, Дух възвишен, ти ми даде всичко” – Й. В. фон Гьоте / прев. В. Петров ; Посв. ... Т. Боров. – София : Гутенберг, 2007. – 73 с. Библи"&amp;"огр.: 130 неномерирани назв. в 29 номерирани бел. – Именен показалец. – Рез. на бълг., рус., англ., нем., фр. ез ISBN 978-954-617-015-6")</f>
        <v>Библиогр. ред. Н. Казански ; Граф. дизайн-ред. Ц. Найденова ; Техн. ред. С. Янев ; Рец. С. Денчев, Ж. Стоянов ; Епигр.: „О, Дух възвишен, ти ми даде всичко” – Й. В. фон Гьоте / прев. В. Петров ; Посв. ... Т. Боров. – София : Гутенберг, 2007. – 73 с. Библиогр.: 130 неномерирани назв. в 29 номерирани бел. – Именен показалец. – Рез. на бълг., рус., англ., нем., фр. ез ISBN 978-954-617-015-6</v>
      </c>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c r="A297" s="10" t="str">
        <f ca="1">IFERROR(__xludf.DUMMYFUNCTION("""COMPUTED_VALUE"""),"Александра Венкова Куманова")</f>
        <v>Александра Венкова Куманова</v>
      </c>
      <c r="B297" s="10" t="str">
        <f ca="1">IFERROR(__xludf.DUMMYFUNCTION("""COMPUTED_VALUE"""),"Статия в списания и поредици")</f>
        <v>Статия в списания и поредици</v>
      </c>
      <c r="C297" s="10" t="str">
        <f ca="1">IFERROR(__xludf.DUMMYFUNCTION("""COMPUTED_VALUE"""),"„Нов хуманизъм за Европа. Ролята на университетите”")</f>
        <v>„Нов хуманизъм за Европа. Ролята на университетите”</v>
      </c>
      <c r="D297" s="10">
        <f ca="1">IFERROR(__xludf.DUMMYFUNCTION("""COMPUTED_VALUE"""),2007)</f>
        <v>2007</v>
      </c>
      <c r="E297" s="10" t="str">
        <f ca="1">IFERROR(__xludf.DUMMYFUNCTION("""COMPUTED_VALUE"""),"Конференция за християнския хуманизъм в Рим, Рим, 21-24 юни 2007 г.]. // Истина – Veritas (София). – ISSN 0861-6450. – N 9 (1406), септ. 2007. – Съавт. Н. Казански. – Разшир. публ.")</f>
        <v>Конференция за християнския хуманизъм в Рим, Рим, 21-24 юни 2007 г.]. // Истина – Veritas (София). – ISSN 0861-6450. – N 9 (1406), септ. 2007. – Съавт. Н. Казански. – Разшир. публ.</v>
      </c>
      <c r="F297" s="10"/>
      <c r="G297" s="10" t="str">
        <f ca="1">IFERROR(__xludf.DUMMYFUNCTION("""COMPUTED_VALUE"""),"Н. Казански")</f>
        <v>Н. Казански</v>
      </c>
      <c r="H297" s="10"/>
      <c r="I297" s="10"/>
      <c r="J297" s="10"/>
      <c r="K297" s="10"/>
      <c r="L297" s="10"/>
      <c r="M297" s="10"/>
      <c r="N297" s="10"/>
      <c r="O297" s="10"/>
      <c r="P297" s="10"/>
      <c r="Q297" s="10"/>
      <c r="R297" s="10"/>
      <c r="S297" s="10"/>
      <c r="T297" s="10"/>
      <c r="U297" s="10"/>
      <c r="V297" s="10"/>
      <c r="W297" s="10"/>
      <c r="X297" s="10"/>
      <c r="Y297" s="10"/>
      <c r="Z297" s="10"/>
    </row>
    <row r="298" spans="1:26" ht="12.75">
      <c r="A298" s="10" t="str">
        <f ca="1">IFERROR(__xludf.DUMMYFUNCTION("""COMPUTED_VALUE"""),"Александра Венкова Куманова")</f>
        <v>Александра Венкова Куманова</v>
      </c>
      <c r="B298" s="10" t="str">
        <f ca="1">IFERROR(__xludf.DUMMYFUNCTION("""COMPUTED_VALUE"""),"Статия в списания и поредици")</f>
        <v>Статия в списания и поредици</v>
      </c>
      <c r="C298" s="10" t="str">
        <f ca="1">IFERROR(__xludf.DUMMYFUNCTION("""COMPUTED_VALUE"""),"Ритъмът на времето : Нестинарство. Информ. карта (Сценарий на едноименния науч.-докум. филм на Специализ. висше у-ще по библиотекознание и информ. технолог. / Идея и концепция С. Денчев ; Посв. се на усилията да се прониква в явното и неявното знание за в"&amp;"сяка информ. среда, чрез което тази среда се трансформира в нейна говореща ни карта-пътеводител, неизключваща нито един от информ. планове на битието и съзнанието, обхващаща ги в единство, достигащо до планетарна значимост и космичност. – София, 2007).")</f>
        <v>Ритъмът на времето : Нестинарство. Информ. карта (Сценарий на едноименния науч.-докум. филм на Специализ. висше у-ще по библиотекознание и информ. технолог. / Идея и концепция С. Денчев ; Посв. се на усилията да се прониква в явното и неявното знание за всяка информ. среда, чрез което тази среда се трансформира в нейна говореща ни карта-пътеводител, неизключваща нито един от информ. планове на битието и съзнанието, обхващаща ги в единство, достигащо до планетарна значимост и космичност. – София, 2007).</v>
      </c>
      <c r="D298" s="10">
        <f ca="1">IFERROR(__xludf.DUMMYFUNCTION("""COMPUTED_VALUE"""),2007)</f>
        <v>2007</v>
      </c>
      <c r="E298" s="10" t="str">
        <f ca="1">IFERROR(__xludf.DUMMYFUNCTION("""COMPUTED_VALUE"""),"Издател (В. Търново). – ISSN 1310-4624. – 2007, N 3-4, с. 4-8. – Без подпис.")</f>
        <v>Издател (В. Търново). – ISSN 1310-4624. – 2007, N 3-4, с. 4-8. – Без подпис.</v>
      </c>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c r="A299" s="10" t="str">
        <f ca="1">IFERROR(__xludf.DUMMYFUNCTION("""COMPUTED_VALUE"""),"Александра Венкова Куманова")</f>
        <v>Александра Венкова Куманова</v>
      </c>
      <c r="B299" s="10" t="str">
        <f ca="1">IFERROR(__xludf.DUMMYFUNCTION("""COMPUTED_VALUE"""),"Студия")</f>
        <v>Студия</v>
      </c>
      <c r="C299" s="10" t="str">
        <f ca="1">IFERROR(__xludf.DUMMYFUNCTION("""COMPUTED_VALUE"""),"Знание-episteme – знание-tеchne : Трансформатизъм на инфосферата (Онтология на информ. среда) / Епигр.: „Наистина, паметта е по-голямото от пространството.” – Упанишади.")</f>
        <v>Знание-episteme – знание-tеchne : Трансформатизъм на инфосферата (Онтология на информ. среда) / Епигр.: „Наистина, паметта е по-голямото от пространството.” – Упанишади.</v>
      </c>
      <c r="D299" s="10">
        <f ca="1">IFERROR(__xludf.DUMMYFUNCTION("""COMPUTED_VALUE"""),2006)</f>
        <v>2006</v>
      </c>
      <c r="E299" s="10" t="str">
        <f ca="1">IFERROR(__xludf.DUMMYFUNCTION("""COMPUTED_VALUE"""),"Тр. на Специализ. висше у-ще по библиотекознание и
 информ. технолог. (София). – ISSN 1312-5834. – Т. 5, 2006, с. 103-134. – Съавт. С. Денчев. – Прил.: сх. 1-5. – Библиогр.: 45 неном. назв. – Рез. на рус. и англ. ез.")</f>
        <v>Тр. на Специализ. висше у-ще по библиотекознание и
 информ. технолог. (София). – ISSN 1312-5834. – Т. 5, 2006, с. 103-134. – Съавт. С. Денчев. – Прил.: сх. 1-5. – Библиогр.: 45 неном. назв. – Рез. на рус. и англ. ез.</v>
      </c>
      <c r="F299" s="10"/>
      <c r="G299" s="10" t="str">
        <f ca="1">IFERROR(__xludf.DUMMYFUNCTION("""COMPUTED_VALUE"""),"Ст. Денчев")</f>
        <v>Ст. Денчев</v>
      </c>
      <c r="H299" s="10"/>
      <c r="I299" s="10"/>
      <c r="J299" s="10"/>
      <c r="K299" s="10"/>
      <c r="L299" s="10"/>
      <c r="M299" s="10"/>
      <c r="N299" s="10"/>
      <c r="O299" s="10"/>
      <c r="P299" s="10"/>
      <c r="Q299" s="10"/>
      <c r="R299" s="10"/>
      <c r="S299" s="10"/>
      <c r="T299" s="10"/>
      <c r="U299" s="10"/>
      <c r="V299" s="10"/>
      <c r="W299" s="10"/>
      <c r="X299" s="10"/>
      <c r="Y299" s="10"/>
      <c r="Z299" s="10"/>
    </row>
    <row r="300" spans="1:26" ht="12.75">
      <c r="A300" s="10" t="str">
        <f ca="1">IFERROR(__xludf.DUMMYFUNCTION("""COMPUTED_VALUE"""),"Александра Венкова Куманова")</f>
        <v>Александра Венкова Куманова</v>
      </c>
      <c r="B300" s="10" t="str">
        <f ca="1">IFERROR(__xludf.DUMMYFUNCTION("""COMPUTED_VALUE"""),"Статия в списания и поредици")</f>
        <v>Статия в списания и поредици</v>
      </c>
      <c r="C300" s="10" t="str">
        <f ca="1">IFERROR(__xludf.DUMMYFUNCTION("""COMPUTED_VALUE"""),"Знание-episteme – знание-tеchne : Трансформатизм инфосферы (Онтология информ. среды).")</f>
        <v>Знание-episteme – знание-tеchne : Трансформатизм инфосферы (Онтология информ. среды).</v>
      </c>
      <c r="D300" s="10">
        <f ca="1">IFERROR(__xludf.DUMMYFUNCTION("""COMPUTED_VALUE"""),2006)</f>
        <v>2006</v>
      </c>
      <c r="E300" s="10" t="str">
        <f ca="1">IFERROR(__xludf.DUMMYFUNCTION("""COMPUTED_VALUE"""),"Научно-техническая информация : Сер. 1. Организация и методика информационной работы / ВИНИТИ (Москва). – ISSN 0548-0019. – 2006, N 9, с. 12-18. – Съавт. С. Денчев. &amp;lt;www.gpntb.ru/libcom5/disk/doc/16.pdf&amp;gt;.")</f>
        <v>Научно-техническая информация : Сер. 1. Организация и методика информационной работы / ВИНИТИ (Москва). – ISSN 0548-0019. – 2006, N 9, с. 12-18. – Съавт. С. Денчев. &amp;lt;www.gpntb.ru/libcom5/disk/doc/16.pdf&amp;gt;.</v>
      </c>
      <c r="F300" s="10"/>
      <c r="G300" s="10" t="str">
        <f ca="1">IFERROR(__xludf.DUMMYFUNCTION("""COMPUTED_VALUE"""),"Ст. Денчев")</f>
        <v>Ст. Денчев</v>
      </c>
      <c r="H300" s="10"/>
      <c r="I300" s="10"/>
      <c r="J300" s="10"/>
      <c r="K300" s="10"/>
      <c r="L300" s="10"/>
      <c r="M300" s="10"/>
      <c r="N300" s="10"/>
      <c r="O300" s="10"/>
      <c r="P300" s="10"/>
      <c r="Q300" s="10"/>
      <c r="R300" s="10"/>
      <c r="S300" s="10"/>
      <c r="T300" s="10"/>
      <c r="U300" s="10"/>
      <c r="V300" s="10"/>
      <c r="W300" s="10"/>
      <c r="X300" s="10"/>
      <c r="Y300" s="10"/>
      <c r="Z300" s="10"/>
    </row>
    <row r="301" spans="1:26" ht="12.75">
      <c r="A301" s="10" t="str">
        <f ca="1">IFERROR(__xludf.DUMMYFUNCTION("""COMPUTED_VALUE"""),"Александра Венкова Куманова")</f>
        <v>Александра Венкова Куманова</v>
      </c>
      <c r="B301" s="10" t="str">
        <f ca="1">IFERROR(__xludf.DUMMYFUNCTION("""COMPUTED_VALUE"""),"Статия в списания и поредици")</f>
        <v>Статия в списания и поредици</v>
      </c>
      <c r="C301" s="10" t="str">
        <f ca="1">IFERROR(__xludf.DUMMYFUNCTION("""COMPUTED_VALUE"""),"Ризоматика на библиографската сфера : Планетарен кадастър на класиф. представи (Инфраструктурна – библиогр. – картина) : ІХ. Библиогр. списък / Посв. се на делото на поколенията бълг. учени в библиогр. сфера ; Епигр.: „К началу ХХ в. ... проявилась … науч"&amp;"ная мысль … вселенскости …” – В. И. Вернадский.")</f>
        <v>Ризоматика на библиографската сфера : Планетарен кадастър на класиф. представи (Инфраструктурна – библиогр. – картина) : ІХ. Библиогр. списък / Посв. се на делото на поколенията бълг. учени в библиогр. сфера ; Епигр.: „К началу ХХ в. ... проявилась … научная мысль … вселенскости …” – В. И. Вернадский.</v>
      </c>
      <c r="D301" s="10">
        <f ca="1">IFERROR(__xludf.DUMMYFUNCTION("""COMPUTED_VALUE"""),2006)</f>
        <v>2006</v>
      </c>
      <c r="E301" s="10" t="str">
        <f ca="1">IFERROR(__xludf.DUMMYFUNCTION("""COMPUTED_VALUE"""),"Тр. на Специализ. висше у-ще по библиотекознание и информ. технолог. – ISSN 1312-5834. – Т. 5, 2006, с. 277-294. – Библиогр.: 158 номерирани назв.")</f>
        <v>Тр. на Специализ. висше у-ще по библиотекознание и информ. технолог. – ISSN 1312-5834. – Т. 5, 2006, с. 277-294. – Библиогр.: 158 номерирани назв.</v>
      </c>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c r="A302" s="10" t="str">
        <f ca="1">IFERROR(__xludf.DUMMYFUNCTION("""COMPUTED_VALUE"""),"Александра Венкова Куманова")</f>
        <v>Александра Венкова Куманова</v>
      </c>
      <c r="B302" s="10" t="str">
        <f ca="1">IFERROR(__xludf.DUMMYFUNCTION("""COMPUTED_VALUE"""),"Статия в списания и поредици")</f>
        <v>Статия в списания и поредици</v>
      </c>
      <c r="C302" s="10" t="str">
        <f ca="1">IFERROR(__xludf.DUMMYFUNCTION("""COMPUTED_VALUE"""),"Азбучен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библи"&amp;"отекознание – информатика – информационни технологии)")</f>
        <v>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библиотекознание – информатика – информационни технологии)</v>
      </c>
      <c r="D302" s="10">
        <f ca="1">IFERROR(__xludf.DUMMYFUNCTION("""COMPUTED_VALUE"""),2006)</f>
        <v>2006</v>
      </c>
      <c r="E302" s="10" t="str">
        <f ca="1">IFERROR(__xludf.DUMMYFUNCTION("""COMPUTED_VALUE"""),"/ Посв. се на апостола на планет. библиогр. сфера ... Т. Боров и 105-год. от рожд. му ; Epigr.: „Weh! Weh! / Du hast sie zerstört, / Die schöne Welt, / Mit mächtiger Faust, / Sie stürzt, sie zerfällt.” – J. W. von Goethe. // Издател (В. Търново). – ISSN 1"&amp;"310-4624. – 2006, N 1-2, с. 15-21.
 – Съавт. С. Денчев. – Библиогр.: 105 ном. назв. – Предварит. публ. Публ. и в: &amp;lt;http://www.svubit.org&amp;gt;.")</f>
        <v>/ Посв. се на апостола на планет. библиогр. сфера ... Т. Боров и 105-год. от рожд. му ; Epigr.: „Weh! Weh! / Du hast sie zerstört, / Die schöne Welt, / Mit mächtiger Faust, / Sie stürzt, sie zerfällt.” – J. W. von Goethe. // Издател (В. Търново). – ISSN 1310-4624. – 2006, N 1-2, с. 15-21.
 – Съавт. С. Денчев. – Библиогр.: 105 ном. назв. – Предварит. публ. Публ. и в: &amp;lt;http://www.svubit.org&amp;gt;.</v>
      </c>
      <c r="F302" s="10"/>
      <c r="G302" s="10" t="str">
        <f ca="1">IFERROR(__xludf.DUMMYFUNCTION("""COMPUTED_VALUE"""),"Ст. Денчев")</f>
        <v>Ст. Денчев</v>
      </c>
      <c r="H302" s="10"/>
      <c r="I302" s="10"/>
      <c r="J302" s="10"/>
      <c r="K302" s="10"/>
      <c r="L302" s="10"/>
      <c r="M302" s="10"/>
      <c r="N302" s="10"/>
      <c r="O302" s="10"/>
      <c r="P302" s="10"/>
      <c r="Q302" s="10"/>
      <c r="R302" s="10"/>
      <c r="S302" s="10"/>
      <c r="T302" s="10"/>
      <c r="U302" s="10"/>
      <c r="V302" s="10"/>
      <c r="W302" s="10"/>
      <c r="X302" s="10"/>
      <c r="Y302" s="10"/>
      <c r="Z302" s="10"/>
    </row>
    <row r="303" spans="1:26" ht="12.75">
      <c r="A303" s="10" t="str">
        <f ca="1">IFERROR(__xludf.DUMMYFUNCTION("""COMPUTED_VALUE"""),"Александра Венкова Куманова")</f>
        <v>Александра Венкова Куманова</v>
      </c>
      <c r="B303" s="10" t="str">
        <f ca="1">IFERROR(__xludf.DUMMYFUNCTION("""COMPUTED_VALUE"""),"Статия в списания и поредици")</f>
        <v>Статия в списания и поредици</v>
      </c>
      <c r="C303" s="10" t="str">
        <f ca="1">IFERROR(__xludf.DUMMYFUNCTION("""COMPUTED_VALUE"""),"Апостоли на инфосферата : [Т. Топалова, Л. Георгиев, С. Ленкова, Е. Златева, Б. Десев, Т. Бончева, М. Василев] : Онтолог. наблюдение на ценностите (В чест на 55-год. юбилей на Държ. библ. инст. – днес: Унив. по библиотекознание и информ. технолог.) ; Епиг"&amp;"р.: „Явното, знайното / всеки ден бива, / тука най-тайното / нам се открива: / своя божествен мост / в тоз рядък час / Вечната Женственост / спуска към нас.” – Й. В. фон Гьоте / прев. В. Петров.")</f>
        <v>Апостоли на инфосферата : [Т. Топалова, Л. Георгиев, С. Ленкова, Е. Златева, Б. Десев, Т. Бончева, М. Василев] : Онтолог. наблюдение на ценностите (В чест на 55-год. юбилей на Държ. библ. инст. – днес: Унив. по библиотекознание и информ. технолог.) ; Епигр.: „Явното, знайното / всеки ден бива, / тука най-тайното / нам се открива: / своя божествен мост / в тоз рядък час / Вечната Женственост / спуска към нас.” – Й. В. фон Гьоте / прев. В. Петров.</v>
      </c>
      <c r="D303" s="10">
        <f ca="1">IFERROR(__xludf.DUMMYFUNCTION("""COMPUTED_VALUE"""),2005)</f>
        <v>2005</v>
      </c>
      <c r="E303" s="10" t="str">
        <f ca="1">IFERROR(__xludf.DUMMYFUNCTION("""COMPUTED_VALUE"""),"Библиотека (София). – ISSN 0861-847X. – 2005, N 5, с. 58-75. – Библиогр.: лит. и бел.: 68 номерирани назв., [153 неномерирани библиогр. опис.]. – Рез. на англ. ез.")</f>
        <v>Библиотека (София). – ISSN 0861-847X. – 2005, N 5, с. 58-75. – Библиогр.: лит. и бел.: 68 номерирани назв., [153 неномерирани библиогр. опис.]. – Рез. на англ. ез.</v>
      </c>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c r="A304" s="10" t="str">
        <f ca="1">IFERROR(__xludf.DUMMYFUNCTION("""COMPUTED_VALUE"""),"Александра Венкова Куманова")</f>
        <v>Александра Венкова Куманова</v>
      </c>
      <c r="B304" s="10" t="str">
        <f ca="1">IFERROR(__xludf.DUMMYFUNCTION("""COMPUTED_VALUE"""),"Монография")</f>
        <v>Монография</v>
      </c>
      <c r="C304" s="10" t="str">
        <f ca="1">IFERROR(__xludf.DUMMYFUNCTION("""COMPUTED_VALUE"""),"Архитектоника информационного пространства : Идеальный пл. : Онтолог. исслед.")</f>
        <v>Архитектоника информационного пространства : Идеальный пл. : Онтолог. исслед.</v>
      </c>
      <c r="D304" s="10">
        <f ca="1">IFERROR(__xludf.DUMMYFUNCTION("""COMPUTED_VALUE"""),2005)</f>
        <v>2005</v>
      </c>
      <c r="E304" s="10" t="str">
        <f ca="1">IFERROR(__xludf.DUMMYFUNCTION("""COMPUTED_VALUE"""),"Граф. дизайн-ред. Ц. Найденова ; Техн. ред. С. Янев ; Рец. Ж. Стоянов ; Эпиграф: „Weh! Weh! / Du hast sie zerstört, / Die schöne Welt, / Mit mächtiger Faust, / Sie stürzt, sie zerfällt.” – J. W. von Goethe. – Посв.: ДУХУ, ищущему и находящему архитектонич"&amp;"ескую целостность мира в каждом информационно-коммуникативном акте реальности и сознания, ДУХУ, обладающему судьбой быть представителем известного (материализирующего) момента общественного развития, ДУХУ, прочищающему семена истории. – Шумен : Аксиос, 20"&amp;"05. – 38 с. : с 5 сх. Именен показалец. ISBN 978-954-310-023-1")</f>
        <v>Граф. дизайн-ред. Ц. Найденова ; Техн. ред. С. Янев ; Рец. Ж. Стоянов ; Эпиграф: „Weh! Weh! / Du hast sie zerstört, / Die schöne Welt, / Mit mächtiger Faust, / Sie stürzt, sie zerfällt.” – J. W. von Goethe. – Посв.: ДУХУ, ищущему и находящему архитектоническую целостность мира в каждом информационно-коммуникативном акте реальности и сознания, ДУХУ, обладающему судьбой быть представителем известного (материализирующего) момента общественного развития, ДУХУ, прочищающему семена истории. – Шумен : Аксиос, 2005. – 38 с. : с 5 сх. Именен показалец. ISBN 978-954-310-023-1</v>
      </c>
      <c r="F304" s="10"/>
      <c r="G304" s="10"/>
      <c r="H304" s="10"/>
      <c r="I304" s="10"/>
      <c r="J304" s="10"/>
      <c r="K304" s="10"/>
      <c r="L304" s="10"/>
      <c r="M304" s="10"/>
      <c r="N304" s="10"/>
      <c r="O304" s="10"/>
      <c r="P304" s="10"/>
      <c r="Q304" s="10"/>
      <c r="R304" s="10"/>
      <c r="S304" s="10"/>
      <c r="T304" s="10"/>
      <c r="U304" s="10"/>
      <c r="V304" s="10"/>
      <c r="W304" s="10"/>
      <c r="X304" s="10"/>
      <c r="Y304" s="10"/>
      <c r="Z304" s="10"/>
    </row>
    <row r="305" spans="1:26" ht="12.75">
      <c r="A305" s="10" t="str">
        <f ca="1">IFERROR(__xludf.DUMMYFUNCTION("""COMPUTED_VALUE"""),"Александра Венкова Куманова")</f>
        <v>Александра Венкова Куманова</v>
      </c>
      <c r="B305" s="10" t="str">
        <f ca="1">IFERROR(__xludf.DUMMYFUNCTION("""COMPUTED_VALUE"""),"Студия")</f>
        <v>Студия</v>
      </c>
      <c r="C305" s="10" t="str">
        <f ca="1">IFERROR(__xludf.DUMMYFUNCTION("""COMPUTED_VALUE"""),"Антон Павлович Чехов в Болгарии : Пер. и лит. критика : [Историогр.-крит. текстолог. биобиблиогр. исслед. публ. 1889-1984]")</f>
        <v>Антон Павлович Чехов в Болгарии : Пер. и лит. критика : [Историогр.-крит. текстолог. биобиблиогр. исслед. публ. 1889-1984]</v>
      </c>
      <c r="D305" s="10">
        <f ca="1">IFERROR(__xludf.DUMMYFUNCTION("""COMPUTED_VALUE"""),2005)</f>
        <v>2005</v>
      </c>
      <c r="E305" s="10" t="str">
        <f ca="1">IFERROR(__xludf.DUMMYFUNCTION("""COMPUTED_VALUE"""),"Лит. наследство – 100 (2) ; Пер. с болг. И. А. Седаковой. // Чехов и мировая литература : В 3 кн. – Москва, 2005. –
 ISBN 978-5-02-011193-6. – Кн. 2, с. 84-107 : с ил. – Библиогр.: 106 неном. назв. в 94 ном. бел.
 Тр. осмисля и продължава: Боров, Т. Чехов"&amp;" и България. За 50-год. от смъртта на А. П. Чехов / Ред. П. Динеков ; С предг. от В. Катаев. – София : Наука и изкуство, 1955. – 258 с. – На с. 95-257: Чехов на български. Библиогр. материали, събрани и обработени от Ц. П. Арсова под ред. на Т. Боров.
 Пу"&amp;"бл. и в: &amp;lt;feb-web.ru/feb/chekhov/critics/ml2/ml2-0842.htm&amp;gt;&amp;lt;http://litnasledstvo.ru/site/author/id/657&amp;gt;.")</f>
        <v>Лит. наследство – 100 (2) ; Пер. с болг. И. А. Седаковой. // Чехов и мировая литература : В 3 кн. – Москва, 2005. –
 ISBN 978-5-02-011193-6. – Кн. 2, с. 84-107 : с ил. – Библиогр.: 106 неном. назв. в 94 ном. бел.
 Тр. осмисля и продължава: Боров, Т. Чехов и България. За 50-год. от смъртта на А. П. Чехов / Ред. П. Динеков ; С предг. от В. Катаев. – София : Наука и изкуство, 1955. – 258 с. – На с. 95-257: Чехов на български. Библиогр. материали, събрани и обработени от Ц. П. Арсова под ред. на Т. Боров.
 Публ. и в: &amp;lt;feb-web.ru/feb/chekhov/critics/ml2/ml2-0842.htm&amp;gt;&amp;lt;http://litnasledstvo.ru/site/author/id/657&amp;gt;.</v>
      </c>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c r="A306" s="10" t="str">
        <f ca="1">IFERROR(__xludf.DUMMYFUNCTION("""COMPUTED_VALUE"""),"Александра Венкова Куманова")</f>
        <v>Александра Венкова Куманова</v>
      </c>
      <c r="B306" s="10" t="str">
        <f ca="1">IFERROR(__xludf.DUMMYFUNCTION("""COMPUTED_VALUE"""),"Статия в списания и поредици")</f>
        <v>Статия в списания и поредици</v>
      </c>
      <c r="C306" s="10" t="str">
        <f ca="1">IFERROR(__xludf.DUMMYFUNCTION("""COMPUTED_VALUE"""),"Списание „Хирургия” (1934-2004 г.) : Историогр. когнитолог. студия-кадастър = Journal „Surgery” (1934-2004) : Historiographical and cognitological study-cadastre")</f>
        <v>Списание „Хирургия” (1934-2004 г.) : Историогр. когнитолог. студия-кадастър = Journal „Surgery” (1934-2004) : Historiographical and cognitological study-cadastre</v>
      </c>
      <c r="D306" s="10">
        <f ca="1">IFERROR(__xludf.DUMMYFUNCTION("""COMPUTED_VALUE"""),2005)</f>
        <v>2005</v>
      </c>
      <c r="E306" s="10" t="str">
        <f ca="1">IFERROR(__xludf.DUMMYFUNCTION("""COMPUTED_VALUE"""),"А. Куманова; Глав. отг. ред. Н. Яръмов ; Науч. ред. М. Куманов ; Библиогр. ред. Н. Казански ; Консултант на изд. В. Велев ; Ез. консултант А. Даскалов ; Лит. и граф. дизайн-ред. Ц. Найденова ; Худож. оформление К. Филчева ; Посв.: В чест на 70-год. на изд"&amp;". ;
 Епигр.: „… това ще бъде вам за свидетелство … с търпението си спасявайте душите си.” – Лука (21:13; 19) ; „принасяй страданията като добър воин Иисус Христов.” – Св. ап. Павел. 2 Тим. (2:3) ; „науката се стреми да систематизира нашите преживявания и "&amp;"да ги разположи в логическа система” ; „За прилагането на своя метод … изследователят трябва … да узнае от природата ясно формулираните общи принципи…” – А. Айнщайн ... . // Хирургия (София). – ISSN 0450-2167. –
 2005, N 1, с. 1-111. Изд. на Мед. унив. – "&amp;"София. Мед. фак., Унив. болница „Александровска”, Науч. д-во на хирурзите.")</f>
        <v>А. Куманова; Глав. отг. ред. Н. Яръмов ; Науч. ред. М. Куманов ; Библиогр. ред. Н. Казански ; Консултант на изд. В. Велев ; Ез. консултант А. Даскалов ; Лит. и граф. дизайн-ред. Ц. Найденова ; Худож. оформление К. Филчева ; Посв.: В чест на 70-год. на изд. ;
 Епигр.: „… това ще бъде вам за свидетелство … с търпението си спасявайте душите си.” – Лука (21:13; 19) ; „принасяй страданията като добър воин Иисус Христов.” – Св. ап. Павел. 2 Тим. (2:3) ; „науката се стреми да систематизира нашите преживявания и да ги разположи в логическа система” ; „За прилагането на своя метод … изследователят трябва … да узнае от природата ясно формулираните общи принципи…” – А. Айнщайн ... . // Хирургия (София). – ISSN 0450-2167. –
 2005, N 1, с. 1-111. Изд. на Мед. унив. – София. Мед. фак., Унив. болница „Александровска”, Науч. д-во на хирурзите.</v>
      </c>
      <c r="F306" s="10"/>
      <c r="G306" s="10"/>
      <c r="H306" s="10"/>
      <c r="I306" s="10"/>
      <c r="J306" s="10"/>
      <c r="K306" s="10"/>
      <c r="L306" s="10"/>
      <c r="M306" s="10"/>
      <c r="N306" s="10"/>
      <c r="O306" s="10"/>
      <c r="P306" s="10"/>
      <c r="Q306" s="10"/>
      <c r="R306" s="10"/>
      <c r="S306" s="10"/>
      <c r="T306" s="10"/>
      <c r="U306" s="10"/>
      <c r="V306" s="10"/>
      <c r="W306" s="10"/>
      <c r="X306" s="10"/>
      <c r="Y306" s="10"/>
      <c r="Z306" s="10"/>
    </row>
    <row r="307" spans="1:26" ht="12.75">
      <c r="A307" s="10" t="str">
        <f ca="1">IFERROR(__xludf.DUMMYFUNCTION("""COMPUTED_VALUE"""),"Александра Венкова Куманова")</f>
        <v>Александра Венкова Куманова</v>
      </c>
      <c r="B307" s="10" t="str">
        <f ca="1">IFERROR(__xludf.DUMMYFUNCTION("""COMPUTED_VALUE"""),"Статия в списания и поредици")</f>
        <v>Статия в списания и поредици</v>
      </c>
      <c r="C307" s="10" t="str">
        <f ca="1">IFERROR(__xludf.DUMMYFUNCTION("""COMPUTED_VALUE"""),"Архитектоника на информационното пространство : Идеален пл. (Онтолог. изследване) [: Методолог. постановка на прочетената на 24.01.2005 г. открита публ. лекция пред студенти и преподаватели на СВУБИТ в присъствието на специалисти от водещите научно-практ."&amp;" центрове на информатизацията у нас „Методология на хуманитарното знание : Световни центрове и национални школи”] / Епигр.: „Защото донейде знаем и донейде пророчествуваме; но, кога дойде съвършеното знание, тогава това „донейде” ще изчезне.” – Св. ап. Па"&amp;"вел.")</f>
        <v>Архитектоника на информационното пространство : Идеален пл. (Онтолог. изследване) [: Методолог. постановка на прочетената на 24.01.2005 г. открита публ. лекция пред студенти и преподаватели на СВУБИТ в присъствието на специалисти от водещите научно-практ. центрове на информатизацията у нас „Методология на хуманитарното знание : Световни центрове и национални школи”] / Епигр.: „Защото донейде знаем и донейде пророчествуваме; но, кога дойде съвършеното знание, тогава това „донейде” ще изчезне.” – Св. ап. Павел.</v>
      </c>
      <c r="D307" s="10">
        <f ca="1">IFERROR(__xludf.DUMMYFUNCTION("""COMPUTED_VALUE"""),2005)</f>
        <v>2005</v>
      </c>
      <c r="E307" s="10" t="str">
        <f ca="1">IFERROR(__xludf.DUMMYFUNCTION("""COMPUTED_VALUE"""),"Тр. на Специализ. висше у-ще по библиотекознание и информ. технолог. (София). – ISSN 1312-5834. – Т. 4, 2005, с. 17-41. – Рез. на рус. и англ. ез.")</f>
        <v>Тр. на Специализ. висше у-ще по библиотекознание и информ. технолог. (София). – ISSN 1312-5834. – Т. 4, 2005, с. 17-41. – Рез. на рус. и англ. ез.</v>
      </c>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c r="A308" s="10" t="str">
        <f ca="1">IFERROR(__xludf.DUMMYFUNCTION("""COMPUTED_VALUE"""),"Александра Венкова Куманова")</f>
        <v>Александра Венкова Куманова</v>
      </c>
      <c r="B308" s="10" t="str">
        <f ca="1">IFERROR(__xludf.DUMMYFUNCTION("""COMPUTED_VALUE"""),"Книга")</f>
        <v>Книга</v>
      </c>
      <c r="C308" s="10" t="str">
        <f ca="1">IFERROR(__xludf.DUMMYFUNCTION("""COMPUTED_VALUE"""),"Профессор Иосиф Евсеевич Баренбаум : Эпистоляр. беседа-раздумье : [Когнитолог. биобиблиогр. портр. ученого в стиле интервью] / Ведет беседу, авт. предисл., преамбулы и примеч.")</f>
        <v>Профессор Иосиф Евсеевич Баренбаум : Эпистоляр. беседа-раздумье : [Когнитолог. биобиблиогр. портр. ученого в стиле интервью] / Ведет беседу, авт. предисл., преамбулы и примеч.</v>
      </c>
      <c r="D308" s="10">
        <f ca="1">IFERROR(__xludf.DUMMYFUNCTION("""COMPUTED_VALUE"""),2005)</f>
        <v>2005</v>
      </c>
      <c r="E308" s="10" t="str">
        <f ca="1">IFERROR(__xludf.DUMMYFUNCTION("""COMPUTED_VALUE"""),"– Шумен : Аксиос, 2005. – 76 с. : с портр. ISBN 978-954-310-027-8")</f>
        <v>– Шумен : Аксиос, 2005. – 76 с. : с портр. ISBN 978-954-310-027-8</v>
      </c>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c r="A309" s="10" t="str">
        <f ca="1">IFERROR(__xludf.DUMMYFUNCTION("""COMPUTED_VALUE"""),"Александра Венкова Куманова")</f>
        <v>Александра Венкова Куманова</v>
      </c>
      <c r="B309" s="10" t="str">
        <f ca="1">IFERROR(__xludf.DUMMYFUNCTION("""COMPUTED_VALUE"""),"Монография")</f>
        <v>Монография</v>
      </c>
      <c r="C309" s="10" t="str">
        <f ca="1">IFERROR(__xludf.DUMMYFUNCTION("""COMPUTED_VALUE"""),"Введение в гуманитарную библиографию : Библиографоведч. исслед. : [В 2 ч.] Ч. 2, Библиографоведческая картина гуманитарной библиографии : Курс лекций по общ. библиографоведению")</f>
        <v>Введение в гуманитарную библиографию : Библиографоведч. исслед. : [В 2 ч.] Ч. 2, Библиографоведческая картина гуманитарной библиографии : Курс лекций по общ. библиографоведению</v>
      </c>
      <c r="D309" s="10">
        <f ca="1">IFERROR(__xludf.DUMMYFUNCTION("""COMPUTED_VALUE"""),2005)</f>
        <v>2005</v>
      </c>
      <c r="E309" s="10" t="str">
        <f ca="1">IFERROR(__xludf.DUMMYFUNCTION("""COMPUTED_VALUE"""),"Науч. ред. А. В. Мамонтов ; Лит. ред. А. В. Кейв ; Библиогр. ред. И. Л. Клим ; Консультант изд. В. И. Велев ; Граф. дизайн-ред. И. А. Бикова ; Компьютер. набор ризом Ц. И. Найденова, Т. В. Ал-Бахлул ; Худож. исполн. график и граф. композиции-рез. В. В. Ан"&amp;"ков ; Худож. оформл. и символика Н. В. Скородум ; Рец. А. В. Соколов, С. Г. Денчев. – София : Гутенберг, 2005. – 1106 (LXXIX, 417, DCX) с. : с 3 граф. форми, 14 сх., 3 табл. – Посв.: ... А. В. Мамонтова ... . Изд. Гос. высш. инст. библиотековедения и инфо"&amp;"рм. технолог. – Болгария, Санкт-Петербургск. гос. унив. культуры и искусств – Россия. – Библиогр.: систем.-алф. список 1244 нумерованных [и 865 ненумерованных] назв. загл. на 20 ез. –Показалци: сист., предм., ист., геогр., именен, на символите, на хуманит"&amp;". измерения. ISBN 954-9943-91-7")</f>
        <v>Науч. ред. А. В. Мамонтов ; Лит. ред. А. В. Кейв ; Библиогр. ред. И. Л. Клим ; Консультант изд. В. И. Велев ; Граф. дизайн-ред. И. А. Бикова ; Компьютер. набор ризом Ц. И. Найденова, Т. В. Ал-Бахлул ; Худож. исполн. график и граф. композиции-рез. В. В. Анков ; Худож. оформл. и символика Н. В. Скородум ; Рец. А. В. Соколов, С. Г. Денчев. – София : Гутенберг, 2005. – 1106 (LXXIX, 417, DCX) с. : с 3 граф. форми, 14 сх., 3 табл. – Посв.: ... А. В. Мамонтова ... . Изд. Гос. высш. инст. библиотековедения и информ. технолог. – Болгария, Санкт-Петербургск. гос. унив. культуры и искусств – Россия. – Библиогр.: систем.-алф. список 1244 нумерованных [и 865 ненумерованных] назв. загл. на 20 ез. –Показалци: сист., предм., ист., геогр., именен, на символите, на хуманит. измерения. ISBN 954-9943-91-7</v>
      </c>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c r="A310" s="10" t="str">
        <f ca="1">IFERROR(__xludf.DUMMYFUNCTION("""COMPUTED_VALUE"""),"Александра Венкова Куманова")</f>
        <v>Александра Венкова Куманова</v>
      </c>
      <c r="B310" s="10" t="str">
        <f ca="1">IFERROR(__xludf.DUMMYFUNCTION("""COMPUTED_VALUE"""),"Статия в списания и поредици")</f>
        <v>Статия в списания и поредици</v>
      </c>
      <c r="C310" s="10" t="str">
        <f ca="1">IFERROR(__xludf.DUMMYFUNCTION("""COMPUTED_VALUE"""),"Професор д-р Николай Яръмов : Портр. на учения в стила на интервюто : [Когнитолог. биобиблиогр. проскопия] : [. 1-3]")</f>
        <v>Професор д-р Николай Яръмов : Портр. на учения в стила на интервюто : [Когнитолог. биобиблиогр. проскопия] : [. 1-3]</v>
      </c>
      <c r="D310" s="10">
        <f ca="1">IFERROR(__xludf.DUMMYFUNCTION("""COMPUTED_VALUE"""),2004)</f>
        <v>2004</v>
      </c>
      <c r="E310" s="10" t="str">
        <f ca="1">IFERROR(__xludf.DUMMYFUNCTION("""COMPUTED_VALUE"""),"// Хирургия (София). – ISSN 0450-2167. – LX, 6 прил. (2004), с. I-LVI, 1 л. : портр. – Прил")</f>
        <v>// Хирургия (София). – ISSN 0450-2167. – LX, 6 прил. (2004), с. I-LVI, 1 л. : портр. – Прил</v>
      </c>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c r="A311" s="10" t="str">
        <f ca="1">IFERROR(__xludf.DUMMYFUNCTION("""COMPUTED_VALUE"""),"Александра Венкова Куманова")</f>
        <v>Александра Венкова Куманова</v>
      </c>
      <c r="B311" s="10" t="str">
        <f ca="1">IFERROR(__xludf.DUMMYFUNCTION("""COMPUTED_VALUE"""),"Книга")</f>
        <v>Книга</v>
      </c>
      <c r="C311" s="10" t="str">
        <f ca="1">IFERROR(__xludf.DUMMYFUNCTION("""COMPUTED_VALUE"""),"Професор д-р Николай Яръмов : Портр. на учения в стила на интервюто : [Когнитолог. биобиблиогр. проскопия] : [Ч. 1-3]")</f>
        <v>Професор д-р Николай Яръмов : Портр. на учения в стила на интервюто : [Когнитолог. биобиблиогр. проскопия] : [Ч. 1-3]</v>
      </c>
      <c r="D311" s="10">
        <f ca="1">IFERROR(__xludf.DUMMYFUNCTION("""COMPUTED_VALUE"""),2004)</f>
        <v>2004</v>
      </c>
      <c r="E311" s="10" t="str">
        <f ca="1">IFERROR(__xludf.DUMMYFUNCTION("""COMPUTED_VALUE"""),"Водещ беседата, авт. на биобиблиогр. преамбюл и бел. А. Куманова ; Консултант В. Велев ; Науч. ред. М. Куманов ; Библиогр. ред. Ц. Стайкова ; Лит. ред. и граф. дизайн-ред. Ц. Найденова ; Ез. консултант А. Даскалов ; Худож. на фотопортр. А. Русев. – София,"&amp;" 2004.
 – (Библиографии на български учени. Портрети в стила на интервюто ; N 6). – Худож. фотопортр.: с. VII. – Именен показалец. – Автореф.: Aliis inserviendo consumor. – Посв. ... А. Д. Витебский, Н. Василев, В. Матеев, В. Янков. // Хирургия (София). –"&amp;" ISSN 0450- 2167. – LX, 6 прил. (2004), с. I-LVI, 1 л. : портр. – Прил.
 Изд. на БАН, Висш мед. инст. Мед. фак., Унив. болница Царица Йоанна. Клин. център по спешна медицина, Клиника по спешна хирургия, Науч. д-во на хирурзите.")</f>
        <v>Водещ беседата, авт. на биобиблиогр. преамбюл и бел. А. Куманова ; Консултант В. Велев ; Науч. ред. М. Куманов ; Библиогр. ред. Ц. Стайкова ; Лит. ред. и граф. дизайн-ред. Ц. Найденова ; Ез. консултант А. Даскалов ; Худож. на фотопортр. А. Русев. – София, 2004.
 – (Библиографии на български учени. Портрети в стила на интервюто ; N 6). – Худож. фотопортр.: с. VII. – Именен показалец. – Автореф.: Aliis inserviendo consumor. – Посв. ... А. Д. Витебский, Н. Василев, В. Матеев, В. Янков. // Хирургия (София). – ISSN 0450- 2167. – LX, 6 прил. (2004), с. I-LVI, 1 л. : портр. – Прил.
 Изд. на БАН, Висш мед. инст. Мед. фак., Унив. болница Царица Йоанна. Клин. център по спешна медицина, Клиника по спешна хирургия, Науч. д-во на хирурзите.</v>
      </c>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c r="A312" s="10" t="str">
        <f ca="1">IFERROR(__xludf.DUMMYFUNCTION("""COMPUTED_VALUE"""),"Александра Венкова Куманова")</f>
        <v>Александра Венкова Куманова</v>
      </c>
      <c r="B312" s="10" t="str">
        <f ca="1">IFERROR(__xludf.DUMMYFUNCTION("""COMPUTED_VALUE"""),"Книга")</f>
        <v>Книга</v>
      </c>
      <c r="C312" s="10" t="str">
        <f ca="1">IFERROR(__xludf.DUMMYFUNCTION("""COMPUTED_VALUE"""),"Пушкинский журнал „Современник” : К вопросу о А. С. Пушкине – журналисте и критике ; Эпиграф: „... и нет истины, где нет любви” – А. С. Пушкин. – К 205-лет. со дня рожд. А. С. Пушкина ; Посв. памяти ... В. И. Каминского")</f>
        <v>Пушкинский журнал „Современник” : К вопросу о А. С. Пушкине – журналисте и критике ; Эпиграф: „... и нет истины, где нет любви” – А. С. Пушкин. – К 205-лет. со дня рожд. А. С. Пушкина ; Посв. памяти ... В. И. Каминского</v>
      </c>
      <c r="D312" s="10">
        <f ca="1">IFERROR(__xludf.DUMMYFUNCTION("""COMPUTED_VALUE"""),2004)</f>
        <v>2004</v>
      </c>
      <c r="E312" s="10" t="str">
        <f ca="1">IFERROR(__xludf.DUMMYFUNCTION("""COMPUTED_VALUE"""),"– Шумен : Аксиос, 2004. – 60 с., 1 л. : портр. ISBN 954-310-014-4")</f>
        <v>– Шумен : Аксиос, 2004. – 60 с., 1 л. : портр. ISBN 954-310-014-4</v>
      </c>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c r="A313" s="10" t="str">
        <f ca="1">IFERROR(__xludf.DUMMYFUNCTION("""COMPUTED_VALUE"""),"Александра Венкова Куманова")</f>
        <v>Александра Венкова Куманова</v>
      </c>
      <c r="B313" s="10" t="str">
        <f ca="1">IFERROR(__xludf.DUMMYFUNCTION("""COMPUTED_VALUE"""),"Книга")</f>
        <v>Книга</v>
      </c>
      <c r="C313" s="10" t="str">
        <f ca="1">IFERROR(__xludf.DUMMYFUNCTION("""COMPUTED_VALUE"""),"Введение в гуманитарную библиографию : Библrографоведческое исслед. : [В 2 ч.] Ч. 1, Философско-науковедческая картина гуманитарного знания : [Курс лекций]")</f>
        <v>Введение в гуманитарную библиографию : Библrографоведческое исслед. : [В 2 ч.] Ч. 1, Философско-науковедческая картина гуманитарного знания : [Курс лекций]</v>
      </c>
      <c r="D313" s="10">
        <f ca="1">IFERROR(__xludf.DUMMYFUNCTION("""COMPUTED_VALUE"""),1995)</f>
        <v>1995</v>
      </c>
      <c r="E313" s="10" t="str">
        <f ca="1">IFERROR(__xludf.DUMMYFUNCTION("""COMPUTED_VALUE"""),"Санкт-Петербург : Леннииводоканалпроект, 1995. – 252 с. : с 24 сх., 3 табл. Изд. Санкт-Петербургск. гос. унив. культуры и искусств – Россия. Без ISBN")</f>
        <v>Санкт-Петербург : Леннииводоканалпроект, 1995. – 252 с. : с 24 сх., 3 табл. Изд. Санкт-Петербургск. гос. унив. культуры и искусств – Россия. Без ISBN</v>
      </c>
      <c r="F313" s="10"/>
      <c r="G313" s="10"/>
      <c r="H313" s="10"/>
      <c r="I313" s="10"/>
      <c r="J313" s="10"/>
      <c r="K313" s="10"/>
      <c r="L313" s="10"/>
      <c r="M313" s="10"/>
      <c r="N313" s="10"/>
      <c r="O313" s="10"/>
      <c r="P313" s="10"/>
      <c r="Q313" s="10"/>
      <c r="R313" s="10"/>
      <c r="S313" s="10"/>
      <c r="T313" s="10"/>
      <c r="U313" s="10"/>
      <c r="V313" s="10"/>
      <c r="W313" s="10"/>
      <c r="X313" s="10"/>
      <c r="Y313" s="10"/>
      <c r="Z313" s="10"/>
    </row>
    <row r="314" spans="1:26" ht="12.75">
      <c r="A314" s="10" t="str">
        <f ca="1">IFERROR(__xludf.DUMMYFUNCTION("""COMPUTED_VALUE"""),"Александра Венкова Куманова")</f>
        <v>Александра Венкова Куманова</v>
      </c>
      <c r="B314" s="10" t="str">
        <f ca="1">IFERROR(__xludf.DUMMYFUNCTION("""COMPUTED_VALUE"""),"Книга")</f>
        <v>Книга</v>
      </c>
      <c r="C314" s="10" t="str">
        <f ca="1">IFERROR(__xludf.DUMMYFUNCTION("""COMPUTED_VALUE"""),"Христо Ботев. 1848-1876 : Био-библиогр. указ. и опис на арх. док. Т. 2, Литература за Христо Ботев в България")</f>
        <v>Христо Ботев. 1848-1876 : Био-библиогр. указ. и опис на арх. док. Т. 2, Литература за Христо Ботев в България</v>
      </c>
      <c r="D314" s="10">
        <f ca="1">IFERROR(__xludf.DUMMYFUNCTION("""COMPUTED_VALUE"""),1994)</f>
        <v>1994</v>
      </c>
      <c r="E314" s="10" t="str">
        <f ca="1">IFERROR(__xludf.DUMMYFUNCTION("""COMPUTED_VALUE"""),"Състав. Мария Кожухарова ... [и др.] ; Науч. ред., [предг.] Илия Тодоров ; Библиогр. ред. Евелина Василева. – София, 1994. – 824 с. – Други състав.: А. Куманова, Д. Сърнадска, Р. Трендафилова, Е. Василева. – Именен показалец, геогр. показалец / Състав. А."&amp;" Куманова. – Съдържа и: Литература за Христо Ботев : 1930-1938 г. / Състав. А. Куманова : с. 175-283.
 Без ISBN.")</f>
        <v>Състав. Мария Кожухарова ... [и др.] ; Науч. ред., [предг.] Илия Тодоров ; Библиогр. ред. Евелина Василева. – София, 1994. – 824 с. – Други състав.: А. Куманова, Д. Сърнадска, Р. Трендафилова, Е. Василева. – Именен показалец, геогр. показалец / Състав. А. Куманова. – Съдържа и: Литература за Христо Ботев : 1930-1938 г. / Състав. А. Куманова : с. 175-283.
 Без ISBN.</v>
      </c>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c r="A315" s="10" t="str">
        <f ca="1">IFERROR(__xludf.DUMMYFUNCTION("""COMPUTED_VALUE"""),"Александра Венкова Куманова")</f>
        <v>Александра Венкова Куманова</v>
      </c>
      <c r="B315" s="10" t="str">
        <f ca="1">IFERROR(__xludf.DUMMYFUNCTION("""COMPUTED_VALUE"""),"Книга")</f>
        <v>Книга</v>
      </c>
      <c r="C315" s="10" t="str">
        <f ca="1">IFERROR(__xludf.DUMMYFUNCTION("""COMPUTED_VALUE"""),"Cor cordium : Портр. ученых [проф., д-ров наук: Ю. М. Лотмана, Ю. А. Шрейдера, А. С. Мыльникова, В. А. Щученко, И. В. Гудовщиковой, О. П. Коршунова, А. В. Соколова, Р. А. Казарьянца, В. Б. Краснорогова] в стиле интервью")</f>
        <v>Cor cordium : Портр. ученых [проф., д-ров наук: Ю. М. Лотмана, Ю. А. Шрейдера, А. С. Мыльникова, В. А. Щученко, И. В. Гудовщиковой, О. П. Коршунова, А. В. Соколова, Р. А. Казарьянца, В. Б. Краснорогова] в стиле интервью</v>
      </c>
      <c r="D315" s="10">
        <f ca="1">IFERROR(__xludf.DUMMYFUNCTION("""COMPUTED_VALUE"""),1994)</f>
        <v>1994</v>
      </c>
      <c r="E315" s="10" t="str">
        <f ca="1">IFERROR(__xludf.DUMMYFUNCTION("""COMPUTED_VALUE"""),"Санкт-Петербург, 1994. – 173 с., [9] с. : фотопортр. – Посв.: Памяти апостола болг. библиогр. ... Т. Борова, личность которого воплощает собою ее прошлое, настоящее и будущее. Без ISBN.")</f>
        <v>Санкт-Петербург, 1994. – 173 с., [9] с. : фотопортр. – Посв.: Памяти апостола болг. библиогр. ... Т. Борова, личность которого воплощает собою ее прошлое, настоящее и будущее. Без ISBN.</v>
      </c>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c r="A316" s="10" t="str">
        <f ca="1">IFERROR(__xludf.DUMMYFUNCTION("""COMPUTED_VALUE"""),"Александра Венкова Куманова")</f>
        <v>Александра Венкова Куманова</v>
      </c>
      <c r="B316" s="10" t="str">
        <f ca="1">IFERROR(__xludf.DUMMYFUNCTION("""COMPUTED_VALUE"""),"Доклад от конференция")</f>
        <v>Доклад от конференция</v>
      </c>
      <c r="C316" s="10" t="str">
        <f ca="1">IFERROR(__xludf.DUMMYFUNCTION("""COMPUTED_VALUE"""),"В истории вопроса о категориях „вид библиографии” и „вид библиографического пособия” ([19]50-ые – 80-ые гг.).")</f>
        <v>В истории вопроса о категориях „вид библиографии” и „вид библиографического пособия” ([19]50-ые – 80-ые гг.).</v>
      </c>
      <c r="D316" s="10">
        <f ca="1">IFERROR(__xludf.DUMMYFUNCTION("""COMPUTED_VALUE"""),1994)</f>
        <v>1994</v>
      </c>
      <c r="E316" s="10" t="str">
        <f ca="1">IFERROR(__xludf.DUMMYFUNCTION("""COMPUTED_VALUE"""),"Теоретико-методологические проблемы истории библиографии : Сб. науч. тр. – Москва : Моск. гос. унив. культуры, 1994. – ISBN 5-7196-0684-X. – с. 111-128.")</f>
        <v>Теоретико-методологические проблемы истории библиографии : Сб. науч. тр. – Москва : Моск. гос. унив. культуры, 1994. – ISBN 5-7196-0684-X. – с. 111-128.</v>
      </c>
      <c r="F316" s="10"/>
      <c r="G316" s="10"/>
      <c r="H316" s="10"/>
      <c r="I316" s="10"/>
      <c r="J316" s="10"/>
      <c r="K316" s="10"/>
      <c r="L316" s="10"/>
      <c r="M316" s="10"/>
      <c r="N316" s="10"/>
      <c r="O316" s="10"/>
      <c r="P316" s="10"/>
      <c r="Q316" s="10"/>
      <c r="R316" s="10"/>
      <c r="S316" s="10"/>
      <c r="T316" s="10"/>
      <c r="U316" s="10"/>
      <c r="V316" s="10"/>
      <c r="W316" s="10"/>
      <c r="X316" s="10"/>
      <c r="Y316" s="10"/>
      <c r="Z316" s="10"/>
    </row>
    <row r="317" spans="1:26" ht="12.75">
      <c r="A317" s="10" t="str">
        <f ca="1">IFERROR(__xludf.DUMMYFUNCTION("""COMPUTED_VALUE"""),"Александра Венкова Куманова")</f>
        <v>Александра Венкова Куманова</v>
      </c>
      <c r="B317" s="10" t="str">
        <f ca="1">IFERROR(__xludf.DUMMYFUNCTION("""COMPUTED_VALUE"""),"Книга")</f>
        <v>Книга</v>
      </c>
      <c r="C317" s="10" t="str">
        <f ca="1">IFERROR(__xludf.DUMMYFUNCTION("""COMPUTED_VALUE"""),"Инга Александровна Шомракова : Аннот. библиогр. указ. [тр.] к 60-лет. ученого")</f>
        <v>Инга Александровна Шомракова : Аннот. библиогр. указ. [тр.] к 60-лет. ученого</v>
      </c>
      <c r="D317" s="10">
        <f ca="1">IFERROR(__xludf.DUMMYFUNCTION("""COMPUTED_VALUE"""),1992)</f>
        <v>1992</v>
      </c>
      <c r="E317" s="10" t="str">
        <f ca="1">IFERROR(__xludf.DUMMYFUNCTION("""COMPUTED_VALUE"""),"Состав. А. Куманова ; Науч. ред. И. Е. Баренбаум ; Отв. за вып. Л. В. Трапезникова ; Рец. А. В. Мамонтов. – Санкт Петербург : Санкт-Петербургск. инст. культуры, 1992. – 31 с., 1 л. : портр. Изд. на Санкт-Петербург. инст. культуры. Библ. фак. Каф. общ. биб"&amp;"лиографоведения и книговедения. – Сист. показалец, именен показалец.
 Без ISBN.")</f>
        <v>Состав. А. Куманова ; Науч. ред. И. Е. Баренбаум ; Отв. за вып. Л. В. Трапезникова ; Рец. А. В. Мамонтов. – Санкт Петербург : Санкт-Петербургск. инст. культуры, 1992. – 31 с., 1 л. : портр. Изд. на Санкт-Петербург. инст. культуры. Библ. фак. Каф. общ. библиографоведения и книговедения. – Сист. показалец, именен показалец.
 Без ISBN.</v>
      </c>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c r="A318" s="10" t="str">
        <f ca="1">IFERROR(__xludf.DUMMYFUNCTION("""COMPUTED_VALUE"""),"Александра Венкова Куманова")</f>
        <v>Александра Венкова Куманова</v>
      </c>
      <c r="B318" s="10" t="str">
        <f ca="1">IFERROR(__xludf.DUMMYFUNCTION("""COMPUTED_VALUE"""),"Доклад от конференция")</f>
        <v>Доклад от конференция</v>
      </c>
      <c r="C318" s="10" t="str">
        <f ca="1">IFERROR(__xludf.DUMMYFUNCTION("""COMPUTED_VALUE"""),"Библиография библиографии в Болгарии как база для изучения состояния рекомендательной библиографии в единой системе вторично-документальной информации.")</f>
        <v>Библиография библиографии в Болгарии как база для изучения состояния рекомендательной библиографии в единой системе вторично-документальной информации.</v>
      </c>
      <c r="D318" s="10">
        <f ca="1">IFERROR(__xludf.DUMMYFUNCTION("""COMPUTED_VALUE"""),1991)</f>
        <v>1991</v>
      </c>
      <c r="E318" s="10" t="str">
        <f ca="1">IFERROR(__xludf.DUMMYFUNCTION("""COMPUTED_VALUE"""),"Вопросы истории, теории и методики универсальной и отраслевой библиографии : Сб. науч. тр. – Ленинград : Гос. публ. библ. им. М. Е. Салтыкова-Щедрина, 1991. – ISBN 5-7196-0944-X. – с.")</f>
        <v>Вопросы истории, теории и методики универсальной и отраслевой библиографии : Сб. науч. тр. – Ленинград : Гос. публ. библ. им. М. Е. Салтыкова-Щедрина, 1991. – ISBN 5-7196-0944-X. – с.</v>
      </c>
      <c r="F318" s="10"/>
      <c r="G318" s="10"/>
      <c r="H318" s="10"/>
      <c r="I318" s="10"/>
      <c r="J318" s="10"/>
      <c r="K318" s="10"/>
      <c r="L318" s="10"/>
      <c r="M318" s="10"/>
      <c r="N318" s="10"/>
      <c r="O318" s="10"/>
      <c r="P318" s="10"/>
      <c r="Q318" s="10"/>
      <c r="R318" s="10"/>
      <c r="S318" s="10"/>
      <c r="T318" s="10"/>
      <c r="U318" s="10"/>
      <c r="V318" s="10"/>
      <c r="W318" s="10"/>
      <c r="X318" s="10"/>
      <c r="Y318" s="10"/>
      <c r="Z318" s="10"/>
    </row>
    <row r="319" spans="1:26" ht="12.75">
      <c r="A319" s="10" t="str">
        <f ca="1">IFERROR(__xludf.DUMMYFUNCTION("""COMPUTED_VALUE"""),"Александра Венкова Куманова")</f>
        <v>Александра Венкова Куманова</v>
      </c>
      <c r="B319" s="10" t="str">
        <f ca="1">IFERROR(__xludf.DUMMYFUNCTION("""COMPUTED_VALUE"""),"Статия в списания и поредици")</f>
        <v>Статия в списания и поредици</v>
      </c>
      <c r="C319" s="10" t="str">
        <f ca="1">IFERROR(__xludf.DUMMYFUNCTION("""COMPUTED_VALUE"""),"Рекомендательная библиография в классификациях видов библиографии (на основе теорий европейских стран СЭВ).")</f>
        <v>Рекомендательная библиография в классификациях видов библиографии (на основе теорий европейских стран СЭВ).</v>
      </c>
      <c r="D319" s="10">
        <f ca="1">IFERROR(__xludf.DUMMYFUNCTION("""COMPUTED_VALUE"""),1990)</f>
        <v>1990</v>
      </c>
      <c r="E319" s="10" t="str">
        <f ca="1">IFERROR(__xludf.DUMMYFUNCTION("""COMPUTED_VALUE"""),"Вопросы библиографоведения и библиотековедения : Межвед. сб. / Мин. гос. инст. культуры. – ISSN 0203-9761. – 1990, Вып. 11, с. 41-58.")</f>
        <v>Вопросы библиографоведения и библиотековедения : Межвед. сб. / Мин. гос. инст. культуры. – ISSN 0203-9761. – 1990, Вып. 11, с. 41-58.</v>
      </c>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c r="A320" s="10" t="str">
        <f ca="1">IFERROR(__xludf.DUMMYFUNCTION("""COMPUTED_VALUE"""),"Александра Венкова Куманова")</f>
        <v>Александра Венкова Куманова</v>
      </c>
      <c r="B320" s="10" t="str">
        <f ca="1">IFERROR(__xludf.DUMMYFUNCTION("""COMPUTED_VALUE"""),"Доклад от конференция")</f>
        <v>Доклад от конференция</v>
      </c>
      <c r="C320" s="10" t="str">
        <f ca="1">IFERROR(__xludf.DUMMYFUNCTION("""COMPUTED_VALUE"""),"Раскрытие сущности рекомендательной библиографии : Ист.-теорет. экскурс.")</f>
        <v>Раскрытие сущности рекомендательной библиографии : Ист.-теорет. экскурс.</v>
      </c>
      <c r="D320" s="10">
        <f ca="1">IFERROR(__xludf.DUMMYFUNCTION("""COMPUTED_VALUE"""),1989)</f>
        <v>1989</v>
      </c>
      <c r="E320" s="10" t="str">
        <f ca="1">IFERROR(__xludf.DUMMYFUNCTION("""COMPUTED_VALUE"""),"Рекомендательная библиография : Вопросы теории, методики, истории : Сб. науч. тр. – Ленинград, 1989, с. 109-135. – Изд. на Гос. публ. библ. им. М. Е.Салтыкова-Щедрина. – Без ISBN.")</f>
        <v>Рекомендательная библиография : Вопросы теории, методики, истории : Сб. науч. тр. – Ленинград, 1989, с. 109-135. – Изд. на Гос. публ. библ. им. М. Е.Салтыкова-Щедрина. – Без ISBN.</v>
      </c>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c r="A321" s="10" t="str">
        <f ca="1">IFERROR(__xludf.DUMMYFUNCTION("""COMPUTED_VALUE"""),"Александра Венкова Куманова")</f>
        <v>Александра Венкова Куманова</v>
      </c>
      <c r="B321" s="10" t="str">
        <f ca="1">IFERROR(__xludf.DUMMYFUNCTION("""COMPUTED_VALUE"""),"Книга")</f>
        <v>Книга</v>
      </c>
      <c r="C321" s="10" t="str">
        <f ca="1">IFERROR(__xludf.DUMMYFUNCTION("""COMPUTED_VALUE"""),"Александр Васильевич Мамонтов : Биобиблиогр. указ. [тр.] к 60-лет. ученого")</f>
        <v>Александр Васильевич Мамонтов : Биобиблиогр. указ. [тр.] к 60-лет. ученого</v>
      </c>
      <c r="D321" s="10">
        <f ca="1">IFERROR(__xludf.DUMMYFUNCTION("""COMPUTED_VALUE"""),1989)</f>
        <v>1989</v>
      </c>
      <c r="E321" s="10" t="str">
        <f ca="1">IFERROR(__xludf.DUMMYFUNCTION("""COMPUTED_VALUE"""),"Ленинград : Ленингр. гос. инст. культуры им. Н. К. Крупской, 1989. – 42 с., 1 л. : портр. , Без ISBN.")</f>
        <v>Ленинград : Ленингр. гос. инст. культуры им. Н. К. Крупской, 1989. – 42 с., 1 л. : портр. , Без ISBN.</v>
      </c>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c r="A322" s="10" t="str">
        <f ca="1">IFERROR(__xludf.DUMMYFUNCTION("""COMPUTED_VALUE"""),"Александра Венкова Куманова")</f>
        <v>Александра Венкова Куманова</v>
      </c>
      <c r="B322" s="10" t="str">
        <f ca="1">IFERROR(__xludf.DUMMYFUNCTION("""COMPUTED_VALUE"""),"Статия в списания и поредици")</f>
        <v>Статия в списания и поредици</v>
      </c>
      <c r="C322" s="10" t="str">
        <f ca="1">IFERROR(__xludf.DUMMYFUNCTION("""COMPUTED_VALUE"""),"Видовая структура библиографии как связь и взаимодействие видов библиографии (на основе теорий европейских социалистических стран).")</f>
        <v>Видовая структура библиографии как связь и взаимодействие видов библиографии (на основе теорий европейских социалистических стран).</v>
      </c>
      <c r="D322" s="10">
        <f ca="1">IFERROR(__xludf.DUMMYFUNCTION("""COMPUTED_VALUE"""),1989)</f>
        <v>1989</v>
      </c>
      <c r="E322" s="10" t="str">
        <f ca="1">IFERROR(__xludf.DUMMYFUNCTION("""COMPUTED_VALUE"""),"Библиотековедение и библиография за рубежом (Москва). – ISSN 0320-7838. – 1989, Вып. 123, с. 28-35.")</f>
        <v>Библиотековедение и библиография за рубежом (Москва). – ISSN 0320-7838. – 1989, Вып. 123, с. 28-35.</v>
      </c>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c r="A323" s="10" t="str">
        <f ca="1">IFERROR(__xludf.DUMMYFUNCTION("""COMPUTED_VALUE"""),"Александра Венкова Куманова")</f>
        <v>Александра Венкова Куманова</v>
      </c>
      <c r="B323" s="10" t="str">
        <f ca="1">IFERROR(__xludf.DUMMYFUNCTION("""COMPUTED_VALUE"""),"Книга")</f>
        <v>Книга</v>
      </c>
      <c r="C323" s="10" t="str">
        <f ca="1">IFERROR(__xludf.DUMMYFUNCTION("""COMPUTED_VALUE"""),"Рекомендательная библиография в видовой структуре библиографии и ее внутренняя дифференциация : Курс лекций по общ. библиографоведению")</f>
        <v>Рекомендательная библиография в видовой структуре библиографии и ее внутренняя дифференциация : Курс лекций по общ. библиографоведению</v>
      </c>
      <c r="D323" s="10">
        <f ca="1">IFERROR(__xludf.DUMMYFUNCTION("""COMPUTED_VALUE"""),1989)</f>
        <v>1989</v>
      </c>
      <c r="E323" s="10" t="str">
        <f ca="1">IFERROR(__xludf.DUMMYFUNCTION("""COMPUTED_VALUE"""),"Ленинград : Ленингр. гос. инст. культуры им. Н. К. Крупской , 1989. – 188 с. : със [16] сх., [5] табл., [6] ил. Библиогр.: 342 номерирани назв. в сист.-азб. ред. – Именен показалец, сист. показалец. Без ISBN")</f>
        <v>Ленинград : Ленингр. гос. инст. культуры им. Н. К. Крупской , 1989. – 188 с. : със [16] сх., [5] табл., [6] ил. Библиогр.: 342 номерирани назв. в сист.-азб. ред. – Именен показалец, сист. показалец. Без ISBN</v>
      </c>
      <c r="F323" s="10"/>
      <c r="G323" s="10"/>
      <c r="H323" s="10"/>
      <c r="I323" s="10"/>
      <c r="J323" s="10"/>
      <c r="K323" s="10"/>
      <c r="L323" s="10"/>
      <c r="M323" s="10"/>
      <c r="N323" s="10"/>
      <c r="O323" s="10"/>
      <c r="P323" s="10"/>
      <c r="Q323" s="10"/>
      <c r="R323" s="10"/>
      <c r="S323" s="10"/>
      <c r="T323" s="10"/>
      <c r="U323" s="10"/>
      <c r="V323" s="10"/>
      <c r="W323" s="10"/>
      <c r="X323" s="10"/>
      <c r="Y323" s="10"/>
      <c r="Z323" s="10"/>
    </row>
    <row r="324" spans="1:26" ht="12.75">
      <c r="A324" s="10" t="str">
        <f ca="1">IFERROR(__xludf.DUMMYFUNCTION("""COMPUTED_VALUE"""),"Александра Венкова Куманова")</f>
        <v>Александра Венкова Куманова</v>
      </c>
      <c r="B324" s="10" t="str">
        <f ca="1">IFERROR(__xludf.DUMMYFUNCTION("""COMPUTED_VALUE"""),"Статия в списания и поредици")</f>
        <v>Статия в списания и поредици</v>
      </c>
      <c r="C324" s="10" t="str">
        <f ca="1">IFERROR(__xludf.DUMMYFUNCTION("""COMPUTED_VALUE"""),"Системата на препоръчителната библиография като структурна част от единната система за библиографска информация в България. Статия 2, Системно-структурен синтез.")</f>
        <v>Системата на препоръчителната библиография като структурна част от единната система за библиографска информация в България. Статия 2, Системно-структурен синтез.</v>
      </c>
      <c r="D324" s="10">
        <f ca="1">IFERROR(__xludf.DUMMYFUNCTION("""COMPUTED_VALUE"""),1989)</f>
        <v>1989</v>
      </c>
      <c r="E324" s="10" t="str">
        <f ca="1">IFERROR(__xludf.DUMMYFUNCTION("""COMPUTED_VALUE"""),"Библиотекар (София). – ISSN 0204-7438. – 1989, N 6, с. 17-30.")</f>
        <v>Библиотекар (София). – ISSN 0204-7438. – 1989, N 6, с. 17-30.</v>
      </c>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c r="A325" s="10" t="str">
        <f ca="1">IFERROR(__xludf.DUMMYFUNCTION("""COMPUTED_VALUE"""),"Александра Венкова Куманова")</f>
        <v>Александра Венкова Куманова</v>
      </c>
      <c r="B325" s="10" t="str">
        <f ca="1">IFERROR(__xludf.DUMMYFUNCTION("""COMPUTED_VALUE"""),"Статия в списания и поредици")</f>
        <v>Статия в списания и поредици</v>
      </c>
      <c r="C325" s="10" t="str">
        <f ca="1">IFERROR(__xludf.DUMMYFUNCTION("""COMPUTED_VALUE"""),"Системата на препоръчителната библиография като структурна част от единната система за библиографска информация в България. Статия 1, Системно-структурен анализ.")</f>
        <v>Системата на препоръчителната библиография като структурна част от единната система за библиографска информация в България. Статия 1, Системно-структурен анализ.</v>
      </c>
      <c r="D325" s="10">
        <f ca="1">IFERROR(__xludf.DUMMYFUNCTION("""COMPUTED_VALUE"""),1989)</f>
        <v>1989</v>
      </c>
      <c r="E325" s="10" t="str">
        <f ca="1">IFERROR(__xludf.DUMMYFUNCTION("""COMPUTED_VALUE"""),"Библиотекар (София). – ISSN 0204-7438. – 1989, N 5, с. 30-38.")</f>
        <v>Библиотекар (София). – ISSN 0204-7438. – 1989, N 5, с. 30-38.</v>
      </c>
      <c r="F325" s="10"/>
      <c r="G325" s="10"/>
      <c r="H325" s="10"/>
      <c r="I325" s="10"/>
      <c r="J325" s="10"/>
      <c r="K325" s="10"/>
      <c r="L325" s="10"/>
      <c r="M325" s="10"/>
      <c r="N325" s="10"/>
      <c r="O325" s="10"/>
      <c r="P325" s="10"/>
      <c r="Q325" s="10"/>
      <c r="R325" s="10"/>
      <c r="S325" s="10"/>
      <c r="T325" s="10"/>
      <c r="U325" s="10"/>
      <c r="V325" s="10"/>
      <c r="W325" s="10"/>
      <c r="X325" s="10"/>
      <c r="Y325" s="10"/>
      <c r="Z325" s="10"/>
    </row>
    <row r="326" spans="1:26" ht="12.75">
      <c r="A326" s="10" t="str">
        <f ca="1">IFERROR(__xludf.DUMMYFUNCTION("""COMPUTED_VALUE"""),"Александра Венкова Куманова")</f>
        <v>Александра Венкова Куманова</v>
      </c>
      <c r="B326" s="10" t="str">
        <f ca="1">IFERROR(__xludf.DUMMYFUNCTION("""COMPUTED_VALUE"""),"Книга")</f>
        <v>Книга</v>
      </c>
      <c r="C326" s="10" t="str">
        <f ca="1">IFERROR(__xludf.DUMMYFUNCTION("""COMPUTED_VALUE"""),"Любен Каравелов. 1834-1879 : Био-библиогр. указ. и опис на арх. док.")</f>
        <v>Любен Каравелов. 1834-1879 : Био-библиогр. указ. и опис на арх. док.</v>
      </c>
      <c r="D326" s="10">
        <f ca="1">IFERROR(__xludf.DUMMYFUNCTION("""COMPUTED_VALUE"""),1989)</f>
        <v>1989</v>
      </c>
      <c r="E326" s="10" t="str">
        <f ca="1">IFERROR(__xludf.DUMMYFUNCTION("""COMPUTED_VALUE"""),"/ Състав. Петя Дюгмеджиева ... [и др.] ; Науч. ред. Дочо
 Леков ; Библиогр. ред. Евелина Василева. – София : Нар. библ. „Кирил и Методий”, 1989. – 461 с. – Други състав.: Е. Василева, Ив. Петрова, Ал. Куманова, Н. Кукудова, Ст. Трендафилов, П. Симова, В. "&amp;"Тилева, К. Възвъзова-Каратеодорова. – Именен показалец, геогр. показалец / състав. А. Куманова. – Съдържа и: Литература за Любен Каравелов : 1944-1964 г. / Състав. А. Куманова : с. 255-311.
 Без ISBN.")</f>
        <v>/ Състав. Петя Дюгмеджиева ... [и др.] ; Науч. ред. Дочо
 Леков ; Библиогр. ред. Евелина Василева. – София : Нар. библ. „Кирил и Методий”, 1989. – 461 с. – Други състав.: Е. Василева, Ив. Петрова, Ал. Куманова, Н. Кукудова, Ст. Трендафилов, П. Симова, В. Тилева, К. Възвъзова-Каратеодорова. – Именен показалец, геогр. показалец / състав. А. Куманова. – Съдържа и: Литература за Любен Каравелов : 1944-1964 г. / Състав. А. Куманова : с. 255-311.
 Без ISBN.</v>
      </c>
      <c r="F326" s="10"/>
      <c r="G326" s="10"/>
      <c r="H326" s="10"/>
      <c r="I326" s="10"/>
      <c r="J326" s="10"/>
      <c r="K326" s="10"/>
      <c r="L326" s="10"/>
      <c r="M326" s="10"/>
      <c r="N326" s="10"/>
      <c r="O326" s="10"/>
      <c r="P326" s="10"/>
      <c r="Q326" s="10"/>
      <c r="R326" s="10"/>
      <c r="S326" s="10"/>
      <c r="T326" s="10"/>
      <c r="U326" s="10"/>
      <c r="V326" s="10"/>
      <c r="W326" s="10"/>
      <c r="X326" s="10"/>
      <c r="Y326" s="10"/>
      <c r="Z326" s="10"/>
    </row>
    <row r="327" spans="1:26" ht="12.75">
      <c r="A327" s="10" t="str">
        <f ca="1">IFERROR(__xludf.DUMMYFUNCTION("""COMPUTED_VALUE"""),"Александра Венкова Куманова")</f>
        <v>Александра Венкова Куманова</v>
      </c>
      <c r="B327" s="10" t="str">
        <f ca="1">IFERROR(__xludf.DUMMYFUNCTION("""COMPUTED_VALUE"""),"Статия в списания и поредици")</f>
        <v>Статия в списания и поредици</v>
      </c>
      <c r="C327" s="10" t="str">
        <f ca="1">IFERROR(__xludf.DUMMYFUNCTION("""COMPUTED_VALUE"""),"Препоръчителната библиография като система : Опит за същностно-структурно представяне : (Цикъл от статии).")</f>
        <v>Препоръчителната библиография като система : Опит за същностно-структурно представяне : (Цикъл от статии).</v>
      </c>
      <c r="D327" s="10">
        <f ca="1">IFERROR(__xludf.DUMMYFUNCTION("""COMPUTED_VALUE"""),1988)</f>
        <v>1988</v>
      </c>
      <c r="E327" s="10" t="str">
        <f ca="1">IFERROR(__xludf.DUMMYFUNCTION("""COMPUTED_VALUE"""),"Нови книги / Нар. библ. „[Св. Св.] Кирил и Методий” (София). – ISSN 0204-5591. – 1988, N 1, с. 23-26.")</f>
        <v>Нови книги / Нар. библ. „[Св. Св.] Кирил и Методий” (София). – ISSN 0204-5591. – 1988, N 1, с. 23-26.</v>
      </c>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c r="A328" s="10" t="str">
        <f ca="1">IFERROR(__xludf.DUMMYFUNCTION("""COMPUTED_VALUE"""),"Александра Венкова Куманова")</f>
        <v>Александра Венкова Куманова</v>
      </c>
      <c r="B328" s="10" t="str">
        <f ca="1">IFERROR(__xludf.DUMMYFUNCTION("""COMPUTED_VALUE"""),"Статия в списания и поредици")</f>
        <v>Статия в списания и поредици</v>
      </c>
      <c r="C328" s="10" t="str">
        <f ca="1">IFERROR(__xludf.DUMMYFUNCTION("""COMPUTED_VALUE"""),"Възгледи за функционалните признаци на препоръчителната библиография : Приближаване към описването на функцион. й структура.")</f>
        <v>Възгледи за функционалните признаци на препоръчителната библиография : Приближаване към описването на функцион. й структура.</v>
      </c>
      <c r="D328" s="10">
        <f ca="1">IFERROR(__xludf.DUMMYFUNCTION("""COMPUTED_VALUE"""),1988)</f>
        <v>1988</v>
      </c>
      <c r="E328" s="10" t="str">
        <f ca="1">IFERROR(__xludf.DUMMYFUNCTION("""COMPUTED_VALUE"""),"Библиотекар (София). – ISSN 0204-7438. – 1988, N 8, с. 3-9.")</f>
        <v>Библиотекар (София). – ISSN 0204-7438. – 1988, N 8, с. 3-9.</v>
      </c>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c r="A329" s="10" t="str">
        <f ca="1">IFERROR(__xludf.DUMMYFUNCTION("""COMPUTED_VALUE"""),"Александра Венкова Куманова")</f>
        <v>Александра Венкова Куманова</v>
      </c>
      <c r="B329" s="10" t="str">
        <f ca="1">IFERROR(__xludf.DUMMYFUNCTION("""COMPUTED_VALUE"""),"Статия в списания и поредици")</f>
        <v>Статия в списания и поредици</v>
      </c>
      <c r="C329" s="10" t="str">
        <f ca="1">IFERROR(__xludf.DUMMYFUNCTION("""COMPUTED_VALUE"""),"Отрасловата структура на библиографията като всеобща съдържателна диференциация на видовата й структура.")</f>
        <v>Отрасловата структура на библиографията като всеобща съдържателна диференциация на видовата й структура.</v>
      </c>
      <c r="D329" s="10">
        <f ca="1">IFERROR(__xludf.DUMMYFUNCTION("""COMPUTED_VALUE"""),1988)</f>
        <v>1988</v>
      </c>
      <c r="E329" s="10" t="str">
        <f ca="1">IFERROR(__xludf.DUMMYFUNCTION("""COMPUTED_VALUE"""),"Библиотекар (София). – ISSN 0204-7438. – 1988, N 3, с. 3-7.")</f>
        <v>Библиотекар (София). – ISSN 0204-7438. – 1988, N 3, с. 3-7.</v>
      </c>
      <c r="F329" s="10"/>
      <c r="G329" s="10"/>
      <c r="H329" s="10"/>
      <c r="I329" s="10"/>
      <c r="J329" s="10"/>
      <c r="K329" s="10"/>
      <c r="L329" s="10"/>
      <c r="M329" s="10"/>
      <c r="N329" s="10"/>
      <c r="O329" s="10"/>
      <c r="P329" s="10"/>
      <c r="Q329" s="10"/>
      <c r="R329" s="10"/>
      <c r="S329" s="10"/>
      <c r="T329" s="10"/>
      <c r="U329" s="10"/>
      <c r="V329" s="10"/>
      <c r="W329" s="10"/>
      <c r="X329" s="10"/>
      <c r="Y329" s="10"/>
      <c r="Z329" s="10"/>
    </row>
    <row r="330" spans="1:26" ht="12.75">
      <c r="A330" s="10" t="str">
        <f ca="1">IFERROR(__xludf.DUMMYFUNCTION("""COMPUTED_VALUE"""),"Александра Венкова Куманова")</f>
        <v>Александра Венкова Куманова</v>
      </c>
      <c r="B330" s="10" t="str">
        <f ca="1">IFERROR(__xludf.DUMMYFUNCTION("""COMPUTED_VALUE"""),"Статия в списания и поредици")</f>
        <v>Статия в списания и поредици</v>
      </c>
      <c r="C330" s="10" t="str">
        <f ca="1">IFERROR(__xludf.DUMMYFUNCTION("""COMPUTED_VALUE"""),"Основни категории и понятия в системата на препоръчителната библиография : [Статия втора]")</f>
        <v>Основни категории и понятия в системата на препоръчителната библиография : [Статия втора]</v>
      </c>
      <c r="D330" s="10">
        <f ca="1">IFERROR(__xludf.DUMMYFUNCTION("""COMPUTED_VALUE"""),1988)</f>
        <v>1988</v>
      </c>
      <c r="E330" s="10" t="str">
        <f ca="1">IFERROR(__xludf.DUMMYFUNCTION("""COMPUTED_VALUE"""),"// Нови книги / Нар. библ. „[Св. Св.] Кирил и Методий” (София). – ISSN 0204-5591. – 1988, N 4, с. 26-33.")</f>
        <v>// Нови книги / Нар. библ. „[Св. Св.] Кирил и Методий” (София). – ISSN 0204-5591. – 1988, N 4, с. 26-33.</v>
      </c>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c r="A331" s="10" t="str">
        <f ca="1">IFERROR(__xludf.DUMMYFUNCTION("""COMPUTED_VALUE"""),"Александра Венкова Куманова")</f>
        <v>Александра Венкова Куманова</v>
      </c>
      <c r="B331" s="10" t="str">
        <f ca="1">IFERROR(__xludf.DUMMYFUNCTION("""COMPUTED_VALUE"""),"Статия в списания и поредици")</f>
        <v>Статия в списания и поредици</v>
      </c>
      <c r="C331" s="10" t="str">
        <f ca="1">IFERROR(__xludf.DUMMYFUNCTION("""COMPUTED_VALUE"""),"Разкриване същността на препоръчителната библиография : Ист.-теор. преглед : [Статия първа].")</f>
        <v>Разкриване същността на препоръчителната библиография : Ист.-теор. преглед : [Статия първа].</v>
      </c>
      <c r="D331" s="10">
        <f ca="1">IFERROR(__xludf.DUMMYFUNCTION("""COMPUTED_VALUE"""),1988)</f>
        <v>1988</v>
      </c>
      <c r="E331" s="10" t="str">
        <f ca="1">IFERROR(__xludf.DUMMYFUNCTION("""COMPUTED_VALUE"""),"Нови книги / Нар. библ. „[Св. Св.] Кирил и Методий” (София). – ISSN 0204-5591. – 1988, N 1, с. 26-33.")</f>
        <v>Нови книги / Нар. библ. „[Св. Св.] Кирил и Методий” (София). – ISSN 0204-5591. – 1988, N 1, с. 26-33.</v>
      </c>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c r="A332" s="10" t="str">
        <f ca="1">IFERROR(__xludf.DUMMYFUNCTION("""COMPUTED_VALUE"""),"Александра Венкова Куманова")</f>
        <v>Александра Венкова Куманова</v>
      </c>
      <c r="B332" s="10" t="str">
        <f ca="1">IFERROR(__xludf.DUMMYFUNCTION("""COMPUTED_VALUE"""),"Статия в списания и поредици")</f>
        <v>Статия в списания и поредици</v>
      </c>
      <c r="C332" s="10" t="str">
        <f ca="1">IFERROR(__xludf.DUMMYFUNCTION("""COMPUTED_VALUE"""),"Закономерности на вътрешната диференциация на препоръчителната библиография : [Статия четвърта].")</f>
        <v>Закономерности на вътрешната диференциация на препоръчителната библиография : [Статия четвърта].</v>
      </c>
      <c r="D332" s="10">
        <f ca="1">IFERROR(__xludf.DUMMYFUNCTION("""COMPUTED_VALUE"""),1988)</f>
        <v>1988</v>
      </c>
      <c r="E332" s="10" t="str">
        <f ca="1">IFERROR(__xludf.DUMMYFUNCTION("""COMPUTED_VALUE"""),"Нови книги / Нар. библ. „[Св. Св.] Кирил и Методий” (София). – ISSN 0204-5591. – 1988, N 14, с. 27-33.")</f>
        <v>Нови книги / Нар. библ. „[Св. Св.] Кирил и Методий” (София). – ISSN 0204-5591. – 1988, N 14, с. 27-33.</v>
      </c>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c r="A333" s="10" t="str">
        <f ca="1">IFERROR(__xludf.DUMMYFUNCTION("""COMPUTED_VALUE"""),"Александра Венкова Куманова")</f>
        <v>Александра Венкова Куманова</v>
      </c>
      <c r="B333" s="10" t="str">
        <f ca="1">IFERROR(__xludf.DUMMYFUNCTION("""COMPUTED_VALUE"""),"Статия в списания и поредици")</f>
        <v>Статия в списания и поредици</v>
      </c>
      <c r="C333" s="10" t="str">
        <f ca="1">IFERROR(__xludf.DUMMYFUNCTION("""COMPUTED_VALUE"""),"Препоръчителната библиография във видовата структура на библиографията : [Статия трета].")</f>
        <v>Препоръчителната библиография във видовата структура на библиографията : [Статия трета].</v>
      </c>
      <c r="D333" s="10">
        <f ca="1">IFERROR(__xludf.DUMMYFUNCTION("""COMPUTED_VALUE"""),1988)</f>
        <v>1988</v>
      </c>
      <c r="E333" s="10" t="str">
        <f ca="1">IFERROR(__xludf.DUMMYFUNCTION("""COMPUTED_VALUE"""),"Нови книги / Нар. библ. „[Св. Св.] Кирил и Методий” (София). – ISSN 0204-5591. – 1988, N 8, с. 19-23.")</f>
        <v>Нови книги / Нар. библ. „[Св. Св.] Кирил и Методий” (София). – ISSN 0204-5591. – 1988, N 8, с. 19-23.</v>
      </c>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c r="A334" s="10" t="str">
        <f ca="1">IFERROR(__xludf.DUMMYFUNCTION("""COMPUTED_VALUE"""),"Александра Венкова Куманова")</f>
        <v>Александра Венкова Куманова</v>
      </c>
      <c r="B334" s="10" t="str">
        <f ca="1">IFERROR(__xludf.DUMMYFUNCTION("""COMPUTED_VALUE"""),"Статия в списания и поредици")</f>
        <v>Статия в списания и поредици</v>
      </c>
      <c r="C334" s="10" t="str">
        <f ca="1">IFERROR(__xludf.DUMMYFUNCTION("""COMPUTED_VALUE"""),"Препоръчителната библиография във видовата структура на библиографията : Класиф. проблеми в съв. библиографознание.")</f>
        <v>Препоръчителната библиография във видовата структура на библиографията : Класиф. проблеми в съв. библиографознание.</v>
      </c>
      <c r="D334" s="10">
        <f ca="1">IFERROR(__xludf.DUMMYFUNCTION("""COMPUTED_VALUE"""),1987)</f>
        <v>1987</v>
      </c>
      <c r="E334" s="10" t="str">
        <f ca="1">IFERROR(__xludf.DUMMYFUNCTION("""COMPUTED_VALUE"""),"Библиотекар (София). – ISSN 0204-7438. – 1987, N 1, с. 35-41.")</f>
        <v>Библиотекар (София). – ISSN 0204-7438. – 1987, N 1, с. 35-41.</v>
      </c>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c r="A335" s="10" t="str">
        <f ca="1">IFERROR(__xludf.DUMMYFUNCTION("""COMPUTED_VALUE"""),"Александра Венкова Куманова")</f>
        <v>Александра Венкова Куманова</v>
      </c>
      <c r="B335" s="10" t="str">
        <f ca="1">IFERROR(__xludf.DUMMYFUNCTION("""COMPUTED_VALUE"""),"Статия в списания и поредици")</f>
        <v>Статия в списания и поредици</v>
      </c>
      <c r="C335" s="10" t="str">
        <f ca="1">IFERROR(__xludf.DUMMYFUNCTION("""COMPUTED_VALUE"""),"За съдържанието на понятието „вътрешна диференциация на препоръчителната библиография” във връзка с класификацията на библиографията.")</f>
        <v>За съдържанието на понятието „вътрешна диференциация на препоръчителната библиография” във връзка с класификацията на библиографията.</v>
      </c>
      <c r="D335" s="10">
        <f ca="1">IFERROR(__xludf.DUMMYFUNCTION("""COMPUTED_VALUE"""),1987)</f>
        <v>1987</v>
      </c>
      <c r="E335" s="10" t="str">
        <f ca="1">IFERROR(__xludf.DUMMYFUNCTION("""COMPUTED_VALUE"""),"Библиотекар (София). – ISSN 0204-7438. – 1987, N 10, с. 2-8.")</f>
        <v>Библиотекар (София). – ISSN 0204-7438. – 1987, N 10, с. 2-8.</v>
      </c>
      <c r="F335" s="10"/>
      <c r="G335" s="10"/>
      <c r="H335" s="10"/>
      <c r="I335" s="10"/>
      <c r="J335" s="10"/>
      <c r="K335" s="10"/>
      <c r="L335" s="10"/>
      <c r="M335" s="10"/>
      <c r="N335" s="10"/>
      <c r="O335" s="10"/>
      <c r="P335" s="10"/>
      <c r="Q335" s="10"/>
      <c r="R335" s="10"/>
      <c r="S335" s="10"/>
      <c r="T335" s="10"/>
      <c r="U335" s="10"/>
      <c r="V335" s="10"/>
      <c r="W335" s="10"/>
      <c r="X335" s="10"/>
      <c r="Y335" s="10"/>
      <c r="Z335" s="10"/>
    </row>
    <row r="336" spans="1:26" ht="12.75">
      <c r="A336" s="10" t="str">
        <f ca="1">IFERROR(__xludf.DUMMYFUNCTION("""COMPUTED_VALUE"""),"Александра Венкова Куманова")</f>
        <v>Александра Венкова Куманова</v>
      </c>
      <c r="B336" s="10" t="str">
        <f ca="1">IFERROR(__xludf.DUMMYFUNCTION("""COMPUTED_VALUE"""),"Статия в списания и поредици")</f>
        <v>Статия в списания и поредици</v>
      </c>
      <c r="C336" s="10" t="str">
        <f ca="1">IFERROR(__xludf.DUMMYFUNCTION("""COMPUTED_VALUE"""),"Некоторые вопросы развития рекомендательной библиографии в европейских странах – членах СЭВ (общее, особенное и единичное в ее концепциях).")</f>
        <v>Некоторые вопросы развития рекомендательной библиографии в европейских странах – членах СЭВ (общее, особенное и единичное в ее концепциях).</v>
      </c>
      <c r="D336" s="10">
        <f ca="1">IFERROR(__xludf.DUMMYFUNCTION("""COMPUTED_VALUE"""),1987)</f>
        <v>1987</v>
      </c>
      <c r="E336" s="10" t="str">
        <f ca="1">IFERROR(__xludf.DUMMYFUNCTION("""COMPUTED_VALUE"""),"Библиотековедение и библиография за рубежом (Москва). – ISSN 0320-7838. – 1987, Вып. 115, с. 69-81.")</f>
        <v>Библиотековедение и библиография за рубежом (Москва). – ISSN 0320-7838. – 1987, Вып. 115, с. 69-81.</v>
      </c>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c r="A337" s="10" t="str">
        <f ca="1">IFERROR(__xludf.DUMMYFUNCTION("""COMPUTED_VALUE"""),"Александра Венкова Куманова")</f>
        <v>Александра Венкова Куманова</v>
      </c>
      <c r="B337" s="10" t="str">
        <f ca="1">IFERROR(__xludf.DUMMYFUNCTION("""COMPUTED_VALUE"""),"Доклад от конференция")</f>
        <v>Доклад от конференция</v>
      </c>
      <c r="C337" s="10" t="str">
        <f ca="1">IFERROR(__xludf.DUMMYFUNCTION("""COMPUTED_VALUE"""),"За понятието „вид библиография” : Въпросът за признака на деление на библиогр. по видове : [Тезисни докл. от IV науч.-практ. конф. на бълг. аспиранти и студенти в Ленинград, 17 май 1986 г.].")</f>
        <v>За понятието „вид библиография” : Въпросът за признака на деление на библиогр. по видове : [Тезисни докл. от IV науч.-практ. конф. на бълг. аспиранти и студенти в Ленинград, 17 май 1986 г.].</v>
      </c>
      <c r="D337" s="10">
        <f ca="1">IFERROR(__xludf.DUMMYFUNCTION("""COMPUTED_VALUE"""),1987)</f>
        <v>1987</v>
      </c>
      <c r="E337" s="10" t="str">
        <f ca="1">IFERROR(__xludf.DUMMYFUNCTION("""COMPUTED_VALUE"""),"Резюмета на доклади от участието на българските аспиранти и студенти в Четвъртата научно-практическа конференция в Ленинград, 17 май 1986 г. – София, 1987, с. 11-12. – Без ISBN.")</f>
        <v>Резюмета на доклади от участието на българските аспиранти и студенти в Четвъртата научно-практическа конференция в Ленинград, 17 май 1986 г. – София, 1987, с. 11-12. – Без ISBN.</v>
      </c>
      <c r="F337" s="10"/>
      <c r="G337" s="10"/>
      <c r="H337" s="10"/>
      <c r="I337" s="10"/>
      <c r="J337" s="10"/>
      <c r="K337" s="10"/>
      <c r="L337" s="10"/>
      <c r="M337" s="10"/>
      <c r="N337" s="10"/>
      <c r="O337" s="10"/>
      <c r="P337" s="10"/>
      <c r="Q337" s="10"/>
      <c r="R337" s="10"/>
      <c r="S337" s="10"/>
      <c r="T337" s="10"/>
      <c r="U337" s="10"/>
      <c r="V337" s="10"/>
      <c r="W337" s="10"/>
      <c r="X337" s="10"/>
      <c r="Y337" s="10"/>
      <c r="Z337" s="10"/>
    </row>
    <row r="338" spans="1:26" ht="12.75">
      <c r="A338" s="10" t="str">
        <f ca="1">IFERROR(__xludf.DUMMYFUNCTION("""COMPUTED_VALUE"""),"Александра Венкова Куманова")</f>
        <v>Александра Венкова Куманова</v>
      </c>
      <c r="B338" s="10" t="str">
        <f ca="1">IFERROR(__xludf.DUMMYFUNCTION("""COMPUTED_VALUE"""),"Статия в списания и поредици")</f>
        <v>Статия в списания и поредици</v>
      </c>
      <c r="C338" s="10" t="str">
        <f ca="1">IFERROR(__xludf.DUMMYFUNCTION("""COMPUTED_VALUE"""),"Съдържанието на библиографската информация като основа на отрасловата структура на библиографията.")</f>
        <v>Съдържанието на библиографската информация като основа на отрасловата структура на библиографията.</v>
      </c>
      <c r="D338" s="10">
        <f ca="1">IFERROR(__xludf.DUMMYFUNCTION("""COMPUTED_VALUE"""),1987)</f>
        <v>1987</v>
      </c>
      <c r="E338" s="10" t="str">
        <f ca="1">IFERROR(__xludf.DUMMYFUNCTION("""COMPUTED_VALUE"""),"Библиотекар (София). – ISSN 0204-7438. – 1987, N 12, с. 2-8.")</f>
        <v>Библиотекар (София). – ISSN 0204-7438. – 1987, N 12, с. 2-8.</v>
      </c>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c r="A339" s="10" t="str">
        <f ca="1">IFERROR(__xludf.DUMMYFUNCTION("""COMPUTED_VALUE"""),"Александра Венкова Куманова")</f>
        <v>Александра Венкова Куманова</v>
      </c>
      <c r="B339" s="10" t="str">
        <f ca="1">IFERROR(__xludf.DUMMYFUNCTION("""COMPUTED_VALUE"""),"Статия в списания и поредици")</f>
        <v>Статия в списания и поредици</v>
      </c>
      <c r="C339" s="10" t="str">
        <f ca="1">IFERROR(__xludf.DUMMYFUNCTION("""COMPUTED_VALUE"""),"Бюллетень „Нови книги” (НРБ).")</f>
        <v>Бюллетень „Нови книги” (НРБ).</v>
      </c>
      <c r="D339" s="10">
        <f ca="1">IFERROR(__xludf.DUMMYFUNCTION("""COMPUTED_VALUE"""),1986)</f>
        <v>1986</v>
      </c>
      <c r="E339" s="10" t="str">
        <f ca="1">IFERROR(__xludf.DUMMYFUNCTION("""COMPUTED_VALUE"""),"Советская библиография (Москва). – ISSN 0869-6020. – 1985, N 6, с. 79-83.")</f>
        <v>Советская библиография (Москва). – ISSN 0869-6020. – 1985, N 6, с. 79-83.</v>
      </c>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c r="A340" s="10" t="str">
        <f ca="1">IFERROR(__xludf.DUMMYFUNCTION("""COMPUTED_VALUE"""),"Александра Венкова Куманова")</f>
        <v>Александра Венкова Куманова</v>
      </c>
      <c r="B340" s="10" t="str">
        <f ca="1">IFERROR(__xludf.DUMMYFUNCTION("""COMPUTED_VALUE"""),"Статия в списания и поредици")</f>
        <v>Статия в списания и поредици</v>
      </c>
      <c r="C340" s="10" t="str">
        <f ca="1">IFERROR(__xludf.DUMMYFUNCTION("""COMPUTED_VALUE"""),"Вълнуващ празник : [За срещата на випускниците от 1960-те – 1980-те г. на Държ. библ. институт (София), продължили висшето си образование в Ленингр. държ. инст. по културата (Русия) от 4 април 1986 г. : Науч. и пед. школа].")</f>
        <v>Вълнуващ празник : [За срещата на випускниците от 1960-те – 1980-те г. на Държ. библ. институт (София), продължили висшето си образование в Ленингр. държ. инст. по културата (Русия) от 4 април 1986 г. : Науч. и пед. школа].</v>
      </c>
      <c r="D340" s="10">
        <f ca="1">IFERROR(__xludf.DUMMYFUNCTION("""COMPUTED_VALUE"""),1986)</f>
        <v>1986</v>
      </c>
      <c r="E340" s="10" t="str">
        <f ca="1">IFERROR(__xludf.DUMMYFUNCTION("""COMPUTED_VALUE"""),"// Библиотекар (София). – ISSN 0204-7438. – 1986, N 6, с. 45-46.")</f>
        <v>// Библиотекар (София). – ISSN 0204-7438. – 1986, N 6, с. 45-46.</v>
      </c>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c r="A341" s="10" t="str">
        <f ca="1">IFERROR(__xludf.DUMMYFUNCTION("""COMPUTED_VALUE"""),"Александра Венкова Куманова")</f>
        <v>Александра Венкова Куманова</v>
      </c>
      <c r="B341" s="10" t="str">
        <f ca="1">IFERROR(__xludf.DUMMYFUNCTION("""COMPUTED_VALUE"""),"Статия в списания и поредици")</f>
        <v>Статия в списания и поредици</v>
      </c>
      <c r="C341" s="10" t="str">
        <f ca="1">IFERROR(__xludf.DUMMYFUNCTION("""COMPUTED_VALUE"""),"Към въпроса за понятието „вид библиография” и неговото значение за системата на библиографията.")</f>
        <v>Към въпроса за понятието „вид библиография” и неговото значение за системата на библиографията.</v>
      </c>
      <c r="D341" s="10">
        <f ca="1">IFERROR(__xludf.DUMMYFUNCTION("""COMPUTED_VALUE"""),1986)</f>
        <v>1986</v>
      </c>
      <c r="E341" s="10" t="str">
        <f ca="1">IFERROR(__xludf.DUMMYFUNCTION("""COMPUTED_VALUE"""),"Библиотекар (София). – ISSN 0204-7438. – 1986, N 10, с. 2-9.")</f>
        <v>Библиотекар (София). – ISSN 0204-7438. – 1986, N 10, с. 2-9.</v>
      </c>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c r="A342" s="10" t="str">
        <f ca="1">IFERROR(__xludf.DUMMYFUNCTION("""COMPUTED_VALUE"""),"Александра Венкова Куманова")</f>
        <v>Александра Венкова Куманова</v>
      </c>
      <c r="B342" s="10" t="str">
        <f ca="1">IFERROR(__xludf.DUMMYFUNCTION("""COMPUTED_VALUE"""),"Статия в списания и поредици")</f>
        <v>Статия в списания и поредици</v>
      </c>
      <c r="C342" s="10" t="str">
        <f ca="1">IFERROR(__xludf.DUMMYFUNCTION("""COMPUTED_VALUE"""),"За възпитанието : [Библиогр. преглед и препоръч. списък на лит.].")</f>
        <v>За възпитанието : [Библиогр. преглед и препоръч. списък на лит.].</v>
      </c>
      <c r="D342" s="10">
        <f ca="1">IFERROR(__xludf.DUMMYFUNCTION("""COMPUTED_VALUE"""),1986)</f>
        <v>1986</v>
      </c>
      <c r="E342" s="10" t="str">
        <f ca="1">IFERROR(__xludf.DUMMYFUNCTION("""COMPUTED_VALUE"""),"// Нови книги / Нар. библ. „[Св. Св.] Кирил и Методий” (София). – ISSN 0204-5591. – 1987, N 21, с. 25-31.")</f>
        <v>// Нови книги / Нар. библ. „[Св. Св.] Кирил и Методий” (София). – ISSN 0204-5591. – 1987, N 21, с. 25-31.</v>
      </c>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c r="A343" s="10" t="str">
        <f ca="1">IFERROR(__xludf.DUMMYFUNCTION("""COMPUTED_VALUE"""),"Александра Венкова Куманова")</f>
        <v>Александра Венкова Куманова</v>
      </c>
      <c r="B343" s="10" t="str">
        <f ca="1">IFERROR(__xludf.DUMMYFUNCTION("""COMPUTED_VALUE"""),"Статия в списания и поредици")</f>
        <v>Статия в списания и поредици</v>
      </c>
      <c r="C343" s="10" t="str">
        <f ca="1">IFERROR(__xludf.DUMMYFUNCTION("""COMPUTED_VALUE"""),"Социологическото и психологическото самопознание на младежта като ядро на проблема „общество – младеж – личност” : [Библиогр. преглед на лит.].")</f>
        <v>Социологическото и психологическото самопознание на младежта като ядро на проблема „общество – младеж – личност” : [Библиогр. преглед на лит.].</v>
      </c>
      <c r="D343" s="10">
        <f ca="1">IFERROR(__xludf.DUMMYFUNCTION("""COMPUTED_VALUE"""),1983)</f>
        <v>1983</v>
      </c>
      <c r="E343" s="10" t="str">
        <f ca="1">IFERROR(__xludf.DUMMYFUNCTION("""COMPUTED_VALUE"""),"// Нови книги / Нар. библ. „[Св. Св.] Кирил и Методий” (София). – ISSN 0204-5591. – 1983, N 18, с.
 26-33.")</f>
        <v>// Нови книги / Нар. библ. „[Св. Св.] Кирил и Методий” (София). – ISSN 0204-5591. – 1983, N 18, с.
 26-33.</v>
      </c>
      <c r="F343" s="10"/>
      <c r="G343" s="10"/>
      <c r="H343" s="10"/>
      <c r="I343" s="10"/>
      <c r="J343" s="10"/>
      <c r="K343" s="10"/>
      <c r="L343" s="10"/>
      <c r="M343" s="10"/>
      <c r="N343" s="10"/>
      <c r="O343" s="10"/>
      <c r="P343" s="10"/>
      <c r="Q343" s="10"/>
      <c r="R343" s="10"/>
      <c r="S343" s="10"/>
      <c r="T343" s="10"/>
      <c r="U343" s="10"/>
      <c r="V343" s="10"/>
      <c r="W343" s="10"/>
      <c r="X343" s="10"/>
      <c r="Y343" s="10"/>
      <c r="Z343" s="10"/>
    </row>
    <row r="344" spans="1:26" ht="12.75">
      <c r="A344" s="10" t="str">
        <f ca="1">IFERROR(__xludf.DUMMYFUNCTION("""COMPUTED_VALUE"""),"Александра Венкова Куманова")</f>
        <v>Александра Венкова Куманова</v>
      </c>
      <c r="B344" s="10" t="str">
        <f ca="1">IFERROR(__xludf.DUMMYFUNCTION("""COMPUTED_VALUE"""),"Статия в списания и поредици")</f>
        <v>Статия в списания и поредици</v>
      </c>
      <c r="C344" s="10" t="str">
        <f ca="1">IFERROR(__xludf.DUMMYFUNCTION("""COMPUTED_VALUE"""),"Признателността на поколенията : [Ист.-култ. библиогр. преглед на честването на 2 юни].")</f>
        <v>Признателността на поколенията : [Ист.-култ. библиогр. преглед на честването на 2 юни].</v>
      </c>
      <c r="D344" s="10">
        <f ca="1">IFERROR(__xludf.DUMMYFUNCTION("""COMPUTED_VALUE"""),1982)</f>
        <v>1982</v>
      </c>
      <c r="E344" s="10" t="str">
        <f ca="1">IFERROR(__xludf.DUMMYFUNCTION("""COMPUTED_VALUE"""),"// Нови книги / Нар. библ. „[Св. Св.] Кирил и Методий” (София). – ISSN 0204-5591. – 1982, N 4, с. 31-38.")</f>
        <v>// Нови книги / Нар. библ. „[Св. Св.] Кирил и Методий” (София). – ISSN 0204-5591. – 1982, N 4, с. 31-38.</v>
      </c>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c r="A345" s="10" t="str">
        <f ca="1">IFERROR(__xludf.DUMMYFUNCTION("""COMPUTED_VALUE"""),"Александра Венкова Куманова")</f>
        <v>Александра Венкова Куманова</v>
      </c>
      <c r="B345" s="10" t="str">
        <f ca="1">IFERROR(__xludf.DUMMYFUNCTION("""COMPUTED_VALUE"""),"Статия в списания и поредици")</f>
        <v>Статия в списания и поредици</v>
      </c>
      <c r="C345" s="10" t="str">
        <f ca="1">IFERROR(__xludf.DUMMYFUNCTION("""COMPUTED_VALUE"""),"Творческият път на украинския поет Микола Бажан – лауреат на Ленинска награда за 1982 г. : [Библиогр. преглед и препоръч. списък на лит.].")</f>
        <v>Творческият път на украинския поет Микола Бажан – лауреат на Ленинска награда за 1982 г. : [Библиогр. преглед и препоръч. списък на лит.].</v>
      </c>
      <c r="D345" s="10">
        <f ca="1">IFERROR(__xludf.DUMMYFUNCTION("""COMPUTED_VALUE"""),1982)</f>
        <v>1982</v>
      </c>
      <c r="E345" s="10" t="str">
        <f ca="1">IFERROR(__xludf.DUMMYFUNCTION("""COMPUTED_VALUE"""),"// Нови книги / Нар. библ. „[Св. Св.] Кирил и Методий” (София). – ISSN 0204-5591. – 1982, N 11, с.
 22-27.")</f>
        <v>// Нови книги / Нар. библ. „[Св. Св.] Кирил и Методий” (София). – ISSN 0204-5591. – 1982, N 11, с.
 22-27.</v>
      </c>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c r="A346" s="10" t="str">
        <f ca="1">IFERROR(__xludf.DUMMYFUNCTION("""COMPUTED_VALUE"""),"Александра Венкова Куманова")</f>
        <v>Александра Венкова Куманова</v>
      </c>
      <c r="B346" s="10" t="str">
        <f ca="1">IFERROR(__xludf.DUMMYFUNCTION("""COMPUTED_VALUE"""),"Статия в списания и поредици")</f>
        <v>Статия в списания и поредици</v>
      </c>
      <c r="C346" s="10" t="str">
        <f ca="1">IFERROR(__xludf.DUMMYFUNCTION("""COMPUTED_VALUE"""),"Борбите на българския народ за национална и социална свобода")</f>
        <v>Борбите на българския народ за национална и социална свобода</v>
      </c>
      <c r="D346" s="10">
        <f ca="1">IFERROR(__xludf.DUMMYFUNCTION("""COMPUTED_VALUE"""),1982)</f>
        <v>1982</v>
      </c>
      <c r="E346" s="10" t="str">
        <f ca="1">IFERROR(__xludf.DUMMYFUNCTION("""COMPUTED_VALUE"""),"Нови книги / Нар. библ. „[Св. Св.] Кирил и Методий” (София). – ISSN 0204-5591. – 1982, N 5,")</f>
        <v>Нови книги / Нар. библ. „[Св. Св.] Кирил и Методий” (София). – ISSN 0204-5591. – 1982, N 5,</v>
      </c>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c r="A347" s="10" t="str">
        <f ca="1">IFERROR(__xludf.DUMMYFUNCTION("""COMPUTED_VALUE"""),"Александра Венкова Куманова")</f>
        <v>Александра Венкова Куманова</v>
      </c>
      <c r="B347" s="10" t="str">
        <f ca="1">IFERROR(__xludf.DUMMYFUNCTION("""COMPUTED_VALUE"""),"Статия в списания и поредици")</f>
        <v>Статия в списания и поредици</v>
      </c>
      <c r="C347" s="10" t="str">
        <f ca="1">IFERROR(__xludf.DUMMYFUNCTION("""COMPUTED_VALUE"""),"Единение с борбата – единение с вечността : [Библиогр. преглед и списък на лит. по случай 170 г. от рожд. на Баба Тонка Обретенова]")</f>
        <v>Единение с борбата – единение с вечността : [Библиогр. преглед и списък на лит. по случай 170 г. от рожд. на Баба Тонка Обретенова]</v>
      </c>
      <c r="D347" s="10">
        <f ca="1">IFERROR(__xludf.DUMMYFUNCTION("""COMPUTED_VALUE"""),1982)</f>
        <v>1982</v>
      </c>
      <c r="E347" s="10" t="str">
        <f ca="1">IFERROR(__xludf.DUMMYFUNCTION("""COMPUTED_VALUE"""),"// Нови книги / Нар. библ. „[Св. Св.] Кирил и Методий” (София). – ISSN 0204-5591. – 1982, N 3, с. 27-36.")</f>
        <v>// Нови книги / Нар. библ. „[Св. Св.] Кирил и Методий” (София). – ISSN 0204-5591. – 1982, N 3, с. 27-36.</v>
      </c>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c r="A348" s="10" t="str">
        <f ca="1">IFERROR(__xludf.DUMMYFUNCTION("""COMPUTED_VALUE"""),"Александра Венкова Куманова")</f>
        <v>Александра Венкова Куманова</v>
      </c>
      <c r="B348" s="10" t="str">
        <f ca="1">IFERROR(__xludf.DUMMYFUNCTION("""COMPUTED_VALUE"""),"Статия в списания и поредици")</f>
        <v>Статия в списания и поредици</v>
      </c>
      <c r="C348" s="10" t="str">
        <f ca="1">IFERROR(__xludf.DUMMYFUNCTION("""COMPUTED_VALUE"""),"Българката – достойна потомка на силни жени : Образът на жената в художествената литература :")</f>
        <v>Българката – достойна потомка на силни жени : Образът на жената в художествената литература :</v>
      </c>
      <c r="D348" s="10">
        <f ca="1">IFERROR(__xludf.DUMMYFUNCTION("""COMPUTED_VALUE"""),1981)</f>
        <v>1981</v>
      </c>
      <c r="E348" s="10" t="str">
        <f ca="1">IFERROR(__xludf.DUMMYFUNCTION("""COMPUTED_VALUE"""),"Нови книги / Нар. библ. „[Св. Св.] Кирил и Методий” (София). – ISSN 0204-5591. – 1981, N 1, с. 32-41.")</f>
        <v>Нови книги / Нар. библ. „[Св. Св.] Кирил и Методий” (София). – ISSN 0204-5591. – 1981, N 1, с. 32-41.</v>
      </c>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c r="A349" s="10" t="str">
        <f ca="1">IFERROR(__xludf.DUMMYFUNCTION("""COMPUTED_VALUE"""),"Александър Иванов Шикаланов")</f>
        <v>Александър Иванов Шикаланов</v>
      </c>
      <c r="B349" s="10" t="str">
        <f ca="1">IFERROR(__xludf.DUMMYFUNCTION("""COMPUTED_VALUE"""),"Статия в списания и поредици")</f>
        <v>Статия в списания и поредици</v>
      </c>
      <c r="C349" s="10" t="str">
        <f ca="1">IFERROR(__xludf.DUMMYFUNCTION("""COMPUTED_VALUE"""),"DECISION SUPPORT SYSTEM FOR ECOSYSTEM SERVICES MARKET BASED ON MULTI - APPROACH APPLICATION")</f>
        <v>DECISION SUPPORT SYSTEM FOR ECOSYSTEM SERVICES MARKET BASED ON MULTI - APPROACH APPLICATION</v>
      </c>
      <c r="D349" s="10">
        <f ca="1">IFERROR(__xludf.DUMMYFUNCTION("""COMPUTED_VALUE"""),2019)</f>
        <v>2019</v>
      </c>
      <c r="E349" s="10" t="str">
        <f ca="1">IFERROR(__xludf.DUMMYFUNCTION("""COMPUTED_VALUE"""),"International Journal of Current Advanced Research, ISSN: O: 2319-6475, ISSN: P: 2319-6505")</f>
        <v>International Journal of Current Advanced Research, ISSN: O: 2319-6475, ISSN: P: 2319-6505</v>
      </c>
      <c r="F349" s="10"/>
      <c r="G349" s="10" t="str">
        <f ca="1">IFERROR(__xludf.DUMMYFUNCTION("""COMPUTED_VALUE"""),"Alexandre Chikalanov, Mariyana Lyubenova, Yurii Pavlov")</f>
        <v>Alexandre Chikalanov, Mariyana Lyubenova, Yurii Pavlov</v>
      </c>
      <c r="H349" s="10"/>
      <c r="I349" s="10"/>
      <c r="J349" s="10"/>
      <c r="K349" s="10"/>
      <c r="L349" s="10"/>
      <c r="M349" s="10"/>
      <c r="N349" s="10"/>
      <c r="O349" s="10"/>
      <c r="P349" s="10"/>
      <c r="Q349" s="10"/>
      <c r="R349" s="10"/>
      <c r="S349" s="10"/>
      <c r="T349" s="10"/>
      <c r="U349" s="10"/>
      <c r="V349" s="10"/>
      <c r="W349" s="10"/>
      <c r="X349" s="10"/>
      <c r="Y349" s="10"/>
      <c r="Z349" s="10"/>
    </row>
    <row r="350" spans="1:26" ht="12.75">
      <c r="A350" s="10" t="str">
        <f ca="1">IFERROR(__xludf.DUMMYFUNCTION("""COMPUTED_VALUE"""),"Александър Иванов Шикаланов")</f>
        <v>Александър Иванов Шикаланов</v>
      </c>
      <c r="B350" s="10" t="str">
        <f ca="1">IFERROR(__xludf.DUMMYFUNCTION("""COMPUTED_VALUE"""),"Статия в списания и поредици")</f>
        <v>Статия в списания и поредици</v>
      </c>
      <c r="C350" s="10" t="str">
        <f ca="1">IFERROR(__xludf.DUMMYFUNCTION("""COMPUTED_VALUE"""),"Cost Effectiveness Assessment of Forest Ecosystem Services for Water Bodies Protection")</f>
        <v>Cost Effectiveness Assessment of Forest Ecosystem Services for Water Bodies Protection</v>
      </c>
      <c r="D350" s="10">
        <f ca="1">IFERROR(__xludf.DUMMYFUNCTION("""COMPUTED_VALUE"""),2019)</f>
        <v>2019</v>
      </c>
      <c r="E350" s="10" t="str">
        <f ca="1">IFERROR(__xludf.DUMMYFUNCTION("""COMPUTED_VALUE"""),": Reflections on the Mediterranean. K. JurËeviÊ, L. Kaliterna LipovËan, O. Ramljak (Eds.), Publishers: Institute of Social Sciences Ivo Pilar, VERN' Group Croatian, Academy of Sciences and Arts, Scientific Council of Anthropological Research (HAZU), Euro-"&amp;"Mediterranean Academic Network (EMAN), 637 p. Mediterranean Issues, b.2, 481-492., ISBN 978-953-8101-04-5")</f>
        <v>: Reflections on the Mediterranean. K. JurËeviÊ, L. Kaliterna LipovËan, O. Ramljak (Eds.), Publishers: Institute of Social Sciences Ivo Pilar, VERN' Group Croatian, Academy of Sciences and Arts, Scientific Council of Anthropological Research (HAZU), Euro-Mediterranean Academic Network (EMAN), 637 p. Mediterranean Issues, b.2, 481-492., ISBN 978-953-8101-04-5</v>
      </c>
      <c r="F350" s="10"/>
      <c r="G350" s="10" t="str">
        <f ca="1">IFERROR(__xludf.DUMMYFUNCTION("""COMPUTED_VALUE"""),"Chikalanov, A., M. Lyubenova, S. Peteva, Y. Petkov, I. Todorova")</f>
        <v>Chikalanov, A., M. Lyubenova, S. Peteva, Y. Petkov, I. Todorova</v>
      </c>
      <c r="H350" s="10"/>
      <c r="I350" s="10"/>
      <c r="J350" s="10"/>
      <c r="K350" s="10"/>
      <c r="L350" s="10"/>
      <c r="M350" s="10"/>
      <c r="N350" s="10"/>
      <c r="O350" s="10"/>
      <c r="P350" s="10"/>
      <c r="Q350" s="10"/>
      <c r="R350" s="10"/>
      <c r="S350" s="10"/>
      <c r="T350" s="10"/>
      <c r="U350" s="10"/>
      <c r="V350" s="10"/>
      <c r="W350" s="10"/>
      <c r="X350" s="10"/>
      <c r="Y350" s="10"/>
      <c r="Z350" s="10"/>
    </row>
    <row r="351" spans="1:26" ht="12.75">
      <c r="A351" s="10" t="str">
        <f ca="1">IFERROR(__xludf.DUMMYFUNCTION("""COMPUTED_VALUE"""),"Александър Иванов Шикаланов")</f>
        <v>Александър Иванов Шикаланов</v>
      </c>
      <c r="B351" s="10" t="str">
        <f ca="1">IFERROR(__xludf.DUMMYFUNCTION("""COMPUTED_VALUE"""),"Доклад от конференция")</f>
        <v>Доклад от конференция</v>
      </c>
      <c r="C351" s="10" t="str">
        <f ca="1">IFERROR(__xludf.DUMMYFUNCTION("""COMPUTED_VALUE"""),"Future of Internet, Ecosystem Services and Sustainable Regional Development")</f>
        <v>Future of Internet, Ecosystem Services and Sustainable Regional Development</v>
      </c>
      <c r="D351" s="10">
        <f ca="1">IFERROR(__xludf.DUMMYFUNCTION("""COMPUTED_VALUE"""),2016)</f>
        <v>2016</v>
      </c>
      <c r="E351" s="10" t="str">
        <f ca="1">IFERROR(__xludf.DUMMYFUNCTION("""COMPUTED_VALUE"""),"4th Annual International Conference on Ecology, Ecosystems and Climate Change, 11-14 July, 2016, Athens, Greece Our Ref: ECL2016")</f>
        <v>4th Annual International Conference on Ecology, Ecosystems and Climate Change, 11-14 July, 2016, Athens, Greece Our Ref: ECL2016</v>
      </c>
      <c r="F351" s="10"/>
      <c r="G351" s="10" t="str">
        <f ca="1">IFERROR(__xludf.DUMMYFUNCTION("""COMPUTED_VALUE"""),"Мариqна Любенова, Румен Николов")</f>
        <v>Мариqна Любенова, Румен Николов</v>
      </c>
      <c r="H351" s="10"/>
      <c r="I351" s="10"/>
      <c r="J351" s="10"/>
      <c r="K351" s="10"/>
      <c r="L351" s="10"/>
      <c r="M351" s="10"/>
      <c r="N351" s="10"/>
      <c r="O351" s="10"/>
      <c r="P351" s="10"/>
      <c r="Q351" s="10"/>
      <c r="R351" s="10"/>
      <c r="S351" s="10"/>
      <c r="T351" s="10"/>
      <c r="U351" s="10"/>
      <c r="V351" s="10"/>
      <c r="W351" s="10"/>
      <c r="X351" s="10"/>
      <c r="Y351" s="10"/>
      <c r="Z351" s="10"/>
    </row>
    <row r="352" spans="1:26" ht="12.75">
      <c r="A352" s="10" t="str">
        <f ca="1">IFERROR(__xludf.DUMMYFUNCTION("""COMPUTED_VALUE"""),"Александър Иванов Шикаланов")</f>
        <v>Александър Иванов Шикаланов</v>
      </c>
      <c r="B352" s="10" t="str">
        <f ca="1">IFERROR(__xludf.DUMMYFUNCTION("""COMPUTED_VALUE"""),"Книга")</f>
        <v>Книга</v>
      </c>
      <c r="C352" s="10" t="str">
        <f ca="1">IFERROR(__xludf.DUMMYFUNCTION("""COMPUTED_VALUE"""),"Model-Driven Design of eMedia: Virtual Technology Transfer Office")</f>
        <v>Model-Driven Design of eMedia: Virtual Technology Transfer Office</v>
      </c>
      <c r="D352" s="10">
        <f ca="1">IFERROR(__xludf.DUMMYFUNCTION("""COMPUTED_VALUE"""),2016)</f>
        <v>2016</v>
      </c>
      <c r="E352" s="10" t="str">
        <f ca="1">IFERROR(__xludf.DUMMYFUNCTION("""COMPUTED_VALUE"""),"Springer-Verlag")</f>
        <v>Springer-Verlag</v>
      </c>
      <c r="F352" s="10"/>
      <c r="G352" s="10" t="str">
        <f ca="1">IFERROR(__xludf.DUMMYFUNCTION("""COMPUTED_VALUE"""),"Румен Андреев, Даниела Борисова, Александър Шикаланов, Цветелине Йоргова")</f>
        <v>Румен Андреев, Даниела Борисова, Александър Шикаланов, Цветелине Йоргова</v>
      </c>
      <c r="H352" s="10"/>
      <c r="I352" s="10"/>
      <c r="J352" s="10"/>
      <c r="K352" s="10"/>
      <c r="L352" s="10"/>
      <c r="M352" s="10"/>
      <c r="N352" s="10"/>
      <c r="O352" s="10"/>
      <c r="P352" s="10"/>
      <c r="Q352" s="10"/>
      <c r="R352" s="10"/>
      <c r="S352" s="10"/>
      <c r="T352" s="10"/>
      <c r="U352" s="10"/>
      <c r="V352" s="10"/>
      <c r="W352" s="10"/>
      <c r="X352" s="10"/>
      <c r="Y352" s="10"/>
      <c r="Z352" s="10"/>
    </row>
    <row r="353" spans="1:26" ht="12.75">
      <c r="A353" s="10" t="str">
        <f ca="1">IFERROR(__xludf.DUMMYFUNCTION("""COMPUTED_VALUE"""),"Александър Иванов Шикаланов")</f>
        <v>Александър Иванов Шикаланов</v>
      </c>
      <c r="B353" s="10" t="str">
        <f ca="1">IFERROR(__xludf.DUMMYFUNCTION("""COMPUTED_VALUE"""),"Доклад от конференция")</f>
        <v>Доклад от конференция</v>
      </c>
      <c r="C353" s="10" t="str">
        <f ca="1">IFERROR(__xludf.DUMMYFUNCTION("""COMPUTED_VALUE"""),"Ecosystem Services – a Function of Natural Capital")</f>
        <v>Ecosystem Services – a Function of Natural Capital</v>
      </c>
      <c r="D353" s="10">
        <f ca="1">IFERROR(__xludf.DUMMYFUNCTION("""COMPUTED_VALUE"""),2016)</f>
        <v>2016</v>
      </c>
      <c r="E353" s="10" t="str">
        <f ca="1">IFERROR(__xludf.DUMMYFUNCTION("""COMPUTED_VALUE"""),"Proceedings of Abstracts of The 4th International Geography Symposium (GEOMED 2016), 23-26 May 2016, Antalya, Turkey")</f>
        <v>Proceedings of Abstracts of The 4th International Geography Symposium (GEOMED 2016), 23-26 May 2016, Antalya, Turkey</v>
      </c>
      <c r="F353" s="10"/>
      <c r="G353" s="10"/>
      <c r="H353" s="10"/>
      <c r="I353" s="10"/>
      <c r="J353" s="10"/>
      <c r="K353" s="10"/>
      <c r="L353" s="10"/>
      <c r="M353" s="10"/>
      <c r="N353" s="10"/>
      <c r="O353" s="10"/>
      <c r="P353" s="10"/>
      <c r="Q353" s="10"/>
      <c r="R353" s="10"/>
      <c r="S353" s="10"/>
      <c r="T353" s="10"/>
      <c r="U353" s="10"/>
      <c r="V353" s="10"/>
      <c r="W353" s="10"/>
      <c r="X353" s="10"/>
      <c r="Y353" s="10"/>
      <c r="Z353" s="10"/>
    </row>
    <row r="354" spans="1:26" ht="12.75">
      <c r="A354" s="10" t="str">
        <f ca="1">IFERROR(__xludf.DUMMYFUNCTION("""COMPUTED_VALUE"""),"Александър Иванов Шикаланов")</f>
        <v>Александър Иванов Шикаланов</v>
      </c>
      <c r="B354" s="10" t="str">
        <f ca="1">IFERROR(__xludf.DUMMYFUNCTION("""COMPUTED_VALUE"""),"Доклад от конференция")</f>
        <v>Доклад от конференция</v>
      </c>
      <c r="C354" s="10" t="str">
        <f ca="1">IFERROR(__xludf.DUMMYFUNCTION("""COMPUTED_VALUE"""),"Advanced Models for Smart Mobility in Cities. The Role of Bike Transport")</f>
        <v>Advanced Models for Smart Mobility in Cities. The Role of Bike Transport</v>
      </c>
      <c r="D354" s="10">
        <f ca="1">IFERROR(__xludf.DUMMYFUNCTION("""COMPUTED_VALUE"""),2016)</f>
        <v>2016</v>
      </c>
      <c r="E354" s="10" t="str">
        <f ca="1">IFERROR(__xludf.DUMMYFUNCTION("""COMPUTED_VALUE"""),"ЕЛЕКТРИЧЕСКАТА МОБИЛНОСТ, ЧАСТ ОТ УМНАТА МОБИЛНОСТ НА БЪЛГАРСКИТЕ ОБЩИНИ – ЕВРОПЕЙСКИ ОПИТ, ПРАКТИКИ И ПИЛОТНИ РЕШЕНИЯ“ 30.06-0")</f>
        <v>ЕЛЕКТРИЧЕСКАТА МОБИЛНОСТ, ЧАСТ ОТ УМНАТА МОБИЛНОСТ НА БЪЛГАРСКИТЕ ОБЩИНИ – ЕВРОПЕЙСКИ ОПИТ, ПРАКТИКИ И ПИЛОТНИ РЕШЕНИЯ“ 30.06-0</v>
      </c>
      <c r="F354" s="10"/>
      <c r="G354" s="10" t="str">
        <f ca="1">IFERROR(__xludf.DUMMYFUNCTION("""COMPUTED_VALUE"""),"Румен Николов, Елена Шойкова, Александър Шикаланов")</f>
        <v>Румен Николов, Елена Шойкова, Александър Шикаланов</v>
      </c>
      <c r="H354" s="10"/>
      <c r="I354" s="10"/>
      <c r="J354" s="10"/>
      <c r="K354" s="10"/>
      <c r="L354" s="10"/>
      <c r="M354" s="10"/>
      <c r="N354" s="10"/>
      <c r="O354" s="10"/>
      <c r="P354" s="10"/>
      <c r="Q354" s="10"/>
      <c r="R354" s="10"/>
      <c r="S354" s="10"/>
      <c r="T354" s="10"/>
      <c r="U354" s="10"/>
      <c r="V354" s="10"/>
      <c r="W354" s="10"/>
      <c r="X354" s="10"/>
      <c r="Y354" s="10"/>
      <c r="Z354" s="10"/>
    </row>
    <row r="355" spans="1:26" ht="12.75">
      <c r="A355" s="10" t="str">
        <f ca="1">IFERROR(__xludf.DUMMYFUNCTION("""COMPUTED_VALUE"""),"Александър Иванов Шикаланов")</f>
        <v>Александър Иванов Шикаланов</v>
      </c>
      <c r="B355" s="10" t="str">
        <f ca="1">IFERROR(__xludf.DUMMYFUNCTION("""COMPUTED_VALUE"""),"Статия в списания и поредици")</f>
        <v>Статия в списания и поредици</v>
      </c>
      <c r="C355" s="10" t="str">
        <f ca="1">IFERROR(__xludf.DUMMYFUNCTION("""COMPUTED_VALUE"""),"SPPAM 2.0 Application: Scientific Description and Use")</f>
        <v>SPPAM 2.0 Application: Scientific Description and Use</v>
      </c>
      <c r="D355" s="10">
        <f ca="1">IFERROR(__xludf.DUMMYFUNCTION("""COMPUTED_VALUE"""),2015)</f>
        <v>2015</v>
      </c>
      <c r="E355" s="10" t="str">
        <f ca="1">IFERROR(__xludf.DUMMYFUNCTION("""COMPUTED_VALUE"""),"Journal of Environmental Science, Computer Science and Engineering &amp; Technology. JECET; December 2014-February 2015; Sec. B; V")</f>
        <v>Journal of Environmental Science, Computer Science and Engineering &amp; Technology. JECET; December 2014-February 2015; Sec. B; V</v>
      </c>
      <c r="F355" s="10"/>
      <c r="G355" s="10" t="str">
        <f ca="1">IFERROR(__xludf.DUMMYFUNCTION("""COMPUTED_VALUE"""),"Марияна Любенова, Александър Шикаланов, Величка Любенова, Стефан Вътов")</f>
        <v>Марияна Любенова, Александър Шикаланов, Величка Любенова, Стефан Вътов</v>
      </c>
      <c r="H355" s="10"/>
      <c r="I355" s="10"/>
      <c r="J355" s="10"/>
      <c r="K355" s="10"/>
      <c r="L355" s="10"/>
      <c r="M355" s="10"/>
      <c r="N355" s="10"/>
      <c r="O355" s="10"/>
      <c r="P355" s="10"/>
      <c r="Q355" s="10"/>
      <c r="R355" s="10"/>
      <c r="S355" s="10"/>
      <c r="T355" s="10"/>
      <c r="U355" s="10"/>
      <c r="V355" s="10"/>
      <c r="W355" s="10"/>
      <c r="X355" s="10"/>
      <c r="Y355" s="10"/>
      <c r="Z355" s="10"/>
    </row>
    <row r="356" spans="1:26" ht="12.75">
      <c r="A356" s="10" t="str">
        <f ca="1">IFERROR(__xludf.DUMMYFUNCTION("""COMPUTED_VALUE"""),"Александър Иванов Шикаланов")</f>
        <v>Александър Иванов Шикаланов</v>
      </c>
      <c r="B356" s="10" t="str">
        <f ca="1">IFERROR(__xludf.DUMMYFUNCTION("""COMPUTED_VALUE"""),"Доклад от конференция")</f>
        <v>Доклад от конференция</v>
      </c>
      <c r="C356" s="10" t="str">
        <f ca="1">IFERROR(__xludf.DUMMYFUNCTION("""COMPUTED_VALUE"""),"A Decision Making Support Model for a Smart Forest Ecological Management System")</f>
        <v>A Decision Making Support Model for a Smart Forest Ecological Management System</v>
      </c>
      <c r="D356" s="10">
        <f ca="1">IFERROR(__xludf.DUMMYFUNCTION("""COMPUTED_VALUE"""),2015)</f>
        <v>2015</v>
      </c>
      <c r="E356" s="10" t="str">
        <f ca="1">IFERROR(__xludf.DUMMYFUNCTION("""COMPUTED_VALUE"""),"Big Data, Knowledge and Control Systems Engineering - BdKCSE' Sofia 5-6 November 2015 ISSN 2367-6450.")</f>
        <v>Big Data, Knowledge and Control Systems Engineering - BdKCSE' Sofia 5-6 November 2015 ISSN 2367-6450.</v>
      </c>
      <c r="F356" s="10"/>
      <c r="G356" s="10" t="str">
        <f ca="1">IFERROR(__xludf.DUMMYFUNCTION("""COMPUTED_VALUE"""),"Матияна Любенова, Юрий Павлов, Александър Шикаланов, Камен Спасов")</f>
        <v>Матияна Любенова, Юрий Павлов, Александър Шикаланов, Камен Спасов</v>
      </c>
      <c r="H356" s="10"/>
      <c r="I356" s="10"/>
      <c r="J356" s="10"/>
      <c r="K356" s="10"/>
      <c r="L356" s="10"/>
      <c r="M356" s="10"/>
      <c r="N356" s="10"/>
      <c r="O356" s="10"/>
      <c r="P356" s="10"/>
      <c r="Q356" s="10"/>
      <c r="R356" s="10"/>
      <c r="S356" s="10"/>
      <c r="T356" s="10"/>
      <c r="U356" s="10"/>
      <c r="V356" s="10"/>
      <c r="W356" s="10"/>
      <c r="X356" s="10"/>
      <c r="Y356" s="10"/>
      <c r="Z356" s="10"/>
    </row>
    <row r="357" spans="1:26" ht="12.75">
      <c r="A357" s="10" t="str">
        <f ca="1">IFERROR(__xludf.DUMMYFUNCTION("""COMPUTED_VALUE"""),"Александър Иванов Шикаланов")</f>
        <v>Александър Иванов Шикаланов</v>
      </c>
      <c r="B357" s="10" t="str">
        <f ca="1">IFERROR(__xludf.DUMMYFUNCTION("""COMPUTED_VALUE"""),"Доклад от конференция")</f>
        <v>Доклад от конференция</v>
      </c>
      <c r="C357" s="10" t="str">
        <f ca="1">IFERROR(__xludf.DUMMYFUNCTION("""COMPUTED_VALUE"""),"Bike Sharing System for Multimodal Mobility Based on Open Data Big Data")</f>
        <v>Bike Sharing System for Multimodal Mobility Based on Open Data Big Data</v>
      </c>
      <c r="D357" s="10">
        <f ca="1">IFERROR(__xludf.DUMMYFUNCTION("""COMPUTED_VALUE"""),2015)</f>
        <v>2015</v>
      </c>
      <c r="E357" s="10" t="str">
        <f ca="1">IFERROR(__xludf.DUMMYFUNCTION("""COMPUTED_VALUE"""),"Big Data, Knowledge and Control Systems Engineering - BdKCSE' Sofia 5-6 November 2015 ISSN 2367-6450.")</f>
        <v>Big Data, Knowledge and Control Systems Engineering - BdKCSE' Sofia 5-6 November 2015 ISSN 2367-6450.</v>
      </c>
      <c r="F357" s="10"/>
      <c r="G357" s="10" t="str">
        <f ca="1">IFERROR(__xludf.DUMMYFUNCTION("""COMPUTED_VALUE"""),"Румен Николов, Елене Шойкова, Александър Шикаланов, Галя Новакова")</f>
        <v>Румен Николов, Елене Шойкова, Александър Шикаланов, Галя Новакова</v>
      </c>
      <c r="H357" s="10"/>
      <c r="I357" s="10"/>
      <c r="J357" s="10"/>
      <c r="K357" s="10"/>
      <c r="L357" s="10"/>
      <c r="M357" s="10"/>
      <c r="N357" s="10"/>
      <c r="O357" s="10"/>
      <c r="P357" s="10"/>
      <c r="Q357" s="10"/>
      <c r="R357" s="10"/>
      <c r="S357" s="10"/>
      <c r="T357" s="10"/>
      <c r="U357" s="10"/>
      <c r="V357" s="10"/>
      <c r="W357" s="10"/>
      <c r="X357" s="10"/>
      <c r="Y357" s="10"/>
      <c r="Z357" s="10"/>
    </row>
    <row r="358" spans="1:26" ht="12.75">
      <c r="A358" s="10" t="str">
        <f ca="1">IFERROR(__xludf.DUMMYFUNCTION("""COMPUTED_VALUE"""),"Александър Иванов Шикаланов")</f>
        <v>Александър Иванов Шикаланов</v>
      </c>
      <c r="B358" s="10" t="str">
        <f ca="1">IFERROR(__xludf.DUMMYFUNCTION("""COMPUTED_VALUE"""),"Статия в списания и поредици")</f>
        <v>Статия в списания и поредици</v>
      </c>
      <c r="C358" s="10" t="str">
        <f ca="1">IFERROR(__xludf.DUMMYFUNCTION("""COMPUTED_VALUE"""),"An example of holistic approach for analysis of periods with low stems growths and their application.")</f>
        <v>An example of holistic approach for analysis of periods with low stems growths and their application.</v>
      </c>
      <c r="D358" s="10">
        <f ca="1">IFERROR(__xludf.DUMMYFUNCTION("""COMPUTED_VALUE"""),2014)</f>
        <v>2014</v>
      </c>
      <c r="E358" s="10" t="str">
        <f ca="1">IFERROR(__xludf.DUMMYFUNCTION("""COMPUTED_VALUE"""),"Comptes rendus de l’Acadеmie Bulgare des Sciences, Biologie, ecologie, t. 67, No 4, 541-550")</f>
        <v>Comptes rendus de l’Acadеmie Bulgare des Sciences, Biologie, ecologie, t. 67, No 4, 541-550</v>
      </c>
      <c r="F358" s="10"/>
      <c r="G358" s="10" t="str">
        <f ca="1">IFERROR(__xludf.DUMMYFUNCTION("""COMPUTED_VALUE"""),"Марияна Любенова, Александър Шикаланов, Величка Любенова,")</f>
        <v>Марияна Любенова, Александър Шикаланов, Величка Любенова,</v>
      </c>
      <c r="H358" s="10"/>
      <c r="I358" s="10"/>
      <c r="J358" s="10"/>
      <c r="K358" s="10"/>
      <c r="L358" s="10"/>
      <c r="M358" s="10"/>
      <c r="N358" s="10"/>
      <c r="O358" s="10"/>
      <c r="P358" s="10"/>
      <c r="Q358" s="10"/>
      <c r="R358" s="10"/>
      <c r="S358" s="10"/>
      <c r="T358" s="10"/>
      <c r="U358" s="10"/>
      <c r="V358" s="10"/>
      <c r="W358" s="10"/>
      <c r="X358" s="10"/>
      <c r="Y358" s="10"/>
      <c r="Z358" s="10"/>
    </row>
    <row r="359" spans="1:26" ht="12.75">
      <c r="A359" s="10" t="str">
        <f ca="1">IFERROR(__xludf.DUMMYFUNCTION("""COMPUTED_VALUE"""),"Александър Иванов Шикаланов")</f>
        <v>Александър Иванов Шикаланов</v>
      </c>
      <c r="B359" s="10" t="str">
        <f ca="1">IFERROR(__xludf.DUMMYFUNCTION("""COMPUTED_VALUE"""),"Статия в списания и поредици")</f>
        <v>Статия в списания и поредици</v>
      </c>
      <c r="C359" s="10" t="str">
        <f ca="1">IFERROR(__xludf.DUMMYFUNCTION("""COMPUTED_VALUE"""),"Holistic Ecological Assessment of Dendrochronological Series as Source of Information for Tree Eustress")</f>
        <v>Holistic Ecological Assessment of Dendrochronological Series as Source of Information for Tree Eustress</v>
      </c>
      <c r="D359" s="10">
        <f ca="1">IFERROR(__xludf.DUMMYFUNCTION("""COMPUTED_VALUE"""),2014)</f>
        <v>2014</v>
      </c>
      <c r="E359" s="10" t="str">
        <f ca="1">IFERROR(__xludf.DUMMYFUNCTION("""COMPUTED_VALUE"""),"International Journal of Environmental Monitoring and Protection, Vol. 1, No. 1, 24-34.")</f>
        <v>International Journal of Environmental Monitoring and Protection, Vol. 1, No. 1, 24-34.</v>
      </c>
      <c r="F359" s="10"/>
      <c r="G359" s="10" t="str">
        <f ca="1">IFERROR(__xludf.DUMMYFUNCTION("""COMPUTED_VALUE"""),"Марияна Любенова, Александър Шикаланов, Величка Любенова")</f>
        <v>Марияна Любенова, Александър Шикаланов, Величка Любенова</v>
      </c>
      <c r="H359" s="10"/>
      <c r="I359" s="10"/>
      <c r="J359" s="10"/>
      <c r="K359" s="10"/>
      <c r="L359" s="10"/>
      <c r="M359" s="10"/>
      <c r="N359" s="10"/>
      <c r="O359" s="10"/>
      <c r="P359" s="10"/>
      <c r="Q359" s="10"/>
      <c r="R359" s="10"/>
      <c r="S359" s="10"/>
      <c r="T359" s="10"/>
      <c r="U359" s="10"/>
      <c r="V359" s="10"/>
      <c r="W359" s="10"/>
      <c r="X359" s="10"/>
      <c r="Y359" s="10"/>
      <c r="Z359" s="10"/>
    </row>
    <row r="360" spans="1:26" ht="12.75">
      <c r="A360" s="10" t="str">
        <f ca="1">IFERROR(__xludf.DUMMYFUNCTION("""COMPUTED_VALUE"""),"Александър Панайотов Каракачанов")</f>
        <v>Александър Панайотов Каракачанов</v>
      </c>
      <c r="B360" s="10" t="str">
        <f ca="1">IFERROR(__xludf.DUMMYFUNCTION("""COMPUTED_VALUE"""),"Статия в списания и поредици")</f>
        <v>Статия в списания и поредици</v>
      </c>
      <c r="C360" s="10" t="str">
        <f ca="1">IFERROR(__xludf.DUMMYFUNCTION("""COMPUTED_VALUE"""),"Критика на формационната концепция на Маркс от позициите на Монополния модел на социума.")</f>
        <v>Критика на формационната концепция на Маркс от позициите на Монополния модел на социума.</v>
      </c>
      <c r="D360" s="10">
        <f ca="1">IFERROR(__xludf.DUMMYFUNCTION("""COMPUTED_VALUE"""),2015)</f>
        <v>2015</v>
      </c>
      <c r="E360" s="10" t="str">
        <f ca="1">IFERROR(__xludf.DUMMYFUNCTION("""COMPUTED_VALUE"""),"В: сп. Философски алтернативи кн.1-2015, ISSN 0861-7899")</f>
        <v>В: сп. Философски алтернативи кн.1-2015, ISSN 0861-7899</v>
      </c>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c r="A361" s="10" t="str">
        <f ca="1">IFERROR(__xludf.DUMMYFUNCTION("""COMPUTED_VALUE"""),"Александър Панайотов Каракачанов")</f>
        <v>Александър Панайотов Каракачанов</v>
      </c>
      <c r="B361" s="10" t="str">
        <f ca="1">IFERROR(__xludf.DUMMYFUNCTION("""COMPUTED_VALUE"""),"Статия в списания и поредици")</f>
        <v>Статия в списания и поредици</v>
      </c>
      <c r="C361" s="10" t="str">
        <f ca="1">IFERROR(__xludf.DUMMYFUNCTION("""COMPUTED_VALUE"""),"Преходът като ремонополизация.")</f>
        <v>Преходът като ремонополизация.</v>
      </c>
      <c r="D361" s="10">
        <f ca="1">IFERROR(__xludf.DUMMYFUNCTION("""COMPUTED_VALUE"""),2015)</f>
        <v>2015</v>
      </c>
      <c r="E361" s="10" t="str">
        <f ca="1">IFERROR(__xludf.DUMMYFUNCTION("""COMPUTED_VALUE"""),"В: 25 години: Какво? Сборник статии. София, 2015 г. Издателство Омда. ISBN 978-954-9719-78-9")</f>
        <v>В: 25 години: Какво? Сборник статии. София, 2015 г. Издателство Омда. ISBN 978-954-9719-78-9</v>
      </c>
      <c r="F361" s="10"/>
      <c r="G361" s="10"/>
      <c r="H361" s="10"/>
      <c r="I361" s="10"/>
      <c r="J361" s="10"/>
      <c r="K361" s="10"/>
      <c r="L361" s="10"/>
      <c r="M361" s="10"/>
      <c r="N361" s="10"/>
      <c r="O361" s="10"/>
      <c r="P361" s="10"/>
      <c r="Q361" s="10"/>
      <c r="R361" s="10"/>
      <c r="S361" s="10"/>
      <c r="T361" s="10"/>
      <c r="U361" s="10"/>
      <c r="V361" s="10"/>
      <c r="W361" s="10"/>
      <c r="X361" s="10"/>
      <c r="Y361" s="10"/>
      <c r="Z361" s="10"/>
    </row>
    <row r="362" spans="1:26" ht="12.75">
      <c r="A362" s="10" t="str">
        <f ca="1">IFERROR(__xludf.DUMMYFUNCTION("""COMPUTED_VALUE"""),"Александър Панайотов Каракачанов")</f>
        <v>Александър Панайотов Каракачанов</v>
      </c>
      <c r="B362" s="10" t="str">
        <f ca="1">IFERROR(__xludf.DUMMYFUNCTION("""COMPUTED_VALUE"""),"Статия в списания и поредици")</f>
        <v>Статия в списания и поредици</v>
      </c>
      <c r="C362" s="10" t="str">
        <f ca="1">IFERROR(__xludf.DUMMYFUNCTION("""COMPUTED_VALUE"""),"Знание, хуманизъм и устойчиво развитие.")</f>
        <v>Знание, хуманизъм и устойчиво развитие.</v>
      </c>
      <c r="D362" s="10">
        <f ca="1">IFERROR(__xludf.DUMMYFUNCTION("""COMPUTED_VALUE"""),2014)</f>
        <v>2014</v>
      </c>
      <c r="E362" s="10" t="str">
        <f ca="1">IFERROR(__xludf.DUMMYFUNCTION("""COMPUTED_VALUE"""),"ХІ Национална научна конференция с международно участие. Обществото на знанието и хуманизма на ХХІ век, УниБИТ, 1-2 ноември 2013 г. Издателство „За буквите – О писменехь”, С., 2014 г., ISSN:1314-7099")</f>
        <v>ХІ Национална научна конференция с международно участие. Обществото на знанието и хуманизма на ХХІ век, УниБИТ, 1-2 ноември 2013 г. Издателство „За буквите – О писменехь”, С., 2014 г., ISSN:1314-7099</v>
      </c>
      <c r="F362" s="10"/>
      <c r="G362" s="10"/>
      <c r="H362" s="10"/>
      <c r="I362" s="10"/>
      <c r="J362" s="10"/>
      <c r="K362" s="10"/>
      <c r="L362" s="10"/>
      <c r="M362" s="10"/>
      <c r="N362" s="10"/>
      <c r="O362" s="10"/>
      <c r="P362" s="10"/>
      <c r="Q362" s="10"/>
      <c r="R362" s="10"/>
      <c r="S362" s="10"/>
      <c r="T362" s="10"/>
      <c r="U362" s="10"/>
      <c r="V362" s="10"/>
      <c r="W362" s="10"/>
      <c r="X362" s="10"/>
      <c r="Y362" s="10"/>
      <c r="Z362" s="10"/>
    </row>
    <row r="363" spans="1:26" ht="12.75">
      <c r="A363" s="10" t="str">
        <f ca="1">IFERROR(__xludf.DUMMYFUNCTION("""COMPUTED_VALUE"""),"Александър Панайотов Каракачанов")</f>
        <v>Александър Панайотов Каракачанов</v>
      </c>
      <c r="B363" s="10" t="str">
        <f ca="1">IFERROR(__xludf.DUMMYFUNCTION("""COMPUTED_VALUE"""),"Статия в списания и поредици")</f>
        <v>Статия в списания и поредици</v>
      </c>
      <c r="C363" s="10" t="str">
        <f ca="1">IFERROR(__xludf.DUMMYFUNCTION("""COMPUTED_VALUE"""),"Политически предпоставки на ремонополизацията в България.")</f>
        <v>Политически предпоставки на ремонополизацията в България.</v>
      </c>
      <c r="D363" s="10">
        <f ca="1">IFERROR(__xludf.DUMMYFUNCTION("""COMPUTED_VALUE"""),2014)</f>
        <v>2014</v>
      </c>
      <c r="E363" s="10" t="str">
        <f ca="1">IFERROR(__xludf.DUMMYFUNCTION("""COMPUTED_VALUE"""),"В: Научни трудове на УниБИТ. Издателство „За буквите – О писменехь”, том 12, 2014 г. ISSN:1314-2623")</f>
        <v>В: Научни трудове на УниБИТ. Издателство „За буквите – О писменехь”, том 12, 2014 г. ISSN:1314-2623</v>
      </c>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c r="A364" s="10" t="str">
        <f ca="1">IFERROR(__xludf.DUMMYFUNCTION("""COMPUTED_VALUE"""),"Александър Панайотов Каракачанов")</f>
        <v>Александър Панайотов Каракачанов</v>
      </c>
      <c r="B364" s="10" t="str">
        <f ca="1">IFERROR(__xludf.DUMMYFUNCTION("""COMPUTED_VALUE"""),"Статия в списания и поредици")</f>
        <v>Статия в списания и поредици</v>
      </c>
      <c r="C364" s="10" t="str">
        <f ca="1">IFERROR(__xludf.DUMMYFUNCTION("""COMPUTED_VALUE"""),"Околната среда като допълнителна самоидентификация на личността.")</f>
        <v>Околната среда като допълнителна самоидентификация на личността.</v>
      </c>
      <c r="D364" s="10">
        <f ca="1">IFERROR(__xludf.DUMMYFUNCTION("""COMPUTED_VALUE"""),2014)</f>
        <v>2014</v>
      </c>
      <c r="E364" s="10" t="str">
        <f ca="1">IFERROR(__xludf.DUMMYFUNCTION("""COMPUTED_VALUE"""),"ХІ Национална научна конференция с международно участие. Обществото на знанието и хуманизма на ХХІ век, УниБИТ, 1-2 ноември 2013 г. Издателство „За буквите – О писменехь”, С., 2014 г., ISSN:1314-7099")</f>
        <v>ХІ Национална научна конференция с международно участие. Обществото на знанието и хуманизма на ХХІ век, УниБИТ, 1-2 ноември 2013 г. Издателство „За буквите – О писменехь”, С., 2014 г., ISSN:1314-7099</v>
      </c>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c r="A365" s="10" t="str">
        <f ca="1">IFERROR(__xludf.DUMMYFUNCTION("""COMPUTED_VALUE"""),"Александър Панайотов Каракачанов")</f>
        <v>Александър Панайотов Каракачанов</v>
      </c>
      <c r="B365" s="10" t="str">
        <f ca="1">IFERROR(__xludf.DUMMYFUNCTION("""COMPUTED_VALUE"""),"Монография")</f>
        <v>Монография</v>
      </c>
      <c r="C365" s="10" t="str">
        <f ca="1">IFERROR(__xludf.DUMMYFUNCTION("""COMPUTED_VALUE"""),"Философия на човека.")</f>
        <v>Философия на човека.</v>
      </c>
      <c r="D365" s="10">
        <f ca="1">IFERROR(__xludf.DUMMYFUNCTION("""COMPUTED_VALUE"""),2014)</f>
        <v>2014</v>
      </c>
      <c r="E365" s="10" t="str">
        <f ca="1">IFERROR(__xludf.DUMMYFUNCTION("""COMPUTED_VALUE"""),"Дейликонт, С. 2014 ISBN: 978-954-392-276-5, (176 стр.)")</f>
        <v>Дейликонт, С. 2014 ISBN: 978-954-392-276-5, (176 стр.)</v>
      </c>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c r="A366" s="10" t="str">
        <f ca="1">IFERROR(__xludf.DUMMYFUNCTION("""COMPUTED_VALUE"""),"Александър Панайотов Каракачанов")</f>
        <v>Александър Панайотов Каракачанов</v>
      </c>
      <c r="B366" s="10" t="str">
        <f ca="1">IFERROR(__xludf.DUMMYFUNCTION("""COMPUTED_VALUE"""),"Учебно пособие")</f>
        <v>Учебно пособие</v>
      </c>
      <c r="C366" s="10" t="str">
        <f ca="1">IFERROR(__xludf.DUMMYFUNCTION("""COMPUTED_VALUE"""),"Философска антропология.")</f>
        <v>Философска антропология.</v>
      </c>
      <c r="D366" s="10">
        <f ca="1">IFERROR(__xludf.DUMMYFUNCTION("""COMPUTED_VALUE"""),2014)</f>
        <v>2014</v>
      </c>
      <c r="E366" s="10" t="str">
        <f ca="1">IFERROR(__xludf.DUMMYFUNCTION("""COMPUTED_VALUE"""),"Дейликонт, С. 2014, ISBN: 978-954-9467-41-3, (191 стр.)")</f>
        <v>Дейликонт, С. 2014, ISBN: 978-954-9467-41-3, (191 стр.)</v>
      </c>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c r="A367" s="10" t="str">
        <f ca="1">IFERROR(__xludf.DUMMYFUNCTION("""COMPUTED_VALUE"""),"Александър Панайотов Каракачанов")</f>
        <v>Александър Панайотов Каракачанов</v>
      </c>
      <c r="B367" s="10" t="str">
        <f ca="1">IFERROR(__xludf.DUMMYFUNCTION("""COMPUTED_VALUE"""),"Статия в списания и поредици")</f>
        <v>Статия в списания и поредици</v>
      </c>
      <c r="C367" s="10" t="str">
        <f ca="1">IFERROR(__xludf.DUMMYFUNCTION("""COMPUTED_VALUE"""),"Интеграционна теория за съзнанието.")</f>
        <v>Интеграционна теория за съзнанието.</v>
      </c>
      <c r="D367" s="10">
        <f ca="1">IFERROR(__xludf.DUMMYFUNCTION("""COMPUTED_VALUE"""),2014)</f>
        <v>2014</v>
      </c>
      <c r="E367" s="10" t="str">
        <f ca="1">IFERROR(__xludf.DUMMYFUNCTION("""COMPUTED_VALUE"""),"В: списание NotaBene, бр. 28, 2014, NotaBene-bg.org, ISSN 1313-7859")</f>
        <v>В: списание NotaBene, бр. 28, 2014, NotaBene-bg.org, ISSN 1313-7859</v>
      </c>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c r="A368" s="10" t="str">
        <f ca="1">IFERROR(__xludf.DUMMYFUNCTION("""COMPUTED_VALUE"""),"Александър Панайотов Каракачанов")</f>
        <v>Александър Панайотов Каракачанов</v>
      </c>
      <c r="B368" s="10" t="str">
        <f ca="1">IFERROR(__xludf.DUMMYFUNCTION("""COMPUTED_VALUE"""),"Статия в списания и поредици")</f>
        <v>Статия в списания и поредици</v>
      </c>
      <c r="C368" s="10" t="str">
        <f ca="1">IFERROR(__xludf.DUMMYFUNCTION("""COMPUTED_VALUE"""),"Теорията за съзнанието на Аристотел Гаврилов – принос и противоречия.")</f>
        <v>Теорията за съзнанието на Аристотел Гаврилов – принос и противоречия.</v>
      </c>
      <c r="D368" s="10">
        <f ca="1">IFERROR(__xludf.DUMMYFUNCTION("""COMPUTED_VALUE"""),2014)</f>
        <v>2014</v>
      </c>
      <c r="E368" s="10" t="str">
        <f ca="1">IFERROR(__xludf.DUMMYFUNCTION("""COMPUTED_VALUE"""),"В: списание NotaBene, бр. 26, 2014, NotaBene-bg.org, ISSN 1313-7859")</f>
        <v>В: списание NotaBene, бр. 26, 2014, NotaBene-bg.org, ISSN 1313-7859</v>
      </c>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c r="A369" s="10" t="str">
        <f ca="1">IFERROR(__xludf.DUMMYFUNCTION("""COMPUTED_VALUE"""),"Александър Панайотов Каракачанов")</f>
        <v>Александър Панайотов Каракачанов</v>
      </c>
      <c r="B369" s="10" t="str">
        <f ca="1">IFERROR(__xludf.DUMMYFUNCTION("""COMPUTED_VALUE"""),"Статия в списания и поредици")</f>
        <v>Статия в списания и поредици</v>
      </c>
      <c r="C369" s="10" t="str">
        <f ca="1">IFERROR(__xludf.DUMMYFUNCTION("""COMPUTED_VALUE"""),"„Зелените работни места“ – отвъд политическото клише.")</f>
        <v>„Зелените работни места“ – отвъд политическото клише.</v>
      </c>
      <c r="D369" s="10">
        <f ca="1">IFERROR(__xludf.DUMMYFUNCTION("""COMPUTED_VALUE"""),2014)</f>
        <v>2014</v>
      </c>
      <c r="E369" s="10" t="str">
        <f ca="1">IFERROR(__xludf.DUMMYFUNCTION("""COMPUTED_VALUE"""),"В: Панорама на труда. бр. 7-8, 2014, Изд. „Вариант БГ“ ООД, ISSN 1312-305X")</f>
        <v>В: Панорама на труда. бр. 7-8, 2014, Изд. „Вариант БГ“ ООД, ISSN 1312-305X</v>
      </c>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c r="A370" s="10" t="str">
        <f ca="1">IFERROR(__xludf.DUMMYFUNCTION("""COMPUTED_VALUE"""),"Александър Панайотов Каракачанов")</f>
        <v>Александър Панайотов Каракачанов</v>
      </c>
      <c r="B370" s="10" t="str">
        <f ca="1">IFERROR(__xludf.DUMMYFUNCTION("""COMPUTED_VALUE"""),"Статия в списания и поредици")</f>
        <v>Статия в списания и поредици</v>
      </c>
      <c r="C370" s="10" t="str">
        <f ca="1">IFERROR(__xludf.DUMMYFUNCTION("""COMPUTED_VALUE"""),"Приложимост на Монополния модел при сравнителен анализ на обществата.")</f>
        <v>Приложимост на Монополния модел при сравнителен анализ на обществата.</v>
      </c>
      <c r="D370" s="10">
        <f ca="1">IFERROR(__xludf.DUMMYFUNCTION("""COMPUTED_VALUE"""),2013)</f>
        <v>2013</v>
      </c>
      <c r="E370" s="10" t="str">
        <f ca="1">IFERROR(__xludf.DUMMYFUNCTION("""COMPUTED_VALUE"""),"В: Научни трудове на УниБИТ. Издателство „За буквите – О писменехь”, том 11, 2013 г., ISSN:1314-2623")</f>
        <v>В: Научни трудове на УниБИТ. Издателство „За буквите – О писменехь”, том 11, 2013 г., ISSN:1314-2623</v>
      </c>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c r="A371" s="10" t="str">
        <f ca="1">IFERROR(__xludf.DUMMYFUNCTION("""COMPUTED_VALUE"""),"Александър Панайотов Каракачанов")</f>
        <v>Александър Панайотов Каракачанов</v>
      </c>
      <c r="B371" s="10" t="str">
        <f ca="1">IFERROR(__xludf.DUMMYFUNCTION("""COMPUTED_VALUE"""),"Статия в списания и поредици")</f>
        <v>Статия в списания и поредици</v>
      </c>
      <c r="C371" s="10" t="str">
        <f ca="1">IFERROR(__xludf.DUMMYFUNCTION("""COMPUTED_VALUE"""),"За необходимостта на актуална философия на човека.")</f>
        <v>За необходимостта на актуална философия на човека.</v>
      </c>
      <c r="D371" s="10">
        <f ca="1">IFERROR(__xludf.DUMMYFUNCTION("""COMPUTED_VALUE"""),2013)</f>
        <v>2013</v>
      </c>
      <c r="E371" s="10" t="str">
        <f ca="1">IFERROR(__xludf.DUMMYFUNCTION("""COMPUTED_VALUE"""),"В: Научни трудове на УниБИТ. Издателство „За буквите – О писменехь”, том 11, 2013 г., ISSN:1314-2623")</f>
        <v>В: Научни трудове на УниБИТ. Издателство „За буквите – О писменехь”, том 11, 2013 г., ISSN:1314-2623</v>
      </c>
      <c r="F371" s="10"/>
      <c r="G371" s="10"/>
      <c r="H371" s="10"/>
      <c r="I371" s="10"/>
      <c r="J371" s="10"/>
      <c r="K371" s="10"/>
      <c r="L371" s="10"/>
      <c r="M371" s="10"/>
      <c r="N371" s="10"/>
      <c r="O371" s="10"/>
      <c r="P371" s="10"/>
      <c r="Q371" s="10"/>
      <c r="R371" s="10"/>
      <c r="S371" s="10"/>
      <c r="T371" s="10"/>
      <c r="U371" s="10"/>
      <c r="V371" s="10"/>
      <c r="W371" s="10"/>
      <c r="X371" s="10"/>
      <c r="Y371" s="10"/>
      <c r="Z371" s="10"/>
    </row>
    <row r="372" spans="1:26" ht="12.75">
      <c r="A372" s="10" t="str">
        <f ca="1">IFERROR(__xludf.DUMMYFUNCTION("""COMPUTED_VALUE"""),"Александър Панайотов Каракачанов")</f>
        <v>Александър Панайотов Каракачанов</v>
      </c>
      <c r="B372" s="10" t="str">
        <f ca="1">IFERROR(__xludf.DUMMYFUNCTION("""COMPUTED_VALUE"""),"Статия в списания и поредици")</f>
        <v>Статия в списания и поредици</v>
      </c>
      <c r="C372" s="10" t="str">
        <f ca="1">IFERROR(__xludf.DUMMYFUNCTION("""COMPUTED_VALUE"""),"Устойчивото развитие – новата социална и икономическа парадигма.")</f>
        <v>Устойчивото развитие – новата социална и икономическа парадигма.</v>
      </c>
      <c r="D372" s="10">
        <f ca="1">IFERROR(__xludf.DUMMYFUNCTION("""COMPUTED_VALUE"""),2013)</f>
        <v>2013</v>
      </c>
      <c r="E372" s="10" t="str">
        <f ca="1">IFERROR(__xludf.DUMMYFUNCTION("""COMPUTED_VALUE"""),"В: Научни трудове на УниБИТ. Издателство „За буквите – О писменехь”, том 11, 2013 г., ISSN:1314-2623")</f>
        <v>В: Научни трудове на УниБИТ. Издателство „За буквите – О писменехь”, том 11, 2013 г., ISSN:1314-2623</v>
      </c>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c r="A373" s="10" t="str">
        <f ca="1">IFERROR(__xludf.DUMMYFUNCTION("""COMPUTED_VALUE"""),"Александър Панайотов Каракачанов")</f>
        <v>Александър Панайотов Каракачанов</v>
      </c>
      <c r="B373" s="10" t="str">
        <f ca="1">IFERROR(__xludf.DUMMYFUNCTION("""COMPUTED_VALUE"""),"Статия в списания и поредици")</f>
        <v>Статия в списания и поредици</v>
      </c>
      <c r="C373" s="10" t="str">
        <f ca="1">IFERROR(__xludf.DUMMYFUNCTION("""COMPUTED_VALUE"""),"Преход и устойчивост.")</f>
        <v>Преход и устойчивост.</v>
      </c>
      <c r="D373" s="10">
        <f ca="1">IFERROR(__xludf.DUMMYFUNCTION("""COMPUTED_VALUE"""),2012)</f>
        <v>2012</v>
      </c>
      <c r="E373" s="10" t="str">
        <f ca="1">IFERROR(__xludf.DUMMYFUNCTION("""COMPUTED_VALUE"""),"В: Научни трудове на УниБИТ. Издателство „За буквите – О писменехь”, том 10, 2012 г., ISSN:1314-2623")</f>
        <v>В: Научни трудове на УниБИТ. Издателство „За буквите – О писменехь”, том 10, 2012 г., ISSN:1314-2623</v>
      </c>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c r="A374" s="10" t="str">
        <f ca="1">IFERROR(__xludf.DUMMYFUNCTION("""COMPUTED_VALUE"""),"Александър Панайотов Каракачанов")</f>
        <v>Александър Панайотов Каракачанов</v>
      </c>
      <c r="B374" s="10" t="str">
        <f ca="1">IFERROR(__xludf.DUMMYFUNCTION("""COMPUTED_VALUE"""),"Студия")</f>
        <v>Студия</v>
      </c>
      <c r="C374" s="10" t="str">
        <f ca="1">IFERROR(__xludf.DUMMYFUNCTION("""COMPUTED_VALUE"""),"Социологически и политологически проблеми на прехода.")</f>
        <v>Социологически и политологически проблеми на прехода.</v>
      </c>
      <c r="D374" s="10">
        <f ca="1">IFERROR(__xludf.DUMMYFUNCTION("""COMPUTED_VALUE"""),2011)</f>
        <v>2011</v>
      </c>
      <c r="E374" s="10" t="str">
        <f ca="1">IFERROR(__xludf.DUMMYFUNCTION("""COMPUTED_VALUE"""),"Пони, С., 2011 ISBN: 978-954-9467-30-7, (91 стр.)")</f>
        <v>Пони, С., 2011 ISBN: 978-954-9467-30-7, (91 стр.)</v>
      </c>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c r="A375" s="10" t="str">
        <f ca="1">IFERROR(__xludf.DUMMYFUNCTION("""COMPUTED_VALUE"""),"Александър Панайотов Каракачанов")</f>
        <v>Александър Панайотов Каракачанов</v>
      </c>
      <c r="B375" s="10" t="str">
        <f ca="1">IFERROR(__xludf.DUMMYFUNCTION("""COMPUTED_VALUE"""),"Монография")</f>
        <v>Монография</v>
      </c>
      <c r="C375" s="10" t="str">
        <f ca="1">IFERROR(__xludf.DUMMYFUNCTION("""COMPUTED_VALUE"""),"Човек и съзнание.")</f>
        <v>Човек и съзнание.</v>
      </c>
      <c r="D375" s="10">
        <f ca="1">IFERROR(__xludf.DUMMYFUNCTION("""COMPUTED_VALUE"""),2011)</f>
        <v>2011</v>
      </c>
      <c r="E375" s="10" t="str">
        <f ca="1">IFERROR(__xludf.DUMMYFUNCTION("""COMPUTED_VALUE"""),"Сиела, С., 2011 ISBN: 978-954-28-0933-3, (180 стр.)")</f>
        <v>Сиела, С., 2011 ISBN: 978-954-28-0933-3, (180 стр.)</v>
      </c>
      <c r="F375" s="10"/>
      <c r="G375" s="10"/>
      <c r="H375" s="10"/>
      <c r="I375" s="10"/>
      <c r="J375" s="10"/>
      <c r="K375" s="10"/>
      <c r="L375" s="10"/>
      <c r="M375" s="10"/>
      <c r="N375" s="10"/>
      <c r="O375" s="10"/>
      <c r="P375" s="10"/>
      <c r="Q375" s="10"/>
      <c r="R375" s="10"/>
      <c r="S375" s="10"/>
      <c r="T375" s="10"/>
      <c r="U375" s="10"/>
      <c r="V375" s="10"/>
      <c r="W375" s="10"/>
      <c r="X375" s="10"/>
      <c r="Y375" s="10"/>
      <c r="Z375" s="10"/>
    </row>
    <row r="376" spans="1:26" ht="12.75">
      <c r="A376" s="10" t="str">
        <f ca="1">IFERROR(__xludf.DUMMYFUNCTION("""COMPUTED_VALUE"""),"Александър Панайотов Каракачанов")</f>
        <v>Александър Панайотов Каракачанов</v>
      </c>
      <c r="B376" s="10" t="str">
        <f ca="1">IFERROR(__xludf.DUMMYFUNCTION("""COMPUTED_VALUE"""),"Статия в списания и поредици")</f>
        <v>Статия в списания и поредици</v>
      </c>
      <c r="C376" s="10" t="str">
        <f ca="1">IFERROR(__xludf.DUMMYFUNCTION("""COMPUTED_VALUE"""),"Социологически аспекти на управлението в условията на преход.")</f>
        <v>Социологически аспекти на управлението в условията на преход.</v>
      </c>
      <c r="D376" s="10">
        <f ca="1">IFERROR(__xludf.DUMMYFUNCTION("""COMPUTED_VALUE"""),2011)</f>
        <v>2011</v>
      </c>
      <c r="E376" s="10" t="str">
        <f ca="1">IFERROR(__xludf.DUMMYFUNCTION("""COMPUTED_VALUE"""),"В: ІХ Международна конференция мениджмънт и инженеринг 2011. Доклади от конференцията, Том ІІ, стр. 1070-79, ISSN:1313-7123")</f>
        <v>В: ІХ Международна конференция мениджмънт и инженеринг 2011. Доклади от конференцията, Том ІІ, стр. 1070-79, ISSN:1313-7123</v>
      </c>
      <c r="F376" s="10"/>
      <c r="G376" s="10"/>
      <c r="H376" s="10"/>
      <c r="I376" s="10"/>
      <c r="J376" s="10"/>
      <c r="K376" s="10"/>
      <c r="L376" s="10"/>
      <c r="M376" s="10"/>
      <c r="N376" s="10"/>
      <c r="O376" s="10"/>
      <c r="P376" s="10"/>
      <c r="Q376" s="10"/>
      <c r="R376" s="10"/>
      <c r="S376" s="10"/>
      <c r="T376" s="10"/>
      <c r="U376" s="10"/>
      <c r="V376" s="10"/>
      <c r="W376" s="10"/>
      <c r="X376" s="10"/>
      <c r="Y376" s="10"/>
      <c r="Z376" s="10"/>
    </row>
    <row r="377" spans="1:26" ht="12.75">
      <c r="A377" s="10" t="str">
        <f ca="1">IFERROR(__xludf.DUMMYFUNCTION("""COMPUTED_VALUE"""),"Александър Панайотов Каракачанов")</f>
        <v>Александър Панайотов Каракачанов</v>
      </c>
      <c r="B377" s="10" t="str">
        <f ca="1">IFERROR(__xludf.DUMMYFUNCTION("""COMPUTED_VALUE"""),"Статия в списания и поредици")</f>
        <v>Статия в списания и поредици</v>
      </c>
      <c r="C377" s="10" t="str">
        <f ca="1">IFERROR(__xludf.DUMMYFUNCTION("""COMPUTED_VALUE"""),"Какво ни казва философската антропология?")</f>
        <v>Какво ни казва философската антропология?</v>
      </c>
      <c r="D377" s="10">
        <f ca="1">IFERROR(__xludf.DUMMYFUNCTION("""COMPUTED_VALUE"""),2011)</f>
        <v>2011</v>
      </c>
      <c r="E377" s="10" t="str">
        <f ca="1">IFERROR(__xludf.DUMMYFUNCTION("""COMPUTED_VALUE"""),"В: Научни трудове на УниБИТ. Издателство „За буквите – О писменехь”, том 9, 2011 г. , ISSN:1314-2623")</f>
        <v>В: Научни трудове на УниБИТ. Издателство „За буквите – О писменехь”, том 9, 2011 г. , ISSN:1314-2623</v>
      </c>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c r="A378" s="10" t="str">
        <f ca="1">IFERROR(__xludf.DUMMYFUNCTION("""COMPUTED_VALUE"""),"Александър Панайотов Каракачанов")</f>
        <v>Александър Панайотов Каракачанов</v>
      </c>
      <c r="B378" s="10" t="str">
        <f ca="1">IFERROR(__xludf.DUMMYFUNCTION("""COMPUTED_VALUE"""),"Статия в списания и поредици")</f>
        <v>Статия в списания и поредици</v>
      </c>
      <c r="C378" s="10" t="str">
        <f ca="1">IFERROR(__xludf.DUMMYFUNCTION("""COMPUTED_VALUE"""),"Дилемата презентационизъм – репрезентационизъм, архаична или актуална?")</f>
        <v>Дилемата презентационизъм – репрезентационизъм, архаична или актуална?</v>
      </c>
      <c r="D378" s="10">
        <f ca="1">IFERROR(__xludf.DUMMYFUNCTION("""COMPUTED_VALUE"""),2004)</f>
        <v>2004</v>
      </c>
      <c r="E378" s="10" t="str">
        <f ca="1">IFERROR(__xludf.DUMMYFUNCTION("""COMPUTED_VALUE"""),"В: Философски алтернативи 2004, 6, ISSN 0861-7899.")</f>
        <v>В: Философски алтернативи 2004, 6, ISSN 0861-7899.</v>
      </c>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c r="A379" s="10" t="str">
        <f ca="1">IFERROR(__xludf.DUMMYFUNCTION("""COMPUTED_VALUE"""),"Александър Панайотов Каракачанов")</f>
        <v>Александър Панайотов Каракачанов</v>
      </c>
      <c r="B379" s="10" t="str">
        <f ca="1">IFERROR(__xludf.DUMMYFUNCTION("""COMPUTED_VALUE"""),"Статия в списания и поредици")</f>
        <v>Статия в списания и поредици</v>
      </c>
      <c r="C379" s="10" t="str">
        <f ca="1">IFERROR(__xludf.DUMMYFUNCTION("""COMPUTED_VALUE"""),"Категорията идеално и психично.")</f>
        <v>Категорията идеално и психично.</v>
      </c>
      <c r="D379" s="10">
        <f ca="1">IFERROR(__xludf.DUMMYFUNCTION("""COMPUTED_VALUE"""),1993)</f>
        <v>1993</v>
      </c>
      <c r="E379" s="10" t="str">
        <f ca="1">IFERROR(__xludf.DUMMYFUNCTION("""COMPUTED_VALUE"""),"В: Философски изследвания. Том III, С. 1993, стр.116, ISSN:1310-0416")</f>
        <v>В: Философски изследвания. Том III, С. 1993, стр.116, ISSN:1310-0416</v>
      </c>
      <c r="F379" s="10" t="str">
        <f ca="1">IFERROR(__xludf.DUMMYFUNCTION("""COMPUTED_VALUE"""),"MONTAGI INS Ltd.")</f>
        <v>MONTAGI INS Ltd.</v>
      </c>
      <c r="G379" s="10"/>
      <c r="H379" s="10"/>
      <c r="I379" s="10"/>
      <c r="J379" s="10"/>
      <c r="K379" s="10"/>
      <c r="L379" s="10"/>
      <c r="M379" s="10"/>
      <c r="N379" s="10"/>
      <c r="O379" s="10"/>
      <c r="P379" s="10"/>
      <c r="Q379" s="10"/>
      <c r="R379" s="10"/>
      <c r="S379" s="10"/>
      <c r="T379" s="10"/>
      <c r="U379" s="10"/>
      <c r="V379" s="10"/>
      <c r="W379" s="10"/>
      <c r="X379" s="10"/>
      <c r="Y379" s="10"/>
      <c r="Z379" s="10"/>
    </row>
    <row r="380" spans="1:26" ht="12.75">
      <c r="A380" s="10" t="str">
        <f ca="1">IFERROR(__xludf.DUMMYFUNCTION("""COMPUTED_VALUE"""),"Александър Панайотов Каракачанов")</f>
        <v>Александър Панайотов Каракачанов</v>
      </c>
      <c r="B380" s="10" t="str">
        <f ca="1">IFERROR(__xludf.DUMMYFUNCTION("""COMPUTED_VALUE"""),"Статия в списания и поредици")</f>
        <v>Статия в списания и поредици</v>
      </c>
      <c r="C380" s="10" t="str">
        <f ca="1">IFERROR(__xludf.DUMMYFUNCTION("""COMPUTED_VALUE"""),"Някои основни противоречия на концепциите за идеалното като характеристика на човешката психика.")</f>
        <v>Някои основни противоречия на концепциите за идеалното като характеристика на човешката психика.</v>
      </c>
      <c r="D380" s="10">
        <f ca="1">IFERROR(__xludf.DUMMYFUNCTION("""COMPUTED_VALUE"""),1992)</f>
        <v>1992</v>
      </c>
      <c r="E380" s="10" t="str">
        <f ca="1">IFERROR(__xludf.DUMMYFUNCTION("""COMPUTED_VALUE"""),"В: Естествознанието и биологията пред прага на XXI век, Материали от VIII-та национална специализирана школа, 21-24.IX.1992 г. Варна, стр.86")</f>
        <v>В: Естествознанието и биологията пред прага на XXI век, Материали от VIII-та национална специализирана школа, 21-24.IX.1992 г. Варна, стр.86</v>
      </c>
      <c r="F380" s="10" t="str">
        <f ca="1">IFERROR(__xludf.DUMMYFUNCTION("""COMPUTED_VALUE"""),"ИПКУ „Д-р П. Берон“-Варна")</f>
        <v>ИПКУ „Д-р П. Берон“-Варна</v>
      </c>
      <c r="G380" s="10"/>
      <c r="H380" s="10"/>
      <c r="I380" s="10"/>
      <c r="J380" s="10"/>
      <c r="K380" s="10"/>
      <c r="L380" s="10"/>
      <c r="M380" s="10"/>
      <c r="N380" s="10"/>
      <c r="O380" s="10"/>
      <c r="P380" s="10"/>
      <c r="Q380" s="10"/>
      <c r="R380" s="10"/>
      <c r="S380" s="10"/>
      <c r="T380" s="10"/>
      <c r="U380" s="10"/>
      <c r="V380" s="10"/>
      <c r="W380" s="10"/>
      <c r="X380" s="10"/>
      <c r="Y380" s="10"/>
      <c r="Z380" s="10"/>
    </row>
    <row r="381" spans="1:26" ht="12.75">
      <c r="A381" s="10" t="str">
        <f ca="1">IFERROR(__xludf.DUMMYFUNCTION("""COMPUTED_VALUE"""),"Александър Панайотов Каракачанов")</f>
        <v>Александър Панайотов Каракачанов</v>
      </c>
      <c r="B381" s="10" t="str">
        <f ca="1">IFERROR(__xludf.DUMMYFUNCTION("""COMPUTED_VALUE"""),"Статия в списания и поредици")</f>
        <v>Статия в списания и поредици</v>
      </c>
      <c r="C381" s="10" t="str">
        <f ca="1">IFERROR(__xludf.DUMMYFUNCTION("""COMPUTED_VALUE"""),"Културно-историческата школа и проблема за опосредствуването.")</f>
        <v>Културно-историческата школа и проблема за опосредствуването.</v>
      </c>
      <c r="D381" s="10">
        <f ca="1">IFERROR(__xludf.DUMMYFUNCTION("""COMPUTED_VALUE"""),1989)</f>
        <v>1989</v>
      </c>
      <c r="E381" s="10" t="str">
        <f ca="1">IFERROR(__xludf.DUMMYFUNCTION("""COMPUTED_VALUE"""),"В: Научно-техническа революция, мозък, интелект. Том I, Програма за комплексно изучаване на човека и неговия мозък, С.1989, стр.197")</f>
        <v>В: Научно-техническа революция, мозък, интелект. Том I, Програма за комплексно изучаване на човека и неговия мозък, С.1989, стр.197</v>
      </c>
      <c r="F381" s="10"/>
      <c r="G381" s="10"/>
      <c r="H381" s="10"/>
      <c r="I381" s="10"/>
      <c r="J381" s="10"/>
      <c r="K381" s="10"/>
      <c r="L381" s="10"/>
      <c r="M381" s="10"/>
      <c r="N381" s="10"/>
      <c r="O381" s="10"/>
      <c r="P381" s="10"/>
      <c r="Q381" s="10"/>
      <c r="R381" s="10"/>
      <c r="S381" s="10"/>
      <c r="T381" s="10"/>
      <c r="U381" s="10"/>
      <c r="V381" s="10"/>
      <c r="W381" s="10"/>
      <c r="X381" s="10"/>
      <c r="Y381" s="10"/>
      <c r="Z381" s="10"/>
    </row>
    <row r="382" spans="1:26" ht="12.75">
      <c r="A382" s="10" t="str">
        <f ca="1">IFERROR(__xludf.DUMMYFUNCTION("""COMPUTED_VALUE"""),"Анна Иванова Лозева")</f>
        <v>Анна Иванова Лозева</v>
      </c>
      <c r="B382" s="10" t="str">
        <f ca="1">IFERROR(__xludf.DUMMYFUNCTION("""COMPUTED_VALUE"""),"Статия в списания и поредици")</f>
        <v>Статия в списания и поредици</v>
      </c>
      <c r="C382" s="10" t="str">
        <f ca="1">IFERROR(__xludf.DUMMYFUNCTION("""COMPUTED_VALUE"""),"Лидерството от позицията на днешния ден")</f>
        <v>Лидерството от позицията на днешния ден</v>
      </c>
      <c r="D382" s="10">
        <f ca="1">IFERROR(__xludf.DUMMYFUNCTION("""COMPUTED_VALUE"""),2020)</f>
        <v>2020</v>
      </c>
      <c r="E382" s="10" t="str">
        <f ca="1">IFERROR(__xludf.DUMMYFUNCTION("""COMPUTED_VALUE"""),"Комуникации и политики. Учебно пособие, София, За буквите – О писменехь, 2020. ISBN 978-619-185-391-5 (под печат).")</f>
        <v>Комуникации и политики. Учебно пособие, София, За буквите – О писменехь, 2020. ISBN 978-619-185-391-5 (под печат).</v>
      </c>
      <c r="F382" s="10"/>
      <c r="G382" s="10"/>
      <c r="H382" s="10"/>
      <c r="I382" s="10"/>
      <c r="J382" s="10"/>
      <c r="K382" s="10"/>
      <c r="L382" s="10"/>
      <c r="M382" s="10"/>
      <c r="N382" s="10"/>
      <c r="O382" s="10"/>
      <c r="P382" s="10"/>
      <c r="Q382" s="10"/>
      <c r="R382" s="10"/>
      <c r="S382" s="10"/>
      <c r="T382" s="10"/>
      <c r="U382" s="10"/>
      <c r="V382" s="10"/>
      <c r="W382" s="10"/>
      <c r="X382" s="10"/>
      <c r="Y382" s="10"/>
      <c r="Z382" s="10"/>
    </row>
    <row r="383" spans="1:26" ht="12.75">
      <c r="A383" s="10" t="str">
        <f ca="1">IFERROR(__xludf.DUMMYFUNCTION("""COMPUTED_VALUE"""),"Анна Иванова Лозева")</f>
        <v>Анна Иванова Лозева</v>
      </c>
      <c r="B383" s="10" t="str">
        <f ca="1">IFERROR(__xludf.DUMMYFUNCTION("""COMPUTED_VALUE"""),"Статия в списания и поредици")</f>
        <v>Статия в списания и поредици</v>
      </c>
      <c r="C383" s="10" t="str">
        <f ca="1">IFERROR(__xludf.DUMMYFUNCTION("""COMPUTED_VALUE"""),"Новите демагози")</f>
        <v>Новите демагози</v>
      </c>
      <c r="D383" s="10">
        <f ca="1">IFERROR(__xludf.DUMMYFUNCTION("""COMPUTED_VALUE"""),2020)</f>
        <v>2020</v>
      </c>
      <c r="E383" s="10" t="str">
        <f ca="1">IFERROR(__xludf.DUMMYFUNCTION("""COMPUTED_VALUE"""),"Политически хоризонти, София, 2020. бр. 4/2020, с. 69-87. 
 ISSN 2534 -966X")</f>
        <v>Политически хоризонти, София, 2020. бр. 4/2020, с. 69-87. 
 ISSN 2534 -966X</v>
      </c>
      <c r="F383" s="10"/>
      <c r="G383" s="10"/>
      <c r="H383" s="10"/>
      <c r="I383" s="10"/>
      <c r="J383" s="10"/>
      <c r="K383" s="10"/>
      <c r="L383" s="10"/>
      <c r="M383" s="10"/>
      <c r="N383" s="10"/>
      <c r="O383" s="10"/>
      <c r="P383" s="10"/>
      <c r="Q383" s="10"/>
      <c r="R383" s="10"/>
      <c r="S383" s="10"/>
      <c r="T383" s="10"/>
      <c r="U383" s="10"/>
      <c r="V383" s="10"/>
      <c r="W383" s="10"/>
      <c r="X383" s="10"/>
      <c r="Y383" s="10"/>
      <c r="Z383" s="10"/>
    </row>
    <row r="384" spans="1:26" ht="12.75">
      <c r="A384" s="10" t="str">
        <f ca="1">IFERROR(__xludf.DUMMYFUNCTION("""COMPUTED_VALUE"""),"Анна Иванова Лозева")</f>
        <v>Анна Иванова Лозева</v>
      </c>
      <c r="B384" s="10" t="str">
        <f ca="1">IFERROR(__xludf.DUMMYFUNCTION("""COMPUTED_VALUE"""),"Статия в списания и поредици")</f>
        <v>Статия в списания и поредици</v>
      </c>
      <c r="C384" s="10" t="str">
        <f ca="1">IFERROR(__xludf.DUMMYFUNCTION("""COMPUTED_VALUE"""),"Лидерите днес")</f>
        <v>Лидерите днес</v>
      </c>
      <c r="D384" s="10">
        <f ca="1">IFERROR(__xludf.DUMMYFUNCTION("""COMPUTED_VALUE"""),2020)</f>
        <v>2020</v>
      </c>
      <c r="E384" s="10" t="str">
        <f ca="1">IFERROR(__xludf.DUMMYFUNCTION("""COMPUTED_VALUE"""),"Юбилеен сборник, София, СУ „Климент Охридски“. (под печат)")</f>
        <v>Юбилеен сборник, София, СУ „Климент Охридски“. (под печат)</v>
      </c>
      <c r="F384" s="10"/>
      <c r="G384" s="10"/>
      <c r="H384" s="10"/>
      <c r="I384" s="10"/>
      <c r="J384" s="10"/>
      <c r="K384" s="10"/>
      <c r="L384" s="10"/>
      <c r="M384" s="10"/>
      <c r="N384" s="10"/>
      <c r="O384" s="10"/>
      <c r="P384" s="10"/>
      <c r="Q384" s="10"/>
      <c r="R384" s="10"/>
      <c r="S384" s="10"/>
      <c r="T384" s="10"/>
      <c r="U384" s="10"/>
      <c r="V384" s="10"/>
      <c r="W384" s="10"/>
      <c r="X384" s="10"/>
      <c r="Y384" s="10"/>
      <c r="Z384" s="10"/>
    </row>
    <row r="385" spans="1:26" ht="12.75">
      <c r="A385" s="10" t="str">
        <f ca="1">IFERROR(__xludf.DUMMYFUNCTION("""COMPUTED_VALUE"""),"Анна Иванова Лозева")</f>
        <v>Анна Иванова Лозева</v>
      </c>
      <c r="B385" s="10" t="str">
        <f ca="1">IFERROR(__xludf.DUMMYFUNCTION("""COMPUTED_VALUE"""),"Доклад от конференция")</f>
        <v>Доклад от конференция</v>
      </c>
      <c r="C385" s="10" t="str">
        <f ca="1">IFERROR(__xludf.DUMMYFUNCTION("""COMPUTED_VALUE"""),"Лидери и популисти")</f>
        <v>Лидери и популисти</v>
      </c>
      <c r="D385" s="10">
        <f ca="1">IFERROR(__xludf.DUMMYFUNCTION("""COMPUTED_VALUE"""),2020)</f>
        <v>2020</v>
      </c>
      <c r="E385" s="10" t="str">
        <f ca="1">IFERROR(__xludf.DUMMYFUNCTION("""COMPUTED_VALUE"""),"// Сборник с доклади от Международната научна конференция по лидерство, УниБИТ. София, 2020. (под печат)")</f>
        <v>// Сборник с доклади от Международната научна конференция по лидерство, УниБИТ. София, 2020. (под печат)</v>
      </c>
      <c r="F385" s="10"/>
      <c r="G385" s="10"/>
      <c r="H385" s="10"/>
      <c r="I385" s="10"/>
      <c r="J385" s="10"/>
      <c r="K385" s="10"/>
      <c r="L385" s="10"/>
      <c r="M385" s="10"/>
      <c r="N385" s="10"/>
      <c r="O385" s="10"/>
      <c r="P385" s="10"/>
      <c r="Q385" s="10"/>
      <c r="R385" s="10"/>
      <c r="S385" s="10"/>
      <c r="T385" s="10"/>
      <c r="U385" s="10"/>
      <c r="V385" s="10"/>
      <c r="W385" s="10"/>
      <c r="X385" s="10"/>
      <c r="Y385" s="10"/>
      <c r="Z385" s="10"/>
    </row>
    <row r="386" spans="1:26" ht="12.75">
      <c r="A386" s="10" t="str">
        <f ca="1">IFERROR(__xludf.DUMMYFUNCTION("""COMPUTED_VALUE"""),"Анна Иванова Лозева")</f>
        <v>Анна Иванова Лозева</v>
      </c>
      <c r="B386" s="10" t="str">
        <f ca="1">IFERROR(__xludf.DUMMYFUNCTION("""COMPUTED_VALUE"""),"Статия в списания и поредици")</f>
        <v>Статия в списания и поредици</v>
      </c>
      <c r="C386" s="10" t="str">
        <f ca="1">IFERROR(__xludf.DUMMYFUNCTION("""COMPUTED_VALUE"""),"Клипови политически послания")</f>
        <v>Клипови политически послания</v>
      </c>
      <c r="D386" s="10">
        <f ca="1">IFERROR(__xludf.DUMMYFUNCTION("""COMPUTED_VALUE"""),2019)</f>
        <v>2019</v>
      </c>
      <c r="E386" s="10" t="str">
        <f ca="1">IFERROR(__xludf.DUMMYFUNCTION("""COMPUTED_VALUE"""),"// Преходът и политическите езици, София, 2019. ISBN 978-954-2982-23-4, с. 192–200.")</f>
        <v>// Преходът и политическите езици, София, 2019. ISBN 978-954-2982-23-4, с. 192–200.</v>
      </c>
      <c r="F386" s="10"/>
      <c r="G386" s="10"/>
      <c r="H386" s="10"/>
      <c r="I386" s="10"/>
      <c r="J386" s="10"/>
      <c r="K386" s="10"/>
      <c r="L386" s="10"/>
      <c r="M386" s="10"/>
      <c r="N386" s="10"/>
      <c r="O386" s="10"/>
      <c r="P386" s="10"/>
      <c r="Q386" s="10"/>
      <c r="R386" s="10"/>
      <c r="S386" s="10"/>
      <c r="T386" s="10"/>
      <c r="U386" s="10"/>
      <c r="V386" s="10"/>
      <c r="W386" s="10"/>
      <c r="X386" s="10"/>
      <c r="Y386" s="10"/>
      <c r="Z386" s="10"/>
    </row>
    <row r="387" spans="1:26" ht="12.75">
      <c r="A387" s="10" t="str">
        <f ca="1">IFERROR(__xludf.DUMMYFUNCTION("""COMPUTED_VALUE"""),"Анна Иванова Лозева")</f>
        <v>Анна Иванова Лозева</v>
      </c>
      <c r="B387" s="10" t="str">
        <f ca="1">IFERROR(__xludf.DUMMYFUNCTION("""COMPUTED_VALUE"""),"Статия в списания и поредици")</f>
        <v>Статия в списания и поредици</v>
      </c>
      <c r="C387" s="10" t="str">
        <f ca="1">IFERROR(__xludf.DUMMYFUNCTION("""COMPUTED_VALUE"""),"Защитата на дипломната работа: полезни насоки")</f>
        <v>Защитата на дипломната работа: полезни насоки</v>
      </c>
      <c r="D387" s="10">
        <f ca="1">IFERROR(__xludf.DUMMYFUNCTION("""COMPUTED_VALUE"""),2019)</f>
        <v>2019</v>
      </c>
      <c r="E387" s="10" t="str">
        <f ca="1">IFERROR(__xludf.DUMMYFUNCTION("""COMPUTED_VALUE"""),"Комуникации и политики. Учебно пособие, София, 2019. (под печат)")</f>
        <v>Комуникации и политики. Учебно пособие, София, 2019. (под печат)</v>
      </c>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c r="A388" s="10" t="str">
        <f ca="1">IFERROR(__xludf.DUMMYFUNCTION("""COMPUTED_VALUE"""),"Анна Иванова Лозева")</f>
        <v>Анна Иванова Лозева</v>
      </c>
      <c r="B388" s="10" t="str">
        <f ca="1">IFERROR(__xludf.DUMMYFUNCTION("""COMPUTED_VALUE"""),"Учебник")</f>
        <v>Учебник</v>
      </c>
      <c r="C388" s="10" t="str">
        <f ca="1">IFERROR(__xludf.DUMMYFUNCTION("""COMPUTED_VALUE"""),"Вадемекум. Първи стъпки в редактирането")</f>
        <v>Вадемекум. Първи стъпки в редактирането</v>
      </c>
      <c r="D388" s="10">
        <f ca="1">IFERROR(__xludf.DUMMYFUNCTION("""COMPUTED_VALUE"""),2019)</f>
        <v>2019</v>
      </c>
      <c r="E388" s="10" t="str">
        <f ca="1">IFERROR(__xludf.DUMMYFUNCTION("""COMPUTED_VALUE"""),"Вадемекум. Първи стъпки в редактирането. София, Авангард Прима. 2019. ISB 978-619-239-130-0")</f>
        <v>Вадемекум. Първи стъпки в редактирането. София, Авангард Прима. 2019. ISB 978-619-239-130-0</v>
      </c>
      <c r="F388" s="10"/>
      <c r="G388" s="10"/>
      <c r="H388" s="10"/>
      <c r="I388" s="10"/>
      <c r="J388" s="10"/>
      <c r="K388" s="10"/>
      <c r="L388" s="10"/>
      <c r="M388" s="10"/>
      <c r="N388" s="10"/>
      <c r="O388" s="10"/>
      <c r="P388" s="10"/>
      <c r="Q388" s="10"/>
      <c r="R388" s="10"/>
      <c r="S388" s="10"/>
      <c r="T388" s="10"/>
      <c r="U388" s="10"/>
      <c r="V388" s="10"/>
      <c r="W388" s="10"/>
      <c r="X388" s="10"/>
      <c r="Y388" s="10"/>
      <c r="Z388" s="10"/>
    </row>
    <row r="389" spans="1:26" ht="12.75">
      <c r="A389" s="10" t="str">
        <f ca="1">IFERROR(__xludf.DUMMYFUNCTION("""COMPUTED_VALUE"""),"Анна Иванова Лозева")</f>
        <v>Анна Иванова Лозева</v>
      </c>
      <c r="B389" s="10" t="str">
        <f ca="1">IFERROR(__xludf.DUMMYFUNCTION("""COMPUTED_VALUE"""),"Статия в списания и поредици")</f>
        <v>Статия в списания и поредици</v>
      </c>
      <c r="C389" s="10" t="str">
        <f ca="1">IFERROR(__xludf.DUMMYFUNCTION("""COMPUTED_VALUE"""),"Ползите от познаването на аргументацията")</f>
        <v>Ползите от познаването на аргументацията</v>
      </c>
      <c r="D389" s="10">
        <f ca="1">IFERROR(__xludf.DUMMYFUNCTION("""COMPUTED_VALUE"""),2019)</f>
        <v>2019</v>
      </c>
      <c r="E389" s="10" t="str">
        <f ca="1">IFERROR(__xludf.DUMMYFUNCTION("""COMPUTED_VALUE"""),"Комуникации и политики. Учебно пособие, София, 2019. (под печат)")</f>
        <v>Комуникации и политики. Учебно пособие, София, 2019. (под печат)</v>
      </c>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c r="A390" s="10" t="str">
        <f ca="1">IFERROR(__xludf.DUMMYFUNCTION("""COMPUTED_VALUE"""),"Анна Иванова Лозева")</f>
        <v>Анна Иванова Лозева</v>
      </c>
      <c r="B390" s="10" t="str">
        <f ca="1">IFERROR(__xludf.DUMMYFUNCTION("""COMPUTED_VALUE"""),"Статия в списания и поредици")</f>
        <v>Статия в списания и поредици</v>
      </c>
      <c r="C390" s="10" t="str">
        <f ca="1">IFERROR(__xludf.DUMMYFUNCTION("""COMPUTED_VALUE"""),"Калдерата на социалните мрежи: политиците и разбирането им за нея (под печат)")</f>
        <v>Калдерата на социалните мрежи: политиците и разбирането им за нея (под печат)</v>
      </c>
      <c r="D390" s="10">
        <f ca="1">IFERROR(__xludf.DUMMYFUNCTION("""COMPUTED_VALUE"""),2018)</f>
        <v>2018</v>
      </c>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2.75">
      <c r="A391" s="10" t="str">
        <f ca="1">IFERROR(__xludf.DUMMYFUNCTION("""COMPUTED_VALUE"""),"Анна Иванова Лозева")</f>
        <v>Анна Иванова Лозева</v>
      </c>
      <c r="B391" s="10" t="str">
        <f ca="1">IFERROR(__xludf.DUMMYFUNCTION("""COMPUTED_VALUE"""),"Статия в списания и поредици")</f>
        <v>Статия в списания и поредици</v>
      </c>
      <c r="C391" s="10" t="str">
        <f ca="1">IFERROR(__xludf.DUMMYFUNCTION("""COMPUTED_VALUE"""),"Ракурси към българската медийна информационна среда: Метафори за социалните мрежи")</f>
        <v>Ракурси към българската медийна информационна среда: Метафори за социалните мрежи</v>
      </c>
      <c r="D391" s="10">
        <f ca="1">IFERROR(__xludf.DUMMYFUNCTION("""COMPUTED_VALUE"""),2018)</f>
        <v>2018</v>
      </c>
      <c r="E391" s="10" t="str">
        <f ca="1">IFERROR(__xludf.DUMMYFUNCTION("""COMPUTED_VALUE"""),"Медии. Език. Общество: проблеми и перспективи. Бургас, ИК „Знак“ 94, 2017, с. 15–20.")</f>
        <v>Медии. Език. Общество: проблеми и перспективи. Бургас, ИК „Знак“ 94, 2017, с. 15–20.</v>
      </c>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c r="A392" s="10" t="str">
        <f ca="1">IFERROR(__xludf.DUMMYFUNCTION("""COMPUTED_VALUE"""),"Анна Иванова Лозева")</f>
        <v>Анна Иванова Лозева</v>
      </c>
      <c r="B392" s="10" t="str">
        <f ca="1">IFERROR(__xludf.DUMMYFUNCTION("""COMPUTED_VALUE"""),"Статия в списания и поредици")</f>
        <v>Статия в списания и поредици</v>
      </c>
      <c r="C392" s="10" t="str">
        <f ca="1">IFERROR(__xludf.DUMMYFUNCTION("""COMPUTED_VALUE"""),"Концептуализация на социалните мрежи")</f>
        <v>Концептуализация на социалните мрежи</v>
      </c>
      <c r="D392" s="10">
        <f ca="1">IFERROR(__xludf.DUMMYFUNCTION("""COMPUTED_VALUE"""),2018)</f>
        <v>2018</v>
      </c>
      <c r="E392" s="10" t="str">
        <f ca="1">IFERROR(__xludf.DUMMYFUNCTION("""COMPUTED_VALUE"""),"Обществото на знанието и хуманизмът на ХХІ век. Сборник с доклади от ХV научна конференция с международно участие от 1 ноември, УниБИТ. София, За буквите – О писменехь.")</f>
        <v>Обществото на знанието и хуманизмът на ХХІ век. Сборник с доклади от ХV научна конференция с международно участие от 1 ноември, УниБИТ. София, За буквите – О писменехь.</v>
      </c>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c r="A393" s="10" t="str">
        <f ca="1">IFERROR(__xludf.DUMMYFUNCTION("""COMPUTED_VALUE"""),"Анна Иванова Лозева")</f>
        <v>Анна Иванова Лозева</v>
      </c>
      <c r="B393" s="10" t="str">
        <f ca="1">IFERROR(__xludf.DUMMYFUNCTION("""COMPUTED_VALUE"""),"Монография")</f>
        <v>Монография</v>
      </c>
      <c r="C393" s="10" t="str">
        <f ca="1">IFERROR(__xludf.DUMMYFUNCTION("""COMPUTED_VALUE"""),"Рестартът на политическата демагогия. Изследване върху парламентарните дебати 2004-2007")</f>
        <v>Рестартът на политическата демагогия. Изследване върху парламентарните дебати 2004-2007</v>
      </c>
      <c r="D393" s="10">
        <f ca="1">IFERROR(__xludf.DUMMYFUNCTION("""COMPUTED_VALUE"""),2018)</f>
        <v>2018</v>
      </c>
      <c r="E393" s="10" t="str">
        <f ca="1">IFERROR(__xludf.DUMMYFUNCTION("""COMPUTED_VALUE"""),"София, Авангард Прима. 2018. ISBN 978-619-239-062-4")</f>
        <v>София, Авангард Прима. 2018. ISBN 978-619-239-062-4</v>
      </c>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c r="A394" s="10" t="str">
        <f ca="1">IFERROR(__xludf.DUMMYFUNCTION("""COMPUTED_VALUE"""),"Анна Иванова Лозева")</f>
        <v>Анна Иванова Лозева</v>
      </c>
      <c r="B394" s="10" t="str">
        <f ca="1">IFERROR(__xludf.DUMMYFUNCTION("""COMPUTED_VALUE"""),"Статия в списания и поредици")</f>
        <v>Статия в списания и поредици</v>
      </c>
      <c r="C394" s="10" t="str">
        <f ca="1">IFERROR(__xludf.DUMMYFUNCTION("""COMPUTED_VALUE"""),"Криза, преход и промяна в стенограмите на Народното събрание (лингвостатистически анализ на употребата на лексемите през 2004–2007 г.)")</f>
        <v>Криза, преход и промяна в стенограмите на Народното събрание (лингвостатистически анализ на употребата на лексемите през 2004–2007 г.)</v>
      </c>
      <c r="D394" s="10">
        <f ca="1">IFERROR(__xludf.DUMMYFUNCTION("""COMPUTED_VALUE"""),2017)</f>
        <v>2017</v>
      </c>
      <c r="E394" s="10" t="str">
        <f ca="1">IFERROR(__xludf.DUMMYFUNCTION("""COMPUTED_VALUE"""),"Обществото на знанието и хуманизмът на ХХІ век. Сборник с доклади от ХIV научна конференция с международно участие от 1 ноември, УниБИТ. София: За буквите – О писменехь")</f>
        <v>Обществото на знанието и хуманизмът на ХХІ век. Сборник с доклади от ХIV научна конференция с международно участие от 1 ноември, УниБИТ. София: За буквите – О писменехь</v>
      </c>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c r="A395" s="10" t="str">
        <f ca="1">IFERROR(__xludf.DUMMYFUNCTION("""COMPUTED_VALUE"""),"Анна Иванова Лозева")</f>
        <v>Анна Иванова Лозева</v>
      </c>
      <c r="B395" s="10" t="str">
        <f ca="1">IFERROR(__xludf.DUMMYFUNCTION("""COMPUTED_VALUE"""),"Статия в списания и поредици")</f>
        <v>Статия в списания и поредици</v>
      </c>
      <c r="C395" s="10" t="str">
        <f ca="1">IFERROR(__xludf.DUMMYFUNCTION("""COMPUTED_VALUE"""),"Обликът на демагогията през 2004 – 2007 г.")</f>
        <v>Обликът на демагогията през 2004 – 2007 г.</v>
      </c>
      <c r="D395" s="10">
        <f ca="1">IFERROR(__xludf.DUMMYFUNCTION("""COMPUTED_VALUE"""),2017)</f>
        <v>2017</v>
      </c>
      <c r="E395" s="10" t="str">
        <f ca="1">IFERROR(__xludf.DUMMYFUNCTION("""COMPUTED_VALUE"""),"Сборник „Политическата демагогия в прехода. София (електронна версия).")</f>
        <v>Сборник „Политическата демагогия в прехода. София (електронна версия).</v>
      </c>
      <c r="F395" s="10"/>
      <c r="G395" s="10"/>
      <c r="H395" s="10"/>
      <c r="I395" s="10"/>
      <c r="J395" s="10"/>
      <c r="K395" s="10"/>
      <c r="L395" s="10"/>
      <c r="M395" s="10"/>
      <c r="N395" s="10"/>
      <c r="O395" s="10"/>
      <c r="P395" s="10"/>
      <c r="Q395" s="10"/>
      <c r="R395" s="10"/>
      <c r="S395" s="10"/>
      <c r="T395" s="10"/>
      <c r="U395" s="10"/>
      <c r="V395" s="10"/>
      <c r="W395" s="10"/>
      <c r="X395" s="10"/>
      <c r="Y395" s="10"/>
      <c r="Z395" s="10"/>
    </row>
    <row r="396" spans="1:26" ht="12.75">
      <c r="A396" s="10" t="str">
        <f ca="1">IFERROR(__xludf.DUMMYFUNCTION("""COMPUTED_VALUE"""),"Анна Иванова Лозева")</f>
        <v>Анна Иванова Лозева</v>
      </c>
      <c r="B396" s="10" t="str">
        <f ca="1">IFERROR(__xludf.DUMMYFUNCTION("""COMPUTED_VALUE"""),"Учебник")</f>
        <v>Учебник</v>
      </c>
      <c r="C396" s="10" t="str">
        <f ca="1">IFERROR(__xludf.DUMMYFUNCTION("""COMPUTED_VALUE"""),"Тестове по езикова култура")</f>
        <v>Тестове по езикова култура</v>
      </c>
      <c r="D396" s="10">
        <f ca="1">IFERROR(__xludf.DUMMYFUNCTION("""COMPUTED_VALUE"""),2017)</f>
        <v>2017</v>
      </c>
      <c r="E396" s="10" t="str">
        <f ca="1">IFERROR(__xludf.DUMMYFUNCTION("""COMPUTED_VALUE"""),"София: Авангард. ISBN 978-619-160-854-6")</f>
        <v>София: Авангард. ISBN 978-619-160-854-6</v>
      </c>
      <c r="F396" s="10"/>
      <c r="G396" s="10"/>
      <c r="H396" s="10"/>
      <c r="I396" s="10"/>
      <c r="J396" s="10"/>
      <c r="K396" s="10"/>
      <c r="L396" s="10"/>
      <c r="M396" s="10"/>
      <c r="N396" s="10"/>
      <c r="O396" s="10"/>
      <c r="P396" s="10"/>
      <c r="Q396" s="10"/>
      <c r="R396" s="10"/>
      <c r="S396" s="10"/>
      <c r="T396" s="10"/>
      <c r="U396" s="10"/>
      <c r="V396" s="10"/>
      <c r="W396" s="10"/>
      <c r="X396" s="10"/>
      <c r="Y396" s="10"/>
      <c r="Z396" s="10"/>
    </row>
    <row r="397" spans="1:26" ht="12.75">
      <c r="A397" s="10" t="str">
        <f ca="1">IFERROR(__xludf.DUMMYFUNCTION("""COMPUTED_VALUE"""),"Анна Иванова Лозева")</f>
        <v>Анна Иванова Лозева</v>
      </c>
      <c r="B397" s="10" t="str">
        <f ca="1">IFERROR(__xludf.DUMMYFUNCTION("""COMPUTED_VALUE"""),"Статия в списания и поредици")</f>
        <v>Статия в списания и поредици</v>
      </c>
      <c r="C397" s="10" t="str">
        <f ca="1">IFERROR(__xludf.DUMMYFUNCTION("""COMPUTED_VALUE"""),"Статистично-лингвистичен анализ на употребата на лексемите демагогия, популизъм, измама, лъжа и спекулация в стенограмите на Народното събрание")</f>
        <v>Статистично-лингвистичен анализ на употребата на лексемите демагогия, популизъм, измама, лъжа и спекулация в стенограмите на Народното събрание</v>
      </c>
      <c r="D397" s="10">
        <f ca="1">IFERROR(__xludf.DUMMYFUNCTION("""COMPUTED_VALUE"""),2017)</f>
        <v>2017</v>
      </c>
      <c r="E397" s="10" t="str">
        <f ca="1">IFERROR(__xludf.DUMMYFUNCTION("""COMPUTED_VALUE"""),"Реторика във времето. Габрово: ЕКС-ПРЕС.")</f>
        <v>Реторика във времето. Габрово: ЕКС-ПРЕС.</v>
      </c>
      <c r="F397" s="10"/>
      <c r="G397" s="10"/>
      <c r="H397" s="10"/>
      <c r="I397" s="10"/>
      <c r="J397" s="10"/>
      <c r="K397" s="10"/>
      <c r="L397" s="10"/>
      <c r="M397" s="10"/>
      <c r="N397" s="10"/>
      <c r="O397" s="10"/>
      <c r="P397" s="10"/>
      <c r="Q397" s="10"/>
      <c r="R397" s="10"/>
      <c r="S397" s="10"/>
      <c r="T397" s="10"/>
      <c r="U397" s="10"/>
      <c r="V397" s="10"/>
      <c r="W397" s="10"/>
      <c r="X397" s="10"/>
      <c r="Y397" s="10"/>
      <c r="Z397" s="10"/>
    </row>
    <row r="398" spans="1:26" ht="12.75">
      <c r="A398" s="10" t="str">
        <f ca="1">IFERROR(__xludf.DUMMYFUNCTION("""COMPUTED_VALUE"""),"Анна Иванова Лозева")</f>
        <v>Анна Иванова Лозева</v>
      </c>
      <c r="B398" s="10" t="str">
        <f ca="1">IFERROR(__xludf.DUMMYFUNCTION("""COMPUTED_VALUE"""),"Статия в списания и поредици")</f>
        <v>Статия в списания и поредици</v>
      </c>
      <c r="C398" s="10" t="str">
        <f ca="1">IFERROR(__xludf.DUMMYFUNCTION("""COMPUTED_VALUE"""),"Статистично-лингвистичен анализ на употребата на лексемата демагог и демагогия в стенограмите на Народното събрание (2004-2007)")</f>
        <v>Статистично-лингвистичен анализ на употребата на лексемата демагог и демагогия в стенограмите на Народното събрание (2004-2007)</v>
      </c>
      <c r="D398" s="10">
        <f ca="1">IFERROR(__xludf.DUMMYFUNCTION("""COMPUTED_VALUE"""),2016)</f>
        <v>2016</v>
      </c>
      <c r="E398" s="10" t="str">
        <f ca="1">IFERROR(__xludf.DUMMYFUNCTION("""COMPUTED_VALUE"""),"Обществото на знанието и хуманизмът на ХХІ век. Сборник с доклади от ХIII научна конференция с международно участие от 1 ноември, УниБИТ. София: За буквите – О писменехь, 2016, 263-277.")</f>
        <v>Обществото на знанието и хуманизмът на ХХІ век. Сборник с доклади от ХIII научна конференция с международно участие от 1 ноември, УниБИТ. София: За буквите – О писменехь, 2016, 263-277.</v>
      </c>
      <c r="F398" s="10"/>
      <c r="G398" s="10"/>
      <c r="H398" s="10"/>
      <c r="I398" s="10"/>
      <c r="J398" s="10"/>
      <c r="K398" s="10"/>
      <c r="L398" s="10"/>
      <c r="M398" s="10"/>
      <c r="N398" s="10"/>
      <c r="O398" s="10"/>
      <c r="P398" s="10"/>
      <c r="Q398" s="10"/>
      <c r="R398" s="10"/>
      <c r="S398" s="10"/>
      <c r="T398" s="10"/>
      <c r="U398" s="10"/>
      <c r="V398" s="10"/>
      <c r="W398" s="10"/>
      <c r="X398" s="10"/>
      <c r="Y398" s="10"/>
      <c r="Z398" s="10"/>
    </row>
    <row r="399" spans="1:26" ht="12.75">
      <c r="A399" s="10" t="str">
        <f ca="1">IFERROR(__xludf.DUMMYFUNCTION("""COMPUTED_VALUE"""),"Анна Иванова Лозева")</f>
        <v>Анна Иванова Лозева</v>
      </c>
      <c r="B399" s="10" t="str">
        <f ca="1">IFERROR(__xludf.DUMMYFUNCTION("""COMPUTED_VALUE"""),"Статия в списания и поредици")</f>
        <v>Статия в списания и поредици</v>
      </c>
      <c r="C399" s="10" t="str">
        <f ca="1">IFERROR(__xludf.DUMMYFUNCTION("""COMPUTED_VALUE"""),"Употреби на лексемата демагогия след 1989 г. в изказвания на български политици")</f>
        <v>Употреби на лексемата демагогия след 1989 г. в изказвания на български политици</v>
      </c>
      <c r="D399" s="10">
        <f ca="1">IFERROR(__xludf.DUMMYFUNCTION("""COMPUTED_VALUE"""),2015)</f>
        <v>2015</v>
      </c>
      <c r="E399" s="10" t="str">
        <f ca="1">IFERROR(__xludf.DUMMYFUNCTION("""COMPUTED_VALUE"""),"Обществото на знанието и хуманизмът на ХХІ век. Сборник с доклади от ХII научна конференция с международно участие от 31 октомври - 1 ноември, УниБИТ. София: За буквите – О писменехь, 2015, 160-166.")</f>
        <v>Обществото на знанието и хуманизмът на ХХІ век. Сборник с доклади от ХII научна конференция с международно участие от 31 октомври - 1 ноември, УниБИТ. София: За буквите – О писменехь, 2015, 160-166.</v>
      </c>
      <c r="F399" s="10"/>
      <c r="G399" s="10"/>
      <c r="H399" s="10"/>
      <c r="I399" s="10"/>
      <c r="J399" s="10"/>
      <c r="K399" s="10"/>
      <c r="L399" s="10"/>
      <c r="M399" s="10"/>
      <c r="N399" s="10"/>
      <c r="O399" s="10"/>
      <c r="P399" s="10"/>
      <c r="Q399" s="10"/>
      <c r="R399" s="10"/>
      <c r="S399" s="10"/>
      <c r="T399" s="10"/>
      <c r="U399" s="10"/>
      <c r="V399" s="10"/>
      <c r="W399" s="10"/>
      <c r="X399" s="10"/>
      <c r="Y399" s="10"/>
      <c r="Z399" s="10"/>
    </row>
    <row r="400" spans="1:26" ht="12.75">
      <c r="A400" s="10" t="str">
        <f ca="1">IFERROR(__xludf.DUMMYFUNCTION("""COMPUTED_VALUE"""),"Анна Иванова Лозева")</f>
        <v>Анна Иванова Лозева</v>
      </c>
      <c r="B400" s="10" t="str">
        <f ca="1">IFERROR(__xludf.DUMMYFUNCTION("""COMPUTED_VALUE"""),"Учебник")</f>
        <v>Учебник</v>
      </c>
      <c r="C400" s="10" t="str">
        <f ca="1">IFERROR(__xludf.DUMMYFUNCTION("""COMPUTED_VALUE"""),"Езикова култура")</f>
        <v>Езикова култура</v>
      </c>
      <c r="D400" s="10">
        <f ca="1">IFERROR(__xludf.DUMMYFUNCTION("""COMPUTED_VALUE"""),2015)</f>
        <v>2015</v>
      </c>
      <c r="E400" s="10" t="str">
        <f ca="1">IFERROR(__xludf.DUMMYFUNCTION("""COMPUTED_VALUE"""),"София: Про Лангс. ISBN 978-954-2995-16-6")</f>
        <v>София: Про Лангс. ISBN 978-954-2995-16-6</v>
      </c>
      <c r="F400" s="10"/>
      <c r="G400" s="10" t="str">
        <f ca="1">IFERROR(__xludf.DUMMYFUNCTION("""COMPUTED_VALUE"""),"Йорданка Захариева")</f>
        <v>Йорданка Захариева</v>
      </c>
      <c r="H400" s="10"/>
      <c r="I400" s="10"/>
      <c r="J400" s="10"/>
      <c r="K400" s="10"/>
      <c r="L400" s="10"/>
      <c r="M400" s="10"/>
      <c r="N400" s="10"/>
      <c r="O400" s="10"/>
      <c r="P400" s="10"/>
      <c r="Q400" s="10"/>
      <c r="R400" s="10"/>
      <c r="S400" s="10"/>
      <c r="T400" s="10"/>
      <c r="U400" s="10"/>
      <c r="V400" s="10"/>
      <c r="W400" s="10"/>
      <c r="X400" s="10"/>
      <c r="Y400" s="10"/>
      <c r="Z400" s="10"/>
    </row>
    <row r="401" spans="1:26" ht="12.75">
      <c r="A401" s="10" t="str">
        <f ca="1">IFERROR(__xludf.DUMMYFUNCTION("""COMPUTED_VALUE"""),"Анна Иванова Лозева")</f>
        <v>Анна Иванова Лозева</v>
      </c>
      <c r="B401" s="10" t="str">
        <f ca="1">IFERROR(__xludf.DUMMYFUNCTION("""COMPUTED_VALUE"""),"Учебник")</f>
        <v>Учебник</v>
      </c>
      <c r="C401" s="10" t="str">
        <f ca="1">IFERROR(__xludf.DUMMYFUNCTION("""COMPUTED_VALUE"""),"Рекламата в печатните медии")</f>
        <v>Рекламата в печатните медии</v>
      </c>
      <c r="D401" s="10">
        <f ca="1">IFERROR(__xludf.DUMMYFUNCTION("""COMPUTED_VALUE"""),2014)</f>
        <v>2014</v>
      </c>
      <c r="E401" s="10" t="str">
        <f ca="1">IFERROR(__xludf.DUMMYFUNCTION("""COMPUTED_VALUE"""),"Учебник. София: Про Лангс. 2014. 196 с. ISBN 978-954-2995-09-9")</f>
        <v>Учебник. София: Про Лангс. 2014. 196 с. ISBN 978-954-2995-09-9</v>
      </c>
      <c r="F401" s="10"/>
      <c r="G401" s="10" t="str">
        <f ca="1">IFERROR(__xludf.DUMMYFUNCTION("""COMPUTED_VALUE"""),"Й. Захариева")</f>
        <v>Й. Захариева</v>
      </c>
      <c r="H401" s="10"/>
      <c r="I401" s="10"/>
      <c r="J401" s="10"/>
      <c r="K401" s="10"/>
      <c r="L401" s="10"/>
      <c r="M401" s="10"/>
      <c r="N401" s="10"/>
      <c r="O401" s="10"/>
      <c r="P401" s="10"/>
      <c r="Q401" s="10"/>
      <c r="R401" s="10"/>
      <c r="S401" s="10"/>
      <c r="T401" s="10"/>
      <c r="U401" s="10"/>
      <c r="V401" s="10"/>
      <c r="W401" s="10"/>
      <c r="X401" s="10"/>
      <c r="Y401" s="10"/>
      <c r="Z401" s="10"/>
    </row>
    <row r="402" spans="1:26" ht="12.75">
      <c r="A402" s="10" t="str">
        <f ca="1">IFERROR(__xludf.DUMMYFUNCTION("""COMPUTED_VALUE"""),"Анна Иванова Лозева")</f>
        <v>Анна Иванова Лозева</v>
      </c>
      <c r="B402" s="10" t="str">
        <f ca="1">IFERROR(__xludf.DUMMYFUNCTION("""COMPUTED_VALUE"""),"Книга")</f>
        <v>Книга</v>
      </c>
      <c r="C402" s="10" t="str">
        <f ca="1">IFERROR(__xludf.DUMMYFUNCTION("""COMPUTED_VALUE"""),"Shortcut към езиковата култура")</f>
        <v>Shortcut към езиковата култура</v>
      </c>
      <c r="D402" s="10">
        <f ca="1">IFERROR(__xludf.DUMMYFUNCTION("""COMPUTED_VALUE"""),2014)</f>
        <v>2014</v>
      </c>
      <c r="E402" s="10" t="str">
        <f ca="1">IFERROR(__xludf.DUMMYFUNCTION("""COMPUTED_VALUE"""),"чебник. София: За буквите – О писменехь. 2014. 216 с.ISBN 978-619-185-058-7")</f>
        <v>чебник. София: За буквите – О писменехь. 2014. 216 с.ISBN 978-619-185-058-7</v>
      </c>
      <c r="F402" s="10"/>
      <c r="G402" s="10" t="str">
        <f ca="1">IFERROR(__xludf.DUMMYFUNCTION("""COMPUTED_VALUE"""),"Й. Захариева")</f>
        <v>Й. Захариева</v>
      </c>
      <c r="H402" s="10"/>
      <c r="I402" s="10"/>
      <c r="J402" s="10"/>
      <c r="K402" s="10"/>
      <c r="L402" s="10"/>
      <c r="M402" s="10"/>
      <c r="N402" s="10"/>
      <c r="O402" s="10"/>
      <c r="P402" s="10"/>
      <c r="Q402" s="10"/>
      <c r="R402" s="10"/>
      <c r="S402" s="10"/>
      <c r="T402" s="10"/>
      <c r="U402" s="10"/>
      <c r="V402" s="10"/>
      <c r="W402" s="10"/>
      <c r="X402" s="10"/>
      <c r="Y402" s="10"/>
      <c r="Z402" s="10"/>
    </row>
    <row r="403" spans="1:26" ht="12.75">
      <c r="A403" s="10" t="str">
        <f ca="1">IFERROR(__xludf.DUMMYFUNCTION("""COMPUTED_VALUE"""),"Анна Иванова Лозева")</f>
        <v>Анна Иванова Лозева</v>
      </c>
      <c r="B403" s="10" t="str">
        <f ca="1">IFERROR(__xludf.DUMMYFUNCTION("""COMPUTED_VALUE"""),"Статия в списания и поредици")</f>
        <v>Статия в списания и поредици</v>
      </c>
      <c r="C403" s="10" t="str">
        <f ca="1">IFERROR(__xludf.DUMMYFUNCTION("""COMPUTED_VALUE"""),"Интерпретация на българските политически абревиатури въз основа на проекта ВААЛ")</f>
        <v>Интерпретация на българските политически абревиатури въз основа на проекта ВААЛ</v>
      </c>
      <c r="D403" s="10">
        <f ca="1">IFERROR(__xludf.DUMMYFUNCTION("""COMPUTED_VALUE"""),2014)</f>
        <v>2014</v>
      </c>
      <c r="E403" s="10" t="str">
        <f ca="1">IFERROR(__xludf.DUMMYFUNCTION("""COMPUTED_VALUE"""),"Обществото на знанието и хуманизмът на ХХІ век. Сборник с доклади от ХI научна конференция с международно участие от 1-2 ноември, УниБИТ. София: За буквите – О писменехь, 2014, 193-200.")</f>
        <v>Обществото на знанието и хуманизмът на ХХІ век. Сборник с доклади от ХI научна конференция с международно участие от 1-2 ноември, УниБИТ. София: За буквите – О писменехь, 2014, 193-200.</v>
      </c>
      <c r="F403" s="10"/>
      <c r="G403" s="10"/>
      <c r="H403" s="10"/>
      <c r="I403" s="10"/>
      <c r="J403" s="10"/>
      <c r="K403" s="10"/>
      <c r="L403" s="10"/>
      <c r="M403" s="10"/>
      <c r="N403" s="10"/>
      <c r="O403" s="10"/>
      <c r="P403" s="10"/>
      <c r="Q403" s="10"/>
      <c r="R403" s="10"/>
      <c r="S403" s="10"/>
      <c r="T403" s="10"/>
      <c r="U403" s="10"/>
      <c r="V403" s="10"/>
      <c r="W403" s="10"/>
      <c r="X403" s="10"/>
      <c r="Y403" s="10"/>
      <c r="Z403" s="10"/>
    </row>
    <row r="404" spans="1:26" ht="12.75">
      <c r="A404" s="10" t="str">
        <f ca="1">IFERROR(__xludf.DUMMYFUNCTION("""COMPUTED_VALUE"""),"Анна Иванова Лозева")</f>
        <v>Анна Иванова Лозева</v>
      </c>
      <c r="B404" s="10" t="str">
        <f ca="1">IFERROR(__xludf.DUMMYFUNCTION("""COMPUTED_VALUE"""),"Учебник")</f>
        <v>Учебник</v>
      </c>
      <c r="C404" s="10" t="str">
        <f ca="1">IFERROR(__xludf.DUMMYFUNCTION("""COMPUTED_VALUE"""),"Медиалингвистика.")</f>
        <v>Медиалингвистика.</v>
      </c>
      <c r="D404" s="10">
        <f ca="1">IFERROR(__xludf.DUMMYFUNCTION("""COMPUTED_VALUE"""),2014)</f>
        <v>2014</v>
      </c>
      <c r="E404" s="10" t="str">
        <f ca="1">IFERROR(__xludf.DUMMYFUNCTION("""COMPUTED_VALUE"""),"Про Лангс. 2014. 156 с. ISBN 978-954-2995-10-4")</f>
        <v>Про Лангс. 2014. 156 с. ISBN 978-954-2995-10-4</v>
      </c>
      <c r="F404" s="10"/>
      <c r="G404" s="10" t="str">
        <f ca="1">IFERROR(__xludf.DUMMYFUNCTION("""COMPUTED_VALUE"""),"Й. Захариева")</f>
        <v>Й. Захариева</v>
      </c>
      <c r="H404" s="10"/>
      <c r="I404" s="10"/>
      <c r="J404" s="10"/>
      <c r="K404" s="10"/>
      <c r="L404" s="10"/>
      <c r="M404" s="10"/>
      <c r="N404" s="10"/>
      <c r="O404" s="10"/>
      <c r="P404" s="10"/>
      <c r="Q404" s="10"/>
      <c r="R404" s="10"/>
      <c r="S404" s="10"/>
      <c r="T404" s="10"/>
      <c r="U404" s="10"/>
      <c r="V404" s="10"/>
      <c r="W404" s="10"/>
      <c r="X404" s="10"/>
      <c r="Y404" s="10"/>
      <c r="Z404" s="10"/>
    </row>
    <row r="405" spans="1:26" ht="12.75">
      <c r="A405" s="10" t="str">
        <f ca="1">IFERROR(__xludf.DUMMYFUNCTION("""COMPUTED_VALUE"""),"Аркади Георгиев Иванов")</f>
        <v>Аркади Георгиев Иванов</v>
      </c>
      <c r="B405" s="10" t="str">
        <f ca="1">IFERROR(__xludf.DUMMYFUNCTION("""COMPUTED_VALUE"""),"Монография")</f>
        <v>Монография</v>
      </c>
      <c r="C405" s="10" t="str">
        <f ca="1">IFERROR(__xludf.DUMMYFUNCTION("""COMPUTED_VALUE"""),"ДИАГНОСТИЧНИ И ЛЕЧЕБНИ ПРОБЛЕМИ В ХИРУРГИЯТА И В ОРГАНИЗАЦИЯТА НА ЗДРАВЕОПАЗВАНЕТО.")</f>
        <v>ДИАГНОСТИЧНИ И ЛЕЧЕБНИ ПРОБЛЕМИ В ХИРУРГИЯТА И В ОРГАНИЗАЦИЯТА НА ЗДРАВЕОПАЗВАНЕТО.</v>
      </c>
      <c r="D405" s="10">
        <f ca="1">IFERROR(__xludf.DUMMYFUNCTION("""COMPUTED_VALUE"""),2020)</f>
        <v>2020</v>
      </c>
      <c r="E405" s="10" t="str">
        <f ca="1">IFERROR(__xludf.DUMMYFUNCTION("""COMPUTED_VALUE"""),"София: Издателство ОМДА, 2020 г., 272 с. ISBN 978-619-7510-15-7")</f>
        <v>София: Издателство ОМДА, 2020 г., 272 с. ISBN 978-619-7510-15-7</v>
      </c>
      <c r="F405" s="10"/>
      <c r="G405" s="10"/>
      <c r="H405" s="10"/>
      <c r="I405" s="10"/>
      <c r="J405" s="10"/>
      <c r="K405" s="10"/>
      <c r="L405" s="10"/>
      <c r="M405" s="10"/>
      <c r="N405" s="10"/>
      <c r="O405" s="10"/>
      <c r="P405" s="10"/>
      <c r="Q405" s="10"/>
      <c r="R405" s="10"/>
      <c r="S405" s="10"/>
      <c r="T405" s="10"/>
      <c r="U405" s="10"/>
      <c r="V405" s="10"/>
      <c r="W405" s="10"/>
      <c r="X405" s="10"/>
      <c r="Y405" s="10"/>
      <c r="Z405" s="10"/>
    </row>
    <row r="406" spans="1:26" ht="12.75">
      <c r="A406" s="10" t="str">
        <f ca="1">IFERROR(__xludf.DUMMYFUNCTION("""COMPUTED_VALUE"""),"Аркади Георгиев Иванов")</f>
        <v>Аркади Георгиев Иванов</v>
      </c>
      <c r="B406" s="10" t="str">
        <f ca="1">IFERROR(__xludf.DUMMYFUNCTION("""COMPUTED_VALUE"""),"Статия в списания и поредици")</f>
        <v>Статия в списания и поредици</v>
      </c>
      <c r="C406" s="10" t="str">
        <f ca="1">IFERROR(__xludf.DUMMYFUNCTION("""COMPUTED_VALUE"""),"Necessity of self-management support following colorectal cancer treatment")</f>
        <v>Necessity of self-management support following colorectal cancer treatment</v>
      </c>
      <c r="D406" s="10">
        <f ca="1">IFERROR(__xludf.DUMMYFUNCTION("""COMPUTED_VALUE"""),2017)</f>
        <v>2017</v>
      </c>
      <c r="E406" s="10" t="str">
        <f ca="1">IFERROR(__xludf.DUMMYFUNCTION("""COMPUTED_VALUE"""),"Archives of the Balkan Medical Union, 52 (3), pp. 285-290. ISSN:1584-9244")</f>
        <v>Archives of the Balkan Medical Union, 52 (3), pp. 285-290. ISSN:1584-9244</v>
      </c>
      <c r="F406" s="10" t="str">
        <f ca="1">IFERROR(__xludf.DUMMYFUNCTION("""COMPUTED_VALUE"""),"Scopus")</f>
        <v>Scopus</v>
      </c>
      <c r="G406" s="10" t="str">
        <f ca="1">IFERROR(__xludf.DUMMYFUNCTION("""COMPUTED_VALUE"""),"Ribarov, R., Vodenicharov, T., Ivanova, N.")</f>
        <v>Ribarov, R., Vodenicharov, T., Ivanova, N.</v>
      </c>
      <c r="H406" s="10"/>
      <c r="I406" s="10"/>
      <c r="J406" s="10"/>
      <c r="K406" s="10"/>
      <c r="L406" s="10"/>
      <c r="M406" s="10"/>
      <c r="N406" s="10"/>
      <c r="O406" s="10"/>
      <c r="P406" s="10"/>
      <c r="Q406" s="10"/>
      <c r="R406" s="10"/>
      <c r="S406" s="10"/>
      <c r="T406" s="10"/>
      <c r="U406" s="10"/>
      <c r="V406" s="10"/>
      <c r="W406" s="10"/>
      <c r="X406" s="10"/>
      <c r="Y406" s="10"/>
      <c r="Z406" s="10"/>
    </row>
    <row r="407" spans="1:26" ht="12.75">
      <c r="A407" s="10" t="str">
        <f ca="1">IFERROR(__xludf.DUMMYFUNCTION("""COMPUTED_VALUE"""),"Аркади Георгиев Иванов")</f>
        <v>Аркади Георгиев Иванов</v>
      </c>
      <c r="B407" s="10" t="str">
        <f ca="1">IFERROR(__xludf.DUMMYFUNCTION("""COMPUTED_VALUE"""),"Статия в списания и поредици")</f>
        <v>Статия в списания и поредици</v>
      </c>
      <c r="C407" s="10" t="str">
        <f ca="1">IFERROR(__xludf.DUMMYFUNCTION("""COMPUTED_VALUE"""),"Dietary fibers and colorectal cancer.")</f>
        <v>Dietary fibers and colorectal cancer.</v>
      </c>
      <c r="D407" s="10">
        <f ca="1">IFERROR(__xludf.DUMMYFUNCTION("""COMPUTED_VALUE"""),2015)</f>
        <v>2015</v>
      </c>
      <c r="E407" s="10" t="str">
        <f ca="1">IFERROR(__xludf.DUMMYFUNCTION("""COMPUTED_VALUE"""),"Archives of the Balkan Medical Union,2015, Vol. 50, 3, 2014, Paris, France ISSN PRINT: 1584-9244 ISSN-L: 1584-9244")</f>
        <v>Archives of the Balkan Medical Union,2015, Vol. 50, 3, 2014, Paris, France ISSN PRINT: 1584-9244 ISSN-L: 1584-9244</v>
      </c>
      <c r="F407" s="10" t="str">
        <f ca="1">IFERROR(__xludf.DUMMYFUNCTION("""COMPUTED_VALUE"""),"Scopus, Index Copernicus")</f>
        <v>Scopus, Index Copernicus</v>
      </c>
      <c r="G407" s="10" t="str">
        <f ca="1">IFERROR(__xludf.DUMMYFUNCTION("""COMPUTED_VALUE"""),"R. Ribarov, Tz. Vodenicharov")</f>
        <v>R. Ribarov, Tz. Vodenicharov</v>
      </c>
      <c r="H407" s="10"/>
      <c r="I407" s="10"/>
      <c r="J407" s="10"/>
      <c r="K407" s="10"/>
      <c r="L407" s="10"/>
      <c r="M407" s="10"/>
      <c r="N407" s="10"/>
      <c r="O407" s="10"/>
      <c r="P407" s="10"/>
      <c r="Q407" s="10"/>
      <c r="R407" s="10"/>
      <c r="S407" s="10"/>
      <c r="T407" s="10"/>
      <c r="U407" s="10"/>
      <c r="V407" s="10"/>
      <c r="W407" s="10"/>
      <c r="X407" s="10"/>
      <c r="Y407" s="10"/>
      <c r="Z407" s="10"/>
    </row>
    <row r="408" spans="1:26" ht="12.75">
      <c r="A408" s="10" t="str">
        <f ca="1">IFERROR(__xludf.DUMMYFUNCTION("""COMPUTED_VALUE"""),"Аркади Георгиев Иванов")</f>
        <v>Аркади Георгиев Иванов</v>
      </c>
      <c r="B408" s="10" t="str">
        <f ca="1">IFERROR(__xludf.DUMMYFUNCTION("""COMPUTED_VALUE"""),"Статия в списания и поредици")</f>
        <v>Статия в списания и поредици</v>
      </c>
      <c r="C408" s="10" t="str">
        <f ca="1">IFERROR(__xludf.DUMMYFUNCTION("""COMPUTED_VALUE"""),"Studies on Bulgarian patients’ survival rates for colorectal cancer.")</f>
        <v>Studies on Bulgarian patients’ survival rates for colorectal cancer.</v>
      </c>
      <c r="D408" s="10">
        <f ca="1">IFERROR(__xludf.DUMMYFUNCTION("""COMPUTED_VALUE"""),2014)</f>
        <v>2014</v>
      </c>
      <c r="E408" s="10" t="str">
        <f ca="1">IFERROR(__xludf.DUMMYFUNCTION("""COMPUTED_VALUE"""),"Archives of the Balkan Medical Union, October, 2014.Vol. 49, Supp.1, Paris, France. ISSN PRINT: 1584-9244 ISSN-L: 1584-9244")</f>
        <v>Archives of the Balkan Medical Union, October, 2014.Vol. 49, Supp.1, Paris, France. ISSN PRINT: 1584-9244 ISSN-L: 1584-9244</v>
      </c>
      <c r="F408" s="10" t="str">
        <f ca="1">IFERROR(__xludf.DUMMYFUNCTION("""COMPUTED_VALUE"""),"Scopus, Index Copernicus")</f>
        <v>Scopus, Index Copernicus</v>
      </c>
      <c r="G408" s="10" t="str">
        <f ca="1">IFERROR(__xludf.DUMMYFUNCTION("""COMPUTED_VALUE"""),"R. Ribarov")</f>
        <v>R. Ribarov</v>
      </c>
      <c r="H408" s="10"/>
      <c r="I408" s="10"/>
      <c r="J408" s="10"/>
      <c r="K408" s="10"/>
      <c r="L408" s="10"/>
      <c r="M408" s="10"/>
      <c r="N408" s="10"/>
      <c r="O408" s="10"/>
      <c r="P408" s="10"/>
      <c r="Q408" s="10"/>
      <c r="R408" s="10"/>
      <c r="S408" s="10"/>
      <c r="T408" s="10"/>
      <c r="U408" s="10"/>
      <c r="V408" s="10"/>
      <c r="W408" s="10"/>
      <c r="X408" s="10"/>
      <c r="Y408" s="10"/>
      <c r="Z408" s="10"/>
    </row>
    <row r="409" spans="1:26" ht="12.75">
      <c r="A409" s="10" t="str">
        <f ca="1">IFERROR(__xludf.DUMMYFUNCTION("""COMPUTED_VALUE"""),"Аркади Георгиев Иванов")</f>
        <v>Аркади Георгиев Иванов</v>
      </c>
      <c r="B409" s="10" t="str">
        <f ca="1">IFERROR(__xludf.DUMMYFUNCTION("""COMPUTED_VALUE"""),"Статия в списания и поредици")</f>
        <v>Статия в списания и поредици</v>
      </c>
      <c r="C409" s="10" t="str">
        <f ca="1">IFERROR(__xludf.DUMMYFUNCTION("""COMPUTED_VALUE"""),"Тънкочревна механична непроходимост от туморен произход.")</f>
        <v>Тънкочревна механична непроходимост от туморен произход.</v>
      </c>
      <c r="D409" s="10">
        <f ca="1">IFERROR(__xludf.DUMMYFUNCTION("""COMPUTED_VALUE"""),2012)</f>
        <v>2012</v>
      </c>
      <c r="E409" s="10" t="str">
        <f ca="1">IFERROR(__xludf.DUMMYFUNCTION("""COMPUTED_VALUE"""),"Списание на българското онкологично дружество, 2012, 3, 68-70.")</f>
        <v>Списание на българското онкологично дружество, 2012, 3, 68-70.</v>
      </c>
      <c r="F409" s="10"/>
      <c r="G409" s="10" t="str">
        <f ca="1">IFERROR(__xludf.DUMMYFUNCTION("""COMPUTED_VALUE"""),"Г. Киров.")</f>
        <v>Г. Киров.</v>
      </c>
      <c r="H409" s="10"/>
      <c r="I409" s="10"/>
      <c r="J409" s="10"/>
      <c r="K409" s="10"/>
      <c r="L409" s="10"/>
      <c r="M409" s="10"/>
      <c r="N409" s="10"/>
      <c r="O409" s="10"/>
      <c r="P409" s="10"/>
      <c r="Q409" s="10"/>
      <c r="R409" s="10"/>
      <c r="S409" s="10"/>
      <c r="T409" s="10"/>
      <c r="U409" s="10"/>
      <c r="V409" s="10"/>
      <c r="W409" s="10"/>
      <c r="X409" s="10"/>
      <c r="Y409" s="10"/>
      <c r="Z409" s="10"/>
    </row>
    <row r="410" spans="1:26" ht="12.75">
      <c r="A410" s="10" t="str">
        <f ca="1">IFERROR(__xludf.DUMMYFUNCTION("""COMPUTED_VALUE"""),"Аркади Георгиев Иванов")</f>
        <v>Аркади Георгиев Иванов</v>
      </c>
      <c r="B410" s="10" t="str">
        <f ca="1">IFERROR(__xludf.DUMMYFUNCTION("""COMPUTED_VALUE"""),"Статия в списания и поредици")</f>
        <v>Статия в списания и поредици</v>
      </c>
      <c r="C410" s="10" t="str">
        <f ca="1">IFERROR(__xludf.DUMMYFUNCTION("""COMPUTED_VALUE"""),"Диференциран подход при съвременното лечение на рака на млечната жлеза")</f>
        <v>Диференциран подход при съвременното лечение на рака на млечната жлеза</v>
      </c>
      <c r="D410" s="10">
        <f ca="1">IFERROR(__xludf.DUMMYFUNCTION("""COMPUTED_VALUE"""),2012)</f>
        <v>2012</v>
      </c>
      <c r="E410" s="10" t="str">
        <f ca="1">IFERROR(__xludf.DUMMYFUNCTION("""COMPUTED_VALUE"""),"Списание на българското онкологично дружество, 2012, 3, 65-67.")</f>
        <v>Списание на българското онкологично дружество, 2012, 3, 65-67.</v>
      </c>
      <c r="F410" s="10"/>
      <c r="G410" s="10" t="str">
        <f ca="1">IFERROR(__xludf.DUMMYFUNCTION("""COMPUTED_VALUE"""),"Т. Кошов, П.Попов, Г. Киров")</f>
        <v>Т. Кошов, П.Попов, Г. Киров</v>
      </c>
      <c r="H410" s="10"/>
      <c r="I410" s="10"/>
      <c r="J410" s="10"/>
      <c r="K410" s="10"/>
      <c r="L410" s="10"/>
      <c r="M410" s="10"/>
      <c r="N410" s="10"/>
      <c r="O410" s="10"/>
      <c r="P410" s="10"/>
      <c r="Q410" s="10"/>
      <c r="R410" s="10"/>
      <c r="S410" s="10"/>
      <c r="T410" s="10"/>
      <c r="U410" s="10"/>
      <c r="V410" s="10"/>
      <c r="W410" s="10"/>
      <c r="X410" s="10"/>
      <c r="Y410" s="10"/>
      <c r="Z410" s="10"/>
    </row>
    <row r="411" spans="1:26" ht="12.75">
      <c r="A411" s="10" t="str">
        <f ca="1">IFERROR(__xludf.DUMMYFUNCTION("""COMPUTED_VALUE"""),"Аркади Георгиев Иванов")</f>
        <v>Аркади Георгиев Иванов</v>
      </c>
      <c r="B411" s="10" t="str">
        <f ca="1">IFERROR(__xludf.DUMMYFUNCTION("""COMPUTED_VALUE"""),"Статия в списания и поредици")</f>
        <v>Статия в списания и поредици</v>
      </c>
      <c r="C411" s="10" t="str">
        <f ca="1">IFERROR(__xludf.DUMMYFUNCTION("""COMPUTED_VALUE"""),"Предоперативно диагностицирано рядко съчетание на тънкочревна инвагинация и Мекелов дивертикул")</f>
        <v>Предоперативно диагностицирано рядко съчетание на тънкочревна инвагинация и Мекелов дивертикул</v>
      </c>
      <c r="D411" s="10">
        <f ca="1">IFERROR(__xludf.DUMMYFUNCTION("""COMPUTED_VALUE"""),2000)</f>
        <v>2000</v>
      </c>
      <c r="E411" s="10" t="str">
        <f ca="1">IFERROR(__xludf.DUMMYFUNCTION("""COMPUTED_VALUE"""),"сп.Хирургия , 2000, 1, 67-69. ISSN 0450-2167")</f>
        <v>сп.Хирургия , 2000, 1, 67-69. ISSN 0450-2167</v>
      </c>
      <c r="F411" s="10" t="str">
        <f ca="1">IFERROR(__xludf.DUMMYFUNCTION("""COMPUTED_VALUE"""),"Инф. бази данни, в които е реферирана/индексирана публикацията Scopus")</f>
        <v>Инф. бази данни, в които е реферирана/индексирана публикацията Scopus</v>
      </c>
      <c r="G411" s="10" t="str">
        <f ca="1">IFERROR(__xludf.DUMMYFUNCTION("""COMPUTED_VALUE"""),"Г.Евтимов,Л.Танкова")</f>
        <v>Г.Евтимов,Л.Танкова</v>
      </c>
      <c r="H411" s="10"/>
      <c r="I411" s="10"/>
      <c r="J411" s="10"/>
      <c r="K411" s="10"/>
      <c r="L411" s="10"/>
      <c r="M411" s="10"/>
      <c r="N411" s="10"/>
      <c r="O411" s="10"/>
      <c r="P411" s="10"/>
      <c r="Q411" s="10"/>
      <c r="R411" s="10"/>
      <c r="S411" s="10"/>
      <c r="T411" s="10"/>
      <c r="U411" s="10"/>
      <c r="V411" s="10"/>
      <c r="W411" s="10"/>
      <c r="X411" s="10"/>
      <c r="Y411" s="10"/>
      <c r="Z411" s="10"/>
    </row>
    <row r="412" spans="1:26" ht="12.75">
      <c r="A412" s="10" t="str">
        <f ca="1">IFERROR(__xludf.DUMMYFUNCTION("""COMPUTED_VALUE"""),"Аркади Георгиев Иванов")</f>
        <v>Аркади Георгиев Иванов</v>
      </c>
      <c r="B412" s="10" t="str">
        <f ca="1">IFERROR(__xludf.DUMMYFUNCTION("""COMPUTED_VALUE"""),"Статия в списания и поредици")</f>
        <v>Статия в списания и поредици</v>
      </c>
      <c r="C412" s="10" t="str">
        <f ca="1">IFERROR(__xludf.DUMMYFUNCTION("""COMPUTED_VALUE"""),"Дебелочревни перфорации, предизвикани при първичен колоректален рак.")</f>
        <v>Дебелочревни перфорации, предизвикани при първичен колоректален рак.</v>
      </c>
      <c r="D412" s="10">
        <f ca="1">IFERROR(__xludf.DUMMYFUNCTION("""COMPUTED_VALUE"""),1999)</f>
        <v>1999</v>
      </c>
      <c r="E412" s="10" t="str">
        <f ca="1">IFERROR(__xludf.DUMMYFUNCTION("""COMPUTED_VALUE"""),"Сп. Хирургия, 1999, 1, 29-32; ISSN 0450-2167")</f>
        <v>Сп. Хирургия, 1999, 1, 29-32; ISSN 0450-2167</v>
      </c>
      <c r="F412" s="10" t="str">
        <f ca="1">IFERROR(__xludf.DUMMYFUNCTION("""COMPUTED_VALUE"""),"Scopus")</f>
        <v>Scopus</v>
      </c>
      <c r="G412" s="10" t="str">
        <f ca="1">IFERROR(__xludf.DUMMYFUNCTION("""COMPUTED_VALUE"""),"Н.Яръмов, И.Виячки, Б.Коруков, Д.Виячки, Н.Гачев.")</f>
        <v>Н.Яръмов, И.Виячки, Б.Коруков, Д.Виячки, Н.Гачев.</v>
      </c>
      <c r="H412" s="10"/>
      <c r="I412" s="10"/>
      <c r="J412" s="10"/>
      <c r="K412" s="10"/>
      <c r="L412" s="10"/>
      <c r="M412" s="10"/>
      <c r="N412" s="10"/>
      <c r="O412" s="10"/>
      <c r="P412" s="10"/>
      <c r="Q412" s="10"/>
      <c r="R412" s="10"/>
      <c r="S412" s="10"/>
      <c r="T412" s="10"/>
      <c r="U412" s="10"/>
      <c r="V412" s="10"/>
      <c r="W412" s="10"/>
      <c r="X412" s="10"/>
      <c r="Y412" s="10"/>
      <c r="Z412" s="10"/>
    </row>
    <row r="413" spans="1:26" ht="12.75">
      <c r="A413" s="10" t="str">
        <f ca="1">IFERROR(__xludf.DUMMYFUNCTION("""COMPUTED_VALUE"""),"Аркади Георгиев Иванов")</f>
        <v>Аркади Георгиев Иванов</v>
      </c>
      <c r="B413" s="10" t="str">
        <f ca="1">IFERROR(__xludf.DUMMYFUNCTION("""COMPUTED_VALUE"""),"Статия в списания и поредици")</f>
        <v>Статия в списания и поредици</v>
      </c>
      <c r="C413" s="10" t="str">
        <f ca="1">IFERROR(__xludf.DUMMYFUNCTION("""COMPUTED_VALUE"""),"Хирургичното лечение на тънкочревната обструкция в напреднала и старческа възраст.")</f>
        <v>Хирургичното лечение на тънкочревната обструкция в напреднала и старческа възраст.</v>
      </c>
      <c r="D413" s="10">
        <f ca="1">IFERROR(__xludf.DUMMYFUNCTION("""COMPUTED_VALUE"""),1998)</f>
        <v>1998</v>
      </c>
      <c r="E413" s="10" t="str">
        <f ca="1">IFERROR(__xludf.DUMMYFUNCTION("""COMPUTED_VALUE"""),"Сп. Хирургия , 1998, 5, 30-31. ISSN 0450-2167")</f>
        <v>Сп. Хирургия , 1998, 5, 30-31. ISSN 0450-2167</v>
      </c>
      <c r="F413" s="10" t="str">
        <f ca="1">IFERROR(__xludf.DUMMYFUNCTION("""COMPUTED_VALUE"""),"Scopus")</f>
        <v>Scopus</v>
      </c>
      <c r="G413" s="10" t="str">
        <f ca="1">IFERROR(__xludf.DUMMYFUNCTION("""COMPUTED_VALUE"""),"Ив. Виячки, Н. Яръмов, П. Герзилов, М. Парунев.")</f>
        <v>Ив. Виячки, Н. Яръмов, П. Герзилов, М. Парунев.</v>
      </c>
      <c r="H413" s="10"/>
      <c r="I413" s="10"/>
      <c r="J413" s="10"/>
      <c r="K413" s="10"/>
      <c r="L413" s="10"/>
      <c r="M413" s="10"/>
      <c r="N413" s="10"/>
      <c r="O413" s="10"/>
      <c r="P413" s="10"/>
      <c r="Q413" s="10"/>
      <c r="R413" s="10"/>
      <c r="S413" s="10"/>
      <c r="T413" s="10"/>
      <c r="U413" s="10"/>
      <c r="V413" s="10"/>
      <c r="W413" s="10"/>
      <c r="X413" s="10"/>
      <c r="Y413" s="10"/>
      <c r="Z413" s="10"/>
    </row>
    <row r="414" spans="1:26" ht="12.75">
      <c r="A414" s="10" t="str">
        <f ca="1">IFERROR(__xludf.DUMMYFUNCTION("""COMPUTED_VALUE"""),"Аркади Георгиев Иванов")</f>
        <v>Аркади Георгиев Иванов</v>
      </c>
      <c r="B414" s="10" t="str">
        <f ca="1">IFERROR(__xludf.DUMMYFUNCTION("""COMPUTED_VALUE"""),"Статия в списания и поредици")</f>
        <v>Статия в списания и поредици</v>
      </c>
      <c r="C414" s="10" t="str">
        <f ca="1">IFERROR(__xludf.DUMMYFUNCTION("""COMPUTED_VALUE"""),"Волвулус на тънкото черво.")</f>
        <v>Волвулус на тънкото черво.</v>
      </c>
      <c r="D414" s="10">
        <f ca="1">IFERROR(__xludf.DUMMYFUNCTION("""COMPUTED_VALUE"""),1997)</f>
        <v>1997</v>
      </c>
      <c r="E414" s="10" t="str">
        <f ca="1">IFERROR(__xludf.DUMMYFUNCTION("""COMPUTED_VALUE"""),"сп. Хирургия, 1997, 5, 33-35. ISSN 0450-2167")</f>
        <v>сп. Хирургия, 1997, 5, 33-35. ISSN 0450-2167</v>
      </c>
      <c r="F414" s="10" t="str">
        <f ca="1">IFERROR(__xludf.DUMMYFUNCTION("""COMPUTED_VALUE"""),"Scopus")</f>
        <v>Scopus</v>
      </c>
      <c r="G414" s="10" t="str">
        <f ca="1">IFERROR(__xludf.DUMMYFUNCTION("""COMPUTED_VALUE"""),"Ив.Виячки, Н. Яръмов, Д.Виячки, П.Герзилов, М.Парунев")</f>
        <v>Ив.Виячки, Н. Яръмов, Д.Виячки, П.Герзилов, М.Парунев</v>
      </c>
      <c r="H414" s="10"/>
      <c r="I414" s="10"/>
      <c r="J414" s="10"/>
      <c r="K414" s="10"/>
      <c r="L414" s="10"/>
      <c r="M414" s="10"/>
      <c r="N414" s="10"/>
      <c r="O414" s="10"/>
      <c r="P414" s="10"/>
      <c r="Q414" s="10"/>
      <c r="R414" s="10"/>
      <c r="S414" s="10"/>
      <c r="T414" s="10"/>
      <c r="U414" s="10"/>
      <c r="V414" s="10"/>
      <c r="W414" s="10"/>
      <c r="X414" s="10"/>
      <c r="Y414" s="10"/>
      <c r="Z414" s="10"/>
    </row>
    <row r="415" spans="1:26" ht="12.75">
      <c r="A415" s="10" t="str">
        <f ca="1">IFERROR(__xludf.DUMMYFUNCTION("""COMPUTED_VALUE"""),"Аркади Георгиев Иванов")</f>
        <v>Аркади Георгиев Иванов</v>
      </c>
      <c r="B415" s="10" t="str">
        <f ca="1">IFERROR(__xludf.DUMMYFUNCTION("""COMPUTED_VALUE"""),"Статия в списания и поредици")</f>
        <v>Статия в списания и поредици</v>
      </c>
      <c r="C415" s="10" t="str">
        <f ca="1">IFERROR(__xludf.DUMMYFUNCTION("""COMPUTED_VALUE"""),"Установяване на чревен виталитет при заклещена феморална херния с помощта на абдоминална доплерова ехография")</f>
        <v>Установяване на чревен виталитет при заклещена феморална херния с помощта на абдоминална доплерова ехография</v>
      </c>
      <c r="D415" s="10">
        <f ca="1">IFERROR(__xludf.DUMMYFUNCTION("""COMPUTED_VALUE"""),1997)</f>
        <v>1997</v>
      </c>
      <c r="E415" s="10" t="str">
        <f ca="1">IFERROR(__xludf.DUMMYFUNCTION("""COMPUTED_VALUE"""),"Диагностичен и терапевтичен ултразвук, 1997, 1, 43-45. ISSN: 1310-1153")</f>
        <v>Диагностичен и терапевтичен ултразвук, 1997, 1, 43-45. ISSN: 1310-1153</v>
      </c>
      <c r="F415" s="10"/>
      <c r="G415" s="10" t="str">
        <f ca="1">IFERROR(__xludf.DUMMYFUNCTION("""COMPUTED_VALUE"""),"Н. Григоров")</f>
        <v>Н. Григоров</v>
      </c>
      <c r="H415" s="10"/>
      <c r="I415" s="10"/>
      <c r="J415" s="10"/>
      <c r="K415" s="10"/>
      <c r="L415" s="10"/>
      <c r="M415" s="10"/>
      <c r="N415" s="10"/>
      <c r="O415" s="10"/>
      <c r="P415" s="10"/>
      <c r="Q415" s="10"/>
      <c r="R415" s="10"/>
      <c r="S415" s="10"/>
      <c r="T415" s="10"/>
      <c r="U415" s="10"/>
      <c r="V415" s="10"/>
      <c r="W415" s="10"/>
      <c r="X415" s="10"/>
      <c r="Y415" s="10"/>
      <c r="Z415" s="10"/>
    </row>
    <row r="416" spans="1:26" ht="12.75">
      <c r="A416" s="10" t="str">
        <f ca="1">IFERROR(__xludf.DUMMYFUNCTION("""COMPUTED_VALUE"""),"Аркади Георгиев Иванов")</f>
        <v>Аркади Георгиев Иванов</v>
      </c>
      <c r="B416" s="10" t="str">
        <f ca="1">IFERROR(__xludf.DUMMYFUNCTION("""COMPUTED_VALUE"""),"Статия в списания и поредици")</f>
        <v>Статия в списания и поредици</v>
      </c>
      <c r="C416" s="10" t="str">
        <f ca="1">IFERROR(__xludf.DUMMYFUNCTION("""COMPUTED_VALUE"""),"Случай на синхронен тумор на дебелото черво в съчетание с лейомиобластом на тънкото черво, протичащ като субилеус")</f>
        <v>Случай на синхронен тумор на дебелото черво в съчетание с лейомиобластом на тънкото черво, протичащ като субилеус</v>
      </c>
      <c r="D416" s="10">
        <f ca="1">IFERROR(__xludf.DUMMYFUNCTION("""COMPUTED_VALUE"""),1997)</f>
        <v>1997</v>
      </c>
      <c r="E416" s="10" t="str">
        <f ca="1">IFERROR(__xludf.DUMMYFUNCTION("""COMPUTED_VALUE"""),"сп. Хирургия, 1997, 5, 49-51. ISSN 0450-2167")</f>
        <v>сп. Хирургия, 1997, 5, 49-51. ISSN 0450-2167</v>
      </c>
      <c r="F416" s="10" t="str">
        <f ca="1">IFERROR(__xludf.DUMMYFUNCTION("""COMPUTED_VALUE"""),"Scopus")</f>
        <v>Scopus</v>
      </c>
      <c r="G416" s="10" t="str">
        <f ca="1">IFERROR(__xludf.DUMMYFUNCTION("""COMPUTED_VALUE"""),"Н.Яръмов, Кр. Петков, П. Пенчев, Н. Василев")</f>
        <v>Н.Яръмов, Кр. Петков, П. Пенчев, Н. Василев</v>
      </c>
      <c r="H416" s="10"/>
      <c r="I416" s="10"/>
      <c r="J416" s="10"/>
      <c r="K416" s="10"/>
      <c r="L416" s="10"/>
      <c r="M416" s="10"/>
      <c r="N416" s="10"/>
      <c r="O416" s="10"/>
      <c r="P416" s="10"/>
      <c r="Q416" s="10"/>
      <c r="R416" s="10"/>
      <c r="S416" s="10"/>
      <c r="T416" s="10"/>
      <c r="U416" s="10"/>
      <c r="V416" s="10"/>
      <c r="W416" s="10"/>
      <c r="X416" s="10"/>
      <c r="Y416" s="10"/>
      <c r="Z416" s="10"/>
    </row>
    <row r="417" spans="1:26" ht="12.75">
      <c r="A417" s="10" t="str">
        <f ca="1">IFERROR(__xludf.DUMMYFUNCTION("""COMPUTED_VALUE"""),"Аркади Георгиев Иванов")</f>
        <v>Аркади Георгиев Иванов</v>
      </c>
      <c r="B417" s="10" t="str">
        <f ca="1">IFERROR(__xludf.DUMMYFUNCTION("""COMPUTED_VALUE"""),"Статия в списания и поредици")</f>
        <v>Статия в списания и поредици</v>
      </c>
      <c r="C417" s="10" t="str">
        <f ca="1">IFERROR(__xludf.DUMMYFUNCTION("""COMPUTED_VALUE"""),"Интраоперативно определяне на чревен виталитет с флуоресцентен индикатор")</f>
        <v>Интраоперативно определяне на чревен виталитет с флуоресцентен индикатор</v>
      </c>
      <c r="D417" s="10">
        <f ca="1">IFERROR(__xludf.DUMMYFUNCTION("""COMPUTED_VALUE"""),1997)</f>
        <v>1997</v>
      </c>
      <c r="E417" s="10" t="str">
        <f ca="1">IFERROR(__xludf.DUMMYFUNCTION("""COMPUTED_VALUE"""),"Сп. Хирургия, 1997, 3, 37-38. ISSN 0450-2167")</f>
        <v>Сп. Хирургия, 1997, 3, 37-38. ISSN 0450-2167</v>
      </c>
      <c r="F417" s="10" t="str">
        <f ca="1">IFERROR(__xludf.DUMMYFUNCTION("""COMPUTED_VALUE"""),"Scopus")</f>
        <v>Scopus</v>
      </c>
      <c r="G417" s="10" t="str">
        <f ca="1">IFERROR(__xludf.DUMMYFUNCTION("""COMPUTED_VALUE"""),"Ив. Терзиев")</f>
        <v>Ив. Терзиев</v>
      </c>
      <c r="H417" s="10"/>
      <c r="I417" s="10"/>
      <c r="J417" s="10"/>
      <c r="K417" s="10"/>
      <c r="L417" s="10"/>
      <c r="M417" s="10"/>
      <c r="N417" s="10"/>
      <c r="O417" s="10"/>
      <c r="P417" s="10"/>
      <c r="Q417" s="10"/>
      <c r="R417" s="10"/>
      <c r="S417" s="10"/>
      <c r="T417" s="10"/>
      <c r="U417" s="10"/>
      <c r="V417" s="10"/>
      <c r="W417" s="10"/>
      <c r="X417" s="10"/>
      <c r="Y417" s="10"/>
      <c r="Z417" s="10"/>
    </row>
    <row r="418" spans="1:26" ht="12.75">
      <c r="A418" s="10" t="str">
        <f ca="1">IFERROR(__xludf.DUMMYFUNCTION("""COMPUTED_VALUE"""),"Аркади Георгиев Иванов")</f>
        <v>Аркади Георгиев Иванов</v>
      </c>
      <c r="B418" s="10" t="str">
        <f ca="1">IFERROR(__xludf.DUMMYFUNCTION("""COMPUTED_VALUE"""),"Статия в списания и поредици")</f>
        <v>Статия в списания и поредици</v>
      </c>
      <c r="C418" s="10" t="str">
        <f ca="1">IFERROR(__xludf.DUMMYFUNCTION("""COMPUTED_VALUE"""),"Ниво на продуктите на липидна пероксидация при пациенти с остър панкреатит")</f>
        <v>Ниво на продуктите на липидна пероксидация при пациенти с остър панкреатит</v>
      </c>
      <c r="D418" s="10">
        <f ca="1">IFERROR(__xludf.DUMMYFUNCTION("""COMPUTED_VALUE"""),1996)</f>
        <v>1996</v>
      </c>
      <c r="E418" s="10" t="str">
        <f ca="1">IFERROR(__xludf.DUMMYFUNCTION("""COMPUTED_VALUE"""),"сп. Хирургия, 1996, 4, 20-21. ISSN 0450-2167")</f>
        <v>сп. Хирургия, 1996, 4, 20-21. ISSN 0450-2167</v>
      </c>
      <c r="F418" s="10" t="str">
        <f ca="1">IFERROR(__xludf.DUMMYFUNCTION("""COMPUTED_VALUE"""),"Scopus")</f>
        <v>Scopus</v>
      </c>
      <c r="G418" s="10" t="str">
        <f ca="1">IFERROR(__xludf.DUMMYFUNCTION("""COMPUTED_VALUE"""),"С. Хинев, К. Дафинова, П. Димитров")</f>
        <v>С. Хинев, К. Дафинова, П. Димитров</v>
      </c>
      <c r="H418" s="10"/>
      <c r="I418" s="10"/>
      <c r="J418" s="10"/>
      <c r="K418" s="10"/>
      <c r="L418" s="10"/>
      <c r="M418" s="10"/>
      <c r="N418" s="10"/>
      <c r="O418" s="10"/>
      <c r="P418" s="10"/>
      <c r="Q418" s="10"/>
      <c r="R418" s="10"/>
      <c r="S418" s="10"/>
      <c r="T418" s="10"/>
      <c r="U418" s="10"/>
      <c r="V418" s="10"/>
      <c r="W418" s="10"/>
      <c r="X418" s="10"/>
      <c r="Y418" s="10"/>
      <c r="Z418" s="10"/>
    </row>
    <row r="419" spans="1:26" ht="12.75">
      <c r="A419" s="10" t="str">
        <f ca="1">IFERROR(__xludf.DUMMYFUNCTION("""COMPUTED_VALUE"""),"Аркади Георгиев Иванов")</f>
        <v>Аркади Георгиев Иванов</v>
      </c>
      <c r="B419" s="10" t="str">
        <f ca="1">IFERROR(__xludf.DUMMYFUNCTION("""COMPUTED_VALUE"""),"Статия в списания и поредици")</f>
        <v>Статия в списания и поредици</v>
      </c>
      <c r="C419" s="10" t="str">
        <f ca="1">IFERROR(__xludf.DUMMYFUNCTION("""COMPUTED_VALUE"""),"Ендоскопска медикаментозна денервация на стомаха при спешни хирургични заболявания на гастроинтестиналния тракт")</f>
        <v>Ендоскопска медикаментозна денервация на стомаха при спешни хирургични заболявания на гастроинтестиналния тракт</v>
      </c>
      <c r="D419" s="10">
        <f ca="1">IFERROR(__xludf.DUMMYFUNCTION("""COMPUTED_VALUE"""),1996)</f>
        <v>1996</v>
      </c>
      <c r="E419" s="10" t="str">
        <f ca="1">IFERROR(__xludf.DUMMYFUNCTION("""COMPUTED_VALUE"""),"сп. Хирургия, 1996, 6, 17-18. ISSN 0450-2167")</f>
        <v>сп. Хирургия, 1996, 6, 17-18. ISSN 0450-2167</v>
      </c>
      <c r="F419" s="10" t="str">
        <f ca="1">IFERROR(__xludf.DUMMYFUNCTION("""COMPUTED_VALUE"""),"Scopus")</f>
        <v>Scopus</v>
      </c>
      <c r="G419" s="10" t="str">
        <f ca="1">IFERROR(__xludf.DUMMYFUNCTION("""COMPUTED_VALUE"""),"П.Герзилов, И.Виячки, Н. Яръмов, Б. Коруков.")</f>
        <v>П.Герзилов, И.Виячки, Н. Яръмов, Б. Коруков.</v>
      </c>
      <c r="H419" s="10"/>
      <c r="I419" s="10"/>
      <c r="J419" s="10"/>
      <c r="K419" s="10"/>
      <c r="L419" s="10"/>
      <c r="M419" s="10"/>
      <c r="N419" s="10"/>
      <c r="O419" s="10"/>
      <c r="P419" s="10"/>
      <c r="Q419" s="10"/>
      <c r="R419" s="10"/>
      <c r="S419" s="10"/>
      <c r="T419" s="10"/>
      <c r="U419" s="10"/>
      <c r="V419" s="10"/>
      <c r="W419" s="10"/>
      <c r="X419" s="10"/>
      <c r="Y419" s="10"/>
      <c r="Z419" s="10"/>
    </row>
    <row r="420" spans="1:26" ht="12.75">
      <c r="A420" s="10" t="str">
        <f ca="1">IFERROR(__xludf.DUMMYFUNCTION("""COMPUTED_VALUE"""),"Аркади Георгиев Иванов")</f>
        <v>Аркади Георгиев Иванов</v>
      </c>
      <c r="B420" s="10" t="str">
        <f ca="1">IFERROR(__xludf.DUMMYFUNCTION("""COMPUTED_VALUE"""),"Статия в списания и поредици")</f>
        <v>Статия в списания и поредици</v>
      </c>
      <c r="C420" s="10" t="str">
        <f ca="1">IFERROR(__xludf.DUMMYFUNCTION("""COMPUTED_VALUE"""),"Индукция на липидна пероксидация в серума на пациенти с остър перитонит.")</f>
        <v>Индукция на липидна пероксидация в серума на пациенти с остър перитонит.</v>
      </c>
      <c r="D420" s="10">
        <f ca="1">IFERROR(__xludf.DUMMYFUNCTION("""COMPUTED_VALUE"""),1996)</f>
        <v>1996</v>
      </c>
      <c r="E420" s="10" t="str">
        <f ca="1">IFERROR(__xludf.DUMMYFUNCTION("""COMPUTED_VALUE"""),"сп. Хирургия, 1996, 2, 27-29. ISSN 0450-2167")</f>
        <v>сп. Хирургия, 1996, 2, 27-29. ISSN 0450-2167</v>
      </c>
      <c r="F420" s="10" t="str">
        <f ca="1">IFERROR(__xludf.DUMMYFUNCTION("""COMPUTED_VALUE"""),"Scopus")</f>
        <v>Scopus</v>
      </c>
      <c r="G420" s="10" t="str">
        <f ca="1">IFERROR(__xludf.DUMMYFUNCTION("""COMPUTED_VALUE"""),"Ст. Хинев, К. Дафинова")</f>
        <v>Ст. Хинев, К. Дафинова</v>
      </c>
      <c r="H420" s="10"/>
      <c r="I420" s="10"/>
      <c r="J420" s="10"/>
      <c r="K420" s="10"/>
      <c r="L420" s="10"/>
      <c r="M420" s="10"/>
      <c r="N420" s="10"/>
      <c r="O420" s="10"/>
      <c r="P420" s="10"/>
      <c r="Q420" s="10"/>
      <c r="R420" s="10"/>
      <c r="S420" s="10"/>
      <c r="T420" s="10"/>
      <c r="U420" s="10"/>
      <c r="V420" s="10"/>
      <c r="W420" s="10"/>
      <c r="X420" s="10"/>
      <c r="Y420" s="10"/>
      <c r="Z420" s="10"/>
    </row>
    <row r="421" spans="1:26" ht="12.75">
      <c r="A421" s="10" t="str">
        <f ca="1">IFERROR(__xludf.DUMMYFUNCTION("""COMPUTED_VALUE"""),"Аркади Георгиев Иванов")</f>
        <v>Аркади Георгиев Иванов</v>
      </c>
      <c r="B421" s="10" t="str">
        <f ca="1">IFERROR(__xludf.DUMMYFUNCTION("""COMPUTED_VALUE"""),"Статия в списания и поредици")</f>
        <v>Статия в списания и поредици</v>
      </c>
      <c r="C421" s="10" t="str">
        <f ca="1">IFERROR(__xludf.DUMMYFUNCTION("""COMPUTED_VALUE"""),"Анаеробна хирургична инфекция и септичен шок")</f>
        <v>Анаеробна хирургична инфекция и септичен шок</v>
      </c>
      <c r="D421" s="10">
        <f ca="1">IFERROR(__xludf.DUMMYFUNCTION("""COMPUTED_VALUE"""),1996)</f>
        <v>1996</v>
      </c>
      <c r="E421" s="10" t="str">
        <f ca="1">IFERROR(__xludf.DUMMYFUNCTION("""COMPUTED_VALUE"""),"сп. Хирургия, 1996, 6, 19-22. ISSN 0450-2167")</f>
        <v>сп. Хирургия, 1996, 6, 19-22. ISSN 0450-2167</v>
      </c>
      <c r="F421" s="10" t="str">
        <f ca="1">IFERROR(__xludf.DUMMYFUNCTION("""COMPUTED_VALUE"""),"Scopus")</f>
        <v>Scopus</v>
      </c>
      <c r="G421" s="10" t="str">
        <f ca="1">IFERROR(__xludf.DUMMYFUNCTION("""COMPUTED_VALUE"""),"Н. Яръмов, И. Виячки, М. Марина, Б. Коруков, А. Велков.")</f>
        <v>Н. Яръмов, И. Виячки, М. Марина, Б. Коруков, А. Велков.</v>
      </c>
      <c r="H421" s="10"/>
      <c r="I421" s="10"/>
      <c r="J421" s="10"/>
      <c r="K421" s="10"/>
      <c r="L421" s="10"/>
      <c r="M421" s="10"/>
      <c r="N421" s="10"/>
      <c r="O421" s="10"/>
      <c r="P421" s="10"/>
      <c r="Q421" s="10"/>
      <c r="R421" s="10"/>
      <c r="S421" s="10"/>
      <c r="T421" s="10"/>
      <c r="U421" s="10"/>
      <c r="V421" s="10"/>
      <c r="W421" s="10"/>
      <c r="X421" s="10"/>
      <c r="Y421" s="10"/>
      <c r="Z421" s="10"/>
    </row>
    <row r="422" spans="1:26" ht="12.75">
      <c r="A422" s="10" t="str">
        <f ca="1">IFERROR(__xludf.DUMMYFUNCTION("""COMPUTED_VALUE"""),"Аркади Георгиев Иванов")</f>
        <v>Аркади Георгиев Иванов</v>
      </c>
      <c r="B422" s="10" t="str">
        <f ca="1">IFERROR(__xludf.DUMMYFUNCTION("""COMPUTED_VALUE"""),"Статия в списания и поредици")</f>
        <v>Статия в списания и поредици</v>
      </c>
      <c r="C422" s="10" t="str">
        <f ca="1">IFERROR(__xludf.DUMMYFUNCTION("""COMPUTED_VALUE"""),"Тънкочревен механичен илеус- оперативно лечение и усложнения")</f>
        <v>Тънкочревен механичен илеус- оперативно лечение и усложнения</v>
      </c>
      <c r="D422" s="10">
        <f ca="1">IFERROR(__xludf.DUMMYFUNCTION("""COMPUTED_VALUE"""),1996)</f>
        <v>1996</v>
      </c>
      <c r="E422" s="10" t="str">
        <f ca="1">IFERROR(__xludf.DUMMYFUNCTION("""COMPUTED_VALUE"""),"сп. Хирургия, 1996, 4, 22-23. ISSN 0450-2167")</f>
        <v>сп. Хирургия, 1996, 4, 22-23. ISSN 0450-2167</v>
      </c>
      <c r="F422" s="10" t="str">
        <f ca="1">IFERROR(__xludf.DUMMYFUNCTION("""COMPUTED_VALUE"""),"Scopus")</f>
        <v>Scopus</v>
      </c>
      <c r="G422" s="10" t="str">
        <f ca="1">IFERROR(__xludf.DUMMYFUNCTION("""COMPUTED_VALUE"""),"Ст. Хинев, П. Герзилов,Т. Ибовски")</f>
        <v>Ст. Хинев, П. Герзилов,Т. Ибовски</v>
      </c>
      <c r="H422" s="10"/>
      <c r="I422" s="10"/>
      <c r="J422" s="10"/>
      <c r="K422" s="10"/>
      <c r="L422" s="10"/>
      <c r="M422" s="10"/>
      <c r="N422" s="10"/>
      <c r="O422" s="10"/>
      <c r="P422" s="10"/>
      <c r="Q422" s="10"/>
      <c r="R422" s="10"/>
      <c r="S422" s="10"/>
      <c r="T422" s="10"/>
      <c r="U422" s="10"/>
      <c r="V422" s="10"/>
      <c r="W422" s="10"/>
      <c r="X422" s="10"/>
      <c r="Y422" s="10"/>
      <c r="Z422" s="10"/>
    </row>
    <row r="423" spans="1:26" ht="12.75">
      <c r="A423" s="10" t="str">
        <f ca="1">IFERROR(__xludf.DUMMYFUNCTION("""COMPUTED_VALUE"""),"Аркади Георгиев Иванов")</f>
        <v>Аркади Георгиев Иванов</v>
      </c>
      <c r="B423" s="10" t="str">
        <f ca="1">IFERROR(__xludf.DUMMYFUNCTION("""COMPUTED_VALUE"""),"Статия в списания и поредици")</f>
        <v>Статия в списания и поредици</v>
      </c>
      <c r="C423" s="10" t="str">
        <f ca="1">IFERROR(__xludf.DUMMYFUNCTION("""COMPUTED_VALUE"""),"Определяне на плазмения, предизвикани при първичен колоректален рак")</f>
        <v>Определяне на плазмения, предизвикани при първичен колоректален рак</v>
      </c>
      <c r="D423" s="10">
        <f ca="1">IFERROR(__xludf.DUMMYFUNCTION("""COMPUTED_VALUE"""),1995)</f>
        <v>1995</v>
      </c>
      <c r="E423" s="10" t="str">
        <f ca="1">IFERROR(__xludf.DUMMYFUNCTION("""COMPUTED_VALUE"""),"сп. Хирургия, 1995, 4, 38-40. ISSN 0450-2167")</f>
        <v>сп. Хирургия, 1995, 4, 38-40. ISSN 0450-2167</v>
      </c>
      <c r="F423" s="10" t="str">
        <f ca="1">IFERROR(__xludf.DUMMYFUNCTION("""COMPUTED_VALUE"""),"Scopus")</f>
        <v>Scopus</v>
      </c>
      <c r="G423" s="10" t="str">
        <f ca="1">IFERROR(__xludf.DUMMYFUNCTION("""COMPUTED_VALUE"""),"Ст. Хинев, Г. Койнова, К. Дафинова")</f>
        <v>Ст. Хинев, Г. Койнова, К. Дафинова</v>
      </c>
      <c r="H423" s="10"/>
      <c r="I423" s="10"/>
      <c r="J423" s="10"/>
      <c r="K423" s="10"/>
      <c r="L423" s="10"/>
      <c r="M423" s="10"/>
      <c r="N423" s="10"/>
      <c r="O423" s="10"/>
      <c r="P423" s="10"/>
      <c r="Q423" s="10"/>
      <c r="R423" s="10"/>
      <c r="S423" s="10"/>
      <c r="T423" s="10"/>
      <c r="U423" s="10"/>
      <c r="V423" s="10"/>
      <c r="W423" s="10"/>
      <c r="X423" s="10"/>
      <c r="Y423" s="10"/>
      <c r="Z423" s="10"/>
    </row>
    <row r="424" spans="1:26" ht="12.75">
      <c r="A424" s="10" t="str">
        <f ca="1">IFERROR(__xludf.DUMMYFUNCTION("""COMPUTED_VALUE"""),"Аркади Георгиев Иванов")</f>
        <v>Аркади Георгиев Иванов</v>
      </c>
      <c r="B424" s="10" t="str">
        <f ca="1">IFERROR(__xludf.DUMMYFUNCTION("""COMPUTED_VALUE"""),"Статия в списания и поредици")</f>
        <v>Статия в списания и поредици</v>
      </c>
      <c r="C424" s="10" t="str">
        <f ca="1">IFERROR(__xludf.DUMMYFUNCTION("""COMPUTED_VALUE"""),"Случай на гангренозен апендицит, усложнен с анаеробна газова инфекция в ретроператонеалното пространство и дясното бедро.")</f>
        <v>Случай на гангренозен апендицит, усложнен с анаеробна газова инфекция в ретроператонеалното пространство и дясното бедро.</v>
      </c>
      <c r="D424" s="10">
        <f ca="1">IFERROR(__xludf.DUMMYFUNCTION("""COMPUTED_VALUE"""),1995)</f>
        <v>1995</v>
      </c>
      <c r="E424" s="10" t="str">
        <f ca="1">IFERROR(__xludf.DUMMYFUNCTION("""COMPUTED_VALUE"""),"сп. Хирургия, 1995, 5, 72-73. ISSN 0450-2167")</f>
        <v>сп. Хирургия, 1995, 5, 72-73. ISSN 0450-2167</v>
      </c>
      <c r="F424" s="10" t="str">
        <f ca="1">IFERROR(__xludf.DUMMYFUNCTION("""COMPUTED_VALUE"""),"Scopus")</f>
        <v>Scopus</v>
      </c>
      <c r="G424" s="10" t="str">
        <f ca="1">IFERROR(__xludf.DUMMYFUNCTION("""COMPUTED_VALUE"""),"Н. Яръмов, Ив. Виячки, М. Марина, Б. Коруков")</f>
        <v>Н. Яръмов, Ив. Виячки, М. Марина, Б. Коруков</v>
      </c>
      <c r="H424" s="10"/>
      <c r="I424" s="10"/>
      <c r="J424" s="10"/>
      <c r="K424" s="10"/>
      <c r="L424" s="10"/>
      <c r="M424" s="10"/>
      <c r="N424" s="10"/>
      <c r="O424" s="10"/>
      <c r="P424" s="10"/>
      <c r="Q424" s="10"/>
      <c r="R424" s="10"/>
      <c r="S424" s="10"/>
      <c r="T424" s="10"/>
      <c r="U424" s="10"/>
      <c r="V424" s="10"/>
      <c r="W424" s="10"/>
      <c r="X424" s="10"/>
      <c r="Y424" s="10"/>
      <c r="Z424" s="10"/>
    </row>
    <row r="425" spans="1:26" ht="12.75">
      <c r="A425" s="10" t="str">
        <f ca="1">IFERROR(__xludf.DUMMYFUNCTION("""COMPUTED_VALUE"""),"Аркади Георгиев Иванов")</f>
        <v>Аркади Георгиев Иванов</v>
      </c>
      <c r="B425" s="10" t="str">
        <f ca="1">IFERROR(__xludf.DUMMYFUNCTION("""COMPUTED_VALUE"""),"Доклад от конференция")</f>
        <v>Доклад от конференция</v>
      </c>
      <c r="C425" s="10" t="str">
        <f ca="1">IFERROR(__xludf.DUMMYFUNCTION("""COMPUTED_VALUE"""),"Нашият опит при лечението на жлъчнокаменния илеус.")</f>
        <v>Нашият опит при лечението на жлъчнокаменния илеус.</v>
      </c>
      <c r="D425" s="10">
        <f ca="1">IFERROR(__xludf.DUMMYFUNCTION("""COMPUTED_VALUE"""),1994)</f>
        <v>1994</v>
      </c>
      <c r="E425" s="10" t="str">
        <f ca="1">IFERROR(__xludf.DUMMYFUNCTION("""COMPUTED_VALUE"""),"В: Девети национален конгрес по хирургия, гр. Плевен 15 - 17.09.1994. София: Бълг. хирургическо дружество, 1994, ISSN: 1314-2097")</f>
        <v>В: Девети национален конгрес по хирургия, гр. Плевен 15 - 17.09.1994. София: Бълг. хирургическо дружество, 1994, ISSN: 1314-2097</v>
      </c>
      <c r="F425" s="10"/>
      <c r="G425" s="10" t="str">
        <f ca="1">IFERROR(__xludf.DUMMYFUNCTION("""COMPUTED_VALUE"""),"Н. Яръмов, Н. Пенков, Ив. Виячки, Е. Коларов")</f>
        <v>Н. Яръмов, Н. Пенков, Ив. Виячки, Е. Коларов</v>
      </c>
      <c r="H425" s="10"/>
      <c r="I425" s="10"/>
      <c r="J425" s="10"/>
      <c r="K425" s="10"/>
      <c r="L425" s="10"/>
      <c r="M425" s="10"/>
      <c r="N425" s="10"/>
      <c r="O425" s="10"/>
      <c r="P425" s="10"/>
      <c r="Q425" s="10"/>
      <c r="R425" s="10"/>
      <c r="S425" s="10"/>
      <c r="T425" s="10"/>
      <c r="U425" s="10"/>
      <c r="V425" s="10"/>
      <c r="W425" s="10"/>
      <c r="X425" s="10"/>
      <c r="Y425" s="10"/>
      <c r="Z425" s="10"/>
    </row>
    <row r="426" spans="1:26" ht="12.75">
      <c r="A426" s="10" t="str">
        <f ca="1">IFERROR(__xludf.DUMMYFUNCTION("""COMPUTED_VALUE"""),"Аркади Георгиев Иванов")</f>
        <v>Аркади Георгиев Иванов</v>
      </c>
      <c r="B426" s="10" t="str">
        <f ca="1">IFERROR(__xludf.DUMMYFUNCTION("""COMPUTED_VALUE"""),"Статия в списания и поредици")</f>
        <v>Статия в списания и поредици</v>
      </c>
      <c r="C426" s="10" t="str">
        <f ca="1">IFERROR(__xludf.DUMMYFUNCTION("""COMPUTED_VALUE"""),"Остър емфизематозен холецистит – два клинични случая.")</f>
        <v>Остър емфизематозен холецистит – два клинични случая.</v>
      </c>
      <c r="D426" s="10">
        <f ca="1">IFERROR(__xludf.DUMMYFUNCTION("""COMPUTED_VALUE"""),1994)</f>
        <v>1994</v>
      </c>
      <c r="E426" s="10" t="str">
        <f ca="1">IFERROR(__xludf.DUMMYFUNCTION("""COMPUTED_VALUE"""),"сп. Хирургия, 1994, 1, 31-32. ISSN 0450-2167")</f>
        <v>сп. Хирургия, 1994, 1, 31-32. ISSN 0450-2167</v>
      </c>
      <c r="F426" s="10" t="str">
        <f ca="1">IFERROR(__xludf.DUMMYFUNCTION("""COMPUTED_VALUE"""),"Scopus")</f>
        <v>Scopus</v>
      </c>
      <c r="G426" s="10" t="str">
        <f ca="1">IFERROR(__xludf.DUMMYFUNCTION("""COMPUTED_VALUE"""),"Н. Пенков")</f>
        <v>Н. Пенков</v>
      </c>
      <c r="H426" s="10"/>
      <c r="I426" s="10"/>
      <c r="J426" s="10"/>
      <c r="K426" s="10"/>
      <c r="L426" s="10"/>
      <c r="M426" s="10"/>
      <c r="N426" s="10"/>
      <c r="O426" s="10"/>
      <c r="P426" s="10"/>
      <c r="Q426" s="10"/>
      <c r="R426" s="10"/>
      <c r="S426" s="10"/>
      <c r="T426" s="10"/>
      <c r="U426" s="10"/>
      <c r="V426" s="10"/>
      <c r="W426" s="10"/>
      <c r="X426" s="10"/>
      <c r="Y426" s="10"/>
      <c r="Z426" s="10"/>
    </row>
    <row r="427" spans="1:26" ht="12.75">
      <c r="A427" s="10" t="str">
        <f ca="1">IFERROR(__xludf.DUMMYFUNCTION("""COMPUTED_VALUE"""),"Аркади Георгиев Иванов")</f>
        <v>Аркади Георгиев Иванов</v>
      </c>
      <c r="B427" s="10" t="str">
        <f ca="1">IFERROR(__xludf.DUMMYFUNCTION("""COMPUTED_VALUE"""),"Доклад от конференция")</f>
        <v>Доклад от конференция</v>
      </c>
      <c r="C427" s="10" t="str">
        <f ca="1">IFERROR(__xludf.DUMMYFUNCTION("""COMPUTED_VALUE"""),"Билиодегестивни фистули – диагноза, тактика, хирургично лечение.")</f>
        <v>Билиодегестивни фистули – диагноза, тактика, хирургично лечение.</v>
      </c>
      <c r="D427" s="10">
        <f ca="1">IFERROR(__xludf.DUMMYFUNCTION("""COMPUTED_VALUE"""),1994)</f>
        <v>1994</v>
      </c>
      <c r="E427" s="10" t="str">
        <f ca="1">IFERROR(__xludf.DUMMYFUNCTION("""COMPUTED_VALUE"""),"В: Девети национален конгрес по хирургия, гр. Плевен 15 - 17.09.1994. София: Бълг. хирургическо дружество, 1994, ISSN: 1314-2097")</f>
        <v>В: Девети национален конгрес по хирургия, гр. Плевен 15 - 17.09.1994. София: Бълг. хирургическо дружество, 1994, ISSN: 1314-2097</v>
      </c>
      <c r="F427" s="10"/>
      <c r="G427" s="10" t="str">
        <f ca="1">IFERROR(__xludf.DUMMYFUNCTION("""COMPUTED_VALUE"""),"Ив. Виячки, Н. Пенков, Н. Яръмов")</f>
        <v>Ив. Виячки, Н. Пенков, Н. Яръмов</v>
      </c>
      <c r="H427" s="10"/>
      <c r="I427" s="10"/>
      <c r="J427" s="10"/>
      <c r="K427" s="10"/>
      <c r="L427" s="10"/>
      <c r="M427" s="10"/>
      <c r="N427" s="10"/>
      <c r="O427" s="10"/>
      <c r="P427" s="10"/>
      <c r="Q427" s="10"/>
      <c r="R427" s="10"/>
      <c r="S427" s="10"/>
      <c r="T427" s="10"/>
      <c r="U427" s="10"/>
      <c r="V427" s="10"/>
      <c r="W427" s="10"/>
      <c r="X427" s="10"/>
      <c r="Y427" s="10"/>
      <c r="Z427" s="10"/>
    </row>
    <row r="428" spans="1:26" ht="12.75">
      <c r="A428" s="10" t="str">
        <f ca="1">IFERROR(__xludf.DUMMYFUNCTION("""COMPUTED_VALUE"""),"Аркади Георгиев Иванов")</f>
        <v>Аркади Георгиев Иванов</v>
      </c>
      <c r="B428" s="10" t="str">
        <f ca="1">IFERROR(__xludf.DUMMYFUNCTION("""COMPUTED_VALUE"""),"Статия в списания и поредици")</f>
        <v>Статия в списания и поредици</v>
      </c>
      <c r="C428" s="10" t="str">
        <f ca="1">IFERROR(__xludf.DUMMYFUNCTION("""COMPUTED_VALUE"""),"Our experience in the treatment of Trauma of the Hepato - Bilary System")</f>
        <v>Our experience in the treatment of Trauma of the Hepato - Bilary System</v>
      </c>
      <c r="D428" s="10">
        <f ca="1">IFERROR(__xludf.DUMMYFUNCTION("""COMPUTED_VALUE"""),1993)</f>
        <v>1993</v>
      </c>
      <c r="E428" s="10" t="str">
        <f ca="1">IFERROR(__xludf.DUMMYFUNCTION("""COMPUTED_VALUE"""),"HPB Surgery. Vol.6, Suppl. 1993, 254.")</f>
        <v>HPB Surgery. Vol.6, Suppl. 1993, 254.</v>
      </c>
      <c r="F428" s="10"/>
      <c r="G428" s="10" t="str">
        <f ca="1">IFERROR(__xludf.DUMMYFUNCTION("""COMPUTED_VALUE"""),"Viachky, N. Iaramov, A. Mitov")</f>
        <v>Viachky, N. Iaramov, A. Mitov</v>
      </c>
      <c r="H428" s="10"/>
      <c r="I428" s="10"/>
      <c r="J428" s="10"/>
      <c r="K428" s="10"/>
      <c r="L428" s="10"/>
      <c r="M428" s="10"/>
      <c r="N428" s="10"/>
      <c r="O428" s="10"/>
      <c r="P428" s="10"/>
      <c r="Q428" s="10"/>
      <c r="R428" s="10"/>
      <c r="S428" s="10"/>
      <c r="T428" s="10"/>
      <c r="U428" s="10"/>
      <c r="V428" s="10"/>
      <c r="W428" s="10"/>
      <c r="X428" s="10"/>
      <c r="Y428" s="10"/>
      <c r="Z428" s="10"/>
    </row>
    <row r="429" spans="1:26" ht="12.75">
      <c r="A429" s="10" t="str">
        <f ca="1">IFERROR(__xludf.DUMMYFUNCTION("""COMPUTED_VALUE"""),"Аркади Георгиев Иванов")</f>
        <v>Аркади Георгиев Иванов</v>
      </c>
      <c r="B429" s="10" t="str">
        <f ca="1">IFERROR(__xludf.DUMMYFUNCTION("""COMPUTED_VALUE"""),"Статия в списания и поредици")</f>
        <v>Статия в списания и поредици</v>
      </c>
      <c r="C429" s="10" t="str">
        <f ca="1">IFERROR(__xludf.DUMMYFUNCTION("""COMPUTED_VALUE"""),"Остра ректохеморагия")</f>
        <v>Остра ректохеморагия</v>
      </c>
      <c r="D429" s="10">
        <f ca="1">IFERROR(__xludf.DUMMYFUNCTION("""COMPUTED_VALUE"""),1993)</f>
        <v>1993</v>
      </c>
      <c r="E429" s="10" t="str">
        <f ca="1">IFERROR(__xludf.DUMMYFUNCTION("""COMPUTED_VALUE"""),"сп. Хирургия, 1993, 2, 39-41. ISSN 0450-2167")</f>
        <v>сп. Хирургия, 1993, 2, 39-41. ISSN 0450-2167</v>
      </c>
      <c r="F429" s="10" t="str">
        <f ca="1">IFERROR(__xludf.DUMMYFUNCTION("""COMPUTED_VALUE"""),"Scopus")</f>
        <v>Scopus</v>
      </c>
      <c r="G429" s="10" t="str">
        <f ca="1">IFERROR(__xludf.DUMMYFUNCTION("""COMPUTED_VALUE"""),"Н. Яръмов, Ив. Виячки.")</f>
        <v>Н. Яръмов, Ив. Виячки.</v>
      </c>
      <c r="H429" s="10"/>
      <c r="I429" s="10"/>
      <c r="J429" s="10"/>
      <c r="K429" s="10"/>
      <c r="L429" s="10"/>
      <c r="M429" s="10"/>
      <c r="N429" s="10"/>
      <c r="O429" s="10"/>
      <c r="P429" s="10"/>
      <c r="Q429" s="10"/>
      <c r="R429" s="10"/>
      <c r="S429" s="10"/>
      <c r="T429" s="10"/>
      <c r="U429" s="10"/>
      <c r="V429" s="10"/>
      <c r="W429" s="10"/>
      <c r="X429" s="10"/>
      <c r="Y429" s="10"/>
      <c r="Z429" s="10"/>
    </row>
    <row r="430" spans="1:26" ht="12.75">
      <c r="A430" s="10" t="str">
        <f ca="1">IFERROR(__xludf.DUMMYFUNCTION("""COMPUTED_VALUE"""),"Аркади Георгиев Иванов")</f>
        <v>Аркади Георгиев Иванов</v>
      </c>
      <c r="B430" s="10" t="str">
        <f ca="1">IFERROR(__xludf.DUMMYFUNCTION("""COMPUTED_VALUE"""),"Статия в списания и поредици")</f>
        <v>Статия в списания и поредици</v>
      </c>
      <c r="C430" s="10" t="str">
        <f ca="1">IFERROR(__xludf.DUMMYFUNCTION("""COMPUTED_VALUE"""),"Върху билиарния илеус.")</f>
        <v>Върху билиарния илеус.</v>
      </c>
      <c r="D430" s="10">
        <f ca="1">IFERROR(__xludf.DUMMYFUNCTION("""COMPUTED_VALUE"""),1993)</f>
        <v>1993</v>
      </c>
      <c r="E430" s="10" t="str">
        <f ca="1">IFERROR(__xludf.DUMMYFUNCTION("""COMPUTED_VALUE"""),"сп. Хирургия, 1993, 5, 17-19. ISSN 0450-2167")</f>
        <v>сп. Хирургия, 1993, 5, 17-19. ISSN 0450-2167</v>
      </c>
      <c r="F430" s="10" t="str">
        <f ca="1">IFERROR(__xludf.DUMMYFUNCTION("""COMPUTED_VALUE"""),"Scopus")</f>
        <v>Scopus</v>
      </c>
      <c r="G430" s="10" t="str">
        <f ca="1">IFERROR(__xludf.DUMMYFUNCTION("""COMPUTED_VALUE"""),"Ив. Виячки, Н. Яръмов, А. Митов, В. Куковски, А. Латифян, Г. Евтимов")</f>
        <v>Ив. Виячки, Н. Яръмов, А. Митов, В. Куковски, А. Латифян, Г. Евтимов</v>
      </c>
      <c r="H430" s="10"/>
      <c r="I430" s="10"/>
      <c r="J430" s="10"/>
      <c r="K430" s="10"/>
      <c r="L430" s="10"/>
      <c r="M430" s="10"/>
      <c r="N430" s="10"/>
      <c r="O430" s="10"/>
      <c r="P430" s="10"/>
      <c r="Q430" s="10"/>
      <c r="R430" s="10"/>
      <c r="S430" s="10"/>
      <c r="T430" s="10"/>
      <c r="U430" s="10"/>
      <c r="V430" s="10"/>
      <c r="W430" s="10"/>
      <c r="X430" s="10"/>
      <c r="Y430" s="10"/>
      <c r="Z430" s="10"/>
    </row>
    <row r="431" spans="1:26" ht="12.75">
      <c r="A431" s="10" t="str">
        <f ca="1">IFERROR(__xludf.DUMMYFUNCTION("""COMPUTED_VALUE"""),"Аркади Георгиев Иванов")</f>
        <v>Аркади Георгиев Иванов</v>
      </c>
      <c r="B431" s="10" t="str">
        <f ca="1">IFERROR(__xludf.DUMMYFUNCTION("""COMPUTED_VALUE"""),"Статия в списания и поредици")</f>
        <v>Статия в списания и поредици</v>
      </c>
      <c r="C431" s="10" t="str">
        <f ca="1">IFERROR(__xludf.DUMMYFUNCTION("""COMPUTED_VALUE"""),"Pseudocysts of the Pancreas – Problems of the Surgical Treatment.")</f>
        <v>Pseudocysts of the Pancreas – Problems of the Surgical Treatment.</v>
      </c>
      <c r="D431" s="10">
        <f ca="1">IFERROR(__xludf.DUMMYFUNCTION("""COMPUTED_VALUE"""),1993)</f>
        <v>1993</v>
      </c>
      <c r="E431" s="10" t="str">
        <f ca="1">IFERROR(__xludf.DUMMYFUNCTION("""COMPUTED_VALUE"""),"HPB Surgery. Vol.6, Suppl. 1993, 271")</f>
        <v>HPB Surgery. Vol.6, Suppl. 1993, 271</v>
      </c>
      <c r="F431" s="10"/>
      <c r="G431" s="10" t="str">
        <f ca="1">IFERROR(__xludf.DUMMYFUNCTION("""COMPUTED_VALUE"""),"N. Iaramov, A. Mitov, P. Gerzilov")</f>
        <v>N. Iaramov, A. Mitov, P. Gerzilov</v>
      </c>
      <c r="H431" s="10"/>
      <c r="I431" s="10"/>
      <c r="J431" s="10"/>
      <c r="K431" s="10"/>
      <c r="L431" s="10"/>
      <c r="M431" s="10"/>
      <c r="N431" s="10"/>
      <c r="O431" s="10"/>
      <c r="P431" s="10"/>
      <c r="Q431" s="10"/>
      <c r="R431" s="10"/>
      <c r="S431" s="10"/>
      <c r="T431" s="10"/>
      <c r="U431" s="10"/>
      <c r="V431" s="10"/>
      <c r="W431" s="10"/>
      <c r="X431" s="10"/>
      <c r="Y431" s="10"/>
      <c r="Z431" s="10"/>
    </row>
    <row r="432" spans="1:26" ht="12.75">
      <c r="A432" s="10" t="str">
        <f ca="1">IFERROR(__xludf.DUMMYFUNCTION("""COMPUTED_VALUE"""),"Аркади Георгиев Иванов")</f>
        <v>Аркади Георгиев Иванов</v>
      </c>
      <c r="B432" s="10" t="str">
        <f ca="1">IFERROR(__xludf.DUMMYFUNCTION("""COMPUTED_VALUE"""),"Статия в списания и поредици")</f>
        <v>Статия в списания и поредици</v>
      </c>
      <c r="C432" s="10" t="str">
        <f ca="1">IFERROR(__xludf.DUMMYFUNCTION("""COMPUTED_VALUE"""),"Случай на атипична форма на хеморагична треска с бъбречен синдром при болен с прояви на мелене и тежка ректохеморагия.")</f>
        <v>Случай на атипична форма на хеморагична треска с бъбречен синдром при болен с прояви на мелене и тежка ректохеморагия.</v>
      </c>
      <c r="D432" s="10">
        <f ca="1">IFERROR(__xludf.DUMMYFUNCTION("""COMPUTED_VALUE"""),1992)</f>
        <v>1992</v>
      </c>
      <c r="E432" s="10" t="str">
        <f ca="1">IFERROR(__xludf.DUMMYFUNCTION("""COMPUTED_VALUE"""),"сп. Хирургия, 1992, 1, 50. ISSN 0450-2167")</f>
        <v>сп. Хирургия, 1992, 1, 50. ISSN 0450-2167</v>
      </c>
      <c r="F432" s="10" t="str">
        <f ca="1">IFERROR(__xludf.DUMMYFUNCTION("""COMPUTED_VALUE"""),"Scopus")</f>
        <v>Scopus</v>
      </c>
      <c r="G432" s="10" t="str">
        <f ca="1">IFERROR(__xludf.DUMMYFUNCTION("""COMPUTED_VALUE"""),"Н. Яръмов, Б. Бадева, Г. Керанов, Н. Пенков")</f>
        <v>Н. Яръмов, Б. Бадева, Г. Керанов, Н. Пенков</v>
      </c>
      <c r="H432" s="10"/>
      <c r="I432" s="10"/>
      <c r="J432" s="10"/>
      <c r="K432" s="10"/>
      <c r="L432" s="10"/>
      <c r="M432" s="10"/>
      <c r="N432" s="10"/>
      <c r="O432" s="10"/>
      <c r="P432" s="10"/>
      <c r="Q432" s="10"/>
      <c r="R432" s="10"/>
      <c r="S432" s="10"/>
      <c r="T432" s="10"/>
      <c r="U432" s="10"/>
      <c r="V432" s="10"/>
      <c r="W432" s="10"/>
      <c r="X432" s="10"/>
      <c r="Y432" s="10"/>
      <c r="Z432" s="10"/>
    </row>
    <row r="433" spans="1:26" ht="12.75">
      <c r="A433" s="10" t="str">
        <f ca="1">IFERROR(__xludf.DUMMYFUNCTION("""COMPUTED_VALUE"""),"Аркади Георгиев Иванов")</f>
        <v>Аркади Георгиев Иванов</v>
      </c>
      <c r="B433" s="10" t="str">
        <f ca="1">IFERROR(__xludf.DUMMYFUNCTION("""COMPUTED_VALUE"""),"Статия в списания и поредици")</f>
        <v>Статия в списания и поредици</v>
      </c>
      <c r="C433" s="10" t="str">
        <f ca="1">IFERROR(__xludf.DUMMYFUNCTION("""COMPUTED_VALUE"""),"Пластика с оментум при рецидивен карцином на гръдната сте¬на след мамектомия")</f>
        <v>Пластика с оментум при рецидивен карцином на гръдната сте¬на след мамектомия</v>
      </c>
      <c r="D433" s="10">
        <f ca="1">IFERROR(__xludf.DUMMYFUNCTION("""COMPUTED_VALUE"""),1991)</f>
        <v>1991</v>
      </c>
      <c r="E433" s="10" t="str">
        <f ca="1">IFERROR(__xludf.DUMMYFUNCTION("""COMPUTED_VALUE"""),"сп. Хирургия, 1991, 6, 73-76. ISSN 0450-2167")</f>
        <v>сп. Хирургия, 1991, 6, 73-76. ISSN 0450-2167</v>
      </c>
      <c r="F433" s="10" t="str">
        <f ca="1">IFERROR(__xludf.DUMMYFUNCTION("""COMPUTED_VALUE"""),"Scopus")</f>
        <v>Scopus</v>
      </c>
      <c r="G433" s="10" t="str">
        <f ca="1">IFERROR(__xludf.DUMMYFUNCTION("""COMPUTED_VALUE"""),"Ив. Виячки, Д. Виячки, Н. Пенков, Р. Киров")</f>
        <v>Ив. Виячки, Д. Виячки, Н. Пенков, Р. Киров</v>
      </c>
      <c r="H433" s="10"/>
      <c r="I433" s="10"/>
      <c r="J433" s="10"/>
      <c r="K433" s="10"/>
      <c r="L433" s="10"/>
      <c r="M433" s="10"/>
      <c r="N433" s="10"/>
      <c r="O433" s="10"/>
      <c r="P433" s="10"/>
      <c r="Q433" s="10"/>
      <c r="R433" s="10"/>
      <c r="S433" s="10"/>
      <c r="T433" s="10"/>
      <c r="U433" s="10"/>
      <c r="V433" s="10"/>
      <c r="W433" s="10"/>
      <c r="X433" s="10"/>
      <c r="Y433" s="10"/>
      <c r="Z433" s="10"/>
    </row>
    <row r="434" spans="1:26" ht="12.75">
      <c r="A434" s="10" t="str">
        <f ca="1">IFERROR(__xludf.DUMMYFUNCTION("""COMPUTED_VALUE"""),"Аркади Георгиев Иванов")</f>
        <v>Аркади Георгиев Иванов</v>
      </c>
      <c r="B434" s="10" t="str">
        <f ca="1">IFERROR(__xludf.DUMMYFUNCTION("""COMPUTED_VALUE"""),"Статия в списания и поредици")</f>
        <v>Статия в списания и поредици</v>
      </c>
      <c r="C434" s="10" t="str">
        <f ca="1">IFERROR(__xludf.DUMMYFUNCTION("""COMPUTED_VALUE"""),"Върху типичните и атипичните резекции на черния дроб с принос от две клинични наблюдения")</f>
        <v>Върху типичните и атипичните резекции на черния дроб с принос от две клинични наблюдения</v>
      </c>
      <c r="D434" s="10">
        <f ca="1">IFERROR(__xludf.DUMMYFUNCTION("""COMPUTED_VALUE"""),1989)</f>
        <v>1989</v>
      </c>
      <c r="E434" s="10" t="str">
        <f ca="1">IFERROR(__xludf.DUMMYFUNCTION("""COMPUTED_VALUE"""),"сп. Хирургия, 1989, 4, 17-21. ISSN 0450-2167")</f>
        <v>сп. Хирургия, 1989, 4, 17-21. ISSN 0450-2167</v>
      </c>
      <c r="F434" s="10" t="str">
        <f ca="1">IFERROR(__xludf.DUMMYFUNCTION("""COMPUTED_VALUE"""),"Scopus")</f>
        <v>Scopus</v>
      </c>
      <c r="G434" s="10" t="str">
        <f ca="1">IFERROR(__xludf.DUMMYFUNCTION("""COMPUTED_VALUE"""),"Ив. Виячки, Е. Симеонов")</f>
        <v>Ив. Виячки, Е. Симеонов</v>
      </c>
      <c r="H434" s="10"/>
      <c r="I434" s="10"/>
      <c r="J434" s="10"/>
      <c r="K434" s="10"/>
      <c r="L434" s="10"/>
      <c r="M434" s="10"/>
      <c r="N434" s="10"/>
      <c r="O434" s="10"/>
      <c r="P434" s="10"/>
      <c r="Q434" s="10"/>
      <c r="R434" s="10"/>
      <c r="S434" s="10"/>
      <c r="T434" s="10"/>
      <c r="U434" s="10"/>
      <c r="V434" s="10"/>
      <c r="W434" s="10"/>
      <c r="X434" s="10"/>
      <c r="Y434" s="10"/>
      <c r="Z434" s="10"/>
    </row>
    <row r="435" spans="1:26" ht="12.75">
      <c r="A435" s="10" t="str">
        <f ca="1">IFERROR(__xludf.DUMMYFUNCTION("""COMPUTED_VALUE"""),"Аркади Георгиев Иванов")</f>
        <v>Аркади Георгиев Иванов</v>
      </c>
      <c r="B435" s="10" t="str">
        <f ca="1">IFERROR(__xludf.DUMMYFUNCTION("""COMPUTED_VALUE"""),"Статия в списания и поредици")</f>
        <v>Статия в списания и поредици</v>
      </c>
      <c r="C435" s="10" t="str">
        <f ca="1">IFERROR(__xludf.DUMMYFUNCTION("""COMPUTED_VALUE"""),"Рядък случай на аденокарцином на апендикса, довел до остър деструктивен апендицит с перфорация.")</f>
        <v>Рядък случай на аденокарцином на апендикса, довел до остър деструктивен апендицит с перфорация.</v>
      </c>
      <c r="D435" s="10">
        <f ca="1">IFERROR(__xludf.DUMMYFUNCTION("""COMPUTED_VALUE"""),1989)</f>
        <v>1989</v>
      </c>
      <c r="E435" s="10" t="str">
        <f ca="1">IFERROR(__xludf.DUMMYFUNCTION("""COMPUTED_VALUE"""),"сп. Хирургия, 1989, 3, 25-27. ISSN 0450-2167")</f>
        <v>сп. Хирургия, 1989, 3, 25-27. ISSN 0450-2167</v>
      </c>
      <c r="F435" s="10" t="str">
        <f ca="1">IFERROR(__xludf.DUMMYFUNCTION("""COMPUTED_VALUE"""),"Scopus")</f>
        <v>Scopus</v>
      </c>
      <c r="G435" s="10" t="str">
        <f ca="1">IFERROR(__xludf.DUMMYFUNCTION("""COMPUTED_VALUE"""),"Ив. Виячки, Е. Симеонов, Б. Стефанов.")</f>
        <v>Ив. Виячки, Е. Симеонов, Б. Стефанов.</v>
      </c>
      <c r="H435" s="10"/>
      <c r="I435" s="10"/>
      <c r="J435" s="10"/>
      <c r="K435" s="10"/>
      <c r="L435" s="10"/>
      <c r="M435" s="10"/>
      <c r="N435" s="10"/>
      <c r="O435" s="10"/>
      <c r="P435" s="10"/>
      <c r="Q435" s="10"/>
      <c r="R435" s="10"/>
      <c r="S435" s="10"/>
      <c r="T435" s="10"/>
      <c r="U435" s="10"/>
      <c r="V435" s="10"/>
      <c r="W435" s="10"/>
      <c r="X435" s="10"/>
      <c r="Y435" s="10"/>
      <c r="Z435" s="10"/>
    </row>
    <row r="436" spans="1:26" ht="12.75">
      <c r="A436" s="10" t="str">
        <f ca="1">IFERROR(__xludf.DUMMYFUNCTION("""COMPUTED_VALUE"""),"Аркади Георгиев Иванов")</f>
        <v>Аркади Георгиев Иванов</v>
      </c>
      <c r="B436" s="10" t="str">
        <f ca="1">IFERROR(__xludf.DUMMYFUNCTION("""COMPUTED_VALUE"""),"Статия в списания и поредици")</f>
        <v>Статия в списания и поредици</v>
      </c>
      <c r="C436" s="10" t="str">
        <f ca="1">IFERROR(__xludf.DUMMYFUNCTION("""COMPUTED_VALUE"""),"Върху кистаденокарцинома на черния дроб с принос от един случай")</f>
        <v>Върху кистаденокарцинома на черния дроб с принос от един случай</v>
      </c>
      <c r="D436" s="10">
        <f ca="1">IFERROR(__xludf.DUMMYFUNCTION("""COMPUTED_VALUE"""),1989)</f>
        <v>1989</v>
      </c>
      <c r="E436" s="10" t="str">
        <f ca="1">IFERROR(__xludf.DUMMYFUNCTION("""COMPUTED_VALUE"""),"сп. Хирургия, 1989, 2, 61-65. ISSN 0450-2167")</f>
        <v>сп. Хирургия, 1989, 2, 61-65. ISSN 0450-2167</v>
      </c>
      <c r="F436" s="10" t="str">
        <f ca="1">IFERROR(__xludf.DUMMYFUNCTION("""COMPUTED_VALUE"""),"Scopus")</f>
        <v>Scopus</v>
      </c>
      <c r="G436" s="10" t="str">
        <f ca="1">IFERROR(__xludf.DUMMYFUNCTION("""COMPUTED_VALUE"""),"Ив. Виячки, Ф.П. Гал, П. Херманек, Е. Симеонов")</f>
        <v>Ив. Виячки, Ф.П. Гал, П. Херманек, Е. Симеонов</v>
      </c>
      <c r="H436" s="10"/>
      <c r="I436" s="10"/>
      <c r="J436" s="10"/>
      <c r="K436" s="10"/>
      <c r="L436" s="10"/>
      <c r="M436" s="10"/>
      <c r="N436" s="10"/>
      <c r="O436" s="10"/>
      <c r="P436" s="10"/>
      <c r="Q436" s="10"/>
      <c r="R436" s="10"/>
      <c r="S436" s="10"/>
      <c r="T436" s="10"/>
      <c r="U436" s="10"/>
      <c r="V436" s="10"/>
      <c r="W436" s="10"/>
      <c r="X436" s="10"/>
      <c r="Y436" s="10"/>
      <c r="Z436" s="10"/>
    </row>
    <row r="437" spans="1:26" ht="12.75">
      <c r="A437" s="10" t="str">
        <f ca="1">IFERROR(__xludf.DUMMYFUNCTION("""COMPUTED_VALUE"""),"Аркади Георгиев Иванов")</f>
        <v>Аркади Георгиев Иванов</v>
      </c>
      <c r="B437" s="10" t="str">
        <f ca="1">IFERROR(__xludf.DUMMYFUNCTION("""COMPUTED_VALUE"""),"Статия в списания и поредици")</f>
        <v>Статия в списания и поредици</v>
      </c>
      <c r="C437" s="10" t="str">
        <f ca="1">IFERROR(__xludf.DUMMYFUNCTION("""COMPUTED_VALUE"""),"Случай на опит за самоубийство по пет начина.")</f>
        <v>Случай на опит за самоубийство по пет начина.</v>
      </c>
      <c r="D437" s="10">
        <f ca="1">IFERROR(__xludf.DUMMYFUNCTION("""COMPUTED_VALUE"""),1987)</f>
        <v>1987</v>
      </c>
      <c r="E437" s="10" t="str">
        <f ca="1">IFERROR(__xludf.DUMMYFUNCTION("""COMPUTED_VALUE"""),"сп. Хирургия, 1987, 6, 48-50. ISSN 0450-2167")</f>
        <v>сп. Хирургия, 1987, 6, 48-50. ISSN 0450-2167</v>
      </c>
      <c r="F437" s="10" t="str">
        <f ca="1">IFERROR(__xludf.DUMMYFUNCTION("""COMPUTED_VALUE"""),"Scopus")</f>
        <v>Scopus</v>
      </c>
      <c r="G437" s="10" t="str">
        <f ca="1">IFERROR(__xludf.DUMMYFUNCTION("""COMPUTED_VALUE"""),"Т. Делийски")</f>
        <v>Т. Делийски</v>
      </c>
      <c r="H437" s="10"/>
      <c r="I437" s="10"/>
      <c r="J437" s="10"/>
      <c r="K437" s="10"/>
      <c r="L437" s="10"/>
      <c r="M437" s="10"/>
      <c r="N437" s="10"/>
      <c r="O437" s="10"/>
      <c r="P437" s="10"/>
      <c r="Q437" s="10"/>
      <c r="R437" s="10"/>
      <c r="S437" s="10"/>
      <c r="T437" s="10"/>
      <c r="U437" s="10"/>
      <c r="V437" s="10"/>
      <c r="W437" s="10"/>
      <c r="X437" s="10"/>
      <c r="Y437" s="10"/>
      <c r="Z437" s="10"/>
    </row>
    <row r="438" spans="1:26" ht="12.75">
      <c r="A438" s="10" t="str">
        <f ca="1">IFERROR(__xludf.DUMMYFUNCTION("""COMPUTED_VALUE"""),"Аркади Георгиев Иванов")</f>
        <v>Аркади Георгиев Иванов</v>
      </c>
      <c r="B438" s="10" t="str">
        <f ca="1">IFERROR(__xludf.DUMMYFUNCTION("""COMPUTED_VALUE"""),"Статия в списания и поредици")</f>
        <v>Статия в списания и поредици</v>
      </c>
      <c r="C438" s="10" t="str">
        <f ca="1">IFERROR(__xludf.DUMMYFUNCTION("""COMPUTED_VALUE"""),"Случай на самоувреда в лицево- челюстната област с цел промяна на режима при изтърпяване на наказание.")</f>
        <v>Случай на самоувреда в лицево- челюстната област с цел промяна на режима при изтърпяване на наказание.</v>
      </c>
      <c r="D438" s="10">
        <f ca="1">IFERROR(__xludf.DUMMYFUNCTION("""COMPUTED_VALUE"""),1987)</f>
        <v>1987</v>
      </c>
      <c r="E438" s="10" t="str">
        <f ca="1">IFERROR(__xludf.DUMMYFUNCTION("""COMPUTED_VALUE"""),"сп. Стоматология, 1987, 1, 51-52.")</f>
        <v>сп. Стоматология, 1987, 1, 51-52.</v>
      </c>
      <c r="F438" s="10"/>
      <c r="G438" s="10" t="str">
        <f ca="1">IFERROR(__xludf.DUMMYFUNCTION("""COMPUTED_VALUE"""),"Ст. Цветанов, Л. Ковачев")</f>
        <v>Ст. Цветанов, Л. Ковачев</v>
      </c>
      <c r="H438" s="10"/>
      <c r="I438" s="10"/>
      <c r="J438" s="10"/>
      <c r="K438" s="10"/>
      <c r="L438" s="10"/>
      <c r="M438" s="10"/>
      <c r="N438" s="10"/>
      <c r="O438" s="10"/>
      <c r="P438" s="10"/>
      <c r="Q438" s="10"/>
      <c r="R438" s="10"/>
      <c r="S438" s="10"/>
      <c r="T438" s="10"/>
      <c r="U438" s="10"/>
      <c r="V438" s="10"/>
      <c r="W438" s="10"/>
      <c r="X438" s="10"/>
      <c r="Y438" s="10"/>
      <c r="Z438" s="10"/>
    </row>
    <row r="439" spans="1:26" ht="12.75">
      <c r="A439" s="10" t="str">
        <f ca="1">IFERROR(__xludf.DUMMYFUNCTION("""COMPUTED_VALUE"""),"Атанас Иванов Начев")</f>
        <v>Атанас Иванов Начев</v>
      </c>
      <c r="B439" s="10" t="str">
        <f ca="1">IFERROR(__xludf.DUMMYFUNCTION("""COMPUTED_VALUE"""),"Доклад от конференция")</f>
        <v>Доклад от конференция</v>
      </c>
      <c r="C439" s="10" t="str">
        <f ca="1">IFERROR(__xludf.DUMMYFUNCTION("""COMPUTED_VALUE"""),"Information Processes and the Reliability Characteristics of the Means for their Realization")</f>
        <v>Information Processes and the Reliability Characteristics of the Means for their Realization</v>
      </c>
      <c r="D439" s="10">
        <f ca="1">IFERROR(__xludf.DUMMYFUNCTION("""COMPUTED_VALUE"""),2019)</f>
        <v>2019</v>
      </c>
      <c r="E439" s="10" t="str">
        <f ca="1">IFERROR(__xludf.DUMMYFUNCTION("""COMPUTED_VALUE"""),"""1st International Conference on Control Systems, Mathematical Modelling, Automation and Energy Efficiency (SUMMA), Lipetsk, Russia, 2019, pp. 302-306. doi: 10.1109/SUMMA48161.2019.8947583""")</f>
        <v>"1st International Conference on Control Systems, Mathematical Modelling, Automation and Energy Efficiency (SUMMA), Lipetsk, Russia, 2019, pp. 302-306. doi: 10.1109/SUMMA48161.2019.8947583"</v>
      </c>
      <c r="F439" s="10" t="str">
        <f ca="1">IFERROR(__xludf.DUMMYFUNCTION("""COMPUTED_VALUE"""),"Scopus")</f>
        <v>Scopus</v>
      </c>
      <c r="G439" s="10" t="str">
        <f ca="1">IFERROR(__xludf.DUMMYFUNCTION("""COMPUTED_VALUE"""),"Gueorguiev, Nikolay; Todorov, Ognyan")</f>
        <v>Gueorguiev, Nikolay; Todorov, Ognyan</v>
      </c>
      <c r="H439" s="10"/>
      <c r="I439" s="10"/>
      <c r="J439" s="10"/>
      <c r="K439" s="10"/>
      <c r="L439" s="10"/>
      <c r="M439" s="10"/>
      <c r="N439" s="10"/>
      <c r="O439" s="10"/>
      <c r="P439" s="10"/>
      <c r="Q439" s="10"/>
      <c r="R439" s="10"/>
      <c r="S439" s="10"/>
      <c r="T439" s="10"/>
      <c r="U439" s="10"/>
      <c r="V439" s="10"/>
      <c r="W439" s="10"/>
      <c r="X439" s="10"/>
      <c r="Y439" s="10"/>
      <c r="Z439" s="10"/>
    </row>
    <row r="440" spans="1:26" ht="12.75">
      <c r="A440" s="10" t="str">
        <f ca="1">IFERROR(__xludf.DUMMYFUNCTION("""COMPUTED_VALUE"""),"Атанас Иванов Начев")</f>
        <v>Атанас Иванов Начев</v>
      </c>
      <c r="B440" s="10" t="str">
        <f ca="1">IFERROR(__xludf.DUMMYFUNCTION("""COMPUTED_VALUE"""),"Доклад от конференция")</f>
        <v>Доклад от конференция</v>
      </c>
      <c r="C440" s="10" t="str">
        <f ca="1">IFERROR(__xludf.DUMMYFUNCTION("""COMPUTED_VALUE"""),"An Approach for Determining the Location of an Object Detected by a Sensor")</f>
        <v>An Approach for Determining the Location of an Object Detected by a Sensor</v>
      </c>
      <c r="D440" s="10">
        <f ca="1">IFERROR(__xludf.DUMMYFUNCTION("""COMPUTED_VALUE"""),2019)</f>
        <v>2019</v>
      </c>
      <c r="E440" s="10" t="str">
        <f ca="1">IFERROR(__xludf.DUMMYFUNCTION("""COMPUTED_VALUE"""),"1st International Conference on Control Systems, Mathematical Modelling, Automation and Energy Efficiency (SUMMA), Lipetsk, Russia, 2019, pp. 275-278. doi: 10.1109/SUMMA48161.2019.8947531")</f>
        <v>1st International Conference on Control Systems, Mathematical Modelling, Automation and Energy Efficiency (SUMMA), Lipetsk, Russia, 2019, pp. 275-278. doi: 10.1109/SUMMA48161.2019.8947531</v>
      </c>
      <c r="F440" s="10" t="str">
        <f ca="1">IFERROR(__xludf.DUMMYFUNCTION("""COMPUTED_VALUE"""),"Scopus")</f>
        <v>Scopus</v>
      </c>
      <c r="G440" s="10" t="str">
        <f ca="1">IFERROR(__xludf.DUMMYFUNCTION("""COMPUTED_VALUE"""),"Varbanov, Vladimir; Gueorguiev, Nikolay")</f>
        <v>Varbanov, Vladimir; Gueorguiev, Nikolay</v>
      </c>
      <c r="H440" s="10"/>
      <c r="I440" s="10"/>
      <c r="J440" s="10"/>
      <c r="K440" s="10"/>
      <c r="L440" s="10"/>
      <c r="M440" s="10"/>
      <c r="N440" s="10"/>
      <c r="O440" s="10"/>
      <c r="P440" s="10"/>
      <c r="Q440" s="10"/>
      <c r="R440" s="10"/>
      <c r="S440" s="10"/>
      <c r="T440" s="10"/>
      <c r="U440" s="10"/>
      <c r="V440" s="10"/>
      <c r="W440" s="10"/>
      <c r="X440" s="10"/>
      <c r="Y440" s="10"/>
      <c r="Z440" s="10"/>
    </row>
    <row r="441" spans="1:26" ht="12.75">
      <c r="A441" s="10" t="str">
        <f ca="1">IFERROR(__xludf.DUMMYFUNCTION("""COMPUTED_VALUE"""),"Атанас Иванов Начев")</f>
        <v>Атанас Иванов Начев</v>
      </c>
      <c r="B441" s="10" t="str">
        <f ca="1">IFERROR(__xludf.DUMMYFUNCTION("""COMPUTED_VALUE"""),"Доклад от конференция")</f>
        <v>Доклад от конференция</v>
      </c>
      <c r="C441" s="10" t="str">
        <f ca="1">IFERROR(__xludf.DUMMYFUNCTION("""COMPUTED_VALUE"""),"Тенденции в решаването на проблема надеждност на програмното осигуряване на големи информационни системи")</f>
        <v>Тенденции в решаването на проблема надеждност на програмното осигуряване на големи информационни системи</v>
      </c>
      <c r="D441" s="10">
        <f ca="1">IFERROR(__xludf.DUMMYFUNCTION("""COMPUTED_VALUE"""),2019)</f>
        <v>2019</v>
      </c>
      <c r="E441" s="10" t="str">
        <f ca="1">IFERROR(__xludf.DUMMYFUNCTION("""COMPUTED_VALUE"""),"ХVI Национална научна конференция с международно участие „Обществото на знанието и хуманизмът на XXI век”, София, 1 ноември 2018, „За буквите. О Писменехь“, 2019, с. 768-776. ISSN 1314-7099")</f>
        <v>ХVI Национална научна конференция с международно участие „Обществото на знанието и хуманизмът на XXI век”, София, 1 ноември 2018, „За буквите. О Писменехь“, 2019, с. 768-776. ISSN 1314-7099</v>
      </c>
      <c r="F441" s="10"/>
      <c r="G441" s="10" t="str">
        <f ca="1">IFERROR(__xludf.DUMMYFUNCTION("""COMPUTED_VALUE"""),"Янакиева, Виктория")</f>
        <v>Янакиева, Виктория</v>
      </c>
      <c r="H441" s="10"/>
      <c r="I441" s="10"/>
      <c r="J441" s="10"/>
      <c r="K441" s="10"/>
      <c r="L441" s="10"/>
      <c r="M441" s="10"/>
      <c r="N441" s="10"/>
      <c r="O441" s="10"/>
      <c r="P441" s="10"/>
      <c r="Q441" s="10"/>
      <c r="R441" s="10"/>
      <c r="S441" s="10"/>
      <c r="T441" s="10"/>
      <c r="U441" s="10"/>
      <c r="V441" s="10"/>
      <c r="W441" s="10"/>
      <c r="X441" s="10"/>
      <c r="Y441" s="10"/>
      <c r="Z441" s="10"/>
    </row>
    <row r="442" spans="1:26" ht="12.75">
      <c r="A442" s="10" t="str">
        <f ca="1">IFERROR(__xludf.DUMMYFUNCTION("""COMPUTED_VALUE"""),"Атанас Иванов Начев")</f>
        <v>Атанас Иванов Начев</v>
      </c>
      <c r="B442" s="10" t="str">
        <f ca="1">IFERROR(__xludf.DUMMYFUNCTION("""COMPUTED_VALUE"""),"Доклад от конференция")</f>
        <v>Доклад от конференция</v>
      </c>
      <c r="C442" s="10" t="str">
        <f ca="1">IFERROR(__xludf.DUMMYFUNCTION("""COMPUTED_VALUE"""),"Възникване и развитие на проблема надеждност в техниката и интерпретацията му по отношение на информационните технологии")</f>
        <v>Възникване и развитие на проблема надеждност в техниката и интерпретацията му по отношение на информационните технологии</v>
      </c>
      <c r="D442" s="10">
        <f ca="1">IFERROR(__xludf.DUMMYFUNCTION("""COMPUTED_VALUE"""),2019)</f>
        <v>2019</v>
      </c>
      <c r="E442" s="10" t="str">
        <f ca="1">IFERROR(__xludf.DUMMYFUNCTION("""COMPUTED_VALUE"""),"В: Сб. доклади от XIII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1"&amp;"97-204. ISSN 2367-7988")</f>
        <v>В: Сб. доклади от XIII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197-204. ISSN 2367-7988</v>
      </c>
      <c r="F442" s="10"/>
      <c r="G442" s="10"/>
      <c r="H442" s="10"/>
      <c r="I442" s="10"/>
      <c r="J442" s="10"/>
      <c r="K442" s="10"/>
      <c r="L442" s="10"/>
      <c r="M442" s="10"/>
      <c r="N442" s="10"/>
      <c r="O442" s="10"/>
      <c r="P442" s="10"/>
      <c r="Q442" s="10"/>
      <c r="R442" s="10"/>
      <c r="S442" s="10"/>
      <c r="T442" s="10"/>
      <c r="U442" s="10"/>
      <c r="V442" s="10"/>
      <c r="W442" s="10"/>
      <c r="X442" s="10"/>
      <c r="Y442" s="10"/>
      <c r="Z442" s="10"/>
    </row>
    <row r="443" spans="1:26" ht="12.75">
      <c r="A443" s="10" t="str">
        <f ca="1">IFERROR(__xludf.DUMMYFUNCTION("""COMPUTED_VALUE"""),"Атанас Иванов Начев")</f>
        <v>Атанас Иванов Начев</v>
      </c>
      <c r="B443" s="10" t="str">
        <f ca="1">IFERROR(__xludf.DUMMYFUNCTION("""COMPUTED_VALUE"""),"Книга")</f>
        <v>Книга</v>
      </c>
      <c r="C443" s="10" t="str">
        <f ca="1">IFERROR(__xludf.DUMMYFUNCTION("""COMPUTED_VALUE"""),"България в общоевропейската отбрана, Глава III: Развитие на научните изследвания и иноваяциите за нуждите на Българската армия")</f>
        <v>България в общоевропейската отбрана, Глава III: Развитие на научните изследвания и иноваяциите за нуждите на Българската армия</v>
      </c>
      <c r="D443" s="10">
        <f ca="1">IFERROR(__xludf.DUMMYFUNCTION("""COMPUTED_VALUE"""),2018)</f>
        <v>2018</v>
      </c>
      <c r="E443" s="10" t="str">
        <f ca="1">IFERROR(__xludf.DUMMYFUNCTION("""COMPUTED_VALUE"""),"София, Riedrich Ebert Stiftung, стр. 26-33, ISBN: 978-954-2979-33-3.")</f>
        <v>София, Riedrich Ebert Stiftung, стр. 26-33, ISBN: 978-954-2979-33-3.</v>
      </c>
      <c r="F443" s="10"/>
      <c r="G443" s="10"/>
      <c r="H443" s="10"/>
      <c r="I443" s="10"/>
      <c r="J443" s="10"/>
      <c r="K443" s="10"/>
      <c r="L443" s="10"/>
      <c r="M443" s="10"/>
      <c r="N443" s="10"/>
      <c r="O443" s="10"/>
      <c r="P443" s="10"/>
      <c r="Q443" s="10"/>
      <c r="R443" s="10"/>
      <c r="S443" s="10"/>
      <c r="T443" s="10"/>
      <c r="U443" s="10"/>
      <c r="V443" s="10"/>
      <c r="W443" s="10"/>
      <c r="X443" s="10"/>
      <c r="Y443" s="10"/>
      <c r="Z443" s="10"/>
    </row>
    <row r="444" spans="1:26" ht="12.75">
      <c r="A444" s="10" t="str">
        <f ca="1">IFERROR(__xludf.DUMMYFUNCTION("""COMPUTED_VALUE"""),"Атанас Иванов Начев")</f>
        <v>Атанас Иванов Начев</v>
      </c>
      <c r="B444" s="10" t="str">
        <f ca="1">IFERROR(__xludf.DUMMYFUNCTION("""COMPUTED_VALUE"""),"Статия в списания и поредици")</f>
        <v>Статия в списания и поредици</v>
      </c>
      <c r="C444" s="10" t="str">
        <f ca="1">IFERROR(__xludf.DUMMYFUNCTION("""COMPUTED_VALUE"""),"Модели на интензивността на отказитe на програмното осигуряване")</f>
        <v>Модели на интензивността на отказитe на програмното осигуряване</v>
      </c>
      <c r="D444" s="10">
        <f ca="1">IFERROR(__xludf.DUMMYFUNCTION("""COMPUTED_VALUE"""),2018)</f>
        <v>2018</v>
      </c>
      <c r="E444" s="10" t="str">
        <f ca="1">IFERROR(__xludf.DUMMYFUNCTION("""COMPUTED_VALUE"""),"ГОДИШНИК НА ШУМЕНСКИЯ УНИВЕРСИТЕТ „ЕПИСКОП КОНСТАНТИН ПРЕСЛАВСКИ“ Tом XIX C, ФАКУЛТЕТ ПО МАТЕМАТИКА И ИНФОРМАТИКА, стр.165-169, ISSN: 1311-834X")</f>
        <v>ГОДИШНИК НА ШУМЕНСКИЯ УНИВЕРСИТЕТ „ЕПИСКОП КОНСТАНТИН ПРЕСЛАВСКИ“ Tом XIX C, ФАКУЛТЕТ ПО МАТЕМАТИКА И ИНФОРМАТИКА, стр.165-169, ISSN: 1311-834X</v>
      </c>
      <c r="F444" s="10"/>
      <c r="G444" s="10" t="str">
        <f ca="1">IFERROR(__xludf.DUMMYFUNCTION("""COMPUTED_VALUE"""),"Виктория Янакиева")</f>
        <v>Виктория Янакиева</v>
      </c>
      <c r="H444" s="10"/>
      <c r="I444" s="10"/>
      <c r="J444" s="10"/>
      <c r="K444" s="10"/>
      <c r="L444" s="10"/>
      <c r="M444" s="10"/>
      <c r="N444" s="10"/>
      <c r="O444" s="10"/>
      <c r="P444" s="10"/>
      <c r="Q444" s="10"/>
      <c r="R444" s="10"/>
      <c r="S444" s="10"/>
      <c r="T444" s="10"/>
      <c r="U444" s="10"/>
      <c r="V444" s="10"/>
      <c r="W444" s="10"/>
      <c r="X444" s="10"/>
      <c r="Y444" s="10"/>
      <c r="Z444" s="10"/>
    </row>
    <row r="445" spans="1:26" ht="12.75">
      <c r="A445" s="10" t="str">
        <f ca="1">IFERROR(__xludf.DUMMYFUNCTION("""COMPUTED_VALUE"""),"Атанас Иванов Начев")</f>
        <v>Атанас Иванов Начев</v>
      </c>
      <c r="B445" s="10" t="str">
        <f ca="1">IFERROR(__xludf.DUMMYFUNCTION("""COMPUTED_VALUE"""),"Доклад от конференция")</f>
        <v>Доклад от конференция</v>
      </c>
      <c r="C445" s="10" t="str">
        <f ca="1">IFERROR(__xludf.DUMMYFUNCTION("""COMPUTED_VALUE"""),"Тенденции в решаването на проблема надеждност на програмното осигуряване на големи информационни системи")</f>
        <v>Тенденции в решаването на проблема надеждност на програмното осигуряване на големи информационни системи</v>
      </c>
      <c r="D445" s="10">
        <f ca="1">IFERROR(__xludf.DUMMYFUNCTION("""COMPUTED_VALUE"""),2018)</f>
        <v>2018</v>
      </c>
      <c r="E445" s="10" t="str">
        <f ca="1">IFERROR(__xludf.DUMMYFUNCTION("""COMPUTED_VALUE"""),"ОБЩЕСТВО на знанието и хуманизмът на XXI век: национална научна конференция с международно участие.-София: За буквите-О‘писменех, 2018. ISSN: 1314-7099.")</f>
        <v>ОБЩЕСТВО на знанието и хуманизмът на XXI век: национална научна конференция с международно участие.-София: За буквите-О‘писменех, 2018. ISSN: 1314-7099.</v>
      </c>
      <c r="F445" s="10"/>
      <c r="G445" s="10" t="str">
        <f ca="1">IFERROR(__xludf.DUMMYFUNCTION("""COMPUTED_VALUE"""),"Виктория Янакиева")</f>
        <v>Виктория Янакиева</v>
      </c>
      <c r="H445" s="10"/>
      <c r="I445" s="10"/>
      <c r="J445" s="10"/>
      <c r="K445" s="10"/>
      <c r="L445" s="10"/>
      <c r="M445" s="10"/>
      <c r="N445" s="10"/>
      <c r="O445" s="10"/>
      <c r="P445" s="10"/>
      <c r="Q445" s="10"/>
      <c r="R445" s="10"/>
      <c r="S445" s="10"/>
      <c r="T445" s="10"/>
      <c r="U445" s="10"/>
      <c r="V445" s="10"/>
      <c r="W445" s="10"/>
      <c r="X445" s="10"/>
      <c r="Y445" s="10"/>
      <c r="Z445" s="10"/>
    </row>
    <row r="446" spans="1:26" ht="12.75">
      <c r="A446" s="10" t="str">
        <f ca="1">IFERROR(__xludf.DUMMYFUNCTION("""COMPUTED_VALUE"""),"Атанас Иванов Начев")</f>
        <v>Атанас Иванов Начев</v>
      </c>
      <c r="B446" s="10" t="str">
        <f ca="1">IFERROR(__xludf.DUMMYFUNCTION("""COMPUTED_VALUE"""),"Доклад от конференция")</f>
        <v>Доклад от конференция</v>
      </c>
      <c r="C446" s="10" t="str">
        <f ca="1">IFERROR(__xludf.DUMMYFUNCTION("""COMPUTED_VALUE"""),"Ефективност на системите за защита на информацията в компютърните системи")</f>
        <v>Ефективност на системите за защита на информацията в компютърните системи</v>
      </c>
      <c r="D446" s="10">
        <f ca="1">IFERROR(__xludf.DUMMYFUNCTION("""COMPUTED_VALUE"""),2017)</f>
        <v>2017</v>
      </c>
      <c r="E446" s="10" t="str">
        <f ca="1">IFERROR(__xludf.DUMMYFUNCTION("""COMPUTED_VALUE"""),"Шеста национална конференция с международно участие „Металознание, хидро- и аеродинамика, национална сигурност. Сборник доклади; София, Българска академия на науките, Институт по металознание, съоръжения и технологии „Академик Ангел Балевски“ с център по "&amp;"хидро- и аеродинамика, 2017, ISSN 978-619-185-126-3, стр.344-348")</f>
        <v>Шеста национална конференция с международно участие „Металознание, хидро- и аеродинамика, национална сигурност. Сборник доклади; София, Българска академия на науките, Институт по металознание, съоръжения и технологии „Академик Ангел Балевски“ с център по хидро- и аеродинамика, 2017, ISSN 978-619-185-126-3, стр.344-348</v>
      </c>
      <c r="F446" s="10"/>
      <c r="G446" s="10" t="str">
        <f ca="1">IFERROR(__xludf.DUMMYFUNCTION("""COMPUTED_VALUE"""),"Станимир Железов Виктор Джелебов")</f>
        <v>Станимир Железов Виктор Джелебов</v>
      </c>
      <c r="H446" s="10"/>
      <c r="I446" s="10"/>
      <c r="J446" s="10"/>
      <c r="K446" s="10"/>
      <c r="L446" s="10"/>
      <c r="M446" s="10"/>
      <c r="N446" s="10"/>
      <c r="O446" s="10"/>
      <c r="P446" s="10"/>
      <c r="Q446" s="10"/>
      <c r="R446" s="10"/>
      <c r="S446" s="10"/>
      <c r="T446" s="10"/>
      <c r="U446" s="10"/>
      <c r="V446" s="10"/>
      <c r="W446" s="10"/>
      <c r="X446" s="10"/>
      <c r="Y446" s="10"/>
      <c r="Z446" s="10"/>
    </row>
    <row r="447" spans="1:26" ht="12.75">
      <c r="A447" s="10" t="str">
        <f ca="1">IFERROR(__xludf.DUMMYFUNCTION("""COMPUTED_VALUE"""),"Атанас Иванов Начев")</f>
        <v>Атанас Иванов Начев</v>
      </c>
      <c r="B447" s="10" t="str">
        <f ca="1">IFERROR(__xludf.DUMMYFUNCTION("""COMPUTED_VALUE"""),"Монография")</f>
        <v>Монография</v>
      </c>
      <c r="C447" s="10" t="str">
        <f ca="1">IFERROR(__xludf.DUMMYFUNCTION("""COMPUTED_VALUE"""),"НАДЕЖДНОСТ НА ПРОГРАМНОТО ОСИГУРЯВАНЕ На примера на програмни системи и комплекси")</f>
        <v>НАДЕЖДНОСТ НА ПРОГРАМНОТО ОСИГУРЯВАНЕ На примера на програмни системи и комплекси</v>
      </c>
      <c r="D447" s="10">
        <f ca="1">IFERROR(__xludf.DUMMYFUNCTION("""COMPUTED_VALUE"""),2017)</f>
        <v>2017</v>
      </c>
      <c r="E447" s="10" t="str">
        <f ca="1">IFERROR(__xludf.DUMMYFUNCTION("""COMPUTED_VALUE"""),"Шумен; Университетско издателство „Епископ Константин Преславски“; ISBN: 978-619-201-235-9")</f>
        <v>Шумен; Университетско издателство „Епископ Константин Преславски“; ISBN: 978-619-201-235-9</v>
      </c>
      <c r="F447" s="10"/>
      <c r="G447" s="10"/>
      <c r="H447" s="10"/>
      <c r="I447" s="10"/>
      <c r="J447" s="10"/>
      <c r="K447" s="10"/>
      <c r="L447" s="10"/>
      <c r="M447" s="10"/>
      <c r="N447" s="10"/>
      <c r="O447" s="10"/>
      <c r="P447" s="10"/>
      <c r="Q447" s="10"/>
      <c r="R447" s="10"/>
      <c r="S447" s="10"/>
      <c r="T447" s="10"/>
      <c r="U447" s="10"/>
      <c r="V447" s="10"/>
      <c r="W447" s="10"/>
      <c r="X447" s="10"/>
      <c r="Y447" s="10"/>
      <c r="Z447" s="10"/>
    </row>
    <row r="448" spans="1:26" ht="12.75">
      <c r="A448" s="10" t="str">
        <f ca="1">IFERROR(__xludf.DUMMYFUNCTION("""COMPUTED_VALUE"""),"Атанас Иванов Начев")</f>
        <v>Атанас Иванов Начев</v>
      </c>
      <c r="B448" s="10" t="str">
        <f ca="1">IFERROR(__xludf.DUMMYFUNCTION("""COMPUTED_VALUE"""),"Доклад от конференция")</f>
        <v>Доклад от конференция</v>
      </c>
      <c r="C448" s="10" t="str">
        <f ca="1">IFERROR(__xludf.DUMMYFUNCTION("""COMPUTED_VALUE"""),"Ефективност на системите за защита на информацията в компютърните системи и мрежи")</f>
        <v>Ефективност на системите за защита на информацията в компютърните системи и мрежи</v>
      </c>
      <c r="D448" s="10">
        <f ca="1">IFERROR(__xludf.DUMMYFUNCTION("""COMPUTED_VALUE"""),2017)</f>
        <v>2017</v>
      </c>
      <c r="E448" s="10" t="str">
        <f ca="1">IFERROR(__xludf.DUMMYFUNCTION("""COMPUTED_VALUE"""),"Сборник доклади Българска академия на науките; Институт по металознание, съоръжения и технологии „Академик Ангел Балевски“ с център по хидро- и аеродинамика. ISSN 1313-8308")</f>
        <v>Сборник доклади Българска академия на науките; Институт по металознание, съоръжения и технологии „Академик Ангел Балевски“ с център по хидро- и аеродинамика. ISSN 1313-8308</v>
      </c>
      <c r="F448" s="10"/>
      <c r="G448" s="10" t="str">
        <f ca="1">IFERROR(__xludf.DUMMYFUNCTION("""COMPUTED_VALUE"""),"Станимир Железов; Виктор Джелебов")</f>
        <v>Станимир Железов; Виктор Джелебов</v>
      </c>
      <c r="H448" s="10"/>
      <c r="I448" s="10"/>
      <c r="J448" s="10"/>
      <c r="K448" s="10"/>
      <c r="L448" s="10"/>
      <c r="M448" s="10"/>
      <c r="N448" s="10"/>
      <c r="O448" s="10"/>
      <c r="P448" s="10"/>
      <c r="Q448" s="10"/>
      <c r="R448" s="10"/>
      <c r="S448" s="10"/>
      <c r="T448" s="10"/>
      <c r="U448" s="10"/>
      <c r="V448" s="10"/>
      <c r="W448" s="10"/>
      <c r="X448" s="10"/>
      <c r="Y448" s="10"/>
      <c r="Z448" s="10"/>
    </row>
    <row r="449" spans="1:26" ht="12.75">
      <c r="A449" s="10" t="str">
        <f ca="1">IFERROR(__xludf.DUMMYFUNCTION("""COMPUTED_VALUE"""),"Атанас Иванов Начев")</f>
        <v>Атанас Иванов Начев</v>
      </c>
      <c r="B449" s="10" t="str">
        <f ca="1">IFERROR(__xludf.DUMMYFUNCTION("""COMPUTED_VALUE"""),"Доклад от конференция")</f>
        <v>Доклад от конференция</v>
      </c>
      <c r="C449" s="10" t="str">
        <f ca="1">IFERROR(__xludf.DUMMYFUNCTION("""COMPUTED_VALUE"""),"Определяне на отказоустойчивостта на сателитни мрежови структури")</f>
        <v>Определяне на отказоустойчивостта на сателитни мрежови структури</v>
      </c>
      <c r="D449" s="10">
        <f ca="1">IFERROR(__xludf.DUMMYFUNCTION("""COMPUTED_VALUE"""),2016)</f>
        <v>2016</v>
      </c>
      <c r="E449" s="10" t="str">
        <f ca="1">IFERROR(__xludf.DUMMYFUNCTION("""COMPUTED_VALUE"""),"Сборник доклади „МАТТЕХ 2016“ Шуменски университет „Епископ Константин Преславски“ Том 1, стр. 3-12 ISSN: 1314-3921")</f>
        <v>Сборник доклади „МАТТЕХ 2016“ Шуменски университет „Епископ Константин Преславски“ Том 1, стр. 3-12 ISSN: 1314-3921</v>
      </c>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c r="A450" s="10" t="str">
        <f ca="1">IFERROR(__xludf.DUMMYFUNCTION("""COMPUTED_VALUE"""),"Атанас Иванов Начев")</f>
        <v>Атанас Иванов Начев</v>
      </c>
      <c r="B450" s="10" t="str">
        <f ca="1">IFERROR(__xludf.DUMMYFUNCTION("""COMPUTED_VALUE"""),"Монография")</f>
        <v>Монография</v>
      </c>
      <c r="C450" s="10" t="str">
        <f ca="1">IFERROR(__xludf.DUMMYFUNCTION("""COMPUTED_VALUE"""),"НАДЕЖДНОСТ НА ВЪОРЪЖЕНИЕТО Методи за определяне на надеждността на примера на електронните средства и системи въоръжение")</f>
        <v>НАДЕЖДНОСТ НА ВЪОРЪЖЕНИЕТО Методи за определяне на надеждността на примера на електронните средства и системи въоръжение</v>
      </c>
      <c r="D450" s="10">
        <f ca="1">IFERROR(__xludf.DUMMYFUNCTION("""COMPUTED_VALUE"""),2016)</f>
        <v>2016</v>
      </c>
      <c r="E450" s="10" t="str">
        <f ca="1">IFERROR(__xludf.DUMMYFUNCTION("""COMPUTED_VALUE"""),"Българска академия на науките; Институт по металознание, съоръжения и технологии „Академик Ангел Балевски“ с център по хидро- и аеродинамика. ISBN 978-619-90310-5-6")</f>
        <v>Българска академия на науките; Институт по металознание, съоръжения и технологии „Академик Ангел Балевски“ с център по хидро- и аеродинамика. ISBN 978-619-90310-5-6</v>
      </c>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c r="A451" s="10" t="str">
        <f ca="1">IFERROR(__xludf.DUMMYFUNCTION("""COMPUTED_VALUE"""),"Атанас Иванов Начев")</f>
        <v>Атанас Иванов Начев</v>
      </c>
      <c r="B451" s="10" t="str">
        <f ca="1">IFERROR(__xludf.DUMMYFUNCTION("""COMPUTED_VALUE"""),"Доклад от конференция")</f>
        <v>Доклад от конференция</v>
      </c>
      <c r="C451" s="10" t="str">
        <f ca="1">IFERROR(__xludf.DUMMYFUNCTION("""COMPUTED_VALUE"""),"Динамика на хакерските атаки")</f>
        <v>Динамика на хакерските атаки</v>
      </c>
      <c r="D451" s="10">
        <f ca="1">IFERROR(__xludf.DUMMYFUNCTION("""COMPUTED_VALUE"""),2015)</f>
        <v>2015</v>
      </c>
      <c r="E451" s="10" t="str">
        <f ca="1">IFERROR(__xludf.DUMMYFUNCTION("""COMPUTED_VALUE"""),"Новите предисвикателства пред системата за информационна сигурност: научна конференция 4-5 юни 2015 г., Шумен:сборник научни трудове-Шумен:Национален военен университет „Васил Левски“, Факултет „Артилерия, ПВО и КИС“, Комисия за защита на личните данни, Д"&amp;"ържавна комисия по сигурността на личните данни, стр. 93-104, ISBN:978-954-9681-64-9.")</f>
        <v>Новите предисвикателства пред системата за информационна сигурност: научна конференция 4-5 юни 2015 г., Шумен:сборник научни трудове-Шумен:Национален военен университет „Васил Левски“, Факултет „Артилерия, ПВО и КИС“, Комисия за защита на личните данни, Държавна комисия по сигурността на личните данни, стр. 93-104, ISBN:978-954-9681-64-9.</v>
      </c>
      <c r="F451" s="10"/>
      <c r="G451" s="10" t="str">
        <f ca="1">IFERROR(__xludf.DUMMYFUNCTION("""COMPUTED_VALUE"""),"Виктор Джелепов")</f>
        <v>Виктор Джелепов</v>
      </c>
      <c r="H451" s="10"/>
      <c r="I451" s="10"/>
      <c r="J451" s="10"/>
      <c r="K451" s="10"/>
      <c r="L451" s="10"/>
      <c r="M451" s="10"/>
      <c r="N451" s="10"/>
      <c r="O451" s="10"/>
      <c r="P451" s="10"/>
      <c r="Q451" s="10"/>
      <c r="R451" s="10"/>
      <c r="S451" s="10"/>
      <c r="T451" s="10"/>
      <c r="U451" s="10"/>
      <c r="V451" s="10"/>
      <c r="W451" s="10"/>
      <c r="X451" s="10"/>
      <c r="Y451" s="10"/>
      <c r="Z451" s="10"/>
    </row>
    <row r="452" spans="1:26" ht="12.75">
      <c r="A452" s="10" t="str">
        <f ca="1">IFERROR(__xludf.DUMMYFUNCTION("""COMPUTED_VALUE"""),"Атанас Иванов Начев")</f>
        <v>Атанас Иванов Начев</v>
      </c>
      <c r="B452" s="10" t="str">
        <f ca="1">IFERROR(__xludf.DUMMYFUNCTION("""COMPUTED_VALUE"""),"Учебник")</f>
        <v>Учебник</v>
      </c>
      <c r="C452" s="10" t="str">
        <f ca="1">IFERROR(__xludf.DUMMYFUNCTION("""COMPUTED_VALUE"""),"Електронни системи")</f>
        <v>Електронни системи</v>
      </c>
      <c r="D452" s="10">
        <f ca="1">IFERROR(__xludf.DUMMYFUNCTION("""COMPUTED_VALUE"""),2014)</f>
        <v>2014</v>
      </c>
      <c r="E452" s="10" t="str">
        <f ca="1">IFERROR(__xludf.DUMMYFUNCTION("""COMPUTED_VALUE"""),"За буквите, О писменех, София, 2014-учебник / ISBN: 978-619-185-115-7")</f>
        <v>За буквите, О писменех, София, 2014-учебник / ISBN: 978-619-185-115-7</v>
      </c>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c r="A453" s="10" t="str">
        <f ca="1">IFERROR(__xludf.DUMMYFUNCTION("""COMPUTED_VALUE"""),"Атанас Иванов Начев")</f>
        <v>Атанас Иванов Начев</v>
      </c>
      <c r="B453" s="10" t="str">
        <f ca="1">IFERROR(__xludf.DUMMYFUNCTION("""COMPUTED_VALUE"""),"Доклад от конференция")</f>
        <v>Доклад от конференция</v>
      </c>
      <c r="C453" s="10" t="str">
        <f ca="1">IFERROR(__xludf.DUMMYFUNCTION("""COMPUTED_VALUE"""),"Метод за честотно разделяне на канали при синусоидална носеща")</f>
        <v>Метод за честотно разделяне на канали при синусоидална носеща</v>
      </c>
      <c r="D453" s="10">
        <f ca="1">IFERROR(__xludf.DUMMYFUNCTION("""COMPUTED_VALUE"""),2014)</f>
        <v>2014</v>
      </c>
      <c r="E453" s="10" t="str">
        <f ca="1">IFERROR(__xludf.DUMMYFUNCTION("""COMPUTED_VALUE"""),"Научна сесия 2014, Шумен, Сборник научни трудове, Национален военен университет сил Левски“, Факултет „Артилерия, ПВО и КИС“, Шумен, 2014, стр., 297-300, ISBN: 978-954-9681-49-9.")</f>
        <v>Научна сесия 2014, Шумен, Сборник научни трудове, Национален военен университет сил Левски“, Факултет „Артилерия, ПВО и КИС“, Шумен, 2014, стр., 297-300, ISBN: 978-954-9681-49-9.</v>
      </c>
      <c r="F453" s="10"/>
      <c r="G453" s="10" t="str">
        <f ca="1">IFERROR(__xludf.DUMMYFUNCTION("""COMPUTED_VALUE"""),"Димитър Георгиев Чобанов")</f>
        <v>Димитър Георгиев Чобанов</v>
      </c>
      <c r="H453" s="10"/>
      <c r="I453" s="10"/>
      <c r="J453" s="10"/>
      <c r="K453" s="10"/>
      <c r="L453" s="10"/>
      <c r="M453" s="10"/>
      <c r="N453" s="10"/>
      <c r="O453" s="10"/>
      <c r="P453" s="10"/>
      <c r="Q453" s="10"/>
      <c r="R453" s="10"/>
      <c r="S453" s="10"/>
      <c r="T453" s="10"/>
      <c r="U453" s="10"/>
      <c r="V453" s="10"/>
      <c r="W453" s="10"/>
      <c r="X453" s="10"/>
      <c r="Y453" s="10"/>
      <c r="Z453" s="10"/>
    </row>
    <row r="454" spans="1:26" ht="12.75">
      <c r="A454" s="10" t="str">
        <f ca="1">IFERROR(__xludf.DUMMYFUNCTION("""COMPUTED_VALUE"""),"Атанас Иванов Начев")</f>
        <v>Атанас Иванов Начев</v>
      </c>
      <c r="B454" s="10" t="str">
        <f ca="1">IFERROR(__xludf.DUMMYFUNCTION("""COMPUTED_VALUE"""),"Монография")</f>
        <v>Монография</v>
      </c>
      <c r="C454" s="10" t="str">
        <f ca="1">IFERROR(__xludf.DUMMYFUNCTION("""COMPUTED_VALUE"""),"Приложни методи за определяне на надеждността на въоръжението и военната техника")</f>
        <v>Приложни методи за определяне на надеждността на въоръжението и военната техника</v>
      </c>
      <c r="D454" s="10">
        <f ca="1">IFERROR(__xludf.DUMMYFUNCTION("""COMPUTED_VALUE"""),2014)</f>
        <v>2014</v>
      </c>
      <c r="E454" s="10" t="str">
        <f ca="1">IFERROR(__xludf.DUMMYFUNCTION("""COMPUTED_VALUE"""),"Българска академия на науките; Институт по металознание, съоръжения и технологии „Академик Ангел Балевски“ с център по хидро- и аеродинамика. ISBN 978-619-90310-3-2")</f>
        <v>Българска академия на науките; Институт по металознание, съоръжения и технологии „Академик Ангел Балевски“ с център по хидро- и аеродинамика. ISBN 978-619-90310-3-2</v>
      </c>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c r="A455" s="10" t="str">
        <f ca="1">IFERROR(__xludf.DUMMYFUNCTION("""COMPUTED_VALUE"""),"Атанас Иванов Начев")</f>
        <v>Атанас Иванов Начев</v>
      </c>
      <c r="B455" s="10" t="str">
        <f ca="1">IFERROR(__xludf.DUMMYFUNCTION("""COMPUTED_VALUE"""),"Учебник")</f>
        <v>Учебник</v>
      </c>
      <c r="C455" s="10" t="str">
        <f ca="1">IFERROR(__xludf.DUMMYFUNCTION("""COMPUTED_VALUE"""),"Общосистемно проектиране на автоматизирани системи за управление")</f>
        <v>Общосистемно проектиране на автоматизирани системи за управление</v>
      </c>
      <c r="D455" s="10">
        <f ca="1">IFERROR(__xludf.DUMMYFUNCTION("""COMPUTED_VALUE"""),2014)</f>
        <v>2014</v>
      </c>
      <c r="E455" s="10" t="str">
        <f ca="1">IFERROR(__xludf.DUMMYFUNCTION("""COMPUTED_VALUE"""),"Учебник, За буквите, О писменех, София, 2014 / ISBN: 978-619-185-100-3")</f>
        <v>Учебник, За буквите, О писменех, София, 2014 / ISBN: 978-619-185-100-3</v>
      </c>
      <c r="F455" s="10"/>
      <c r="G455" s="10"/>
      <c r="H455" s="10"/>
      <c r="I455" s="10"/>
      <c r="J455" s="10"/>
      <c r="K455" s="10"/>
      <c r="L455" s="10"/>
      <c r="M455" s="10"/>
      <c r="N455" s="10"/>
      <c r="O455" s="10"/>
      <c r="P455" s="10"/>
      <c r="Q455" s="10"/>
      <c r="R455" s="10"/>
      <c r="S455" s="10"/>
      <c r="T455" s="10"/>
      <c r="U455" s="10"/>
      <c r="V455" s="10"/>
      <c r="W455" s="10"/>
      <c r="X455" s="10"/>
      <c r="Y455" s="10"/>
      <c r="Z455" s="10"/>
    </row>
    <row r="456" spans="1:26" ht="12.75">
      <c r="A456" s="10" t="str">
        <f ca="1">IFERROR(__xludf.DUMMYFUNCTION("""COMPUTED_VALUE"""),"Атанас Иванов Начев")</f>
        <v>Атанас Иванов Начев</v>
      </c>
      <c r="B456" s="10" t="str">
        <f ca="1">IFERROR(__xludf.DUMMYFUNCTION("""COMPUTED_VALUE"""),"Учебник")</f>
        <v>Учебник</v>
      </c>
      <c r="C456" s="10" t="str">
        <f ca="1">IFERROR(__xludf.DUMMYFUNCTION("""COMPUTED_VALUE"""),"Технически основи на комуникационните и информационни технологии")</f>
        <v>Технически основи на комуникационните и информационни технологии</v>
      </c>
      <c r="D456" s="10">
        <f ca="1">IFERROR(__xludf.DUMMYFUNCTION("""COMPUTED_VALUE"""),2014)</f>
        <v>2014</v>
      </c>
      <c r="E456" s="10" t="str">
        <f ca="1">IFERROR(__xludf.DUMMYFUNCTION("""COMPUTED_VALUE"""),"Учебник, За буквите, О писменех, София, 2014 / ISBN: 978-619-185-127-0")</f>
        <v>Учебник, За буквите, О писменех, София, 2014 / ISBN: 978-619-185-127-0</v>
      </c>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c r="A457" s="10" t="str">
        <f ca="1">IFERROR(__xludf.DUMMYFUNCTION("""COMPUTED_VALUE"""),"Атанас Иванов Начев")</f>
        <v>Атанас Иванов Начев</v>
      </c>
      <c r="B457" s="10" t="str">
        <f ca="1">IFERROR(__xludf.DUMMYFUNCTION("""COMPUTED_VALUE"""),"Студия")</f>
        <v>Студия</v>
      </c>
      <c r="C457" s="10" t="str">
        <f ca="1">IFERROR(__xludf.DUMMYFUNCTION("""COMPUTED_VALUE"""),"Аналитичен модел на ефективност на система за защита на информацията")</f>
        <v>Аналитичен модел на ефективност на система за защита на информацията</v>
      </c>
      <c r="D457" s="10">
        <f ca="1">IFERROR(__xludf.DUMMYFUNCTION("""COMPUTED_VALUE"""),2014)</f>
        <v>2014</v>
      </c>
      <c r="E457" s="10" t="str">
        <f ca="1">IFERROR(__xludf.DUMMYFUNCTION("""COMPUTED_VALUE"""),"Военни технологии и системи за осигуряване на отбраната, София, 2014.-студия")</f>
        <v>Военни технологии и системи за осигуряване на отбраната, София, 2014.-студия</v>
      </c>
      <c r="F457" s="10"/>
      <c r="G457" s="10" t="str">
        <f ca="1">IFERROR(__xludf.DUMMYFUNCTION("""COMPUTED_VALUE"""),"Г. Жаблянова")</f>
        <v>Г. Жаблянова</v>
      </c>
      <c r="H457" s="10"/>
      <c r="I457" s="10"/>
      <c r="J457" s="10"/>
      <c r="K457" s="10"/>
      <c r="L457" s="10"/>
      <c r="M457" s="10"/>
      <c r="N457" s="10"/>
      <c r="O457" s="10"/>
      <c r="P457" s="10"/>
      <c r="Q457" s="10"/>
      <c r="R457" s="10"/>
      <c r="S457" s="10"/>
      <c r="T457" s="10"/>
      <c r="U457" s="10"/>
      <c r="V457" s="10"/>
      <c r="W457" s="10"/>
      <c r="X457" s="10"/>
      <c r="Y457" s="10"/>
      <c r="Z457" s="10"/>
    </row>
    <row r="458" spans="1:26" ht="12.75">
      <c r="A458" s="10" t="str">
        <f ca="1">IFERROR(__xludf.DUMMYFUNCTION("""COMPUTED_VALUE"""),"Атанас Иванов Начев")</f>
        <v>Атанас Иванов Начев</v>
      </c>
      <c r="B458" s="10" t="str">
        <f ca="1">IFERROR(__xludf.DUMMYFUNCTION("""COMPUTED_VALUE"""),"Статия в списания и поредици")</f>
        <v>Статия в списания и поредици</v>
      </c>
      <c r="C458" s="10" t="str">
        <f ca="1">IFERROR(__xludf.DUMMYFUNCTION("""COMPUTED_VALUE"""),"Статистически модел на степента на ефективност на система за защита на информацията")</f>
        <v>Статистически модел на степента на ефективност на система за защита на информацията</v>
      </c>
      <c r="D458" s="10">
        <f ca="1">IFERROR(__xludf.DUMMYFUNCTION("""COMPUTED_VALUE"""),2014)</f>
        <v>2014</v>
      </c>
      <c r="E458" s="10" t="str">
        <f ca="1">IFERROR(__xludf.DUMMYFUNCTION("""COMPUTED_VALUE"""),"Сборни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 2014, стр. IV-17-IV-22; ISSN: 2367-5942.")</f>
        <v>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 2014, стр. IV-17-IV-22; ISSN: 2367-5942.</v>
      </c>
      <c r="F458" s="10"/>
      <c r="G458" s="10" t="str">
        <f ca="1">IFERROR(__xludf.DUMMYFUNCTION("""COMPUTED_VALUE"""),"Г. Жаблянова")</f>
        <v>Г. Жаблянова</v>
      </c>
      <c r="H458" s="10"/>
      <c r="I458" s="10"/>
      <c r="J458" s="10"/>
      <c r="K458" s="10"/>
      <c r="L458" s="10"/>
      <c r="M458" s="10"/>
      <c r="N458" s="10"/>
      <c r="O458" s="10"/>
      <c r="P458" s="10"/>
      <c r="Q458" s="10"/>
      <c r="R458" s="10"/>
      <c r="S458" s="10"/>
      <c r="T458" s="10"/>
      <c r="U458" s="10"/>
      <c r="V458" s="10"/>
      <c r="W458" s="10"/>
      <c r="X458" s="10"/>
      <c r="Y458" s="10"/>
      <c r="Z458" s="10"/>
    </row>
    <row r="459" spans="1:26" ht="12.75">
      <c r="A459" s="10" t="str">
        <f ca="1">IFERROR(__xludf.DUMMYFUNCTION("""COMPUTED_VALUE"""),"Атанас Иванов Начев")</f>
        <v>Атанас Иванов Начев</v>
      </c>
      <c r="B459" s="10" t="str">
        <f ca="1">IFERROR(__xludf.DUMMYFUNCTION("""COMPUTED_VALUE"""),"Учебник")</f>
        <v>Учебник</v>
      </c>
      <c r="C459" s="10" t="str">
        <f ca="1">IFERROR(__xludf.DUMMYFUNCTION("""COMPUTED_VALUE"""),"Технически средства и системи за защита на информацията")</f>
        <v>Технически средства и системи за защита на информацията</v>
      </c>
      <c r="D459" s="10">
        <f ca="1">IFERROR(__xludf.DUMMYFUNCTION("""COMPUTED_VALUE"""),2014)</f>
        <v>2014</v>
      </c>
      <c r="E459" s="10" t="str">
        <f ca="1">IFERROR(__xludf.DUMMYFUNCTION("""COMPUTED_VALUE"""),"Учебник, За буквите, О писменех, София, 2014 / ISBN: 978-619-185-126-3")</f>
        <v>Учебник, За буквите, О писменех, София, 2014 / ISBN: 978-619-185-126-3</v>
      </c>
      <c r="F459" s="10"/>
      <c r="G459" s="10"/>
      <c r="H459" s="10"/>
      <c r="I459" s="10"/>
      <c r="J459" s="10"/>
      <c r="K459" s="10"/>
      <c r="L459" s="10"/>
      <c r="M459" s="10"/>
      <c r="N459" s="10"/>
      <c r="O459" s="10"/>
      <c r="P459" s="10"/>
      <c r="Q459" s="10"/>
      <c r="R459" s="10"/>
      <c r="S459" s="10"/>
      <c r="T459" s="10"/>
      <c r="U459" s="10"/>
      <c r="V459" s="10"/>
      <c r="W459" s="10"/>
      <c r="X459" s="10"/>
      <c r="Y459" s="10"/>
      <c r="Z459" s="10"/>
    </row>
    <row r="460" spans="1:26" ht="12.75">
      <c r="A460" s="10" t="str">
        <f ca="1">IFERROR(__xludf.DUMMYFUNCTION("""COMPUTED_VALUE"""),"Атанас Иванов Начев")</f>
        <v>Атанас Иванов Начев</v>
      </c>
      <c r="B460" s="10" t="str">
        <f ca="1">IFERROR(__xludf.DUMMYFUNCTION("""COMPUTED_VALUE"""),"Статия в списания и поредици")</f>
        <v>Статия в списания и поредици</v>
      </c>
      <c r="C460" s="10" t="str">
        <f ca="1">IFERROR(__xludf.DUMMYFUNCTION("""COMPUTED_VALUE"""),"Метод скрытого ""капкана"" для старта вредителъского кода, Информационные технологии и безопасностъ")</f>
        <v>Метод скрытого "капкана" для старта вредителъского кода, Информационные технологии и безопасностъ</v>
      </c>
      <c r="D460" s="10">
        <f ca="1">IFERROR(__xludf.DUMMYFUNCTION("""COMPUTED_VALUE"""),2013)</f>
        <v>2013</v>
      </c>
      <c r="E460" s="10" t="str">
        <f ca="1">IFERROR(__xludf.DUMMYFUNCTION("""COMPUTED_VALUE"""),"Information tehnologi and security, Kiev, 2013, Vol. 2, № 1, pp. 72-75, ISSN 2411-1031.")</f>
        <v>Information tehnologi and security, Kiev, 2013, Vol. 2, № 1, pp. 72-75, ISSN 2411-1031.</v>
      </c>
      <c r="F460" s="10"/>
      <c r="G460" s="10" t="str">
        <f ca="1">IFERROR(__xludf.DUMMYFUNCTION("""COMPUTED_VALUE"""),"Петков Р., Жаблянова Г.")</f>
        <v>Петков Р., Жаблянова Г.</v>
      </c>
      <c r="H460" s="10"/>
      <c r="I460" s="10"/>
      <c r="J460" s="10"/>
      <c r="K460" s="10"/>
      <c r="L460" s="10"/>
      <c r="M460" s="10"/>
      <c r="N460" s="10"/>
      <c r="O460" s="10"/>
      <c r="P460" s="10"/>
      <c r="Q460" s="10"/>
      <c r="R460" s="10"/>
      <c r="S460" s="10"/>
      <c r="T460" s="10"/>
      <c r="U460" s="10"/>
      <c r="V460" s="10"/>
      <c r="W460" s="10"/>
      <c r="X460" s="10"/>
      <c r="Y460" s="10"/>
      <c r="Z460" s="10"/>
    </row>
    <row r="461" spans="1:26" ht="12.75">
      <c r="A461" s="10" t="str">
        <f ca="1">IFERROR(__xludf.DUMMYFUNCTION("""COMPUTED_VALUE"""),"Атанас Иванов Начев")</f>
        <v>Атанас Иванов Начев</v>
      </c>
      <c r="B461" s="10" t="str">
        <f ca="1">IFERROR(__xludf.DUMMYFUNCTION("""COMPUTED_VALUE"""),"Доклад от конференция")</f>
        <v>Доклад от конференция</v>
      </c>
      <c r="C461" s="10" t="str">
        <f ca="1">IFERROR(__xludf.DUMMYFUNCTION("""COMPUTED_VALUE"""),"Аналитичен модел на ефективността на система за защита на информацията.")</f>
        <v>Аналитичен модел на ефективността на система за защита на информацията.</v>
      </c>
      <c r="D461" s="10">
        <f ca="1">IFERROR(__xludf.DUMMYFUNCTION("""COMPUTED_VALUE"""),2013)</f>
        <v>2013</v>
      </c>
      <c r="E461" s="10" t="str">
        <f ca="1">IFERROR(__xludf.DUMMYFUNCTION("""COMPUTED_VALUE"""),"Сборни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Лазаров“,2014, стр. IV23-IV30; ISSN: 2367-5942.")</f>
        <v>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Лазаров“,2014, стр. IV23-IV30; ISSN: 2367-5942.</v>
      </c>
      <c r="F461" s="10"/>
      <c r="G461" s="10" t="str">
        <f ca="1">IFERROR(__xludf.DUMMYFUNCTION("""COMPUTED_VALUE"""),"Гергина Жаблянова")</f>
        <v>Гергина Жаблянова</v>
      </c>
      <c r="H461" s="10"/>
      <c r="I461" s="10"/>
      <c r="J461" s="10"/>
      <c r="K461" s="10"/>
      <c r="L461" s="10"/>
      <c r="M461" s="10"/>
      <c r="N461" s="10"/>
      <c r="O461" s="10"/>
      <c r="P461" s="10"/>
      <c r="Q461" s="10"/>
      <c r="R461" s="10"/>
      <c r="S461" s="10"/>
      <c r="T461" s="10"/>
      <c r="U461" s="10"/>
      <c r="V461" s="10"/>
      <c r="W461" s="10"/>
      <c r="X461" s="10"/>
      <c r="Y461" s="10"/>
      <c r="Z461" s="10"/>
    </row>
    <row r="462" spans="1:26" ht="12.75">
      <c r="A462" s="10" t="str">
        <f ca="1">IFERROR(__xludf.DUMMYFUNCTION("""COMPUTED_VALUE"""),"Атанас Иванов Начев")</f>
        <v>Атанас Иванов Начев</v>
      </c>
      <c r="B462" s="10" t="str">
        <f ca="1">IFERROR(__xludf.DUMMYFUNCTION("""COMPUTED_VALUE"""),"Статия в списания и поредици")</f>
        <v>Статия в списания и поредици</v>
      </c>
      <c r="C462" s="10" t="str">
        <f ca="1">IFERROR(__xludf.DUMMYFUNCTION("""COMPUTED_VALUE"""),"Sessing the efficienci of information protection systems in the computer systems and networks")</f>
        <v>Sessing the efficienci of information protection systems in the computer systems and networks</v>
      </c>
      <c r="D462" s="10">
        <f ca="1">IFERROR(__xludf.DUMMYFUNCTION("""COMPUTED_VALUE"""),2013)</f>
        <v>2013</v>
      </c>
      <c r="E462" s="10" t="str">
        <f ca="1">IFERROR(__xludf.DUMMYFUNCTION("""COMPUTED_VALUE"""),"Информационные технологии и безопасностъ, Специалъный выпуск, Киев, 2013.")</f>
        <v>Информационные технологии и безопасностъ, Специалъный выпуск, Киев, 2013.</v>
      </c>
      <c r="F462" s="10"/>
      <c r="G462" s="10" t="str">
        <f ca="1">IFERROR(__xludf.DUMMYFUNCTION("""COMPUTED_VALUE"""),"Zhelezov St.")</f>
        <v>Zhelezov St.</v>
      </c>
      <c r="H462" s="10"/>
      <c r="I462" s="10"/>
      <c r="J462" s="10"/>
      <c r="K462" s="10"/>
      <c r="L462" s="10"/>
      <c r="M462" s="10"/>
      <c r="N462" s="10"/>
      <c r="O462" s="10"/>
      <c r="P462" s="10"/>
      <c r="Q462" s="10"/>
      <c r="R462" s="10"/>
      <c r="S462" s="10"/>
      <c r="T462" s="10"/>
      <c r="U462" s="10"/>
      <c r="V462" s="10"/>
      <c r="W462" s="10"/>
      <c r="X462" s="10"/>
      <c r="Y462" s="10"/>
      <c r="Z462" s="10"/>
    </row>
    <row r="463" spans="1:26" ht="12.75">
      <c r="A463" s="10" t="str">
        <f ca="1">IFERROR(__xludf.DUMMYFUNCTION("""COMPUTED_VALUE"""),"Атанас Иванов Начев")</f>
        <v>Атанас Иванов Начев</v>
      </c>
      <c r="B463" s="10" t="str">
        <f ca="1">IFERROR(__xludf.DUMMYFUNCTION("""COMPUTED_VALUE"""),"Доклад от конференция")</f>
        <v>Доклад от конференция</v>
      </c>
      <c r="C463" s="10" t="str">
        <f ca="1">IFERROR(__xludf.DUMMYFUNCTION("""COMPUTED_VALUE"""),"Определяне на ефективността на системите за защита на обекти от критичната инфраструктура")</f>
        <v>Определяне на ефективността на системите за защита на обекти от критичната инфраструктура</v>
      </c>
      <c r="D463" s="10">
        <f ca="1">IFERROR(__xludf.DUMMYFUNCTION("""COMPUTED_VALUE"""),2013)</f>
        <v>2013</v>
      </c>
      <c r="E463" s="10" t="str">
        <f ca="1">IFERROR(__xludf.DUMMYFUNCTION("""COMPUTED_VALUE"""),"Българска академия на науките, Институт по металознание, съоръжения и технологии ""Академик Ангел Балевски"", с център по ходро- и аеродинамика, Сборник трудове от Трета национална конференция с международно участие ""Металознание, хидро- и аеродинамика, "&amp;"национална сигурност, София, 2013.")</f>
        <v>Българска академия на науките, Институт по металознание, съоръжения и технологии "Академик Ангел Балевски", с център по ходро- и аеродинамика, Сборник трудове от Трета национална конференция с международно участие "Металознание, хидро- и аеродинамика, национална сигурност, София, 2013.</v>
      </c>
      <c r="F463" s="10"/>
      <c r="G463" s="10"/>
      <c r="H463" s="10"/>
      <c r="I463" s="10"/>
      <c r="J463" s="10"/>
      <c r="K463" s="10"/>
      <c r="L463" s="10"/>
      <c r="M463" s="10"/>
      <c r="N463" s="10"/>
      <c r="O463" s="10"/>
      <c r="P463" s="10"/>
      <c r="Q463" s="10"/>
      <c r="R463" s="10"/>
      <c r="S463" s="10"/>
      <c r="T463" s="10"/>
      <c r="U463" s="10"/>
      <c r="V463" s="10"/>
      <c r="W463" s="10"/>
      <c r="X463" s="10"/>
      <c r="Y463" s="10"/>
      <c r="Z463" s="10"/>
    </row>
    <row r="464" spans="1:26" ht="12.75">
      <c r="A464" s="10" t="str">
        <f ca="1">IFERROR(__xludf.DUMMYFUNCTION("""COMPUTED_VALUE"""),"Атанас Иванов Начев")</f>
        <v>Атанас Иванов Начев</v>
      </c>
      <c r="B464" s="10" t="str">
        <f ca="1">IFERROR(__xludf.DUMMYFUNCTION("""COMPUTED_VALUE"""),"Доклад от конференция")</f>
        <v>Доклад от конференция</v>
      </c>
      <c r="C464" s="10" t="str">
        <f ca="1">IFERROR(__xludf.DUMMYFUNCTION("""COMPUTED_VALUE"""),"Обобщен модел за определяне на загубите в компютърна система (мрежа) от въздействието на възможни заплахи")</f>
        <v>Обобщен модел за определяне на загубите в компютърна система (мрежа) от въздействието на възможни заплахи</v>
      </c>
      <c r="D464" s="10">
        <f ca="1">IFERROR(__xludf.DUMMYFUNCTION("""COMPUTED_VALUE"""),2013)</f>
        <v>2013</v>
      </c>
      <c r="E464" s="10" t="str">
        <f ca="1">IFERROR(__xludf.DUMMYFUNCTION("""COMPUTED_VALUE"""),"Наука, образование, сигурност. Юбилейна маждународна научна конференция “Десет години образование по сигурност в НБУ “Състояние и перспективи пред обучението в условия на динамична и труднопредвидима среда”. София, Издателство на Нов български университет"&amp;", стр. 163-166. ISBN: 978-954-791-1.")</f>
        <v>Наука, образование, сигурност. Юбилейна маждународна научна конференция “Десет години образование по сигурност в НБУ “Състояние и перспективи пред обучението в условия на динамична и труднопредвидима среда”. София, Издателство на Нов български университет, стр. 163-166. ISBN: 978-954-791-1.</v>
      </c>
      <c r="F464" s="10"/>
      <c r="G464" s="10" t="str">
        <f ca="1">IFERROR(__xludf.DUMMYFUNCTION("""COMPUTED_VALUE"""),"Железов Ст.")</f>
        <v>Железов Ст.</v>
      </c>
      <c r="H464" s="10"/>
      <c r="I464" s="10"/>
      <c r="J464" s="10"/>
      <c r="K464" s="10"/>
      <c r="L464" s="10"/>
      <c r="M464" s="10"/>
      <c r="N464" s="10"/>
      <c r="O464" s="10"/>
      <c r="P464" s="10"/>
      <c r="Q464" s="10"/>
      <c r="R464" s="10"/>
      <c r="S464" s="10"/>
      <c r="T464" s="10"/>
      <c r="U464" s="10"/>
      <c r="V464" s="10"/>
      <c r="W464" s="10"/>
      <c r="X464" s="10"/>
      <c r="Y464" s="10"/>
      <c r="Z464" s="10"/>
    </row>
    <row r="465" spans="1:26" ht="12.75">
      <c r="A465" s="10" t="str">
        <f ca="1">IFERROR(__xludf.DUMMYFUNCTION("""COMPUTED_VALUE"""),"Атанас Иванов Начев")</f>
        <v>Атанас Иванов Начев</v>
      </c>
      <c r="B465" s="10" t="str">
        <f ca="1">IFERROR(__xludf.DUMMYFUNCTION("""COMPUTED_VALUE"""),"Доклад от конференция")</f>
        <v>Доклад от конференция</v>
      </c>
      <c r="C465" s="10" t="str">
        <f ca="1">IFERROR(__xludf.DUMMYFUNCTION("""COMPUTED_VALUE"""),"Определяне на обема на извадката при контрола на надеждността на съхранявани изделия при зададена точност и предполагаема вероятност на безотказна работа")</f>
        <v>Определяне на обема на извадката при контрола на надеждността на съхранявани изделия при зададена точност и предполагаема вероятност на безотказна работа</v>
      </c>
      <c r="D465" s="10">
        <f ca="1">IFERROR(__xludf.DUMMYFUNCTION("""COMPUTED_VALUE"""),2013)</f>
        <v>2013</v>
      </c>
      <c r="E465" s="10" t="str">
        <f ca="1">IFERROR(__xludf.DUMMYFUNCTION("""COMPUTED_VALUE"""),"Научна сесия 2012, Шумен, Сборник научни трудове, Част I, Национален военен университет, Факултет „Артилерия, ПВО и КИС“, Шумен, 2011, стр. 71-72, ISSN: 1313-7433.")</f>
        <v>Научна сесия 2012, Шумен, Сборник научни трудове, Част I, Национален военен университет, Факултет „Артилерия, ПВО и КИС“, Шумен, 2011, стр. 71-72, ISSN: 1313-7433.</v>
      </c>
      <c r="F465" s="10"/>
      <c r="G465" s="10"/>
      <c r="H465" s="10"/>
      <c r="I465" s="10"/>
      <c r="J465" s="10"/>
      <c r="K465" s="10"/>
      <c r="L465" s="10"/>
      <c r="M465" s="10"/>
      <c r="N465" s="10"/>
      <c r="O465" s="10"/>
      <c r="P465" s="10"/>
      <c r="Q465" s="10"/>
      <c r="R465" s="10"/>
      <c r="S465" s="10"/>
      <c r="T465" s="10"/>
      <c r="U465" s="10"/>
      <c r="V465" s="10"/>
      <c r="W465" s="10"/>
      <c r="X465" s="10"/>
      <c r="Y465" s="10"/>
      <c r="Z465" s="10"/>
    </row>
    <row r="466" spans="1:26" ht="12.75">
      <c r="A466" s="10" t="str">
        <f ca="1">IFERROR(__xludf.DUMMYFUNCTION("""COMPUTED_VALUE"""),"Атанас Иванов Начев")</f>
        <v>Атанас Иванов Начев</v>
      </c>
      <c r="B466" s="10" t="str">
        <f ca="1">IFERROR(__xludf.DUMMYFUNCTION("""COMPUTED_VALUE"""),"Доклад от конференция")</f>
        <v>Доклад от конференция</v>
      </c>
      <c r="C466" s="10" t="str">
        <f ca="1">IFERROR(__xludf.DUMMYFUNCTION("""COMPUTED_VALUE"""),"Нетрадиционен подход при определяне на надеждността на мрежови структури.")</f>
        <v>Нетрадиционен подход при определяне на надеждността на мрежови структури.</v>
      </c>
      <c r="D466" s="10">
        <f ca="1">IFERROR(__xludf.DUMMYFUNCTION("""COMPUTED_VALUE"""),2013)</f>
        <v>2013</v>
      </c>
      <c r="E466" s="10" t="str">
        <f ca="1">IFERROR(__xludf.DUMMYFUNCTION("""COMPUTED_VALUE"""),"Научна сесия 2012, Шумен, Сборник научни трудове, Част I, Национален военен университет, Факултет „Артилерия, ПВО и КИС“, Шумен, 2011, стр. 199-203, ISSN: 1313-7433.")</f>
        <v>Научна сесия 2012, Шумен, Сборник научни трудове, Част I, Национален военен университет, Факултет „Артилерия, ПВО и КИС“, Шумен, 2011, стр. 199-203, ISSN: 1313-7433.</v>
      </c>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c r="A467" s="10" t="str">
        <f ca="1">IFERROR(__xludf.DUMMYFUNCTION("""COMPUTED_VALUE"""),"Атанас Иванов Начев")</f>
        <v>Атанас Иванов Начев</v>
      </c>
      <c r="B467" s="10" t="str">
        <f ca="1">IFERROR(__xludf.DUMMYFUNCTION("""COMPUTED_VALUE"""),"Статия в списания и поредици")</f>
        <v>Статия в списания и поредици</v>
      </c>
      <c r="C467" s="10" t="str">
        <f ca="1">IFERROR(__xludf.DUMMYFUNCTION("""COMPUTED_VALUE"""),"Некоторые подходы для блокировки вредителъсого кода, информационные технологии и безопасностъ")</f>
        <v>Некоторые подходы для блокировки вредителъсого кода, информационные технологии и безопасностъ</v>
      </c>
      <c r="D467" s="10">
        <f ca="1">IFERROR(__xludf.DUMMYFUNCTION("""COMPUTED_VALUE"""),2013)</f>
        <v>2013</v>
      </c>
      <c r="E467" s="10" t="str">
        <f ca="1">IFERROR(__xludf.DUMMYFUNCTION("""COMPUTED_VALUE"""),"Специалъный выпуск, Киев, 2013.")</f>
        <v>Специалъный выпуск, Киев, 2013.</v>
      </c>
      <c r="F467" s="10"/>
      <c r="G467" s="10" t="str">
        <f ca="1">IFERROR(__xludf.DUMMYFUNCTION("""COMPUTED_VALUE"""),"Петков Р., Жаблянова Г.")</f>
        <v>Петков Р., Жаблянова Г.</v>
      </c>
      <c r="H467" s="10"/>
      <c r="I467" s="10"/>
      <c r="J467" s="10"/>
      <c r="K467" s="10"/>
      <c r="L467" s="10"/>
      <c r="M467" s="10"/>
      <c r="N467" s="10"/>
      <c r="O467" s="10"/>
      <c r="P467" s="10"/>
      <c r="Q467" s="10"/>
      <c r="R467" s="10"/>
      <c r="S467" s="10"/>
      <c r="T467" s="10"/>
      <c r="U467" s="10"/>
      <c r="V467" s="10"/>
      <c r="W467" s="10"/>
      <c r="X467" s="10"/>
      <c r="Y467" s="10"/>
      <c r="Z467" s="10"/>
    </row>
    <row r="468" spans="1:26" ht="12.75">
      <c r="A468" s="10" t="str">
        <f ca="1">IFERROR(__xludf.DUMMYFUNCTION("""COMPUTED_VALUE"""),"Атанас Иванов Начев")</f>
        <v>Атанас Иванов Начев</v>
      </c>
      <c r="B468" s="10" t="str">
        <f ca="1">IFERROR(__xludf.DUMMYFUNCTION("""COMPUTED_VALUE"""),"Статия в списания и поредици")</f>
        <v>Статия в списания и поредици</v>
      </c>
      <c r="C468" s="10" t="str">
        <f ca="1">IFERROR(__xludf.DUMMYFUNCTION("""COMPUTED_VALUE"""),"Assessing the efficiency of information protection systems in the computer systems and networks")</f>
        <v>Assessing the efficiency of information protection systems in the computer systems and networks</v>
      </c>
      <c r="D468" s="10">
        <f ca="1">IFERROR(__xludf.DUMMYFUNCTION("""COMPUTED_VALUE"""),2013)</f>
        <v>2013</v>
      </c>
      <c r="E468" s="10" t="str">
        <f ca="1">IFERROR(__xludf.DUMMYFUNCTION("""COMPUTED_VALUE"""),"Information tehnologi and security, Kiev, 2013, Vol. 2, № 1, pp. 79-85, ISSN: 2411-1031.")</f>
        <v>Information tehnologi and security, Kiev, 2013, Vol. 2, № 1, pp. 79-85, ISSN: 2411-1031.</v>
      </c>
      <c r="F468" s="10"/>
      <c r="G468" s="10" t="str">
        <f ca="1">IFERROR(__xludf.DUMMYFUNCTION("""COMPUTED_VALUE"""),"Zhelezov St")</f>
        <v>Zhelezov St</v>
      </c>
      <c r="H468" s="10"/>
      <c r="I468" s="10"/>
      <c r="J468" s="10"/>
      <c r="K468" s="10"/>
      <c r="L468" s="10"/>
      <c r="M468" s="10"/>
      <c r="N468" s="10"/>
      <c r="O468" s="10"/>
      <c r="P468" s="10"/>
      <c r="Q468" s="10"/>
      <c r="R468" s="10"/>
      <c r="S468" s="10"/>
      <c r="T468" s="10"/>
      <c r="U468" s="10"/>
      <c r="V468" s="10"/>
      <c r="W468" s="10"/>
      <c r="X468" s="10"/>
      <c r="Y468" s="10"/>
      <c r="Z468" s="10"/>
    </row>
    <row r="469" spans="1:26" ht="12.75">
      <c r="A469" s="10" t="str">
        <f ca="1">IFERROR(__xludf.DUMMYFUNCTION("""COMPUTED_VALUE"""),"Атанас Иванов Начев")</f>
        <v>Атанас Иванов Начев</v>
      </c>
      <c r="B469" s="10" t="str">
        <f ca="1">IFERROR(__xludf.DUMMYFUNCTION("""COMPUTED_VALUE"""),"Доклад от конференция")</f>
        <v>Доклад от конференция</v>
      </c>
      <c r="C469" s="10" t="str">
        <f ca="1">IFERROR(__xludf.DUMMYFUNCTION("""COMPUTED_VALUE"""),"Синтез на система за защита на информацията при зададено ниво на ефективност")</f>
        <v>Синтез на система за защита на информацията при зададено ниво на ефективност</v>
      </c>
      <c r="D469" s="10">
        <f ca="1">IFERROR(__xludf.DUMMYFUNCTION("""COMPUTED_VALUE"""),2013)</f>
        <v>2013</v>
      </c>
      <c r="E469" s="10" t="str">
        <f ca="1">IFERROR(__xludf.DUMMYFUNCTION("""COMPUTED_VALUE"""),"Сборни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Лазаров“,2014, стр. IV31-IV39 ISSN: 2367-5942.")</f>
        <v>Сборни доклади от научна конференция с международно участие „Военни технологии и системи за осигуряване на отбраната-2013,София, Институт по отбрана „Професор Цветан Лазаров“,2014, стр. IV31-IV39 ISSN: 2367-5942.</v>
      </c>
      <c r="F469" s="10"/>
      <c r="G469" s="10" t="str">
        <f ca="1">IFERROR(__xludf.DUMMYFUNCTION("""COMPUTED_VALUE"""),"Гергина Жаблянова Станимир Железов")</f>
        <v>Гергина Жаблянова Станимир Железов</v>
      </c>
      <c r="H469" s="10"/>
      <c r="I469" s="10"/>
      <c r="J469" s="10"/>
      <c r="K469" s="10"/>
      <c r="L469" s="10"/>
      <c r="M469" s="10"/>
      <c r="N469" s="10"/>
      <c r="O469" s="10"/>
      <c r="P469" s="10"/>
      <c r="Q469" s="10"/>
      <c r="R469" s="10"/>
      <c r="S469" s="10"/>
      <c r="T469" s="10"/>
      <c r="U469" s="10"/>
      <c r="V469" s="10"/>
      <c r="W469" s="10"/>
      <c r="X469" s="10"/>
      <c r="Y469" s="10"/>
      <c r="Z469" s="10"/>
    </row>
    <row r="470" spans="1:26" ht="12.75">
      <c r="A470" s="10" t="str">
        <f ca="1">IFERROR(__xludf.DUMMYFUNCTION("""COMPUTED_VALUE"""),"Атанас Иванов Начев")</f>
        <v>Атанас Иванов Начев</v>
      </c>
      <c r="B470" s="10" t="str">
        <f ca="1">IFERROR(__xludf.DUMMYFUNCTION("""COMPUTED_VALUE"""),"Статия в списания и поредици")</f>
        <v>Статия в списания и поредици</v>
      </c>
      <c r="C470" s="10" t="str">
        <f ca="1">IFERROR(__xludf.DUMMYFUNCTION("""COMPUTED_VALUE"""),"Некоторые подходы для блокировки вредительских “капканов” в программах")</f>
        <v>Некоторые подходы для блокировки вредительских “капканов” в программах</v>
      </c>
      <c r="D470" s="10">
        <f ca="1">IFERROR(__xludf.DUMMYFUNCTION("""COMPUTED_VALUE"""),2013)</f>
        <v>2013</v>
      </c>
      <c r="E470" s="10" t="str">
        <f ca="1">IFERROR(__xludf.DUMMYFUNCTION("""COMPUTED_VALUE"""),"Information tehnologi and security, Kiev, 2013, Vol. 2, № 1, pp. 79-85, ISSN 2411-1031.")</f>
        <v>Information tehnologi and security, Kiev, 2013, Vol. 2, № 1, pp. 79-85, ISSN 2411-1031.</v>
      </c>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c r="A471" s="10" t="str">
        <f ca="1">IFERROR(__xludf.DUMMYFUNCTION("""COMPUTED_VALUE"""),"Атанас Иванов Начев")</f>
        <v>Атанас Иванов Начев</v>
      </c>
      <c r="B471" s="10" t="str">
        <f ca="1">IFERROR(__xludf.DUMMYFUNCTION("""COMPUTED_VALUE"""),"Доклад от конференция")</f>
        <v>Доклад от конференция</v>
      </c>
      <c r="C471" s="10" t="str">
        <f ca="1">IFERROR(__xludf.DUMMYFUNCTION("""COMPUTED_VALUE"""),"Някои особености при построяване на кибернетични модели за контрол на надеждността на изделия")</f>
        <v>Някои особености при построяване на кибернетични модели за контрол на надеждността на изделия</v>
      </c>
      <c r="D471" s="10">
        <f ca="1">IFERROR(__xludf.DUMMYFUNCTION("""COMPUTED_VALUE"""),2013)</f>
        <v>2013</v>
      </c>
      <c r="E471" s="10" t="str">
        <f ca="1">IFERROR(__xludf.DUMMYFUNCTION("""COMPUTED_VALUE"""),"Научна сесия 2012, Шумен, Сборник научни трудове, Част I, Национален военен университет, Факултет „Артилерия, ПВО и КИС“, Шумен, 2011, стр. 67-70, ISSN: 1313-7433.")</f>
        <v>Научна сесия 2012, Шумен, Сборник научни трудове, Част I, Национален военен университет, Факултет „Артилерия, ПВО и КИС“, Шумен, 2011, стр. 67-70, ISSN: 1313-7433.</v>
      </c>
      <c r="F471" s="10"/>
      <c r="G471" s="10"/>
      <c r="H471" s="10"/>
      <c r="I471" s="10"/>
      <c r="J471" s="10"/>
      <c r="K471" s="10"/>
      <c r="L471" s="10"/>
      <c r="M471" s="10"/>
      <c r="N471" s="10"/>
      <c r="O471" s="10"/>
      <c r="P471" s="10"/>
      <c r="Q471" s="10"/>
      <c r="R471" s="10"/>
      <c r="S471" s="10"/>
      <c r="T471" s="10"/>
      <c r="U471" s="10"/>
      <c r="V471" s="10"/>
      <c r="W471" s="10"/>
      <c r="X471" s="10"/>
      <c r="Y471" s="10"/>
      <c r="Z471" s="10"/>
    </row>
    <row r="472" spans="1:26" ht="12.75">
      <c r="A472" s="10" t="str">
        <f ca="1">IFERROR(__xludf.DUMMYFUNCTION("""COMPUTED_VALUE"""),"Атанас Иванов Начев")</f>
        <v>Атанас Иванов Начев</v>
      </c>
      <c r="B472" s="10" t="str">
        <f ca="1">IFERROR(__xludf.DUMMYFUNCTION("""COMPUTED_VALUE"""),"Доклад от конференция")</f>
        <v>Доклад от конференция</v>
      </c>
      <c r="C472" s="10" t="str">
        <f ca="1">IFERROR(__xludf.DUMMYFUNCTION("""COMPUTED_VALUE"""),"Нетрадиционни подходи при определяне на надеждността на мрежови структури")</f>
        <v>Нетрадиционни подходи при определяне на надеждността на мрежови структури</v>
      </c>
      <c r="D472" s="10">
        <f ca="1">IFERROR(__xludf.DUMMYFUNCTION("""COMPUTED_VALUE"""),2013)</f>
        <v>2013</v>
      </c>
      <c r="E472" s="10" t="str">
        <f ca="1">IFERROR(__xludf.DUMMYFUNCTION("""COMPUTED_VALUE"""),"Сборник научни трудове на Научна сесия 2012, Факултет „Артилерия, ПВО и КИС на НВУ „В. Левски”. Шумен, 2013.")</f>
        <v>Сборник научни трудове на Научна сесия 2012, Факултет „Артилерия, ПВО и КИС на НВУ „В. Левски”. Шумен, 2013.</v>
      </c>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c r="A473" s="10" t="str">
        <f ca="1">IFERROR(__xludf.DUMMYFUNCTION("""COMPUTED_VALUE"""),"Атанас Иванов Начев")</f>
        <v>Атанас Иванов Начев</v>
      </c>
      <c r="B473" s="10" t="str">
        <f ca="1">IFERROR(__xludf.DUMMYFUNCTION("""COMPUTED_VALUE"""),"Доклад от конференция")</f>
        <v>Доклад от конференция</v>
      </c>
      <c r="C473" s="10" t="str">
        <f ca="1">IFERROR(__xludf.DUMMYFUNCTION("""COMPUTED_VALUE"""),"Статистически модел за оценка на въздействието на заплахите за компютърните системи и мрежи")</f>
        <v>Статистически модел за оценка на въздействието на заплахите за компютърните системи и мрежи</v>
      </c>
      <c r="D473" s="10">
        <f ca="1">IFERROR(__xludf.DUMMYFUNCTION("""COMPUTED_VALUE"""),2013)</f>
        <v>2013</v>
      </c>
      <c r="E473" s="10" t="str">
        <f ca="1">IFERROR(__xludf.DUMMYFUNCTION("""COMPUTED_VALUE"""),"Сборник трудове на научна конференция „Защитата на личните данни в контекста на информационната сигурност”. Секция Информационна сигурност. ФАПВОКИС на НВУ, Шумен, 2013 / ISBN 978-954-9681-49-9.")</f>
        <v>Сборник трудове на научна конференция „Защитата на личните данни в контекста на информационната сигурност”. Секция Информационна сигурност. ФАПВОКИС на НВУ, Шумен, 2013 / ISBN 978-954-9681-49-9.</v>
      </c>
      <c r="F473" s="10"/>
      <c r="G473" s="10" t="str">
        <f ca="1">IFERROR(__xludf.DUMMYFUNCTION("""COMPUTED_VALUE"""),"С. Железов")</f>
        <v>С. Железов</v>
      </c>
      <c r="H473" s="10"/>
      <c r="I473" s="10"/>
      <c r="J473" s="10"/>
      <c r="K473" s="10"/>
      <c r="L473" s="10"/>
      <c r="M473" s="10"/>
      <c r="N473" s="10"/>
      <c r="O473" s="10"/>
      <c r="P473" s="10"/>
      <c r="Q473" s="10"/>
      <c r="R473" s="10"/>
      <c r="S473" s="10"/>
      <c r="T473" s="10"/>
      <c r="U473" s="10"/>
      <c r="V473" s="10"/>
      <c r="W473" s="10"/>
      <c r="X473" s="10"/>
      <c r="Y473" s="10"/>
      <c r="Z473" s="10"/>
    </row>
    <row r="474" spans="1:26" ht="12.75">
      <c r="A474" s="10" t="str">
        <f ca="1">IFERROR(__xludf.DUMMYFUNCTION("""COMPUTED_VALUE"""),"Атанас Иванов Начев")</f>
        <v>Атанас Иванов Начев</v>
      </c>
      <c r="B474" s="10" t="str">
        <f ca="1">IFERROR(__xludf.DUMMYFUNCTION("""COMPUTED_VALUE"""),"Доклад от конференция")</f>
        <v>Доклад от конференция</v>
      </c>
      <c r="C474" s="10" t="str">
        <f ca="1">IFERROR(__xludf.DUMMYFUNCTION("""COMPUTED_VALUE"""),"Оптимизиране изпълнението на информационни процеси с отчитане на натоварването на реализиращите ги средства")</f>
        <v>Оптимизиране изпълнението на информационни процеси с отчитане на натоварването на реализиращите ги средства</v>
      </c>
      <c r="D474" s="10">
        <f ca="1">IFERROR(__xludf.DUMMYFUNCTION("""COMPUTED_VALUE"""),2012)</f>
        <v>2012</v>
      </c>
      <c r="E474" s="10" t="str">
        <f ca="1">IFERROR(__xludf.DUMMYFUNCTION("""COMPUTED_VALUE"""),"„МATTEX 2012, Сборник научни трудове,TOM I, Шуменски университет „Епископ Константин Преславски. Факултет по математика и информатика, Факултет по технически науки, Шумен 2012, стр.115-118, ISSN: 1314-3921.")</f>
        <v>„МATTEX 2012, Сборник научни трудове,TOM I, Шуменски университет „Епископ Константин Преславски. Факултет по математика и информатика, Факултет по технически науки, Шумен 2012, стр.115-118, ISSN: 1314-3921.</v>
      </c>
      <c r="F474" s="10"/>
      <c r="G474" s="10"/>
      <c r="H474" s="10"/>
      <c r="I474" s="10"/>
      <c r="J474" s="10"/>
      <c r="K474" s="10"/>
      <c r="L474" s="10"/>
      <c r="M474" s="10"/>
      <c r="N474" s="10"/>
      <c r="O474" s="10"/>
      <c r="P474" s="10"/>
      <c r="Q474" s="10"/>
      <c r="R474" s="10"/>
      <c r="S474" s="10"/>
      <c r="T474" s="10"/>
      <c r="U474" s="10"/>
      <c r="V474" s="10"/>
      <c r="W474" s="10"/>
      <c r="X474" s="10"/>
      <c r="Y474" s="10"/>
      <c r="Z474" s="10"/>
    </row>
    <row r="475" spans="1:26" ht="12.75">
      <c r="A475" s="10" t="str">
        <f ca="1">IFERROR(__xludf.DUMMYFUNCTION("""COMPUTED_VALUE"""),"Атанас Иванов Начев")</f>
        <v>Атанас Иванов Начев</v>
      </c>
      <c r="B475" s="10" t="str">
        <f ca="1">IFERROR(__xludf.DUMMYFUNCTION("""COMPUTED_VALUE"""),"Статия в списания и поредици")</f>
        <v>Статия в списания и поредици</v>
      </c>
      <c r="C475" s="10" t="str">
        <f ca="1">IFERROR(__xludf.DUMMYFUNCTION("""COMPUTED_VALUE"""),"Относно управлението на знанието в сферата на образованието и научните изследвания за отбрана")</f>
        <v>Относно управлението на знанието в сферата на образованието и научните изследвания за отбрана</v>
      </c>
      <c r="D475" s="10">
        <f ca="1">IFERROR(__xludf.DUMMYFUNCTION("""COMPUTED_VALUE"""),2012)</f>
        <v>2012</v>
      </c>
      <c r="E475" s="10" t="str">
        <f ca="1">IFERROR(__xludf.DUMMYFUNCTION("""COMPUTED_VALUE"""),"Сб. Управление на знанието във военната организация, Военна академия „Г. С. Раковски”, Институт за перспективни изследвания за отбраната, София, 2012.")</f>
        <v>Сб. Управление на знанието във военната организация, Военна академия „Г. С. Раковски”, Институт за перспективни изследвания за отбраната, София, 2012.</v>
      </c>
      <c r="F475" s="10"/>
      <c r="G475" s="10"/>
      <c r="H475" s="10"/>
      <c r="I475" s="10"/>
      <c r="J475" s="10"/>
      <c r="K475" s="10"/>
      <c r="L475" s="10"/>
      <c r="M475" s="10"/>
      <c r="N475" s="10"/>
      <c r="O475" s="10"/>
      <c r="P475" s="10"/>
      <c r="Q475" s="10"/>
      <c r="R475" s="10"/>
      <c r="S475" s="10"/>
      <c r="T475" s="10"/>
      <c r="U475" s="10"/>
      <c r="V475" s="10"/>
      <c r="W475" s="10"/>
      <c r="X475" s="10"/>
      <c r="Y475" s="10"/>
      <c r="Z475" s="10"/>
    </row>
    <row r="476" spans="1:26" ht="12.75">
      <c r="A476" s="10" t="str">
        <f ca="1">IFERROR(__xludf.DUMMYFUNCTION("""COMPUTED_VALUE"""),"Атанас Иванов Начев")</f>
        <v>Атанас Иванов Начев</v>
      </c>
      <c r="B476" s="10" t="str">
        <f ca="1">IFERROR(__xludf.DUMMYFUNCTION("""COMPUTED_VALUE"""),"Доклад от конференция")</f>
        <v>Доклад от конференция</v>
      </c>
      <c r="C476" s="10" t="str">
        <f ca="1">IFERROR(__xludf.DUMMYFUNCTION("""COMPUTED_VALUE"""),"Промени на войната и военните конфликти като социално явление и задачите пред военнонаучните изследвания,")</f>
        <v>Промени на войната и военните конфликти като социално явление и задачите пред военнонаучните изследвания,</v>
      </c>
      <c r="D476" s="10">
        <f ca="1">IFERROR(__xludf.DUMMYFUNCTION("""COMPUTED_VALUE"""),2011)</f>
        <v>2011</v>
      </c>
      <c r="E476" s="10" t="str">
        <f ca="1">IFERROR(__xludf.DUMMYFUNCTION("""COMPUTED_VALUE"""),"Научна сесия 2010, Шумен, Сборник научни трудове, Национален военен университет, Факултет „Артилерия, ПВО и КИС“, Шумен, Сборни научни трудове, Част II, 2011, стр. 202-208, ISSN: 1313-7433.")</f>
        <v>Научна сесия 2010, Шумен, Сборник научни трудове, Национален военен университет, Факултет „Артилерия, ПВО и КИС“, Шумен, Сборни научни трудове, Част II, 2011, стр. 202-208, ISSN: 1313-7433.</v>
      </c>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c r="A477" s="10" t="str">
        <f ca="1">IFERROR(__xludf.DUMMYFUNCTION("""COMPUTED_VALUE"""),"Атанас Иванов Начев")</f>
        <v>Атанас Иванов Начев</v>
      </c>
      <c r="B477" s="10" t="str">
        <f ca="1">IFERROR(__xludf.DUMMYFUNCTION("""COMPUTED_VALUE"""),"Статия в списания и поредици")</f>
        <v>Статия в списания и поредици</v>
      </c>
      <c r="C477" s="10" t="str">
        <f ca="1">IFERROR(__xludf.DUMMYFUNCTION("""COMPUTED_VALUE"""),"Комплексен подход при определяне на функционалната надеждност на АСУ")</f>
        <v>Комплексен подход при определяне на функционалната надеждност на АСУ</v>
      </c>
      <c r="D477" s="10">
        <f ca="1">IFERROR(__xludf.DUMMYFUNCTION("""COMPUTED_VALUE"""),2011)</f>
        <v>2011</v>
      </c>
      <c r="E477" s="10" t="str">
        <f ca="1">IFERROR(__xludf.DUMMYFUNCTION("""COMPUTED_VALUE"""),"Сборни доклади от научна конференция с международно участие „Военни технологии и системи за осигуряване на отбраната,,София, Институт по отбрана „Професор Цветан Лазаров“, 2012, стр. 125-131; ISBN: 978-619-90024-1-4.")</f>
        <v>Сборни доклади от научна конференция с международно участие „Военни технологии и системи за осигуряване на отбраната,,София, Институт по отбрана „Професор Цветан Лазаров“, 2012, стр. 125-131; ISBN: 978-619-90024-1-4.</v>
      </c>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c r="A478" s="10" t="str">
        <f ca="1">IFERROR(__xludf.DUMMYFUNCTION("""COMPUTED_VALUE"""),"Атанас Иванов Начев")</f>
        <v>Атанас Иванов Начев</v>
      </c>
      <c r="B478" s="10" t="str">
        <f ca="1">IFERROR(__xludf.DUMMYFUNCTION("""COMPUTED_VALUE"""),"Доклад от конференция")</f>
        <v>Доклад от конференция</v>
      </c>
      <c r="C478" s="10" t="str">
        <f ca="1">IFERROR(__xludf.DUMMYFUNCTION("""COMPUTED_VALUE"""),"Метод за контролни изпитвания на надеждност чрез количествена оценка на параметрите на изделието")</f>
        <v>Метод за контролни изпитвания на надеждност чрез количествена оценка на параметрите на изделието</v>
      </c>
      <c r="D478" s="10">
        <f ca="1">IFERROR(__xludf.DUMMYFUNCTION("""COMPUTED_VALUE"""),2011)</f>
        <v>2011</v>
      </c>
      <c r="E478" s="10" t="str">
        <f ca="1">IFERROR(__xludf.DUMMYFUNCTION("""COMPUTED_VALUE"""),"Сборни доклади от научна конференция с международно участие „Военни технологии и системи за осигуряване на отбраната,София, Институт по отбрана „Професор Цветан Лазаров“, 2012, стр. 431-433, ISBN: 978-619-90024-1-4.")</f>
        <v>Сборни доклади от научна конференция с международно участие „Военни технологии и системи за осигуряване на отбраната,София, Институт по отбрана „Професор Цветан Лазаров“, 2012, стр. 431-433, ISBN: 978-619-90024-1-4.</v>
      </c>
      <c r="F478" s="10"/>
      <c r="G478" s="10"/>
      <c r="H478" s="10"/>
      <c r="I478" s="10"/>
      <c r="J478" s="10"/>
      <c r="K478" s="10"/>
      <c r="L478" s="10"/>
      <c r="M478" s="10"/>
      <c r="N478" s="10"/>
      <c r="O478" s="10"/>
      <c r="P478" s="10"/>
      <c r="Q478" s="10"/>
      <c r="R478" s="10"/>
      <c r="S478" s="10"/>
      <c r="T478" s="10"/>
      <c r="U478" s="10"/>
      <c r="V478" s="10"/>
      <c r="W478" s="10"/>
      <c r="X478" s="10"/>
      <c r="Y478" s="10"/>
      <c r="Z478" s="10"/>
    </row>
    <row r="479" spans="1:26" ht="12.75">
      <c r="A479" s="10" t="str">
        <f ca="1">IFERROR(__xludf.DUMMYFUNCTION("""COMPUTED_VALUE"""),"Атанас Иванов Начев")</f>
        <v>Атанас Иванов Начев</v>
      </c>
      <c r="B479" s="10" t="str">
        <f ca="1">IFERROR(__xludf.DUMMYFUNCTION("""COMPUTED_VALUE"""),"Статия в списания и поредици")</f>
        <v>Статия в списания и поредици</v>
      </c>
      <c r="C479" s="10" t="str">
        <f ca="1">IFERROR(__xludf.DUMMYFUNCTION("""COMPUTED_VALUE"""),"Определяне на надеждността и количеството изправни единици съхрянявани високонадеждни изделия")</f>
        <v>Определяне на надеждността и количеството изправни единици съхрянявани високонадеждни изделия</v>
      </c>
      <c r="D479" s="10">
        <f ca="1">IFERROR(__xludf.DUMMYFUNCTION("""COMPUTED_VALUE"""),2011)</f>
        <v>2011</v>
      </c>
      <c r="E479" s="10" t="str">
        <f ca="1">IFERROR(__xludf.DUMMYFUNCTION("""COMPUTED_VALUE"""),"Сборни доклади от научна конференция с международно участие „Военни технологии и системи за осигуряване на отбраната, София, Институт по отбрана „Професор Цветан Лазаров“, 2012, стр. 427-430; ISBN: 978-619-90024-1-4.")</f>
        <v>Сборни доклади от научна конференция с международно участие „Военни технологии и системи за осигуряване на отбраната, София, Институт по отбрана „Професор Цветан Лазаров“, 2012, стр. 427-430; ISBN: 978-619-90024-1-4.</v>
      </c>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c r="A480" s="10" t="str">
        <f ca="1">IFERROR(__xludf.DUMMYFUNCTION("""COMPUTED_VALUE"""),"Атанас Иванов Начев")</f>
        <v>Атанас Иванов Начев</v>
      </c>
      <c r="B480" s="10" t="str">
        <f ca="1">IFERROR(__xludf.DUMMYFUNCTION("""COMPUTED_VALUE"""),"Статия в списания и поредици")</f>
        <v>Статия в списания и поредици</v>
      </c>
      <c r="C480" s="10" t="str">
        <f ca="1">IFERROR(__xludf.DUMMYFUNCTION("""COMPUTED_VALUE"""),"Метод за контролни изпитвания на надеждност чрез количествена оценка на параметрите на изделието")</f>
        <v>Метод за контролни изпитвания на надеждност чрез количествена оценка на параметрите на изделието</v>
      </c>
      <c r="D480" s="10">
        <f ca="1">IFERROR(__xludf.DUMMYFUNCTION("""COMPUTED_VALUE"""),2011)</f>
        <v>2011</v>
      </c>
      <c r="E480" s="10" t="str">
        <f ca="1">IFERROR(__xludf.DUMMYFUNCTION("""COMPUTED_VALUE"""),"Сборник научни трудове от Научна конференция на Института по отбрана „Военни технологии и системи”, София, 2011.")</f>
        <v>Сборник научни трудове от Научна конференция на Института по отбрана „Военни технологии и системи”, София, 2011.</v>
      </c>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c r="A481" s="10" t="str">
        <f ca="1">IFERROR(__xludf.DUMMYFUNCTION("""COMPUTED_VALUE"""),"Атанас Иванов Начев")</f>
        <v>Атанас Иванов Начев</v>
      </c>
      <c r="B481" s="10" t="str">
        <f ca="1">IFERROR(__xludf.DUMMYFUNCTION("""COMPUTED_VALUE"""),"Доклад от конференция")</f>
        <v>Доклад от конференция</v>
      </c>
      <c r="C481" s="10" t="str">
        <f ca="1">IFERROR(__xludf.DUMMYFUNCTION("""COMPUTED_VALUE"""),"Подход за оценка на надеждността на мрежови структури на базата на протиащи в тях информационни процеси")</f>
        <v>Подход за оценка на надеждността на мрежови структури на базата на протиащи в тях информационни процеси</v>
      </c>
      <c r="D481" s="10">
        <f ca="1">IFERROR(__xludf.DUMMYFUNCTION("""COMPUTED_VALUE"""),2011)</f>
        <v>2011</v>
      </c>
      <c r="E481" s="10" t="str">
        <f ca="1">IFERROR(__xludf.DUMMYFUNCTION("""COMPUTED_VALUE"""),"Научна сесия 2010, Шумен:, Сборник научни трудове, Национален военен университет, Факултет „Артилерия, ПВО и КИС“, Научна сесия 2010, Шумен, Сборни научни трудове, Част II, 2011, стр. 59-62, ISSN: 1313-7433.")</f>
        <v>Научна сесия 2010, Шумен:, Сборник научни трудове, Национален военен университет, Факултет „Артилерия, ПВО и КИС“, Научна сесия 2010, Шумен, Сборни научни трудове, Част II, 2011, стр. 59-62, ISSN: 1313-7433.</v>
      </c>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c r="A482" s="10" t="str">
        <f ca="1">IFERROR(__xludf.DUMMYFUNCTION("""COMPUTED_VALUE"""),"Атанас Иванов Начев")</f>
        <v>Атанас Иванов Начев</v>
      </c>
      <c r="B482" s="10" t="str">
        <f ca="1">IFERROR(__xludf.DUMMYFUNCTION("""COMPUTED_VALUE"""),"Статия в списания и поредици")</f>
        <v>Статия в списания и поредици</v>
      </c>
      <c r="C482" s="10" t="str">
        <f ca="1">IFERROR(__xludf.DUMMYFUNCTION("""COMPUTED_VALUE"""),"Определяне на отказоустойчивоостта на мрежови структури въз основа на времето за изпълнение на информационни процеси, с отчитане на надеждностните характеристики на оборудването")</f>
        <v>Определяне на отказоустойчивоостта на мрежови структури въз основа на времето за изпълнение на информационни процеси, с отчитане на надеждностните характеристики на оборудването</v>
      </c>
      <c r="D482" s="10">
        <f ca="1">IFERROR(__xludf.DUMMYFUNCTION("""COMPUTED_VALUE"""),2010)</f>
        <v>2010</v>
      </c>
      <c r="E482" s="10" t="str">
        <f ca="1">IFERROR(__xludf.DUMMYFUNCTION("""COMPUTED_VALUE"""),"Сборник доклади на Научна конференция на факултет „Артилерия, ПВО и КИС” на НВУ „В.Левски”, Шумен, 2010.")</f>
        <v>Сборник доклади на Научна конференция на факултет „Артилерия, ПВО и КИС” на НВУ „В.Левски”, Шумен, 2010.</v>
      </c>
      <c r="F482" s="10"/>
      <c r="G482" s="10"/>
      <c r="H482" s="10"/>
      <c r="I482" s="10"/>
      <c r="J482" s="10"/>
      <c r="K482" s="10"/>
      <c r="L482" s="10"/>
      <c r="M482" s="10"/>
      <c r="N482" s="10"/>
      <c r="O482" s="10"/>
      <c r="P482" s="10"/>
      <c r="Q482" s="10"/>
      <c r="R482" s="10"/>
      <c r="S482" s="10"/>
      <c r="T482" s="10"/>
      <c r="U482" s="10"/>
      <c r="V482" s="10"/>
      <c r="W482" s="10"/>
      <c r="X482" s="10"/>
      <c r="Y482" s="10"/>
      <c r="Z482" s="10"/>
    </row>
    <row r="483" spans="1:26" ht="12.75">
      <c r="A483" s="10" t="str">
        <f ca="1">IFERROR(__xludf.DUMMYFUNCTION("""COMPUTED_VALUE"""),"Атанас Иванов Начев")</f>
        <v>Атанас Иванов Начев</v>
      </c>
      <c r="B483" s="10" t="str">
        <f ca="1">IFERROR(__xludf.DUMMYFUNCTION("""COMPUTED_VALUE"""),"Статия в списания и поредици")</f>
        <v>Статия в списания и поредици</v>
      </c>
      <c r="C483" s="10" t="str">
        <f ca="1">IFERROR(__xludf.DUMMYFUNCTION("""COMPUTED_VALUE"""),"Войната и армиите в променящия се свят")</f>
        <v>Войната и армиите в променящия се свят</v>
      </c>
      <c r="D483" s="10">
        <f ca="1">IFERROR(__xludf.DUMMYFUNCTION("""COMPUTED_VALUE"""),2010)</f>
        <v>2010</v>
      </c>
      <c r="E483" s="10" t="str">
        <f ca="1">IFERROR(__xludf.DUMMYFUNCTION("""COMPUTED_VALUE"""),"Сборник доклади на Научна конференция на факултет „Артилерия, ПВО и КИС” на НВУ „В.Левски”, Шумен, 2010.")</f>
        <v>Сборник доклади на Научна конференция на факултет „Артилерия, ПВО и КИС” на НВУ „В.Левски”, Шумен, 2010.</v>
      </c>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c r="A484" s="10" t="str">
        <f ca="1">IFERROR(__xludf.DUMMYFUNCTION("""COMPUTED_VALUE"""),"Атанас Иванов Начев")</f>
        <v>Атанас Иванов Начев</v>
      </c>
      <c r="B484" s="10" t="str">
        <f ca="1">IFERROR(__xludf.DUMMYFUNCTION("""COMPUTED_VALUE"""),"Статия в списания и поредици")</f>
        <v>Статия в списания и поредици</v>
      </c>
      <c r="C484" s="10" t="str">
        <f ca="1">IFERROR(__xludf.DUMMYFUNCTION("""COMPUTED_VALUE"""),"Военнонаучните изследвания в процеса на трансформация на Българската армия-състояние и проблеми.")</f>
        <v>Военнонаучните изследвания в процеса на трансформация на Българската армия-състояние и проблеми.</v>
      </c>
      <c r="D484" s="10">
        <f ca="1">IFERROR(__xludf.DUMMYFUNCTION("""COMPUTED_VALUE"""),2010)</f>
        <v>2010</v>
      </c>
      <c r="E484" s="10" t="str">
        <f ca="1">IFERROR(__xludf.DUMMYFUNCTION("""COMPUTED_VALUE"""),"Ролята на военното образование,м следдипломната квалификация и научните изследвания за повишаване на отбранителните способности на Въоръжените сили на Република България, София, Военна академия „Г. С. Раковски“ 2018 стр. 28-29, ISBN 978-954-9348-07-1.")</f>
        <v>Ролята на военното образование,м следдипломната квалификация и научните изследвания за повишаване на отбранителните способности на Въоръжените сили на Република България, София, Военна академия „Г. С. Раковски“ 2018 стр. 28-29, ISBN 978-954-9348-07-1.</v>
      </c>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c r="A485" s="10" t="str">
        <f ca="1">IFERROR(__xludf.DUMMYFUNCTION("""COMPUTED_VALUE"""),"Атанас Иванов Начев")</f>
        <v>Атанас Иванов Начев</v>
      </c>
      <c r="B485" s="10" t="str">
        <f ca="1">IFERROR(__xludf.DUMMYFUNCTION("""COMPUTED_VALUE"""),"Статия в списания и поредици")</f>
        <v>Статия в списания и поредици</v>
      </c>
      <c r="C485" s="10" t="str">
        <f ca="1">IFERROR(__xludf.DUMMYFUNCTION("""COMPUTED_VALUE"""),"Виждане относно създаване на единна система за научно осигуряване на процесите на трансформация на Българската армия")</f>
        <v>Виждане относно създаване на единна система за научно осигуряване на процесите на трансформация на Българската армия</v>
      </c>
      <c r="D485" s="10">
        <f ca="1">IFERROR(__xludf.DUMMYFUNCTION("""COMPUTED_VALUE"""),2010)</f>
        <v>2010</v>
      </c>
      <c r="E485" s="10" t="str">
        <f ca="1">IFERROR(__xludf.DUMMYFUNCTION("""COMPUTED_VALUE"""),"ХЕМУС 2010: Сборник научни трудове, София, 2010, стр.57-60, ISSN: 1312-2916.")</f>
        <v>ХЕМУС 2010: Сборник научни трудове, София, 2010, стр.57-60, ISSN: 1312-2916.</v>
      </c>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c r="A486" s="10" t="str">
        <f ca="1">IFERROR(__xludf.DUMMYFUNCTION("""COMPUTED_VALUE"""),"Атанас Иванов Начев")</f>
        <v>Атанас Иванов Начев</v>
      </c>
      <c r="B486" s="10" t="str">
        <f ca="1">IFERROR(__xludf.DUMMYFUNCTION("""COMPUTED_VALUE"""),"Статия в списания и поредици")</f>
        <v>Статия в списания и поредици</v>
      </c>
      <c r="C486" s="10" t="str">
        <f ca="1">IFERROR(__xludf.DUMMYFUNCTION("""COMPUTED_VALUE"""),"Определяне на степента на годност на въоръжението, обслужвано в процеса на съхранение")</f>
        <v>Определяне на степента на годност на въоръжението, обслужвано в процеса на съхранение</v>
      </c>
      <c r="D486" s="10">
        <f ca="1">IFERROR(__xludf.DUMMYFUNCTION("""COMPUTED_VALUE"""),2009)</f>
        <v>2009</v>
      </c>
      <c r="E486" s="10" t="str">
        <f ca="1">IFERROR(__xludf.DUMMYFUNCTION("""COMPUTED_VALUE"""),"Годишник на института за перспективни изследвания зая отбраната, София, 2009.")</f>
        <v>Годишник на института за перспективни изследвания зая отбраната, София, 2009.</v>
      </c>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c r="A487" s="10" t="str">
        <f ca="1">IFERROR(__xludf.DUMMYFUNCTION("""COMPUTED_VALUE"""),"Атанас Иванов Начев")</f>
        <v>Атанас Иванов Начев</v>
      </c>
      <c r="B487" s="10" t="str">
        <f ca="1">IFERROR(__xludf.DUMMYFUNCTION("""COMPUTED_VALUE"""),"Статия в списания и поредици")</f>
        <v>Статия в списания и поредици</v>
      </c>
      <c r="C487" s="10" t="str">
        <f ca="1">IFERROR(__xludf.DUMMYFUNCTION("""COMPUTED_VALUE"""),"Осигуряване на функционалната надеждност на системите за обработка на радиолокационна информация")</f>
        <v>Осигуряване на функционалната надеждност на системите за обработка на радиолокационна информация</v>
      </c>
      <c r="D487" s="10">
        <f ca="1">IFERROR(__xludf.DUMMYFUNCTION("""COMPUTED_VALUE"""),2009)</f>
        <v>2009</v>
      </c>
      <c r="E487" s="10" t="str">
        <f ca="1">IFERROR(__xludf.DUMMYFUNCTION("""COMPUTED_VALUE"""),"Годишник на института за перспективни изследвания зая отбраната, София, 2009.")</f>
        <v>Годишник на института за перспективни изследвания зая отбраната, София, 2009.</v>
      </c>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c r="A488" s="10" t="str">
        <f ca="1">IFERROR(__xludf.DUMMYFUNCTION("""COMPUTED_VALUE"""),"Атанас Иванов Начев")</f>
        <v>Атанас Иванов Начев</v>
      </c>
      <c r="B488" s="10" t="str">
        <f ca="1">IFERROR(__xludf.DUMMYFUNCTION("""COMPUTED_VALUE"""),"Статия в списания и поредици")</f>
        <v>Статия в списания и поредици</v>
      </c>
      <c r="C488" s="10" t="str">
        <f ca="1">IFERROR(__xludf.DUMMYFUNCTION("""COMPUTED_VALUE"""),"Определяне на средното време на изпълнение на информационни процеси с отчитане на надеждностните характеристики на оборудването")</f>
        <v>Определяне на средното време на изпълнение на информационни процеси с отчитане на надеждностните характеристики на оборудването</v>
      </c>
      <c r="D488" s="10">
        <f ca="1">IFERROR(__xludf.DUMMYFUNCTION("""COMPUTED_VALUE"""),2009)</f>
        <v>2009</v>
      </c>
      <c r="E488" s="10" t="str">
        <f ca="1">IFERROR(__xludf.DUMMYFUNCTION("""COMPUTED_VALUE"""),"Сборник научни трудове, посветени на 105 годишнината от раждането на пионерите на компютърната техника Джон Атанасов и Джон фон Нойман, Шумен, 2009, стр. 166-169, ISBN: 978-954-577-570-6 (т. 2).")</f>
        <v>Сборник научни трудове, посветени на 105 годишнината от раждането на пионерите на компютърната техника Джон Атанасов и Джон фон Нойман, Шумен, 2009, стр. 166-169, ISBN: 978-954-577-570-6 (т. 2).</v>
      </c>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c r="A489" s="10" t="str">
        <f ca="1">IFERROR(__xludf.DUMMYFUNCTION("""COMPUTED_VALUE"""),"Атанас Иванов Начев")</f>
        <v>Атанас Иванов Начев</v>
      </c>
      <c r="B489" s="10" t="str">
        <f ca="1">IFERROR(__xludf.DUMMYFUNCTION("""COMPUTED_VALUE"""),"Статия в списания и поредици")</f>
        <v>Статия в списания и поредици</v>
      </c>
      <c r="C489" s="10" t="str">
        <f ca="1">IFERROR(__xludf.DUMMYFUNCTION("""COMPUTED_VALUE"""),"Автоматична обработка на компресирана радиолокационна информация")</f>
        <v>Автоматична обработка на компресирана радиолокационна информация</v>
      </c>
      <c r="D489" s="10">
        <f ca="1">IFERROR(__xludf.DUMMYFUNCTION("""COMPUTED_VALUE"""),2009)</f>
        <v>2009</v>
      </c>
      <c r="E489" s="10" t="str">
        <f ca="1">IFERROR(__xludf.DUMMYFUNCTION("""COMPUTED_VALUE"""),"Годишник на института за перспективни изследвания зая отбраната, София, 2009.")</f>
        <v>Годишник на института за перспективни изследвания зая отбраната, София, 2009.</v>
      </c>
      <c r="F489" s="10"/>
      <c r="G489" s="10"/>
      <c r="H489" s="10"/>
      <c r="I489" s="10"/>
      <c r="J489" s="10"/>
      <c r="K489" s="10"/>
      <c r="L489" s="10"/>
      <c r="M489" s="10"/>
      <c r="N489" s="10"/>
      <c r="O489" s="10"/>
      <c r="P489" s="10"/>
      <c r="Q489" s="10"/>
      <c r="R489" s="10"/>
      <c r="S489" s="10"/>
      <c r="T489" s="10"/>
      <c r="U489" s="10"/>
      <c r="V489" s="10"/>
      <c r="W489" s="10"/>
      <c r="X489" s="10"/>
      <c r="Y489" s="10"/>
      <c r="Z489" s="10"/>
    </row>
    <row r="490" spans="1:26" ht="12.75">
      <c r="A490" s="10" t="str">
        <f ca="1">IFERROR(__xludf.DUMMYFUNCTION("""COMPUTED_VALUE"""),"Атанас Иванов Начев")</f>
        <v>Атанас Иванов Начев</v>
      </c>
      <c r="B490" s="10" t="str">
        <f ca="1">IFERROR(__xludf.DUMMYFUNCTION("""COMPUTED_VALUE"""),"Статия в списания и поредици")</f>
        <v>Статия в списания и поредици</v>
      </c>
      <c r="C490" s="10" t="str">
        <f ca="1">IFERROR(__xludf.DUMMYFUNCTION("""COMPUTED_VALUE"""),"Определяне на отказоустойчиюостта на мревоюи структури въз основа на времето за изпълнение на информационни процеси с отчитане на надеждностните характеристики на оборудването")</f>
        <v>Определяне на отказоустойчиюостта на мревоюи структури въз основа на времето за изпълнение на информационни процеси с отчитане на надеждностните характеристики на оборудването</v>
      </c>
      <c r="D490" s="10">
        <f ca="1">IFERROR(__xludf.DUMMYFUNCTION("""COMPUTED_VALUE"""),2009)</f>
        <v>2009</v>
      </c>
      <c r="E490" s="10" t="str">
        <f ca="1">IFERROR(__xludf.DUMMYFUNCTION("""COMPUTED_VALUE"""),"Сборник научни трудове, посветени на 105 годишнината от раждането на пионерите на компютърната техника Джон Атанасов и Джон фон Нойман, Шумен, 2009, стр. 159-165, ISBN: 978-954-577-570-6 (т. 2).")</f>
        <v>Сборник научни трудове, посветени на 105 годишнината от раждането на пионерите на компютърната техника Джон Атанасов и Джон фон Нойман, Шумен, 2009, стр. 159-165, ISBN: 978-954-577-570-6 (т. 2).</v>
      </c>
      <c r="F490" s="10"/>
      <c r="G490" s="10" t="str">
        <f ca="1">IFERROR(__xludf.DUMMYFUNCTION("""COMPUTED_VALUE"""),"Павел Симеонов")</f>
        <v>Павел Симеонов</v>
      </c>
      <c r="H490" s="10"/>
      <c r="I490" s="10"/>
      <c r="J490" s="10"/>
      <c r="K490" s="10"/>
      <c r="L490" s="10"/>
      <c r="M490" s="10"/>
      <c r="N490" s="10"/>
      <c r="O490" s="10"/>
      <c r="P490" s="10"/>
      <c r="Q490" s="10"/>
      <c r="R490" s="10"/>
      <c r="S490" s="10"/>
      <c r="T490" s="10"/>
      <c r="U490" s="10"/>
      <c r="V490" s="10"/>
      <c r="W490" s="10"/>
      <c r="X490" s="10"/>
      <c r="Y490" s="10"/>
      <c r="Z490" s="10"/>
    </row>
    <row r="491" spans="1:26" ht="12.75">
      <c r="A491" s="10" t="str">
        <f ca="1">IFERROR(__xludf.DUMMYFUNCTION("""COMPUTED_VALUE"""),"Атанас Иванов Начев")</f>
        <v>Атанас Иванов Начев</v>
      </c>
      <c r="B491" s="10" t="str">
        <f ca="1">IFERROR(__xludf.DUMMYFUNCTION("""COMPUTED_VALUE"""),"Статия в списания и поредици")</f>
        <v>Статия в списания и поредици</v>
      </c>
      <c r="C491" s="10" t="str">
        <f ca="1">IFERROR(__xludf.DUMMYFUNCTION("""COMPUTED_VALUE"""),"Оценка на състоянието на системи въоръжение въз основа на параметрите им на надеждност, определени в процеса на тяхното съхранение")</f>
        <v>Оценка на състоянието на системи въоръжение въз основа на параметрите им на надеждност, определени в процеса на тяхното съхранение</v>
      </c>
      <c r="D491" s="10">
        <f ca="1">IFERROR(__xludf.DUMMYFUNCTION("""COMPUTED_VALUE"""),2009)</f>
        <v>2009</v>
      </c>
      <c r="E491" s="10" t="str">
        <f ca="1">IFERROR(__xludf.DUMMYFUNCTION("""COMPUTED_VALUE"""),"Сборник научни трудове на Военна академия „Г. С. Раковски”, 2009;")</f>
        <v>Сборник научни трудове на Военна академия „Г. С. Раковски”, 2009;</v>
      </c>
      <c r="F491" s="10"/>
      <c r="G491" s="10"/>
      <c r="H491" s="10"/>
      <c r="I491" s="10"/>
      <c r="J491" s="10"/>
      <c r="K491" s="10"/>
      <c r="L491" s="10"/>
      <c r="M491" s="10"/>
      <c r="N491" s="10"/>
      <c r="O491" s="10"/>
      <c r="P491" s="10"/>
      <c r="Q491" s="10"/>
      <c r="R491" s="10"/>
      <c r="S491" s="10"/>
      <c r="T491" s="10"/>
      <c r="U491" s="10"/>
      <c r="V491" s="10"/>
      <c r="W491" s="10"/>
      <c r="X491" s="10"/>
      <c r="Y491" s="10"/>
      <c r="Z491" s="10"/>
    </row>
    <row r="492" spans="1:26" ht="12.75">
      <c r="A492" s="10" t="str">
        <f ca="1">IFERROR(__xludf.DUMMYFUNCTION("""COMPUTED_VALUE"""),"Атанас Иванов Начев")</f>
        <v>Атанас Иванов Начев</v>
      </c>
      <c r="B492" s="10" t="str">
        <f ca="1">IFERROR(__xludf.DUMMYFUNCTION("""COMPUTED_VALUE"""),"Статия в списания и поредици")</f>
        <v>Статия в списания и поредици</v>
      </c>
      <c r="C492" s="10" t="str">
        <f ca="1">IFERROR(__xludf.DUMMYFUNCTION("""COMPUTED_VALUE"""),"Оценка на надеждностните характеристика на мрежови структури на базата на времето за реализация им")</f>
        <v>Оценка на надеждностните характеристика на мрежови структури на базата на времето за реализация им</v>
      </c>
      <c r="D492" s="10">
        <f ca="1">IFERROR(__xludf.DUMMYFUNCTION("""COMPUTED_VALUE"""),2008)</f>
        <v>2008</v>
      </c>
      <c r="E492" s="10" t="str">
        <f ca="1">IFERROR(__xludf.DUMMYFUNCTION("""COMPUTED_VALUE"""),"Сборник научни трудовве на Шуменския униюерситет „Епископ Константин Преславски"", 2008")</f>
        <v>Сборник научни трудовве на Шуменския униюерситет „Епископ Константин Преславски", 2008</v>
      </c>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c r="A493" s="10" t="str">
        <f ca="1">IFERROR(__xludf.DUMMYFUNCTION("""COMPUTED_VALUE"""),"Атанас Иванов Начев")</f>
        <v>Атанас Иванов Начев</v>
      </c>
      <c r="B493" s="10" t="str">
        <f ca="1">IFERROR(__xludf.DUMMYFUNCTION("""COMPUTED_VALUE"""),"Статия в списания и поредици")</f>
        <v>Статия в списания и поредици</v>
      </c>
      <c r="C493" s="10" t="str">
        <f ca="1">IFERROR(__xludf.DUMMYFUNCTION("""COMPUTED_VALUE"""),"Развитие на научните изследвания за отбрана-състояние и предизвикателства")</f>
        <v>Развитие на научните изследвания за отбрана-състояние и предизвикателства</v>
      </c>
      <c r="D493" s="10">
        <f ca="1">IFERROR(__xludf.DUMMYFUNCTION("""COMPUTED_VALUE"""),2006)</f>
        <v>2006</v>
      </c>
      <c r="E493" s="10" t="str">
        <f ca="1">IFERROR(__xludf.DUMMYFUNCTION("""COMPUTED_VALUE"""),"София, Военно образование и трансформацията на отбраната и Въоръжените сили, Военна академия „Г. С. Раковски“, стр. 25-26, ISBN:10:954-9348-01-2; IABN-13:978-954-9348-03-3.")</f>
        <v>София, Военно образование и трансформацията на отбраната и Въоръжените сили, Военна академия „Г. С. Раковски“, стр. 25-26, ISBN:10:954-9348-01-2; IABN-13:978-954-9348-03-3.</v>
      </c>
      <c r="F493" s="10"/>
      <c r="G493" s="10"/>
      <c r="H493" s="10"/>
      <c r="I493" s="10"/>
      <c r="J493" s="10"/>
      <c r="K493" s="10"/>
      <c r="L493" s="10"/>
      <c r="M493" s="10"/>
      <c r="N493" s="10"/>
      <c r="O493" s="10"/>
      <c r="P493" s="10"/>
      <c r="Q493" s="10"/>
      <c r="R493" s="10"/>
      <c r="S493" s="10"/>
      <c r="T493" s="10"/>
      <c r="U493" s="10"/>
      <c r="V493" s="10"/>
      <c r="W493" s="10"/>
      <c r="X493" s="10"/>
      <c r="Y493" s="10"/>
      <c r="Z493" s="10"/>
    </row>
    <row r="494" spans="1:26" ht="12.75">
      <c r="A494" s="10" t="str">
        <f ca="1">IFERROR(__xludf.DUMMYFUNCTION("""COMPUTED_VALUE"""),"Атанас Иванов Начев")</f>
        <v>Атанас Иванов Начев</v>
      </c>
      <c r="B494" s="10" t="str">
        <f ca="1">IFERROR(__xludf.DUMMYFUNCTION("""COMPUTED_VALUE"""),"Статия в списания и поредици")</f>
        <v>Статия в списания и поредици</v>
      </c>
      <c r="C494" s="10" t="str">
        <f ca="1">IFERROR(__xludf.DUMMYFUNCTION("""COMPUTED_VALUE"""),"Метод на времевите характеристики на информационните процеси за определяне на надеждността на функциониране на АСУ")</f>
        <v>Метод на времевите характеристики на информационните процеси за определяне на надеждността на функциониране на АСУ</v>
      </c>
      <c r="D494" s="10">
        <f ca="1">IFERROR(__xludf.DUMMYFUNCTION("""COMPUTED_VALUE"""),2005)</f>
        <v>2005</v>
      </c>
      <c r="E494" s="10" t="str">
        <f ca="1">IFERROR(__xludf.DUMMYFUNCTION("""COMPUTED_VALUE"""),"Годишник на Института за перспективни изследвания за отбраната, София, 2005, ISSN: 1312-0816, стр.")</f>
        <v>Годишник на Института за перспективни изследвания за отбраната, София, 2005, ISSN: 1312-0816, стр.</v>
      </c>
      <c r="F494" s="10"/>
      <c r="G494" s="10"/>
      <c r="H494" s="10"/>
      <c r="I494" s="10"/>
      <c r="J494" s="10"/>
      <c r="K494" s="10"/>
      <c r="L494" s="10"/>
      <c r="M494" s="10"/>
      <c r="N494" s="10"/>
      <c r="O494" s="10"/>
      <c r="P494" s="10"/>
      <c r="Q494" s="10"/>
      <c r="R494" s="10"/>
      <c r="S494" s="10"/>
      <c r="T494" s="10"/>
      <c r="U494" s="10"/>
      <c r="V494" s="10"/>
      <c r="W494" s="10"/>
      <c r="X494" s="10"/>
      <c r="Y494" s="10"/>
      <c r="Z494" s="10"/>
    </row>
    <row r="495" spans="1:26" ht="12.75">
      <c r="A495" s="10" t="str">
        <f ca="1">IFERROR(__xludf.DUMMYFUNCTION("""COMPUTED_VALUE"""),"Атанас Иванов Начев")</f>
        <v>Атанас Иванов Начев</v>
      </c>
      <c r="B495" s="10" t="str">
        <f ca="1">IFERROR(__xludf.DUMMYFUNCTION("""COMPUTED_VALUE"""),"Статия в списания и поредици")</f>
        <v>Статия в списания и поредици</v>
      </c>
      <c r="C495" s="10" t="str">
        <f ca="1">IFERROR(__xludf.DUMMYFUNCTION("""COMPUTED_VALUE"""),"Методологични особености на проблема синтез на мрежови структури с повишена надеждност")</f>
        <v>Методологични особености на проблема синтез на мрежови структури с повишена надеждност</v>
      </c>
      <c r="D495" s="10">
        <f ca="1">IFERROR(__xludf.DUMMYFUNCTION("""COMPUTED_VALUE"""),2005)</f>
        <v>2005</v>
      </c>
      <c r="E495" s="10" t="str">
        <f ca="1">IFERROR(__xludf.DUMMYFUNCTION("""COMPUTED_VALUE"""),"Годишник на Института за перспективни изследвания за отбраната, София, 2005, стр. 256-260, ISSN: 1312-0816.")</f>
        <v>Годишник на Института за перспективни изследвания за отбраната, София, 2005, стр. 256-260, ISSN: 1312-0816.</v>
      </c>
      <c r="F495" s="10"/>
      <c r="G495" s="10"/>
      <c r="H495" s="10"/>
      <c r="I495" s="10"/>
      <c r="J495" s="10"/>
      <c r="K495" s="10"/>
      <c r="L495" s="10"/>
      <c r="M495" s="10"/>
      <c r="N495" s="10"/>
      <c r="O495" s="10"/>
      <c r="P495" s="10"/>
      <c r="Q495" s="10"/>
      <c r="R495" s="10"/>
      <c r="S495" s="10"/>
      <c r="T495" s="10"/>
      <c r="U495" s="10"/>
      <c r="V495" s="10"/>
      <c r="W495" s="10"/>
      <c r="X495" s="10"/>
      <c r="Y495" s="10"/>
      <c r="Z495" s="10"/>
    </row>
    <row r="496" spans="1:26" ht="12.75">
      <c r="A496" s="10" t="str">
        <f ca="1">IFERROR(__xludf.DUMMYFUNCTION("""COMPUTED_VALUE"""),"Атанас Иванов Начев")</f>
        <v>Атанас Иванов Начев</v>
      </c>
      <c r="B496" s="10" t="str">
        <f ca="1">IFERROR(__xludf.DUMMYFUNCTION("""COMPUTED_VALUE"""),"Статия в списания и поредици")</f>
        <v>Статия в списания и поредици</v>
      </c>
      <c r="C496" s="10" t="str">
        <f ca="1">IFERROR(__xludf.DUMMYFUNCTION("""COMPUTED_VALUE"""),"Магнитни информационни носители и проблемът защита на информацията")</f>
        <v>Магнитни информационни носители и проблемът защита на информацията</v>
      </c>
      <c r="D496" s="10">
        <f ca="1">IFERROR(__xludf.DUMMYFUNCTION("""COMPUTED_VALUE"""),2005)</f>
        <v>2005</v>
      </c>
      <c r="E496" s="10" t="str">
        <f ca="1">IFERROR(__xludf.DUMMYFUNCTION("""COMPUTED_VALUE"""),"Ролята на Воена академия „Г. С. Раковски“ в изграждането на образователна мрежа за бъдещи лидери. Стратегическо ръководство през XXI век; Военното лидерство в съвременните условия; Военнотехнологични изследвания за отбраната; Езикознание и езиково обучени"&amp;"е, София, Военна академия „Г. С. Раковски“, 2005, 194-195, ISBN: 954-9348-02-4.")</f>
        <v>Ролята на Воена академия „Г. С. Раковски“ в изграждането на образователна мрежа за бъдещи лидери. Стратегическо ръководство през XXI век; Военното лидерство в съвременните условия; Военнотехнологични изследвания за отбраната; Езикознание и езиково обучение, София, Военна академия „Г. С. Раковски“, 2005, 194-195, ISBN: 954-9348-02-4.</v>
      </c>
      <c r="F496" s="10"/>
      <c r="G496" s="10"/>
      <c r="H496" s="10"/>
      <c r="I496" s="10"/>
      <c r="J496" s="10"/>
      <c r="K496" s="10"/>
      <c r="L496" s="10"/>
      <c r="M496" s="10"/>
      <c r="N496" s="10"/>
      <c r="O496" s="10"/>
      <c r="P496" s="10"/>
      <c r="Q496" s="10"/>
      <c r="R496" s="10"/>
      <c r="S496" s="10"/>
      <c r="T496" s="10"/>
      <c r="U496" s="10"/>
      <c r="V496" s="10"/>
      <c r="W496" s="10"/>
      <c r="X496" s="10"/>
      <c r="Y496" s="10"/>
      <c r="Z496" s="10"/>
    </row>
    <row r="497" spans="1:26" ht="12.75">
      <c r="A497" s="10" t="str">
        <f ca="1">IFERROR(__xludf.DUMMYFUNCTION("""COMPUTED_VALUE"""),"Атанас Иванов Начев")</f>
        <v>Атанас Иванов Начев</v>
      </c>
      <c r="B497" s="10" t="str">
        <f ca="1">IFERROR(__xludf.DUMMYFUNCTION("""COMPUTED_VALUE"""),"Статия в списания и поредици")</f>
        <v>Статия в списания и поредици</v>
      </c>
      <c r="C497" s="10" t="str">
        <f ca="1">IFERROR(__xludf.DUMMYFUNCTION("""COMPUTED_VALUE"""),"Система обнаружения вторжений с добавленной отказоустойчивостью")</f>
        <v>Система обнаружения вторжений с добавленной отказоустойчивостью</v>
      </c>
      <c r="D497" s="10">
        <f ca="1">IFERROR(__xludf.DUMMYFUNCTION("""COMPUTED_VALUE"""),2005)</f>
        <v>2005</v>
      </c>
      <c r="E497" s="10" t="str">
        <f ca="1">IFERROR(__xludf.DUMMYFUNCTION("""COMPUTED_VALUE"""),"Information tehnologi and security, Kiev, 2005, pp. 154-157.")</f>
        <v>Information tehnologi and security, Kiev, 2005, pp. 154-157.</v>
      </c>
      <c r="F497" s="10"/>
      <c r="G497" s="10" t="str">
        <f ca="1">IFERROR(__xludf.DUMMYFUNCTION("""COMPUTED_VALUE"""),"Мая Георгиева Божилова")</f>
        <v>Мая Георгиева Божилова</v>
      </c>
      <c r="H497" s="10"/>
      <c r="I497" s="10"/>
      <c r="J497" s="10"/>
      <c r="K497" s="10"/>
      <c r="L497" s="10"/>
      <c r="M497" s="10"/>
      <c r="N497" s="10"/>
      <c r="O497" s="10"/>
      <c r="P497" s="10"/>
      <c r="Q497" s="10"/>
      <c r="R497" s="10"/>
      <c r="S497" s="10"/>
      <c r="T497" s="10"/>
      <c r="U497" s="10"/>
      <c r="V497" s="10"/>
      <c r="W497" s="10"/>
      <c r="X497" s="10"/>
      <c r="Y497" s="10"/>
      <c r="Z497" s="10"/>
    </row>
    <row r="498" spans="1:26" ht="12.75">
      <c r="A498" s="10" t="str">
        <f ca="1">IFERROR(__xludf.DUMMYFUNCTION("""COMPUTED_VALUE"""),"Атанас Иванов Начев")</f>
        <v>Атанас Иванов Начев</v>
      </c>
      <c r="B498" s="10" t="str">
        <f ca="1">IFERROR(__xludf.DUMMYFUNCTION("""COMPUTED_VALUE"""),"Статия в списания и поредици")</f>
        <v>Статия в списания и поредици</v>
      </c>
      <c r="C498" s="10" t="str">
        <f ca="1">IFERROR(__xludf.DUMMYFUNCTION("""COMPUTED_VALUE"""),"Групповая подпись на основе ассиметричных криптографических кодов")</f>
        <v>Групповая подпись на основе ассиметричных криптографических кодов</v>
      </c>
      <c r="D498" s="10">
        <f ca="1">IFERROR(__xludf.DUMMYFUNCTION("""COMPUTED_VALUE"""),2005)</f>
        <v>2005</v>
      </c>
      <c r="E498" s="10" t="str">
        <f ca="1">IFERROR(__xludf.DUMMYFUNCTION("""COMPUTED_VALUE"""),"Information tehnologi and security, Kiev, 2013, Vol. 2, № 1, pp. 133-135.")</f>
        <v>Information tehnologi and security, Kiev, 2013, Vol. 2, № 1, pp. 133-135.</v>
      </c>
      <c r="F498" s="10"/>
      <c r="G498" s="10" t="str">
        <f ca="1">IFERROR(__xludf.DUMMYFUNCTION("""COMPUTED_VALUE"""),"Александров Б. М. Ангелов Ангел")</f>
        <v>Александров Б. М. Ангелов Ангел</v>
      </c>
      <c r="H498" s="10"/>
      <c r="I498" s="10"/>
      <c r="J498" s="10"/>
      <c r="K498" s="10"/>
      <c r="L498" s="10"/>
      <c r="M498" s="10"/>
      <c r="N498" s="10"/>
      <c r="O498" s="10"/>
      <c r="P498" s="10"/>
      <c r="Q498" s="10"/>
      <c r="R498" s="10"/>
      <c r="S498" s="10"/>
      <c r="T498" s="10"/>
      <c r="U498" s="10"/>
      <c r="V498" s="10"/>
      <c r="W498" s="10"/>
      <c r="X498" s="10"/>
      <c r="Y498" s="10"/>
      <c r="Z498" s="10"/>
    </row>
    <row r="499" spans="1:26" ht="12.75">
      <c r="A499" s="10" t="str">
        <f ca="1">IFERROR(__xludf.DUMMYFUNCTION("""COMPUTED_VALUE"""),"Атанас Иванов Начев")</f>
        <v>Атанас Иванов Начев</v>
      </c>
      <c r="B499" s="10" t="str">
        <f ca="1">IFERROR(__xludf.DUMMYFUNCTION("""COMPUTED_VALUE"""),"Статия в списания и поредици")</f>
        <v>Статия в списания и поредици</v>
      </c>
      <c r="C499" s="10" t="str">
        <f ca="1">IFERROR(__xludf.DUMMYFUNCTION("""COMPUTED_VALUE"""),"Информационное общество и развитие проблем информационной безопасности")</f>
        <v>Информационное общество и развитие проблем информационной безопасности</v>
      </c>
      <c r="D499" s="10">
        <f ca="1">IFERROR(__xludf.DUMMYFUNCTION("""COMPUTED_VALUE"""),2005)</f>
        <v>2005</v>
      </c>
      <c r="E499" s="10" t="str">
        <f ca="1">IFERROR(__xludf.DUMMYFUNCTION("""COMPUTED_VALUE"""),"Information tehnologi and security, Kiev, 2005, pp. 81-85.")</f>
        <v>Information tehnologi and security, Kiev, 2005, pp. 81-85.</v>
      </c>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c r="A500" s="10" t="str">
        <f ca="1">IFERROR(__xludf.DUMMYFUNCTION("""COMPUTED_VALUE"""),"Атанас Иванов Начев")</f>
        <v>Атанас Иванов Начев</v>
      </c>
      <c r="B500" s="10" t="str">
        <f ca="1">IFERROR(__xludf.DUMMYFUNCTION("""COMPUTED_VALUE"""),"Доклад от конференция")</f>
        <v>Доклад от конференция</v>
      </c>
      <c r="C500" s="10" t="str">
        <f ca="1">IFERROR(__xludf.DUMMYFUNCTION("""COMPUTED_VALUE"""),"Научните изследвания в процеса на трансформация на Българската армия.")</f>
        <v>Научните изследвания в процеса на трансформация на Българската армия.</v>
      </c>
      <c r="D500" s="10">
        <f ca="1">IFERROR(__xludf.DUMMYFUNCTION("""COMPUTED_VALUE"""),2005)</f>
        <v>2005</v>
      </c>
      <c r="E500" s="10" t="str">
        <f ca="1">IFERROR(__xludf.DUMMYFUNCTION("""COMPUTED_VALUE"""),"Ролята на военното образование, следдипломната квалификация и научните изследвания за повишаване на отбранителните способности на Въоръжените сили, София, Военна академия „ Г. С. Раковски“ , стр. 28-29, ISBN: 978-954-9348-07-1")</f>
        <v>Ролята на военното образование, следдипломната квалификация и научните изследвания за повишаване на отбранителните способности на Въоръжените сили, София, Военна академия „ Г. С. Раковски“ , стр. 28-29, ISBN: 978-954-9348-07-1</v>
      </c>
      <c r="F500" s="10"/>
      <c r="G500" s="10"/>
      <c r="H500" s="10"/>
      <c r="I500" s="10"/>
      <c r="J500" s="10"/>
      <c r="K500" s="10"/>
      <c r="L500" s="10"/>
      <c r="M500" s="10"/>
      <c r="N500" s="10"/>
      <c r="O500" s="10"/>
      <c r="P500" s="10"/>
      <c r="Q500" s="10"/>
      <c r="R500" s="10"/>
      <c r="S500" s="10"/>
      <c r="T500" s="10"/>
      <c r="U500" s="10"/>
      <c r="V500" s="10"/>
      <c r="W500" s="10"/>
      <c r="X500" s="10"/>
      <c r="Y500" s="10"/>
      <c r="Z500" s="10"/>
    </row>
    <row r="501" spans="1:26" ht="12.75">
      <c r="A501" s="10" t="str">
        <f ca="1">IFERROR(__xludf.DUMMYFUNCTION("""COMPUTED_VALUE"""),"Атанас Иванов Начев")</f>
        <v>Атанас Иванов Начев</v>
      </c>
      <c r="B501" s="10" t="str">
        <f ca="1">IFERROR(__xludf.DUMMYFUNCTION("""COMPUTED_VALUE"""),"Монография")</f>
        <v>Монография</v>
      </c>
      <c r="C501" s="10" t="str">
        <f ca="1">IFERROR(__xludf.DUMMYFUNCTION("""COMPUTED_VALUE"""),"Проектиране на компютърни мрежи")</f>
        <v>Проектиране на компютърни мрежи</v>
      </c>
      <c r="D501" s="10">
        <f ca="1">IFERROR(__xludf.DUMMYFUNCTION("""COMPUTED_VALUE"""),2005)</f>
        <v>2005</v>
      </c>
      <c r="E501" s="10" t="str">
        <f ca="1">IFERROR(__xludf.DUMMYFUNCTION("""COMPUTED_VALUE"""),"Камея, София, 2005 / ISBN: 954-8340-47-X")</f>
        <v>Камея, София, 2005 / ISBN: 954-8340-47-X</v>
      </c>
      <c r="F501" s="10"/>
      <c r="G501" s="10" t="str">
        <f ca="1">IFERROR(__xludf.DUMMYFUNCTION("""COMPUTED_VALUE"""),"Г. Станков")</f>
        <v>Г. Станков</v>
      </c>
      <c r="H501" s="10"/>
      <c r="I501" s="10"/>
      <c r="J501" s="10"/>
      <c r="K501" s="10"/>
      <c r="L501" s="10"/>
      <c r="M501" s="10"/>
      <c r="N501" s="10"/>
      <c r="O501" s="10"/>
      <c r="P501" s="10"/>
      <c r="Q501" s="10"/>
      <c r="R501" s="10"/>
      <c r="S501" s="10"/>
      <c r="T501" s="10"/>
      <c r="U501" s="10"/>
      <c r="V501" s="10"/>
      <c r="W501" s="10"/>
      <c r="X501" s="10"/>
      <c r="Y501" s="10"/>
      <c r="Z501" s="10"/>
    </row>
    <row r="502" spans="1:26" ht="12.75">
      <c r="A502" s="10" t="str">
        <f ca="1">IFERROR(__xludf.DUMMYFUNCTION("""COMPUTED_VALUE"""),"Атанас Иванов Начев")</f>
        <v>Атанас Иванов Начев</v>
      </c>
      <c r="B502" s="10" t="str">
        <f ca="1">IFERROR(__xludf.DUMMYFUNCTION("""COMPUTED_VALUE"""),"Доклад от конференция")</f>
        <v>Доклад от конференция</v>
      </c>
      <c r="C502" s="10" t="str">
        <f ca="1">IFERROR(__xludf.DUMMYFUNCTION("""COMPUTED_VALUE"""),"Компресиране на радиолокационна информация от импулсна РЛС")</f>
        <v>Компресиране на радиолокационна информация от импулсна РЛС</v>
      </c>
      <c r="D502" s="10">
        <f ca="1">IFERROR(__xludf.DUMMYFUNCTION("""COMPUTED_VALUE"""),2004)</f>
        <v>2004</v>
      </c>
      <c r="E502" s="10" t="str">
        <f ca="1">IFERROR(__xludf.DUMMYFUNCTION("""COMPUTED_VALUE"""),"ХЕМУС 2004: Сборник научни трудове/ Венна академия „Г. С. Раковски“, Институт за перспективни изследвания за отбраната, София, 2004, стр.26-34, ISSN: 1312-2916,")</f>
        <v>ХЕМУС 2004: Сборник научни трудове/ Венна академия „Г. С. Раковски“, Институт за перспективни изследвания за отбраната, София, 2004, стр.26-34, ISSN: 1312-2916,</v>
      </c>
      <c r="F502" s="10"/>
      <c r="G502" s="10"/>
      <c r="H502" s="10"/>
      <c r="I502" s="10"/>
      <c r="J502" s="10"/>
      <c r="K502" s="10"/>
      <c r="L502" s="10"/>
      <c r="M502" s="10"/>
      <c r="N502" s="10"/>
      <c r="O502" s="10"/>
      <c r="P502" s="10"/>
      <c r="Q502" s="10"/>
      <c r="R502" s="10"/>
      <c r="S502" s="10"/>
      <c r="T502" s="10"/>
      <c r="U502" s="10"/>
      <c r="V502" s="10"/>
      <c r="W502" s="10"/>
      <c r="X502" s="10"/>
      <c r="Y502" s="10"/>
      <c r="Z502" s="10"/>
    </row>
    <row r="503" spans="1:26" ht="12.75">
      <c r="A503" s="10" t="str">
        <f ca="1">IFERROR(__xludf.DUMMYFUNCTION("""COMPUTED_VALUE"""),"Атанас Иванов Начев")</f>
        <v>Атанас Иванов Начев</v>
      </c>
      <c r="B503" s="10" t="str">
        <f ca="1">IFERROR(__xludf.DUMMYFUNCTION("""COMPUTED_VALUE"""),"Доклад от конференция")</f>
        <v>Доклад от конференция</v>
      </c>
      <c r="C503" s="10" t="str">
        <f ca="1">IFERROR(__xludf.DUMMYFUNCTION("""COMPUTED_VALUE"""),"Един подход за синтез на оптимални мрежови структури")</f>
        <v>Един подход за синтез на оптимални мрежови структури</v>
      </c>
      <c r="D503" s="10">
        <f ca="1">IFERROR(__xludf.DUMMYFUNCTION("""COMPUTED_VALUE"""),2004)</f>
        <v>2004</v>
      </c>
      <c r="E503" s="10" t="str">
        <f ca="1">IFERROR(__xludf.DUMMYFUNCTION("""COMPUTED_VALUE"""),"ХЕМУС 2004: Сборник научни трудове/ Венна академия „Г. С. Раковски“, Институт за перспективни изследвания за отбраната, София, 2004, стр.35-43, ISSN: 1312-2916,")</f>
        <v>ХЕМУС 2004: Сборник научни трудове/ Венна академия „Г. С. Раковски“, Институт за перспективни изследвания за отбраната, София, 2004, стр.35-43, ISSN: 1312-2916,</v>
      </c>
      <c r="F503" s="10"/>
      <c r="G503" s="10"/>
      <c r="H503" s="10"/>
      <c r="I503" s="10"/>
      <c r="J503" s="10"/>
      <c r="K503" s="10"/>
      <c r="L503" s="10"/>
      <c r="M503" s="10"/>
      <c r="N503" s="10"/>
      <c r="O503" s="10"/>
      <c r="P503" s="10"/>
      <c r="Q503" s="10"/>
      <c r="R503" s="10"/>
      <c r="S503" s="10"/>
      <c r="T503" s="10"/>
      <c r="U503" s="10"/>
      <c r="V503" s="10"/>
      <c r="W503" s="10"/>
      <c r="X503" s="10"/>
      <c r="Y503" s="10"/>
      <c r="Z503" s="10"/>
    </row>
    <row r="504" spans="1:26" ht="12.75">
      <c r="A504" s="10" t="str">
        <f ca="1">IFERROR(__xludf.DUMMYFUNCTION("""COMPUTED_VALUE"""),"Атанас Иванов Начев")</f>
        <v>Атанас Иванов Начев</v>
      </c>
      <c r="B504" s="10" t="str">
        <f ca="1">IFERROR(__xludf.DUMMYFUNCTION("""COMPUTED_VALUE"""),"Статия в списания и поредици")</f>
        <v>Статия в списания и поредици</v>
      </c>
      <c r="C504" s="10" t="str">
        <f ca="1">IFERROR(__xludf.DUMMYFUNCTION("""COMPUTED_VALUE"""),"Процеси на стареене на полупроводниковите материали в контекста на проблема надеждност в радиоелектрониката")</f>
        <v>Процеси на стареене на полупроводниковите материали в контекста на проблема надеждност в радиоелектрониката</v>
      </c>
      <c r="D504" s="10">
        <f ca="1">IFERROR(__xludf.DUMMYFUNCTION("""COMPUTED_VALUE"""),2004)</f>
        <v>2004</v>
      </c>
      <c r="E504" s="10" t="str">
        <f ca="1">IFERROR(__xludf.DUMMYFUNCTION("""COMPUTED_VALUE"""),"Годишник на Института за перспективни изследвания за отбраната, София, 2004, ISSN: 1312-0816, стр.127-131.")</f>
        <v>Годишник на Института за перспективни изследвания за отбраната, София, 2004, ISSN: 1312-0816, стр.127-131.</v>
      </c>
      <c r="F504" s="10"/>
      <c r="G504" s="10"/>
      <c r="H504" s="10"/>
      <c r="I504" s="10"/>
      <c r="J504" s="10"/>
      <c r="K504" s="10"/>
      <c r="L504" s="10"/>
      <c r="M504" s="10"/>
      <c r="N504" s="10"/>
      <c r="O504" s="10"/>
      <c r="P504" s="10"/>
      <c r="Q504" s="10"/>
      <c r="R504" s="10"/>
      <c r="S504" s="10"/>
      <c r="T504" s="10"/>
      <c r="U504" s="10"/>
      <c r="V504" s="10"/>
      <c r="W504" s="10"/>
      <c r="X504" s="10"/>
      <c r="Y504" s="10"/>
      <c r="Z504" s="10"/>
    </row>
    <row r="505" spans="1:26" ht="12.75">
      <c r="A505" s="10" t="str">
        <f ca="1">IFERROR(__xludf.DUMMYFUNCTION("""COMPUTED_VALUE"""),"Атанас Иванов Начев")</f>
        <v>Атанас Иванов Начев</v>
      </c>
      <c r="B505" s="10" t="str">
        <f ca="1">IFERROR(__xludf.DUMMYFUNCTION("""COMPUTED_VALUE"""),"Статия в списания и поредици")</f>
        <v>Статия в списания и поредици</v>
      </c>
      <c r="C505" s="10" t="str">
        <f ca="1">IFERROR(__xludf.DUMMYFUNCTION("""COMPUTED_VALUE"""),"Относно решаването на проблема надеждност на радиоелектронното оборудване и въоръжение")</f>
        <v>Относно решаването на проблема надеждност на радиоелектронното оборудване и въоръжение</v>
      </c>
      <c r="D505" s="10">
        <f ca="1">IFERROR(__xludf.DUMMYFUNCTION("""COMPUTED_VALUE"""),2004)</f>
        <v>2004</v>
      </c>
      <c r="E505" s="10" t="str">
        <f ca="1">IFERROR(__xludf.DUMMYFUNCTION("""COMPUTED_VALUE"""),"Годишник на Института за перспективни изследвания за отбраната, София, 2004, ISSN: 1312-0816, стр. 121-126")</f>
        <v>Годишник на Института за перспективни изследвания за отбраната, София, 2004, ISSN: 1312-0816, стр. 121-126</v>
      </c>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c r="A506" s="10" t="str">
        <f ca="1">IFERROR(__xludf.DUMMYFUNCTION("""COMPUTED_VALUE"""),"Атанас Иванов Начев")</f>
        <v>Атанас Иванов Начев</v>
      </c>
      <c r="B506" s="10" t="str">
        <f ca="1">IFERROR(__xludf.DUMMYFUNCTION("""COMPUTED_VALUE"""),"Статия в списания и поредици")</f>
        <v>Статия в списания и поредици</v>
      </c>
      <c r="C506" s="10" t="str">
        <f ca="1">IFERROR(__xludf.DUMMYFUNCTION("""COMPUTED_VALUE"""),"Комплексный подход при решении проблем информационной безопасности в современных условиях информационных технологий")</f>
        <v>Комплексный подход при решении проблем информационной безопасности в современных условиях информационных технологий</v>
      </c>
      <c r="D506" s="10">
        <f ca="1">IFERROR(__xludf.DUMMYFUNCTION("""COMPUTED_VALUE"""),2004)</f>
        <v>2004</v>
      </c>
      <c r="E506" s="10" t="str">
        <f ca="1">IFERROR(__xludf.DUMMYFUNCTION("""COMPUTED_VALUE"""),"Information tehnologi and security, Kiev, 2004, pp. 45-48.")</f>
        <v>Information tehnologi and security, Kiev, 2004, pp. 45-48.</v>
      </c>
      <c r="F506" s="10"/>
      <c r="G506" s="10"/>
      <c r="H506" s="10"/>
      <c r="I506" s="10"/>
      <c r="J506" s="10"/>
      <c r="K506" s="10"/>
      <c r="L506" s="10"/>
      <c r="M506" s="10"/>
      <c r="N506" s="10"/>
      <c r="O506" s="10"/>
      <c r="P506" s="10"/>
      <c r="Q506" s="10"/>
      <c r="R506" s="10"/>
      <c r="S506" s="10"/>
      <c r="T506" s="10"/>
      <c r="U506" s="10"/>
      <c r="V506" s="10"/>
      <c r="W506" s="10"/>
      <c r="X506" s="10"/>
      <c r="Y506" s="10"/>
      <c r="Z506" s="10"/>
    </row>
    <row r="507" spans="1:26" ht="12.75">
      <c r="A507" s="10" t="str">
        <f ca="1">IFERROR(__xludf.DUMMYFUNCTION("""COMPUTED_VALUE"""),"Атанас Иванов Начев")</f>
        <v>Атанас Иванов Начев</v>
      </c>
      <c r="B507" s="10" t="str">
        <f ca="1">IFERROR(__xludf.DUMMYFUNCTION("""COMPUTED_VALUE"""),"Статия в списания и поредици")</f>
        <v>Статия в списания и поредици</v>
      </c>
      <c r="C507" s="10" t="str">
        <f ca="1">IFERROR(__xludf.DUMMYFUNCTION("""COMPUTED_VALUE"""),"Повишаване на отказоустойчивостта на АСУ в условия на ограничаване влиянието на възникващите фазирания.")</f>
        <v>Повишаване на отказоустойчивостта на АСУ в условия на ограничаване влиянието на възникващите фазирания.</v>
      </c>
      <c r="D507" s="10">
        <f ca="1">IFERROR(__xludf.DUMMYFUNCTION("""COMPUTED_VALUE"""),2004)</f>
        <v>2004</v>
      </c>
      <c r="E507" s="10" t="str">
        <f ca="1">IFERROR(__xludf.DUMMYFUNCTION("""COMPUTED_VALUE"""),"Сборник трудове, посветени на 100-годишнината от рождението на Джон Атанасов, Том III: Компютърни системи, технологии и мрежова сигурност, Шумен, Шуменски университет „Епископ Константин Преславски“,2004, стр. 11-14, ISBN 954-577-259-X(т. 3).")</f>
        <v>Сборник трудове, посветени на 100-годишнината от рождението на Джон Атанасов, Том III: Компютърни системи, технологии и мрежова сигурност, Шумен, Шуменски университет „Епископ Константин Преславски“,2004, стр. 11-14, ISBN 954-577-259-X(т. 3).</v>
      </c>
      <c r="F507" s="10"/>
      <c r="G507" s="10"/>
      <c r="H507" s="10"/>
      <c r="I507" s="10"/>
      <c r="J507" s="10"/>
      <c r="K507" s="10"/>
      <c r="L507" s="10"/>
      <c r="M507" s="10"/>
      <c r="N507" s="10"/>
      <c r="O507" s="10"/>
      <c r="P507" s="10"/>
      <c r="Q507" s="10"/>
      <c r="R507" s="10"/>
      <c r="S507" s="10"/>
      <c r="T507" s="10"/>
      <c r="U507" s="10"/>
      <c r="V507" s="10"/>
      <c r="W507" s="10"/>
      <c r="X507" s="10"/>
      <c r="Y507" s="10"/>
      <c r="Z507" s="10"/>
    </row>
    <row r="508" spans="1:26" ht="12.75">
      <c r="A508" s="10" t="str">
        <f ca="1">IFERROR(__xludf.DUMMYFUNCTION("""COMPUTED_VALUE"""),"Атанас Иванов Начев")</f>
        <v>Атанас Иванов Начев</v>
      </c>
      <c r="B508" s="10" t="str">
        <f ca="1">IFERROR(__xludf.DUMMYFUNCTION("""COMPUTED_VALUE"""),"Статия в списания и поредици")</f>
        <v>Статия в списания и поредици</v>
      </c>
      <c r="C508" s="10" t="str">
        <f ca="1">IFERROR(__xludf.DUMMYFUNCTION("""COMPUTED_VALUE"""),"Защита на информацията от отдалечен несанкциониран достъп на базата на странични физически процеси")</f>
        <v>Защита на информацията от отдалечен несанкциониран достъп на базата на странични физически процеси</v>
      </c>
      <c r="D508" s="10">
        <f ca="1">IFERROR(__xludf.DUMMYFUNCTION("""COMPUTED_VALUE"""),2004)</f>
        <v>2004</v>
      </c>
      <c r="E508" s="10" t="str">
        <f ca="1">IFERROR(__xludf.DUMMYFUNCTION("""COMPUTED_VALUE"""),"Сборник трудове, посветени на 100-годишнината от рождението на Джон Атанасов, Том III: Компютърни системи, технологии и мрежова сигурност, Шумен, Шуменски университет „Епископ Константин Преславски“, 2004, стр. 6-10, ISBN 954-577-259-X(т. 3).")</f>
        <v>Сборник трудове, посветени на 100-годишнината от рождението на Джон Атанасов, Том III: Компютърни системи, технологии и мрежова сигурност, Шумен, Шуменски университет „Епископ Константин Преславски“, 2004, стр. 6-10, ISBN 954-577-259-X(т. 3).</v>
      </c>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c r="A509" s="10" t="str">
        <f ca="1">IFERROR(__xludf.DUMMYFUNCTION("""COMPUTED_VALUE"""),"Атанас Иванов Начев")</f>
        <v>Атанас Иванов Начев</v>
      </c>
      <c r="B509" s="10" t="str">
        <f ca="1">IFERROR(__xludf.DUMMYFUNCTION("""COMPUTED_VALUE"""),"Доклад от конференция")</f>
        <v>Доклад от конференция</v>
      </c>
      <c r="C509" s="10" t="str">
        <f ca="1">IFERROR(__xludf.DUMMYFUNCTION("""COMPUTED_VALUE"""),"Подход за моделиране на процеса на сканиране на датчици в системи за управление")</f>
        <v>Подход за моделиране на процеса на сканиране на датчици в системи за управление</v>
      </c>
      <c r="D509" s="10">
        <f ca="1">IFERROR(__xludf.DUMMYFUNCTION("""COMPUTED_VALUE"""),2004)</f>
        <v>2004</v>
      </c>
      <c r="E509" s="10" t="str">
        <f ca="1">IFERROR(__xludf.DUMMYFUNCTION("""COMPUTED_VALUE"""),"Научна сесия 2003,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Авиационна и космическа техника, Геодезия, 2004,"&amp;" стр. 116 -121, ISBN: 954-9681-02-5")</f>
        <v>Научна сесия 2003,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Авиационна и космическа техника, Геодезия, 2004, стр. 116 -121, ISBN: 954-9681-02-5</v>
      </c>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c r="A510" s="10" t="str">
        <f ca="1">IFERROR(__xludf.DUMMYFUNCTION("""COMPUTED_VALUE"""),"Атанас Иванов Начев")</f>
        <v>Атанас Иванов Начев</v>
      </c>
      <c r="B510" s="10" t="str">
        <f ca="1">IFERROR(__xludf.DUMMYFUNCTION("""COMPUTED_VALUE"""),"Доклад от конференция")</f>
        <v>Доклад от конференция</v>
      </c>
      <c r="C510" s="10" t="str">
        <f ca="1">IFERROR(__xludf.DUMMYFUNCTION("""COMPUTED_VALUE"""),"Относно определянето на ефективността на системи за защита на информацията")</f>
        <v>Относно определянето на ефективността на системи за защита на информацията</v>
      </c>
      <c r="D510" s="10">
        <f ca="1">IFERROR(__xludf.DUMMYFUNCTION("""COMPUTED_VALUE"""),2004)</f>
        <v>2004</v>
      </c>
      <c r="E510" s="10" t="str">
        <f ca="1">IFERROR(__xludf.DUMMYFUNCTION("""COMPUTED_VALUE"""),"ХЕМУС 2004: Сборник научни трудове/ Венна академия „Г. С. Раковски“, Институт за перспективни изследвания за отбраната, София, 2004, стр.44-46, ISSN: 1312-2916.")</f>
        <v>ХЕМУС 2004: Сборник научни трудове/ Венна академия „Г. С. Раковски“, Институт за перспективни изследвания за отбраната, София, 2004, стр.44-46, ISSN: 1312-2916.</v>
      </c>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c r="A511" s="10" t="str">
        <f ca="1">IFERROR(__xludf.DUMMYFUNCTION("""COMPUTED_VALUE"""),"Атанас Иванов Начев")</f>
        <v>Атанас Иванов Начев</v>
      </c>
      <c r="B511" s="10" t="str">
        <f ca="1">IFERROR(__xludf.DUMMYFUNCTION("""COMPUTED_VALUE"""),"Статия в списания и поредици")</f>
        <v>Статия в списания и поредици</v>
      </c>
      <c r="C511" s="10" t="str">
        <f ca="1">IFERROR(__xludf.DUMMYFUNCTION("""COMPUTED_VALUE"""),"Научните изследвания в армията и развитието на Института за перспективни изследвания за отбраната")</f>
        <v>Научните изследвания в армията и развитието на Института за перспективни изследвания за отбраната</v>
      </c>
      <c r="D511" s="10">
        <f ca="1">IFERROR(__xludf.DUMMYFUNCTION("""COMPUTED_VALUE"""),2003)</f>
        <v>2003</v>
      </c>
      <c r="E511" s="10" t="str">
        <f ca="1">IFERROR(__xludf.DUMMYFUNCTION("""COMPUTED_VALUE"""),"Годишник на Института за перспективни изследвания за отбраната, София, 2003, стр. 9-12, ISSN: 1312-0816.")</f>
        <v>Годишник на Института за перспективни изследвания за отбраната, София, 2003, стр. 9-12, ISSN: 1312-0816.</v>
      </c>
      <c r="F511" s="10"/>
      <c r="G511" s="10"/>
      <c r="H511" s="10"/>
      <c r="I511" s="10"/>
      <c r="J511" s="10"/>
      <c r="K511" s="10"/>
      <c r="L511" s="10"/>
      <c r="M511" s="10"/>
      <c r="N511" s="10"/>
      <c r="O511" s="10"/>
      <c r="P511" s="10"/>
      <c r="Q511" s="10"/>
      <c r="R511" s="10"/>
      <c r="S511" s="10"/>
      <c r="T511" s="10"/>
      <c r="U511" s="10"/>
      <c r="V511" s="10"/>
      <c r="W511" s="10"/>
      <c r="X511" s="10"/>
      <c r="Y511" s="10"/>
      <c r="Z511" s="10"/>
    </row>
    <row r="512" spans="1:26" ht="12.75">
      <c r="A512" s="10" t="str">
        <f ca="1">IFERROR(__xludf.DUMMYFUNCTION("""COMPUTED_VALUE"""),"Атанас Иванов Начев")</f>
        <v>Атанас Иванов Начев</v>
      </c>
      <c r="B512" s="10" t="str">
        <f ca="1">IFERROR(__xludf.DUMMYFUNCTION("""COMPUTED_VALUE"""),"Статия в списания и поредици")</f>
        <v>Статия в списания и поредици</v>
      </c>
      <c r="C512" s="10" t="str">
        <f ca="1">IFERROR(__xludf.DUMMYFUNCTION("""COMPUTED_VALUE"""),"Състояние и развитие на научните изследвания за нуждите на отбраната")</f>
        <v>Състояние и развитие на научните изследвания за нуждите на отбраната</v>
      </c>
      <c r="D512" s="10">
        <f ca="1">IFERROR(__xludf.DUMMYFUNCTION("""COMPUTED_VALUE"""),2003)</f>
        <v>2003</v>
      </c>
      <c r="E512" s="10" t="str">
        <f ca="1">IFERROR(__xludf.DUMMYFUNCTION("""COMPUTED_VALUE"""),"125 години от освобождението на България и възстановяването на Българската армия, София, Военно издателство, 2003, стр. 119-125, ISBN: 954-509-263-7")</f>
        <v>125 години от освобождението на България и възстановяването на Българската армия, София, Военно издателство, 2003, стр. 119-125, ISBN: 954-509-263-7</v>
      </c>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c r="A513" s="10" t="str">
        <f ca="1">IFERROR(__xludf.DUMMYFUNCTION("""COMPUTED_VALUE"""),"Атанас Иванов Начев")</f>
        <v>Атанас Иванов Начев</v>
      </c>
      <c r="B513" s="10" t="str">
        <f ca="1">IFERROR(__xludf.DUMMYFUNCTION("""COMPUTED_VALUE"""),"Статия в списания и поредици")</f>
        <v>Статия в списания и поредици</v>
      </c>
      <c r="C513" s="10" t="str">
        <f ca="1">IFERROR(__xludf.DUMMYFUNCTION("""COMPUTED_VALUE"""),"Информационен излишък и обработка на радиолокационна информация")</f>
        <v>Информационен излишък и обработка на радиолокационна информация</v>
      </c>
      <c r="D513" s="10">
        <f ca="1">IFERROR(__xludf.DUMMYFUNCTION("""COMPUTED_VALUE"""),2003)</f>
        <v>2003</v>
      </c>
      <c r="E513" s="10" t="str">
        <f ca="1">IFERROR(__xludf.DUMMYFUNCTION("""COMPUTED_VALUE"""),"Годишник на Института за перспективни изследвания за отбраната, София, 2003, стр.266-275, ISSN: 1312-0816.")</f>
        <v>Годишник на Института за перспективни изследвания за отбраната, София, 2003, стр.266-275, ISSN: 1312-0816.</v>
      </c>
      <c r="F513" s="10"/>
      <c r="G513" s="10"/>
      <c r="H513" s="10"/>
      <c r="I513" s="10"/>
      <c r="J513" s="10"/>
      <c r="K513" s="10"/>
      <c r="L513" s="10"/>
      <c r="M513" s="10"/>
      <c r="N513" s="10"/>
      <c r="O513" s="10"/>
      <c r="P513" s="10"/>
      <c r="Q513" s="10"/>
      <c r="R513" s="10"/>
      <c r="S513" s="10"/>
      <c r="T513" s="10"/>
      <c r="U513" s="10"/>
      <c r="V513" s="10"/>
      <c r="W513" s="10"/>
      <c r="X513" s="10"/>
      <c r="Y513" s="10"/>
      <c r="Z513" s="10"/>
    </row>
    <row r="514" spans="1:26" ht="12.75">
      <c r="A514" s="10" t="str">
        <f ca="1">IFERROR(__xludf.DUMMYFUNCTION("""COMPUTED_VALUE"""),"Атанас Иванов Начев")</f>
        <v>Атанас Иванов Начев</v>
      </c>
      <c r="B514" s="10" t="str">
        <f ca="1">IFERROR(__xludf.DUMMYFUNCTION("""COMPUTED_VALUE"""),"Доклад от конференция")</f>
        <v>Доклад от конференция</v>
      </c>
      <c r="C514" s="10" t="str">
        <f ca="1">IFERROR(__xludf.DUMMYFUNCTION("""COMPUTED_VALUE"""),"Повишаване качеството на информационен обмен при наличие на два типа смущаващи въздействия с различни статистически характеристики")</f>
        <v>Повишаване качеството на информационен обмен при наличие на два типа смущаващи въздействия с различни статистически характеристики</v>
      </c>
      <c r="D514" s="10">
        <f ca="1">IFERROR(__xludf.DUMMYFUNCTION("""COMPUTED_VALUE"""),2002)</f>
        <v>2002</v>
      </c>
      <c r="E514" s="10" t="str">
        <f ca="1">IFERROR(__xludf.DUMMYFUNCTION("""COMPUTED_VALUE"""),"Научна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231-236, ISBN: 954-9681-02-3")</f>
        <v>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231-236, ISBN: 954-9681-02-3</v>
      </c>
      <c r="F514" s="10"/>
      <c r="G514" s="10"/>
      <c r="H514" s="10"/>
      <c r="I514" s="10"/>
      <c r="J514" s="10"/>
      <c r="K514" s="10"/>
      <c r="L514" s="10"/>
      <c r="M514" s="10"/>
      <c r="N514" s="10"/>
      <c r="O514" s="10"/>
      <c r="P514" s="10"/>
      <c r="Q514" s="10"/>
      <c r="R514" s="10"/>
      <c r="S514" s="10"/>
      <c r="T514" s="10"/>
      <c r="U514" s="10"/>
      <c r="V514" s="10"/>
      <c r="W514" s="10"/>
      <c r="X514" s="10"/>
      <c r="Y514" s="10"/>
      <c r="Z514" s="10"/>
    </row>
    <row r="515" spans="1:26" ht="12.75">
      <c r="A515" s="10" t="str">
        <f ca="1">IFERROR(__xludf.DUMMYFUNCTION("""COMPUTED_VALUE"""),"Атанас Иванов Начев")</f>
        <v>Атанас Иванов Начев</v>
      </c>
      <c r="B515" s="10" t="str">
        <f ca="1">IFERROR(__xludf.DUMMYFUNCTION("""COMPUTED_VALUE"""),"Статия в списания и поредици")</f>
        <v>Статия в списания и поредици</v>
      </c>
      <c r="C515" s="10" t="str">
        <f ca="1">IFERROR(__xludf.DUMMYFUNCTION("""COMPUTED_VALUE"""),"Определяне на времето за реализация на информационни процеси, подложени на влиянието на два типа смущаващи въздействия с произволна продължителност")</f>
        <v>Определяне на времето за реализация на информационни процеси, подложени на влиянието на два типа смущаващи въздействия с произволна продължителност</v>
      </c>
      <c r="D515" s="10">
        <f ca="1">IFERROR(__xludf.DUMMYFUNCTION("""COMPUTED_VALUE"""),2002)</f>
        <v>2002</v>
      </c>
      <c r="E515" s="10" t="str">
        <f ca="1">IFERROR(__xludf.DUMMYFUNCTION("""COMPUTED_VALUE"""),"Научна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237-244, ISBN: 954-9681-02-3")</f>
        <v>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237-244, ISBN: 954-9681-02-3</v>
      </c>
      <c r="F515" s="10"/>
      <c r="G515" s="10"/>
      <c r="H515" s="10"/>
      <c r="I515" s="10"/>
      <c r="J515" s="10"/>
      <c r="K515" s="10"/>
      <c r="L515" s="10"/>
      <c r="M515" s="10"/>
      <c r="N515" s="10"/>
      <c r="O515" s="10"/>
      <c r="P515" s="10"/>
      <c r="Q515" s="10"/>
      <c r="R515" s="10"/>
      <c r="S515" s="10"/>
      <c r="T515" s="10"/>
      <c r="U515" s="10"/>
      <c r="V515" s="10"/>
      <c r="W515" s="10"/>
      <c r="X515" s="10"/>
      <c r="Y515" s="10"/>
      <c r="Z515" s="10"/>
    </row>
    <row r="516" spans="1:26" ht="12.75">
      <c r="A516" s="10" t="str">
        <f ca="1">IFERROR(__xludf.DUMMYFUNCTION("""COMPUTED_VALUE"""),"Атанас Иванов Начев")</f>
        <v>Атанас Иванов Начев</v>
      </c>
      <c r="B516" s="10" t="str">
        <f ca="1">IFERROR(__xludf.DUMMYFUNCTION("""COMPUTED_VALUE"""),"Статия в списания и поредици")</f>
        <v>Статия в списания и поредици</v>
      </c>
      <c r="C516" s="10" t="str">
        <f ca="1">IFERROR(__xludf.DUMMYFUNCTION("""COMPUTED_VALUE"""),"Информационен обмен в компютърни мрежи с отчитане на реалната надеждност на елементите им")</f>
        <v>Информационен обмен в компютърни мрежи с отчитане на реалната надеждност на елементите им</v>
      </c>
      <c r="D516" s="10">
        <f ca="1">IFERROR(__xludf.DUMMYFUNCTION("""COMPUTED_VALUE"""),2002)</f>
        <v>2002</v>
      </c>
      <c r="E516" s="10" t="str">
        <f ca="1">IFERROR(__xludf.DUMMYFUNCTION("""COMPUTED_VALUE"""),"Научна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245-251, ISBN: 954-9681-02-3.")</f>
        <v>Научна сесия 2002 Шумен: Сборник научни трудове, Шумен, Национален военен университет „Васил Левски“, Факултет „Артилерия, ПВО и КИС“, Част II Комуникационна техника и технологии, Компютърни системи и технологии, 2003, стр. 245-251, ISBN: 954-9681-02-3.</v>
      </c>
      <c r="F516" s="10"/>
      <c r="G516" s="10"/>
      <c r="H516" s="10"/>
      <c r="I516" s="10"/>
      <c r="J516" s="10"/>
      <c r="K516" s="10"/>
      <c r="L516" s="10"/>
      <c r="M516" s="10"/>
      <c r="N516" s="10"/>
      <c r="O516" s="10"/>
      <c r="P516" s="10"/>
      <c r="Q516" s="10"/>
      <c r="R516" s="10"/>
      <c r="S516" s="10"/>
      <c r="T516" s="10"/>
      <c r="U516" s="10"/>
      <c r="V516" s="10"/>
      <c r="W516" s="10"/>
      <c r="X516" s="10"/>
      <c r="Y516" s="10"/>
      <c r="Z516" s="10"/>
    </row>
    <row r="517" spans="1:26" ht="12.75">
      <c r="A517" s="10" t="str">
        <f ca="1">IFERROR(__xludf.DUMMYFUNCTION("""COMPUTED_VALUE"""),"Атанас Иванов Начев")</f>
        <v>Атанас Иванов Начев</v>
      </c>
      <c r="B517" s="10" t="str">
        <f ca="1">IFERROR(__xludf.DUMMYFUNCTION("""COMPUTED_VALUE"""),"Монография")</f>
        <v>Монография</v>
      </c>
      <c r="C517" s="10" t="str">
        <f ca="1">IFERROR(__xludf.DUMMYFUNCTION("""COMPUTED_VALUE"""),"Информационни процеси в компютърните мрежи в условия на реална надеждност")</f>
        <v>Информационни процеси в компютърните мрежи в условия на реална надеждност</v>
      </c>
      <c r="D517" s="10">
        <f ca="1">IFERROR(__xludf.DUMMYFUNCTION("""COMPUTED_VALUE"""),2002)</f>
        <v>2002</v>
      </c>
      <c r="E517" s="10" t="str">
        <f ca="1">IFERROR(__xludf.DUMMYFUNCTION("""COMPUTED_VALUE"""),"Военно издателство, София, 2002.")</f>
        <v>Военно издателство, София, 2002.</v>
      </c>
      <c r="F517" s="10"/>
      <c r="G517" s="10"/>
      <c r="H517" s="10"/>
      <c r="I517" s="10"/>
      <c r="J517" s="10"/>
      <c r="K517" s="10"/>
      <c r="L517" s="10"/>
      <c r="M517" s="10"/>
      <c r="N517" s="10"/>
      <c r="O517" s="10"/>
      <c r="P517" s="10"/>
      <c r="Q517" s="10"/>
      <c r="R517" s="10"/>
      <c r="S517" s="10"/>
      <c r="T517" s="10"/>
      <c r="U517" s="10"/>
      <c r="V517" s="10"/>
      <c r="W517" s="10"/>
      <c r="X517" s="10"/>
      <c r="Y517" s="10"/>
      <c r="Z517" s="10"/>
    </row>
    <row r="518" spans="1:26" ht="12.75">
      <c r="A518" s="10" t="str">
        <f ca="1">IFERROR(__xludf.DUMMYFUNCTION("""COMPUTED_VALUE"""),"Атанас Иванов Начев")</f>
        <v>Атанас Иванов Начев</v>
      </c>
      <c r="B518" s="10" t="str">
        <f ca="1">IFERROR(__xludf.DUMMYFUNCTION("""COMPUTED_VALUE"""),"Монография")</f>
        <v>Монография</v>
      </c>
      <c r="C518" s="10" t="str">
        <f ca="1">IFERROR(__xludf.DUMMYFUNCTION("""COMPUTED_VALUE"""),"Структурнофункционална надеждност на компютърни мрежи")</f>
        <v>Структурнофункционална надеждност на компютърни мрежи</v>
      </c>
      <c r="D518" s="10">
        <f ca="1">IFERROR(__xludf.DUMMYFUNCTION("""COMPUTED_VALUE"""),2002)</f>
        <v>2002</v>
      </c>
      <c r="E518" s="10" t="str">
        <f ca="1">IFERROR(__xludf.DUMMYFUNCTION("""COMPUTED_VALUE"""),"Военно издателство, София, 2002.")</f>
        <v>Военно издателство, София, 2002.</v>
      </c>
      <c r="F518" s="10"/>
      <c r="G518" s="10"/>
      <c r="H518" s="10"/>
      <c r="I518" s="10"/>
      <c r="J518" s="10"/>
      <c r="K518" s="10"/>
      <c r="L518" s="10"/>
      <c r="M518" s="10"/>
      <c r="N518" s="10"/>
      <c r="O518" s="10"/>
      <c r="P518" s="10"/>
      <c r="Q518" s="10"/>
      <c r="R518" s="10"/>
      <c r="S518" s="10"/>
      <c r="T518" s="10"/>
      <c r="U518" s="10"/>
      <c r="V518" s="10"/>
      <c r="W518" s="10"/>
      <c r="X518" s="10"/>
      <c r="Y518" s="10"/>
      <c r="Z518" s="10"/>
    </row>
    <row r="519" spans="1:26" ht="12.75">
      <c r="A519" s="10" t="str">
        <f ca="1">IFERROR(__xludf.DUMMYFUNCTION("""COMPUTED_VALUE"""),"Атанас Иванов Начев")</f>
        <v>Атанас Иванов Начев</v>
      </c>
      <c r="B519" s="10" t="str">
        <f ca="1">IFERROR(__xludf.DUMMYFUNCTION("""COMPUTED_VALUE"""),"Статия в списания и поредици")</f>
        <v>Статия в списания и поредици</v>
      </c>
      <c r="C519" s="10" t="str">
        <f ca="1">IFERROR(__xludf.DUMMYFUNCTION("""COMPUTED_VALUE"""),"Методи за компресиране на радиолокационна информация, представена във вид на двоично дискретизирани сигнали")</f>
        <v>Методи за компресиране на радиолокационна информация, представена във вид на двоично дискретизирани сигнали</v>
      </c>
      <c r="D519" s="10">
        <f ca="1">IFERROR(__xludf.DUMMYFUNCTION("""COMPUTED_VALUE"""),2002)</f>
        <v>2002</v>
      </c>
      <c r="E519" s="10" t="str">
        <f ca="1">IFERROR(__xludf.DUMMYFUNCTION("""COMPUTED_VALUE"""),"Годишник на Института за перспективни изследвания за отбраната, София, 2002, стр. 175-181, ISSN: 1312-0816.")</f>
        <v>Годишник на Института за перспективни изследвания за отбраната, София, 2002, стр. 175-181, ISSN: 1312-0816.</v>
      </c>
      <c r="F519" s="10"/>
      <c r="G519" s="10"/>
      <c r="H519" s="10"/>
      <c r="I519" s="10"/>
      <c r="J519" s="10"/>
      <c r="K519" s="10"/>
      <c r="L519" s="10"/>
      <c r="M519" s="10"/>
      <c r="N519" s="10"/>
      <c r="O519" s="10"/>
      <c r="P519" s="10"/>
      <c r="Q519" s="10"/>
      <c r="R519" s="10"/>
      <c r="S519" s="10"/>
      <c r="T519" s="10"/>
      <c r="U519" s="10"/>
      <c r="V519" s="10"/>
      <c r="W519" s="10"/>
      <c r="X519" s="10"/>
      <c r="Y519" s="10"/>
      <c r="Z519" s="10"/>
    </row>
    <row r="520" spans="1:26" ht="12.75">
      <c r="A520" s="10" t="str">
        <f ca="1">IFERROR(__xludf.DUMMYFUNCTION("""COMPUTED_VALUE"""),"Атанас Иванов Начев")</f>
        <v>Атанас Иванов Начев</v>
      </c>
      <c r="B520" s="10" t="str">
        <f ca="1">IFERROR(__xludf.DUMMYFUNCTION("""COMPUTED_VALUE"""),"Статия в списания и поредици")</f>
        <v>Статия в списания и поредици</v>
      </c>
      <c r="C520" s="10" t="str">
        <f ca="1">IFERROR(__xludf.DUMMYFUNCTION("""COMPUTED_VALUE"""),"Структура на система за автоматична цифрова обработка на радиолокационна информация")</f>
        <v>Структура на система за автоматична цифрова обработка на радиолокационна информация</v>
      </c>
      <c r="D520" s="10">
        <f ca="1">IFERROR(__xludf.DUMMYFUNCTION("""COMPUTED_VALUE"""),2002)</f>
        <v>2002</v>
      </c>
      <c r="E520" s="10" t="str">
        <f ca="1">IFERROR(__xludf.DUMMYFUNCTION("""COMPUTED_VALUE"""),"Годишник на Института за перспективни изследвания за отбраната, София, 2002, стр. 168-174, ISSN: 1312-0816.")</f>
        <v>Годишник на Института за перспективни изследвания за отбраната, София, 2002, стр. 168-174, ISSN: 1312-0816.</v>
      </c>
      <c r="F520" s="10"/>
      <c r="G520" s="10"/>
      <c r="H520" s="10"/>
      <c r="I520" s="10"/>
      <c r="J520" s="10"/>
      <c r="K520" s="10"/>
      <c r="L520" s="10"/>
      <c r="M520" s="10"/>
      <c r="N520" s="10"/>
      <c r="O520" s="10"/>
      <c r="P520" s="10"/>
      <c r="Q520" s="10"/>
      <c r="R520" s="10"/>
      <c r="S520" s="10"/>
      <c r="T520" s="10"/>
      <c r="U520" s="10"/>
      <c r="V520" s="10"/>
      <c r="W520" s="10"/>
      <c r="X520" s="10"/>
      <c r="Y520" s="10"/>
      <c r="Z520" s="10"/>
    </row>
    <row r="521" spans="1:26" ht="12.75">
      <c r="A521" s="10" t="str">
        <f ca="1">IFERROR(__xludf.DUMMYFUNCTION("""COMPUTED_VALUE"""),"Атанас Иванов Начев")</f>
        <v>Атанас Иванов Начев</v>
      </c>
      <c r="B521" s="10" t="str">
        <f ca="1">IFERROR(__xludf.DUMMYFUNCTION("""COMPUTED_VALUE"""),"Доклад от конференция")</f>
        <v>Доклад от конференция</v>
      </c>
      <c r="C521" s="10" t="str">
        <f ca="1">IFERROR(__xludf.DUMMYFUNCTION("""COMPUTED_VALUE"""),"Относно инженерните методи за първична обработка на радиолокационна информация, представена посредством двоично дискретизирани сигнали")</f>
        <v>Относно инженерните методи за първична обработка на радиолокационна информация, представена посредством двоично дискретизирани сигнали</v>
      </c>
      <c r="D521" s="10">
        <f ca="1">IFERROR(__xludf.DUMMYFUNCTION("""COMPUTED_VALUE"""),2002)</f>
        <v>2002</v>
      </c>
      <c r="E521" s="10" t="str">
        <f ca="1">IFERROR(__xludf.DUMMYFUNCTION("""COMPUTED_VALUE"""),"ХЕМУС 2004: Сборник научни трудове/ Венна академия „Г. С. Раковски“, Институт за перспективни изследвания за отбраната, София, 2004, стр.59-65, ISSN: 1312-2916.")</f>
        <v>ХЕМУС 2004: Сборник научни трудове/ Венна академия „Г. С. Раковски“, Институт за перспективни изследвания за отбраната, София, 2004, стр.59-65, ISSN: 1312-2916.</v>
      </c>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c r="A522" s="10" t="str">
        <f ca="1">IFERROR(__xludf.DUMMYFUNCTION("""COMPUTED_VALUE"""),"Атанас Иванов Начев")</f>
        <v>Атанас Иванов Начев</v>
      </c>
      <c r="B522" s="10" t="str">
        <f ca="1">IFERROR(__xludf.DUMMYFUNCTION("""COMPUTED_VALUE"""),"Доклад от конференция")</f>
        <v>Доклад от конференция</v>
      </c>
      <c r="C522" s="10" t="str">
        <f ca="1">IFERROR(__xludf.DUMMYFUNCTION("""COMPUTED_VALUE"""),"Подходи за дефиниране на оптимални и квазиоптимални алгоритми за автоматична първична обработка на радиолокационна информация, представена посредством двоично дискретизирани сигнали.")</f>
        <v>Подходи за дефиниране на оптимални и квазиоптимални алгоритми за автоматична първична обработка на радиолокационна информация, представена посредством двоично дискретизирани сигнали.</v>
      </c>
      <c r="D522" s="10">
        <f ca="1">IFERROR(__xludf.DUMMYFUNCTION("""COMPUTED_VALUE"""),2002)</f>
        <v>2002</v>
      </c>
      <c r="E522" s="10" t="str">
        <f ca="1">IFERROR(__xludf.DUMMYFUNCTION("""COMPUTED_VALUE"""),"ХЕМУС 2004: Сборник научни трудове/ Венна академия „Г. С. Раковски“, Институт за перспективни изследвания за отбраната, София, 2004, стр.47-58, ISSN: 1312-2916.")</f>
        <v>ХЕМУС 2004: Сборник научни трудове/ Венна академия „Г. С. Раковски“, Институт за перспективни изследвания за отбраната, София, 2004, стр.47-58, ISSN: 1312-2916.</v>
      </c>
      <c r="F522" s="10"/>
      <c r="G522" s="10"/>
      <c r="H522" s="10"/>
      <c r="I522" s="10"/>
      <c r="J522" s="10"/>
      <c r="K522" s="10"/>
      <c r="L522" s="10"/>
      <c r="M522" s="10"/>
      <c r="N522" s="10"/>
      <c r="O522" s="10"/>
      <c r="P522" s="10"/>
      <c r="Q522" s="10"/>
      <c r="R522" s="10"/>
      <c r="S522" s="10"/>
      <c r="T522" s="10"/>
      <c r="U522" s="10"/>
      <c r="V522" s="10"/>
      <c r="W522" s="10"/>
      <c r="X522" s="10"/>
      <c r="Y522" s="10"/>
      <c r="Z522" s="10"/>
    </row>
    <row r="523" spans="1:26" ht="12.75">
      <c r="A523" s="10" t="str">
        <f ca="1">IFERROR(__xludf.DUMMYFUNCTION("""COMPUTED_VALUE"""),"Атанас Иванов Начев")</f>
        <v>Атанас Иванов Начев</v>
      </c>
      <c r="B523" s="10" t="str">
        <f ca="1">IFERROR(__xludf.DUMMYFUNCTION("""COMPUTED_VALUE"""),"Доклад от конференция")</f>
        <v>Доклад от конференция</v>
      </c>
      <c r="C523" s="10" t="str">
        <f ca="1">IFERROR(__xludf.DUMMYFUNCTION("""COMPUTED_VALUE"""),"Организация на научните изследвания за развитие на отбранителните технологии в ИПИО")</f>
        <v>Организация на научните изследвания за развитие на отбранителните технологии в ИПИО</v>
      </c>
      <c r="D523" s="10">
        <f ca="1">IFERROR(__xludf.DUMMYFUNCTION("""COMPUTED_VALUE"""),2002)</f>
        <v>2002</v>
      </c>
      <c r="E523" s="10" t="str">
        <f ca="1">IFERROR(__xludf.DUMMYFUNCTION("""COMPUTED_VALUE"""),"ХЕМУС 2002: Сборник научни трудове/ Венна академия „Г. С. Раковски“, Институт за перспективни изследвания за отбраната, София, 2002, стр.11-13, ISSN: 1312-2916.")</f>
        <v>ХЕМУС 2002: Сборник научни трудове/ Венна академия „Г. С. Раковски“, Институт за перспективни изследвания за отбраната, София, 2002, стр.11-13, ISSN: 1312-2916.</v>
      </c>
      <c r="F523" s="10"/>
      <c r="G523" s="10"/>
      <c r="H523" s="10"/>
      <c r="I523" s="10"/>
      <c r="J523" s="10"/>
      <c r="K523" s="10"/>
      <c r="L523" s="10"/>
      <c r="M523" s="10"/>
      <c r="N523" s="10"/>
      <c r="O523" s="10"/>
      <c r="P523" s="10"/>
      <c r="Q523" s="10"/>
      <c r="R523" s="10"/>
      <c r="S523" s="10"/>
      <c r="T523" s="10"/>
      <c r="U523" s="10"/>
      <c r="V523" s="10"/>
      <c r="W523" s="10"/>
      <c r="X523" s="10"/>
      <c r="Y523" s="10"/>
      <c r="Z523" s="10"/>
    </row>
    <row r="524" spans="1:26" ht="12.75">
      <c r="A524" s="10" t="str">
        <f ca="1">IFERROR(__xludf.DUMMYFUNCTION("""COMPUTED_VALUE"""),"Атанас Иванов Начев")</f>
        <v>Атанас Иванов Начев</v>
      </c>
      <c r="B524" s="10" t="str">
        <f ca="1">IFERROR(__xludf.DUMMYFUNCTION("""COMPUTED_VALUE"""),"Доклад от конференция")</f>
        <v>Доклад от конференция</v>
      </c>
      <c r="C524" s="10" t="str">
        <f ca="1">IFERROR(__xludf.DUMMYFUNCTION("""COMPUTED_VALUE"""),"Информационен обмен при наличие на смущаващи въздействия върху каналите за предаване на данни")</f>
        <v>Информационен обмен при наличие на смущаващи въздействия върху каналите за предаване на данни</v>
      </c>
      <c r="D524" s="10">
        <f ca="1">IFERROR(__xludf.DUMMYFUNCTION("""COMPUTED_VALUE"""),2002)</f>
        <v>2002</v>
      </c>
      <c r="E524" s="10" t="str">
        <f ca="1">IFERROR(__xludf.DUMMYFUNCTION("""COMPUTED_VALUE"""),"[СТО и десет]110 години въздухоплаване в България“, Сборник доклади от юбилейна научна сесия 25-26 април 2002 г., Долна Митрополия, Т.3-Долна Митрополия, ВВВУ „Г. Бенковски“, 2002, стр. 24-32, ISBN: 954-713-058-7(т. 3).")</f>
        <v>[СТО и десет]110 години въздухоплаване в България“, Сборник доклади от юбилейна научна сесия 25-26 април 2002 г., Долна Митрополия, Т.3-Долна Митрополия, ВВВУ „Г. Бенковски“, 2002, стр. 24-32, ISBN: 954-713-058-7(т. 3).</v>
      </c>
      <c r="F524" s="10"/>
      <c r="G524" s="10" t="str">
        <f ca="1">IFERROR(__xludf.DUMMYFUNCTION("""COMPUTED_VALUE"""),"Павел Симеонов")</f>
        <v>Павел Симеонов</v>
      </c>
      <c r="H524" s="10"/>
      <c r="I524" s="10"/>
      <c r="J524" s="10"/>
      <c r="K524" s="10"/>
      <c r="L524" s="10"/>
      <c r="M524" s="10"/>
      <c r="N524" s="10"/>
      <c r="O524" s="10"/>
      <c r="P524" s="10"/>
      <c r="Q524" s="10"/>
      <c r="R524" s="10"/>
      <c r="S524" s="10"/>
      <c r="T524" s="10"/>
      <c r="U524" s="10"/>
      <c r="V524" s="10"/>
      <c r="W524" s="10"/>
      <c r="X524" s="10"/>
      <c r="Y524" s="10"/>
      <c r="Z524" s="10"/>
    </row>
    <row r="525" spans="1:26" ht="12.75">
      <c r="A525" s="10" t="str">
        <f ca="1">IFERROR(__xludf.DUMMYFUNCTION("""COMPUTED_VALUE"""),"Атанас Иванов Начев")</f>
        <v>Атанас Иванов Начев</v>
      </c>
      <c r="B525" s="10" t="str">
        <f ca="1">IFERROR(__xludf.DUMMYFUNCTION("""COMPUTED_VALUE"""),"Статия в списания и поредици")</f>
        <v>Статия в списания и поредици</v>
      </c>
      <c r="C525" s="10" t="str">
        <f ca="1">IFERROR(__xludf.DUMMYFUNCTION("""COMPUTED_VALUE"""),"Tested for Implementation of Advanced IT")</f>
        <v>Tested for Implementation of Advanced IT</v>
      </c>
      <c r="D525" s="10">
        <f ca="1">IFERROR(__xludf.DUMMYFUNCTION("""COMPUTED_VALUE"""),2001)</f>
        <v>2001</v>
      </c>
      <c r="E525" s="10" t="str">
        <f ca="1">IFERROR(__xludf.DUMMYFUNCTION("""COMPUTED_VALUE"""),"Information and Security, Vol. 6, 2001, pp. 140-137, ISSN: 1311-1493")</f>
        <v>Information and Security, Vol. 6, 2001, pp. 140-137, ISSN: 1311-1493</v>
      </c>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c r="A526" s="10" t="str">
        <f ca="1">IFERROR(__xludf.DUMMYFUNCTION("""COMPUTED_VALUE"""),"Атанас Иванов Начев")</f>
        <v>Атанас Иванов Начев</v>
      </c>
      <c r="B526" s="10" t="str">
        <f ca="1">IFERROR(__xludf.DUMMYFUNCTION("""COMPUTED_VALUE"""),"Статия в списания и поредици")</f>
        <v>Статия в списания и поредици</v>
      </c>
      <c r="C526" s="10" t="str">
        <f ca="1">IFERROR(__xludf.DUMMYFUNCTION("""COMPUTED_VALUE"""),"Нова система за развитие на въоръжението, техниката и военните имущества")</f>
        <v>Нова система за развитие на въоръжението, техниката и военните имущества</v>
      </c>
      <c r="D526" s="10">
        <f ca="1">IFERROR(__xludf.DUMMYFUNCTION("""COMPUTED_VALUE"""),2001)</f>
        <v>2001</v>
      </c>
      <c r="E526" s="10" t="str">
        <f ca="1">IFERROR(__xludf.DUMMYFUNCTION("""COMPUTED_VALUE"""),"Военен журнал, № 5, 2001, стр. 140-149, ISSN: 0861-7392.")</f>
        <v>Военен журнал, № 5, 2001, стр. 140-149, ISSN: 0861-7392.</v>
      </c>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c r="A527" s="10" t="str">
        <f ca="1">IFERROR(__xludf.DUMMYFUNCTION("""COMPUTED_VALUE"""),"Атанас Иванов Начев")</f>
        <v>Атанас Иванов Начев</v>
      </c>
      <c r="B527" s="10" t="str">
        <f ca="1">IFERROR(__xludf.DUMMYFUNCTION("""COMPUTED_VALUE"""),"Статия в списания и поредици")</f>
        <v>Статия в списания и поредици</v>
      </c>
      <c r="C527" s="10" t="str">
        <f ca="1">IFERROR(__xludf.DUMMYFUNCTION("""COMPUTED_VALUE"""),"Electromagnetic Radiation and the Computer Date Security Problem")</f>
        <v>Electromagnetic Radiation and the Computer Date Security Problem</v>
      </c>
      <c r="D527" s="10">
        <f ca="1">IFERROR(__xludf.DUMMYFUNCTION("""COMPUTED_VALUE"""),2000)</f>
        <v>2000</v>
      </c>
      <c r="E527" s="10" t="str">
        <f ca="1">IFERROR(__xludf.DUMMYFUNCTION("""COMPUTED_VALUE"""),"Information &amp; security, Volum 4, 2000, pp. 105-109, ISSN: 1311-1493.")</f>
        <v>Information &amp; security, Volum 4, 2000, pp. 105-109, ISSN: 1311-1493.</v>
      </c>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c r="A528" s="10" t="str">
        <f ca="1">IFERROR(__xludf.DUMMYFUNCTION("""COMPUTED_VALUE"""),"Атанас Иванов Начев")</f>
        <v>Атанас Иванов Начев</v>
      </c>
      <c r="B528" s="10" t="str">
        <f ca="1">IFERROR(__xludf.DUMMYFUNCTION("""COMPUTED_VALUE"""),"Статия в списания и поредици")</f>
        <v>Статия в списания и поредици</v>
      </c>
      <c r="C528" s="10" t="str">
        <f ca="1">IFERROR(__xludf.DUMMYFUNCTION("""COMPUTED_VALUE"""),"Функционална надеждност на лoкални изчислителни мрежи с резервиране на комуникационното оборудване")</f>
        <v>Функционална надеждност на лoкални изчислителни мрежи с резервиране на комуникационното оборудване</v>
      </c>
      <c r="D528" s="10">
        <f ca="1">IFERROR(__xludf.DUMMYFUNCTION("""COMPUTED_VALUE"""),1997)</f>
        <v>1997</v>
      </c>
      <c r="E528" s="10" t="str">
        <f ca="1">IFERROR(__xludf.DUMMYFUNCTION("""COMPUTED_VALUE"""),"Научни трудове на ВВОВУ „ВАСИЛ Левски“, кн. 53, Автоматика, изчислителна техника и системи за управление, свързочна техника, Велико търново, 1997, стр. 223-228, ISSN: 0861-0312.")</f>
        <v>Научни трудове на ВВОВУ „ВАСИЛ Левски“, кн. 53, Автоматика, изчислителна техника и системи за управление, свързочна техника, Велико търново, 1997, стр. 223-228, ISSN: 0861-0312.</v>
      </c>
      <c r="F528" s="10"/>
      <c r="G528" s="10"/>
      <c r="H528" s="10"/>
      <c r="I528" s="10"/>
      <c r="J528" s="10"/>
      <c r="K528" s="10"/>
      <c r="L528" s="10"/>
      <c r="M528" s="10"/>
      <c r="N528" s="10"/>
      <c r="O528" s="10"/>
      <c r="P528" s="10"/>
      <c r="Q528" s="10"/>
      <c r="R528" s="10"/>
      <c r="S528" s="10"/>
      <c r="T528" s="10"/>
      <c r="U528" s="10"/>
      <c r="V528" s="10"/>
      <c r="W528" s="10"/>
      <c r="X528" s="10"/>
      <c r="Y528" s="10"/>
      <c r="Z528" s="10"/>
    </row>
    <row r="529" spans="1:26" ht="12.75">
      <c r="A529" s="10" t="str">
        <f ca="1">IFERROR(__xludf.DUMMYFUNCTION("""COMPUTED_VALUE"""),"Атанас Иванов Начев")</f>
        <v>Атанас Иванов Начев</v>
      </c>
      <c r="B529" s="10" t="str">
        <f ca="1">IFERROR(__xludf.DUMMYFUNCTION("""COMPUTED_VALUE"""),"Статия в списания и поредици")</f>
        <v>Статия в списания и поредици</v>
      </c>
      <c r="C529" s="10" t="str">
        <f ca="1">IFERROR(__xludf.DUMMYFUNCTION("""COMPUTED_VALUE"""),"Оценка на функционалната надеждност на канали за предаване на данни в изчислителните мрежи")</f>
        <v>Оценка на функционалната надеждност на канали за предаване на данни в изчислителните мрежи</v>
      </c>
      <c r="D529" s="10">
        <f ca="1">IFERROR(__xludf.DUMMYFUNCTION("""COMPUTED_VALUE"""),1996)</f>
        <v>1996</v>
      </c>
      <c r="E529" s="10" t="str">
        <f ca="1">IFERROR(__xludf.DUMMYFUNCTION("""COMPUTED_VALUE"""),"Научни трудове на ВВОВУ „ВАСИЛ Левски“, кн. 42, Автоматика, изчислителна техника и системи за управление,висша математика и информатика, свързочна техника, Велико търново, 1996, стр. 43-53, ISSN: 0861-0312.")</f>
        <v>Научни трудове на ВВОВУ „ВАСИЛ Левски“, кн. 42, Автоматика, изчислителна техника и системи за управление,висша математика и информатика, свързочна техника, Велико търново, 1996, стр. 43-53, ISSN: 0861-0312.</v>
      </c>
      <c r="F529" s="10"/>
      <c r="G529" s="10"/>
      <c r="H529" s="10"/>
      <c r="I529" s="10"/>
      <c r="J529" s="10"/>
      <c r="K529" s="10"/>
      <c r="L529" s="10"/>
      <c r="M529" s="10"/>
      <c r="N529" s="10"/>
      <c r="O529" s="10"/>
      <c r="P529" s="10"/>
      <c r="Q529" s="10"/>
      <c r="R529" s="10"/>
      <c r="S529" s="10"/>
      <c r="T529" s="10"/>
      <c r="U529" s="10"/>
      <c r="V529" s="10"/>
      <c r="W529" s="10"/>
      <c r="X529" s="10"/>
      <c r="Y529" s="10"/>
      <c r="Z529" s="10"/>
    </row>
    <row r="530" spans="1:26" ht="12.75">
      <c r="A530" s="10" t="str">
        <f ca="1">IFERROR(__xludf.DUMMYFUNCTION("""COMPUTED_VALUE"""),"Атанас Иванов Начев")</f>
        <v>Атанас Иванов Начев</v>
      </c>
      <c r="B530" s="10" t="str">
        <f ca="1">IFERROR(__xludf.DUMMYFUNCTION("""COMPUTED_VALUE"""),"Статия в списания и поредици")</f>
        <v>Статия в списания и поредици</v>
      </c>
      <c r="C530" s="10" t="str">
        <f ca="1">IFERROR(__xludf.DUMMYFUNCTION("""COMPUTED_VALUE"""),"Методы анализа и оценки процессов обмена информации в микрокомпьютерных сетях с радиообменом.")</f>
        <v>Методы анализа и оценки процессов обмена информации в микрокомпьютерных сетях с радиообменом.</v>
      </c>
      <c r="D530" s="10">
        <f ca="1">IFERROR(__xludf.DUMMYFUNCTION("""COMPUTED_VALUE"""),1995)</f>
        <v>1995</v>
      </c>
      <c r="E530" s="10" t="str">
        <f ca="1">IFERROR(__xludf.DUMMYFUNCTION("""COMPUTED_VALUE"""),"International Journal Information Theories and applications, Vol. 3, № 9 pp. 29-36, ISSN: 1310-0513")</f>
        <v>International Journal Information Theories and applications, Vol. 3, № 9 pp. 29-36, ISSN: 1310-0513</v>
      </c>
      <c r="F530" s="10"/>
      <c r="G530" s="10"/>
      <c r="H530" s="10"/>
      <c r="I530" s="10"/>
      <c r="J530" s="10"/>
      <c r="K530" s="10"/>
      <c r="L530" s="10"/>
      <c r="M530" s="10"/>
      <c r="N530" s="10"/>
      <c r="O530" s="10"/>
      <c r="P530" s="10"/>
      <c r="Q530" s="10"/>
      <c r="R530" s="10"/>
      <c r="S530" s="10"/>
      <c r="T530" s="10"/>
      <c r="U530" s="10"/>
      <c r="V530" s="10"/>
      <c r="W530" s="10"/>
      <c r="X530" s="10"/>
      <c r="Y530" s="10"/>
      <c r="Z530" s="10"/>
    </row>
    <row r="531" spans="1:26" ht="12.75">
      <c r="A531" s="10" t="str">
        <f ca="1">IFERROR(__xludf.DUMMYFUNCTION("""COMPUTED_VALUE"""),"Атанас Иванов Начев")</f>
        <v>Атанас Иванов Начев</v>
      </c>
      <c r="B531" s="10" t="str">
        <f ca="1">IFERROR(__xludf.DUMMYFUNCTION("""COMPUTED_VALUE"""),"Статия в списания и поредици")</f>
        <v>Статия в списания и поредици</v>
      </c>
      <c r="C531" s="10" t="str">
        <f ca="1">IFERROR(__xludf.DUMMYFUNCTION("""COMPUTED_VALUE"""),"Устройство сжатия радиолокационной информции, вводимой в микро-ЭВМ")</f>
        <v>Устройство сжатия радиолокационной информции, вводимой в микро-ЭВМ</v>
      </c>
      <c r="D531" s="10">
        <f ca="1">IFERROR(__xludf.DUMMYFUNCTION("""COMPUTED_VALUE"""),1986)</f>
        <v>1986</v>
      </c>
      <c r="E531" s="10" t="str">
        <f ca="1">IFERROR(__xludf.DUMMYFUNCTION("""COMPUTED_VALUE"""),"Механизация и автоматизация управления, № 2, Киев, 1986, стр. 48-50, ISSN: 0543-4149.")</f>
        <v>Механизация и автоматизация управления, № 2, Киев, 1986, стр. 48-50, ISSN: 0543-4149.</v>
      </c>
      <c r="F531" s="10"/>
      <c r="G531" s="10" t="str">
        <f ca="1">IFERROR(__xludf.DUMMYFUNCTION("""COMPUTED_VALUE"""),"Рожков Л. И., Урсатьев А.А., Манько В. А.")</f>
        <v>Рожков Л. И., Урсатьев А.А., Манько В. А.</v>
      </c>
      <c r="H531" s="10"/>
      <c r="I531" s="10"/>
      <c r="J531" s="10"/>
      <c r="K531" s="10"/>
      <c r="L531" s="10"/>
      <c r="M531" s="10"/>
      <c r="N531" s="10"/>
      <c r="O531" s="10"/>
      <c r="P531" s="10"/>
      <c r="Q531" s="10"/>
      <c r="R531" s="10"/>
      <c r="S531" s="10"/>
      <c r="T531" s="10"/>
      <c r="U531" s="10"/>
      <c r="V531" s="10"/>
      <c r="W531" s="10"/>
      <c r="X531" s="10"/>
      <c r="Y531" s="10"/>
      <c r="Z531" s="10"/>
    </row>
    <row r="532" spans="1:26" ht="12.75">
      <c r="A532" s="10" t="str">
        <f ca="1">IFERROR(__xludf.DUMMYFUNCTION("""COMPUTED_VALUE"""),"Атанас Иванов Начев")</f>
        <v>Атанас Иванов Начев</v>
      </c>
      <c r="B532" s="10" t="str">
        <f ca="1">IFERROR(__xludf.DUMMYFUNCTION("""COMPUTED_VALUE"""),"Патент")</f>
        <v>Патент</v>
      </c>
      <c r="C532" s="10" t="str">
        <f ca="1">IFERROR(__xludf.DUMMYFUNCTION("""COMPUTED_VALUE"""),"Устройство ввода информации")</f>
        <v>Устройство ввода информации</v>
      </c>
      <c r="D532" s="10">
        <f ca="1">IFERROR(__xludf.DUMMYFUNCTION("""COMPUTED_VALUE"""),1984)</f>
        <v>1984</v>
      </c>
      <c r="E532" s="10" t="str">
        <f ca="1">IFERROR(__xludf.DUMMYFUNCTION("""COMPUTED_VALUE"""),"Авторское свидетельство № 1221657, Государественный комитет СССР по делам изобретений и открытий. 01.12.1985.")</f>
        <v>Авторское свидетельство № 1221657, Государественный комитет СССР по делам изобретений и открытий. 01.12.1985.</v>
      </c>
      <c r="F532" s="10"/>
      <c r="G532" s="10" t="str">
        <f ca="1">IFERROR(__xludf.DUMMYFUNCTION("""COMPUTED_VALUE"""),"Рожков Л. И., Баскаков В.В., Урсатьев А. А., Манько В. А.")</f>
        <v>Рожков Л. И., Баскаков В.В., Урсатьев А. А., Манько В. А.</v>
      </c>
      <c r="H532" s="10"/>
      <c r="I532" s="10"/>
      <c r="J532" s="10"/>
      <c r="K532" s="10"/>
      <c r="L532" s="10"/>
      <c r="M532" s="10"/>
      <c r="N532" s="10"/>
      <c r="O532" s="10"/>
      <c r="P532" s="10"/>
      <c r="Q532" s="10"/>
      <c r="R532" s="10"/>
      <c r="S532" s="10"/>
      <c r="T532" s="10"/>
      <c r="U532" s="10"/>
      <c r="V532" s="10"/>
      <c r="W532" s="10"/>
      <c r="X532" s="10"/>
      <c r="Y532" s="10"/>
      <c r="Z532" s="10"/>
    </row>
    <row r="533" spans="1:26" ht="12.75">
      <c r="A533" s="10" t="str">
        <f ca="1">IFERROR(__xludf.DUMMYFUNCTION("""COMPUTED_VALUE"""),"Атанас Иванов Начев")</f>
        <v>Атанас Иванов Начев</v>
      </c>
      <c r="B533" s="10" t="str">
        <f ca="1">IFERROR(__xludf.DUMMYFUNCTION("""COMPUTED_VALUE"""),"Патент")</f>
        <v>Патент</v>
      </c>
      <c r="C533" s="10" t="str">
        <f ca="1">IFERROR(__xludf.DUMMYFUNCTION("""COMPUTED_VALUE"""),"Устройство ввода информации")</f>
        <v>Устройство ввода информации</v>
      </c>
      <c r="D533" s="10">
        <f ca="1">IFERROR(__xludf.DUMMYFUNCTION("""COMPUTED_VALUE"""),1984)</f>
        <v>1984</v>
      </c>
      <c r="E533" s="10" t="str">
        <f ca="1">IFERROR(__xludf.DUMMYFUNCTION("""COMPUTED_VALUE"""),"Авторское свидетельство №1209732, Государественный комитет СССР по делам изобретений и открытий. 24.04.1984.")</f>
        <v>Авторское свидетельство №1209732, Государественный комитет СССР по делам изобретений и открытий. 24.04.1984.</v>
      </c>
      <c r="F533" s="10"/>
      <c r="G533" s="10" t="str">
        <f ca="1">IFERROR(__xludf.DUMMYFUNCTION("""COMPUTED_VALUE"""),"Рожков Л. И., Баскаков В.В., А., Манько В. А.")</f>
        <v>Рожков Л. И., Баскаков В.В., А., Манько В. А.</v>
      </c>
      <c r="H533" s="10"/>
      <c r="I533" s="10"/>
      <c r="J533" s="10"/>
      <c r="K533" s="10"/>
      <c r="L533" s="10"/>
      <c r="M533" s="10"/>
      <c r="N533" s="10"/>
      <c r="O533" s="10"/>
      <c r="P533" s="10"/>
      <c r="Q533" s="10"/>
      <c r="R533" s="10"/>
      <c r="S533" s="10"/>
      <c r="T533" s="10"/>
      <c r="U533" s="10"/>
      <c r="V533" s="10"/>
      <c r="W533" s="10"/>
      <c r="X533" s="10"/>
      <c r="Y533" s="10"/>
      <c r="Z533" s="10"/>
    </row>
    <row r="534" spans="1:26" ht="12.75">
      <c r="A534" s="10" t="str">
        <f ca="1">IFERROR(__xludf.DUMMYFUNCTION("""COMPUTED_VALUE"""),"Белла Иванова Тетевенска")</f>
        <v>Белла Иванова Тетевенска</v>
      </c>
      <c r="B534" s="10" t="str">
        <f ca="1">IFERROR(__xludf.DUMMYFUNCTION("""COMPUTED_VALUE"""),"Доклад от конференция")</f>
        <v>Доклад от конференция</v>
      </c>
      <c r="C534" s="10" t="str">
        <f ca="1">IFERROR(__xludf.DUMMYFUNCTION("""COMPUTED_VALUE"""),"Challenges for the Higher Education in the Era of Fake Content")</f>
        <v>Challenges for the Higher Education in the Era of Fake Content</v>
      </c>
      <c r="D534" s="10">
        <f ca="1">IFERROR(__xludf.DUMMYFUNCTION("""COMPUTED_VALUE"""),2018)</f>
        <v>2018</v>
      </c>
      <c r="E534" s="10" t="str">
        <f ca="1">IFERROR(__xludf.DUMMYFUNCTION("""COMPUTED_VALUE"""),"Proceedings of EDULEARN18 Conference 2nd-4th July 2018, Palma, Mallorca, Spain, ISBN: 978-84-09-02709-5.")</f>
        <v>Proceedings of EDULEARN18 Conference 2nd-4th July 2018, Palma, Mallorca, Spain, ISBN: 978-84-09-02709-5.</v>
      </c>
      <c r="F534" s="10" t="str">
        <f ca="1">IFERROR(__xludf.DUMMYFUNCTION("""COMPUTED_VALUE"""),"Web of science, Crossref")</f>
        <v>Web of science, Crossref</v>
      </c>
      <c r="G534" s="10" t="str">
        <f ca="1">IFERROR(__xludf.DUMMYFUNCTION("""COMPUTED_VALUE"""),"Gergina Zhablyanova, Trayana Velkova, Yovi Lulov")</f>
        <v>Gergina Zhablyanova, Trayana Velkova, Yovi Lulov</v>
      </c>
      <c r="H534" s="10"/>
      <c r="I534" s="10"/>
      <c r="J534" s="10"/>
      <c r="K534" s="10"/>
      <c r="L534" s="10"/>
      <c r="M534" s="10"/>
      <c r="N534" s="10"/>
      <c r="O534" s="10"/>
      <c r="P534" s="10"/>
      <c r="Q534" s="10"/>
      <c r="R534" s="10"/>
      <c r="S534" s="10"/>
      <c r="T534" s="10"/>
      <c r="U534" s="10"/>
      <c r="V534" s="10"/>
      <c r="W534" s="10"/>
      <c r="X534" s="10"/>
      <c r="Y534" s="10"/>
      <c r="Z534" s="10"/>
    </row>
    <row r="535" spans="1:26" ht="12.75">
      <c r="A535" s="10" t="str">
        <f ca="1">IFERROR(__xludf.DUMMYFUNCTION("""COMPUTED_VALUE"""),"Белла Иванова Тетевенска")</f>
        <v>Белла Иванова Тетевенска</v>
      </c>
      <c r="B535" s="10" t="str">
        <f ca="1">IFERROR(__xludf.DUMMYFUNCTION("""COMPUTED_VALUE"""),"Книга")</f>
        <v>Книга</v>
      </c>
      <c r="C535" s="10" t="str">
        <f ca="1">IFERROR(__xludf.DUMMYFUNCTION("""COMPUTED_VALUE"""),"Обществените процеси в България и Европейския съюз")</f>
        <v>Обществените процеси в България и Европейския съюз</v>
      </c>
      <c r="D535" s="10">
        <f ca="1">IFERROR(__xludf.DUMMYFUNCTION("""COMPUTED_VALUE"""),2018)</f>
        <v>2018</v>
      </c>
      <c r="E535" s="10" t="str">
        <f ca="1">IFERROR(__xludf.DUMMYFUNCTION("""COMPUTED_VALUE"""),"Комуникации и политики. Учебно помагало за студенти УниБИТ. Изд. “За буквите – о писменехъ”, София, 2018, с.171-197")</f>
        <v>Комуникации и политики. Учебно помагало за студенти УниБИТ. Изд. “За буквите – о писменехъ”, София, 2018, с.171-197</v>
      </c>
      <c r="F535" s="10"/>
      <c r="G535" s="10" t="str">
        <f ca="1">IFERROR(__xludf.DUMMYFUNCTION("""COMPUTED_VALUE"""),"Богова, Хр. (доц. д-р)")</f>
        <v>Богова, Хр. (доц. д-р)</v>
      </c>
      <c r="H535" s="10"/>
      <c r="I535" s="10"/>
      <c r="J535" s="10"/>
      <c r="K535" s="10"/>
      <c r="L535" s="10"/>
      <c r="M535" s="10"/>
      <c r="N535" s="10"/>
      <c r="O535" s="10"/>
      <c r="P535" s="10"/>
      <c r="Q535" s="10"/>
      <c r="R535" s="10"/>
      <c r="S535" s="10"/>
      <c r="T535" s="10"/>
      <c r="U535" s="10"/>
      <c r="V535" s="10"/>
      <c r="W535" s="10"/>
      <c r="X535" s="10"/>
      <c r="Y535" s="10"/>
      <c r="Z535" s="10"/>
    </row>
    <row r="536" spans="1:26" ht="12.75">
      <c r="A536" s="10" t="str">
        <f ca="1">IFERROR(__xludf.DUMMYFUNCTION("""COMPUTED_VALUE"""),"Белла Иванова Тетевенска")</f>
        <v>Белла Иванова Тетевенска</v>
      </c>
      <c r="B536" s="10" t="str">
        <f ca="1">IFERROR(__xludf.DUMMYFUNCTION("""COMPUTED_VALUE"""),"Доклад от конференция")</f>
        <v>Доклад от конференция</v>
      </c>
      <c r="C536" s="10" t="str">
        <f ca="1">IFERROR(__xludf.DUMMYFUNCTION("""COMPUTED_VALUE"""),"Интереси и корупция")</f>
        <v>Интереси и корупция</v>
      </c>
      <c r="D536" s="10">
        <f ca="1">IFERROR(__xludf.DUMMYFUNCTION("""COMPUTED_VALUE"""),2017)</f>
        <v>2017</v>
      </c>
      <c r="E536" s="10" t="str">
        <f ca="1">IFERROR(__xludf.DUMMYFUNCTION("""COMPUTED_VALUE"""),"Проблеми на обществената комуникация, Сборник с nau научни доклади от Трет международна кръгла маса ”Проблеми на обюествената комуникация”, Ниш, Сърбия, 22 - 24 юни 2017, София, За буквите – О писменехь, 2017, с.244-261")</f>
        <v>Проблеми на обществената комуникация, Сборник с nau научни доклади от Трет международна кръгла маса ”Проблеми на обюествената комуникация”, Ниш, Сърбия, 22 - 24 юни 2017, София, За буквите – О писменехь, 2017, с.244-261</v>
      </c>
      <c r="F536" s="10"/>
      <c r="G536" s="10" t="str">
        <f ca="1">IFERROR(__xludf.DUMMYFUNCTION("""COMPUTED_VALUE"""),"Дойков, Й")</f>
        <v>Дойков, Й</v>
      </c>
      <c r="H536" s="10"/>
      <c r="I536" s="10"/>
      <c r="J536" s="10"/>
      <c r="K536" s="10"/>
      <c r="L536" s="10"/>
      <c r="M536" s="10"/>
      <c r="N536" s="10"/>
      <c r="O536" s="10"/>
      <c r="P536" s="10"/>
      <c r="Q536" s="10"/>
      <c r="R536" s="10"/>
      <c r="S536" s="10"/>
      <c r="T536" s="10"/>
      <c r="U536" s="10"/>
      <c r="V536" s="10"/>
      <c r="W536" s="10"/>
      <c r="X536" s="10"/>
      <c r="Y536" s="10"/>
      <c r="Z536" s="10"/>
    </row>
    <row r="537" spans="1:26" ht="12.75">
      <c r="A537" s="10" t="str">
        <f ca="1">IFERROR(__xludf.DUMMYFUNCTION("""COMPUTED_VALUE"""),"Белла Иванова Тетевенска")</f>
        <v>Белла Иванова Тетевенска</v>
      </c>
      <c r="B537" s="10" t="str">
        <f ca="1">IFERROR(__xludf.DUMMYFUNCTION("""COMPUTED_VALUE"""),"Доклад от конференция")</f>
        <v>Доклад от конференция</v>
      </c>
      <c r="C537" s="10" t="str">
        <f ca="1">IFERROR(__xludf.DUMMYFUNCTION("""COMPUTED_VALUE"""),"The University Library as an e-Learning Support Center in the Process of Higher Education.")</f>
        <v>The University Library as an e-Learning Support Center in the Process of Higher Education.</v>
      </c>
      <c r="D537" s="10">
        <f ca="1">IFERROR(__xludf.DUMMYFUNCTION("""COMPUTED_VALUE"""),2016)</f>
        <v>2016</v>
      </c>
      <c r="E537" s="10" t="str">
        <f ca="1">IFERROR(__xludf.DUMMYFUNCTION("""COMPUTED_VALUE"""),"Proceedings of the 14th International Conference e-Society 2016, Aplil 9-11, 2016, Vilamoura, Algarve, Portugal, IADIS Press")</f>
        <v>Proceedings of the 14th International Conference e-Society 2016, Aplil 9-11, 2016, Vilamoura, Algarve, Portugal, IADIS Press</v>
      </c>
      <c r="F537" s="10"/>
      <c r="G537" s="10" t="str">
        <f ca="1">IFERROR(__xludf.DUMMYFUNCTION("""COMPUTED_VALUE"""),"Петева, И., Тетевенска, Б., Денчев, С.")</f>
        <v>Петева, И., Тетевенска, Б., Денчев, С.</v>
      </c>
      <c r="H537" s="10"/>
      <c r="I537" s="10"/>
      <c r="J537" s="10"/>
      <c r="K537" s="10"/>
      <c r="L537" s="10"/>
      <c r="M537" s="10"/>
      <c r="N537" s="10"/>
      <c r="O537" s="10"/>
      <c r="P537" s="10"/>
      <c r="Q537" s="10"/>
      <c r="R537" s="10"/>
      <c r="S537" s="10"/>
      <c r="T537" s="10"/>
      <c r="U537" s="10"/>
      <c r="V537" s="10"/>
      <c r="W537" s="10"/>
      <c r="X537" s="10"/>
      <c r="Y537" s="10"/>
      <c r="Z537" s="10"/>
    </row>
    <row r="538" spans="1:26" ht="12.75">
      <c r="A538" s="10" t="str">
        <f ca="1">IFERROR(__xludf.DUMMYFUNCTION("""COMPUTED_VALUE"""),"Белла Иванова Тетевенска")</f>
        <v>Белла Иванова Тетевенска</v>
      </c>
      <c r="B538" s="10" t="str">
        <f ca="1">IFERROR(__xludf.DUMMYFUNCTION("""COMPUTED_VALUE"""),"Доклад от конференция")</f>
        <v>Доклад от конференция</v>
      </c>
      <c r="C538" s="10" t="str">
        <f ca="1">IFERROR(__xludf.DUMMYFUNCTION("""COMPUTED_VALUE"""),"Аспекти на комуникационното насилие")</f>
        <v>Аспекти на комуникационното насилие</v>
      </c>
      <c r="D538" s="10">
        <f ca="1">IFERROR(__xludf.DUMMYFUNCTION("""COMPUTED_VALUE"""),2016)</f>
        <v>2016</v>
      </c>
      <c r="E538" s="10" t="str">
        <f ca="1">IFERROR(__xludf.DUMMYFUNCTION("""COMPUTED_VALUE"""),"Сборник с доклади Обществото на знанието и хуманизмът на ХХІ век. ХIII юбил. нац. науч. конф. с междунар. участие, София, 1-2 ноем. 2015 г. София, За буквите – О писменехь, 2016 , с.440-446")</f>
        <v>Сборник с доклади Обществото на знанието и хуманизмът на ХХІ век. ХIII юбил. нац. науч. конф. с междунар. участие, София, 1-2 ноем. 2015 г. София, За буквите – О писменехь, 2016 , с.440-446</v>
      </c>
      <c r="F538" s="10"/>
      <c r="G538" s="10" t="str">
        <f ca="1">IFERROR(__xludf.DUMMYFUNCTION("""COMPUTED_VALUE"""),"Палашев, Н., Тетевенска, Б.")</f>
        <v>Палашев, Н., Тетевенска, Б.</v>
      </c>
      <c r="H538" s="10"/>
      <c r="I538" s="10"/>
      <c r="J538" s="10"/>
      <c r="K538" s="10"/>
      <c r="L538" s="10"/>
      <c r="M538" s="10"/>
      <c r="N538" s="10"/>
      <c r="O538" s="10"/>
      <c r="P538" s="10"/>
      <c r="Q538" s="10"/>
      <c r="R538" s="10"/>
      <c r="S538" s="10"/>
      <c r="T538" s="10"/>
      <c r="U538" s="10"/>
      <c r="V538" s="10"/>
      <c r="W538" s="10"/>
      <c r="X538" s="10"/>
      <c r="Y538" s="10"/>
      <c r="Z538" s="10"/>
    </row>
    <row r="539" spans="1:26" ht="12.75">
      <c r="A539" s="10" t="str">
        <f ca="1">IFERROR(__xludf.DUMMYFUNCTION("""COMPUTED_VALUE"""),"Белла Иванова Тетевенска")</f>
        <v>Белла Иванова Тетевенска</v>
      </c>
      <c r="B539" s="10" t="str">
        <f ca="1">IFERROR(__xludf.DUMMYFUNCTION("""COMPUTED_VALUE"""),"Доклад от конференция")</f>
        <v>Доклад от конференция</v>
      </c>
      <c r="C539" s="10" t="str">
        <f ca="1">IFERROR(__xludf.DUMMYFUNCTION("""COMPUTED_VALUE"""),"Ролята на иновациите при християнския цивилизационен модел")</f>
        <v>Ролята на иновациите при християнския цивилизационен модел</v>
      </c>
      <c r="D539" s="10">
        <f ca="1">IFERROR(__xludf.DUMMYFUNCTION("""COMPUTED_VALUE"""),2016)</f>
        <v>2016</v>
      </c>
      <c r="E539" s="10" t="str">
        <f ca="1">IFERROR(__xludf.DUMMYFUNCTION("""COMPUTED_VALUE"""),"Обществото на знанието и хуманизмът на ХХІ век. ХIII юбил. нац. науч. конф. с междунар. участие, София, 1-2 ноем. 2015 г.")</f>
        <v>Обществото на знанието и хуманизмът на ХХІ век. ХIII юбил. нац. науч. конф. с междунар. участие, София, 1-2 ноем. 2015 г.</v>
      </c>
      <c r="F539" s="10"/>
      <c r="G539" s="10" t="str">
        <f ca="1">IFERROR(__xludf.DUMMYFUNCTION("""COMPUTED_VALUE"""),"Борисов, Б., Тетевенска, Б.")</f>
        <v>Борисов, Б., Тетевенска, Б.</v>
      </c>
      <c r="H539" s="10"/>
      <c r="I539" s="10"/>
      <c r="J539" s="10"/>
      <c r="K539" s="10"/>
      <c r="L539" s="10"/>
      <c r="M539" s="10"/>
      <c r="N539" s="10"/>
      <c r="O539" s="10"/>
      <c r="P539" s="10"/>
      <c r="Q539" s="10"/>
      <c r="R539" s="10"/>
      <c r="S539" s="10"/>
      <c r="T539" s="10"/>
      <c r="U539" s="10"/>
      <c r="V539" s="10"/>
      <c r="W539" s="10"/>
      <c r="X539" s="10"/>
      <c r="Y539" s="10"/>
      <c r="Z539" s="10"/>
    </row>
    <row r="540" spans="1:26" ht="12.75">
      <c r="A540" s="10" t="str">
        <f ca="1">IFERROR(__xludf.DUMMYFUNCTION("""COMPUTED_VALUE"""),"Белла Иванова Тетевенска")</f>
        <v>Белла Иванова Тетевенска</v>
      </c>
      <c r="B540" s="10" t="str">
        <f ca="1">IFERROR(__xludf.DUMMYFUNCTION("""COMPUTED_VALUE"""),"Доклад от конференция")</f>
        <v>Доклад от конференция</v>
      </c>
      <c r="C540" s="10" t="str">
        <f ca="1">IFERROR(__xludf.DUMMYFUNCTION("""COMPUTED_VALUE"""),"Корпоративните комуникации в контекста на Науката за информирането и тяхното приложение в съвременното информационно общество")</f>
        <v>Корпоративните комуникации в контекста на Науката за информирането и тяхното приложение в съвременното информационно общество</v>
      </c>
      <c r="D540" s="10">
        <f ca="1">IFERROR(__xludf.DUMMYFUNCTION("""COMPUTED_VALUE"""),2015)</f>
        <v>2015</v>
      </c>
      <c r="E540" s="10" t="str">
        <f ca="1">IFERROR(__xludf.DUMMYFUNCTION("""COMPUTED_VALUE"""),"Съвременни измерения на европейското културно пространство. История и настояще на книжовните културни институции в Италия: Доклади на ІІ междунар. пътуващ семинар на УниБИТ. България - Италия, 28 април – 6 май 2008 г. София, За буквите – О писменехь, 2015"&amp;", с. 216 – 221")</f>
        <v>Съвременни измерения на европейското културно пространство. История и настояще на книжовните културни институции в Италия: Доклади на ІІ междунар. пътуващ семинар на УниБИТ. България - Италия, 28 април – 6 май 2008 г. София, За буквите – О писменехь, 2015, с. 216 – 221</v>
      </c>
      <c r="F540" s="10"/>
      <c r="G540" s="10"/>
      <c r="H540" s="10"/>
      <c r="I540" s="10"/>
      <c r="J540" s="10"/>
      <c r="K540" s="10"/>
      <c r="L540" s="10"/>
      <c r="M540" s="10"/>
      <c r="N540" s="10"/>
      <c r="O540" s="10"/>
      <c r="P540" s="10"/>
      <c r="Q540" s="10"/>
      <c r="R540" s="10"/>
      <c r="S540" s="10"/>
      <c r="T540" s="10"/>
      <c r="U540" s="10"/>
      <c r="V540" s="10"/>
      <c r="W540" s="10"/>
      <c r="X540" s="10"/>
      <c r="Y540" s="10"/>
      <c r="Z540" s="10"/>
    </row>
    <row r="541" spans="1:26" ht="12.75">
      <c r="A541" s="10" t="str">
        <f ca="1">IFERROR(__xludf.DUMMYFUNCTION("""COMPUTED_VALUE"""),"Белла Иванова Тетевенска")</f>
        <v>Белла Иванова Тетевенска</v>
      </c>
      <c r="B541" s="10" t="str">
        <f ca="1">IFERROR(__xludf.DUMMYFUNCTION("""COMPUTED_VALUE"""),"Доклад от конференция")</f>
        <v>Доклад от конференция</v>
      </c>
      <c r="C541" s="10" t="str">
        <f ca="1">IFERROR(__xludf.DUMMYFUNCTION("""COMPUTED_VALUE"""),"Програма „Учене през целия живот“ – основа на съвременното европейсло образователно пространство")</f>
        <v>Програма „Учене през целия живот“ – основа на съвременното европейсло образователно пространство</v>
      </c>
      <c r="D541" s="10">
        <f ca="1">IFERROR(__xludf.DUMMYFUNCTION("""COMPUTED_VALUE"""),2015)</f>
        <v>2015</v>
      </c>
      <c r="E541" s="10" t="str">
        <f ca="1">IFERROR(__xludf.DUMMYFUNCTION("""COMPUTED_VALUE"""),"Сборник от Съвременни измерения на европейското образователно и научно пространство. Българско - испански културни общувания: Доклади на IV междунар. пътуващ семинар на УниБИТ. България - Испания, 10 – 17 април 2010 г. София, За буквите – О писменехь, 201"&amp;"5, с. 81 – 85")</f>
        <v>Сборник от Съвременни измерения на европейското образователно и научно пространство. Българско - испански културни общувания: Доклади на IV междунар. пътуващ семинар на УниБИТ. България - Испания, 10 – 17 април 2010 г. София, За буквите – О писменехь, 2015, с. 81 – 85</v>
      </c>
      <c r="F541" s="10"/>
      <c r="G541" s="10"/>
      <c r="H541" s="10"/>
      <c r="I541" s="10"/>
      <c r="J541" s="10"/>
      <c r="K541" s="10"/>
      <c r="L541" s="10"/>
      <c r="M541" s="10"/>
      <c r="N541" s="10"/>
      <c r="O541" s="10"/>
      <c r="P541" s="10"/>
      <c r="Q541" s="10"/>
      <c r="R541" s="10"/>
      <c r="S541" s="10"/>
      <c r="T541" s="10"/>
      <c r="U541" s="10"/>
      <c r="V541" s="10"/>
      <c r="W541" s="10"/>
      <c r="X541" s="10"/>
      <c r="Y541" s="10"/>
      <c r="Z541" s="10"/>
    </row>
    <row r="542" spans="1:26" ht="12.75">
      <c r="A542" s="10" t="str">
        <f ca="1">IFERROR(__xludf.DUMMYFUNCTION("""COMPUTED_VALUE"""),"Белла Иванова Тетевенска")</f>
        <v>Белла Иванова Тетевенска</v>
      </c>
      <c r="B542" s="10" t="str">
        <f ca="1">IFERROR(__xludf.DUMMYFUNCTION("""COMPUTED_VALUE"""),"Доклад от конференция")</f>
        <v>Доклад от конференция</v>
      </c>
      <c r="C542" s="10" t="str">
        <f ca="1">IFERROR(__xludf.DUMMYFUNCTION("""COMPUTED_VALUE"""),"Комуникационно поведение, умения и компетенции в условия на съвременното информационно общество")</f>
        <v>Комуникационно поведение, умения и компетенции в условия на съвременното информационно общество</v>
      </c>
      <c r="D542" s="10">
        <f ca="1">IFERROR(__xludf.DUMMYFUNCTION("""COMPUTED_VALUE"""),2014)</f>
        <v>2014</v>
      </c>
      <c r="E542" s="10" t="str">
        <f ca="1">IFERROR(__xludf.DUMMYFUNCTION("""COMPUTED_VALUE"""),"Съвременни измерения на европейското образователно и научно пространство. Българско - италиански културни общувания: Доклади на")</f>
        <v>Съвременни измерения на европейското образователно и научно пространство. Българско - италиански културни общувания: Доклади на</v>
      </c>
      <c r="F542" s="10"/>
      <c r="G542" s="10" t="str">
        <f ca="1">IFERROR(__xludf.DUMMYFUNCTION("""COMPUTED_VALUE"""),"-")</f>
        <v>-</v>
      </c>
      <c r="H542" s="10"/>
      <c r="I542" s="10"/>
      <c r="J542" s="10"/>
      <c r="K542" s="10"/>
      <c r="L542" s="10"/>
      <c r="M542" s="10"/>
      <c r="N542" s="10"/>
      <c r="O542" s="10"/>
      <c r="P542" s="10"/>
      <c r="Q542" s="10"/>
      <c r="R542" s="10"/>
      <c r="S542" s="10"/>
      <c r="T542" s="10"/>
      <c r="U542" s="10"/>
      <c r="V542" s="10"/>
      <c r="W542" s="10"/>
      <c r="X542" s="10"/>
      <c r="Y542" s="10"/>
      <c r="Z542" s="10"/>
    </row>
    <row r="543" spans="1:26" ht="12.75">
      <c r="A543" s="10" t="str">
        <f ca="1">IFERROR(__xludf.DUMMYFUNCTION("""COMPUTED_VALUE"""),"Белла Иванова Тетевенска")</f>
        <v>Белла Иванова Тетевенска</v>
      </c>
      <c r="B543" s="10" t="str">
        <f ca="1">IFERROR(__xludf.DUMMYFUNCTION("""COMPUTED_VALUE"""),"Доклад от конференция")</f>
        <v>Доклад от конференция</v>
      </c>
      <c r="C543" s="10" t="str">
        <f ca="1">IFERROR(__xludf.DUMMYFUNCTION("""COMPUTED_VALUE"""),"Bulgarian University Libraries as an e-LearninSupport Center")</f>
        <v>Bulgarian University Libraries as an e-LearninSupport Center</v>
      </c>
      <c r="D543" s="10">
        <f ca="1">IFERROR(__xludf.DUMMYFUNCTION("""COMPUTED_VALUE"""),2010)</f>
        <v>2010</v>
      </c>
      <c r="E543" s="10" t="str">
        <f ca="1">IFERROR(__xludf.DUMMYFUNCTION("""COMPUTED_VALUE"""),"International Conference on Society and Information Technologies Proceedings, April 6th – 9th, 2010, Orlando, Florida, USA, pp 385 – 389.")</f>
        <v>International Conference on Society and Information Technologies Proceedings, April 6th – 9th, 2010, Orlando, Florida, USA, pp 385 – 389.</v>
      </c>
      <c r="F543" s="10"/>
      <c r="G543" s="10" t="str">
        <f ca="1">IFERROR(__xludf.DUMMYFUNCTION("""COMPUTED_VALUE"""),"Denchev, S. (Prof. DSc) Varbanova, Kr. (Prof. Dr.) Peteva, I. (Prof. DSc)")</f>
        <v>Denchev, S. (Prof. DSc) Varbanova, Kr. (Prof. Dr.) Peteva, I. (Prof. DSc)</v>
      </c>
      <c r="H543" s="10"/>
      <c r="I543" s="10"/>
      <c r="J543" s="10"/>
      <c r="K543" s="10"/>
      <c r="L543" s="10"/>
      <c r="M543" s="10"/>
      <c r="N543" s="10"/>
      <c r="O543" s="10"/>
      <c r="P543" s="10"/>
      <c r="Q543" s="10"/>
      <c r="R543" s="10"/>
      <c r="S543" s="10"/>
      <c r="T543" s="10"/>
      <c r="U543" s="10"/>
      <c r="V543" s="10"/>
      <c r="W543" s="10"/>
      <c r="X543" s="10"/>
      <c r="Y543" s="10"/>
      <c r="Z543" s="10"/>
    </row>
    <row r="544" spans="1:26" ht="12.75">
      <c r="A544" s="10" t="str">
        <f ca="1">IFERROR(__xludf.DUMMYFUNCTION("""COMPUTED_VALUE"""),"Белла Иванова Тетевенска")</f>
        <v>Белла Иванова Тетевенска</v>
      </c>
      <c r="B544" s="10" t="str">
        <f ca="1">IFERROR(__xludf.DUMMYFUNCTION("""COMPUTED_VALUE"""),"Доклад от конференция")</f>
        <v>Доклад от конференция</v>
      </c>
      <c r="C544" s="10" t="str">
        <f ca="1">IFERROR(__xludf.DUMMYFUNCTION("""COMPUTED_VALUE"""),"Information Transparency and Information Security in the Process of Globalization Scientific Conference ‘Globalism and Security’.")</f>
        <v>Information Transparency and Information Security in the Process of Globalization Scientific Conference ‘Globalism and Security’.</v>
      </c>
      <c r="D544" s="10">
        <f ca="1">IFERROR(__xludf.DUMMYFUNCTION("""COMPUTED_VALUE"""),2009)</f>
        <v>2009</v>
      </c>
      <c r="E544" s="10" t="str">
        <f ca="1">IFERROR(__xludf.DUMMYFUNCTION("""COMPUTED_VALUE"""),"Университетско издателство на УниБИТ “За буквите – о писменехъ” Сборник Globalism and Security.")</f>
        <v>Университетско издателство на УниБИТ “За буквите – о писменехъ” Сборник Globalism and Security.</v>
      </c>
      <c r="F544" s="10"/>
      <c r="G544" s="10" t="str">
        <f ca="1">IFERROR(__xludf.DUMMYFUNCTION("""COMPUTED_VALUE"""),"Peteva, I. (Prof. DSc)")</f>
        <v>Peteva, I. (Prof. DSc)</v>
      </c>
      <c r="H544" s="10"/>
      <c r="I544" s="10"/>
      <c r="J544" s="10"/>
      <c r="K544" s="10"/>
      <c r="L544" s="10"/>
      <c r="M544" s="10"/>
      <c r="N544" s="10"/>
      <c r="O544" s="10"/>
      <c r="P544" s="10"/>
      <c r="Q544" s="10"/>
      <c r="R544" s="10"/>
      <c r="S544" s="10"/>
      <c r="T544" s="10"/>
      <c r="U544" s="10"/>
      <c r="V544" s="10"/>
      <c r="W544" s="10"/>
      <c r="X544" s="10"/>
      <c r="Y544" s="10"/>
      <c r="Z544" s="10"/>
    </row>
    <row r="545" spans="1:26" ht="12.75">
      <c r="A545" s="10" t="str">
        <f ca="1">IFERROR(__xludf.DUMMYFUNCTION("""COMPUTED_VALUE"""),"Белла Иванова Тетевенска")</f>
        <v>Белла Иванова Тетевенска</v>
      </c>
      <c r="B545" s="10" t="str">
        <f ca="1">IFERROR(__xludf.DUMMYFUNCTION("""COMPUTED_VALUE"""),"Статия в списания и поредици")</f>
        <v>Статия в списания и поредици</v>
      </c>
      <c r="C545" s="10" t="str">
        <f ca="1">IFERROR(__xludf.DUMMYFUNCTION("""COMPUTED_VALUE"""),"Прозрачност и сигурност на информацията при корпоративните комуникации в информационното общество")</f>
        <v>Прозрачност и сигурност на информацията при корпоративните комуникации в информационното общество</v>
      </c>
      <c r="D545" s="10">
        <f ca="1">IFERROR(__xludf.DUMMYFUNCTION("""COMPUTED_VALUE"""),2008)</f>
        <v>2008</v>
      </c>
      <c r="E545" s="10" t="str">
        <f ca="1">IFERROR(__xludf.DUMMYFUNCTION("""COMPUTED_VALUE"""),"Военен журнал, 2008, № 5.")</f>
        <v>Военен журнал, 2008, № 5.</v>
      </c>
      <c r="F545" s="10" t="str">
        <f ca="1">IFERROR(__xludf.DUMMYFUNCTION("""COMPUTED_VALUE"""),"(http://rdsc.md.government.bg/BG/Activities/VoenenJournal/2008-05/SD_2008_05.pd")</f>
        <v>(http://rdsc.md.government.bg/BG/Activities/VoenenJournal/2008-05/SD_2008_05.pd</v>
      </c>
      <c r="G545" s="10" t="str">
        <f ca="1">IFERROR(__xludf.DUMMYFUNCTION("""COMPUTED_VALUE"""),"Денчев, С. (проф. д.ик.н.) Паргов, Др. (проф. д-р) Петева, И. (проф. д.н.)")</f>
        <v>Денчев, С. (проф. д.ик.н.) Паргов, Др. (проф. д-р) Петева, И. (проф. д.н.)</v>
      </c>
      <c r="H545" s="10"/>
      <c r="I545" s="10"/>
      <c r="J545" s="10"/>
      <c r="K545" s="10"/>
      <c r="L545" s="10"/>
      <c r="M545" s="10"/>
      <c r="N545" s="10"/>
      <c r="O545" s="10"/>
      <c r="P545" s="10"/>
      <c r="Q545" s="10"/>
      <c r="R545" s="10"/>
      <c r="S545" s="10"/>
      <c r="T545" s="10"/>
      <c r="U545" s="10"/>
      <c r="V545" s="10"/>
      <c r="W545" s="10"/>
      <c r="X545" s="10"/>
      <c r="Y545" s="10"/>
      <c r="Z545" s="10"/>
    </row>
    <row r="546" spans="1:26" ht="12.75">
      <c r="A546" s="10" t="str">
        <f ca="1">IFERROR(__xludf.DUMMYFUNCTION("""COMPUTED_VALUE"""),"Борис Благовестов Шишков")</f>
        <v>Борис Благовестов Шишков</v>
      </c>
      <c r="B546" s="10" t="str">
        <f ca="1">IFERROR(__xludf.DUMMYFUNCTION("""COMPUTED_VALUE"""),"Книга")</f>
        <v>Книга</v>
      </c>
      <c r="C546" s="10" t="str">
        <f ca="1">IFERROR(__xludf.DUMMYFUNCTION("""COMPUTED_VALUE"""),"Designing Enterprise Information Systems, Merging Enterprise Modeling and Software Specification")</f>
        <v>Designing Enterprise Information Systems, Merging Enterprise Modeling and Software Specification</v>
      </c>
      <c r="D546" s="10">
        <f ca="1">IFERROR(__xludf.DUMMYFUNCTION("""COMPUTED_VALUE"""),2020)</f>
        <v>2020</v>
      </c>
      <c r="E546" s="10" t="str">
        <f ca="1">IFERROR(__xludf.DUMMYFUNCTION("""COMPUTED_VALUE"""),"Springer Cham, Springer Nature Switzerland AG 2020. ISBN: 978-3-030-22440-0; Series Print ISSN 1867-8920; Online ISBN 978-3-030-22441-7; Series Online ISSN 1867-8939; DOI https://doi.org/10.1007/978-3-030-22441-7")</f>
        <v>Springer Cham, Springer Nature Switzerland AG 2020. ISBN: 978-3-030-22440-0; Series Print ISSN 1867-8920; Online ISBN 978-3-030-22441-7; Series Online ISSN 1867-8939; DOI https://doi.org/10.1007/978-3-030-22441-7</v>
      </c>
      <c r="F546" s="10" t="str">
        <f ca="1">IFERROR(__xludf.DUMMYFUNCTION("""COMPUTED_VALUE"""),"DBLP")</f>
        <v>DBLP</v>
      </c>
      <c r="G546" s="10"/>
      <c r="H546" s="10"/>
      <c r="I546" s="10"/>
      <c r="J546" s="10"/>
      <c r="K546" s="10"/>
      <c r="L546" s="10"/>
      <c r="M546" s="10"/>
      <c r="N546" s="10"/>
      <c r="O546" s="10"/>
      <c r="P546" s="10"/>
      <c r="Q546" s="10"/>
      <c r="R546" s="10"/>
      <c r="S546" s="10"/>
      <c r="T546" s="10"/>
      <c r="U546" s="10"/>
      <c r="V546" s="10"/>
      <c r="W546" s="10"/>
      <c r="X546" s="10"/>
      <c r="Y546" s="10"/>
      <c r="Z546" s="10"/>
    </row>
    <row r="547" spans="1:26" ht="12.75">
      <c r="A547" s="10" t="str">
        <f ca="1">IFERROR(__xludf.DUMMYFUNCTION("""COMPUTED_VALUE"""),"Борис Благовестов Шишков")</f>
        <v>Борис Благовестов Шишков</v>
      </c>
      <c r="B547" s="10" t="str">
        <f ca="1">IFERROR(__xludf.DUMMYFUNCTION("""COMPUTED_VALUE"""),"Доклад от конференция")</f>
        <v>Доклад от конференция</v>
      </c>
      <c r="C547" s="10" t="str">
        <f ca="1">IFERROR(__xludf.DUMMYFUNCTION("""COMPUTED_VALUE"""),"Capturing Human Authority and Responsibility by Considering Composite Public Values")</f>
        <v>Capturing Human Authority and Responsibility by Considering Composite Public Values</v>
      </c>
      <c r="D547" s="10">
        <f ca="1">IFERROR(__xludf.DUMMYFUNCTION("""COMPUTED_VALUE"""),2019)</f>
        <v>2019</v>
      </c>
      <c r="E547" s="10" t="str">
        <f ca="1">IFERROR(__xludf.DUMMYFUNCTION("""COMPUTED_VALUE"""),"Springer Cham (LNBIP), ISSN: 1865-1348; ISBN: 978-3-030-24853-6")</f>
        <v>Springer Cham (LNBIP), ISSN: 1865-1348; ISBN: 978-3-030-24853-6</v>
      </c>
      <c r="F547" s="10"/>
      <c r="G547" s="10" t="str">
        <f ca="1">IFERROR(__xludf.DUMMYFUNCTION("""COMPUTED_VALUE"""),"Magdalena Garvanova, Boris Shishkov")</f>
        <v>Magdalena Garvanova, Boris Shishkov</v>
      </c>
      <c r="H547" s="10"/>
      <c r="I547" s="10"/>
      <c r="J547" s="10"/>
      <c r="K547" s="10"/>
      <c r="L547" s="10"/>
      <c r="M547" s="10"/>
      <c r="N547" s="10"/>
      <c r="O547" s="10"/>
      <c r="P547" s="10"/>
      <c r="Q547" s="10"/>
      <c r="R547" s="10"/>
      <c r="S547" s="10"/>
      <c r="T547" s="10"/>
      <c r="U547" s="10"/>
      <c r="V547" s="10"/>
      <c r="W547" s="10"/>
      <c r="X547" s="10"/>
      <c r="Y547" s="10"/>
      <c r="Z547" s="10"/>
    </row>
    <row r="548" spans="1:26" ht="12.75">
      <c r="A548" s="10" t="str">
        <f ca="1">IFERROR(__xludf.DUMMYFUNCTION("""COMPUTED_VALUE"""),"Борис Благовестов Шишков")</f>
        <v>Борис Благовестов Шишков</v>
      </c>
      <c r="B548" s="10" t="str">
        <f ca="1">IFERROR(__xludf.DUMMYFUNCTION("""COMPUTED_VALUE"""),"Доклад от конференция")</f>
        <v>Доклад от конференция</v>
      </c>
      <c r="C548" s="10" t="str">
        <f ca="1">IFERROR(__xludf.DUMMYFUNCTION("""COMPUTED_VALUE"""),"Tuning the Behavior of Context-Aware Applications, Using Semiotic Norms and Bayesian Modeling to Establish the User Situation")</f>
        <v>Tuning the Behavior of Context-Aware Applications, Using Semiotic Norms and Bayesian Modeling to Establish the User Situation</v>
      </c>
      <c r="D548" s="10">
        <f ca="1">IFERROR(__xludf.DUMMYFUNCTION("""COMPUTED_VALUE"""),2019)</f>
        <v>2019</v>
      </c>
      <c r="E548" s="10" t="str">
        <f ca="1">IFERROR(__xludf.DUMMYFUNCTION("""COMPUTED_VALUE"""),"Springer Cham (LNBIP), ISSN: 1865-1348; ISBN: 978-3-030-24853-6; DOI: https://doi.org/10.1007/978-3-030-24854-3_9")</f>
        <v>Springer Cham (LNBIP), ISSN: 1865-1348; ISBN: 978-3-030-24853-6; DOI: https://doi.org/10.1007/978-3-030-24854-3_9</v>
      </c>
      <c r="F548" s="10" t="str">
        <f ca="1">IFERROR(__xludf.DUMMYFUNCTION("""COMPUTED_VALUE"""),"SCOPUS, Web of Science, DBLP")</f>
        <v>SCOPUS, Web of Science, DBLP</v>
      </c>
      <c r="G548" s="10"/>
      <c r="H548" s="10"/>
      <c r="I548" s="10"/>
      <c r="J548" s="10"/>
      <c r="K548" s="10"/>
      <c r="L548" s="10"/>
      <c r="M548" s="10"/>
      <c r="N548" s="10"/>
      <c r="O548" s="10"/>
      <c r="P548" s="10"/>
      <c r="Q548" s="10"/>
      <c r="R548" s="10"/>
      <c r="S548" s="10"/>
      <c r="T548" s="10"/>
      <c r="U548" s="10"/>
      <c r="V548" s="10"/>
      <c r="W548" s="10"/>
      <c r="X548" s="10"/>
      <c r="Y548" s="10"/>
      <c r="Z548" s="10"/>
    </row>
    <row r="549" spans="1:26" ht="12.75">
      <c r="A549" s="10" t="str">
        <f ca="1">IFERROR(__xludf.DUMMYFUNCTION("""COMPUTED_VALUE"""),"Борис Благовестов Шишков")</f>
        <v>Борис Благовестов Шишков</v>
      </c>
      <c r="B549" s="10" t="str">
        <f ca="1">IFERROR(__xludf.DUMMYFUNCTION("""COMPUTED_VALUE"""),"Доклад от конференция")</f>
        <v>Доклад от конференция</v>
      </c>
      <c r="C549" s="10" t="str">
        <f ca="1">IFERROR(__xludf.DUMMYFUNCTION("""COMPUTED_VALUE"""),"Measuring and Clustering Moving Objects")</f>
        <v>Measuring and Clustering Moving Objects</v>
      </c>
      <c r="D549" s="10">
        <f ca="1">IFERROR(__xludf.DUMMYFUNCTION("""COMPUTED_VALUE"""),2019)</f>
        <v>2019</v>
      </c>
      <c r="E549" s="10" t="str">
        <f ca="1">IFERROR(__xludf.DUMMYFUNCTION("""COMPUTED_VALUE"""),"ACM,ISBN: 978-1-4503-7669-3")</f>
        <v>ACM,ISBN: 978-1-4503-7669-3</v>
      </c>
      <c r="F549" s="10"/>
      <c r="G549" s="10" t="str">
        <f ca="1">IFERROR(__xludf.DUMMYFUNCTION("""COMPUTED_VALUE"""),"Magdalena Garvanova, Ivan Garvanov, Christo Kabakchiev, Boris Shishkov")</f>
        <v>Magdalena Garvanova, Ivan Garvanov, Christo Kabakchiev, Boris Shishkov</v>
      </c>
      <c r="H549" s="10"/>
      <c r="I549" s="10"/>
      <c r="J549" s="10"/>
      <c r="K549" s="10"/>
      <c r="L549" s="10"/>
      <c r="M549" s="10"/>
      <c r="N549" s="10"/>
      <c r="O549" s="10"/>
      <c r="P549" s="10"/>
      <c r="Q549" s="10"/>
      <c r="R549" s="10"/>
      <c r="S549" s="10"/>
      <c r="T549" s="10"/>
      <c r="U549" s="10"/>
      <c r="V549" s="10"/>
      <c r="W549" s="10"/>
      <c r="X549" s="10"/>
      <c r="Y549" s="10"/>
      <c r="Z549" s="10"/>
    </row>
    <row r="550" spans="1:26" ht="12.75">
      <c r="A550" s="10" t="str">
        <f ca="1">IFERROR(__xludf.DUMMYFUNCTION("""COMPUTED_VALUE"""),"Борис Благовестов Шишков")</f>
        <v>Борис Благовестов Шишков</v>
      </c>
      <c r="B550" s="10" t="str">
        <f ca="1">IFERROR(__xludf.DUMMYFUNCTION("""COMPUTED_VALUE"""),"Доклад от конференция")</f>
        <v>Доклад от конференция</v>
      </c>
      <c r="C550" s="10" t="str">
        <f ca="1">IFERROR(__xludf.DUMMYFUNCTION("""COMPUTED_VALUE"""),"Preface")</f>
        <v>Preface</v>
      </c>
      <c r="D550" s="10">
        <f ca="1">IFERROR(__xludf.DUMMYFUNCTION("""COMPUTED_VALUE"""),2019)</f>
        <v>2019</v>
      </c>
      <c r="E550" s="10" t="str">
        <f ca="1">IFERROR(__xludf.DUMMYFUNCTION("""COMPUTED_VALUE"""),"Springer Cham (LNBIP), ISSN: 1865-1348; ISBN: 978-3-030-24853-6")</f>
        <v>Springer Cham (LNBIP), ISSN: 1865-1348; ISBN: 978-3-030-24853-6</v>
      </c>
      <c r="F550" s="10" t="str">
        <f ca="1">IFERROR(__xludf.DUMMYFUNCTION("""COMPUTED_VALUE"""),"SCOPUS, Web of Science, DBLP")</f>
        <v>SCOPUS, Web of Science, DBLP</v>
      </c>
      <c r="G550" s="10"/>
      <c r="H550" s="10"/>
      <c r="I550" s="10"/>
      <c r="J550" s="10"/>
      <c r="K550" s="10"/>
      <c r="L550" s="10"/>
      <c r="M550" s="10"/>
      <c r="N550" s="10"/>
      <c r="O550" s="10"/>
      <c r="P550" s="10"/>
      <c r="Q550" s="10"/>
      <c r="R550" s="10"/>
      <c r="S550" s="10"/>
      <c r="T550" s="10"/>
      <c r="U550" s="10"/>
      <c r="V550" s="10"/>
      <c r="W550" s="10"/>
      <c r="X550" s="10"/>
      <c r="Y550" s="10"/>
      <c r="Z550" s="10"/>
    </row>
    <row r="551" spans="1:26" ht="12.75">
      <c r="A551" s="10" t="str">
        <f ca="1">IFERROR(__xludf.DUMMYFUNCTION("""COMPUTED_VALUE"""),"Борис Благовестов Шишков")</f>
        <v>Борис Благовестов Шишков</v>
      </c>
      <c r="B551" s="10" t="str">
        <f ca="1">IFERROR(__xludf.DUMMYFUNCTION("""COMPUTED_VALUE"""),"Доклад от конференция")</f>
        <v>Доклад от конференция</v>
      </c>
      <c r="C551" s="10" t="str">
        <f ca="1">IFERROR(__xludf.DUMMYFUNCTION("""COMPUTED_VALUE"""),"Business Process Variability and Public Values")</f>
        <v>Business Process Variability and Public Values</v>
      </c>
      <c r="D551" s="10">
        <f ca="1">IFERROR(__xludf.DUMMYFUNCTION("""COMPUTED_VALUE"""),2018)</f>
        <v>2018</v>
      </c>
      <c r="E551" s="10" t="str">
        <f ca="1">IFERROR(__xludf.DUMMYFUNCTION("""COMPUTED_VALUE"""),"Springer ISBN: 978-3-319-94213-1 ISSN: 1865-1348 DOI: https://doi.org/10.1007/978-3-319-94214-8_31")</f>
        <v>Springer ISBN: 978-3-319-94213-1 ISSN: 1865-1348 DOI: https://doi.org/10.1007/978-3-319-94214-8_31</v>
      </c>
      <c r="F551" s="10" t="str">
        <f ca="1">IFERROR(__xludf.DUMMYFUNCTION("""COMPUTED_VALUE"""),"SCOPUS, Web of Science, DBLP")</f>
        <v>SCOPUS, Web of Science, DBLP</v>
      </c>
      <c r="G551" s="10" t="str">
        <f ca="1">IFERROR(__xludf.DUMMYFUNCTION("""COMPUTED_VALUE"""),"Jan Mendling")</f>
        <v>Jan Mendling</v>
      </c>
      <c r="H551" s="10"/>
      <c r="I551" s="10"/>
      <c r="J551" s="10"/>
      <c r="K551" s="10"/>
      <c r="L551" s="10"/>
      <c r="M551" s="10"/>
      <c r="N551" s="10"/>
      <c r="O551" s="10"/>
      <c r="P551" s="10"/>
      <c r="Q551" s="10"/>
      <c r="R551" s="10"/>
      <c r="S551" s="10"/>
      <c r="T551" s="10"/>
      <c r="U551" s="10"/>
      <c r="V551" s="10"/>
      <c r="W551" s="10"/>
      <c r="X551" s="10"/>
      <c r="Y551" s="10"/>
      <c r="Z551" s="10"/>
    </row>
    <row r="552" spans="1:26" ht="12.75">
      <c r="A552" s="10" t="str">
        <f ca="1">IFERROR(__xludf.DUMMYFUNCTION("""COMPUTED_VALUE"""),"Борис Благовестов Шишков")</f>
        <v>Борис Благовестов Шишков</v>
      </c>
      <c r="B552" s="10" t="str">
        <f ca="1">IFERROR(__xludf.DUMMYFUNCTION("""COMPUTED_VALUE"""),"Доклад от конференция")</f>
        <v>Доклад от конференция</v>
      </c>
      <c r="C552" s="10" t="str">
        <f ca="1">IFERROR(__xludf.DUMMYFUNCTION("""COMPUTED_VALUE"""),"Three Categories of Context-Aware Systems")</f>
        <v>Three Categories of Context-Aware Systems</v>
      </c>
      <c r="D552" s="10">
        <f ca="1">IFERROR(__xludf.DUMMYFUNCTION("""COMPUTED_VALUE"""),2018)</f>
        <v>2018</v>
      </c>
      <c r="E552" s="10" t="str">
        <f ca="1">IFERROR(__xludf.DUMMYFUNCTION("""COMPUTED_VALUE"""),"Springer, ISBN: 978-3-319-94213-1 ISSN: 1865-1348 DOI: https://doi.org/10.1007/978-3-319-94214-8_12")</f>
        <v>Springer, ISBN: 978-3-319-94213-1 ISSN: 1865-1348 DOI: https://doi.org/10.1007/978-3-319-94214-8_12</v>
      </c>
      <c r="F552" s="10" t="str">
        <f ca="1">IFERROR(__xludf.DUMMYFUNCTION("""COMPUTED_VALUE"""),"SCOPUS, Web of Science, DBLP")</f>
        <v>SCOPUS, Web of Science, DBLP</v>
      </c>
      <c r="G552" s="10" t="str">
        <f ca="1">IFERROR(__xludf.DUMMYFUNCTION("""COMPUTED_VALUE"""),"John Bruntse Larsen, Martijn Warnier, Marijn Janssen")</f>
        <v>John Bruntse Larsen, Martijn Warnier, Marijn Janssen</v>
      </c>
      <c r="H552" s="10"/>
      <c r="I552" s="10"/>
      <c r="J552" s="10"/>
      <c r="K552" s="10"/>
      <c r="L552" s="10"/>
      <c r="M552" s="10"/>
      <c r="N552" s="10"/>
      <c r="O552" s="10"/>
      <c r="P552" s="10"/>
      <c r="Q552" s="10"/>
      <c r="R552" s="10"/>
      <c r="S552" s="10"/>
      <c r="T552" s="10"/>
      <c r="U552" s="10"/>
      <c r="V552" s="10"/>
      <c r="W552" s="10"/>
      <c r="X552" s="10"/>
      <c r="Y552" s="10"/>
      <c r="Z552" s="10"/>
    </row>
    <row r="553" spans="1:26" ht="12.75">
      <c r="A553" s="10" t="str">
        <f ca="1">IFERROR(__xludf.DUMMYFUNCTION("""COMPUTED_VALUE"""),"Борис Благовестов Шишков")</f>
        <v>Борис Благовестов Шишков</v>
      </c>
      <c r="B553" s="10" t="str">
        <f ca="1">IFERROR(__xludf.DUMMYFUNCTION("""COMPUTED_VALUE"""),"Доклад от конференция")</f>
        <v>Доклад от конференция</v>
      </c>
      <c r="C553" s="10" t="str">
        <f ca="1">IFERROR(__xludf.DUMMYFUNCTION("""COMPUTED_VALUE"""),"Towards Context-Aware Vehicle Navigation in Urban Environments: Modeling Challenges")</f>
        <v>Towards Context-Aware Vehicle Navigation in Urban Environments: Modeling Challenges</v>
      </c>
      <c r="D553" s="10">
        <f ca="1">IFERROR(__xludf.DUMMYFUNCTION("""COMPUTED_VALUE"""),2018)</f>
        <v>2018</v>
      </c>
      <c r="E553" s="10" t="str">
        <f ca="1">IFERROR(__xludf.DUMMYFUNCTION("""COMPUTED_VALUE"""),"Springer ISBN: 978-3-319-94213-1 ISSN: 1865-1348 DOI: https://doi.org/10.1007/978-3-319-94214-8_29")</f>
        <v>Springer ISBN: 978-3-319-94213-1 ISSN: 1865-1348 DOI: https://doi.org/10.1007/978-3-319-94214-8_29</v>
      </c>
      <c r="F553" s="10" t="str">
        <f ca="1">IFERROR(__xludf.DUMMYFUNCTION("""COMPUTED_VALUE"""),"SCOPUS, Web of Science, DBLP")</f>
        <v>SCOPUS, Web of Science, DBLP</v>
      </c>
      <c r="G553" s="10" t="str">
        <f ca="1">IFERROR(__xludf.DUMMYFUNCTION("""COMPUTED_VALUE"""),"Ivan Garvanov, Christo Kabakchiev, Magdalena Garvanova")</f>
        <v>Ivan Garvanov, Christo Kabakchiev, Magdalena Garvanova</v>
      </c>
      <c r="H553" s="10"/>
      <c r="I553" s="10"/>
      <c r="J553" s="10"/>
      <c r="K553" s="10"/>
      <c r="L553" s="10"/>
      <c r="M553" s="10"/>
      <c r="N553" s="10"/>
      <c r="O553" s="10"/>
      <c r="P553" s="10"/>
      <c r="Q553" s="10"/>
      <c r="R553" s="10"/>
      <c r="S553" s="10"/>
      <c r="T553" s="10"/>
      <c r="U553" s="10"/>
      <c r="V553" s="10"/>
      <c r="W553" s="10"/>
      <c r="X553" s="10"/>
      <c r="Y553" s="10"/>
      <c r="Z553" s="10"/>
    </row>
    <row r="554" spans="1:26" ht="12.75">
      <c r="A554" s="10" t="str">
        <f ca="1">IFERROR(__xludf.DUMMYFUNCTION("""COMPUTED_VALUE"""),"Борис Благовестов Шишков")</f>
        <v>Борис Благовестов Шишков</v>
      </c>
      <c r="B554" s="10" t="str">
        <f ca="1">IFERROR(__xludf.DUMMYFUNCTION("""COMPUTED_VALUE"""),"Доклад от конференция")</f>
        <v>Доклад от конференция</v>
      </c>
      <c r="C554" s="10" t="str">
        <f ca="1">IFERROR(__xludf.DUMMYFUNCTION("""COMPUTED_VALUE"""),"Enforcing Context-Awareness and Privacy-by-Design in the Specification of Information Systems")</f>
        <v>Enforcing Context-Awareness and Privacy-by-Design in the Specification of Information Systems</v>
      </c>
      <c r="D554" s="10">
        <f ca="1">IFERROR(__xludf.DUMMYFUNCTION("""COMPUTED_VALUE"""),2018)</f>
        <v>2018</v>
      </c>
      <c r="E554" s="10" t="str">
        <f ca="1">IFERROR(__xludf.DUMMYFUNCTION("""COMPUTED_VALUE"""),"ISBN: 978-3-319-78427-4 DOI: https://doi.org/10.1007/978-3-319-78428-1_5")</f>
        <v>ISBN: 978-3-319-78427-4 DOI: https://doi.org/10.1007/978-3-319-78428-1_5</v>
      </c>
      <c r="F554" s="10" t="str">
        <f ca="1">IFERROR(__xludf.DUMMYFUNCTION("""COMPUTED_VALUE"""),"SCOPUS, Web of Science, DBLP")</f>
        <v>SCOPUS, Web of Science, DBLP</v>
      </c>
      <c r="G554" s="10" t="str">
        <f ca="1">IFERROR(__xludf.DUMMYFUNCTION("""COMPUTED_VALUE"""),"Marijn Janssen")</f>
        <v>Marijn Janssen</v>
      </c>
      <c r="H554" s="10"/>
      <c r="I554" s="10"/>
      <c r="J554" s="10"/>
      <c r="K554" s="10"/>
      <c r="L554" s="10"/>
      <c r="M554" s="10"/>
      <c r="N554" s="10"/>
      <c r="O554" s="10"/>
      <c r="P554" s="10"/>
      <c r="Q554" s="10"/>
      <c r="R554" s="10"/>
      <c r="S554" s="10"/>
      <c r="T554" s="10"/>
      <c r="U554" s="10"/>
      <c r="V554" s="10"/>
      <c r="W554" s="10"/>
      <c r="X554" s="10"/>
      <c r="Y554" s="10"/>
      <c r="Z554" s="10"/>
    </row>
    <row r="555" spans="1:26" ht="12.75">
      <c r="A555" s="10" t="str">
        <f ca="1">IFERROR(__xludf.DUMMYFUNCTION("""COMPUTED_VALUE"""),"Борис Благовестов Шишков")</f>
        <v>Борис Благовестов Шишков</v>
      </c>
      <c r="B555" s="10" t="str">
        <f ca="1">IFERROR(__xludf.DUMMYFUNCTION("""COMPUTED_VALUE"""),"Доклад от конференция")</f>
        <v>Доклад от конференция</v>
      </c>
      <c r="C555" s="10" t="str">
        <f ca="1">IFERROR(__xludf.DUMMYFUNCTION("""COMPUTED_VALUE"""),"Vehicle Navigation in Urban Environments: Overcoming GPS Shadows")</f>
        <v>Vehicle Navigation in Urban Environments: Overcoming GPS Shadows</v>
      </c>
      <c r="D555" s="10">
        <f ca="1">IFERROR(__xludf.DUMMYFUNCTION("""COMPUTED_VALUE"""),2018)</f>
        <v>2018</v>
      </c>
      <c r="E555" s="10" t="str">
        <f ca="1">IFERROR(__xludf.DUMMYFUNCTION("""COMPUTED_VALUE"""),"ACM ICTRS 2018 – the 7th International Conference on Telecommunications and Remote Sensing ISBN: 978-1-4503-6580-2 DOI: https://doi.org/10.1145/3278161.3278175")</f>
        <v>ACM ICTRS 2018 – the 7th International Conference on Telecommunications and Remote Sensing ISBN: 978-1-4503-6580-2 DOI: https://doi.org/10.1145/3278161.3278175</v>
      </c>
      <c r="F555" s="10" t="str">
        <f ca="1">IFERROR(__xludf.DUMMYFUNCTION("""COMPUTED_VALUE"""),"SCOPUS")</f>
        <v>SCOPUS</v>
      </c>
      <c r="G555" s="10" t="str">
        <f ca="1">IFERROR(__xludf.DUMMYFUNCTION("""COMPUTED_VALUE"""),"Ivan Garvanov, Christo Kabakchiev, Magdalena Garvanova")</f>
        <v>Ivan Garvanov, Christo Kabakchiev, Magdalena Garvanova</v>
      </c>
      <c r="H555" s="10"/>
      <c r="I555" s="10"/>
      <c r="J555" s="10"/>
      <c r="K555" s="10"/>
      <c r="L555" s="10"/>
      <c r="M555" s="10"/>
      <c r="N555" s="10"/>
      <c r="O555" s="10"/>
      <c r="P555" s="10"/>
      <c r="Q555" s="10"/>
      <c r="R555" s="10"/>
      <c r="S555" s="10"/>
      <c r="T555" s="10"/>
      <c r="U555" s="10"/>
      <c r="V555" s="10"/>
      <c r="W555" s="10"/>
      <c r="X555" s="10"/>
      <c r="Y555" s="10"/>
      <c r="Z555" s="10"/>
    </row>
    <row r="556" spans="1:26" ht="12.75">
      <c r="A556" s="10" t="str">
        <f ca="1">IFERROR(__xludf.DUMMYFUNCTION("""COMPUTED_VALUE"""),"Борис Благовестов Шишков")</f>
        <v>Борис Благовестов Шишков</v>
      </c>
      <c r="B556" s="10" t="str">
        <f ca="1">IFERROR(__xludf.DUMMYFUNCTION("""COMPUTED_VALUE"""),"Доклад от конференция")</f>
        <v>Доклад от конференция</v>
      </c>
      <c r="C556" s="10" t="str">
        <f ca="1">IFERROR(__xludf.DUMMYFUNCTION("""COMPUTED_VALUE"""),"Mobile Devices: Effect on Human Health")</f>
        <v>Mobile Devices: Effect on Human Health</v>
      </c>
      <c r="D556" s="10">
        <f ca="1">IFERROR(__xludf.DUMMYFUNCTION("""COMPUTED_VALUE"""),2018)</f>
        <v>2018</v>
      </c>
      <c r="E556" s="10" t="str">
        <f ca="1">IFERROR(__xludf.DUMMYFUNCTION("""COMPUTED_VALUE"""),"ACM ICTRS 2018 – the 7th International Conference on Telecommunications and Remote Sensing ISBN: 978-1-4503-6580-2 DOI: https://doi.org/10.1145/3278161.3278176")</f>
        <v>ACM ICTRS 2018 – the 7th International Conference on Telecommunications and Remote Sensing ISBN: 978-1-4503-6580-2 DOI: https://doi.org/10.1145/3278161.3278176</v>
      </c>
      <c r="F556" s="10" t="str">
        <f ca="1">IFERROR(__xludf.DUMMYFUNCTION("""COMPUTED_VALUE"""),"SCOPUS")</f>
        <v>SCOPUS</v>
      </c>
      <c r="G556" s="10" t="str">
        <f ca="1">IFERROR(__xludf.DUMMYFUNCTION("""COMPUTED_VALUE"""),"Magdalena Garvanova, Stoyan Vladimirov")</f>
        <v>Magdalena Garvanova, Stoyan Vladimirov</v>
      </c>
      <c r="H556" s="10"/>
      <c r="I556" s="10"/>
      <c r="J556" s="10"/>
      <c r="K556" s="10"/>
      <c r="L556" s="10"/>
      <c r="M556" s="10"/>
      <c r="N556" s="10"/>
      <c r="O556" s="10"/>
      <c r="P556" s="10"/>
      <c r="Q556" s="10"/>
      <c r="R556" s="10"/>
      <c r="S556" s="10"/>
      <c r="T556" s="10"/>
      <c r="U556" s="10"/>
      <c r="V556" s="10"/>
      <c r="W556" s="10"/>
      <c r="X556" s="10"/>
      <c r="Y556" s="10"/>
      <c r="Z556" s="10"/>
    </row>
    <row r="557" spans="1:26" ht="12.75">
      <c r="A557" s="10" t="str">
        <f ca="1">IFERROR(__xludf.DUMMYFUNCTION("""COMPUTED_VALUE"""),"Борис Благовестов Шишков")</f>
        <v>Борис Благовестов Шишков</v>
      </c>
      <c r="B557" s="10" t="str">
        <f ca="1">IFERROR(__xludf.DUMMYFUNCTION("""COMPUTED_VALUE"""),"Доклад от конференция")</f>
        <v>Доклад от конференция</v>
      </c>
      <c r="C557" s="10" t="str">
        <f ca="1">IFERROR(__xludf.DUMMYFUNCTION("""COMPUTED_VALUE"""),"Composite Public Values and Software Specifications")</f>
        <v>Composite Public Values and Software Specifications</v>
      </c>
      <c r="D557" s="10">
        <f ca="1">IFERROR(__xludf.DUMMYFUNCTION("""COMPUTED_VALUE"""),2018)</f>
        <v>2018</v>
      </c>
      <c r="E557" s="10" t="str">
        <f ca="1">IFERROR(__xludf.DUMMYFUNCTION("""COMPUTED_VALUE"""),"Springer ISBN: 978-3-319-94213-1 ISSN: 1865-1348 DOI: https://doi.org/10.1007/978-3-319-94214-8_32")</f>
        <v>Springer ISBN: 978-3-319-94213-1 ISSN: 1865-1348 DOI: https://doi.org/10.1007/978-3-319-94214-8_32</v>
      </c>
      <c r="F557" s="10" t="str">
        <f ca="1">IFERROR(__xludf.DUMMYFUNCTION("""COMPUTED_VALUE"""),"SCOPUS, Web of Science, DBLP")</f>
        <v>SCOPUS, Web of Science, DBLP</v>
      </c>
      <c r="G557" s="10" t="str">
        <f ca="1">IFERROR(__xludf.DUMMYFUNCTION("""COMPUTED_VALUE"""),"Magdalena Garvanova, Marijn Janssen")</f>
        <v>Magdalena Garvanova, Marijn Janssen</v>
      </c>
      <c r="H557" s="10"/>
      <c r="I557" s="10"/>
      <c r="J557" s="10"/>
      <c r="K557" s="10"/>
      <c r="L557" s="10"/>
      <c r="M557" s="10"/>
      <c r="N557" s="10"/>
      <c r="O557" s="10"/>
      <c r="P557" s="10"/>
      <c r="Q557" s="10"/>
      <c r="R557" s="10"/>
      <c r="S557" s="10"/>
      <c r="T557" s="10"/>
      <c r="U557" s="10"/>
      <c r="V557" s="10"/>
      <c r="W557" s="10"/>
      <c r="X557" s="10"/>
      <c r="Y557" s="10"/>
      <c r="Z557" s="10"/>
    </row>
    <row r="558" spans="1:26" ht="12.75">
      <c r="A558" s="10" t="str">
        <f ca="1">IFERROR(__xludf.DUMMYFUNCTION("""COMPUTED_VALUE"""),"Борис Благовестов Шишков")</f>
        <v>Борис Благовестов Шишков</v>
      </c>
      <c r="B558" s="10" t="str">
        <f ca="1">IFERROR(__xludf.DUMMYFUNCTION("""COMPUTED_VALUE"""),"Доклад от конференция")</f>
        <v>Доклад от конференция</v>
      </c>
      <c r="C558" s="10" t="str">
        <f ca="1">IFERROR(__xludf.DUMMYFUNCTION("""COMPUTED_VALUE"""),"Preface")</f>
        <v>Preface</v>
      </c>
      <c r="D558" s="10">
        <f ca="1">IFERROR(__xludf.DUMMYFUNCTION("""COMPUTED_VALUE"""),2017)</f>
        <v>2017</v>
      </c>
      <c r="E558" s="10" t="str">
        <f ca="1">IFERROR(__xludf.DUMMYFUNCTION("""COMPUTED_VALUE"""),"Springer Revised Selected Papers – BMSD 2016 ISSN: 1865-1348 ISBN: 978-3-319-57221-5")</f>
        <v>Springer Revised Selected Papers – BMSD 2016 ISSN: 1865-1348 ISBN: 978-3-319-57221-5</v>
      </c>
      <c r="F558" s="10" t="str">
        <f ca="1">IFERROR(__xludf.DUMMYFUNCTION("""COMPUTED_VALUE"""),"SCOPUS, Web of Science, DBLP")</f>
        <v>SCOPUS, Web of Science, DBLP</v>
      </c>
      <c r="G558" s="10"/>
      <c r="H558" s="10"/>
      <c r="I558" s="10"/>
      <c r="J558" s="10"/>
      <c r="K558" s="10"/>
      <c r="L558" s="10"/>
      <c r="M558" s="10"/>
      <c r="N558" s="10"/>
      <c r="O558" s="10"/>
      <c r="P558" s="10"/>
      <c r="Q558" s="10"/>
      <c r="R558" s="10"/>
      <c r="S558" s="10"/>
      <c r="T558" s="10"/>
      <c r="U558" s="10"/>
      <c r="V558" s="10"/>
      <c r="W558" s="10"/>
      <c r="X558" s="10"/>
      <c r="Y558" s="10"/>
      <c r="Z558" s="10"/>
    </row>
    <row r="559" spans="1:26" ht="12.75">
      <c r="A559" s="10" t="str">
        <f ca="1">IFERROR(__xludf.DUMMYFUNCTION("""COMPUTED_VALUE"""),"Борис Благовестов Шишков")</f>
        <v>Борис Благовестов Шишков</v>
      </c>
      <c r="B559" s="10" t="str">
        <f ca="1">IFERROR(__xludf.DUMMYFUNCTION("""COMPUTED_VALUE"""),"Доклад от конференция")</f>
        <v>Доклад от конференция</v>
      </c>
      <c r="C559" s="10" t="str">
        <f ca="1">IFERROR(__xludf.DUMMYFUNCTION("""COMPUTED_VALUE"""),"Usability Assessment of Drone Technology With Regard to Land Border Security")</f>
        <v>Usability Assessment of Drone Technology With Regard to Land Border Security</v>
      </c>
      <c r="D559" s="10">
        <f ca="1">IFERROR(__xludf.DUMMYFUNCTION("""COMPUTED_VALUE"""),2017)</f>
        <v>2017</v>
      </c>
      <c r="E559" s="10" t="str">
        <f ca="1">IFERROR(__xludf.DUMMYFUNCTION("""COMPUTED_VALUE"""),"SCITEPRESS Proceedings of the Seventh International Symposium on Business Modeling and Software Design – BMSD 2017 ISBN:978-989-758-238-7 DOI:10.5220/0006529200000000")</f>
        <v>SCITEPRESS Proceedings of the Seventh International Symposium on Business Modeling and Software Design – BMSD 2017 ISBN:978-989-758-238-7 DOI:10.5220/0006529200000000</v>
      </c>
      <c r="F559" s="10" t="str">
        <f ca="1">IFERROR(__xludf.DUMMYFUNCTION("""COMPUTED_VALUE"""),"SCOPUS")</f>
        <v>SCOPUS</v>
      </c>
      <c r="G559" s="10" t="str">
        <f ca="1">IFERROR(__xludf.DUMMYFUNCTION("""COMPUTED_VALUE"""),"Stefan Hristozov")</f>
        <v>Stefan Hristozov</v>
      </c>
      <c r="H559" s="10"/>
      <c r="I559" s="10"/>
      <c r="J559" s="10"/>
      <c r="K559" s="10"/>
      <c r="L559" s="10"/>
      <c r="M559" s="10"/>
      <c r="N559" s="10"/>
      <c r="O559" s="10"/>
      <c r="P559" s="10"/>
      <c r="Q559" s="10"/>
      <c r="R559" s="10"/>
      <c r="S559" s="10"/>
      <c r="T559" s="10"/>
      <c r="U559" s="10"/>
      <c r="V559" s="10"/>
      <c r="W559" s="10"/>
      <c r="X559" s="10"/>
      <c r="Y559" s="10"/>
      <c r="Z559" s="10"/>
    </row>
    <row r="560" spans="1:26" ht="12.75">
      <c r="A560" s="10" t="str">
        <f ca="1">IFERROR(__xludf.DUMMYFUNCTION("""COMPUTED_VALUE"""),"Борис Благовестов Шишков")</f>
        <v>Борис Благовестов Шишков</v>
      </c>
      <c r="B560" s="10" t="str">
        <f ca="1">IFERROR(__xludf.DUMMYFUNCTION("""COMPUTED_VALUE"""),"Доклад от конференция")</f>
        <v>Доклад от конференция</v>
      </c>
      <c r="C560" s="10" t="str">
        <f ca="1">IFERROR(__xludf.DUMMYFUNCTION("""COMPUTED_VALUE"""),"Drones in Land Border Missions: Benefits and Accountability Concerns")</f>
        <v>Drones in Land Border Missions: Benefits and Accountability Concerns</v>
      </c>
      <c r="D560" s="10">
        <f ca="1">IFERROR(__xludf.DUMMYFUNCTION("""COMPUTED_VALUE"""),2017)</f>
        <v>2017</v>
      </c>
      <c r="E560" s="10" t="str">
        <f ca="1">IFERROR(__xludf.DUMMYFUNCTION("""COMPUTED_VALUE"""),"ACM ICTRS 2017 – the 6th International Conference on Telecommunications and Remote Sensing ISBN: 978-1-4503-6364-8 DOI: https://doi.org/10.1145/3152808.3152820")</f>
        <v>ACM ICTRS 2017 – the 6th International Conference on Telecommunications and Remote Sensing ISBN: 978-1-4503-6364-8 DOI: https://doi.org/10.1145/3152808.3152820</v>
      </c>
      <c r="F560" s="10" t="str">
        <f ca="1">IFERROR(__xludf.DUMMYFUNCTION("""COMPUTED_VALUE"""),"SCOPUS")</f>
        <v>SCOPUS</v>
      </c>
      <c r="G560" s="10" t="str">
        <f ca="1">IFERROR(__xludf.DUMMYFUNCTION("""COMPUTED_VALUE"""),"Stefan Hristozov, Marijn Janssen, Jeroen van den Hoven")</f>
        <v>Stefan Hristozov, Marijn Janssen, Jeroen van den Hoven</v>
      </c>
      <c r="H560" s="10"/>
      <c r="I560" s="10"/>
      <c r="J560" s="10"/>
      <c r="K560" s="10"/>
      <c r="L560" s="10"/>
      <c r="M560" s="10"/>
      <c r="N560" s="10"/>
      <c r="O560" s="10"/>
      <c r="P560" s="10"/>
      <c r="Q560" s="10"/>
      <c r="R560" s="10"/>
      <c r="S560" s="10"/>
      <c r="T560" s="10"/>
      <c r="U560" s="10"/>
      <c r="V560" s="10"/>
      <c r="W560" s="10"/>
      <c r="X560" s="10"/>
      <c r="Y560" s="10"/>
      <c r="Z560" s="10"/>
    </row>
    <row r="561" spans="1:26" ht="12.75">
      <c r="A561" s="10" t="str">
        <f ca="1">IFERROR(__xludf.DUMMYFUNCTION("""COMPUTED_VALUE"""),"Борис Благовестов Шишков")</f>
        <v>Борис Благовестов Шишков</v>
      </c>
      <c r="B561" s="10" t="str">
        <f ca="1">IFERROR(__xludf.DUMMYFUNCTION("""COMPUTED_VALUE"""),"Монография")</f>
        <v>Монография</v>
      </c>
      <c r="C561" s="10" t="str">
        <f ca="1">IFERROR(__xludf.DUMMYFUNCTION("""COMPUTED_VALUE"""),"Enterprise Information Systems, A Modeling Approach")</f>
        <v>Enterprise Information Systems, A Modeling Approach</v>
      </c>
      <c r="D561" s="10">
        <f ca="1">IFERROR(__xludf.DUMMYFUNCTION("""COMPUTED_VALUE"""),2017)</f>
        <v>2017</v>
      </c>
      <c r="E561" s="10" t="str">
        <f ca="1">IFERROR(__xludf.DUMMYFUNCTION("""COMPUTED_VALUE"""),"IICREST ISBN: 978-619-90124-3-7")</f>
        <v>IICREST ISBN: 978-619-90124-3-7</v>
      </c>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c r="A562" s="10" t="str">
        <f ca="1">IFERROR(__xludf.DUMMYFUNCTION("""COMPUTED_VALUE"""),"Борис Благовестов Шишков")</f>
        <v>Борис Благовестов Шишков</v>
      </c>
      <c r="B562" s="10" t="str">
        <f ca="1">IFERROR(__xludf.DUMMYFUNCTION("""COMPUTED_VALUE"""),"Доклад от конференция")</f>
        <v>Доклад от конференция</v>
      </c>
      <c r="C562" s="10" t="str">
        <f ca="1">IFERROR(__xludf.DUMMYFUNCTION("""COMPUTED_VALUE"""),"Towards Context-Aware and Privacy-Sensitive Systems")</f>
        <v>Towards Context-Aware and Privacy-Sensitive Systems</v>
      </c>
      <c r="D562" s="10">
        <f ca="1">IFERROR(__xludf.DUMMYFUNCTION("""COMPUTED_VALUE"""),2017)</f>
        <v>2017</v>
      </c>
      <c r="E562" s="10" t="str">
        <f ca="1">IFERROR(__xludf.DUMMYFUNCTION("""COMPUTED_VALUE"""),"SCITEPRESS Proceedings of the Seventh International Symposium on Business Modeling and Software Design – BMSD 2017 ISBN:978-989-758-238-7 DOI:10.5220/0006527400000000")</f>
        <v>SCITEPRESS Proceedings of the Seventh International Symposium on Business Modeling and Software Design – BMSD 2017 ISBN:978-989-758-238-7 DOI:10.5220/0006527400000000</v>
      </c>
      <c r="F562" s="10" t="str">
        <f ca="1">IFERROR(__xludf.DUMMYFUNCTION("""COMPUTED_VALUE"""),"SCOPUS")</f>
        <v>SCOPUS</v>
      </c>
      <c r="G562" s="10" t="str">
        <f ca="1">IFERROR(__xludf.DUMMYFUNCTION("""COMPUTED_VALUE"""),"Marijn Janssen, Yi Yin")</f>
        <v>Marijn Janssen, Yi Yin</v>
      </c>
      <c r="H562" s="10"/>
      <c r="I562" s="10"/>
      <c r="J562" s="10"/>
      <c r="K562" s="10"/>
      <c r="L562" s="10"/>
      <c r="M562" s="10"/>
      <c r="N562" s="10"/>
      <c r="O562" s="10"/>
      <c r="P562" s="10"/>
      <c r="Q562" s="10"/>
      <c r="R562" s="10"/>
      <c r="S562" s="10"/>
      <c r="T562" s="10"/>
      <c r="U562" s="10"/>
      <c r="V562" s="10"/>
      <c r="W562" s="10"/>
      <c r="X562" s="10"/>
      <c r="Y562" s="10"/>
      <c r="Z562" s="10"/>
    </row>
    <row r="563" spans="1:26" ht="12.75">
      <c r="A563" s="10" t="str">
        <f ca="1">IFERROR(__xludf.DUMMYFUNCTION("""COMPUTED_VALUE"""),"Борис Благовестов Шишков")</f>
        <v>Борис Благовестов Шишков</v>
      </c>
      <c r="B563" s="10" t="str">
        <f ca="1">IFERROR(__xludf.DUMMYFUNCTION("""COMPUTED_VALUE"""),"Доклад от конференция")</f>
        <v>Доклад от конференция</v>
      </c>
      <c r="C563" s="10" t="str">
        <f ca="1">IFERROR(__xludf.DUMMYFUNCTION("""COMPUTED_VALUE"""),"Preface")</f>
        <v>Preface</v>
      </c>
      <c r="D563" s="10">
        <f ca="1">IFERROR(__xludf.DUMMYFUNCTION("""COMPUTED_VALUE"""),2016)</f>
        <v>2016</v>
      </c>
      <c r="E563" s="10" t="str">
        <f ca="1">IFERROR(__xludf.DUMMYFUNCTION("""COMPUTED_VALUE"""),"Springer Revised Selected Papers – BMSD 2015 ISSN: 1865-1348 ISBN: 978-3-319-40511-7")</f>
        <v>Springer Revised Selected Papers – BMSD 2015 ISSN: 1865-1348 ISBN: 978-3-319-40511-7</v>
      </c>
      <c r="F563" s="10" t="str">
        <f ca="1">IFERROR(__xludf.DUMMYFUNCTION("""COMPUTED_VALUE"""),"SCOPUS, Web of Science, DBLP")</f>
        <v>SCOPUS, Web of Science, DBLP</v>
      </c>
      <c r="G563" s="10"/>
      <c r="H563" s="10"/>
      <c r="I563" s="10"/>
      <c r="J563" s="10"/>
      <c r="K563" s="10"/>
      <c r="L563" s="10"/>
      <c r="M563" s="10"/>
      <c r="N563" s="10"/>
      <c r="O563" s="10"/>
      <c r="P563" s="10"/>
      <c r="Q563" s="10"/>
      <c r="R563" s="10"/>
      <c r="S563" s="10"/>
      <c r="T563" s="10"/>
      <c r="U563" s="10"/>
      <c r="V563" s="10"/>
      <c r="W563" s="10"/>
      <c r="X563" s="10"/>
      <c r="Y563" s="10"/>
      <c r="Z563" s="10"/>
    </row>
    <row r="564" spans="1:26" ht="12.75">
      <c r="A564" s="10" t="str">
        <f ca="1">IFERROR(__xludf.DUMMYFUNCTION("""COMPUTED_VALUE"""),"Борис Благовестов Шишков")</f>
        <v>Борис Благовестов Шишков</v>
      </c>
      <c r="B564" s="10" t="str">
        <f ca="1">IFERROR(__xludf.DUMMYFUNCTION("""COMPUTED_VALUE"""),"Доклад от конференция")</f>
        <v>Доклад от конференция</v>
      </c>
      <c r="C564" s="10" t="str">
        <f ca="1">IFERROR(__xludf.DUMMYFUNCTION("""COMPUTED_VALUE"""),"Digitization of Cultural Heritage – A Service-Oriented Approach")</f>
        <v>Digitization of Cultural Heritage – A Service-Oriented Approach</v>
      </c>
      <c r="D564" s="10">
        <f ca="1">IFERROR(__xludf.DUMMYFUNCTION("""COMPUTED_VALUE"""),2016)</f>
        <v>2016</v>
      </c>
      <c r="E564" s="10" t="str">
        <f ca="1">IFERROR(__xludf.DUMMYFUNCTION("""COMPUTED_VALUE"""),"Institute of Mathematics and Informatics-BAS Proceedings of DiPP 2016 – the 6th Int. Conf. on Digital Presentation and Preservation of Cultural and Scientific Heritage ISSN: 1314-4006, 2936")</f>
        <v>Institute of Mathematics and Informatics-BAS Proceedings of DiPP 2016 – the 6th Int. Conf. on Digital Presentation and Preservation of Cultural and Scientific Heritage ISSN: 1314-4006, 2936</v>
      </c>
      <c r="F564" s="10"/>
      <c r="G564" s="10"/>
      <c r="H564" s="10"/>
      <c r="I564" s="10"/>
      <c r="J564" s="10"/>
      <c r="K564" s="10"/>
      <c r="L564" s="10"/>
      <c r="M564" s="10"/>
      <c r="N564" s="10"/>
      <c r="O564" s="10"/>
      <c r="P564" s="10"/>
      <c r="Q564" s="10"/>
      <c r="R564" s="10"/>
      <c r="S564" s="10"/>
      <c r="T564" s="10"/>
      <c r="U564" s="10"/>
      <c r="V564" s="10"/>
      <c r="W564" s="10"/>
      <c r="X564" s="10"/>
      <c r="Y564" s="10"/>
      <c r="Z564" s="10"/>
    </row>
    <row r="565" spans="1:26" ht="12.75">
      <c r="A565" s="10" t="str">
        <f ca="1">IFERROR(__xludf.DUMMYFUNCTION("""COMPUTED_VALUE"""),"Борис Благовестов Шишков")</f>
        <v>Борис Благовестов Шишков</v>
      </c>
      <c r="B565" s="10" t="str">
        <f ca="1">IFERROR(__xludf.DUMMYFUNCTION("""COMPUTED_VALUE"""),"Доклад от конференция")</f>
        <v>Доклад от конференция</v>
      </c>
      <c r="C565" s="10" t="str">
        <f ca="1">IFERROR(__xludf.DUMMYFUNCTION("""COMPUTED_VALUE"""),"Towards a Service-Oriented Architecture for eVoting")</f>
        <v>Towards a Service-Oriented Architecture for eVoting</v>
      </c>
      <c r="D565" s="10">
        <f ca="1">IFERROR(__xludf.DUMMYFUNCTION("""COMPUTED_VALUE"""),2016)</f>
        <v>2016</v>
      </c>
      <c r="E565" s="10" t="str">
        <f ca="1">IFERROR(__xludf.DUMMYFUNCTION("""COMPUTED_VALUE"""),"SCITEPRESS Proceedings of BMSD 2016 – the 6th International Symposium on Business Modeling and Software Design ISBN:978-989-758-190-8 DOI:10.5220/0006223601870195")</f>
        <v>SCITEPRESS Proceedings of BMSD 2016 – the 6th International Symposium on Business Modeling and Software Design ISBN:978-989-758-190-8 DOI:10.5220/0006223601870195</v>
      </c>
      <c r="F565" s="10" t="str">
        <f ca="1">IFERROR(__xludf.DUMMYFUNCTION("""COMPUTED_VALUE"""),"SCOPUS")</f>
        <v>SCOPUS</v>
      </c>
      <c r="G565" s="10" t="str">
        <f ca="1">IFERROR(__xludf.DUMMYFUNCTION("""COMPUTED_VALUE"""),"Marijn Janssen")</f>
        <v>Marijn Janssen</v>
      </c>
      <c r="H565" s="10"/>
      <c r="I565" s="10"/>
      <c r="J565" s="10"/>
      <c r="K565" s="10"/>
      <c r="L565" s="10"/>
      <c r="M565" s="10"/>
      <c r="N565" s="10"/>
      <c r="O565" s="10"/>
      <c r="P565" s="10"/>
      <c r="Q565" s="10"/>
      <c r="R565" s="10"/>
      <c r="S565" s="10"/>
      <c r="T565" s="10"/>
      <c r="U565" s="10"/>
      <c r="V565" s="10"/>
      <c r="W565" s="10"/>
      <c r="X565" s="10"/>
      <c r="Y565" s="10"/>
      <c r="Z565" s="10"/>
    </row>
    <row r="566" spans="1:26" ht="12.75">
      <c r="A566" s="10" t="str">
        <f ca="1">IFERROR(__xludf.DUMMYFUNCTION("""COMPUTED_VALUE"""),"Борис Благовестов Шишков")</f>
        <v>Борис Благовестов Шишков</v>
      </c>
      <c r="B566" s="10" t="str">
        <f ca="1">IFERROR(__xludf.DUMMYFUNCTION("""COMPUTED_VALUE"""),"Доклад от конференция")</f>
        <v>Доклад от конференция</v>
      </c>
      <c r="C566" s="10" t="str">
        <f ca="1">IFERROR(__xludf.DUMMYFUNCTION("""COMPUTED_VALUE"""),"Towards Context-aware Border Security Control")</f>
        <v>Towards Context-aware Border Security Control</v>
      </c>
      <c r="D566" s="10">
        <f ca="1">IFERROR(__xludf.DUMMYFUNCTION("""COMPUTED_VALUE"""),2016)</f>
        <v>2016</v>
      </c>
      <c r="E566" s="10" t="str">
        <f ca="1">IFERROR(__xludf.DUMMYFUNCTION("""COMPUTED_VALUE"""),"SCITEPRESS Proceedings of BMSD 2016 – the 6th International Symposium on Business Modeling and Software Design ISBN:978-989-758-190-8 DOI:10.5220/0006223802070212")</f>
        <v>SCITEPRESS Proceedings of BMSD 2016 – the 6th International Symposium on Business Modeling and Software Design ISBN:978-989-758-190-8 DOI:10.5220/0006223802070212</v>
      </c>
      <c r="F566" s="10" t="str">
        <f ca="1">IFERROR(__xludf.DUMMYFUNCTION("""COMPUTED_VALUE"""),"SCOPUS")</f>
        <v>SCOPUS</v>
      </c>
      <c r="G566" s="10" t="str">
        <f ca="1">IFERROR(__xludf.DUMMYFUNCTION("""COMPUTED_VALUE"""),"Dimitris Mitrakos")</f>
        <v>Dimitris Mitrakos</v>
      </c>
      <c r="H566" s="10"/>
      <c r="I566" s="10"/>
      <c r="J566" s="10"/>
      <c r="K566" s="10"/>
      <c r="L566" s="10"/>
      <c r="M566" s="10"/>
      <c r="N566" s="10"/>
      <c r="O566" s="10"/>
      <c r="P566" s="10"/>
      <c r="Q566" s="10"/>
      <c r="R566" s="10"/>
      <c r="S566" s="10"/>
      <c r="T566" s="10"/>
      <c r="U566" s="10"/>
      <c r="V566" s="10"/>
      <c r="W566" s="10"/>
      <c r="X566" s="10"/>
      <c r="Y566" s="10"/>
      <c r="Z566" s="10"/>
    </row>
    <row r="567" spans="1:26" ht="12.75">
      <c r="A567" s="10" t="str">
        <f ca="1">IFERROR(__xludf.DUMMYFUNCTION("""COMPUTED_VALUE"""),"Борис Благовестов Шишков")</f>
        <v>Борис Благовестов Шишков</v>
      </c>
      <c r="B567" s="10" t="str">
        <f ca="1">IFERROR(__xludf.DUMMYFUNCTION("""COMPUTED_VALUE"""),"Доклад от конференция")</f>
        <v>Доклад от конференция</v>
      </c>
      <c r="C567" s="10" t="str">
        <f ca="1">IFERROR(__xludf.DUMMYFUNCTION("""COMPUTED_VALUE"""),"Preface")</f>
        <v>Preface</v>
      </c>
      <c r="D567" s="10">
        <f ca="1">IFERROR(__xludf.DUMMYFUNCTION("""COMPUTED_VALUE"""),2015)</f>
        <v>2015</v>
      </c>
      <c r="E567" s="10" t="str">
        <f ca="1">IFERROR(__xludf.DUMMYFUNCTION("""COMPUTED_VALUE"""),"Springer Revised Selected Papers – BMSD 2014 ISSN: 1865-1348 ISBN: 978-3-319-20051-4")</f>
        <v>Springer Revised Selected Papers – BMSD 2014 ISSN: 1865-1348 ISBN: 978-3-319-20051-4</v>
      </c>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c r="A568" s="10" t="str">
        <f ca="1">IFERROR(__xludf.DUMMYFUNCTION("""COMPUTED_VALUE"""),"Борис Благовестов Шишков")</f>
        <v>Борис Благовестов Шишков</v>
      </c>
      <c r="B568" s="10" t="str">
        <f ca="1">IFERROR(__xludf.DUMMYFUNCTION("""COMPUTED_VALUE"""),"Доклад от конференция")</f>
        <v>Доклад от конференция</v>
      </c>
      <c r="C568" s="10" t="str">
        <f ca="1">IFERROR(__xludf.DUMMYFUNCTION("""COMPUTED_VALUE"""),"SDBC-Based Technology-Independent Functionality Models (Applications in Emergency Medical Response)")</f>
        <v>SDBC-Based Technology-Independent Functionality Models (Applications in Emergency Medical Response)</v>
      </c>
      <c r="D568" s="10">
        <f ca="1">IFERROR(__xludf.DUMMYFUNCTION("""COMPUTED_VALUE"""),2015)</f>
        <v>2015</v>
      </c>
      <c r="E568" s="10" t="str">
        <f ca="1">IFERROR(__xludf.DUMMYFUNCTION("""COMPUTED_VALUE"""),"ISBN: ISBN:978-954-8986-45-8")</f>
        <v>ISBN: ISBN:978-954-8986-45-8</v>
      </c>
      <c r="F568" s="10"/>
      <c r="G568" s="10"/>
      <c r="H568" s="10"/>
      <c r="I568" s="10"/>
      <c r="J568" s="10"/>
      <c r="K568" s="10"/>
      <c r="L568" s="10"/>
      <c r="M568" s="10"/>
      <c r="N568" s="10"/>
      <c r="O568" s="10"/>
      <c r="P568" s="10"/>
      <c r="Q568" s="10"/>
      <c r="R568" s="10"/>
      <c r="S568" s="10"/>
      <c r="T568" s="10"/>
      <c r="U568" s="10"/>
      <c r="V568" s="10"/>
      <c r="W568" s="10"/>
      <c r="X568" s="10"/>
      <c r="Y568" s="10"/>
      <c r="Z568" s="10"/>
    </row>
    <row r="569" spans="1:26" ht="12.75">
      <c r="A569" s="10" t="str">
        <f ca="1">IFERROR(__xludf.DUMMYFUNCTION("""COMPUTED_VALUE"""),"Борис Благовестов Шишков")</f>
        <v>Борис Благовестов Шишков</v>
      </c>
      <c r="B569" s="10" t="str">
        <f ca="1">IFERROR(__xludf.DUMMYFUNCTION("""COMPUTED_VALUE"""),"Доклад от конференция")</f>
        <v>Доклад от конференция</v>
      </c>
      <c r="C569" s="10" t="str">
        <f ca="1">IFERROR(__xludf.DUMMYFUNCTION("""COMPUTED_VALUE"""),"Preface")</f>
        <v>Preface</v>
      </c>
      <c r="D569" s="10">
        <f ca="1">IFERROR(__xludf.DUMMYFUNCTION("""COMPUTED_VALUE"""),2014)</f>
        <v>2014</v>
      </c>
      <c r="E569" s="10" t="str">
        <f ca="1">IFERROR(__xludf.DUMMYFUNCTION("""COMPUTED_VALUE"""),"Springer Revised Selected Papers – BMSD 2013 ISSN: 1865-1348 ISBN: 978-3-319-06670-7")</f>
        <v>Springer Revised Selected Papers – BMSD 2013 ISSN: 1865-1348 ISBN: 978-3-319-06670-7</v>
      </c>
      <c r="F569" s="10" t="str">
        <f ca="1">IFERROR(__xludf.DUMMYFUNCTION("""COMPUTED_VALUE"""),"SCOPUS, Web of Science, DBLP")</f>
        <v>SCOPUS, Web of Science, DBLP</v>
      </c>
      <c r="G569" s="10"/>
      <c r="H569" s="10"/>
      <c r="I569" s="10"/>
      <c r="J569" s="10"/>
      <c r="K569" s="10"/>
      <c r="L569" s="10"/>
      <c r="M569" s="10"/>
      <c r="N569" s="10"/>
      <c r="O569" s="10"/>
      <c r="P569" s="10"/>
      <c r="Q569" s="10"/>
      <c r="R569" s="10"/>
      <c r="S569" s="10"/>
      <c r="T569" s="10"/>
      <c r="U569" s="10"/>
      <c r="V569" s="10"/>
      <c r="W569" s="10"/>
      <c r="X569" s="10"/>
      <c r="Y569" s="10"/>
      <c r="Z569" s="10"/>
    </row>
    <row r="570" spans="1:26" ht="12.75">
      <c r="A570" s="10" t="str">
        <f ca="1">IFERROR(__xludf.DUMMYFUNCTION("""COMPUTED_VALUE"""),"Борис Благовестов Шишков")</f>
        <v>Борис Благовестов Шишков</v>
      </c>
      <c r="B570" s="10" t="str">
        <f ca="1">IFERROR(__xludf.DUMMYFUNCTION("""COMPUTED_VALUE"""),"Доклад от конференция")</f>
        <v>Доклад от конференция</v>
      </c>
      <c r="C570" s="10" t="str">
        <f ca="1">IFERROR(__xludf.DUMMYFUNCTION("""COMPUTED_VALUE"""),"Preface")</f>
        <v>Preface</v>
      </c>
      <c r="D570" s="10">
        <f ca="1">IFERROR(__xludf.DUMMYFUNCTION("""COMPUTED_VALUE"""),2013)</f>
        <v>2013</v>
      </c>
      <c r="E570" s="10" t="str">
        <f ca="1">IFERROR(__xludf.DUMMYFUNCTION("""COMPUTED_VALUE"""),"Springer Revised Selected Papers – BMSD 2012 ISSN: 1865-1348 ISBN: 978-3-642-37477-7")</f>
        <v>Springer Revised Selected Papers – BMSD 2012 ISSN: 1865-1348 ISBN: 978-3-642-37477-7</v>
      </c>
      <c r="F570" s="10" t="str">
        <f ca="1">IFERROR(__xludf.DUMMYFUNCTION("""COMPUTED_VALUE"""),"SCOPUS, Web of Science, DBLP")</f>
        <v>SCOPUS, Web of Science, DBLP</v>
      </c>
      <c r="G570" s="10"/>
      <c r="H570" s="10"/>
      <c r="I570" s="10"/>
      <c r="J570" s="10"/>
      <c r="K570" s="10"/>
      <c r="L570" s="10"/>
      <c r="M570" s="10"/>
      <c r="N570" s="10"/>
      <c r="O570" s="10"/>
      <c r="P570" s="10"/>
      <c r="Q570" s="10"/>
      <c r="R570" s="10"/>
      <c r="S570" s="10"/>
      <c r="T570" s="10"/>
      <c r="U570" s="10"/>
      <c r="V570" s="10"/>
      <c r="W570" s="10"/>
      <c r="X570" s="10"/>
      <c r="Y570" s="10"/>
      <c r="Z570" s="10"/>
    </row>
    <row r="571" spans="1:26" ht="12.75">
      <c r="A571" s="10" t="str">
        <f ca="1">IFERROR(__xludf.DUMMYFUNCTION("""COMPUTED_VALUE"""),"Борис Благовестов Шишков")</f>
        <v>Борис Благовестов Шишков</v>
      </c>
      <c r="B571" s="10" t="str">
        <f ca="1">IFERROR(__xludf.DUMMYFUNCTION("""COMPUTED_VALUE"""),"Доклад от конференция")</f>
        <v>Доклад от конференция</v>
      </c>
      <c r="C571" s="10" t="str">
        <f ca="1">IFERROR(__xludf.DUMMYFUNCTION("""COMPUTED_VALUE"""),"e-Business Challenges and Directions: Important Themes from the First ICE-B Workshop")</f>
        <v>e-Business Challenges and Directions: Important Themes from the First ICE-B Workshop</v>
      </c>
      <c r="D571" s="10">
        <f ca="1">IFERROR(__xludf.DUMMYFUNCTION("""COMPUTED_VALUE"""),2012)</f>
        <v>2012</v>
      </c>
      <c r="E571" s="10" t="str">
        <f ca="1">IFERROR(__xludf.DUMMYFUNCTION("""COMPUTED_VALUE"""),"Springer Revised Selected Papers from ICETE 2010 – the 7th Int. Joint Conf. on e-Business and Telecommunications ISBN:978-3-642-25205-1 DOI:10.1007/978-3-642-25206-8_1")</f>
        <v>Springer Revised Selected Papers from ICETE 2010 – the 7th Int. Joint Conf. on e-Business and Telecommunications ISBN:978-3-642-25205-1 DOI:10.1007/978-3-642-25206-8_1</v>
      </c>
      <c r="F571" s="10" t="str">
        <f ca="1">IFERROR(__xludf.DUMMYFUNCTION("""COMPUTED_VALUE"""),"SCOPUS, Web of Science, DBLP")</f>
        <v>SCOPUS, Web of Science, DBLP</v>
      </c>
      <c r="G571" s="10" t="str">
        <f ca="1">IFERROR(__xludf.DUMMYFUNCTION("""COMPUTED_VALUE"""),"David Marca, Rebecca Bulander, Cornelia Kruslin, Marten v. Sinderen")</f>
        <v>David Marca, Rebecca Bulander, Cornelia Kruslin, Marten v. Sinderen</v>
      </c>
      <c r="H571" s="10"/>
      <c r="I571" s="10"/>
      <c r="J571" s="10"/>
      <c r="K571" s="10"/>
      <c r="L571" s="10"/>
      <c r="M571" s="10"/>
      <c r="N571" s="10"/>
      <c r="O571" s="10"/>
      <c r="P571" s="10"/>
      <c r="Q571" s="10"/>
      <c r="R571" s="10"/>
      <c r="S571" s="10"/>
      <c r="T571" s="10"/>
      <c r="U571" s="10"/>
      <c r="V571" s="10"/>
      <c r="W571" s="10"/>
      <c r="X571" s="10"/>
      <c r="Y571" s="10"/>
      <c r="Z571" s="10"/>
    </row>
    <row r="572" spans="1:26" ht="12.75">
      <c r="A572" s="10" t="str">
        <f ca="1">IFERROR(__xludf.DUMMYFUNCTION("""COMPUTED_VALUE"""),"Борис Благовестов Шишков")</f>
        <v>Борис Благовестов Шишков</v>
      </c>
      <c r="B572" s="10" t="str">
        <f ca="1">IFERROR(__xludf.DUMMYFUNCTION("""COMPUTED_VALUE"""),"Доклад от конференция")</f>
        <v>Доклад от конференция</v>
      </c>
      <c r="C572" s="10" t="str">
        <f ca="1">IFERROR(__xludf.DUMMYFUNCTION("""COMPUTED_VALUE"""),"Business Models and Service Applications for Traffic Management")</f>
        <v>Business Models and Service Applications for Traffic Management</v>
      </c>
      <c r="D572" s="10">
        <f ca="1">IFERROR(__xludf.DUMMYFUNCTION("""COMPUTED_VALUE"""),2012)</f>
        <v>2012</v>
      </c>
      <c r="E572" s="10" t="str">
        <f ca="1">IFERROR(__xludf.DUMMYFUNCTION("""COMPUTED_VALUE"""),"SCITEPRESS Proceedings of BMSD 2012 – the 2nd International Symposium on Business Modeling and Software Design ISBN:978-989-8565-26-6 DOI:10.5220/0004462401650169")</f>
        <v>SCITEPRESS Proceedings of BMSD 2012 – the 2nd International Symposium on Business Modeling and Software Design ISBN:978-989-8565-26-6 DOI:10.5220/0004462401650169</v>
      </c>
      <c r="F572" s="10" t="str">
        <f ca="1">IFERROR(__xludf.DUMMYFUNCTION("""COMPUTED_VALUE"""),"SCOPUS")</f>
        <v>SCOPUS</v>
      </c>
      <c r="G572" s="10" t="str">
        <f ca="1">IFERROR(__xludf.DUMMYFUNCTION("""COMPUTED_VALUE"""),"Brahmananda Sapkota, Marten van Sinderen")</f>
        <v>Brahmananda Sapkota, Marten van Sinderen</v>
      </c>
      <c r="H572" s="10"/>
      <c r="I572" s="10"/>
      <c r="J572" s="10"/>
      <c r="K572" s="10"/>
      <c r="L572" s="10"/>
      <c r="M572" s="10"/>
      <c r="N572" s="10"/>
      <c r="O572" s="10"/>
      <c r="P572" s="10"/>
      <c r="Q572" s="10"/>
      <c r="R572" s="10"/>
      <c r="S572" s="10"/>
      <c r="T572" s="10"/>
      <c r="U572" s="10"/>
      <c r="V572" s="10"/>
      <c r="W572" s="10"/>
      <c r="X572" s="10"/>
      <c r="Y572" s="10"/>
      <c r="Z572" s="10"/>
    </row>
    <row r="573" spans="1:26" ht="12.75">
      <c r="A573" s="10" t="str">
        <f ca="1">IFERROR(__xludf.DUMMYFUNCTION("""COMPUTED_VALUE"""),"Борис Благовестов Шишков")</f>
        <v>Борис Благовестов Шишков</v>
      </c>
      <c r="B573" s="10" t="str">
        <f ca="1">IFERROR(__xludf.DUMMYFUNCTION("""COMPUTED_VALUE"""),"Доклад от конференция")</f>
        <v>Доклад от конференция</v>
      </c>
      <c r="C573" s="10" t="str">
        <f ca="1">IFERROR(__xludf.DUMMYFUNCTION("""COMPUTED_VALUE"""),"Preface")</f>
        <v>Preface</v>
      </c>
      <c r="D573" s="10">
        <f ca="1">IFERROR(__xludf.DUMMYFUNCTION("""COMPUTED_VALUE"""),2012)</f>
        <v>2012</v>
      </c>
      <c r="E573" s="10" t="str">
        <f ca="1">IFERROR(__xludf.DUMMYFUNCTION("""COMPUTED_VALUE"""),"Springer Revised Selected Papers – BMSD 2011 ISSN: 1865-1348 ISBN: 978-3-642-29787-8")</f>
        <v>Springer Revised Selected Papers – BMSD 2011 ISSN: 1865-1348 ISBN: 978-3-642-29787-8</v>
      </c>
      <c r="F573" s="10" t="str">
        <f ca="1">IFERROR(__xludf.DUMMYFUNCTION("""COMPUTED_VALUE"""),"SCOPUS, Web of Science, DBLP")</f>
        <v>SCOPUS, Web of Science, DBLP</v>
      </c>
      <c r="G573" s="10"/>
      <c r="H573" s="10"/>
      <c r="I573" s="10"/>
      <c r="J573" s="10"/>
      <c r="K573" s="10"/>
      <c r="L573" s="10"/>
      <c r="M573" s="10"/>
      <c r="N573" s="10"/>
      <c r="O573" s="10"/>
      <c r="P573" s="10"/>
      <c r="Q573" s="10"/>
      <c r="R573" s="10"/>
      <c r="S573" s="10"/>
      <c r="T573" s="10"/>
      <c r="U573" s="10"/>
      <c r="V573" s="10"/>
      <c r="W573" s="10"/>
      <c r="X573" s="10"/>
      <c r="Y573" s="10"/>
      <c r="Z573" s="10"/>
    </row>
    <row r="574" spans="1:26" ht="12.75">
      <c r="A574" s="10" t="str">
        <f ca="1">IFERROR(__xludf.DUMMYFUNCTION("""COMPUTED_VALUE"""),"Борис Благовестов Шишков")</f>
        <v>Борис Благовестов Шишков</v>
      </c>
      <c r="B574" s="10" t="str">
        <f ca="1">IFERROR(__xludf.DUMMYFUNCTION("""COMPUTED_VALUE"""),"Доклад от конференция")</f>
        <v>Доклад от конференция</v>
      </c>
      <c r="C574" s="10" t="str">
        <f ca="1">IFERROR(__xludf.DUMMYFUNCTION("""COMPUTED_VALUE"""),"Technology-Independent Functionality Models for Road Traffic Systems")</f>
        <v>Technology-Independent Functionality Models for Road Traffic Systems</v>
      </c>
      <c r="D574" s="10">
        <f ca="1">IFERROR(__xludf.DUMMYFUNCTION("""COMPUTED_VALUE"""),2011)</f>
        <v>2011</v>
      </c>
      <c r="E574" s="10" t="str">
        <f ca="1">IFERROR(__xludf.DUMMYFUNCTION("""COMPUTED_VALUE"""),"SCITEPRESS Proceedings of FIATS-M 2011 – the 1st Int. Workshop on Future Internet Applications for Traffic Surveillance and Management ISBN:978-989-8425-87-4 DOI:10.5220/0004472700030018")</f>
        <v>SCITEPRESS Proceedings of FIATS-M 2011 – the 1st Int. Workshop on Future Internet Applications for Traffic Surveillance and Management ISBN:978-989-8425-87-4 DOI:10.5220/0004472700030018</v>
      </c>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c r="A575" s="10" t="str">
        <f ca="1">IFERROR(__xludf.DUMMYFUNCTION("""COMPUTED_VALUE"""),"Борис Благовестов Шишков")</f>
        <v>Борис Благовестов Шишков</v>
      </c>
      <c r="B575" s="10" t="str">
        <f ca="1">IFERROR(__xludf.DUMMYFUNCTION("""COMPUTED_VALUE"""),"Доклад от конференция")</f>
        <v>Доклад от конференция</v>
      </c>
      <c r="C575" s="10" t="str">
        <f ca="1">IFERROR(__xludf.DUMMYFUNCTION("""COMPUTED_VALUE"""),"Methodological Support for the Design of Enterprise Information Systems with SDBS: Towards Distributed, Service-Oriented, and Context-Aware Solutions")</f>
        <v>Methodological Support for the Design of Enterprise Information Systems with SDBS: Towards Distributed, Service-Oriented, and Context-Aware Solutions</v>
      </c>
      <c r="D575" s="10">
        <f ca="1">IFERROR(__xludf.DUMMYFUNCTION("""COMPUTED_VALUE"""),2010)</f>
        <v>2010</v>
      </c>
      <c r="E575" s="10" t="str">
        <f ca="1">IFERROR(__xludf.DUMMYFUNCTION("""COMPUTED_VALUE"""),"SCITEPRESS Proceedings of I-WEST 2010 – the 4th International Workshop on Enterprise Systems and Technology ISBN:978-989-8425-44-7 DOI:10.5220/0004465300360050")</f>
        <v>SCITEPRESS Proceedings of I-WEST 2010 – the 4th International Workshop on Enterprise Systems and Technology ISBN:978-989-8425-44-7 DOI:10.5220/0004465300360050</v>
      </c>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c r="A576" s="10" t="str">
        <f ca="1">IFERROR(__xludf.DUMMYFUNCTION("""COMPUTED_VALUE"""),"Борис Благовестов Шишков")</f>
        <v>Борис Благовестов Шишков</v>
      </c>
      <c r="B576" s="10" t="str">
        <f ca="1">IFERROR(__xludf.DUMMYFUNCTION("""COMPUTED_VALUE"""),"Доклад от конференция")</f>
        <v>Доклад от конференция</v>
      </c>
      <c r="C576" s="10" t="str">
        <f ca="1">IFERROR(__xludf.DUMMYFUNCTION("""COMPUTED_VALUE"""),"Service-Oriented Architecture for Household Energy Management")</f>
        <v>Service-Oriented Architecture for Household Energy Management</v>
      </c>
      <c r="D576" s="10">
        <f ca="1">IFERROR(__xludf.DUMMYFUNCTION("""COMPUTED_VALUE"""),2010)</f>
        <v>2010</v>
      </c>
      <c r="E576" s="10" t="str">
        <f ca="1">IFERROR(__xludf.DUMMYFUNCTION("""COMPUTED_VALUE"""),"SCITEPRESS Proceedings of I-WEST 2010 – the 4th International Workshop on Enterprise Systems and Technology ISBN:978-989-8425-44-7 DOI:10.5220/0004465400510068")</f>
        <v>SCITEPRESS Proceedings of I-WEST 2010 – the 4th International Workshop on Enterprise Systems and Technology ISBN:978-989-8425-44-7 DOI:10.5220/0004465400510068</v>
      </c>
      <c r="F576" s="10"/>
      <c r="G576" s="10" t="str">
        <f ca="1">IFERROR(__xludf.DUMMYFUNCTION("""COMPUTED_VALUE"""),"Marten van Sinderen, Martijn Warnier")</f>
        <v>Marten van Sinderen, Martijn Warnier</v>
      </c>
      <c r="H576" s="10"/>
      <c r="I576" s="10"/>
      <c r="J576" s="10"/>
      <c r="K576" s="10"/>
      <c r="L576" s="10"/>
      <c r="M576" s="10"/>
      <c r="N576" s="10"/>
      <c r="O576" s="10"/>
      <c r="P576" s="10"/>
      <c r="Q576" s="10"/>
      <c r="R576" s="10"/>
      <c r="S576" s="10"/>
      <c r="T576" s="10"/>
      <c r="U576" s="10"/>
      <c r="V576" s="10"/>
      <c r="W576" s="10"/>
      <c r="X576" s="10"/>
      <c r="Y576" s="10"/>
      <c r="Z576" s="10"/>
    </row>
    <row r="577" spans="1:26" ht="12.75">
      <c r="A577" s="10" t="str">
        <f ca="1">IFERROR(__xludf.DUMMYFUNCTION("""COMPUTED_VALUE"""),"Борис Благовестов Шишков")</f>
        <v>Борис Благовестов Шишков</v>
      </c>
      <c r="B577" s="10" t="str">
        <f ca="1">IFERROR(__xludf.DUMMYFUNCTION("""COMPUTED_VALUE"""),"Доклад от конференция")</f>
        <v>Доклад от конференция</v>
      </c>
      <c r="C577" s="10" t="str">
        <f ca="1">IFERROR(__xludf.DUMMYFUNCTION("""COMPUTED_VALUE"""),"Employees' Upskilling through Service-oriented Learning Environments")</f>
        <v>Employees' Upskilling through Service-oriented Learning Environments</v>
      </c>
      <c r="D577" s="10">
        <f ca="1">IFERROR(__xludf.DUMMYFUNCTION("""COMPUTED_VALUE"""),2010)</f>
        <v>2010</v>
      </c>
      <c r="E577" s="10" t="str">
        <f ca="1">IFERROR(__xludf.DUMMYFUNCTION("""COMPUTED_VALUE"""),"SCITEPRESS Proceedings of ICEIS 2010 – the 12th International Conference on Enterprise Information Systems ISBN:978-989-8425-06-5 DOI:10.5220/0002911403070313")</f>
        <v>SCITEPRESS Proceedings of ICEIS 2010 – the 12th International Conference on Enterprise Information Systems ISBN:978-989-8425-06-5 DOI:10.5220/0002911403070313</v>
      </c>
      <c r="F577" s="10" t="str">
        <f ca="1">IFERROR(__xludf.DUMMYFUNCTION("""COMPUTED_VALUE"""),"SCOPUS, Web of Science, DBLP")</f>
        <v>SCOPUS, Web of Science, DBLP</v>
      </c>
      <c r="G577" s="10" t="str">
        <f ca="1">IFERROR(__xludf.DUMMYFUNCTION("""COMPUTED_VALUE"""),"Marten van Sinderen, Roberto Cavalcante")</f>
        <v>Marten van Sinderen, Roberto Cavalcante</v>
      </c>
      <c r="H577" s="10"/>
      <c r="I577" s="10"/>
      <c r="J577" s="10"/>
      <c r="K577" s="10"/>
      <c r="L577" s="10"/>
      <c r="M577" s="10"/>
      <c r="N577" s="10"/>
      <c r="O577" s="10"/>
      <c r="P577" s="10"/>
      <c r="Q577" s="10"/>
      <c r="R577" s="10"/>
      <c r="S577" s="10"/>
      <c r="T577" s="10"/>
      <c r="U577" s="10"/>
      <c r="V577" s="10"/>
      <c r="W577" s="10"/>
      <c r="X577" s="10"/>
      <c r="Y577" s="10"/>
      <c r="Z577" s="10"/>
    </row>
    <row r="578" spans="1:26" ht="12.75">
      <c r="A578" s="10" t="str">
        <f ca="1">IFERROR(__xludf.DUMMYFUNCTION("""COMPUTED_VALUE"""),"Борис Благовестов Шишков")</f>
        <v>Борис Благовестов Шишков</v>
      </c>
      <c r="B578" s="10" t="str">
        <f ca="1">IFERROR(__xludf.DUMMYFUNCTION("""COMPUTED_VALUE"""),"Доклад от конференция")</f>
        <v>Доклад от конференция</v>
      </c>
      <c r="C578" s="10" t="str">
        <f ca="1">IFERROR(__xludf.DUMMYFUNCTION("""COMPUTED_VALUE"""),"On the Application of Autonomic and Context-aware Computing to Support Home Energy Management")</f>
        <v>On the Application of Autonomic and Context-aware Computing to Support Home Energy Management</v>
      </c>
      <c r="D578" s="10">
        <f ca="1">IFERROR(__xludf.DUMMYFUNCTION("""COMPUTED_VALUE"""),2010)</f>
        <v>2010</v>
      </c>
      <c r="E578" s="10" t="str">
        <f ca="1">IFERROR(__xludf.DUMMYFUNCTION("""COMPUTED_VALUE"""),"SCITEPRESS Proceedings of ICEIS 2010 – the 12th International Conference on Enterprise Information Systems ISBN:978-989-8425-06-5 DOI:10.5220/0002911403070313")</f>
        <v>SCITEPRESS Proceedings of ICEIS 2010 – the 12th International Conference on Enterprise Information Systems ISBN:978-989-8425-06-5 DOI:10.5220/0002911403070313</v>
      </c>
      <c r="F578" s="10" t="str">
        <f ca="1">IFERROR(__xludf.DUMMYFUNCTION("""COMPUTED_VALUE"""),"SCOPUS, Web of Science, DBLP")</f>
        <v>SCOPUS, Web of Science, DBLP</v>
      </c>
      <c r="G578" s="10" t="str">
        <f ca="1">IFERROR(__xludf.DUMMYFUNCTION("""COMPUTED_VALUE"""),"Martijn Warnier, Marten van Sinderen")</f>
        <v>Martijn Warnier, Marten van Sinderen</v>
      </c>
      <c r="H578" s="10"/>
      <c r="I578" s="10"/>
      <c r="J578" s="10"/>
      <c r="K578" s="10"/>
      <c r="L578" s="10"/>
      <c r="M578" s="10"/>
      <c r="N578" s="10"/>
      <c r="O578" s="10"/>
      <c r="P578" s="10"/>
      <c r="Q578" s="10"/>
      <c r="R578" s="10"/>
      <c r="S578" s="10"/>
      <c r="T578" s="10"/>
      <c r="U578" s="10"/>
      <c r="V578" s="10"/>
      <c r="W578" s="10"/>
      <c r="X578" s="10"/>
      <c r="Y578" s="10"/>
      <c r="Z578" s="10"/>
    </row>
    <row r="579" spans="1:26" ht="12.75">
      <c r="A579" s="10" t="str">
        <f ca="1">IFERROR(__xludf.DUMMYFUNCTION("""COMPUTED_VALUE"""),"Борис Благовестов Шишков")</f>
        <v>Борис Благовестов Шишков</v>
      </c>
      <c r="B579" s="10" t="str">
        <f ca="1">IFERROR(__xludf.DUMMYFUNCTION("""COMPUTED_VALUE"""),"Доклад от конференция")</f>
        <v>Доклад от конференция</v>
      </c>
      <c r="C579" s="10" t="str">
        <f ca="1">IFERROR(__xludf.DUMMYFUNCTION("""COMPUTED_VALUE"""),"Service-Oriented Coordination Platform for Technology-Enhanced Learning")</f>
        <v>Service-Oriented Coordination Platform for Technology-Enhanced Learning</v>
      </c>
      <c r="D579" s="10">
        <f ca="1">IFERROR(__xludf.DUMMYFUNCTION("""COMPUTED_VALUE"""),2009)</f>
        <v>2009</v>
      </c>
      <c r="E579" s="10" t="str">
        <f ca="1">IFERROR(__xludf.DUMMYFUNCTION("""COMPUTED_VALUE"""),"SCITEPRESS Proceedings of I-WEST 2009 – the 3rd International Workshop on Enterprise Systems and Technology ISBN:978-989-674-015-3 DOI:10.5220/0004463000300047")</f>
        <v>SCITEPRESS Proceedings of I-WEST 2009 – the 3rd International Workshop on Enterprise Systems and Technology ISBN:978-989-674-015-3 DOI:10.5220/0004463000300047</v>
      </c>
      <c r="F579" s="10"/>
      <c r="G579" s="10" t="str">
        <f ca="1">IFERROR(__xludf.DUMMYFUNCTION("""COMPUTED_VALUE"""),"Marten van Sinderen")</f>
        <v>Marten van Sinderen</v>
      </c>
      <c r="H579" s="10"/>
      <c r="I579" s="10"/>
      <c r="J579" s="10"/>
      <c r="K579" s="10"/>
      <c r="L579" s="10"/>
      <c r="M579" s="10"/>
      <c r="N579" s="10"/>
      <c r="O579" s="10"/>
      <c r="P579" s="10"/>
      <c r="Q579" s="10"/>
      <c r="R579" s="10"/>
      <c r="S579" s="10"/>
      <c r="T579" s="10"/>
      <c r="U579" s="10"/>
      <c r="V579" s="10"/>
      <c r="W579" s="10"/>
      <c r="X579" s="10"/>
      <c r="Y579" s="10"/>
      <c r="Z579" s="10"/>
    </row>
    <row r="580" spans="1:26" ht="12.75">
      <c r="A580" s="10" t="str">
        <f ca="1">IFERROR(__xludf.DUMMYFUNCTION("""COMPUTED_VALUE"""),"Борис Благовестов Шишков")</f>
        <v>Борис Благовестов Шишков</v>
      </c>
      <c r="B580" s="10" t="str">
        <f ca="1">IFERROR(__xludf.DUMMYFUNCTION("""COMPUTED_VALUE"""),"Доклад от конференция")</f>
        <v>Доклад от конференция</v>
      </c>
      <c r="C580" s="10" t="str">
        <f ca="1">IFERROR(__xludf.DUMMYFUNCTION("""COMPUTED_VALUE"""),"Enhancing Context Analysis with Intelligence in Providing e-Health Services - Less Infrastructure Dependency in Supporting Cardio-vascular Patients")</f>
        <v>Enhancing Context Analysis with Intelligence in Providing e-Health Services - Less Infrastructure Dependency in Supporting Cardio-vascular Patients</v>
      </c>
      <c r="D580" s="10">
        <f ca="1">IFERROR(__xludf.DUMMYFUNCTION("""COMPUTED_VALUE"""),2009)</f>
        <v>2009</v>
      </c>
      <c r="E580" s="10" t="str">
        <f ca="1">IFERROR(__xludf.DUMMYFUNCTION("""COMPUTED_VALUE"""),"SCITEPRESS Proceedings of ICSOFT 2009 – the 4th International Conference on Software and Data Technologies ISBN:978-989-674-010-8, DOI:10.5220/0002314004140420")</f>
        <v>SCITEPRESS Proceedings of ICSOFT 2009 – the 4th International Conference on Software and Data Technologies ISBN:978-989-674-010-8, DOI:10.5220/0002314004140420</v>
      </c>
      <c r="F580" s="10" t="str">
        <f ca="1">IFERROR(__xludf.DUMMYFUNCTION("""COMPUTED_VALUE"""),"SCOPUS, Web of Science, DBLP")</f>
        <v>SCOPUS, Web of Science, DBLP</v>
      </c>
      <c r="G580" s="10" t="str">
        <f ca="1">IFERROR(__xludf.DUMMYFUNCTION("""COMPUTED_VALUE"""),"Alexander Verbraeck, Ing Widya")</f>
        <v>Alexander Verbraeck, Ing Widya</v>
      </c>
      <c r="H580" s="10"/>
      <c r="I580" s="10"/>
      <c r="J580" s="10"/>
      <c r="K580" s="10"/>
      <c r="L580" s="10"/>
      <c r="M580" s="10"/>
      <c r="N580" s="10"/>
      <c r="O580" s="10"/>
      <c r="P580" s="10"/>
      <c r="Q580" s="10"/>
      <c r="R580" s="10"/>
      <c r="S580" s="10"/>
      <c r="T580" s="10"/>
      <c r="U580" s="10"/>
      <c r="V580" s="10"/>
      <c r="W580" s="10"/>
      <c r="X580" s="10"/>
      <c r="Y580" s="10"/>
      <c r="Z580" s="10"/>
    </row>
    <row r="581" spans="1:26" ht="12.75">
      <c r="A581" s="10" t="str">
        <f ca="1">IFERROR(__xludf.DUMMYFUNCTION("""COMPUTED_VALUE"""),"Борис Благовестов Шишков")</f>
        <v>Борис Благовестов Шишков</v>
      </c>
      <c r="B581" s="10" t="str">
        <f ca="1">IFERROR(__xludf.DUMMYFUNCTION("""COMPUTED_VALUE"""),"Доклад от конференция")</f>
        <v>Доклад от конференция</v>
      </c>
      <c r="C581" s="10" t="str">
        <f ca="1">IFERROR(__xludf.DUMMYFUNCTION("""COMPUTED_VALUE"""),"Towards Flexible Inter-enterprise Collaboration: A Supply Chain Perspective")</f>
        <v>Towards Flexible Inter-enterprise Collaboration: A Supply Chain Perspective</v>
      </c>
      <c r="D581" s="10">
        <f ca="1">IFERROR(__xludf.DUMMYFUNCTION("""COMPUTED_VALUE"""),2009)</f>
        <v>2009</v>
      </c>
      <c r="E581" s="10" t="str">
        <f ca="1">IFERROR(__xludf.DUMMYFUNCTION("""COMPUTED_VALUE"""),"Springer Proceedings of ICEIS 2009 – the 11th International Conference on Enterprise Information Systems ISSN: 1865-1348 ISBN:978-3-642-01346-1 DOI:10.1007/978-3-642-01347-8_43")</f>
        <v>Springer Proceedings of ICEIS 2009 – the 11th International Conference on Enterprise Information Systems ISSN: 1865-1348 ISBN:978-3-642-01346-1 DOI:10.1007/978-3-642-01347-8_43</v>
      </c>
      <c r="F581" s="10" t="str">
        <f ca="1">IFERROR(__xludf.DUMMYFUNCTION("""COMPUTED_VALUE"""),"SCOPUS, Web of Science, DBLP")</f>
        <v>SCOPUS, Web of Science, DBLP</v>
      </c>
      <c r="G581" s="10" t="str">
        <f ca="1">IFERROR(__xludf.DUMMYFUNCTION("""COMPUTED_VALUE"""),"Marten van Sinderen, Alexander Verbraeck")</f>
        <v>Marten van Sinderen, Alexander Verbraeck</v>
      </c>
      <c r="H581" s="10"/>
      <c r="I581" s="10"/>
      <c r="J581" s="10"/>
      <c r="K581" s="10"/>
      <c r="L581" s="10"/>
      <c r="M581" s="10"/>
      <c r="N581" s="10"/>
      <c r="O581" s="10"/>
      <c r="P581" s="10"/>
      <c r="Q581" s="10"/>
      <c r="R581" s="10"/>
      <c r="S581" s="10"/>
      <c r="T581" s="10"/>
      <c r="U581" s="10"/>
      <c r="V581" s="10"/>
      <c r="W581" s="10"/>
      <c r="X581" s="10"/>
      <c r="Y581" s="10"/>
      <c r="Z581" s="10"/>
    </row>
    <row r="582" spans="1:26" ht="12.75">
      <c r="A582" s="10" t="str">
        <f ca="1">IFERROR(__xludf.DUMMYFUNCTION("""COMPUTED_VALUE"""),"Борис Благовестов Шишков")</f>
        <v>Борис Благовестов Шишков</v>
      </c>
      <c r="B582" s="10" t="str">
        <f ca="1">IFERROR(__xludf.DUMMYFUNCTION("""COMPUTED_VALUE"""),"Доклад от конференция")</f>
        <v>Доклад от конференция</v>
      </c>
      <c r="C582" s="10" t="str">
        <f ca="1">IFERROR(__xludf.DUMMYFUNCTION("""COMPUTED_VALUE"""),"Towards a Norm-Driven Design of Context-Aware e-Health Applications")</f>
        <v>Towards a Norm-Driven Design of Context-Aware e-Health Applications</v>
      </c>
      <c r="D582" s="10">
        <f ca="1">IFERROR(__xludf.DUMMYFUNCTION("""COMPUTED_VALUE"""),2008)</f>
        <v>2008</v>
      </c>
      <c r="E582" s="10" t="str">
        <f ca="1">IFERROR(__xludf.DUMMYFUNCTION("""COMPUTED_VALUE"""),"SCITEPRESS Proceedings of EHST 2008 – the 2nd International Workshop on e-Health Services and Technologies ISBN:978-989-8111-56-2 DOI:10.5220/0001898200360050")</f>
        <v>SCITEPRESS Proceedings of EHST 2008 – the 2nd International Workshop on e-Health Services and Technologies ISBN:978-989-8111-56-2 DOI:10.5220/0001898200360050</v>
      </c>
      <c r="F582" s="10" t="str">
        <f ca="1">IFERROR(__xludf.DUMMYFUNCTION("""COMPUTED_VALUE"""),"SCOPUS")</f>
        <v>SCOPUS</v>
      </c>
      <c r="G582" s="10" t="str">
        <f ca="1">IFERROR(__xludf.DUMMYFUNCTION("""COMPUTED_VALUE"""),"Hailiang Mei, Marten van Sinderen, Thijs Tonis")</f>
        <v>Hailiang Mei, Marten van Sinderen, Thijs Tonis</v>
      </c>
      <c r="H582" s="10"/>
      <c r="I582" s="10"/>
      <c r="J582" s="10"/>
      <c r="K582" s="10"/>
      <c r="L582" s="10"/>
      <c r="M582" s="10"/>
      <c r="N582" s="10"/>
      <c r="O582" s="10"/>
      <c r="P582" s="10"/>
      <c r="Q582" s="10"/>
      <c r="R582" s="10"/>
      <c r="S582" s="10"/>
      <c r="T582" s="10"/>
      <c r="U582" s="10"/>
      <c r="V582" s="10"/>
      <c r="W582" s="10"/>
      <c r="X582" s="10"/>
      <c r="Y582" s="10"/>
      <c r="Z582" s="10"/>
    </row>
    <row r="583" spans="1:26" ht="12.75">
      <c r="A583" s="10" t="str">
        <f ca="1">IFERROR(__xludf.DUMMYFUNCTION("""COMPUTED_VALUE"""),"Борис Благовестов Шишков")</f>
        <v>Борис Благовестов Шишков</v>
      </c>
      <c r="B583" s="10" t="str">
        <f ca="1">IFERROR(__xludf.DUMMYFUNCTION("""COMPUTED_VALUE"""),"Доклад от конференция")</f>
        <v>Доклад от конференция</v>
      </c>
      <c r="C583" s="10" t="str">
        <f ca="1">IFERROR(__xludf.DUMMYFUNCTION("""COMPUTED_VALUE"""),"Combining SDBC and ISDL in the Modeling and Refinement of Business Processes")</f>
        <v>Combining SDBC and ISDL in the Modeling and Refinement of Business Processes</v>
      </c>
      <c r="D583" s="10">
        <f ca="1">IFERROR(__xludf.DUMMYFUNCTION("""COMPUTED_VALUE"""),2008)</f>
        <v>2008</v>
      </c>
      <c r="E583" s="10" t="str">
        <f ca="1">IFERROR(__xludf.DUMMYFUNCTION("""COMPUTED_VALUE"""),"Springer LNBIP 3: Revised Selected Papers from ICEIS 2006 – the 8th International Conference on Enterprise Information Systems ISSN: 1865-1348 ISBN:978-3-540-77580-5 DOI:10.1007/978-3-540-77581-2_22")</f>
        <v>Springer LNBIP 3: Revised Selected Papers from ICEIS 2006 – the 8th International Conference on Enterprise Information Systems ISSN: 1865-1348 ISBN:978-3-540-77580-5 DOI:10.1007/978-3-540-77581-2_22</v>
      </c>
      <c r="F583" s="10" t="str">
        <f ca="1">IFERROR(__xludf.DUMMYFUNCTION("""COMPUTED_VALUE"""),"SCOPUS, Web of Science, DBLP")</f>
        <v>SCOPUS, Web of Science, DBLP</v>
      </c>
      <c r="G583" s="10" t="str">
        <f ca="1">IFERROR(__xludf.DUMMYFUNCTION("""COMPUTED_VALUE"""),"Dick A.C. Quartel")</f>
        <v>Dick A.C. Quartel</v>
      </c>
      <c r="H583" s="10"/>
      <c r="I583" s="10"/>
      <c r="J583" s="10"/>
      <c r="K583" s="10"/>
      <c r="L583" s="10"/>
      <c r="M583" s="10"/>
      <c r="N583" s="10"/>
      <c r="O583" s="10"/>
      <c r="P583" s="10"/>
      <c r="Q583" s="10"/>
      <c r="R583" s="10"/>
      <c r="S583" s="10"/>
      <c r="T583" s="10"/>
      <c r="U583" s="10"/>
      <c r="V583" s="10"/>
      <c r="W583" s="10"/>
      <c r="X583" s="10"/>
      <c r="Y583" s="10"/>
      <c r="Z583" s="10"/>
    </row>
    <row r="584" spans="1:26" ht="12.75">
      <c r="A584" s="10" t="str">
        <f ca="1">IFERROR(__xludf.DUMMYFUNCTION("""COMPUTED_VALUE"""),"Борис Благовестов Шишков")</f>
        <v>Борис Благовестов Шишков</v>
      </c>
      <c r="B584" s="10" t="str">
        <f ca="1">IFERROR(__xludf.DUMMYFUNCTION("""COMPUTED_VALUE"""),"Доклад от конференция")</f>
        <v>Доклад от конференция</v>
      </c>
      <c r="C584" s="10" t="str">
        <f ca="1">IFERROR(__xludf.DUMMYFUNCTION("""COMPUTED_VALUE"""),"Norm Analysis Supporting the Design of Context-Aware Applications")</f>
        <v>Norm Analysis Supporting the Design of Context-Aware Applications</v>
      </c>
      <c r="D584" s="10">
        <f ca="1">IFERROR(__xludf.DUMMYFUNCTION("""COMPUTED_VALUE"""),2008)</f>
        <v>2008</v>
      </c>
      <c r="E584" s="10" t="str">
        <f ca="1">IFERROR(__xludf.DUMMYFUNCTION("""COMPUTED_VALUE"""),"SCITEPRESS Proceedings of ICEIS 2008 – the 10th International Conference on Enterprise Information Systems ISBN:978-989-8111-38-8 DOI:10.5220/0001713403340337")</f>
        <v>SCITEPRESS Proceedings of ICEIS 2008 – the 10th International Conference on Enterprise Information Systems ISBN:978-989-8111-38-8 DOI:10.5220/0001713403340337</v>
      </c>
      <c r="F584" s="10" t="str">
        <f ca="1">IFERROR(__xludf.DUMMYFUNCTION("""COMPUTED_VALUE"""),"SCOPUS, Web of Science, DBLP")</f>
        <v>SCOPUS, Web of Science, DBLP</v>
      </c>
      <c r="G584" s="10" t="str">
        <f ca="1">IFERROR(__xludf.DUMMYFUNCTION("""COMPUTED_VALUE"""),"Marten van Sinderen, Kecheng Liu, Hui Du")</f>
        <v>Marten van Sinderen, Kecheng Liu, Hui Du</v>
      </c>
      <c r="H584" s="10"/>
      <c r="I584" s="10"/>
      <c r="J584" s="10"/>
      <c r="K584" s="10"/>
      <c r="L584" s="10"/>
      <c r="M584" s="10"/>
      <c r="N584" s="10"/>
      <c r="O584" s="10"/>
      <c r="P584" s="10"/>
      <c r="Q584" s="10"/>
      <c r="R584" s="10"/>
      <c r="S584" s="10"/>
      <c r="T584" s="10"/>
      <c r="U584" s="10"/>
      <c r="V584" s="10"/>
      <c r="W584" s="10"/>
      <c r="X584" s="10"/>
      <c r="Y584" s="10"/>
      <c r="Z584" s="10"/>
    </row>
    <row r="585" spans="1:26" ht="12.75">
      <c r="A585" s="10" t="str">
        <f ca="1">IFERROR(__xludf.DUMMYFUNCTION("""COMPUTED_VALUE"""),"Борис Благовестов Шишков")</f>
        <v>Борис Благовестов Шишков</v>
      </c>
      <c r="B585" s="10" t="str">
        <f ca="1">IFERROR(__xludf.DUMMYFUNCTION("""COMPUTED_VALUE"""),"Доклад от конференция")</f>
        <v>Доклад от конференция</v>
      </c>
      <c r="C585" s="10" t="str">
        <f ca="1">IFERROR(__xludf.DUMMYFUNCTION("""COMPUTED_VALUE"""),"From User Context States to Context-Aware Applications")</f>
        <v>From User Context States to Context-Aware Applications</v>
      </c>
      <c r="D585" s="10">
        <f ca="1">IFERROR(__xludf.DUMMYFUNCTION("""COMPUTED_VALUE"""),2008)</f>
        <v>2008</v>
      </c>
      <c r="E585" s="10" t="str">
        <f ca="1">IFERROR(__xludf.DUMMYFUNCTION("""COMPUTED_VALUE"""),"Springer LNBIP 12: Revised Selected Papers from ICEIS 2007 – the 9th International Conference on Enterprise Information Systems ISSN: 1865-1348 ISBN:978-3-540-88709-6 DOI:10.1007/978-3-540-88710-2_18")</f>
        <v>Springer LNBIP 12: Revised Selected Papers from ICEIS 2007 – the 9th International Conference on Enterprise Information Systems ISSN: 1865-1348 ISBN:978-3-540-88709-6 DOI:10.1007/978-3-540-88710-2_18</v>
      </c>
      <c r="F585" s="10" t="str">
        <f ca="1">IFERROR(__xludf.DUMMYFUNCTION("""COMPUTED_VALUE"""),"SCOPUS, Web of Science, DBLP")</f>
        <v>SCOPUS, Web of Science, DBLP</v>
      </c>
      <c r="G585" s="10" t="str">
        <f ca="1">IFERROR(__xludf.DUMMYFUNCTION("""COMPUTED_VALUE"""),"Marten van Sinderen")</f>
        <v>Marten van Sinderen</v>
      </c>
      <c r="H585" s="10"/>
      <c r="I585" s="10"/>
      <c r="J585" s="10"/>
      <c r="K585" s="10"/>
      <c r="L585" s="10"/>
      <c r="M585" s="10"/>
      <c r="N585" s="10"/>
      <c r="O585" s="10"/>
      <c r="P585" s="10"/>
      <c r="Q585" s="10"/>
      <c r="R585" s="10"/>
      <c r="S585" s="10"/>
      <c r="T585" s="10"/>
      <c r="U585" s="10"/>
      <c r="V585" s="10"/>
      <c r="W585" s="10"/>
      <c r="X585" s="10"/>
      <c r="Y585" s="10"/>
      <c r="Z585" s="10"/>
    </row>
    <row r="586" spans="1:26" ht="12.75">
      <c r="A586" s="10" t="str">
        <f ca="1">IFERROR(__xludf.DUMMYFUNCTION("""COMPUTED_VALUE"""),"Борис Благовестов Шишков")</f>
        <v>Борис Благовестов Шишков</v>
      </c>
      <c r="B586" s="10" t="str">
        <f ca="1">IFERROR(__xludf.DUMMYFUNCTION("""COMPUTED_VALUE"""),"Доклад от конференция")</f>
        <v>Доклад от конференция</v>
      </c>
      <c r="C586" s="10" t="str">
        <f ca="1">IFERROR(__xludf.DUMMYFUNCTION("""COMPUTED_VALUE"""),"On the Design of Context-Aware Applications")</f>
        <v>On the Design of Context-Aware Applications</v>
      </c>
      <c r="D586" s="10">
        <f ca="1">IFERROR(__xludf.DUMMYFUNCTION("""COMPUTED_VALUE"""),2008)</f>
        <v>2008</v>
      </c>
      <c r="E586" s="10" t="str">
        <f ca="1">IFERROR(__xludf.DUMMYFUNCTION("""COMPUTED_VALUE"""),"SCITEPRESS Proceedings of I-WEST 2008 – the 2nd International Workshop on Enterprise Systems and Technology ISBN:978-989-8111-50-0 DOI:10.5220/0004464600210034")</f>
        <v>SCITEPRESS Proceedings of I-WEST 2008 – the 2nd International Workshop on Enterprise Systems and Technology ISBN:978-989-8111-50-0 DOI:10.5220/0004464600210034</v>
      </c>
      <c r="F586" s="10"/>
      <c r="G586" s="10" t="str">
        <f ca="1">IFERROR(__xludf.DUMMYFUNCTION("""COMPUTED_VALUE"""),"Marten van Sinderen")</f>
        <v>Marten van Sinderen</v>
      </c>
      <c r="H586" s="10"/>
      <c r="I586" s="10"/>
      <c r="J586" s="10"/>
      <c r="K586" s="10"/>
      <c r="L586" s="10"/>
      <c r="M586" s="10"/>
      <c r="N586" s="10"/>
      <c r="O586" s="10"/>
      <c r="P586" s="10"/>
      <c r="Q586" s="10"/>
      <c r="R586" s="10"/>
      <c r="S586" s="10"/>
      <c r="T586" s="10"/>
      <c r="U586" s="10"/>
      <c r="V586" s="10"/>
      <c r="W586" s="10"/>
      <c r="X586" s="10"/>
      <c r="Y586" s="10"/>
      <c r="Z586" s="10"/>
    </row>
    <row r="587" spans="1:26" ht="12.75">
      <c r="A587" s="10" t="str">
        <f ca="1">IFERROR(__xludf.DUMMYFUNCTION("""COMPUTED_VALUE"""),"Борис Благовестов Шишков")</f>
        <v>Борис Благовестов Шишков</v>
      </c>
      <c r="B587" s="10" t="str">
        <f ca="1">IFERROR(__xludf.DUMMYFUNCTION("""COMPUTED_VALUE"""),"Доклад от конференция")</f>
        <v>Доклад от конференция</v>
      </c>
      <c r="C587" s="10" t="str">
        <f ca="1">IFERROR(__xludf.DUMMYFUNCTION("""COMPUTED_VALUE"""),"E-Health Services and Technologies - The Way Ahead")</f>
        <v>E-Health Services and Technologies - The Way Ahead</v>
      </c>
      <c r="D587" s="10">
        <f ca="1">IFERROR(__xludf.DUMMYFUNCTION("""COMPUTED_VALUE"""),2007)</f>
        <v>2007</v>
      </c>
      <c r="E587" s="10" t="str">
        <f ca="1">IFERROR(__xludf.DUMMYFUNCTION("""COMPUTED_VALUE"""),"SCITEPRESS Proceedings of ICSOFT 2007 (EHST) ISBN:978-989-8111-07-4")</f>
        <v>SCITEPRESS Proceedings of ICSOFT 2007 (EHST) ISBN:978-989-8111-07-4</v>
      </c>
      <c r="F587" s="10" t="str">
        <f ca="1">IFERROR(__xludf.DUMMYFUNCTION("""COMPUTED_VALUE"""),"SCOPUS")</f>
        <v>SCOPUS</v>
      </c>
      <c r="G587" s="10" t="str">
        <f ca="1">IFERROR(__xludf.DUMMYFUNCTION("""COMPUTED_VALUE"""),"Dimitri Konstantas, Joaquim Filipe")</f>
        <v>Dimitri Konstantas, Joaquim Filipe</v>
      </c>
      <c r="H587" s="10"/>
      <c r="I587" s="10"/>
      <c r="J587" s="10"/>
      <c r="K587" s="10"/>
      <c r="L587" s="10"/>
      <c r="M587" s="10"/>
      <c r="N587" s="10"/>
      <c r="O587" s="10"/>
      <c r="P587" s="10"/>
      <c r="Q587" s="10"/>
      <c r="R587" s="10"/>
      <c r="S587" s="10"/>
      <c r="T587" s="10"/>
      <c r="U587" s="10"/>
      <c r="V587" s="10"/>
      <c r="W587" s="10"/>
      <c r="X587" s="10"/>
      <c r="Y587" s="10"/>
      <c r="Z587" s="10"/>
    </row>
    <row r="588" spans="1:26" ht="12.75">
      <c r="A588" s="10" t="str">
        <f ca="1">IFERROR(__xludf.DUMMYFUNCTION("""COMPUTED_VALUE"""),"Борис Благовестов Шишков")</f>
        <v>Борис Благовестов Шишков</v>
      </c>
      <c r="B588" s="10" t="str">
        <f ca="1">IFERROR(__xludf.DUMMYFUNCTION("""COMPUTED_VALUE"""),"Доклад от конференция")</f>
        <v>Доклад от конференция</v>
      </c>
      <c r="C588" s="10" t="str">
        <f ca="1">IFERROR(__xludf.DUMMYFUNCTION("""COMPUTED_VALUE"""),"A Framework for Smart Distribution of Bio-Signal Processing Units in M-Health")</f>
        <v>A Framework for Smart Distribution of Bio-Signal Processing Units in M-Health</v>
      </c>
      <c r="D588" s="10">
        <f ca="1">IFERROR(__xludf.DUMMYFUNCTION("""COMPUTED_VALUE"""),2007)</f>
        <v>2007</v>
      </c>
      <c r="E588" s="10" t="str">
        <f ca="1">IFERROR(__xludf.DUMMYFUNCTION("""COMPUTED_VALUE"""),"SECITEPRESS Proceedings of ICSOFT 2007 (EHST) ISBN:978-989-8111-07-4")</f>
        <v>SECITEPRESS Proceedings of ICSOFT 2007 (EHST) ISBN:978-989-8111-07-4</v>
      </c>
      <c r="F588" s="10" t="str">
        <f ca="1">IFERROR(__xludf.DUMMYFUNCTION("""COMPUTED_VALUE"""),"SCOPUS")</f>
        <v>SCOPUS</v>
      </c>
      <c r="G588" s="10" t="str">
        <f ca="1">IFERROR(__xludf.DUMMYFUNCTION("""COMPUTED_VALUE"""),"H. Mei, I. Widya, T. Broens, P. Pawar, A. van Halteren, M. van Sinderen")</f>
        <v>H. Mei, I. Widya, T. Broens, P. Pawar, A. van Halteren, M. van Sinderen</v>
      </c>
      <c r="H588" s="10"/>
      <c r="I588" s="10"/>
      <c r="J588" s="10"/>
      <c r="K588" s="10"/>
      <c r="L588" s="10"/>
      <c r="M588" s="10"/>
      <c r="N588" s="10"/>
      <c r="O588" s="10"/>
      <c r="P588" s="10"/>
      <c r="Q588" s="10"/>
      <c r="R588" s="10"/>
      <c r="S588" s="10"/>
      <c r="T588" s="10"/>
      <c r="U588" s="10"/>
      <c r="V588" s="10"/>
      <c r="W588" s="10"/>
      <c r="X588" s="10"/>
      <c r="Y588" s="10"/>
      <c r="Z588" s="10"/>
    </row>
    <row r="589" spans="1:26" ht="12.75">
      <c r="A589" s="10" t="str">
        <f ca="1">IFERROR(__xludf.DUMMYFUNCTION("""COMPUTED_VALUE"""),"Борис Благовестов Шишков")</f>
        <v>Борис Благовестов Шишков</v>
      </c>
      <c r="B589" s="10" t="str">
        <f ca="1">IFERROR(__xludf.DUMMYFUNCTION("""COMPUTED_VALUE"""),"Доклад от конференция")</f>
        <v>Доклад от конференция</v>
      </c>
      <c r="C589" s="10" t="str">
        <f ca="1">IFERROR(__xludf.DUMMYFUNCTION("""COMPUTED_VALUE"""),"Closing the Business-Application Gap in SOA - Challenges and Solution Directions")</f>
        <v>Closing the Business-Application Gap in SOA - Challenges and Solution Directions</v>
      </c>
      <c r="D589" s="10">
        <f ca="1">IFERROR(__xludf.DUMMYFUNCTION("""COMPUTED_VALUE"""),2007)</f>
        <v>2007</v>
      </c>
      <c r="E589" s="10" t="str">
        <f ca="1">IFERROR(__xludf.DUMMYFUNCTION("""COMPUTED_VALUE"""),"SCITEPRESS Proceedings of ICSOFT 2007 – the 2nd International Conference on Software and Data Technologies ISBN:978-989-8111-06-7 DOI:10.5220/0001326803330336")</f>
        <v>SCITEPRESS Proceedings of ICSOFT 2007 – the 2nd International Conference on Software and Data Technologies ISBN:978-989-8111-06-7 DOI:10.5220/0001326803330336</v>
      </c>
      <c r="F589" s="10" t="str">
        <f ca="1">IFERROR(__xludf.DUMMYFUNCTION("""COMPUTED_VALUE"""),"SCOPUS, Web of Science, DBLP")</f>
        <v>SCOPUS, Web of Science, DBLP</v>
      </c>
      <c r="G589" s="10" t="str">
        <f ca="1">IFERROR(__xludf.DUMMYFUNCTION("""COMPUTED_VALUE"""),"Jan L.G. Dietz, Marten van Sinderen")</f>
        <v>Jan L.G. Dietz, Marten van Sinderen</v>
      </c>
      <c r="H589" s="10"/>
      <c r="I589" s="10"/>
      <c r="J589" s="10"/>
      <c r="K589" s="10"/>
      <c r="L589" s="10"/>
      <c r="M589" s="10"/>
      <c r="N589" s="10"/>
      <c r="O589" s="10"/>
      <c r="P589" s="10"/>
      <c r="Q589" s="10"/>
      <c r="R589" s="10"/>
      <c r="S589" s="10"/>
      <c r="T589" s="10"/>
      <c r="U589" s="10"/>
      <c r="V589" s="10"/>
      <c r="W589" s="10"/>
      <c r="X589" s="10"/>
      <c r="Y589" s="10"/>
      <c r="Z589" s="10"/>
    </row>
    <row r="590" spans="1:26" ht="12.75">
      <c r="A590" s="10" t="str">
        <f ca="1">IFERROR(__xludf.DUMMYFUNCTION("""COMPUTED_VALUE"""),"Борис Благовестов Шишков")</f>
        <v>Борис Благовестов Шишков</v>
      </c>
      <c r="B590" s="10" t="str">
        <f ca="1">IFERROR(__xludf.DUMMYFUNCTION("""COMPUTED_VALUE"""),"Доклад от конференция")</f>
        <v>Доклад от конференция</v>
      </c>
      <c r="C590" s="10" t="str">
        <f ca="1">IFERROR(__xludf.DUMMYFUNCTION("""COMPUTED_VALUE"""),"Model-Driven Design of Context-Aware Applications")</f>
        <v>Model-Driven Design of Context-Aware Applications</v>
      </c>
      <c r="D590" s="10">
        <f ca="1">IFERROR(__xludf.DUMMYFUNCTION("""COMPUTED_VALUE"""),2007)</f>
        <v>2007</v>
      </c>
      <c r="E590" s="10" t="str">
        <f ca="1">IFERROR(__xludf.DUMMYFUNCTION("""COMPUTED_VALUE"""),"IEEE Computer Society Proceedings of ICEBE 2007 – IEEE International Conference on e-Business Engineering ISBN:978-0-7695-3003-1 DOI:10.1109/ICEBE.2007.86")</f>
        <v>IEEE Computer Society Proceedings of ICEBE 2007 – IEEE International Conference on e-Business Engineering ISBN:978-0-7695-3003-1 DOI:10.1109/ICEBE.2007.86</v>
      </c>
      <c r="F590" s="10" t="str">
        <f ca="1">IFERROR(__xludf.DUMMYFUNCTION("""COMPUTED_VALUE"""),"SCOPUS, Web of Science, DBLP")</f>
        <v>SCOPUS, Web of Science, DBLP</v>
      </c>
      <c r="G590" s="10" t="str">
        <f ca="1">IFERROR(__xludf.DUMMYFUNCTION("""COMPUTED_VALUE"""),"Marten van Sinderen, Bedir Tekinerdogan")</f>
        <v>Marten van Sinderen, Bedir Tekinerdogan</v>
      </c>
      <c r="H590" s="10"/>
      <c r="I590" s="10"/>
      <c r="J590" s="10"/>
      <c r="K590" s="10"/>
      <c r="L590" s="10"/>
      <c r="M590" s="10"/>
      <c r="N590" s="10"/>
      <c r="O590" s="10"/>
      <c r="P590" s="10"/>
      <c r="Q590" s="10"/>
      <c r="R590" s="10"/>
      <c r="S590" s="10"/>
      <c r="T590" s="10"/>
      <c r="U590" s="10"/>
      <c r="V590" s="10"/>
      <c r="W590" s="10"/>
      <c r="X590" s="10"/>
      <c r="Y590" s="10"/>
      <c r="Z590" s="10"/>
    </row>
    <row r="591" spans="1:26" ht="12.75">
      <c r="A591" s="10" t="str">
        <f ca="1">IFERROR(__xludf.DUMMYFUNCTION("""COMPUTED_VALUE"""),"Борис Благовестов Шишков")</f>
        <v>Борис Благовестов Шишков</v>
      </c>
      <c r="B591" s="10" t="str">
        <f ca="1">IFERROR(__xludf.DUMMYFUNCTION("""COMPUTED_VALUE"""),"Доклад от конференция")</f>
        <v>Доклад от конференция</v>
      </c>
      <c r="C591" s="10" t="str">
        <f ca="1">IFERROR(__xludf.DUMMYFUNCTION("""COMPUTED_VALUE"""),"Model-Driven Design of Context-Aware Applications")</f>
        <v>Model-Driven Design of Context-Aware Applications</v>
      </c>
      <c r="D591" s="10">
        <f ca="1">IFERROR(__xludf.DUMMYFUNCTION("""COMPUTED_VALUE"""),2007)</f>
        <v>2007</v>
      </c>
      <c r="E591" s="10" t="str">
        <f ca="1">IFERROR(__xludf.DUMMYFUNCTION("""COMPUTED_VALUE"""),"SCITEPRESS Proceedings of ICEIS 2007 – the 9th International Conference on Enterprise Information Systems ISBN:978-972-8865-90-0 DOI:10.5220/0002360301050113")</f>
        <v>SCITEPRESS Proceedings of ICEIS 2007 – the 9th International Conference on Enterprise Information Systems ISBN:978-972-8865-90-0 DOI:10.5220/0002360301050113</v>
      </c>
      <c r="F591" s="10" t="str">
        <f ca="1">IFERROR(__xludf.DUMMYFUNCTION("""COMPUTED_VALUE"""),"SCOPUS, Web of Science, DBLP")</f>
        <v>SCOPUS, Web of Science, DBLP</v>
      </c>
      <c r="G591" s="10" t="str">
        <f ca="1">IFERROR(__xludf.DUMMYFUNCTION("""COMPUTED_VALUE"""),"Marten van Sinderen")</f>
        <v>Marten van Sinderen</v>
      </c>
      <c r="H591" s="10"/>
      <c r="I591" s="10"/>
      <c r="J591" s="10"/>
      <c r="K591" s="10"/>
      <c r="L591" s="10"/>
      <c r="M591" s="10"/>
      <c r="N591" s="10"/>
      <c r="O591" s="10"/>
      <c r="P591" s="10"/>
      <c r="Q591" s="10"/>
      <c r="R591" s="10"/>
      <c r="S591" s="10"/>
      <c r="T591" s="10"/>
      <c r="U591" s="10"/>
      <c r="V591" s="10"/>
      <c r="W591" s="10"/>
      <c r="X591" s="10"/>
      <c r="Y591" s="10"/>
      <c r="Z591" s="10"/>
    </row>
    <row r="592" spans="1:26" ht="12.75">
      <c r="A592" s="10" t="str">
        <f ca="1">IFERROR(__xludf.DUMMYFUNCTION("""COMPUTED_VALUE"""),"Борис Благовестов Шишков")</f>
        <v>Борис Благовестов Шишков</v>
      </c>
      <c r="B592" s="10" t="str">
        <f ca="1">IFERROR(__xludf.DUMMYFUNCTION("""COMPUTED_VALUE"""),"Доклад от конференция")</f>
        <v>Доклад от конференция</v>
      </c>
      <c r="C592" s="10" t="str">
        <f ca="1">IFERROR(__xludf.DUMMYFUNCTION("""COMPUTED_VALUE"""),"Bridging the Language-Action Perspective and Organizational Semiotics in SDBC")</f>
        <v>Bridging the Language-Action Perspective and Organizational Semiotics in SDBC</v>
      </c>
      <c r="D592" s="10">
        <f ca="1">IFERROR(__xludf.DUMMYFUNCTION("""COMPUTED_VALUE"""),2006)</f>
        <v>2006</v>
      </c>
      <c r="E592" s="10" t="str">
        <f ca="1">IFERROR(__xludf.DUMMYFUNCTION("""COMPUTED_VALUE"""),"SCITEPRESS Proceedings of ICEIS 2006 – the 8th International Conference on Enterprise Information Systems ISBN:978-972-8865-43-6 DOI:10.5220/0002487700520060")</f>
        <v>SCITEPRESS Proceedings of ICEIS 2006 – the 8th International Conference on Enterprise Information Systems ISBN:978-972-8865-43-6 DOI:10.5220/0002487700520060</v>
      </c>
      <c r="F592" s="10" t="str">
        <f ca="1">IFERROR(__xludf.DUMMYFUNCTION("""COMPUTED_VALUE"""),"SCOPUS, Web of Science, DBLP")</f>
        <v>SCOPUS, Web of Science, DBLP</v>
      </c>
      <c r="G592" s="10" t="str">
        <f ca="1">IFERROR(__xludf.DUMMYFUNCTION("""COMPUTED_VALUE"""),"Jan L.G. Dietz, Kecheng Liu")</f>
        <v>Jan L.G. Dietz, Kecheng Liu</v>
      </c>
      <c r="H592" s="10"/>
      <c r="I592" s="10"/>
      <c r="J592" s="10"/>
      <c r="K592" s="10"/>
      <c r="L592" s="10"/>
      <c r="M592" s="10"/>
      <c r="N592" s="10"/>
      <c r="O592" s="10"/>
      <c r="P592" s="10"/>
      <c r="Q592" s="10"/>
      <c r="R592" s="10"/>
      <c r="S592" s="10"/>
      <c r="T592" s="10"/>
      <c r="U592" s="10"/>
      <c r="V592" s="10"/>
      <c r="W592" s="10"/>
      <c r="X592" s="10"/>
      <c r="Y592" s="10"/>
      <c r="Z592" s="10"/>
    </row>
    <row r="593" spans="1:26" ht="12.75">
      <c r="A593" s="10" t="str">
        <f ca="1">IFERROR(__xludf.DUMMYFUNCTION("""COMPUTED_VALUE"""),"Борис Благовестов Шишков")</f>
        <v>Борис Благовестов Шишков</v>
      </c>
      <c r="B593" s="10" t="str">
        <f ca="1">IFERROR(__xludf.DUMMYFUNCTION("""COMPUTED_VALUE"""),"Доклад от конференция")</f>
        <v>Доклад от конференция</v>
      </c>
      <c r="C593" s="10" t="str">
        <f ca="1">IFERROR(__xludf.DUMMYFUNCTION("""COMPUTED_VALUE"""),"SOA-Driven Business-Software Alignment")</f>
        <v>SOA-Driven Business-Software Alignment</v>
      </c>
      <c r="D593" s="10">
        <f ca="1">IFERROR(__xludf.DUMMYFUNCTION("""COMPUTED_VALUE"""),2006)</f>
        <v>2006</v>
      </c>
      <c r="E593" s="10" t="str">
        <f ca="1">IFERROR(__xludf.DUMMYFUNCTION("""COMPUTED_VALUE"""),"IEEE Computer Society Proceedings of ICEBE 2006 – IEEE International Conference on e-Business Engineering ISBN:0-7695-2645-4 DOI:10.1109/ICEBE.2006.95")</f>
        <v>IEEE Computer Society Proceedings of ICEBE 2006 – IEEE International Conference on e-Business Engineering ISBN:0-7695-2645-4 DOI:10.1109/ICEBE.2006.95</v>
      </c>
      <c r="F593" s="10" t="str">
        <f ca="1">IFERROR(__xludf.DUMMYFUNCTION("""COMPUTED_VALUE"""),"SCOPUS, Web of Science, DBLP")</f>
        <v>SCOPUS, Web of Science, DBLP</v>
      </c>
      <c r="G593" s="10" t="str">
        <f ca="1">IFERROR(__xludf.DUMMYFUNCTION("""COMPUTED_VALUE"""),"Marten van Sinderen, Dick A.C. Quartel")</f>
        <v>Marten van Sinderen, Dick A.C. Quartel</v>
      </c>
      <c r="H593" s="10"/>
      <c r="I593" s="10"/>
      <c r="J593" s="10"/>
      <c r="K593" s="10"/>
      <c r="L593" s="10"/>
      <c r="M593" s="10"/>
      <c r="N593" s="10"/>
      <c r="O593" s="10"/>
      <c r="P593" s="10"/>
      <c r="Q593" s="10"/>
      <c r="R593" s="10"/>
      <c r="S593" s="10"/>
      <c r="T593" s="10"/>
      <c r="U593" s="10"/>
      <c r="V593" s="10"/>
      <c r="W593" s="10"/>
      <c r="X593" s="10"/>
      <c r="Y593" s="10"/>
      <c r="Z593" s="10"/>
    </row>
    <row r="594" spans="1:26" ht="12.75">
      <c r="A594" s="10" t="str">
        <f ca="1">IFERROR(__xludf.DUMMYFUNCTION("""COMPUTED_VALUE"""),"Борис Благовестов Шишков")</f>
        <v>Борис Благовестов Шишков</v>
      </c>
      <c r="B594" s="10" t="str">
        <f ca="1">IFERROR(__xludf.DUMMYFUNCTION("""COMPUTED_VALUE"""),"Доклад от конференция")</f>
        <v>Доклад от конференция</v>
      </c>
      <c r="C594" s="10" t="str">
        <f ca="1">IFERROR(__xludf.DUMMYFUNCTION("""COMPUTED_VALUE"""),"Refinement of SDBC Business Process Models Using ISDL")</f>
        <v>Refinement of SDBC Business Process Models Using ISDL</v>
      </c>
      <c r="D594" s="10">
        <f ca="1">IFERROR(__xludf.DUMMYFUNCTION("""COMPUTED_VALUE"""),2006)</f>
        <v>2006</v>
      </c>
      <c r="E594" s="10" t="str">
        <f ca="1">IFERROR(__xludf.DUMMYFUNCTION("""COMPUTED_VALUE"""),"SCITEPRESS Proceedings of ICEIS 2006 – the 8th International Conference on Enterprise Information Systems ISBN:978-972-8865-43-6 DOI:10.5220/0002462200610069")</f>
        <v>SCITEPRESS Proceedings of ICEIS 2006 – the 8th International Conference on Enterprise Information Systems ISBN:978-972-8865-43-6 DOI:10.5220/0002462200610069</v>
      </c>
      <c r="F594" s="10" t="str">
        <f ca="1">IFERROR(__xludf.DUMMYFUNCTION("""COMPUTED_VALUE"""),"SCOPUS, Web of Science, DBLP")</f>
        <v>SCOPUS, Web of Science, DBLP</v>
      </c>
      <c r="G594" s="10" t="str">
        <f ca="1">IFERROR(__xludf.DUMMYFUNCTION("""COMPUTED_VALUE"""),"Dick A.C. Quartel")</f>
        <v>Dick A.C. Quartel</v>
      </c>
      <c r="H594" s="10"/>
      <c r="I594" s="10"/>
      <c r="J594" s="10"/>
      <c r="K594" s="10"/>
      <c r="L594" s="10"/>
      <c r="M594" s="10"/>
      <c r="N594" s="10"/>
      <c r="O594" s="10"/>
      <c r="P594" s="10"/>
      <c r="Q594" s="10"/>
      <c r="R594" s="10"/>
      <c r="S594" s="10"/>
      <c r="T594" s="10"/>
      <c r="U594" s="10"/>
      <c r="V594" s="10"/>
      <c r="W594" s="10"/>
      <c r="X594" s="10"/>
      <c r="Y594" s="10"/>
      <c r="Z594" s="10"/>
    </row>
    <row r="595" spans="1:26" ht="12.75">
      <c r="A595" s="10" t="str">
        <f ca="1">IFERROR(__xludf.DUMMYFUNCTION("""COMPUTED_VALUE"""),"Борис Благовестов Шишков")</f>
        <v>Борис Благовестов Шишков</v>
      </c>
      <c r="B595" s="10" t="str">
        <f ca="1">IFERROR(__xludf.DUMMYFUNCTION("""COMPUTED_VALUE"""),"Монография")</f>
        <v>Монография</v>
      </c>
      <c r="C595" s="10" t="str">
        <f ca="1">IFERROR(__xludf.DUMMYFUNCTION("""COMPUTED_VALUE"""),"Software Specification Based on Re-Usable Business Components")</f>
        <v>Software Specification Based on Re-Usable Business Components</v>
      </c>
      <c r="D595" s="10">
        <f ca="1">IFERROR(__xludf.DUMMYFUNCTION("""COMPUTED_VALUE"""),2005)</f>
        <v>2005</v>
      </c>
      <c r="E595" s="10" t="str">
        <f ca="1">IFERROR(__xludf.DUMMYFUNCTION("""COMPUTED_VALUE"""),"TU Delft (Produced by Sieca Repro, Delft), 2005, ISBN: 90-9019924-1")</f>
        <v>TU Delft (Produced by Sieca Repro, Delft), 2005, ISBN: 90-9019924-1</v>
      </c>
      <c r="F595" s="10"/>
      <c r="G595" s="10"/>
      <c r="H595" s="10"/>
      <c r="I595" s="10"/>
      <c r="J595" s="10"/>
      <c r="K595" s="10"/>
      <c r="L595" s="10"/>
      <c r="M595" s="10"/>
      <c r="N595" s="10"/>
      <c r="O595" s="10"/>
      <c r="P595" s="10"/>
      <c r="Q595" s="10"/>
      <c r="R595" s="10"/>
      <c r="S595" s="10"/>
      <c r="T595" s="10"/>
      <c r="U595" s="10"/>
      <c r="V595" s="10"/>
      <c r="W595" s="10"/>
      <c r="X595" s="10"/>
      <c r="Y595" s="10"/>
      <c r="Z595" s="10"/>
    </row>
    <row r="596" spans="1:26" ht="12.75">
      <c r="A596" s="10" t="str">
        <f ca="1">IFERROR(__xludf.DUMMYFUNCTION("""COMPUTED_VALUE"""),"Борис Благовестов Шишков")</f>
        <v>Борис Благовестов Шишков</v>
      </c>
      <c r="B596" s="10" t="str">
        <f ca="1">IFERROR(__xludf.DUMMYFUNCTION("""COMPUTED_VALUE"""),"Доклад от конференция")</f>
        <v>Доклад от конференция</v>
      </c>
      <c r="C596" s="10" t="str">
        <f ca="1">IFERROR(__xludf.DUMMYFUNCTION("""COMPUTED_VALUE"""),"Applying SDBC in the Cultural-Heritage Sector")</f>
        <v>Applying SDBC in the Cultural-Heritage Sector</v>
      </c>
      <c r="D596" s="10">
        <f ca="1">IFERROR(__xludf.DUMMYFUNCTION("""COMPUTED_VALUE"""),2005)</f>
        <v>2005</v>
      </c>
      <c r="E596" s="10" t="str">
        <f ca="1">IFERROR(__xludf.DUMMYFUNCTION("""COMPUTED_VALUE"""),"SCITEPRESS Proceedings of ICEIS 2005 – the 7th International Conference on Enterprise Information Systems ISBN:972-8865-19-8 DOI:10.5220/0002513603940398")</f>
        <v>SCITEPRESS Proceedings of ICEIS 2005 – the 7th International Conference on Enterprise Information Systems ISBN:972-8865-19-8 DOI:10.5220/0002513603940398</v>
      </c>
      <c r="F596" s="10" t="str">
        <f ca="1">IFERROR(__xludf.DUMMYFUNCTION("""COMPUTED_VALUE"""),"SCOPUS, Web of Science, DBLP")</f>
        <v>SCOPUS, Web of Science, DBLP</v>
      </c>
      <c r="G596" s="10" t="str">
        <f ca="1">IFERROR(__xludf.DUMMYFUNCTION("""COMPUTED_VALUE"""),"Jan L.G. Dietz")</f>
        <v>Jan L.G. Dietz</v>
      </c>
      <c r="H596" s="10"/>
      <c r="I596" s="10"/>
      <c r="J596" s="10"/>
      <c r="K596" s="10"/>
      <c r="L596" s="10"/>
      <c r="M596" s="10"/>
      <c r="N596" s="10"/>
      <c r="O596" s="10"/>
      <c r="P596" s="10"/>
      <c r="Q596" s="10"/>
      <c r="R596" s="10"/>
      <c r="S596" s="10"/>
      <c r="T596" s="10"/>
      <c r="U596" s="10"/>
      <c r="V596" s="10"/>
      <c r="W596" s="10"/>
      <c r="X596" s="10"/>
      <c r="Y596" s="10"/>
      <c r="Z596" s="10"/>
    </row>
    <row r="597" spans="1:26" ht="12.75">
      <c r="A597" s="10" t="str">
        <f ca="1">IFERROR(__xludf.DUMMYFUNCTION("""COMPUTED_VALUE"""),"Борис Благовестов Шишков")</f>
        <v>Борис Благовестов Шишков</v>
      </c>
      <c r="B597" s="10" t="str">
        <f ca="1">IFERROR(__xludf.DUMMYFUNCTION("""COMPUTED_VALUE"""),"Доклад от конференция")</f>
        <v>Доклад от конференция</v>
      </c>
      <c r="C597" s="10" t="str">
        <f ca="1">IFERROR(__xludf.DUMMYFUNCTION("""COMPUTED_VALUE"""),"Applying Component-Based UML-Driven Conceptual Modeling in SDBC")</f>
        <v>Applying Component-Based UML-Driven Conceptual Modeling in SDBC</v>
      </c>
      <c r="D597" s="10">
        <f ca="1">IFERROR(__xludf.DUMMYFUNCTION("""COMPUTED_VALUE"""),2005)</f>
        <v>2005</v>
      </c>
      <c r="E597" s="10" t="str">
        <f ca="1">IFERROR(__xludf.DUMMYFUNCTION("""COMPUTED_VALUE"""),"SCITEPRESS Proceedings of ICEIS 2005 – the 7th International Conference on Enterprise Information Systems ISBN:972-8865-19-8 DOI:10.5220/0002519004170420")</f>
        <v>SCITEPRESS Proceedings of ICEIS 2005 – the 7th International Conference on Enterprise Information Systems ISBN:972-8865-19-8 DOI:10.5220/0002519004170420</v>
      </c>
      <c r="F597" s="10" t="str">
        <f ca="1">IFERROR(__xludf.DUMMYFUNCTION("""COMPUTED_VALUE"""),"SCOPUS, Web of Science, DBLP")</f>
        <v>SCOPUS, Web of Science, DBLP</v>
      </c>
      <c r="G597" s="10" t="str">
        <f ca="1">IFERROR(__xludf.DUMMYFUNCTION("""COMPUTED_VALUE"""),"Jan L.G. Dietz")</f>
        <v>Jan L.G. Dietz</v>
      </c>
      <c r="H597" s="10"/>
      <c r="I597" s="10"/>
      <c r="J597" s="10"/>
      <c r="K597" s="10"/>
      <c r="L597" s="10"/>
      <c r="M597" s="10"/>
      <c r="N597" s="10"/>
      <c r="O597" s="10"/>
      <c r="P597" s="10"/>
      <c r="Q597" s="10"/>
      <c r="R597" s="10"/>
      <c r="S597" s="10"/>
      <c r="T597" s="10"/>
      <c r="U597" s="10"/>
      <c r="V597" s="10"/>
      <c r="W597" s="10"/>
      <c r="X597" s="10"/>
      <c r="Y597" s="10"/>
      <c r="Z597" s="10"/>
    </row>
    <row r="598" spans="1:26" ht="12.75">
      <c r="A598" s="10" t="str">
        <f ca="1">IFERROR(__xludf.DUMMYFUNCTION("""COMPUTED_VALUE"""),"Борис Благовестов Шишков")</f>
        <v>Борис Благовестов Шишков</v>
      </c>
      <c r="B598" s="10" t="str">
        <f ca="1">IFERROR(__xludf.DUMMYFUNCTION("""COMPUTED_VALUE"""),"Доклад от конференция")</f>
        <v>Доклад от конференция</v>
      </c>
      <c r="C598" s="10" t="str">
        <f ca="1">IFERROR(__xludf.DUMMYFUNCTION("""COMPUTED_VALUE"""),"Design of Software Applications Using Generic Business Components")</f>
        <v>Design of Software Applications Using Generic Business Components</v>
      </c>
      <c r="D598" s="10">
        <f ca="1">IFERROR(__xludf.DUMMYFUNCTION("""COMPUTED_VALUE"""),2004)</f>
        <v>2004</v>
      </c>
      <c r="E598" s="10" t="str">
        <f ca="1">IFERROR(__xludf.DUMMYFUNCTION("""COMPUTED_VALUE"""),"IEEE Proceedings of HICSS 2004 – the 37th Hawaii International Conference on System Sciences ISBN:0-7695-2056-1 DOI:10.1.1.112.2113")</f>
        <v>IEEE Proceedings of HICSS 2004 – the 37th Hawaii International Conference on System Sciences ISBN:0-7695-2056-1 DOI:10.1.1.112.2113</v>
      </c>
      <c r="F598" s="10" t="str">
        <f ca="1">IFERROR(__xludf.DUMMYFUNCTION("""COMPUTED_VALUE"""),"SCOPUS, Web of Science, DBLP")</f>
        <v>SCOPUS, Web of Science, DBLP</v>
      </c>
      <c r="G598" s="10" t="str">
        <f ca="1">IFERROR(__xludf.DUMMYFUNCTION("""COMPUTED_VALUE"""),"Jan L.G. Dietz")</f>
        <v>Jan L.G. Dietz</v>
      </c>
      <c r="H598" s="10"/>
      <c r="I598" s="10"/>
      <c r="J598" s="10"/>
      <c r="K598" s="10"/>
      <c r="L598" s="10"/>
      <c r="M598" s="10"/>
      <c r="N598" s="10"/>
      <c r="O598" s="10"/>
      <c r="P598" s="10"/>
      <c r="Q598" s="10"/>
      <c r="R598" s="10"/>
      <c r="S598" s="10"/>
      <c r="T598" s="10"/>
      <c r="U598" s="10"/>
      <c r="V598" s="10"/>
      <c r="W598" s="10"/>
      <c r="X598" s="10"/>
      <c r="Y598" s="10"/>
      <c r="Z598" s="10"/>
    </row>
    <row r="599" spans="1:26" ht="12.75">
      <c r="A599" s="10" t="str">
        <f ca="1">IFERROR(__xludf.DUMMYFUNCTION("""COMPUTED_VALUE"""),"Борис Благовестов Шишков")</f>
        <v>Борис Благовестов Шишков</v>
      </c>
      <c r="B599" s="10" t="str">
        <f ca="1">IFERROR(__xludf.DUMMYFUNCTION("""COMPUTED_VALUE"""),"Доклад от конференция")</f>
        <v>Доклад от конференция</v>
      </c>
      <c r="C599" s="10" t="str">
        <f ca="1">IFERROR(__xludf.DUMMYFUNCTION("""COMPUTED_VALUE"""),"Aligning Business Process Modeling and Software Specification in a Component-Based Way, The Advantages of SDBC")</f>
        <v>Aligning Business Process Modeling and Software Specification in a Component-Based Way, The Advantages of SDBC</v>
      </c>
      <c r="D599" s="10">
        <f ca="1">IFERROR(__xludf.DUMMYFUNCTION("""COMPUTED_VALUE"""),2004)</f>
        <v>2004</v>
      </c>
      <c r="E599" s="10" t="str">
        <f ca="1">IFERROR(__xludf.DUMMYFUNCTION("""COMPUTED_VALUE"""),"SCITEPRESS Proceedings of ICEIS 2004 – the 6th International Conference on Enterprise Information Systems ISBN:972-8865-00-7 DOI:10.5220/0002600001030108")</f>
        <v>SCITEPRESS Proceedings of ICEIS 2004 – the 6th International Conference on Enterprise Information Systems ISBN:972-8865-00-7 DOI:10.5220/0002600001030108</v>
      </c>
      <c r="F599" s="10" t="str">
        <f ca="1">IFERROR(__xludf.DUMMYFUNCTION("""COMPUTED_VALUE"""),"SCOPUS, Web of Science, DBLP")</f>
        <v>SCOPUS, Web of Science, DBLP</v>
      </c>
      <c r="G599" s="10" t="str">
        <f ca="1">IFERROR(__xludf.DUMMYFUNCTION("""COMPUTED_VALUE"""),"Jan L.G. Dietz")</f>
        <v>Jan L.G. Dietz</v>
      </c>
      <c r="H599" s="10"/>
      <c r="I599" s="10"/>
      <c r="J599" s="10"/>
      <c r="K599" s="10"/>
      <c r="L599" s="10"/>
      <c r="M599" s="10"/>
      <c r="N599" s="10"/>
      <c r="O599" s="10"/>
      <c r="P599" s="10"/>
      <c r="Q599" s="10"/>
      <c r="R599" s="10"/>
      <c r="S599" s="10"/>
      <c r="T599" s="10"/>
      <c r="U599" s="10"/>
      <c r="V599" s="10"/>
      <c r="W599" s="10"/>
      <c r="X599" s="10"/>
      <c r="Y599" s="10"/>
      <c r="Z599" s="10"/>
    </row>
    <row r="600" spans="1:26" ht="12.75">
      <c r="A600" s="10" t="str">
        <f ca="1">IFERROR(__xludf.DUMMYFUNCTION("""COMPUTED_VALUE"""),"Борис Благовестов Шишков")</f>
        <v>Борис Благовестов Шишков</v>
      </c>
      <c r="B600" s="10" t="str">
        <f ca="1">IFERROR(__xludf.DUMMYFUNCTION("""COMPUTED_VALUE"""),"Доклад от конференция")</f>
        <v>Доклад от конференция</v>
      </c>
      <c r="C600" s="10" t="str">
        <f ca="1">IFERROR(__xludf.DUMMYFUNCTION("""COMPUTED_VALUE"""),"Deriving Use Cases from Business Processes, the Advantages of DEMO")</f>
        <v>Deriving Use Cases from Business Processes, the Advantages of DEMO</v>
      </c>
      <c r="D600" s="10">
        <f ca="1">IFERROR(__xludf.DUMMYFUNCTION("""COMPUTED_VALUE"""),2004)</f>
        <v>2004</v>
      </c>
      <c r="E600" s="10" t="str">
        <f ca="1">IFERROR(__xludf.DUMMYFUNCTION("""COMPUTED_VALUE"""),"Kluwer Academic Publishers Selected Papers from ICEIS 2003 – the 5th International Conference on Enterprise Information Systems ISBN: 978-1-4020-1726-1 DOI: https://doi.org/10.1007/1-4020-2673-0_29")</f>
        <v>Kluwer Academic Publishers Selected Papers from ICEIS 2003 – the 5th International Conference on Enterprise Information Systems ISBN: 978-1-4020-1726-1 DOI: https://doi.org/10.1007/1-4020-2673-0_29</v>
      </c>
      <c r="F600" s="10" t="str">
        <f ca="1">IFERROR(__xludf.DUMMYFUNCTION("""COMPUTED_VALUE"""),"SCOPUS, Web of Science, DBLP")</f>
        <v>SCOPUS, Web of Science, DBLP</v>
      </c>
      <c r="G600" s="10" t="str">
        <f ca="1">IFERROR(__xludf.DUMMYFUNCTION("""COMPUTED_VALUE"""),"Jan L.G. Dietz")</f>
        <v>Jan L.G. Dietz</v>
      </c>
      <c r="H600" s="10"/>
      <c r="I600" s="10"/>
      <c r="J600" s="10"/>
      <c r="K600" s="10"/>
      <c r="L600" s="10"/>
      <c r="M600" s="10"/>
      <c r="N600" s="10"/>
      <c r="O600" s="10"/>
      <c r="P600" s="10"/>
      <c r="Q600" s="10"/>
      <c r="R600" s="10"/>
      <c r="S600" s="10"/>
      <c r="T600" s="10"/>
      <c r="U600" s="10"/>
      <c r="V600" s="10"/>
      <c r="W600" s="10"/>
      <c r="X600" s="10"/>
      <c r="Y600" s="10"/>
      <c r="Z600" s="10"/>
    </row>
    <row r="601" spans="1:26" ht="12.75">
      <c r="A601" s="10" t="str">
        <f ca="1">IFERROR(__xludf.DUMMYFUNCTION("""COMPUTED_VALUE"""),"Борис Благовестов Шишков")</f>
        <v>Борис Благовестов Шишков</v>
      </c>
      <c r="B601" s="10" t="str">
        <f ca="1">IFERROR(__xludf.DUMMYFUNCTION("""COMPUTED_VALUE"""),"Доклад от конференция")</f>
        <v>Доклад от конференция</v>
      </c>
      <c r="C601" s="10" t="str">
        <f ca="1">IFERROR(__xludf.DUMMYFUNCTION("""COMPUTED_VALUE"""),"Designing Cultural Heritage Sector Brokers Using SDBC")</f>
        <v>Designing Cultural Heritage Sector Brokers Using SDBC</v>
      </c>
      <c r="D601" s="10">
        <f ca="1">IFERROR(__xludf.DUMMYFUNCTION("""COMPUTED_VALUE"""),2004)</f>
        <v>2004</v>
      </c>
      <c r="E601" s="10" t="str">
        <f ca="1">IFERROR(__xludf.DUMMYFUNCTION("""COMPUTED_VALUE"""),"ITHEA International Journal “Information Theories &amp; Applications” (IJ ITA), Vol. 11 ISSN: 1310-0513")</f>
        <v>ITHEA International Journal “Information Theories &amp; Applications” (IJ ITA), Vol. 11 ISSN: 1310-0513</v>
      </c>
      <c r="F601" s="10" t="str">
        <f ca="1">IFERROR(__xludf.DUMMYFUNCTION("""COMPUTED_VALUE"""),"SCOPUS")</f>
        <v>SCOPUS</v>
      </c>
      <c r="G601" s="10"/>
      <c r="H601" s="10"/>
      <c r="I601" s="10"/>
      <c r="J601" s="10"/>
      <c r="K601" s="10"/>
      <c r="L601" s="10"/>
      <c r="M601" s="10"/>
      <c r="N601" s="10"/>
      <c r="O601" s="10"/>
      <c r="P601" s="10"/>
      <c r="Q601" s="10"/>
      <c r="R601" s="10"/>
      <c r="S601" s="10"/>
      <c r="T601" s="10"/>
      <c r="U601" s="10"/>
      <c r="V601" s="10"/>
      <c r="W601" s="10"/>
      <c r="X601" s="10"/>
      <c r="Y601" s="10"/>
      <c r="Z601" s="10"/>
    </row>
    <row r="602" spans="1:26" ht="12.75">
      <c r="A602" s="10" t="str">
        <f ca="1">IFERROR(__xludf.DUMMYFUNCTION("""COMPUTED_VALUE"""),"Борис Благовестов Шишков")</f>
        <v>Борис Благовестов Шишков</v>
      </c>
      <c r="B602" s="10" t="str">
        <f ca="1">IFERROR(__xludf.DUMMYFUNCTION("""COMPUTED_VALUE"""),"Доклад от конференция")</f>
        <v>Доклад от конференция</v>
      </c>
      <c r="C602" s="10" t="str">
        <f ca="1">IFERROR(__xludf.DUMMYFUNCTION("""COMPUTED_VALUE"""),"Identifying Business Process Patterns Using Semantic Analysis")</f>
        <v>Identifying Business Process Patterns Using Semantic Analysis</v>
      </c>
      <c r="D602" s="10">
        <f ca="1">IFERROR(__xludf.DUMMYFUNCTION("""COMPUTED_VALUE"""),2004)</f>
        <v>2004</v>
      </c>
      <c r="E602" s="10" t="str">
        <f ca="1">IFERROR(__xludf.DUMMYFUNCTION("""COMPUTED_VALUE"""),"Kluwer Academic Publishers Virtual, Distributed and Flexible Organisations: Studies in Organizational Semiotics III ISBN:978-1-4020-2161-9 DOI:10.1007/1-4020-2162-3_19")</f>
        <v>Kluwer Academic Publishers Virtual, Distributed and Flexible Organisations: Studies in Organizational Semiotics III ISBN:978-1-4020-2161-9 DOI:10.1007/1-4020-2162-3_19</v>
      </c>
      <c r="F602" s="10" t="str">
        <f ca="1">IFERROR(__xludf.DUMMYFUNCTION("""COMPUTED_VALUE"""),"SCOPUS, Web of Science, DBLP")</f>
        <v>SCOPUS, Web of Science, DBLP</v>
      </c>
      <c r="G602" s="10" t="str">
        <f ca="1">IFERROR(__xludf.DUMMYFUNCTION("""COMPUTED_VALUE"""),"Zhiwu Xie, Kecheng Liu, Jan L.G. Dietz")</f>
        <v>Zhiwu Xie, Kecheng Liu, Jan L.G. Dietz</v>
      </c>
      <c r="H602" s="10"/>
      <c r="I602" s="10"/>
      <c r="J602" s="10"/>
      <c r="K602" s="10"/>
      <c r="L602" s="10"/>
      <c r="M602" s="10"/>
      <c r="N602" s="10"/>
      <c r="O602" s="10"/>
      <c r="P602" s="10"/>
      <c r="Q602" s="10"/>
      <c r="R602" s="10"/>
      <c r="S602" s="10"/>
      <c r="T602" s="10"/>
      <c r="U602" s="10"/>
      <c r="V602" s="10"/>
      <c r="W602" s="10"/>
      <c r="X602" s="10"/>
      <c r="Y602" s="10"/>
      <c r="Z602" s="10"/>
    </row>
    <row r="603" spans="1:26" ht="12.75">
      <c r="A603" s="10" t="str">
        <f ca="1">IFERROR(__xludf.DUMMYFUNCTION("""COMPUTED_VALUE"""),"Борис Благовестов Шишков")</f>
        <v>Борис Благовестов Шишков</v>
      </c>
      <c r="B603" s="10" t="str">
        <f ca="1">IFERROR(__xludf.DUMMYFUNCTION("""COMPUTED_VALUE"""),"Доклад от конференция")</f>
        <v>Доклад от конференция</v>
      </c>
      <c r="C603" s="10" t="str">
        <f ca="1">IFERROR(__xludf.DUMMYFUNCTION("""COMPUTED_VALUE"""),"Simulating the Dynamics of Business Components to be Used in Specifying Software Systems")</f>
        <v>Simulating the Dynamics of Business Components to be Used in Specifying Software Systems</v>
      </c>
      <c r="D603" s="10">
        <f ca="1">IFERROR(__xludf.DUMMYFUNCTION("""COMPUTED_VALUE"""),2003)</f>
        <v>2003</v>
      </c>
      <c r="E603" s="10" t="str">
        <f ca="1">IFERROR(__xludf.DUMMYFUNCTION("""COMPUTED_VALUE"""),"SCS Proceedings of SCSC 2003 – the 2003 Summer Computer Simulation Conference ISBN: 1565552687")</f>
        <v>SCS Proceedings of SCSC 2003 – the 2003 Summer Computer Simulation Conference ISBN: 1565552687</v>
      </c>
      <c r="F603" s="10"/>
      <c r="G603" s="10" t="str">
        <f ca="1">IFERROR(__xludf.DUMMYFUNCTION("""COMPUTED_VALUE"""),"Joseph Barjis, Jan L.G. Dietz")</f>
        <v>Joseph Barjis, Jan L.G. Dietz</v>
      </c>
      <c r="H603" s="10"/>
      <c r="I603" s="10"/>
      <c r="J603" s="10"/>
      <c r="K603" s="10"/>
      <c r="L603" s="10"/>
      <c r="M603" s="10"/>
      <c r="N603" s="10"/>
      <c r="O603" s="10"/>
      <c r="P603" s="10"/>
      <c r="Q603" s="10"/>
      <c r="R603" s="10"/>
      <c r="S603" s="10"/>
      <c r="T603" s="10"/>
      <c r="U603" s="10"/>
      <c r="V603" s="10"/>
      <c r="W603" s="10"/>
      <c r="X603" s="10"/>
      <c r="Y603" s="10"/>
      <c r="Z603" s="10"/>
    </row>
    <row r="604" spans="1:26" ht="12.75">
      <c r="A604" s="10" t="str">
        <f ca="1">IFERROR(__xludf.DUMMYFUNCTION("""COMPUTED_VALUE"""),"Борис Благовестов Шишков")</f>
        <v>Борис Благовестов Шишков</v>
      </c>
      <c r="B604" s="10" t="str">
        <f ca="1">IFERROR(__xludf.DUMMYFUNCTION("""COMPUTED_VALUE"""),"Доклад от конференция")</f>
        <v>Доклад от конференция</v>
      </c>
      <c r="C604" s="10" t="str">
        <f ca="1">IFERROR(__xludf.DUMMYFUNCTION("""COMPUTED_VALUE"""),"DEMO-Based Business Engineering Building Blocks – from User Requirements to Use Case Derivation")</f>
        <v>DEMO-Based Business Engineering Building Blocks – from User Requirements to Use Case Derivation</v>
      </c>
      <c r="D604" s="10">
        <f ca="1">IFERROR(__xludf.DUMMYFUNCTION("""COMPUTED_VALUE"""),2003)</f>
        <v>2003</v>
      </c>
      <c r="E604" s="10" t="str">
        <f ca="1">IFERROR(__xludf.DUMMYFUNCTION("""COMPUTED_VALUE"""),"IIIS Proceedings of SCI 2003 – the 7th World Multi-conference on Systemics, Cybernetics and Informatics, Vol. 1 ISBN: 9806560019")</f>
        <v>IIIS Proceedings of SCI 2003 – the 7th World Multi-conference on Systemics, Cybernetics and Informatics, Vol. 1 ISBN: 9806560019</v>
      </c>
      <c r="F604" s="10"/>
      <c r="G604" s="10" t="str">
        <f ca="1">IFERROR(__xludf.DUMMYFUNCTION("""COMPUTED_VALUE"""),"Jan L.G. Dietz")</f>
        <v>Jan L.G. Dietz</v>
      </c>
      <c r="H604" s="10"/>
      <c r="I604" s="10"/>
      <c r="J604" s="10"/>
      <c r="K604" s="10"/>
      <c r="L604" s="10"/>
      <c r="M604" s="10"/>
      <c r="N604" s="10"/>
      <c r="O604" s="10"/>
      <c r="P604" s="10"/>
      <c r="Q604" s="10"/>
      <c r="R604" s="10"/>
      <c r="S604" s="10"/>
      <c r="T604" s="10"/>
      <c r="U604" s="10"/>
      <c r="V604" s="10"/>
      <c r="W604" s="10"/>
      <c r="X604" s="10"/>
      <c r="Y604" s="10"/>
      <c r="Z604" s="10"/>
    </row>
    <row r="605" spans="1:26" ht="12.75">
      <c r="A605" s="10" t="str">
        <f ca="1">IFERROR(__xludf.DUMMYFUNCTION("""COMPUTED_VALUE"""),"Борис Благовестов Шишков")</f>
        <v>Борис Благовестов Шишков</v>
      </c>
      <c r="B605" s="10" t="str">
        <f ca="1">IFERROR(__xludf.DUMMYFUNCTION("""COMPUTED_VALUE"""),"Доклад от конференция")</f>
        <v>Доклад от конференция</v>
      </c>
      <c r="C605" s="10" t="str">
        <f ca="1">IFERROR(__xludf.DUMMYFUNCTION("""COMPUTED_VALUE"""),"Approach for Component-Based Software Specification – Using DEMO-UML Based Generic Components to Design a Tele-Work Brokerage System")</f>
        <v>Approach for Component-Based Software Specification – Using DEMO-UML Based Generic Components to Design a Tele-Work Brokerage System</v>
      </c>
      <c r="D605" s="10">
        <f ca="1">IFERROR(__xludf.DUMMYFUNCTION("""COMPUTED_VALUE"""),2003)</f>
        <v>2003</v>
      </c>
      <c r="E605" s="10" t="str">
        <f ca="1">IFERROR(__xludf.DUMMYFUNCTION("""COMPUTED_VALUE"""),"IADIS IADIS International Journal WWW/Internet: IJWI, Vol. 1, nr. 1 ISSN: 1645-7641")</f>
        <v>IADIS IADIS International Journal WWW/Internet: IJWI, Vol. 1, nr. 1 ISSN: 1645-7641</v>
      </c>
      <c r="F605" s="10"/>
      <c r="G605" s="10" t="str">
        <f ca="1">IFERROR(__xludf.DUMMYFUNCTION("""COMPUTED_VALUE"""),"IADIS IADIS International Journal WWW/Internet: IJWI, Vol. 1, nr. 1 ISSN: 1645-7641")</f>
        <v>IADIS IADIS International Journal WWW/Internet: IJWI, Vol. 1, nr. 1 ISSN: 1645-7641</v>
      </c>
      <c r="H605" s="10"/>
      <c r="I605" s="10"/>
      <c r="J605" s="10"/>
      <c r="K605" s="10"/>
      <c r="L605" s="10"/>
      <c r="M605" s="10"/>
      <c r="N605" s="10"/>
      <c r="O605" s="10"/>
      <c r="P605" s="10"/>
      <c r="Q605" s="10"/>
      <c r="R605" s="10"/>
      <c r="S605" s="10"/>
      <c r="T605" s="10"/>
      <c r="U605" s="10"/>
      <c r="V605" s="10"/>
      <c r="W605" s="10"/>
      <c r="X605" s="10"/>
      <c r="Y605" s="10"/>
      <c r="Z605" s="10"/>
    </row>
    <row r="606" spans="1:26" ht="12.75">
      <c r="A606" s="10" t="str">
        <f ca="1">IFERROR(__xludf.DUMMYFUNCTION("""COMPUTED_VALUE"""),"Борис Благовестов Шишков")</f>
        <v>Борис Благовестов Шишков</v>
      </c>
      <c r="B606" s="10" t="str">
        <f ca="1">IFERROR(__xludf.DUMMYFUNCTION("""COMPUTED_VALUE"""),"Доклад от конференция")</f>
        <v>Доклад от конференция</v>
      </c>
      <c r="C606" s="10" t="str">
        <f ca="1">IFERROR(__xludf.DUMMYFUNCTION("""COMPUTED_VALUE"""),"Deriving Use Cases from Business Processes, the Advantages of DEMO")</f>
        <v>Deriving Use Cases from Business Processes, the Advantages of DEMO</v>
      </c>
      <c r="D606" s="10">
        <f ca="1">IFERROR(__xludf.DUMMYFUNCTION("""COMPUTED_VALUE"""),2003)</f>
        <v>2003</v>
      </c>
      <c r="E606" s="10" t="str">
        <f ca="1">IFERROR(__xludf.DUMMYFUNCTION("""COMPUTED_VALUE"""),"SCITEPRESS Proceedings of ICEIS 2003 – the 5th International Conference on Enterprise Information Systems ISBN: 9729881618")</f>
        <v>SCITEPRESS Proceedings of ICEIS 2003 – the 5th International Conference on Enterprise Information Systems ISBN: 9729881618</v>
      </c>
      <c r="F606" s="10"/>
      <c r="G606" s="10" t="str">
        <f ca="1">IFERROR(__xludf.DUMMYFUNCTION("""COMPUTED_VALUE"""),"Jan L.G. Dietz")</f>
        <v>Jan L.G. Dietz</v>
      </c>
      <c r="H606" s="10"/>
      <c r="I606" s="10"/>
      <c r="J606" s="10"/>
      <c r="K606" s="10"/>
      <c r="L606" s="10"/>
      <c r="M606" s="10"/>
      <c r="N606" s="10"/>
      <c r="O606" s="10"/>
      <c r="P606" s="10"/>
      <c r="Q606" s="10"/>
      <c r="R606" s="10"/>
      <c r="S606" s="10"/>
      <c r="T606" s="10"/>
      <c r="U606" s="10"/>
      <c r="V606" s="10"/>
      <c r="W606" s="10"/>
      <c r="X606" s="10"/>
      <c r="Y606" s="10"/>
      <c r="Z606" s="10"/>
    </row>
    <row r="607" spans="1:26" ht="12.75">
      <c r="A607" s="10" t="str">
        <f ca="1">IFERROR(__xludf.DUMMYFUNCTION("""COMPUTED_VALUE"""),"Борис Благовестов Шишков")</f>
        <v>Борис Благовестов Шишков</v>
      </c>
      <c r="B607" s="10" t="str">
        <f ca="1">IFERROR(__xludf.DUMMYFUNCTION("""COMPUTED_VALUE"""),"Доклад от конференция")</f>
        <v>Доклад от конференция</v>
      </c>
      <c r="C607" s="10" t="str">
        <f ca="1">IFERROR(__xludf.DUMMYFUNCTION("""COMPUTED_VALUE"""),"Deriving Use Cases from Business Process Models Developed Using Norm Analysis")</f>
        <v>Deriving Use Cases from Business Process Models Developed Using Norm Analysis</v>
      </c>
      <c r="D607" s="10">
        <f ca="1">IFERROR(__xludf.DUMMYFUNCTION("""COMPUTED_VALUE"""),2003)</f>
        <v>2003</v>
      </c>
      <c r="E607" s="10" t="str">
        <f ca="1">IFERROR(__xludf.DUMMYFUNCTION("""COMPUTED_VALUE"""),"Kluwer Academic Publishers Dynamics and Change in Organizations: Studies in Organizational Semiotics III ISBN: 978-94-010-3986-4 DOI: https://doi.org/10.1007/978-94-010-0161-8_7")</f>
        <v>Kluwer Academic Publishers Dynamics and Change in Organizations: Studies in Organizational Semiotics III ISBN: 978-94-010-3986-4 DOI: https://doi.org/10.1007/978-94-010-0161-8_7</v>
      </c>
      <c r="F607" s="10" t="str">
        <f ca="1">IFERROR(__xludf.DUMMYFUNCTION("""COMPUTED_VALUE"""),"SCOPUS")</f>
        <v>SCOPUS</v>
      </c>
      <c r="G607" s="10" t="str">
        <f ca="1">IFERROR(__xludf.DUMMYFUNCTION("""COMPUTED_VALUE"""),"Zhiwu Xie, Kecheng Liu, Jan L.G. Dietz")</f>
        <v>Zhiwu Xie, Kecheng Liu, Jan L.G. Dietz</v>
      </c>
      <c r="H607" s="10"/>
      <c r="I607" s="10"/>
      <c r="J607" s="10"/>
      <c r="K607" s="10"/>
      <c r="L607" s="10"/>
      <c r="M607" s="10"/>
      <c r="N607" s="10"/>
      <c r="O607" s="10"/>
      <c r="P607" s="10"/>
      <c r="Q607" s="10"/>
      <c r="R607" s="10"/>
      <c r="S607" s="10"/>
      <c r="T607" s="10"/>
      <c r="U607" s="10"/>
      <c r="V607" s="10"/>
      <c r="W607" s="10"/>
      <c r="X607" s="10"/>
      <c r="Y607" s="10"/>
      <c r="Z607" s="10"/>
    </row>
    <row r="608" spans="1:26" ht="12.75">
      <c r="A608" s="10" t="str">
        <f ca="1">IFERROR(__xludf.DUMMYFUNCTION("""COMPUTED_VALUE"""),"Борис Благовестов Шишков")</f>
        <v>Борис Благовестов Шишков</v>
      </c>
      <c r="B608" s="10" t="str">
        <f ca="1">IFERROR(__xludf.DUMMYFUNCTION("""COMPUTED_VALUE"""),"Доклад от конференция")</f>
        <v>Доклад от конференция</v>
      </c>
      <c r="C608" s="10" t="str">
        <f ca="1">IFERROR(__xludf.DUMMYFUNCTION("""COMPUTED_VALUE"""),"Introduction: Universe of Discourse")</f>
        <v>Introduction: Universe of Discourse</v>
      </c>
      <c r="D608" s="10">
        <f ca="1">IFERROR(__xludf.DUMMYFUNCTION("""COMPUTED_VALUE"""),2002)</f>
        <v>2002</v>
      </c>
      <c r="E608" s="10" t="str">
        <f ca="1">IFERROR(__xludf.DUMMYFUNCTION("""COMPUTED_VALUE"""),"TU Delft Building blocks for Effective Telematic Application Development and Evaluation ISBN: 9056380923, 9789056380922")</f>
        <v>TU Delft Building blocks for Effective Telematic Application Development and Evaluation ISBN: 9056380923, 9789056380922</v>
      </c>
      <c r="F608" s="10"/>
      <c r="G608" s="10" t="str">
        <f ca="1">IFERROR(__xludf.DUMMYFUNCTION("""COMPUTED_VALUE"""),"Rene van Horik, Nadia Ayad")</f>
        <v>Rene van Horik, Nadia Ayad</v>
      </c>
      <c r="H608" s="10"/>
      <c r="I608" s="10"/>
      <c r="J608" s="10"/>
      <c r="K608" s="10"/>
      <c r="L608" s="10"/>
      <c r="M608" s="10"/>
      <c r="N608" s="10"/>
      <c r="O608" s="10"/>
      <c r="P608" s="10"/>
      <c r="Q608" s="10"/>
      <c r="R608" s="10"/>
      <c r="S608" s="10"/>
      <c r="T608" s="10"/>
      <c r="U608" s="10"/>
      <c r="V608" s="10"/>
      <c r="W608" s="10"/>
      <c r="X608" s="10"/>
      <c r="Y608" s="10"/>
      <c r="Z608" s="10"/>
    </row>
    <row r="609" spans="1:26" ht="12.75">
      <c r="A609" s="10" t="str">
        <f ca="1">IFERROR(__xludf.DUMMYFUNCTION("""COMPUTED_VALUE"""),"Борис Благовестов Шишков")</f>
        <v>Борис Благовестов Шишков</v>
      </c>
      <c r="B609" s="10" t="str">
        <f ca="1">IFERROR(__xludf.DUMMYFUNCTION("""COMPUTED_VALUE"""),"Доклад от конференция")</f>
        <v>Доклад от конференция</v>
      </c>
      <c r="C609" s="10" t="str">
        <f ca="1">IFERROR(__xludf.DUMMYFUNCTION("""COMPUTED_VALUE"""),"Towards Business Engineering Building Blocks")</f>
        <v>Towards Business Engineering Building Blocks</v>
      </c>
      <c r="D609" s="10">
        <f ca="1">IFERROR(__xludf.DUMMYFUNCTION("""COMPUTED_VALUE"""),2002)</f>
        <v>2002</v>
      </c>
      <c r="E609" s="10" t="str">
        <f ca="1">IFERROR(__xludf.DUMMYFUNCTION("""COMPUTED_VALUE"""),"TU Delft Building blocks for Effective Telematic Application Development and Evaluation ISBN: 9056380923, 9789056380922")</f>
        <v>TU Delft Building blocks for Effective Telematic Application Development and Evaluation ISBN: 9056380923, 9789056380922</v>
      </c>
      <c r="F609" s="10"/>
      <c r="G609" s="10" t="str">
        <f ca="1">IFERROR(__xludf.DUMMYFUNCTION("""COMPUTED_VALUE"""),"Jan L.G. Dietz")</f>
        <v>Jan L.G. Dietz</v>
      </c>
      <c r="H609" s="10"/>
      <c r="I609" s="10"/>
      <c r="J609" s="10"/>
      <c r="K609" s="10"/>
      <c r="L609" s="10"/>
      <c r="M609" s="10"/>
      <c r="N609" s="10"/>
      <c r="O609" s="10"/>
      <c r="P609" s="10"/>
      <c r="Q609" s="10"/>
      <c r="R609" s="10"/>
      <c r="S609" s="10"/>
      <c r="T609" s="10"/>
      <c r="U609" s="10"/>
      <c r="V609" s="10"/>
      <c r="W609" s="10"/>
      <c r="X609" s="10"/>
      <c r="Y609" s="10"/>
      <c r="Z609" s="10"/>
    </row>
    <row r="610" spans="1:26" ht="12.75">
      <c r="A610" s="10" t="str">
        <f ca="1">IFERROR(__xludf.DUMMYFUNCTION("""COMPUTED_VALUE"""),"Борис Благовестов Шишков")</f>
        <v>Борис Благовестов Шишков</v>
      </c>
      <c r="B610" s="10" t="str">
        <f ca="1">IFERROR(__xludf.DUMMYFUNCTION("""COMPUTED_VALUE"""),"Доклад от конференция")</f>
        <v>Доклад от конференция</v>
      </c>
      <c r="C610" s="10" t="str">
        <f ca="1">IFERROR(__xludf.DUMMYFUNCTION("""COMPUTED_VALUE"""),"Modeling of e-Commerce Brokerage Systems Using UML")</f>
        <v>Modeling of e-Commerce Brokerage Systems Using UML</v>
      </c>
      <c r="D610" s="10">
        <f ca="1">IFERROR(__xludf.DUMMYFUNCTION("""COMPUTED_VALUE"""),2002)</f>
        <v>2002</v>
      </c>
      <c r="E610" s="10" t="str">
        <f ca="1">IFERROR(__xludf.DUMMYFUNCTION("""COMPUTED_VALUE"""),"Publishing House of the Union of Scientists of Bulgaria Proceedings of SAER 2002 – the 16th International Conference on Systems for Automation of Engineering and Research ISBN: 954-8329-42-5")</f>
        <v>Publishing House of the Union of Scientists of Bulgaria Proceedings of SAER 2002 – the 16th International Conference on Systems for Automation of Engineering and Research ISBN: 954-8329-42-5</v>
      </c>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c r="A611" s="10" t="str">
        <f ca="1">IFERROR(__xludf.DUMMYFUNCTION("""COMPUTED_VALUE"""),"Борис Благовестов Шишков")</f>
        <v>Борис Благовестов Шишков</v>
      </c>
      <c r="B611" s="10" t="str">
        <f ca="1">IFERROR(__xludf.DUMMYFUNCTION("""COMPUTED_VALUE"""),"Доклад от конференция")</f>
        <v>Доклад от конференция</v>
      </c>
      <c r="C611" s="10" t="str">
        <f ca="1">IFERROR(__xludf.DUMMYFUNCTION("""COMPUTED_VALUE"""),"Design of Tele-Work Brokerage Systems Using DEMO-UML Based Generic Components")</f>
        <v>Design of Tele-Work Brokerage Systems Using DEMO-UML Based Generic Components</v>
      </c>
      <c r="D611" s="10">
        <f ca="1">IFERROR(__xludf.DUMMYFUNCTION("""COMPUTED_VALUE"""),2002)</f>
        <v>2002</v>
      </c>
      <c r="E611" s="10" t="str">
        <f ca="1">IFERROR(__xludf.DUMMYFUNCTION("""COMPUTED_VALUE"""),"IADIS Proceedings of the IADIS International Conference on WWW/Internet ISBN: 972-9027-53-6")</f>
        <v>IADIS Proceedings of the IADIS International Conference on WWW/Internet ISBN: 972-9027-53-6</v>
      </c>
      <c r="F611" s="10"/>
      <c r="G611" s="10" t="str">
        <f ca="1">IFERROR(__xludf.DUMMYFUNCTION("""COMPUTED_VALUE"""),"Jan L.G. Dietz")</f>
        <v>Jan L.G. Dietz</v>
      </c>
      <c r="H611" s="10"/>
      <c r="I611" s="10"/>
      <c r="J611" s="10"/>
      <c r="K611" s="10"/>
      <c r="L611" s="10"/>
      <c r="M611" s="10"/>
      <c r="N611" s="10"/>
      <c r="O611" s="10"/>
      <c r="P611" s="10"/>
      <c r="Q611" s="10"/>
      <c r="R611" s="10"/>
      <c r="S611" s="10"/>
      <c r="T611" s="10"/>
      <c r="U611" s="10"/>
      <c r="V611" s="10"/>
      <c r="W611" s="10"/>
      <c r="X611" s="10"/>
      <c r="Y611" s="10"/>
      <c r="Z611" s="10"/>
    </row>
    <row r="612" spans="1:26" ht="12.75">
      <c r="A612" s="10" t="str">
        <f ca="1">IFERROR(__xludf.DUMMYFUNCTION("""COMPUTED_VALUE"""),"Борис Благовестов Шишков")</f>
        <v>Борис Благовестов Шишков</v>
      </c>
      <c r="B612" s="10" t="str">
        <f ca="1">IFERROR(__xludf.DUMMYFUNCTION("""COMPUTED_VALUE"""),"Доклад от конференция")</f>
        <v>Доклад от конференция</v>
      </c>
      <c r="C612" s="10" t="str">
        <f ca="1">IFERROR(__xludf.DUMMYFUNCTION("""COMPUTED_VALUE"""),"Modeling of e-Business Brokerage Systems Using UML and Petri Net")</f>
        <v>Modeling of e-Business Brokerage Systems Using UML and Petri Net</v>
      </c>
      <c r="D612" s="10">
        <f ca="1">IFERROR(__xludf.DUMMYFUNCTION("""COMPUTED_VALUE"""),2002)</f>
        <v>2002</v>
      </c>
      <c r="E612" s="10" t="str">
        <f ca="1">IFERROR(__xludf.DUMMYFUNCTION("""COMPUTED_VALUE"""),"Kluwer Academic Publisher Proceedings of the 17th edition of the IFIP World Computer Congress ISBN:978-1-4757-5493-3 DOI:10.1007/978-0-387-35604-4_5")</f>
        <v>Kluwer Academic Publisher Proceedings of the 17th edition of the IFIP World Computer Congress ISBN:978-1-4757-5493-3 DOI:10.1007/978-0-387-35604-4_5</v>
      </c>
      <c r="F612" s="10" t="str">
        <f ca="1">IFERROR(__xludf.DUMMYFUNCTION("""COMPUTED_VALUE"""),"SCOPUS, Web of Science, DBLP")</f>
        <v>SCOPUS, Web of Science, DBLP</v>
      </c>
      <c r="G612" s="10" t="str">
        <f ca="1">IFERROR(__xludf.DUMMYFUNCTION("""COMPUTED_VALUE"""),"Joseph Barjis")</f>
        <v>Joseph Barjis</v>
      </c>
      <c r="H612" s="10"/>
      <c r="I612" s="10"/>
      <c r="J612" s="10"/>
      <c r="K612" s="10"/>
      <c r="L612" s="10"/>
      <c r="M612" s="10"/>
      <c r="N612" s="10"/>
      <c r="O612" s="10"/>
      <c r="P612" s="10"/>
      <c r="Q612" s="10"/>
      <c r="R612" s="10"/>
      <c r="S612" s="10"/>
      <c r="T612" s="10"/>
      <c r="U612" s="10"/>
      <c r="V612" s="10"/>
      <c r="W612" s="10"/>
      <c r="X612" s="10"/>
      <c r="Y612" s="10"/>
      <c r="Z612" s="10"/>
    </row>
    <row r="613" spans="1:26" ht="12.75">
      <c r="A613" s="10" t="str">
        <f ca="1">IFERROR(__xludf.DUMMYFUNCTION("""COMPUTED_VALUE"""),"Борис Благовестов Шишков")</f>
        <v>Борис Благовестов Шишков</v>
      </c>
      <c r="B613" s="10" t="str">
        <f ca="1">IFERROR(__xludf.DUMMYFUNCTION("""COMPUTED_VALUE"""),"Доклад от конференция")</f>
        <v>Доклад от конференция</v>
      </c>
      <c r="C613" s="10" t="str">
        <f ca="1">IFERROR(__xludf.DUMMYFUNCTION("""COMPUTED_VALUE"""),"Validation of Business Components via Simulation")</f>
        <v>Validation of Business Components via Simulation</v>
      </c>
      <c r="D613" s="10">
        <f ca="1">IFERROR(__xludf.DUMMYFUNCTION("""COMPUTED_VALUE"""),2002)</f>
        <v>2002</v>
      </c>
      <c r="E613" s="10" t="str">
        <f ca="1">IFERROR(__xludf.DUMMYFUNCTION("""COMPUTED_VALUE"""),"SCS Proceedings of SCSC 2002 – the 2002 Summer Computer Simulation Conference ISBN: 1565552555")</f>
        <v>SCS Proceedings of SCSC 2002 – the 2002 Summer Computer Simulation Conference ISBN: 1565552555</v>
      </c>
      <c r="F613" s="10"/>
      <c r="G613" s="10" t="str">
        <f ca="1">IFERROR(__xludf.DUMMYFUNCTION("""COMPUTED_VALUE"""),"Joseph Barjis, Jan L.G. Dietz")</f>
        <v>Joseph Barjis, Jan L.G. Dietz</v>
      </c>
      <c r="H613" s="10"/>
      <c r="I613" s="10"/>
      <c r="J613" s="10"/>
      <c r="K613" s="10"/>
      <c r="L613" s="10"/>
      <c r="M613" s="10"/>
      <c r="N613" s="10"/>
      <c r="O613" s="10"/>
      <c r="P613" s="10"/>
      <c r="Q613" s="10"/>
      <c r="R613" s="10"/>
      <c r="S613" s="10"/>
      <c r="T613" s="10"/>
      <c r="U613" s="10"/>
      <c r="V613" s="10"/>
      <c r="W613" s="10"/>
      <c r="X613" s="10"/>
      <c r="Y613" s="10"/>
      <c r="Z613" s="10"/>
    </row>
    <row r="614" spans="1:26" ht="12.75">
      <c r="A614" s="10" t="str">
        <f ca="1">IFERROR(__xludf.DUMMYFUNCTION("""COMPUTED_VALUE"""),"Борис Благовестов Шишков")</f>
        <v>Борис Благовестов Шишков</v>
      </c>
      <c r="B614" s="10" t="str">
        <f ca="1">IFERROR(__xludf.DUMMYFUNCTION("""COMPUTED_VALUE"""),"Доклад от конференция")</f>
        <v>Доклад от конференция</v>
      </c>
      <c r="C614" s="10" t="str">
        <f ca="1">IFERROR(__xludf.DUMMYFUNCTION("""COMPUTED_VALUE"""),"Modeling of e-Business Brokerage Systems Using DEMO and UML")</f>
        <v>Modeling of e-Business Brokerage Systems Using DEMO and UML</v>
      </c>
      <c r="D614" s="10">
        <f ca="1">IFERROR(__xludf.DUMMYFUNCTION("""COMPUTED_VALUE"""),2002)</f>
        <v>2002</v>
      </c>
      <c r="E614" s="10" t="str">
        <f ca="1">IFERROR(__xludf.DUMMYFUNCTION("""COMPUTED_VALUE"""),"TU Delft Building blocks for Effective Telematic Application Development and Evaluation ISBN: 9056380923, 9789056380922")</f>
        <v>TU Delft Building blocks for Effective Telematic Application Development and Evaluation ISBN: 9056380923, 9789056380922</v>
      </c>
      <c r="F614" s="10"/>
      <c r="G614" s="10" t="str">
        <f ca="1">IFERROR(__xludf.DUMMYFUNCTION("""COMPUTED_VALUE"""),"Jan L.G. Dietz")</f>
        <v>Jan L.G. Dietz</v>
      </c>
      <c r="H614" s="10"/>
      <c r="I614" s="10"/>
      <c r="J614" s="10"/>
      <c r="K614" s="10"/>
      <c r="L614" s="10"/>
      <c r="M614" s="10"/>
      <c r="N614" s="10"/>
      <c r="O614" s="10"/>
      <c r="P614" s="10"/>
      <c r="Q614" s="10"/>
      <c r="R614" s="10"/>
      <c r="S614" s="10"/>
      <c r="T614" s="10"/>
      <c r="U614" s="10"/>
      <c r="V614" s="10"/>
      <c r="W614" s="10"/>
      <c r="X614" s="10"/>
      <c r="Y614" s="10"/>
      <c r="Z614" s="10"/>
    </row>
    <row r="615" spans="1:26" ht="12.75">
      <c r="A615" s="10" t="str">
        <f ca="1">IFERROR(__xludf.DUMMYFUNCTION("""COMPUTED_VALUE"""),"Борис Благовестов Шишков")</f>
        <v>Борис Благовестов Шишков</v>
      </c>
      <c r="B615" s="10" t="str">
        <f ca="1">IFERROR(__xludf.DUMMYFUNCTION("""COMPUTED_VALUE"""),"Доклад от конференция")</f>
        <v>Доклад от конференция</v>
      </c>
      <c r="C615" s="10" t="str">
        <f ca="1">IFERROR(__xludf.DUMMYFUNCTION("""COMPUTED_VALUE"""),"Analysis of Suitability, Appropriateness and Adequacy of Use Cases Combined with Activity Diagram for Business Systems Modeling")</f>
        <v>Analysis of Suitability, Appropriateness and Adequacy of Use Cases Combined with Activity Diagram for Business Systems Modeling</v>
      </c>
      <c r="D615" s="10">
        <f ca="1">IFERROR(__xludf.DUMMYFUNCTION("""COMPUTED_VALUE"""),2001)</f>
        <v>2001</v>
      </c>
      <c r="E615" s="10" t="str">
        <f ca="1">IFERROR(__xludf.DUMMYFUNCTION("""COMPUTED_VALUE"""),"ICEIS Press Proceedings of ICEIS 2001 – the 3rd International Conference on Enterprise Information Systems ISBN: 9729805024")</f>
        <v>ICEIS Press Proceedings of ICEIS 2001 – the 3rd International Conference on Enterprise Information Systems ISBN: 9729805024</v>
      </c>
      <c r="F615" s="10" t="str">
        <f ca="1">IFERROR(__xludf.DUMMYFUNCTION("""COMPUTED_VALUE"""),"SCOPUS")</f>
        <v>SCOPUS</v>
      </c>
      <c r="G615" s="10" t="str">
        <f ca="1">IFERROR(__xludf.DUMMYFUNCTION("""COMPUTED_VALUE"""),"Jan L.G. Dietz")</f>
        <v>Jan L.G. Dietz</v>
      </c>
      <c r="H615" s="10"/>
      <c r="I615" s="10"/>
      <c r="J615" s="10"/>
      <c r="K615" s="10"/>
      <c r="L615" s="10"/>
      <c r="M615" s="10"/>
      <c r="N615" s="10"/>
      <c r="O615" s="10"/>
      <c r="P615" s="10"/>
      <c r="Q615" s="10"/>
      <c r="R615" s="10"/>
      <c r="S615" s="10"/>
      <c r="T615" s="10"/>
      <c r="U615" s="10"/>
      <c r="V615" s="10"/>
      <c r="W615" s="10"/>
      <c r="X615" s="10"/>
      <c r="Y615" s="10"/>
      <c r="Z615" s="10"/>
    </row>
    <row r="616" spans="1:26" ht="12.75">
      <c r="A616" s="10" t="str">
        <f ca="1">IFERROR(__xludf.DUMMYFUNCTION("""COMPUTED_VALUE"""),"Борис Благовестов Шишков")</f>
        <v>Борис Благовестов Шишков</v>
      </c>
      <c r="B616" s="10" t="str">
        <f ca="1">IFERROR(__xludf.DUMMYFUNCTION("""COMPUTED_VALUE"""),"Доклад от конференция")</f>
        <v>Доклад от конференция</v>
      </c>
      <c r="C616" s="10" t="str">
        <f ca="1">IFERROR(__xludf.DUMMYFUNCTION("""COMPUTED_VALUE"""),"UML Based Business Systems Modeling and Simulation")</f>
        <v>UML Based Business Systems Modeling and Simulation</v>
      </c>
      <c r="D616" s="10">
        <f ca="1">IFERROR(__xludf.DUMMYFUNCTION("""COMPUTED_VALUE"""),2001)</f>
        <v>2001</v>
      </c>
      <c r="E616" s="10" t="str">
        <f ca="1">IFERROR(__xludf.DUMMYFUNCTION("""COMPUTED_VALUE"""),"Proceedings of EUROSIM 2001 – the International EUROSIM 2001 Congress ISBN: 90-806441-1-0")</f>
        <v>Proceedings of EUROSIM 2001 – the International EUROSIM 2001 Congress ISBN: 90-806441-1-0</v>
      </c>
      <c r="F616" s="10"/>
      <c r="G616" s="10" t="str">
        <f ca="1">IFERROR(__xludf.DUMMYFUNCTION("""COMPUTED_VALUE"""),"Joseph Barjis")</f>
        <v>Joseph Barjis</v>
      </c>
      <c r="H616" s="10"/>
      <c r="I616" s="10"/>
      <c r="J616" s="10"/>
      <c r="K616" s="10"/>
      <c r="L616" s="10"/>
      <c r="M616" s="10"/>
      <c r="N616" s="10"/>
      <c r="O616" s="10"/>
      <c r="P616" s="10"/>
      <c r="Q616" s="10"/>
      <c r="R616" s="10"/>
      <c r="S616" s="10"/>
      <c r="T616" s="10"/>
      <c r="U616" s="10"/>
      <c r="V616" s="10"/>
      <c r="W616" s="10"/>
      <c r="X616" s="10"/>
      <c r="Y616" s="10"/>
      <c r="Z616" s="10"/>
    </row>
    <row r="617" spans="1:26" ht="12.75">
      <c r="A617" s="10" t="str">
        <f ca="1">IFERROR(__xludf.DUMMYFUNCTION("""COMPUTED_VALUE"""),"Борис Благовестов Шишков")</f>
        <v>Борис Благовестов Шишков</v>
      </c>
      <c r="B617" s="10" t="str">
        <f ca="1">IFERROR(__xludf.DUMMYFUNCTION("""COMPUTED_VALUE"""),"Доклад от конференция")</f>
        <v>Доклад от конференция</v>
      </c>
      <c r="C617" s="10" t="str">
        <f ca="1">IFERROR(__xludf.DUMMYFUNCTION("""COMPUTED_VALUE"""),"Analysis of a System of Telecenters as a Distributed Network")</f>
        <v>Analysis of a System of Telecenters as a Distributed Network</v>
      </c>
      <c r="D617" s="10">
        <f ca="1">IFERROR(__xludf.DUMMYFUNCTION("""COMPUTED_VALUE"""),2001)</f>
        <v>2001</v>
      </c>
      <c r="E617" s="10" t="str">
        <f ca="1">IFERROR(__xludf.DUMMYFUNCTION("""COMPUTED_VALUE"""),"Publishing House of the Union of Scientists of Bulgaria Proceedings of SAER 2000 – the 14th International Conference on Systems for Automation of Engineering and Research ISBN: 954-8329-22-0")</f>
        <v>Publishing House of the Union of Scientists of Bulgaria Proceedings of SAER 2000 – the 14th International Conference on Systems for Automation of Engineering and Research ISBN: 954-8329-22-0</v>
      </c>
      <c r="F617" s="10"/>
      <c r="G617" s="10" t="str">
        <f ca="1">IFERROR(__xludf.DUMMYFUNCTION("""COMPUTED_VALUE"""),"Joseph Barjis")</f>
        <v>Joseph Barjis</v>
      </c>
      <c r="H617" s="10"/>
      <c r="I617" s="10"/>
      <c r="J617" s="10"/>
      <c r="K617" s="10"/>
      <c r="L617" s="10"/>
      <c r="M617" s="10"/>
      <c r="N617" s="10"/>
      <c r="O617" s="10"/>
      <c r="P617" s="10"/>
      <c r="Q617" s="10"/>
      <c r="R617" s="10"/>
      <c r="S617" s="10"/>
      <c r="T617" s="10"/>
      <c r="U617" s="10"/>
      <c r="V617" s="10"/>
      <c r="W617" s="10"/>
      <c r="X617" s="10"/>
      <c r="Y617" s="10"/>
      <c r="Z617" s="10"/>
    </row>
    <row r="618" spans="1:26" ht="12.75">
      <c r="A618" s="10" t="str">
        <f ca="1">IFERROR(__xludf.DUMMYFUNCTION("""COMPUTED_VALUE"""),"Борис Благовестов Шишков")</f>
        <v>Борис Благовестов Шишков</v>
      </c>
      <c r="B618" s="10" t="str">
        <f ca="1">IFERROR(__xludf.DUMMYFUNCTION("""COMPUTED_VALUE"""),"Доклад от конференция")</f>
        <v>Доклад от конференция</v>
      </c>
      <c r="C618" s="10" t="str">
        <f ca="1">IFERROR(__xludf.DUMMYFUNCTION("""COMPUTED_VALUE"""),"Telematic Applications for Supporting Telework Related Activities")</f>
        <v>Telematic Applications for Supporting Telework Related Activities</v>
      </c>
      <c r="D618" s="10">
        <f ca="1">IFERROR(__xludf.DUMMYFUNCTION("""COMPUTED_VALUE"""),2001)</f>
        <v>2001</v>
      </c>
      <c r="E618" s="10" t="str">
        <f ca="1">IFERROR(__xludf.DUMMYFUNCTION("""COMPUTED_VALUE"""),"IEEE Proceedings of CSCWD 2001 – the 6th International Conference on Computer Supported Cooperative Work in Design ISBN: 0-660-18493-1 DOI: 10.1109/CSCWD.2001.942317")</f>
        <v>IEEE Proceedings of CSCWD 2001 – the 6th International Conference on Computer Supported Cooperative Work in Design ISBN: 0-660-18493-1 DOI: 10.1109/CSCWD.2001.942317</v>
      </c>
      <c r="F618" s="10" t="str">
        <f ca="1">IFERROR(__xludf.DUMMYFUNCTION("""COMPUTED_VALUE"""),"SCOPUS, Web of Science, DBLP")</f>
        <v>SCOPUS, Web of Science, DBLP</v>
      </c>
      <c r="G618" s="10" t="str">
        <f ca="1">IFERROR(__xludf.DUMMYFUNCTION("""COMPUTED_VALUE"""),"Joseph Barjis")</f>
        <v>Joseph Barjis</v>
      </c>
      <c r="H618" s="10"/>
      <c r="I618" s="10"/>
      <c r="J618" s="10"/>
      <c r="K618" s="10"/>
      <c r="L618" s="10"/>
      <c r="M618" s="10"/>
      <c r="N618" s="10"/>
      <c r="O618" s="10"/>
      <c r="P618" s="10"/>
      <c r="Q618" s="10"/>
      <c r="R618" s="10"/>
      <c r="S618" s="10"/>
      <c r="T618" s="10"/>
      <c r="U618" s="10"/>
      <c r="V618" s="10"/>
      <c r="W618" s="10"/>
      <c r="X618" s="10"/>
      <c r="Y618" s="10"/>
      <c r="Z618" s="10"/>
    </row>
    <row r="619" spans="1:26" ht="12.75">
      <c r="A619" s="10" t="str">
        <f ca="1">IFERROR(__xludf.DUMMYFUNCTION("""COMPUTED_VALUE"""),"Борис Благовестов Шишков")</f>
        <v>Борис Благовестов Шишков</v>
      </c>
      <c r="B619" s="10" t="str">
        <f ca="1">IFERROR(__xludf.DUMMYFUNCTION("""COMPUTED_VALUE"""),"Доклад от конференция")</f>
        <v>Доклад от конференция</v>
      </c>
      <c r="C619" s="10" t="str">
        <f ca="1">IFERROR(__xludf.DUMMYFUNCTION("""COMPUTED_VALUE"""),"Application Potentials of Use Cases in Modeling of Telework Support Systems")</f>
        <v>Application Potentials of Use Cases in Modeling of Telework Support Systems</v>
      </c>
      <c r="D619" s="10">
        <f ca="1">IFERROR(__xludf.DUMMYFUNCTION("""COMPUTED_VALUE"""),2001)</f>
        <v>2001</v>
      </c>
      <c r="E619" s="10" t="str">
        <f ca="1">IFERROR(__xludf.DUMMYFUNCTION("""COMPUTED_VALUE"""),"IIIS Proceedings of SCI 2001 – the 5th World Multi-conference on Systemics, Cybernetics and Informatics ISBN: 980-07-7541-2")</f>
        <v>IIIS Proceedings of SCI 2001 – the 5th World Multi-conference on Systemics, Cybernetics and Informatics ISBN: 980-07-7541-2</v>
      </c>
      <c r="F619" s="10"/>
      <c r="G619" s="10" t="str">
        <f ca="1">IFERROR(__xludf.DUMMYFUNCTION("""COMPUTED_VALUE"""),"Joseph Barjis")</f>
        <v>Joseph Barjis</v>
      </c>
      <c r="H619" s="10"/>
      <c r="I619" s="10"/>
      <c r="J619" s="10"/>
      <c r="K619" s="10"/>
      <c r="L619" s="10"/>
      <c r="M619" s="10"/>
      <c r="N619" s="10"/>
      <c r="O619" s="10"/>
      <c r="P619" s="10"/>
      <c r="Q619" s="10"/>
      <c r="R619" s="10"/>
      <c r="S619" s="10"/>
      <c r="T619" s="10"/>
      <c r="U619" s="10"/>
      <c r="V619" s="10"/>
      <c r="W619" s="10"/>
      <c r="X619" s="10"/>
      <c r="Y619" s="10"/>
      <c r="Z619" s="10"/>
    </row>
    <row r="620" spans="1:26" ht="12.75">
      <c r="A620" s="10" t="str">
        <f ca="1">IFERROR(__xludf.DUMMYFUNCTION("""COMPUTED_VALUE"""),"Борис Йорданов Борисов")</f>
        <v>Борис Йорданов Борисов</v>
      </c>
      <c r="B620" s="10" t="str">
        <f ca="1">IFERROR(__xludf.DUMMYFUNCTION("""COMPUTED_VALUE"""),"Статия в списания и поредици")</f>
        <v>Статия в списания и поредици</v>
      </c>
      <c r="C620" s="10" t="str">
        <f ca="1">IFERROR(__xludf.DUMMYFUNCTION("""COMPUTED_VALUE"""),"Management of communication and reputation processes as a basis for regional development")</f>
        <v>Management of communication and reputation processes as a basis for regional development</v>
      </c>
      <c r="D620" s="10">
        <f ca="1">IFERROR(__xludf.DUMMYFUNCTION("""COMPUTED_VALUE"""),2019)</f>
        <v>2019</v>
      </c>
      <c r="E620" s="10" t="str">
        <f ca="1">IFERROR(__xludf.DUMMYFUNCTION("""COMPUTED_VALUE"""),"Management of communication and reputation processes as a basis for regional development // SocioBrains, International scientific refereed online journal with impact factor, ISSUE 54, february 2019, p.363-367, http://sociobrains.com/MANUAL_DIR/SocioBrains"&amp;"/Issue%2054,%20February%202019/Section%20_Human%20Geography,%20Regional%20Development%20and%20Tourism_/17_%20BORIS%20BORISOFF.pdf, ISSN 2367-5721")</f>
        <v>Management of communication and reputation processes as a basis for regional development // SocioBrains, International scientific refereed online journal with impact factor, ISSUE 54, february 2019, p.363-367, http://sociobrains.com/MANUAL_DIR/SocioBrains/Issue%2054,%20February%202019/Section%20_Human%20Geography,%20Regional%20Development%20and%20Tourism_/17_%20BORIS%20BORISOFF.pdf, ISSN 2367-5721</v>
      </c>
      <c r="F620" s="10"/>
      <c r="G620" s="10"/>
      <c r="H620" s="10"/>
      <c r="I620" s="10"/>
      <c r="J620" s="10"/>
      <c r="K620" s="10"/>
      <c r="L620" s="10"/>
      <c r="M620" s="10"/>
      <c r="N620" s="10"/>
      <c r="O620" s="10"/>
      <c r="P620" s="10"/>
      <c r="Q620" s="10"/>
      <c r="R620" s="10"/>
      <c r="S620" s="10"/>
      <c r="T620" s="10"/>
      <c r="U620" s="10"/>
      <c r="V620" s="10"/>
      <c r="W620" s="10"/>
      <c r="X620" s="10"/>
      <c r="Y620" s="10"/>
      <c r="Z620" s="10"/>
    </row>
    <row r="621" spans="1:26" ht="12.75">
      <c r="A621" s="10" t="str">
        <f ca="1">IFERROR(__xludf.DUMMYFUNCTION("""COMPUTED_VALUE"""),"Борис Йорданов Борисов")</f>
        <v>Борис Йорданов Борисов</v>
      </c>
      <c r="B621" s="10" t="str">
        <f ca="1">IFERROR(__xludf.DUMMYFUNCTION("""COMPUTED_VALUE"""),"Монография")</f>
        <v>Монография</v>
      </c>
      <c r="C621" s="10" t="str">
        <f ca="1">IFERROR(__xludf.DUMMYFUNCTION("""COMPUTED_VALUE"""),"Репутация и Виртуално пространство")</f>
        <v>Репутация и Виртуално пространство</v>
      </c>
      <c r="D621" s="10">
        <f ca="1">IFERROR(__xludf.DUMMYFUNCTION("""COMPUTED_VALUE"""),2019)</f>
        <v>2019</v>
      </c>
      <c r="E621" s="10" t="str">
        <f ca="1">IFERROR(__xludf.DUMMYFUNCTION("""COMPUTED_VALUE"""),"Авангард Прима, София, 2019, стр. 127, ISBN 978-619ISBN 978-619-239-217-8")</f>
        <v>Авангард Прима, София, 2019, стр. 127, ISBN 978-619ISBN 978-619-239-217-8</v>
      </c>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c r="A622" s="10" t="str">
        <f ca="1">IFERROR(__xludf.DUMMYFUNCTION("""COMPUTED_VALUE"""),"Борис Йорданов Борисов")</f>
        <v>Борис Йорданов Борисов</v>
      </c>
      <c r="B622" s="10" t="str">
        <f ca="1">IFERROR(__xludf.DUMMYFUNCTION("""COMPUTED_VALUE"""),"Статия в списания и поредици")</f>
        <v>Статия в списания и поредици</v>
      </c>
      <c r="C622" s="10" t="str">
        <f ca="1">IFERROR(__xludf.DUMMYFUNCTION("""COMPUTED_VALUE"""),"The Virtual Space and the Innovational Approaches to the Formation of Reputation in the Field of Tourism")</f>
        <v>The Virtual Space and the Innovational Approaches to the Formation of Reputation in the Field of Tourism</v>
      </c>
      <c r="D622" s="10">
        <f ca="1">IFERROR(__xludf.DUMMYFUNCTION("""COMPUTED_VALUE"""),2019)</f>
        <v>2019</v>
      </c>
      <c r="E622" s="10" t="str">
        <f ca="1">IFERROR(__xludf.DUMMYFUNCTION("""COMPUTED_VALUE"""),"Tourism an intercultural communication and innovations, Cambridge Scholars Publishing, 2019, p. 61-72, ISBN (10): 1-5275-3317-4, ISBN (13): 978-1-5275-3317-2")</f>
        <v>Tourism an intercultural communication and innovations, Cambridge Scholars Publishing, 2019, p. 61-72, ISBN (10): 1-5275-3317-4, ISBN (13): 978-1-5275-3317-2</v>
      </c>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c r="A623" s="10" t="str">
        <f ca="1">IFERROR(__xludf.DUMMYFUNCTION("""COMPUTED_VALUE"""),"Борис Йорданов Борисов")</f>
        <v>Борис Йорданов Борисов</v>
      </c>
      <c r="B623" s="10" t="str">
        <f ca="1">IFERROR(__xludf.DUMMYFUNCTION("""COMPUTED_VALUE"""),"Статия в списания и поредици")</f>
        <v>Статия в списания и поредици</v>
      </c>
      <c r="C623" s="10" t="str">
        <f ca="1">IFERROR(__xludf.DUMMYFUNCTION("""COMPUTED_VALUE"""),"ПР проявления във Виртуалното пространство")</f>
        <v>ПР проявления във Виртуалното пространство</v>
      </c>
      <c r="D623" s="10">
        <f ca="1">IFERROR(__xludf.DUMMYFUNCTION("""COMPUTED_VALUE"""),2019)</f>
        <v>2019</v>
      </c>
      <c r="E623" s="10" t="str">
        <f ca="1">IFERROR(__xludf.DUMMYFUNCTION("""COMPUTED_VALUE"""),"Комуникация, медии, манипулация, Холотера, София, 2019 стр.89-100, ISBN 978-619-7165-15-9")</f>
        <v>Комуникация, медии, манипулация, Холотера, София, 2019 стр.89-100, ISBN 978-619-7165-15-9</v>
      </c>
      <c r="F623" s="10"/>
      <c r="G623" s="10"/>
      <c r="H623" s="10"/>
      <c r="I623" s="10"/>
      <c r="J623" s="10"/>
      <c r="K623" s="10"/>
      <c r="L623" s="10"/>
      <c r="M623" s="10"/>
      <c r="N623" s="10"/>
      <c r="O623" s="10"/>
      <c r="P623" s="10"/>
      <c r="Q623" s="10"/>
      <c r="R623" s="10"/>
      <c r="S623" s="10"/>
      <c r="T623" s="10"/>
      <c r="U623" s="10"/>
      <c r="V623" s="10"/>
      <c r="W623" s="10"/>
      <c r="X623" s="10"/>
      <c r="Y623" s="10"/>
      <c r="Z623" s="10"/>
    </row>
    <row r="624" spans="1:26" ht="12.75">
      <c r="A624" s="10" t="str">
        <f ca="1">IFERROR(__xludf.DUMMYFUNCTION("""COMPUTED_VALUE"""),"Борис Йорданов Борисов")</f>
        <v>Борис Йорданов Борисов</v>
      </c>
      <c r="B624" s="10" t="str">
        <f ca="1">IFERROR(__xludf.DUMMYFUNCTION("""COMPUTED_VALUE"""),"Статия в списания и поредици")</f>
        <v>Статия в списания и поредици</v>
      </c>
      <c r="C624" s="10" t="str">
        <f ca="1">IFERROR(__xludf.DUMMYFUNCTION("""COMPUTED_VALUE"""),"Дигитални ресурси на туристическата индустрия")</f>
        <v>Дигитални ресурси на туристическата индустрия</v>
      </c>
      <c r="D624" s="10">
        <f ca="1">IFERROR(__xludf.DUMMYFUNCTION("""COMPUTED_VALUE"""),2019)</f>
        <v>2019</v>
      </c>
      <c r="E624" s="10" t="str">
        <f ca="1">IFERROR(__xludf.DUMMYFUNCTION("""COMPUTED_VALUE"""),"MICE туризмът: фестивали, инсентиви, конференции, изложения, С")</f>
        <v>MICE туризмът: фестивали, инсентиви, конференции, изложения, С</v>
      </c>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c r="A625" s="10" t="str">
        <f ca="1">IFERROR(__xludf.DUMMYFUNCTION("""COMPUTED_VALUE"""),"Борис Йорданов Борисов")</f>
        <v>Борис Йорданов Борисов</v>
      </c>
      <c r="B625" s="10" t="str">
        <f ca="1">IFERROR(__xludf.DUMMYFUNCTION("""COMPUTED_VALUE"""),"Статия в списания и поредици")</f>
        <v>Статия в списания и поредици</v>
      </c>
      <c r="C625" s="10" t="str">
        <f ca="1">IFERROR(__xludf.DUMMYFUNCTION("""COMPUTED_VALUE"""),"Creating reputation in the tourism sphere. Forecasting and futurology")</f>
        <v>Creating reputation in the tourism sphere. Forecasting and futurology</v>
      </c>
      <c r="D625" s="10">
        <f ca="1">IFERROR(__xludf.DUMMYFUNCTION("""COMPUTED_VALUE"""),2018)</f>
        <v>2018</v>
      </c>
      <c r="E625" s="10" t="str">
        <f ca="1">IFERROR(__xludf.DUMMYFUNCTION("""COMPUTED_VALUE"""),"The cultural corridors of south-eastern Europe: cultural tourism without boundaries, Neofit Rilski publishing house, 2018, ISBN 978-954-00-0176-0-CD")</f>
        <v>The cultural corridors of south-eastern Europe: cultural tourism without boundaries, Neofit Rilski publishing house, 2018, ISBN 978-954-00-0176-0-CD</v>
      </c>
      <c r="F625" s="10"/>
      <c r="G625" s="10"/>
      <c r="H625" s="10"/>
      <c r="I625" s="10"/>
      <c r="J625" s="10"/>
      <c r="K625" s="10"/>
      <c r="L625" s="10"/>
      <c r="M625" s="10"/>
      <c r="N625" s="10"/>
      <c r="O625" s="10"/>
      <c r="P625" s="10"/>
      <c r="Q625" s="10"/>
      <c r="R625" s="10"/>
      <c r="S625" s="10"/>
      <c r="T625" s="10"/>
      <c r="U625" s="10"/>
      <c r="V625" s="10"/>
      <c r="W625" s="10"/>
      <c r="X625" s="10"/>
      <c r="Y625" s="10"/>
      <c r="Z625" s="10"/>
    </row>
    <row r="626" spans="1:26" ht="12.75">
      <c r="A626" s="10" t="str">
        <f ca="1">IFERROR(__xludf.DUMMYFUNCTION("""COMPUTED_VALUE"""),"Борис Йорданов Борисов")</f>
        <v>Борис Йорданов Борисов</v>
      </c>
      <c r="B626" s="10" t="str">
        <f ca="1">IFERROR(__xludf.DUMMYFUNCTION("""COMPUTED_VALUE"""),"Статия в списания и поредици")</f>
        <v>Статия в списания и поредици</v>
      </c>
      <c r="C626" s="10" t="str">
        <f ca="1">IFERROR(__xludf.DUMMYFUNCTION("""COMPUTED_VALUE"""),"Дигитални аспекти при управление на репутацията в областта на хотелиерството")</f>
        <v>Дигитални аспекти при управление на репутацията в областта на хотелиерството</v>
      </c>
      <c r="D626" s="10">
        <f ca="1">IFERROR(__xludf.DUMMYFUNCTION("""COMPUTED_VALUE"""),2018)</f>
        <v>2018</v>
      </c>
      <c r="E626" s="10" t="str">
        <f ca="1">IFERROR(__xludf.DUMMYFUNCTION("""COMPUTED_VALUE"""),"Черноморският регион – дестинация за устойчиви туристически продукти, Славена, Варна, 2018, ISBN 978-619-190-122-7")</f>
        <v>Черноморският регион – дестинация за устойчиви туристически продукти, Славена, Варна, 2018, ISBN 978-619-190-122-7</v>
      </c>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c r="A627" s="10" t="str">
        <f ca="1">IFERROR(__xludf.DUMMYFUNCTION("""COMPUTED_VALUE"""),"Борис Йорданов Борисов")</f>
        <v>Борис Йорданов Борисов</v>
      </c>
      <c r="B627" s="10" t="str">
        <f ca="1">IFERROR(__xludf.DUMMYFUNCTION("""COMPUTED_VALUE"""),"Статия в списания и поредици")</f>
        <v>Статия в списания и поредици</v>
      </c>
      <c r="C627" s="10" t="str">
        <f ca="1">IFERROR(__xludf.DUMMYFUNCTION("""COMPUTED_VALUE"""),"Управление на репутация на туристическа фирма във Виртуалното пространство")</f>
        <v>Управление на репутация на туристическа фирма във Виртуалното пространство</v>
      </c>
      <c r="D627" s="10">
        <f ca="1">IFERROR(__xludf.DUMMYFUNCTION("""COMPUTED_VALUE"""),2018)</f>
        <v>2018</v>
      </c>
      <c r="E627" s="10" t="str">
        <f ca="1">IFERROR(__xludf.DUMMYFUNCTION("""COMPUTED_VALUE"""),"Туризмът и иновациите, Наука и икономика, Икономически университет – Варна, Варна, 2018, р.204-213 ISBN 978-954-21-0973-0")</f>
        <v>Туризмът и иновациите, Наука и икономика, Икономически университет – Варна, Варна, 2018, р.204-213 ISBN 978-954-21-0973-0</v>
      </c>
      <c r="F627" s="10"/>
      <c r="G627" s="10"/>
      <c r="H627" s="10"/>
      <c r="I627" s="10"/>
      <c r="J627" s="10"/>
      <c r="K627" s="10"/>
      <c r="L627" s="10"/>
      <c r="M627" s="10"/>
      <c r="N627" s="10"/>
      <c r="O627" s="10"/>
      <c r="P627" s="10"/>
      <c r="Q627" s="10"/>
      <c r="R627" s="10"/>
      <c r="S627" s="10"/>
      <c r="T627" s="10"/>
      <c r="U627" s="10"/>
      <c r="V627" s="10"/>
      <c r="W627" s="10"/>
      <c r="X627" s="10"/>
      <c r="Y627" s="10"/>
      <c r="Z627" s="10"/>
    </row>
    <row r="628" spans="1:26" ht="12.75">
      <c r="A628" s="10" t="str">
        <f ca="1">IFERROR(__xludf.DUMMYFUNCTION("""COMPUTED_VALUE"""),"Борис Йорданов Борисов")</f>
        <v>Борис Йорданов Борисов</v>
      </c>
      <c r="B628" s="10" t="str">
        <f ca="1">IFERROR(__xludf.DUMMYFUNCTION("""COMPUTED_VALUE"""),"Статия в списания и поредици")</f>
        <v>Статия в списания и поредици</v>
      </c>
      <c r="C628" s="10" t="str">
        <f ca="1">IFERROR(__xludf.DUMMYFUNCTION("""COMPUTED_VALUE"""),"Reputation management on tour agency in the virtual space")</f>
        <v>Reputation management on tour agency in the virtual space</v>
      </c>
      <c r="D628" s="10">
        <f ca="1">IFERROR(__xludf.DUMMYFUNCTION("""COMPUTED_VALUE"""),2018)</f>
        <v>2018</v>
      </c>
      <c r="E628" s="10" t="str">
        <f ca="1">IFERROR(__xludf.DUMMYFUNCTION("""COMPUTED_VALUE"""),"Туризмът и иновациите, Наука и икономика, Варна, 2018")</f>
        <v>Туризмът и иновациите, Наука и икономика, Варна, 2018</v>
      </c>
      <c r="F628" s="10"/>
      <c r="G628" s="10"/>
      <c r="H628" s="10"/>
      <c r="I628" s="10"/>
      <c r="J628" s="10"/>
      <c r="K628" s="10"/>
      <c r="L628" s="10"/>
      <c r="M628" s="10"/>
      <c r="N628" s="10"/>
      <c r="O628" s="10"/>
      <c r="P628" s="10"/>
      <c r="Q628" s="10"/>
      <c r="R628" s="10"/>
      <c r="S628" s="10"/>
      <c r="T628" s="10"/>
      <c r="U628" s="10"/>
      <c r="V628" s="10"/>
      <c r="W628" s="10"/>
      <c r="X628" s="10"/>
      <c r="Y628" s="10"/>
      <c r="Z628" s="10"/>
    </row>
    <row r="629" spans="1:26" ht="12.75">
      <c r="A629" s="10" t="str">
        <f ca="1">IFERROR(__xludf.DUMMYFUNCTION("""COMPUTED_VALUE"""),"Борис Йорданов Борисов")</f>
        <v>Борис Йорданов Борисов</v>
      </c>
      <c r="B629" s="10" t="str">
        <f ca="1">IFERROR(__xludf.DUMMYFUNCTION("""COMPUTED_VALUE"""),"Книга")</f>
        <v>Книга</v>
      </c>
      <c r="C629" s="10" t="str">
        <f ca="1">IFERROR(__xludf.DUMMYFUNCTION("""COMPUTED_VALUE"""),"Информационни и комуникационни въздействия при деловите преговори")</f>
        <v>Информационни и комуникационни въздействия при деловите преговори</v>
      </c>
      <c r="D629" s="10">
        <f ca="1">IFERROR(__xludf.DUMMYFUNCTION("""COMPUTED_VALUE"""),2017)</f>
        <v>2017</v>
      </c>
      <c r="E629" s="10" t="str">
        <f ca="1">IFERROR(__xludf.DUMMYFUNCTION("""COMPUTED_VALUE"""),"Авангард Прима, София, 2017 ISSN: 978-619-160-883-6")</f>
        <v>Авангард Прима, София, 2017 ISSN: 978-619-160-883-6</v>
      </c>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c r="A630" s="10" t="str">
        <f ca="1">IFERROR(__xludf.DUMMYFUNCTION("""COMPUTED_VALUE"""),"Борис Йорданов Борисов")</f>
        <v>Борис Йорданов Борисов</v>
      </c>
      <c r="B630" s="10" t="str">
        <f ca="1">IFERROR(__xludf.DUMMYFUNCTION("""COMPUTED_VALUE"""),"Статия в списания и поредици")</f>
        <v>Статия в списания и поредици</v>
      </c>
      <c r="C630" s="10" t="str">
        <f ca="1">IFERROR(__xludf.DUMMYFUNCTION("""COMPUTED_VALUE"""),"Влиянието на репутацията и маркетинговите взаимодействия по отношение на туристическите дестинации")</f>
        <v>Влиянието на репутацията и маркетинговите взаимодействия по отношение на туристическите дестинации</v>
      </c>
      <c r="D630" s="10">
        <f ca="1">IFERROR(__xludf.DUMMYFUNCTION("""COMPUTED_VALUE"""),2017)</f>
        <v>2017</v>
      </c>
      <c r="E630" s="10" t="str">
        <f ca="1">IFERROR(__xludf.DUMMYFUNCTION("""COMPUTED_VALUE"""),"Местната идентичност и глобалният туризъм, Славена, Варна, 2017, ISBN 9786191900909")</f>
        <v>Местната идентичност и глобалният туризъм, Славена, Варна, 2017, ISBN 9786191900909</v>
      </c>
      <c r="F630" s="10"/>
      <c r="G630" s="10"/>
      <c r="H630" s="10"/>
      <c r="I630" s="10"/>
      <c r="J630" s="10"/>
      <c r="K630" s="10"/>
      <c r="L630" s="10"/>
      <c r="M630" s="10"/>
      <c r="N630" s="10"/>
      <c r="O630" s="10"/>
      <c r="P630" s="10"/>
      <c r="Q630" s="10"/>
      <c r="R630" s="10"/>
      <c r="S630" s="10"/>
      <c r="T630" s="10"/>
      <c r="U630" s="10"/>
      <c r="V630" s="10"/>
      <c r="W630" s="10"/>
      <c r="X630" s="10"/>
      <c r="Y630" s="10"/>
      <c r="Z630" s="10"/>
    </row>
    <row r="631" spans="1:26" ht="12.75">
      <c r="A631" s="10" t="str">
        <f ca="1">IFERROR(__xludf.DUMMYFUNCTION("""COMPUTED_VALUE"""),"Борис Йорданов Борисов")</f>
        <v>Борис Йорданов Борисов</v>
      </c>
      <c r="B631" s="10" t="str">
        <f ca="1">IFERROR(__xludf.DUMMYFUNCTION("""COMPUTED_VALUE"""),"Статия в списания и поредици")</f>
        <v>Статия в списания и поредици</v>
      </c>
      <c r="C631" s="10" t="str">
        <f ca="1">IFERROR(__xludf.DUMMYFUNCTION("""COMPUTED_VALUE"""),"Местно управление, репутация и жизненост на туристическите дестинации")</f>
        <v>Местно управление, репутация и жизненост на туристическите дестинации</v>
      </c>
      <c r="D631" s="10">
        <f ca="1">IFERROR(__xludf.DUMMYFUNCTION("""COMPUTED_VALUE"""),2017)</f>
        <v>2017</v>
      </c>
      <c r="E631" s="10" t="str">
        <f ca="1">IFERROR(__xludf.DUMMYFUNCTION("""COMPUTED_VALUE"""),"Туризъм, иновации, стратегии. Университет Проф. д-р Асен Златаров – Бургас, Бургас, 2017, р 241-246 ISBN 978-619-7125-34-4")</f>
        <v>Туризъм, иновации, стратегии. Университет Проф. д-р Асен Златаров – Бургас, Бургас, 2017, р 241-246 ISBN 978-619-7125-34-4</v>
      </c>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c r="A632" s="10" t="str">
        <f ca="1">IFERROR(__xludf.DUMMYFUNCTION("""COMPUTED_VALUE"""),"Борис Йорданов Борисов")</f>
        <v>Борис Йорданов Борисов</v>
      </c>
      <c r="B632" s="10" t="str">
        <f ca="1">IFERROR(__xludf.DUMMYFUNCTION("""COMPUTED_VALUE"""),"Статия в списания и поредици")</f>
        <v>Статия в списания и поредици</v>
      </c>
      <c r="C632" s="10" t="str">
        <f ca="1">IFERROR(__xludf.DUMMYFUNCTION("""COMPUTED_VALUE"""),"Маркетинг и репутация във Виртуалното пространство")</f>
        <v>Маркетинг и репутация във Виртуалното пространство</v>
      </c>
      <c r="D632" s="10">
        <f ca="1">IFERROR(__xludf.DUMMYFUNCTION("""COMPUTED_VALUE"""),2017)</f>
        <v>2017</v>
      </c>
      <c r="E632" s="10" t="str">
        <f ca="1">IFERROR(__xludf.DUMMYFUNCTION("""COMPUTED_VALUE"""),"Комуникации и политики, За буквите – О’писменехь, София, 2017, ISBN 978-619-185-304-5 (print)")</f>
        <v>Комуникации и политики, За буквите – О’писменехь, София, 2017, ISBN 978-619-185-304-5 (print)</v>
      </c>
      <c r="F632" s="10"/>
      <c r="G632" s="10"/>
      <c r="H632" s="10"/>
      <c r="I632" s="10"/>
      <c r="J632" s="10"/>
      <c r="K632" s="10"/>
      <c r="L632" s="10"/>
      <c r="M632" s="10"/>
      <c r="N632" s="10"/>
      <c r="O632" s="10"/>
      <c r="P632" s="10"/>
      <c r="Q632" s="10"/>
      <c r="R632" s="10"/>
      <c r="S632" s="10"/>
      <c r="T632" s="10"/>
      <c r="U632" s="10"/>
      <c r="V632" s="10"/>
      <c r="W632" s="10"/>
      <c r="X632" s="10"/>
      <c r="Y632" s="10"/>
      <c r="Z632" s="10"/>
    </row>
    <row r="633" spans="1:26" ht="12.75">
      <c r="A633" s="10" t="str">
        <f ca="1">IFERROR(__xludf.DUMMYFUNCTION("""COMPUTED_VALUE"""),"Борис Йорданов Борисов")</f>
        <v>Борис Йорданов Борисов</v>
      </c>
      <c r="B633" s="10" t="str">
        <f ca="1">IFERROR(__xludf.DUMMYFUNCTION("""COMPUTED_VALUE"""),"Статия в списания и поредици")</f>
        <v>Статия в списания и поредици</v>
      </c>
      <c r="C633" s="10" t="str">
        <f ca="1">IFERROR(__xludf.DUMMYFUNCTION("""COMPUTED_VALUE"""),"Съвременни аспекти при изграждане на обществената репутация")</f>
        <v>Съвременни аспекти при изграждане на обществената репутация</v>
      </c>
      <c r="D633" s="10">
        <f ca="1">IFERROR(__xludf.DUMMYFUNCTION("""COMPUTED_VALUE"""),2017)</f>
        <v>2017</v>
      </c>
      <c r="E633" s="10" t="str">
        <f ca="1">IFERROR(__xludf.DUMMYFUNCTION("""COMPUTED_VALUE"""),"Обществото на знанието и хуманизма ХХI век, За буквите – О писменехь, София, 2017, ISSN 1314-7099")</f>
        <v>Обществото на знанието и хуманизма ХХI век, За буквите – О писменехь, София, 2017, ISSN 1314-7099</v>
      </c>
      <c r="F633" s="10"/>
      <c r="G633" s="10"/>
      <c r="H633" s="10"/>
      <c r="I633" s="10"/>
      <c r="J633" s="10"/>
      <c r="K633" s="10"/>
      <c r="L633" s="10"/>
      <c r="M633" s="10"/>
      <c r="N633" s="10"/>
      <c r="O633" s="10"/>
      <c r="P633" s="10"/>
      <c r="Q633" s="10"/>
      <c r="R633" s="10"/>
      <c r="S633" s="10"/>
      <c r="T633" s="10"/>
      <c r="U633" s="10"/>
      <c r="V633" s="10"/>
      <c r="W633" s="10"/>
      <c r="X633" s="10"/>
      <c r="Y633" s="10"/>
      <c r="Z633" s="10"/>
    </row>
    <row r="634" spans="1:26" ht="12.75">
      <c r="A634" s="10" t="str">
        <f ca="1">IFERROR(__xludf.DUMMYFUNCTION("""COMPUTED_VALUE"""),"Борис Йорданов Борисов")</f>
        <v>Борис Йорданов Борисов</v>
      </c>
      <c r="B634" s="10" t="str">
        <f ca="1">IFERROR(__xludf.DUMMYFUNCTION("""COMPUTED_VALUE"""),"Статия в списания и поредици")</f>
        <v>Статия в списания и поредици</v>
      </c>
      <c r="C634" s="10" t="str">
        <f ca="1">IFERROR(__xludf.DUMMYFUNCTION("""COMPUTED_VALUE"""),"Social projection as a tool in developing tourism")</f>
        <v>Social projection as a tool in developing tourism</v>
      </c>
      <c r="D634" s="10">
        <f ca="1">IFERROR(__xludf.DUMMYFUNCTION("""COMPUTED_VALUE"""),2016)</f>
        <v>2016</v>
      </c>
      <c r="E634" s="10" t="str">
        <f ca="1">IFERROR(__xludf.DUMMYFUNCTION("""COMPUTED_VALUE"""),"Neofit Rilski Publishing house, Lefkada, 2016, ISBN 978-954-300-158-3.")</f>
        <v>Neofit Rilski Publishing house, Lefkada, 2016, ISBN 978-954-300-158-3.</v>
      </c>
      <c r="F634" s="10"/>
      <c r="G634" s="10"/>
      <c r="H634" s="10"/>
      <c r="I634" s="10"/>
      <c r="J634" s="10"/>
      <c r="K634" s="10"/>
      <c r="L634" s="10"/>
      <c r="M634" s="10"/>
      <c r="N634" s="10"/>
      <c r="O634" s="10"/>
      <c r="P634" s="10"/>
      <c r="Q634" s="10"/>
      <c r="R634" s="10"/>
      <c r="S634" s="10"/>
      <c r="T634" s="10"/>
      <c r="U634" s="10"/>
      <c r="V634" s="10"/>
      <c r="W634" s="10"/>
      <c r="X634" s="10"/>
      <c r="Y634" s="10"/>
      <c r="Z634" s="10"/>
    </row>
    <row r="635" spans="1:26" ht="12.75">
      <c r="A635" s="10" t="str">
        <f ca="1">IFERROR(__xludf.DUMMYFUNCTION("""COMPUTED_VALUE"""),"Борис Йорданов Борисов")</f>
        <v>Борис Йорданов Борисов</v>
      </c>
      <c r="B635" s="10" t="str">
        <f ca="1">IFERROR(__xludf.DUMMYFUNCTION("""COMPUTED_VALUE"""),"Статия в списания и поредици")</f>
        <v>Статия в списания и поредици</v>
      </c>
      <c r="C635" s="10" t="str">
        <f ca="1">IFERROR(__xludf.DUMMYFUNCTION("""COMPUTED_VALUE"""),"Маркетинговите комуникации и тяхното определяне като фактор при прогнозирането в областта на туризма")</f>
        <v>Маркетинговите комуникации и тяхното определяне като фактор при прогнозирането в областта на туризма</v>
      </c>
      <c r="D635" s="10">
        <f ca="1">IFERROR(__xludf.DUMMYFUNCTION("""COMPUTED_VALUE"""),2016)</f>
        <v>2016</v>
      </c>
      <c r="E635" s="10" t="str">
        <f ca="1">IFERROR(__xludf.DUMMYFUNCTION("""COMPUTED_VALUE"""),"България – туристическа дестинация за четири сезона, Славена, 2016, Варна, стр. 333-340 ISBN 978‐954‐449‐889‐4")</f>
        <v>България – туристическа дестинация за четири сезона, Славена, 2016, Варна, стр. 333-340 ISBN 978‐954‐449‐889‐4</v>
      </c>
      <c r="F635" s="10"/>
      <c r="G635" s="10"/>
      <c r="H635" s="10"/>
      <c r="I635" s="10"/>
      <c r="J635" s="10"/>
      <c r="K635" s="10"/>
      <c r="L635" s="10"/>
      <c r="M635" s="10"/>
      <c r="N635" s="10"/>
      <c r="O635" s="10"/>
      <c r="P635" s="10"/>
      <c r="Q635" s="10"/>
      <c r="R635" s="10"/>
      <c r="S635" s="10"/>
      <c r="T635" s="10"/>
      <c r="U635" s="10"/>
      <c r="V635" s="10"/>
      <c r="W635" s="10"/>
      <c r="X635" s="10"/>
      <c r="Y635" s="10"/>
      <c r="Z635" s="10"/>
    </row>
    <row r="636" spans="1:26" ht="12.75">
      <c r="A636" s="10" t="str">
        <f ca="1">IFERROR(__xludf.DUMMYFUNCTION("""COMPUTED_VALUE"""),"Борис Йорданов Борисов")</f>
        <v>Борис Йорданов Борисов</v>
      </c>
      <c r="B636" s="10" t="str">
        <f ca="1">IFERROR(__xludf.DUMMYFUNCTION("""COMPUTED_VALUE"""),"Доклад от конференция")</f>
        <v>Доклад от конференция</v>
      </c>
      <c r="C636" s="10" t="str">
        <f ca="1">IFERROR(__xludf.DUMMYFUNCTION("""COMPUTED_VALUE"""),"Четенето като форма на комуникация")</f>
        <v>Четенето като форма на комуникация</v>
      </c>
      <c r="D636" s="10">
        <f ca="1">IFERROR(__xludf.DUMMYFUNCTION("""COMPUTED_VALUE"""),2016)</f>
        <v>2016</v>
      </c>
      <c r="E636" s="10" t="str">
        <f ca="1">IFERROR(__xludf.DUMMYFUNCTION("""COMPUTED_VALUE"""),"Обществото на знанието и хуманизмът на ХХI век, За буквите – О‘писменехь, София, 2016, стр.138-146 ISSN 1314-7099")</f>
        <v>Обществото на знанието и хуманизмът на ХХI век, За буквите – О‘писменехь, София, 2016, стр.138-146 ISSN 1314-7099</v>
      </c>
      <c r="F636" s="10"/>
      <c r="G636" s="10"/>
      <c r="H636" s="10"/>
      <c r="I636" s="10"/>
      <c r="J636" s="10"/>
      <c r="K636" s="10"/>
      <c r="L636" s="10"/>
      <c r="M636" s="10"/>
      <c r="N636" s="10"/>
      <c r="O636" s="10"/>
      <c r="P636" s="10"/>
      <c r="Q636" s="10"/>
      <c r="R636" s="10"/>
      <c r="S636" s="10"/>
      <c r="T636" s="10"/>
      <c r="U636" s="10"/>
      <c r="V636" s="10"/>
      <c r="W636" s="10"/>
      <c r="X636" s="10"/>
      <c r="Y636" s="10"/>
      <c r="Z636" s="10"/>
    </row>
    <row r="637" spans="1:26" ht="12.75">
      <c r="A637" s="10" t="str">
        <f ca="1">IFERROR(__xludf.DUMMYFUNCTION("""COMPUTED_VALUE"""),"Борис Йорданов Борисов")</f>
        <v>Борис Йорданов Борисов</v>
      </c>
      <c r="B637" s="10" t="str">
        <f ca="1">IFERROR(__xludf.DUMMYFUNCTION("""COMPUTED_VALUE"""),"Статия в списания и поредици")</f>
        <v>Статия в списания и поредици</v>
      </c>
      <c r="C637" s="10" t="str">
        <f ca="1">IFERROR(__xludf.DUMMYFUNCTION("""COMPUTED_VALUE"""),"Съвременни проблеми при публичното представяне на нови идеи")</f>
        <v>Съвременни проблеми при публичното представяне на нови идеи</v>
      </c>
      <c r="D637" s="10">
        <f ca="1">IFERROR(__xludf.DUMMYFUNCTION("""COMPUTED_VALUE"""),2016)</f>
        <v>2016</v>
      </c>
      <c r="E637" s="10" t="str">
        <f ca="1">IFERROR(__xludf.DUMMYFUNCTION("""COMPUTED_VALUE"""),"Проблеми на обществената комуникация, За буквите – О’писменехь, София, 2016, ISSN 2534-9430")</f>
        <v>Проблеми на обществената комуникация, За буквите – О’писменехь, София, 2016, ISSN 2534-9430</v>
      </c>
      <c r="F637" s="10"/>
      <c r="G637" s="10"/>
      <c r="H637" s="10"/>
      <c r="I637" s="10"/>
      <c r="J637" s="10"/>
      <c r="K637" s="10"/>
      <c r="L637" s="10"/>
      <c r="M637" s="10"/>
      <c r="N637" s="10"/>
      <c r="O637" s="10"/>
      <c r="P637" s="10"/>
      <c r="Q637" s="10"/>
      <c r="R637" s="10"/>
      <c r="S637" s="10"/>
      <c r="T637" s="10"/>
      <c r="U637" s="10"/>
      <c r="V637" s="10"/>
      <c r="W637" s="10"/>
      <c r="X637" s="10"/>
      <c r="Y637" s="10"/>
      <c r="Z637" s="10"/>
    </row>
    <row r="638" spans="1:26" ht="12.75">
      <c r="A638" s="10" t="str">
        <f ca="1">IFERROR(__xludf.DUMMYFUNCTION("""COMPUTED_VALUE"""),"Борис Йорданов Борисов")</f>
        <v>Борис Йорданов Борисов</v>
      </c>
      <c r="B638" s="10" t="str">
        <f ca="1">IFERROR(__xludf.DUMMYFUNCTION("""COMPUTED_VALUE"""),"Статия в списания и поредици")</f>
        <v>Статия в списания и поредици</v>
      </c>
      <c r="C638" s="10" t="str">
        <f ca="1">IFERROR(__xludf.DUMMYFUNCTION("""COMPUTED_VALUE"""),"Културното наследство като катализатор за развитието на селския екологичен туризъм")</f>
        <v>Културното наследство като катализатор за развитието на селския екологичен туризъм</v>
      </c>
      <c r="D638" s="10">
        <f ca="1">IFERROR(__xludf.DUMMYFUNCTION("""COMPUTED_VALUE"""),2015)</f>
        <v>2015</v>
      </c>
      <c r="E638" s="10" t="str">
        <f ca="1">IFERROR(__xludf.DUMMYFUNCTION("""COMPUTED_VALUE"""),"Екологически и селски туризъм – предивикателства и перспективи, Флат, Бургас, 2015, ISBN 978-619-7125-11-5")</f>
        <v>Екологически и селски туризъм – предивикателства и перспективи, Флат, Бургас, 2015, ISBN 978-619-7125-11-5</v>
      </c>
      <c r="F638" s="10"/>
      <c r="G638" s="10"/>
      <c r="H638" s="10"/>
      <c r="I638" s="10"/>
      <c r="J638" s="10"/>
      <c r="K638" s="10"/>
      <c r="L638" s="10"/>
      <c r="M638" s="10"/>
      <c r="N638" s="10"/>
      <c r="O638" s="10"/>
      <c r="P638" s="10"/>
      <c r="Q638" s="10"/>
      <c r="R638" s="10"/>
      <c r="S638" s="10"/>
      <c r="T638" s="10"/>
      <c r="U638" s="10"/>
      <c r="V638" s="10"/>
      <c r="W638" s="10"/>
      <c r="X638" s="10"/>
      <c r="Y638" s="10"/>
      <c r="Z638" s="10"/>
    </row>
    <row r="639" spans="1:26" ht="12.75">
      <c r="A639" s="10" t="str">
        <f ca="1">IFERROR(__xludf.DUMMYFUNCTION("""COMPUTED_VALUE"""),"Борис Йорданов Борисов")</f>
        <v>Борис Йорданов Борисов</v>
      </c>
      <c r="B639" s="10" t="str">
        <f ca="1">IFERROR(__xludf.DUMMYFUNCTION("""COMPUTED_VALUE"""),"Доклад от конференция")</f>
        <v>Доклад от конференция</v>
      </c>
      <c r="C639" s="10" t="str">
        <f ca="1">IFERROR(__xludf.DUMMYFUNCTION("""COMPUTED_VALUE"""),"Ролята на иновациите при Християнския цивилизационен модел")</f>
        <v>Ролята на иновациите при Християнския цивилизационен модел</v>
      </c>
      <c r="D639" s="10">
        <f ca="1">IFERROR(__xludf.DUMMYFUNCTION("""COMPUTED_VALUE"""),2015)</f>
        <v>2015</v>
      </c>
      <c r="E639" s="10" t="str">
        <f ca="1">IFERROR(__xludf.DUMMYFUNCTION("""COMPUTED_VALUE"""),"Обществото на знанието и хуманизма на XXI век, За буквите – О‘писменехь, София, 2015, стр.240-245, ISSN 1314-7099")</f>
        <v>Обществото на знанието и хуманизма на XXI век, За буквите – О‘писменехь, София, 2015, стр.240-245, ISSN 1314-7099</v>
      </c>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c r="A640" s="10" t="str">
        <f ca="1">IFERROR(__xludf.DUMMYFUNCTION("""COMPUTED_VALUE"""),"Борис Йорданов Борисов")</f>
        <v>Борис Йорданов Борисов</v>
      </c>
      <c r="B640" s="10" t="str">
        <f ca="1">IFERROR(__xludf.DUMMYFUNCTION("""COMPUTED_VALUE"""),"Доклад от конференция")</f>
        <v>Доклад от конференция</v>
      </c>
      <c r="C640" s="10" t="str">
        <f ca="1">IFERROR(__xludf.DUMMYFUNCTION("""COMPUTED_VALUE"""),"Туризмът през призмата на Вавилонската кула")</f>
        <v>Туризмът през призмата на Вавилонската кула</v>
      </c>
      <c r="D640" s="10">
        <f ca="1">IFERROR(__xludf.DUMMYFUNCTION("""COMPUTED_VALUE"""),2015)</f>
        <v>2015</v>
      </c>
      <c r="E640" s="10" t="str">
        <f ca="1">IFERROR(__xludf.DUMMYFUNCTION("""COMPUTED_VALUE"""),"Регионалните културно-исторически продукти на България, Славена, Варна, 2015, стр.260-266. ISBN 978- 619-190-040-4")</f>
        <v>Регионалните културно-исторически продукти на България, Славена, Варна, 2015, стр.260-266. ISBN 978- 619-190-040-4</v>
      </c>
      <c r="F640" s="10"/>
      <c r="G640" s="10"/>
      <c r="H640" s="10"/>
      <c r="I640" s="10"/>
      <c r="J640" s="10"/>
      <c r="K640" s="10"/>
      <c r="L640" s="10"/>
      <c r="M640" s="10"/>
      <c r="N640" s="10"/>
      <c r="O640" s="10"/>
      <c r="P640" s="10"/>
      <c r="Q640" s="10"/>
      <c r="R640" s="10"/>
      <c r="S640" s="10"/>
      <c r="T640" s="10"/>
      <c r="U640" s="10"/>
      <c r="V640" s="10"/>
      <c r="W640" s="10"/>
      <c r="X640" s="10"/>
      <c r="Y640" s="10"/>
      <c r="Z640" s="10"/>
    </row>
    <row r="641" spans="1:26" ht="12.75">
      <c r="A641" s="10" t="str">
        <f ca="1">IFERROR(__xludf.DUMMYFUNCTION("""COMPUTED_VALUE"""),"Борис Йорданов Борисов")</f>
        <v>Борис Йорданов Борисов</v>
      </c>
      <c r="B641" s="10" t="str">
        <f ca="1">IFERROR(__xludf.DUMMYFUNCTION("""COMPUTED_VALUE"""),"Статия в списания и поредици")</f>
        <v>Статия в списания и поредици</v>
      </c>
      <c r="C641" s="10" t="str">
        <f ca="1">IFERROR(__xludf.DUMMYFUNCTION("""COMPUTED_VALUE"""),"Плазмени генератори на елитарни плебеи")</f>
        <v>Плазмени генератори на елитарни плебеи</v>
      </c>
      <c r="D641" s="10">
        <f ca="1">IFERROR(__xludf.DUMMYFUNCTION("""COMPUTED_VALUE"""),2015)</f>
        <v>2015</v>
      </c>
      <c r="E641" s="10" t="str">
        <f ca="1">IFERROR(__xludf.DUMMYFUNCTION("""COMPUTED_VALUE"""),"Проблеми на обществената комуникация, За буквите – О’писменехь, София, 2015, ISBN 978-619-185-166-9")</f>
        <v>Проблеми на обществената комуникация, За буквите – О’писменехь, София, 2015, ISBN 978-619-185-166-9</v>
      </c>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c r="A642" s="10" t="str">
        <f ca="1">IFERROR(__xludf.DUMMYFUNCTION("""COMPUTED_VALUE"""),"Борис Йорданов Борисов")</f>
        <v>Борис Йорданов Борисов</v>
      </c>
      <c r="B642" s="10" t="str">
        <f ca="1">IFERROR(__xludf.DUMMYFUNCTION("""COMPUTED_VALUE"""),"Доклад от конференция")</f>
        <v>Доклад от конференция</v>
      </c>
      <c r="C642" s="10" t="str">
        <f ca="1">IFERROR(__xludf.DUMMYFUNCTION("""COMPUTED_VALUE"""),"Възможности за прогнозиране в областта на туризма, Туризмът в епоха на трансформация")</f>
        <v>Възможности за прогнозиране в областта на туризма, Туризмът в епоха на трансформация</v>
      </c>
      <c r="D642" s="10">
        <f ca="1">IFERROR(__xludf.DUMMYFUNCTION("""COMPUTED_VALUE"""),2015)</f>
        <v>2015</v>
      </c>
      <c r="E642" s="10" t="str">
        <f ca="1">IFERROR(__xludf.DUMMYFUNCTION("""COMPUTED_VALUE"""),"Туризмът в епохата на трансформация, Наука и икономика, Варна, 2015, стр.254-260, ISBN 978-954-21-0864-1")</f>
        <v>Туризмът в епохата на трансформация, Наука и икономика, Варна, 2015, стр.254-260, ISBN 978-954-21-0864-1</v>
      </c>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c r="A643" s="10" t="str">
        <f ca="1">IFERROR(__xludf.DUMMYFUNCTION("""COMPUTED_VALUE"""),"Борис Йорданов Борисов")</f>
        <v>Борис Йорданов Борисов</v>
      </c>
      <c r="B643" s="10" t="str">
        <f ca="1">IFERROR(__xludf.DUMMYFUNCTION("""COMPUTED_VALUE"""),"Статия в списания и поредици")</f>
        <v>Статия в списания и поредици</v>
      </c>
      <c r="C643" s="10" t="str">
        <f ca="1">IFERROR(__xludf.DUMMYFUNCTION("""COMPUTED_VALUE"""),"A study of communication technologies i tourism, Cultural corridor via adriatica - cultural tourism without boundaries,")</f>
        <v>A study of communication technologies i tourism, Cultural corridor via adriatica - cultural tourism without boundaries,</v>
      </c>
      <c r="D643" s="10">
        <f ca="1">IFERROR(__xludf.DUMMYFUNCTION("""COMPUTED_VALUE"""),2015)</f>
        <v>2015</v>
      </c>
      <c r="E643" s="10" t="str">
        <f ca="1">IFERROR(__xludf.DUMMYFUNCTION("""COMPUTED_VALUE"""),"Cultural corridor via Adriatica – cultural tourism without boundaries, Neofit Rilski Publishing house, Trogir, 2015, ISBN 978-954-00-0009-4")</f>
        <v>Cultural corridor via Adriatica – cultural tourism without boundaries, Neofit Rilski Publishing house, Trogir, 2015, ISBN 978-954-00-0009-4</v>
      </c>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c r="A644" s="10" t="str">
        <f ca="1">IFERROR(__xludf.DUMMYFUNCTION("""COMPUTED_VALUE"""),"Борис Йорданов Борисов")</f>
        <v>Борис Йорданов Борисов</v>
      </c>
      <c r="B644" s="10" t="str">
        <f ca="1">IFERROR(__xludf.DUMMYFUNCTION("""COMPUTED_VALUE"""),"Статия в списания и поредици")</f>
        <v>Статия в списания и поредици</v>
      </c>
      <c r="C644" s="10" t="str">
        <f ca="1">IFERROR(__xludf.DUMMYFUNCTION("""COMPUTED_VALUE"""),"Комуникационни аспекти при туристическата индустрия")</f>
        <v>Комуникационни аспекти при туристическата индустрия</v>
      </c>
      <c r="D644" s="10">
        <f ca="1">IFERROR(__xludf.DUMMYFUNCTION("""COMPUTED_VALUE"""),2014)</f>
        <v>2014</v>
      </c>
      <c r="E644" s="10" t="str">
        <f ca="1">IFERROR(__xludf.DUMMYFUNCTION("""COMPUTED_VALUE"""),"// Известия на Историческия музей Шумен, книга 16, 2014, р.776-783 ISSN 0861-9581")</f>
        <v>// Известия на Историческия музей Шумен, книга 16, 2014, р.776-783 ISSN 0861-9581</v>
      </c>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c r="A645" s="10" t="str">
        <f ca="1">IFERROR(__xludf.DUMMYFUNCTION("""COMPUTED_VALUE"""),"Борис Йорданов Борисов")</f>
        <v>Борис Йорданов Борисов</v>
      </c>
      <c r="B645" s="10" t="str">
        <f ca="1">IFERROR(__xludf.DUMMYFUNCTION("""COMPUTED_VALUE"""),"Статия в списания и поредици")</f>
        <v>Статия в списания и поредици</v>
      </c>
      <c r="C645" s="10" t="str">
        <f ca="1">IFERROR(__xludf.DUMMYFUNCTION("""COMPUTED_VALUE"""),"Традиция, иновации или традиционно иновиране")</f>
        <v>Традиция, иновации или традиционно иновиране</v>
      </c>
      <c r="D645" s="10">
        <f ca="1">IFERROR(__xludf.DUMMYFUNCTION("""COMPUTED_VALUE"""),2014)</f>
        <v>2014</v>
      </c>
      <c r="E645" s="10" t="str">
        <f ca="1">IFERROR(__xludf.DUMMYFUNCTION("""COMPUTED_VALUE"""),"Нови информационни технологии в образователния процес, т.9, За буквите – О писменехь, 2015, стр.268-274, ISBN 1313-2768")</f>
        <v>Нови информационни технологии в образователния процес, т.9, За буквите – О писменехь, 2015, стр.268-274, ISBN 1313-2768</v>
      </c>
      <c r="F645" s="10"/>
      <c r="G645" s="10"/>
      <c r="H645" s="10"/>
      <c r="I645" s="10"/>
      <c r="J645" s="10"/>
      <c r="K645" s="10"/>
      <c r="L645" s="10"/>
      <c r="M645" s="10"/>
      <c r="N645" s="10"/>
      <c r="O645" s="10"/>
      <c r="P645" s="10"/>
      <c r="Q645" s="10"/>
      <c r="R645" s="10"/>
      <c r="S645" s="10"/>
      <c r="T645" s="10"/>
      <c r="U645" s="10"/>
      <c r="V645" s="10"/>
      <c r="W645" s="10"/>
      <c r="X645" s="10"/>
      <c r="Y645" s="10"/>
      <c r="Z645" s="10"/>
    </row>
    <row r="646" spans="1:26" ht="12.75">
      <c r="A646" s="10" t="str">
        <f ca="1">IFERROR(__xludf.DUMMYFUNCTION("""COMPUTED_VALUE"""),"Борис Йорданов Борисов")</f>
        <v>Борис Йорданов Борисов</v>
      </c>
      <c r="B646" s="10" t="str">
        <f ca="1">IFERROR(__xludf.DUMMYFUNCTION("""COMPUTED_VALUE"""),"Статия в списания и поредици")</f>
        <v>Статия в списания и поредици</v>
      </c>
      <c r="C646" s="10" t="str">
        <f ca="1">IFERROR(__xludf.DUMMYFUNCTION("""COMPUTED_VALUE"""),"Succesful applications of Internet communications strategies in spa tourism")</f>
        <v>Succesful applications of Internet communications strategies in spa tourism</v>
      </c>
      <c r="D646" s="10">
        <f ca="1">IFERROR(__xludf.DUMMYFUNCTION("""COMPUTED_VALUE"""),2014)</f>
        <v>2014</v>
      </c>
      <c r="E646" s="10" t="str">
        <f ca="1">IFERROR(__xludf.DUMMYFUNCTION("""COMPUTED_VALUE"""),"International tourist forum spa and wine, NeofitRilski publishing house, SWU “NeofitRilski”, Corfu, 2014. стр. 126-130, ISBN 978-954-680-954-4")</f>
        <v>International tourist forum spa and wine, NeofitRilski publishing house, SWU “NeofitRilski”, Corfu, 2014. стр. 126-130, ISBN 978-954-680-954-4</v>
      </c>
      <c r="F646" s="10"/>
      <c r="G646" s="10"/>
      <c r="H646" s="10"/>
      <c r="I646" s="10"/>
      <c r="J646" s="10"/>
      <c r="K646" s="10"/>
      <c r="L646" s="10"/>
      <c r="M646" s="10"/>
      <c r="N646" s="10"/>
      <c r="O646" s="10"/>
      <c r="P646" s="10"/>
      <c r="Q646" s="10"/>
      <c r="R646" s="10"/>
      <c r="S646" s="10"/>
      <c r="T646" s="10"/>
      <c r="U646" s="10"/>
      <c r="V646" s="10"/>
      <c r="W646" s="10"/>
      <c r="X646" s="10"/>
      <c r="Y646" s="10"/>
      <c r="Z646" s="10"/>
    </row>
    <row r="647" spans="1:26" ht="12.75">
      <c r="A647" s="10" t="str">
        <f ca="1">IFERROR(__xludf.DUMMYFUNCTION("""COMPUTED_VALUE"""),"Борис Йорданов Борисов")</f>
        <v>Борис Йорданов Борисов</v>
      </c>
      <c r="B647" s="10" t="str">
        <f ca="1">IFERROR(__xludf.DUMMYFUNCTION("""COMPUTED_VALUE"""),"Статия в списания и поредици")</f>
        <v>Статия в списания и поредици</v>
      </c>
      <c r="C647" s="10" t="str">
        <f ca="1">IFERROR(__xludf.DUMMYFUNCTION("""COMPUTED_VALUE"""),"Основни езикови комуникационни аспекти")</f>
        <v>Основни езикови комуникационни аспекти</v>
      </c>
      <c r="D647" s="10">
        <f ca="1">IFERROR(__xludf.DUMMYFUNCTION("""COMPUTED_VALUE"""),2014)</f>
        <v>2014</v>
      </c>
      <c r="E647" s="10" t="str">
        <f ca="1">IFERROR(__xludf.DUMMYFUNCTION("""COMPUTED_VALUE"""),"Нови информационни технологии в образователния процес, т.8, За буквите – О писменехь, София, 2014, стр.170-180, ISBN 1313-2768")</f>
        <v>Нови информационни технологии в образователния процес, т.8, За буквите – О писменехь, София, 2014, стр.170-180, ISBN 1313-2768</v>
      </c>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c r="A648" s="10" t="str">
        <f ca="1">IFERROR(__xludf.DUMMYFUNCTION("""COMPUTED_VALUE"""),"Борис Йорданов Борисов")</f>
        <v>Борис Йорданов Борисов</v>
      </c>
      <c r="B648" s="10" t="str">
        <f ca="1">IFERROR(__xludf.DUMMYFUNCTION("""COMPUTED_VALUE"""),"Статия в списания и поредици")</f>
        <v>Статия в списания и поредици</v>
      </c>
      <c r="C648" s="10" t="str">
        <f ca="1">IFERROR(__xludf.DUMMYFUNCTION("""COMPUTED_VALUE"""),"Аспекти на социализацията на културното и историческото наследство с помощта на дигитални ресурси")</f>
        <v>Аспекти на социализацията на културното и историческото наследство с помощта на дигитални ресурси</v>
      </c>
      <c r="D648" s="10">
        <f ca="1">IFERROR(__xludf.DUMMYFUNCTION("""COMPUTED_VALUE"""),2014)</f>
        <v>2014</v>
      </c>
      <c r="E648" s="10" t="str">
        <f ca="1">IFERROR(__xludf.DUMMYFUNCTION("""COMPUTED_VALUE"""),"Историко-археологически туризъм. Наследство с перспектива, Славена, Варна, 2014, стр. 221-227, ISBN: 978-619-1900-06-0")</f>
        <v>Историко-археологически туризъм. Наследство с перспектива, Славена, Варна, 2014, стр. 221-227, ISBN: 978-619-1900-06-0</v>
      </c>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c r="A649" s="10" t="str">
        <f ca="1">IFERROR(__xludf.DUMMYFUNCTION("""COMPUTED_VALUE"""),"Борис Йорданов Борисов")</f>
        <v>Борис Йорданов Борисов</v>
      </c>
      <c r="B649" s="10" t="str">
        <f ca="1">IFERROR(__xludf.DUMMYFUNCTION("""COMPUTED_VALUE"""),"Статия в списания и поредици")</f>
        <v>Статия в списания и поредици</v>
      </c>
      <c r="C649" s="10" t="str">
        <f ca="1">IFERROR(__xludf.DUMMYFUNCTION("""COMPUTED_VALUE"""),"Комуникацията – матрица на успеха")</f>
        <v>Комуникацията – матрица на успеха</v>
      </c>
      <c r="D649" s="10">
        <f ca="1">IFERROR(__xludf.DUMMYFUNCTION("""COMPUTED_VALUE"""),2013)</f>
        <v>2013</v>
      </c>
      <c r="E649" s="10" t="str">
        <f ca="1">IFERROR(__xludf.DUMMYFUNCTION("""COMPUTED_VALUE"""),"// Национална сигурност: Духовност и лидерство. Теория и практика на лидерството, ИТПЛ „Стефан Стамболов“, София, 2013, стр.102-107 ISSN 1313-8782")</f>
        <v>// Национална сигурност: Духовност и лидерство. Теория и практика на лидерството, ИТПЛ „Стефан Стамболов“, София, 2013, стр.102-107 ISSN 1313-8782</v>
      </c>
      <c r="F649" s="10"/>
      <c r="G649" s="10"/>
      <c r="H649" s="10"/>
      <c r="I649" s="10"/>
      <c r="J649" s="10"/>
      <c r="K649" s="10"/>
      <c r="L649" s="10"/>
      <c r="M649" s="10"/>
      <c r="N649" s="10"/>
      <c r="O649" s="10"/>
      <c r="P649" s="10"/>
      <c r="Q649" s="10"/>
      <c r="R649" s="10"/>
      <c r="S649" s="10"/>
      <c r="T649" s="10"/>
      <c r="U649" s="10"/>
      <c r="V649" s="10"/>
      <c r="W649" s="10"/>
      <c r="X649" s="10"/>
      <c r="Y649" s="10"/>
      <c r="Z649" s="10"/>
    </row>
    <row r="650" spans="1:26" ht="12.75">
      <c r="A650" s="10" t="str">
        <f ca="1">IFERROR(__xludf.DUMMYFUNCTION("""COMPUTED_VALUE"""),"Борис Йорданов Борисов")</f>
        <v>Борис Йорданов Борисов</v>
      </c>
      <c r="B650" s="10" t="str">
        <f ca="1">IFERROR(__xludf.DUMMYFUNCTION("""COMPUTED_VALUE"""),"Статия в списания и поредици")</f>
        <v>Статия в списания и поредици</v>
      </c>
      <c r="C650" s="10" t="str">
        <f ca="1">IFERROR(__xludf.DUMMYFUNCTION("""COMPUTED_VALUE"""),"Социални мрежи и маркетинг на туристическия продукт")</f>
        <v>Социални мрежи и маркетинг на туристическия продукт</v>
      </c>
      <c r="D650" s="10">
        <f ca="1">IFERROR(__xludf.DUMMYFUNCTION("""COMPUTED_VALUE"""),2013)</f>
        <v>2013</v>
      </c>
      <c r="E650" s="10" t="str">
        <f ca="1">IFERROR(__xludf.DUMMYFUNCTION("""COMPUTED_VALUE"""),"Обществото на знанието и хуманизма на XXI век, За буквите – О‘писменехь, София, 2013, стр.436-441, ISSN 1314-7099")</f>
        <v>Обществото на знанието и хуманизма на XXI век, За буквите – О‘писменехь, София, 2013, стр.436-441, ISSN 1314-7099</v>
      </c>
      <c r="F650" s="10"/>
      <c r="G650" s="10"/>
      <c r="H650" s="10"/>
      <c r="I650" s="10"/>
      <c r="J650" s="10"/>
      <c r="K650" s="10"/>
      <c r="L650" s="10"/>
      <c r="M650" s="10"/>
      <c r="N650" s="10"/>
      <c r="O650" s="10"/>
      <c r="P650" s="10"/>
      <c r="Q650" s="10"/>
      <c r="R650" s="10"/>
      <c r="S650" s="10"/>
      <c r="T650" s="10"/>
      <c r="U650" s="10"/>
      <c r="V650" s="10"/>
      <c r="W650" s="10"/>
      <c r="X650" s="10"/>
      <c r="Y650" s="10"/>
      <c r="Z650" s="10"/>
    </row>
    <row r="651" spans="1:26" ht="12.75">
      <c r="A651" s="10" t="str">
        <f ca="1">IFERROR(__xludf.DUMMYFUNCTION("""COMPUTED_VALUE"""),"Борис Йорданов Борисов")</f>
        <v>Борис Йорданов Борисов</v>
      </c>
      <c r="B651" s="10" t="str">
        <f ca="1">IFERROR(__xludf.DUMMYFUNCTION("""COMPUTED_VALUE"""),"Статия в списания и поредици")</f>
        <v>Статия в списания и поредици</v>
      </c>
      <c r="C651" s="10" t="str">
        <f ca="1">IFERROR(__xludf.DUMMYFUNCTION("""COMPUTED_VALUE"""),"Човекът с иновативно мислене")</f>
        <v>Човекът с иновативно мислене</v>
      </c>
      <c r="D651" s="10">
        <f ca="1">IFERROR(__xludf.DUMMYFUNCTION("""COMPUTED_VALUE"""),2013)</f>
        <v>2013</v>
      </c>
      <c r="E651" s="10" t="str">
        <f ca="1">IFERROR(__xludf.DUMMYFUNCTION("""COMPUTED_VALUE"""),"Научни трудове на УнибИТ")</f>
        <v>Научни трудове на УнибИТ</v>
      </c>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c r="A652" s="10" t="str">
        <f ca="1">IFERROR(__xludf.DUMMYFUNCTION("""COMPUTED_VALUE"""),"Борис Йорданов Борисов")</f>
        <v>Борис Йорданов Борисов</v>
      </c>
      <c r="B652" s="10" t="str">
        <f ca="1">IFERROR(__xludf.DUMMYFUNCTION("""COMPUTED_VALUE"""),"Статия в списания и поредици")</f>
        <v>Статия в списания и поредици</v>
      </c>
      <c r="C652" s="10" t="str">
        <f ca="1">IFERROR(__xludf.DUMMYFUNCTION("""COMPUTED_VALUE"""),"Комуникационни канали и планиране на комуникационна стратегия при туристическата индустрия")</f>
        <v>Комуникационни канали и планиране на комуникационна стратегия при туристическата индустрия</v>
      </c>
      <c r="D652" s="10">
        <f ca="1">IFERROR(__xludf.DUMMYFUNCTION("""COMPUTED_VALUE"""),2013)</f>
        <v>2013</v>
      </c>
      <c r="E652" s="10" t="str">
        <f ca="1">IFERROR(__xludf.DUMMYFUNCTION("""COMPUTED_VALUE"""),"За буквите – О писменехь, София, 2013")</f>
        <v>За буквите – О писменехь, София, 2013</v>
      </c>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c r="A653" s="10" t="str">
        <f ca="1">IFERROR(__xludf.DUMMYFUNCTION("""COMPUTED_VALUE"""),"Борис Йорданов Борисов")</f>
        <v>Борис Йорданов Борисов</v>
      </c>
      <c r="B653" s="10" t="str">
        <f ca="1">IFERROR(__xludf.DUMMYFUNCTION("""COMPUTED_VALUE"""),"Статия в списания и поредици")</f>
        <v>Статия в списания и поредици</v>
      </c>
      <c r="C653" s="10" t="str">
        <f ca="1">IFERROR(__xludf.DUMMYFUNCTION("""COMPUTED_VALUE"""),"Комуникационно символни аспекти на културно-историческото наследство")</f>
        <v>Комуникационно символни аспекти на културно-историческото наследство</v>
      </c>
      <c r="D653" s="10">
        <f ca="1">IFERROR(__xludf.DUMMYFUNCTION("""COMPUTED_VALUE"""),2013)</f>
        <v>2013</v>
      </c>
      <c r="E653" s="10" t="str">
        <f ca="1">IFERROR(__xludf.DUMMYFUNCTION("""COMPUTED_VALUE"""),"// Нови информационни технологии в образователния процес, т.7, За буквите – О‘писменехь, София, 2013, стр.252-260, ISSN 1313-2768")</f>
        <v>// Нови информационни технологии в образователния процес, т.7, За буквите – О‘писменехь, София, 2013, стр.252-260, ISSN 1313-2768</v>
      </c>
      <c r="F653" s="10"/>
      <c r="G653" s="10" t="str">
        <f ca="1">IFERROR(__xludf.DUMMYFUNCTION("""COMPUTED_VALUE"""),"Н. Палашев")</f>
        <v>Н. Палашев</v>
      </c>
      <c r="H653" s="10"/>
      <c r="I653" s="10"/>
      <c r="J653" s="10"/>
      <c r="K653" s="10"/>
      <c r="L653" s="10"/>
      <c r="M653" s="10"/>
      <c r="N653" s="10"/>
      <c r="O653" s="10"/>
      <c r="P653" s="10"/>
      <c r="Q653" s="10"/>
      <c r="R653" s="10"/>
      <c r="S653" s="10"/>
      <c r="T653" s="10"/>
      <c r="U653" s="10"/>
      <c r="V653" s="10"/>
      <c r="W653" s="10"/>
      <c r="X653" s="10"/>
      <c r="Y653" s="10"/>
      <c r="Z653" s="10"/>
    </row>
    <row r="654" spans="1:26" ht="12.75">
      <c r="A654" s="10" t="str">
        <f ca="1">IFERROR(__xludf.DUMMYFUNCTION("""COMPUTED_VALUE"""),"Борис Йорданов Борисов")</f>
        <v>Борис Йорданов Борисов</v>
      </c>
      <c r="B654" s="10" t="str">
        <f ca="1">IFERROR(__xludf.DUMMYFUNCTION("""COMPUTED_VALUE"""),"Статия в списания и поредици")</f>
        <v>Статия в списания и поредици</v>
      </c>
      <c r="C654" s="10" t="str">
        <f ca="1">IFERROR(__xludf.DUMMYFUNCTION("""COMPUTED_VALUE"""),"Новите технологии и сигурността в културните институции")</f>
        <v>Новите технологии и сигурността в културните институции</v>
      </c>
      <c r="D654" s="10">
        <f ca="1">IFERROR(__xludf.DUMMYFUNCTION("""COMPUTED_VALUE"""),2012)</f>
        <v>2012</v>
      </c>
      <c r="E654" s="10" t="str">
        <f ca="1">IFERROR(__xludf.DUMMYFUNCTION("""COMPUTED_VALUE"""),"Трудове на УНИБИТ, т.10, За буквите – О‘писменехь, София, 2012, стр.317-324, ISSN 1314-2623")</f>
        <v>Трудове на УНИБИТ, т.10, За буквите – О‘писменехь, София, 2012, стр.317-324, ISSN 1314-2623</v>
      </c>
      <c r="F654" s="10"/>
      <c r="G654" s="10"/>
      <c r="H654" s="10"/>
      <c r="I654" s="10"/>
      <c r="J654" s="10"/>
      <c r="K654" s="10"/>
      <c r="L654" s="10"/>
      <c r="M654" s="10"/>
      <c r="N654" s="10"/>
      <c r="O654" s="10"/>
      <c r="P654" s="10"/>
      <c r="Q654" s="10"/>
      <c r="R654" s="10"/>
      <c r="S654" s="10"/>
      <c r="T654" s="10"/>
      <c r="U654" s="10"/>
      <c r="V654" s="10"/>
      <c r="W654" s="10"/>
      <c r="X654" s="10"/>
      <c r="Y654" s="10"/>
      <c r="Z654" s="10"/>
    </row>
    <row r="655" spans="1:26" ht="12.75">
      <c r="A655" s="10" t="str">
        <f ca="1">IFERROR(__xludf.DUMMYFUNCTION("""COMPUTED_VALUE"""),"Борис Йорданов Борисов")</f>
        <v>Борис Йорданов Борисов</v>
      </c>
      <c r="B655" s="10" t="str">
        <f ca="1">IFERROR(__xludf.DUMMYFUNCTION("""COMPUTED_VALUE"""),"Учебно пособие")</f>
        <v>Учебно пособие</v>
      </c>
      <c r="C655" s="10" t="str">
        <f ca="1">IFERROR(__xludf.DUMMYFUNCTION("""COMPUTED_VALUE"""),"Информационна цивилизация – същност, перспективи,развитие")</f>
        <v>Информационна цивилизация – същност, перспективи,развитие</v>
      </c>
      <c r="D655" s="10">
        <f ca="1">IFERROR(__xludf.DUMMYFUNCTION("""COMPUTED_VALUE"""),2012)</f>
        <v>2012</v>
      </c>
      <c r="E655" s="10" t="str">
        <f ca="1">IFERROR(__xludf.DUMMYFUNCTION("""COMPUTED_VALUE"""),"За буквите – О’писменехь, С о ф и я, 2012, с.185")</f>
        <v>За буквите – О’писменехь, С о ф и я, 2012, с.185</v>
      </c>
      <c r="F655" s="10"/>
      <c r="G655" s="10"/>
      <c r="H655" s="10"/>
      <c r="I655" s="10"/>
      <c r="J655" s="10"/>
      <c r="K655" s="10"/>
      <c r="L655" s="10"/>
      <c r="M655" s="10"/>
      <c r="N655" s="10"/>
      <c r="O655" s="10"/>
      <c r="P655" s="10"/>
      <c r="Q655" s="10"/>
      <c r="R655" s="10"/>
      <c r="S655" s="10"/>
      <c r="T655" s="10"/>
      <c r="U655" s="10"/>
      <c r="V655" s="10"/>
      <c r="W655" s="10"/>
      <c r="X655" s="10"/>
      <c r="Y655" s="10"/>
      <c r="Z655" s="10"/>
    </row>
    <row r="656" spans="1:26" ht="12.75">
      <c r="A656" s="10" t="str">
        <f ca="1">IFERROR(__xludf.DUMMYFUNCTION("""COMPUTED_VALUE"""),"Борис Йорданов Борисов")</f>
        <v>Борис Йорданов Борисов</v>
      </c>
      <c r="B656" s="10" t="str">
        <f ca="1">IFERROR(__xludf.DUMMYFUNCTION("""COMPUTED_VALUE"""),"Статия в списания и поредици")</f>
        <v>Статия в списания и поредици</v>
      </c>
      <c r="C656" s="10" t="str">
        <f ca="1">IFERROR(__xludf.DUMMYFUNCTION("""COMPUTED_VALUE"""),"Cultural and historical heritage – real and virtual")</f>
        <v>Cultural and historical heritage – real and virtual</v>
      </c>
      <c r="D656" s="10">
        <f ca="1">IFERROR(__xludf.DUMMYFUNCTION("""COMPUTED_VALUE"""),2012)</f>
        <v>2012</v>
      </c>
      <c r="E656" s="10" t="str">
        <f ca="1">IFERROR(__xludf.DUMMYFUNCTION("""COMPUTED_VALUE"""),"Cultural road Via Pontica. Cultural tourism without Boundaries. NeofitRilski publishing house, SWU “NeofitRilski”, Istanbul, 2012. стр. 100-104., ISBN 978-954-300-119-4")</f>
        <v>Cultural road Via Pontica. Cultural tourism without Boundaries. NeofitRilski publishing house, SWU “NeofitRilski”, Istanbul, 2012. стр. 100-104., ISBN 978-954-300-119-4</v>
      </c>
      <c r="F656" s="10"/>
      <c r="G656" s="10"/>
      <c r="H656" s="10"/>
      <c r="I656" s="10"/>
      <c r="J656" s="10"/>
      <c r="K656" s="10"/>
      <c r="L656" s="10"/>
      <c r="M656" s="10"/>
      <c r="N656" s="10"/>
      <c r="O656" s="10"/>
      <c r="P656" s="10"/>
      <c r="Q656" s="10"/>
      <c r="R656" s="10"/>
      <c r="S656" s="10"/>
      <c r="T656" s="10"/>
      <c r="U656" s="10"/>
      <c r="V656" s="10"/>
      <c r="W656" s="10"/>
      <c r="X656" s="10"/>
      <c r="Y656" s="10"/>
      <c r="Z656" s="10"/>
    </row>
    <row r="657" spans="1:26" ht="12.75">
      <c r="A657" s="10" t="str">
        <f ca="1">IFERROR(__xludf.DUMMYFUNCTION("""COMPUTED_VALUE"""),"Борис Йорданов Борисов")</f>
        <v>Борис Йорданов Борисов</v>
      </c>
      <c r="B657" s="10" t="str">
        <f ca="1">IFERROR(__xludf.DUMMYFUNCTION("""COMPUTED_VALUE"""),"Статия в списания и поредици")</f>
        <v>Статия в списания и поредици</v>
      </c>
      <c r="C657" s="10" t="str">
        <f ca="1">IFERROR(__xludf.DUMMYFUNCTION("""COMPUTED_VALUE"""),"Културно многообразие, интеграция и културен туризъм")</f>
        <v>Културно многообразие, интеграция и културен туризъм</v>
      </c>
      <c r="D657" s="10">
        <f ca="1">IFERROR(__xludf.DUMMYFUNCTION("""COMPUTED_VALUE"""),2012)</f>
        <v>2012</v>
      </c>
      <c r="E657" s="10" t="str">
        <f ca="1">IFERROR(__xludf.DUMMYFUNCTION("""COMPUTED_VALUE"""),"Национална културна стратегия и европейска духовна интеграция, Земя, София, 2012, стр. 168-177, ISBN 1312-1715")</f>
        <v>Национална културна стратегия и европейска духовна интеграция, Земя, София, 2012, стр. 168-177, ISBN 1312-1715</v>
      </c>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c r="A658" s="10" t="str">
        <f ca="1">IFERROR(__xludf.DUMMYFUNCTION("""COMPUTED_VALUE"""),"Борис Йорданов Борисов")</f>
        <v>Борис Йорданов Борисов</v>
      </c>
      <c r="B658" s="10" t="str">
        <f ca="1">IFERROR(__xludf.DUMMYFUNCTION("""COMPUTED_VALUE"""),"Статия в списания и поредици")</f>
        <v>Статия в списания и поредици</v>
      </c>
      <c r="C658" s="10" t="str">
        <f ca="1">IFERROR(__xludf.DUMMYFUNCTION("""COMPUTED_VALUE"""),"Религия и общество. Световни теории и български практики")</f>
        <v>Религия и общество. Световни теории и български практики</v>
      </c>
      <c r="D658" s="10">
        <f ca="1">IFERROR(__xludf.DUMMYFUNCTION("""COMPUTED_VALUE"""),2012)</f>
        <v>2012</v>
      </c>
      <c r="E658" s="10" t="str">
        <f ca="1">IFERROR(__xludf.DUMMYFUNCTION("""COMPUTED_VALUE"""),"Приложната психология: възможности и перспективи”, Варненски свободен университет “Черноризец Храбър”, Университетско издателство, Варна, 2012,стр. 371-382 ISSN 1314–0507")</f>
        <v>Приложната психология: възможности и перспективи”, Варненски свободен университет “Черноризец Храбър”, Университетско издателство, Варна, 2012,стр. 371-382 ISSN 1314–0507</v>
      </c>
      <c r="F658" s="10"/>
      <c r="G658" s="10"/>
      <c r="H658" s="10"/>
      <c r="I658" s="10"/>
      <c r="J658" s="10"/>
      <c r="K658" s="10"/>
      <c r="L658" s="10"/>
      <c r="M658" s="10"/>
      <c r="N658" s="10"/>
      <c r="O658" s="10"/>
      <c r="P658" s="10"/>
      <c r="Q658" s="10"/>
      <c r="R658" s="10"/>
      <c r="S658" s="10"/>
      <c r="T658" s="10"/>
      <c r="U658" s="10"/>
      <c r="V658" s="10"/>
      <c r="W658" s="10"/>
      <c r="X658" s="10"/>
      <c r="Y658" s="10"/>
      <c r="Z658" s="10"/>
    </row>
    <row r="659" spans="1:26" ht="12.75">
      <c r="A659" s="10" t="str">
        <f ca="1">IFERROR(__xludf.DUMMYFUNCTION("""COMPUTED_VALUE"""),"Борис Йорданов Борисов")</f>
        <v>Борис Йорданов Борисов</v>
      </c>
      <c r="B659" s="10" t="str">
        <f ca="1">IFERROR(__xludf.DUMMYFUNCTION("""COMPUTED_VALUE"""),"Доклад от конференция")</f>
        <v>Доклад от конференция</v>
      </c>
      <c r="C659" s="10" t="str">
        <f ca="1">IFERROR(__xludf.DUMMYFUNCTION("""COMPUTED_VALUE"""),"Религията като фактор при вътрешната сигурност")</f>
        <v>Религията като фактор при вътрешната сигурност</v>
      </c>
      <c r="D659" s="10">
        <f ca="1">IFERROR(__xludf.DUMMYFUNCTION("""COMPUTED_VALUE"""),2012)</f>
        <v>2012</v>
      </c>
      <c r="E659" s="10" t="str">
        <f ca="1">IFERROR(__xludf.DUMMYFUNCTION("""COMPUTED_VALUE"""),"Десета международна конференция – Сигурността в Югоизточна Европа – Геополитическата динамика в черноморския регион и сигурността в Югоизточна Европа, Демакс, София, 2012,стр. 271-282, ISBN 978-954-479-041-7")</f>
        <v>Десета международна конференция – Сигурността в Югоизточна Европа – Геополитическата динамика в черноморския регион и сигурността в Югоизточна Европа, Демакс, София, 2012,стр. 271-282, ISBN 978-954-479-041-7</v>
      </c>
      <c r="F659" s="10"/>
      <c r="G659" s="10"/>
      <c r="H659" s="10"/>
      <c r="I659" s="10"/>
      <c r="J659" s="10"/>
      <c r="K659" s="10"/>
      <c r="L659" s="10"/>
      <c r="M659" s="10"/>
      <c r="N659" s="10"/>
      <c r="O659" s="10"/>
      <c r="P659" s="10"/>
      <c r="Q659" s="10"/>
      <c r="R659" s="10"/>
      <c r="S659" s="10"/>
      <c r="T659" s="10"/>
      <c r="U659" s="10"/>
      <c r="V659" s="10"/>
      <c r="W659" s="10"/>
      <c r="X659" s="10"/>
      <c r="Y659" s="10"/>
      <c r="Z659" s="10"/>
    </row>
    <row r="660" spans="1:26" ht="12.75">
      <c r="A660" s="10" t="str">
        <f ca="1">IFERROR(__xludf.DUMMYFUNCTION("""COMPUTED_VALUE"""),"Борис Йорданов Борисов")</f>
        <v>Борис Йорданов Борисов</v>
      </c>
      <c r="B660" s="10" t="str">
        <f ca="1">IFERROR(__xludf.DUMMYFUNCTION("""COMPUTED_VALUE"""),"Статия в списания и поредици")</f>
        <v>Статия в списания и поредици</v>
      </c>
      <c r="C660" s="10" t="str">
        <f ca="1">IFERROR(__xludf.DUMMYFUNCTION("""COMPUTED_VALUE"""),"Аксиология на паметта в Информационното общество")</f>
        <v>Аксиология на паметта в Информационното общество</v>
      </c>
      <c r="D660" s="10">
        <f ca="1">IFERROR(__xludf.DUMMYFUNCTION("""COMPUTED_VALUE"""),2012)</f>
        <v>2012</v>
      </c>
      <c r="E660" s="10" t="str">
        <f ca="1">IFERROR(__xludf.DUMMYFUNCTION("""COMPUTED_VALUE"""),"Град и памет, Пазарджик, 2012, стр. 117-126, ISBN 978-954-91740-9-0")</f>
        <v>Град и памет, Пазарджик, 2012, стр. 117-126, ISBN 978-954-91740-9-0</v>
      </c>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c r="A661" s="10" t="str">
        <f ca="1">IFERROR(__xludf.DUMMYFUNCTION("""COMPUTED_VALUE"""),"Борис Йорданов Борисов")</f>
        <v>Борис Йорданов Борисов</v>
      </c>
      <c r="B661" s="10" t="str">
        <f ca="1">IFERROR(__xludf.DUMMYFUNCTION("""COMPUTED_VALUE"""),"Статия в списания и поредици")</f>
        <v>Статия в списания и поредици</v>
      </c>
      <c r="C661" s="10" t="str">
        <f ca="1">IFERROR(__xludf.DUMMYFUNCTION("""COMPUTED_VALUE"""),"Образователни аспекти на сигурността в културните институции")</f>
        <v>Образователни аспекти на сигурността в културните институции</v>
      </c>
      <c r="D661" s="10">
        <f ca="1">IFERROR(__xludf.DUMMYFUNCTION("""COMPUTED_VALUE"""),2012)</f>
        <v>2012</v>
      </c>
      <c r="E661" s="10" t="str">
        <f ca="1">IFERROR(__xludf.DUMMYFUNCTION("""COMPUTED_VALUE"""),"За буквите – О писменехь, София, 2012")</f>
        <v>За буквите – О писменехь, София, 2012</v>
      </c>
      <c r="F661" s="10"/>
      <c r="G661" s="10"/>
      <c r="H661" s="10"/>
      <c r="I661" s="10"/>
      <c r="J661" s="10"/>
      <c r="K661" s="10"/>
      <c r="L661" s="10"/>
      <c r="M661" s="10"/>
      <c r="N661" s="10"/>
      <c r="O661" s="10"/>
      <c r="P661" s="10"/>
      <c r="Q661" s="10"/>
      <c r="R661" s="10"/>
      <c r="S661" s="10"/>
      <c r="T661" s="10"/>
      <c r="U661" s="10"/>
      <c r="V661" s="10"/>
      <c r="W661" s="10"/>
      <c r="X661" s="10"/>
      <c r="Y661" s="10"/>
      <c r="Z661" s="10"/>
    </row>
    <row r="662" spans="1:26" ht="12.75">
      <c r="A662" s="10" t="str">
        <f ca="1">IFERROR(__xludf.DUMMYFUNCTION("""COMPUTED_VALUE"""),"Борис Йорданов Борисов")</f>
        <v>Борис Йорданов Борисов</v>
      </c>
      <c r="B662" s="10" t="str">
        <f ca="1">IFERROR(__xludf.DUMMYFUNCTION("""COMPUTED_VALUE"""),"Статия в списания и поредици")</f>
        <v>Статия в списания и поредици</v>
      </c>
      <c r="C662" s="10" t="str">
        <f ca="1">IFERROR(__xludf.DUMMYFUNCTION("""COMPUTED_VALUE"""),"Комуникационно третиране на културно-историческото наследство чрез тематично обвързаните образно-символни системи")</f>
        <v>Комуникационно третиране на културно-историческото наследство чрез тематично обвързаните образно-символни системи</v>
      </c>
      <c r="D662" s="10">
        <f ca="1">IFERROR(__xludf.DUMMYFUNCTION("""COMPUTED_VALUE"""),2012)</f>
        <v>2012</v>
      </c>
      <c r="E662" s="10" t="str">
        <f ca="1">IFERROR(__xludf.DUMMYFUNCTION("""COMPUTED_VALUE"""),"Семинар на УниБИТ, Охрид, 2012")</f>
        <v>Семинар на УниБИТ, Охрид, 2012</v>
      </c>
      <c r="F662" s="10"/>
      <c r="G662" s="10"/>
      <c r="H662" s="10"/>
      <c r="I662" s="10"/>
      <c r="J662" s="10"/>
      <c r="K662" s="10"/>
      <c r="L662" s="10"/>
      <c r="M662" s="10"/>
      <c r="N662" s="10"/>
      <c r="O662" s="10"/>
      <c r="P662" s="10"/>
      <c r="Q662" s="10"/>
      <c r="R662" s="10"/>
      <c r="S662" s="10"/>
      <c r="T662" s="10"/>
      <c r="U662" s="10"/>
      <c r="V662" s="10"/>
      <c r="W662" s="10"/>
      <c r="X662" s="10"/>
      <c r="Y662" s="10"/>
      <c r="Z662" s="10"/>
    </row>
    <row r="663" spans="1:26" ht="12.75">
      <c r="A663" s="10" t="str">
        <f ca="1">IFERROR(__xludf.DUMMYFUNCTION("""COMPUTED_VALUE"""),"Борис Йорданов Борисов")</f>
        <v>Борис Йорданов Борисов</v>
      </c>
      <c r="B663" s="10" t="str">
        <f ca="1">IFERROR(__xludf.DUMMYFUNCTION("""COMPUTED_VALUE"""),"Статия в списания и поредици")</f>
        <v>Статия в списания и поредици</v>
      </c>
      <c r="C663" s="10" t="str">
        <f ca="1">IFERROR(__xludf.DUMMYFUNCTION("""COMPUTED_VALUE"""),"Дифузия на лидерските теории в обществото")</f>
        <v>Дифузия на лидерските теории в обществото</v>
      </c>
      <c r="D663" s="10">
        <f ca="1">IFERROR(__xludf.DUMMYFUNCTION("""COMPUTED_VALUE"""),2012)</f>
        <v>2012</v>
      </c>
      <c r="E663" s="10" t="str">
        <f ca="1">IFERROR(__xludf.DUMMYFUNCTION("""COMPUTED_VALUE"""),"Лидерство в криза или криза в лидерството. Теория и практика на лидерството, ИТПЛ „Стефан Стамболов“, София, 2012 ISSN 1313-8782")</f>
        <v>Лидерство в криза или криза в лидерството. Теория и практика на лидерството, ИТПЛ „Стефан Стамболов“, София, 2012 ISSN 1313-8782</v>
      </c>
      <c r="F663" s="10"/>
      <c r="G663" s="10" t="str">
        <f ca="1">IFERROR(__xludf.DUMMYFUNCTION("""COMPUTED_VALUE"""),"И. Петева, С. Денчев")</f>
        <v>И. Петева, С. Денчев</v>
      </c>
      <c r="H663" s="10"/>
      <c r="I663" s="10"/>
      <c r="J663" s="10"/>
      <c r="K663" s="10"/>
      <c r="L663" s="10"/>
      <c r="M663" s="10"/>
      <c r="N663" s="10"/>
      <c r="O663" s="10"/>
      <c r="P663" s="10"/>
      <c r="Q663" s="10"/>
      <c r="R663" s="10"/>
      <c r="S663" s="10"/>
      <c r="T663" s="10"/>
      <c r="U663" s="10"/>
      <c r="V663" s="10"/>
      <c r="W663" s="10"/>
      <c r="X663" s="10"/>
      <c r="Y663" s="10"/>
      <c r="Z663" s="10"/>
    </row>
    <row r="664" spans="1:26" ht="12.75">
      <c r="A664" s="10" t="str">
        <f ca="1">IFERROR(__xludf.DUMMYFUNCTION("""COMPUTED_VALUE"""),"Борис Йорданов Борисов")</f>
        <v>Борис Йорданов Борисов</v>
      </c>
      <c r="B664" s="10" t="str">
        <f ca="1">IFERROR(__xludf.DUMMYFUNCTION("""COMPUTED_VALUE"""),"Доклад от конференция")</f>
        <v>Доклад от конференция</v>
      </c>
      <c r="C664" s="10" t="str">
        <f ca="1">IFERROR(__xludf.DUMMYFUNCTION("""COMPUTED_VALUE"""),"Култура на сигурността при работа с деца")</f>
        <v>Култура на сигурността при работа с деца</v>
      </c>
      <c r="D664" s="10">
        <f ca="1">IFERROR(__xludf.DUMMYFUNCTION("""COMPUTED_VALUE"""),2012)</f>
        <v>2012</v>
      </c>
      <c r="E664" s="10" t="str">
        <f ca="1">IFERROR(__xludf.DUMMYFUNCTION("""COMPUTED_VALUE"""),"Обществото на знанието и хуманизма на XXI век, За буквите – О‘писменехь, София, 2012, стр.314-319, ISSN 1314-7099")</f>
        <v>Обществото на знанието и хуманизма на XXI век, За буквите – О‘писменехь, София, 2012, стр.314-319, ISSN 1314-7099</v>
      </c>
      <c r="F664" s="10"/>
      <c r="G664" s="10"/>
      <c r="H664" s="10"/>
      <c r="I664" s="10"/>
      <c r="J664" s="10"/>
      <c r="K664" s="10"/>
      <c r="L664" s="10"/>
      <c r="M664" s="10"/>
      <c r="N664" s="10"/>
      <c r="O664" s="10"/>
      <c r="P664" s="10"/>
      <c r="Q664" s="10"/>
      <c r="R664" s="10"/>
      <c r="S664" s="10"/>
      <c r="T664" s="10"/>
      <c r="U664" s="10"/>
      <c r="V664" s="10"/>
      <c r="W664" s="10"/>
      <c r="X664" s="10"/>
      <c r="Y664" s="10"/>
      <c r="Z664" s="10"/>
    </row>
    <row r="665" spans="1:26" ht="12.75">
      <c r="A665" s="10" t="str">
        <f ca="1">IFERROR(__xludf.DUMMYFUNCTION("""COMPUTED_VALUE"""),"Борис Йорданов Борисов")</f>
        <v>Борис Йорданов Борисов</v>
      </c>
      <c r="B665" s="10" t="str">
        <f ca="1">IFERROR(__xludf.DUMMYFUNCTION("""COMPUTED_VALUE"""),"Статия в списания и поредици")</f>
        <v>Статия в списания и поредици</v>
      </c>
      <c r="C665" s="10" t="str">
        <f ca="1">IFERROR(__xludf.DUMMYFUNCTION("""COMPUTED_VALUE"""),"Нови технологии и сигурност")</f>
        <v>Нови технологии и сигурност</v>
      </c>
      <c r="D665" s="10">
        <f ca="1">IFERROR(__xludf.DUMMYFUNCTION("""COMPUTED_VALUE"""),2012)</f>
        <v>2012</v>
      </c>
      <c r="E665" s="10" t="str">
        <f ca="1">IFERROR(__xludf.DUMMYFUNCTION("""COMPUTED_VALUE"""),"Нови информационни технологии в образователния процес, т.6, За буквите – О‘писменехь, София, 2012, стр.179-186, ISSN 1313-2768")</f>
        <v>Нови информационни технологии в образователния процес, т.6, За буквите – О‘писменехь, София, 2012, стр.179-186, ISSN 1313-2768</v>
      </c>
      <c r="F665" s="10"/>
      <c r="G665" s="10"/>
      <c r="H665" s="10"/>
      <c r="I665" s="10"/>
      <c r="J665" s="10"/>
      <c r="K665" s="10"/>
      <c r="L665" s="10"/>
      <c r="M665" s="10"/>
      <c r="N665" s="10"/>
      <c r="O665" s="10"/>
      <c r="P665" s="10"/>
      <c r="Q665" s="10"/>
      <c r="R665" s="10"/>
      <c r="S665" s="10"/>
      <c r="T665" s="10"/>
      <c r="U665" s="10"/>
      <c r="V665" s="10"/>
      <c r="W665" s="10"/>
      <c r="X665" s="10"/>
      <c r="Y665" s="10"/>
      <c r="Z665" s="10"/>
    </row>
    <row r="666" spans="1:26" ht="12.75">
      <c r="A666" s="10" t="str">
        <f ca="1">IFERROR(__xludf.DUMMYFUNCTION("""COMPUTED_VALUE"""),"Борис Йорданов Борисов")</f>
        <v>Борис Йорданов Борисов</v>
      </c>
      <c r="B666" s="10" t="str">
        <f ca="1">IFERROR(__xludf.DUMMYFUNCTION("""COMPUTED_VALUE"""),"Статия в списания и поредици")</f>
        <v>Статия в списания и поредици</v>
      </c>
      <c r="C666" s="10" t="str">
        <f ca="1">IFERROR(__xludf.DUMMYFUNCTION("""COMPUTED_VALUE"""),"Аспекти на информационните технологии от древността. Клиновидно писмо")</f>
        <v>Аспекти на информационните технологии от древността. Клиновидно писмо</v>
      </c>
      <c r="D666" s="10">
        <f ca="1">IFERROR(__xludf.DUMMYFUNCTION("""COMPUTED_VALUE"""),2012)</f>
        <v>2012</v>
      </c>
      <c r="E666" s="10" t="str">
        <f ca="1">IFERROR(__xludf.DUMMYFUNCTION("""COMPUTED_VALUE"""),"Трудове на УНИБИТ, т.12 За буквите – О‘писменехь, София, 2013, стр.267-275, ISSN 1314-2623")</f>
        <v>Трудове на УНИБИТ, т.12 За буквите – О‘писменехь, София, 2013, стр.267-275, ISSN 1314-2623</v>
      </c>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c r="A667" s="10" t="str">
        <f ca="1">IFERROR(__xludf.DUMMYFUNCTION("""COMPUTED_VALUE"""),"Борис Йорданов Борисов")</f>
        <v>Борис Йорданов Борисов</v>
      </c>
      <c r="B667" s="10" t="str">
        <f ca="1">IFERROR(__xludf.DUMMYFUNCTION("""COMPUTED_VALUE"""),"Статия в списания и поредици")</f>
        <v>Статия в списания и поредици</v>
      </c>
      <c r="C667" s="10" t="str">
        <f ca="1">IFERROR(__xludf.DUMMYFUNCTION("""COMPUTED_VALUE"""),"Еволюция на лидера")</f>
        <v>Еволюция на лидера</v>
      </c>
      <c r="D667" s="10">
        <f ca="1">IFERROR(__xludf.DUMMYFUNCTION("""COMPUTED_VALUE"""),2011)</f>
        <v>2011</v>
      </c>
      <c r="E667" s="10" t="str">
        <f ca="1">IFERROR(__xludf.DUMMYFUNCTION("""COMPUTED_VALUE"""),"Лидерството пред новите предизвикателства на мултикултурната среда, ИТПЛ „Стефан Стамболов“, София, 2011, ISSN 1313-8782")</f>
        <v>Лидерството пред новите предизвикателства на мултикултурната среда, ИТПЛ „Стефан Стамболов“, София, 2011, ISSN 1313-8782</v>
      </c>
      <c r="F667" s="10"/>
      <c r="G667" s="10" t="str">
        <f ca="1">IFERROR(__xludf.DUMMYFUNCTION("""COMPUTED_VALUE"""),"Н. Дебрюне")</f>
        <v>Н. Дебрюне</v>
      </c>
      <c r="H667" s="10"/>
      <c r="I667" s="10"/>
      <c r="J667" s="10"/>
      <c r="K667" s="10"/>
      <c r="L667" s="10"/>
      <c r="M667" s="10"/>
      <c r="N667" s="10"/>
      <c r="O667" s="10"/>
      <c r="P667" s="10"/>
      <c r="Q667" s="10"/>
      <c r="R667" s="10"/>
      <c r="S667" s="10"/>
      <c r="T667" s="10"/>
      <c r="U667" s="10"/>
      <c r="V667" s="10"/>
      <c r="W667" s="10"/>
      <c r="X667" s="10"/>
      <c r="Y667" s="10"/>
      <c r="Z667" s="10"/>
    </row>
    <row r="668" spans="1:26" ht="12.75">
      <c r="A668" s="10" t="str">
        <f ca="1">IFERROR(__xludf.DUMMYFUNCTION("""COMPUTED_VALUE"""),"Борис Йорданов Борисов")</f>
        <v>Борис Йорданов Борисов</v>
      </c>
      <c r="B668" s="10" t="str">
        <f ca="1">IFERROR(__xludf.DUMMYFUNCTION("""COMPUTED_VALUE"""),"Статия в списания и поредици")</f>
        <v>Статия в списания и поредици</v>
      </c>
      <c r="C668" s="10" t="str">
        <f ca="1">IFERROR(__xludf.DUMMYFUNCTION("""COMPUTED_VALUE"""),"Иновации и музеи")</f>
        <v>Иновации и музеи</v>
      </c>
      <c r="D668" s="10">
        <f ca="1">IFERROR(__xludf.DUMMYFUNCTION("""COMPUTED_VALUE"""),2011)</f>
        <v>2011</v>
      </c>
      <c r="E668" s="10" t="str">
        <f ca="1">IFERROR(__xludf.DUMMYFUNCTION("""COMPUTED_VALUE"""),"За буквите – О’писменехь, София, 2011, ISBN 978-954-2946-05-2, с. 218")</f>
        <v>За буквите – О’писменехь, София, 2011, ISBN 978-954-2946-05-2, с. 218</v>
      </c>
      <c r="F668" s="10"/>
      <c r="G668" s="10" t="str">
        <f ca="1">IFERROR(__xludf.DUMMYFUNCTION("""COMPUTED_VALUE"""),"И. Петева, С. Денчев")</f>
        <v>И. Петева, С. Денчев</v>
      </c>
      <c r="H668" s="10"/>
      <c r="I668" s="10"/>
      <c r="J668" s="10"/>
      <c r="K668" s="10"/>
      <c r="L668" s="10"/>
      <c r="M668" s="10"/>
      <c r="N668" s="10"/>
      <c r="O668" s="10"/>
      <c r="P668" s="10"/>
      <c r="Q668" s="10"/>
      <c r="R668" s="10"/>
      <c r="S668" s="10"/>
      <c r="T668" s="10"/>
      <c r="U668" s="10"/>
      <c r="V668" s="10"/>
      <c r="W668" s="10"/>
      <c r="X668" s="10"/>
      <c r="Y668" s="10"/>
      <c r="Z668" s="10"/>
    </row>
    <row r="669" spans="1:26" ht="12.75">
      <c r="A669" s="10" t="str">
        <f ca="1">IFERROR(__xludf.DUMMYFUNCTION("""COMPUTED_VALUE"""),"Борис Йорданов Борисов")</f>
        <v>Борис Йорданов Борисов</v>
      </c>
      <c r="B669" s="10" t="str">
        <f ca="1">IFERROR(__xludf.DUMMYFUNCTION("""COMPUTED_VALUE"""),"Статия в списания и поредици")</f>
        <v>Статия в списания и поредици</v>
      </c>
      <c r="C669" s="10" t="str">
        <f ca="1">IFERROR(__xludf.DUMMYFUNCTION("""COMPUTED_VALUE"""),"Internet Pilgrims")</f>
        <v>Internet Pilgrims</v>
      </c>
      <c r="D669" s="10">
        <f ca="1">IFERROR(__xludf.DUMMYFUNCTION("""COMPUTED_VALUE"""),2011)</f>
        <v>2011</v>
      </c>
      <c r="E669" s="10" t="str">
        <f ca="1">IFERROR(__xludf.DUMMYFUNCTION("""COMPUTED_VALUE"""),"Cultural Corridor Sofia-Ohrid. Cultural Tourism Without Boundaries, Гея, Охрид, 2011, стp.165-171, ISBN978-954-300-111-8")</f>
        <v>Cultural Corridor Sofia-Ohrid. Cultural Tourism Without Boundaries, Гея, Охрид, 2011, стp.165-171, ISBN978-954-300-111-8</v>
      </c>
      <c r="F669" s="10"/>
      <c r="G669" s="10"/>
      <c r="H669" s="10"/>
      <c r="I669" s="10"/>
      <c r="J669" s="10"/>
      <c r="K669" s="10"/>
      <c r="L669" s="10"/>
      <c r="M669" s="10"/>
      <c r="N669" s="10"/>
      <c r="O669" s="10"/>
      <c r="P669" s="10"/>
      <c r="Q669" s="10"/>
      <c r="R669" s="10"/>
      <c r="S669" s="10"/>
      <c r="T669" s="10"/>
      <c r="U669" s="10"/>
      <c r="V669" s="10"/>
      <c r="W669" s="10"/>
      <c r="X669" s="10"/>
      <c r="Y669" s="10"/>
      <c r="Z669" s="10"/>
    </row>
    <row r="670" spans="1:26" ht="12.75">
      <c r="A670" s="10" t="str">
        <f ca="1">IFERROR(__xludf.DUMMYFUNCTION("""COMPUTED_VALUE"""),"Борис Йорданов Борисов")</f>
        <v>Борис Йорданов Борисов</v>
      </c>
      <c r="B670" s="10" t="str">
        <f ca="1">IFERROR(__xludf.DUMMYFUNCTION("""COMPUTED_VALUE"""),"Книга")</f>
        <v>Книга</v>
      </c>
      <c r="C670" s="10" t="str">
        <f ca="1">IFERROR(__xludf.DUMMYFUNCTION("""COMPUTED_VALUE"""),"Институти на културата и сигурност")</f>
        <v>Институти на културата и сигурност</v>
      </c>
      <c r="D670" s="10">
        <f ca="1">IFERROR(__xludf.DUMMYFUNCTION("""COMPUTED_VALUE"""),2011)</f>
        <v>2011</v>
      </c>
      <c r="E670" s="10" t="str">
        <f ca="1">IFERROR(__xludf.DUMMYFUNCTION("""COMPUTED_VALUE"""),"За буквите – О‘писменехь, София, 2011, ISBN 978-954-2946-13-7, с.190")</f>
        <v>За буквите – О‘писменехь, София, 2011, ISBN 978-954-2946-13-7, с.190</v>
      </c>
      <c r="F670" s="10"/>
      <c r="G670" s="10"/>
      <c r="H670" s="10"/>
      <c r="I670" s="10"/>
      <c r="J670" s="10"/>
      <c r="K670" s="10"/>
      <c r="L670" s="10"/>
      <c r="M670" s="10"/>
      <c r="N670" s="10"/>
      <c r="O670" s="10"/>
      <c r="P670" s="10"/>
      <c r="Q670" s="10"/>
      <c r="R670" s="10"/>
      <c r="S670" s="10"/>
      <c r="T670" s="10"/>
      <c r="U670" s="10"/>
      <c r="V670" s="10"/>
      <c r="W670" s="10"/>
      <c r="X670" s="10"/>
      <c r="Y670" s="10"/>
      <c r="Z670" s="10"/>
    </row>
    <row r="671" spans="1:26" ht="12.75">
      <c r="A671" s="10" t="str">
        <f ca="1">IFERROR(__xludf.DUMMYFUNCTION("""COMPUTED_VALUE"""),"Борис Йорданов Борисов")</f>
        <v>Борис Йорданов Борисов</v>
      </c>
      <c r="B671" s="10" t="str">
        <f ca="1">IFERROR(__xludf.DUMMYFUNCTION("""COMPUTED_VALUE"""),"Статия в списания и поредици")</f>
        <v>Статия в списания и поредици</v>
      </c>
      <c r="C671" s="10" t="str">
        <f ca="1">IFERROR(__xludf.DUMMYFUNCTION("""COMPUTED_VALUE"""),"Identity – aspects and dimensions")</f>
        <v>Identity – aspects and dimensions</v>
      </c>
      <c r="D671" s="10">
        <f ca="1">IFERROR(__xludf.DUMMYFUNCTION("""COMPUTED_VALUE"""),2011)</f>
        <v>2011</v>
      </c>
      <c r="E671" s="10" t="str">
        <f ca="1">IFERROR(__xludf.DUMMYFUNCTION("""COMPUTED_VALUE"""),"Ethnic and Religious Tolerance. Civil Society in South East Europe, За буквите – О писменехь, София, 2011, р. 214-221, ISBN 978-954-2496-02-1")</f>
        <v>Ethnic and Religious Tolerance. Civil Society in South East Europe, За буквите – О писменехь, София, 2011, р. 214-221, ISBN 978-954-2496-02-1</v>
      </c>
      <c r="F671" s="10"/>
      <c r="G671" s="10"/>
      <c r="H671" s="10"/>
      <c r="I671" s="10"/>
      <c r="J671" s="10"/>
      <c r="K671" s="10"/>
      <c r="L671" s="10"/>
      <c r="M671" s="10"/>
      <c r="N671" s="10"/>
      <c r="O671" s="10"/>
      <c r="P671" s="10"/>
      <c r="Q671" s="10"/>
      <c r="R671" s="10"/>
      <c r="S671" s="10"/>
      <c r="T671" s="10"/>
      <c r="U671" s="10"/>
      <c r="V671" s="10"/>
      <c r="W671" s="10"/>
      <c r="X671" s="10"/>
      <c r="Y671" s="10"/>
      <c r="Z671" s="10"/>
    </row>
    <row r="672" spans="1:26" ht="12.75">
      <c r="A672" s="10" t="str">
        <f ca="1">IFERROR(__xludf.DUMMYFUNCTION("""COMPUTED_VALUE"""),"Борис Йорданов Борисов")</f>
        <v>Борис Йорданов Борисов</v>
      </c>
      <c r="B672" s="10" t="str">
        <f ca="1">IFERROR(__xludf.DUMMYFUNCTION("""COMPUTED_VALUE"""),"Статия в списания и поредици")</f>
        <v>Статия в списания и поредици</v>
      </c>
      <c r="C672" s="10" t="str">
        <f ca="1">IFERROR(__xludf.DUMMYFUNCTION("""COMPUTED_VALUE"""),"Защита на културните ценности – традиции и иновативни подходи")</f>
        <v>Защита на културните ценности – традиции и иновативни подходи</v>
      </c>
      <c r="D672" s="10">
        <f ca="1">IFERROR(__xludf.DUMMYFUNCTION("""COMPUTED_VALUE"""),2011)</f>
        <v>2011</v>
      </c>
      <c r="E672" s="10" t="str">
        <f ca="1">IFERROR(__xludf.DUMMYFUNCTION("""COMPUTED_VALUE"""),"Трудове на УНИБИТ, т.9, За буквите – О‘писменехь, София, 2011, стр.347-353, ISSN 1314-2623")</f>
        <v>Трудове на УНИБИТ, т.9, За буквите – О‘писменехь, София, 2011, стр.347-353, ISSN 1314-2623</v>
      </c>
      <c r="F672" s="10"/>
      <c r="G672" s="10"/>
      <c r="H672" s="10"/>
      <c r="I672" s="10"/>
      <c r="J672" s="10"/>
      <c r="K672" s="10"/>
      <c r="L672" s="10"/>
      <c r="M672" s="10"/>
      <c r="N672" s="10"/>
      <c r="O672" s="10"/>
      <c r="P672" s="10"/>
      <c r="Q672" s="10"/>
      <c r="R672" s="10"/>
      <c r="S672" s="10"/>
      <c r="T672" s="10"/>
      <c r="U672" s="10"/>
      <c r="V672" s="10"/>
      <c r="W672" s="10"/>
      <c r="X672" s="10"/>
      <c r="Y672" s="10"/>
      <c r="Z672" s="10"/>
    </row>
    <row r="673" spans="1:26" ht="12.75">
      <c r="A673" s="10" t="str">
        <f ca="1">IFERROR(__xludf.DUMMYFUNCTION("""COMPUTED_VALUE"""),"Борис Йорданов Борисов")</f>
        <v>Борис Йорданов Борисов</v>
      </c>
      <c r="B673" s="10" t="str">
        <f ca="1">IFERROR(__xludf.DUMMYFUNCTION("""COMPUTED_VALUE"""),"Доклад от конференция")</f>
        <v>Доклад от конференция</v>
      </c>
      <c r="C673" s="10" t="str">
        <f ca="1">IFERROR(__xludf.DUMMYFUNCTION("""COMPUTED_VALUE"""),"Информационните технологии и проблемно базираното обучение")</f>
        <v>Информационните технологии и проблемно базираното обучение</v>
      </c>
      <c r="D673" s="10">
        <f ca="1">IFERROR(__xludf.DUMMYFUNCTION("""COMPUTED_VALUE"""),2010)</f>
        <v>2010</v>
      </c>
      <c r="E673" s="10" t="str">
        <f ca="1">IFERROR(__xludf.DUMMYFUNCTION("""COMPUTED_VALUE"""),"Обществото на знанието и хуманизма на XXI век, За буквите – О‘писменехь, София, 2010, стр.604-609, ISBN 978-954-2946-09-0")</f>
        <v>Обществото на знанието и хуманизма на XXI век, За буквите – О‘писменехь, София, 2010, стр.604-609, ISBN 978-954-2946-09-0</v>
      </c>
      <c r="F673" s="10"/>
      <c r="G673" s="10"/>
      <c r="H673" s="10"/>
      <c r="I673" s="10"/>
      <c r="J673" s="10"/>
      <c r="K673" s="10"/>
      <c r="L673" s="10"/>
      <c r="M673" s="10"/>
      <c r="N673" s="10"/>
      <c r="O673" s="10"/>
      <c r="P673" s="10"/>
      <c r="Q673" s="10"/>
      <c r="R673" s="10"/>
      <c r="S673" s="10"/>
      <c r="T673" s="10"/>
      <c r="U673" s="10"/>
      <c r="V673" s="10"/>
      <c r="W673" s="10"/>
      <c r="X673" s="10"/>
      <c r="Y673" s="10"/>
      <c r="Z673" s="10"/>
    </row>
    <row r="674" spans="1:26" ht="12.75">
      <c r="A674" s="10" t="str">
        <f ca="1">IFERROR(__xludf.DUMMYFUNCTION("""COMPUTED_VALUE"""),"Борис Йорданов Борисов")</f>
        <v>Борис Йорданов Борисов</v>
      </c>
      <c r="B674" s="10" t="str">
        <f ca="1">IFERROR(__xludf.DUMMYFUNCTION("""COMPUTED_VALUE"""),"Статия в списания и поредици")</f>
        <v>Статия в списания и поредици</v>
      </c>
      <c r="C674" s="10" t="str">
        <f ca="1">IFERROR(__xludf.DUMMYFUNCTION("""COMPUTED_VALUE"""),"Електронното обучение – стратегия на бъдещето")</f>
        <v>Електронното обучение – стратегия на бъдещето</v>
      </c>
      <c r="D674" s="10">
        <f ca="1">IFERROR(__xludf.DUMMYFUNCTION("""COMPUTED_VALUE"""),2010)</f>
        <v>2010</v>
      </c>
      <c r="E674" s="10" t="str">
        <f ca="1">IFERROR(__xludf.DUMMYFUNCTION("""COMPUTED_VALUE"""),"Нови информационни технологии в образователния процес, буквите – О’писменехь, София, 2010, стр.181-189, ISBN 1313-2768")</f>
        <v>Нови информационни технологии в образователния процес, буквите – О’писменехь, София, 2010, стр.181-189, ISBN 1313-2768</v>
      </c>
      <c r="F674" s="10"/>
      <c r="G674" s="10"/>
      <c r="H674" s="10"/>
      <c r="I674" s="10"/>
      <c r="J674" s="10"/>
      <c r="K674" s="10"/>
      <c r="L674" s="10"/>
      <c r="M674" s="10"/>
      <c r="N674" s="10"/>
      <c r="O674" s="10"/>
      <c r="P674" s="10"/>
      <c r="Q674" s="10"/>
      <c r="R674" s="10"/>
      <c r="S674" s="10"/>
      <c r="T674" s="10"/>
      <c r="U674" s="10"/>
      <c r="V674" s="10"/>
      <c r="W674" s="10"/>
      <c r="X674" s="10"/>
      <c r="Y674" s="10"/>
      <c r="Z674" s="10"/>
    </row>
    <row r="675" spans="1:26" ht="12.75">
      <c r="A675" s="10" t="str">
        <f ca="1">IFERROR(__xludf.DUMMYFUNCTION("""COMPUTED_VALUE"""),"Борис Йорданов Борисов")</f>
        <v>Борис Йорданов Борисов</v>
      </c>
      <c r="B675" s="10" t="str">
        <f ca="1">IFERROR(__xludf.DUMMYFUNCTION("""COMPUTED_VALUE"""),"Статия в списания и поредици")</f>
        <v>Статия в списания и поредици</v>
      </c>
      <c r="C675" s="10" t="str">
        <f ca="1">IFERROR(__xludf.DUMMYFUNCTION("""COMPUTED_VALUE"""),"Духовност и сигурност")</f>
        <v>Духовност и сигурност</v>
      </c>
      <c r="D675" s="10">
        <f ca="1">IFERROR(__xludf.DUMMYFUNCTION("""COMPUTED_VALUE"""),2010)</f>
        <v>2010</v>
      </c>
      <c r="E675" s="10" t="str">
        <f ca="1">IFERROR(__xludf.DUMMYFUNCTION("""COMPUTED_VALUE"""),"За буквите – О писменехь, София, 2010, ISBN 978-954-8887-60-1, с.175")</f>
        <v>За буквите – О писменехь, София, 2010, ISBN 978-954-8887-60-1, с.175</v>
      </c>
      <c r="F675" s="10"/>
      <c r="G675" s="10" t="str">
        <f ca="1">IFERROR(__xludf.DUMMYFUNCTION("""COMPUTED_VALUE"""),"И. Попов, Д. Иванов, С. Денчев, И. Петева")</f>
        <v>И. Попов, Д. Иванов, С. Денчев, И. Петева</v>
      </c>
      <c r="H675" s="10"/>
      <c r="I675" s="10"/>
      <c r="J675" s="10"/>
      <c r="K675" s="10"/>
      <c r="L675" s="10"/>
      <c r="M675" s="10"/>
      <c r="N675" s="10"/>
      <c r="O675" s="10"/>
      <c r="P675" s="10"/>
      <c r="Q675" s="10"/>
      <c r="R675" s="10"/>
      <c r="S675" s="10"/>
      <c r="T675" s="10"/>
      <c r="U675" s="10"/>
      <c r="V675" s="10"/>
      <c r="W675" s="10"/>
      <c r="X675" s="10"/>
      <c r="Y675" s="10"/>
      <c r="Z675" s="10"/>
    </row>
    <row r="676" spans="1:26" ht="12.75">
      <c r="A676" s="10" t="str">
        <f ca="1">IFERROR(__xludf.DUMMYFUNCTION("""COMPUTED_VALUE"""),"Борис Йорданов Борисов")</f>
        <v>Борис Йорданов Борисов</v>
      </c>
      <c r="B676" s="10" t="str">
        <f ca="1">IFERROR(__xludf.DUMMYFUNCTION("""COMPUTED_VALUE"""),"Статия в списания и поредици")</f>
        <v>Статия в списания и поредици</v>
      </c>
      <c r="C676" s="10" t="str">
        <f ca="1">IFERROR(__xludf.DUMMYFUNCTION("""COMPUTED_VALUE"""),"Добри практики при използване на информационни технологии по време на междукултурното общуване")</f>
        <v>Добри практики при използване на информационни технологии по време на междукултурното общуване</v>
      </c>
      <c r="D676" s="10">
        <f ca="1">IFERROR(__xludf.DUMMYFUNCTION("""COMPUTED_VALUE"""),2010)</f>
        <v>2010</v>
      </c>
      <c r="E676" s="10" t="str">
        <f ca="1">IFERROR(__xludf.DUMMYFUNCTION("""COMPUTED_VALUE"""),"// България – кръстопът на култури ицивилизации, За буквите – О‘писменехь, София, 2010, стр.486-493, ISBN 978-954-8887-91-5")</f>
        <v>// България – кръстопът на култури ицивилизации, За буквите – О‘писменехь, София, 2010, стр.486-493, ISBN 978-954-8887-91-5</v>
      </c>
      <c r="F676" s="10"/>
      <c r="G676" s="10"/>
      <c r="H676" s="10"/>
      <c r="I676" s="10"/>
      <c r="J676" s="10"/>
      <c r="K676" s="10"/>
      <c r="L676" s="10"/>
      <c r="M676" s="10"/>
      <c r="N676" s="10"/>
      <c r="O676" s="10"/>
      <c r="P676" s="10"/>
      <c r="Q676" s="10"/>
      <c r="R676" s="10"/>
      <c r="S676" s="10"/>
      <c r="T676" s="10"/>
      <c r="U676" s="10"/>
      <c r="V676" s="10"/>
      <c r="W676" s="10"/>
      <c r="X676" s="10"/>
      <c r="Y676" s="10"/>
      <c r="Z676" s="10"/>
    </row>
    <row r="677" spans="1:26" ht="12.75">
      <c r="A677" s="10" t="str">
        <f ca="1">IFERROR(__xludf.DUMMYFUNCTION("""COMPUTED_VALUE"""),"Борис Йорданов Борисов")</f>
        <v>Борис Йорданов Борисов</v>
      </c>
      <c r="B677" s="10" t="str">
        <f ca="1">IFERROR(__xludf.DUMMYFUNCTION("""COMPUTED_VALUE"""),"Статия в списания и поредици")</f>
        <v>Статия в списания и поредици</v>
      </c>
      <c r="C677" s="10" t="str">
        <f ca="1">IFERROR(__xludf.DUMMYFUNCTION("""COMPUTED_VALUE"""),"Повишаване на ефективността на музейната дейност с помощта на съвременните информационни ресурси")</f>
        <v>Повишаване на ефективността на музейната дейност с помощта на съвременните информационни ресурси</v>
      </c>
      <c r="D677" s="10">
        <f ca="1">IFERROR(__xludf.DUMMYFUNCTION("""COMPUTED_VALUE"""),2009)</f>
        <v>2009</v>
      </c>
      <c r="E677" s="10" t="str">
        <f ca="1">IFERROR(__xludf.DUMMYFUNCTION("""COMPUTED_VALUE"""),"България в културното многообразие на Европа, За буквите – О‘писменехь, София, 2009, стр.458-474, ISBN 978-954-8887-65-6")</f>
        <v>България в културното многообразие на Европа, За буквите – О‘писменехь, София, 2009, стр.458-474, ISBN 978-954-8887-65-6</v>
      </c>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c r="A678" s="10" t="str">
        <f ca="1">IFERROR(__xludf.DUMMYFUNCTION("""COMPUTED_VALUE"""),"Борис Йорданов Борисов")</f>
        <v>Борис Йорданов Борисов</v>
      </c>
      <c r="B678" s="10" t="str">
        <f ca="1">IFERROR(__xludf.DUMMYFUNCTION("""COMPUTED_VALUE"""),"Статия в списания и поредици")</f>
        <v>Статия в списания и поредици</v>
      </c>
      <c r="C678" s="10" t="str">
        <f ca="1">IFERROR(__xludf.DUMMYFUNCTION("""COMPUTED_VALUE"""),"Технологични аспекти на информационните ресурси в съвременните музеи")</f>
        <v>Технологични аспекти на информационните ресурси в съвременните музеи</v>
      </c>
      <c r="D678" s="10">
        <f ca="1">IFERROR(__xludf.DUMMYFUNCTION("""COMPUTED_VALUE"""),2009)</f>
        <v>2009</v>
      </c>
      <c r="E678" s="10" t="str">
        <f ca="1">IFERROR(__xludf.DUMMYFUNCTION("""COMPUTED_VALUE"""),"Нови информационни технологии в образователния процес, т.3, За буквите – О‘писменехь, София, 2009, стр.361-367, ISSN 1313-2768")</f>
        <v>Нови информационни технологии в образователния процес, т.3, За буквите – О‘писменехь, София, 2009, стр.361-367, ISSN 1313-2768</v>
      </c>
      <c r="F678" s="10"/>
      <c r="G678" s="10"/>
      <c r="H678" s="10"/>
      <c r="I678" s="10"/>
      <c r="J678" s="10"/>
      <c r="K678" s="10"/>
      <c r="L678" s="10"/>
      <c r="M678" s="10"/>
      <c r="N678" s="10"/>
      <c r="O678" s="10"/>
      <c r="P678" s="10"/>
      <c r="Q678" s="10"/>
      <c r="R678" s="10"/>
      <c r="S678" s="10"/>
      <c r="T678" s="10"/>
      <c r="U678" s="10"/>
      <c r="V678" s="10"/>
      <c r="W678" s="10"/>
      <c r="X678" s="10"/>
      <c r="Y678" s="10"/>
      <c r="Z678" s="10"/>
    </row>
    <row r="679" spans="1:26" ht="12.75">
      <c r="A679" s="10" t="str">
        <f ca="1">IFERROR(__xludf.DUMMYFUNCTION("""COMPUTED_VALUE"""),"Борис Йорданов Борисов")</f>
        <v>Борис Йорданов Борисов</v>
      </c>
      <c r="B679" s="10" t="str">
        <f ca="1">IFERROR(__xludf.DUMMYFUNCTION("""COMPUTED_VALUE"""),"Статия в списания и поредици")</f>
        <v>Статия в списания и поредици</v>
      </c>
      <c r="C679" s="10" t="str">
        <f ca="1">IFERROR(__xludf.DUMMYFUNCTION("""COMPUTED_VALUE"""),"Актуални проблеми при обезпечаването на сигурността в културните институции")</f>
        <v>Актуални проблеми при обезпечаването на сигурността в културните институции</v>
      </c>
      <c r="D679" s="10">
        <f ca="1">IFERROR(__xludf.DUMMYFUNCTION("""COMPUTED_VALUE"""),2009)</f>
        <v>2009</v>
      </c>
      <c r="E679" s="10" t="str">
        <f ca="1">IFERROR(__xludf.DUMMYFUNCTION("""COMPUTED_VALUE"""),"Трудове на СВУБИТ, т.8, За буквите – О‘писменехь, София, 2009, стр.363-370, ISSN 1312-5834")</f>
        <v>Трудове на СВУБИТ, т.8, За буквите – О‘писменехь, София, 2009, стр.363-370, ISSN 1312-5834</v>
      </c>
      <c r="F679" s="10"/>
      <c r="G679" s="10"/>
      <c r="H679" s="10"/>
      <c r="I679" s="10"/>
      <c r="J679" s="10"/>
      <c r="K679" s="10"/>
      <c r="L679" s="10"/>
      <c r="M679" s="10"/>
      <c r="N679" s="10"/>
      <c r="O679" s="10"/>
      <c r="P679" s="10"/>
      <c r="Q679" s="10"/>
      <c r="R679" s="10"/>
      <c r="S679" s="10"/>
      <c r="T679" s="10"/>
      <c r="U679" s="10"/>
      <c r="V679" s="10"/>
      <c r="W679" s="10"/>
      <c r="X679" s="10"/>
      <c r="Y679" s="10"/>
      <c r="Z679" s="10"/>
    </row>
    <row r="680" spans="1:26" ht="12.75">
      <c r="A680" s="10" t="str">
        <f ca="1">IFERROR(__xludf.DUMMYFUNCTION("""COMPUTED_VALUE"""),"Борис Йорданов Борисов")</f>
        <v>Борис Йорданов Борисов</v>
      </c>
      <c r="B680" s="10" t="str">
        <f ca="1">IFERROR(__xludf.DUMMYFUNCTION("""COMPUTED_VALUE"""),"Статия в списания и поредици")</f>
        <v>Статия в списания и поредици</v>
      </c>
      <c r="C680" s="10" t="str">
        <f ca="1">IFERROR(__xludf.DUMMYFUNCTION("""COMPUTED_VALUE"""),"Музейната образователна дейност и съвременните информационни технологии")</f>
        <v>Музейната образователна дейност и съвременните информационни технологии</v>
      </c>
      <c r="D680" s="10">
        <f ca="1">IFERROR(__xludf.DUMMYFUNCTION("""COMPUTED_VALUE"""),2008)</f>
        <v>2008</v>
      </c>
      <c r="E680" s="10" t="str">
        <f ca="1">IFERROR(__xludf.DUMMYFUNCTION("""COMPUTED_VALUE"""),"Трудове на СВУБИТ, т.7, За буквите – О‘писменехь, София, 2008, стр.431-445, ISSN 1312-5834")</f>
        <v>Трудове на СВУБИТ, т.7, За буквите – О‘писменехь, София, 2008, стр.431-445, ISSN 1312-5834</v>
      </c>
      <c r="F680" s="10"/>
      <c r="G680" s="10"/>
      <c r="H680" s="10"/>
      <c r="I680" s="10"/>
      <c r="J680" s="10"/>
      <c r="K680" s="10"/>
      <c r="L680" s="10"/>
      <c r="M680" s="10"/>
      <c r="N680" s="10"/>
      <c r="O680" s="10"/>
      <c r="P680" s="10"/>
      <c r="Q680" s="10"/>
      <c r="R680" s="10"/>
      <c r="S680" s="10"/>
      <c r="T680" s="10"/>
      <c r="U680" s="10"/>
      <c r="V680" s="10"/>
      <c r="W680" s="10"/>
      <c r="X680" s="10"/>
      <c r="Y680" s="10"/>
      <c r="Z680" s="10"/>
    </row>
    <row r="681" spans="1:26" ht="12.75">
      <c r="A681" s="10" t="str">
        <f ca="1">IFERROR(__xludf.DUMMYFUNCTION("""COMPUTED_VALUE"""),"Борис Йорданов Борисов")</f>
        <v>Борис Йорданов Борисов</v>
      </c>
      <c r="B681" s="10" t="str">
        <f ca="1">IFERROR(__xludf.DUMMYFUNCTION("""COMPUTED_VALUE"""),"Статия в списания и поредици")</f>
        <v>Статия в списания и поредици</v>
      </c>
      <c r="C681" s="10" t="str">
        <f ca="1">IFERROR(__xludf.DUMMYFUNCTION("""COMPUTED_VALUE"""),"Информационните ресурси като фактор в проиводействието на корупционни практики")</f>
        <v>Информационните ресурси като фактор в проиводействието на корупционни практики</v>
      </c>
      <c r="D681" s="10">
        <f ca="1">IFERROR(__xludf.DUMMYFUNCTION("""COMPUTED_VALUE"""),2008)</f>
        <v>2008</v>
      </c>
      <c r="E681" s="10" t="str">
        <f ca="1">IFERROR(__xludf.DUMMYFUNCTION("""COMPUTED_VALUE"""),"Заедно срещу корупцията, Академия на МВР, София, 2008, стр. 382- 396, ISBN 978-954-348-030-2.")</f>
        <v>Заедно срещу корупцията, Академия на МВР, София, 2008, стр. 382- 396, ISBN 978-954-348-030-2.</v>
      </c>
      <c r="F681" s="10"/>
      <c r="G681" s="10"/>
      <c r="H681" s="10"/>
      <c r="I681" s="10"/>
      <c r="J681" s="10"/>
      <c r="K681" s="10"/>
      <c r="L681" s="10"/>
      <c r="M681" s="10"/>
      <c r="N681" s="10"/>
      <c r="O681" s="10"/>
      <c r="P681" s="10"/>
      <c r="Q681" s="10"/>
      <c r="R681" s="10"/>
      <c r="S681" s="10"/>
      <c r="T681" s="10"/>
      <c r="U681" s="10"/>
      <c r="V681" s="10"/>
      <c r="W681" s="10"/>
      <c r="X681" s="10"/>
      <c r="Y681" s="10"/>
      <c r="Z681" s="10"/>
    </row>
    <row r="682" spans="1:26" ht="12.75">
      <c r="A682" s="10" t="str">
        <f ca="1">IFERROR(__xludf.DUMMYFUNCTION("""COMPUTED_VALUE"""),"Борис Йорданов Борисов")</f>
        <v>Борис Йорданов Борисов</v>
      </c>
      <c r="B682" s="10" t="str">
        <f ca="1">IFERROR(__xludf.DUMMYFUNCTION("""COMPUTED_VALUE"""),"Доклад от конференция")</f>
        <v>Доклад от конференция</v>
      </c>
      <c r="C682" s="10" t="str">
        <f ca="1">IFERROR(__xludf.DUMMYFUNCTION("""COMPUTED_VALUE"""),"Културно-историческото наследство като фактор при съхранението на нацията и при отстояването на държавността")</f>
        <v>Културно-историческото наследство като фактор при съхранението на нацията и при отстояването на държавността</v>
      </c>
      <c r="D682" s="10">
        <f ca="1">IFERROR(__xludf.DUMMYFUNCTION("""COMPUTED_VALUE"""),2008)</f>
        <v>2008</v>
      </c>
      <c r="E682" s="10" t="str">
        <f ca="1">IFERROR(__xludf.DUMMYFUNCTION("""COMPUTED_VALUE"""),"Международна научна конференция, проведена във Военна академия на 14-15 окотмври 2008, София.")</f>
        <v>Международна научна конференция, проведена във Военна академия на 14-15 окотмври 2008, София.</v>
      </c>
      <c r="F682" s="10"/>
      <c r="G682" s="10"/>
      <c r="H682" s="10"/>
      <c r="I682" s="10"/>
      <c r="J682" s="10"/>
      <c r="K682" s="10"/>
      <c r="L682" s="10"/>
      <c r="M682" s="10"/>
      <c r="N682" s="10"/>
      <c r="O682" s="10"/>
      <c r="P682" s="10"/>
      <c r="Q682" s="10"/>
      <c r="R682" s="10"/>
      <c r="S682" s="10"/>
      <c r="T682" s="10"/>
      <c r="U682" s="10"/>
      <c r="V682" s="10"/>
      <c r="W682" s="10"/>
      <c r="X682" s="10"/>
      <c r="Y682" s="10"/>
      <c r="Z682" s="10"/>
    </row>
    <row r="683" spans="1:26" ht="12.75">
      <c r="A683" s="10" t="str">
        <f ca="1">IFERROR(__xludf.DUMMYFUNCTION("""COMPUTED_VALUE"""),"Борис Йорданов Борисов")</f>
        <v>Борис Йорданов Борисов</v>
      </c>
      <c r="B683" s="10" t="str">
        <f ca="1">IFERROR(__xludf.DUMMYFUNCTION("""COMPUTED_VALUE"""),"Статия в списания и поредици")</f>
        <v>Статия в списания и поредици</v>
      </c>
      <c r="C683" s="10" t="str">
        <f ca="1">IFERROR(__xludf.DUMMYFUNCTION("""COMPUTED_VALUE"""),"Информационен мениджмънт и определяне на комуникационни стратегии при културния туризъм")</f>
        <v>Информационен мениджмънт и определяне на комуникационни стратегии при културния туризъм</v>
      </c>
      <c r="D683" s="10">
        <f ca="1">IFERROR(__xludf.DUMMYFUNCTION("""COMPUTED_VALUE"""),2008)</f>
        <v>2008</v>
      </c>
      <c r="E683" s="10" t="str">
        <f ca="1">IFERROR(__xludf.DUMMYFUNCTION("""COMPUTED_VALUE"""),"Известия на Старозагорския исторически музей, Том 3, Стара Загора, 2008, с. 382-388. ISBN 978-954-9387-35-3")</f>
        <v>Известия на Старозагорския исторически музей, Том 3, Стара Загора, 2008, с. 382-388. ISBN 978-954-9387-35-3</v>
      </c>
      <c r="F683" s="10"/>
      <c r="G683" s="10"/>
      <c r="H683" s="10"/>
      <c r="I683" s="10"/>
      <c r="J683" s="10"/>
      <c r="K683" s="10"/>
      <c r="L683" s="10"/>
      <c r="M683" s="10"/>
      <c r="N683" s="10"/>
      <c r="O683" s="10"/>
      <c r="P683" s="10"/>
      <c r="Q683" s="10"/>
      <c r="R683" s="10"/>
      <c r="S683" s="10"/>
      <c r="T683" s="10"/>
      <c r="U683" s="10"/>
      <c r="V683" s="10"/>
      <c r="W683" s="10"/>
      <c r="X683" s="10"/>
      <c r="Y683" s="10"/>
      <c r="Z683" s="10"/>
    </row>
    <row r="684" spans="1:26" ht="12.75">
      <c r="A684" s="10" t="str">
        <f ca="1">IFERROR(__xludf.DUMMYFUNCTION("""COMPUTED_VALUE"""),"Борис Йорданов Борисов")</f>
        <v>Борис Йорданов Борисов</v>
      </c>
      <c r="B684" s="10" t="str">
        <f ca="1">IFERROR(__xludf.DUMMYFUNCTION("""COMPUTED_VALUE"""),"Статия в списания и поредици")</f>
        <v>Статия в списания и поредици</v>
      </c>
      <c r="C684" s="10" t="str">
        <f ca="1">IFERROR(__xludf.DUMMYFUNCTION("""COMPUTED_VALUE"""),"Социални и икономически аспекти на културно-историческото наследство при изграждане на Европейски съюз")</f>
        <v>Социални и икономически аспекти на културно-историческото наследство при изграждане на Европейски съюз</v>
      </c>
      <c r="D684" s="10">
        <f ca="1">IFERROR(__xludf.DUMMYFUNCTION("""COMPUTED_VALUE"""),2008)</f>
        <v>2008</v>
      </c>
      <c r="E684" s="10" t="str">
        <f ca="1">IFERROR(__xludf.DUMMYFUNCTION("""COMPUTED_VALUE"""),"Кирилицата в духовността на европейската информационна цивилизация, За буквите – О‘писменехь, София, 2008, стр.778- 785, ISBN 978-954-8887-42-7")</f>
        <v>Кирилицата в духовността на европейската информационна цивилизация, За буквите – О‘писменехь, София, 2008, стр.778- 785, ISBN 978-954-8887-42-7</v>
      </c>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c r="A685" s="10" t="str">
        <f ca="1">IFERROR(__xludf.DUMMYFUNCTION("""COMPUTED_VALUE"""),"Борис Йорданов Борисов")</f>
        <v>Борис Йорданов Борисов</v>
      </c>
      <c r="B685" s="10" t="str">
        <f ca="1">IFERROR(__xludf.DUMMYFUNCTION("""COMPUTED_VALUE"""),"Статия в списания и поредици")</f>
        <v>Статия в списания и поредици</v>
      </c>
      <c r="C685" s="10" t="str">
        <f ca="1">IFERROR(__xludf.DUMMYFUNCTION("""COMPUTED_VALUE"""),"За нашето отношение към света")</f>
        <v>За нашето отношение към света</v>
      </c>
      <c r="D685" s="10">
        <f ca="1">IFERROR(__xludf.DUMMYFUNCTION("""COMPUTED_VALUE"""),2007)</f>
        <v>2007</v>
      </c>
      <c r="E685" s="10" t="str">
        <f ca="1">IFERROR(__xludf.DUMMYFUNCTION("""COMPUTED_VALUE"""),"Държавата на духа, За буквите – О‘писменехь, София, 2007, стр.599-603, ISBN 978-954-8887-29-8")</f>
        <v>Държавата на духа, За буквите – О‘писменехь, София, 2007, стр.599-603, ISBN 978-954-8887-29-8</v>
      </c>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c r="A686" s="10" t="str">
        <f ca="1">IFERROR(__xludf.DUMMYFUNCTION("""COMPUTED_VALUE"""),"Борис Йорданов Борисов")</f>
        <v>Борис Йорданов Борисов</v>
      </c>
      <c r="B686" s="10" t="str">
        <f ca="1">IFERROR(__xludf.DUMMYFUNCTION("""COMPUTED_VALUE"""),"Статия в списания и поредици")</f>
        <v>Статия в списания и поредици</v>
      </c>
      <c r="C686" s="10" t="str">
        <f ca="1">IFERROR(__xludf.DUMMYFUNCTION("""COMPUTED_VALUE"""),"За многообразието на истината или за нуждата от информационни брокери")</f>
        <v>За многообразието на истината или за нуждата от информационни брокери</v>
      </c>
      <c r="D686" s="10">
        <f ca="1">IFERROR(__xludf.DUMMYFUNCTION("""COMPUTED_VALUE"""),2007)</f>
        <v>2007</v>
      </c>
      <c r="E686" s="10" t="str">
        <f ca="1">IFERROR(__xludf.DUMMYFUNCTION("""COMPUTED_VALUE"""),"Трудове на СВУБИТ, т.6, За буквите – О‘писменехь, София, 2007, стр.191-199, ISSN 1312-5834")</f>
        <v>Трудове на СВУБИТ, т.6, За буквите – О‘писменехь, София, 2007, стр.191-199, ISSN 1312-5834</v>
      </c>
      <c r="F686" s="10"/>
      <c r="G686" s="10"/>
      <c r="H686" s="10"/>
      <c r="I686" s="10"/>
      <c r="J686" s="10"/>
      <c r="K686" s="10"/>
      <c r="L686" s="10"/>
      <c r="M686" s="10"/>
      <c r="N686" s="10"/>
      <c r="O686" s="10"/>
      <c r="P686" s="10"/>
      <c r="Q686" s="10"/>
      <c r="R686" s="10"/>
      <c r="S686" s="10"/>
      <c r="T686" s="10"/>
      <c r="U686" s="10"/>
      <c r="V686" s="10"/>
      <c r="W686" s="10"/>
      <c r="X686" s="10"/>
      <c r="Y686" s="10"/>
      <c r="Z686" s="10"/>
    </row>
    <row r="687" spans="1:26" ht="12.75">
      <c r="A687" s="10" t="str">
        <f ca="1">IFERROR(__xludf.DUMMYFUNCTION("""COMPUTED_VALUE"""),"Борис Йорданов Борисов")</f>
        <v>Борис Йорданов Борисов</v>
      </c>
      <c r="B687" s="10" t="str">
        <f ca="1">IFERROR(__xludf.DUMMYFUNCTION("""COMPUTED_VALUE"""),"Статия в списания и поредици")</f>
        <v>Статия в списания и поредици</v>
      </c>
      <c r="C687" s="10" t="str">
        <f ca="1">IFERROR(__xludf.DUMMYFUNCTION("""COMPUTED_VALUE"""),"Културно-историческите ценности и съвременната информационна среда")</f>
        <v>Културно-историческите ценности и съвременната информационна среда</v>
      </c>
      <c r="D687" s="10">
        <f ca="1">IFERROR(__xludf.DUMMYFUNCTION("""COMPUTED_VALUE"""),2007)</f>
        <v>2007</v>
      </c>
      <c r="E687" s="10" t="str">
        <f ca="1">IFERROR(__xludf.DUMMYFUNCTION("""COMPUTED_VALUE"""),"“Българската култура – между държавата и пазара”, София, ИК “ИФИ-БАН”, 2007,с.259-266. ISBN 978-954-92145-1-2")</f>
        <v>“Българската култура – между държавата и пазара”, София, ИК “ИФИ-БАН”, 2007,с.259-266. ISBN 978-954-92145-1-2</v>
      </c>
      <c r="F687" s="10"/>
      <c r="G687" s="10"/>
      <c r="H687" s="10"/>
      <c r="I687" s="10"/>
      <c r="J687" s="10"/>
      <c r="K687" s="10"/>
      <c r="L687" s="10"/>
      <c r="M687" s="10"/>
      <c r="N687" s="10"/>
      <c r="O687" s="10"/>
      <c r="P687" s="10"/>
      <c r="Q687" s="10"/>
      <c r="R687" s="10"/>
      <c r="S687" s="10"/>
      <c r="T687" s="10"/>
      <c r="U687" s="10"/>
      <c r="V687" s="10"/>
      <c r="W687" s="10"/>
      <c r="X687" s="10"/>
      <c r="Y687" s="10"/>
      <c r="Z687" s="10"/>
    </row>
    <row r="688" spans="1:26" ht="12.75">
      <c r="A688" s="10" t="str">
        <f ca="1">IFERROR(__xludf.DUMMYFUNCTION("""COMPUTED_VALUE"""),"Борис Йорданов Борисов")</f>
        <v>Борис Йорданов Борисов</v>
      </c>
      <c r="B688" s="10" t="str">
        <f ca="1">IFERROR(__xludf.DUMMYFUNCTION("""COMPUTED_VALUE"""),"Статия в списания и поредици")</f>
        <v>Статия в списания и поредици</v>
      </c>
      <c r="C688" s="10" t="str">
        <f ca="1">IFERROR(__xludf.DUMMYFUNCTION("""COMPUTED_VALUE"""),"Информираност и антитероризъм")</f>
        <v>Информираност и антитероризъм</v>
      </c>
      <c r="D688" s="10">
        <f ca="1">IFERROR(__xludf.DUMMYFUNCTION("""COMPUTED_VALUE"""),2006)</f>
        <v>2006</v>
      </c>
      <c r="E688" s="10" t="str">
        <f ca="1">IFERROR(__xludf.DUMMYFUNCTION("""COMPUTED_VALUE"""),"Трудове на СВУБИТ, т.5, За буквите – О‘писменехь, София, 2006, стр.325-341, ISSN 1312-5834")</f>
        <v>Трудове на СВУБИТ, т.5, За буквите – О‘писменехь, София, 2006, стр.325-341, ISSN 1312-5834</v>
      </c>
      <c r="F688" s="10"/>
      <c r="G688" s="10"/>
      <c r="H688" s="10"/>
      <c r="I688" s="10"/>
      <c r="J688" s="10"/>
      <c r="K688" s="10"/>
      <c r="L688" s="10"/>
      <c r="M688" s="10"/>
      <c r="N688" s="10"/>
      <c r="O688" s="10"/>
      <c r="P688" s="10"/>
      <c r="Q688" s="10"/>
      <c r="R688" s="10"/>
      <c r="S688" s="10"/>
      <c r="T688" s="10"/>
      <c r="U688" s="10"/>
      <c r="V688" s="10"/>
      <c r="W688" s="10"/>
      <c r="X688" s="10"/>
      <c r="Y688" s="10"/>
      <c r="Z688" s="10"/>
    </row>
    <row r="689" spans="1:26" ht="12.75">
      <c r="A689" s="10" t="str">
        <f ca="1">IFERROR(__xludf.DUMMYFUNCTION("""COMPUTED_VALUE"""),"Борис Йорданов Борисов")</f>
        <v>Борис Йорданов Борисов</v>
      </c>
      <c r="B689" s="10" t="str">
        <f ca="1">IFERROR(__xludf.DUMMYFUNCTION("""COMPUTED_VALUE"""),"Статия в списания и поредици")</f>
        <v>Статия в списания и поредици</v>
      </c>
      <c r="C689" s="10" t="str">
        <f ca="1">IFERROR(__xludf.DUMMYFUNCTION("""COMPUTED_VALUE"""),"Фазите на луната или защо четем книги?")</f>
        <v>Фазите на луната или защо четем книги?</v>
      </c>
      <c r="D689" s="10">
        <f ca="1">IFERROR(__xludf.DUMMYFUNCTION("""COMPUTED_VALUE"""),2006)</f>
        <v>2006</v>
      </c>
      <c r="E689" s="10" t="str">
        <f ca="1">IFERROR(__xludf.DUMMYFUNCTION("""COMPUTED_VALUE"""),"Книгата и &amp;quot;безкнижната&amp;quot; цивилизация. София, За буквите – O писменах, 2005, с.225-229. ISBN 10:954- 8887-19-3, ISBN 13:978-954-8887-19-9")</f>
        <v>Книгата и &amp;quot;безкнижната&amp;quot; цивилизация. София, За буквите – O писменах, 2005, с.225-229. ISBN 10:954- 8887-19-3, ISBN 13:978-954-8887-19-9</v>
      </c>
      <c r="F689" s="10"/>
      <c r="G689" s="10"/>
      <c r="H689" s="10"/>
      <c r="I689" s="10"/>
      <c r="J689" s="10"/>
      <c r="K689" s="10"/>
      <c r="L689" s="10"/>
      <c r="M689" s="10"/>
      <c r="N689" s="10"/>
      <c r="O689" s="10"/>
      <c r="P689" s="10"/>
      <c r="Q689" s="10"/>
      <c r="R689" s="10"/>
      <c r="S689" s="10"/>
      <c r="T689" s="10"/>
      <c r="U689" s="10"/>
      <c r="V689" s="10"/>
      <c r="W689" s="10"/>
      <c r="X689" s="10"/>
      <c r="Y689" s="10"/>
      <c r="Z689" s="10"/>
    </row>
    <row r="690" spans="1:26" ht="12.75">
      <c r="A690" s="10" t="str">
        <f ca="1">IFERROR(__xludf.DUMMYFUNCTION("""COMPUTED_VALUE"""),"Борис Йорданов Борисов")</f>
        <v>Борис Йорданов Борисов</v>
      </c>
      <c r="B690" s="10" t="str">
        <f ca="1">IFERROR(__xludf.DUMMYFUNCTION("""COMPUTED_VALUE"""),"Статия в списания и поредици")</f>
        <v>Статия в списания и поредици</v>
      </c>
      <c r="C690" s="10" t="str">
        <f ca="1">IFERROR(__xludf.DUMMYFUNCTION("""COMPUTED_VALUE"""),"Информационното разнобразие")</f>
        <v>Информационното разнобразие</v>
      </c>
      <c r="D690" s="10">
        <f ca="1">IFERROR(__xludf.DUMMYFUNCTION("""COMPUTED_VALUE"""),2006)</f>
        <v>2006</v>
      </c>
      <c r="E690" s="10" t="str">
        <f ca="1">IFERROR(__xludf.DUMMYFUNCTION("""COMPUTED_VALUE"""),"Наука, 2006, №5, с.39-40. ISSN 0861-3362 (print), 2603-3263 (online)")</f>
        <v>Наука, 2006, №5, с.39-40. ISSN 0861-3362 (print), 2603-3263 (online)</v>
      </c>
      <c r="F690" s="10"/>
      <c r="G690" s="10"/>
      <c r="H690" s="10"/>
      <c r="I690" s="10"/>
      <c r="J690" s="10"/>
      <c r="K690" s="10"/>
      <c r="L690" s="10"/>
      <c r="M690" s="10"/>
      <c r="N690" s="10"/>
      <c r="O690" s="10"/>
      <c r="P690" s="10"/>
      <c r="Q690" s="10"/>
      <c r="R690" s="10"/>
      <c r="S690" s="10"/>
      <c r="T690" s="10"/>
      <c r="U690" s="10"/>
      <c r="V690" s="10"/>
      <c r="W690" s="10"/>
      <c r="X690" s="10"/>
      <c r="Y690" s="10"/>
      <c r="Z690" s="10"/>
    </row>
    <row r="691" spans="1:26" ht="12.75">
      <c r="A691" s="10" t="str">
        <f ca="1">IFERROR(__xludf.DUMMYFUNCTION("""COMPUTED_VALUE"""),"Боряна Димитрова Янкова-Хаджиева")</f>
        <v>Боряна Димитрова Янкова-Хаджиева</v>
      </c>
      <c r="B691" s="10" t="str">
        <f ca="1">IFERROR(__xludf.DUMMYFUNCTION("""COMPUTED_VALUE"""),"Доклад от конференция")</f>
        <v>Доклад от конференция</v>
      </c>
      <c r="C691" s="10" t="str">
        <f ca="1">IFERROR(__xludf.DUMMYFUNCTION("""COMPUTED_VALUE"""),"Positive practices for overcoming the crisis in education examples from Bulgaria")</f>
        <v>Positive practices for overcoming the crisis in education examples from Bulgaria</v>
      </c>
      <c r="D691" s="10">
        <f ca="1">IFERROR(__xludf.DUMMYFUNCTION("""COMPUTED_VALUE"""),2019)</f>
        <v>2019</v>
      </c>
      <c r="E691" s="10" t="str">
        <f ca="1">IFERROR(__xludf.DUMMYFUNCTION("""COMPUTED_VALUE"""),"INTED 2019 Proceedings 13th International Technology Educatio n and Development Conference; March 11th- 13th 2019 – Valencia, Spain, pp. 4835 – 4840 ISBN 978-84-09-08619-1; ISSN 2340-1079")</f>
        <v>INTED 2019 Proceedings 13th International Technology Educatio n and Development Conference; March 11th- 13th 2019 – Valencia, Spain, pp. 4835 – 4840 ISBN 978-84-09-08619-1; ISSN 2340-1079</v>
      </c>
      <c r="F691" s="10"/>
      <c r="G691" s="10" t="str">
        <f ca="1">IFERROR(__xludf.DUMMYFUNCTION("""COMPUTED_VALUE"""),"V. Dobreva, S. Stancheva, J. Dobreva, K. Nusheva, B. Buzhashka")</f>
        <v>V. Dobreva, S. Stancheva, J. Dobreva, K. Nusheva, B. Buzhashka</v>
      </c>
      <c r="H691" s="10"/>
      <c r="I691" s="10"/>
      <c r="J691" s="10"/>
      <c r="K691" s="10"/>
      <c r="L691" s="10"/>
      <c r="M691" s="10"/>
      <c r="N691" s="10"/>
      <c r="O691" s="10"/>
      <c r="P691" s="10"/>
      <c r="Q691" s="10"/>
      <c r="R691" s="10"/>
      <c r="S691" s="10"/>
      <c r="T691" s="10"/>
      <c r="U691" s="10"/>
      <c r="V691" s="10"/>
      <c r="W691" s="10"/>
      <c r="X691" s="10"/>
      <c r="Y691" s="10"/>
      <c r="Z691" s="10"/>
    </row>
    <row r="692" spans="1:26" ht="12.75">
      <c r="A692" s="10" t="str">
        <f ca="1">IFERROR(__xludf.DUMMYFUNCTION("""COMPUTED_VALUE"""),"Боряна Димитрова Янкова-Хаджиева")</f>
        <v>Боряна Димитрова Янкова-Хаджиева</v>
      </c>
      <c r="B692" s="10" t="str">
        <f ca="1">IFERROR(__xludf.DUMMYFUNCTION("""COMPUTED_VALUE"""),"Статия в списания и поредици")</f>
        <v>Статия в списания и поредици</v>
      </c>
      <c r="C692" s="10" t="str">
        <f ca="1">IFERROR(__xludf.DUMMYFUNCTION("""COMPUTED_VALUE"""),"Structural and functional characteristics of integrated infrastructure for the development of intelligent tourism = Структурни и функционални характеристики на интегрирана информационна среда за развитие на интелигентния туризъм")</f>
        <v>Structural and functional characteristics of integrated infrastructure for the development of intelligent tourism = Структурни и функционални характеристики на интегрирана информационна среда за развитие на интелигентния туризъм</v>
      </c>
      <c r="D692" s="10">
        <f ca="1">IFERROR(__xludf.DUMMYFUNCTION("""COMPUTED_VALUE"""),2019)</f>
        <v>2019</v>
      </c>
      <c r="E692" s="10" t="str">
        <f ca="1">IFERROR(__xludf.DUMMYFUNCTION("""COMPUTED_VALUE"""),"Knowledge - International Journal, 2019, Vol. 31.1, pp. 311-315. ISSN 1857-923X")</f>
        <v>Knowledge - International Journal, 2019, Vol. 31.1, pp. 311-315. ISSN 1857-923X</v>
      </c>
      <c r="F692" s="10"/>
      <c r="G692" s="10" t="str">
        <f ca="1">IFERROR(__xludf.DUMMYFUNCTION("""COMPUTED_VALUE"""),"Kamelia Nusheva")</f>
        <v>Kamelia Nusheva</v>
      </c>
      <c r="H692" s="10"/>
      <c r="I692" s="10"/>
      <c r="J692" s="10"/>
      <c r="K692" s="10"/>
      <c r="L692" s="10"/>
      <c r="M692" s="10"/>
      <c r="N692" s="10"/>
      <c r="O692" s="10"/>
      <c r="P692" s="10"/>
      <c r="Q692" s="10"/>
      <c r="R692" s="10"/>
      <c r="S692" s="10"/>
      <c r="T692" s="10"/>
      <c r="U692" s="10"/>
      <c r="V692" s="10"/>
      <c r="W692" s="10"/>
      <c r="X692" s="10"/>
      <c r="Y692" s="10"/>
      <c r="Z692" s="10"/>
    </row>
    <row r="693" spans="1:26" ht="12.75">
      <c r="A693" s="10" t="str">
        <f ca="1">IFERROR(__xludf.DUMMYFUNCTION("""COMPUTED_VALUE"""),"Боряна Димитрова Янкова-Хаджиева")</f>
        <v>Боряна Димитрова Янкова-Хаджиева</v>
      </c>
      <c r="B693" s="10" t="str">
        <f ca="1">IFERROR(__xludf.DUMMYFUNCTION("""COMPUTED_VALUE"""),"Статия в списания и поредици")</f>
        <v>Статия в списания и поредици</v>
      </c>
      <c r="C693" s="10" t="str">
        <f ca="1">IFERROR(__xludf.DUMMYFUNCTION("""COMPUTED_VALUE"""),". Prospects for the development of cultural tourism in Sofia = Перспективи за развитието на културния туризъм в София")</f>
        <v>. Prospects for the development of cultural tourism in Sofia = Перспективи за развитието на културния туризъм в София</v>
      </c>
      <c r="D693" s="10">
        <f ca="1">IFERROR(__xludf.DUMMYFUNCTION("""COMPUTED_VALUE"""),2019)</f>
        <v>2019</v>
      </c>
      <c r="E693" s="10" t="str">
        <f ca="1">IFERROR(__xludf.DUMMYFUNCTION("""COMPUTED_VALUE"""),"Knowledge - International Journal, 2019, Vol. 35.1, pp. 213-217. ISSN 1857-923X")</f>
        <v>Knowledge - International Journal, 2019, Vol. 35.1, pp. 213-217. ISSN 1857-923X</v>
      </c>
      <c r="F693" s="10"/>
      <c r="G693" s="10"/>
      <c r="H693" s="10"/>
      <c r="I693" s="10"/>
      <c r="J693" s="10"/>
      <c r="K693" s="10"/>
      <c r="L693" s="10"/>
      <c r="M693" s="10"/>
      <c r="N693" s="10"/>
      <c r="O693" s="10"/>
      <c r="P693" s="10"/>
      <c r="Q693" s="10"/>
      <c r="R693" s="10"/>
      <c r="S693" s="10"/>
      <c r="T693" s="10"/>
      <c r="U693" s="10"/>
      <c r="V693" s="10"/>
      <c r="W693" s="10"/>
      <c r="X693" s="10"/>
      <c r="Y693" s="10"/>
      <c r="Z693" s="10"/>
    </row>
    <row r="694" spans="1:26" ht="12.75">
      <c r="A694" s="10" t="str">
        <f ca="1">IFERROR(__xludf.DUMMYFUNCTION("""COMPUTED_VALUE"""),"Боряна Димитрова Янкова-Хаджиева")</f>
        <v>Боряна Димитрова Янкова-Хаджиева</v>
      </c>
      <c r="B694" s="10" t="str">
        <f ca="1">IFERROR(__xludf.DUMMYFUNCTION("""COMPUTED_VALUE"""),"Статия в списания и поредици")</f>
        <v>Статия в списания и поредици</v>
      </c>
      <c r="C694" s="10" t="str">
        <f ca="1">IFERROR(__xludf.DUMMYFUNCTION("""COMPUTED_VALUE"""),"Професионалното и продължаващото обучение в сферата на културните и творчески индустрии – възможности за професионална реализация")</f>
        <v>Професионалното и продължаващото обучение в сферата на културните и творчески индустрии – възможности за професионална реализация</v>
      </c>
      <c r="D694" s="10">
        <f ca="1">IFERROR(__xludf.DUMMYFUNCTION("""COMPUTED_VALUE"""),2018)</f>
        <v>2018</v>
      </c>
      <c r="E694"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64-72")</f>
        <v>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64-72</v>
      </c>
      <c r="F69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94" s="10" t="str">
        <f ca="1">IFERROR(__xludf.DUMMYFUNCTION("""COMPUTED_VALUE"""),"Силвия Станчева, Камелия Нушева")</f>
        <v>Силвия Станчева, Камелия Нушева</v>
      </c>
      <c r="H694" s="10"/>
      <c r="I694" s="10"/>
      <c r="J694" s="10"/>
      <c r="K694" s="10"/>
      <c r="L694" s="10"/>
      <c r="M694" s="10"/>
      <c r="N694" s="10"/>
      <c r="O694" s="10"/>
      <c r="P694" s="10"/>
      <c r="Q694" s="10"/>
      <c r="R694" s="10"/>
      <c r="S694" s="10"/>
      <c r="T694" s="10"/>
      <c r="U694" s="10"/>
      <c r="V694" s="10"/>
      <c r="W694" s="10"/>
      <c r="X694" s="10"/>
      <c r="Y694" s="10"/>
      <c r="Z694" s="10"/>
    </row>
    <row r="695" spans="1:26" ht="12.75">
      <c r="A695" s="10" t="str">
        <f ca="1">IFERROR(__xludf.DUMMYFUNCTION("""COMPUTED_VALUE"""),"Боряна Димитрова Янкова-Хаджиева")</f>
        <v>Боряна Димитрова Янкова-Хаджиева</v>
      </c>
      <c r="B695" s="10" t="str">
        <f ca="1">IFERROR(__xludf.DUMMYFUNCTION("""COMPUTED_VALUE"""),"Статия в списания и поредици")</f>
        <v>Статия в списания и поредици</v>
      </c>
      <c r="C695" s="10" t="str">
        <f ca="1">IFERROR(__xludf.DUMMYFUNCTION("""COMPUTED_VALUE"""),"The significance of the national archive fund for cultural and historical heritage = Значението на националния архивен фонд за културно историческото наследство")</f>
        <v>The significance of the national archive fund for cultural and historical heritage = Значението на националния архивен фонд за културно историческото наследство</v>
      </c>
      <c r="D695" s="10">
        <f ca="1">IFERROR(__xludf.DUMMYFUNCTION("""COMPUTED_VALUE"""),2018)</f>
        <v>2018</v>
      </c>
      <c r="E695" s="10" t="str">
        <f ca="1">IFERROR(__xludf.DUMMYFUNCTION("""COMPUTED_VALUE"""),"Knowledge - International Journal, 2018, Vol. 28.7, pp. 2417-2425. ISSN 1857-923X")</f>
        <v>Knowledge - International Journal, 2018, Vol. 28.7, pp. 2417-2425. ISSN 1857-923X</v>
      </c>
      <c r="F695" s="10"/>
      <c r="G695" s="10" t="str">
        <f ca="1">IFERROR(__xludf.DUMMYFUNCTION("""COMPUTED_VALUE"""),"Peikov Peter")</f>
        <v>Peikov Peter</v>
      </c>
      <c r="H695" s="10"/>
      <c r="I695" s="10"/>
      <c r="J695" s="10"/>
      <c r="K695" s="10"/>
      <c r="L695" s="10"/>
      <c r="M695" s="10"/>
      <c r="N695" s="10"/>
      <c r="O695" s="10"/>
      <c r="P695" s="10"/>
      <c r="Q695" s="10"/>
      <c r="R695" s="10"/>
      <c r="S695" s="10"/>
      <c r="T695" s="10"/>
      <c r="U695" s="10"/>
      <c r="V695" s="10"/>
      <c r="W695" s="10"/>
      <c r="X695" s="10"/>
      <c r="Y695" s="10"/>
      <c r="Z695" s="10"/>
    </row>
    <row r="696" spans="1:26" ht="12.75">
      <c r="A696" s="10" t="str">
        <f ca="1">IFERROR(__xludf.DUMMYFUNCTION("""COMPUTED_VALUE"""),"Боряна Димитрова Янкова-Хаджиева")</f>
        <v>Боряна Димитрова Янкова-Хаджиева</v>
      </c>
      <c r="B696" s="10" t="str">
        <f ca="1">IFERROR(__xludf.DUMMYFUNCTION("""COMPUTED_VALUE"""),"Статия в списания и поредици")</f>
        <v>Статия в списания и поредици</v>
      </c>
      <c r="C696" s="10" t="str">
        <f ca="1">IFERROR(__xludf.DUMMYFUNCTION("""COMPUTED_VALUE"""),"Implementation of SEO optimization and introduction of innovation as a guarant to successful to tourist business = Прилагане на SEO оптимизация и въвеждане на иновации като гарант за успеха на туристическия бизнес")</f>
        <v>Implementation of SEO optimization and introduction of innovation as a guarant to successful to tourist business = Прилагане на SEO оптимизация и въвеждане на иновации като гарант за успеха на туристическия бизнес</v>
      </c>
      <c r="D696" s="10">
        <f ca="1">IFERROR(__xludf.DUMMYFUNCTION("""COMPUTED_VALUE"""),2018)</f>
        <v>2018</v>
      </c>
      <c r="E696" s="10" t="str">
        <f ca="1">IFERROR(__xludf.DUMMYFUNCTION("""COMPUTED_VALUE"""),"Knowledge - International Journal, 2018, Vol. 28.5, pp. 1675-1680. ISSN 1857-923X")</f>
        <v>Knowledge - International Journal, 2018, Vol. 28.5, pp. 1675-1680. ISSN 1857-923X</v>
      </c>
      <c r="F696" s="10"/>
      <c r="G696" s="10" t="str">
        <f ca="1">IFERROR(__xludf.DUMMYFUNCTION("""COMPUTED_VALUE"""),"Nusheva, Kamelia")</f>
        <v>Nusheva, Kamelia</v>
      </c>
      <c r="H696" s="10"/>
      <c r="I696" s="10"/>
      <c r="J696" s="10"/>
      <c r="K696" s="10"/>
      <c r="L696" s="10"/>
      <c r="M696" s="10"/>
      <c r="N696" s="10"/>
      <c r="O696" s="10"/>
      <c r="P696" s="10"/>
      <c r="Q696" s="10"/>
      <c r="R696" s="10"/>
      <c r="S696" s="10"/>
      <c r="T696" s="10"/>
      <c r="U696" s="10"/>
      <c r="V696" s="10"/>
      <c r="W696" s="10"/>
      <c r="X696" s="10"/>
      <c r="Y696" s="10"/>
      <c r="Z696" s="10"/>
    </row>
    <row r="697" spans="1:26" ht="12.75">
      <c r="A697" s="10" t="str">
        <f ca="1">IFERROR(__xludf.DUMMYFUNCTION("""COMPUTED_VALUE"""),"Боряна Димитрова Янкова-Хаджиева")</f>
        <v>Боряна Димитрова Янкова-Хаджиева</v>
      </c>
      <c r="B697" s="10" t="str">
        <f ca="1">IFERROR(__xludf.DUMMYFUNCTION("""COMPUTED_VALUE"""),"Доклад от конференция")</f>
        <v>Доклад от конференция</v>
      </c>
      <c r="C697" s="10" t="str">
        <f ca="1">IFERROR(__xludf.DUMMYFUNCTION("""COMPUTED_VALUE"""),"Информационно - комуникационна среда за устойчиво развитие на туризма в България")</f>
        <v>Информационно - комуникационна среда за устойчиво развитие на туризма в България</v>
      </c>
      <c r="D697" s="10">
        <f ca="1">IFERROR(__xludf.DUMMYFUNCTION("""COMPUTED_VALUE"""),2017)</f>
        <v>2017</v>
      </c>
      <c r="E697" s="10" t="str">
        <f ca="1">IFERROR(__xludf.DUMMYFUNCTION("""COMPUTED_VALUE"""),"Съвременни измерения на европейското образователно и научно пространство. Българо-гръцки културни общувания : Х Международен пътуващ семинар на УниБИТ, 29 май – 05 юни 2017 г., Република Гърция: Сб. докл. : Т. 5. София : За буквите – О писменехь, 2017, с."&amp;" 220-227. ISSN 2367-7988.")</f>
        <v>Съвременни измерения на европейското образователно и научно пространство. Българо-гръцки културни общувания : Х Международен пътуващ семинар на УниБИТ, 29 май – 05 юни 2017 г., Република Гърция: Сб. докл. : Т. 5. София : За буквите – О писменехь, 2017, с. 220-227. ISSN 2367-7988.</v>
      </c>
      <c r="F697" s="10" t="str">
        <f ca="1">IFERROR(__xludf.DUMMYFUNCTION("""COMPUTED_VALUE"""),"COBISS")</f>
        <v>COBISS</v>
      </c>
      <c r="G697" s="10" t="str">
        <f ca="1">IFERROR(__xludf.DUMMYFUNCTION("""COMPUTED_VALUE"""),"Камелия Нушева")</f>
        <v>Камелия Нушева</v>
      </c>
      <c r="H697" s="10"/>
      <c r="I697" s="10"/>
      <c r="J697" s="10"/>
      <c r="K697" s="10"/>
      <c r="L697" s="10"/>
      <c r="M697" s="10"/>
      <c r="N697" s="10"/>
      <c r="O697" s="10"/>
      <c r="P697" s="10"/>
      <c r="Q697" s="10"/>
      <c r="R697" s="10"/>
      <c r="S697" s="10"/>
      <c r="T697" s="10"/>
      <c r="U697" s="10"/>
      <c r="V697" s="10"/>
      <c r="W697" s="10"/>
      <c r="X697" s="10"/>
      <c r="Y697" s="10"/>
      <c r="Z697" s="10"/>
    </row>
    <row r="698" spans="1:26" ht="12.75">
      <c r="A698" s="10" t="str">
        <f ca="1">IFERROR(__xludf.DUMMYFUNCTION("""COMPUTED_VALUE"""),"Боряна Димитрова Янкова-Хаджиева")</f>
        <v>Боряна Димитрова Янкова-Хаджиева</v>
      </c>
      <c r="B698" s="10" t="str">
        <f ca="1">IFERROR(__xludf.DUMMYFUNCTION("""COMPUTED_VALUE"""),"Доклад от конференция")</f>
        <v>Доклад от конференция</v>
      </c>
      <c r="C698" s="10" t="str">
        <f ca="1">IFERROR(__xludf.DUMMYFUNCTION("""COMPUTED_VALUE"""),"The role of logistic systems for sustainable development of the tourist sector")</f>
        <v>The role of logistic systems for sustainable development of the tourist sector</v>
      </c>
      <c r="D698" s="10">
        <f ca="1">IFERROR(__xludf.DUMMYFUNCTION("""COMPUTED_VALUE"""),2017)</f>
        <v>2017</v>
      </c>
      <c r="E698" s="10" t="str">
        <f ca="1">IFERROR(__xludf.DUMMYFUNCTION("""COMPUTED_VALUE"""),"Knowledge – International Journal, 2017, 15.3., с. 256-261. ISSN 1857-923X")</f>
        <v>Knowledge – International Journal, 2017, 15.3., с. 256-261. ISSN 1857-923X</v>
      </c>
      <c r="F698" s="10" t="str">
        <f ca="1">IFERROR(__xludf.DUMMYFUNCTION("""COMPUTED_VALUE"""),"DOAJ etc International Journal with an ISSN number and Global Impact &amp; Quality Factor (GIF) 1.023 (for 2015 z.) (http://globalimpactfactor.com/knowledge-international-journal/) KNOWLEDGE – International Journal")</f>
        <v>DOAJ etc International Journal with an ISSN number and Global Impact &amp; Quality Factor (GIF) 1.023 (for 2015 z.) (http://globalimpactfactor.com/knowledge-international-journal/) KNOWLEDGE – International Journal</v>
      </c>
      <c r="G698" s="10" t="str">
        <f ca="1">IFERROR(__xludf.DUMMYFUNCTION("""COMPUTED_VALUE"""),"Kamelia Nusheva")</f>
        <v>Kamelia Nusheva</v>
      </c>
      <c r="H698" s="10"/>
      <c r="I698" s="10"/>
      <c r="J698" s="10"/>
      <c r="K698" s="10"/>
      <c r="L698" s="10"/>
      <c r="M698" s="10"/>
      <c r="N698" s="10"/>
      <c r="O698" s="10"/>
      <c r="P698" s="10"/>
      <c r="Q698" s="10"/>
      <c r="R698" s="10"/>
      <c r="S698" s="10"/>
      <c r="T698" s="10"/>
      <c r="U698" s="10"/>
      <c r="V698" s="10"/>
      <c r="W698" s="10"/>
      <c r="X698" s="10"/>
      <c r="Y698" s="10"/>
      <c r="Z698" s="10"/>
    </row>
    <row r="699" spans="1:26" ht="12.75">
      <c r="A699" s="10" t="str">
        <f ca="1">IFERROR(__xludf.DUMMYFUNCTION("""COMPUTED_VALUE"""),"Боряна Димитрова Янкова-Хаджиева")</f>
        <v>Боряна Димитрова Янкова-Хаджиева</v>
      </c>
      <c r="B699" s="10" t="str">
        <f ca="1">IFERROR(__xludf.DUMMYFUNCTION("""COMPUTED_VALUE"""),"Доклад от конференция")</f>
        <v>Доклад от конференция</v>
      </c>
      <c r="C699" s="10" t="str">
        <f ca="1">IFERROR(__xludf.DUMMYFUNCTION("""COMPUTED_VALUE"""),"Основни методи и технологии в медийното изкуство в контекста на визуалната комуникация")</f>
        <v>Основни методи и технологии в медийното изкуство в контекста на визуалната комуникация</v>
      </c>
      <c r="D699" s="10">
        <f ca="1">IFERROR(__xludf.DUMMYFUNCTION("""COMPUTED_VALUE"""),2016)</f>
        <v>2016</v>
      </c>
      <c r="E699" s="10" t="str">
        <f ca="1">IFERROR(__xludf.DUMMYFUNCTION("""COMPUTED_VALUE"""),"ПРОБЛЕМИ на обществената комуникация = Problems of the Public Communication – София: За буквите - О писменехь, 2016, с. 227 – 232, ISSN 2534-9430")</f>
        <v>ПРОБЛЕМИ на обществената комуникация = Problems of the Public Communication – София: За буквите - О писменехь, 2016, с. 227 – 232, ISSN 2534-9430</v>
      </c>
      <c r="F699" s="10" t="str">
        <f ca="1">IFERROR(__xludf.DUMMYFUNCTION("""COMPUTED_VALUE"""),"Референтен списък на НАЦИД")</f>
        <v>Референтен списък на НАЦИД</v>
      </c>
      <c r="G699" s="10" t="str">
        <f ca="1">IFERROR(__xludf.DUMMYFUNCTION("""COMPUTED_VALUE"""),"Велева, М.")</f>
        <v>Велева, М.</v>
      </c>
      <c r="H699" s="10"/>
      <c r="I699" s="10"/>
      <c r="J699" s="10"/>
      <c r="K699" s="10"/>
      <c r="L699" s="10"/>
      <c r="M699" s="10"/>
      <c r="N699" s="10"/>
      <c r="O699" s="10"/>
      <c r="P699" s="10"/>
      <c r="Q699" s="10"/>
      <c r="R699" s="10"/>
      <c r="S699" s="10"/>
      <c r="T699" s="10"/>
      <c r="U699" s="10"/>
      <c r="V699" s="10"/>
      <c r="W699" s="10"/>
      <c r="X699" s="10"/>
      <c r="Y699" s="10"/>
      <c r="Z699" s="10"/>
    </row>
    <row r="700" spans="1:26" ht="12.75">
      <c r="A700" s="10" t="str">
        <f ca="1">IFERROR(__xludf.DUMMYFUNCTION("""COMPUTED_VALUE"""),"Боряна Димитрова Янкова-Хаджиева")</f>
        <v>Боряна Димитрова Янкова-Хаджиева</v>
      </c>
      <c r="B700" s="10" t="str">
        <f ca="1">IFERROR(__xludf.DUMMYFUNCTION("""COMPUTED_VALUE"""),"Доклад от конференция")</f>
        <v>Доклад от конференция</v>
      </c>
      <c r="C700" s="10" t="str">
        <f ca="1">IFERROR(__xludf.DUMMYFUNCTION("""COMPUTED_VALUE"""),"Development of the informational assurance in the tourist sector within the context of the national tourist register")</f>
        <v>Development of the informational assurance in the tourist sector within the context of the national tourist register</v>
      </c>
      <c r="D700" s="10">
        <f ca="1">IFERROR(__xludf.DUMMYFUNCTION("""COMPUTED_VALUE"""),2016)</f>
        <v>2016</v>
      </c>
      <c r="E700" s="10" t="str">
        <f ca="1">IFERROR(__xludf.DUMMYFUNCTION("""COMPUTED_VALUE"""),"Knowledge – International Journal, 2017, 15.3., с. 168-172. ISSN 1857-923X")</f>
        <v>Knowledge – International Journal, 2017, 15.3., с. 168-172. ISSN 1857-923X</v>
      </c>
      <c r="F700" s="10" t="str">
        <f ca="1">IFERROR(__xludf.DUMMYFUNCTION("""COMPUTED_VALUE"""),"DOAJ etc International Journal with an ISSN number and Global Impact &amp; Quality Factor (GIF) 1.023 (for 2015 z.) (http://globalimpactfactor.com/knowledge-international-journal/) KNOWLEDGE – International Journal")</f>
        <v>DOAJ etc International Journal with an ISSN number and Global Impact &amp; Quality Factor (GIF) 1.023 (for 2015 z.) (http://globalimpactfactor.com/knowledge-international-journal/) KNOWLEDGE – International Journal</v>
      </c>
      <c r="G700" s="10" t="str">
        <f ca="1">IFERROR(__xludf.DUMMYFUNCTION("""COMPUTED_VALUE"""),"Kamelia Nusheva")</f>
        <v>Kamelia Nusheva</v>
      </c>
      <c r="H700" s="10"/>
      <c r="I700" s="10"/>
      <c r="J700" s="10"/>
      <c r="K700" s="10"/>
      <c r="L700" s="10"/>
      <c r="M700" s="10"/>
      <c r="N700" s="10"/>
      <c r="O700" s="10"/>
      <c r="P700" s="10"/>
      <c r="Q700" s="10"/>
      <c r="R700" s="10"/>
      <c r="S700" s="10"/>
      <c r="T700" s="10"/>
      <c r="U700" s="10"/>
      <c r="V700" s="10"/>
      <c r="W700" s="10"/>
      <c r="X700" s="10"/>
      <c r="Y700" s="10"/>
      <c r="Z700" s="10"/>
    </row>
    <row r="701" spans="1:26" ht="12.75">
      <c r="A701" s="10" t="str">
        <f ca="1">IFERROR(__xludf.DUMMYFUNCTION("""COMPUTED_VALUE"""),"Боряна Димитрова Янкова-Хаджиева")</f>
        <v>Боряна Димитрова Янкова-Хаджиева</v>
      </c>
      <c r="B701" s="10" t="str">
        <f ca="1">IFERROR(__xludf.DUMMYFUNCTION("""COMPUTED_VALUE"""),"Доклад от конференция")</f>
        <v>Доклад от конференция</v>
      </c>
      <c r="C701" s="10" t="str">
        <f ca="1">IFERROR(__xludf.DUMMYFUNCTION("""COMPUTED_VALUE"""),"Информационно – резервационните системи в подкрепа и стимулиране развитието на туристическия сектор")</f>
        <v>Информационно – резервационните системи в подкрепа и стимулиране развитието на туристическия сектор</v>
      </c>
      <c r="D701" s="10">
        <f ca="1">IFERROR(__xludf.DUMMYFUNCTION("""COMPUTED_VALUE"""),2016)</f>
        <v>2016</v>
      </c>
      <c r="E701" s="10" t="str">
        <f ca="1">IFERROR(__xludf.DUMMYFUNCTION("""COMPUTED_VALUE"""),"Съвременни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София: За буквите – О писменехь, 2016, с. 161-169, ISSN 2"&amp;"367-7988")</f>
        <v>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София: За буквите – О писменехь, 2016, с. 161-169, ISSN 2367-7988</v>
      </c>
      <c r="F70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01" s="10" t="str">
        <f ca="1">IFERROR(__xludf.DUMMYFUNCTION("""COMPUTED_VALUE"""),"Камелия Нушева")</f>
        <v>Камелия Нушева</v>
      </c>
      <c r="H701" s="10"/>
      <c r="I701" s="10"/>
      <c r="J701" s="10"/>
      <c r="K701" s="10"/>
      <c r="L701" s="10"/>
      <c r="M701" s="10"/>
      <c r="N701" s="10"/>
      <c r="O701" s="10"/>
      <c r="P701" s="10"/>
      <c r="Q701" s="10"/>
      <c r="R701" s="10"/>
      <c r="S701" s="10"/>
      <c r="T701" s="10"/>
      <c r="U701" s="10"/>
      <c r="V701" s="10"/>
      <c r="W701" s="10"/>
      <c r="X701" s="10"/>
      <c r="Y701" s="10"/>
      <c r="Z701" s="10"/>
    </row>
    <row r="702" spans="1:26" ht="12.75">
      <c r="A702" s="10" t="str">
        <f ca="1">IFERROR(__xludf.DUMMYFUNCTION("""COMPUTED_VALUE"""),"Боряна Димитрова Янкова-Хаджиева")</f>
        <v>Боряна Димитрова Янкова-Хаджиева</v>
      </c>
      <c r="B702" s="10" t="str">
        <f ca="1">IFERROR(__xludf.DUMMYFUNCTION("""COMPUTED_VALUE"""),"Доклад от конференция")</f>
        <v>Доклад от конференция</v>
      </c>
      <c r="C702" s="10" t="str">
        <f ca="1">IFERROR(__xludf.DUMMYFUNCTION("""COMPUTED_VALUE"""),"Нови възможности, най-добри практики и модели на обучение в четене и информационна компететнтност")</f>
        <v>Нови възможности, най-добри практики и модели на обучение в четене и информационна компететнтност</v>
      </c>
      <c r="D702" s="10">
        <f ca="1">IFERROR(__xludf.DUMMYFUNCTION("""COMPUTED_VALUE"""),2014)</f>
        <v>2014</v>
      </c>
      <c r="E702" s="10" t="str">
        <f ca="1">IFERROR(__xludf.DUMMYFUNCTION("""COMPUTED_VALUE"""),"Сборник с доклади и публикации на докторантите и постдокторантите 2012-2014. София : За буквите – О писменехь, 2014, с. 221-225. ISBN 978-619-185-131-7")</f>
        <v>Сборник с доклади и публикации на докторантите и постдокторантите 2012-2014. София : За буквите – О писменехь, 2014, с. 221-225. ISBN 978-619-185-131-7</v>
      </c>
      <c r="F702" s="10"/>
      <c r="G702" s="10" t="str">
        <f ca="1">IFERROR(__xludf.DUMMYFUNCTION("""COMPUTED_VALUE"""),"Василева, Румелина, Силвия Станчева, Камелия Нушева,")</f>
        <v>Василева, Румелина, Силвия Станчева, Камелия Нушева,</v>
      </c>
      <c r="H702" s="10"/>
      <c r="I702" s="10"/>
      <c r="J702" s="10"/>
      <c r="K702" s="10"/>
      <c r="L702" s="10"/>
      <c r="M702" s="10"/>
      <c r="N702" s="10"/>
      <c r="O702" s="10"/>
      <c r="P702" s="10"/>
      <c r="Q702" s="10"/>
      <c r="R702" s="10"/>
      <c r="S702" s="10"/>
      <c r="T702" s="10"/>
      <c r="U702" s="10"/>
      <c r="V702" s="10"/>
      <c r="W702" s="10"/>
      <c r="X702" s="10"/>
      <c r="Y702" s="10"/>
      <c r="Z702" s="10"/>
    </row>
    <row r="703" spans="1:26" ht="12.75">
      <c r="A703" s="10" t="str">
        <f ca="1">IFERROR(__xludf.DUMMYFUNCTION("""COMPUTED_VALUE"""),"Боряна Димитрова Янкова-Хаджиева")</f>
        <v>Боряна Димитрова Янкова-Хаджиева</v>
      </c>
      <c r="B703" s="10" t="str">
        <f ca="1">IFERROR(__xludf.DUMMYFUNCTION("""COMPUTED_VALUE"""),"Доклад от конференция")</f>
        <v>Доклад от конференция</v>
      </c>
      <c r="C703" s="10" t="str">
        <f ca="1">IFERROR(__xludf.DUMMYFUNCTION("""COMPUTED_VALUE"""),"Рекламата като средство за развитие на туристическата индустрия в България")</f>
        <v>Рекламата като средство за развитие на туристическата индустрия в България</v>
      </c>
      <c r="D703" s="10">
        <f ca="1">IFERROR(__xludf.DUMMYFUNCTION("""COMPUTED_VALUE"""),2013)</f>
        <v>2013</v>
      </c>
      <c r="E703" s="10" t="str">
        <f ca="1">IFERROR(__xludf.DUMMYFUNCTION("""COMPUTED_VALUE"""),"сб. с доклади от Единадесетата национална научна конференция с международно участие. ""Библиотеки, четене комуникации"", В. Търново: Унив. изд. „Св. св. Кирил и Методий“, 2013. – с. 395-403. ISSN 1313-8138")</f>
        <v>сб. с доклади от Единадесетата национална научна конференция с международно участие. "Библиотеки, четене комуникации", В. Търново: Унив. изд. „Св. св. Кирил и Методий“, 2013. – с. 395-403. ISSN 1313-8138</v>
      </c>
      <c r="F703" s="10" t="str">
        <f ca="1">IFERROR(__xludf.DUMMYFUNCTION("""COMPUTED_VALUE"""),"COBISS")</f>
        <v>COBISS</v>
      </c>
      <c r="G703" s="10"/>
      <c r="H703" s="10"/>
      <c r="I703" s="10"/>
      <c r="J703" s="10"/>
      <c r="K703" s="10"/>
      <c r="L703" s="10"/>
      <c r="M703" s="10"/>
      <c r="N703" s="10"/>
      <c r="O703" s="10"/>
      <c r="P703" s="10"/>
      <c r="Q703" s="10"/>
      <c r="R703" s="10"/>
      <c r="S703" s="10"/>
      <c r="T703" s="10"/>
      <c r="U703" s="10"/>
      <c r="V703" s="10"/>
      <c r="W703" s="10"/>
      <c r="X703" s="10"/>
      <c r="Y703" s="10"/>
      <c r="Z703" s="10"/>
    </row>
    <row r="704" spans="1:26" ht="12.75">
      <c r="A704" s="10" t="str">
        <f ca="1">IFERROR(__xludf.DUMMYFUNCTION("""COMPUTED_VALUE"""),"Боряна Димитрова Янкова-Хаджиева")</f>
        <v>Боряна Димитрова Янкова-Хаджиева</v>
      </c>
      <c r="B704" s="10" t="str">
        <f ca="1">IFERROR(__xludf.DUMMYFUNCTION("""COMPUTED_VALUE"""),"Доклад от конференция")</f>
        <v>Доклад от конференция</v>
      </c>
      <c r="C704" s="10" t="str">
        <f ca="1">IFERROR(__xludf.DUMMYFUNCTION("""COMPUTED_VALUE"""),"Значението на информационните технологии в туристическата индустрия")</f>
        <v>Значението на информационните технологии в туристическата индустрия</v>
      </c>
      <c r="D704" s="10">
        <f ca="1">IFERROR(__xludf.DUMMYFUNCTION("""COMPUTED_VALUE"""),2013)</f>
        <v>2013</v>
      </c>
      <c r="E704" s="10" t="str">
        <f ca="1">IFERROR(__xludf.DUMMYFUNCTION("""COMPUTED_VALUE"""),"Младите в науката – инвестиция в бъдещето: Сборник доклади от Междунар. науч. конф. по проект „Създаване на информационна среда за мотивация и стимулиране на младите изследователи в УниБИТ”, 18-20. окт. 2013, София-Пловдив. София: За буквите – О писменехь"&amp;", 2014. ISBN 978-619-185-132-4")</f>
        <v>Младите в науката – инвестиция в бъдещето: Сборник доклади от Междунар. науч. конф. по проект „Създаване на информационна среда за мотивация и стимулиране на младите изследователи в УниБИТ”, 18-20. окт. 2013, София-Пловдив. София: За буквите – О писменехь, 2014. ISBN 978-619-185-132-4</v>
      </c>
      <c r="F704" s="10" t="str">
        <f ca="1">IFERROR(__xludf.DUMMYFUNCTION("""COMPUTED_VALUE"""),"COBISS")</f>
        <v>COBISS</v>
      </c>
      <c r="G704" s="10"/>
      <c r="H704" s="10"/>
      <c r="I704" s="10"/>
      <c r="J704" s="10"/>
      <c r="K704" s="10"/>
      <c r="L704" s="10"/>
      <c r="M704" s="10"/>
      <c r="N704" s="10"/>
      <c r="O704" s="10"/>
      <c r="P704" s="10"/>
      <c r="Q704" s="10"/>
      <c r="R704" s="10"/>
      <c r="S704" s="10"/>
      <c r="T704" s="10"/>
      <c r="U704" s="10"/>
      <c r="V704" s="10"/>
      <c r="W704" s="10"/>
      <c r="X704" s="10"/>
      <c r="Y704" s="10"/>
      <c r="Z704" s="10"/>
    </row>
    <row r="705" spans="1:26" ht="12.75">
      <c r="A705" s="10" t="str">
        <f ca="1">IFERROR(__xludf.DUMMYFUNCTION("""COMPUTED_VALUE"""),"Боряна Димитрова Янкова-Хаджиева")</f>
        <v>Боряна Димитрова Янкова-Хаджиева</v>
      </c>
      <c r="B705" s="10" t="str">
        <f ca="1">IFERROR(__xludf.DUMMYFUNCTION("""COMPUTED_VALUE"""),"Доклад от конференция")</f>
        <v>Доклад от конференция</v>
      </c>
      <c r="C705" s="10" t="str">
        <f ca="1">IFERROR(__xludf.DUMMYFUNCTION("""COMPUTED_VALUE"""),"New Possibilities for E-learning Master Programs in LIS and Cultural Heritage Sciences Education in Bulgaria")</f>
        <v>New Possibilities for E-learning Master Programs in LIS and Cultural Heritage Sciences Education in Bulgaria</v>
      </c>
      <c r="D705" s="10">
        <f ca="1">IFERROR(__xludf.DUMMYFUNCTION("""COMPUTED_VALUE"""),2013)</f>
        <v>2013</v>
      </c>
      <c r="E705" s="10" t="str">
        <f ca="1">IFERROR(__xludf.DUMMYFUNCTION("""COMPUTED_VALUE"""),"QQML 2013. Book of Abstr. Qualitative and Quantitative Methods in Libraries. 5th Qualitative and Quantitative Intern. Conf., 4-7 June, 2013, Rome, Italy. Rome, ISAST: Intern. Soc. for the Advancement of Sci. and Technol., 2013, pp. 206-207. ISBN 978-618-8"&amp;"0698-0-0. URL: &lt;http://www.isast.org/images/Book_of_ABSTRACTS_2013.pdf&gt;; &lt;http://www.isast.org/images/Book_of_Abstracts_QQML2013.pdf&gt;")</f>
        <v>QQML 2013. Book of Abstr. Qualitative and Quantitative Methods in Libraries. 5th Qualitative and Quantitative Intern. Conf., 4-7 June, 2013, Rome, Italy. Rome, ISAST: Intern. Soc. for the Advancement of Sci. and Technol., 2013, pp. 206-207. ISBN 978-618-80698-0-0. URL: &lt;http://www.isast.org/images/Book_of_ABSTRACTS_2013.pdf&gt;; &lt;http://www.isast.org/images/Book_of_Abstracts_QQML2013.pdf&gt;</v>
      </c>
      <c r="F705" s="10" t="str">
        <f ca="1">IFERROR(__xludf.DUMMYFUNCTION("""COMPUTED_VALUE"""),"DOAJ – Directory of Open Access Journals, EBSCO Host, ISAST")</f>
        <v>DOAJ – Directory of Open Access Journals, EBSCO Host, ISAST</v>
      </c>
      <c r="G705" s="10" t="str">
        <f ca="1">IFERROR(__xludf.DUMMYFUNCTION("""COMPUTED_VALUE"""),"Yankova, Ivanka, Tania Todorova, Rumelina Vasileva, Silvia Stancheva")</f>
        <v>Yankova, Ivanka, Tania Todorova, Rumelina Vasileva, Silvia Stancheva</v>
      </c>
      <c r="H705" s="10"/>
      <c r="I705" s="10"/>
      <c r="J705" s="10"/>
      <c r="K705" s="10"/>
      <c r="L705" s="10"/>
      <c r="M705" s="10"/>
      <c r="N705" s="10"/>
      <c r="O705" s="10"/>
      <c r="P705" s="10"/>
      <c r="Q705" s="10"/>
      <c r="R705" s="10"/>
      <c r="S705" s="10"/>
      <c r="T705" s="10"/>
      <c r="U705" s="10"/>
      <c r="V705" s="10"/>
      <c r="W705" s="10"/>
      <c r="X705" s="10"/>
      <c r="Y705" s="10"/>
      <c r="Z705" s="10"/>
    </row>
    <row r="706" spans="1:26" ht="12.75">
      <c r="A706" s="10" t="str">
        <f ca="1">IFERROR(__xludf.DUMMYFUNCTION("""COMPUTED_VALUE"""),"Боряна Димитрова Янкова-Хаджиева")</f>
        <v>Боряна Димитрова Янкова-Хаджиева</v>
      </c>
      <c r="B706" s="10" t="str">
        <f ca="1">IFERROR(__xludf.DUMMYFUNCTION("""COMPUTED_VALUE"""),"Доклад от конференция")</f>
        <v>Доклад от конференция</v>
      </c>
      <c r="C706" s="10" t="str">
        <f ca="1">IFERROR(__xludf.DUMMYFUNCTION("""COMPUTED_VALUE"""),"Класифициране на културно-исторически забележителности със средствата на таксономията и фолксономията в среда 2.0 като инструмент за привличане на туристи в България")</f>
        <v>Класифициране на културно-исторически забележителности със средствата на таксономията и фолксономията в среда 2.0 като инструмент за привличане на туристи в България</v>
      </c>
      <c r="D706" s="10">
        <f ca="1">IFERROR(__xludf.DUMMYFUNCTION("""COMPUTED_VALUE"""),2012)</f>
        <v>2012</v>
      </c>
      <c r="E706" s="10" t="str">
        <f ca="1">IFERROR(__xludf.DUMMYFUNCTION("""COMPUTED_VALUE"""),"Информационната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179-193. ISB"&amp;"N 978-954-2946-30-4. URL: &lt;http://aub-bg.org/pdf/sbornik_varna.pdf&gt;")</f>
        <v>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179-193. ISBN 978-954-2946-30-4. URL: &lt;http://aub-bg.org/pdf/sbornik_varna.pdf&gt;</v>
      </c>
      <c r="F706" s="10" t="str">
        <f ca="1">IFERROR(__xludf.DUMMYFUNCTION("""COMPUTED_VALUE"""),"COBISS")</f>
        <v>COBISS</v>
      </c>
      <c r="G706" s="10" t="str">
        <f ca="1">IFERROR(__xludf.DUMMYFUNCTION("""COMPUTED_VALUE"""),"Румелина Василева")</f>
        <v>Румелина Василева</v>
      </c>
      <c r="H706" s="10"/>
      <c r="I706" s="10"/>
      <c r="J706" s="10"/>
      <c r="K706" s="10"/>
      <c r="L706" s="10"/>
      <c r="M706" s="10"/>
      <c r="N706" s="10"/>
      <c r="O706" s="10"/>
      <c r="P706" s="10"/>
      <c r="Q706" s="10"/>
      <c r="R706" s="10"/>
      <c r="S706" s="10"/>
      <c r="T706" s="10"/>
      <c r="U706" s="10"/>
      <c r="V706" s="10"/>
      <c r="W706" s="10"/>
      <c r="X706" s="10"/>
      <c r="Y706" s="10"/>
      <c r="Z706" s="10"/>
    </row>
    <row r="707" spans="1:26" ht="12.75">
      <c r="A707" s="10" t="str">
        <f ca="1">IFERROR(__xludf.DUMMYFUNCTION("""COMPUTED_VALUE"""),"Боряна Димитрова Янкова-Хаджиева")</f>
        <v>Боряна Димитрова Янкова-Хаджиева</v>
      </c>
      <c r="B707" s="10" t="str">
        <f ca="1">IFERROR(__xludf.DUMMYFUNCTION("""COMPUTED_VALUE"""),"Доклад от конференция")</f>
        <v>Доклад от конференция</v>
      </c>
      <c r="C707" s="10" t="str">
        <f ca="1">IFERROR(__xludf.DUMMYFUNCTION("""COMPUTED_VALUE"""),"Информационната архитектура – мощен маркетингов инструмент на организациите")</f>
        <v>Информационната архитектура – мощен маркетингов инструмент на организациите</v>
      </c>
      <c r="D707" s="10">
        <f ca="1">IFERROR(__xludf.DUMMYFUNCTION("""COMPUTED_VALUE"""),2011)</f>
        <v>2011</v>
      </c>
      <c r="E707" s="10" t="str">
        <f ca="1">IFERROR(__xludf.DUMMYFUNCTION("""COMPUTED_VALUE"""),"Библиотечният и културен мениджмънт и информационно-комуникационните технологии. Сб. науч. докл. и съобщ. от Науч. конф. с междунар. уч., 3-4 септ., 2011 г., БСУ, Бургас. Състав. И. Янкова, Т. Тодорова; Рец. С. Денчев; Ред. Р. Василева. София: О писменехь"&amp;" – За буквите, 2011, с. 156-167. ISBN 978-954-2946-14-4. URL: &lt;http://aub-bg.org/pdf/sbornik_burgas.pdf&gt;")</f>
        <v>Библиотечният и културен мениджмънт и информационно-комуникационните технологии. Сб. науч. докл. и съобщ. от Науч. конф. с междунар. уч., 3-4 септ., 2011 г., БСУ, Бургас. Състав. И. Янкова, Т. Тодорова; Рец. С. Денчев; Ред. Р. Василева. София: О писменехь – За буквите, 2011, с. 156-167. ISBN 978-954-2946-14-4. URL: &lt;http://aub-bg.org/pdf/sbornik_burgas.pdf&gt;</v>
      </c>
      <c r="F707" s="10" t="str">
        <f ca="1">IFERROR(__xludf.DUMMYFUNCTION("""COMPUTED_VALUE"""),"COBISS")</f>
        <v>COBISS</v>
      </c>
      <c r="G707" s="10"/>
      <c r="H707" s="10"/>
      <c r="I707" s="10"/>
      <c r="J707" s="10"/>
      <c r="K707" s="10"/>
      <c r="L707" s="10"/>
      <c r="M707" s="10"/>
      <c r="N707" s="10"/>
      <c r="O707" s="10"/>
      <c r="P707" s="10"/>
      <c r="Q707" s="10"/>
      <c r="R707" s="10"/>
      <c r="S707" s="10"/>
      <c r="T707" s="10"/>
      <c r="U707" s="10"/>
      <c r="V707" s="10"/>
      <c r="W707" s="10"/>
      <c r="X707" s="10"/>
      <c r="Y707" s="10"/>
      <c r="Z707" s="10"/>
    </row>
    <row r="708" spans="1:26" ht="12.75">
      <c r="A708" s="10" t="str">
        <f ca="1">IFERROR(__xludf.DUMMYFUNCTION("""COMPUTED_VALUE"""),"Боряна Евлогиева Бужашка - Данчева")</f>
        <v>Боряна Евлогиева Бужашка - Данчева</v>
      </c>
      <c r="B708" s="10" t="str">
        <f ca="1">IFERROR(__xludf.DUMMYFUNCTION("""COMPUTED_VALUE"""),"Доклад от конференция")</f>
        <v>Доклад от конференция</v>
      </c>
      <c r="C708" s="10" t="str">
        <f ca="1">IFERROR(__xludf.DUMMYFUNCTION("""COMPUTED_VALUE"""),"THE RUSSIAN EMPIRE AND THE BULGARIANS FROM DANUBE BULGARIA.")</f>
        <v>THE RUSSIAN EMPIRE AND THE BULGARIANS FROM DANUBE BULGARIA.</v>
      </c>
      <c r="D708" s="10">
        <f ca="1">IFERROR(__xludf.DUMMYFUNCTION("""COMPUTED_VALUE"""),2020)</f>
        <v>2020</v>
      </c>
      <c r="E708" s="10" t="str">
        <f ca="1">IFERROR(__xludf.DUMMYFUNCTION("""COMPUTED_VALUE"""),"Сборник статей XXIX Международной научно-практической конференции. Наука и образование ""СОХРАНЯЯ ПРОШЛОЕ, СОЗДАЁМ БУДУЩЕЕ"" с. 44-49.
  ISBN: 978-5-00159-542-7")</f>
        <v>Сборник статей XXIX Международной научно-практической конференции. Наука и образование "СОХРАНЯЯ ПРОШЛОЕ, СОЗДАЁМ БУДУЩЕЕ" с. 44-49.
  ISBN: 978-5-00159-542-7</v>
      </c>
      <c r="F708" s="10"/>
      <c r="G708" s="10"/>
      <c r="H708" s="10"/>
      <c r="I708" s="10"/>
      <c r="J708" s="10"/>
      <c r="K708" s="10"/>
      <c r="L708" s="10"/>
      <c r="M708" s="10"/>
      <c r="N708" s="10"/>
      <c r="O708" s="10"/>
      <c r="P708" s="10"/>
      <c r="Q708" s="10"/>
      <c r="R708" s="10"/>
      <c r="S708" s="10"/>
      <c r="T708" s="10"/>
      <c r="U708" s="10"/>
      <c r="V708" s="10"/>
      <c r="W708" s="10"/>
      <c r="X708" s="10"/>
      <c r="Y708" s="10"/>
      <c r="Z708" s="10"/>
    </row>
    <row r="709" spans="1:26" ht="12.75">
      <c r="A709" s="10" t="str">
        <f ca="1">IFERROR(__xludf.DUMMYFUNCTION("""COMPUTED_VALUE"""),"Боряна Евлогиева Бужашка - Данчева")</f>
        <v>Боряна Евлогиева Бужашка - Данчева</v>
      </c>
      <c r="B709" s="10" t="str">
        <f ca="1">IFERROR(__xludf.DUMMYFUNCTION("""COMPUTED_VALUE"""),"Монография")</f>
        <v>Монография</v>
      </c>
      <c r="C709" s="10" t="str">
        <f ca="1">IFERROR(__xludf.DUMMYFUNCTION("""COMPUTED_VALUE"""),"България и българската общност в Истанбул 1913 – 2019")</f>
        <v>България и българската общност в Истанбул 1913 – 2019</v>
      </c>
      <c r="D709" s="10">
        <f ca="1">IFERROR(__xludf.DUMMYFUNCTION("""COMPUTED_VALUE"""),2020)</f>
        <v>2020</v>
      </c>
      <c r="E709" s="10" t="str">
        <f ca="1">IFERROR(__xludf.DUMMYFUNCTION("""COMPUTED_VALUE"""),"За буквите – О писменехь, С. 2020. 489 с. 
 ISBN 978-619-185-396-0")</f>
        <v>За буквите – О писменехь, С. 2020. 489 с. 
 ISBN 978-619-185-396-0</v>
      </c>
      <c r="F709" s="10"/>
      <c r="G709" s="10"/>
      <c r="H709" s="10"/>
      <c r="I709" s="10"/>
      <c r="J709" s="10"/>
      <c r="K709" s="10"/>
      <c r="L709" s="10"/>
      <c r="M709" s="10"/>
      <c r="N709" s="10"/>
      <c r="O709" s="10"/>
      <c r="P709" s="10"/>
      <c r="Q709" s="10"/>
      <c r="R709" s="10"/>
      <c r="S709" s="10"/>
      <c r="T709" s="10"/>
      <c r="U709" s="10"/>
      <c r="V709" s="10"/>
      <c r="W709" s="10"/>
      <c r="X709" s="10"/>
      <c r="Y709" s="10"/>
      <c r="Z709" s="10"/>
    </row>
    <row r="710" spans="1:26" ht="12.75">
      <c r="A710" s="10" t="str">
        <f ca="1">IFERROR(__xludf.DUMMYFUNCTION("""COMPUTED_VALUE"""),"Боряна Евлогиева Бужашка - Данчева")</f>
        <v>Боряна Евлогиева Бужашка - Данчева</v>
      </c>
      <c r="B710" s="10" t="str">
        <f ca="1">IFERROR(__xludf.DUMMYFUNCTION("""COMPUTED_VALUE"""),"Учебник")</f>
        <v>Учебник</v>
      </c>
      <c r="C710" s="10" t="str">
        <f ca="1">IFERROR(__xludf.DUMMYFUNCTION("""COMPUTED_VALUE"""),"Извороведски и археографски анализ на исторически извори за българското културно-историческо наследство в Турция")</f>
        <v>Извороведски и археографски анализ на исторически извори за българското културно-историческо наследство в Турция</v>
      </c>
      <c r="D710" s="10">
        <f ca="1">IFERROR(__xludf.DUMMYFUNCTION("""COMPUTED_VALUE"""),2020)</f>
        <v>2020</v>
      </c>
      <c r="E710" s="10" t="str">
        <f ca="1">IFERROR(__xludf.DUMMYFUNCTION("""COMPUTED_VALUE"""),"За буквите – О писменехь, 165 с. С.2020. 
 ISBN 978-619-185-400-4")</f>
        <v>За буквите – О писменехь, 165 с. С.2020. 
 ISBN 978-619-185-400-4</v>
      </c>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c r="A711" s="10" t="str">
        <f ca="1">IFERROR(__xludf.DUMMYFUNCTION("""COMPUTED_VALUE"""),"Боряна Евлогиева Бужашка - Данчева")</f>
        <v>Боряна Евлогиева Бужашка - Данчева</v>
      </c>
      <c r="B711" s="10" t="str">
        <f ca="1">IFERROR(__xludf.DUMMYFUNCTION("""COMPUTED_VALUE"""),"Доклад от конференция")</f>
        <v>Доклад от конференция</v>
      </c>
      <c r="C711" s="10" t="str">
        <f ca="1">IFERROR(__xludf.DUMMYFUNCTION("""COMPUTED_VALUE"""),"EDUCATIONAL PRACTICES FOR IDENTITY PRESERVATION ON THE EXAMPLE OF THE BULGARIAN DIASPORA")</f>
        <v>EDUCATIONAL PRACTICES FOR IDENTITY PRESERVATION ON THE EXAMPLE OF THE BULGARIAN DIASPORA</v>
      </c>
      <c r="D711" s="10">
        <f ca="1">IFERROR(__xludf.DUMMYFUNCTION("""COMPUTED_VALUE"""),2020)</f>
        <v>2020</v>
      </c>
      <c r="E711" s="10" t="str">
        <f ca="1">IFERROR(__xludf.DUMMYFUNCTION("""COMPUTED_VALUE"""),"INTED 2020. 14-thе Аnnual International, Education and Development Conference, Valencia ( Spain)-2 nd,3 rd and 4 th of March,2020, рр.3230-3235, ISBN 978-84-09-17-939-8, ISSN 2340-10-79")</f>
        <v>INTED 2020. 14-thе Аnnual International, Education and Development Conference, Valencia ( Spain)-2 nd,3 rd and 4 th of March,2020, рр.3230-3235, ISBN 978-84-09-17-939-8, ISSN 2340-10-79</v>
      </c>
      <c r="F711" s="10" t="str">
        <f ca="1">IFERROR(__xludf.DUMMYFUNCTION("""COMPUTED_VALUE"""),"Web of Science и Scopus")</f>
        <v>Web of Science и Scopus</v>
      </c>
      <c r="G711" s="10" t="str">
        <f ca="1">IFERROR(__xludf.DUMMYFUNCTION("""COMPUTED_VALUE"""),"V. Dobreva, S. Denchev, I. Yankova, B. Buzhashka")</f>
        <v>V. Dobreva, S. Denchev, I. Yankova, B. Buzhashka</v>
      </c>
      <c r="H711" s="10"/>
      <c r="I711" s="10"/>
      <c r="J711" s="10"/>
      <c r="K711" s="10"/>
      <c r="L711" s="10"/>
      <c r="M711" s="10"/>
      <c r="N711" s="10"/>
      <c r="O711" s="10"/>
      <c r="P711" s="10"/>
      <c r="Q711" s="10"/>
      <c r="R711" s="10"/>
      <c r="S711" s="10"/>
      <c r="T711" s="10"/>
      <c r="U711" s="10"/>
      <c r="V711" s="10"/>
      <c r="W711" s="10"/>
      <c r="X711" s="10"/>
      <c r="Y711" s="10"/>
      <c r="Z711" s="10"/>
    </row>
    <row r="712" spans="1:26" ht="12.75">
      <c r="A712" s="10" t="str">
        <f ca="1">IFERROR(__xludf.DUMMYFUNCTION("""COMPUTED_VALUE"""),"Боряна Евлогиева Бужашка - Данчева")</f>
        <v>Боряна Евлогиева Бужашка - Данчева</v>
      </c>
      <c r="B712" s="10" t="str">
        <f ca="1">IFERROR(__xludf.DUMMYFUNCTION("""COMPUTED_VALUE"""),"Статия в списания и поредици")</f>
        <v>Статия в списания и поредици</v>
      </c>
      <c r="C712" s="10" t="str">
        <f ca="1">IFERROR(__xludf.DUMMYFUNCTION("""COMPUTED_VALUE"""),"„ Изложба „ 150 години Българска екзархия“ в Националната библиотека")</f>
        <v>„ Изложба „ 150 години Българска екзархия“ в Националната библиотека</v>
      </c>
      <c r="D712" s="10">
        <f ca="1">IFERROR(__xludf.DUMMYFUNCTION("""COMPUTED_VALUE"""),2020)</f>
        <v>2020</v>
      </c>
      <c r="E712" s="10" t="str">
        <f ca="1">IFERROR(__xludf.DUMMYFUNCTION("""COMPUTED_VALUE"""),"сп. Библиотека, бр.2, 2020, с.20-23, ISSN 0861-847X година
 XXVII (LXVI)")</f>
        <v>сп. Библиотека, бр.2, 2020, с.20-23, ISSN 0861-847X година
 XXVII (LXVI)</v>
      </c>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c r="A713" s="10" t="str">
        <f ca="1">IFERROR(__xludf.DUMMYFUNCTION("""COMPUTED_VALUE"""),"Боряна Евлогиева Бужашка - Данчева")</f>
        <v>Боряна Евлогиева Бужашка - Данчева</v>
      </c>
      <c r="B713" s="10" t="str">
        <f ca="1">IFERROR(__xludf.DUMMYFUNCTION("""COMPUTED_VALUE"""),"Доклад от конференция")</f>
        <v>Доклад от конференция</v>
      </c>
      <c r="C713" s="10" t="str">
        <f ca="1">IFERROR(__xludf.DUMMYFUNCTION("""COMPUTED_VALUE"""),"SOME ISSUES OF MINORITY EDUCATION (ЕXAMPLES FROM BULGARIA)")</f>
        <v>SOME ISSUES OF MINORITY EDUCATION (ЕXAMPLES FROM BULGARIA)</v>
      </c>
      <c r="D713" s="10">
        <f ca="1">IFERROR(__xludf.DUMMYFUNCTION("""COMPUTED_VALUE"""),2020)</f>
        <v>2020</v>
      </c>
      <c r="E713" s="10" t="str">
        <f ca="1">IFERROR(__xludf.DUMMYFUNCTION("""COMPUTED_VALUE"""),"EDULEARN20 Proceedings: 12th International Conference on Education and New Learning Technologies. [Online Conference] 2020, pp.7504-7510 .ISBN: 978-84-09-17979-4 ISSN: 2340-1117")</f>
        <v>EDULEARN20 Proceedings: 12th International Conference on Education and New Learning Technologies. [Online Conference] 2020, pp.7504-7510 .ISBN: 978-84-09-17979-4 ISSN: 2340-1117</v>
      </c>
      <c r="F713" s="10" t="str">
        <f ca="1">IFERROR(__xludf.DUMMYFUNCTION("""COMPUTED_VALUE"""),"Web of Science и Scopus")</f>
        <v>Web of Science и Scopus</v>
      </c>
      <c r="G713" s="10" t="str">
        <f ca="1">IFERROR(__xludf.DUMMYFUNCTION("""COMPUTED_VALUE"""),"B. Buzhashka, V. Dobreva")</f>
        <v>B. Buzhashka, V. Dobreva</v>
      </c>
      <c r="H713" s="10"/>
      <c r="I713" s="10"/>
      <c r="J713" s="10"/>
      <c r="K713" s="10"/>
      <c r="L713" s="10"/>
      <c r="M713" s="10"/>
      <c r="N713" s="10"/>
      <c r="O713" s="10"/>
      <c r="P713" s="10"/>
      <c r="Q713" s="10"/>
      <c r="R713" s="10"/>
      <c r="S713" s="10"/>
      <c r="T713" s="10"/>
      <c r="U713" s="10"/>
      <c r="V713" s="10"/>
      <c r="W713" s="10"/>
      <c r="X713" s="10"/>
      <c r="Y713" s="10"/>
      <c r="Z713" s="10"/>
    </row>
    <row r="714" spans="1:26" ht="12.75">
      <c r="A714" s="10" t="str">
        <f ca="1">IFERROR(__xludf.DUMMYFUNCTION("""COMPUTED_VALUE"""),"Боряна Евлогиева Бужашка - Данчева")</f>
        <v>Боряна Евлогиева Бужашка - Данчева</v>
      </c>
      <c r="B714" s="10" t="str">
        <f ca="1">IFERROR(__xludf.DUMMYFUNCTION("""COMPUTED_VALUE"""),"Статия в списания и поредици")</f>
        <v>Статия в списания и поредици</v>
      </c>
      <c r="C714" s="10" t="str">
        <f ca="1">IFERROR(__xludf.DUMMYFUNCTION("""COMPUTED_VALUE"""),"150 години Българска екзархия")</f>
        <v>150 години Българска екзархия</v>
      </c>
      <c r="D714" s="10">
        <f ca="1">IFERROR(__xludf.DUMMYFUNCTION("""COMPUTED_VALUE"""),2020)</f>
        <v>2020</v>
      </c>
      <c r="E714" s="10" t="str">
        <f ca="1">IFERROR(__xludf.DUMMYFUNCTION("""COMPUTED_VALUE"""),"За буквите – О писменехь, София, бр. 60, с.2. ISSN 1312 – 3785")</f>
        <v>За буквите – О писменехь, София, бр. 60, с.2. ISSN 1312 – 3785</v>
      </c>
      <c r="F714" s="10"/>
      <c r="G714" s="10"/>
      <c r="H714" s="10"/>
      <c r="I714" s="10"/>
      <c r="J714" s="10"/>
      <c r="K714" s="10"/>
      <c r="L714" s="10"/>
      <c r="M714" s="10"/>
      <c r="N714" s="10"/>
      <c r="O714" s="10"/>
      <c r="P714" s="10"/>
      <c r="Q714" s="10"/>
      <c r="R714" s="10"/>
      <c r="S714" s="10"/>
      <c r="T714" s="10"/>
      <c r="U714" s="10"/>
      <c r="V714" s="10"/>
      <c r="W714" s="10"/>
      <c r="X714" s="10"/>
      <c r="Y714" s="10"/>
      <c r="Z714" s="10"/>
    </row>
    <row r="715" spans="1:26" ht="12.75">
      <c r="A715" s="10" t="str">
        <f ca="1">IFERROR(__xludf.DUMMYFUNCTION("""COMPUTED_VALUE"""),"Боряна Евлогиева Бужашка - Данчева")</f>
        <v>Боряна Евлогиева Бужашка - Данчева</v>
      </c>
      <c r="B715" s="10" t="str">
        <f ca="1">IFERROR(__xludf.DUMMYFUNCTION("""COMPUTED_VALUE"""),"Доклад от конференция")</f>
        <v>Доклад от конференция</v>
      </c>
      <c r="C715" s="10" t="str">
        <f ca="1">IFERROR(__xludf.DUMMYFUNCTION("""COMPUTED_VALUE"""),"Българската колония в Турция и българо-турските отношения. Съвременни аспекти (1989–2020 г.).")</f>
        <v>Българската колония в Турция и българо-турските отношения. Съвременни аспекти (1989–2020 г.).</v>
      </c>
      <c r="D715" s="10">
        <f ca="1">IFERROR(__xludf.DUMMYFUNCTION("""COMPUTED_VALUE"""),2020)</f>
        <v>2020</v>
      </c>
      <c r="E715" s="10" t="str">
        <f ca="1">IFERROR(__xludf.DUMMYFUNCTION("""COMPUTED_VALUE"""),"Българските общности в Турция – исторически аспекти и съвременно състояние. София: За буквите – О писменехь, 2020, с. 308 – 324. ISBN 978-619-185-415-8")</f>
        <v>Българските общности в Турция – исторически аспекти и съвременно състояние. София: За буквите – О писменехь, 2020, с. 308 – 324. ISBN 978-619-185-415-8</v>
      </c>
      <c r="F715" s="10"/>
      <c r="G715" s="10"/>
      <c r="H715" s="10"/>
      <c r="I715" s="10"/>
      <c r="J715" s="10"/>
      <c r="K715" s="10"/>
      <c r="L715" s="10"/>
      <c r="M715" s="10"/>
      <c r="N715" s="10"/>
      <c r="O715" s="10"/>
      <c r="P715" s="10"/>
      <c r="Q715" s="10"/>
      <c r="R715" s="10"/>
      <c r="S715" s="10"/>
      <c r="T715" s="10"/>
      <c r="U715" s="10"/>
      <c r="V715" s="10"/>
      <c r="W715" s="10"/>
      <c r="X715" s="10"/>
      <c r="Y715" s="10"/>
      <c r="Z715" s="10"/>
    </row>
    <row r="716" spans="1:26" ht="12.75">
      <c r="A716" s="10" t="str">
        <f ca="1">IFERROR(__xludf.DUMMYFUNCTION("""COMPUTED_VALUE"""),"Боряна Евлогиева Бужашка - Данчева")</f>
        <v>Боряна Евлогиева Бужашка - Данчева</v>
      </c>
      <c r="B716" s="10" t="str">
        <f ca="1">IFERROR(__xludf.DUMMYFUNCTION("""COMPUTED_VALUE"""),"Доклад от конференция")</f>
        <v>Доклад от конференция</v>
      </c>
      <c r="C716" s="10" t="str">
        <f ca="1">IFERROR(__xludf.DUMMYFUNCTION("""COMPUTED_VALUE"""),"BULGARIA AND NORTH MACEDONIA AGAIN AT THE NEGOTIATING TABLE?")</f>
        <v>BULGARIA AND NORTH MACEDONIA AGAIN AT THE NEGOTIATING TABLE?</v>
      </c>
      <c r="D716" s="10">
        <f ca="1">IFERROR(__xludf.DUMMYFUNCTION("""COMPUTED_VALUE"""),2020)</f>
        <v>2020</v>
      </c>
      <c r="E716" s="10" t="str">
        <f ca="1">IFERROR(__xludf.DUMMYFUNCTION("""COMPUTED_VALUE"""),"Сборник статей XXIX Международной научно-практической конференции. Наука и образование ""СОХРАНЯЯ ПРОШЛОЕ, СОЗДАЁМ БУДУЩЕЕ"" с. 181-186.
  ISBN: 978-5-00159-542-7")</f>
        <v>Сборник статей XXIX Международной научно-практической конференции. Наука и образование "СОХРАНЯЯ ПРОШЛОЕ, СОЗДАЁМ БУДУЩЕЕ" с. 181-186.
  ISBN: 978-5-00159-542-7</v>
      </c>
      <c r="F716" s="10"/>
      <c r="G716" s="10"/>
      <c r="H716" s="10"/>
      <c r="I716" s="10"/>
      <c r="J716" s="10"/>
      <c r="K716" s="10"/>
      <c r="L716" s="10"/>
      <c r="M716" s="10"/>
      <c r="N716" s="10"/>
      <c r="O716" s="10"/>
      <c r="P716" s="10"/>
      <c r="Q716" s="10"/>
      <c r="R716" s="10"/>
      <c r="S716" s="10"/>
      <c r="T716" s="10"/>
      <c r="U716" s="10"/>
      <c r="V716" s="10"/>
      <c r="W716" s="10"/>
      <c r="X716" s="10"/>
      <c r="Y716" s="10"/>
      <c r="Z716" s="10"/>
    </row>
    <row r="717" spans="1:26" ht="12.75">
      <c r="A717" s="10" t="str">
        <f ca="1">IFERROR(__xludf.DUMMYFUNCTION("""COMPUTED_VALUE"""),"Боряна Евлогиева Бужашка - Данчева")</f>
        <v>Боряна Евлогиева Бужашка - Данчева</v>
      </c>
      <c r="B717" s="10" t="str">
        <f ca="1">IFERROR(__xludf.DUMMYFUNCTION("""COMPUTED_VALUE"""),"Доклад от конференция")</f>
        <v>Доклад от конференция</v>
      </c>
      <c r="C717" s="10" t="str">
        <f ca="1">IFERROR(__xludf.DUMMYFUNCTION("""COMPUTED_VALUE"""),"BULGARIANS IN RUSSIA AND IN THE SOVIET UNION IN THE PERIOD 1878-1945")</f>
        <v>BULGARIANS IN RUSSIA AND IN THE SOVIET UNION IN THE PERIOD 1878-1945</v>
      </c>
      <c r="D717" s="10">
        <f ca="1">IFERROR(__xludf.DUMMYFUNCTION("""COMPUTED_VALUE"""),2020)</f>
        <v>2020</v>
      </c>
      <c r="E717" s="10" t="str">
        <f ca="1">IFERROR(__xludf.DUMMYFUNCTION("""COMPUTED_VALUE"""),"Сборник статей XXIX Международной научно-практической конференции. Наука и образование ""СОХРАНЯЯ ПРОШЛОЕ, СОЗДАЁМ БУДУЩЕЕ"" с. 49-54
  ISBN: 978-5-00159-542-7")</f>
        <v>Сборник статей XXIX Международной научно-практической конференции. Наука и образование "СОХРАНЯЯ ПРОШЛОЕ, СОЗДАЁМ БУДУЩЕЕ" с. 49-54
  ISBN: 978-5-00159-542-7</v>
      </c>
      <c r="F717" s="10"/>
      <c r="G717" s="10"/>
      <c r="H717" s="10"/>
      <c r="I717" s="10"/>
      <c r="J717" s="10"/>
      <c r="K717" s="10"/>
      <c r="L717" s="10"/>
      <c r="M717" s="10"/>
      <c r="N717" s="10"/>
      <c r="O717" s="10"/>
      <c r="P717" s="10"/>
      <c r="Q717" s="10"/>
      <c r="R717" s="10"/>
      <c r="S717" s="10"/>
      <c r="T717" s="10"/>
      <c r="U717" s="10"/>
      <c r="V717" s="10"/>
      <c r="W717" s="10"/>
      <c r="X717" s="10"/>
      <c r="Y717" s="10"/>
      <c r="Z717" s="10"/>
    </row>
    <row r="718" spans="1:26" ht="12.75">
      <c r="A718" s="10" t="str">
        <f ca="1">IFERROR(__xludf.DUMMYFUNCTION("""COMPUTED_VALUE"""),"Боряна Евлогиева Бужашка - Данчева")</f>
        <v>Боряна Евлогиева Бужашка - Данчева</v>
      </c>
      <c r="B718" s="10" t="str">
        <f ca="1">IFERROR(__xludf.DUMMYFUNCTION("""COMPUTED_VALUE"""),"Доклад от конференция")</f>
        <v>Доклад от конференция</v>
      </c>
      <c r="C718" s="10" t="str">
        <f ca="1">IFERROR(__xludf.DUMMYFUNCTION("""COMPUTED_VALUE"""),"THE LANGUGE FOR POLITICAL USE – AN EXAMPLE WITH THE REPUBLIC OF NORTH MACEDONIA")</f>
        <v>THE LANGUGE FOR POLITICAL USE – AN EXAMPLE WITH THE REPUBLIC OF NORTH MACEDONIA</v>
      </c>
      <c r="D718" s="10">
        <f ca="1">IFERROR(__xludf.DUMMYFUNCTION("""COMPUTED_VALUE"""),2020)</f>
        <v>2020</v>
      </c>
      <c r="E718" s="10" t="str">
        <f ca="1">IFERROR(__xludf.DUMMYFUNCTION("""COMPUTED_VALUE"""),"Сборник статей XXVII Международной научно-практической конференции.Наука и образование ""СОХРАНЯЯ ПРОШЛОЕ, СОЗДАЁМ БУДУЩЕЕ"" с. 268-273. ISBN: 978-5-00159-341-6")</f>
        <v>Сборник статей XXVII Международной научно-практической конференции.Наука и образование "СОХРАНЯЯ ПРОШЛОЕ, СОЗДАЁМ БУДУЩЕЕ" с. 268-273. ISBN: 978-5-00159-341-6</v>
      </c>
      <c r="F718" s="10"/>
      <c r="G718" s="10"/>
      <c r="H718" s="10"/>
      <c r="I718" s="10"/>
      <c r="J718" s="10"/>
      <c r="K718" s="10"/>
      <c r="L718" s="10"/>
      <c r="M718" s="10"/>
      <c r="N718" s="10"/>
      <c r="O718" s="10"/>
      <c r="P718" s="10"/>
      <c r="Q718" s="10"/>
      <c r="R718" s="10"/>
      <c r="S718" s="10"/>
      <c r="T718" s="10"/>
      <c r="U718" s="10"/>
      <c r="V718" s="10"/>
      <c r="W718" s="10"/>
      <c r="X718" s="10"/>
      <c r="Y718" s="10"/>
      <c r="Z718" s="10"/>
    </row>
    <row r="719" spans="1:26" ht="12.75">
      <c r="A719" s="10" t="str">
        <f ca="1">IFERROR(__xludf.DUMMYFUNCTION("""COMPUTED_VALUE"""),"Боряна Евлогиева Бужашка - Данчева")</f>
        <v>Боряна Евлогиева Бужашка - Данчева</v>
      </c>
      <c r="B719" s="10" t="str">
        <f ca="1">IFERROR(__xludf.DUMMYFUNCTION("""COMPUTED_VALUE"""),"Доклад от конференция")</f>
        <v>Доклад от конференция</v>
      </c>
      <c r="C719" s="10" t="str">
        <f ca="1">IFERROR(__xludf.DUMMYFUNCTION("""COMPUTED_VALUE"""),"Identity formation – the historical Bulgarian community in Grimea")</f>
        <v>Identity formation – the historical Bulgarian community in Grimea</v>
      </c>
      <c r="D719" s="10">
        <f ca="1">IFERROR(__xludf.DUMMYFUNCTION("""COMPUTED_VALUE"""),2020)</f>
        <v>2020</v>
      </c>
      <c r="E719" s="10" t="str">
        <f ca="1">IFERROR(__xludf.DUMMYFUNCTION("""COMPUTED_VALUE"""),"Сборник статей XXVII Международной научно-практической конференции Наука и образование""СОХРАНЯЯ ПРОШЛОЕ, СОЗДАЁМ БУДУЩЕЕ"" , с.52-56. ISBN: 978-5-00159-341-6")</f>
        <v>Сборник статей XXVII Международной научно-практической конференции Наука и образование"СОХРАНЯЯ ПРОШЛОЕ, СОЗДАЁМ БУДУЩЕЕ" , с.52-56. ISBN: 978-5-00159-341-6</v>
      </c>
      <c r="F719" s="10"/>
      <c r="G719" s="10"/>
      <c r="H719" s="10"/>
      <c r="I719" s="10"/>
      <c r="J719" s="10"/>
      <c r="K719" s="10"/>
      <c r="L719" s="10"/>
      <c r="M719" s="10"/>
      <c r="N719" s="10"/>
      <c r="O719" s="10"/>
      <c r="P719" s="10"/>
      <c r="Q719" s="10"/>
      <c r="R719" s="10"/>
      <c r="S719" s="10"/>
      <c r="T719" s="10"/>
      <c r="U719" s="10"/>
      <c r="V719" s="10"/>
      <c r="W719" s="10"/>
      <c r="X719" s="10"/>
      <c r="Y719" s="10"/>
      <c r="Z719" s="10"/>
    </row>
    <row r="720" spans="1:26" ht="12.75">
      <c r="A720" s="10" t="str">
        <f ca="1">IFERROR(__xludf.DUMMYFUNCTION("""COMPUTED_VALUE"""),"Боряна Евлогиева Бужашка - Данчева")</f>
        <v>Боряна Евлогиева Бужашка - Данчева</v>
      </c>
      <c r="B720" s="10" t="str">
        <f ca="1">IFERROR(__xludf.DUMMYFUNCTION("""COMPUTED_VALUE"""),"Доклад от конференция")</f>
        <v>Доклад от конференция</v>
      </c>
      <c r="C720" s="10" t="str">
        <f ca="1">IFERROR(__xludf.DUMMYFUNCTION("""COMPUTED_VALUE"""),"The Slavic committee Bulgarian state policy instrument for working with the Bulgarian diaspora – Vrnjacka Banja, Serbia")</f>
        <v>The Slavic committee Bulgarian state policy instrument for working with the Bulgarian diaspora – Vrnjacka Banja, Serbia</v>
      </c>
      <c r="D720" s="10">
        <f ca="1">IFERROR(__xludf.DUMMYFUNCTION("""COMPUTED_VALUE"""),2020)</f>
        <v>2020</v>
      </c>
      <c r="E720" s="10" t="str">
        <f ca="1">IFERROR(__xludf.DUMMYFUNCTION("""COMPUTED_VALUE"""),"24th international scientific conference """"Knowledge without borders.//International Journal Institute of Knowledge Management , Scientific Papers, Social sciences, vol. 38.5, Skopje 2020, pp. 1179-1184, ISSN 2545-4439, ISSN 1857 – 923 X.")</f>
        <v>24th international scientific conference ""Knowledge without borders.//International Journal Institute of Knowledge Management , Scientific Papers, Social sciences, vol. 38.5, Skopje 2020, pp. 1179-1184, ISSN 2545-4439, ISSN 1857 – 923 X.</v>
      </c>
      <c r="F720" s="10"/>
      <c r="G720" s="10" t="str">
        <f ca="1">IFERROR(__xludf.DUMMYFUNCTION("""COMPUTED_VALUE"""),"V.Dobreva")</f>
        <v>V.Dobreva</v>
      </c>
      <c r="H720" s="10"/>
      <c r="I720" s="10"/>
      <c r="J720" s="10"/>
      <c r="K720" s="10"/>
      <c r="L720" s="10"/>
      <c r="M720" s="10"/>
      <c r="N720" s="10"/>
      <c r="O720" s="10"/>
      <c r="P720" s="10"/>
      <c r="Q720" s="10"/>
      <c r="R720" s="10"/>
      <c r="S720" s="10"/>
      <c r="T720" s="10"/>
      <c r="U720" s="10"/>
      <c r="V720" s="10"/>
      <c r="W720" s="10"/>
      <c r="X720" s="10"/>
      <c r="Y720" s="10"/>
      <c r="Z720" s="10"/>
    </row>
    <row r="721" spans="1:26" ht="12.75">
      <c r="A721" s="10" t="str">
        <f ca="1">IFERROR(__xludf.DUMMYFUNCTION("""COMPUTED_VALUE"""),"Боряна Евлогиева Бужашка - Данчева")</f>
        <v>Боряна Евлогиева Бужашка - Данчева</v>
      </c>
      <c r="B721" s="10" t="str">
        <f ca="1">IFERROR(__xludf.DUMMYFUNCTION("""COMPUTED_VALUE"""),"Статия в списания и поредици")</f>
        <v>Статия в списания и поредици</v>
      </c>
      <c r="C721" s="10" t="str">
        <f ca="1">IFERROR(__xludf.DUMMYFUNCTION("""COMPUTED_VALUE"""),"POSITIVE PRACTICES FOR OVERCOMING THE CRISIS IN EDUCATION: EXAMPLES FROM BULGARIA")</f>
        <v>POSITIVE PRACTICES FOR OVERCOMING THE CRISIS IN EDUCATION: EXAMPLES FROM BULGARIA</v>
      </c>
      <c r="D721" s="10">
        <f ca="1">IFERROR(__xludf.DUMMYFUNCTION("""COMPUTED_VALUE"""),2019)</f>
        <v>2019</v>
      </c>
      <c r="E721" s="10" t="str">
        <f ca="1">IFERROR(__xludf.DUMMYFUNCTION("""COMPUTED_VALUE"""),"INTED2019 Proceedings 13th International Technology, Education and Development Conference March 11th-13th, 2019 — Valencia, Spain, pp. 4835-4840, ISBN: 978-84-09-08619-1 ISSN: 2340-1079")</f>
        <v>INTED2019 Proceedings 13th International Technology, Education and Development Conference March 11th-13th, 2019 — Valencia, Spain, pp. 4835-4840, ISBN: 978-84-09-08619-1 ISSN: 2340-1079</v>
      </c>
      <c r="F721" s="10" t="str">
        <f ca="1">IFERROR(__xludf.DUMMYFUNCTION("""COMPUTED_VALUE"""),"Web of science")</f>
        <v>Web of science</v>
      </c>
      <c r="G721" s="10" t="str">
        <f ca="1">IFERROR(__xludf.DUMMYFUNCTION("""COMPUTED_VALUE"""),"V. Dobreva, B. Hajieva, S. Stancheva, K. Nusheva")</f>
        <v>V. Dobreva, B. Hajieva, S. Stancheva, K. Nusheva</v>
      </c>
      <c r="H721" s="10"/>
      <c r="I721" s="10"/>
      <c r="J721" s="10"/>
      <c r="K721" s="10"/>
      <c r="L721" s="10"/>
      <c r="M721" s="10"/>
      <c r="N721" s="10"/>
      <c r="O721" s="10"/>
      <c r="P721" s="10"/>
      <c r="Q721" s="10"/>
      <c r="R721" s="10"/>
      <c r="S721" s="10"/>
      <c r="T721" s="10"/>
      <c r="U721" s="10"/>
      <c r="V721" s="10"/>
      <c r="W721" s="10"/>
      <c r="X721" s="10"/>
      <c r="Y721" s="10"/>
      <c r="Z721" s="10"/>
    </row>
    <row r="722" spans="1:26" ht="12.75">
      <c r="A722" s="10" t="str">
        <f ca="1">IFERROR(__xludf.DUMMYFUNCTION("""COMPUTED_VALUE"""),"Боряна Евлогиева Бужашка - Данчева")</f>
        <v>Боряна Евлогиева Бужашка - Данчева</v>
      </c>
      <c r="B722" s="10" t="str">
        <f ca="1">IFERROR(__xludf.DUMMYFUNCTION("""COMPUTED_VALUE"""),"Статия в списания и поредици")</f>
        <v>Статия в списания и поредици</v>
      </c>
      <c r="C722" s="10" t="str">
        <f ca="1">IFERROR(__xludf.DUMMYFUNCTION("""COMPUTED_VALUE"""),"Договорът за приятелство, сътрудничество и взаимопомощ между България и Р Македония и българското културно- историческо наследство.")</f>
        <v>Договорът за приятелство, сътрудничество и взаимопомощ между България и Р Македония и българското културно- историческо наследство.</v>
      </c>
      <c r="D722" s="10">
        <f ca="1">IFERROR(__xludf.DUMMYFUNCTION("""COMPUTED_VALUE"""),2019)</f>
        <v>2019</v>
      </c>
      <c r="E722" s="10" t="str">
        <f ca="1">IFERROR(__xludf.DUMMYFUNCTION("""COMPUTED_VALUE"""),"Известия на Тракийския научен институт , кн.17, с.54-65 ISSN 1312-6741")</f>
        <v>Известия на Тракийския научен институт , кн.17, с.54-65 ISSN 1312-6741</v>
      </c>
      <c r="F722" s="10" t="str">
        <f ca="1">IFERROR(__xludf.DUMMYFUNCTION("""COMPUTED_VALUE"""),"Национален референтен списък на НАЦИД")</f>
        <v>Национален референтен списък на НАЦИД</v>
      </c>
      <c r="G722" s="10"/>
      <c r="H722" s="10"/>
      <c r="I722" s="10"/>
      <c r="J722" s="10"/>
      <c r="K722" s="10"/>
      <c r="L722" s="10"/>
      <c r="M722" s="10"/>
      <c r="N722" s="10"/>
      <c r="O722" s="10"/>
      <c r="P722" s="10"/>
      <c r="Q722" s="10"/>
      <c r="R722" s="10"/>
      <c r="S722" s="10"/>
      <c r="T722" s="10"/>
      <c r="U722" s="10"/>
      <c r="V722" s="10"/>
      <c r="W722" s="10"/>
      <c r="X722" s="10"/>
      <c r="Y722" s="10"/>
      <c r="Z722" s="10"/>
    </row>
    <row r="723" spans="1:26" ht="12.75">
      <c r="A723" s="10" t="str">
        <f ca="1">IFERROR(__xludf.DUMMYFUNCTION("""COMPUTED_VALUE"""),"Боряна Евлогиева Бужашка - Данчева")</f>
        <v>Боряна Евлогиева Бужашка - Данчева</v>
      </c>
      <c r="B723" s="10" t="str">
        <f ca="1">IFERROR(__xludf.DUMMYFUNCTION("""COMPUTED_VALUE"""),"Статия в списания и поредици")</f>
        <v>Статия в списания и поредици</v>
      </c>
      <c r="C723" s="10" t="str">
        <f ca="1">IFERROR(__xludf.DUMMYFUNCTION("""COMPUTED_VALUE"""),"Българската колония в Истанбул и Вселенската патриаршия, 1945 – 2019 г.")</f>
        <v>Българската колония в Истанбул и Вселенската патриаршия, 1945 – 2019 г.</v>
      </c>
      <c r="D723" s="10">
        <f ca="1">IFERROR(__xludf.DUMMYFUNCTION("""COMPUTED_VALUE"""),2019)</f>
        <v>2019</v>
      </c>
      <c r="E723" s="10" t="str">
        <f ca="1">IFERROR(__xludf.DUMMYFUNCTION("""COMPUTED_VALUE"""),"Сборник Модерният историк. Баланс, атрактивност, въображение. София: За буквите – О писменехь, 2019, с. 247 – 252. ISBN 978-619-185-394-6")</f>
        <v>Сборник Модерният историк. Баланс, атрактивност, въображение. София: За буквите – О писменехь, 2019, с. 247 – 252. ISBN 978-619-185-394-6</v>
      </c>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c r="A724" s="10" t="str">
        <f ca="1">IFERROR(__xludf.DUMMYFUNCTION("""COMPUTED_VALUE"""),"Боряна Евлогиева Бужашка - Данчева")</f>
        <v>Боряна Евлогиева Бужашка - Данчева</v>
      </c>
      <c r="B724" s="10" t="str">
        <f ca="1">IFERROR(__xludf.DUMMYFUNCTION("""COMPUTED_VALUE"""),"Статия в списания и поредици")</f>
        <v>Статия в списания и поредици</v>
      </c>
      <c r="C724" s="10" t="str">
        <f ca="1">IFERROR(__xludf.DUMMYFUNCTION("""COMPUTED_VALUE"""),"Българското църковно представителство в Истанбул и въпросът за вдигане на схизмата")</f>
        <v>Българското църковно представителство в Истанбул и въпросът за вдигане на схизмата</v>
      </c>
      <c r="D724" s="10">
        <f ca="1">IFERROR(__xludf.DUMMYFUNCTION("""COMPUTED_VALUE"""),2019)</f>
        <v>2019</v>
      </c>
      <c r="E724" s="10" t="str">
        <f ca="1">IFERROR(__xludf.DUMMYFUNCTION("""COMPUTED_VALUE"""),"Сп. История, т.27, № 5, с.447-465, ISSN 0861-3710")</f>
        <v>Сп. История, т.27, № 5, с.447-465, ISSN 0861-3710</v>
      </c>
      <c r="F724" s="10" t="str">
        <f ca="1">IFERROR(__xludf.DUMMYFUNCTION("""COMPUTED_VALUE"""),"Web of science")</f>
        <v>Web of science</v>
      </c>
      <c r="G724" s="10"/>
      <c r="H724" s="10"/>
      <c r="I724" s="10"/>
      <c r="J724" s="10"/>
      <c r="K724" s="10"/>
      <c r="L724" s="10"/>
      <c r="M724" s="10"/>
      <c r="N724" s="10"/>
      <c r="O724" s="10"/>
      <c r="P724" s="10"/>
      <c r="Q724" s="10"/>
      <c r="R724" s="10"/>
      <c r="S724" s="10"/>
      <c r="T724" s="10"/>
      <c r="U724" s="10"/>
      <c r="V724" s="10"/>
      <c r="W724" s="10"/>
      <c r="X724" s="10"/>
      <c r="Y724" s="10"/>
      <c r="Z724" s="10"/>
    </row>
    <row r="725" spans="1:26" ht="12.75">
      <c r="A725" s="10" t="str">
        <f ca="1">IFERROR(__xludf.DUMMYFUNCTION("""COMPUTED_VALUE"""),"Боряна Евлогиева Бужашка - Данчева")</f>
        <v>Боряна Евлогиева Бужашка - Данчева</v>
      </c>
      <c r="B725" s="10" t="str">
        <f ca="1">IFERROR(__xludf.DUMMYFUNCTION("""COMPUTED_VALUE"""),"Статия в списания и поредици")</f>
        <v>Статия в списания и поредици</v>
      </c>
      <c r="C725" s="10" t="str">
        <f ca="1">IFERROR(__xludf.DUMMYFUNCTION("""COMPUTED_VALUE"""),"Българската колония в Истанбул – състояние, проблеми и переспективи")</f>
        <v>Българската колония в Истанбул – състояние, проблеми и переспективи</v>
      </c>
      <c r="D725" s="10">
        <f ca="1">IFERROR(__xludf.DUMMYFUNCTION("""COMPUTED_VALUE"""),2019)</f>
        <v>2019</v>
      </c>
      <c r="E725" s="10" t="str">
        <f ca="1">IFERROR(__xludf.DUMMYFUNCTION("""COMPUTED_VALUE"""),"Академично издателство „ За буквите – О писменехь“-УниБИТ, с. 268 – 277, ISSN: 2683-0094")</f>
        <v>Академично издателство „ За буквите – О писменехь“-УниБИТ, с. 268 – 277, ISSN: 2683-0094</v>
      </c>
      <c r="F725" s="10" t="str">
        <f ca="1">IFERROR(__xludf.DUMMYFUNCTION("""COMPUTED_VALUE"""),"Национален референтен списък на НАЦИД")</f>
        <v>Национален референтен списък на НАЦИД</v>
      </c>
      <c r="G725" s="10"/>
      <c r="H725" s="10"/>
      <c r="I725" s="10"/>
      <c r="J725" s="10"/>
      <c r="K725" s="10"/>
      <c r="L725" s="10"/>
      <c r="M725" s="10"/>
      <c r="N725" s="10"/>
      <c r="O725" s="10"/>
      <c r="P725" s="10"/>
      <c r="Q725" s="10"/>
      <c r="R725" s="10"/>
      <c r="S725" s="10"/>
      <c r="T725" s="10"/>
      <c r="U725" s="10"/>
      <c r="V725" s="10"/>
      <c r="W725" s="10"/>
      <c r="X725" s="10"/>
      <c r="Y725" s="10"/>
      <c r="Z725" s="10"/>
    </row>
    <row r="726" spans="1:26" ht="12.75">
      <c r="A726" s="10" t="str">
        <f ca="1">IFERROR(__xludf.DUMMYFUNCTION("""COMPUTED_VALUE"""),"Боряна Евлогиева Бужашка - Данчева")</f>
        <v>Боряна Евлогиева Бужашка - Данчева</v>
      </c>
      <c r="B726" s="10" t="str">
        <f ca="1">IFERROR(__xludf.DUMMYFUNCTION("""COMPUTED_VALUE"""),"Статия в списания и поредици")</f>
        <v>Статия в списания и поредици</v>
      </c>
      <c r="C726" s="10" t="str">
        <f ca="1">IFERROR(__xludf.DUMMYFUNCTION("""COMPUTED_VALUE"""),"Някои имуществени, социални и хуманитарни проблеми в отношенията между Турция и България след 1989 г.")</f>
        <v>Някои имуществени, социални и хуманитарни проблеми в отношенията между Турция и България след 1989 г.</v>
      </c>
      <c r="D726" s="10">
        <f ca="1">IFERROR(__xludf.DUMMYFUNCTION("""COMPUTED_VALUE"""),2018)</f>
        <v>2018</v>
      </c>
      <c r="E726" s="10" t="str">
        <f ca="1">IFERROR(__xludf.DUMMYFUNCTION("""COMPUTED_VALUE"""),"Известия на тракийския научен институт, кн.16, 2018 г.,с.84-109. ISSN 1312-6741")</f>
        <v>Известия на тракийския научен институт, кн.16, 2018 г.,с.84-109. ISSN 1312-6741</v>
      </c>
      <c r="F726" s="10" t="str">
        <f ca="1">IFERROR(__xludf.DUMMYFUNCTION("""COMPUTED_VALUE"""),"Национален референтен списък на НАЦИД")</f>
        <v>Национален референтен списък на НАЦИД</v>
      </c>
      <c r="G726" s="10"/>
      <c r="H726" s="10"/>
      <c r="I726" s="10"/>
      <c r="J726" s="10"/>
      <c r="K726" s="10"/>
      <c r="L726" s="10"/>
      <c r="M726" s="10"/>
      <c r="N726" s="10"/>
      <c r="O726" s="10"/>
      <c r="P726" s="10"/>
      <c r="Q726" s="10"/>
      <c r="R726" s="10"/>
      <c r="S726" s="10"/>
      <c r="T726" s="10"/>
      <c r="U726" s="10"/>
      <c r="V726" s="10"/>
      <c r="W726" s="10"/>
      <c r="X726" s="10"/>
      <c r="Y726" s="10"/>
      <c r="Z726" s="10"/>
    </row>
    <row r="727" spans="1:26" ht="12.75">
      <c r="A727" s="10" t="str">
        <f ca="1">IFERROR(__xludf.DUMMYFUNCTION("""COMPUTED_VALUE"""),"Боряна Евлогиева Бужашка - Данчева")</f>
        <v>Боряна Евлогиева Бужашка - Данчева</v>
      </c>
      <c r="B727" s="10" t="str">
        <f ca="1">IFERROR(__xludf.DUMMYFUNCTION("""COMPUTED_VALUE"""),"Статия в списания и поредици")</f>
        <v>Статия в списания и поредици</v>
      </c>
      <c r="C727" s="10" t="str">
        <f ca="1">IFERROR(__xludf.DUMMYFUNCTION("""COMPUTED_VALUE"""),"„ Българската държава и цариградските българи“")</f>
        <v>„ Българската държава и цариградските българи“</v>
      </c>
      <c r="D727" s="10">
        <f ca="1">IFERROR(__xludf.DUMMYFUNCTION("""COMPUTED_VALUE"""),2018)</f>
        <v>2018</v>
      </c>
      <c r="E727" s="10" t="str">
        <f ca="1">IFERROR(__xludf.DUMMYFUNCTION("""COMPUTED_VALUE"""),"Конференция „ България и Балканите през XX век: външна политика и публична дипломация“- 26 октомври 2018 г. Съобщение: „ Българската държава и цариградските българи“. Сборник статии под печат")</f>
        <v>Конференция „ България и Балканите през XX век: външна политика и публична дипломация“- 26 октомври 2018 г. Съобщение: „ Българската държава и цариградските българи“. Сборник статии под печат</v>
      </c>
      <c r="F727" s="10"/>
      <c r="G727" s="10"/>
      <c r="H727" s="10"/>
      <c r="I727" s="10"/>
      <c r="J727" s="10"/>
      <c r="K727" s="10"/>
      <c r="L727" s="10"/>
      <c r="M727" s="10"/>
      <c r="N727" s="10"/>
      <c r="O727" s="10"/>
      <c r="P727" s="10"/>
      <c r="Q727" s="10"/>
      <c r="R727" s="10"/>
      <c r="S727" s="10"/>
      <c r="T727" s="10"/>
      <c r="U727" s="10"/>
      <c r="V727" s="10"/>
      <c r="W727" s="10"/>
      <c r="X727" s="10"/>
      <c r="Y727" s="10"/>
      <c r="Z727" s="10"/>
    </row>
    <row r="728" spans="1:26" ht="12.75">
      <c r="A728" s="10" t="str">
        <f ca="1">IFERROR(__xludf.DUMMYFUNCTION("""COMPUTED_VALUE"""),"Боряна Евлогиева Бужашка - Данчева")</f>
        <v>Боряна Евлогиева Бужашка - Данчева</v>
      </c>
      <c r="B728" s="10" t="str">
        <f ca="1">IFERROR(__xludf.DUMMYFUNCTION("""COMPUTED_VALUE"""),"Статия в списания и поредици")</f>
        <v>Статия в списания и поредици</v>
      </c>
      <c r="C728" s="10" t="str">
        <f ca="1">IFERROR(__xludf.DUMMYFUNCTION("""COMPUTED_VALUE"""),"БЪЛГАРСКАТА ПРАВОСЛАВНА ОБЩНОСТ В ИСТАНБУЛ - ИСТОРИЯ И ПЕРСПЕКТИВИ")</f>
        <v>БЪЛГАРСКАТА ПРАВОСЛАВНА ОБЩНОСТ В ИСТАНБУЛ - ИСТОРИЯ И ПЕРСПЕКТИВИ</v>
      </c>
      <c r="D728" s="10">
        <f ca="1">IFERROR(__xludf.DUMMYFUNCTION("""COMPUTED_VALUE"""),2018)</f>
        <v>2018</v>
      </c>
      <c r="E728" s="10" t="str">
        <f ca="1">IFERROR(__xludf.DUMMYFUNCTION("""COMPUTED_VALUE"""),"KNOWLEDGE-International Journal, Skopje, 2018, vol 28, № 5 pp. 1439-1750, ISSN 1857-923X (e)")</f>
        <v>KNOWLEDGE-International Journal, Skopje, 2018, vol 28, № 5 pp. 1439-1750, ISSN 1857-923X (e)</v>
      </c>
      <c r="F728" s="10" t="str">
        <f ca="1">IFERROR(__xludf.DUMMYFUNCTION("""COMPUTED_VALUE"""),"Scopus, Index Copernicus")</f>
        <v>Scopus, Index Copernicus</v>
      </c>
      <c r="G728" s="10" t="str">
        <f ca="1">IFERROR(__xludf.DUMMYFUNCTION("""COMPUTED_VALUE"""),"Иванка Янкова")</f>
        <v>Иванка Янкова</v>
      </c>
      <c r="H728" s="10"/>
      <c r="I728" s="10"/>
      <c r="J728" s="10"/>
      <c r="K728" s="10"/>
      <c r="L728" s="10"/>
      <c r="M728" s="10"/>
      <c r="N728" s="10"/>
      <c r="O728" s="10"/>
      <c r="P728" s="10"/>
      <c r="Q728" s="10"/>
      <c r="R728" s="10"/>
      <c r="S728" s="10"/>
      <c r="T728" s="10"/>
      <c r="U728" s="10"/>
      <c r="V728" s="10"/>
      <c r="W728" s="10"/>
      <c r="X728" s="10"/>
      <c r="Y728" s="10"/>
      <c r="Z728" s="10"/>
    </row>
    <row r="729" spans="1:26" ht="12.75">
      <c r="A729" s="10" t="str">
        <f ca="1">IFERROR(__xludf.DUMMYFUNCTION("""COMPUTED_VALUE"""),"Боряна Евлогиева Бужашка - Данчева")</f>
        <v>Боряна Евлогиева Бужашка - Данчева</v>
      </c>
      <c r="B729" s="10" t="str">
        <f ca="1">IFERROR(__xludf.DUMMYFUNCTION("""COMPUTED_VALUE"""),"Статия в списания и поредици")</f>
        <v>Статия в списания и поредици</v>
      </c>
      <c r="C729" s="10" t="str">
        <f ca="1">IFERROR(__xludf.DUMMYFUNCTION("""COMPUTED_VALUE"""),"Настоятелствата на българската църква „ Св. Стефан“ в Истанбул")</f>
        <v>Настоятелствата на българската църква „ Св. Стефан“ в Истанбул</v>
      </c>
      <c r="D729" s="10">
        <f ca="1">IFERROR(__xludf.DUMMYFUNCTION("""COMPUTED_VALUE"""),2018)</f>
        <v>2018</v>
      </c>
      <c r="E729" s="10" t="str">
        <f ca="1">IFERROR(__xludf.DUMMYFUNCTION("""COMPUTED_VALUE"""),"Международна конференция“ 120 години българска желязна църква „ Свети Стефан“ в Истанбул“ съобщение „ Настоятелствата на българската църква „ Св. Стефан“ в Истанбул“- 29 септември 2018 г., Истанбул ISBN 978-
 954-07-4973-0, с. 80-89")</f>
        <v>Международна конференция“ 120 години българска желязна църква „ Свети Стефан“ в Истанбул“ съобщение „ Настоятелствата на българската църква „ Св. Стефан“ в Истанбул“- 29 септември 2018 г., Истанбул ISBN 978-
 954-07-4973-0, с. 80-89</v>
      </c>
      <c r="F729" s="10"/>
      <c r="G729" s="10"/>
      <c r="H729" s="10"/>
      <c r="I729" s="10"/>
      <c r="J729" s="10"/>
      <c r="K729" s="10"/>
      <c r="L729" s="10"/>
      <c r="M729" s="10"/>
      <c r="N729" s="10"/>
      <c r="O729" s="10"/>
      <c r="P729" s="10"/>
      <c r="Q729" s="10"/>
      <c r="R729" s="10"/>
      <c r="S729" s="10"/>
      <c r="T729" s="10"/>
      <c r="U729" s="10"/>
      <c r="V729" s="10"/>
      <c r="W729" s="10"/>
      <c r="X729" s="10"/>
      <c r="Y729" s="10"/>
      <c r="Z729" s="10"/>
    </row>
    <row r="730" spans="1:26" ht="12.75">
      <c r="A730" s="10" t="str">
        <f ca="1">IFERROR(__xludf.DUMMYFUNCTION("""COMPUTED_VALUE"""),"Боряна Евлогиева Бужашка - Данчева")</f>
        <v>Боряна Евлогиева Бужашка - Данчева</v>
      </c>
      <c r="B730" s="10" t="str">
        <f ca="1">IFERROR(__xludf.DUMMYFUNCTION("""COMPUTED_VALUE"""),"Статия в списания и поредици")</f>
        <v>Статия в списания и поредици</v>
      </c>
      <c r="C730" s="10" t="str">
        <f ca="1">IFERROR(__xludf.DUMMYFUNCTION("""COMPUTED_VALUE"""),"Бежанският въпрос в българо-турските дипломатически отношения 1913- 2017 г.")</f>
        <v>Бежанският въпрос в българо-турските дипломатически отношения 1913- 2017 г.</v>
      </c>
      <c r="D730" s="10">
        <f ca="1">IFERROR(__xludf.DUMMYFUNCTION("""COMPUTED_VALUE"""),2018)</f>
        <v>2018</v>
      </c>
      <c r="E730" s="10" t="str">
        <f ca="1">IFERROR(__xludf.DUMMYFUNCTION("""COMPUTED_VALUE"""),"Научна конференция „ Българските бежанци в Бургас и региона 1878-1945. Бургас, 27-29 септември 2017г. Сборник с доклади.Фабер, / [състав. Светлозар Елдъров ... и др.]. - [В. Търново], 2018, с.87-104. ISBN 978-619-00-0709-8")</f>
        <v>Научна конференция „ Българските бежанци в Бургас и региона 1878-1945. Бургас, 27-29 септември 2017г. Сборник с доклади.Фабер, / [състав. Светлозар Елдъров ... и др.]. - [В. Търново], 2018, с.87-104. ISBN 978-619-00-0709-8</v>
      </c>
      <c r="F730" s="10"/>
      <c r="G730" s="10"/>
      <c r="H730" s="10"/>
      <c r="I730" s="10"/>
      <c r="J730" s="10"/>
      <c r="K730" s="10"/>
      <c r="L730" s="10"/>
      <c r="M730" s="10"/>
      <c r="N730" s="10"/>
      <c r="O730" s="10"/>
      <c r="P730" s="10"/>
      <c r="Q730" s="10"/>
      <c r="R730" s="10"/>
      <c r="S730" s="10"/>
      <c r="T730" s="10"/>
      <c r="U730" s="10"/>
      <c r="V730" s="10"/>
      <c r="W730" s="10"/>
      <c r="X730" s="10"/>
      <c r="Y730" s="10"/>
      <c r="Z730" s="10"/>
    </row>
    <row r="731" spans="1:26" ht="12.75">
      <c r="A731" s="10" t="str">
        <f ca="1">IFERROR(__xludf.DUMMYFUNCTION("""COMPUTED_VALUE"""),"Боряна Евлогиева Бужашка - Данчева")</f>
        <v>Боряна Евлогиева Бужашка - Данчева</v>
      </c>
      <c r="B731" s="10" t="str">
        <f ca="1">IFERROR(__xludf.DUMMYFUNCTION("""COMPUTED_VALUE"""),"Учебно пособие")</f>
        <v>Учебно пособие</v>
      </c>
      <c r="C731" s="10" t="str">
        <f ca="1">IFERROR(__xludf.DUMMYFUNCTION("""COMPUTED_VALUE"""),"Публичните архиви и класифицираната информация")</f>
        <v>Публичните архиви и класифицираната информация</v>
      </c>
      <c r="D731" s="10">
        <f ca="1">IFERROR(__xludf.DUMMYFUNCTION("""COMPUTED_VALUE"""),2017)</f>
        <v>2017</v>
      </c>
      <c r="E731" s="10" t="str">
        <f ca="1">IFERROR(__xludf.DUMMYFUNCTION("""COMPUTED_VALUE"""),"Издателство ""Захарий Стоянов"" ISBN 978-954-09-1175-5")</f>
        <v>Издателство "Захарий Стоянов" ISBN 978-954-09-1175-5</v>
      </c>
      <c r="F731" s="10"/>
      <c r="G731" s="10"/>
      <c r="H731" s="10"/>
      <c r="I731" s="10"/>
      <c r="J731" s="10"/>
      <c r="K731" s="10"/>
      <c r="L731" s="10"/>
      <c r="M731" s="10"/>
      <c r="N731" s="10"/>
      <c r="O731" s="10"/>
      <c r="P731" s="10"/>
      <c r="Q731" s="10"/>
      <c r="R731" s="10"/>
      <c r="S731" s="10"/>
      <c r="T731" s="10"/>
      <c r="U731" s="10"/>
      <c r="V731" s="10"/>
      <c r="W731" s="10"/>
      <c r="X731" s="10"/>
      <c r="Y731" s="10"/>
      <c r="Z731" s="10"/>
    </row>
    <row r="732" spans="1:26" ht="12.75">
      <c r="A732" s="10" t="str">
        <f ca="1">IFERROR(__xludf.DUMMYFUNCTION("""COMPUTED_VALUE"""),"Боряна Евлогиева Бужашка - Данчева")</f>
        <v>Боряна Евлогиева Бужашка - Данчева</v>
      </c>
      <c r="B732" s="10" t="str">
        <f ca="1">IFERROR(__xludf.DUMMYFUNCTION("""COMPUTED_VALUE"""),"Доклад от конференция")</f>
        <v>Доклад от конференция</v>
      </c>
      <c r="C732" s="10" t="str">
        <f ca="1">IFERROR(__xludf.DUMMYFUNCTION("""COMPUTED_VALUE"""),"За българското културно-историческо наследство в Република Турция")</f>
        <v>За българското културно-историческо наследство в Република Турция</v>
      </c>
      <c r="D732" s="10">
        <f ca="1">IFERROR(__xludf.DUMMYFUNCTION("""COMPUTED_VALUE"""),2017)</f>
        <v>2017</v>
      </c>
      <c r="E732" s="10" t="str">
        <f ca="1">IFERROR(__xludf.DUMMYFUNCTION("""COMPUTED_VALUE"""),"Културни коридори: Юбилей и памет, София: Академично издателство „За буквите – О писменехь“ 2017, с. 60-69. ISBN 978-619-185-307-6")</f>
        <v>Културни коридори: Юбилей и памет, София: Академично издателство „За буквите – О писменехь“ 2017, с. 60-69. ISBN 978-619-185-307-6</v>
      </c>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c r="A733" s="10" t="str">
        <f ca="1">IFERROR(__xludf.DUMMYFUNCTION("""COMPUTED_VALUE"""),"Боряна Евлогиева Бужашка - Данчева")</f>
        <v>Боряна Евлогиева Бужашка - Данчева</v>
      </c>
      <c r="B733" s="10" t="str">
        <f ca="1">IFERROR(__xludf.DUMMYFUNCTION("""COMPUTED_VALUE"""),"Книга")</f>
        <v>Книга</v>
      </c>
      <c r="C733" s="10" t="str">
        <f ca="1">IFERROR(__xludf.DUMMYFUNCTION("""COMPUTED_VALUE"""),"Източнотракийският въпрос в българо-турските дипломатически отношения (1913-2016 г.)")</f>
        <v>Източнотракийският въпрос в българо-турските дипломатически отношения (1913-2016 г.)</v>
      </c>
      <c r="D733" s="10">
        <f ca="1">IFERROR(__xludf.DUMMYFUNCTION("""COMPUTED_VALUE"""),2017)</f>
        <v>2017</v>
      </c>
      <c r="E733" s="10" t="str">
        <f ca="1">IFERROR(__xludf.DUMMYFUNCTION("""COMPUTED_VALUE"""),"София : Захарий Стоянов, 2017 ([Костинброд] : Мултипринт ООД). - 416 с., [8] л. : табл., ил. ; 21 см Изд. на Съюз на трак. д-ва в България. - Библиогр.: с. 407-413. - Рез. на англ. ез. ISBN 978-954-09-1114-4")</f>
        <v>София : Захарий Стоянов, 2017 ([Костинброд] : Мултипринт ООД). - 416 с., [8] л. : табл., ил. ; 21 см Изд. на Съюз на трак. д-ва в България. - Библиогр.: с. 407-413. - Рез. на англ. ез. ISBN 978-954-09-1114-4</v>
      </c>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c r="A734" s="10" t="str">
        <f ca="1">IFERROR(__xludf.DUMMYFUNCTION("""COMPUTED_VALUE"""),"Боряна Евлогиева Бужашка - Данчева")</f>
        <v>Боряна Евлогиева Бужашка - Данчева</v>
      </c>
      <c r="B734" s="10" t="str">
        <f ca="1">IFERROR(__xludf.DUMMYFUNCTION("""COMPUTED_VALUE"""),"Студия")</f>
        <v>Студия</v>
      </c>
      <c r="C734" s="10" t="str">
        <f ca="1">IFERROR(__xludf.DUMMYFUNCTION("""COMPUTED_VALUE"""),"Тълкуване и прилагане на Ангорския договор в българо-турските отношения след 1925 г.")</f>
        <v>Тълкуване и прилагане на Ангорския договор в българо-турските отношения след 1925 г.</v>
      </c>
      <c r="D734" s="10">
        <f ca="1">IFERROR(__xludf.DUMMYFUNCTION("""COMPUTED_VALUE"""),2016)</f>
        <v>2016</v>
      </c>
      <c r="E734" s="10" t="str">
        <f ca="1">IFERROR(__xludf.DUMMYFUNCTION("""COMPUTED_VALUE"""),"Известия на тракийския научен институт, 2016, кн. 14-15, с. 239 - 266. ISSN 1312-6741")</f>
        <v>Известия на тракийския научен институт, 2016, кн. 14-15, с. 239 - 266. ISSN 1312-6741</v>
      </c>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c r="A735" s="10" t="str">
        <f ca="1">IFERROR(__xludf.DUMMYFUNCTION("""COMPUTED_VALUE"""),"Боряна Евлогиева Бужашка - Данчева")</f>
        <v>Боряна Евлогиева Бужашка - Данчева</v>
      </c>
      <c r="B735" s="10" t="str">
        <f ca="1">IFERROR(__xludf.DUMMYFUNCTION("""COMPUTED_VALUE"""),"Статия в списания и поредици")</f>
        <v>Статия в списания и поредици</v>
      </c>
      <c r="C735" s="10" t="str">
        <f ca="1">IFERROR(__xludf.DUMMYFUNCTION("""COMPUTED_VALUE"""),"Българо-ватиканските отношения според документите в Дипломатическия архив на МВнР")</f>
        <v>Българо-ватиканските отношения според документите в Дипломатическия архив на МВнР</v>
      </c>
      <c r="D735" s="10">
        <f ca="1">IFERROR(__xludf.DUMMYFUNCTION("""COMPUTED_VALUE"""),2014)</f>
        <v>2014</v>
      </c>
      <c r="E735" s="10" t="str">
        <f ca="1">IFERROR(__xludf.DUMMYFUNCTION("""COMPUTED_VALUE"""),"В: Международни отношения. - ISSN 0324-1092. - Год. 43, бр. 4 (2014), с. 101-108.")</f>
        <v>В: Международни отношения. - ISSN 0324-1092. - Год. 43, бр. 4 (2014), с. 101-108.</v>
      </c>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c r="A736" s="10" t="str">
        <f ca="1">IFERROR(__xludf.DUMMYFUNCTION("""COMPUTED_VALUE"""),"Боряна Евлогиева Бужашка - Данчева")</f>
        <v>Боряна Евлогиева Бужашка - Данчева</v>
      </c>
      <c r="B736" s="10" t="str">
        <f ca="1">IFERROR(__xludf.DUMMYFUNCTION("""COMPUTED_VALUE"""),"Книга")</f>
        <v>Книга</v>
      </c>
      <c r="C736" s="10" t="str">
        <f ca="1">IFERROR(__xludf.DUMMYFUNCTION("""COMPUTED_VALUE"""),"135 години българо-руски дипломатически отношения")</f>
        <v>135 години българо-руски дипломатически отношения</v>
      </c>
      <c r="D736" s="10">
        <f ca="1">IFERROR(__xludf.DUMMYFUNCTION("""COMPUTED_VALUE"""),2014)</f>
        <v>2014</v>
      </c>
      <c r="E736" s="10" t="str">
        <f ca="1">IFERROR(__xludf.DUMMYFUNCTION("""COMPUTED_VALUE"""),"[състав. Боряна Бужашка ... и др.]. - София : Форум България - Русия, 2014 ([София] : ПК ""Д. Благоев""). - 180 с. : с ил. ; 29 см ISBN 978-619-7146-03-5")</f>
        <v>[състав. Боряна Бужашка ... и др.]. - София : Форум България - Русия, 2014 ([София] : ПК "Д. Благоев"). - 180 с. : с ил. ; 29 см ISBN 978-619-7146-03-5</v>
      </c>
      <c r="F736" s="10"/>
      <c r="G736" s="10"/>
      <c r="H736" s="10"/>
      <c r="I736" s="10"/>
      <c r="J736" s="10"/>
      <c r="K736" s="10"/>
      <c r="L736" s="10"/>
      <c r="M736" s="10"/>
      <c r="N736" s="10"/>
      <c r="O736" s="10"/>
      <c r="P736" s="10"/>
      <c r="Q736" s="10"/>
      <c r="R736" s="10"/>
      <c r="S736" s="10"/>
      <c r="T736" s="10"/>
      <c r="U736" s="10"/>
      <c r="V736" s="10"/>
      <c r="W736" s="10"/>
      <c r="X736" s="10"/>
      <c r="Y736" s="10"/>
      <c r="Z736" s="10"/>
    </row>
    <row r="737" spans="1:26" ht="12.75">
      <c r="A737" s="10" t="str">
        <f ca="1">IFERROR(__xludf.DUMMYFUNCTION("""COMPUTED_VALUE"""),"Боряна Евлогиева Бужашка - Данчева")</f>
        <v>Боряна Евлогиева Бужашка - Данчева</v>
      </c>
      <c r="B737" s="10" t="str">
        <f ca="1">IFERROR(__xludf.DUMMYFUNCTION("""COMPUTED_VALUE"""),"Студия")</f>
        <v>Студия</v>
      </c>
      <c r="C737" s="10" t="str">
        <f ca="1">IFERROR(__xludf.DUMMYFUNCTION("""COMPUTED_VALUE"""),"Съдбата на екзархийските имоти като открит въпрос в българо-турските отношения")</f>
        <v>Съдбата на екзархийските имоти като открит въпрос в българо-турските отношения</v>
      </c>
      <c r="D737" s="10">
        <f ca="1">IFERROR(__xludf.DUMMYFUNCTION("""COMPUTED_VALUE"""),2014)</f>
        <v>2014</v>
      </c>
      <c r="E737" s="10" t="str">
        <f ca="1">IFERROR(__xludf.DUMMYFUNCTION("""COMPUTED_VALUE"""),"Известия на държавните архиви, 2016, бр. 107, с. 64-141. ISSN 0323-9780")</f>
        <v>Известия на държавните архиви, 2016, бр. 107, с. 64-141. ISSN 0323-9780</v>
      </c>
      <c r="F737" s="10"/>
      <c r="G737" s="10"/>
      <c r="H737" s="10"/>
      <c r="I737" s="10"/>
      <c r="J737" s="10"/>
      <c r="K737" s="10"/>
      <c r="L737" s="10"/>
      <c r="M737" s="10"/>
      <c r="N737" s="10"/>
      <c r="O737" s="10"/>
      <c r="P737" s="10"/>
      <c r="Q737" s="10"/>
      <c r="R737" s="10"/>
      <c r="S737" s="10"/>
      <c r="T737" s="10"/>
      <c r="U737" s="10"/>
      <c r="V737" s="10"/>
      <c r="W737" s="10"/>
      <c r="X737" s="10"/>
      <c r="Y737" s="10"/>
      <c r="Z737" s="10"/>
    </row>
    <row r="738" spans="1:26" ht="12.75">
      <c r="A738" s="10" t="str">
        <f ca="1">IFERROR(__xludf.DUMMYFUNCTION("""COMPUTED_VALUE"""),"Боряна Евлогиева Бужашка - Данчева")</f>
        <v>Боряна Евлогиева Бужашка - Данчева</v>
      </c>
      <c r="B738" s="10" t="str">
        <f ca="1">IFERROR(__xludf.DUMMYFUNCTION("""COMPUTED_VALUE"""),"Статия в списания и поредици")</f>
        <v>Статия в списания и поредици</v>
      </c>
      <c r="C738" s="10" t="str">
        <f ca="1">IFERROR(__xludf.DUMMYFUNCTION("""COMPUTED_VALUE"""),"Документи от Дипломатическия архив на Министерство на външните работи за българо-ватиканските отношения")</f>
        <v>Документи от Дипломатическия архив на Министерство на външните работи за българо-ватиканските отношения</v>
      </c>
      <c r="D738" s="10">
        <f ca="1">IFERROR(__xludf.DUMMYFUNCTION("""COMPUTED_VALUE"""),2013)</f>
        <v>2013</v>
      </c>
      <c r="E738" s="10" t="str">
        <f ca="1">IFERROR(__xludf.DUMMYFUNCTION("""COMPUTED_VALUE"""),"В: Известия на държавните архиви. - ISSN 0323-9780. - Т. 106 (2013), с. 33-118.")</f>
        <v>В: Известия на държавните архиви. - ISSN 0323-9780. - Т. 106 (2013), с. 33-118.</v>
      </c>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c r="A739" s="10" t="str">
        <f ca="1">IFERROR(__xludf.DUMMYFUNCTION("""COMPUTED_VALUE"""),"Боряна Евлогиева Бужашка - Данчева")</f>
        <v>Боряна Евлогиева Бужашка - Данчева</v>
      </c>
      <c r="B739" s="10" t="str">
        <f ca="1">IFERROR(__xludf.DUMMYFUNCTION("""COMPUTED_VALUE"""),"Книга")</f>
        <v>Книга</v>
      </c>
      <c r="C739" s="10" t="str">
        <f ca="1">IFERROR(__xludf.DUMMYFUNCTION("""COMPUTED_VALUE"""),"ΤΟ ΚΚΕ ΜΕΣΑ ΑΠΟ ΤΑ ΑΡΧΕΙΑ ΤΟΥ ΚΟΜΜΟΥΝΙΣΤΙΚΟΥ ΚΟΜΜΑΤΟΣ ΒΟΥΛΓΑΡΙΑΣ")</f>
        <v>ΤΟ ΚΚΕ ΜΕΣΑ ΑΠΟ ΤΑ ΑΡΧΕΙΑ ΤΟΥ ΚΟΜΜΟΥΝΙΣΤΙΚΟΥ ΚΟΜΜΑΤΟΣ ΒΟΥΛΓΑΡΙΑΣ</v>
      </c>
      <c r="D739" s="10">
        <f ca="1">IFERROR(__xludf.DUMMYFUNCTION("""COMPUTED_VALUE"""),2010)</f>
        <v>2010</v>
      </c>
      <c r="E739" s="10" t="str">
        <f ca="1">IFERROR(__xludf.DUMMYFUNCTION("""COMPUTED_VALUE"""),"Athen: Uvoli, 2010, p. 356, ISBN 978-960-9428-19-4")</f>
        <v>Athen: Uvoli, 2010, p. 356, ISBN 978-960-9428-19-4</v>
      </c>
      <c r="F739" s="10"/>
      <c r="G739" s="10" t="str">
        <f ca="1">IFERROR(__xludf.DUMMYFUNCTION("""COMPUTED_VALUE"""),"Georgios Leondiadis")</f>
        <v>Georgios Leondiadis</v>
      </c>
      <c r="H739" s="10"/>
      <c r="I739" s="10"/>
      <c r="J739" s="10"/>
      <c r="K739" s="10"/>
      <c r="L739" s="10"/>
      <c r="M739" s="10"/>
      <c r="N739" s="10"/>
      <c r="O739" s="10"/>
      <c r="P739" s="10"/>
      <c r="Q739" s="10"/>
      <c r="R739" s="10"/>
      <c r="S739" s="10"/>
      <c r="T739" s="10"/>
      <c r="U739" s="10"/>
      <c r="V739" s="10"/>
      <c r="W739" s="10"/>
      <c r="X739" s="10"/>
      <c r="Y739" s="10"/>
      <c r="Z739" s="10"/>
    </row>
    <row r="740" spans="1:26" ht="12.75">
      <c r="A740" s="10" t="str">
        <f ca="1">IFERROR(__xludf.DUMMYFUNCTION("""COMPUTED_VALUE"""),"Боряна Евлогиева Бужашка - Данчева")</f>
        <v>Боряна Евлогиева Бужашка - Данчева</v>
      </c>
      <c r="B740" s="10" t="str">
        <f ca="1">IFERROR(__xludf.DUMMYFUNCTION("""COMPUTED_VALUE"""),"Статия в списания и поредици")</f>
        <v>Статия в списания и поредици</v>
      </c>
      <c r="C740" s="10" t="str">
        <f ca="1">IFERROR(__xludf.DUMMYFUNCTION("""COMPUTED_VALUE"""),"Мястото на документите на ДС е в Държавния архив")</f>
        <v>Мястото на документите на ДС е в Държавния архив</v>
      </c>
      <c r="D740" s="10">
        <f ca="1">IFERROR(__xludf.DUMMYFUNCTION("""COMPUTED_VALUE"""),2006)</f>
        <v>2006</v>
      </c>
      <c r="E740" s="10" t="str">
        <f ca="1">IFERROR(__xludf.DUMMYFUNCTION("""COMPUTED_VALUE"""),"Мястото на документите на ДС е в Държавния архив : [Интервю с] Боряна Бужашка, предс. на Глав. управл. на арх. при МС / Христо Христов В: Дневник. - ISSN 1311-7661. - VI, 134 (12 юли 2006), с. 9.")</f>
        <v>Мястото на документите на ДС е в Държавния архив : [Интервю с] Боряна Бужашка, предс. на Глав. управл. на арх. при МС / Христо Христов В: Дневник. - ISSN 1311-7661. - VI, 134 (12 юли 2006), с. 9.</v>
      </c>
      <c r="F740" s="10"/>
      <c r="G740" s="10"/>
      <c r="H740" s="10"/>
      <c r="I740" s="10"/>
      <c r="J740" s="10"/>
      <c r="K740" s="10"/>
      <c r="L740" s="10"/>
      <c r="M740" s="10"/>
      <c r="N740" s="10"/>
      <c r="O740" s="10"/>
      <c r="P740" s="10"/>
      <c r="Q740" s="10"/>
      <c r="R740" s="10"/>
      <c r="S740" s="10"/>
      <c r="T740" s="10"/>
      <c r="U740" s="10"/>
      <c r="V740" s="10"/>
      <c r="W740" s="10"/>
      <c r="X740" s="10"/>
      <c r="Y740" s="10"/>
      <c r="Z740" s="10"/>
    </row>
    <row r="741" spans="1:26" ht="12.75">
      <c r="A741" s="10" t="str">
        <f ca="1">IFERROR(__xludf.DUMMYFUNCTION("""COMPUTED_VALUE"""),"Боряна Евлогиева Бужашка - Данчева")</f>
        <v>Боряна Евлогиева Бужашка - Данчева</v>
      </c>
      <c r="B741" s="10" t="str">
        <f ca="1">IFERROR(__xludf.DUMMYFUNCTION("""COMPUTED_VALUE"""),"Книга")</f>
        <v>Книга</v>
      </c>
      <c r="C741" s="10" t="str">
        <f ca="1">IFERROR(__xludf.DUMMYFUNCTION("""COMPUTED_VALUE"""),"БЪЛГАРИЯ и Близкоизточният конфликт през годините на студената война")</f>
        <v>БЪЛГАРИЯ и Близкоизточният конфликт през годините на студената война</v>
      </c>
      <c r="D741" s="10">
        <f ca="1">IFERROR(__xludf.DUMMYFUNCTION("""COMPUTED_VALUE"""),2006)</f>
        <v>2006</v>
      </c>
      <c r="E741" s="10" t="str">
        <f ca="1">IFERROR(__xludf.DUMMYFUNCTION("""COMPUTED_VALUE"""),"София : ИК Б М, 2006 , [CD-ROM] ISBN 954-8356-41-X (В кутия 13x15 см) ISBN 978-954-8563-41-3")</f>
        <v>София : ИК Б М, 2006 , [CD-ROM] ISBN 954-8356-41-X (В кутия 13x15 см) ISBN 978-954-8563-41-3</v>
      </c>
      <c r="F741" s="10"/>
      <c r="G741" s="10" t="str">
        <f ca="1">IFERROR(__xludf.DUMMYFUNCTION("""COMPUTED_VALUE"""),"К. Грозев, Хр. Мирчева, Б. Янева")</f>
        <v>К. Грозев, Хр. Мирчева, Б. Янева</v>
      </c>
      <c r="H741" s="10"/>
      <c r="I741" s="10"/>
      <c r="J741" s="10"/>
      <c r="K741" s="10"/>
      <c r="L741" s="10"/>
      <c r="M741" s="10"/>
      <c r="N741" s="10"/>
      <c r="O741" s="10"/>
      <c r="P741" s="10"/>
      <c r="Q741" s="10"/>
      <c r="R741" s="10"/>
      <c r="S741" s="10"/>
      <c r="T741" s="10"/>
      <c r="U741" s="10"/>
      <c r="V741" s="10"/>
      <c r="W741" s="10"/>
      <c r="X741" s="10"/>
      <c r="Y741" s="10"/>
      <c r="Z741" s="10"/>
    </row>
    <row r="742" spans="1:26" ht="12.75">
      <c r="A742" s="10" t="str">
        <f ca="1">IFERROR(__xludf.DUMMYFUNCTION("""COMPUTED_VALUE"""),"Боряна Евлогиева Бужашка - Данчева")</f>
        <v>Боряна Евлогиева Бужашка - Данчева</v>
      </c>
      <c r="B742" s="10" t="str">
        <f ca="1">IFERROR(__xludf.DUMMYFUNCTION("""COMPUTED_VALUE"""),"Статия в списания и поредици")</f>
        <v>Статия в списания и поредици</v>
      </c>
      <c r="C742" s="10" t="str">
        <f ca="1">IFERROR(__xludf.DUMMYFUNCTION("""COMPUTED_VALUE"""),"Познатият и непознатият Тодор Бурмов")</f>
        <v>Познатият и непознатият Тодор Бурмов</v>
      </c>
      <c r="D742" s="10">
        <f ca="1">IFERROR(__xludf.DUMMYFUNCTION("""COMPUTED_VALUE"""),2006)</f>
        <v>2006</v>
      </c>
      <c r="E742" s="10" t="str">
        <f ca="1">IFERROR(__xludf.DUMMYFUNCTION("""COMPUTED_VALUE"""),"СТРОИТЕЛИТЕ на съвременна България и Габрово : Сборник доклади и съобщения от научна конференция, посветена на 170 годишнината от рождението на Тодор Бурмов и 125 годишнината от съставянето на първото българско правителство, проведена на 25 юни 2004 г. / "&amp;"Състав. Добромир Търновски, Красимир Григоров ; Ред., [предг.] Цоньо Петров. - Габрово : Екс-прес, 2006. - 112 с. ; 21 см Пълното име на ред. е Цоньо Петров Цонев. - Изд. на Сдружение Енциклопедия Габрово, Ист. д-во Д-р Петър Цончев. - Офс. изд. Съдържа м"&amp;"атериали за: Т. Бурмов, Ст. Стамболов, Д. Моллов, Климент Търновски, Р. Каролев, Атанас х. Славчев и материали от: Б. Бужашка, П. Петков, Ц. Петров, И. Постомпиров, С. Байкушева, К. Митев, И. Инджова, А. Илиев, Т. Тонков, Т. Недева, Ц. Колева, И. Цветков,"&amp;" Е. Инджов, Ю. Денчева, Н. Цонева, В. Лазарова, П. Тоцев ISBN 954-9442-50-0 : Без сведение за цена ISBN 978-954-9442-50-2")</f>
        <v>СТРОИТЕЛИТЕ на съвременна България и Габрово : Сборник доклади и съобщения от научна конференция, посветена на 170 годишнината от рождението на Тодор Бурмов и 125 годишнината от съставянето на първото българско правителство, проведена на 25 юни 2004 г. / Състав. Добромир Търновски, Красимир Григоров ; Ред., [предг.] Цоньо Петров. - Габрово : Екс-прес, 2006. - 112 с. ; 21 см Пълното име на ред. е Цоньо Петров Цонев. - Изд. на Сдружение Енциклопедия Габрово, Ист. д-во Д-р Петър Цончев. - Офс. изд. Съдържа материали за: Т. Бурмов, Ст. Стамболов, Д. Моллов, Климент Търновски, Р. Каролев, Атанас х. Славчев и материали от: Б. Бужашка, П. Петков, Ц. Петров, И. Постомпиров, С. Байкушева, К. Митев, И. Инджова, А. Илиев, Т. Тонков, Т. Недева, Ц. Колева, И. Цветков, Е. Инджов, Ю. Денчева, Н. Цонева, В. Лазарова, П. Тоцев ISBN 954-9442-50-0 : Без сведение за цена ISBN 978-954-9442-50-2</v>
      </c>
      <c r="F742" s="10"/>
      <c r="G742" s="10"/>
      <c r="H742" s="10"/>
      <c r="I742" s="10"/>
      <c r="J742" s="10"/>
      <c r="K742" s="10"/>
      <c r="L742" s="10"/>
      <c r="M742" s="10"/>
      <c r="N742" s="10"/>
      <c r="O742" s="10"/>
      <c r="P742" s="10"/>
      <c r="Q742" s="10"/>
      <c r="R742" s="10"/>
      <c r="S742" s="10"/>
      <c r="T742" s="10"/>
      <c r="U742" s="10"/>
      <c r="V742" s="10"/>
      <c r="W742" s="10"/>
      <c r="X742" s="10"/>
      <c r="Y742" s="10"/>
      <c r="Z742" s="10"/>
    </row>
    <row r="743" spans="1:26" ht="12.75">
      <c r="A743" s="10" t="str">
        <f ca="1">IFERROR(__xludf.DUMMYFUNCTION("""COMPUTED_VALUE"""),"Боряна Евлогиева Бужашка - Данчева")</f>
        <v>Боряна Евлогиева Бужашка - Данчева</v>
      </c>
      <c r="B743" s="10" t="str">
        <f ca="1">IFERROR(__xludf.DUMMYFUNCTION("""COMPUTED_VALUE"""),"Статия в списания и поредици")</f>
        <v>Статия в списания и поредици</v>
      </c>
      <c r="C743" s="10" t="str">
        <f ca="1">IFERROR(__xludf.DUMMYFUNCTION("""COMPUTED_VALUE"""),"Някой проблеми на образованието сред малцинствените общности.")</f>
        <v>Някой проблеми на образованието сред малцинствените общности.</v>
      </c>
      <c r="D743" s="10">
        <f ca="1">IFERROR(__xludf.DUMMYFUNCTION("""COMPUTED_VALUE"""),2005)</f>
        <v>2005</v>
      </c>
      <c r="E743" s="10" t="str">
        <f ca="1">IFERROR(__xludf.DUMMYFUNCTION("""COMPUTED_VALUE"""),"ЕТНИЧЕСКОТО многообразие и обединяваща се Европа / Състав. Максим Мизов ; Ред. Таня Турлакова. - София : Център за ист. и политол. изследвания, 2005 ([София] : Графимакс ООД). - 320 с. : с табл. ; 21 см ISBN 954-90816-6-4")</f>
        <v>ЕТНИЧЕСКОТО многообразие и обединяваща се Европа / Състав. Максим Мизов ; Ред. Таня Турлакова. - София : Център за ист. и политол. изследвания, 2005 ([София] : Графимакс ООД). - 320 с. : с табл. ; 21 см ISBN 954-90816-6-4</v>
      </c>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c r="A744" s="10" t="str">
        <f ca="1">IFERROR(__xludf.DUMMYFUNCTION("""COMPUTED_VALUE"""),"Боряна Евлогиева Бужашка - Данчева")</f>
        <v>Боряна Евлогиева Бужашка - Данчева</v>
      </c>
      <c r="B744" s="10" t="str">
        <f ca="1">IFERROR(__xludf.DUMMYFUNCTION("""COMPUTED_VALUE"""),"Статия в списания и поредици")</f>
        <v>Статия в списания и поредици</v>
      </c>
      <c r="C744" s="10" t="str">
        <f ca="1">IFERROR(__xludf.DUMMYFUNCTION("""COMPUTED_VALUE"""),"Езикът като етнообразуваш и етнодиференциращ фактор.")</f>
        <v>Езикът като етнообразуваш и етнодиференциращ фактор.</v>
      </c>
      <c r="D744" s="10">
        <f ca="1">IFERROR(__xludf.DUMMYFUNCTION("""COMPUTED_VALUE"""),2001)</f>
        <v>2001</v>
      </c>
      <c r="E744" s="10" t="str">
        <f ca="1">IFERROR(__xludf.DUMMYFUNCTION("""COMPUTED_VALUE"""),"В;ИСТОРИКЪТ - гражданин и учен : Сб. в чест на акад. Илчо Димитров / Антоний Тодоров и др. ; Състав. Никола Аврейски, Тодор Попнеделев. - София : Унив. изд. Св. Климент Охридски, 2001. – 444-454 с. ISBN 954-07-1575-X :")</f>
        <v>В;ИСТОРИКЪТ - гражданин и учен : Сб. в чест на акад. Илчо Димитров / Антоний Тодоров и др. ; Състав. Никола Аврейски, Тодор Попнеделев. - София : Унив. изд. Св. Климент Охридски, 2001. – 444-454 с. ISBN 954-07-1575-X :</v>
      </c>
      <c r="F744" s="10"/>
      <c r="G744" s="10"/>
      <c r="H744" s="10"/>
      <c r="I744" s="10"/>
      <c r="J744" s="10"/>
      <c r="K744" s="10"/>
      <c r="L744" s="10"/>
      <c r="M744" s="10"/>
      <c r="N744" s="10"/>
      <c r="O744" s="10"/>
      <c r="P744" s="10"/>
      <c r="Q744" s="10"/>
      <c r="R744" s="10"/>
      <c r="S744" s="10"/>
      <c r="T744" s="10"/>
      <c r="U744" s="10"/>
      <c r="V744" s="10"/>
      <c r="W744" s="10"/>
      <c r="X744" s="10"/>
      <c r="Y744" s="10"/>
      <c r="Z744" s="10"/>
    </row>
    <row r="745" spans="1:26" ht="12.75">
      <c r="A745" s="10" t="str">
        <f ca="1">IFERROR(__xludf.DUMMYFUNCTION("""COMPUTED_VALUE"""),"Боряна Евлогиева Бужашка - Данчева")</f>
        <v>Боряна Евлогиева Бужашка - Данчева</v>
      </c>
      <c r="B745" s="10" t="str">
        <f ca="1">IFERROR(__xludf.DUMMYFUNCTION("""COMPUTED_VALUE"""),"Статия в списания и поредици")</f>
        <v>Статия в списания и поредици</v>
      </c>
      <c r="C745" s="10" t="str">
        <f ca="1">IFERROR(__xludf.DUMMYFUNCTION("""COMPUTED_VALUE"""),"БРСДП/о/ и македонския въпрос")</f>
        <v>БРСДП/о/ и македонския въпрос</v>
      </c>
      <c r="D745" s="10">
        <f ca="1">IFERROR(__xludf.DUMMYFUNCTION("""COMPUTED_VALUE"""),1993)</f>
        <v>1993</v>
      </c>
      <c r="E745" s="10" t="str">
        <f ca="1">IFERROR(__xludf.DUMMYFUNCTION("""COMPUTED_VALUE"""),"Изследвания по македонския въпрос /1914-1947/. – София: Македонски научен институт, 1993, с. 143-158 ISBN 954-8187-02-7 (кн. 1)")</f>
        <v>Изследвания по македонския въпрос /1914-1947/. – София: Македонски научен институт, 1993, с. 143-158 ISBN 954-8187-02-7 (кн. 1)</v>
      </c>
      <c r="F745" s="10"/>
      <c r="G745" s="10"/>
      <c r="H745" s="10"/>
      <c r="I745" s="10"/>
      <c r="J745" s="10"/>
      <c r="K745" s="10"/>
      <c r="L745" s="10"/>
      <c r="M745" s="10"/>
      <c r="N745" s="10"/>
      <c r="O745" s="10"/>
      <c r="P745" s="10"/>
      <c r="Q745" s="10"/>
      <c r="R745" s="10"/>
      <c r="S745" s="10"/>
      <c r="T745" s="10"/>
      <c r="U745" s="10"/>
      <c r="V745" s="10"/>
      <c r="W745" s="10"/>
      <c r="X745" s="10"/>
      <c r="Y745" s="10"/>
      <c r="Z745" s="10"/>
    </row>
    <row r="746" spans="1:26" ht="12.75">
      <c r="A746" s="10" t="str">
        <f ca="1">IFERROR(__xludf.DUMMYFUNCTION("""COMPUTED_VALUE"""),"Боряна Евлогиева Бужашка - Данчева")</f>
        <v>Боряна Евлогиева Бужашка - Данчева</v>
      </c>
      <c r="B746" s="10" t="str">
        <f ca="1">IFERROR(__xludf.DUMMYFUNCTION("""COMPUTED_VALUE"""),"Статия в списания и поредици")</f>
        <v>Статия в списания и поредици</v>
      </c>
      <c r="C746" s="10" t="str">
        <f ca="1">IFERROR(__xludf.DUMMYFUNCTION("""COMPUTED_VALUE"""),"Националният въпрос в публицистиката на Янко Сакъзов")</f>
        <v>Националният въпрос в публицистиката на Янко Сакъзов</v>
      </c>
      <c r="D746" s="10">
        <f ca="1">IFERROR(__xludf.DUMMYFUNCTION("""COMPUTED_VALUE"""),1992)</f>
        <v>1992</v>
      </c>
      <c r="E746" s="10" t="str">
        <f ca="1">IFERROR(__xludf.DUMMYFUNCTION("""COMPUTED_VALUE"""),"Националният въпрос в публицистиката на Янко Сакъзов / Боряна Бужашка В: Български журналист. - ISSN 0323-956X. - ХХХIV, 8 (1992), с. 48-49.")</f>
        <v>Националният въпрос в публицистиката на Янко Сакъзов / Боряна Бужашка В: Български журналист. - ISSN 0323-956X. - ХХХIV, 8 (1992), с. 48-49.</v>
      </c>
      <c r="F746" s="10"/>
      <c r="G746" s="10"/>
      <c r="H746" s="10"/>
      <c r="I746" s="10"/>
      <c r="J746" s="10"/>
      <c r="K746" s="10"/>
      <c r="L746" s="10"/>
      <c r="M746" s="10"/>
      <c r="N746" s="10"/>
      <c r="O746" s="10"/>
      <c r="P746" s="10"/>
      <c r="Q746" s="10"/>
      <c r="R746" s="10"/>
      <c r="S746" s="10"/>
      <c r="T746" s="10"/>
      <c r="U746" s="10"/>
      <c r="V746" s="10"/>
      <c r="W746" s="10"/>
      <c r="X746" s="10"/>
      <c r="Y746" s="10"/>
      <c r="Z746" s="10"/>
    </row>
    <row r="747" spans="1:26" ht="12.75">
      <c r="A747" s="10" t="str">
        <f ca="1">IFERROR(__xludf.DUMMYFUNCTION("""COMPUTED_VALUE"""),"Боряна Евлогиева Бужашка - Данчева")</f>
        <v>Боряна Евлогиева Бужашка - Данчева</v>
      </c>
      <c r="B747" s="10" t="str">
        <f ca="1">IFERROR(__xludf.DUMMYFUNCTION("""COMPUTED_VALUE"""),"Статия в списания и поредици")</f>
        <v>Статия в списания и поредици</v>
      </c>
      <c r="C747" s="10" t="str">
        <f ca="1">IFERROR(__xludf.DUMMYFUNCTION("""COMPUTED_VALUE"""),"Българската социалдемокрация за националното обединение на българския народ по време на Първата световна война")</f>
        <v>Българската социалдемокрация за националното обединение на българския народ по време на Първата световна война</v>
      </c>
      <c r="D747" s="10">
        <f ca="1">IFERROR(__xludf.DUMMYFUNCTION("""COMPUTED_VALUE"""),1991)</f>
        <v>1991</v>
      </c>
      <c r="E747" s="10" t="str">
        <f ca="1">IFERROR(__xludf.DUMMYFUNCTION("""COMPUTED_VALUE"""),"Българската социалдемокрация за националното обединение на българския народ по време на Първата световна война / Боряна Бужашка В: Проблеми на социалната история. - ISSN 0861-5942. - 1 (1991), с. 147-172")</f>
        <v>Българската социалдемокрация за националното обединение на българския народ по време на Първата световна война / Боряна Бужашка В: Проблеми на социалната история. - ISSN 0861-5942. - 1 (1991), с. 147-172</v>
      </c>
      <c r="F747" s="10"/>
      <c r="G747" s="10"/>
      <c r="H747" s="10"/>
      <c r="I747" s="10"/>
      <c r="J747" s="10"/>
      <c r="K747" s="10"/>
      <c r="L747" s="10"/>
      <c r="M747" s="10"/>
      <c r="N747" s="10"/>
      <c r="O747" s="10"/>
      <c r="P747" s="10"/>
      <c r="Q747" s="10"/>
      <c r="R747" s="10"/>
      <c r="S747" s="10"/>
      <c r="T747" s="10"/>
      <c r="U747" s="10"/>
      <c r="V747" s="10"/>
      <c r="W747" s="10"/>
      <c r="X747" s="10"/>
      <c r="Y747" s="10"/>
      <c r="Z747" s="10"/>
    </row>
    <row r="748" spans="1:26" ht="12.75">
      <c r="A748" s="10" t="str">
        <f ca="1">IFERROR(__xludf.DUMMYFUNCTION("""COMPUTED_VALUE"""),"Боряна Евлогиева Бужашка - Данчева")</f>
        <v>Боряна Евлогиева Бужашка - Данчева</v>
      </c>
      <c r="B748" s="10" t="str">
        <f ca="1">IFERROR(__xludf.DUMMYFUNCTION("""COMPUTED_VALUE"""),"Статия в списания и поредици")</f>
        <v>Статия в списания и поредици</v>
      </c>
      <c r="C748" s="10" t="str">
        <f ca="1">IFERROR(__xludf.DUMMYFUNCTION("""COMPUTED_VALUE"""),"Широките социалисти и националното обединение на българския народ. Срещи в Берлин и Стокхолм.1917 г.")</f>
        <v>Широките социалисти и националното обединение на българския народ. Срещи в Берлин и Стокхолм.1917 г.</v>
      </c>
      <c r="D748" s="10">
        <f ca="1">IFERROR(__xludf.DUMMYFUNCTION("""COMPUTED_VALUE"""),1990)</f>
        <v>1990</v>
      </c>
      <c r="E748" s="10" t="str">
        <f ca="1">IFERROR(__xludf.DUMMYFUNCTION("""COMPUTED_VALUE"""),"Векове, кн.3, 1990, с. 5-18. ISSN – 0324-0967")</f>
        <v>Векове, кн.3, 1990, с. 5-18. ISSN – 0324-0967</v>
      </c>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c r="A749" s="10" t="str">
        <f ca="1">IFERROR(__xludf.DUMMYFUNCTION("""COMPUTED_VALUE"""),"Боряна Евлогиева Бужашка - Данчева")</f>
        <v>Боряна Евлогиева Бужашка - Данчева</v>
      </c>
      <c r="B749" s="10" t="str">
        <f ca="1">IFERROR(__xludf.DUMMYFUNCTION("""COMPUTED_VALUE"""),"Статия в списания и поредици")</f>
        <v>Статия в списания и поредици</v>
      </c>
      <c r="C749" s="10" t="str">
        <f ca="1">IFERROR(__xludf.DUMMYFUNCTION("""COMPUTED_VALUE"""),"Георги Димитров и проблемът за единния фронт в добруджанското национално-революционно движение (1923-1934 г.).")</f>
        <v>Георги Димитров и проблемът за единния фронт в добруджанското национално-революционно движение (1923-1934 г.).</v>
      </c>
      <c r="D749" s="10">
        <f ca="1">IFERROR(__xludf.DUMMYFUNCTION("""COMPUTED_VALUE"""),1988)</f>
        <v>1988</v>
      </c>
      <c r="E749" s="10" t="str">
        <f ca="1">IFERROR(__xludf.DUMMYFUNCTION("""COMPUTED_VALUE"""),"В: сб. Добруджа, т.5, Варна, 1988, 36-50; книгоиздателство „ Георги Бакалов“, ДП „ Стоян Добрев- Странджата“, пар.№ 443, ЕКП – 5131422411 ; 0630-47-88 , Изд. № 2180 ; ISSN 0205-2210")</f>
        <v>В: сб. Добруджа, т.5, Варна, 1988, 36-50; книгоиздателство „ Георги Бакалов“, ДП „ Стоян Добрев- Странджата“, пар.№ 443, ЕКП – 5131422411 ; 0630-47-88 , Изд. № 2180 ; ISSN 0205-2210</v>
      </c>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c r="A750" s="10" t="str">
        <f ca="1">IFERROR(__xludf.DUMMYFUNCTION("""COMPUTED_VALUE"""),"Боряна Евлогиева Бужашка - Данчева")</f>
        <v>Боряна Евлогиева Бужашка - Данчева</v>
      </c>
      <c r="B750" s="10" t="str">
        <f ca="1">IFERROR(__xludf.DUMMYFUNCTION("""COMPUTED_VALUE"""),"Статия в списания и поредици")</f>
        <v>Статия в списания и поредици</v>
      </c>
      <c r="C750" s="10" t="str">
        <f ca="1">IFERROR(__xludf.DUMMYFUNCTION("""COMPUTED_VALUE"""),"Георги Димитров и политическата борба във връзка с Ньойския договор ( 1919 -1923).")</f>
        <v>Георги Димитров и политическата борба във връзка с Ньойския договор ( 1919 -1923).</v>
      </c>
      <c r="D750" s="10">
        <f ca="1">IFERROR(__xludf.DUMMYFUNCTION("""COMPUTED_VALUE"""),1982)</f>
        <v>1982</v>
      </c>
      <c r="E750" s="10" t="str">
        <f ca="1">IFERROR(__xludf.DUMMYFUNCTION("""COMPUTED_VALUE"""),"Векове, 1982, № 3, с.31-45 , ISSN – 0324-0967")</f>
        <v>Векове, 1982, № 3, с.31-45 , ISSN – 0324-0967</v>
      </c>
      <c r="F750" s="10"/>
      <c r="G750" s="10"/>
      <c r="H750" s="10"/>
      <c r="I750" s="10"/>
      <c r="J750" s="10"/>
      <c r="K750" s="10"/>
      <c r="L750" s="10"/>
      <c r="M750" s="10"/>
      <c r="N750" s="10"/>
      <c r="O750" s="10"/>
      <c r="P750" s="10"/>
      <c r="Q750" s="10"/>
      <c r="R750" s="10"/>
      <c r="S750" s="10"/>
      <c r="T750" s="10"/>
      <c r="U750" s="10"/>
      <c r="V750" s="10"/>
      <c r="W750" s="10"/>
      <c r="X750" s="10"/>
      <c r="Y750" s="10"/>
      <c r="Z750" s="10"/>
    </row>
    <row r="751" spans="1:26" ht="12.75">
      <c r="A751" s="10" t="str">
        <f ca="1">IFERROR(__xludf.DUMMYFUNCTION("""COMPUTED_VALUE"""),"Боян Аспарухов Аспарухов")</f>
        <v>Боян Аспарухов Аспарухов</v>
      </c>
      <c r="B751" s="10" t="str">
        <f ca="1">IFERROR(__xludf.DUMMYFUNCTION("""COMPUTED_VALUE"""),"Статия в списания и поредици")</f>
        <v>Статия в списания и поредици</v>
      </c>
      <c r="C751" s="10" t="str">
        <f ca="1">IFERROR(__xludf.DUMMYFUNCTION("""COMPUTED_VALUE"""),"“Конспирацията на Левски”")</f>
        <v>“Конспирацията на Левски”</v>
      </c>
      <c r="D751" s="10">
        <f ca="1">IFERROR(__xludf.DUMMYFUNCTION("""COMPUTED_VALUE"""),2018)</f>
        <v>2018</v>
      </c>
      <c r="E751" s="10" t="str">
        <f ca="1">IFERROR(__xludf.DUMMYFUNCTION("""COMPUTED_VALUE"""),"сб. “Културни коридори – юбилей и памет”, 2018г")</f>
        <v>сб. “Културни коридори – юбилей и памет”, 2018г</v>
      </c>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c r="A752" s="10" t="str">
        <f ca="1">IFERROR(__xludf.DUMMYFUNCTION("""COMPUTED_VALUE"""),"Боян Аспарухов Аспарухов")</f>
        <v>Боян Аспарухов Аспарухов</v>
      </c>
      <c r="B752" s="10" t="str">
        <f ca="1">IFERROR(__xludf.DUMMYFUNCTION("""COMPUTED_VALUE"""),"Доклад от конференция")</f>
        <v>Доклад от конференция</v>
      </c>
      <c r="C752" s="10" t="str">
        <f ca="1">IFERROR(__xludf.DUMMYFUNCTION("""COMPUTED_VALUE"""),"The documentary legacy of the correspondents from the Russo - turkish war of liberation 1877-1878 - part of cultural heritage in the European southeast")</f>
        <v>The documentary legacy of the correspondents from the Russo - turkish war of liberation 1877-1878 - part of cultural heritage in the European southeast</v>
      </c>
      <c r="D752" s="10">
        <f ca="1">IFERROR(__xludf.DUMMYFUNCTION("""COMPUTED_VALUE"""),2018)</f>
        <v>2018</v>
      </c>
      <c r="E752" s="10" t="str">
        <f ca="1">IFERROR(__xludf.DUMMYFUNCTION("""COMPUTED_VALUE"""),"Contemporary Strategies and Innovations in the Knowledge Management: Collection with Papers of the Fourth Scientific Conference, 27-th November 2018, European Parliament in Brussels. - Academic Publishing House “Za bukvite – O Pismenech”, № 4, 2018, pp. 1"&amp;"03-106. ISSN 2535-0250")</f>
        <v>Contemporary Strategies and Innovations in the Knowledge Management: Collection with Papers of the Fourth Scientific Conference, 27-th November 2018, European Parliament in Brussels. - Academic Publishing House “Za bukvite – O Pismenech”, № 4, 2018, pp. 103-106. ISSN 2535-0250</v>
      </c>
      <c r="F752" s="10"/>
      <c r="G752" s="10"/>
      <c r="H752" s="10"/>
      <c r="I752" s="10"/>
      <c r="J752" s="10"/>
      <c r="K752" s="10"/>
      <c r="L752" s="10"/>
      <c r="M752" s="10"/>
      <c r="N752" s="10"/>
      <c r="O752" s="10"/>
      <c r="P752" s="10"/>
      <c r="Q752" s="10"/>
      <c r="R752" s="10"/>
      <c r="S752" s="10"/>
      <c r="T752" s="10"/>
      <c r="U752" s="10"/>
      <c r="V752" s="10"/>
      <c r="W752" s="10"/>
      <c r="X752" s="10"/>
      <c r="Y752" s="10"/>
      <c r="Z752" s="10"/>
    </row>
    <row r="753" spans="1:26" ht="12.75">
      <c r="A753" s="10" t="str">
        <f ca="1">IFERROR(__xludf.DUMMYFUNCTION("""COMPUTED_VALUE"""),"Боян Аспарухов Аспарухов")</f>
        <v>Боян Аспарухов Аспарухов</v>
      </c>
      <c r="B753" s="10" t="str">
        <f ca="1">IFERROR(__xludf.DUMMYFUNCTION("""COMPUTED_VALUE"""),"Статия в списания и поредици")</f>
        <v>Статия в списания и поредици</v>
      </c>
      <c r="C753" s="10" t="str">
        <f ca="1">IFERROR(__xludf.DUMMYFUNCTION("""COMPUTED_VALUE"""),"“Златната металургия – цивилизационният принос на българите”")</f>
        <v>“Златната металургия – цивилизационният принос на българите”</v>
      </c>
      <c r="D753" s="10">
        <f ca="1">IFERROR(__xludf.DUMMYFUNCTION("""COMPUTED_VALUE"""),2017)</f>
        <v>2017</v>
      </c>
      <c r="E753" s="10" t="str">
        <f ca="1">IFERROR(__xludf.DUMMYFUNCTION("""COMPUTED_VALUE"""),"Публикувана в онлайн изданието “Квантов преход” на 01.06.2017г. Прочетена на 22 април 2017г в рамките на международния форум “Българският дух в Европа през вековете”.")</f>
        <v>Публикувана в онлайн изданието “Квантов преход” на 01.06.2017г. Прочетена на 22 април 2017г в рамките на международния форум “Българският дух в Европа през вековете”.</v>
      </c>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c r="A754" s="10" t="str">
        <f ca="1">IFERROR(__xludf.DUMMYFUNCTION("""COMPUTED_VALUE"""),"Боян Аспарухов Аспарухов")</f>
        <v>Боян Аспарухов Аспарухов</v>
      </c>
      <c r="B754" s="10" t="str">
        <f ca="1">IFERROR(__xludf.DUMMYFUNCTION("""COMPUTED_VALUE"""),"Статия в списания и поредици")</f>
        <v>Статия в списания и поредици</v>
      </c>
      <c r="C754" s="10" t="str">
        <f ca="1">IFERROR(__xludf.DUMMYFUNCTION("""COMPUTED_VALUE"""),"Завод “Берое” - технологичен връх в индустриалното културно наследство на гр. Стара Загора")</f>
        <v>Завод “Берое” - технологичен връх в индустриалното културно наследство на гр. Стара Загора</v>
      </c>
      <c r="D754" s="10">
        <f ca="1">IFERROR(__xludf.DUMMYFUNCTION("""COMPUTED_VALUE"""),2016)</f>
        <v>2016</v>
      </c>
      <c r="E754" s="10" t="str">
        <f ca="1">IFERROR(__xludf.DUMMYFUNCTION("""COMPUTED_VALUE"""),"сборника с доклади от научна конференция на тема : “Историческото наследство на Стара Загора, Тракия и Балканите”, проведена 22-23 октомври 2016г.")</f>
        <v>сборника с доклади от научна конференция на тема : “Историческото наследство на Стара Загора, Тракия и Балканите”, проведена 22-23 октомври 2016г.</v>
      </c>
      <c r="F754" s="10"/>
      <c r="G754" s="10"/>
      <c r="H754" s="10"/>
      <c r="I754" s="10"/>
      <c r="J754" s="10"/>
      <c r="K754" s="10"/>
      <c r="L754" s="10"/>
      <c r="M754" s="10"/>
      <c r="N754" s="10"/>
      <c r="O754" s="10"/>
      <c r="P754" s="10"/>
      <c r="Q754" s="10"/>
      <c r="R754" s="10"/>
      <c r="S754" s="10"/>
      <c r="T754" s="10"/>
      <c r="U754" s="10"/>
      <c r="V754" s="10"/>
      <c r="W754" s="10"/>
      <c r="X754" s="10"/>
      <c r="Y754" s="10"/>
      <c r="Z754" s="10"/>
    </row>
    <row r="755" spans="1:26" ht="12.75">
      <c r="A755" s="10" t="str">
        <f ca="1">IFERROR(__xludf.DUMMYFUNCTION("""COMPUTED_VALUE"""),"Боян Аспарухов Аспарухов")</f>
        <v>Боян Аспарухов Аспарухов</v>
      </c>
      <c r="B755" s="10" t="str">
        <f ca="1">IFERROR(__xludf.DUMMYFUNCTION("""COMPUTED_VALUE"""),"Доклад от конференция")</f>
        <v>Доклад от конференция</v>
      </c>
      <c r="C755" s="10" t="str">
        <f ca="1">IFERROR(__xludf.DUMMYFUNCTION("""COMPUTED_VALUE"""),"Експониране на социалнозначимата информация – път към социализацията на музеите през XXI в”")</f>
        <v>Експониране на социалнозначимата информация – път към социализацията на музеите през XXI в”</v>
      </c>
      <c r="D755" s="10">
        <f ca="1">IFERROR(__xludf.DUMMYFUNCTION("""COMPUTED_VALUE"""),2016)</f>
        <v>2016</v>
      </c>
      <c r="E755" s="10" t="str">
        <f ca="1">IFERROR(__xludf.DUMMYFUNCTION("""COMPUTED_VALUE"""),"публикувана в сборника с доклади от научната конференция “Социалните функции на музея през XXI век”, посветена на 30 години от създаването на Националния музей “Земята и хората” 6-7 октомври 2016 г.")</f>
        <v>публикувана в сборника с доклади от научната конференция “Социалните функции на музея през XXI век”, посветена на 30 години от създаването на Националния музей “Земята и хората” 6-7 октомври 2016 г.</v>
      </c>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c r="A756" s="10" t="str">
        <f ca="1">IFERROR(__xludf.DUMMYFUNCTION("""COMPUTED_VALUE"""),"Боян Аспарухов Аспарухов")</f>
        <v>Боян Аспарухов Аспарухов</v>
      </c>
      <c r="B756" s="10" t="str">
        <f ca="1">IFERROR(__xludf.DUMMYFUNCTION("""COMPUTED_VALUE"""),"Доклад от конференция")</f>
        <v>Доклад от конференция</v>
      </c>
      <c r="C756" s="10" t="str">
        <f ca="1">IFERROR(__xludf.DUMMYFUNCTION("""COMPUTED_VALUE"""),"Световен отзвук от изложбата Тракийско изкуство и култура през 70-те и 80-те год. на ХХ-ти век")</f>
        <v>Световен отзвук от изложбата Тракийско изкуство и култура през 70-те и 80-те год. на ХХ-ти век</v>
      </c>
      <c r="D756" s="10">
        <f ca="1">IFERROR(__xludf.DUMMYFUNCTION("""COMPUTED_VALUE"""),2016)</f>
        <v>2016</v>
      </c>
      <c r="E756" s="10" t="str">
        <f ca="1">IFERROR(__xludf.DUMMYFUNCTION("""COMPUTED_VALUE"""),"XIII национална конференция с международно участие „Обществото на знанието и хуманизмът на XXI век“, т.13")</f>
        <v>XIII национална конференция с международно участие „Обществото на знанието и хуманизмът на XXI век“, т.13</v>
      </c>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c r="A757" s="10" t="str">
        <f ca="1">IFERROR(__xludf.DUMMYFUNCTION("""COMPUTED_VALUE"""),"Боян Аспарухов Аспарухов")</f>
        <v>Боян Аспарухов Аспарухов</v>
      </c>
      <c r="B757" s="10" t="str">
        <f ca="1">IFERROR(__xludf.DUMMYFUNCTION("""COMPUTED_VALUE"""),"Доклад от конференция")</f>
        <v>Доклад от конференция</v>
      </c>
      <c r="C757" s="10" t="str">
        <f ca="1">IFERROR(__xludf.DUMMYFUNCTION("""COMPUTED_VALUE"""),"“За неудобната Ботева публицистика”")</f>
        <v>“За неудобната Ботева публицистика”</v>
      </c>
      <c r="D757" s="10">
        <f ca="1">IFERROR(__xludf.DUMMYFUNCTION("""COMPUTED_VALUE"""),2016)</f>
        <v>2016</v>
      </c>
      <c r="E757" s="10" t="str">
        <f ca="1">IFERROR(__xludf.DUMMYFUNCTION("""COMPUTED_VALUE"""),"публикувана в списание “Словото днес”/седмично издание на СБП/ на 8.12.2016")</f>
        <v>публикувана в списание “Словото днес”/седмично издание на СБП/ на 8.12.2016</v>
      </c>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c r="A758" s="10" t="str">
        <f ca="1">IFERROR(__xludf.DUMMYFUNCTION("""COMPUTED_VALUE"""),"Боян Аспарухов Аспарухов")</f>
        <v>Боян Аспарухов Аспарухов</v>
      </c>
      <c r="B758" s="10" t="str">
        <f ca="1">IFERROR(__xludf.DUMMYFUNCTION("""COMPUTED_VALUE"""),"Статия в списания и поредици")</f>
        <v>Статия в списания и поредици</v>
      </c>
      <c r="C758" s="10" t="str">
        <f ca="1">IFERROR(__xludf.DUMMYFUNCTION("""COMPUTED_VALUE"""),"Априлското въстание през погледа на международната преса 1876г.")</f>
        <v>Априлското въстание през погледа на международната преса 1876г.</v>
      </c>
      <c r="D758" s="10">
        <f ca="1">IFERROR(__xludf.DUMMYFUNCTION("""COMPUTED_VALUE"""),2015)</f>
        <v>2015</v>
      </c>
      <c r="E758" s="10" t="str">
        <f ca="1">IFERROR(__xludf.DUMMYFUNCTION("""COMPUTED_VALUE"""),"Научни трудове на УниБИТ, т.13, 2015г")</f>
        <v>Научни трудове на УниБИТ, т.13, 2015г</v>
      </c>
      <c r="F758" s="10"/>
      <c r="G758" s="10"/>
      <c r="H758" s="10"/>
      <c r="I758" s="10"/>
      <c r="J758" s="10"/>
      <c r="K758" s="10"/>
      <c r="L758" s="10"/>
      <c r="M758" s="10"/>
      <c r="N758" s="10"/>
      <c r="O758" s="10"/>
      <c r="P758" s="10"/>
      <c r="Q758" s="10"/>
      <c r="R758" s="10"/>
      <c r="S758" s="10"/>
      <c r="T758" s="10"/>
      <c r="U758" s="10"/>
      <c r="V758" s="10"/>
      <c r="W758" s="10"/>
      <c r="X758" s="10"/>
      <c r="Y758" s="10"/>
      <c r="Z758" s="10"/>
    </row>
    <row r="759" spans="1:26" ht="12.75">
      <c r="A759" s="10" t="str">
        <f ca="1">IFERROR(__xludf.DUMMYFUNCTION("""COMPUTED_VALUE"""),"Боян Колев Жеков")</f>
        <v>Боян Колев Жеков</v>
      </c>
      <c r="B759" s="10" t="str">
        <f ca="1">IFERROR(__xludf.DUMMYFUNCTION("""COMPUTED_VALUE"""),"Доклад от конференция")</f>
        <v>Доклад от конференция</v>
      </c>
      <c r="C759" s="10" t="str">
        <f ca="1">IFERROR(__xludf.DUMMYFUNCTION("""COMPUTED_VALUE"""),"Disruptive technologies - Artificial Intelligence and Blockchain in education")</f>
        <v>Disruptive technologies - Artificial Intelligence and Blockchain in education</v>
      </c>
      <c r="D759" s="10">
        <f ca="1">IFERROR(__xludf.DUMMYFUNCTION("""COMPUTED_VALUE"""),2018)</f>
        <v>2018</v>
      </c>
      <c r="E759" s="10" t="str">
        <f ca="1">IFERROR(__xludf.DUMMYFUNCTION("""COMPUTED_VALUE"""),"ICERI 2018, 12-14 October, Seville, Spain")</f>
        <v>ICERI 2018, 12-14 October, Seville, Spain</v>
      </c>
      <c r="F759" s="10" t="str">
        <f ca="1">IFERROR(__xludf.DUMMYFUNCTION("""COMPUTED_VALUE"""),"ISBN: 978-84-09-05948-5
 ISSN: 2340-1095")</f>
        <v>ISBN: 978-84-09-05948-5
 ISSN: 2340-1095</v>
      </c>
      <c r="G759" s="10" t="str">
        <f ca="1">IFERROR(__xludf.DUMMYFUNCTION("""COMPUTED_VALUE"""),"P. Petkova, Y. Parusheva, E. Shoikova")</f>
        <v>P. Petkova, Y. Parusheva, E. Shoikova</v>
      </c>
      <c r="H759" s="10"/>
      <c r="I759" s="10"/>
      <c r="J759" s="10"/>
      <c r="K759" s="10"/>
      <c r="L759" s="10"/>
      <c r="M759" s="10"/>
      <c r="N759" s="10"/>
      <c r="O759" s="10"/>
      <c r="P759" s="10"/>
      <c r="Q759" s="10"/>
      <c r="R759" s="10"/>
      <c r="S759" s="10"/>
      <c r="T759" s="10"/>
      <c r="U759" s="10"/>
      <c r="V759" s="10"/>
      <c r="W759" s="10"/>
      <c r="X759" s="10"/>
      <c r="Y759" s="10"/>
      <c r="Z759" s="10"/>
    </row>
    <row r="760" spans="1:26" ht="12.75">
      <c r="A760" s="10" t="str">
        <f ca="1">IFERROR(__xludf.DUMMYFUNCTION("""COMPUTED_VALUE"""),"Боян Колев Жеков")</f>
        <v>Боян Колев Жеков</v>
      </c>
      <c r="B760" s="10" t="str">
        <f ca="1">IFERROR(__xludf.DUMMYFUNCTION("""COMPUTED_VALUE"""),"Доклад от конференция")</f>
        <v>Доклад от конференция</v>
      </c>
      <c r="C760" s="10" t="str">
        <f ca="1">IFERROR(__xludf.DUMMYFUNCTION("""COMPUTED_VALUE"""),"Blockchain in the Telecom Industry")</f>
        <v>Blockchain in the Telecom Industry</v>
      </c>
      <c r="D760" s="10">
        <f ca="1">IFERROR(__xludf.DUMMYFUNCTION("""COMPUTED_VALUE"""),2018)</f>
        <v>2018</v>
      </c>
      <c r="E760" s="10" t="str">
        <f ca="1">IFERROR(__xludf.DUMMYFUNCTION("""COMPUTED_VALUE"""),"ХХVI conference Telecom 2018, 25-26 October, NSTC, Sofia, Bulgaria")</f>
        <v>ХХVI conference Telecom 2018, 25-26 October, NSTC, Sofia, Bulgaria</v>
      </c>
      <c r="F760" s="10" t="str">
        <f ca="1">IFERROR(__xludf.DUMMYFUNCTION("""COMPUTED_VALUE"""),"ISSN: 1314-2690 pp.110-115")</f>
        <v>ISSN: 1314-2690 pp.110-115</v>
      </c>
      <c r="G760" s="10" t="str">
        <f ca="1">IFERROR(__xludf.DUMMYFUNCTION("""COMPUTED_VALUE"""),"Petya Petkova, Elena Shoikova")</f>
        <v>Petya Petkova, Elena Shoikova</v>
      </c>
      <c r="H760" s="10"/>
      <c r="I760" s="10"/>
      <c r="J760" s="10"/>
      <c r="K760" s="10"/>
      <c r="L760" s="10"/>
      <c r="M760" s="10"/>
      <c r="N760" s="10"/>
      <c r="O760" s="10"/>
      <c r="P760" s="10"/>
      <c r="Q760" s="10"/>
      <c r="R760" s="10"/>
      <c r="S760" s="10"/>
      <c r="T760" s="10"/>
      <c r="U760" s="10"/>
      <c r="V760" s="10"/>
      <c r="W760" s="10"/>
      <c r="X760" s="10"/>
      <c r="Y760" s="10"/>
      <c r="Z760" s="10"/>
    </row>
    <row r="761" spans="1:26" ht="12.75">
      <c r="A761" s="10" t="str">
        <f ca="1">IFERROR(__xludf.DUMMYFUNCTION("""COMPUTED_VALUE"""),"Боян Колев Жеков")</f>
        <v>Боян Колев Жеков</v>
      </c>
      <c r="B761" s="10" t="str">
        <f ca="1">IFERROR(__xludf.DUMMYFUNCTION("""COMPUTED_VALUE"""),"Доклад от конференция")</f>
        <v>Доклад от конференция</v>
      </c>
      <c r="C761" s="10" t="str">
        <f ca="1">IFERROR(__xludf.DUMMYFUNCTION("""COMPUTED_VALUE"""),"Blockchain in e-governance")</f>
        <v>Blockchain in e-governance</v>
      </c>
      <c r="D761" s="10">
        <f ca="1">IFERROR(__xludf.DUMMYFUNCTION("""COMPUTED_VALUE"""),2018)</f>
        <v>2018</v>
      </c>
      <c r="E761" s="10" t="str">
        <f ca="1">IFERROR(__xludf.DUMMYFUNCTION("""COMPUTED_VALUE"""),"X-ТА международна научна конференция „Е-УПРАВЛЕНИЕ И Е-КОМУНИКАЦИИ“ 13-17.06.2018 В СОЗОПОЛ,")</f>
        <v>X-ТА международна научна конференция „Е-УПРАВЛЕНИЕ И Е-КОМУНИКАЦИИ“ 13-17.06.2018 В СОЗОПОЛ,</v>
      </c>
      <c r="F761" s="10" t="str">
        <f ca="1">IFERROR(__xludf.DUMMYFUNCTION("""COMPUTED_VALUE"""),"ISSN 2534-8523 Издателство на ТУ-София")</f>
        <v>ISSN 2534-8523 Издателство на ТУ-София</v>
      </c>
      <c r="G761" s="10" t="str">
        <f ca="1">IFERROR(__xludf.DUMMYFUNCTION("""COMPUTED_VALUE"""),"Petya Petkova,")</f>
        <v>Petya Petkova,</v>
      </c>
      <c r="H761" s="10"/>
      <c r="I761" s="10"/>
      <c r="J761" s="10"/>
      <c r="K761" s="10"/>
      <c r="L761" s="10"/>
      <c r="M761" s="10"/>
      <c r="N761" s="10"/>
      <c r="O761" s="10"/>
      <c r="P761" s="10"/>
      <c r="Q761" s="10"/>
      <c r="R761" s="10"/>
      <c r="S761" s="10"/>
      <c r="T761" s="10"/>
      <c r="U761" s="10"/>
      <c r="V761" s="10"/>
      <c r="W761" s="10"/>
      <c r="X761" s="10"/>
      <c r="Y761" s="10"/>
      <c r="Z761" s="10"/>
    </row>
    <row r="762" spans="1:26" ht="12.75">
      <c r="A762" s="10" t="str">
        <f ca="1">IFERROR(__xludf.DUMMYFUNCTION("""COMPUTED_VALUE"""),"Боян Колев Жеков")</f>
        <v>Боян Колев Жеков</v>
      </c>
      <c r="B762" s="10" t="str">
        <f ca="1">IFERROR(__xludf.DUMMYFUNCTION("""COMPUTED_VALUE"""),"Доклад от конференция")</f>
        <v>Доклад от конференция</v>
      </c>
      <c r="C762" s="10" t="str">
        <f ca="1">IFERROR(__xludf.DUMMYFUNCTION("""COMPUTED_VALUE"""),"Conceptual modeling of DLT and Blockchain for transforming public administration")</f>
        <v>Conceptual modeling of DLT and Blockchain for transforming public administration</v>
      </c>
      <c r="D762" s="10">
        <f ca="1">IFERROR(__xludf.DUMMYFUNCTION("""COMPUTED_VALUE"""),2018)</f>
        <v>2018</v>
      </c>
      <c r="E762" s="10" t="str">
        <f ca="1">IFERROR(__xludf.DUMMYFUNCTION("""COMPUTED_VALUE"""),"ICERI 2018, 12-14 October, Seville, Spain")</f>
        <v>ICERI 2018, 12-14 October, Seville, Spain</v>
      </c>
      <c r="F762" s="10" t="str">
        <f ca="1">IFERROR(__xludf.DUMMYFUNCTION("""COMPUTED_VALUE"""),"ISBN: 978-84-09-05948-5
 ISSN: 2340-1095")</f>
        <v>ISBN: 978-84-09-05948-5
 ISSN: 2340-1095</v>
      </c>
      <c r="G762" s="10" t="str">
        <f ca="1">IFERROR(__xludf.DUMMYFUNCTION("""COMPUTED_VALUE"""),"P. Petkova, E. Shoikova, S. Denchev")</f>
        <v>P. Petkova, E. Shoikova, S. Denchev</v>
      </c>
      <c r="H762" s="10"/>
      <c r="I762" s="10"/>
      <c r="J762" s="10"/>
      <c r="K762" s="10"/>
      <c r="L762" s="10"/>
      <c r="M762" s="10"/>
      <c r="N762" s="10"/>
      <c r="O762" s="10"/>
      <c r="P762" s="10"/>
      <c r="Q762" s="10"/>
      <c r="R762" s="10"/>
      <c r="S762" s="10"/>
      <c r="T762" s="10"/>
      <c r="U762" s="10"/>
      <c r="V762" s="10"/>
      <c r="W762" s="10"/>
      <c r="X762" s="10"/>
      <c r="Y762" s="10"/>
      <c r="Z762" s="10"/>
    </row>
    <row r="763" spans="1:26" ht="12.75">
      <c r="A763" s="10" t="str">
        <f ca="1">IFERROR(__xludf.DUMMYFUNCTION("""COMPUTED_VALUE"""),"Боян Колев Жеков")</f>
        <v>Боян Колев Жеков</v>
      </c>
      <c r="B763" s="10" t="str">
        <f ca="1">IFERROR(__xludf.DUMMYFUNCTION("""COMPUTED_VALUE"""),"Статия в списания и поредици")</f>
        <v>Статия в списания и поредици</v>
      </c>
      <c r="C763" s="10" t="str">
        <f ca="1">IFERROR(__xludf.DUMMYFUNCTION("""COMPUTED_VALUE"""),"Methodology For Assessment Of Open Data")</f>
        <v>Methodology For Assessment Of Open Data</v>
      </c>
      <c r="D763" s="10">
        <f ca="1">IFERROR(__xludf.DUMMYFUNCTION("""COMPUTED_VALUE"""),2017)</f>
        <v>2017</v>
      </c>
      <c r="E763" s="10" t="str">
        <f ca="1">IFERROR(__xludf.DUMMYFUNCTION("""COMPUTED_VALUE"""),"International Journal Of Computers, Volume 2, 2017, pp.28-37 ISSN: 2367-8895")</f>
        <v>International Journal Of Computers, Volume 2, 2017, pp.28-37 ISSN: 2367-8895</v>
      </c>
      <c r="F763" s="10"/>
      <c r="G763" s="10" t="str">
        <f ca="1">IFERROR(__xludf.DUMMYFUNCTION("""COMPUTED_VALUE"""),"Roumen Trifonov, Galya Pavlova, Radoslav Yoshinov")</f>
        <v>Roumen Trifonov, Galya Pavlova, Radoslav Yoshinov</v>
      </c>
      <c r="H763" s="10"/>
      <c r="I763" s="10"/>
      <c r="J763" s="10"/>
      <c r="K763" s="10"/>
      <c r="L763" s="10"/>
      <c r="M763" s="10"/>
      <c r="N763" s="10"/>
      <c r="O763" s="10"/>
      <c r="P763" s="10"/>
      <c r="Q763" s="10"/>
      <c r="R763" s="10"/>
      <c r="S763" s="10"/>
      <c r="T763" s="10"/>
      <c r="U763" s="10"/>
      <c r="V763" s="10"/>
      <c r="W763" s="10"/>
      <c r="X763" s="10"/>
      <c r="Y763" s="10"/>
      <c r="Z763" s="10"/>
    </row>
    <row r="764" spans="1:26" ht="12.75">
      <c r="A764" s="10" t="str">
        <f ca="1">IFERROR(__xludf.DUMMYFUNCTION("""COMPUTED_VALUE"""),"Боян Колев Жеков")</f>
        <v>Боян Колев Жеков</v>
      </c>
      <c r="B764" s="10" t="str">
        <f ca="1">IFERROR(__xludf.DUMMYFUNCTION("""COMPUTED_VALUE"""),"Доклад от конференция")</f>
        <v>Доклад от конференция</v>
      </c>
      <c r="C764" s="10" t="str">
        <f ca="1">IFERROR(__xludf.DUMMYFUNCTION("""COMPUTED_VALUE"""),"”Study on the IoT Ecosystem Business Models and the Segment of Startups”")</f>
        <v>”Study on the IoT Ecosystem Business Models and the Segment of Startups”</v>
      </c>
      <c r="D764" s="10">
        <f ca="1">IFERROR(__xludf.DUMMYFUNCTION("""COMPUTED_VALUE"""),2017)</f>
        <v>2017</v>
      </c>
      <c r="E764" s="10" t="str">
        <f ca="1">IFERROR(__xludf.DUMMYFUNCTION("""COMPUTED_VALUE"""),"ICERI2017 Proceedings 10th annual International Conference of Education, Research and Innovation, Seville, Spain. 16-18 November, 2017. ISBN: 978-84-697-6957-7 / ISSN: 2340-1095, doi: 10.21125/iceri.2017, Publisher: IATED DEP. LEGAL: V-2851-2017 Format: U"&amp;"SB Flash, pages: 4346-4355")</f>
        <v>ICERI2017 Proceedings 10th annual International Conference of Education, Research and Innovation, Seville, Spain. 16-18 November, 2017. ISBN: 978-84-697-6957-7 / ISSN: 2340-1095, doi: 10.21125/iceri.2017, Publisher: IATED DEP. LEGAL: V-2851-2017 Format: USB Flash, pages: 4346-4355</v>
      </c>
      <c r="F764" s="10" t="str">
        <f ca="1">IFERROR(__xludf.DUMMYFUNCTION("""COMPUTED_VALUE"""),"Web of Science 
 IATED Digital Library publication ICERI2017")</f>
        <v>Web of Science 
 IATED Digital Library publication ICERI2017</v>
      </c>
      <c r="G764" s="10" t="str">
        <f ca="1">IFERROR(__xludf.DUMMYFUNCTION("""COMPUTED_VALUE"""),"E. Shoikova, D. Donchev, P. Petkova")</f>
        <v>E. Shoikova, D. Donchev, P. Petkova</v>
      </c>
      <c r="H764" s="10"/>
      <c r="I764" s="10"/>
      <c r="J764" s="10"/>
      <c r="K764" s="10"/>
      <c r="L764" s="10"/>
      <c r="M764" s="10"/>
      <c r="N764" s="10"/>
      <c r="O764" s="10"/>
      <c r="P764" s="10"/>
      <c r="Q764" s="10"/>
      <c r="R764" s="10"/>
      <c r="S764" s="10"/>
      <c r="T764" s="10"/>
      <c r="U764" s="10"/>
      <c r="V764" s="10"/>
      <c r="W764" s="10"/>
      <c r="X764" s="10"/>
      <c r="Y764" s="10"/>
      <c r="Z764" s="10"/>
    </row>
    <row r="765" spans="1:26" ht="12.75">
      <c r="A765" s="10" t="str">
        <f ca="1">IFERROR(__xludf.DUMMYFUNCTION("""COMPUTED_VALUE"""),"Боян Колев Жеков")</f>
        <v>Боян Колев Жеков</v>
      </c>
      <c r="B765" s="10" t="str">
        <f ca="1">IFERROR(__xludf.DUMMYFUNCTION("""COMPUTED_VALUE"""),"Книга")</f>
        <v>Книга</v>
      </c>
      <c r="C765" s="10" t="str">
        <f ca="1">IFERROR(__xludf.DUMMYFUNCTION("""COMPUTED_VALUE"""),"Концептуално моделиране на екосистеми на Интернет на нещата")</f>
        <v>Концептуално моделиране на екосистеми на Интернет на нещата</v>
      </c>
      <c r="D765" s="10">
        <f ca="1">IFERROR(__xludf.DUMMYFUNCTION("""COMPUTED_VALUE"""),2017)</f>
        <v>2017</v>
      </c>
      <c r="E765" s="10" t="str">
        <f ca="1">IFERROR(__xludf.DUMMYFUNCTION("""COMPUTED_VALUE"""),"Издателство: „Пропелер“, София, ISBN: 978-954-392-440-0")</f>
        <v>Издателство: „Пропелер“, София, ISBN: 978-954-392-440-0</v>
      </c>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c r="A766" s="10" t="str">
        <f ca="1">IFERROR(__xludf.DUMMYFUNCTION("""COMPUTED_VALUE"""),"Боян Колев Жеков")</f>
        <v>Боян Колев Жеков</v>
      </c>
      <c r="B766" s="10" t="str">
        <f ca="1">IFERROR(__xludf.DUMMYFUNCTION("""COMPUTED_VALUE"""),"Доклад от конференция")</f>
        <v>Доклад от конференция</v>
      </c>
      <c r="C766" s="10" t="str">
        <f ca="1">IFERROR(__xludf.DUMMYFUNCTION("""COMPUTED_VALUE"""),"Standards and interoperability within smart city ecosystem")</f>
        <v>Standards and interoperability within smart city ecosystem</v>
      </c>
      <c r="D766" s="10">
        <f ca="1">IFERROR(__xludf.DUMMYFUNCTION("""COMPUTED_VALUE"""),2017)</f>
        <v>2017</v>
      </c>
      <c r="E766" s="10" t="str">
        <f ca="1">IFERROR(__xludf.DUMMYFUNCTION("""COMPUTED_VALUE"""),"ICERI2017 Proceedings 10th annual International Conference of Education, Research and Innovation, Seville, Spain. 16-18 November, 2017. ISBN: 978-84-697-6957-7 / ISSN: 2340-1095, doi: 10.21125/iceri.2017, Publisher: IATED DEP. LEGAL: V-2851-2017 Format: U"&amp;"SB Flash, pages:")</f>
        <v>ICERI2017 Proceedings 10th annual International Conference of Education, Research and Innovation, Seville, Spain. 16-18 November, 2017. ISBN: 978-84-697-6957-7 / ISSN: 2340-1095, doi: 10.21125/iceri.2017, Publisher: IATED DEP. LEGAL: V-2851-2017 Format: USB Flash, pages:</v>
      </c>
      <c r="F766" s="10" t="str">
        <f ca="1">IFERROR(__xludf.DUMMYFUNCTION("""COMPUTED_VALUE"""),"Web of Science 
 IATED Digital Library publication ICERI2017")</f>
        <v>Web of Science 
 IATED Digital Library publication ICERI2017</v>
      </c>
      <c r="G766" s="10" t="str">
        <f ca="1">IFERROR(__xludf.DUMMYFUNCTION("""COMPUTED_VALUE"""),"W. Dimitrov, R. Nikolov,")</f>
        <v>W. Dimitrov, R. Nikolov,</v>
      </c>
      <c r="H766" s="10"/>
      <c r="I766" s="10"/>
      <c r="J766" s="10"/>
      <c r="K766" s="10"/>
      <c r="L766" s="10"/>
      <c r="M766" s="10"/>
      <c r="N766" s="10"/>
      <c r="O766" s="10"/>
      <c r="P766" s="10"/>
      <c r="Q766" s="10"/>
      <c r="R766" s="10"/>
      <c r="S766" s="10"/>
      <c r="T766" s="10"/>
      <c r="U766" s="10"/>
      <c r="V766" s="10"/>
      <c r="W766" s="10"/>
      <c r="X766" s="10"/>
      <c r="Y766" s="10"/>
      <c r="Z766" s="10"/>
    </row>
    <row r="767" spans="1:26" ht="12.75">
      <c r="A767" s="10" t="str">
        <f ca="1">IFERROR(__xludf.DUMMYFUNCTION("""COMPUTED_VALUE"""),"Боян Колев Жеков")</f>
        <v>Боян Колев Жеков</v>
      </c>
      <c r="B767" s="10" t="str">
        <f ca="1">IFERROR(__xludf.DUMMYFUNCTION("""COMPUTED_VALUE"""),"Доклад от конференция")</f>
        <v>Доклад от конференция</v>
      </c>
      <c r="C767" s="10" t="str">
        <f ca="1">IFERROR(__xludf.DUMMYFUNCTION("""COMPUTED_VALUE"""),"Концептуално моделиране на екосистеми за интернет на нещата")</f>
        <v>Концептуално моделиране на екосистеми за интернет на нещата</v>
      </c>
      <c r="D767" s="10">
        <f ca="1">IFERROR(__xludf.DUMMYFUNCTION("""COMPUTED_VALUE"""),2017)</f>
        <v>2017</v>
      </c>
      <c r="E767" s="10" t="str">
        <f ca="1">IFERROR(__xludf.DUMMYFUNCTION("""COMPUTED_VALUE"""),"Международен пътуващ семинар на УниБИТ ""Съвременни измерения на европейското образователно и научно пространство"", 29 май - 05 юни 2017 г., Република Гърция, Издателство „ЗА БУКВИТЕ – О ПИСМЕНЕХЬ")</f>
        <v>Международен пътуващ семинар на УниБИТ "Съвременни измерения на европейското образователно и научно пространство", 29 май - 05 юни 2017 г., Република Гърция, Издателство „ЗА БУКВИТЕ – О ПИСМЕНЕХЬ</v>
      </c>
      <c r="F767" s="10"/>
      <c r="G767" s="10" t="str">
        <f ca="1">IFERROR(__xludf.DUMMYFUNCTION("""COMPUTED_VALUE"""),"Шойкова Е.,")</f>
        <v>Шойкова Е.,</v>
      </c>
      <c r="H767" s="10"/>
      <c r="I767" s="10"/>
      <c r="J767" s="10"/>
      <c r="K767" s="10"/>
      <c r="L767" s="10"/>
      <c r="M767" s="10"/>
      <c r="N767" s="10"/>
      <c r="O767" s="10"/>
      <c r="P767" s="10"/>
      <c r="Q767" s="10"/>
      <c r="R767" s="10"/>
      <c r="S767" s="10"/>
      <c r="T767" s="10"/>
      <c r="U767" s="10"/>
      <c r="V767" s="10"/>
      <c r="W767" s="10"/>
      <c r="X767" s="10"/>
      <c r="Y767" s="10"/>
      <c r="Z767" s="10"/>
    </row>
    <row r="768" spans="1:26" ht="12.75">
      <c r="A768" s="10" t="str">
        <f ca="1">IFERROR(__xludf.DUMMYFUNCTION("""COMPUTED_VALUE"""),"Боян Колев Жеков")</f>
        <v>Боян Колев Жеков</v>
      </c>
      <c r="B768" s="10" t="str">
        <f ca="1">IFERROR(__xludf.DUMMYFUNCTION("""COMPUTED_VALUE"""),"Доклад от конференция")</f>
        <v>Доклад от конференция</v>
      </c>
      <c r="C768" s="10" t="str">
        <f ca="1">IFERROR(__xludf.DUMMYFUNCTION("""COMPUTED_VALUE"""),"Качествена оценка на отворените и свързани данни")</f>
        <v>Качествена оценка на отворените и свързани данни</v>
      </c>
      <c r="D768" s="10">
        <f ca="1">IFERROR(__xludf.DUMMYFUNCTION("""COMPUTED_VALUE"""),2016)</f>
        <v>2016</v>
      </c>
      <c r="E768" s="10" t="str">
        <f ca="1">IFERROR(__xludf.DUMMYFUNCTION("""COMPUTED_VALUE"""),"30th Anniversary International Conference on Information Technologies (Info Tech 2016)")</f>
        <v>30th Anniversary International Conference on Information Technologies (Info Tech 2016)</v>
      </c>
      <c r="F768" s="10" t="str">
        <f ca="1">IFERROR(__xludf.DUMMYFUNCTION("""COMPUTED_VALUE"""),"EBSCO Publishing")</f>
        <v>EBSCO Publishing</v>
      </c>
      <c r="G768" s="10" t="str">
        <f ca="1">IFERROR(__xludf.DUMMYFUNCTION("""COMPUTED_VALUE"""),"Румен Трифонов, Петя Михайлова")</f>
        <v>Румен Трифонов, Петя Михайлова</v>
      </c>
      <c r="H768" s="10"/>
      <c r="I768" s="10"/>
      <c r="J768" s="10"/>
      <c r="K768" s="10"/>
      <c r="L768" s="10"/>
      <c r="M768" s="10"/>
      <c r="N768" s="10"/>
      <c r="O768" s="10"/>
      <c r="P768" s="10"/>
      <c r="Q768" s="10"/>
      <c r="R768" s="10"/>
      <c r="S768" s="10"/>
      <c r="T768" s="10"/>
      <c r="U768" s="10"/>
      <c r="V768" s="10"/>
      <c r="W768" s="10"/>
      <c r="X768" s="10"/>
      <c r="Y768" s="10"/>
      <c r="Z768" s="10"/>
    </row>
    <row r="769" spans="1:26" ht="12.75">
      <c r="A769" s="10" t="str">
        <f ca="1">IFERROR(__xludf.DUMMYFUNCTION("""COMPUTED_VALUE"""),"Боян Колев Жеков")</f>
        <v>Боян Колев Жеков</v>
      </c>
      <c r="B769" s="10" t="str">
        <f ca="1">IFERROR(__xludf.DUMMYFUNCTION("""COMPUTED_VALUE"""),"Доклад от конференция")</f>
        <v>Доклад от конференция</v>
      </c>
      <c r="C769" s="10" t="str">
        <f ca="1">IFERROR(__xludf.DUMMYFUNCTION("""COMPUTED_VALUE"""),"Интернет на нещата в електронното управление")</f>
        <v>Интернет на нещата в електронното управление</v>
      </c>
      <c r="D769" s="10">
        <f ca="1">IFERROR(__xludf.DUMMYFUNCTION("""COMPUTED_VALUE"""),2016)</f>
        <v>2016</v>
      </c>
      <c r="E769" s="10" t="str">
        <f ca="1">IFERROR(__xludf.DUMMYFUNCTION("""COMPUTED_VALUE"""),"Четиринадесета национална научна конференция с международно участие на тема: Обществото на знанието и хуманизмът на ХХІ век, 1 ноември 2016 г., УНИБИТ, Издателство „ЗА БУКВИТЕ – О ПИСМЕНЕХЬ")</f>
        <v>Четиринадесета национална научна конференция с международно участие на тема: Обществото на знанието и хуманизмът на ХХІ век, 1 ноември 2016 г., УНИБИТ, Издателство „ЗА БУКВИТЕ – О ПИСМЕНЕХЬ</v>
      </c>
      <c r="F769" s="10"/>
      <c r="G769" s="10" t="str">
        <f ca="1">IFERROR(__xludf.DUMMYFUNCTION("""COMPUTED_VALUE"""),"Петя Михайлова")</f>
        <v>Петя Михайлова</v>
      </c>
      <c r="H769" s="10"/>
      <c r="I769" s="10"/>
      <c r="J769" s="10"/>
      <c r="K769" s="10"/>
      <c r="L769" s="10"/>
      <c r="M769" s="10"/>
      <c r="N769" s="10"/>
      <c r="O769" s="10"/>
      <c r="P769" s="10"/>
      <c r="Q769" s="10"/>
      <c r="R769" s="10"/>
      <c r="S769" s="10"/>
      <c r="T769" s="10"/>
      <c r="U769" s="10"/>
      <c r="V769" s="10"/>
      <c r="W769" s="10"/>
      <c r="X769" s="10"/>
      <c r="Y769" s="10"/>
      <c r="Z769" s="10"/>
    </row>
    <row r="770" spans="1:26" ht="12.75">
      <c r="A770" s="10" t="str">
        <f ca="1">IFERROR(__xludf.DUMMYFUNCTION("""COMPUTED_VALUE"""),"Боян Колев Жеков")</f>
        <v>Боян Колев Жеков</v>
      </c>
      <c r="B770" s="10" t="str">
        <f ca="1">IFERROR(__xludf.DUMMYFUNCTION("""COMPUTED_VALUE"""),"Доклад от конференция")</f>
        <v>Доклад от конференция</v>
      </c>
      <c r="C770" s="10" t="str">
        <f ca="1">IFERROR(__xludf.DUMMYFUNCTION("""COMPUTED_VALUE"""),"Показатели за качество на технологично-подобреното преподаване и изучаване")</f>
        <v>Показатели за качество на технологично-подобреното преподаване и изучаване</v>
      </c>
      <c r="D770" s="10">
        <f ca="1">IFERROR(__xludf.DUMMYFUNCTION("""COMPUTED_VALUE"""),2016)</f>
        <v>2016</v>
      </c>
      <c r="E770" s="10" t="str">
        <f ca="1">IFERROR(__xludf.DUMMYFUNCTION("""COMPUTED_VALUE"""),"QED'16: UNESCO International Workshop, Technology Advanced Quality Learning for ALL")</f>
        <v>QED'16: UNESCO International Workshop, Technology Advanced Quality Learning for ALL</v>
      </c>
      <c r="F770" s="10"/>
      <c r="G770" s="10" t="str">
        <f ca="1">IFERROR(__xludf.DUMMYFUNCTION("""COMPUTED_VALUE"""),"Петя Михайлова")</f>
        <v>Петя Михайлова</v>
      </c>
      <c r="H770" s="10"/>
      <c r="I770" s="10"/>
      <c r="J770" s="10"/>
      <c r="K770" s="10"/>
      <c r="L770" s="10"/>
      <c r="M770" s="10"/>
      <c r="N770" s="10"/>
      <c r="O770" s="10"/>
      <c r="P770" s="10"/>
      <c r="Q770" s="10"/>
      <c r="R770" s="10"/>
      <c r="S770" s="10"/>
      <c r="T770" s="10"/>
      <c r="U770" s="10"/>
      <c r="V770" s="10"/>
      <c r="W770" s="10"/>
      <c r="X770" s="10"/>
      <c r="Y770" s="10"/>
      <c r="Z770" s="10"/>
    </row>
    <row r="771" spans="1:26" ht="12.75">
      <c r="A771" s="10" t="str">
        <f ca="1">IFERROR(__xludf.DUMMYFUNCTION("""COMPUTED_VALUE"""),"Боян Колев Жеков")</f>
        <v>Боян Колев Жеков</v>
      </c>
      <c r="B771" s="10" t="str">
        <f ca="1">IFERROR(__xludf.DUMMYFUNCTION("""COMPUTED_VALUE"""),"Доклад от конференция")</f>
        <v>Доклад от конференция</v>
      </c>
      <c r="C771" s="10" t="str">
        <f ca="1">IFERROR(__xludf.DUMMYFUNCTION("""COMPUTED_VALUE"""),"Методология за измерване и оценка на електронното правителство, индикатори и индекси за изследване и оценяване")</f>
        <v>Методология за измерване и оценка на електронното правителство, индикатори и индекси за изследване и оценяване</v>
      </c>
      <c r="D771" s="10">
        <f ca="1">IFERROR(__xludf.DUMMYFUNCTION("""COMPUTED_VALUE"""),2016)</f>
        <v>2016</v>
      </c>
      <c r="E771" s="10" t="str">
        <f ca="1">IFERROR(__xludf.DUMMYFUNCTION("""COMPUTED_VALUE"""),"30th Anniversary International Conference on Information Technologies (Info Tech 2016)")</f>
        <v>30th Anniversary International Conference on Information Technologies (Info Tech 2016)</v>
      </c>
      <c r="F771" s="10" t="str">
        <f ca="1">IFERROR(__xludf.DUMMYFUNCTION("""COMPUTED_VALUE"""),"EBSCO Publishing")</f>
        <v>EBSCO Publishing</v>
      </c>
      <c r="G771" s="10" t="str">
        <f ca="1">IFERROR(__xludf.DUMMYFUNCTION("""COMPUTED_VALUE"""),"Румен Трифонов, Петя Михайлова")</f>
        <v>Румен Трифонов, Петя Михайлова</v>
      </c>
      <c r="H771" s="10"/>
      <c r="I771" s="10"/>
      <c r="J771" s="10"/>
      <c r="K771" s="10"/>
      <c r="L771" s="10"/>
      <c r="M771" s="10"/>
      <c r="N771" s="10"/>
      <c r="O771" s="10"/>
      <c r="P771" s="10"/>
      <c r="Q771" s="10"/>
      <c r="R771" s="10"/>
      <c r="S771" s="10"/>
      <c r="T771" s="10"/>
      <c r="U771" s="10"/>
      <c r="V771" s="10"/>
      <c r="W771" s="10"/>
      <c r="X771" s="10"/>
      <c r="Y771" s="10"/>
      <c r="Z771" s="10"/>
    </row>
    <row r="772" spans="1:26" ht="12.75">
      <c r="A772" s="10" t="str">
        <f ca="1">IFERROR(__xludf.DUMMYFUNCTION("""COMPUTED_VALUE"""),"Боян Колев Жеков")</f>
        <v>Боян Колев Жеков</v>
      </c>
      <c r="B772" s="10" t="str">
        <f ca="1">IFERROR(__xludf.DUMMYFUNCTION("""COMPUTED_VALUE"""),"Доклад от конференция")</f>
        <v>Доклад от конференция</v>
      </c>
      <c r="C772" s="10" t="str">
        <f ca="1">IFERROR(__xludf.DUMMYFUNCTION("""COMPUTED_VALUE"""),"Социалните мрежи в електронното управление")</f>
        <v>Социалните мрежи в електронното управление</v>
      </c>
      <c r="D772" s="10">
        <f ca="1">IFERROR(__xludf.DUMMYFUNCTION("""COMPUTED_VALUE"""),2016)</f>
        <v>2016</v>
      </c>
      <c r="E772" s="10" t="str">
        <f ca="1">IFERROR(__xludf.DUMMYFUNCTION("""COMPUTED_VALUE"""),"VIII МЕЖДУНАРОДНА НАУЧНА КОНФЕРЕНЦИЯ „Е-управление и Е-комуникации”, „Дни на науката – 2016” на ТУ-София 13-16 юни 2016 г. гр. Созопол, България стр. 49-63")</f>
        <v>VIII МЕЖДУНАРОДНА НАУЧНА КОНФЕРЕНЦИЯ „Е-управление и Е-комуникации”, „Дни на науката – 2016” на ТУ-София 13-16 юни 2016 г. гр. Созопол, България стр. 49-63</v>
      </c>
      <c r="F772" s="10"/>
      <c r="G772" s="10" t="str">
        <f ca="1">IFERROR(__xludf.DUMMYFUNCTION("""COMPUTED_VALUE"""),"Петя Михайлова")</f>
        <v>Петя Михайлова</v>
      </c>
      <c r="H772" s="10"/>
      <c r="I772" s="10"/>
      <c r="J772" s="10"/>
      <c r="K772" s="10"/>
      <c r="L772" s="10"/>
      <c r="M772" s="10"/>
      <c r="N772" s="10"/>
      <c r="O772" s="10"/>
      <c r="P772" s="10"/>
      <c r="Q772" s="10"/>
      <c r="R772" s="10"/>
      <c r="S772" s="10"/>
      <c r="T772" s="10"/>
      <c r="U772" s="10"/>
      <c r="V772" s="10"/>
      <c r="W772" s="10"/>
      <c r="X772" s="10"/>
      <c r="Y772" s="10"/>
      <c r="Z772" s="10"/>
    </row>
    <row r="773" spans="1:26" ht="12.75">
      <c r="A773" s="10" t="str">
        <f ca="1">IFERROR(__xludf.DUMMYFUNCTION("""COMPUTED_VALUE"""),"Боян Колев Жеков")</f>
        <v>Боян Колев Жеков</v>
      </c>
      <c r="B773" s="10" t="str">
        <f ca="1">IFERROR(__xludf.DUMMYFUNCTION("""COMPUTED_VALUE"""),"Доклад от конференция")</f>
        <v>Доклад от конференция</v>
      </c>
      <c r="C773" s="10" t="str">
        <f ca="1">IFERROR(__xludf.DUMMYFUNCTION("""COMPUTED_VALUE"""),"Еклектика на българско електронно управление. Динамичен референт модел на българското електронно управление")</f>
        <v>Еклектика на българско електронно управление. Динамичен референт модел на българското електронно управление</v>
      </c>
      <c r="D773" s="10">
        <f ca="1">IFERROR(__xludf.DUMMYFUNCTION("""COMPUTED_VALUE"""),2016)</f>
        <v>2016</v>
      </c>
      <c r="E773" s="10" t="str">
        <f ca="1">IFERROR(__xludf.DUMMYFUNCTION("""COMPUTED_VALUE"""),"VIII МЕЖДУНАРОДНА НАУЧНА КОНФЕРЕНЦИЯ „Е-управление и Е-комуникации”, „Дни на науката – 2016” на ТУ-София 13-16 юни 2016 г. гр. Созопол, България ISSN 2534-8523, стр 169-180")</f>
        <v>VIII МЕЖДУНАРОДНА НАУЧНА КОНФЕРЕНЦИЯ „Е-управление и Е-комуникации”, „Дни на науката – 2016” на ТУ-София 13-16 юни 2016 г. гр. Созопол, България ISSN 2534-8523, стр 169-180</v>
      </c>
      <c r="F773" s="10"/>
      <c r="G773" s="10" t="str">
        <f ca="1">IFERROR(__xludf.DUMMYFUNCTION("""COMPUTED_VALUE"""),"Петя Михайлова")</f>
        <v>Петя Михайлова</v>
      </c>
      <c r="H773" s="10"/>
      <c r="I773" s="10"/>
      <c r="J773" s="10"/>
      <c r="K773" s="10"/>
      <c r="L773" s="10"/>
      <c r="M773" s="10"/>
      <c r="N773" s="10"/>
      <c r="O773" s="10"/>
      <c r="P773" s="10"/>
      <c r="Q773" s="10"/>
      <c r="R773" s="10"/>
      <c r="S773" s="10"/>
      <c r="T773" s="10"/>
      <c r="U773" s="10"/>
      <c r="V773" s="10"/>
      <c r="W773" s="10"/>
      <c r="X773" s="10"/>
      <c r="Y773" s="10"/>
      <c r="Z773" s="10"/>
    </row>
    <row r="774" spans="1:26" ht="12.75">
      <c r="A774" s="10" t="str">
        <f ca="1">IFERROR(__xludf.DUMMYFUNCTION("""COMPUTED_VALUE"""),"Боян Колев Жеков")</f>
        <v>Боян Колев Жеков</v>
      </c>
      <c r="B774" s="10" t="str">
        <f ca="1">IFERROR(__xludf.DUMMYFUNCTION("""COMPUTED_VALUE"""),"Доклад от конференция")</f>
        <v>Доклад от конференция</v>
      </c>
      <c r="C774" s="10" t="str">
        <f ca="1">IFERROR(__xludf.DUMMYFUNCTION("""COMPUTED_VALUE"""),"Big Data in a Smart City Ecosystem: Models, Challenges and Trends")</f>
        <v>Big Data in a Smart City Ecosystem: Models, Challenges and Trends</v>
      </c>
      <c r="D774" s="10">
        <f ca="1">IFERROR(__xludf.DUMMYFUNCTION("""COMPUTED_VALUE"""),2015)</f>
        <v>2015</v>
      </c>
      <c r="E774" s="10" t="str">
        <f ca="1">IFERROR(__xludf.DUMMYFUNCTION("""COMPUTED_VALUE"""),"”Big Data, Knowledge and Control Systems Engineering - BdKCSE'2015")</f>
        <v>”Big Data, Knowledge and Control Systems Engineering - BdKCSE'2015</v>
      </c>
      <c r="F774" s="10"/>
      <c r="G774" s="10" t="str">
        <f ca="1">IFERROR(__xludf.DUMMYFUNCTION("""COMPUTED_VALUE"""),"Nikolov, Roumen / Mihaylova, Petya")</f>
        <v>Nikolov, Roumen / Mihaylova, Petya</v>
      </c>
      <c r="H774" s="10"/>
      <c r="I774" s="10"/>
      <c r="J774" s="10"/>
      <c r="K774" s="10"/>
      <c r="L774" s="10"/>
      <c r="M774" s="10"/>
      <c r="N774" s="10"/>
      <c r="O774" s="10"/>
      <c r="P774" s="10"/>
      <c r="Q774" s="10"/>
      <c r="R774" s="10"/>
      <c r="S774" s="10"/>
      <c r="T774" s="10"/>
      <c r="U774" s="10"/>
      <c r="V774" s="10"/>
      <c r="W774" s="10"/>
      <c r="X774" s="10"/>
      <c r="Y774" s="10"/>
      <c r="Z774" s="10"/>
    </row>
    <row r="775" spans="1:26" ht="12.75">
      <c r="A775" s="10" t="str">
        <f ca="1">IFERROR(__xludf.DUMMYFUNCTION("""COMPUTED_VALUE"""),"Валерия Николова Фол")</f>
        <v>Валерия Николова Фол</v>
      </c>
      <c r="B775" s="10" t="str">
        <f ca="1">IFERROR(__xludf.DUMMYFUNCTION("""COMPUTED_VALUE"""),"Статия в списания и поредици")</f>
        <v>Статия в списания и поредици</v>
      </c>
      <c r="C775" s="10" t="str">
        <f ca="1">IFERROR(__xludf.DUMMYFUNCTION("""COMPUTED_VALUE"""),"""Библиография към Мегалити.""")</f>
        <v>"Библиография към Мегалити."</v>
      </c>
      <c r="D775" s="10">
        <f ca="1">IFERROR(__xludf.DUMMYFUNCTION("""COMPUTED_VALUE"""),2020)</f>
        <v>2020</v>
      </c>
      <c r="E775"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c r="A776" s="10" t="str">
        <f ca="1">IFERROR(__xludf.DUMMYFUNCTION("""COMPUTED_VALUE"""),"Валерия Николова Фол")</f>
        <v>Валерия Николова Фол</v>
      </c>
      <c r="B776" s="10" t="str">
        <f ca="1">IFERROR(__xludf.DUMMYFUNCTION("""COMPUTED_VALUE"""),"Статия в списания и поредици")</f>
        <v>Статия в списания и поредици</v>
      </c>
      <c r="C776" s="10" t="str">
        <f ca="1">IFERROR(__xludf.DUMMYFUNCTION("""COMPUTED_VALUE"""),"С респект и благодарност")</f>
        <v>С респект и благодарност</v>
      </c>
      <c r="D776" s="10">
        <f ca="1">IFERROR(__xludf.DUMMYFUNCTION("""COMPUTED_VALUE"""),2020)</f>
        <v>2020</v>
      </c>
      <c r="E776" s="10" t="str">
        <f ca="1">IFERROR(__xludf.DUMMYFUNCTION("""COMPUTED_VALUE"""),"В: Studia Balkanica 34. (Не)познатата проф. Василка Тъпкова-Заимова, с. 143-157. ISBN 978-619-00-1209-2")</f>
        <v>В: Studia Balkanica 34. (Не)познатата проф. Василка Тъпкова-Заимова, с. 143-157. ISBN 978-619-00-1209-2</v>
      </c>
      <c r="F776" s="10"/>
      <c r="G776" s="10"/>
      <c r="H776" s="10"/>
      <c r="I776" s="10"/>
      <c r="J776" s="10"/>
      <c r="K776" s="10"/>
      <c r="L776" s="10"/>
      <c r="M776" s="10"/>
      <c r="N776" s="10"/>
      <c r="O776" s="10"/>
      <c r="P776" s="10"/>
      <c r="Q776" s="10"/>
      <c r="R776" s="10"/>
      <c r="S776" s="10"/>
      <c r="T776" s="10"/>
      <c r="U776" s="10"/>
      <c r="V776" s="10"/>
      <c r="W776" s="10"/>
      <c r="X776" s="10"/>
      <c r="Y776" s="10"/>
      <c r="Z776" s="10"/>
    </row>
    <row r="777" spans="1:26" ht="12.75">
      <c r="A777" s="10" t="str">
        <f ca="1">IFERROR(__xludf.DUMMYFUNCTION("""COMPUTED_VALUE"""),"Валерия Николова Фол")</f>
        <v>Валерия Николова Фол</v>
      </c>
      <c r="B777" s="10" t="str">
        <f ca="1">IFERROR(__xludf.DUMMYFUNCTION("""COMPUTED_VALUE"""),"Монография")</f>
        <v>Монография</v>
      </c>
      <c r="C777" s="10" t="str">
        <f ca="1">IFERROR(__xludf.DUMMYFUNCTION("""COMPUTED_VALUE"""),"Тайни общества на траките Thracian Secret Societies")</f>
        <v>Тайни общества на траките Thracian Secret Societies</v>
      </c>
      <c r="D777" s="10">
        <f ca="1">IFERROR(__xludf.DUMMYFUNCTION("""COMPUTED_VALUE"""),2020)</f>
        <v>2020</v>
      </c>
      <c r="E777" s="10" t="str">
        <f ca="1">IFERROR(__xludf.DUMMYFUNCTION("""COMPUTED_VALUE"""),"Тангра ТанНакра.София / Fol, V. Thracian Secret Societies. TanngraTanNakRa, Sofia.ISBN 978-619-91507-0-2")</f>
        <v>Тангра ТанНакра.София / Fol, V. Thracian Secret Societies. TanngraTanNakRa, Sofia.ISBN 978-619-91507-0-2</v>
      </c>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c r="A778" s="10" t="str">
        <f ca="1">IFERROR(__xludf.DUMMYFUNCTION("""COMPUTED_VALUE"""),"Валерия Николова Фол")</f>
        <v>Валерия Николова Фол</v>
      </c>
      <c r="B778" s="10" t="str">
        <f ca="1">IFERROR(__xludf.DUMMYFUNCTION("""COMPUTED_VALUE"""),"Статия в списания и поредици")</f>
        <v>Статия в списания и поредици</v>
      </c>
      <c r="C778" s="10" t="str">
        <f ca="1">IFERROR(__xludf.DUMMYFUNCTION("""COMPUTED_VALUE"""),"Briefly about the Horse, the Thracians, and the Book.")</f>
        <v>Briefly about the Horse, the Thracians, and the Book.</v>
      </c>
      <c r="D778" s="10">
        <f ca="1">IFERROR(__xludf.DUMMYFUNCTION("""COMPUTED_VALUE"""),2020)</f>
        <v>2020</v>
      </c>
      <c r="E778" s="10" t="str">
        <f ca="1">IFERROR(__xludf.DUMMYFUNCTION("""COMPUTED_VALUE"""),"In: Kovachev, G., Sirakov, The Horse and Its Mythological Transformations (Three Ancient Artifacts from the Collection of the Regional Museum of History – Sliven. Obnova, Sliven, 7-13. ISBN: 978-619-7445-33-6")</f>
        <v>In: Kovachev, G., Sirakov, The Horse and Its Mythological Transformations (Three Ancient Artifacts from the Collection of the Regional Museum of History – Sliven. Obnova, Sliven, 7-13. ISBN: 978-619-7445-33-6</v>
      </c>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c r="A779" s="10" t="str">
        <f ca="1">IFERROR(__xludf.DUMMYFUNCTION("""COMPUTED_VALUE"""),"Валерия Николова Фол")</f>
        <v>Валерия Николова Фол</v>
      </c>
      <c r="B779" s="10" t="str">
        <f ca="1">IFERROR(__xludf.DUMMYFUNCTION("""COMPUTED_VALUE"""),"Доклад от конференция")</f>
        <v>Доклад от конференция</v>
      </c>
      <c r="C779" s="10" t="str">
        <f ca="1">IFERROR(__xludf.DUMMYFUNCTION("""COMPUTED_VALUE"""),"За традицията – с респект!")</f>
        <v>За традицията – с респект!</v>
      </c>
      <c r="D779" s="10">
        <f ca="1">IFERROR(__xludf.DUMMYFUNCTION("""COMPUTED_VALUE"""),2020)</f>
        <v>2020</v>
      </c>
      <c r="E779" s="10" t="str">
        <f ca="1">IFERROR(__xludf.DUMMYFUNCTION("""COMPUTED_VALUE"""),"Дебрюне, Н., Маджаров, Дж. (Съст.) Нематериалното културно наследство: самобитност, приемственост, опорочаване. За буквите – О писменехь. София, 23-29. ISBN 619-185-414-1")</f>
        <v>Дебрюне, Н., Маджаров, Дж. (Съст.) Нематериалното културно наследство: самобитност, приемственост, опорочаване. За буквите – О писменехь. София, 23-29. ISBN 619-185-414-1</v>
      </c>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c r="A780" s="10" t="str">
        <f ca="1">IFERROR(__xludf.DUMMYFUNCTION("""COMPUTED_VALUE"""),"Валерия Николова Фол")</f>
        <v>Валерия Николова Фол</v>
      </c>
      <c r="B780" s="10" t="str">
        <f ca="1">IFERROR(__xludf.DUMMYFUNCTION("""COMPUTED_VALUE"""),"Глава от колективна монография")</f>
        <v>Глава от колективна монография</v>
      </c>
      <c r="C780" s="10" t="str">
        <f ca="1">IFERROR(__xludf.DUMMYFUNCTION("""COMPUTED_VALUE"""),"Предговор. /Préface.")</f>
        <v>Предговор. /Préface.</v>
      </c>
      <c r="D780" s="10">
        <f ca="1">IFERROR(__xludf.DUMMYFUNCTION("""COMPUTED_VALUE"""),2020)</f>
        <v>2020</v>
      </c>
      <c r="E780" s="10" t="str">
        <f ca="1">IFERROR(__xludf.DUMMYFUNCTION("""COMPUTED_VALUE"""),"В: Атанасова, В., Брико, Л. (съст.) 2020. Египетските култове в Сердика. Парадигма, София, 9-10. / Fol, V. 2020. Préface. In: Atanasova, V., Bricault, L. Les cult Isiaques à Serdica. Paradigma, Sofia,146 pp. p.9-10. ISBN 978-954-326-420-9; ISBN 978-954-90"&amp;"714-0-5")</f>
        <v>В: Атанасова, В., Брико, Л. (съст.) 2020. Египетските култове в Сердика. Парадигма, София, 9-10. / Fol, V. 2020. Préface. In: Atanasova, V., Bricault, L. Les cult Isiaques à Serdica. Paradigma, Sofia,146 pp. p.9-10. ISBN 978-954-326-420-9; ISBN 978-954-90714-0-5</v>
      </c>
      <c r="F780" s="10"/>
      <c r="G780" s="10"/>
      <c r="H780" s="10"/>
      <c r="I780" s="10"/>
      <c r="J780" s="10"/>
      <c r="K780" s="10"/>
      <c r="L780" s="10"/>
      <c r="M780" s="10"/>
      <c r="N780" s="10"/>
      <c r="O780" s="10"/>
      <c r="P780" s="10"/>
      <c r="Q780" s="10"/>
      <c r="R780" s="10"/>
      <c r="S780" s="10"/>
      <c r="T780" s="10"/>
      <c r="U780" s="10"/>
      <c r="V780" s="10"/>
      <c r="W780" s="10"/>
      <c r="X780" s="10"/>
      <c r="Y780" s="10"/>
      <c r="Z780" s="10"/>
    </row>
    <row r="781" spans="1:26" ht="12.75">
      <c r="A781" s="10" t="str">
        <f ca="1">IFERROR(__xludf.DUMMYFUNCTION("""COMPUTED_VALUE"""),"Валерия Николова Фол")</f>
        <v>Валерия Николова Фол</v>
      </c>
      <c r="B781" s="10" t="str">
        <f ca="1">IFERROR(__xludf.DUMMYFUNCTION("""COMPUTED_VALUE"""),"Статия в списания и поредици")</f>
        <v>Статия в списания и поредици</v>
      </c>
      <c r="C781" s="10" t="str">
        <f ca="1">IFERROR(__xludf.DUMMYFUNCTION("""COMPUTED_VALUE"""),"Топоси на преминаване от профанно в сакрално пространство")</f>
        <v>Топоси на преминаване от профанно в сакрално пространство</v>
      </c>
      <c r="D781" s="10">
        <f ca="1">IFERROR(__xludf.DUMMYFUNCTION("""COMPUTED_VALUE"""),2020)</f>
        <v>2020</v>
      </c>
      <c r="E781" s="10" t="str">
        <f ca="1">IFERROR(__xludf.DUMMYFUNCTION("""COMPUTED_VALUE"""),"Thracia 25 Древна Тракия и траките: сакрално и профанно, София. 11-22. ISSN: 0204-9872")</f>
        <v>Thracia 25 Древна Тракия и траките: сакрално и профанно, София. 11-22. ISSN: 0204-9872</v>
      </c>
      <c r="F781" s="10"/>
      <c r="G781" s="10"/>
      <c r="H781" s="10"/>
      <c r="I781" s="10"/>
      <c r="J781" s="10"/>
      <c r="K781" s="10"/>
      <c r="L781" s="10"/>
      <c r="M781" s="10"/>
      <c r="N781" s="10"/>
      <c r="O781" s="10"/>
      <c r="P781" s="10"/>
      <c r="Q781" s="10"/>
      <c r="R781" s="10"/>
      <c r="S781" s="10"/>
      <c r="T781" s="10"/>
      <c r="U781" s="10"/>
      <c r="V781" s="10"/>
      <c r="W781" s="10"/>
      <c r="X781" s="10"/>
      <c r="Y781" s="10"/>
      <c r="Z781" s="10"/>
    </row>
    <row r="782" spans="1:26" ht="12.75">
      <c r="A782" s="10" t="str">
        <f ca="1">IFERROR(__xludf.DUMMYFUNCTION("""COMPUTED_VALUE"""),"Валерия Николова Фол")</f>
        <v>Валерия Николова Фол</v>
      </c>
      <c r="B782" s="10" t="str">
        <f ca="1">IFERROR(__xludf.DUMMYFUNCTION("""COMPUTED_VALUE"""),"Статия в списания и поредици")</f>
        <v>Статия в списания и поредици</v>
      </c>
      <c r="C782" s="10" t="str">
        <f ca="1">IFERROR(__xludf.DUMMYFUNCTION("""COMPUTED_VALUE"""),"Хипотеза за функционирането на мегалитната слънчева врата със слънчев диск")</f>
        <v>Хипотеза за функционирането на мегалитната слънчева врата със слънчев диск</v>
      </c>
      <c r="D782" s="10">
        <f ca="1">IFERROR(__xludf.DUMMYFUNCTION("""COMPUTED_VALUE"""),2020)</f>
        <v>2020</v>
      </c>
      <c r="E782" s="10" t="str">
        <f ca="1">IFERROR(__xludf.DUMMYFUNCTION("""COMPUTED_VALUE"""),"Онлайн Енциклопедия Древна Тракия и траките, ИБЦТ - БАН, 2020, ISSN 2683-0590 онлайн https://www.thracians.net/sacral-architecture-bg-bg/66")</f>
        <v>Онлайн Енциклопедия Древна Тракия и траките, ИБЦТ - БАН, 2020, ISSN 2683-0590 онлайн https://www.thracians.net/sacral-architecture-bg-bg/66</v>
      </c>
      <c r="F782" s="10"/>
      <c r="G782" s="10"/>
      <c r="H782" s="10"/>
      <c r="I782" s="10"/>
      <c r="J782" s="10"/>
      <c r="K782" s="10"/>
      <c r="L782" s="10"/>
      <c r="M782" s="10"/>
      <c r="N782" s="10"/>
      <c r="O782" s="10"/>
      <c r="P782" s="10"/>
      <c r="Q782" s="10"/>
      <c r="R782" s="10"/>
      <c r="S782" s="10"/>
      <c r="T782" s="10"/>
      <c r="U782" s="10"/>
      <c r="V782" s="10"/>
      <c r="W782" s="10"/>
      <c r="X782" s="10"/>
      <c r="Y782" s="10"/>
      <c r="Z782" s="10"/>
    </row>
    <row r="783" spans="1:26" ht="12.75">
      <c r="A783" s="10" t="str">
        <f ca="1">IFERROR(__xludf.DUMMYFUNCTION("""COMPUTED_VALUE"""),"Валерия Николова Фол")</f>
        <v>Валерия Николова Фол</v>
      </c>
      <c r="B783" s="10" t="str">
        <f ca="1">IFERROR(__xludf.DUMMYFUNCTION("""COMPUTED_VALUE"""),"Статия в списания и поредици")</f>
        <v>Статия в списания и поредици</v>
      </c>
      <c r="C783" s="10" t="str">
        <f ca="1">IFERROR(__xludf.DUMMYFUNCTION("""COMPUTED_VALUE"""),"Архитектура на посветените")</f>
        <v>Архитектура на посветените</v>
      </c>
      <c r="D783" s="10">
        <f ca="1">IFERROR(__xludf.DUMMYFUNCTION("""COMPUTED_VALUE"""),2020)</f>
        <v>2020</v>
      </c>
      <c r="E783"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83" s="10"/>
      <c r="G783" s="10"/>
      <c r="H783" s="10"/>
      <c r="I783" s="10"/>
      <c r="J783" s="10"/>
      <c r="K783" s="10"/>
      <c r="L783" s="10"/>
      <c r="M783" s="10"/>
      <c r="N783" s="10"/>
      <c r="O783" s="10"/>
      <c r="P783" s="10"/>
      <c r="Q783" s="10"/>
      <c r="R783" s="10"/>
      <c r="S783" s="10"/>
      <c r="T783" s="10"/>
      <c r="U783" s="10"/>
      <c r="V783" s="10"/>
      <c r="W783" s="10"/>
      <c r="X783" s="10"/>
      <c r="Y783" s="10"/>
      <c r="Z783" s="10"/>
    </row>
    <row r="784" spans="1:26" ht="12.75">
      <c r="A784" s="10" t="str">
        <f ca="1">IFERROR(__xludf.DUMMYFUNCTION("""COMPUTED_VALUE"""),"Валерия Николова Фол")</f>
        <v>Валерия Николова Фол</v>
      </c>
      <c r="B784" s="10" t="str">
        <f ca="1">IFERROR(__xludf.DUMMYFUNCTION("""COMPUTED_VALUE"""),"Статия в списания и поредици")</f>
        <v>Статия в списания и поредици</v>
      </c>
      <c r="C784" s="10" t="str">
        <f ca="1">IFERROR(__xludf.DUMMYFUNCTION("""COMPUTED_VALUE"""),"""Символика на бялата скала""")</f>
        <v>"Символика на бялата скала"</v>
      </c>
      <c r="D784" s="10">
        <f ca="1">IFERROR(__xludf.DUMMYFUNCTION("""COMPUTED_VALUE"""),2020)</f>
        <v>2020</v>
      </c>
      <c r="E784"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84" s="10"/>
      <c r="G784" s="10"/>
      <c r="H784" s="10"/>
      <c r="I784" s="10"/>
      <c r="J784" s="10"/>
      <c r="K784" s="10"/>
      <c r="L784" s="10"/>
      <c r="M784" s="10"/>
      <c r="N784" s="10"/>
      <c r="O784" s="10"/>
      <c r="P784" s="10"/>
      <c r="Q784" s="10"/>
      <c r="R784" s="10"/>
      <c r="S784" s="10"/>
      <c r="T784" s="10"/>
      <c r="U784" s="10"/>
      <c r="V784" s="10"/>
      <c r="W784" s="10"/>
      <c r="X784" s="10"/>
      <c r="Y784" s="10"/>
      <c r="Z784" s="10"/>
    </row>
    <row r="785" spans="1:26" ht="12.75">
      <c r="A785" s="10" t="str">
        <f ca="1">IFERROR(__xludf.DUMMYFUNCTION("""COMPUTED_VALUE"""),"Валерия Николова Фол")</f>
        <v>Валерия Николова Фол</v>
      </c>
      <c r="B785" s="10" t="str">
        <f ca="1">IFERROR(__xludf.DUMMYFUNCTION("""COMPUTED_VALUE"""),"Статия в списания и поредици")</f>
        <v>Статия в списания и поредици</v>
      </c>
      <c r="C785" s="10" t="str">
        <f ca="1">IFERROR(__xludf.DUMMYFUNCTION("""COMPUTED_VALUE"""),"""Писмени сведения за слънчеви врати""")</f>
        <v>"Писмени сведения за слънчеви врати"</v>
      </c>
      <c r="D785" s="10">
        <f ca="1">IFERROR(__xludf.DUMMYFUNCTION("""COMPUTED_VALUE"""),2020)</f>
        <v>2020</v>
      </c>
      <c r="E785"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c r="A786" s="10" t="str">
        <f ca="1">IFERROR(__xludf.DUMMYFUNCTION("""COMPUTED_VALUE"""),"Валерия Николова Фол")</f>
        <v>Валерия Николова Фол</v>
      </c>
      <c r="B786" s="10" t="str">
        <f ca="1">IFERROR(__xludf.DUMMYFUNCTION("""COMPUTED_VALUE"""),"Статия в списания и поредици")</f>
        <v>Статия в списания и поредици</v>
      </c>
      <c r="C786" s="10" t="str">
        <f ca="1">IFERROR(__xludf.DUMMYFUNCTION("""COMPUTED_VALUE"""),"""Писмени сведения за почит към Слънцебога""")</f>
        <v>"Писмени сведения за почит към Слънцебога"</v>
      </c>
      <c r="D786" s="10">
        <f ca="1">IFERROR(__xludf.DUMMYFUNCTION("""COMPUTED_VALUE"""),2020)</f>
        <v>2020</v>
      </c>
      <c r="E786"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86" s="10"/>
      <c r="G786" s="10"/>
      <c r="H786" s="10"/>
      <c r="I786" s="10"/>
      <c r="J786" s="10"/>
      <c r="K786" s="10"/>
      <c r="L786" s="10"/>
      <c r="M786" s="10"/>
      <c r="N786" s="10"/>
      <c r="O786" s="10"/>
      <c r="P786" s="10"/>
      <c r="Q786" s="10"/>
      <c r="R786" s="10"/>
      <c r="S786" s="10"/>
      <c r="T786" s="10"/>
      <c r="U786" s="10"/>
      <c r="V786" s="10"/>
      <c r="W786" s="10"/>
      <c r="X786" s="10"/>
      <c r="Y786" s="10"/>
      <c r="Z786" s="10"/>
    </row>
    <row r="787" spans="1:26" ht="12.75">
      <c r="A787" s="10" t="str">
        <f ca="1">IFERROR(__xludf.DUMMYFUNCTION("""COMPUTED_VALUE"""),"Валерия Николова Фол")</f>
        <v>Валерия Николова Фол</v>
      </c>
      <c r="B787" s="10" t="str">
        <f ca="1">IFERROR(__xludf.DUMMYFUNCTION("""COMPUTED_VALUE"""),"Статия в списания и поредици")</f>
        <v>Статия в списания и поредици</v>
      </c>
      <c r="C787" s="10" t="str">
        <f ca="1">IFERROR(__xludf.DUMMYFUNCTION("""COMPUTED_VALUE"""),"""Мегалити: Мегалитни паметници в района на община Брезово.""")</f>
        <v>"Мегалити: Мегалитни паметници в района на община Брезово."</v>
      </c>
      <c r="D787" s="10">
        <f ca="1">IFERROR(__xludf.DUMMYFUNCTION("""COMPUTED_VALUE"""),2020)</f>
        <v>2020</v>
      </c>
      <c r="E787" s="10" t="str">
        <f ca="1">IFERROR(__xludf.DUMMYFUNCTION("""COMPUTED_VALUE"""),"В: Онлайн Енциклопедия Древна Тракия и траките. 
 ISSN 2683-0590.
 https://thracians.net/sacral-architecture-bg-bg/66")</f>
        <v>В: Онлайн Енциклопедия Древна Тракия и траките. 
 ISSN 2683-0590.
 https://thracians.net/sacral-architecture-bg-bg/66</v>
      </c>
      <c r="F787" s="10"/>
      <c r="G787" s="10"/>
      <c r="H787" s="10"/>
      <c r="I787" s="10"/>
      <c r="J787" s="10"/>
      <c r="K787" s="10"/>
      <c r="L787" s="10"/>
      <c r="M787" s="10"/>
      <c r="N787" s="10"/>
      <c r="O787" s="10"/>
      <c r="P787" s="10"/>
      <c r="Q787" s="10"/>
      <c r="R787" s="10"/>
      <c r="S787" s="10"/>
      <c r="T787" s="10"/>
      <c r="U787" s="10"/>
      <c r="V787" s="10"/>
      <c r="W787" s="10"/>
      <c r="X787" s="10"/>
      <c r="Y787" s="10"/>
      <c r="Z787" s="10"/>
    </row>
    <row r="788" spans="1:26" ht="12.75">
      <c r="A788" s="10" t="str">
        <f ca="1">IFERROR(__xludf.DUMMYFUNCTION("""COMPUTED_VALUE"""),"Валерия Николова Фол")</f>
        <v>Валерия Николова Фол</v>
      </c>
      <c r="B788" s="10" t="str">
        <f ca="1">IFERROR(__xludf.DUMMYFUNCTION("""COMPUTED_VALUE"""),"Статия в списания и поредици")</f>
        <v>Статия в списания и поредици</v>
      </c>
      <c r="C788" s="10" t="str">
        <f ca="1">IFERROR(__xludf.DUMMYFUNCTION("""COMPUTED_VALUE"""),"Свещените камъни - аниконични образи на божества и херои")</f>
        <v>Свещените камъни - аниконични образи на божества и херои</v>
      </c>
      <c r="D788" s="10">
        <f ca="1">IFERROR(__xludf.DUMMYFUNCTION("""COMPUTED_VALUE"""),2020)</f>
        <v>2020</v>
      </c>
      <c r="E788" s="10" t="str">
        <f ca="1">IFERROR(__xludf.DUMMYFUNCTION("""COMPUTED_VALUE"""),"Модерният историк 3. Баланс, атрактивност, въображение. Сборник по случай 80-годишнината на проф. д.ист.н. Андрей Пантев. София, Академично издателство ,,За буквите - О писменехъ"", 153 - 158. ISBN 978-619-185-394-6.")</f>
        <v>Модерният историк 3. Баланс, атрактивност, въображение. Сборник по случай 80-годишнината на проф. д.ист.н. Андрей Пантев. София, Академично издателство ,,За буквите - О писменехъ", 153 - 158. ISBN 978-619-185-394-6.</v>
      </c>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c r="A789" s="10" t="str">
        <f ca="1">IFERROR(__xludf.DUMMYFUNCTION("""COMPUTED_VALUE"""),"Валерия Николова Фол")</f>
        <v>Валерия Николова Фол</v>
      </c>
      <c r="B789" s="10" t="str">
        <f ca="1">IFERROR(__xludf.DUMMYFUNCTION("""COMPUTED_VALUE"""),"Статия в списания и поредици")</f>
        <v>Статия в списания и поредици</v>
      </c>
      <c r="C789" s="10" t="str">
        <f ca="1">IFERROR(__xludf.DUMMYFUNCTION("""COMPUTED_VALUE"""),"Backstage Theater")</f>
        <v>Backstage Theater</v>
      </c>
      <c r="D789" s="10">
        <f ca="1">IFERROR(__xludf.DUMMYFUNCTION("""COMPUTED_VALUE"""),2020)</f>
        <v>2020</v>
      </c>
      <c r="E789" s="10" t="str">
        <f ca="1">IFERROR(__xludf.DUMMYFUNCTION("""COMPUTED_VALUE"""),"Études balkaniques, LVI / 2, 455-460, ISSN 0324-1645")</f>
        <v>Études balkaniques, LVI / 2, 455-460, ISSN 0324-1645</v>
      </c>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c r="A790" s="10" t="str">
        <f ca="1">IFERROR(__xludf.DUMMYFUNCTION("""COMPUTED_VALUE"""),"Валерия Николова Фол")</f>
        <v>Валерия Николова Фол</v>
      </c>
      <c r="B790" s="10" t="str">
        <f ca="1">IFERROR(__xludf.DUMMYFUNCTION("""COMPUTED_VALUE"""),"Доклад от конференция")</f>
        <v>Доклад от конференция</v>
      </c>
      <c r="C790" s="10" t="str">
        <f ca="1">IFERROR(__xludf.DUMMYFUNCTION("""COMPUTED_VALUE"""),"„Маскарадът“ Отвъд.")</f>
        <v>„Маскарадът“ Отвъд.</v>
      </c>
      <c r="D790" s="10">
        <f ca="1">IFERROR(__xludf.DUMMYFUNCTION("""COMPUTED_VALUE"""),2019)</f>
        <v>2019</v>
      </c>
      <c r="E790" s="10" t="str">
        <f ca="1">IFERROR(__xludf.DUMMYFUNCTION("""COMPUTED_VALUE"""),"Общински комплекс „Дворец на културата“. Перник, 41-45. ISSN 978-954-8944-78-6")</f>
        <v>Общински комплекс „Дворец на културата“. Перник, 41-45. ISSN 978-954-8944-78-6</v>
      </c>
      <c r="F790" s="10"/>
      <c r="G790" s="10"/>
      <c r="H790" s="10"/>
      <c r="I790" s="10"/>
      <c r="J790" s="10"/>
      <c r="K790" s="10"/>
      <c r="L790" s="10"/>
      <c r="M790" s="10"/>
      <c r="N790" s="10"/>
      <c r="O790" s="10"/>
      <c r="P790" s="10"/>
      <c r="Q790" s="10"/>
      <c r="R790" s="10"/>
      <c r="S790" s="10"/>
      <c r="T790" s="10"/>
      <c r="U790" s="10"/>
      <c r="V790" s="10"/>
      <c r="W790" s="10"/>
      <c r="X790" s="10"/>
      <c r="Y790" s="10"/>
      <c r="Z790" s="10"/>
    </row>
    <row r="791" spans="1:26" ht="12.75">
      <c r="A791" s="10" t="str">
        <f ca="1">IFERROR(__xludf.DUMMYFUNCTION("""COMPUTED_VALUE"""),"Валерия Николова Фол")</f>
        <v>Валерия Николова Фол</v>
      </c>
      <c r="B791" s="10" t="str">
        <f ca="1">IFERROR(__xludf.DUMMYFUNCTION("""COMPUTED_VALUE"""),"Статия в списания и поредици")</f>
        <v>Статия в списания и поредици</v>
      </c>
      <c r="C791" s="10" t="str">
        <f ca="1">IFERROR(__xludf.DUMMYFUNCTION("""COMPUTED_VALUE"""),"Angry Deities and Heroes: Example from Thrace")</f>
        <v>Angry Deities and Heroes: Example from Thrace</v>
      </c>
      <c r="D791" s="10">
        <f ca="1">IFERROR(__xludf.DUMMYFUNCTION("""COMPUTED_VALUE"""),2019)</f>
        <v>2019</v>
      </c>
      <c r="E791" s="10" t="str">
        <f ca="1">IFERROR(__xludf.DUMMYFUNCTION("""COMPUTED_VALUE"""),"Études balkaniques. Mirabilia: Miraculous and Magical, LV/1, 24-31. ISSN 0324-1645.")</f>
        <v>Études balkaniques. Mirabilia: Miraculous and Magical, LV/1, 24-31. ISSN 0324-1645.</v>
      </c>
      <c r="F791" s="10"/>
      <c r="G791" s="10"/>
      <c r="H791" s="10"/>
      <c r="I791" s="10"/>
      <c r="J791" s="10"/>
      <c r="K791" s="10"/>
      <c r="L791" s="10"/>
      <c r="M791" s="10"/>
      <c r="N791" s="10"/>
      <c r="O791" s="10"/>
      <c r="P791" s="10"/>
      <c r="Q791" s="10"/>
      <c r="R791" s="10"/>
      <c r="S791" s="10"/>
      <c r="T791" s="10"/>
      <c r="U791" s="10"/>
      <c r="V791" s="10"/>
      <c r="W791" s="10"/>
      <c r="X791" s="10"/>
      <c r="Y791" s="10"/>
      <c r="Z791" s="10"/>
    </row>
    <row r="792" spans="1:26" ht="12.75">
      <c r="A792" s="10" t="str">
        <f ca="1">IFERROR(__xludf.DUMMYFUNCTION("""COMPUTED_VALUE"""),"Валерия Николова Фол")</f>
        <v>Валерия Николова Фол</v>
      </c>
      <c r="B792" s="10" t="str">
        <f ca="1">IFERROR(__xludf.DUMMYFUNCTION("""COMPUTED_VALUE"""),"Статия в списания и поредици")</f>
        <v>Статия в списания и поредици</v>
      </c>
      <c r="C792" s="10" t="str">
        <f ca="1">IFERROR(__xludf.DUMMYFUNCTION("""COMPUTED_VALUE"""),"Angry Deities and Heroes: Example from Thrace")</f>
        <v>Angry Deities and Heroes: Example from Thrace</v>
      </c>
      <c r="D792" s="10">
        <f ca="1">IFERROR(__xludf.DUMMYFUNCTION("""COMPUTED_VALUE"""),2019)</f>
        <v>2019</v>
      </c>
      <c r="E792" s="10" t="str">
        <f ca="1">IFERROR(__xludf.DUMMYFUNCTION("""COMPUTED_VALUE"""),"Études balkaniques. Mirabilia: Miraculous and Magical, LV/1, 24-31. ISSN 0324-1645.")</f>
        <v>Études balkaniques. Mirabilia: Miraculous and Magical, LV/1, 24-31. ISSN 0324-1645.</v>
      </c>
      <c r="F792" s="10"/>
      <c r="G792" s="10"/>
      <c r="H792" s="10"/>
      <c r="I792" s="10"/>
      <c r="J792" s="10"/>
      <c r="K792" s="10"/>
      <c r="L792" s="10"/>
      <c r="M792" s="10"/>
      <c r="N792" s="10"/>
      <c r="O792" s="10"/>
      <c r="P792" s="10"/>
      <c r="Q792" s="10"/>
      <c r="R792" s="10"/>
      <c r="S792" s="10"/>
      <c r="T792" s="10"/>
      <c r="U792" s="10"/>
      <c r="V792" s="10"/>
      <c r="W792" s="10"/>
      <c r="X792" s="10"/>
      <c r="Y792" s="10"/>
      <c r="Z792" s="10"/>
    </row>
    <row r="793" spans="1:26" ht="12.75">
      <c r="A793" s="10" t="str">
        <f ca="1">IFERROR(__xludf.DUMMYFUNCTION("""COMPUTED_VALUE"""),"Валерия Николова Фол")</f>
        <v>Валерия Николова Фол</v>
      </c>
      <c r="B793" s="10" t="str">
        <f ca="1">IFERROR(__xludf.DUMMYFUNCTION("""COMPUTED_VALUE"""),"Статия в списания и поредици")</f>
        <v>Статия в списания и поредици</v>
      </c>
      <c r="C793" s="10" t="str">
        <f ca="1">IFERROR(__xludf.DUMMYFUNCTION("""COMPUTED_VALUE"""),"Golden masks from the lands of the Odrysian Kingdom")</f>
        <v>Golden masks from the lands of the Odrysian Kingdom</v>
      </c>
      <c r="D793" s="10">
        <f ca="1">IFERROR(__xludf.DUMMYFUNCTION("""COMPUTED_VALUE"""),2019)</f>
        <v>2019</v>
      </c>
      <c r="E793" s="10" t="str">
        <f ca="1">IFERROR(__xludf.DUMMYFUNCTION("""COMPUTED_VALUE"""),"Scienze dell’Antichita, 24 – 2018, Fascicolo 3, 89-98. ISSN 1123-5713; ISBN 978-88-7140-934-4")</f>
        <v>Scienze dell’Antichita, 24 – 2018, Fascicolo 3, 89-98. ISSN 1123-5713; ISBN 978-88-7140-934-4</v>
      </c>
      <c r="F793" s="10"/>
      <c r="G793" s="10"/>
      <c r="H793" s="10"/>
      <c r="I793" s="10"/>
      <c r="J793" s="10"/>
      <c r="K793" s="10"/>
      <c r="L793" s="10"/>
      <c r="M793" s="10"/>
      <c r="N793" s="10"/>
      <c r="O793" s="10"/>
      <c r="P793" s="10"/>
      <c r="Q793" s="10"/>
      <c r="R793" s="10"/>
      <c r="S793" s="10"/>
      <c r="T793" s="10"/>
      <c r="U793" s="10"/>
      <c r="V793" s="10"/>
      <c r="W793" s="10"/>
      <c r="X793" s="10"/>
      <c r="Y793" s="10"/>
      <c r="Z793" s="10"/>
    </row>
    <row r="794" spans="1:26" ht="12.75">
      <c r="A794" s="10" t="str">
        <f ca="1">IFERROR(__xludf.DUMMYFUNCTION("""COMPUTED_VALUE"""),"Валерия Николова Фол")</f>
        <v>Валерия Николова Фол</v>
      </c>
      <c r="B794" s="10" t="str">
        <f ca="1">IFERROR(__xludf.DUMMYFUNCTION("""COMPUTED_VALUE"""),"Статия в списания и поредици")</f>
        <v>Статия в списания и поредици</v>
      </c>
      <c r="C794" s="10" t="str">
        <f ca="1">IFERROR(__xludf.DUMMYFUNCTION("""COMPUTED_VALUE"""),"Mycenaean Thrace – a theme to be continued")</f>
        <v>Mycenaean Thrace – a theme to be continued</v>
      </c>
      <c r="D794" s="10">
        <f ca="1">IFERROR(__xludf.DUMMYFUNCTION("""COMPUTED_VALUE"""),2019)</f>
        <v>2019</v>
      </c>
      <c r="E794" s="10" t="str">
        <f ca="1">IFERROR(__xludf.DUMMYFUNCTION("""COMPUTED_VALUE"""),"Thracia 24. ΕΠΟΠΤΕΙΑ In honorem annorum LXXXV Alexandri Fol, 17-28. ISSN: 0204-9872")</f>
        <v>Thracia 24. ΕΠΟΠΤΕΙΑ In honorem annorum LXXXV Alexandri Fol, 17-28. ISSN: 0204-9872</v>
      </c>
      <c r="F794" s="10"/>
      <c r="G794" s="10"/>
      <c r="H794" s="10"/>
      <c r="I794" s="10"/>
      <c r="J794" s="10"/>
      <c r="K794" s="10"/>
      <c r="L794" s="10"/>
      <c r="M794" s="10"/>
      <c r="N794" s="10"/>
      <c r="O794" s="10"/>
      <c r="P794" s="10"/>
      <c r="Q794" s="10"/>
      <c r="R794" s="10"/>
      <c r="S794" s="10"/>
      <c r="T794" s="10"/>
      <c r="U794" s="10"/>
      <c r="V794" s="10"/>
      <c r="W794" s="10"/>
      <c r="X794" s="10"/>
      <c r="Y794" s="10"/>
      <c r="Z794" s="10"/>
    </row>
    <row r="795" spans="1:26" ht="12.75">
      <c r="A795" s="10" t="str">
        <f ca="1">IFERROR(__xludf.DUMMYFUNCTION("""COMPUTED_VALUE"""),"Валерия Николова Фол")</f>
        <v>Валерия Николова Фол</v>
      </c>
      <c r="B795" s="10" t="str">
        <f ca="1">IFERROR(__xludf.DUMMYFUNCTION("""COMPUTED_VALUE"""),"Статия в списания и поредици")</f>
        <v>Статия в списания и поредици</v>
      </c>
      <c r="C795" s="10" t="str">
        <f ca="1">IFERROR(__xludf.DUMMYFUNCTION("""COMPUTED_VALUE"""),"„Маскарадът“ Отвъд")</f>
        <v>„Маскарадът“ Отвъд</v>
      </c>
      <c r="D795" s="10">
        <f ca="1">IFERROR(__xludf.DUMMYFUNCTION("""COMPUTED_VALUE"""),2019)</f>
        <v>2019</v>
      </c>
      <c r="E795" s="10" t="str">
        <f ca="1">IFERROR(__xludf.DUMMYFUNCTION("""COMPUTED_VALUE"""),"Маски и политики. Общински комплекс „Дворец на културата“. Перник, 41-45. ISSN 978-954-8944-78-6")</f>
        <v>Маски и политики. Общински комплекс „Дворец на културата“. Перник, 41-45. ISSN 978-954-8944-78-6</v>
      </c>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c r="A796" s="10" t="str">
        <f ca="1">IFERROR(__xludf.DUMMYFUNCTION("""COMPUTED_VALUE"""),"Валерия Николова Фол")</f>
        <v>Валерия Николова Фол</v>
      </c>
      <c r="B796" s="10" t="str">
        <f ca="1">IFERROR(__xludf.DUMMYFUNCTION("""COMPUTED_VALUE"""),"Статия в списания и поредици")</f>
        <v>Статия в списания и поредици</v>
      </c>
      <c r="C796" s="10" t="str">
        <f ca="1">IFERROR(__xludf.DUMMYFUNCTION("""COMPUTED_VALUE"""),"Новите технологии и социализирането на мегалитното културно наследство на община Брезово.")</f>
        <v>Новите технологии и социализирането на мегалитното културно наследство на община Брезово.</v>
      </c>
      <c r="D796" s="10">
        <f ca="1">IFERROR(__xludf.DUMMYFUNCTION("""COMPUTED_VALUE"""),2019)</f>
        <v>2019</v>
      </c>
      <c r="E796" s="10" t="str">
        <f ca="1">IFERROR(__xludf.DUMMYFUNCTION("""COMPUTED_VALUE"""),"Съвременни технологии в културно-историческото наследство., VІІ, Технически университет - София, 39-44. ISSN 2367-6523")</f>
        <v>Съвременни технологии в културно-историческото наследство., VІІ, Технически университет - София, 39-44. ISSN 2367-6523</v>
      </c>
      <c r="F796" s="10"/>
      <c r="G796" s="10" t="str">
        <f ca="1">IFERROR(__xludf.DUMMYFUNCTION("""COMPUTED_VALUE"""),"Фол, Валерия, Константинов, Олег")</f>
        <v>Фол, Валерия, Константинов, Олег</v>
      </c>
      <c r="H796" s="10"/>
      <c r="I796" s="10"/>
      <c r="J796" s="10"/>
      <c r="K796" s="10"/>
      <c r="L796" s="10"/>
      <c r="M796" s="10"/>
      <c r="N796" s="10"/>
      <c r="O796" s="10"/>
      <c r="P796" s="10"/>
      <c r="Q796" s="10"/>
      <c r="R796" s="10"/>
      <c r="S796" s="10"/>
      <c r="T796" s="10"/>
      <c r="U796" s="10"/>
      <c r="V796" s="10"/>
      <c r="W796" s="10"/>
      <c r="X796" s="10"/>
      <c r="Y796" s="10"/>
      <c r="Z796" s="10"/>
    </row>
    <row r="797" spans="1:26" ht="12.75">
      <c r="A797" s="10" t="str">
        <f ca="1">IFERROR(__xludf.DUMMYFUNCTION("""COMPUTED_VALUE"""),"Валерия Николова Фол")</f>
        <v>Валерия Николова Фол</v>
      </c>
      <c r="B797" s="10" t="str">
        <f ca="1">IFERROR(__xludf.DUMMYFUNCTION("""COMPUTED_VALUE"""),"Статия в списания и поредици")</f>
        <v>Статия в списания и поредици</v>
      </c>
      <c r="C797" s="10" t="str">
        <f ca="1">IFERROR(__xludf.DUMMYFUNCTION("""COMPUTED_VALUE"""),"Golden masks from the lands of the Odrysian Kingdom")</f>
        <v>Golden masks from the lands of the Odrysian Kingdom</v>
      </c>
      <c r="D797" s="10">
        <f ca="1">IFERROR(__xludf.DUMMYFUNCTION("""COMPUTED_VALUE"""),2019)</f>
        <v>2019</v>
      </c>
      <c r="E797" s="10" t="str">
        <f ca="1">IFERROR(__xludf.DUMMYFUNCTION("""COMPUTED_VALUE"""),"Scienze dell’Antichita, 24 – 2018, Fascicolo 3, 89-98.
 ISSN 1123-5713; ISBN 978-88-7140-934-4")</f>
        <v>Scienze dell’Antichita, 24 – 2018, Fascicolo 3, 89-98.
 ISSN 1123-5713; ISBN 978-88-7140-934-4</v>
      </c>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c r="A798" s="10" t="str">
        <f ca="1">IFERROR(__xludf.DUMMYFUNCTION("""COMPUTED_VALUE"""),"Валерия Николова Фол")</f>
        <v>Валерия Николова Фол</v>
      </c>
      <c r="B798" s="10" t="str">
        <f ca="1">IFERROR(__xludf.DUMMYFUNCTION("""COMPUTED_VALUE"""),"Статия в списания и поредици")</f>
        <v>Статия в списания и поредици</v>
      </c>
      <c r="C798" s="10" t="str">
        <f ca="1">IFERROR(__xludf.DUMMYFUNCTION("""COMPUTED_VALUE"""),"Скално-изсечените светилища и пещери в Източните Родопи в Югоизточноевропейски и Малоазийски контекст")</f>
        <v>Скално-изсечените светилища и пещери в Източните Родопи в Югоизточноевропейски и Малоазийски контекст</v>
      </c>
      <c r="D798" s="10">
        <f ca="1">IFERROR(__xludf.DUMMYFUNCTION("""COMPUTED_VALUE"""),2019)</f>
        <v>2019</v>
      </c>
      <c r="E798" s="10" t="str">
        <f ca="1">IFERROR(__xludf.DUMMYFUNCTION("""COMPUTED_VALUE"""),"Кърджали на историческата карта. Български форум за мир –Кърджали. Габрово, 55-63. ISBN 978-954-490-653-5")</f>
        <v>Кърджали на историческата карта. Български форум за мир –Кърджали. Габрово, 55-63. ISBN 978-954-490-653-5</v>
      </c>
      <c r="F798" s="10"/>
      <c r="G798" s="10"/>
      <c r="H798" s="10"/>
      <c r="I798" s="10"/>
      <c r="J798" s="10"/>
      <c r="K798" s="10"/>
      <c r="L798" s="10"/>
      <c r="M798" s="10"/>
      <c r="N798" s="10"/>
      <c r="O798" s="10"/>
      <c r="P798" s="10"/>
      <c r="Q798" s="10"/>
      <c r="R798" s="10"/>
      <c r="S798" s="10"/>
      <c r="T798" s="10"/>
      <c r="U798" s="10"/>
      <c r="V798" s="10"/>
      <c r="W798" s="10"/>
      <c r="X798" s="10"/>
      <c r="Y798" s="10"/>
      <c r="Z798" s="10"/>
    </row>
    <row r="799" spans="1:26" ht="12.75">
      <c r="A799" s="10" t="str">
        <f ca="1">IFERROR(__xludf.DUMMYFUNCTION("""COMPUTED_VALUE"""),"Валерия Николова Фол")</f>
        <v>Валерия Николова Фол</v>
      </c>
      <c r="B799" s="10" t="str">
        <f ca="1">IFERROR(__xludf.DUMMYFUNCTION("""COMPUTED_VALUE"""),"Статия в списания и поредици")</f>
        <v>Статия в списания и поредици</v>
      </c>
      <c r="C799" s="10" t="str">
        <f ca="1">IFERROR(__xludf.DUMMYFUNCTION("""COMPUTED_VALUE"""),"Вратата на залеза")</f>
        <v>Вратата на залеза</v>
      </c>
      <c r="D799" s="10">
        <f ca="1">IFERROR(__xludf.DUMMYFUNCTION("""COMPUTED_VALUE"""),2019)</f>
        <v>2019</v>
      </c>
      <c r="E799" s="10" t="str">
        <f ca="1">IFERROR(__xludf.DUMMYFUNCTION("""COMPUTED_VALUE"""),"Хармония в различията. София, 10. 12. 2019 г., За буквите - О писменехь, София, 205-216. ISSN:2367-7899")</f>
        <v>Хармония в различията. София, 10. 12. 2019 г., За буквите - О писменехь, София, 205-216. ISSN:2367-7899</v>
      </c>
      <c r="F799" s="10"/>
      <c r="G799" s="10"/>
      <c r="H799" s="10"/>
      <c r="I799" s="10"/>
      <c r="J799" s="10"/>
      <c r="K799" s="10"/>
      <c r="L799" s="10"/>
      <c r="M799" s="10"/>
      <c r="N799" s="10"/>
      <c r="O799" s="10"/>
      <c r="P799" s="10"/>
      <c r="Q799" s="10"/>
      <c r="R799" s="10"/>
      <c r="S799" s="10"/>
      <c r="T799" s="10"/>
      <c r="U799" s="10"/>
      <c r="V799" s="10"/>
      <c r="W799" s="10"/>
      <c r="X799" s="10"/>
      <c r="Y799" s="10"/>
      <c r="Z799" s="10"/>
    </row>
    <row r="800" spans="1:26" ht="12.75">
      <c r="A800" s="10" t="str">
        <f ca="1">IFERROR(__xludf.DUMMYFUNCTION("""COMPUTED_VALUE"""),"Валерия Николова Фол")</f>
        <v>Валерия Николова Фол</v>
      </c>
      <c r="B800" s="10" t="str">
        <f ca="1">IFERROR(__xludf.DUMMYFUNCTION("""COMPUTED_VALUE"""),"Статия в списания и поредици")</f>
        <v>Статия в списания и поредици</v>
      </c>
      <c r="C800" s="10" t="str">
        <f ca="1">IFERROR(__xludf.DUMMYFUNCTION("""COMPUTED_VALUE"""),"Mycenaean Thrace – a theme to be continued")</f>
        <v>Mycenaean Thrace – a theme to be continued</v>
      </c>
      <c r="D800" s="10">
        <f ca="1">IFERROR(__xludf.DUMMYFUNCTION("""COMPUTED_VALUE"""),2019)</f>
        <v>2019</v>
      </c>
      <c r="E800" s="10" t="str">
        <f ca="1">IFERROR(__xludf.DUMMYFUNCTION("""COMPUTED_VALUE"""),"In: Thracia 24. ΕΠΟΠΤΕΙΑ In honorem annorum LXXXV Alexandri Fol, 17-28. ISSN: 0204-9872")</f>
        <v>In: Thracia 24. ΕΠΟΠΤΕΙΑ In honorem annorum LXXXV Alexandri Fol, 17-28. ISSN: 0204-9872</v>
      </c>
      <c r="F800" s="10"/>
      <c r="G800" s="10"/>
      <c r="H800" s="10"/>
      <c r="I800" s="10"/>
      <c r="J800" s="10"/>
      <c r="K800" s="10"/>
      <c r="L800" s="10"/>
      <c r="M800" s="10"/>
      <c r="N800" s="10"/>
      <c r="O800" s="10"/>
      <c r="P800" s="10"/>
      <c r="Q800" s="10"/>
      <c r="R800" s="10"/>
      <c r="S800" s="10"/>
      <c r="T800" s="10"/>
      <c r="U800" s="10"/>
      <c r="V800" s="10"/>
      <c r="W800" s="10"/>
      <c r="X800" s="10"/>
      <c r="Y800" s="10"/>
      <c r="Z800" s="10"/>
    </row>
    <row r="801" spans="1:26" ht="12.75">
      <c r="A801" s="10" t="str">
        <f ca="1">IFERROR(__xludf.DUMMYFUNCTION("""COMPUTED_VALUE"""),"Валерия Николова Фол")</f>
        <v>Валерия Николова Фол</v>
      </c>
      <c r="B801" s="10" t="str">
        <f ca="1">IFERROR(__xludf.DUMMYFUNCTION("""COMPUTED_VALUE"""),"Статия в списания и поредици")</f>
        <v>Статия в списания и поредици</v>
      </c>
      <c r="C801" s="10" t="str">
        <f ca="1">IFERROR(__xludf.DUMMYFUNCTION("""COMPUTED_VALUE"""),"Природата и тракийските извънселищни топоси на вяра – акцент върху Казанлъшката долина")</f>
        <v>Природата и тракийските извънселищни топоси на вяра – акцент върху Казанлъшката долина</v>
      </c>
      <c r="D801" s="10">
        <f ca="1">IFERROR(__xludf.DUMMYFUNCTION("""COMPUTED_VALUE"""),2019)</f>
        <v>2019</v>
      </c>
      <c r="E801" s="10" t="str">
        <f ca="1">IFERROR(__xludf.DUMMYFUNCTION("""COMPUTED_VALUE"""),"Проблеми и изследвания на тракийската култура, т. 9, 60-65. ISSN 1312-8256")</f>
        <v>Проблеми и изследвания на тракийската култура, т. 9, 60-65. ISSN 1312-8256</v>
      </c>
      <c r="F801" s="10"/>
      <c r="G801" s="10"/>
      <c r="H801" s="10"/>
      <c r="I801" s="10"/>
      <c r="J801" s="10"/>
      <c r="K801" s="10"/>
      <c r="L801" s="10"/>
      <c r="M801" s="10"/>
      <c r="N801" s="10"/>
      <c r="O801" s="10"/>
      <c r="P801" s="10"/>
      <c r="Q801" s="10"/>
      <c r="R801" s="10"/>
      <c r="S801" s="10"/>
      <c r="T801" s="10"/>
      <c r="U801" s="10"/>
      <c r="V801" s="10"/>
      <c r="W801" s="10"/>
      <c r="X801" s="10"/>
      <c r="Y801" s="10"/>
      <c r="Z801" s="10"/>
    </row>
    <row r="802" spans="1:26" ht="12.75">
      <c r="A802" s="10" t="str">
        <f ca="1">IFERROR(__xludf.DUMMYFUNCTION("""COMPUTED_VALUE"""),"Валерия Николова Фол")</f>
        <v>Валерия Николова Фол</v>
      </c>
      <c r="B802" s="10" t="str">
        <f ca="1">IFERROR(__xludf.DUMMYFUNCTION("""COMPUTED_VALUE"""),"Статия в списания и поредици")</f>
        <v>Статия в списания и поредици</v>
      </c>
      <c r="C802" s="10" t="str">
        <f ca="1">IFERROR(__xludf.DUMMYFUNCTION("""COMPUTED_VALUE"""),"Ирина Шопова. Култът на Дионис в Долна Мизия и Тракия по епиграфски данни (I – III век )")</f>
        <v>Ирина Шопова. Култът на Дионис в Долна Мизия и Тракия по епиграфски данни (I – III век )</v>
      </c>
      <c r="D802" s="10">
        <f ca="1">IFERROR(__xludf.DUMMYFUNCTION("""COMPUTED_VALUE"""),2018)</f>
        <v>2018</v>
      </c>
      <c r="E802" s="10" t="str">
        <f ca="1">IFERROR(__xludf.DUMMYFUNCTION("""COMPUTED_VALUE"""),"Пловдив: Издат. Фондация „Българско историческо наследство“, 2017, 227 сс.,– Балкани 7/2018, 122–123.")</f>
        <v>Пловдив: Издат. Фондация „Българско историческо наследство“, 2017, 227 сс.,– Балкани 7/2018, 122–123.</v>
      </c>
      <c r="F802" s="10"/>
      <c r="G802" s="10"/>
      <c r="H802" s="10"/>
      <c r="I802" s="10"/>
      <c r="J802" s="10"/>
      <c r="K802" s="10"/>
      <c r="L802" s="10"/>
      <c r="M802" s="10"/>
      <c r="N802" s="10"/>
      <c r="O802" s="10"/>
      <c r="P802" s="10"/>
      <c r="Q802" s="10"/>
      <c r="R802" s="10"/>
      <c r="S802" s="10"/>
      <c r="T802" s="10"/>
      <c r="U802" s="10"/>
      <c r="V802" s="10"/>
      <c r="W802" s="10"/>
      <c r="X802" s="10"/>
      <c r="Y802" s="10"/>
      <c r="Z802" s="10"/>
    </row>
    <row r="803" spans="1:26" ht="12.75">
      <c r="A803" s="10" t="str">
        <f ca="1">IFERROR(__xludf.DUMMYFUNCTION("""COMPUTED_VALUE"""),"Валерия Николова Фол")</f>
        <v>Валерия Николова Фол</v>
      </c>
      <c r="B803" s="10" t="str">
        <f ca="1">IFERROR(__xludf.DUMMYFUNCTION("""COMPUTED_VALUE"""),"Доклад от конференция")</f>
        <v>Доклад от конференция</v>
      </c>
      <c r="C803" s="10" t="str">
        <f ca="1">IFERROR(__xludf.DUMMYFUNCTION("""COMPUTED_VALUE"""),"Интерактивен лапидариум – възможности за научни изследвания и обучение")</f>
        <v>Интерактивен лапидариум – възможности за научни изследвания и обучение</v>
      </c>
      <c r="D803" s="10">
        <f ca="1">IFERROR(__xludf.DUMMYFUNCTION("""COMPUTED_VALUE"""),2018)</f>
        <v>2018</v>
      </c>
      <c r="E803" s="10" t="str">
        <f ca="1">IFERROR(__xludf.DUMMYFUNCTION("""COMPUTED_VALUE"""),"В: Общество на знанието и хумънизмът на ХХІ век. ХV национална конференция с международно участие, София, 1 ноември 2017 г., За буквите – О исменахь, София, 298-306.ISSN 1314-7099")</f>
        <v>В: Общество на знанието и хумънизмът на ХХІ век. ХV национална конференция с международно участие, София, 1 ноември 2017 г., За буквите – О исменахь, София, 298-306.ISSN 1314-7099</v>
      </c>
      <c r="F803" s="10"/>
      <c r="G803" s="10" t="str">
        <f ca="1">IFERROR(__xludf.DUMMYFUNCTION("""COMPUTED_VALUE"""),"Олег Константинов, Калин Стоев")</f>
        <v>Олег Константинов, Калин Стоев</v>
      </c>
      <c r="H803" s="10"/>
      <c r="I803" s="10"/>
      <c r="J803" s="10"/>
      <c r="K803" s="10"/>
      <c r="L803" s="10"/>
      <c r="M803" s="10"/>
      <c r="N803" s="10"/>
      <c r="O803" s="10"/>
      <c r="P803" s="10"/>
      <c r="Q803" s="10"/>
      <c r="R803" s="10"/>
      <c r="S803" s="10"/>
      <c r="T803" s="10"/>
      <c r="U803" s="10"/>
      <c r="V803" s="10"/>
      <c r="W803" s="10"/>
      <c r="X803" s="10"/>
      <c r="Y803" s="10"/>
      <c r="Z803" s="10"/>
    </row>
    <row r="804" spans="1:26" ht="12.75">
      <c r="A804" s="10" t="str">
        <f ca="1">IFERROR(__xludf.DUMMYFUNCTION("""COMPUTED_VALUE"""),"Валерия Николова Фол")</f>
        <v>Валерия Николова Фол</v>
      </c>
      <c r="B804" s="10" t="str">
        <f ca="1">IFERROR(__xludf.DUMMYFUNCTION("""COMPUTED_VALUE"""),"Статия в списания и поредици")</f>
        <v>Статия в списания и поредици</v>
      </c>
      <c r="C804" s="10" t="str">
        <f ca="1">IFERROR(__xludf.DUMMYFUNCTION("""COMPUTED_VALUE"""),"Music in the sacred spaces of the Thracians")</f>
        <v>Music in the sacred spaces of the Thracians</v>
      </c>
      <c r="D804" s="10">
        <f ca="1">IFERROR(__xludf.DUMMYFUNCTION("""COMPUTED_VALUE"""),2018)</f>
        <v>2018</v>
      </c>
      <c r="E804" s="10" t="str">
        <f ca="1">IFERROR(__xludf.DUMMYFUNCTION("""COMPUTED_VALUE"""),"Сборник в чест на 85 години от рождението на Професор Александър Фол, д.н. Български институт по египтология – НБУ, Софияр 77-95. ISBN 978-619-01-0340-0")</f>
        <v>Сборник в чест на 85 години от рождението на Професор Александър Фол, д.н. Български институт по египтология – НБУ, Софияр 77-95. ISBN 978-619-01-0340-0</v>
      </c>
      <c r="F804" s="10"/>
      <c r="G804" s="10"/>
      <c r="H804" s="10"/>
      <c r="I804" s="10"/>
      <c r="J804" s="10"/>
      <c r="K804" s="10"/>
      <c r="L804" s="10"/>
      <c r="M804" s="10"/>
      <c r="N804" s="10"/>
      <c r="O804" s="10"/>
      <c r="P804" s="10"/>
      <c r="Q804" s="10"/>
      <c r="R804" s="10"/>
      <c r="S804" s="10"/>
      <c r="T804" s="10"/>
      <c r="U804" s="10"/>
      <c r="V804" s="10"/>
      <c r="W804" s="10"/>
      <c r="X804" s="10"/>
      <c r="Y804" s="10"/>
      <c r="Z804" s="10"/>
    </row>
    <row r="805" spans="1:26" ht="12.75">
      <c r="A805" s="10" t="str">
        <f ca="1">IFERROR(__xludf.DUMMYFUNCTION("""COMPUTED_VALUE"""),"Валерия Николова Фол")</f>
        <v>Валерия Николова Фол</v>
      </c>
      <c r="B805" s="10" t="str">
        <f ca="1">IFERROR(__xludf.DUMMYFUNCTION("""COMPUTED_VALUE"""),"Статия в списания и поредици")</f>
        <v>Статия в списания и поредици</v>
      </c>
      <c r="C805" s="10" t="str">
        <f ca="1">IFERROR(__xludf.DUMMYFUNCTION("""COMPUTED_VALUE"""),"Бележки за царската власт в Тракия")</f>
        <v>Бележки за царската власт в Тракия</v>
      </c>
      <c r="D805" s="10">
        <f ca="1">IFERROR(__xludf.DUMMYFUNCTION("""COMPUTED_VALUE"""),2018)</f>
        <v>2018</v>
      </c>
      <c r="E805" s="10" t="str">
        <f ca="1">IFERROR(__xludf.DUMMYFUNCTION("""COMPUTED_VALUE"""),"В: Thracia XXIII Thraco-Anatolica. Сборник в чест на 65 годишнината на проф. Калин Порожанов, д-р, д.н., ИБЦТ, София, 43-53. ISSN 0204-9872")</f>
        <v>В: Thracia XXIII Thraco-Anatolica. Сборник в чест на 65 годишнината на проф. Калин Порожанов, д-р, д.н., ИБЦТ, София, 43-53. ISSN 0204-9872</v>
      </c>
      <c r="F805" s="10"/>
      <c r="G805" s="10"/>
      <c r="H805" s="10"/>
      <c r="I805" s="10"/>
      <c r="J805" s="10"/>
      <c r="K805" s="10"/>
      <c r="L805" s="10"/>
      <c r="M805" s="10"/>
      <c r="N805" s="10"/>
      <c r="O805" s="10"/>
      <c r="P805" s="10"/>
      <c r="Q805" s="10"/>
      <c r="R805" s="10"/>
      <c r="S805" s="10"/>
      <c r="T805" s="10"/>
      <c r="U805" s="10"/>
      <c r="V805" s="10"/>
      <c r="W805" s="10"/>
      <c r="X805" s="10"/>
      <c r="Y805" s="10"/>
      <c r="Z805" s="10"/>
    </row>
    <row r="806" spans="1:26" ht="12.75">
      <c r="A806" s="10" t="str">
        <f ca="1">IFERROR(__xludf.DUMMYFUNCTION("""COMPUTED_VALUE"""),"Валерия Николова Фол")</f>
        <v>Валерия Николова Фол</v>
      </c>
      <c r="B806" s="10" t="str">
        <f ca="1">IFERROR(__xludf.DUMMYFUNCTION("""COMPUTED_VALUE"""),"Доклад от конференция")</f>
        <v>Доклад от конференция</v>
      </c>
      <c r="C806" s="10" t="str">
        <f ca="1">IFERROR(__xludf.DUMMYFUNCTION("""COMPUTED_VALUE"""),"The light, imaginary and real sacred space in the thracian rock - cut sanctuaries")</f>
        <v>The light, imaginary and real sacred space in the thracian rock - cut sanctuaries</v>
      </c>
      <c r="D806" s="10">
        <f ca="1">IFERROR(__xludf.DUMMYFUNCTION("""COMPUTED_VALUE"""),2018)</f>
        <v>2018</v>
      </c>
      <c r="E806" s="10" t="str">
        <f ca="1">IFERROR(__xludf.DUMMYFUNCTION("""COMPUTED_VALUE"""),"In: Gjorgjievski, D. (Ed.) 2018. Giving gifts to god: evidences of votive offerings in the sanctuaries, temples and churches. proceedings of the 1 st &amp; 2nd International archaeological conference “Kokino”, held in Skopje &amp; Kumanovo, 2016-2017. National In"&amp;"stitution Museum of Kumanovo, Kumanovo, 67-74. ISBN 978-608-4792-10-9")</f>
        <v>In: Gjorgjievski, D. (Ed.) 2018. Giving gifts to god: evidences of votive offerings in the sanctuaries, temples and churches. proceedings of the 1 st &amp; 2nd International archaeological conference “Kokino”, held in Skopje &amp; Kumanovo, 2016-2017. National Institution Museum of Kumanovo, Kumanovo, 67-74. ISBN 978-608-4792-10-9</v>
      </c>
      <c r="F806" s="10"/>
      <c r="G806" s="10"/>
      <c r="H806" s="10"/>
      <c r="I806" s="10"/>
      <c r="J806" s="10"/>
      <c r="K806" s="10"/>
      <c r="L806" s="10"/>
      <c r="M806" s="10"/>
      <c r="N806" s="10"/>
      <c r="O806" s="10"/>
      <c r="P806" s="10"/>
      <c r="Q806" s="10"/>
      <c r="R806" s="10"/>
      <c r="S806" s="10"/>
      <c r="T806" s="10"/>
      <c r="U806" s="10"/>
      <c r="V806" s="10"/>
      <c r="W806" s="10"/>
      <c r="X806" s="10"/>
      <c r="Y806" s="10"/>
      <c r="Z806" s="10"/>
    </row>
    <row r="807" spans="1:26" ht="12.75">
      <c r="A807" s="10" t="str">
        <f ca="1">IFERROR(__xludf.DUMMYFUNCTION("""COMPUTED_VALUE"""),"Валерия Николова Фол")</f>
        <v>Валерия Николова Фол</v>
      </c>
      <c r="B807" s="10" t="str">
        <f ca="1">IFERROR(__xludf.DUMMYFUNCTION("""COMPUTED_VALUE"""),"Доклад от конференция")</f>
        <v>Доклад от конференция</v>
      </c>
      <c r="C807" s="10" t="str">
        <f ca="1">IFERROR(__xludf.DUMMYFUNCTION("""COMPUTED_VALUE"""),"Interactive Lapidarium – Opportunities for Research and Training")</f>
        <v>Interactive Lapidarium – Opportunities for Research and Training</v>
      </c>
      <c r="D807" s="10">
        <f ca="1">IFERROR(__xludf.DUMMYFUNCTION("""COMPUTED_VALUE"""),2018)</f>
        <v>2018</v>
      </c>
      <c r="E807" s="10" t="str">
        <f ca="1">IFERROR(__xludf.DUMMYFUNCTION("""COMPUTED_VALUE"""),"International Coferance ICE / ITMC Advances on Digital Cultural Heritage, Madeira, Portugal, June 28, 2017, Revised Selected Papers, © Springer International Publishing AG, part of Springer Nature 2018; M. Ioannides et al. (Eds.): Digital Cultural Heritag"&amp;"e 2017, LNCS 10754, pp. 1–11; https://doi.org/10.1007/978-3-319-75789-6_10, 130-140.")</f>
        <v>International Coferance ICE / ITMC Advances on Digital Cultural Heritage, Madeira, Portugal, June 28, 2017, Revised Selected Papers, © Springer International Publishing AG, part of Springer Nature 2018; M. Ioannides et al. (Eds.): Digital Cultural Heritage 2017, LNCS 10754, pp. 1–11; https://doi.org/10.1007/978-3-319-75789-6_10, 130-140.</v>
      </c>
      <c r="F807" s="10"/>
      <c r="G807" s="10" t="str">
        <f ca="1">IFERROR(__xludf.DUMMYFUNCTION("""COMPUTED_VALUE"""),"Konstantinov, O., Stoev, K.")</f>
        <v>Konstantinov, O., Stoev, K.</v>
      </c>
      <c r="H807" s="10"/>
      <c r="I807" s="10"/>
      <c r="J807" s="10"/>
      <c r="K807" s="10"/>
      <c r="L807" s="10"/>
      <c r="M807" s="10"/>
      <c r="N807" s="10"/>
      <c r="O807" s="10"/>
      <c r="P807" s="10"/>
      <c r="Q807" s="10"/>
      <c r="R807" s="10"/>
      <c r="S807" s="10"/>
      <c r="T807" s="10"/>
      <c r="U807" s="10"/>
      <c r="V807" s="10"/>
      <c r="W807" s="10"/>
      <c r="X807" s="10"/>
      <c r="Y807" s="10"/>
      <c r="Z807" s="10"/>
    </row>
    <row r="808" spans="1:26" ht="12.75">
      <c r="A808" s="10" t="str">
        <f ca="1">IFERROR(__xludf.DUMMYFUNCTION("""COMPUTED_VALUE"""),"Валерия Николова Фол")</f>
        <v>Валерия Николова Фол</v>
      </c>
      <c r="B808" s="10" t="str">
        <f ca="1">IFERROR(__xludf.DUMMYFUNCTION("""COMPUTED_VALUE"""),"Статия в списания и поредици")</f>
        <v>Статия в списания и поредици</v>
      </c>
      <c r="C808" s="10" t="str">
        <f ca="1">IFERROR(__xludf.DUMMYFUNCTION("""COMPUTED_VALUE"""),"The light, imaginary and real sacred space in the thracian rock - cut sanctuaries")</f>
        <v>The light, imaginary and real sacred space in the thracian rock - cut sanctuaries</v>
      </c>
      <c r="D808" s="10">
        <f ca="1">IFERROR(__xludf.DUMMYFUNCTION("""COMPUTED_VALUE"""),2018)</f>
        <v>2018</v>
      </c>
      <c r="E808" s="10" t="str">
        <f ca="1">IFERROR(__xludf.DUMMYFUNCTION("""COMPUTED_VALUE"""),"Gjorgjievski, D. (Ed.) 2018. Giving gifts to god: evidences of votive offerings in the sanctuaries, temples and churches. proceedings of the 1 st &amp; 2nd International archaeological conference “Kokino”, held in Skopje &amp; Kumanovo, 2016-2017. National Instit"&amp;"ution Museum of Kumanovo, Kumanovo, 67-74")</f>
        <v>Gjorgjievski, D. (Ed.) 2018. Giving gifts to god: evidences of votive offerings in the sanctuaries, temples and churches. proceedings of the 1 st &amp; 2nd International archaeological conference “Kokino”, held in Skopje &amp; Kumanovo, 2016-2017. National Institution Museum of Kumanovo, Kumanovo, 67-74</v>
      </c>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c r="A809" s="10" t="str">
        <f ca="1">IFERROR(__xludf.DUMMYFUNCTION("""COMPUTED_VALUE"""),"Валерия Николова Фол")</f>
        <v>Валерия Николова Фол</v>
      </c>
      <c r="B809" s="10" t="str">
        <f ca="1">IFERROR(__xludf.DUMMYFUNCTION("""COMPUTED_VALUE"""),"Статия в списания и поредици")</f>
        <v>Статия в списания и поредици</v>
      </c>
      <c r="C809" s="10" t="str">
        <f ca="1">IFERROR(__xludf.DUMMYFUNCTION("""COMPUTED_VALUE"""),"Резос – литературен образ или литературизирана представа за конника-херой на траките")</f>
        <v>Резос – литературен образ или литературизирана представа за конника-херой на траките</v>
      </c>
      <c r="D809" s="10">
        <f ca="1">IFERROR(__xludf.DUMMYFUNCTION("""COMPUTED_VALUE"""),2017)</f>
        <v>2017</v>
      </c>
      <c r="E809" s="10" t="str">
        <f ca="1">IFERROR(__xludf.DUMMYFUNCTION("""COMPUTED_VALUE"""),"Thracia 22")</f>
        <v>Thracia 22</v>
      </c>
      <c r="F809" s="10"/>
      <c r="G809" s="10"/>
      <c r="H809" s="10"/>
      <c r="I809" s="10"/>
      <c r="J809" s="10"/>
      <c r="K809" s="10"/>
      <c r="L809" s="10"/>
      <c r="M809" s="10"/>
      <c r="N809" s="10"/>
      <c r="O809" s="10"/>
      <c r="P809" s="10"/>
      <c r="Q809" s="10"/>
      <c r="R809" s="10"/>
      <c r="S809" s="10"/>
      <c r="T809" s="10"/>
      <c r="U809" s="10"/>
      <c r="V809" s="10"/>
      <c r="W809" s="10"/>
      <c r="X809" s="10"/>
      <c r="Y809" s="10"/>
      <c r="Z809" s="10"/>
    </row>
    <row r="810" spans="1:26" ht="12.75">
      <c r="A810" s="10" t="str">
        <f ca="1">IFERROR(__xludf.DUMMYFUNCTION("""COMPUTED_VALUE"""),"Валерия Николова Фол")</f>
        <v>Валерия Николова Фол</v>
      </c>
      <c r="B810" s="10" t="str">
        <f ca="1">IFERROR(__xludf.DUMMYFUNCTION("""COMPUTED_VALUE"""),"Доклад от конференция")</f>
        <v>Доклад от конференция</v>
      </c>
      <c r="C810" s="10" t="str">
        <f ca="1">IFERROR(__xludf.DUMMYFUNCTION("""COMPUTED_VALUE"""),"Методология на археоакустичните изследвания")</f>
        <v>Методология на археоакустичните изследвания</v>
      </c>
      <c r="D810" s="10">
        <f ca="1">IFERROR(__xludf.DUMMYFUNCTION("""COMPUTED_VALUE"""),2017)</f>
        <v>2017</v>
      </c>
      <c r="E810" s="10" t="str">
        <f ca="1">IFERROR(__xludf.DUMMYFUNCTION("""COMPUTED_VALUE"""),"Сборник с доклади от годишна университетска научна конференция с международно участие 01- 02 Юни 2017, Национален военен университет – Велико Търново, 1-5 юни 2017 г. Велико Търново, 195-204")</f>
        <v>Сборник с доклади от годишна университетска научна конференция с международно участие 01- 02 Юни 2017, Национален военен университет – Велико Търново, 1-5 юни 2017 г. Велико Търново, 195-204</v>
      </c>
      <c r="F810" s="10"/>
      <c r="G810" s="10" t="str">
        <f ca="1">IFERROR(__xludf.DUMMYFUNCTION("""COMPUTED_VALUE"""),"Алексиев,А., Димков, Г., Нехризов, Г., Симеонов, И., Трифонов, Т., Драганов, Х.")</f>
        <v>Алексиев,А., Димков, Г., Нехризов, Г., Симеонов, И., Трифонов, Т., Драганов, Х.</v>
      </c>
      <c r="H810" s="10"/>
      <c r="I810" s="10"/>
      <c r="J810" s="10"/>
      <c r="K810" s="10"/>
      <c r="L810" s="10"/>
      <c r="M810" s="10"/>
      <c r="N810" s="10"/>
      <c r="O810" s="10"/>
      <c r="P810" s="10"/>
      <c r="Q810" s="10"/>
      <c r="R810" s="10"/>
      <c r="S810" s="10"/>
      <c r="T810" s="10"/>
      <c r="U810" s="10"/>
      <c r="V810" s="10"/>
      <c r="W810" s="10"/>
      <c r="X810" s="10"/>
      <c r="Y810" s="10"/>
      <c r="Z810" s="10"/>
    </row>
    <row r="811" spans="1:26" ht="12.75">
      <c r="A811" s="10" t="str">
        <f ca="1">IFERROR(__xludf.DUMMYFUNCTION("""COMPUTED_VALUE"""),"Валерия Николова Фол")</f>
        <v>Валерия Николова Фол</v>
      </c>
      <c r="B811" s="10" t="str">
        <f ca="1">IFERROR(__xludf.DUMMYFUNCTION("""COMPUTED_VALUE"""),"Статия в списания и поредици")</f>
        <v>Статия в списания и поредици</v>
      </c>
      <c r="C811" s="10" t="str">
        <f ca="1">IFERROR(__xludf.DUMMYFUNCTION("""COMPUTED_VALUE"""),"45 години от създаването на Института по тракология към Българската академия на науките")</f>
        <v>45 години от създаването на Института по тракология към Българската академия на науките</v>
      </c>
      <c r="D811" s="10">
        <f ca="1">IFERROR(__xludf.DUMMYFUNCTION("""COMPUTED_VALUE"""),2017)</f>
        <v>2017</v>
      </c>
      <c r="E811" s="10" t="str">
        <f ca="1">IFERROR(__xludf.DUMMYFUNCTION("""COMPUTED_VALUE"""),"сп. Наука, 3, Съюз на учените в България, 51-57")</f>
        <v>сп. Наука, 3, Съюз на учените в България, 51-57</v>
      </c>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c r="A812" s="10" t="str">
        <f ca="1">IFERROR(__xludf.DUMMYFUNCTION("""COMPUTED_VALUE"""),"Валерия Николова Фол")</f>
        <v>Валерия Николова Фол</v>
      </c>
      <c r="B812" s="10" t="str">
        <f ca="1">IFERROR(__xludf.DUMMYFUNCTION("""COMPUTED_VALUE"""),"Статия в списания и поредици")</f>
        <v>Статия в списания и поредици</v>
      </c>
      <c r="C812" s="10" t="str">
        <f ca="1">IFERROR(__xludf.DUMMYFUNCTION("""COMPUTED_VALUE"""),"Светлината и мракът в топоси на свещеното на траките")</f>
        <v>Светлината и мракът в топоси на свещеното на траките</v>
      </c>
      <c r="D812" s="10">
        <f ca="1">IFERROR(__xludf.DUMMYFUNCTION("""COMPUTED_VALUE"""),2017)</f>
        <v>2017</v>
      </c>
      <c r="E812" s="10" t="str">
        <f ca="1">IFERROR(__xludf.DUMMYFUNCTION("""COMPUTED_VALUE"""),"Сборник в чест на ХХ години програми по египтология в Нов български университет. Институт по египтология – НБУ, София, 53-60")</f>
        <v>Сборник в чест на ХХ години програми по египтология в Нов български университет. Институт по египтология – НБУ, София, 53-60</v>
      </c>
      <c r="F812" s="10"/>
      <c r="G812" s="10"/>
      <c r="H812" s="10"/>
      <c r="I812" s="10"/>
      <c r="J812" s="10"/>
      <c r="K812" s="10"/>
      <c r="L812" s="10"/>
      <c r="M812" s="10"/>
      <c r="N812" s="10"/>
      <c r="O812" s="10"/>
      <c r="P812" s="10"/>
      <c r="Q812" s="10"/>
      <c r="R812" s="10"/>
      <c r="S812" s="10"/>
      <c r="T812" s="10"/>
      <c r="U812" s="10"/>
      <c r="V812" s="10"/>
      <c r="W812" s="10"/>
      <c r="X812" s="10"/>
      <c r="Y812" s="10"/>
      <c r="Z812" s="10"/>
    </row>
    <row r="813" spans="1:26" ht="12.75">
      <c r="A813" s="10" t="str">
        <f ca="1">IFERROR(__xludf.DUMMYFUNCTION("""COMPUTED_VALUE"""),"Валерия Николова Фол")</f>
        <v>Валерия Николова Фол</v>
      </c>
      <c r="B813" s="10" t="str">
        <f ca="1">IFERROR(__xludf.DUMMYFUNCTION("""COMPUTED_VALUE"""),"Доклад от конференция")</f>
        <v>Доклад от конференция</v>
      </c>
      <c r="C813" s="10" t="str">
        <f ca="1">IFERROR(__xludf.DUMMYFUNCTION("""COMPUTED_VALUE"""),"Acoustic Characteristics of Sacral Thracian Sites.")</f>
        <v>Acoustic Characteristics of Sacral Thracian Sites.</v>
      </c>
      <c r="D813" s="10">
        <f ca="1">IFERROR(__xludf.DUMMYFUNCTION("""COMPUTED_VALUE"""),2016)</f>
        <v>2016</v>
      </c>
      <c r="E813" s="10" t="str">
        <f ca="1">IFERROR(__xludf.DUMMYFUNCTION("""COMPUTED_VALUE"""),"AIS 2016 - 11th International Symposium on Applied Informatics and Related Areas, November 17, 2016, Szekesfehervar, Hungary, 84")</f>
        <v>AIS 2016 - 11th International Symposium on Applied Informatics and Related Areas, November 17, 2016, Szekesfehervar, Hungary, 84</v>
      </c>
      <c r="F813" s="10"/>
      <c r="G813" s="10" t="str">
        <f ca="1">IFERROR(__xludf.DUMMYFUNCTION("""COMPUTED_VALUE"""),"György, G., Trifonov, T., Alexiev, A., Ivan S. Ivanov, I. S.")</f>
        <v>György, G., Trifonov, T., Alexiev, A., Ivan S. Ivanov, I. S.</v>
      </c>
      <c r="H813" s="10"/>
      <c r="I813" s="10"/>
      <c r="J813" s="10"/>
      <c r="K813" s="10"/>
      <c r="L813" s="10"/>
      <c r="M813" s="10"/>
      <c r="N813" s="10"/>
      <c r="O813" s="10"/>
      <c r="P813" s="10"/>
      <c r="Q813" s="10"/>
      <c r="R813" s="10"/>
      <c r="S813" s="10"/>
      <c r="T813" s="10"/>
      <c r="U813" s="10"/>
      <c r="V813" s="10"/>
      <c r="W813" s="10"/>
      <c r="X813" s="10"/>
      <c r="Y813" s="10"/>
      <c r="Z813" s="10"/>
    </row>
    <row r="814" spans="1:26" ht="12.75">
      <c r="A814" s="10" t="str">
        <f ca="1">IFERROR(__xludf.DUMMYFUNCTION("""COMPUTED_VALUE"""),"Валерия Николова Фол")</f>
        <v>Валерия Николова Фол</v>
      </c>
      <c r="B814" s="10" t="str">
        <f ca="1">IFERROR(__xludf.DUMMYFUNCTION("""COMPUTED_VALUE"""),"Статия в списания и поредици")</f>
        <v>Статия в списания и поредици</v>
      </c>
      <c r="C814" s="10" t="str">
        <f ca="1">IFERROR(__xludf.DUMMYFUNCTION("""COMPUTED_VALUE"""),"Дигиталният продукт като част от музейното пространство: представяне на дигитален продукт „Древна Тракия – врата към безсмъртието“")</f>
        <v>Дигиталният продукт като част от музейното пространство: представяне на дигитален продукт „Древна Тракия – врата към безсмъртието“</v>
      </c>
      <c r="D814" s="10">
        <f ca="1">IFERROR(__xludf.DUMMYFUNCTION("""COMPUTED_VALUE"""),2016)</f>
        <v>2016</v>
      </c>
      <c r="E814" s="10" t="str">
        <f ca="1">IFERROR(__xludf.DUMMYFUNCTION("""COMPUTED_VALUE"""),"Проблеми и изследвания на тракийската култура, том 8")</f>
        <v>Проблеми и изследвания на тракийската култура, том 8</v>
      </c>
      <c r="F814" s="10"/>
      <c r="G814" s="10" t="str">
        <f ca="1">IFERROR(__xludf.DUMMYFUNCTION("""COMPUTED_VALUE"""),"Р. Попова")</f>
        <v>Р. Попова</v>
      </c>
      <c r="H814" s="10"/>
      <c r="I814" s="10"/>
      <c r="J814" s="10"/>
      <c r="K814" s="10"/>
      <c r="L814" s="10"/>
      <c r="M814" s="10"/>
      <c r="N814" s="10"/>
      <c r="O814" s="10"/>
      <c r="P814" s="10"/>
      <c r="Q814" s="10"/>
      <c r="R814" s="10"/>
      <c r="S814" s="10"/>
      <c r="T814" s="10"/>
      <c r="U814" s="10"/>
      <c r="V814" s="10"/>
      <c r="W814" s="10"/>
      <c r="X814" s="10"/>
      <c r="Y814" s="10"/>
      <c r="Z814" s="10"/>
    </row>
    <row r="815" spans="1:26" ht="12.75">
      <c r="A815" s="10" t="str">
        <f ca="1">IFERROR(__xludf.DUMMYFUNCTION("""COMPUTED_VALUE"""),"Валерия Николова Фол")</f>
        <v>Валерия Николова Фол</v>
      </c>
      <c r="B815" s="10" t="str">
        <f ca="1">IFERROR(__xludf.DUMMYFUNCTION("""COMPUTED_VALUE"""),"Книга")</f>
        <v>Книга</v>
      </c>
      <c r="C815" s="10" t="str">
        <f ca="1">IFERROR(__xludf.DUMMYFUNCTION("""COMPUTED_VALUE"""),"Les royomes thraces au-delà des légendes")</f>
        <v>Les royomes thraces au-delà des légendes</v>
      </c>
      <c r="D815" s="10">
        <f ca="1">IFERROR(__xludf.DUMMYFUNCTION("""COMPUTED_VALUE"""),2016)</f>
        <v>2016</v>
      </c>
      <c r="E815" s="10" t="str">
        <f ca="1">IFERROR(__xludf.DUMMYFUNCTION("""COMPUTED_VALUE"""),"Nouvelle école, numéro 65, 169-197.")</f>
        <v>Nouvelle école, numéro 65, 169-197.</v>
      </c>
      <c r="F815" s="10"/>
      <c r="G815" s="10"/>
      <c r="H815" s="10"/>
      <c r="I815" s="10"/>
      <c r="J815" s="10"/>
      <c r="K815" s="10"/>
      <c r="L815" s="10"/>
      <c r="M815" s="10"/>
      <c r="N815" s="10"/>
      <c r="O815" s="10"/>
      <c r="P815" s="10"/>
      <c r="Q815" s="10"/>
      <c r="R815" s="10"/>
      <c r="S815" s="10"/>
      <c r="T815" s="10"/>
      <c r="U815" s="10"/>
      <c r="V815" s="10"/>
      <c r="W815" s="10"/>
      <c r="X815" s="10"/>
      <c r="Y815" s="10"/>
      <c r="Z815" s="10"/>
    </row>
    <row r="816" spans="1:26" ht="12.75">
      <c r="A816" s="10" t="str">
        <f ca="1">IFERROR(__xludf.DUMMYFUNCTION("""COMPUTED_VALUE"""),"Валерия Николова Фол")</f>
        <v>Валерия Николова Фол</v>
      </c>
      <c r="B816" s="10" t="str">
        <f ca="1">IFERROR(__xludf.DUMMYFUNCTION("""COMPUTED_VALUE"""),"Статия в списания и поредици")</f>
        <v>Статия в списания и поредици</v>
      </c>
      <c r="C816" s="10" t="str">
        <f ca="1">IFERROR(__xludf.DUMMYFUNCTION("""COMPUTED_VALUE"""),"Masks and the World Beyond")</f>
        <v>Masks and the World Beyond</v>
      </c>
      <c r="D816" s="10">
        <f ca="1">IFERROR(__xludf.DUMMYFUNCTION("""COMPUTED_VALUE"""),2016)</f>
        <v>2016</v>
      </c>
      <c r="E816" s="10" t="str">
        <f ca="1">IFERROR(__xludf.DUMMYFUNCTION("""COMPUTED_VALUE"""),"Hulubaș, A., Repciuc, I. (Ed.) 2016. The Rites of Passage Time after Time, Iaşi, 376-389")</f>
        <v>Hulubaș, A., Repciuc, I. (Ed.) 2016. The Rites of Passage Time after Time, Iaşi, 376-389</v>
      </c>
      <c r="F816" s="10"/>
      <c r="G816" s="10"/>
      <c r="H816" s="10"/>
      <c r="I816" s="10"/>
      <c r="J816" s="10"/>
      <c r="K816" s="10"/>
      <c r="L816" s="10"/>
      <c r="M816" s="10"/>
      <c r="N816" s="10"/>
      <c r="O816" s="10"/>
      <c r="P816" s="10"/>
      <c r="Q816" s="10"/>
      <c r="R816" s="10"/>
      <c r="S816" s="10"/>
      <c r="T816" s="10"/>
      <c r="U816" s="10"/>
      <c r="V816" s="10"/>
      <c r="W816" s="10"/>
      <c r="X816" s="10"/>
      <c r="Y816" s="10"/>
      <c r="Z816" s="10"/>
    </row>
    <row r="817" spans="1:26" ht="12.75">
      <c r="A817" s="10" t="str">
        <f ca="1">IFERROR(__xludf.DUMMYFUNCTION("""COMPUTED_VALUE"""),"Валерия Николова Фол")</f>
        <v>Валерия Николова Фол</v>
      </c>
      <c r="B817" s="10" t="str">
        <f ca="1">IFERROR(__xludf.DUMMYFUNCTION("""COMPUTED_VALUE"""),"Статия в списания и поредици")</f>
        <v>Статия в списания и поредици</v>
      </c>
      <c r="C817" s="10" t="str">
        <f ca="1">IFERROR(__xludf.DUMMYFUNCTION("""COMPUTED_VALUE"""),"Пейзаж и вяра.")</f>
        <v>Пейзаж и вяра.</v>
      </c>
      <c r="D817" s="10">
        <f ca="1">IFERROR(__xludf.DUMMYFUNCTION("""COMPUTED_VALUE"""),2016)</f>
        <v>2016</v>
      </c>
      <c r="E817" s="10" t="str">
        <f ca="1">IFERROR(__xludf.DUMMYFUNCTION("""COMPUTED_VALUE"""),"Thracia 21 „Древна Тракия през І хил.пр.Хр. Икономика, политика, общество, култура”, БАН, София, 295-306")</f>
        <v>Thracia 21 „Древна Тракия през І хил.пр.Хр. Икономика, политика, общество, култура”, БАН, София, 295-306</v>
      </c>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c r="A818" s="10" t="str">
        <f ca="1">IFERROR(__xludf.DUMMYFUNCTION("""COMPUTED_VALUE"""),"Валерия Николова Фол")</f>
        <v>Валерия Николова Фол</v>
      </c>
      <c r="B818" s="10" t="str">
        <f ca="1">IFERROR(__xludf.DUMMYFUNCTION("""COMPUTED_VALUE"""),"Доклад от конференция")</f>
        <v>Доклад от конференция</v>
      </c>
      <c r="C818" s="10" t="str">
        <f ca="1">IFERROR(__xludf.DUMMYFUNCTION("""COMPUTED_VALUE"""),"Megalithic Monuments in Sarnena Gora, Brezovo Municipality")</f>
        <v>Megalithic Monuments in Sarnena Gora, Brezovo Municipality</v>
      </c>
      <c r="D818" s="10">
        <f ca="1">IFERROR(__xludf.DUMMYFUNCTION("""COMPUTED_VALUE"""),2016)</f>
        <v>2016</v>
      </c>
      <c r="E818" s="10" t="str">
        <f ca="1">IFERROR(__xludf.DUMMYFUNCTION("""COMPUTED_VALUE"""),"Megalithic Monuments and Cult Practices. Proceeding of the Second International Symposium “Megalithic Monuments and Cult Practices” Blagoevgrad, 12-15 October 2016, Neofit Rilski University Press, Blagoevgrad, 9-16")</f>
        <v>Megalithic Monuments and Cult Practices. Proceeding of the Second International Symposium “Megalithic Monuments and Cult Practices” Blagoevgrad, 12-15 October 2016, Neofit Rilski University Press, Blagoevgrad, 9-16</v>
      </c>
      <c r="F818" s="10"/>
      <c r="G818" s="10" t="str">
        <f ca="1">IFERROR(__xludf.DUMMYFUNCTION("""COMPUTED_VALUE"""),"Konstantinov, О.")</f>
        <v>Konstantinov, О.</v>
      </c>
      <c r="H818" s="10"/>
      <c r="I818" s="10"/>
      <c r="J818" s="10"/>
      <c r="K818" s="10"/>
      <c r="L818" s="10"/>
      <c r="M818" s="10"/>
      <c r="N818" s="10"/>
      <c r="O818" s="10"/>
      <c r="P818" s="10"/>
      <c r="Q818" s="10"/>
      <c r="R818" s="10"/>
      <c r="S818" s="10"/>
      <c r="T818" s="10"/>
      <c r="U818" s="10"/>
      <c r="V818" s="10"/>
      <c r="W818" s="10"/>
      <c r="X818" s="10"/>
      <c r="Y818" s="10"/>
      <c r="Z818" s="10"/>
    </row>
    <row r="819" spans="1:26" ht="12.75">
      <c r="A819" s="10" t="str">
        <f ca="1">IFERROR(__xludf.DUMMYFUNCTION("""COMPUTED_VALUE"""),"Валерия Николова Фол")</f>
        <v>Валерия Николова Фол</v>
      </c>
      <c r="B819" s="10" t="str">
        <f ca="1">IFERROR(__xludf.DUMMYFUNCTION("""COMPUTED_VALUE"""),"Статия в списания и поредици")</f>
        <v>Статия в списания и поредици</v>
      </c>
      <c r="C819" s="10" t="str">
        <f ca="1">IFERROR(__xludf.DUMMYFUNCTION("""COMPUTED_VALUE"""),"Великата богиня-майка и чудовището Кенхринес")</f>
        <v>Великата богиня-майка и чудовището Кенхринес</v>
      </c>
      <c r="D819" s="10">
        <f ca="1">IFERROR(__xludf.DUMMYFUNCTION("""COMPUTED_VALUE"""),2016)</f>
        <v>2016</v>
      </c>
      <c r="E819" s="10" t="str">
        <f ca="1">IFERROR(__xludf.DUMMYFUNCTION("""COMPUTED_VALUE"""),"Mirabililia: Чудеса и чудовища. (= Studia Balkanica 31)")</f>
        <v>Mirabililia: Чудеса и чудовища. (= Studia Balkanica 31)</v>
      </c>
      <c r="F819" s="10"/>
      <c r="G819" s="10"/>
      <c r="H819" s="10"/>
      <c r="I819" s="10"/>
      <c r="J819" s="10"/>
      <c r="K819" s="10"/>
      <c r="L819" s="10"/>
      <c r="M819" s="10"/>
      <c r="N819" s="10"/>
      <c r="O819" s="10"/>
      <c r="P819" s="10"/>
      <c r="Q819" s="10"/>
      <c r="R819" s="10"/>
      <c r="S819" s="10"/>
      <c r="T819" s="10"/>
      <c r="U819" s="10"/>
      <c r="V819" s="10"/>
      <c r="W819" s="10"/>
      <c r="X819" s="10"/>
      <c r="Y819" s="10"/>
      <c r="Z819" s="10"/>
    </row>
    <row r="820" spans="1:26" ht="12.75">
      <c r="A820" s="10" t="str">
        <f ca="1">IFERROR(__xludf.DUMMYFUNCTION("""COMPUTED_VALUE"""),"Валерия Николова Фол")</f>
        <v>Валерия Николова Фол</v>
      </c>
      <c r="B820" s="10" t="str">
        <f ca="1">IFERROR(__xludf.DUMMYFUNCTION("""COMPUTED_VALUE"""),"Доклад от конференция")</f>
        <v>Доклад от конференция</v>
      </c>
      <c r="C820" s="10" t="str">
        <f ca="1">IFERROR(__xludf.DUMMYFUNCTION("""COMPUTED_VALUE"""),"The Sacred Spaces in Bulgarian Part of Strandja Mountain – an Interactive Multimedia Product")</f>
        <v>The Sacred Spaces in Bulgarian Part of Strandja Mountain – an Interactive Multimedia Product</v>
      </c>
      <c r="D820" s="10">
        <f ca="1">IFERROR(__xludf.DUMMYFUNCTION("""COMPUTED_VALUE"""),2016)</f>
        <v>2016</v>
      </c>
      <c r="E820" s="10" t="str">
        <f ca="1">IFERROR(__xludf.DUMMYFUNCTION("""COMPUTED_VALUE"""),"Technology Advanced Quality Learning for ALL. UNESCO International Workshop. Selected Papers. Sofia, 102-106")</f>
        <v>Technology Advanced Quality Learning for ALL. UNESCO International Workshop. Selected Papers. Sofia, 102-106</v>
      </c>
      <c r="F820" s="10"/>
      <c r="G820" s="10" t="str">
        <f ca="1">IFERROR(__xludf.DUMMYFUNCTION("""COMPUTED_VALUE"""),"Konstantinov, O.")</f>
        <v>Konstantinov, O.</v>
      </c>
      <c r="H820" s="10"/>
      <c r="I820" s="10"/>
      <c r="J820" s="10"/>
      <c r="K820" s="10"/>
      <c r="L820" s="10"/>
      <c r="M820" s="10"/>
      <c r="N820" s="10"/>
      <c r="O820" s="10"/>
      <c r="P820" s="10"/>
      <c r="Q820" s="10"/>
      <c r="R820" s="10"/>
      <c r="S820" s="10"/>
      <c r="T820" s="10"/>
      <c r="U820" s="10"/>
      <c r="V820" s="10"/>
      <c r="W820" s="10"/>
      <c r="X820" s="10"/>
      <c r="Y820" s="10"/>
      <c r="Z820" s="10"/>
    </row>
    <row r="821" spans="1:26" ht="12.75">
      <c r="A821" s="10" t="str">
        <f ca="1">IFERROR(__xludf.DUMMYFUNCTION("""COMPUTED_VALUE"""),"Валерия Николова Фол")</f>
        <v>Валерия Николова Фол</v>
      </c>
      <c r="B821" s="10" t="str">
        <f ca="1">IFERROR(__xludf.DUMMYFUNCTION("""COMPUTED_VALUE"""),"Статия в списания и поредици")</f>
        <v>Статия в списания и поредици</v>
      </c>
      <c r="C821" s="10" t="str">
        <f ca="1">IFERROR(__xludf.DUMMYFUNCTION("""COMPUTED_VALUE"""),"The great goddess-mother and the monster kenchrines.")</f>
        <v>The great goddess-mother and the monster kenchrines.</v>
      </c>
      <c r="D821" s="10">
        <f ca="1">IFERROR(__xludf.DUMMYFUNCTION("""COMPUTED_VALUE"""),2016)</f>
        <v>2016</v>
      </c>
      <c r="E821" s="10" t="str">
        <f ca="1">IFERROR(__xludf.DUMMYFUNCTION("""COMPUTED_VALUE"""),"Etudes balcaniques LII")</f>
        <v>Etudes balcaniques LII</v>
      </c>
      <c r="F821" s="10"/>
      <c r="G821" s="10"/>
      <c r="H821" s="10"/>
      <c r="I821" s="10"/>
      <c r="J821" s="10"/>
      <c r="K821" s="10"/>
      <c r="L821" s="10"/>
      <c r="M821" s="10"/>
      <c r="N821" s="10"/>
      <c r="O821" s="10"/>
      <c r="P821" s="10"/>
      <c r="Q821" s="10"/>
      <c r="R821" s="10"/>
      <c r="S821" s="10"/>
      <c r="T821" s="10"/>
      <c r="U821" s="10"/>
      <c r="V821" s="10"/>
      <c r="W821" s="10"/>
      <c r="X821" s="10"/>
      <c r="Y821" s="10"/>
      <c r="Z821" s="10"/>
    </row>
    <row r="822" spans="1:26" ht="12.75">
      <c r="A822" s="10" t="str">
        <f ca="1">IFERROR(__xludf.DUMMYFUNCTION("""COMPUTED_VALUE"""),"Валерия Николова Фол")</f>
        <v>Валерия Николова Фол</v>
      </c>
      <c r="B822" s="10" t="str">
        <f ca="1">IFERROR(__xludf.DUMMYFUNCTION("""COMPUTED_VALUE"""),"Статия в списания и поредици")</f>
        <v>Статия в списания и поредици</v>
      </c>
      <c r="C822" s="10" t="str">
        <f ca="1">IFERROR(__xludf.DUMMYFUNCTION("""COMPUTED_VALUE"""),"Култът към Слънцебога в Тракия в средимезноморски и малоазийски контекст..")</f>
        <v>Култът към Слънцебога в Тракия в средимезноморски и малоазийски контекст..</v>
      </c>
      <c r="D822" s="10">
        <f ca="1">IFERROR(__xludf.DUMMYFUNCTION("""COMPUTED_VALUE"""),2015)</f>
        <v>2015</v>
      </c>
      <c r="E822" s="10" t="str">
        <f ca="1">IFERROR(__xludf.DUMMYFUNCTION("""COMPUTED_VALUE"""),"Доклади от национална научна конференция ""Поломието - находки, събития и личности"", 29-30 май 2014 г., Фабер, Велико Търново., 2015, 588-594")</f>
        <v>Доклади от национална научна конференция "Поломието - находки, събития и личности", 29-30 май 2014 г., Фабер, Велико Търново., 2015, 588-594</v>
      </c>
      <c r="F822" s="10"/>
      <c r="G822" s="10"/>
      <c r="H822" s="10"/>
      <c r="I822" s="10"/>
      <c r="J822" s="10"/>
      <c r="K822" s="10"/>
      <c r="L822" s="10"/>
      <c r="M822" s="10"/>
      <c r="N822" s="10"/>
      <c r="O822" s="10"/>
      <c r="P822" s="10"/>
      <c r="Q822" s="10"/>
      <c r="R822" s="10"/>
      <c r="S822" s="10"/>
      <c r="T822" s="10"/>
      <c r="U822" s="10"/>
      <c r="V822" s="10"/>
      <c r="W822" s="10"/>
      <c r="X822" s="10"/>
      <c r="Y822" s="10"/>
      <c r="Z822" s="10"/>
    </row>
    <row r="823" spans="1:26" ht="12.75">
      <c r="A823" s="10" t="str">
        <f ca="1">IFERROR(__xludf.DUMMYFUNCTION("""COMPUTED_VALUE"""),"Валерия Николова Фол")</f>
        <v>Валерия Николова Фол</v>
      </c>
      <c r="B823" s="10" t="str">
        <f ca="1">IFERROR(__xludf.DUMMYFUNCTION("""COMPUTED_VALUE"""),"Статия в списания и поредици")</f>
        <v>Статия в списания и поредици</v>
      </c>
      <c r="C823" s="10" t="str">
        <f ca="1">IFERROR(__xludf.DUMMYFUNCTION("""COMPUTED_VALUE"""),"L’apport de la thracologie.")</f>
        <v>L’apport de la thracologie.</v>
      </c>
      <c r="D823" s="10">
        <f ca="1">IFERROR(__xludf.DUMMYFUNCTION("""COMPUTED_VALUE"""),2015)</f>
        <v>2015</v>
      </c>
      <c r="E823" s="10" t="str">
        <f ca="1">IFERROR(__xludf.DUMMYFUNCTION("""COMPUTED_VALUE"""),"J.-L. MARTINEZ, A. BARALIS, N. MATHIEUX, T. STOYANOV &amp; M. TONKOVA (eds.), L’épopée des rois thraces: Des guerres médiques aux invasions celtes 479-278 av. J.-C.; découvertes archéologiques en Bulgarie [exposition, Paris, Musé du Louvre, 16 avril - 20 juil"&amp;"let 2015], Paris., Somogy, 2015, 360-361")</f>
        <v>J.-L. MARTINEZ, A. BARALIS, N. MATHIEUX, T. STOYANOV &amp; M. TONKOVA (eds.), L’épopée des rois thraces: Des guerres médiques aux invasions celtes 479-278 av. J.-C.; découvertes archéologiques en Bulgarie [exposition, Paris, Musé du Louvre, 16 avril - 20 juillet 2015], Paris., Somogy, 2015, 360-361</v>
      </c>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c r="A824" s="10" t="str">
        <f ca="1">IFERROR(__xludf.DUMMYFUNCTION("""COMPUTED_VALUE"""),"Валерия Николова Фол")</f>
        <v>Валерия Николова Фол</v>
      </c>
      <c r="B824" s="10" t="str">
        <f ca="1">IFERROR(__xludf.DUMMYFUNCTION("""COMPUTED_VALUE"""),"Статия в списания и поредици")</f>
        <v>Статия в списания и поредици</v>
      </c>
      <c r="C824" s="10" t="str">
        <f ca="1">IFERROR(__xludf.DUMMYFUNCTION("""COMPUTED_VALUE"""),"ултът към Слънцебога в Тракия в средиземноморски и малоазийски контекст.")</f>
        <v>ултът към Слънцебога в Тракия в средиземноморски и малоазийски контекст.</v>
      </c>
      <c r="D824" s="10">
        <f ca="1">IFERROR(__xludf.DUMMYFUNCTION("""COMPUTED_VALUE"""),2014)</f>
        <v>2014</v>
      </c>
      <c r="E824" s="10" t="str">
        <f ca="1">IFERROR(__xludf.DUMMYFUNCTION("""COMPUTED_VALUE"""),"Поломието – находки, събития и личности., Фабер, Велико Търново, 2014, 588-594")</f>
        <v>Поломието – находки, събития и личности., Фабер, Велико Търново, 2014, 588-594</v>
      </c>
      <c r="F824" s="10"/>
      <c r="G824" s="10"/>
      <c r="H824" s="10"/>
      <c r="I824" s="10"/>
      <c r="J824" s="10"/>
      <c r="K824" s="10"/>
      <c r="L824" s="10"/>
      <c r="M824" s="10"/>
      <c r="N824" s="10"/>
      <c r="O824" s="10"/>
      <c r="P824" s="10"/>
      <c r="Q824" s="10"/>
      <c r="R824" s="10"/>
      <c r="S824" s="10"/>
      <c r="T824" s="10"/>
      <c r="U824" s="10"/>
      <c r="V824" s="10"/>
      <c r="W824" s="10"/>
      <c r="X824" s="10"/>
      <c r="Y824" s="10"/>
      <c r="Z824" s="10"/>
    </row>
    <row r="825" spans="1:26" ht="12.75">
      <c r="A825" s="10" t="str">
        <f ca="1">IFERROR(__xludf.DUMMYFUNCTION("""COMPUTED_VALUE"""),"Валерия Николова Фол")</f>
        <v>Валерия Николова Фол</v>
      </c>
      <c r="B825" s="10" t="str">
        <f ca="1">IFERROR(__xludf.DUMMYFUNCTION("""COMPUTED_VALUE"""),"Статия в списания и поредици")</f>
        <v>Статия в списания и поредици</v>
      </c>
      <c r="C825" s="10" t="str">
        <f ca="1">IFERROR(__xludf.DUMMYFUNCTION("""COMPUTED_VALUE"""),"Дигитални приложения към изложбата „40 години тракийска изложба по света”")</f>
        <v>Дигитални приложения към изложбата „40 години тракийска изложба по света”</v>
      </c>
      <c r="D825" s="10">
        <f ca="1">IFERROR(__xludf.DUMMYFUNCTION("""COMPUTED_VALUE"""),2014)</f>
        <v>2014</v>
      </c>
      <c r="E825" s="10" t="str">
        <f ca="1">IFERROR(__xludf.DUMMYFUNCTION("""COMPUTED_VALUE"""),"История, 6 (2014): 670-673.")</f>
        <v>История, 6 (2014): 670-673.</v>
      </c>
      <c r="F825" s="10"/>
      <c r="G825" s="10"/>
      <c r="H825" s="10"/>
      <c r="I825" s="10"/>
      <c r="J825" s="10"/>
      <c r="K825" s="10"/>
      <c r="L825" s="10"/>
      <c r="M825" s="10"/>
      <c r="N825" s="10"/>
      <c r="O825" s="10"/>
      <c r="P825" s="10"/>
      <c r="Q825" s="10"/>
      <c r="R825" s="10"/>
      <c r="S825" s="10"/>
      <c r="T825" s="10"/>
      <c r="U825" s="10"/>
      <c r="V825" s="10"/>
      <c r="W825" s="10"/>
      <c r="X825" s="10"/>
      <c r="Y825" s="10"/>
      <c r="Z825" s="10"/>
    </row>
    <row r="826" spans="1:26" ht="12.75">
      <c r="A826" s="10" t="str">
        <f ca="1">IFERROR(__xludf.DUMMYFUNCTION("""COMPUTED_VALUE"""),"Валерия Николова Фол")</f>
        <v>Валерия Николова Фол</v>
      </c>
      <c r="B826" s="10" t="str">
        <f ca="1">IFERROR(__xludf.DUMMYFUNCTION("""COMPUTED_VALUE"""),"Статия в списания и поредици")</f>
        <v>Статия в списания и поредици</v>
      </c>
      <c r="C826" s="10" t="str">
        <f ca="1">IFERROR(__xludf.DUMMYFUNCTION("""COMPUTED_VALUE"""),"The Cult to the Sun-God and King’s Ideology")</f>
        <v>The Cult to the Sun-God and King’s Ideology</v>
      </c>
      <c r="D826" s="10">
        <f ca="1">IFERROR(__xludf.DUMMYFUNCTION("""COMPUTED_VALUE"""),2014)</f>
        <v>2014</v>
      </c>
      <c r="E826" s="10" t="str">
        <f ca="1">IFERROR(__xludf.DUMMYFUNCTION("""COMPUTED_VALUE"""),"Serdica Edict (311 AD). Concepts and Realizations of the Idea of Religious Toleration. Tangra TanNakRa publishing House, Sofia: 181-184")</f>
        <v>Serdica Edict (311 AD). Concepts and Realizations of the Idea of Religious Toleration. Tangra TanNakRa publishing House, Sofia: 181-184</v>
      </c>
      <c r="F826" s="10"/>
      <c r="G826" s="10"/>
      <c r="H826" s="10"/>
      <c r="I826" s="10"/>
      <c r="J826" s="10"/>
      <c r="K826" s="10"/>
      <c r="L826" s="10"/>
      <c r="M826" s="10"/>
      <c r="N826" s="10"/>
      <c r="O826" s="10"/>
      <c r="P826" s="10"/>
      <c r="Q826" s="10"/>
      <c r="R826" s="10"/>
      <c r="S826" s="10"/>
      <c r="T826" s="10"/>
      <c r="U826" s="10"/>
      <c r="V826" s="10"/>
      <c r="W826" s="10"/>
      <c r="X826" s="10"/>
      <c r="Y826" s="10"/>
      <c r="Z826" s="10"/>
    </row>
    <row r="827" spans="1:26" ht="12.75">
      <c r="A827" s="10" t="str">
        <f ca="1">IFERROR(__xludf.DUMMYFUNCTION("""COMPUTED_VALUE"""),"Валерия Николова Фол")</f>
        <v>Валерия Николова Фол</v>
      </c>
      <c r="B827" s="10" t="str">
        <f ca="1">IFERROR(__xludf.DUMMYFUNCTION("""COMPUTED_VALUE"""),"Статия в списания и поредици")</f>
        <v>Статия в списания и поредици</v>
      </c>
      <c r="C827" s="10" t="str">
        <f ca="1">IFERROR(__xludf.DUMMYFUNCTION("""COMPUTED_VALUE"""),"Светлината и тъмнината в посветителната обредност на траките.")</f>
        <v>Светлината и тъмнината в посветителната обредност на траките.</v>
      </c>
      <c r="D827" s="10">
        <f ca="1">IFERROR(__xludf.DUMMYFUNCTION("""COMPUTED_VALUE"""),2014)</f>
        <v>2014</v>
      </c>
      <c r="E827" s="10" t="str">
        <f ca="1">IFERROR(__xludf.DUMMYFUNCTION("""COMPUTED_VALUE"""),"Съвременни визии за изследване, преподаване и популяризиране на българското културно-историческо наследство. Сборник с научни изследвания по случай 10-годишния юбилей на Катедра „Културно-историческо наследство” при УниБИТ. За Буквите, София: 60-67")</f>
        <v>Съвременни визии за изследване, преподаване и популяризиране на българското културно-историческо наследство. Сборник с научни изследвания по случай 10-годишния юбилей на Катедра „Културно-историческо наследство” при УниБИТ. За Буквите, София: 60-67</v>
      </c>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c r="A828" s="10" t="str">
        <f ca="1">IFERROR(__xludf.DUMMYFUNCTION("""COMPUTED_VALUE"""),"Валерия Николова Фол")</f>
        <v>Валерия Николова Фол</v>
      </c>
      <c r="B828" s="10" t="str">
        <f ca="1">IFERROR(__xludf.DUMMYFUNCTION("""COMPUTED_VALUE"""),"Монография")</f>
        <v>Монография</v>
      </c>
      <c r="C828" s="10" t="str">
        <f ca="1">IFERROR(__xludf.DUMMYFUNCTION("""COMPUTED_VALUE"""),"The thracian Kings.")</f>
        <v>The thracian Kings.</v>
      </c>
      <c r="D828" s="10">
        <f ca="1">IFERROR(__xludf.DUMMYFUNCTION("""COMPUTED_VALUE"""),2014)</f>
        <v>2014</v>
      </c>
      <c r="E828" s="10" t="str">
        <f ca="1">IFERROR(__xludf.DUMMYFUNCTION("""COMPUTED_VALUE"""),"Sofia, Tangra TanNakRa, 2014, ISBN:978-954-378-089-1, 298")</f>
        <v>Sofia, Tangra TanNakRa, 2014, ISBN:978-954-378-089-1, 298</v>
      </c>
      <c r="F828" s="10"/>
      <c r="G828" s="10" t="str">
        <f ca="1">IFERROR(__xludf.DUMMYFUNCTION("""COMPUTED_VALUE"""),"Д. Попов, К. Йорданов")</f>
        <v>Д. Попов, К. Йорданов</v>
      </c>
      <c r="H828" s="10"/>
      <c r="I828" s="10"/>
      <c r="J828" s="10"/>
      <c r="K828" s="10"/>
      <c r="L828" s="10"/>
      <c r="M828" s="10"/>
      <c r="N828" s="10"/>
      <c r="O828" s="10"/>
      <c r="P828" s="10"/>
      <c r="Q828" s="10"/>
      <c r="R828" s="10"/>
      <c r="S828" s="10"/>
      <c r="T828" s="10"/>
      <c r="U828" s="10"/>
      <c r="V828" s="10"/>
      <c r="W828" s="10"/>
      <c r="X828" s="10"/>
      <c r="Y828" s="10"/>
      <c r="Z828" s="10"/>
    </row>
    <row r="829" spans="1:26" ht="12.75">
      <c r="A829" s="10" t="str">
        <f ca="1">IFERROR(__xludf.DUMMYFUNCTION("""COMPUTED_VALUE"""),"Валерия Николова Фол")</f>
        <v>Валерия Николова Фол</v>
      </c>
      <c r="B829" s="10" t="str">
        <f ca="1">IFERROR(__xludf.DUMMYFUNCTION("""COMPUTED_VALUE"""),"Статия в списания и поредици")</f>
        <v>Статия в списания и поредици</v>
      </c>
      <c r="C829" s="10" t="str">
        <f ca="1">IFERROR(__xludf.DUMMYFUNCTION("""COMPUTED_VALUE"""),"Боговете обичат сирене.")</f>
        <v>Боговете обичат сирене.</v>
      </c>
      <c r="D829" s="10">
        <f ca="1">IFERROR(__xludf.DUMMYFUNCTION("""COMPUTED_VALUE"""),2014)</f>
        <v>2014</v>
      </c>
      <c r="E829" s="10" t="str">
        <f ca="1">IFERROR(__xludf.DUMMYFUNCTION("""COMPUTED_VALUE"""),"Cogito ergo sum. Юбилеен сборник Проф. Стоян Денчев на 60. Университетско издателство „За буквите” – Ò писменехъ, София: 80-87.")</f>
        <v>Cogito ergo sum. Юбилеен сборник Проф. Стоян Денчев на 60. Университетско издателство „За буквите” – Ò писменехъ, София: 80-87.</v>
      </c>
      <c r="F829" s="10"/>
      <c r="G829" s="10"/>
      <c r="H829" s="10"/>
      <c r="I829" s="10"/>
      <c r="J829" s="10"/>
      <c r="K829" s="10"/>
      <c r="L829" s="10"/>
      <c r="M829" s="10"/>
      <c r="N829" s="10"/>
      <c r="O829" s="10"/>
      <c r="P829" s="10"/>
      <c r="Q829" s="10"/>
      <c r="R829" s="10"/>
      <c r="S829" s="10"/>
      <c r="T829" s="10"/>
      <c r="U829" s="10"/>
      <c r="V829" s="10"/>
      <c r="W829" s="10"/>
      <c r="X829" s="10"/>
      <c r="Y829" s="10"/>
      <c r="Z829" s="10"/>
    </row>
    <row r="830" spans="1:26" ht="12.75">
      <c r="A830" s="10" t="str">
        <f ca="1">IFERROR(__xludf.DUMMYFUNCTION("""COMPUTED_VALUE"""),"Валерия Николова Фол")</f>
        <v>Валерия Николова Фол</v>
      </c>
      <c r="B830" s="10" t="str">
        <f ca="1">IFERROR(__xludf.DUMMYFUNCTION("""COMPUTED_VALUE"""),"Книга")</f>
        <v>Книга</v>
      </c>
      <c r="C830" s="10" t="str">
        <f ca="1">IFERROR(__xludf.DUMMYFUNCTION("""COMPUTED_VALUE"""),"Насоки в обучение по културно наследство")</f>
        <v>Насоки в обучение по културно наследство</v>
      </c>
      <c r="D830" s="10">
        <f ca="1">IFERROR(__xludf.DUMMYFUNCTION("""COMPUTED_VALUE"""),2014)</f>
        <v>2014</v>
      </c>
      <c r="E830" s="10" t="str">
        <f ca="1">IFERROR(__xludf.DUMMYFUNCTION("""COMPUTED_VALUE"""),"Университетско издателство „За буквите” – O писменехъ, София.")</f>
        <v>Университетско издателство „За буквите” – O писменехъ, София.</v>
      </c>
      <c r="F830" s="10"/>
      <c r="G830" s="10"/>
      <c r="H830" s="10"/>
      <c r="I830" s="10"/>
      <c r="J830" s="10"/>
      <c r="K830" s="10"/>
      <c r="L830" s="10"/>
      <c r="M830" s="10"/>
      <c r="N830" s="10"/>
      <c r="O830" s="10"/>
      <c r="P830" s="10"/>
      <c r="Q830" s="10"/>
      <c r="R830" s="10"/>
      <c r="S830" s="10"/>
      <c r="T830" s="10"/>
      <c r="U830" s="10"/>
      <c r="V830" s="10"/>
      <c r="W830" s="10"/>
      <c r="X830" s="10"/>
      <c r="Y830" s="10"/>
      <c r="Z830" s="10"/>
    </row>
    <row r="831" spans="1:26" ht="12.75">
      <c r="A831" s="10" t="str">
        <f ca="1">IFERROR(__xludf.DUMMYFUNCTION("""COMPUTED_VALUE"""),"Валерия Николова Фол")</f>
        <v>Валерия Николова Фол</v>
      </c>
      <c r="B831" s="10" t="str">
        <f ca="1">IFERROR(__xludf.DUMMYFUNCTION("""COMPUTED_VALUE"""),"Статия в списания и поредици")</f>
        <v>Статия в списания и поредици</v>
      </c>
      <c r="C831" s="10" t="str">
        <f ca="1">IFERROR(__xludf.DUMMYFUNCTION("""COMPUTED_VALUE"""),"Пещера и вяра.")</f>
        <v>Пещера и вяра.</v>
      </c>
      <c r="D831" s="10">
        <f ca="1">IFERROR(__xludf.DUMMYFUNCTION("""COMPUTED_VALUE"""),2014)</f>
        <v>2014</v>
      </c>
      <c r="E831" s="10" t="str">
        <f ca="1">IFERROR(__xludf.DUMMYFUNCTION("""COMPUTED_VALUE"""),"История, 1, АзБуки, 2014, 8-14")</f>
        <v>История, 1, АзБуки, 2014, 8-14</v>
      </c>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c r="A832" s="10" t="str">
        <f ca="1">IFERROR(__xludf.DUMMYFUNCTION("""COMPUTED_VALUE"""),"Валерия Николова Фол")</f>
        <v>Валерия Николова Фол</v>
      </c>
      <c r="B832" s="10" t="str">
        <f ca="1">IFERROR(__xludf.DUMMYFUNCTION("""COMPUTED_VALUE"""),"Статия в списания и поредици")</f>
        <v>Статия в списания и поредици</v>
      </c>
      <c r="C832" s="10" t="str">
        <f ca="1">IFERROR(__xludf.DUMMYFUNCTION("""COMPUTED_VALUE"""),"Mycenaean Reminiscence in the area Samothrace - Hemus..")</f>
        <v>Mycenaean Reminiscence in the area Samothrace - Hemus..</v>
      </c>
      <c r="D832" s="10">
        <f ca="1">IFERROR(__xludf.DUMMYFUNCTION("""COMPUTED_VALUE"""),2013)</f>
        <v>2013</v>
      </c>
      <c r="E832" s="10" t="str">
        <f ca="1">IFERROR(__xludf.DUMMYFUNCTION("""COMPUTED_VALUE"""),"Thracian and Byzantine Cultural Heritage in the Rhodopi Mountains and the Northern Agean Sea Coast., Printa-com, Smolyan, 2013, 107-112")</f>
        <v>Thracian and Byzantine Cultural Heritage in the Rhodopi Mountains and the Northern Agean Sea Coast., Printa-com, Smolyan, 2013, 107-112</v>
      </c>
      <c r="F832" s="10"/>
      <c r="G832" s="10"/>
      <c r="H832" s="10"/>
      <c r="I832" s="10"/>
      <c r="J832" s="10"/>
      <c r="K832" s="10"/>
      <c r="L832" s="10"/>
      <c r="M832" s="10"/>
      <c r="N832" s="10"/>
      <c r="O832" s="10"/>
      <c r="P832" s="10"/>
      <c r="Q832" s="10"/>
      <c r="R832" s="10"/>
      <c r="S832" s="10"/>
      <c r="T832" s="10"/>
      <c r="U832" s="10"/>
      <c r="V832" s="10"/>
      <c r="W832" s="10"/>
      <c r="X832" s="10"/>
      <c r="Y832" s="10"/>
      <c r="Z832" s="10"/>
    </row>
    <row r="833" spans="1:26" ht="12.75">
      <c r="A833" s="10" t="str">
        <f ca="1">IFERROR(__xludf.DUMMYFUNCTION("""COMPUTED_VALUE"""),"Валерия Николова Фол")</f>
        <v>Валерия Николова Фол</v>
      </c>
      <c r="B833" s="10" t="str">
        <f ca="1">IFERROR(__xludf.DUMMYFUNCTION("""COMPUTED_VALUE"""),"Статия в списания и поредици")</f>
        <v>Статия в списания и поредици</v>
      </c>
      <c r="C833" s="10" t="str">
        <f ca="1">IFERROR(__xludf.DUMMYFUNCTION("""COMPUTED_VALUE"""),"Култът към слънцето и маскарадната обредност – загубената връзка..")</f>
        <v>Култът към слънцето и маскарадната обредност – загубената връзка..</v>
      </c>
      <c r="D833" s="10">
        <f ca="1">IFERROR(__xludf.DUMMYFUNCTION("""COMPUTED_VALUE"""),2013)</f>
        <v>2013</v>
      </c>
      <c r="E833" s="10" t="str">
        <f ca="1">IFERROR(__xludf.DUMMYFUNCTION("""COMPUTED_VALUE"""),"Пътят на маскарада, Перник, 2013, 60-64")</f>
        <v>Пътят на маскарада, Перник, 2013, 60-64</v>
      </c>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c r="A834" s="10" t="str">
        <f ca="1">IFERROR(__xludf.DUMMYFUNCTION("""COMPUTED_VALUE"""),"Валерия Николова Фол")</f>
        <v>Валерия Николова Фол</v>
      </c>
      <c r="B834" s="10" t="str">
        <f ca="1">IFERROR(__xludf.DUMMYFUNCTION("""COMPUTED_VALUE"""),"Статия в списания и поредици")</f>
        <v>Статия в списания и поредици</v>
      </c>
      <c r="C834" s="10" t="str">
        <f ca="1">IFERROR(__xludf.DUMMYFUNCTION("""COMPUTED_VALUE"""),"Функции на водата в тракийските скалноизсечени светилища. Проблеми на анализа.")</f>
        <v>Функции на водата в тракийските скалноизсечени светилища. Проблеми на анализа.</v>
      </c>
      <c r="D834" s="10">
        <f ca="1">IFERROR(__xludf.DUMMYFUNCTION("""COMPUTED_VALUE"""),2013)</f>
        <v>2013</v>
      </c>
      <c r="E834" s="10" t="str">
        <f ca="1">IFERROR(__xludf.DUMMYFUNCTION("""COMPUTED_VALUE"""),"Проблеми и изследвания на тракийската култура 6, VІ, Казанлък, 2013, 165-172")</f>
        <v>Проблеми и изследвания на тракийската култура 6, VІ, Казанлък, 2013, 165-172</v>
      </c>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c r="A835" s="10" t="str">
        <f ca="1">IFERROR(__xludf.DUMMYFUNCTION("""COMPUTED_VALUE"""),"Валерия Николова Фол")</f>
        <v>Валерия Николова Фол</v>
      </c>
      <c r="B835" s="10" t="str">
        <f ca="1">IFERROR(__xludf.DUMMYFUNCTION("""COMPUTED_VALUE"""),"Статия в списания и поредици")</f>
        <v>Статия в списания и поредици</v>
      </c>
      <c r="C835" s="10" t="str">
        <f ca="1">IFERROR(__xludf.DUMMYFUNCTION("""COMPUTED_VALUE"""),"Via Diagonalis in the Life of the Odrusian Kingdom")</f>
        <v>Via Diagonalis in the Life of the Odrusian Kingdom</v>
      </c>
      <c r="D835" s="10">
        <f ca="1">IFERROR(__xludf.DUMMYFUNCTION("""COMPUTED_VALUE"""),2013)</f>
        <v>2013</v>
      </c>
      <c r="E835" s="10" t="str">
        <f ca="1">IFERROR(__xludf.DUMMYFUNCTION("""COMPUTED_VALUE"""),"International Scientific Conference “Cultural Corridor Via Diagonalis. Cultural Tourism Without Boundaries. South-West University “Neofit Rilski”, Sofia: 12-14")</f>
        <v>International Scientific Conference “Cultural Corridor Via Diagonalis. Cultural Tourism Without Boundaries. South-West University “Neofit Rilski”, Sofia: 12-14</v>
      </c>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c r="A836" s="10" t="str">
        <f ca="1">IFERROR(__xludf.DUMMYFUNCTION("""COMPUTED_VALUE"""),"Валерия Николова Фол")</f>
        <v>Валерия Николова Фол</v>
      </c>
      <c r="B836" s="10" t="str">
        <f ca="1">IFERROR(__xludf.DUMMYFUNCTION("""COMPUTED_VALUE"""),"Статия в списания и поредици")</f>
        <v>Статия в списания и поредици</v>
      </c>
      <c r="C836" s="10" t="str">
        <f ca="1">IFERROR(__xludf.DUMMYFUNCTION("""COMPUTED_VALUE"""),"The Odrysian Kingdom - a Concept of an Interactive Multimedia Application for Educational Purposes.")</f>
        <v>The Odrysian Kingdom - a Concept of an Interactive Multimedia Application for Educational Purposes.</v>
      </c>
      <c r="D836" s="10">
        <f ca="1">IFERROR(__xludf.DUMMYFUNCTION("""COMPUTED_VALUE"""),2013)</f>
        <v>2013</v>
      </c>
      <c r="E836" s="10" t="str">
        <f ca="1">IFERROR(__xludf.DUMMYFUNCTION("""COMPUTED_VALUE"""),"Digital Presentation and Preservation of Cultural and Scientific Heritage – DiPP2013, Proceeding of International Conference September 18 – 21, 2013, Veliko Tarnovo:183-188")</f>
        <v>Digital Presentation and Preservation of Cultural and Scientific Heritage – DiPP2013, Proceeding of International Conference September 18 – 21, 2013, Veliko Tarnovo:183-188</v>
      </c>
      <c r="F836" s="10"/>
      <c r="G836" s="10" t="str">
        <f ca="1">IFERROR(__xludf.DUMMYFUNCTION("""COMPUTED_VALUE"""),"O Кonstantinov")</f>
        <v>O Кonstantinov</v>
      </c>
      <c r="H836" s="10"/>
      <c r="I836" s="10"/>
      <c r="J836" s="10"/>
      <c r="K836" s="10"/>
      <c r="L836" s="10"/>
      <c r="M836" s="10"/>
      <c r="N836" s="10"/>
      <c r="O836" s="10"/>
      <c r="P836" s="10"/>
      <c r="Q836" s="10"/>
      <c r="R836" s="10"/>
      <c r="S836" s="10"/>
      <c r="T836" s="10"/>
      <c r="U836" s="10"/>
      <c r="V836" s="10"/>
      <c r="W836" s="10"/>
      <c r="X836" s="10"/>
      <c r="Y836" s="10"/>
      <c r="Z836" s="10"/>
    </row>
    <row r="837" spans="1:26" ht="12.75">
      <c r="A837" s="10" t="str">
        <f ca="1">IFERROR(__xludf.DUMMYFUNCTION("""COMPUTED_VALUE"""),"Валерия Николова Фол")</f>
        <v>Валерия Николова Фол</v>
      </c>
      <c r="B837" s="10" t="str">
        <f ca="1">IFERROR(__xludf.DUMMYFUNCTION("""COMPUTED_VALUE"""),"Статия в списания и поредици")</f>
        <v>Статия в списания и поредици</v>
      </c>
      <c r="C837" s="10" t="str">
        <f ca="1">IFERROR(__xludf.DUMMYFUNCTION("""COMPUTED_VALUE"""),"Фалшивите оригинали като топос на политическото")</f>
        <v>Фалшивите оригинали като топос на политическото</v>
      </c>
      <c r="D837" s="10">
        <f ca="1">IFERROR(__xludf.DUMMYFUNCTION("""COMPUTED_VALUE"""),2013)</f>
        <v>2013</v>
      </c>
      <c r="E837" s="10" t="str">
        <f ca="1">IFERROR(__xludf.DUMMYFUNCTION("""COMPUTED_VALUE"""),"Културни концепти на политическото. За букните / О писменахь, София: 18-22.")</f>
        <v>Културни концепти на политическото. За букните / О писменахь, София: 18-22.</v>
      </c>
      <c r="F837" s="10"/>
      <c r="G837" s="10"/>
      <c r="H837" s="10"/>
      <c r="I837" s="10"/>
      <c r="J837" s="10"/>
      <c r="K837" s="10"/>
      <c r="L837" s="10"/>
      <c r="M837" s="10"/>
      <c r="N837" s="10"/>
      <c r="O837" s="10"/>
      <c r="P837" s="10"/>
      <c r="Q837" s="10"/>
      <c r="R837" s="10"/>
      <c r="S837" s="10"/>
      <c r="T837" s="10"/>
      <c r="U837" s="10"/>
      <c r="V837" s="10"/>
      <c r="W837" s="10"/>
      <c r="X837" s="10"/>
      <c r="Y837" s="10"/>
      <c r="Z837" s="10"/>
    </row>
    <row r="838" spans="1:26" ht="12.75">
      <c r="A838" s="10" t="str">
        <f ca="1">IFERROR(__xludf.DUMMYFUNCTION("""COMPUTED_VALUE"""),"Валерия Николова Фол")</f>
        <v>Валерия Николова Фол</v>
      </c>
      <c r="B838" s="10" t="str">
        <f ca="1">IFERROR(__xludf.DUMMYFUNCTION("""COMPUTED_VALUE"""),"Статия в списания и поредици")</f>
        <v>Статия в списания и поредици</v>
      </c>
      <c r="C838" s="10" t="str">
        <f ca="1">IFERROR(__xludf.DUMMYFUNCTION("""COMPUTED_VALUE"""),"Ontology of megalithism")</f>
        <v>Ontology of megalithism</v>
      </c>
      <c r="D838" s="10">
        <f ca="1">IFERROR(__xludf.DUMMYFUNCTION("""COMPUTED_VALUE"""),2013)</f>
        <v>2013</v>
      </c>
      <c r="E838" s="10" t="str">
        <f ca="1">IFERROR(__xludf.DUMMYFUNCTION("""COMPUTED_VALUE"""),"Proceedings of the First International Symposium “Ancient Cultures in South-East Europe and the Eastern Mediterranean” on the topic of “Megalithic Monuments and Cult Practices”, 11 – 14 September 2012, Blagoevgrad. Neofit Rilski University Press. Blagoevg"&amp;"rad: 9-12")</f>
        <v>Proceedings of the First International Symposium “Ancient Cultures in South-East Europe and the Eastern Mediterranean” on the topic of “Megalithic Monuments and Cult Practices”, 11 – 14 September 2012, Blagoevgrad. Neofit Rilski University Press. Blagoevgrad: 9-12</v>
      </c>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c r="A839" s="10" t="str">
        <f ca="1">IFERROR(__xludf.DUMMYFUNCTION("""COMPUTED_VALUE"""),"Валерия Николова Фол")</f>
        <v>Валерия Николова Фол</v>
      </c>
      <c r="B839" s="10" t="str">
        <f ca="1">IFERROR(__xludf.DUMMYFUNCTION("""COMPUTED_VALUE"""),"Статия в списания и поредици")</f>
        <v>Статия в списания и поредици</v>
      </c>
      <c r="C839" s="10" t="str">
        <f ca="1">IFERROR(__xludf.DUMMYFUNCTION("""COMPUTED_VALUE"""),"Микенски реминисценции в пространството на Самотраки – Хемус.")</f>
        <v>Микенски реминисценции в пространството на Самотраки – Хемус.</v>
      </c>
      <c r="D839" s="10">
        <f ca="1">IFERROR(__xludf.DUMMYFUNCTION("""COMPUTED_VALUE"""),2013)</f>
        <v>2013</v>
      </c>
      <c r="E839" s="10" t="str">
        <f ca="1">IFERROR(__xludf.DUMMYFUNCTION("""COMPUTED_VALUE"""),"Дамянов и др. (Съст.) 2013. Тракийско и византийско културно наследство в Родопите и Северното Егейско крайбрежие., Смолян - Самотраки, 2013, 17-22")</f>
        <v>Дамянов и др. (Съст.) 2013. Тракийско и византийско културно наследство в Родопите и Северното Егейско крайбрежие., Смолян - Самотраки, 2013, 17-22</v>
      </c>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c r="A840" s="10" t="str">
        <f ca="1">IFERROR(__xludf.DUMMYFUNCTION("""COMPUTED_VALUE"""),"Валерия Николова Фол")</f>
        <v>Валерия Николова Фол</v>
      </c>
      <c r="B840" s="10" t="str">
        <f ca="1">IFERROR(__xludf.DUMMYFUNCTION("""COMPUTED_VALUE"""),"Статия в списания и поредици")</f>
        <v>Статия в списания и поредици</v>
      </c>
      <c r="C840" s="10" t="str">
        <f ca="1">IFERROR(__xludf.DUMMYFUNCTION("""COMPUTED_VALUE"""),"Трибалите и култът към слънцето")</f>
        <v>Трибалите и култът към слънцето</v>
      </c>
      <c r="D840" s="10">
        <f ca="1">IFERROR(__xludf.DUMMYFUNCTION("""COMPUTED_VALUE"""),2013)</f>
        <v>2013</v>
      </c>
      <c r="E840" s="10" t="str">
        <f ca="1">IFERROR(__xludf.DUMMYFUNCTION("""COMPUTED_VALUE"""),"Монтана – кръстопът на цивилизации. Собрник с доклади и съобщения от национална научна конференция – Монтана’2011, Тангра ТанНакРа, София, 23-31")</f>
        <v>Монтана – кръстопът на цивилизации. Собрник с доклади и съобщения от национална научна конференция – Монтана’2011, Тангра ТанНакРа, София, 23-31</v>
      </c>
      <c r="F840" s="10"/>
      <c r="G840" s="10"/>
      <c r="H840" s="10"/>
      <c r="I840" s="10"/>
      <c r="J840" s="10"/>
      <c r="K840" s="10"/>
      <c r="L840" s="10"/>
      <c r="M840" s="10"/>
      <c r="N840" s="10"/>
      <c r="O840" s="10"/>
      <c r="P840" s="10"/>
      <c r="Q840" s="10"/>
      <c r="R840" s="10"/>
      <c r="S840" s="10"/>
      <c r="T840" s="10"/>
      <c r="U840" s="10"/>
      <c r="V840" s="10"/>
      <c r="W840" s="10"/>
      <c r="X840" s="10"/>
      <c r="Y840" s="10"/>
      <c r="Z840" s="10"/>
    </row>
    <row r="841" spans="1:26" ht="12.75">
      <c r="A841" s="10" t="str">
        <f ca="1">IFERROR(__xludf.DUMMYFUNCTION("""COMPUTED_VALUE"""),"Валерия Николова Фол")</f>
        <v>Валерия Николова Фол</v>
      </c>
      <c r="B841" s="10" t="str">
        <f ca="1">IFERROR(__xludf.DUMMYFUNCTION("""COMPUTED_VALUE"""),"Книга")</f>
        <v>Книга</v>
      </c>
      <c r="C841" s="10" t="str">
        <f ca="1">IFERROR(__xludf.DUMMYFUNCTION("""COMPUTED_VALUE"""),"Thracian cultural and Historical Heritage. Learning Materials – multimedia presentations")</f>
        <v>Thracian cultural and Historical Heritage. Learning Materials – multimedia presentations</v>
      </c>
      <c r="D841" s="10">
        <f ca="1">IFERROR(__xludf.DUMMYFUNCTION("""COMPUTED_VALUE"""),2013)</f>
        <v>2013</v>
      </c>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2.75">
      <c r="A842" s="10" t="str">
        <f ca="1">IFERROR(__xludf.DUMMYFUNCTION("""COMPUTED_VALUE"""),"Валерия Николова Фол")</f>
        <v>Валерия Николова Фол</v>
      </c>
      <c r="B842" s="10" t="str">
        <f ca="1">IFERROR(__xludf.DUMMYFUNCTION("""COMPUTED_VALUE"""),"Статия в списания и поредици")</f>
        <v>Статия в списания и поредици</v>
      </c>
      <c r="C842" s="10" t="str">
        <f ca="1">IFERROR(__xludf.DUMMYFUNCTION("""COMPUTED_VALUE"""),"Тракийското културно-историческо наследство и възможностите за дългосрочна културна политика.")</f>
        <v>Тракийското културно-историческо наследство и възможностите за дългосрочна културна политика.</v>
      </c>
      <c r="D842" s="10">
        <f ca="1">IFERROR(__xludf.DUMMYFUNCTION("""COMPUTED_VALUE"""),2012)</f>
        <v>2012</v>
      </c>
      <c r="E842" s="10" t="str">
        <f ca="1">IFERROR(__xludf.DUMMYFUNCTION("""COMPUTED_VALUE"""),"Национална културна стратегия и европейска духовна интеграция. Земя, София, 29-31.")</f>
        <v>Национална културна стратегия и европейска духовна интеграция. Земя, София, 29-31.</v>
      </c>
      <c r="F842" s="10"/>
      <c r="G842" s="10"/>
      <c r="H842" s="10"/>
      <c r="I842" s="10"/>
      <c r="J842" s="10"/>
      <c r="K842" s="10"/>
      <c r="L842" s="10"/>
      <c r="M842" s="10"/>
      <c r="N842" s="10"/>
      <c r="O842" s="10"/>
      <c r="P842" s="10"/>
      <c r="Q842" s="10"/>
      <c r="R842" s="10"/>
      <c r="S842" s="10"/>
      <c r="T842" s="10"/>
      <c r="U842" s="10"/>
      <c r="V842" s="10"/>
      <c r="W842" s="10"/>
      <c r="X842" s="10"/>
      <c r="Y842" s="10"/>
      <c r="Z842" s="10"/>
    </row>
    <row r="843" spans="1:26" ht="12.75">
      <c r="A843" s="10" t="str">
        <f ca="1">IFERROR(__xludf.DUMMYFUNCTION("""COMPUTED_VALUE"""),"Валерия Николова Фол")</f>
        <v>Валерия Николова Фол</v>
      </c>
      <c r="B843" s="10" t="str">
        <f ca="1">IFERROR(__xludf.DUMMYFUNCTION("""COMPUTED_VALUE"""),"Статия в списания и поредици")</f>
        <v>Статия в списания и поредици</v>
      </c>
      <c r="C843" s="10" t="str">
        <f ca="1">IFERROR(__xludf.DUMMYFUNCTION("""COMPUTED_VALUE"""),"Разпознаваеми в глобалния свят")</f>
        <v>Разпознаваеми в глобалния свят</v>
      </c>
      <c r="D843" s="10">
        <f ca="1">IFERROR(__xludf.DUMMYFUNCTION("""COMPUTED_VALUE"""),2012)</f>
        <v>2012</v>
      </c>
      <c r="E843" s="10" t="str">
        <f ca="1">IFERROR(__xludf.DUMMYFUNCTION("""COMPUTED_VALUE"""),"Електронните инфраструктури - магистрали на европейското развитие на България. Дискусия под егидата на Президента на Р България и на генералния директор на ЮНЕСКО. Академия за лидерство, София: 93-97")</f>
        <v>Електронните инфраструктури - магистрали на европейското развитие на България. Дискусия под егидата на Президента на Р България и на генералния директор на ЮНЕСКО. Академия за лидерство, София: 93-97</v>
      </c>
      <c r="F843" s="10"/>
      <c r="G843" s="10"/>
      <c r="H843" s="10"/>
      <c r="I843" s="10"/>
      <c r="J843" s="10"/>
      <c r="K843" s="10"/>
      <c r="L843" s="10"/>
      <c r="M843" s="10"/>
      <c r="N843" s="10"/>
      <c r="O843" s="10"/>
      <c r="P843" s="10"/>
      <c r="Q843" s="10"/>
      <c r="R843" s="10"/>
      <c r="S843" s="10"/>
      <c r="T843" s="10"/>
      <c r="U843" s="10"/>
      <c r="V843" s="10"/>
      <c r="W843" s="10"/>
      <c r="X843" s="10"/>
      <c r="Y843" s="10"/>
      <c r="Z843" s="10"/>
    </row>
    <row r="844" spans="1:26" ht="12.75">
      <c r="A844" s="10" t="str">
        <f ca="1">IFERROR(__xludf.DUMMYFUNCTION("""COMPUTED_VALUE"""),"Валерия Николова Фол")</f>
        <v>Валерия Николова Фол</v>
      </c>
      <c r="B844" s="10" t="str">
        <f ca="1">IFERROR(__xludf.DUMMYFUNCTION("""COMPUTED_VALUE"""),"Статия в списания и поредици")</f>
        <v>Статия в списания и поредици</v>
      </c>
      <c r="C844" s="10" t="str">
        <f ca="1">IFERROR(__xludf.DUMMYFUNCTION("""COMPUTED_VALUE"""),"К. Пооржанов, Одриското царство, полисите по неговите крайбрежия и Атина от края на VІ в. до 341 г. пр. Хр.")</f>
        <v>К. Пооржанов, Одриското царство, полисите по неговите крайбрежия и Атина от края на VІ в. до 341 г. пр. Хр.</v>
      </c>
      <c r="D844" s="10">
        <f ca="1">IFERROR(__xludf.DUMMYFUNCTION("""COMPUTED_VALUE"""),2012)</f>
        <v>2012</v>
      </c>
      <c r="E844" s="10" t="str">
        <f ca="1">IFERROR(__xludf.DUMMYFUNCTION("""COMPUTED_VALUE"""),"История, 2012 кн. 2: 103-108.")</f>
        <v>История, 2012 кн. 2: 103-108.</v>
      </c>
      <c r="F844" s="10"/>
      <c r="G844" s="10"/>
      <c r="H844" s="10"/>
      <c r="I844" s="10"/>
      <c r="J844" s="10"/>
      <c r="K844" s="10"/>
      <c r="L844" s="10"/>
      <c r="M844" s="10"/>
      <c r="N844" s="10"/>
      <c r="O844" s="10"/>
      <c r="P844" s="10"/>
      <c r="Q844" s="10"/>
      <c r="R844" s="10"/>
      <c r="S844" s="10"/>
      <c r="T844" s="10"/>
      <c r="U844" s="10"/>
      <c r="V844" s="10"/>
      <c r="W844" s="10"/>
      <c r="X844" s="10"/>
      <c r="Y844" s="10"/>
      <c r="Z844" s="10"/>
    </row>
    <row r="845" spans="1:26" ht="12.75">
      <c r="A845" s="10" t="str">
        <f ca="1">IFERROR(__xludf.DUMMYFUNCTION("""COMPUTED_VALUE"""),"Валерия Николова Фол")</f>
        <v>Валерия Николова Фол</v>
      </c>
      <c r="B845" s="10" t="str">
        <f ca="1">IFERROR(__xludf.DUMMYFUNCTION("""COMPUTED_VALUE"""),"Статия в списания и поредици")</f>
        <v>Статия в списания и поредици</v>
      </c>
      <c r="C845" s="10" t="str">
        <f ca="1">IFERROR(__xludf.DUMMYFUNCTION("""COMPUTED_VALUE"""),"Means of developing the Via Pontica cultural route.")</f>
        <v>Means of developing the Via Pontica cultural route.</v>
      </c>
      <c r="D845" s="10">
        <f ca="1">IFERROR(__xludf.DUMMYFUNCTION("""COMPUTED_VALUE"""),2012)</f>
        <v>2012</v>
      </c>
      <c r="E845" s="10" t="str">
        <f ca="1">IFERROR(__xludf.DUMMYFUNCTION("""COMPUTED_VALUE"""),"Cultural Roud. Cultural Tourism without Boundaries. South-West University “Neofit Rilski”. Sofia: 10-12.")</f>
        <v>Cultural Roud. Cultural Tourism without Boundaries. South-West University “Neofit Rilski”. Sofia: 10-12.</v>
      </c>
      <c r="F845" s="10"/>
      <c r="G845" s="10"/>
      <c r="H845" s="10"/>
      <c r="I845" s="10"/>
      <c r="J845" s="10"/>
      <c r="K845" s="10"/>
      <c r="L845" s="10"/>
      <c r="M845" s="10"/>
      <c r="N845" s="10"/>
      <c r="O845" s="10"/>
      <c r="P845" s="10"/>
      <c r="Q845" s="10"/>
      <c r="R845" s="10"/>
      <c r="S845" s="10"/>
      <c r="T845" s="10"/>
      <c r="U845" s="10"/>
      <c r="V845" s="10"/>
      <c r="W845" s="10"/>
      <c r="X845" s="10"/>
      <c r="Y845" s="10"/>
      <c r="Z845" s="10"/>
    </row>
    <row r="846" spans="1:26" ht="12.75">
      <c r="A846" s="10" t="str">
        <f ca="1">IFERROR(__xludf.DUMMYFUNCTION("""COMPUTED_VALUE"""),"Валерия Николова Фол")</f>
        <v>Валерия Николова Фол</v>
      </c>
      <c r="B846" s="10" t="str">
        <f ca="1">IFERROR(__xludf.DUMMYFUNCTION("""COMPUTED_VALUE"""),"Статия в списания и поредици")</f>
        <v>Статия в списания и поредици</v>
      </c>
      <c r="C846" s="10" t="str">
        <f ca="1">IFERROR(__xludf.DUMMYFUNCTION("""COMPUTED_VALUE"""),"The Sungod.")</f>
        <v>The Sungod.</v>
      </c>
      <c r="D846" s="10">
        <f ca="1">IFERROR(__xludf.DUMMYFUNCTION("""COMPUTED_VALUE"""),2012)</f>
        <v>2012</v>
      </c>
      <c r="E846" s="10" t="str">
        <f ca="1">IFERROR(__xludf.DUMMYFUNCTION("""COMPUTED_VALUE"""),"Изкуство &amp; Идеология. Университетско издателство „Св. Климент Охридски”: 344-359.")</f>
        <v>Изкуство &amp; Идеология. Университетско издателство „Св. Климент Охридски”: 344-359.</v>
      </c>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c r="A847" s="10" t="str">
        <f ca="1">IFERROR(__xludf.DUMMYFUNCTION("""COMPUTED_VALUE"""),"Валерия Николова Фол")</f>
        <v>Валерия Николова Фол</v>
      </c>
      <c r="B847" s="10" t="str">
        <f ca="1">IFERROR(__xludf.DUMMYFUNCTION("""COMPUTED_VALUE"""),"Статия в списания и поредици")</f>
        <v>Статия в списания и поредици</v>
      </c>
      <c r="C847" s="10" t="str">
        <f ca="1">IFERROR(__xludf.DUMMYFUNCTION("""COMPUTED_VALUE"""),"Богът, почитан от всички хора..")</f>
        <v>Богът, почитан от всички хора..</v>
      </c>
      <c r="D847" s="10">
        <f ca="1">IFERROR(__xludf.DUMMYFUNCTION("""COMPUTED_VALUE"""),2012)</f>
        <v>2012</v>
      </c>
      <c r="E847" s="10" t="str">
        <f ca="1">IFERROR(__xludf.DUMMYFUNCTION("""COMPUTED_VALUE"""),"Балканите: между мита и реалността., 1, ИБЦТ, 2012, 21-32")</f>
        <v>Балканите: между мита и реалността., 1, ИБЦТ, 2012, 21-32</v>
      </c>
      <c r="F847" s="10"/>
      <c r="G847" s="10"/>
      <c r="H847" s="10"/>
      <c r="I847" s="10"/>
      <c r="J847" s="10"/>
      <c r="K847" s="10"/>
      <c r="L847" s="10"/>
      <c r="M847" s="10"/>
      <c r="N847" s="10"/>
      <c r="O847" s="10"/>
      <c r="P847" s="10"/>
      <c r="Q847" s="10"/>
      <c r="R847" s="10"/>
      <c r="S847" s="10"/>
      <c r="T847" s="10"/>
      <c r="U847" s="10"/>
      <c r="V847" s="10"/>
      <c r="W847" s="10"/>
      <c r="X847" s="10"/>
      <c r="Y847" s="10"/>
      <c r="Z847" s="10"/>
    </row>
    <row r="848" spans="1:26" ht="12.75">
      <c r="A848" s="10" t="str">
        <f ca="1">IFERROR(__xludf.DUMMYFUNCTION("""COMPUTED_VALUE"""),"Валерия Николова Фол")</f>
        <v>Валерия Николова Фол</v>
      </c>
      <c r="B848" s="10" t="str">
        <f ca="1">IFERROR(__xludf.DUMMYFUNCTION("""COMPUTED_VALUE"""),"Статия в списания и поредици")</f>
        <v>Статия в списания и поредици</v>
      </c>
      <c r="C848" s="10" t="str">
        <f ca="1">IFERROR(__xludf.DUMMYFUNCTION("""COMPUTED_VALUE"""),". Discover the Thracians – An Approach for Use of 2D and 3D Technologies for Digitization of Cultural Heritage in the Field of E-learning")</f>
        <v>. Discover the Thracians – An Approach for Use of 2D and 3D Technologies for Digitization of Cultural Heritage in the Field of E-learning</v>
      </c>
      <c r="D848" s="10">
        <f ca="1">IFERROR(__xludf.DUMMYFUNCTION("""COMPUTED_VALUE"""),2012)</f>
        <v>2012</v>
      </c>
      <c r="E848" s="10" t="str">
        <f ca="1">IFERROR(__xludf.DUMMYFUNCTION("""COMPUTED_VALUE"""),"Proceedings of The International Conference on Digital Presentation and Preservation of Cultural and Scientific Heritage - DiPP2012, Veliko Turnovo, 2012. (Best paper Award), Veliko Tarnovo: 167-171")</f>
        <v>Proceedings of The International Conference on Digital Presentation and Preservation of Cultural and Scientific Heritage - DiPP2012, Veliko Turnovo, 2012. (Best paper Award), Veliko Tarnovo: 167-171</v>
      </c>
      <c r="F848" s="10"/>
      <c r="G848" s="10" t="str">
        <f ca="1">IFERROR(__xludf.DUMMYFUNCTION("""COMPUTED_VALUE"""),"10. Konstantinov, O., E. Kovatcheva, R. Nikolov")</f>
        <v>10. Konstantinov, O., E. Kovatcheva, R. Nikolov</v>
      </c>
      <c r="H848" s="10"/>
      <c r="I848" s="10"/>
      <c r="J848" s="10"/>
      <c r="K848" s="10"/>
      <c r="L848" s="10"/>
      <c r="M848" s="10"/>
      <c r="N848" s="10"/>
      <c r="O848" s="10"/>
      <c r="P848" s="10"/>
      <c r="Q848" s="10"/>
      <c r="R848" s="10"/>
      <c r="S848" s="10"/>
      <c r="T848" s="10"/>
      <c r="U848" s="10"/>
      <c r="V848" s="10"/>
      <c r="W848" s="10"/>
      <c r="X848" s="10"/>
      <c r="Y848" s="10"/>
      <c r="Z848" s="10"/>
    </row>
    <row r="849" spans="1:26" ht="12.75">
      <c r="A849" s="10" t="str">
        <f ca="1">IFERROR(__xludf.DUMMYFUNCTION("""COMPUTED_VALUE"""),"Валерия Николова Фол")</f>
        <v>Валерия Николова Фол</v>
      </c>
      <c r="B849" s="10" t="str">
        <f ca="1">IFERROR(__xludf.DUMMYFUNCTION("""COMPUTED_VALUE"""),"Статия в списания и поредици")</f>
        <v>Статия в списания и поредици</v>
      </c>
      <c r="C849" s="10" t="str">
        <f ca="1">IFERROR(__xludf.DUMMYFUNCTION("""COMPUTED_VALUE"""),"Ontology of megalithism.")</f>
        <v>Ontology of megalithism.</v>
      </c>
      <c r="D849" s="10">
        <f ca="1">IFERROR(__xludf.DUMMYFUNCTION("""COMPUTED_VALUE"""),2012)</f>
        <v>2012</v>
      </c>
      <c r="E849" s="10" t="str">
        <f ca="1">IFERROR(__xludf.DUMMYFUNCTION("""COMPUTED_VALUE"""),"Proceedings of the First International Symposium, edited by V. Markov et al., Neofit Rilski University Press, Blagoevgrad, 2012, 9-12")</f>
        <v>Proceedings of the First International Symposium, edited by V. Markov et al., Neofit Rilski University Press, Blagoevgrad, 2012, 9-12</v>
      </c>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c r="A850" s="10" t="str">
        <f ca="1">IFERROR(__xludf.DUMMYFUNCTION("""COMPUTED_VALUE"""),"Валерия Николова Фол")</f>
        <v>Валерия Николова Фол</v>
      </c>
      <c r="B850" s="10" t="str">
        <f ca="1">IFERROR(__xludf.DUMMYFUNCTION("""COMPUTED_VALUE"""),"Статия в списания и поредици")</f>
        <v>Статия в списания и поредици</v>
      </c>
      <c r="C850" s="10" t="str">
        <f ca="1">IFERROR(__xludf.DUMMYFUNCTION("""COMPUTED_VALUE"""),"Masks and masquerade ritualism in the Early-Christianwritten tradition.")</f>
        <v>Masks and masquerade ritualism in the Early-Christianwritten tradition.</v>
      </c>
      <c r="D850" s="10">
        <f ca="1">IFERROR(__xludf.DUMMYFUNCTION("""COMPUTED_VALUE"""),2011)</f>
        <v>2011</v>
      </c>
      <c r="E850" s="10" t="str">
        <f ca="1">IFERROR(__xludf.DUMMYFUNCTION("""COMPUTED_VALUE"""),"Carnaval King of Europe, 2011, 147-157")</f>
        <v>Carnaval King of Europe, 2011, 147-157</v>
      </c>
      <c r="F850" s="10"/>
      <c r="G850" s="10"/>
      <c r="H850" s="10"/>
      <c r="I850" s="10"/>
      <c r="J850" s="10"/>
      <c r="K850" s="10"/>
      <c r="L850" s="10"/>
      <c r="M850" s="10"/>
      <c r="N850" s="10"/>
      <c r="O850" s="10"/>
      <c r="P850" s="10"/>
      <c r="Q850" s="10"/>
      <c r="R850" s="10"/>
      <c r="S850" s="10"/>
      <c r="T850" s="10"/>
      <c r="U850" s="10"/>
      <c r="V850" s="10"/>
      <c r="W850" s="10"/>
      <c r="X850" s="10"/>
      <c r="Y850" s="10"/>
      <c r="Z850" s="10"/>
    </row>
    <row r="851" spans="1:26" ht="12.75">
      <c r="A851" s="10" t="str">
        <f ca="1">IFERROR(__xludf.DUMMYFUNCTION("""COMPUTED_VALUE"""),"Валерия Николова Фол")</f>
        <v>Валерия Николова Фол</v>
      </c>
      <c r="B851" s="10" t="str">
        <f ca="1">IFERROR(__xludf.DUMMYFUNCTION("""COMPUTED_VALUE"""),"Статия в списания и поредици")</f>
        <v>Статия в списания и поредици</v>
      </c>
      <c r="C851" s="10" t="str">
        <f ca="1">IFERROR(__xludf.DUMMYFUNCTION("""COMPUTED_VALUE"""),"Отношението наука – културна политика в областта на куртурно-историческото наследство.")</f>
        <v>Отношението наука – културна политика в областта на куртурно-историческото наследство.</v>
      </c>
      <c r="D851" s="10">
        <f ca="1">IFERROR(__xludf.DUMMYFUNCTION("""COMPUTED_VALUE"""),2011)</f>
        <v>2011</v>
      </c>
      <c r="E851" s="10" t="str">
        <f ca="1">IFERROR(__xludf.DUMMYFUNCTION("""COMPUTED_VALUE"""),"Социализация на българското културно-историческо наследство. Земя, София: 88-92")</f>
        <v>Социализация на българското културно-историческо наследство. Земя, София: 88-92</v>
      </c>
      <c r="F851" s="10"/>
      <c r="G851" s="10"/>
      <c r="H851" s="10"/>
      <c r="I851" s="10"/>
      <c r="J851" s="10"/>
      <c r="K851" s="10"/>
      <c r="L851" s="10"/>
      <c r="M851" s="10"/>
      <c r="N851" s="10"/>
      <c r="O851" s="10"/>
      <c r="P851" s="10"/>
      <c r="Q851" s="10"/>
      <c r="R851" s="10"/>
      <c r="S851" s="10"/>
      <c r="T851" s="10"/>
      <c r="U851" s="10"/>
      <c r="V851" s="10"/>
      <c r="W851" s="10"/>
      <c r="X851" s="10"/>
      <c r="Y851" s="10"/>
      <c r="Z851" s="10"/>
    </row>
    <row r="852" spans="1:26" ht="12.75">
      <c r="A852" s="10" t="str">
        <f ca="1">IFERROR(__xludf.DUMMYFUNCTION("""COMPUTED_VALUE"""),"Валерия Николова Фол")</f>
        <v>Валерия Николова Фол</v>
      </c>
      <c r="B852" s="10" t="str">
        <f ca="1">IFERROR(__xludf.DUMMYFUNCTION("""COMPUTED_VALUE"""),"Монография")</f>
        <v>Монография</v>
      </c>
      <c r="C852" s="10" t="str">
        <f ca="1">IFERROR(__xludf.DUMMYFUNCTION("""COMPUTED_VALUE"""),"Божествата на траките/ The Dities of the Thracians.")</f>
        <v>Божествата на траките/ The Dities of the Thracians.</v>
      </c>
      <c r="D852" s="10">
        <f ca="1">IFERROR(__xludf.DUMMYFUNCTION("""COMPUTED_VALUE"""),2010)</f>
        <v>2010</v>
      </c>
      <c r="E852" s="10" t="str">
        <f ca="1">IFERROR(__xludf.DUMMYFUNCTION("""COMPUTED_VALUE"""),"TangraTanNakRa, 2010 ISBN ISBN 978-954-378-059-4")</f>
        <v>TangraTanNakRa, 2010 ISBN ISBN 978-954-378-059-4</v>
      </c>
      <c r="F852" s="10"/>
      <c r="G852" s="10" t="str">
        <f ca="1">IFERROR(__xludf.DUMMYFUNCTION("""COMPUTED_VALUE"""),"D. Popov")</f>
        <v>D. Popov</v>
      </c>
      <c r="H852" s="10"/>
      <c r="I852" s="10"/>
      <c r="J852" s="10"/>
      <c r="K852" s="10"/>
      <c r="L852" s="10"/>
      <c r="M852" s="10"/>
      <c r="N852" s="10"/>
      <c r="O852" s="10"/>
      <c r="P852" s="10"/>
      <c r="Q852" s="10"/>
      <c r="R852" s="10"/>
      <c r="S852" s="10"/>
      <c r="T852" s="10"/>
      <c r="U852" s="10"/>
      <c r="V852" s="10"/>
      <c r="W852" s="10"/>
      <c r="X852" s="10"/>
      <c r="Y852" s="10"/>
      <c r="Z852" s="10"/>
    </row>
    <row r="853" spans="1:26" ht="12.75">
      <c r="A853" s="10" t="str">
        <f ca="1">IFERROR(__xludf.DUMMYFUNCTION("""COMPUTED_VALUE"""),"Валерия Николова Фол")</f>
        <v>Валерия Николова Фол</v>
      </c>
      <c r="B853" s="10" t="str">
        <f ca="1">IFERROR(__xludf.DUMMYFUNCTION("""COMPUTED_VALUE"""),"Статия в списания и поредици")</f>
        <v>Статия в списания и поредици</v>
      </c>
      <c r="C853" s="10" t="str">
        <f ca="1">IFERROR(__xludf.DUMMYFUNCTION("""COMPUTED_VALUE"""),"Магическата сила на мегалитите.")</f>
        <v>Магическата сила на мегалитите.</v>
      </c>
      <c r="D853" s="10">
        <f ca="1">IFERROR(__xludf.DUMMYFUNCTION("""COMPUTED_VALUE"""),2009)</f>
        <v>2009</v>
      </c>
      <c r="E853" s="10" t="str">
        <f ca="1">IFERROR(__xludf.DUMMYFUNCTION("""COMPUTED_VALUE"""),"Първи симпозиум ""Мегалитите на Балканите"", ЮЗУ ""Неофит Рилски"", 2009, 6-7")</f>
        <v>Първи симпозиум "Мегалитите на Балканите", ЮЗУ "Неофит Рилски", 2009, 6-7</v>
      </c>
      <c r="F853" s="10"/>
      <c r="G853" s="10"/>
      <c r="H853" s="10"/>
      <c r="I853" s="10"/>
      <c r="J853" s="10"/>
      <c r="K853" s="10"/>
      <c r="L853" s="10"/>
      <c r="M853" s="10"/>
      <c r="N853" s="10"/>
      <c r="O853" s="10"/>
      <c r="P853" s="10"/>
      <c r="Q853" s="10"/>
      <c r="R853" s="10"/>
      <c r="S853" s="10"/>
      <c r="T853" s="10"/>
      <c r="U853" s="10"/>
      <c r="V853" s="10"/>
      <c r="W853" s="10"/>
      <c r="X853" s="10"/>
      <c r="Y853" s="10"/>
      <c r="Z853" s="10"/>
    </row>
    <row r="854" spans="1:26" ht="12.75">
      <c r="A854" s="10" t="str">
        <f ca="1">IFERROR(__xludf.DUMMYFUNCTION("""COMPUTED_VALUE"""),"Валерия Николова Фол")</f>
        <v>Валерия Николова Фол</v>
      </c>
      <c r="B854" s="10" t="str">
        <f ca="1">IFERROR(__xludf.DUMMYFUNCTION("""COMPUTED_VALUE"""),"Статия в списания и поредици")</f>
        <v>Статия в списания и поредици</v>
      </c>
      <c r="C854" s="10" t="str">
        <f ca="1">IFERROR(__xludf.DUMMYFUNCTION("""COMPUTED_VALUE"""),"The wolf/the dog and the North as the direction of wisdom.")</f>
        <v>The wolf/the dog and the North as the direction of wisdom.</v>
      </c>
      <c r="D854" s="10">
        <f ca="1">IFERROR(__xludf.DUMMYFUNCTION("""COMPUTED_VALUE"""),2009)</f>
        <v>2009</v>
      </c>
      <c r="E854" s="10" t="str">
        <f ca="1">IFERROR(__xludf.DUMMYFUNCTION("""COMPUTED_VALUE"""),"Studia archeologiae et historiae antiquae. Doctissimo viro Scientiarum Archeologiae et Historiae Ion Nikuliţă, anno septuagesimo aetatis suae, dedicator, 2009, 149-158")</f>
        <v>Studia archeologiae et historiae antiquae. Doctissimo viro Scientiarum Archeologiae et Historiae Ion Nikuliţă, anno septuagesimo aetatis suae, dedicator, 2009, 149-158</v>
      </c>
      <c r="F854" s="10"/>
      <c r="G854" s="10"/>
      <c r="H854" s="10"/>
      <c r="I854" s="10"/>
      <c r="J854" s="10"/>
      <c r="K854" s="10"/>
      <c r="L854" s="10"/>
      <c r="M854" s="10"/>
      <c r="N854" s="10"/>
      <c r="O854" s="10"/>
      <c r="P854" s="10"/>
      <c r="Q854" s="10"/>
      <c r="R854" s="10"/>
      <c r="S854" s="10"/>
      <c r="T854" s="10"/>
      <c r="U854" s="10"/>
      <c r="V854" s="10"/>
      <c r="W854" s="10"/>
      <c r="X854" s="10"/>
      <c r="Y854" s="10"/>
      <c r="Z854" s="10"/>
    </row>
    <row r="855" spans="1:26" ht="12.75">
      <c r="A855" s="10" t="str">
        <f ca="1">IFERROR(__xludf.DUMMYFUNCTION("""COMPUTED_VALUE"""),"Валерия Николова Фол")</f>
        <v>Валерия Николова Фол</v>
      </c>
      <c r="B855" s="10" t="str">
        <f ca="1">IFERROR(__xludf.DUMMYFUNCTION("""COMPUTED_VALUE"""),"Статия в списания и поредици")</f>
        <v>Статия в списания и поредици</v>
      </c>
      <c r="C855" s="10" t="str">
        <f ca="1">IFERROR(__xludf.DUMMYFUNCTION("""COMPUTED_VALUE"""),"The anthropodaimons with golden masks from the Upper Stream of Tondos.")</f>
        <v>The anthropodaimons with golden masks from the Upper Stream of Tondos.</v>
      </c>
      <c r="D855" s="10">
        <f ca="1">IFERROR(__xludf.DUMMYFUNCTION("""COMPUTED_VALUE"""),2009)</f>
        <v>2009</v>
      </c>
      <c r="E855" s="10" t="str">
        <f ca="1">IFERROR(__xludf.DUMMYFUNCTION("""COMPUTED_VALUE"""),"Thracia 18 in memory of Alexander Fol, Bulgarian Academy of Sciences, 18, Institute of Thracology - Sofia, 2009, 35-42")</f>
        <v>Thracia 18 in memory of Alexander Fol, Bulgarian Academy of Sciences, 18, Institute of Thracology - Sofia, 2009, 35-42</v>
      </c>
      <c r="F855" s="10"/>
      <c r="G855" s="10"/>
      <c r="H855" s="10"/>
      <c r="I855" s="10"/>
      <c r="J855" s="10"/>
      <c r="K855" s="10"/>
      <c r="L855" s="10"/>
      <c r="M855" s="10"/>
      <c r="N855" s="10"/>
      <c r="O855" s="10"/>
      <c r="P855" s="10"/>
      <c r="Q855" s="10"/>
      <c r="R855" s="10"/>
      <c r="S855" s="10"/>
      <c r="T855" s="10"/>
      <c r="U855" s="10"/>
      <c r="V855" s="10"/>
      <c r="W855" s="10"/>
      <c r="X855" s="10"/>
      <c r="Y855" s="10"/>
      <c r="Z855" s="10"/>
    </row>
    <row r="856" spans="1:26" ht="12.75">
      <c r="A856" s="10" t="str">
        <f ca="1">IFERROR(__xludf.DUMMYFUNCTION("""COMPUTED_VALUE"""),"Валерия Николова Фол")</f>
        <v>Валерия Николова Фол</v>
      </c>
      <c r="B856" s="10" t="str">
        <f ca="1">IFERROR(__xludf.DUMMYFUNCTION("""COMPUTED_VALUE"""),"Монография")</f>
        <v>Монография</v>
      </c>
      <c r="C856" s="10" t="str">
        <f ca="1">IFERROR(__xludf.DUMMYFUNCTION("""COMPUTED_VALUE"""),"Орфей тракиецът.")</f>
        <v>Орфей тракиецът.</v>
      </c>
      <c r="D856" s="10">
        <f ca="1">IFERROR(__xludf.DUMMYFUNCTION("""COMPUTED_VALUE"""),2008)</f>
        <v>2008</v>
      </c>
      <c r="E856" s="10" t="str">
        <f ca="1">IFERROR(__xludf.DUMMYFUNCTION("""COMPUTED_VALUE"""),"София, Тангра ТанНакРа, 2008, 143 ISBN 9789543780242")</f>
        <v>София, Тангра ТанНакРа, 2008, 143 ISBN 9789543780242</v>
      </c>
      <c r="F856" s="10"/>
      <c r="G856" s="10"/>
      <c r="H856" s="10"/>
      <c r="I856" s="10"/>
      <c r="J856" s="10"/>
      <c r="K856" s="10"/>
      <c r="L856" s="10"/>
      <c r="M856" s="10"/>
      <c r="N856" s="10"/>
      <c r="O856" s="10"/>
      <c r="P856" s="10"/>
      <c r="Q856" s="10"/>
      <c r="R856" s="10"/>
      <c r="S856" s="10"/>
      <c r="T856" s="10"/>
      <c r="U856" s="10"/>
      <c r="V856" s="10"/>
      <c r="W856" s="10"/>
      <c r="X856" s="10"/>
      <c r="Y856" s="10"/>
      <c r="Z856" s="10"/>
    </row>
    <row r="857" spans="1:26" ht="12.75">
      <c r="A857" s="10" t="str">
        <f ca="1">IFERROR(__xludf.DUMMYFUNCTION("""COMPUTED_VALUE"""),"Валерия Николова Фол")</f>
        <v>Валерия Николова Фол</v>
      </c>
      <c r="B857" s="10" t="str">
        <f ca="1">IFERROR(__xludf.DUMMYFUNCTION("""COMPUTED_VALUE"""),"Статия в списания и поредици")</f>
        <v>Статия в списания и поредици</v>
      </c>
      <c r="C857" s="10" t="str">
        <f ca="1">IFERROR(__xludf.DUMMYFUNCTION("""COMPUTED_VALUE"""),"The Rock as a topoi of faith. The interactive zone of the rock-cut monuments – from Urartu to Thrace..")</f>
        <v>The Rock as a topoi of faith. The interactive zone of the rock-cut monuments – from Urartu to Thrace..</v>
      </c>
      <c r="D857" s="10">
        <f ca="1">IFERROR(__xludf.DUMMYFUNCTION("""COMPUTED_VALUE"""),2008)</f>
        <v>2008</v>
      </c>
      <c r="E857" s="10" t="str">
        <f ca="1">IFERROR(__xludf.DUMMYFUNCTION("""COMPUTED_VALUE"""),"Kostov, R. (Ed.) Geoarchaeology and Archaeomineralogy. Proceedings of the International Conference 29-30 October 2008 – Sofia, Sofia, 2008, 151-162")</f>
        <v>Kostov, R. (Ed.) Geoarchaeology and Archaeomineralogy. Proceedings of the International Conference 29-30 October 2008 – Sofia, Sofia, 2008, 151-162</v>
      </c>
      <c r="F857" s="10"/>
      <c r="G857" s="10"/>
      <c r="H857" s="10"/>
      <c r="I857" s="10"/>
      <c r="J857" s="10"/>
      <c r="K857" s="10"/>
      <c r="L857" s="10"/>
      <c r="M857" s="10"/>
      <c r="N857" s="10"/>
      <c r="O857" s="10"/>
      <c r="P857" s="10"/>
      <c r="Q857" s="10"/>
      <c r="R857" s="10"/>
      <c r="S857" s="10"/>
      <c r="T857" s="10"/>
      <c r="U857" s="10"/>
      <c r="V857" s="10"/>
      <c r="W857" s="10"/>
      <c r="X857" s="10"/>
      <c r="Y857" s="10"/>
      <c r="Z857" s="10"/>
    </row>
    <row r="858" spans="1:26" ht="12.75">
      <c r="A858" s="10" t="str">
        <f ca="1">IFERROR(__xludf.DUMMYFUNCTION("""COMPUTED_VALUE"""),"Валерия Николова Фол")</f>
        <v>Валерия Николова Фол</v>
      </c>
      <c r="B858" s="10" t="str">
        <f ca="1">IFERROR(__xludf.DUMMYFUNCTION("""COMPUTED_VALUE"""),"Статия в списания и поредици")</f>
        <v>Статия в списания и поредици</v>
      </c>
      <c r="C858" s="10" t="str">
        <f ca="1">IFERROR(__xludf.DUMMYFUNCTION("""COMPUTED_VALUE"""),"Скални топоси на вяра в Югоизточна Европа и в Мала Азия през древността.")</f>
        <v>Скални топоси на вяра в Югоизточна Европа и в Мала Азия през древността.</v>
      </c>
      <c r="D858" s="10">
        <f ca="1">IFERROR(__xludf.DUMMYFUNCTION("""COMPUTED_VALUE"""),2007)</f>
        <v>2007</v>
      </c>
      <c r="E858" s="10" t="str">
        <f ca="1">IFERROR(__xludf.DUMMYFUNCTION("""COMPUTED_VALUE"""),"Studia Thracica, 10, Институт по тракология - БАН, 2007, ISBN:954-430-962-4, 479")</f>
        <v>Studia Thracica, 10, Институт по тракология - БАН, 2007, ISBN:954-430-962-4, 479</v>
      </c>
      <c r="F858" s="10"/>
      <c r="G858" s="10"/>
      <c r="H858" s="10"/>
      <c r="I858" s="10"/>
      <c r="J858" s="10"/>
      <c r="K858" s="10"/>
      <c r="L858" s="10"/>
      <c r="M858" s="10"/>
      <c r="N858" s="10"/>
      <c r="O858" s="10"/>
      <c r="P858" s="10"/>
      <c r="Q858" s="10"/>
      <c r="R858" s="10"/>
      <c r="S858" s="10"/>
      <c r="T858" s="10"/>
      <c r="U858" s="10"/>
      <c r="V858" s="10"/>
      <c r="W858" s="10"/>
      <c r="X858" s="10"/>
      <c r="Y858" s="10"/>
      <c r="Z858" s="10"/>
    </row>
    <row r="859" spans="1:26" ht="12.75">
      <c r="A859" s="10" t="str">
        <f ca="1">IFERROR(__xludf.DUMMYFUNCTION("""COMPUTED_VALUE"""),"Валерия Николова Фол")</f>
        <v>Валерия Николова Фол</v>
      </c>
      <c r="B859" s="10" t="str">
        <f ca="1">IFERROR(__xludf.DUMMYFUNCTION("""COMPUTED_VALUE"""),"Статия в списания и поредици")</f>
        <v>Статия в списания и поредици</v>
      </c>
      <c r="C859" s="10" t="str">
        <f ca="1">IFERROR(__xludf.DUMMYFUNCTION("""COMPUTED_VALUE"""),"The Solar Doors – a Gate to the Beyond.")</f>
        <v>The Solar Doors – a Gate to the Beyond.</v>
      </c>
      <c r="D859" s="10">
        <f ca="1">IFERROR(__xludf.DUMMYFUNCTION("""COMPUTED_VALUE"""),2007)</f>
        <v>2007</v>
      </c>
      <c r="E859" s="10" t="str">
        <f ca="1">IFERROR(__xludf.DUMMYFUNCTION("""COMPUTED_VALUE"""),"Proceedings of the 10th International Congress of Thracology Komotini – Alexandrupolis 18-23 September 2005, Athens, 2007, 169-175")</f>
        <v>Proceedings of the 10th International Congress of Thracology Komotini – Alexandrupolis 18-23 September 2005, Athens, 2007, 169-175</v>
      </c>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c r="A860" s="10" t="str">
        <f ca="1">IFERROR(__xludf.DUMMYFUNCTION("""COMPUTED_VALUE"""),"Валерия Николова Фол")</f>
        <v>Валерия Николова Фол</v>
      </c>
      <c r="B860" s="10" t="str">
        <f ca="1">IFERROR(__xludf.DUMMYFUNCTION("""COMPUTED_VALUE"""),"Статия в списания и поредици")</f>
        <v>Статия в списания и поредици</v>
      </c>
      <c r="C860" s="10" t="str">
        <f ca="1">IFERROR(__xludf.DUMMYFUNCTION("""COMPUTED_VALUE"""),"Свещеният участък.")</f>
        <v>Свещеният участък.</v>
      </c>
      <c r="D860" s="10">
        <f ca="1">IFERROR(__xludf.DUMMYFUNCTION("""COMPUTED_VALUE"""),2007)</f>
        <v>2007</v>
      </c>
      <c r="E860" s="10" t="str">
        <f ca="1">IFERROR(__xludf.DUMMYFUNCTION("""COMPUTED_VALUE"""),"Списание на БАН, 4, БАН, 2007, 27-46")</f>
        <v>Списание на БАН, 4, БАН, 2007, 27-46</v>
      </c>
      <c r="F860" s="10"/>
      <c r="G860" s="10"/>
      <c r="H860" s="10"/>
      <c r="I860" s="10"/>
      <c r="J860" s="10"/>
      <c r="K860" s="10"/>
      <c r="L860" s="10"/>
      <c r="M860" s="10"/>
      <c r="N860" s="10"/>
      <c r="O860" s="10"/>
      <c r="P860" s="10"/>
      <c r="Q860" s="10"/>
      <c r="R860" s="10"/>
      <c r="S860" s="10"/>
      <c r="T860" s="10"/>
      <c r="U860" s="10"/>
      <c r="V860" s="10"/>
      <c r="W860" s="10"/>
      <c r="X860" s="10"/>
      <c r="Y860" s="10"/>
      <c r="Z860" s="10"/>
    </row>
    <row r="861" spans="1:26" ht="12.75">
      <c r="A861" s="10" t="str">
        <f ca="1">IFERROR(__xludf.DUMMYFUNCTION("""COMPUTED_VALUE"""),"Валерия Николова Фол")</f>
        <v>Валерия Николова Фол</v>
      </c>
      <c r="B861" s="10" t="str">
        <f ca="1">IFERROR(__xludf.DUMMYFUNCTION("""COMPUTED_VALUE"""),"Статия в списания и поредици")</f>
        <v>Статия в списания и поредици</v>
      </c>
      <c r="C861" s="10" t="str">
        <f ca="1">IFERROR(__xludf.DUMMYFUNCTION("""COMPUTED_VALUE"""),"Тридесет години по-късно..")</f>
        <v>Тридесет години по-късно..</v>
      </c>
      <c r="D861" s="10">
        <f ca="1">IFERROR(__xludf.DUMMYFUNCTION("""COMPUTED_VALUE"""),2007)</f>
        <v>2007</v>
      </c>
      <c r="E861" s="10" t="str">
        <f ca="1">IFERROR(__xludf.DUMMYFUNCTION("""COMPUTED_VALUE"""),"История, 6-7, 2007, 37-43")</f>
        <v>История, 6-7, 2007, 37-43</v>
      </c>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c r="A862" s="10" t="str">
        <f ca="1">IFERROR(__xludf.DUMMYFUNCTION("""COMPUTED_VALUE"""),"Валерия Николова Фол")</f>
        <v>Валерия Николова Фол</v>
      </c>
      <c r="B862" s="10" t="str">
        <f ca="1">IFERROR(__xludf.DUMMYFUNCTION("""COMPUTED_VALUE"""),"Статия в списания и поредици")</f>
        <v>Статия в списания и поредици</v>
      </c>
      <c r="C862" s="10" t="str">
        <f ca="1">IFERROR(__xludf.DUMMYFUNCTION("""COMPUTED_VALUE"""),"Свещеното пространство.")</f>
        <v>Свещеното пространство.</v>
      </c>
      <c r="D862" s="10">
        <f ca="1">IFERROR(__xludf.DUMMYFUNCTION("""COMPUTED_VALUE"""),2006)</f>
        <v>2006</v>
      </c>
      <c r="E862" s="10" t="str">
        <f ca="1">IFERROR(__xludf.DUMMYFUNCTION("""COMPUTED_VALUE"""),"Проблеми и изследвания на тракийската култура 1, 1, Казанлък, 2006, 74-81")</f>
        <v>Проблеми и изследвания на тракийската култура 1, 1, Казанлък, 2006, 74-81</v>
      </c>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c r="A863" s="10" t="str">
        <f ca="1">IFERROR(__xludf.DUMMYFUNCTION("""COMPUTED_VALUE"""),"Валерия Николова Фол")</f>
        <v>Валерия Николова Фол</v>
      </c>
      <c r="B863" s="10" t="str">
        <f ca="1">IFERROR(__xludf.DUMMYFUNCTION("""COMPUTED_VALUE"""),"Статия в списания и поредици")</f>
        <v>Статия в списания и поредици</v>
      </c>
      <c r="C863" s="10" t="str">
        <f ca="1">IFERROR(__xludf.DUMMYFUNCTION("""COMPUTED_VALUE"""),"L’or des Thraces. L’or des Thraces, trésors de Bulgarie.")</f>
        <v>L’or des Thraces. L’or des Thraces, trésors de Bulgarie.</v>
      </c>
      <c r="D863" s="10">
        <f ca="1">IFERROR(__xludf.DUMMYFUNCTION("""COMPUTED_VALUE"""),2006)</f>
        <v>2006</v>
      </c>
      <c r="E863" s="10" t="str">
        <f ca="1">IFERROR(__xludf.DUMMYFUNCTION("""COMPUTED_VALUE"""),"Musée Jacquemart-André, Institut de France, Paris, 2006, ISBN 9789053496220")</f>
        <v>Musée Jacquemart-André, Institut de France, Paris, 2006, ISBN 9789053496220</v>
      </c>
      <c r="F863" s="10"/>
      <c r="G863" s="10"/>
      <c r="H863" s="10"/>
      <c r="I863" s="10"/>
      <c r="J863" s="10"/>
      <c r="K863" s="10"/>
      <c r="L863" s="10"/>
      <c r="M863" s="10"/>
      <c r="N863" s="10"/>
      <c r="O863" s="10"/>
      <c r="P863" s="10"/>
      <c r="Q863" s="10"/>
      <c r="R863" s="10"/>
      <c r="S863" s="10"/>
      <c r="T863" s="10"/>
      <c r="U863" s="10"/>
      <c r="V863" s="10"/>
      <c r="W863" s="10"/>
      <c r="X863" s="10"/>
      <c r="Y863" s="10"/>
      <c r="Z863" s="10"/>
    </row>
    <row r="864" spans="1:26" ht="12.75">
      <c r="A864" s="10" t="str">
        <f ca="1">IFERROR(__xludf.DUMMYFUNCTION("""COMPUTED_VALUE"""),"Валерия Николова Фол")</f>
        <v>Валерия Николова Фол</v>
      </c>
      <c r="B864" s="10" t="str">
        <f ca="1">IFERROR(__xludf.DUMMYFUNCTION("""COMPUTED_VALUE"""),"Статия в списания и поредици")</f>
        <v>Статия в списания и поредици</v>
      </c>
      <c r="C864" s="10" t="str">
        <f ca="1">IFERROR(__xludf.DUMMYFUNCTION("""COMPUTED_VALUE"""),"Кабиле - тракийският пример за превръщането на свято място в градски център.")</f>
        <v>Кабиле - тракийският пример за превръщането на свято място в градски център.</v>
      </c>
      <c r="D864" s="10">
        <f ca="1">IFERROR(__xludf.DUMMYFUNCTION("""COMPUTED_VALUE"""),2006)</f>
        <v>2006</v>
      </c>
      <c r="E864" s="10" t="str">
        <f ca="1">IFERROR(__xludf.DUMMYFUNCTION("""COMPUTED_VALUE"""),"Поселищен живот в древна Тракия, ІV, 2006, 71-79")</f>
        <v>Поселищен живот в древна Тракия, ІV, 2006, 71-79</v>
      </c>
      <c r="F864" s="10"/>
      <c r="G864" s="10"/>
      <c r="H864" s="10"/>
      <c r="I864" s="10"/>
      <c r="J864" s="10"/>
      <c r="K864" s="10"/>
      <c r="L864" s="10"/>
      <c r="M864" s="10"/>
      <c r="N864" s="10"/>
      <c r="O864" s="10"/>
      <c r="P864" s="10"/>
      <c r="Q864" s="10"/>
      <c r="R864" s="10"/>
      <c r="S864" s="10"/>
      <c r="T864" s="10"/>
      <c r="U864" s="10"/>
      <c r="V864" s="10"/>
      <c r="W864" s="10"/>
      <c r="X864" s="10"/>
      <c r="Y864" s="10"/>
      <c r="Z864" s="10"/>
    </row>
    <row r="865" spans="1:26" ht="12.75">
      <c r="A865" s="10" t="str">
        <f ca="1">IFERROR(__xludf.DUMMYFUNCTION("""COMPUTED_VALUE"""),"Валерия Николова Фол")</f>
        <v>Валерия Николова Фол</v>
      </c>
      <c r="B865" s="10" t="str">
        <f ca="1">IFERROR(__xludf.DUMMYFUNCTION("""COMPUTED_VALUE"""),"Статия в списания и поредици")</f>
        <v>Статия в списания и поредици</v>
      </c>
      <c r="C865" s="10" t="str">
        <f ca="1">IFERROR(__xludf.DUMMYFUNCTION("""COMPUTED_VALUE"""),"The Rock Antiquity of Delphi.")</f>
        <v>The Rock Antiquity of Delphi.</v>
      </c>
      <c r="D865" s="10">
        <f ca="1">IFERROR(__xludf.DUMMYFUNCTION("""COMPUTED_VALUE"""),2006)</f>
        <v>2006</v>
      </c>
      <c r="E865" s="10" t="str">
        <f ca="1">IFERROR(__xludf.DUMMYFUNCTION("""COMPUTED_VALUE"""),"Homage of Milutin Garašanin, Belgrad, 2006, 513-521")</f>
        <v>Homage of Milutin Garašanin, Belgrad, 2006, 513-521</v>
      </c>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c r="A866" s="10" t="str">
        <f ca="1">IFERROR(__xludf.DUMMYFUNCTION("""COMPUTED_VALUE"""),"Валерия Николова Фол")</f>
        <v>Валерия Николова Фол</v>
      </c>
      <c r="B866" s="10" t="str">
        <f ca="1">IFERROR(__xludf.DUMMYFUNCTION("""COMPUTED_VALUE"""),"Статия в списания и поредици")</f>
        <v>Статия в списания и поредици</v>
      </c>
      <c r="C866" s="10" t="str">
        <f ca="1">IFERROR(__xludf.DUMMYFUNCTION("""COMPUTED_VALUE"""),"Faith and the Cosmos.")</f>
        <v>Faith and the Cosmos.</v>
      </c>
      <c r="D866" s="10">
        <f ca="1">IFERROR(__xludf.DUMMYFUNCTION("""COMPUTED_VALUE"""),2006)</f>
        <v>2006</v>
      </c>
      <c r="E866" s="10" t="str">
        <f ca="1">IFERROR(__xludf.DUMMYFUNCTION("""COMPUTED_VALUE"""),"Fol, V. (Ed.). 2006. The Thracian Cosmos – The Sacred Realm of Kings., Professor Alexander Fol Institute of Thracology – Bulgarian Academy of Sciences. Sofia., 2006, 19-21")</f>
        <v>Fol, V. (Ed.). 2006. The Thracian Cosmos – The Sacred Realm of Kings., Professor Alexander Fol Institute of Thracology – Bulgarian Academy of Sciences. Sofia., 2006, 19-21</v>
      </c>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c r="A867" s="10" t="str">
        <f ca="1">IFERROR(__xludf.DUMMYFUNCTION("""COMPUTED_VALUE"""),"Валерия Николова Фол")</f>
        <v>Валерия Николова Фол</v>
      </c>
      <c r="B867" s="10" t="str">
        <f ca="1">IFERROR(__xludf.DUMMYFUNCTION("""COMPUTED_VALUE"""),"Статия в списания и поредици")</f>
        <v>Статия в списания и поредици</v>
      </c>
      <c r="C867" s="10" t="str">
        <f ca="1">IFERROR(__xludf.DUMMYFUNCTION("""COMPUTED_VALUE"""),"The Solar Doors – D Gate to Beyond")</f>
        <v>The Solar Doors – D Gate to Beyond</v>
      </c>
      <c r="D867" s="10">
        <f ca="1">IFERROR(__xludf.DUMMYFUNCTION("""COMPUTED_VALUE"""),2005)</f>
        <v>2005</v>
      </c>
      <c r="E867" s="10" t="str">
        <f ca="1">IFERROR(__xludf.DUMMYFUNCTION("""COMPUTED_VALUE"""),"Thrace in the Graeco-Roman World.. Proceeding of the Xth International congress of Thracology. Komotini – Alexandrupolis 18-23 October., Athens, 2005, 169-175")</f>
        <v>Thrace in the Graeco-Roman World.. Proceeding of the Xth International congress of Thracology. Komotini – Alexandrupolis 18-23 October., Athens, 2005, 169-175</v>
      </c>
      <c r="F867" s="10"/>
      <c r="G867" s="10"/>
      <c r="H867" s="10"/>
      <c r="I867" s="10"/>
      <c r="J867" s="10"/>
      <c r="K867" s="10"/>
      <c r="L867" s="10"/>
      <c r="M867" s="10"/>
      <c r="N867" s="10"/>
      <c r="O867" s="10"/>
      <c r="P867" s="10"/>
      <c r="Q867" s="10"/>
      <c r="R867" s="10"/>
      <c r="S867" s="10"/>
      <c r="T867" s="10"/>
      <c r="U867" s="10"/>
      <c r="V867" s="10"/>
      <c r="W867" s="10"/>
      <c r="X867" s="10"/>
      <c r="Y867" s="10"/>
      <c r="Z867" s="10"/>
    </row>
    <row r="868" spans="1:26" ht="12.75">
      <c r="A868" s="10" t="str">
        <f ca="1">IFERROR(__xludf.DUMMYFUNCTION("""COMPUTED_VALUE"""),"Валерия Николова Фол")</f>
        <v>Валерия Николова Фол</v>
      </c>
      <c r="B868" s="10" t="str">
        <f ca="1">IFERROR(__xludf.DUMMYFUNCTION("""COMPUTED_VALUE"""),"Статия в списания и поредици")</f>
        <v>Статия в списания и поредици</v>
      </c>
      <c r="C868" s="10" t="str">
        <f ca="1">IFERROR(__xludf.DUMMYFUNCTION("""COMPUTED_VALUE"""),"Слънчевите двери – врата към Отвъд.")</f>
        <v>Слънчевите двери – врата към Отвъд.</v>
      </c>
      <c r="D868" s="10">
        <f ca="1">IFERROR(__xludf.DUMMYFUNCTION("""COMPUTED_VALUE"""),2005)</f>
        <v>2005</v>
      </c>
      <c r="E868" s="10" t="str">
        <f ca="1">IFERROR(__xludf.DUMMYFUNCTION("""COMPUTED_VALUE"""),"SAUS, Supl. 4: Stephanos archaeologicos in honorem L. Getov., София., 2005, 705-710")</f>
        <v>SAUS, Supl. 4: Stephanos archaeologicos in honorem L. Getov., София., 2005, 705-710</v>
      </c>
      <c r="F868" s="10"/>
      <c r="G868" s="10"/>
      <c r="H868" s="10"/>
      <c r="I868" s="10"/>
      <c r="J868" s="10"/>
      <c r="K868" s="10"/>
      <c r="L868" s="10"/>
      <c r="M868" s="10"/>
      <c r="N868" s="10"/>
      <c r="O868" s="10"/>
      <c r="P868" s="10"/>
      <c r="Q868" s="10"/>
      <c r="R868" s="10"/>
      <c r="S868" s="10"/>
      <c r="T868" s="10"/>
      <c r="U868" s="10"/>
      <c r="V868" s="10"/>
      <c r="W868" s="10"/>
      <c r="X868" s="10"/>
      <c r="Y868" s="10"/>
      <c r="Z868" s="10"/>
    </row>
    <row r="869" spans="1:26" ht="12.75">
      <c r="A869" s="10" t="str">
        <f ca="1">IFERROR(__xludf.DUMMYFUNCTION("""COMPUTED_VALUE"""),"Валерия Николова Фол")</f>
        <v>Валерия Николова Фол</v>
      </c>
      <c r="B869" s="10" t="str">
        <f ca="1">IFERROR(__xludf.DUMMYFUNCTION("""COMPUTED_VALUE"""),"Монография")</f>
        <v>Монография</v>
      </c>
      <c r="C869" s="10" t="str">
        <f ca="1">IFERROR(__xludf.DUMMYFUNCTION("""COMPUTED_VALUE"""),"The Thracians.")</f>
        <v>The Thracians.</v>
      </c>
      <c r="D869" s="10">
        <f ca="1">IFERROR(__xludf.DUMMYFUNCTION("""COMPUTED_VALUE"""),2005)</f>
        <v>2005</v>
      </c>
      <c r="E869" s="10" t="str">
        <f ca="1">IFERROR(__xludf.DUMMYFUNCTION("""COMPUTED_VALUE"""),"Sofia, Tangra TanNakRa, 2005, ISBN:954-9717-18-6, 206")</f>
        <v>Sofia, Tangra TanNakRa, 2005, ISBN:954-9717-18-6, 206</v>
      </c>
      <c r="F869" s="10"/>
      <c r="G869" s="10" t="str">
        <f ca="1">IFERROR(__xludf.DUMMYFUNCTION("""COMPUTED_VALUE"""),"A. Fol")</f>
        <v>A. Fol</v>
      </c>
      <c r="H869" s="10"/>
      <c r="I869" s="10"/>
      <c r="J869" s="10"/>
      <c r="K869" s="10"/>
      <c r="L869" s="10"/>
      <c r="M869" s="10"/>
      <c r="N869" s="10"/>
      <c r="O869" s="10"/>
      <c r="P869" s="10"/>
      <c r="Q869" s="10"/>
      <c r="R869" s="10"/>
      <c r="S869" s="10"/>
      <c r="T869" s="10"/>
      <c r="U869" s="10"/>
      <c r="V869" s="10"/>
      <c r="W869" s="10"/>
      <c r="X869" s="10"/>
      <c r="Y869" s="10"/>
      <c r="Z869" s="10"/>
    </row>
    <row r="870" spans="1:26" ht="12.75">
      <c r="A870" s="10" t="str">
        <f ca="1">IFERROR(__xludf.DUMMYFUNCTION("""COMPUTED_VALUE"""),"Валерия Николова Фол")</f>
        <v>Валерия Николова Фол</v>
      </c>
      <c r="B870" s="10" t="str">
        <f ca="1">IFERROR(__xludf.DUMMYFUNCTION("""COMPUTED_VALUE"""),"Статия в списания и поредици")</f>
        <v>Статия в списания и поредици</v>
      </c>
      <c r="C870" s="10" t="str">
        <f ca="1">IFERROR(__xludf.DUMMYFUNCTION("""COMPUTED_VALUE"""),"Завръщат ли се старите богове.")</f>
        <v>Завръщат ли се старите богове.</v>
      </c>
      <c r="D870" s="10">
        <f ca="1">IFERROR(__xludf.DUMMYFUNCTION("""COMPUTED_VALUE"""),2005)</f>
        <v>2005</v>
      </c>
      <c r="E870" s="10" t="str">
        <f ca="1">IFERROR(__xludf.DUMMYFUNCTION("""COMPUTED_VALUE"""),"Български фолклор, 4, 2005, 50-65")</f>
        <v>Български фолклор, 4, 2005, 50-65</v>
      </c>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c r="A871" s="10" t="str">
        <f ca="1">IFERROR(__xludf.DUMMYFUNCTION("""COMPUTED_VALUE"""),"Валерия Николова Фол")</f>
        <v>Валерия Николова Фол</v>
      </c>
      <c r="B871" s="10" t="str">
        <f ca="1">IFERROR(__xludf.DUMMYFUNCTION("""COMPUTED_VALUE"""),"Монография")</f>
        <v>Монография</v>
      </c>
      <c r="C871" s="10" t="str">
        <f ca="1">IFERROR(__xludf.DUMMYFUNCTION("""COMPUTED_VALUE"""),"Траките.")</f>
        <v>Траките.</v>
      </c>
      <c r="D871" s="10">
        <f ca="1">IFERROR(__xludf.DUMMYFUNCTION("""COMPUTED_VALUE"""),2005)</f>
        <v>2005</v>
      </c>
      <c r="E871" s="10" t="str">
        <f ca="1">IFERROR(__xludf.DUMMYFUNCTION("""COMPUTED_VALUE"""),"Тангра ТанНакРа, София., 2005 ISBN 954-9717-18-6")</f>
        <v>Тангра ТанНакРа, София., 2005 ISBN 954-9717-18-6</v>
      </c>
      <c r="F871" s="10"/>
      <c r="G871" s="10" t="str">
        <f ca="1">IFERROR(__xludf.DUMMYFUNCTION("""COMPUTED_VALUE"""),"А. Фол")</f>
        <v>А. Фол</v>
      </c>
      <c r="H871" s="10"/>
      <c r="I871" s="10"/>
      <c r="J871" s="10"/>
      <c r="K871" s="10"/>
      <c r="L871" s="10"/>
      <c r="M871" s="10"/>
      <c r="N871" s="10"/>
      <c r="O871" s="10"/>
      <c r="P871" s="10"/>
      <c r="Q871" s="10"/>
      <c r="R871" s="10"/>
      <c r="S871" s="10"/>
      <c r="T871" s="10"/>
      <c r="U871" s="10"/>
      <c r="V871" s="10"/>
      <c r="W871" s="10"/>
      <c r="X871" s="10"/>
      <c r="Y871" s="10"/>
      <c r="Z871" s="10"/>
    </row>
    <row r="872" spans="1:26" ht="12.75">
      <c r="A872" s="10" t="str">
        <f ca="1">IFERROR(__xludf.DUMMYFUNCTION("""COMPUTED_VALUE"""),"Валерия Николова Фол")</f>
        <v>Валерия Николова Фол</v>
      </c>
      <c r="B872" s="10" t="str">
        <f ca="1">IFERROR(__xludf.DUMMYFUNCTION("""COMPUTED_VALUE"""),"Статия в списания и поредици")</f>
        <v>Статия в списания и поредици</v>
      </c>
      <c r="C872" s="10" t="str">
        <f ca="1">IFERROR(__xludf.DUMMYFUNCTION("""COMPUTED_VALUE"""),"Heroons-Tombs-Sanctuaries.")</f>
        <v>Heroons-Tombs-Sanctuaries.</v>
      </c>
      <c r="D872" s="10">
        <f ca="1">IFERROR(__xludf.DUMMYFUNCTION("""COMPUTED_VALUE"""),2005)</f>
        <v>2005</v>
      </c>
      <c r="E872" s="10" t="str">
        <f ca="1">IFERROR(__xludf.DUMMYFUNCTION("""COMPUTED_VALUE"""),"Thracia. In honorem X congressi studiorum thracicorum., 16, 2005, 45-56")</f>
        <v>Thracia. In honorem X congressi studiorum thracicorum., 16, 2005, 45-56</v>
      </c>
      <c r="F872" s="10"/>
      <c r="G872" s="10"/>
      <c r="H872" s="10"/>
      <c r="I872" s="10"/>
      <c r="J872" s="10"/>
      <c r="K872" s="10"/>
      <c r="L872" s="10"/>
      <c r="M872" s="10"/>
      <c r="N872" s="10"/>
      <c r="O872" s="10"/>
      <c r="P872" s="10"/>
      <c r="Q872" s="10"/>
      <c r="R872" s="10"/>
      <c r="S872" s="10"/>
      <c r="T872" s="10"/>
      <c r="U872" s="10"/>
      <c r="V872" s="10"/>
      <c r="W872" s="10"/>
      <c r="X872" s="10"/>
      <c r="Y872" s="10"/>
      <c r="Z872" s="10"/>
    </row>
    <row r="873" spans="1:26" ht="12.75">
      <c r="A873" s="10" t="str">
        <f ca="1">IFERROR(__xludf.DUMMYFUNCTION("""COMPUTED_VALUE"""),"Валерия Николова Фол")</f>
        <v>Валерия Николова Фол</v>
      </c>
      <c r="B873" s="10" t="str">
        <f ca="1">IFERROR(__xludf.DUMMYFUNCTION("""COMPUTED_VALUE"""),"Статия в списания и поредици")</f>
        <v>Статия в списания и поредици</v>
      </c>
      <c r="C873" s="10" t="str">
        <f ca="1">IFERROR(__xludf.DUMMYFUNCTION("""COMPUTED_VALUE"""),"Formación de la cultura tracios (1200-500 a. de C.)..")</f>
        <v>Formación de la cultura tracios (1200-500 a. de C.)..</v>
      </c>
      <c r="D873" s="10">
        <f ca="1">IFERROR(__xludf.DUMMYFUNCTION("""COMPUTED_VALUE"""),2005)</f>
        <v>2005</v>
      </c>
      <c r="E873" s="10" t="str">
        <f ca="1">IFERROR(__xludf.DUMMYFUNCTION("""COMPUTED_VALUE"""),"Gregorio L, Costa A., Fol, V. 2005 Los Tracios. Tesoros enigmáticos de Bulgaria, 40-43, Obra Social, Fondación « La Caixa », Barselona, 2005, 40-44")</f>
        <v>Gregorio L, Costa A., Fol, V. 2005 Los Tracios. Tesoros enigmáticos de Bulgaria, 40-43, Obra Social, Fondación « La Caixa », Barselona, 2005, 40-44</v>
      </c>
      <c r="F873" s="10"/>
      <c r="G873" s="10"/>
      <c r="H873" s="10"/>
      <c r="I873" s="10"/>
      <c r="J873" s="10"/>
      <c r="K873" s="10"/>
      <c r="L873" s="10"/>
      <c r="M873" s="10"/>
      <c r="N873" s="10"/>
      <c r="O873" s="10"/>
      <c r="P873" s="10"/>
      <c r="Q873" s="10"/>
      <c r="R873" s="10"/>
      <c r="S873" s="10"/>
      <c r="T873" s="10"/>
      <c r="U873" s="10"/>
      <c r="V873" s="10"/>
      <c r="W873" s="10"/>
      <c r="X873" s="10"/>
      <c r="Y873" s="10"/>
      <c r="Z873" s="10"/>
    </row>
    <row r="874" spans="1:26" ht="12.75">
      <c r="A874" s="10" t="str">
        <f ca="1">IFERROR(__xludf.DUMMYFUNCTION("""COMPUTED_VALUE"""),"Валерия Николова Фол")</f>
        <v>Валерия Николова Фол</v>
      </c>
      <c r="B874" s="10" t="str">
        <f ca="1">IFERROR(__xludf.DUMMYFUNCTION("""COMPUTED_VALUE"""),"Статия в списания и поредици")</f>
        <v>Статия в списания и поредици</v>
      </c>
      <c r="C874" s="10" t="str">
        <f ca="1">IFERROR(__xludf.DUMMYFUNCTION("""COMPUTED_VALUE"""),"The Rock Antiquity of Eleusis.")</f>
        <v>The Rock Antiquity of Eleusis.</v>
      </c>
      <c r="D874" s="10">
        <f ca="1">IFERROR(__xludf.DUMMYFUNCTION("""COMPUTED_VALUE"""),2004)</f>
        <v>2004</v>
      </c>
      <c r="E874" s="10" t="str">
        <f ca="1">IFERROR(__xludf.DUMMYFUNCTION("""COMPUTED_VALUE"""),"Von Domica bis Drama. Gedenkschrift für Jan Lichardus, НАИМ - БАН, 2004, 171-180 ISBN 9789549158724")</f>
        <v>Von Domica bis Drama. Gedenkschrift für Jan Lichardus, НАИМ - БАН, 2004, 171-180 ISBN 9789549158724</v>
      </c>
      <c r="F874" s="10"/>
      <c r="G874" s="10"/>
      <c r="H874" s="10"/>
      <c r="I874" s="10"/>
      <c r="J874" s="10"/>
      <c r="K874" s="10"/>
      <c r="L874" s="10"/>
      <c r="M874" s="10"/>
      <c r="N874" s="10"/>
      <c r="O874" s="10"/>
      <c r="P874" s="10"/>
      <c r="Q874" s="10"/>
      <c r="R874" s="10"/>
      <c r="S874" s="10"/>
      <c r="T874" s="10"/>
      <c r="U874" s="10"/>
      <c r="V874" s="10"/>
      <c r="W874" s="10"/>
      <c r="X874" s="10"/>
      <c r="Y874" s="10"/>
      <c r="Z874" s="10"/>
    </row>
    <row r="875" spans="1:26" ht="12.75">
      <c r="A875" s="10" t="str">
        <f ca="1">IFERROR(__xludf.DUMMYFUNCTION("""COMPUTED_VALUE"""),"Валерия Николова Фол")</f>
        <v>Валерия Николова Фол</v>
      </c>
      <c r="B875" s="10" t="str">
        <f ca="1">IFERROR(__xludf.DUMMYFUNCTION("""COMPUTED_VALUE"""),"Статия в списания и поредици")</f>
        <v>Статия в списания и поредици</v>
      </c>
      <c r="C875" s="10" t="str">
        <f ca="1">IFERROR(__xludf.DUMMYFUNCTION("""COMPUTED_VALUE"""),"Хероони – гробници – светилища.")</f>
        <v>Хероони – гробници – светилища.</v>
      </c>
      <c r="D875" s="10">
        <f ca="1">IFERROR(__xludf.DUMMYFUNCTION("""COMPUTED_VALUE"""),2004)</f>
        <v>2004</v>
      </c>
      <c r="E875" s="10" t="str">
        <f ca="1">IFERROR(__xludf.DUMMYFUNCTION("""COMPUTED_VALUE"""),"Годишник на Департамент Източни и средиземноморски изследвания., 2, 2004, 191-197")</f>
        <v>Годишник на Департамент Източни и средиземноморски изследвания., 2, 2004, 191-197</v>
      </c>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c r="A876" s="10" t="str">
        <f ca="1">IFERROR(__xludf.DUMMYFUNCTION("""COMPUTED_VALUE"""),"Валерия Николова Фол")</f>
        <v>Валерия Николова Фол</v>
      </c>
      <c r="B876" s="10" t="str">
        <f ca="1">IFERROR(__xludf.DUMMYFUNCTION("""COMPUTED_VALUE"""),"Статия в списания и поредици")</f>
        <v>Статия в списания и поредици</v>
      </c>
      <c r="C876" s="10" t="str">
        <f ca="1">IFERROR(__xludf.DUMMYFUNCTION("""COMPUTED_VALUE"""),"Скалната древност на Елевзина.")</f>
        <v>Скалната древност на Елевзина.</v>
      </c>
      <c r="D876" s="10">
        <f ca="1">IFERROR(__xludf.DUMMYFUNCTION("""COMPUTED_VALUE"""),2004)</f>
        <v>2004</v>
      </c>
      <c r="E876" s="10" t="str">
        <f ca="1">IFERROR(__xludf.DUMMYFUNCTION("""COMPUTED_VALUE"""),"Seminarium Thracicum, VI, 2004, 25-36")</f>
        <v>Seminarium Thracicum, VI, 2004, 25-36</v>
      </c>
      <c r="F876" s="10"/>
      <c r="G876" s="10"/>
      <c r="H876" s="10"/>
      <c r="I876" s="10"/>
      <c r="J876" s="10"/>
      <c r="K876" s="10"/>
      <c r="L876" s="10"/>
      <c r="M876" s="10"/>
      <c r="N876" s="10"/>
      <c r="O876" s="10"/>
      <c r="P876" s="10"/>
      <c r="Q876" s="10"/>
      <c r="R876" s="10"/>
      <c r="S876" s="10"/>
      <c r="T876" s="10"/>
      <c r="U876" s="10"/>
      <c r="V876" s="10"/>
      <c r="W876" s="10"/>
      <c r="X876" s="10"/>
      <c r="Y876" s="10"/>
      <c r="Z876" s="10"/>
    </row>
    <row r="877" spans="1:26" ht="12.75">
      <c r="A877" s="10" t="str">
        <f ca="1">IFERROR(__xludf.DUMMYFUNCTION("""COMPUTED_VALUE"""),"Валерия Николова Фол")</f>
        <v>Валерия Николова Фол</v>
      </c>
      <c r="B877" s="10" t="str">
        <f ca="1">IFERROR(__xludf.DUMMYFUNCTION("""COMPUTED_VALUE"""),"Статия в списания и поредици")</f>
        <v>Статия в списания и поредици</v>
      </c>
      <c r="C877" s="10" t="str">
        <f ca="1">IFERROR(__xludf.DUMMYFUNCTION("""COMPUTED_VALUE"""),"Mask and Masquerade.")</f>
        <v>Mask and Masquerade.</v>
      </c>
      <c r="D877" s="10">
        <f ca="1">IFERROR(__xludf.DUMMYFUNCTION("""COMPUTED_VALUE"""),2004)</f>
        <v>2004</v>
      </c>
      <c r="E877" s="10" t="str">
        <f ca="1">IFERROR(__xludf.DUMMYFUNCTION("""COMPUTED_VALUE"""),"From Mysterious Initiation to Carnival in Bulgaria. Carnaval!, Seattle, 2004, 45-62")</f>
        <v>From Mysterious Initiation to Carnival in Bulgaria. Carnaval!, Seattle, 2004, 45-62</v>
      </c>
      <c r="F877" s="10"/>
      <c r="G877" s="10"/>
      <c r="H877" s="10"/>
      <c r="I877" s="10"/>
      <c r="J877" s="10"/>
      <c r="K877" s="10"/>
      <c r="L877" s="10"/>
      <c r="M877" s="10"/>
      <c r="N877" s="10"/>
      <c r="O877" s="10"/>
      <c r="P877" s="10"/>
      <c r="Q877" s="10"/>
      <c r="R877" s="10"/>
      <c r="S877" s="10"/>
      <c r="T877" s="10"/>
      <c r="U877" s="10"/>
      <c r="V877" s="10"/>
      <c r="W877" s="10"/>
      <c r="X877" s="10"/>
      <c r="Y877" s="10"/>
      <c r="Z877" s="10"/>
    </row>
    <row r="878" spans="1:26" ht="12.75">
      <c r="A878" s="10" t="str">
        <f ca="1">IFERROR(__xludf.DUMMYFUNCTION("""COMPUTED_VALUE"""),"Валерия Николова Фол")</f>
        <v>Валерия Николова Фол</v>
      </c>
      <c r="B878" s="10" t="str">
        <f ca="1">IFERROR(__xludf.DUMMYFUNCTION("""COMPUTED_VALUE"""),"Статия в списания и поредици")</f>
        <v>Статия в списания и поредици</v>
      </c>
      <c r="C878" s="10" t="str">
        <f ca="1">IFERROR(__xludf.DUMMYFUNCTION("""COMPUTED_VALUE"""),"Rock-Cut Sunctuaries in Rodopes Mountain and their North Aegean Parallels.")</f>
        <v>Rock-Cut Sunctuaries in Rodopes Mountain and their North Aegean Parallels.</v>
      </c>
      <c r="D878" s="10">
        <f ca="1">IFERROR(__xludf.DUMMYFUNCTION("""COMPUTED_VALUE"""),2004)</f>
        <v>2004</v>
      </c>
      <c r="E878" s="10" t="str">
        <f ca="1">IFERROR(__xludf.DUMMYFUNCTION("""COMPUTED_VALUE"""),"Πρακτικά Α΄Διεθνούς Συνεδρίου Βαλκανικών Ιστορικών Σπουδών. Η Καβάλα και τα Βαλκάνια. Από την αρχαιότητα μέχρι σήμερα, 20-23 Σεπτεμβρίου 2001, Ιστορικό και Λογοτεχνικό Αρχείο Καβάλας, 2004, 45-62")</f>
        <v>Πρακτικά Α΄Διεθνούς Συνεδρίου Βαλκανικών Ιστορικών Σπουδών. Η Καβάλα και τα Βαλκάνια. Από την αρχαιότητα μέχρι σήμερα, 20-23 Σεπτεμβρίου 2001, Ιστορικό και Λογοτεχνικό Αρχείο Καβάλας, 2004, 45-62</v>
      </c>
      <c r="F878" s="10"/>
      <c r="G878" s="10"/>
      <c r="H878" s="10"/>
      <c r="I878" s="10"/>
      <c r="J878" s="10"/>
      <c r="K878" s="10"/>
      <c r="L878" s="10"/>
      <c r="M878" s="10"/>
      <c r="N878" s="10"/>
      <c r="O878" s="10"/>
      <c r="P878" s="10"/>
      <c r="Q878" s="10"/>
      <c r="R878" s="10"/>
      <c r="S878" s="10"/>
      <c r="T878" s="10"/>
      <c r="U878" s="10"/>
      <c r="V878" s="10"/>
      <c r="W878" s="10"/>
      <c r="X878" s="10"/>
      <c r="Y878" s="10"/>
      <c r="Z878" s="10"/>
    </row>
    <row r="879" spans="1:26" ht="12.75">
      <c r="A879" s="10" t="str">
        <f ca="1">IFERROR(__xludf.DUMMYFUNCTION("""COMPUTED_VALUE"""),"Валерия Николова Фол")</f>
        <v>Валерия Николова Фол</v>
      </c>
      <c r="B879" s="10" t="str">
        <f ca="1">IFERROR(__xludf.DUMMYFUNCTION("""COMPUTED_VALUE"""),"Монография")</f>
        <v>Монография</v>
      </c>
      <c r="C879" s="10" t="str">
        <f ca="1">IFERROR(__xludf.DUMMYFUNCTION("""COMPUTED_VALUE"""),". Древна Тракия. Мълчанието проговаря.")</f>
        <v>. Древна Тракия. Мълчанието проговаря.</v>
      </c>
      <c r="D879" s="10">
        <f ca="1">IFERROR(__xludf.DUMMYFUNCTION("""COMPUTED_VALUE"""),2003)</f>
        <v>2003</v>
      </c>
      <c r="E879" s="10" t="str">
        <f ca="1">IFERROR(__xludf.DUMMYFUNCTION("""COMPUTED_VALUE"""),"Europeana, София, 2003, ISBN 954-612-022-7, 64 стр.")</f>
        <v>Europeana, София, 2003, ISBN 954-612-022-7, 64 стр.</v>
      </c>
      <c r="F879" s="10"/>
      <c r="G879" s="10"/>
      <c r="H879" s="10"/>
      <c r="I879" s="10"/>
      <c r="J879" s="10"/>
      <c r="K879" s="10"/>
      <c r="L879" s="10"/>
      <c r="M879" s="10"/>
      <c r="N879" s="10"/>
      <c r="O879" s="10"/>
      <c r="P879" s="10"/>
      <c r="Q879" s="10"/>
      <c r="R879" s="10"/>
      <c r="S879" s="10"/>
      <c r="T879" s="10"/>
      <c r="U879" s="10"/>
      <c r="V879" s="10"/>
      <c r="W879" s="10"/>
      <c r="X879" s="10"/>
      <c r="Y879" s="10"/>
      <c r="Z879" s="10"/>
    </row>
    <row r="880" spans="1:26" ht="12.75">
      <c r="A880" s="10" t="str">
        <f ca="1">IFERROR(__xludf.DUMMYFUNCTION("""COMPUTED_VALUE"""),"Валерия Николова Фол")</f>
        <v>Валерия Николова Фол</v>
      </c>
      <c r="B880" s="10" t="str">
        <f ca="1">IFERROR(__xludf.DUMMYFUNCTION("""COMPUTED_VALUE"""),"Статия в списания и поредици")</f>
        <v>Статия в списания и поредици</v>
      </c>
      <c r="C880" s="10" t="str">
        <f ca="1">IFERROR(__xludf.DUMMYFUNCTION("""COMPUTED_VALUE"""),"Пространствено-времеви континуум на скалните топоси на вярата, опит за начална реконструкция на вяра-обредност..")</f>
        <v>Пространствено-времеви континуум на скалните топоси на вярата, опит за начална реконструкция на вяра-обредност..</v>
      </c>
      <c r="D880" s="10">
        <f ca="1">IFERROR(__xludf.DUMMYFUNCTION("""COMPUTED_VALUE"""),2003)</f>
        <v>2003</v>
      </c>
      <c r="E880" s="10" t="str">
        <f ca="1">IFERROR(__xludf.DUMMYFUNCTION("""COMPUTED_VALUE"""),"Pyraichmes, 2, Kumanovo, 2003, 215-228")</f>
        <v>Pyraichmes, 2, Kumanovo, 2003, 215-228</v>
      </c>
      <c r="F880" s="10"/>
      <c r="G880" s="10"/>
      <c r="H880" s="10"/>
      <c r="I880" s="10"/>
      <c r="J880" s="10"/>
      <c r="K880" s="10"/>
      <c r="L880" s="10"/>
      <c r="M880" s="10"/>
      <c r="N880" s="10"/>
      <c r="O880" s="10"/>
      <c r="P880" s="10"/>
      <c r="Q880" s="10"/>
      <c r="R880" s="10"/>
      <c r="S880" s="10"/>
      <c r="T880" s="10"/>
      <c r="U880" s="10"/>
      <c r="V880" s="10"/>
      <c r="W880" s="10"/>
      <c r="X880" s="10"/>
      <c r="Y880" s="10"/>
      <c r="Z880" s="10"/>
    </row>
    <row r="881" spans="1:26" ht="12.75">
      <c r="A881" s="10" t="str">
        <f ca="1">IFERROR(__xludf.DUMMYFUNCTION("""COMPUTED_VALUE"""),"Валерия Николова Фол")</f>
        <v>Валерия Николова Фол</v>
      </c>
      <c r="B881" s="10" t="str">
        <f ca="1">IFERROR(__xludf.DUMMYFUNCTION("""COMPUTED_VALUE"""),"Статия в списания и поредици")</f>
        <v>Статия в списания и поредици</v>
      </c>
      <c r="C881" s="10" t="str">
        <f ca="1">IFERROR(__xludf.DUMMYFUNCTION("""COMPUTED_VALUE"""),"Мощи на херои.")</f>
        <v>Мощи на херои.</v>
      </c>
      <c r="D881" s="10">
        <f ca="1">IFERROR(__xludf.DUMMYFUNCTION("""COMPUTED_VALUE"""),2003)</f>
        <v>2003</v>
      </c>
      <c r="E881" s="10" t="str">
        <f ca="1">IFERROR(__xludf.DUMMYFUNCTION("""COMPUTED_VALUE"""),"Юбилеен сборник в чест на проф. Йордан Йорданов, Регионален исторически музей Велико Търново. Велико Търново, 2003, 238-241")</f>
        <v>Юбилеен сборник в чест на проф. Йордан Йорданов, Регионален исторически музей Велико Търново. Велико Търново, 2003, 238-241</v>
      </c>
      <c r="F881" s="10"/>
      <c r="G881" s="10"/>
      <c r="H881" s="10"/>
      <c r="I881" s="10"/>
      <c r="J881" s="10"/>
      <c r="K881" s="10"/>
      <c r="L881" s="10"/>
      <c r="M881" s="10"/>
      <c r="N881" s="10"/>
      <c r="O881" s="10"/>
      <c r="P881" s="10"/>
      <c r="Q881" s="10"/>
      <c r="R881" s="10"/>
      <c r="S881" s="10"/>
      <c r="T881" s="10"/>
      <c r="U881" s="10"/>
      <c r="V881" s="10"/>
      <c r="W881" s="10"/>
      <c r="X881" s="10"/>
      <c r="Y881" s="10"/>
      <c r="Z881" s="10"/>
    </row>
    <row r="882" spans="1:26" ht="12.75">
      <c r="A882" s="10" t="str">
        <f ca="1">IFERROR(__xludf.DUMMYFUNCTION("""COMPUTED_VALUE"""),"Валерия Николова Фол")</f>
        <v>Валерия Николова Фол</v>
      </c>
      <c r="B882" s="10" t="str">
        <f ca="1">IFERROR(__xludf.DUMMYFUNCTION("""COMPUTED_VALUE"""),"Статия в списания и поредици")</f>
        <v>Статия в списания и поредици</v>
      </c>
      <c r="C882" s="10" t="str">
        <f ca="1">IFERROR(__xludf.DUMMYFUNCTION("""COMPUTED_VALUE"""),"Rock-Cut Caves with two Entrances or the model of the Cosmos.")</f>
        <v>Rock-Cut Caves with two Entrances or the model of the Cosmos.</v>
      </c>
      <c r="D882" s="10">
        <f ca="1">IFERROR(__xludf.DUMMYFUNCTION("""COMPUTED_VALUE"""),2003)</f>
        <v>2003</v>
      </c>
      <c r="E882" s="10" t="str">
        <f ca="1">IFERROR(__xludf.DUMMYFUNCTION("""COMPUTED_VALUE"""),"hracia 15, In honour of Alexander Fol's 70th Anniversary, 15, 2003, 845-250")</f>
        <v>hracia 15, In honour of Alexander Fol's 70th Anniversary, 15, 2003, 845-250</v>
      </c>
      <c r="F882" s="10"/>
      <c r="G882" s="10"/>
      <c r="H882" s="10"/>
      <c r="I882" s="10"/>
      <c r="J882" s="10"/>
      <c r="K882" s="10"/>
      <c r="L882" s="10"/>
      <c r="M882" s="10"/>
      <c r="N882" s="10"/>
      <c r="O882" s="10"/>
      <c r="P882" s="10"/>
      <c r="Q882" s="10"/>
      <c r="R882" s="10"/>
      <c r="S882" s="10"/>
      <c r="T882" s="10"/>
      <c r="U882" s="10"/>
      <c r="V882" s="10"/>
      <c r="W882" s="10"/>
      <c r="X882" s="10"/>
      <c r="Y882" s="10"/>
      <c r="Z882" s="10"/>
    </row>
    <row r="883" spans="1:26" ht="12.75">
      <c r="A883" s="10" t="str">
        <f ca="1">IFERROR(__xludf.DUMMYFUNCTION("""COMPUTED_VALUE"""),"Валерия Николова Фол")</f>
        <v>Валерия Николова Фол</v>
      </c>
      <c r="B883" s="10" t="str">
        <f ca="1">IFERROR(__xludf.DUMMYFUNCTION("""COMPUTED_VALUE"""),"Статия в списания и поредици")</f>
        <v>Статия в списания и поредици</v>
      </c>
      <c r="C883" s="10" t="str">
        <f ca="1">IFERROR(__xludf.DUMMYFUNCTION("""COMPUTED_VALUE"""),"Скално-изсечените светилища – абстракция на вярата.")</f>
        <v>Скално-изсечените светилища – абстракция на вярата.</v>
      </c>
      <c r="D883" s="10">
        <f ca="1">IFERROR(__xludf.DUMMYFUNCTION("""COMPUTED_VALUE"""),2002)</f>
        <v>2002</v>
      </c>
      <c r="E883" s="10" t="str">
        <f ca="1">IFERROR(__xludf.DUMMYFUNCTION("""COMPUTED_VALUE"""),"Релития&amp;Цивилизация, 2, 2002, 3-8")</f>
        <v>Релития&amp;Цивилизация, 2, 2002, 3-8</v>
      </c>
      <c r="F883" s="10"/>
      <c r="G883" s="10"/>
      <c r="H883" s="10"/>
      <c r="I883" s="10"/>
      <c r="J883" s="10"/>
      <c r="K883" s="10"/>
      <c r="L883" s="10"/>
      <c r="M883" s="10"/>
      <c r="N883" s="10"/>
      <c r="O883" s="10"/>
      <c r="P883" s="10"/>
      <c r="Q883" s="10"/>
      <c r="R883" s="10"/>
      <c r="S883" s="10"/>
      <c r="T883" s="10"/>
      <c r="U883" s="10"/>
      <c r="V883" s="10"/>
      <c r="W883" s="10"/>
      <c r="X883" s="10"/>
      <c r="Y883" s="10"/>
      <c r="Z883" s="10"/>
    </row>
    <row r="884" spans="1:26" ht="12.75">
      <c r="A884" s="10" t="str">
        <f ca="1">IFERROR(__xludf.DUMMYFUNCTION("""COMPUTED_VALUE"""),"Валерия Николова Фол")</f>
        <v>Валерия Николова Фол</v>
      </c>
      <c r="B884" s="10" t="str">
        <f ca="1">IFERROR(__xludf.DUMMYFUNCTION("""COMPUTED_VALUE"""),"Статия в списания и поредици")</f>
        <v>Статия в списания и поредици</v>
      </c>
      <c r="C884" s="10" t="str">
        <f ca="1">IFERROR(__xludf.DUMMYFUNCTION("""COMPUTED_VALUE"""),"Part one: Topoi of faith.")</f>
        <v>Part one: Topoi of faith.</v>
      </c>
      <c r="D884" s="10">
        <f ca="1">IFERROR(__xludf.DUMMYFUNCTION("""COMPUTED_VALUE"""),2002)</f>
        <v>2002</v>
      </c>
      <c r="E884" s="10" t="str">
        <f ca="1">IFERROR(__xludf.DUMMYFUNCTION("""COMPUTED_VALUE"""),"In: Perperek: Thracian Rock-cut Palace-Sanctuary. Preliminary Report - In: Thrace and the Aegean (Ed. A. Fol). 2002. Proceeding of the Eight International Congress of Thracology, Vol. II, Sofia – Yambol, 25-29 September 2000., Sofia, 2002, II, Internation"&amp;"al Foundation Europa Antiqua; Institute of Thracology, Bulgarian Academy of Sciences, 2002, 845-856")</f>
        <v>In: Perperek: Thracian Rock-cut Palace-Sanctuary. Preliminary Report - In: Thrace and the Aegean (Ed. A. Fol). 2002. Proceeding of the Eight International Congress of Thracology, Vol. II, Sofia – Yambol, 25-29 September 2000., Sofia, 2002, II, International Foundation Europa Antiqua; Institute of Thracology, Bulgarian Academy of Sciences, 2002, 845-856</v>
      </c>
      <c r="F884" s="10"/>
      <c r="G884" s="10"/>
      <c r="H884" s="10"/>
      <c r="I884" s="10"/>
      <c r="J884" s="10"/>
      <c r="K884" s="10"/>
      <c r="L884" s="10"/>
      <c r="M884" s="10"/>
      <c r="N884" s="10"/>
      <c r="O884" s="10"/>
      <c r="P884" s="10"/>
      <c r="Q884" s="10"/>
      <c r="R884" s="10"/>
      <c r="S884" s="10"/>
      <c r="T884" s="10"/>
      <c r="U884" s="10"/>
      <c r="V884" s="10"/>
      <c r="W884" s="10"/>
      <c r="X884" s="10"/>
      <c r="Y884" s="10"/>
      <c r="Z884" s="10"/>
    </row>
    <row r="885" spans="1:26" ht="12.75">
      <c r="A885" s="10" t="str">
        <f ca="1">IFERROR(__xludf.DUMMYFUNCTION("""COMPUTED_VALUE"""),"Валерия Николова Фол")</f>
        <v>Валерия Николова Фол</v>
      </c>
      <c r="B885" s="10" t="str">
        <f ca="1">IFERROR(__xludf.DUMMYFUNCTION("""COMPUTED_VALUE"""),"Статия в списания и поредици")</f>
        <v>Статия в списания и поредици</v>
      </c>
      <c r="C885" s="10" t="str">
        <f ca="1">IFERROR(__xludf.DUMMYFUNCTION("""COMPUTED_VALUE"""),"Гласът на метала")</f>
        <v>Гласът на метала</v>
      </c>
      <c r="D885" s="10">
        <f ca="1">IFERROR(__xludf.DUMMYFUNCTION("""COMPUTED_VALUE"""),2001)</f>
        <v>2001</v>
      </c>
      <c r="E885" s="10" t="str">
        <f ca="1">IFERROR(__xludf.DUMMYFUNCTION("""COMPUTED_VALUE"""),"Българска етнология, 4, 4, 2001, 5-9")</f>
        <v>Българска етнология, 4, 4, 2001, 5-9</v>
      </c>
      <c r="F885" s="10"/>
      <c r="G885" s="10"/>
      <c r="H885" s="10"/>
      <c r="I885" s="10"/>
      <c r="J885" s="10"/>
      <c r="K885" s="10"/>
      <c r="L885" s="10"/>
      <c r="M885" s="10"/>
      <c r="N885" s="10"/>
      <c r="O885" s="10"/>
      <c r="P885" s="10"/>
      <c r="Q885" s="10"/>
      <c r="R885" s="10"/>
      <c r="S885" s="10"/>
      <c r="T885" s="10"/>
      <c r="U885" s="10"/>
      <c r="V885" s="10"/>
      <c r="W885" s="10"/>
      <c r="X885" s="10"/>
      <c r="Y885" s="10"/>
      <c r="Z885" s="10"/>
    </row>
    <row r="886" spans="1:26" ht="12.75">
      <c r="A886" s="10" t="str">
        <f ca="1">IFERROR(__xludf.DUMMYFUNCTION("""COMPUTED_VALUE"""),"Валерия Николова Фол")</f>
        <v>Валерия Николова Фол</v>
      </c>
      <c r="B886" s="10" t="str">
        <f ca="1">IFERROR(__xludf.DUMMYFUNCTION("""COMPUTED_VALUE"""),"Статия в списания и поредици")</f>
        <v>Статия в списания и поредици</v>
      </c>
      <c r="C886" s="10" t="str">
        <f ca="1">IFERROR(__xludf.DUMMYFUNCTION("""COMPUTED_VALUE"""),"Бизас–Бизантион: една културно-историческа метафора.")</f>
        <v>Бизас–Бизантион: една културно-историческа метафора.</v>
      </c>
      <c r="D886" s="10">
        <f ca="1">IFERROR(__xludf.DUMMYFUNCTION("""COMPUTED_VALUE"""),2001)</f>
        <v>2001</v>
      </c>
      <c r="E886" s="10" t="str">
        <f ca="1">IFERROR(__xludf.DUMMYFUNCTION("""COMPUTED_VALUE"""),"Морето, културата, фолклорът. Научни четения по хуманитаристика, Бургас ’99., Бургас, 2001, 90-97")</f>
        <v>Морето, културата, фолклорът. Научни четения по хуманитаристика, Бургас ’99., Бургас, 2001, 90-97</v>
      </c>
      <c r="F886" s="10"/>
      <c r="G886" s="10"/>
      <c r="H886" s="10"/>
      <c r="I886" s="10"/>
      <c r="J886" s="10"/>
      <c r="K886" s="10"/>
      <c r="L886" s="10"/>
      <c r="M886" s="10"/>
      <c r="N886" s="10"/>
      <c r="O886" s="10"/>
      <c r="P886" s="10"/>
      <c r="Q886" s="10"/>
      <c r="R886" s="10"/>
      <c r="S886" s="10"/>
      <c r="T886" s="10"/>
      <c r="U886" s="10"/>
      <c r="V886" s="10"/>
      <c r="W886" s="10"/>
      <c r="X886" s="10"/>
      <c r="Y886" s="10"/>
      <c r="Z886" s="10"/>
    </row>
    <row r="887" spans="1:26" ht="12.75">
      <c r="A887" s="10" t="str">
        <f ca="1">IFERROR(__xludf.DUMMYFUNCTION("""COMPUTED_VALUE"""),"Валерия Николова Фол")</f>
        <v>Валерия Николова Фол</v>
      </c>
      <c r="B887" s="10" t="str">
        <f ca="1">IFERROR(__xludf.DUMMYFUNCTION("""COMPUTED_VALUE"""),"Статия в списания и поредици")</f>
        <v>Статия в списания и поредици</v>
      </c>
      <c r="C887" s="10" t="str">
        <f ca="1">IFERROR(__xludf.DUMMYFUNCTION("""COMPUTED_VALUE"""),"Golden Power and Golden Death.")</f>
        <v>Golden Power and Golden Death.</v>
      </c>
      <c r="D887" s="10">
        <f ca="1">IFERROR(__xludf.DUMMYFUNCTION("""COMPUTED_VALUE"""),2000)</f>
        <v>2000</v>
      </c>
      <c r="E887" s="10" t="str">
        <f ca="1">IFERROR(__xludf.DUMMYFUNCTION("""COMPUTED_VALUE"""),"Fol, A., Yordanov, K., Porojanov, K., Fol, V. Ancient Thrace., International Foundation “Europa Antiqua” &amp; Institute of Thracology – Bulgaria Academy of Sciences. Sofia, 2000, 13-26")</f>
        <v>Fol, A., Yordanov, K., Porojanov, K., Fol, V. Ancient Thrace., International Foundation “Europa Antiqua” &amp; Institute of Thracology – Bulgaria Academy of Sciences. Sofia, 2000, 13-26</v>
      </c>
      <c r="F887" s="10"/>
      <c r="G887" s="10"/>
      <c r="H887" s="10"/>
      <c r="I887" s="10"/>
      <c r="J887" s="10"/>
      <c r="K887" s="10"/>
      <c r="L887" s="10"/>
      <c r="M887" s="10"/>
      <c r="N887" s="10"/>
      <c r="O887" s="10"/>
      <c r="P887" s="10"/>
      <c r="Q887" s="10"/>
      <c r="R887" s="10"/>
      <c r="S887" s="10"/>
      <c r="T887" s="10"/>
      <c r="U887" s="10"/>
      <c r="V887" s="10"/>
      <c r="W887" s="10"/>
      <c r="X887" s="10"/>
      <c r="Y887" s="10"/>
      <c r="Z887" s="10"/>
    </row>
    <row r="888" spans="1:26" ht="12.75">
      <c r="A888" s="10" t="str">
        <f ca="1">IFERROR(__xludf.DUMMYFUNCTION("""COMPUTED_VALUE"""),"Валерия Николова Фол")</f>
        <v>Валерия Николова Фол</v>
      </c>
      <c r="B888" s="10" t="str">
        <f ca="1">IFERROR(__xludf.DUMMYFUNCTION("""COMPUTED_VALUE"""),"Статия в списания и поредици")</f>
        <v>Статия в списания и поредици</v>
      </c>
      <c r="C888" s="10" t="str">
        <f ca="1">IFERROR(__xludf.DUMMYFUNCTION("""COMPUTED_VALUE"""),"Πέτρωμα.")</f>
        <v>Πέτρωμα.</v>
      </c>
      <c r="D888" s="10">
        <f ca="1">IFERROR(__xludf.DUMMYFUNCTION("""COMPUTED_VALUE"""),2000)</f>
        <v>2000</v>
      </c>
      <c r="E888" s="10" t="str">
        <f ca="1">IFERROR(__xludf.DUMMYFUNCTION("""COMPUTED_VALUE"""),"Скални и мегалитни паметници – проблеми и пътища за тяхното разрешение, НБУ, София, 2001, 50-53 ISBN: 9545352353")</f>
        <v>Скални и мегалитни паметници – проблеми и пътища за тяхното разрешение, НБУ, София, 2001, 50-53 ISBN: 9545352353</v>
      </c>
      <c r="F888" s="10"/>
      <c r="G888" s="10"/>
      <c r="H888" s="10"/>
      <c r="I888" s="10"/>
      <c r="J888" s="10"/>
      <c r="K888" s="10"/>
      <c r="L888" s="10"/>
      <c r="M888" s="10"/>
      <c r="N888" s="10"/>
      <c r="O888" s="10"/>
      <c r="P888" s="10"/>
      <c r="Q888" s="10"/>
      <c r="R888" s="10"/>
      <c r="S888" s="10"/>
      <c r="T888" s="10"/>
      <c r="U888" s="10"/>
      <c r="V888" s="10"/>
      <c r="W888" s="10"/>
      <c r="X888" s="10"/>
      <c r="Y888" s="10"/>
      <c r="Z888" s="10"/>
    </row>
    <row r="889" spans="1:26" ht="12.75">
      <c r="A889" s="10" t="str">
        <f ca="1">IFERROR(__xludf.DUMMYFUNCTION("""COMPUTED_VALUE"""),"Валерия Николова Фол")</f>
        <v>Валерия Николова Фол</v>
      </c>
      <c r="B889" s="10" t="str">
        <f ca="1">IFERROR(__xludf.DUMMYFUNCTION("""COMPUTED_VALUE"""),"Статия в списания и поредици")</f>
        <v>Статия в списания и поредици</v>
      </c>
      <c r="C889" s="10" t="str">
        <f ca="1">IFERROR(__xludf.DUMMYFUNCTION("""COMPUTED_VALUE"""),"Byzas-Byzantion: une metaphore historico-culturelle")</f>
        <v>Byzas-Byzantion: une metaphore historico-culturelle</v>
      </c>
      <c r="D889" s="10">
        <f ca="1">IFERROR(__xludf.DUMMYFUNCTION("""COMPUTED_VALUE"""),2000)</f>
        <v>2000</v>
      </c>
      <c r="E889" s="10" t="str">
        <f ca="1">IFERROR(__xludf.DUMMYFUNCTION("""COMPUTED_VALUE"""),"Thracia, ISSN: 0204-9872.- 13 (2000), p. 101-106")</f>
        <v>Thracia, ISSN: 0204-9872.- 13 (2000), p. 101-106</v>
      </c>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c r="A890" s="10" t="str">
        <f ca="1">IFERROR(__xludf.DUMMYFUNCTION("""COMPUTED_VALUE"""),"Валерия Николова Фол")</f>
        <v>Валерия Николова Фол</v>
      </c>
      <c r="B890" s="10" t="str">
        <f ca="1">IFERROR(__xludf.DUMMYFUNCTION("""COMPUTED_VALUE"""),"Монография")</f>
        <v>Монография</v>
      </c>
      <c r="C890" s="10" t="str">
        <f ca="1">IFERROR(__xludf.DUMMYFUNCTION("""COMPUTED_VALUE"""),"Мегалитни и скалноизсечени паметници в древна Тракия.")</f>
        <v>Мегалитни и скалноизсечени паметници в древна Тракия.</v>
      </c>
      <c r="D890" s="10">
        <f ca="1">IFERROR(__xludf.DUMMYFUNCTION("""COMPUTED_VALUE"""),2000)</f>
        <v>2000</v>
      </c>
      <c r="E890" s="10" t="str">
        <f ca="1">IFERROR(__xludf.DUMMYFUNCTION("""COMPUTED_VALUE"""),"Университетско издателство ""Св. Кл. Охридски"" &amp; Demax, 2000, ISBN:954-07-1500-8, 152 стр.")</f>
        <v>Университетско издателство "Св. Кл. Охридски" &amp; Demax, 2000, ISBN:954-07-1500-8, 152 стр.</v>
      </c>
      <c r="F890" s="10"/>
      <c r="G890" s="10"/>
      <c r="H890" s="10"/>
      <c r="I890" s="10"/>
      <c r="J890" s="10"/>
      <c r="K890" s="10"/>
      <c r="L890" s="10"/>
      <c r="M890" s="10"/>
      <c r="N890" s="10"/>
      <c r="O890" s="10"/>
      <c r="P890" s="10"/>
      <c r="Q890" s="10"/>
      <c r="R890" s="10"/>
      <c r="S890" s="10"/>
      <c r="T890" s="10"/>
      <c r="U890" s="10"/>
      <c r="V890" s="10"/>
      <c r="W890" s="10"/>
      <c r="X890" s="10"/>
      <c r="Y890" s="10"/>
      <c r="Z890" s="10"/>
    </row>
    <row r="891" spans="1:26" ht="12.75">
      <c r="A891" s="10" t="str">
        <f ca="1">IFERROR(__xludf.DUMMYFUNCTION("""COMPUTED_VALUE"""),"Валерия Николова Фол")</f>
        <v>Валерия Николова Фол</v>
      </c>
      <c r="B891" s="10" t="str">
        <f ca="1">IFERROR(__xludf.DUMMYFUNCTION("""COMPUTED_VALUE"""),"Статия в списания и поредици")</f>
        <v>Статия в списания и поредици</v>
      </c>
      <c r="C891" s="10" t="str">
        <f ca="1">IFERROR(__xludf.DUMMYFUNCTION("""COMPUTED_VALUE"""),"Byzas – Byzantion. Une métaphore historico-culturelle.")</f>
        <v>Byzas – Byzantion. Une métaphore historico-culturelle.</v>
      </c>
      <c r="D891" s="10">
        <f ca="1">IFERROR(__xludf.DUMMYFUNCTION("""COMPUTED_VALUE"""),2000)</f>
        <v>2000</v>
      </c>
      <c r="E891" s="10" t="str">
        <f ca="1">IFERROR(__xludf.DUMMYFUNCTION("""COMPUTED_VALUE"""),"Thracia, XIII, 2000, 101-106")</f>
        <v>Thracia, XIII, 2000, 101-106</v>
      </c>
      <c r="F891" s="10"/>
      <c r="G891" s="10"/>
      <c r="H891" s="10"/>
      <c r="I891" s="10"/>
      <c r="J891" s="10"/>
      <c r="K891" s="10"/>
      <c r="L891" s="10"/>
      <c r="M891" s="10"/>
      <c r="N891" s="10"/>
      <c r="O891" s="10"/>
      <c r="P891" s="10"/>
      <c r="Q891" s="10"/>
      <c r="R891" s="10"/>
      <c r="S891" s="10"/>
      <c r="T891" s="10"/>
      <c r="U891" s="10"/>
      <c r="V891" s="10"/>
      <c r="W891" s="10"/>
      <c r="X891" s="10"/>
      <c r="Y891" s="10"/>
      <c r="Z891" s="10"/>
    </row>
    <row r="892" spans="1:26" ht="12.75">
      <c r="A892" s="10" t="str">
        <f ca="1">IFERROR(__xludf.DUMMYFUNCTION("""COMPUTED_VALUE"""),"Валерия Николова Фол")</f>
        <v>Валерия Николова Фол</v>
      </c>
      <c r="B892" s="10" t="str">
        <f ca="1">IFERROR(__xludf.DUMMYFUNCTION("""COMPUTED_VALUE"""),"Статия в списания и поредици")</f>
        <v>Статия в списания и поредици</v>
      </c>
      <c r="C892" s="10" t="str">
        <f ca="1">IFERROR(__xludf.DUMMYFUNCTION("""COMPUTED_VALUE"""),"Вълкът в Хиперборейска Тракия.")</f>
        <v>Вълкът в Хиперборейска Тракия.</v>
      </c>
      <c r="D892" s="10">
        <f ca="1">IFERROR(__xludf.DUMMYFUNCTION("""COMPUTED_VALUE"""),2000)</f>
        <v>2000</v>
      </c>
      <c r="E892" s="10" t="str">
        <f ca="1">IFERROR(__xludf.DUMMYFUNCTION("""COMPUTED_VALUE"""),"Seminarium Thracicum, 4, Институт по тракология - БАН, 2000, 143-152")</f>
        <v>Seminarium Thracicum, 4, Институт по тракология - БАН, 2000, 143-152</v>
      </c>
      <c r="F892" s="10"/>
      <c r="G892" s="10"/>
      <c r="H892" s="10"/>
      <c r="I892" s="10"/>
      <c r="J892" s="10"/>
      <c r="K892" s="10"/>
      <c r="L892" s="10"/>
      <c r="M892" s="10"/>
      <c r="N892" s="10"/>
      <c r="O892" s="10"/>
      <c r="P892" s="10"/>
      <c r="Q892" s="10"/>
      <c r="R892" s="10"/>
      <c r="S892" s="10"/>
      <c r="T892" s="10"/>
      <c r="U892" s="10"/>
      <c r="V892" s="10"/>
      <c r="W892" s="10"/>
      <c r="X892" s="10"/>
      <c r="Y892" s="10"/>
      <c r="Z892" s="10"/>
    </row>
    <row r="893" spans="1:26" ht="12.75">
      <c r="A893" s="10" t="str">
        <f ca="1">IFERROR(__xludf.DUMMYFUNCTION("""COMPUTED_VALUE"""),"Валерия Николова Фол")</f>
        <v>Валерия Николова Фол</v>
      </c>
      <c r="B893" s="10" t="str">
        <f ca="1">IFERROR(__xludf.DUMMYFUNCTION("""COMPUTED_VALUE"""),"Студия")</f>
        <v>Студия</v>
      </c>
      <c r="C893" s="10" t="str">
        <f ca="1">IFERROR(__xludf.DUMMYFUNCTION("""COMPUTED_VALUE"""),"The Rock and the Fire.")</f>
        <v>The Rock and the Fire.</v>
      </c>
      <c r="D893" s="10">
        <f ca="1">IFERROR(__xludf.DUMMYFUNCTION("""COMPUTED_VALUE"""),2000)</f>
        <v>2000</v>
      </c>
      <c r="E893" s="10" t="str">
        <f ca="1">IFERROR(__xludf.DUMMYFUNCTION("""COMPUTED_VALUE"""),"Fol, A., Jordanov, K. Porozhanov, K., Fol, V. 2000. Ancient Thrace., Institute of Thracology - Sofia, 2000, 147-192")</f>
        <v>Fol, A., Jordanov, K. Porozhanov, K., Fol, V. 2000. Ancient Thrace., Institute of Thracology - Sofia, 2000, 147-192</v>
      </c>
      <c r="F893" s="10"/>
      <c r="G893" s="10"/>
      <c r="H893" s="10"/>
      <c r="I893" s="10"/>
      <c r="J893" s="10"/>
      <c r="K893" s="10"/>
      <c r="L893" s="10"/>
      <c r="M893" s="10"/>
      <c r="N893" s="10"/>
      <c r="O893" s="10"/>
      <c r="P893" s="10"/>
      <c r="Q893" s="10"/>
      <c r="R893" s="10"/>
      <c r="S893" s="10"/>
      <c r="T893" s="10"/>
      <c r="U893" s="10"/>
      <c r="V893" s="10"/>
      <c r="W893" s="10"/>
      <c r="X893" s="10"/>
      <c r="Y893" s="10"/>
      <c r="Z893" s="10"/>
    </row>
    <row r="894" spans="1:26" ht="12.75">
      <c r="A894" s="10" t="str">
        <f ca="1">IFERROR(__xludf.DUMMYFUNCTION("""COMPUTED_VALUE"""),"Валерия Николова Фол")</f>
        <v>Валерия Николова Фол</v>
      </c>
      <c r="B894" s="10" t="str">
        <f ca="1">IFERROR(__xludf.DUMMYFUNCTION("""COMPUTED_VALUE"""),"Статия в списания и поредици")</f>
        <v>Статия в списания и поредици</v>
      </c>
      <c r="C894" s="10" t="str">
        <f ca="1">IFERROR(__xludf.DUMMYFUNCTION("""COMPUTED_VALUE"""),"Heroons-Tombs-Sanctuaries.")</f>
        <v>Heroons-Tombs-Sanctuaries.</v>
      </c>
      <c r="D894" s="10">
        <f ca="1">IFERROR(__xludf.DUMMYFUNCTION("""COMPUTED_VALUE"""),2000)</f>
        <v>2000</v>
      </c>
      <c r="E894" s="10" t="str">
        <f ca="1">IFERROR(__xludf.DUMMYFUNCTION("""COMPUTED_VALUE"""),"Thracia, 16, 2000, 67-77")</f>
        <v>Thracia, 16, 2000, 67-77</v>
      </c>
      <c r="F894" s="10"/>
      <c r="G894" s="10"/>
      <c r="H894" s="10"/>
      <c r="I894" s="10"/>
      <c r="J894" s="10"/>
      <c r="K894" s="10"/>
      <c r="L894" s="10"/>
      <c r="M894" s="10"/>
      <c r="N894" s="10"/>
      <c r="O894" s="10"/>
      <c r="P894" s="10"/>
      <c r="Q894" s="10"/>
      <c r="R894" s="10"/>
      <c r="S894" s="10"/>
      <c r="T894" s="10"/>
      <c r="U894" s="10"/>
      <c r="V894" s="10"/>
      <c r="W894" s="10"/>
      <c r="X894" s="10"/>
      <c r="Y894" s="10"/>
      <c r="Z894" s="10"/>
    </row>
    <row r="895" spans="1:26" ht="12.75">
      <c r="A895" s="10" t="str">
        <f ca="1">IFERROR(__xludf.DUMMYFUNCTION("""COMPUTED_VALUE"""),"Валерия Николова Фол")</f>
        <v>Валерия Николова Фол</v>
      </c>
      <c r="B895" s="10" t="str">
        <f ca="1">IFERROR(__xludf.DUMMYFUNCTION("""COMPUTED_VALUE"""),"Статия в списания и поредици")</f>
        <v>Статия в списания и поредици</v>
      </c>
      <c r="C895" s="10" t="str">
        <f ca="1">IFERROR(__xludf.DUMMYFUNCTION("""COMPUTED_VALUE"""),"New Thracian Helmet from Pletena.")</f>
        <v>New Thracian Helmet from Pletena.</v>
      </c>
      <c r="D895" s="10">
        <f ca="1">IFERROR(__xludf.DUMMYFUNCTION("""COMPUTED_VALUE"""),2000)</f>
        <v>2000</v>
      </c>
      <c r="E895" s="10" t="str">
        <f ca="1">IFERROR(__xludf.DUMMYFUNCTION("""COMPUTED_VALUE"""),"Orpheus. Journal of Indoeuropean and Thracian Studies, 8, 2000, , p. 21-34")</f>
        <v>Orpheus. Journal of Indoeuropean and Thracian Studies, 8, 2000, , p. 21-34</v>
      </c>
      <c r="F895" s="10"/>
      <c r="G895" s="10" t="str">
        <f ca="1">IFERROR(__xludf.DUMMYFUNCTION("""COMPUTED_VALUE"""),"V. Inkova")</f>
        <v>V. Inkova</v>
      </c>
      <c r="H895" s="10"/>
      <c r="I895" s="10"/>
      <c r="J895" s="10"/>
      <c r="K895" s="10"/>
      <c r="L895" s="10"/>
      <c r="M895" s="10"/>
      <c r="N895" s="10"/>
      <c r="O895" s="10"/>
      <c r="P895" s="10"/>
      <c r="Q895" s="10"/>
      <c r="R895" s="10"/>
      <c r="S895" s="10"/>
      <c r="T895" s="10"/>
      <c r="U895" s="10"/>
      <c r="V895" s="10"/>
      <c r="W895" s="10"/>
      <c r="X895" s="10"/>
      <c r="Y895" s="10"/>
      <c r="Z895" s="10"/>
    </row>
    <row r="896" spans="1:26" ht="12.75">
      <c r="A896" s="10" t="str">
        <f ca="1">IFERROR(__xludf.DUMMYFUNCTION("""COMPUTED_VALUE"""),"Валерия Николова Фол")</f>
        <v>Валерия Николова Фол</v>
      </c>
      <c r="B896" s="10" t="str">
        <f ca="1">IFERROR(__xludf.DUMMYFUNCTION("""COMPUTED_VALUE"""),"Монография")</f>
        <v>Монография</v>
      </c>
      <c r="C896" s="10" t="str">
        <f ca="1">IFERROR(__xludf.DUMMYFUNCTION("""COMPUTED_VALUE"""),"Огън и музика.")</f>
        <v>Огън и музика.</v>
      </c>
      <c r="D896" s="10">
        <f ca="1">IFERROR(__xludf.DUMMYFUNCTION("""COMPUTED_VALUE"""),2000)</f>
        <v>2000</v>
      </c>
      <c r="E896" s="10" t="str">
        <f ca="1">IFERROR(__xludf.DUMMYFUNCTION("""COMPUTED_VALUE"""),"София, Академично издателство ""Проф. Марин Дринов"", Тилиа, 2000, ISBN:954-430731-1, 394")</f>
        <v>София, Академично издателство "Проф. Марин Дринов", Тилиа, 2000, ISBN:954-430731-1, 394</v>
      </c>
      <c r="F896" s="10"/>
      <c r="G896" s="10" t="str">
        <f ca="1">IFERROR(__xludf.DUMMYFUNCTION("""COMPUTED_VALUE"""),"Р. Нейкова")</f>
        <v>Р. Нейкова</v>
      </c>
      <c r="H896" s="10"/>
      <c r="I896" s="10"/>
      <c r="J896" s="10"/>
      <c r="K896" s="10"/>
      <c r="L896" s="10"/>
      <c r="M896" s="10"/>
      <c r="N896" s="10"/>
      <c r="O896" s="10"/>
      <c r="P896" s="10"/>
      <c r="Q896" s="10"/>
      <c r="R896" s="10"/>
      <c r="S896" s="10"/>
      <c r="T896" s="10"/>
      <c r="U896" s="10"/>
      <c r="V896" s="10"/>
      <c r="W896" s="10"/>
      <c r="X896" s="10"/>
      <c r="Y896" s="10"/>
      <c r="Z896" s="10"/>
    </row>
    <row r="897" spans="1:26" ht="12.75">
      <c r="A897" s="10" t="str">
        <f ca="1">IFERROR(__xludf.DUMMYFUNCTION("""COMPUTED_VALUE"""),"Валерия Николова Фол")</f>
        <v>Валерия Николова Фол</v>
      </c>
      <c r="B897" s="10" t="str">
        <f ca="1">IFERROR(__xludf.DUMMYFUNCTION("""COMPUTED_VALUE"""),"Студия")</f>
        <v>Студия</v>
      </c>
      <c r="C897" s="10" t="str">
        <f ca="1">IFERROR(__xludf.DUMMYFUNCTION("""COMPUTED_VALUE"""),"Lаnds and Peoples, The Thrace of the priest-kings, From crisis to tolerance")</f>
        <v>Lаnds and Peoples, The Thrace of the priest-kings, From crisis to tolerance</v>
      </c>
      <c r="D897" s="10">
        <f ca="1">IFERROR(__xludf.DUMMYFUNCTION("""COMPUTED_VALUE"""),1999)</f>
        <v>1999</v>
      </c>
      <c r="E897" s="10" t="str">
        <f ca="1">IFERROR(__xludf.DUMMYFUNCTION("""COMPUTED_VALUE"""),"Fol, V., Ovcharov, V., Gavrilova, R., Gavrilov, B. 1999. Bulgaria. History retold in brief., Riva, Sofia, 1999, 7-46")</f>
        <v>Fol, V., Ovcharov, V., Gavrilova, R., Gavrilov, B. 1999. Bulgaria. History retold in brief., Riva, Sofia, 1999, 7-46</v>
      </c>
      <c r="F897" s="10"/>
      <c r="G897" s="10"/>
      <c r="H897" s="10"/>
      <c r="I897" s="10"/>
      <c r="J897" s="10"/>
      <c r="K897" s="10"/>
      <c r="L897" s="10"/>
      <c r="M897" s="10"/>
      <c r="N897" s="10"/>
      <c r="O897" s="10"/>
      <c r="P897" s="10"/>
      <c r="Q897" s="10"/>
      <c r="R897" s="10"/>
      <c r="S897" s="10"/>
      <c r="T897" s="10"/>
      <c r="U897" s="10"/>
      <c r="V897" s="10"/>
      <c r="W897" s="10"/>
      <c r="X897" s="10"/>
      <c r="Y897" s="10"/>
      <c r="Z897" s="10"/>
    </row>
    <row r="898" spans="1:26" ht="12.75">
      <c r="A898" s="10" t="str">
        <f ca="1">IFERROR(__xludf.DUMMYFUNCTION("""COMPUTED_VALUE"""),"Валерия Николова Фол")</f>
        <v>Валерия Николова Фол</v>
      </c>
      <c r="B898" s="10" t="str">
        <f ca="1">IFERROR(__xludf.DUMMYFUNCTION("""COMPUTED_VALUE"""),"Статия в списания и поредици")</f>
        <v>Статия в списания и поредици</v>
      </c>
      <c r="C898" s="10" t="str">
        <f ca="1">IFERROR(__xludf.DUMMYFUNCTION("""COMPUTED_VALUE"""),"Маските в орфическата обредност.")</f>
        <v>Маските в орфическата обредност.</v>
      </c>
      <c r="D898" s="10">
        <f ca="1">IFERROR(__xludf.DUMMYFUNCTION("""COMPUTED_VALUE"""),1999)</f>
        <v>1999</v>
      </c>
      <c r="E898" s="10" t="str">
        <f ca="1">IFERROR(__xludf.DUMMYFUNCTION("""COMPUTED_VALUE"""),"Маска и ритуал, НБУ, 1999, 7-13, ISBN 9545352167")</f>
        <v>Маска и ритуал, НБУ, 1999, 7-13, ISBN 9545352167</v>
      </c>
      <c r="F898" s="10"/>
      <c r="G898" s="10"/>
      <c r="H898" s="10"/>
      <c r="I898" s="10"/>
      <c r="J898" s="10"/>
      <c r="K898" s="10"/>
      <c r="L898" s="10"/>
      <c r="M898" s="10"/>
      <c r="N898" s="10"/>
      <c r="O898" s="10"/>
      <c r="P898" s="10"/>
      <c r="Q898" s="10"/>
      <c r="R898" s="10"/>
      <c r="S898" s="10"/>
      <c r="T898" s="10"/>
      <c r="U898" s="10"/>
      <c r="V898" s="10"/>
      <c r="W898" s="10"/>
      <c r="X898" s="10"/>
      <c r="Y898" s="10"/>
      <c r="Z898" s="10"/>
    </row>
    <row r="899" spans="1:26" ht="12.75">
      <c r="A899" s="10" t="str">
        <f ca="1">IFERROR(__xludf.DUMMYFUNCTION("""COMPUTED_VALUE"""),"Валерия Николова Фол")</f>
        <v>Валерия Николова Фол</v>
      </c>
      <c r="B899" s="10" t="str">
        <f ca="1">IFERROR(__xludf.DUMMYFUNCTION("""COMPUTED_VALUE"""),"Статия в списания и поредици")</f>
        <v>Статия в списания и поредици</v>
      </c>
      <c r="C899" s="10" t="str">
        <f ca="1">IFERROR(__xludf.DUMMYFUNCTION("""COMPUTED_VALUE"""),"Megaliths in Thrace and Phrygia.")</f>
        <v>Megaliths in Thrace and Phrygia.</v>
      </c>
      <c r="D899" s="10">
        <f ca="1">IFERROR(__xludf.DUMMYFUNCTION("""COMPUTED_VALUE"""),1998)</f>
        <v>1998</v>
      </c>
      <c r="E899" s="10" t="str">
        <f ca="1">IFERROR(__xludf.DUMMYFUNCTION("""COMPUTED_VALUE"""),"Thracians and Phrygians: Problem of Parallelism., Ankara, 1998, 19-27 ISBN 978-9754291186")</f>
        <v>Thracians and Phrygians: Problem of Parallelism., Ankara, 1998, 19-27 ISBN 978-9754291186</v>
      </c>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c r="A900" s="10" t="str">
        <f ca="1">IFERROR(__xludf.DUMMYFUNCTION("""COMPUTED_VALUE"""),"Валерия Николова Фол")</f>
        <v>Валерия Николова Фол</v>
      </c>
      <c r="B900" s="10" t="str">
        <f ca="1">IFERROR(__xludf.DUMMYFUNCTION("""COMPUTED_VALUE"""),"Студия")</f>
        <v>Студия</v>
      </c>
      <c r="C900" s="10" t="str">
        <f ca="1">IFERROR(__xludf.DUMMYFUNCTION("""COMPUTED_VALUE"""),"Маскарадната обредност в Югоизточна Тракия.")</f>
        <v>Маскарадната обредност в Югоизточна Тракия.</v>
      </c>
      <c r="D900" s="10">
        <f ca="1">IFERROR(__xludf.DUMMYFUNCTION("""COMPUTED_VALUE"""),1998)</f>
        <v>1998</v>
      </c>
      <c r="E900" s="10" t="str">
        <f ca="1">IFERROR(__xludf.DUMMYFUNCTION("""COMPUTED_VALUE"""),"Seminarium Thraacicum, 3, 1998, 203-227")</f>
        <v>Seminarium Thraacicum, 3, 1998, 203-227</v>
      </c>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c r="A901" s="10" t="str">
        <f ca="1">IFERROR(__xludf.DUMMYFUNCTION("""COMPUTED_VALUE"""),"Валерия Николова Фол")</f>
        <v>Валерия Николова Фол</v>
      </c>
      <c r="B901" s="10" t="str">
        <f ca="1">IFERROR(__xludf.DUMMYFUNCTION("""COMPUTED_VALUE"""),"Статия в списания и поредици")</f>
        <v>Статия в списания и поредици</v>
      </c>
      <c r="C901" s="10" t="str">
        <f ca="1">IFERROR(__xludf.DUMMYFUNCTION("""COMPUTED_VALUE"""),"Thracian helmet from the village of Pletena, Western Rhodope")</f>
        <v>Thracian helmet from the village of Pletena, Western Rhodope</v>
      </c>
      <c r="D901" s="10">
        <f ca="1">IFERROR(__xludf.DUMMYFUNCTION("""COMPUTED_VALUE"""),1998)</f>
        <v>1998</v>
      </c>
      <c r="E901" s="10" t="str">
        <f ca="1">IFERROR(__xludf.DUMMYFUNCTION("""COMPUTED_VALUE"""),"Orpheus. Journal of Indo-European and Thracian Studies., 8, International Council of Indo-European and Thracian Studies., 1998, 21-3")</f>
        <v>Orpheus. Journal of Indo-European and Thracian Studies., 8, International Council of Indo-European and Thracian Studies., 1998, 21-3</v>
      </c>
      <c r="F901" s="10"/>
      <c r="G901" s="10" t="str">
        <f ca="1">IFERROR(__xludf.DUMMYFUNCTION("""COMPUTED_VALUE"""),"V. Inkova")</f>
        <v>V. Inkova</v>
      </c>
      <c r="H901" s="10"/>
      <c r="I901" s="10"/>
      <c r="J901" s="10"/>
      <c r="K901" s="10"/>
      <c r="L901" s="10"/>
      <c r="M901" s="10"/>
      <c r="N901" s="10"/>
      <c r="O901" s="10"/>
      <c r="P901" s="10"/>
      <c r="Q901" s="10"/>
      <c r="R901" s="10"/>
      <c r="S901" s="10"/>
      <c r="T901" s="10"/>
      <c r="U901" s="10"/>
      <c r="V901" s="10"/>
      <c r="W901" s="10"/>
      <c r="X901" s="10"/>
      <c r="Y901" s="10"/>
      <c r="Z901" s="10"/>
    </row>
    <row r="902" spans="1:26" ht="12.75">
      <c r="A902" s="10" t="str">
        <f ca="1">IFERROR(__xludf.DUMMYFUNCTION("""COMPUTED_VALUE"""),"Валерия Николова Фол")</f>
        <v>Валерия Николова Фол</v>
      </c>
      <c r="B902" s="10" t="str">
        <f ca="1">IFERROR(__xludf.DUMMYFUNCTION("""COMPUTED_VALUE"""),"Статия в списания и поредици")</f>
        <v>Статия в списания и поредици</v>
      </c>
      <c r="C902" s="10" t="str">
        <f ca="1">IFERROR(__xludf.DUMMYFUNCTION("""COMPUTED_VALUE"""),"The kouker without mask : The masquerade feasts in Southeastern Europe")</f>
        <v>The kouker without mask : The masquerade feasts in Southeastern Europe</v>
      </c>
      <c r="D902" s="10">
        <f ca="1">IFERROR(__xludf.DUMMYFUNCTION("""COMPUTED_VALUE"""),1997)</f>
        <v>1997</v>
      </c>
      <c r="E902" s="10" t="str">
        <f ca="1">IFERROR(__xludf.DUMMYFUNCTION("""COMPUTED_VALUE"""),"Orpheus : Journal of Indo-European and Thracian Studies ISSN: 0861-9387.- 7 (1997), p. 83-99")</f>
        <v>Orpheus : Journal of Indo-European and Thracian Studies ISSN: 0861-9387.- 7 (1997), p. 83-99</v>
      </c>
      <c r="F902" s="10"/>
      <c r="G902" s="10"/>
      <c r="H902" s="10"/>
      <c r="I902" s="10"/>
      <c r="J902" s="10"/>
      <c r="K902" s="10"/>
      <c r="L902" s="10"/>
      <c r="M902" s="10"/>
      <c r="N902" s="10"/>
      <c r="O902" s="10"/>
      <c r="P902" s="10"/>
      <c r="Q902" s="10"/>
      <c r="R902" s="10"/>
      <c r="S902" s="10"/>
      <c r="T902" s="10"/>
      <c r="U902" s="10"/>
      <c r="V902" s="10"/>
      <c r="W902" s="10"/>
      <c r="X902" s="10"/>
      <c r="Y902" s="10"/>
      <c r="Z902" s="10"/>
    </row>
    <row r="903" spans="1:26" ht="12.75">
      <c r="A903" s="10" t="str">
        <f ca="1">IFERROR(__xludf.DUMMYFUNCTION("""COMPUTED_VALUE"""),"Валерия Николова Фол")</f>
        <v>Валерия Николова Фол</v>
      </c>
      <c r="B903" s="10" t="str">
        <f ca="1">IFERROR(__xludf.DUMMYFUNCTION("""COMPUTED_VALUE"""),"Монография")</f>
        <v>Монография</v>
      </c>
      <c r="C903" s="10" t="str">
        <f ca="1">IFERROR(__xludf.DUMMYFUNCTION("""COMPUTED_VALUE"""),"Забравената светица.")</f>
        <v>Забравената светица.</v>
      </c>
      <c r="D903" s="10">
        <f ca="1">IFERROR(__xludf.DUMMYFUNCTION("""COMPUTED_VALUE"""),1996)</f>
        <v>1996</v>
      </c>
      <c r="E903" s="10" t="str">
        <f ca="1">IFERROR(__xludf.DUMMYFUNCTION("""COMPUTED_VALUE"""),"Унивеситетско издателство ""Св. Климент Охридски"", 1996, ISBN:954-07-0965-2, 254 стр.")</f>
        <v>Унивеситетско издателство "Св. Климент Охридски", 1996, ISBN:954-07-0965-2, 254 стр.</v>
      </c>
      <c r="F903" s="10"/>
      <c r="G903" s="10"/>
      <c r="H903" s="10"/>
      <c r="I903" s="10"/>
      <c r="J903" s="10"/>
      <c r="K903" s="10"/>
      <c r="L903" s="10"/>
      <c r="M903" s="10"/>
      <c r="N903" s="10"/>
      <c r="O903" s="10"/>
      <c r="P903" s="10"/>
      <c r="Q903" s="10"/>
      <c r="R903" s="10"/>
      <c r="S903" s="10"/>
      <c r="T903" s="10"/>
      <c r="U903" s="10"/>
      <c r="V903" s="10"/>
      <c r="W903" s="10"/>
      <c r="X903" s="10"/>
      <c r="Y903" s="10"/>
      <c r="Z903" s="10"/>
    </row>
    <row r="904" spans="1:26" ht="12.75">
      <c r="A904" s="10" t="str">
        <f ca="1">IFERROR(__xludf.DUMMYFUNCTION("""COMPUTED_VALUE"""),"Валерия Николова Фол")</f>
        <v>Валерия Николова Фол</v>
      </c>
      <c r="B904" s="10" t="str">
        <f ca="1">IFERROR(__xludf.DUMMYFUNCTION("""COMPUTED_VALUE"""),"Студия")</f>
        <v>Студия</v>
      </c>
      <c r="C904" s="10" t="str">
        <f ca="1">IFERROR(__xludf.DUMMYFUNCTION("""COMPUTED_VALUE"""),"«Jewellery. Ethno-cultural problems in south-eastern Europe (Middle of the 2nd-beginning of the 1st Millennium B-C)»")</f>
        <v>«Jewellery. Ethno-cultural problems in south-eastern Europe (Middle of the 2nd-beginning of the 1st Millennium B-C)»</v>
      </c>
      <c r="D904" s="10">
        <f ca="1">IFERROR(__xludf.DUMMYFUNCTION("""COMPUTED_VALUE"""),1995)</f>
        <v>1995</v>
      </c>
      <c r="E904" s="10" t="str">
        <f ca="1">IFERROR(__xludf.DUMMYFUNCTION("""COMPUTED_VALUE"""),"Ethnography of European traditional cultures. Their role and perspectives in a multicultural world, European Seminar - Proceedings, Centre of Vocational Training, Institute of Cultural Studies of Europe and the Mediterranean, Edited by Dr. E. Karpodini-Di"&amp;"mitriadi,, Athens, 1995, 109-12")</f>
        <v>Ethnography of European traditional cultures. Their role and perspectives in a multicultural world, European Seminar - Proceedings, Centre of Vocational Training, Institute of Cultural Studies of Europe and the Mediterranean, Edited by Dr. E. Karpodini-Dimitriadi,, Athens, 1995, 109-12</v>
      </c>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c r="A905" s="10" t="str">
        <f ca="1">IFERROR(__xludf.DUMMYFUNCTION("""COMPUTED_VALUE"""),"Валерия Николова Фол")</f>
        <v>Валерия Николова Фол</v>
      </c>
      <c r="B905" s="10" t="str">
        <f ca="1">IFERROR(__xludf.DUMMYFUNCTION("""COMPUTED_VALUE"""),"Статия в списания и поредици")</f>
        <v>Статия в списания и поредици</v>
      </c>
      <c r="C905" s="10" t="str">
        <f ca="1">IFERROR(__xludf.DUMMYFUNCTION("""COMPUTED_VALUE"""),"Свещената ръка.")</f>
        <v>Свещената ръка.</v>
      </c>
      <c r="D905" s="10">
        <f ca="1">IFERROR(__xludf.DUMMYFUNCTION("""COMPUTED_VALUE"""),1994)</f>
        <v>1994</v>
      </c>
      <c r="E905" s="10" t="str">
        <f ca="1">IFERROR(__xludf.DUMMYFUNCTION("""COMPUTED_VALUE"""),"Проблеми на изкуството, 4, Институт за изкуствознание - БАН, 1994, 59-63")</f>
        <v>Проблеми на изкуството, 4, Институт за изкуствознание - БАН, 1994, 59-63</v>
      </c>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c r="A906" s="10" t="str">
        <f ca="1">IFERROR(__xludf.DUMMYFUNCTION("""COMPUTED_VALUE"""),"Валерия Николова Фол")</f>
        <v>Валерия Николова Фол</v>
      </c>
      <c r="B906" s="10" t="str">
        <f ca="1">IFERROR(__xludf.DUMMYFUNCTION("""COMPUTED_VALUE"""),"Статия в списания и поредици")</f>
        <v>Статия в списания и поредици</v>
      </c>
      <c r="C906" s="10" t="str">
        <f ca="1">IFERROR(__xludf.DUMMYFUNCTION("""COMPUTED_VALUE"""),"Форма и украса на бронзовите изделия в Тракия (VІІІ-VІ в. пр. Хр.).")</f>
        <v>Форма и украса на бронзовите изделия в Тракия (VІІІ-VІ в. пр. Хр.).</v>
      </c>
      <c r="D906" s="10">
        <f ca="1">IFERROR(__xludf.DUMMYFUNCTION("""COMPUTED_VALUE"""),1993)</f>
        <v>1993</v>
      </c>
      <c r="E906" s="10" t="str">
        <f ca="1">IFERROR(__xludf.DUMMYFUNCTION("""COMPUTED_VALUE"""),"Проблеми на изкуството, 1, БАН, 1993, 56-60")</f>
        <v>Проблеми на изкуството, 1, БАН, 1993, 56-60</v>
      </c>
      <c r="F906" s="10"/>
      <c r="G906" s="10"/>
      <c r="H906" s="10"/>
      <c r="I906" s="10"/>
      <c r="J906" s="10"/>
      <c r="K906" s="10"/>
      <c r="L906" s="10"/>
      <c r="M906" s="10"/>
      <c r="N906" s="10"/>
      <c r="O906" s="10"/>
      <c r="P906" s="10"/>
      <c r="Q906" s="10"/>
      <c r="R906" s="10"/>
      <c r="S906" s="10"/>
      <c r="T906" s="10"/>
      <c r="U906" s="10"/>
      <c r="V906" s="10"/>
      <c r="W906" s="10"/>
      <c r="X906" s="10"/>
      <c r="Y906" s="10"/>
      <c r="Z906" s="10"/>
    </row>
    <row r="907" spans="1:26" ht="12.75">
      <c r="A907" s="10" t="str">
        <f ca="1">IFERROR(__xludf.DUMMYFUNCTION("""COMPUTED_VALUE"""),"Валерия Николова Фол")</f>
        <v>Валерия Николова Фол</v>
      </c>
      <c r="B907" s="10" t="str">
        <f ca="1">IFERROR(__xludf.DUMMYFUNCTION("""COMPUTED_VALUE"""),"Монография")</f>
        <v>Монография</v>
      </c>
      <c r="C907" s="10" t="str">
        <f ca="1">IFERROR(__xludf.DUMMYFUNCTION("""COMPUTED_VALUE"""),"Кукерът без маска")</f>
        <v>Кукерът без маска</v>
      </c>
      <c r="D907" s="10">
        <f ca="1">IFERROR(__xludf.DUMMYFUNCTION("""COMPUTED_VALUE"""),1993)</f>
        <v>1993</v>
      </c>
      <c r="E907" s="10" t="str">
        <f ca="1">IFERROR(__xludf.DUMMYFUNCTION("""COMPUTED_VALUE"""),"Университетско издателство „Св. Кл. Охридски”, 1993, 232 стр., без информация за ISBN")</f>
        <v>Университетско издателство „Св. Кл. Охридски”, 1993, 232 стр., без информация за ISBN</v>
      </c>
      <c r="F907" s="10"/>
      <c r="G907" s="10" t="str">
        <f ca="1">IFERROR(__xludf.DUMMYFUNCTION("""COMPUTED_VALUE"""),"С. Райчевски")</f>
        <v>С. Райчевски</v>
      </c>
      <c r="H907" s="10"/>
      <c r="I907" s="10"/>
      <c r="J907" s="10"/>
      <c r="K907" s="10"/>
      <c r="L907" s="10"/>
      <c r="M907" s="10"/>
      <c r="N907" s="10"/>
      <c r="O907" s="10"/>
      <c r="P907" s="10"/>
      <c r="Q907" s="10"/>
      <c r="R907" s="10"/>
      <c r="S907" s="10"/>
      <c r="T907" s="10"/>
      <c r="U907" s="10"/>
      <c r="V907" s="10"/>
      <c r="W907" s="10"/>
      <c r="X907" s="10"/>
      <c r="Y907" s="10"/>
      <c r="Z907" s="10"/>
    </row>
    <row r="908" spans="1:26" ht="12.75">
      <c r="A908" s="10" t="str">
        <f ca="1">IFERROR(__xludf.DUMMYFUNCTION("""COMPUTED_VALUE"""),"Валерия Николова Фол")</f>
        <v>Валерия Николова Фол</v>
      </c>
      <c r="B908" s="10" t="str">
        <f ca="1">IFERROR(__xludf.DUMMYFUNCTION("""COMPUTED_VALUE"""),"Статия в списания и поредици")</f>
        <v>Статия в списания и поредици</v>
      </c>
      <c r="C908" s="10" t="str">
        <f ca="1">IFERROR(__xludf.DUMMYFUNCTION("""COMPUTED_VALUE"""),"Culture And Ritualism In Thrace.")</f>
        <v>Culture And Ritualism In Thrace.</v>
      </c>
      <c r="D908" s="10">
        <f ca="1">IFERROR(__xludf.DUMMYFUNCTION("""COMPUTED_VALUE"""),1993)</f>
        <v>1993</v>
      </c>
      <c r="E908" s="10" t="str">
        <f ca="1">IFERROR(__xludf.DUMMYFUNCTION("""COMPUTED_VALUE"""),"Orpheus. Journal of Indoeuropean and Thracian Studies, 3, 1993, 26-37")</f>
        <v>Orpheus. Journal of Indoeuropean and Thracian Studies, 3, 1993, 26-37</v>
      </c>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c r="A909" s="10" t="str">
        <f ca="1">IFERROR(__xludf.DUMMYFUNCTION("""COMPUTED_VALUE"""),"Валерия Николова Фол")</f>
        <v>Валерия Николова Фол</v>
      </c>
      <c r="B909" s="10" t="str">
        <f ca="1">IFERROR(__xludf.DUMMYFUNCTION("""COMPUTED_VALUE"""),"Монография")</f>
        <v>Монография</v>
      </c>
      <c r="C909" s="10" t="str">
        <f ca="1">IFERROR(__xludf.DUMMYFUNCTION("""COMPUTED_VALUE"""),"Скалата, конят и огънят. Ранна тракийска обредност")</f>
        <v>Скалата, конят и огънят. Ранна тракийска обредност</v>
      </c>
      <c r="D909" s="10">
        <f ca="1">IFERROR(__xludf.DUMMYFUNCTION("""COMPUTED_VALUE"""),1993)</f>
        <v>1993</v>
      </c>
      <c r="E909" s="10" t="str">
        <f ca="1">IFERROR(__xludf.DUMMYFUNCTION("""COMPUTED_VALUE"""),"София, Аргес, 1993, 182 стр., няма информация за ISBN")</f>
        <v>София, Аргес, 1993, 182 стр., няма информация за ISBN</v>
      </c>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c r="A910" s="10" t="str">
        <f ca="1">IFERROR(__xludf.DUMMYFUNCTION("""COMPUTED_VALUE"""),"Валерия Николова Фол")</f>
        <v>Валерия Николова Фол</v>
      </c>
      <c r="B910" s="10" t="str">
        <f ca="1">IFERROR(__xludf.DUMMYFUNCTION("""COMPUTED_VALUE"""),"Статия в списания и поредици")</f>
        <v>Статия в списания и поредици</v>
      </c>
      <c r="C910" s="10" t="str">
        <f ca="1">IFERROR(__xludf.DUMMYFUNCTION("""COMPUTED_VALUE"""),"Погребалните маски")</f>
        <v>Погребалните маски</v>
      </c>
      <c r="D910" s="10">
        <f ca="1">IFERROR(__xludf.DUMMYFUNCTION("""COMPUTED_VALUE"""),1991)</f>
        <v>1991</v>
      </c>
      <c r="E910" s="10" t="str">
        <f ca="1">IFERROR(__xludf.DUMMYFUNCTION("""COMPUTED_VALUE"""),"Проблеми на изкуството, 1, 1991, 50-53")</f>
        <v>Проблеми на изкуството, 1, 1991, 50-53</v>
      </c>
      <c r="F910" s="10"/>
      <c r="G910" s="10"/>
      <c r="H910" s="10"/>
      <c r="I910" s="10"/>
      <c r="J910" s="10"/>
      <c r="K910" s="10"/>
      <c r="L910" s="10"/>
      <c r="M910" s="10"/>
      <c r="N910" s="10"/>
      <c r="O910" s="10"/>
      <c r="P910" s="10"/>
      <c r="Q910" s="10"/>
      <c r="R910" s="10"/>
      <c r="S910" s="10"/>
      <c r="T910" s="10"/>
      <c r="U910" s="10"/>
      <c r="V910" s="10"/>
      <c r="W910" s="10"/>
      <c r="X910" s="10"/>
      <c r="Y910" s="10"/>
      <c r="Z910" s="10"/>
    </row>
    <row r="911" spans="1:26" ht="12.75">
      <c r="A911" s="10" t="str">
        <f ca="1">IFERROR(__xludf.DUMMYFUNCTION("""COMPUTED_VALUE"""),"Валерия Николова Фол")</f>
        <v>Валерия Николова Фол</v>
      </c>
      <c r="B911" s="10" t="str">
        <f ca="1">IFERROR(__xludf.DUMMYFUNCTION("""COMPUTED_VALUE"""),"Статия в списания и поредици")</f>
        <v>Статия в списания и поредици</v>
      </c>
      <c r="C911" s="10" t="str">
        <f ca="1">IFERROR(__xludf.DUMMYFUNCTION("""COMPUTED_VALUE"""),"Антични остатъци в обичая Кукеров ден.")</f>
        <v>Антични остатъци в обичая Кукеров ден.</v>
      </c>
      <c r="D911" s="10">
        <f ca="1">IFERROR(__xludf.DUMMYFUNCTION("""COMPUTED_VALUE"""),1988)</f>
        <v>1988</v>
      </c>
      <c r="E911" s="10" t="str">
        <f ca="1">IFERROR(__xludf.DUMMYFUNCTION("""COMPUTED_VALUE"""),"Акти на ІІ международен конгрес по българистика., 15, 1988, 388-396")</f>
        <v>Акти на ІІ международен конгрес по българистика., 15, 1988, 388-396</v>
      </c>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c r="A912" s="10" t="str">
        <f ca="1">IFERROR(__xludf.DUMMYFUNCTION("""COMPUTED_VALUE"""),"Валерия Николова Фол")</f>
        <v>Валерия Николова Фол</v>
      </c>
      <c r="B912" s="10" t="str">
        <f ca="1">IFERROR(__xludf.DUMMYFUNCTION("""COMPUTED_VALUE"""),"Статия в списания и поредици")</f>
        <v>Статия в списания и поредици</v>
      </c>
      <c r="C912" s="10" t="str">
        <f ca="1">IFERROR(__xludf.DUMMYFUNCTION("""COMPUTED_VALUE"""),"Свещеното пространство.")</f>
        <v>Свещеното пространство.</v>
      </c>
      <c r="D912" s="10">
        <f ca="1">IFERROR(__xludf.DUMMYFUNCTION("""COMPUTED_VALUE"""),1988)</f>
        <v>1988</v>
      </c>
      <c r="E912" s="10" t="str">
        <f ca="1">IFERROR(__xludf.DUMMYFUNCTION("""COMPUTED_VALUE"""),"Мит – изкуство – фолклор, 3, 1988, 5")</f>
        <v>Мит – изкуство – фолклор, 3, 1988, 5</v>
      </c>
      <c r="F912" s="10"/>
      <c r="G912" s="10"/>
      <c r="H912" s="10"/>
      <c r="I912" s="10"/>
      <c r="J912" s="10"/>
      <c r="K912" s="10"/>
      <c r="L912" s="10"/>
      <c r="M912" s="10"/>
      <c r="N912" s="10"/>
      <c r="O912" s="10"/>
      <c r="P912" s="10"/>
      <c r="Q912" s="10"/>
      <c r="R912" s="10"/>
      <c r="S912" s="10"/>
      <c r="T912" s="10"/>
      <c r="U912" s="10"/>
      <c r="V912" s="10"/>
      <c r="W912" s="10"/>
      <c r="X912" s="10"/>
      <c r="Y912" s="10"/>
      <c r="Z912" s="10"/>
    </row>
    <row r="913" spans="1:26" ht="12.75">
      <c r="A913" s="10" t="str">
        <f ca="1">IFERROR(__xludf.DUMMYFUNCTION("""COMPUTED_VALUE"""),"Валерия Николова Фол")</f>
        <v>Валерия Николова Фол</v>
      </c>
      <c r="B913" s="10" t="str">
        <f ca="1">IFERROR(__xludf.DUMMYFUNCTION("""COMPUTED_VALUE"""),"Статия в списания и поредици")</f>
        <v>Статия в списания и поредици</v>
      </c>
      <c r="C913" s="10" t="str">
        <f ca="1">IFERROR(__xludf.DUMMYFUNCTION("""COMPUTED_VALUE"""),"Космогонични представи в Странджанската народна култура.")</f>
        <v>Космогонични представи в Странджанската народна култура.</v>
      </c>
      <c r="D913" s="10">
        <f ca="1">IFERROR(__xludf.DUMMYFUNCTION("""COMPUTED_VALUE"""),1987)</f>
        <v>1987</v>
      </c>
      <c r="E913" s="10" t="str">
        <f ca="1">IFERROR(__xludf.DUMMYFUNCTION("""COMPUTED_VALUE"""),"Културно-историческото наследство на Странджа-Сакар, 1987, 115-124")</f>
        <v>Културно-историческото наследство на Странджа-Сакар, 1987, 115-124</v>
      </c>
      <c r="F913" s="10"/>
      <c r="G913" s="10"/>
      <c r="H913" s="10"/>
      <c r="I913" s="10"/>
      <c r="J913" s="10"/>
      <c r="K913" s="10"/>
      <c r="L913" s="10"/>
      <c r="M913" s="10"/>
      <c r="N913" s="10"/>
      <c r="O913" s="10"/>
      <c r="P913" s="10"/>
      <c r="Q913" s="10"/>
      <c r="R913" s="10"/>
      <c r="S913" s="10"/>
      <c r="T913" s="10"/>
      <c r="U913" s="10"/>
      <c r="V913" s="10"/>
      <c r="W913" s="10"/>
      <c r="X913" s="10"/>
      <c r="Y913" s="10"/>
      <c r="Z913" s="10"/>
    </row>
    <row r="914" spans="1:26" ht="12.75">
      <c r="A914" s="10" t="str">
        <f ca="1">IFERROR(__xludf.DUMMYFUNCTION("""COMPUTED_VALUE"""),"Валерия Николова Фол")</f>
        <v>Валерия Николова Фол</v>
      </c>
      <c r="B914" s="10" t="str">
        <f ca="1">IFERROR(__xludf.DUMMYFUNCTION("""COMPUTED_VALUE"""),"Статия в списания и поредици")</f>
        <v>Статия в списания и поредици</v>
      </c>
      <c r="C914" s="10" t="str">
        <f ca="1">IFERROR(__xludf.DUMMYFUNCTION("""COMPUTED_VALUE"""),"Почитането на св. Марина в Странджа.")</f>
        <v>Почитането на св. Марина в Странджа.</v>
      </c>
      <c r="D914" s="10">
        <f ca="1">IFERROR(__xludf.DUMMYFUNCTION("""COMPUTED_VALUE"""),1985)</f>
        <v>1985</v>
      </c>
      <c r="E914" s="10" t="str">
        <f ca="1">IFERROR(__xludf.DUMMYFUNCTION("""COMPUTED_VALUE"""),"Мит – изкуство – фолклор, 1, 1985, 128-142")</f>
        <v>Мит – изкуство – фолклор, 1, 1985, 128-142</v>
      </c>
      <c r="F914" s="10"/>
      <c r="G914" s="10"/>
      <c r="H914" s="10"/>
      <c r="I914" s="10"/>
      <c r="J914" s="10"/>
      <c r="K914" s="10"/>
      <c r="L914" s="10"/>
      <c r="M914" s="10"/>
      <c r="N914" s="10"/>
      <c r="O914" s="10"/>
      <c r="P914" s="10"/>
      <c r="Q914" s="10"/>
      <c r="R914" s="10"/>
      <c r="S914" s="10"/>
      <c r="T914" s="10"/>
      <c r="U914" s="10"/>
      <c r="V914" s="10"/>
      <c r="W914" s="10"/>
      <c r="X914" s="10"/>
      <c r="Y914" s="10"/>
      <c r="Z914" s="10"/>
    </row>
    <row r="915" spans="1:26" ht="12.75">
      <c r="A915" s="10" t="str">
        <f ca="1">IFERROR(__xludf.DUMMYFUNCTION("""COMPUTED_VALUE"""),"Валерия Николова Фол")</f>
        <v>Валерия Николова Фол</v>
      </c>
      <c r="B915" s="10" t="str">
        <f ca="1">IFERROR(__xludf.DUMMYFUNCTION("""COMPUTED_VALUE"""),"Статия в списания и поредици")</f>
        <v>Статия в списания и поредици</v>
      </c>
      <c r="C915" s="10" t="str">
        <f ca="1">IFERROR(__xludf.DUMMYFUNCTION("""COMPUTED_VALUE"""),"Моделът на космоса в обичая „Кукеров ден” от Странджа.")</f>
        <v>Моделът на космоса в обичая „Кукеров ден” от Странджа.</v>
      </c>
      <c r="D915" s="10">
        <f ca="1">IFERROR(__xludf.DUMMYFUNCTION("""COMPUTED_VALUE"""),1984)</f>
        <v>1984</v>
      </c>
      <c r="E915" s="10" t="str">
        <f ca="1">IFERROR(__xludf.DUMMYFUNCTION("""COMPUTED_VALUE"""),"Човек-Еволюция-Космос, 2, 1984, 125-136")</f>
        <v>Човек-Еволюция-Космос, 2, 1984, 125-136</v>
      </c>
      <c r="F915" s="10"/>
      <c r="G915" s="10"/>
      <c r="H915" s="10"/>
      <c r="I915" s="10"/>
      <c r="J915" s="10"/>
      <c r="K915" s="10"/>
      <c r="L915" s="10"/>
      <c r="M915" s="10"/>
      <c r="N915" s="10"/>
      <c r="O915" s="10"/>
      <c r="P915" s="10"/>
      <c r="Q915" s="10"/>
      <c r="R915" s="10"/>
      <c r="S915" s="10"/>
      <c r="T915" s="10"/>
      <c r="U915" s="10"/>
      <c r="V915" s="10"/>
      <c r="W915" s="10"/>
      <c r="X915" s="10"/>
      <c r="Y915" s="10"/>
      <c r="Z915" s="10"/>
    </row>
    <row r="916" spans="1:26" ht="12.75">
      <c r="A916" s="10" t="str">
        <f ca="1">IFERROR(__xludf.DUMMYFUNCTION("""COMPUTED_VALUE"""),"Валерия Николова Фол")</f>
        <v>Валерия Николова Фол</v>
      </c>
      <c r="B916" s="10" t="str">
        <f ca="1">IFERROR(__xludf.DUMMYFUNCTION("""COMPUTED_VALUE"""),"Статия в списания и поредици")</f>
        <v>Статия в списания и поредици</v>
      </c>
      <c r="C916" s="10" t="str">
        <f ca="1">IFERROR(__xludf.DUMMYFUNCTION("""COMPUTED_VALUE"""),"Библейското грехопадение като космогонична метафора..")</f>
        <v>Библейското грехопадение като космогонична метафора..</v>
      </c>
      <c r="D916" s="10">
        <f ca="1">IFERROR(__xludf.DUMMYFUNCTION("""COMPUTED_VALUE"""),1984)</f>
        <v>1984</v>
      </c>
      <c r="E916" s="10" t="str">
        <f ca="1">IFERROR(__xludf.DUMMYFUNCTION("""COMPUTED_VALUE"""),"Векове, 4, 1984, 38-40")</f>
        <v>Векове, 4, 1984, 38-40</v>
      </c>
      <c r="F916" s="10"/>
      <c r="G916" s="10"/>
      <c r="H916" s="10"/>
      <c r="I916" s="10"/>
      <c r="J916" s="10"/>
      <c r="K916" s="10"/>
      <c r="L916" s="10"/>
      <c r="M916" s="10"/>
      <c r="N916" s="10"/>
      <c r="O916" s="10"/>
      <c r="P916" s="10"/>
      <c r="Q916" s="10"/>
      <c r="R916" s="10"/>
      <c r="S916" s="10"/>
      <c r="T916" s="10"/>
      <c r="U916" s="10"/>
      <c r="V916" s="10"/>
      <c r="W916" s="10"/>
      <c r="X916" s="10"/>
      <c r="Y916" s="10"/>
      <c r="Z916" s="10"/>
    </row>
    <row r="917" spans="1:26" ht="12.75">
      <c r="A917" s="10" t="str">
        <f ca="1">IFERROR(__xludf.DUMMYFUNCTION("""COMPUTED_VALUE"""),"Валерия Николова Фол")</f>
        <v>Валерия Николова Фол</v>
      </c>
      <c r="B917" s="10" t="str">
        <f ca="1">IFERROR(__xludf.DUMMYFUNCTION("""COMPUTED_VALUE"""),"Статия в списания и поредици")</f>
        <v>Статия в списания и поредици</v>
      </c>
      <c r="C917" s="10" t="str">
        <f ca="1">IFERROR(__xludf.DUMMYFUNCTION("""COMPUTED_VALUE"""),"Югоизточна Тракия в пътеписа на ген.-лейтенант Август Йохмус, барон Катиньола.")</f>
        <v>Югоизточна Тракия в пътеписа на ген.-лейтенант Август Йохмус, барон Катиньола.</v>
      </c>
      <c r="D917" s="10">
        <f ca="1">IFERROR(__xludf.DUMMYFUNCTION("""COMPUTED_VALUE"""),1977)</f>
        <v>1977</v>
      </c>
      <c r="E917" s="10" t="str">
        <f ca="1">IFERROR(__xludf.DUMMYFUNCTION("""COMPUTED_VALUE"""),"Векове, 2, 1977, 56-62")</f>
        <v>Векове, 2, 1977, 56-62</v>
      </c>
      <c r="F917" s="10"/>
      <c r="G917" s="10" t="str">
        <f ca="1">IFERROR(__xludf.DUMMYFUNCTION("""COMPUTED_VALUE"""),"В. Стойкова")</f>
        <v>В. Стойкова</v>
      </c>
      <c r="H917" s="10"/>
      <c r="I917" s="10"/>
      <c r="J917" s="10"/>
      <c r="K917" s="10"/>
      <c r="L917" s="10"/>
      <c r="M917" s="10"/>
      <c r="N917" s="10"/>
      <c r="O917" s="10"/>
      <c r="P917" s="10"/>
      <c r="Q917" s="10"/>
      <c r="R917" s="10"/>
      <c r="S917" s="10"/>
      <c r="T917" s="10"/>
      <c r="U917" s="10"/>
      <c r="V917" s="10"/>
      <c r="W917" s="10"/>
      <c r="X917" s="10"/>
      <c r="Y917" s="10"/>
      <c r="Z917" s="10"/>
    </row>
    <row r="918" spans="1:26" ht="12.75">
      <c r="A918" s="10" t="str">
        <f ca="1">IFERROR(__xludf.DUMMYFUNCTION("""COMPUTED_VALUE"""),"Валерия Николова Фол")</f>
        <v>Валерия Николова Фол</v>
      </c>
      <c r="B918" s="10" t="str">
        <f ca="1">IFERROR(__xludf.DUMMYFUNCTION("""COMPUTED_VALUE"""),"Статия в списания и поредици")</f>
        <v>Статия в списания и поредици</v>
      </c>
      <c r="C918" s="10" t="str">
        <f ca="1">IFERROR(__xludf.DUMMYFUNCTION("""COMPUTED_VALUE"""),"Наблюдения върху тракийската поселищна система в българската част на Стара планина.")</f>
        <v>Наблюдения върху тракийската поселищна система в българската част на Стара планина.</v>
      </c>
      <c r="D918" s="10">
        <f ca="1">IFERROR(__xludf.DUMMYFUNCTION("""COMPUTED_VALUE"""),1975)</f>
        <v>1975</v>
      </c>
      <c r="E918" s="10" t="str">
        <f ca="1">IFERROR(__xludf.DUMMYFUNCTION("""COMPUTED_VALUE"""),"Студентски проучвания, 2, 1975, 319-336")</f>
        <v>Студентски проучвания, 2, 1975, 319-336</v>
      </c>
      <c r="F918" s="10"/>
      <c r="G918" s="10" t="str">
        <f ca="1">IFERROR(__xludf.DUMMYFUNCTION("""COMPUTED_VALUE"""),"В. Стойкова")</f>
        <v>В. Стойкова</v>
      </c>
      <c r="H918" s="10"/>
      <c r="I918" s="10"/>
      <c r="J918" s="10"/>
      <c r="K918" s="10"/>
      <c r="L918" s="10"/>
      <c r="M918" s="10"/>
      <c r="N918" s="10"/>
      <c r="O918" s="10"/>
      <c r="P918" s="10"/>
      <c r="Q918" s="10"/>
      <c r="R918" s="10"/>
      <c r="S918" s="10"/>
      <c r="T918" s="10"/>
      <c r="U918" s="10"/>
      <c r="V918" s="10"/>
      <c r="W918" s="10"/>
      <c r="X918" s="10"/>
      <c r="Y918" s="10"/>
      <c r="Z918" s="10"/>
    </row>
    <row r="919" spans="1:26" ht="12.75">
      <c r="A919" s="10" t="str">
        <f ca="1">IFERROR(__xludf.DUMMYFUNCTION("""COMPUTED_VALUE"""),"Ваня Чавдарова Добрева")</f>
        <v>Ваня Чавдарова Добрева</v>
      </c>
      <c r="B919" s="10" t="str">
        <f ca="1">IFERROR(__xludf.DUMMYFUNCTION("""COMPUTED_VALUE"""),"Доклад от конференция")</f>
        <v>Доклад от конференция</v>
      </c>
      <c r="C919" s="10" t="str">
        <f ca="1">IFERROR(__xludf.DUMMYFUNCTION("""COMPUTED_VALUE"""),"Educational Practices for identity preservation on the example of the Bulgarian diaspora")</f>
        <v>Educational Practices for identity preservation on the example of the Bulgarian diaspora</v>
      </c>
      <c r="D919" s="10">
        <f ca="1">IFERROR(__xludf.DUMMYFUNCTION("""COMPUTED_VALUE"""),2020)</f>
        <v>2020</v>
      </c>
      <c r="E919" s="10" t="str">
        <f ca="1">IFERROR(__xludf.DUMMYFUNCTION("""COMPUTED_VALUE"""),"INTED 2020. 14-thе Аnnual International, Education and Development Conference, Valencia ( Spain)-2 nd,3 rd and 4 th of
 March,2020, рр.3230-3235, ISBN 978-84-09-17-939-8, ISSN 2340-10-79")</f>
        <v>INTED 2020. 14-thе Аnnual International, Education and Development Conference, Valencia ( Spain)-2 nd,3 rd and 4 th of
 March,2020, рр.3230-3235, ISBN 978-84-09-17-939-8, ISSN 2340-10-79</v>
      </c>
      <c r="F919" s="10" t="str">
        <f ca="1">IFERROR(__xludf.DUMMYFUNCTION("""COMPUTED_VALUE"""),"Web of Science")</f>
        <v>Web of Science</v>
      </c>
      <c r="G919" s="10" t="str">
        <f ca="1">IFERROR(__xludf.DUMMYFUNCTION("""COMPUTED_VALUE"""),"S.Denchev, I. Yankova, B.Buzhashka")</f>
        <v>S.Denchev, I. Yankova, B.Buzhashka</v>
      </c>
      <c r="H919" s="10"/>
      <c r="I919" s="10"/>
      <c r="J919" s="10"/>
      <c r="K919" s="10"/>
      <c r="L919" s="10"/>
      <c r="M919" s="10"/>
      <c r="N919" s="10"/>
      <c r="O919" s="10"/>
      <c r="P919" s="10"/>
      <c r="Q919" s="10"/>
      <c r="R919" s="10"/>
      <c r="S919" s="10"/>
      <c r="T919" s="10"/>
      <c r="U919" s="10"/>
      <c r="V919" s="10"/>
      <c r="W919" s="10"/>
      <c r="X919" s="10"/>
      <c r="Y919" s="10"/>
      <c r="Z919" s="10"/>
    </row>
    <row r="920" spans="1:26" ht="12.75">
      <c r="A920" s="10" t="str">
        <f ca="1">IFERROR(__xludf.DUMMYFUNCTION("""COMPUTED_VALUE"""),"Ваня Чавдарова Добрева")</f>
        <v>Ваня Чавдарова Добрева</v>
      </c>
      <c r="B920" s="10" t="str">
        <f ca="1">IFERROR(__xludf.DUMMYFUNCTION("""COMPUTED_VALUE"""),"Статия в списания и поредици")</f>
        <v>Статия в списания и поредици</v>
      </c>
      <c r="C920" s="10" t="str">
        <f ca="1">IFERROR(__xludf.DUMMYFUNCTION("""COMPUTED_VALUE"""),"Модел на интелигентна платформа за пътя на св. Софроний Врачански в контекста на Европейските културни Маршрути")</f>
        <v>Модел на интелигентна платформа за пътя на св. Софроний Врачански в контекста на Европейските културни Маршрути</v>
      </c>
      <c r="D920" s="10">
        <f ca="1">IFERROR(__xludf.DUMMYFUNCTION("""COMPUTED_VALUE"""),2020)</f>
        <v>2020</v>
      </c>
      <c r="E920" s="10" t="str">
        <f ca="1">IFERROR(__xludf.DUMMYFUNCTION("""COMPUTED_VALUE"""),"Културно наследство и съвременни информационни технологии: Сборник с доклади от национална научна конференция, София, 9 април 2020 г. – София: За буквите – О писменехь, 2020, с. 47-67, ISBN 978-619-185-402-8")</f>
        <v>Културно наследство и съвременни информационни технологии: Сборник с доклади от национална научна конференция, София, 9 април 2020 г. – София: За буквите – О писменехь, 2020, с. 47-67, ISBN 978-619-185-402-8</v>
      </c>
      <c r="F920" s="10" t="str">
        <f ca="1">IFERROR(__xludf.DUMMYFUNCTION("""COMPUTED_VALUE"""),"НАЦИД")</f>
        <v>НАЦИД</v>
      </c>
      <c r="G920" s="10" t="str">
        <f ca="1">IFERROR(__xludf.DUMMYFUNCTION("""COMPUTED_VALUE"""),"Румен Драганов, Радостина Денчева")</f>
        <v>Румен Драганов, Радостина Денчева</v>
      </c>
      <c r="H920" s="10"/>
      <c r="I920" s="10"/>
      <c r="J920" s="10"/>
      <c r="K920" s="10"/>
      <c r="L920" s="10"/>
      <c r="M920" s="10"/>
      <c r="N920" s="10"/>
      <c r="O920" s="10"/>
      <c r="P920" s="10"/>
      <c r="Q920" s="10"/>
      <c r="R920" s="10"/>
      <c r="S920" s="10"/>
      <c r="T920" s="10"/>
      <c r="U920" s="10"/>
      <c r="V920" s="10"/>
      <c r="W920" s="10"/>
      <c r="X920" s="10"/>
      <c r="Y920" s="10"/>
      <c r="Z920" s="10"/>
    </row>
    <row r="921" spans="1:26" ht="12.75">
      <c r="A921" s="10" t="str">
        <f ca="1">IFERROR(__xludf.DUMMYFUNCTION("""COMPUTED_VALUE"""),"Ваня Чавдарова Добрева")</f>
        <v>Ваня Чавдарова Добрева</v>
      </c>
      <c r="B921" s="10" t="str">
        <f ca="1">IFERROR(__xludf.DUMMYFUNCTION("""COMPUTED_VALUE"""),"Статия в списания и поредици")</f>
        <v>Статия в списания и поредици</v>
      </c>
      <c r="C921" s="10" t="str">
        <f ca="1">IFERROR(__xludf.DUMMYFUNCTION("""COMPUTED_VALUE"""),"Метаморфози по български: Към образната система на комедията „Големанов” от Ст.М.Костов")</f>
        <v>Метаморфози по български: Към образната система на комедията „Големанов” от Ст.М.Костов</v>
      </c>
      <c r="D921" s="10">
        <f ca="1">IFERROR(__xludf.DUMMYFUNCTION("""COMPUTED_VALUE"""),2020)</f>
        <v>2020</v>
      </c>
      <c r="E921" s="10" t="str">
        <f ca="1">IFERROR(__xludf.DUMMYFUNCTION("""COMPUTED_VALUE"""),"Литературата: образи и контексти. Юб. сборник в чест на 60-годишнината на проф. дфн Цв.Ракьовски. 
  Фабер, с. 170-185, ISBN : 978-619-00-1066-1")</f>
        <v>Литературата: образи и контексти. Юб. сборник в чест на 60-годишнината на проф. дфн Цв.Ракьовски. 
  Фабер, с. 170-185, ISBN : 978-619-00-1066-1</v>
      </c>
      <c r="F921" s="10" t="str">
        <f ca="1">IFERROR(__xludf.DUMMYFUNCTION("""COMPUTED_VALUE"""),"НАЦИД (номер 3665);
 CEEOL")</f>
        <v>НАЦИД (номер 3665);
 CEEOL</v>
      </c>
      <c r="G921" s="10"/>
      <c r="H921" s="10"/>
      <c r="I921" s="10"/>
      <c r="J921" s="10"/>
      <c r="K921" s="10"/>
      <c r="L921" s="10"/>
      <c r="M921" s="10"/>
      <c r="N921" s="10"/>
      <c r="O921" s="10"/>
      <c r="P921" s="10"/>
      <c r="Q921" s="10"/>
      <c r="R921" s="10"/>
      <c r="S921" s="10"/>
      <c r="T921" s="10"/>
      <c r="U921" s="10"/>
      <c r="V921" s="10"/>
      <c r="W921" s="10"/>
      <c r="X921" s="10"/>
      <c r="Y921" s="10"/>
      <c r="Z921" s="10"/>
    </row>
    <row r="922" spans="1:26" ht="12.75">
      <c r="A922" s="10" t="str">
        <f ca="1">IFERROR(__xludf.DUMMYFUNCTION("""COMPUTED_VALUE"""),"Ваня Чавдарова Добрева")</f>
        <v>Ваня Чавдарова Добрева</v>
      </c>
      <c r="B922" s="10" t="str">
        <f ca="1">IFERROR(__xludf.DUMMYFUNCTION("""COMPUTED_VALUE"""),"Статия в списания и поредици")</f>
        <v>Статия в списания и поредици</v>
      </c>
      <c r="C922" s="10" t="str">
        <f ca="1">IFERROR(__xludf.DUMMYFUNCTION("""COMPUTED_VALUE"""),"RECONSIDER THE EXPERIENCE")</f>
        <v>RECONSIDER THE EXPERIENCE</v>
      </c>
      <c r="D922" s="10">
        <f ca="1">IFERROR(__xludf.DUMMYFUNCTION("""COMPUTED_VALUE"""),2019)</f>
        <v>2019</v>
      </c>
      <c r="E922" s="10" t="str">
        <f ca="1">IFERROR(__xludf.DUMMYFUNCTION("""COMPUTED_VALUE"""),"INTED2019 Proceedings 13th International Technology, Education and Development Conference March 11th-13th, 2019 — Valencia, Spain, pp. 4822-4827, ISBN: 978-84-09-08619-1 ISSN: 2340-1079")</f>
        <v>INTED2019 Proceedings 13th International Technology, Education and Development Conference March 11th-13th, 2019 — Valencia, Spain, pp. 4822-4827, ISBN: 978-84-09-08619-1 ISSN: 2340-1079</v>
      </c>
      <c r="F922" s="10" t="str">
        <f ca="1">IFERROR(__xludf.DUMMYFUNCTION("""COMPUTED_VALUE"""),"Web of science")</f>
        <v>Web of science</v>
      </c>
      <c r="G922" s="10" t="str">
        <f ca="1">IFERROR(__xludf.DUMMYFUNCTION("""COMPUTED_VALUE"""),"I. Yankova, J. Dobreva, R. Vasileva, P. Peykov")</f>
        <v>I. Yankova, J. Dobreva, R. Vasileva, P. Peykov</v>
      </c>
      <c r="H922" s="10"/>
      <c r="I922" s="10"/>
      <c r="J922" s="10"/>
      <c r="K922" s="10"/>
      <c r="L922" s="10"/>
      <c r="M922" s="10"/>
      <c r="N922" s="10"/>
      <c r="O922" s="10"/>
      <c r="P922" s="10"/>
      <c r="Q922" s="10"/>
      <c r="R922" s="10"/>
      <c r="S922" s="10"/>
      <c r="T922" s="10"/>
      <c r="U922" s="10"/>
      <c r="V922" s="10"/>
      <c r="W922" s="10"/>
      <c r="X922" s="10"/>
      <c r="Y922" s="10"/>
      <c r="Z922" s="10"/>
    </row>
    <row r="923" spans="1:26" ht="12.75">
      <c r="A923" s="10" t="str">
        <f ca="1">IFERROR(__xludf.DUMMYFUNCTION("""COMPUTED_VALUE"""),"Ваня Чавдарова Добрева")</f>
        <v>Ваня Чавдарова Добрева</v>
      </c>
      <c r="B923" s="10" t="str">
        <f ca="1">IFERROR(__xludf.DUMMYFUNCTION("""COMPUTED_VALUE"""),"Доклад от конференция")</f>
        <v>Доклад от конференция</v>
      </c>
      <c r="C923" s="10" t="str">
        <f ca="1">IFERROR(__xludf.DUMMYFUNCTION("""COMPUTED_VALUE"""),"“Гражданское позорище“ от Софроний Врачански (Аспекти от изразявани гледища)")</f>
        <v>“Гражданское позорище“ от Софроний Врачански (Аспекти от изразявани гледища)</v>
      </c>
      <c r="D923" s="10">
        <f ca="1">IFERROR(__xludf.DUMMYFUNCTION("""COMPUTED_VALUE"""),2019)</f>
        <v>2019</v>
      </c>
      <c r="E923" s="10" t="str">
        <f ca="1">IFERROR(__xludf.DUMMYFUNCTION("""COMPUTED_VALUE"""),"Обществото на знанието и хуманизмът на ХХI век. XVIнационална научна конференция с международно участие, София 1 ноември 2018., рр338-346; АИ:За буквите, ISSN,1314-7099")</f>
        <v>Обществото на знанието и хуманизмът на ХХI век. XVIнационална научна конференция с международно участие, София 1 ноември 2018., рр338-346; АИ:За буквите, ISSN,1314-7099</v>
      </c>
      <c r="F923" s="10"/>
      <c r="G923" s="10"/>
      <c r="H923" s="10"/>
      <c r="I923" s="10"/>
      <c r="J923" s="10"/>
      <c r="K923" s="10"/>
      <c r="L923" s="10"/>
      <c r="M923" s="10"/>
      <c r="N923" s="10"/>
      <c r="O923" s="10"/>
      <c r="P923" s="10"/>
      <c r="Q923" s="10"/>
      <c r="R923" s="10"/>
      <c r="S923" s="10"/>
      <c r="T923" s="10"/>
      <c r="U923" s="10"/>
      <c r="V923" s="10"/>
      <c r="W923" s="10"/>
      <c r="X923" s="10"/>
      <c r="Y923" s="10"/>
      <c r="Z923" s="10"/>
    </row>
    <row r="924" spans="1:26" ht="12.75">
      <c r="A924" s="10" t="str">
        <f ca="1">IFERROR(__xludf.DUMMYFUNCTION("""COMPUTED_VALUE"""),"Ваня Чавдарова Добрева")</f>
        <v>Ваня Чавдарова Добрева</v>
      </c>
      <c r="B924" s="10" t="str">
        <f ca="1">IFERROR(__xludf.DUMMYFUNCTION("""COMPUTED_VALUE"""),"Доклад от конференция")</f>
        <v>Доклад от конференция</v>
      </c>
      <c r="C924" s="10" t="str">
        <f ca="1">IFERROR(__xludf.DUMMYFUNCTION("""COMPUTED_VALUE"""),"Пътят/Пътешествието като художествен концепт в „Житие и страдание грешнаго Софрония“")</f>
        <v>Пътят/Пътешествието като художествен концепт в „Житие и страдание грешнаго Софрония“</v>
      </c>
      <c r="D924" s="10">
        <f ca="1">IFERROR(__xludf.DUMMYFUNCTION("""COMPUTED_VALUE"""),2019)</f>
        <v>2019</v>
      </c>
      <c r="E924" s="10" t="str">
        <f ca="1">IFERROR(__xludf.DUMMYFUNCTION("""COMPUTED_VALUE"""),"Сецесион и компаративистика. Киев-София: ИК АН-Ди 2019, pp. 203-218. ISBN 978-619-7221-12-1")</f>
        <v>Сецесион и компаративистика. Киев-София: ИК АН-Ди 2019, pp. 203-218. ISBN 978-619-7221-12-1</v>
      </c>
      <c r="F924" s="10"/>
      <c r="G924" s="10"/>
      <c r="H924" s="10"/>
      <c r="I924" s="10"/>
      <c r="J924" s="10"/>
      <c r="K924" s="10"/>
      <c r="L924" s="10"/>
      <c r="M924" s="10"/>
      <c r="N924" s="10"/>
      <c r="O924" s="10"/>
      <c r="P924" s="10"/>
      <c r="Q924" s="10"/>
      <c r="R924" s="10"/>
      <c r="S924" s="10"/>
      <c r="T924" s="10"/>
      <c r="U924" s="10"/>
      <c r="V924" s="10"/>
      <c r="W924" s="10"/>
      <c r="X924" s="10"/>
      <c r="Y924" s="10"/>
      <c r="Z924" s="10"/>
    </row>
    <row r="925" spans="1:26" ht="12.75">
      <c r="A925" s="10" t="str">
        <f ca="1">IFERROR(__xludf.DUMMYFUNCTION("""COMPUTED_VALUE"""),"Ваня Чавдарова Добрева")</f>
        <v>Ваня Чавдарова Добрева</v>
      </c>
      <c r="B925" s="10" t="str">
        <f ca="1">IFERROR(__xludf.DUMMYFUNCTION("""COMPUTED_VALUE"""),"Статия в списания и поредици")</f>
        <v>Статия в списания и поредици</v>
      </c>
      <c r="C925" s="10" t="str">
        <f ca="1">IFERROR(__xludf.DUMMYFUNCTION("""COMPUTED_VALUE"""),"POSITIVE PRACTICES FOR OVERCOMING THE CRISIS IN EDUCATION: EXAMPLES FROM BULGARIA")</f>
        <v>POSITIVE PRACTICES FOR OVERCOMING THE CRISIS IN EDUCATION: EXAMPLES FROM BULGARIA</v>
      </c>
      <c r="D925" s="10">
        <f ca="1">IFERROR(__xludf.DUMMYFUNCTION("""COMPUTED_VALUE"""),2019)</f>
        <v>2019</v>
      </c>
      <c r="E925" s="10" t="str">
        <f ca="1">IFERROR(__xludf.DUMMYFUNCTION("""COMPUTED_VALUE"""),"INTED2019 Proceedings 13th International Technology, Education and Development Conference March 11th-13th, 2019 — Valencia, Spain, pp. 4835-4840, ISBN: 978-84-09-08619-1 ISSN: 2340-1079")</f>
        <v>INTED2019 Proceedings 13th International Technology, Education and Development Conference March 11th-13th, 2019 — Valencia, Spain, pp. 4835-4840, ISBN: 978-84-09-08619-1 ISSN: 2340-1079</v>
      </c>
      <c r="F925" s="10" t="str">
        <f ca="1">IFERROR(__xludf.DUMMYFUNCTION("""COMPUTED_VALUE"""),"Web of science")</f>
        <v>Web of science</v>
      </c>
      <c r="G925" s="10" t="str">
        <f ca="1">IFERROR(__xludf.DUMMYFUNCTION("""COMPUTED_VALUE"""),"B. Hajieva, S. Stancheva, J. Dobreva, K. Nusheva, B. Buzhashka")</f>
        <v>B. Hajieva, S. Stancheva, J. Dobreva, K. Nusheva, B. Buzhashka</v>
      </c>
      <c r="H925" s="10"/>
      <c r="I925" s="10"/>
      <c r="J925" s="10"/>
      <c r="K925" s="10"/>
      <c r="L925" s="10"/>
      <c r="M925" s="10"/>
      <c r="N925" s="10"/>
      <c r="O925" s="10"/>
      <c r="P925" s="10"/>
      <c r="Q925" s="10"/>
      <c r="R925" s="10"/>
      <c r="S925" s="10"/>
      <c r="T925" s="10"/>
      <c r="U925" s="10"/>
      <c r="V925" s="10"/>
      <c r="W925" s="10"/>
      <c r="X925" s="10"/>
      <c r="Y925" s="10"/>
      <c r="Z925" s="10"/>
    </row>
    <row r="926" spans="1:26" ht="12.75">
      <c r="A926" s="10" t="str">
        <f ca="1">IFERROR(__xludf.DUMMYFUNCTION("""COMPUTED_VALUE"""),"Ваня Чавдарова Добрева")</f>
        <v>Ваня Чавдарова Добрева</v>
      </c>
      <c r="B926" s="10" t="str">
        <f ca="1">IFERROR(__xludf.DUMMYFUNCTION("""COMPUTED_VALUE"""),"Статия в списания и поредици")</f>
        <v>Статия в списания и поредици</v>
      </c>
      <c r="C926" s="10" t="str">
        <f ca="1">IFERROR(__xludf.DUMMYFUNCTION("""COMPUTED_VALUE"""),"Четири фрагмента за съвременното българско образование (ІІ част).")</f>
        <v>Четири фрагмента за съвременното българско образование (ІІ част).</v>
      </c>
      <c r="D926" s="10">
        <f ca="1">IFERROR(__xludf.DUMMYFUNCTION("""COMPUTED_VALUE"""),2018)</f>
        <v>2018</v>
      </c>
      <c r="E926" s="10" t="str">
        <f ca="1">IFERROR(__xludf.DUMMYFUNCTION("""COMPUTED_VALUE"""),"Понеделник, 2018 № 11-11, с. 134-140., ISSN 0861–6620")</f>
        <v>Понеделник, 2018 № 11-11, с. 134-140., ISSN 0861–6620</v>
      </c>
      <c r="F926" s="10"/>
      <c r="G926" s="10"/>
      <c r="H926" s="10"/>
      <c r="I926" s="10"/>
      <c r="J926" s="10"/>
      <c r="K926" s="10"/>
      <c r="L926" s="10"/>
      <c r="M926" s="10"/>
      <c r="N926" s="10"/>
      <c r="O926" s="10"/>
      <c r="P926" s="10"/>
      <c r="Q926" s="10"/>
      <c r="R926" s="10"/>
      <c r="S926" s="10"/>
      <c r="T926" s="10"/>
      <c r="U926" s="10"/>
      <c r="V926" s="10"/>
      <c r="W926" s="10"/>
      <c r="X926" s="10"/>
      <c r="Y926" s="10"/>
      <c r="Z926" s="10"/>
    </row>
    <row r="927" spans="1:26" ht="12.75">
      <c r="A927" s="10" t="str">
        <f ca="1">IFERROR(__xludf.DUMMYFUNCTION("""COMPUTED_VALUE"""),"Ваня Чавдарова Добрева")</f>
        <v>Ваня Чавдарова Добрева</v>
      </c>
      <c r="B927" s="10" t="str">
        <f ca="1">IFERROR(__xludf.DUMMYFUNCTION("""COMPUTED_VALUE"""),"Книга")</f>
        <v>Книга</v>
      </c>
      <c r="C927" s="10" t="str">
        <f ca="1">IFERROR(__xludf.DUMMYFUNCTION("""COMPUTED_VALUE"""),"Културни коридори")</f>
        <v>Културни коридори</v>
      </c>
      <c r="D927" s="10">
        <f ca="1">IFERROR(__xludf.DUMMYFUNCTION("""COMPUTED_VALUE"""),2018)</f>
        <v>2018</v>
      </c>
      <c r="E927" s="10" t="str">
        <f ca="1">IFERROR(__xludf.DUMMYFUNCTION("""COMPUTED_VALUE"""),"Съставители: Ваня Добрева, Евгений Сачев, Соня Спасова, Надежда Томова; София: За буквите-О писменехь. 2018")</f>
        <v>Съставители: Ваня Добрева, Евгений Сачев, Соня Спасова, Надежда Томова; София: За буквите-О писменехь. 2018</v>
      </c>
      <c r="F927" s="10"/>
      <c r="G927" s="10"/>
      <c r="H927" s="10"/>
      <c r="I927" s="10"/>
      <c r="J927" s="10"/>
      <c r="K927" s="10"/>
      <c r="L927" s="10"/>
      <c r="M927" s="10"/>
      <c r="N927" s="10"/>
      <c r="O927" s="10"/>
      <c r="P927" s="10"/>
      <c r="Q927" s="10"/>
      <c r="R927" s="10"/>
      <c r="S927" s="10"/>
      <c r="T927" s="10"/>
      <c r="U927" s="10"/>
      <c r="V927" s="10"/>
      <c r="W927" s="10"/>
      <c r="X927" s="10"/>
      <c r="Y927" s="10"/>
      <c r="Z927" s="10"/>
    </row>
    <row r="928" spans="1:26" ht="12.75">
      <c r="A928" s="10" t="str">
        <f ca="1">IFERROR(__xludf.DUMMYFUNCTION("""COMPUTED_VALUE"""),"Ваня Чавдарова Добрева")</f>
        <v>Ваня Чавдарова Добрева</v>
      </c>
      <c r="B928" s="10" t="str">
        <f ca="1">IFERROR(__xludf.DUMMYFUNCTION("""COMPUTED_VALUE"""),"Доклад от конференция")</f>
        <v>Доклад от конференция</v>
      </c>
      <c r="C928" s="10" t="str">
        <f ca="1">IFERROR(__xludf.DUMMYFUNCTION("""COMPUTED_VALUE"""),"Културна памет: славянството според Мавро Орбини")</f>
        <v>Културна памет: славянството според Мавро Орбини</v>
      </c>
      <c r="D928" s="10">
        <f ca="1">IFERROR(__xludf.DUMMYFUNCTION("""COMPUTED_VALUE"""),2018)</f>
        <v>2018</v>
      </c>
      <c r="E928" s="10" t="str">
        <f ca="1">IFERROR(__xludf.DUMMYFUNCTION("""COMPUTED_VALUE"""),"Обществото на знанието и хуманизмът на XXI век. ХV национална научна конференция с международно участие, София, 1 ноември 2017 г. - София: За буквите-О писменехь, 2018, с. 136-143. ISSN 1314-7099")</f>
        <v>Обществото на знанието и хуманизмът на XXI век. ХV национална научна конференция с международно участие, София, 1 ноември 2017 г. - София: За буквите-О писменехь, 2018, с. 136-143. ISSN 1314-7099</v>
      </c>
      <c r="F928" s="10"/>
      <c r="G928" s="10"/>
      <c r="H928" s="10"/>
      <c r="I928" s="10"/>
      <c r="J928" s="10"/>
      <c r="K928" s="10"/>
      <c r="L928" s="10"/>
      <c r="M928" s="10"/>
      <c r="N928" s="10"/>
      <c r="O928" s="10"/>
      <c r="P928" s="10"/>
      <c r="Q928" s="10"/>
      <c r="R928" s="10"/>
      <c r="S928" s="10"/>
      <c r="T928" s="10"/>
      <c r="U928" s="10"/>
      <c r="V928" s="10"/>
      <c r="W928" s="10"/>
      <c r="X928" s="10"/>
      <c r="Y928" s="10"/>
      <c r="Z928" s="10"/>
    </row>
    <row r="929" spans="1:26" ht="12.75">
      <c r="A929" s="10" t="str">
        <f ca="1">IFERROR(__xludf.DUMMYFUNCTION("""COMPUTED_VALUE"""),"Ваня Чавдарова Добрева")</f>
        <v>Ваня Чавдарова Добрева</v>
      </c>
      <c r="B929" s="10" t="str">
        <f ca="1">IFERROR(__xludf.DUMMYFUNCTION("""COMPUTED_VALUE"""),"Статия в списания и поредици")</f>
        <v>Статия в списания и поредици</v>
      </c>
      <c r="C929" s="10" t="str">
        <f ca="1">IFERROR(__xludf.DUMMYFUNCTION("""COMPUTED_VALUE"""),"Пороците на новата образователна политика")</f>
        <v>Пороците на новата образователна политика</v>
      </c>
      <c r="D929" s="10">
        <f ca="1">IFERROR(__xludf.DUMMYFUNCTION("""COMPUTED_VALUE"""),2018)</f>
        <v>2018</v>
      </c>
      <c r="E929" s="10" t="str">
        <f ca="1">IFERROR(__xludf.DUMMYFUNCTION("""COMPUTED_VALUE"""),"Словото, август, с.7")</f>
        <v>Словото, август, с.7</v>
      </c>
      <c r="F929" s="10"/>
      <c r="G929" s="10"/>
      <c r="H929" s="10"/>
      <c r="I929" s="10"/>
      <c r="J929" s="10"/>
      <c r="K929" s="10"/>
      <c r="L929" s="10"/>
      <c r="M929" s="10"/>
      <c r="N929" s="10"/>
      <c r="O929" s="10"/>
      <c r="P929" s="10"/>
      <c r="Q929" s="10"/>
      <c r="R929" s="10"/>
      <c r="S929" s="10"/>
      <c r="T929" s="10"/>
      <c r="U929" s="10"/>
      <c r="V929" s="10"/>
      <c r="W929" s="10"/>
      <c r="X929" s="10"/>
      <c r="Y929" s="10"/>
      <c r="Z929" s="10"/>
    </row>
    <row r="930" spans="1:26" ht="12.75">
      <c r="A930" s="10" t="str">
        <f ca="1">IFERROR(__xludf.DUMMYFUNCTION("""COMPUTED_VALUE"""),"Ваня Чавдарова Добрева")</f>
        <v>Ваня Чавдарова Добрева</v>
      </c>
      <c r="B930" s="10" t="str">
        <f ca="1">IFERROR(__xludf.DUMMYFUNCTION("""COMPUTED_VALUE"""),"Статия в списания и поредици")</f>
        <v>Статия в списания и поредици</v>
      </c>
      <c r="C930" s="10" t="str">
        <f ca="1">IFERROR(__xludf.DUMMYFUNCTION("""COMPUTED_VALUE"""),"Четири фрагмента за съвременното българско образование.")</f>
        <v>Четири фрагмента за съвременното българско образование.</v>
      </c>
      <c r="D930" s="10">
        <f ca="1">IFERROR(__xludf.DUMMYFUNCTION("""COMPUTED_VALUE"""),2018)</f>
        <v>2018</v>
      </c>
      <c r="E930" s="10" t="str">
        <f ca="1">IFERROR(__xludf.DUMMYFUNCTION("""COMPUTED_VALUE"""),"Понеделник, 2018, № 9-10, с. 139-148., ISSN 0861–6620")</f>
        <v>Понеделник, 2018, № 9-10, с. 139-148., ISSN 0861–6620</v>
      </c>
      <c r="F930" s="10"/>
      <c r="G930" s="10"/>
      <c r="H930" s="10"/>
      <c r="I930" s="10"/>
      <c r="J930" s="10"/>
      <c r="K930" s="10"/>
      <c r="L930" s="10"/>
      <c r="M930" s="10"/>
      <c r="N930" s="10"/>
      <c r="O930" s="10"/>
      <c r="P930" s="10"/>
      <c r="Q930" s="10"/>
      <c r="R930" s="10"/>
      <c r="S930" s="10"/>
      <c r="T930" s="10"/>
      <c r="U930" s="10"/>
      <c r="V930" s="10"/>
      <c r="W930" s="10"/>
      <c r="X930" s="10"/>
      <c r="Y930" s="10"/>
      <c r="Z930" s="10"/>
    </row>
    <row r="931" spans="1:26" ht="12.75">
      <c r="A931" s="10" t="str">
        <f ca="1">IFERROR(__xludf.DUMMYFUNCTION("""COMPUTED_VALUE"""),"Ваня Чавдарова Добрева")</f>
        <v>Ваня Чавдарова Добрева</v>
      </c>
      <c r="B931" s="10" t="str">
        <f ca="1">IFERROR(__xludf.DUMMYFUNCTION("""COMPUTED_VALUE"""),"Студия")</f>
        <v>Студия</v>
      </c>
      <c r="C931" s="10" t="str">
        <f ca="1">IFERROR(__xludf.DUMMYFUNCTION("""COMPUTED_VALUE"""),"Два фрагмента за образование")</f>
        <v>Два фрагмента за образование</v>
      </c>
      <c r="D931" s="10">
        <f ca="1">IFERROR(__xludf.DUMMYFUNCTION("""COMPUTED_VALUE"""),2018)</f>
        <v>2018</v>
      </c>
      <c r="E931" s="10" t="str">
        <f ca="1">IFERROR(__xludf.DUMMYFUNCTION("""COMPUTED_VALUE"""),"Понеделник, кн. 10-12, 20с., ISSN 0861–6620")</f>
        <v>Понеделник, кн. 10-12, 20с., ISSN 0861–6620</v>
      </c>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c r="A932" s="10" t="str">
        <f ca="1">IFERROR(__xludf.DUMMYFUNCTION("""COMPUTED_VALUE"""),"Ваня Чавдарова Добрева")</f>
        <v>Ваня Чавдарова Добрева</v>
      </c>
      <c r="B932" s="10" t="str">
        <f ca="1">IFERROR(__xludf.DUMMYFUNCTION("""COMPUTED_VALUE"""),"Статия в списания и поредици")</f>
        <v>Статия в списания и поредици</v>
      </c>
      <c r="C932" s="10" t="str">
        <f ca="1">IFERROR(__xludf.DUMMYFUNCTION("""COMPUTED_VALUE"""),"Restoration of the Cultural Memory")</f>
        <v>Restoration of the Cultural Memory</v>
      </c>
      <c r="D932" s="10">
        <f ca="1">IFERROR(__xludf.DUMMYFUNCTION("""COMPUTED_VALUE"""),2018)</f>
        <v>2018</v>
      </c>
      <c r="E932" s="10" t="str">
        <f ca="1">IFERROR(__xludf.DUMMYFUNCTION("""COMPUTED_VALUE"""),"Knowledge - International Journal, 2018, Vol. 28.7. p.2413-2417 ISSN, 1857-923X")</f>
        <v>Knowledge - International Journal, 2018, Vol. 28.7. p.2413-2417 ISSN, 1857-923X</v>
      </c>
      <c r="F932" s="10" t="str">
        <f ca="1">IFERROR(__xludf.DUMMYFUNCTION("""COMPUTED_VALUE"""),"Global Impact and Quality Factor")</f>
        <v>Global Impact and Quality Factor</v>
      </c>
      <c r="G932" s="10" t="str">
        <f ca="1">IFERROR(__xludf.DUMMYFUNCTION("""COMPUTED_VALUE"""),"Ivanka Yankova")</f>
        <v>Ivanka Yankova</v>
      </c>
      <c r="H932" s="10"/>
      <c r="I932" s="10"/>
      <c r="J932" s="10"/>
      <c r="K932" s="10"/>
      <c r="L932" s="10"/>
      <c r="M932" s="10"/>
      <c r="N932" s="10"/>
      <c r="O932" s="10"/>
      <c r="P932" s="10"/>
      <c r="Q932" s="10"/>
      <c r="R932" s="10"/>
      <c r="S932" s="10"/>
      <c r="T932" s="10"/>
      <c r="U932" s="10"/>
      <c r="V932" s="10"/>
      <c r="W932" s="10"/>
      <c r="X932" s="10"/>
      <c r="Y932" s="10"/>
      <c r="Z932" s="10"/>
    </row>
    <row r="933" spans="1:26" ht="12.75">
      <c r="A933" s="10" t="str">
        <f ca="1">IFERROR(__xludf.DUMMYFUNCTION("""COMPUTED_VALUE"""),"Ваня Чавдарова Добрева")</f>
        <v>Ваня Чавдарова Добрева</v>
      </c>
      <c r="B933" s="10" t="str">
        <f ca="1">IFERROR(__xludf.DUMMYFUNCTION("""COMPUTED_VALUE"""),"Студия")</f>
        <v>Студия</v>
      </c>
      <c r="C933" s="10" t="str">
        <f ca="1">IFERROR(__xludf.DUMMYFUNCTION("""COMPUTED_VALUE"""),"От фолклор към литература:битовата приказка и комедията")</f>
        <v>От фолклор към литература:битовата приказка и комедията</v>
      </c>
      <c r="D933" s="10">
        <f ca="1">IFERROR(__xludf.DUMMYFUNCTION("""COMPUTED_VALUE"""),2018)</f>
        <v>2018</v>
      </c>
      <c r="E933" s="10" t="str">
        <f ca="1">IFERROR(__xludf.DUMMYFUNCTION("""COMPUTED_VALUE"""),"Академик Петър Динеков и хуманитарната наука – идеи, позиции, концепции. Сборник с материали, посветен на 100 години от рождението му. София:ИК”Мултипринт”.2018. ISBN 978-954-362-231-3")</f>
        <v>Академик Петър Динеков и хуманитарната наука – идеи, позиции, концепции. Сборник с материали, посветен на 100 години от рождението му. София:ИК”Мултипринт”.2018. ISBN 978-954-362-231-3</v>
      </c>
      <c r="F933" s="10"/>
      <c r="G933" s="10"/>
      <c r="H933" s="10"/>
      <c r="I933" s="10"/>
      <c r="J933" s="10"/>
      <c r="K933" s="10"/>
      <c r="L933" s="10"/>
      <c r="M933" s="10"/>
      <c r="N933" s="10"/>
      <c r="O933" s="10"/>
      <c r="P933" s="10"/>
      <c r="Q933" s="10"/>
      <c r="R933" s="10"/>
      <c r="S933" s="10"/>
      <c r="T933" s="10"/>
      <c r="U933" s="10"/>
      <c r="V933" s="10"/>
      <c r="W933" s="10"/>
      <c r="X933" s="10"/>
      <c r="Y933" s="10"/>
      <c r="Z933" s="10"/>
    </row>
    <row r="934" spans="1:26" ht="12.75">
      <c r="A934" s="10" t="str">
        <f ca="1">IFERROR(__xludf.DUMMYFUNCTION("""COMPUTED_VALUE"""),"Ваня Чавдарова Добрева")</f>
        <v>Ваня Чавдарова Добрева</v>
      </c>
      <c r="B934" s="10" t="str">
        <f ca="1">IFERROR(__xludf.DUMMYFUNCTION("""COMPUTED_VALUE"""),"Статия в списания и поредици")</f>
        <v>Статия в списания и поредици</v>
      </c>
      <c r="C934" s="10" t="str">
        <f ca="1">IFERROR(__xludf.DUMMYFUNCTION("""COMPUTED_VALUE"""),"Към цивилизационното значение на делото на Светите братя : 1190 години от рождението на Константин-Кирил Философ")</f>
        <v>Към цивилизационното значение на делото на Светите братя : 1190 години от рождението на Константин-Кирил Философ</v>
      </c>
      <c r="D934" s="10">
        <f ca="1">IFERROR(__xludf.DUMMYFUNCTION("""COMPUTED_VALUE"""),2017)</f>
        <v>2017</v>
      </c>
      <c r="E934" s="10" t="str">
        <f ca="1">IFERROR(__xludf.DUMMYFUNCTION("""COMPUTED_VALUE"""),"За Буквите : кирило-методиевски вестник, 2017, бр. 50, с. 18. ISSN: 1312-3785")</f>
        <v>За Буквите : кирило-методиевски вестник, 2017, бр. 50, с. 18. ISSN: 1312-3785</v>
      </c>
      <c r="F934" s="10"/>
      <c r="G934" s="10"/>
      <c r="H934" s="10"/>
      <c r="I934" s="10"/>
      <c r="J934" s="10"/>
      <c r="K934" s="10"/>
      <c r="L934" s="10"/>
      <c r="M934" s="10"/>
      <c r="N934" s="10"/>
      <c r="O934" s="10"/>
      <c r="P934" s="10"/>
      <c r="Q934" s="10"/>
      <c r="R934" s="10"/>
      <c r="S934" s="10"/>
      <c r="T934" s="10"/>
      <c r="U934" s="10"/>
      <c r="V934" s="10"/>
      <c r="W934" s="10"/>
      <c r="X934" s="10"/>
      <c r="Y934" s="10"/>
      <c r="Z934" s="10"/>
    </row>
    <row r="935" spans="1:26" ht="12.75">
      <c r="A935" s="10" t="str">
        <f ca="1">IFERROR(__xludf.DUMMYFUNCTION("""COMPUTED_VALUE"""),"Ваня Чавдарова Добрева")</f>
        <v>Ваня Чавдарова Добрева</v>
      </c>
      <c r="B935" s="10" t="str">
        <f ca="1">IFERROR(__xludf.DUMMYFUNCTION("""COMPUTED_VALUE"""),"Доклад от конференция")</f>
        <v>Доклад от конференция</v>
      </c>
      <c r="C935" s="10" t="str">
        <f ca="1">IFERROR(__xludf.DUMMYFUNCTION("""COMPUTED_VALUE"""),"Патриотизмът, националната държава и Европейският съюз")</f>
        <v>Патриотизмът, националната държава и Европейският съюз</v>
      </c>
      <c r="D935" s="10">
        <f ca="1">IFERROR(__xludf.DUMMYFUNCTION("""COMPUTED_VALUE"""),2017)</f>
        <v>2017</v>
      </c>
      <c r="E935" s="10" t="str">
        <f ca="1">IFERROR(__xludf.DUMMYFUNCTION("""COMPUTED_VALUE"""),"Патриотизмът – спомен, блян или дълг. Сборник. Съставител: Максим Мизов. София: ЦИПИ, 2017, 77-86 с., ISBN 978-619-160-812-6")</f>
        <v>Патриотизмът – спомен, блян или дълг. Сборник. Съставител: Максим Мизов. София: ЦИПИ, 2017, 77-86 с., ISBN 978-619-160-812-6</v>
      </c>
      <c r="F935" s="10"/>
      <c r="G935" s="10"/>
      <c r="H935" s="10"/>
      <c r="I935" s="10"/>
      <c r="J935" s="10"/>
      <c r="K935" s="10"/>
      <c r="L935" s="10"/>
      <c r="M935" s="10"/>
      <c r="N935" s="10"/>
      <c r="O935" s="10"/>
      <c r="P935" s="10"/>
      <c r="Q935" s="10"/>
      <c r="R935" s="10"/>
      <c r="S935" s="10"/>
      <c r="T935" s="10"/>
      <c r="U935" s="10"/>
      <c r="V935" s="10"/>
      <c r="W935" s="10"/>
      <c r="X935" s="10"/>
      <c r="Y935" s="10"/>
      <c r="Z935" s="10"/>
    </row>
    <row r="936" spans="1:26" ht="12.75">
      <c r="A936" s="10" t="str">
        <f ca="1">IFERROR(__xludf.DUMMYFUNCTION("""COMPUTED_VALUE"""),"Ваня Чавдарова Добрева")</f>
        <v>Ваня Чавдарова Добрева</v>
      </c>
      <c r="B936" s="10" t="str">
        <f ca="1">IFERROR(__xludf.DUMMYFUNCTION("""COMPUTED_VALUE"""),"Студия")</f>
        <v>Студия</v>
      </c>
      <c r="C936" s="10" t="str">
        <f ca="1">IFERROR(__xludf.DUMMYFUNCTION("""COMPUTED_VALUE"""),"Славянството в „История славянобългарска”")</f>
        <v>Славянството в „История славянобългарска”</v>
      </c>
      <c r="D936" s="10">
        <f ca="1">IFERROR(__xludf.DUMMYFUNCTION("""COMPUTED_VALUE"""),2017)</f>
        <v>2017</v>
      </c>
      <c r="E936" s="10" t="str">
        <f ca="1">IFERROR(__xludf.DUMMYFUNCTION("""COMPUTED_VALUE"""),"Културни коридори. Сб. Съст. и ред. Ваня Добрева, Евгений Сачев, Соня Спасова, Надежда Томова, 2017, с. 9-39., ISBN 978-619-185-307-6")</f>
        <v>Културни коридори. Сб. Съст. и ред. Ваня Добрева, Евгений Сачев, Соня Спасова, Надежда Томова, 2017, с. 9-39., ISBN 978-619-185-307-6</v>
      </c>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c r="A937" s="10" t="str">
        <f ca="1">IFERROR(__xludf.DUMMYFUNCTION("""COMPUTED_VALUE"""),"Ваня Чавдарова Добрева")</f>
        <v>Ваня Чавдарова Добрева</v>
      </c>
      <c r="B937" s="10" t="str">
        <f ca="1">IFERROR(__xludf.DUMMYFUNCTION("""COMPUTED_VALUE"""),"Доклад от конференция")</f>
        <v>Доклад от конференция</v>
      </c>
      <c r="C937" s="10" t="str">
        <f ca="1">IFERROR(__xludf.DUMMYFUNCTION("""COMPUTED_VALUE"""),"Библиография и творческа дейност на проф. Марин Дринов.")</f>
        <v>Библиография и творческа дейност на проф. Марин Дринов.</v>
      </c>
      <c r="D937" s="10">
        <f ca="1">IFERROR(__xludf.DUMMYFUNCTION("""COMPUTED_VALUE"""),2017)</f>
        <v>2017</v>
      </c>
      <c r="E937" s="10" t="str">
        <f ca="1">IFERROR(__xludf.DUMMYFUNCTION("""COMPUTED_VALUE"""),"Обществото на знанието и хуманизмът на XXI век. ХІV национална научна конференция с международно участие, София, 1 ноември 2016 г. - София: За буквите-О писменехь, 2017, с. 165-173. ISSN 1314-7099")</f>
        <v>Обществото на знанието и хуманизмът на XXI век. ХІV национална научна конференция с международно участие, София, 1 ноември 2016 г. - София: За буквите-О писменехь, 2017, с. 165-173. ISSN 1314-7099</v>
      </c>
      <c r="F937" s="10"/>
      <c r="G937" s="10" t="str">
        <f ca="1">IFERROR(__xludf.DUMMYFUNCTION("""COMPUTED_VALUE"""),"Таня Гьонова-Кацарова")</f>
        <v>Таня Гьонова-Кацарова</v>
      </c>
      <c r="H937" s="10"/>
      <c r="I937" s="10"/>
      <c r="J937" s="10"/>
      <c r="K937" s="10"/>
      <c r="L937" s="10"/>
      <c r="M937" s="10"/>
      <c r="N937" s="10"/>
      <c r="O937" s="10"/>
      <c r="P937" s="10"/>
      <c r="Q937" s="10"/>
      <c r="R937" s="10"/>
      <c r="S937" s="10"/>
      <c r="T937" s="10"/>
      <c r="U937" s="10"/>
      <c r="V937" s="10"/>
      <c r="W937" s="10"/>
      <c r="X937" s="10"/>
      <c r="Y937" s="10"/>
      <c r="Z937" s="10"/>
    </row>
    <row r="938" spans="1:26" ht="12.75">
      <c r="A938" s="10" t="str">
        <f ca="1">IFERROR(__xludf.DUMMYFUNCTION("""COMPUTED_VALUE"""),"Ваня Чавдарова Добрева")</f>
        <v>Ваня Чавдарова Добрева</v>
      </c>
      <c r="B938" s="10" t="str">
        <f ca="1">IFERROR(__xludf.DUMMYFUNCTION("""COMPUTED_VALUE"""),"Статия в списания и поредици")</f>
        <v>Статия в списания и поредици</v>
      </c>
      <c r="C938" s="10" t="str">
        <f ca="1">IFERROR(__xludf.DUMMYFUNCTION("""COMPUTED_VALUE"""),"Посоки на идентификацията в ""Житие и страдание грешнаго Софрония""")</f>
        <v>Посоки на идентификацията в "Житие и страдание грешнаго Софрония"</v>
      </c>
      <c r="D938" s="10">
        <f ca="1">IFERROR(__xludf.DUMMYFUNCTION("""COMPUTED_VALUE"""),2016)</f>
        <v>2016</v>
      </c>
      <c r="E938" s="10" t="str">
        <f ca="1">IFERROR(__xludf.DUMMYFUNCTION("""COMPUTED_VALUE"""),"Обществото на знанието и хуманизмът на XXI век. София: За буквите-О писменехь, 2016")</f>
        <v>Обществото на знанието и хуманизмът на XXI век. София: За буквите-О писменехь, 2016</v>
      </c>
      <c r="F938" s="10"/>
      <c r="G938" s="10"/>
      <c r="H938" s="10"/>
      <c r="I938" s="10"/>
      <c r="J938" s="10"/>
      <c r="K938" s="10"/>
      <c r="L938" s="10"/>
      <c r="M938" s="10"/>
      <c r="N938" s="10"/>
      <c r="O938" s="10"/>
      <c r="P938" s="10"/>
      <c r="Q938" s="10"/>
      <c r="R938" s="10"/>
      <c r="S938" s="10"/>
      <c r="T938" s="10"/>
      <c r="U938" s="10"/>
      <c r="V938" s="10"/>
      <c r="W938" s="10"/>
      <c r="X938" s="10"/>
      <c r="Y938" s="10"/>
      <c r="Z938" s="10"/>
    </row>
    <row r="939" spans="1:26" ht="12.75">
      <c r="A939" s="10" t="str">
        <f ca="1">IFERROR(__xludf.DUMMYFUNCTION("""COMPUTED_VALUE"""),"Ваня Чавдарова Добрева")</f>
        <v>Ваня Чавдарова Добрева</v>
      </c>
      <c r="B939" s="10" t="str">
        <f ca="1">IFERROR(__xludf.DUMMYFUNCTION("""COMPUTED_VALUE"""),"Книга")</f>
        <v>Книга</v>
      </c>
      <c r="C939" s="10" t="str">
        <f ca="1">IFERROR(__xludf.DUMMYFUNCTION("""COMPUTED_VALUE"""),"Прочити и наследства (Из възрожденската книжнина)")</f>
        <v>Прочити и наследства (Из възрожденската книжнина)</v>
      </c>
      <c r="D939" s="10">
        <f ca="1">IFERROR(__xludf.DUMMYFUNCTION("""COMPUTED_VALUE"""),2015)</f>
        <v>2015</v>
      </c>
      <c r="E939" s="10" t="str">
        <f ca="1">IFERROR(__xludf.DUMMYFUNCTION("""COMPUTED_VALUE"""),". - София : Захарий Стоянов, 2015 ([София] : Миг принт). - 248 с., ISBN 978-954-09-0959-2")</f>
        <v>. - София : Захарий Стоянов, 2015 ([София] : Миг принт). - 248 с., ISBN 978-954-09-0959-2</v>
      </c>
      <c r="F939" s="10"/>
      <c r="G939" s="10"/>
      <c r="H939" s="10"/>
      <c r="I939" s="10"/>
      <c r="J939" s="10"/>
      <c r="K939" s="10"/>
      <c r="L939" s="10"/>
      <c r="M939" s="10"/>
      <c r="N939" s="10"/>
      <c r="O939" s="10"/>
      <c r="P939" s="10"/>
      <c r="Q939" s="10"/>
      <c r="R939" s="10"/>
      <c r="S939" s="10"/>
      <c r="T939" s="10"/>
      <c r="U939" s="10"/>
      <c r="V939" s="10"/>
      <c r="W939" s="10"/>
      <c r="X939" s="10"/>
      <c r="Y939" s="10"/>
      <c r="Z939" s="10"/>
    </row>
    <row r="940" spans="1:26" ht="12.75">
      <c r="A940" s="10" t="str">
        <f ca="1">IFERROR(__xludf.DUMMYFUNCTION("""COMPUTED_VALUE"""),"Ваня Чавдарова Добрева")</f>
        <v>Ваня Чавдарова Добрева</v>
      </c>
      <c r="B940" s="10" t="str">
        <f ca="1">IFERROR(__xludf.DUMMYFUNCTION("""COMPUTED_VALUE"""),"Статия в списания и поредици")</f>
        <v>Статия в списания и поредици</v>
      </c>
      <c r="C940" s="10" t="str">
        <f ca="1">IFERROR(__xludf.DUMMYFUNCTION("""COMPUTED_VALUE"""),"Автор - герой и техните означения : 200 години от смъртта на Софроний Врачански")</f>
        <v>Автор - герой и техните означения : 200 години от смъртта на Софроний Врачански</v>
      </c>
      <c r="D940" s="10">
        <f ca="1">IFERROR(__xludf.DUMMYFUNCTION("""COMPUTED_VALUE"""),2013)</f>
        <v>2013</v>
      </c>
      <c r="E940" s="10" t="str">
        <f ca="1">IFERROR(__xludf.DUMMYFUNCTION("""COMPUTED_VALUE"""),"Понеделник : списание за теория, политика и култура, 2013, № 5-6, с. 110-128. ISSN: 0861-6620")</f>
        <v>Понеделник : списание за теория, политика и култура, 2013, № 5-6, с. 110-128. ISSN: 0861-6620</v>
      </c>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c r="A941" s="10" t="str">
        <f ca="1">IFERROR(__xludf.DUMMYFUNCTION("""COMPUTED_VALUE"""),"Ваня Чавдарова Добрева")</f>
        <v>Ваня Чавдарова Добрева</v>
      </c>
      <c r="B941" s="10" t="str">
        <f ca="1">IFERROR(__xludf.DUMMYFUNCTION("""COMPUTED_VALUE"""),"Статия в списания и поредици")</f>
        <v>Статия в списания и поредици</v>
      </c>
      <c r="C941" s="10" t="str">
        <f ca="1">IFERROR(__xludf.DUMMYFUNCTION("""COMPUTED_VALUE"""),"Памет и юбилей")</f>
        <v>Памет и юбилей</v>
      </c>
      <c r="D941" s="10">
        <f ca="1">IFERROR(__xludf.DUMMYFUNCTION("""COMPUTED_VALUE"""),2011)</f>
        <v>2011</v>
      </c>
      <c r="E941" s="10" t="str">
        <f ca="1">IFERROR(__xludf.DUMMYFUNCTION("""COMPUTED_VALUE"""),"За буквите-О писменехь, бр. 35, 1 ноември 2011")</f>
        <v>За буквите-О писменехь, бр. 35, 1 ноември 2011</v>
      </c>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c r="A942" s="10" t="str">
        <f ca="1">IFERROR(__xludf.DUMMYFUNCTION("""COMPUTED_VALUE"""),"Ваня Чавдарова Добрева")</f>
        <v>Ваня Чавдарова Добрева</v>
      </c>
      <c r="B942" s="10" t="str">
        <f ca="1">IFERROR(__xludf.DUMMYFUNCTION("""COMPUTED_VALUE"""),"Статия в списания и поредици")</f>
        <v>Статия в списания и поредици</v>
      </c>
      <c r="C942" s="10" t="str">
        <f ca="1">IFERROR(__xludf.DUMMYFUNCTION("""COMPUTED_VALUE"""),"Предметът и неговата структурообразуваща роля в комедията ""Малакова""")</f>
        <v>Предметът и неговата структурообразуваща роля в комедията "Малакова"</v>
      </c>
      <c r="D942" s="10">
        <f ca="1">IFERROR(__xludf.DUMMYFUNCTION("""COMPUTED_VALUE"""),2011)</f>
        <v>2011</v>
      </c>
      <c r="E942" s="10" t="str">
        <f ca="1">IFERROR(__xludf.DUMMYFUNCTION("""COMPUTED_VALUE"""),"Балканистичен форум, 2011, №. 2 с. 137-141. ISSN: 1310-3970")</f>
        <v>Балканистичен форум, 2011, №. 2 с. 137-141. ISSN: 1310-3970</v>
      </c>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c r="A943" s="10" t="str">
        <f ca="1">IFERROR(__xludf.DUMMYFUNCTION("""COMPUTED_VALUE"""),"Ваня Чавдарова Добрева")</f>
        <v>Ваня Чавдарова Добрева</v>
      </c>
      <c r="B943" s="10" t="str">
        <f ca="1">IFERROR(__xludf.DUMMYFUNCTION("""COMPUTED_VALUE"""),"Монография")</f>
        <v>Монография</v>
      </c>
      <c r="C943" s="10" t="str">
        <f ca="1">IFERROR(__xludf.DUMMYFUNCTION("""COMPUTED_VALUE"""),"Българската възрожденска комедия.Типология и архитектоника.")</f>
        <v>Българската възрожденска комедия.Типология и архитектоника.</v>
      </c>
      <c r="D943" s="10">
        <f ca="1">IFERROR(__xludf.DUMMYFUNCTION("""COMPUTED_VALUE"""),2011)</f>
        <v>2011</v>
      </c>
      <c r="E943" s="10" t="str">
        <f ca="1">IFERROR(__xludf.DUMMYFUNCTION("""COMPUTED_VALUE"""),"София: УИ „Св.Климент Охридски”, 2011, 356 с. ISBN 978-954-07-3169-8")</f>
        <v>София: УИ „Св.Климент Охридски”, 2011, 356 с. ISBN 978-954-07-3169-8</v>
      </c>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c r="A944" s="10" t="str">
        <f ca="1">IFERROR(__xludf.DUMMYFUNCTION("""COMPUTED_VALUE"""),"Ваня Чавдарова Добрева")</f>
        <v>Ваня Чавдарова Добрева</v>
      </c>
      <c r="B944" s="10" t="str">
        <f ca="1">IFERROR(__xludf.DUMMYFUNCTION("""COMPUTED_VALUE"""),"Студия")</f>
        <v>Студия</v>
      </c>
      <c r="C944" s="10" t="str">
        <f ca="1">IFERROR(__xludf.DUMMYFUNCTION("""COMPUTED_VALUE"""),"Towards the Medieval Kinship of Bulgarian Comedy")</f>
        <v>Towards the Medieval Kinship of Bulgarian Comedy</v>
      </c>
      <c r="D944" s="10">
        <f ca="1">IFERROR(__xludf.DUMMYFUNCTION("""COMPUTED_VALUE"""),2010)</f>
        <v>2010</v>
      </c>
      <c r="E944" s="10" t="str">
        <f ca="1">IFERROR(__xludf.DUMMYFUNCTION("""COMPUTED_VALUE"""),"History ad literature. Delhi, 2010, p.15-36. ISBN-10: 8120802640 ISBN-13: 978-8120802643")</f>
        <v>History ad literature. Delhi, 2010, p.15-36. ISBN-10: 8120802640 ISBN-13: 978-8120802643</v>
      </c>
      <c r="F944" s="10"/>
      <c r="G944" s="10"/>
      <c r="H944" s="10"/>
      <c r="I944" s="10"/>
      <c r="J944" s="10"/>
      <c r="K944" s="10"/>
      <c r="L944" s="10"/>
      <c r="M944" s="10"/>
      <c r="N944" s="10"/>
      <c r="O944" s="10"/>
      <c r="P944" s="10"/>
      <c r="Q944" s="10"/>
      <c r="R944" s="10"/>
      <c r="S944" s="10"/>
      <c r="T944" s="10"/>
      <c r="U944" s="10"/>
      <c r="V944" s="10"/>
      <c r="W944" s="10"/>
      <c r="X944" s="10"/>
      <c r="Y944" s="10"/>
      <c r="Z944" s="10"/>
    </row>
    <row r="945" spans="1:26" ht="12.75">
      <c r="A945" s="10" t="str">
        <f ca="1">IFERROR(__xludf.DUMMYFUNCTION("""COMPUTED_VALUE"""),"Ваня Чавдарова Добрева")</f>
        <v>Ваня Чавдарова Добрева</v>
      </c>
      <c r="B945" s="10" t="str">
        <f ca="1">IFERROR(__xludf.DUMMYFUNCTION("""COMPUTED_VALUE"""),"Студия")</f>
        <v>Студия</v>
      </c>
      <c r="C945" s="10" t="str">
        <f ca="1">IFERROR(__xludf.DUMMYFUNCTION("""COMPUTED_VALUE"""),"Добри Войников. За изкуството на комедията.")</f>
        <v>Добри Войников. За изкуството на комедията.</v>
      </c>
      <c r="D945" s="10">
        <f ca="1">IFERROR(__xludf.DUMMYFUNCTION("""COMPUTED_VALUE"""),2009)</f>
        <v>2009</v>
      </c>
      <c r="E945" s="10" t="str">
        <f ca="1">IFERROR(__xludf.DUMMYFUNCTION("""COMPUTED_VALUE"""),"Сред текстовете и емоциите на Българското възраждане. Сборник в чест на Румяна Дамянова. Състав. Недка Капралова, Данчо Господинов. София: Изток-Запад, 2009, с. 169-180, ISBN 978-954-321-650-5")</f>
        <v>Сред текстовете и емоциите на Българското възраждане. Сборник в чест на Румяна Дамянова. Състав. Недка Капралова, Данчо Господинов. София: Изток-Запад, 2009, с. 169-180, ISBN 978-954-321-650-5</v>
      </c>
      <c r="F945" s="10"/>
      <c r="G945" s="10"/>
      <c r="H945" s="10"/>
      <c r="I945" s="10"/>
      <c r="J945" s="10"/>
      <c r="K945" s="10"/>
      <c r="L945" s="10"/>
      <c r="M945" s="10"/>
      <c r="N945" s="10"/>
      <c r="O945" s="10"/>
      <c r="P945" s="10"/>
      <c r="Q945" s="10"/>
      <c r="R945" s="10"/>
      <c r="S945" s="10"/>
      <c r="T945" s="10"/>
      <c r="U945" s="10"/>
      <c r="V945" s="10"/>
      <c r="W945" s="10"/>
      <c r="X945" s="10"/>
      <c r="Y945" s="10"/>
      <c r="Z945" s="10"/>
    </row>
    <row r="946" spans="1:26" ht="12.75">
      <c r="A946" s="10" t="str">
        <f ca="1">IFERROR(__xludf.DUMMYFUNCTION("""COMPUTED_VALUE"""),"Ваня Чавдарова Добрева")</f>
        <v>Ваня Чавдарова Добрева</v>
      </c>
      <c r="B946" s="10" t="str">
        <f ca="1">IFERROR(__xludf.DUMMYFUNCTION("""COMPUTED_VALUE"""),"Студия")</f>
        <v>Студия</v>
      </c>
      <c r="C946" s="10" t="str">
        <f ca="1">IFERROR(__xludf.DUMMYFUNCTION("""COMPUTED_VALUE"""),"Моделиране на сюжета в българската възрожденска комедия")</f>
        <v>Моделиране на сюжета в българската възрожденска комедия</v>
      </c>
      <c r="D946" s="10">
        <f ca="1">IFERROR(__xludf.DUMMYFUNCTION("""COMPUTED_VALUE"""),2009)</f>
        <v>2009</v>
      </c>
      <c r="E946" s="10" t="str">
        <f ca="1">IFERROR(__xludf.DUMMYFUNCTION("""COMPUTED_VALUE"""),"Везни, 2009, бр.7/8,с.83-106; с.75-104., ISSN 0861-606X")</f>
        <v>Везни, 2009, бр.7/8,с.83-106; с.75-104., ISSN 0861-606X</v>
      </c>
      <c r="F946" s="10"/>
      <c r="G946" s="10"/>
      <c r="H946" s="10"/>
      <c r="I946" s="10"/>
      <c r="J946" s="10"/>
      <c r="K946" s="10"/>
      <c r="L946" s="10"/>
      <c r="M946" s="10"/>
      <c r="N946" s="10"/>
      <c r="O946" s="10"/>
      <c r="P946" s="10"/>
      <c r="Q946" s="10"/>
      <c r="R946" s="10"/>
      <c r="S946" s="10"/>
      <c r="T946" s="10"/>
      <c r="U946" s="10"/>
      <c r="V946" s="10"/>
      <c r="W946" s="10"/>
      <c r="X946" s="10"/>
      <c r="Y946" s="10"/>
      <c r="Z946" s="10"/>
    </row>
    <row r="947" spans="1:26" ht="12.75">
      <c r="A947" s="10" t="str">
        <f ca="1">IFERROR(__xludf.DUMMYFUNCTION("""COMPUTED_VALUE"""),"Ваня Чавдарова Добрева")</f>
        <v>Ваня Чавдарова Добрева</v>
      </c>
      <c r="B947" s="10" t="str">
        <f ca="1">IFERROR(__xludf.DUMMYFUNCTION("""COMPUTED_VALUE"""),"Статия в списания и поредици")</f>
        <v>Статия в списания и поредици</v>
      </c>
      <c r="C947" s="10" t="str">
        <f ca="1">IFERROR(__xludf.DUMMYFUNCTION("""COMPUTED_VALUE"""),"За жанровете от ""покрайнините"" на литературата.")</f>
        <v>За жанровете от "покрайнините" на литературата.</v>
      </c>
      <c r="D947" s="10">
        <f ca="1">IFERROR(__xludf.DUMMYFUNCTION("""COMPUTED_VALUE"""),2007)</f>
        <v>2007</v>
      </c>
      <c r="E947" s="10" t="str">
        <f ca="1">IFERROR(__xludf.DUMMYFUNCTION("""COMPUTED_VALUE"""),"Език и литература, София, 2007, 3, с.312-315., ISSN 0323–9519 (Print)")</f>
        <v>Език и литература, София, 2007, 3, с.312-315., ISSN 0323–9519 (Print)</v>
      </c>
      <c r="F947" s="10"/>
      <c r="G947" s="10"/>
      <c r="H947" s="10"/>
      <c r="I947" s="10"/>
      <c r="J947" s="10"/>
      <c r="K947" s="10"/>
      <c r="L947" s="10"/>
      <c r="M947" s="10"/>
      <c r="N947" s="10"/>
      <c r="O947" s="10"/>
      <c r="P947" s="10"/>
      <c r="Q947" s="10"/>
      <c r="R947" s="10"/>
      <c r="S947" s="10"/>
      <c r="T947" s="10"/>
      <c r="U947" s="10"/>
      <c r="V947" s="10"/>
      <c r="W947" s="10"/>
      <c r="X947" s="10"/>
      <c r="Y947" s="10"/>
      <c r="Z947" s="10"/>
    </row>
    <row r="948" spans="1:26" ht="12.75">
      <c r="A948" s="10" t="str">
        <f ca="1">IFERROR(__xludf.DUMMYFUNCTION("""COMPUTED_VALUE"""),"Ваня Чавдарова Добрева")</f>
        <v>Ваня Чавдарова Добрева</v>
      </c>
      <c r="B948" s="10" t="str">
        <f ca="1">IFERROR(__xludf.DUMMYFUNCTION("""COMPUTED_VALUE"""),"Статия в списания и поредици")</f>
        <v>Статия в списания и поредици</v>
      </c>
      <c r="C948" s="10" t="str">
        <f ca="1">IFERROR(__xludf.DUMMYFUNCTION("""COMPUTED_VALUE"""),"За националното име в неговия възрожденски контекст.")</f>
        <v>За националното име в неговия възрожденски контекст.</v>
      </c>
      <c r="D948" s="10">
        <f ca="1">IFERROR(__xludf.DUMMYFUNCTION("""COMPUTED_VALUE"""),2006)</f>
        <v>2006</v>
      </c>
      <c r="E948" s="10" t="str">
        <f ca="1">IFERROR(__xludf.DUMMYFUNCTION("""COMPUTED_VALUE"""),"Език и литература, София, 2006, 1-2, с.280-283, ISSN 0323–9519 (Print)")</f>
        <v>Език и литература, София, 2006, 1-2, с.280-283, ISSN 0323–9519 (Print)</v>
      </c>
      <c r="F948" s="10"/>
      <c r="G948" s="10"/>
      <c r="H948" s="10"/>
      <c r="I948" s="10"/>
      <c r="J948" s="10"/>
      <c r="K948" s="10"/>
      <c r="L948" s="10"/>
      <c r="M948" s="10"/>
      <c r="N948" s="10"/>
      <c r="O948" s="10"/>
      <c r="P948" s="10"/>
      <c r="Q948" s="10"/>
      <c r="R948" s="10"/>
      <c r="S948" s="10"/>
      <c r="T948" s="10"/>
      <c r="U948" s="10"/>
      <c r="V948" s="10"/>
      <c r="W948" s="10"/>
      <c r="X948" s="10"/>
      <c r="Y948" s="10"/>
      <c r="Z948" s="10"/>
    </row>
    <row r="949" spans="1:26" ht="12.75">
      <c r="A949" s="10" t="str">
        <f ca="1">IFERROR(__xludf.DUMMYFUNCTION("""COMPUTED_VALUE"""),"Ваня Чавдарова Добрева")</f>
        <v>Ваня Чавдарова Добрева</v>
      </c>
      <c r="B949" s="10" t="str">
        <f ca="1">IFERROR(__xludf.DUMMYFUNCTION("""COMPUTED_VALUE"""),"Статия в списания и поредици")</f>
        <v>Статия в списания и поредици</v>
      </c>
      <c r="C949" s="10" t="str">
        <f ca="1">IFERROR(__xludf.DUMMYFUNCTION("""COMPUTED_VALUE"""),"Българското възраждане – поведенчески нагласи и културни практики.")</f>
        <v>Българското възраждане – поведенчески нагласи и културни практики.</v>
      </c>
      <c r="D949" s="10">
        <f ca="1">IFERROR(__xludf.DUMMYFUNCTION("""COMPUTED_VALUE"""),2005)</f>
        <v>2005</v>
      </c>
      <c r="E949" s="10" t="str">
        <f ca="1">IFERROR(__xludf.DUMMYFUNCTION("""COMPUTED_VALUE"""),"Език и литература, София, 2005, 1-2, с.315-319, ISSN 0323–9519 (Print)")</f>
        <v>Език и литература, София, 2005, 1-2, с.315-319, ISSN 0323–9519 (Print)</v>
      </c>
      <c r="F949" s="10"/>
      <c r="G949" s="10"/>
      <c r="H949" s="10"/>
      <c r="I949" s="10"/>
      <c r="J949" s="10"/>
      <c r="K949" s="10"/>
      <c r="L949" s="10"/>
      <c r="M949" s="10"/>
      <c r="N949" s="10"/>
      <c r="O949" s="10"/>
      <c r="P949" s="10"/>
      <c r="Q949" s="10"/>
      <c r="R949" s="10"/>
      <c r="S949" s="10"/>
      <c r="T949" s="10"/>
      <c r="U949" s="10"/>
      <c r="V949" s="10"/>
      <c r="W949" s="10"/>
      <c r="X949" s="10"/>
      <c r="Y949" s="10"/>
      <c r="Z949" s="10"/>
    </row>
    <row r="950" spans="1:26" ht="12.75">
      <c r="A950" s="10" t="str">
        <f ca="1">IFERROR(__xludf.DUMMYFUNCTION("""COMPUTED_VALUE"""),"Ваня Чавдарова Добрева")</f>
        <v>Ваня Чавдарова Добрева</v>
      </c>
      <c r="B950" s="10" t="str">
        <f ca="1">IFERROR(__xludf.DUMMYFUNCTION("""COMPUTED_VALUE"""),"Статия в списания и поредици")</f>
        <v>Статия в списания и поредици</v>
      </c>
      <c r="C950" s="10" t="str">
        <f ca="1">IFERROR(__xludf.DUMMYFUNCTION("""COMPUTED_VALUE"""),"""Ловченскийт владика"" – между битова приказка и новелистика.")</f>
        <v>"Ловченскийт владика" – между битова приказка и новелистика.</v>
      </c>
      <c r="D950" s="10">
        <f ca="1">IFERROR(__xludf.DUMMYFUNCTION("""COMPUTED_VALUE"""),2005)</f>
        <v>2005</v>
      </c>
      <c r="E950" s="10" t="str">
        <f ca="1">IFERROR(__xludf.DUMMYFUNCTION("""COMPUTED_VALUE"""),"Класика и литературна история : Науч. сб. в чест на проф. Любомир Стаматов / Състав. Цветан Ракьовски ; Ред. кол. Роман Хаджикосев - отг. ред. и др. - Благоевград : Унив. изд. Неофит Рилски, 2005, с. 346-351. ISBN 954-680-371-5")</f>
        <v>Класика и литературна история : Науч. сб. в чест на проф. Любомир Стаматов / Състав. Цветан Ракьовски ; Ред. кол. Роман Хаджикосев - отг. ред. и др. - Благоевград : Унив. изд. Неофит Рилски, 2005, с. 346-351. ISBN 954-680-371-5</v>
      </c>
      <c r="F950" s="10"/>
      <c r="G950" s="10"/>
      <c r="H950" s="10"/>
      <c r="I950" s="10"/>
      <c r="J950" s="10"/>
      <c r="K950" s="10"/>
      <c r="L950" s="10"/>
      <c r="M950" s="10"/>
      <c r="N950" s="10"/>
      <c r="O950" s="10"/>
      <c r="P950" s="10"/>
      <c r="Q950" s="10"/>
      <c r="R950" s="10"/>
      <c r="S950" s="10"/>
      <c r="T950" s="10"/>
      <c r="U950" s="10"/>
      <c r="V950" s="10"/>
      <c r="W950" s="10"/>
      <c r="X950" s="10"/>
      <c r="Y950" s="10"/>
      <c r="Z950" s="10"/>
    </row>
    <row r="951" spans="1:26" ht="12.75">
      <c r="A951" s="10" t="str">
        <f ca="1">IFERROR(__xludf.DUMMYFUNCTION("""COMPUTED_VALUE"""),"Ваня Чавдарова Добрева")</f>
        <v>Ваня Чавдарова Добрева</v>
      </c>
      <c r="B951" s="10" t="str">
        <f ca="1">IFERROR(__xludf.DUMMYFUNCTION("""COMPUTED_VALUE"""),"Статия в списания и поредици")</f>
        <v>Статия в списания и поредици</v>
      </c>
      <c r="C951" s="10" t="str">
        <f ca="1">IFERROR(__xludf.DUMMYFUNCTION("""COMPUTED_VALUE"""),"Комедията “Чорбаджията” в контекста на преход от традиционното към ново значение")</f>
        <v>Комедията “Чорбаджията” в контекста на преход от традиционното към ново значение</v>
      </c>
      <c r="D951" s="10">
        <f ca="1">IFERROR(__xludf.DUMMYFUNCTION("""COMPUTED_VALUE"""),2004)</f>
        <v>2004</v>
      </c>
      <c r="E951" s="10" t="str">
        <f ca="1">IFERROR(__xludf.DUMMYFUNCTION("""COMPUTED_VALUE"""),"Годишник на Филологическия факултет. Югозападен университет ""Неофит Рилски"", Благоевград, 2004, т. 2, с. 250-255. ISSN 1312-0492")</f>
        <v>Годишник на Филологическия факултет. Югозападен университет "Неофит Рилски", Благоевград, 2004, т. 2, с. 250-255. ISSN 1312-0492</v>
      </c>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c r="A952" s="10" t="str">
        <f ca="1">IFERROR(__xludf.DUMMYFUNCTION("""COMPUTED_VALUE"""),"Ваня Чавдарова Добрева")</f>
        <v>Ваня Чавдарова Добрева</v>
      </c>
      <c r="B952" s="10" t="str">
        <f ca="1">IFERROR(__xludf.DUMMYFUNCTION("""COMPUTED_VALUE"""),"Статия в списания и поредици")</f>
        <v>Статия в списания и поредици</v>
      </c>
      <c r="C952" s="10" t="str">
        <f ca="1">IFERROR(__xludf.DUMMYFUNCTION("""COMPUTED_VALUE"""),"Международен конгрес по балканистика")</f>
        <v>Международен конгрес по балканистика</v>
      </c>
      <c r="D952" s="10">
        <f ca="1">IFERROR(__xludf.DUMMYFUNCTION("""COMPUTED_VALUE"""),2004)</f>
        <v>2004</v>
      </c>
      <c r="E952" s="10" t="str">
        <f ca="1">IFERROR(__xludf.DUMMYFUNCTION("""COMPUTED_VALUE"""),"Електронно списание LiterNet, 28.09.2004, № 9 (58) (https://liternet.bg/publish13/v_dobreva/balkanistika.htm) ISSN 1312-2282")</f>
        <v>Електронно списание LiterNet, 28.09.2004, № 9 (58) (https://liternet.bg/publish13/v_dobreva/balkanistika.htm) ISSN 1312-2282</v>
      </c>
      <c r="F952" s="10"/>
      <c r="G952" s="10"/>
      <c r="H952" s="10"/>
      <c r="I952" s="10"/>
      <c r="J952" s="10"/>
      <c r="K952" s="10"/>
      <c r="L952" s="10"/>
      <c r="M952" s="10"/>
      <c r="N952" s="10"/>
      <c r="O952" s="10"/>
      <c r="P952" s="10"/>
      <c r="Q952" s="10"/>
      <c r="R952" s="10"/>
      <c r="S952" s="10"/>
      <c r="T952" s="10"/>
      <c r="U952" s="10"/>
      <c r="V952" s="10"/>
      <c r="W952" s="10"/>
      <c r="X952" s="10"/>
      <c r="Y952" s="10"/>
      <c r="Z952" s="10"/>
    </row>
    <row r="953" spans="1:26" ht="12.75">
      <c r="A953" s="10" t="str">
        <f ca="1">IFERROR(__xludf.DUMMYFUNCTION("""COMPUTED_VALUE"""),"Ваня Чавдарова Добрева")</f>
        <v>Ваня Чавдарова Добрева</v>
      </c>
      <c r="B953" s="10" t="str">
        <f ca="1">IFERROR(__xludf.DUMMYFUNCTION("""COMPUTED_VALUE"""),"Статия в списания и поредици")</f>
        <v>Статия в списания и поредици</v>
      </c>
      <c r="C953" s="10" t="str">
        <f ca="1">IFERROR(__xludf.DUMMYFUNCTION("""COMPUTED_VALUE"""),"Със знаците на модерността за модерността")</f>
        <v>Със знаците на модерността за модерността</v>
      </c>
      <c r="D953" s="10">
        <f ca="1">IFERROR(__xludf.DUMMYFUNCTION("""COMPUTED_VALUE"""),2003)</f>
        <v>2003</v>
      </c>
      <c r="E953" s="10" t="str">
        <f ca="1">IFERROR(__xludf.DUMMYFUNCTION("""COMPUTED_VALUE"""),"Балканистичен форум : Mеждународен университетски семинар за балканистични проучвания и специализации при Югозападен университет ""Неофит Рилски"" – Благоевград, 2003, № 1. 248-252. ISSN 1310-3970.")</f>
        <v>Балканистичен форум : Mеждународен университетски семинар за балканистични проучвания и специализации при Югозападен университет "Неофит Рилски" – Благоевград, 2003, № 1. 248-252. ISSN 1310-3970.</v>
      </c>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c r="A954" s="10" t="str">
        <f ca="1">IFERROR(__xludf.DUMMYFUNCTION("""COMPUTED_VALUE"""),"Ваня Чавдарова Добрева")</f>
        <v>Ваня Чавдарова Добрева</v>
      </c>
      <c r="B954" s="10" t="str">
        <f ca="1">IFERROR(__xludf.DUMMYFUNCTION("""COMPUTED_VALUE"""),"Статия в списания и поредици")</f>
        <v>Статия в списания и поредици</v>
      </c>
      <c r="C954" s="10" t="str">
        <f ca="1">IFERROR(__xludf.DUMMYFUNCTION("""COMPUTED_VALUE"""),"Към изобразителната система на комедията “Михал”. - В: Словесност и литература")</f>
        <v>Към изобразителната система на комедията “Михал”. - В: Словесност и литература</v>
      </c>
      <c r="D954" s="10">
        <f ca="1">IFERROR(__xludf.DUMMYFUNCTION("""COMPUTED_VALUE"""),2003)</f>
        <v>2003</v>
      </c>
      <c r="E954" s="10" t="str">
        <f ca="1">IFERROR(__xludf.DUMMYFUNCTION("""COMPUTED_VALUE"""),"Словесност и литература : Юбил. сб. в чест на 60-год. на проф. дфн Енчо Мутафов / Състав., [предг.] Цветан Ракьовски. - Благоевград : Унив. изд. Неофит Рилски, 2003, с. 132-135. ISBN 954-680-282-4")</f>
        <v>Словесност и литература : Юбил. сб. в чест на 60-год. на проф. дфн Енчо Мутафов / Състав., [предг.] Цветан Ракьовски. - Благоевград : Унив. изд. Неофит Рилски, 2003, с. 132-135. ISBN 954-680-282-4</v>
      </c>
      <c r="F954" s="10"/>
      <c r="G954" s="10"/>
      <c r="H954" s="10"/>
      <c r="I954" s="10"/>
      <c r="J954" s="10"/>
      <c r="K954" s="10"/>
      <c r="L954" s="10"/>
      <c r="M954" s="10"/>
      <c r="N954" s="10"/>
      <c r="O954" s="10"/>
      <c r="P954" s="10"/>
      <c r="Q954" s="10"/>
      <c r="R954" s="10"/>
      <c r="S954" s="10"/>
      <c r="T954" s="10"/>
      <c r="U954" s="10"/>
      <c r="V954" s="10"/>
      <c r="W954" s="10"/>
      <c r="X954" s="10"/>
      <c r="Y954" s="10"/>
      <c r="Z954" s="10"/>
    </row>
    <row r="955" spans="1:26" ht="12.75">
      <c r="A955" s="10" t="str">
        <f ca="1">IFERROR(__xludf.DUMMYFUNCTION("""COMPUTED_VALUE"""),"Ваня Чавдарова Добрева")</f>
        <v>Ваня Чавдарова Добрева</v>
      </c>
      <c r="B955" s="10" t="str">
        <f ca="1">IFERROR(__xludf.DUMMYFUNCTION("""COMPUTED_VALUE"""),"Статия в списания и поредици")</f>
        <v>Статия в списания и поредици</v>
      </c>
      <c r="C955" s="10" t="str">
        <f ca="1">IFERROR(__xludf.DUMMYFUNCTION("""COMPUTED_VALUE"""),"Автор-герой и техните означения в „Житие и страдание грешнаго Софрония")</f>
        <v>Автор-герой и техните означения в „Житие и страдание грешнаго Софрония</v>
      </c>
      <c r="D955" s="10">
        <f ca="1">IFERROR(__xludf.DUMMYFUNCTION("""COMPUTED_VALUE"""),2002)</f>
        <v>2002</v>
      </c>
      <c r="E955" s="10" t="str">
        <f ca="1">IFERROR(__xludf.DUMMYFUNCTION("""COMPUTED_VALUE"""),"Научни доклади и съобщения от конференцията, посветена на десетгодишнината на Филологическия факултет и на Европейската година на езиците. Благоевград, 2002,с.194-201. ISBN 954-680-218-2")</f>
        <v>Научни доклади и съобщения от конференцията, посветена на десетгодишнината на Филологическия факултет и на Европейската година на езиците. Благоевград, 2002,с.194-201. ISBN 954-680-218-2</v>
      </c>
      <c r="F955" s="10"/>
      <c r="G955" s="10"/>
      <c r="H955" s="10"/>
      <c r="I955" s="10"/>
      <c r="J955" s="10"/>
      <c r="K955" s="10"/>
      <c r="L955" s="10"/>
      <c r="M955" s="10"/>
      <c r="N955" s="10"/>
      <c r="O955" s="10"/>
      <c r="P955" s="10"/>
      <c r="Q955" s="10"/>
      <c r="R955" s="10"/>
      <c r="S955" s="10"/>
      <c r="T955" s="10"/>
      <c r="U955" s="10"/>
      <c r="V955" s="10"/>
      <c r="W955" s="10"/>
      <c r="X955" s="10"/>
      <c r="Y955" s="10"/>
      <c r="Z955" s="10"/>
    </row>
    <row r="956" spans="1:26" ht="12.75">
      <c r="A956" s="10" t="str">
        <f ca="1">IFERROR(__xludf.DUMMYFUNCTION("""COMPUTED_VALUE"""),"Ваня Чавдарова Добрева")</f>
        <v>Ваня Чавдарова Добрева</v>
      </c>
      <c r="B956" s="10" t="str">
        <f ca="1">IFERROR(__xludf.DUMMYFUNCTION("""COMPUTED_VALUE"""),"Статия в списания и поредици")</f>
        <v>Статия в списания и поредици</v>
      </c>
      <c r="C956" s="10" t="str">
        <f ca="1">IFERROR(__xludf.DUMMYFUNCTION("""COMPUTED_VALUE"""),"Триумф и поражение в българската възрожденската историческа драма")</f>
        <v>Триумф и поражение в българската възрожденската историческа драма</v>
      </c>
      <c r="D956" s="10">
        <f ca="1">IFERROR(__xludf.DUMMYFUNCTION("""COMPUTED_VALUE"""),2001)</f>
        <v>2001</v>
      </c>
      <c r="E956" s="10" t="str">
        <f ca="1">IFERROR(__xludf.DUMMYFUNCTION("""COMPUTED_VALUE"""),"Балканистичен форум : Mеждународен университетски семинар за балканистични проучвания и специализации при Югозападен университет ""Неофит Рилски"" – Благоевград, 2003, год. 10, бр. 1-3 с. 434-443 ISSN 1310-3970")</f>
        <v>Балканистичен форум : Mеждународен университетски семинар за балканистични проучвания и специализации при Югозападен университет "Неофит Рилски" – Благоевград, 2003, год. 10, бр. 1-3 с. 434-443 ISSN 1310-3970</v>
      </c>
      <c r="F956" s="10"/>
      <c r="G956" s="10"/>
      <c r="H956" s="10"/>
      <c r="I956" s="10"/>
      <c r="J956" s="10"/>
      <c r="K956" s="10"/>
      <c r="L956" s="10"/>
      <c r="M956" s="10"/>
      <c r="N956" s="10"/>
      <c r="O956" s="10"/>
      <c r="P956" s="10"/>
      <c r="Q956" s="10"/>
      <c r="R956" s="10"/>
      <c r="S956" s="10"/>
      <c r="T956" s="10"/>
      <c r="U956" s="10"/>
      <c r="V956" s="10"/>
      <c r="W956" s="10"/>
      <c r="X956" s="10"/>
      <c r="Y956" s="10"/>
      <c r="Z956" s="10"/>
    </row>
    <row r="957" spans="1:26" ht="12.75">
      <c r="A957" s="10" t="str">
        <f ca="1">IFERROR(__xludf.DUMMYFUNCTION("""COMPUTED_VALUE"""),"Ваня Чавдарова Добрева")</f>
        <v>Ваня Чавдарова Добрева</v>
      </c>
      <c r="B957" s="10" t="str">
        <f ca="1">IFERROR(__xludf.DUMMYFUNCTION("""COMPUTED_VALUE"""),"Статия в списания и поредици")</f>
        <v>Статия в списания и поредици</v>
      </c>
      <c r="C957" s="10" t="str">
        <f ca="1">IFERROR(__xludf.DUMMYFUNCTION("""COMPUTED_VALUE"""),"Образът на героя в “Алексиада” на Анна Комнина")</f>
        <v>Образът на героя в “Алексиада” на Анна Комнина</v>
      </c>
      <c r="D957" s="10">
        <f ca="1">IFERROR(__xludf.DUMMYFUNCTION("""COMPUTED_VALUE"""),2001)</f>
        <v>2001</v>
      </c>
      <c r="E957" s="10" t="str">
        <f ca="1">IFERROR(__xludf.DUMMYFUNCTION("""COMPUTED_VALUE"""),"Тя на Балканите. Сб. състав. и ред. Е. Тачева и И. Недин// Благоевград, Международен Балканистичен семинар, 2001")</f>
        <v>Тя на Балканите. Сб. състав. и ред. Е. Тачева и И. Недин// Благоевград, Международен Балканистичен семинар, 2001</v>
      </c>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c r="A958" s="10" t="str">
        <f ca="1">IFERROR(__xludf.DUMMYFUNCTION("""COMPUTED_VALUE"""),"Ваня Чавдарова Добрева")</f>
        <v>Ваня Чавдарова Добрева</v>
      </c>
      <c r="B958" s="10" t="str">
        <f ca="1">IFERROR(__xludf.DUMMYFUNCTION("""COMPUTED_VALUE"""),"Статия в списания и поредици")</f>
        <v>Статия в списания и поредици</v>
      </c>
      <c r="C958" s="10" t="str">
        <f ca="1">IFERROR(__xludf.DUMMYFUNCTION("""COMPUTED_VALUE"""),"Историческа драматургия.")</f>
        <v>Историческа драматургия.</v>
      </c>
      <c r="D958" s="10">
        <f ca="1">IFERROR(__xludf.DUMMYFUNCTION("""COMPUTED_VALUE"""),2000)</f>
        <v>2000</v>
      </c>
      <c r="E958" s="10" t="str">
        <f ca="1">IFERROR(__xludf.DUMMYFUNCTION("""COMPUTED_VALUE"""),"Български писател (юбилеен) // 21.06.2000, № 23")</f>
        <v>Български писател (юбилеен) // 21.06.2000, № 23</v>
      </c>
      <c r="F958" s="10"/>
      <c r="G958" s="10"/>
      <c r="H958" s="10"/>
      <c r="I958" s="10"/>
      <c r="J958" s="10"/>
      <c r="K958" s="10"/>
      <c r="L958" s="10"/>
      <c r="M958" s="10"/>
      <c r="N958" s="10"/>
      <c r="O958" s="10"/>
      <c r="P958" s="10"/>
      <c r="Q958" s="10"/>
      <c r="R958" s="10"/>
      <c r="S958" s="10"/>
      <c r="T958" s="10"/>
      <c r="U958" s="10"/>
      <c r="V958" s="10"/>
      <c r="W958" s="10"/>
      <c r="X958" s="10"/>
      <c r="Y958" s="10"/>
      <c r="Z958" s="10"/>
    </row>
    <row r="959" spans="1:26" ht="12.75">
      <c r="A959" s="10" t="str">
        <f ca="1">IFERROR(__xludf.DUMMYFUNCTION("""COMPUTED_VALUE"""),"Ваня Чавдарова Добрева")</f>
        <v>Ваня Чавдарова Добрева</v>
      </c>
      <c r="B959" s="10" t="str">
        <f ca="1">IFERROR(__xludf.DUMMYFUNCTION("""COMPUTED_VALUE"""),"Статия в списания и поредици")</f>
        <v>Статия в списания и поредици</v>
      </c>
      <c r="C959" s="10" t="str">
        <f ca="1">IFERROR(__xludf.DUMMYFUNCTION("""COMPUTED_VALUE"""),"Автор - герой в Житието на Софроний.")</f>
        <v>Автор - герой в Житието на Софроний.</v>
      </c>
      <c r="D959" s="10">
        <f ca="1">IFERROR(__xludf.DUMMYFUNCTION("""COMPUTED_VALUE"""),2000)</f>
        <v>2000</v>
      </c>
      <c r="E959" s="10" t="str">
        <f ca="1">IFERROR(__xludf.DUMMYFUNCTION("""COMPUTED_VALUE"""),"Български писател (юбилеен)// 29.02.2000, № 8.")</f>
        <v>Български писател (юбилеен)// 29.02.2000, № 8.</v>
      </c>
      <c r="F959" s="10"/>
      <c r="G959" s="10"/>
      <c r="H959" s="10"/>
      <c r="I959" s="10"/>
      <c r="J959" s="10"/>
      <c r="K959" s="10"/>
      <c r="L959" s="10"/>
      <c r="M959" s="10"/>
      <c r="N959" s="10"/>
      <c r="O959" s="10"/>
      <c r="P959" s="10"/>
      <c r="Q959" s="10"/>
      <c r="R959" s="10"/>
      <c r="S959" s="10"/>
      <c r="T959" s="10"/>
      <c r="U959" s="10"/>
      <c r="V959" s="10"/>
      <c r="W959" s="10"/>
      <c r="X959" s="10"/>
      <c r="Y959" s="10"/>
      <c r="Z959" s="10"/>
    </row>
    <row r="960" spans="1:26" ht="12.75">
      <c r="A960" s="10" t="str">
        <f ca="1">IFERROR(__xludf.DUMMYFUNCTION("""COMPUTED_VALUE"""),"Ваня Чавдарова Добрева")</f>
        <v>Ваня Чавдарова Добрева</v>
      </c>
      <c r="B960" s="10" t="str">
        <f ca="1">IFERROR(__xludf.DUMMYFUNCTION("""COMPUTED_VALUE"""),"Студия")</f>
        <v>Студия</v>
      </c>
      <c r="C960" s="10" t="str">
        <f ca="1">IFERROR(__xludf.DUMMYFUNCTION("""COMPUTED_VALUE"""),"Иконичният образ")</f>
        <v>Иконичният образ</v>
      </c>
      <c r="D960" s="10">
        <f ca="1">IFERROR(__xludf.DUMMYFUNCTION("""COMPUTED_VALUE"""),1998)</f>
        <v>1998</v>
      </c>
      <c r="E960" s="10" t="str">
        <f ca="1">IFERROR(__xludf.DUMMYFUNCTION("""COMPUTED_VALUE"""),"Българската мяра в литературата : сборник със статии. / идея и общ. ред. Енчо Мутафов. - София: Български писател, 1998, Т. &lt;1-3&gt; ISBN 954-443-325-2 (бр. 1) ISBN 954-443-350-3 (бр. 2) ISBN 954-443-372-4 (бр. 3)")</f>
        <v>Българската мяра в литературата : сборник със статии. / идея и общ. ред. Енчо Мутафов. - София: Български писател, 1998, Т. &lt;1-3&gt; ISBN 954-443-325-2 (бр. 1) ISBN 954-443-350-3 (бр. 2) ISBN 954-443-372-4 (бр. 3)</v>
      </c>
      <c r="F960" s="10"/>
      <c r="G960" s="10"/>
      <c r="H960" s="10"/>
      <c r="I960" s="10"/>
      <c r="J960" s="10"/>
      <c r="K960" s="10"/>
      <c r="L960" s="10"/>
      <c r="M960" s="10"/>
      <c r="N960" s="10"/>
      <c r="O960" s="10"/>
      <c r="P960" s="10"/>
      <c r="Q960" s="10"/>
      <c r="R960" s="10"/>
      <c r="S960" s="10"/>
      <c r="T960" s="10"/>
      <c r="U960" s="10"/>
      <c r="V960" s="10"/>
      <c r="W960" s="10"/>
      <c r="X960" s="10"/>
      <c r="Y960" s="10"/>
      <c r="Z960" s="10"/>
    </row>
    <row r="961" spans="1:26" ht="12.75">
      <c r="A961" s="10" t="str">
        <f ca="1">IFERROR(__xludf.DUMMYFUNCTION("""COMPUTED_VALUE"""),"Ваня Чавдарова Добрева")</f>
        <v>Ваня Чавдарова Добрева</v>
      </c>
      <c r="B961" s="10" t="str">
        <f ca="1">IFERROR(__xludf.DUMMYFUNCTION("""COMPUTED_VALUE"""),"Книга")</f>
        <v>Книга</v>
      </c>
      <c r="C961" s="10" t="str">
        <f ca="1">IFERROR(__xludf.DUMMYFUNCTION("""COMPUTED_VALUE"""),"Възрожденска историческа драма.")</f>
        <v>Възрожденска историческа драма.</v>
      </c>
      <c r="D961" s="10">
        <f ca="1">IFERROR(__xludf.DUMMYFUNCTION("""COMPUTED_VALUE"""),1997)</f>
        <v>1997</v>
      </c>
      <c r="E961" s="10" t="str">
        <f ca="1">IFERROR(__xludf.DUMMYFUNCTION("""COMPUTED_VALUE"""),". София: Гал-Ико,1997")</f>
        <v>. София: Гал-Ико,1997</v>
      </c>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c r="A962" s="10" t="str">
        <f ca="1">IFERROR(__xludf.DUMMYFUNCTION("""COMPUTED_VALUE"""),"Ваня Чавдарова Добрева")</f>
        <v>Ваня Чавдарова Добрева</v>
      </c>
      <c r="B962" s="10" t="str">
        <f ca="1">IFERROR(__xludf.DUMMYFUNCTION("""COMPUTED_VALUE"""),"Студия")</f>
        <v>Студия</v>
      </c>
      <c r="C962" s="10" t="str">
        <f ca="1">IFERROR(__xludf.DUMMYFUNCTION("""COMPUTED_VALUE"""),"Български като образ и подобие. Драматургично-сценичната еволюция на възрожденската драматургия")</f>
        <v>Български като образ и подобие. Драматургично-сценичната еволюция на възрожденската драматургия</v>
      </c>
      <c r="D962" s="10">
        <f ca="1">IFERROR(__xludf.DUMMYFUNCTION("""COMPUTED_VALUE"""),1997)</f>
        <v>1997</v>
      </c>
      <c r="E962" s="10" t="str">
        <f ca="1">IFERROR(__xludf.DUMMYFUNCTION("""COMPUTED_VALUE"""),"Възрожденска историческа драма. София, Гал-Ико, 1997")</f>
        <v>Възрожденска историческа драма. София, Гал-Ико, 1997</v>
      </c>
      <c r="F962" s="10"/>
      <c r="G962" s="10"/>
      <c r="H962" s="10"/>
      <c r="I962" s="10"/>
      <c r="J962" s="10"/>
      <c r="K962" s="10"/>
      <c r="L962" s="10"/>
      <c r="M962" s="10"/>
      <c r="N962" s="10"/>
      <c r="O962" s="10"/>
      <c r="P962" s="10"/>
      <c r="Q962" s="10"/>
      <c r="R962" s="10"/>
      <c r="S962" s="10"/>
      <c r="T962" s="10"/>
      <c r="U962" s="10"/>
      <c r="V962" s="10"/>
      <c r="W962" s="10"/>
      <c r="X962" s="10"/>
      <c r="Y962" s="10"/>
      <c r="Z962" s="10"/>
    </row>
    <row r="963" spans="1:26" ht="12.75">
      <c r="A963" s="10" t="str">
        <f ca="1">IFERROR(__xludf.DUMMYFUNCTION("""COMPUTED_VALUE"""),"Ваня Чавдарова Добрева")</f>
        <v>Ваня Чавдарова Добрева</v>
      </c>
      <c r="B963" s="10" t="str">
        <f ca="1">IFERROR(__xludf.DUMMYFUNCTION("""COMPUTED_VALUE"""),"Студия")</f>
        <v>Студия</v>
      </c>
      <c r="C963" s="10" t="str">
        <f ca="1">IFERROR(__xludf.DUMMYFUNCTION("""COMPUTED_VALUE"""),"Подстъпи в изграждането на героя във Вазовата историческа драматургия в контекста на възрожденската традици")</f>
        <v>Подстъпи в изграждането на героя във Вазовата историческа драматургия в контекста на възрожденската традици</v>
      </c>
      <c r="D963" s="10">
        <f ca="1">IFERROR(__xludf.DUMMYFUNCTION("""COMPUTED_VALUE"""),1997)</f>
        <v>1997</v>
      </c>
      <c r="E963" s="10" t="str">
        <f ca="1">IFERROR(__xludf.DUMMYFUNCTION("""COMPUTED_VALUE"""),"Млади изкуствоведи. - София: Арткооп, 1997, 40-63 – ISSN C607-9695. - 0861-1548.")</f>
        <v>Млади изкуствоведи. - София: Арткооп, 1997, 40-63 – ISSN C607-9695. - 0861-1548.</v>
      </c>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c r="A964" s="10" t="str">
        <f ca="1">IFERROR(__xludf.DUMMYFUNCTION("""COMPUTED_VALUE"""),"Ваня Чавдарова Добрева")</f>
        <v>Ваня Чавдарова Добрева</v>
      </c>
      <c r="B964" s="10" t="str">
        <f ca="1">IFERROR(__xludf.DUMMYFUNCTION("""COMPUTED_VALUE"""),"Монография")</f>
        <v>Монография</v>
      </c>
      <c r="C964" s="10" t="str">
        <f ca="1">IFERROR(__xludf.DUMMYFUNCTION("""COMPUTED_VALUE"""),"Технология на историческата драма (Войников – Друмев – Вазов)")</f>
        <v>Технология на историческата драма (Войников – Друмев – Вазов)</v>
      </c>
      <c r="D964" s="10">
        <f ca="1">IFERROR(__xludf.DUMMYFUNCTION("""COMPUTED_VALUE"""),1997)</f>
        <v>1997</v>
      </c>
      <c r="E964" s="10" t="str">
        <f ca="1">IFERROR(__xludf.DUMMYFUNCTION("""COMPUTED_VALUE"""),"София, Гал-Ико, 1997, 216 с. без ISBN")</f>
        <v>София, Гал-Ико, 1997, 216 с. без ISBN</v>
      </c>
      <c r="F964" s="10"/>
      <c r="G964" s="10"/>
      <c r="H964" s="10"/>
      <c r="I964" s="10"/>
      <c r="J964" s="10"/>
      <c r="K964" s="10"/>
      <c r="L964" s="10"/>
      <c r="M964" s="10"/>
      <c r="N964" s="10"/>
      <c r="O964" s="10"/>
      <c r="P964" s="10"/>
      <c r="Q964" s="10"/>
      <c r="R964" s="10"/>
      <c r="S964" s="10"/>
      <c r="T964" s="10"/>
      <c r="U964" s="10"/>
      <c r="V964" s="10"/>
      <c r="W964" s="10"/>
      <c r="X964" s="10"/>
      <c r="Y964" s="10"/>
      <c r="Z964" s="10"/>
    </row>
    <row r="965" spans="1:26" ht="12.75">
      <c r="A965" s="10" t="str">
        <f ca="1">IFERROR(__xludf.DUMMYFUNCTION("""COMPUTED_VALUE"""),"Ваня Чавдарова Добрева")</f>
        <v>Ваня Чавдарова Добрева</v>
      </c>
      <c r="B965" s="10" t="str">
        <f ca="1">IFERROR(__xludf.DUMMYFUNCTION("""COMPUTED_VALUE"""),"Статия в списания и поредици")</f>
        <v>Статия в списания и поредици</v>
      </c>
      <c r="C965" s="10" t="str">
        <f ca="1">IFERROR(__xludf.DUMMYFUNCTION("""COMPUTED_VALUE"""),"Разказът в историческите драми на Войников, Друмев и Вазов.")</f>
        <v>Разказът в историческите драми на Войников, Друмев и Вазов.</v>
      </c>
      <c r="D965" s="10">
        <f ca="1">IFERROR(__xludf.DUMMYFUNCTION("""COMPUTED_VALUE"""),1995)</f>
        <v>1995</v>
      </c>
      <c r="E965" s="10" t="str">
        <f ca="1">IFERROR(__xludf.DUMMYFUNCTION("""COMPUTED_VALUE"""),"Славянски вестник (юбилеен в чест на Ив. Вазов)//1995, № 8-9.")</f>
        <v>Славянски вестник (юбилеен в чест на Ив. Вазов)//1995, № 8-9.</v>
      </c>
      <c r="F965" s="10"/>
      <c r="G965" s="10"/>
      <c r="H965" s="10"/>
      <c r="I965" s="10"/>
      <c r="J965" s="10"/>
      <c r="K965" s="10"/>
      <c r="L965" s="10"/>
      <c r="M965" s="10"/>
      <c r="N965" s="10"/>
      <c r="O965" s="10"/>
      <c r="P965" s="10"/>
      <c r="Q965" s="10"/>
      <c r="R965" s="10"/>
      <c r="S965" s="10"/>
      <c r="T965" s="10"/>
      <c r="U965" s="10"/>
      <c r="V965" s="10"/>
      <c r="W965" s="10"/>
      <c r="X965" s="10"/>
      <c r="Y965" s="10"/>
      <c r="Z965" s="10"/>
    </row>
    <row r="966" spans="1:26" ht="12.75">
      <c r="A966" s="10" t="str">
        <f ca="1">IFERROR(__xludf.DUMMYFUNCTION("""COMPUTED_VALUE"""),"Ваня Чавдарова Добрева")</f>
        <v>Ваня Чавдарова Добрева</v>
      </c>
      <c r="B966" s="10" t="str">
        <f ca="1">IFERROR(__xludf.DUMMYFUNCTION("""COMPUTED_VALUE"""),"Студия")</f>
        <v>Студия</v>
      </c>
      <c r="C966" s="10" t="str">
        <f ca="1">IFERROR(__xludf.DUMMYFUNCTION("""COMPUTED_VALUE"""),"Категорията ""време"" в българската възрожденска драма")</f>
        <v>Категорията "време" в българската възрожденска драма</v>
      </c>
      <c r="D966" s="10">
        <f ca="1">IFERROR(__xludf.DUMMYFUNCTION("""COMPUTED_VALUE"""),1995)</f>
        <v>1995</v>
      </c>
      <c r="E966" s="10" t="str">
        <f ca="1">IFERROR(__xludf.DUMMYFUNCTION("""COMPUTED_VALUE"""),"Везни// 1995, № 6-7")</f>
        <v>Везни// 1995, № 6-7</v>
      </c>
      <c r="F966" s="10"/>
      <c r="G966" s="10"/>
      <c r="H966" s="10"/>
      <c r="I966" s="10"/>
      <c r="J966" s="10"/>
      <c r="K966" s="10"/>
      <c r="L966" s="10"/>
      <c r="M966" s="10"/>
      <c r="N966" s="10"/>
      <c r="O966" s="10"/>
      <c r="P966" s="10"/>
      <c r="Q966" s="10"/>
      <c r="R966" s="10"/>
      <c r="S966" s="10"/>
      <c r="T966" s="10"/>
      <c r="U966" s="10"/>
      <c r="V966" s="10"/>
      <c r="W966" s="10"/>
      <c r="X966" s="10"/>
      <c r="Y966" s="10"/>
      <c r="Z966" s="10"/>
    </row>
    <row r="967" spans="1:26" ht="12.75">
      <c r="A967" s="10" t="str">
        <f ca="1">IFERROR(__xludf.DUMMYFUNCTION("""COMPUTED_VALUE"""),"Ваня Чавдарова Добрева")</f>
        <v>Ваня Чавдарова Добрева</v>
      </c>
      <c r="B967" s="10" t="str">
        <f ca="1">IFERROR(__xludf.DUMMYFUNCTION("""COMPUTED_VALUE"""),"Студия")</f>
        <v>Студия</v>
      </c>
      <c r="C967" s="10" t="str">
        <f ca="1">IFERROR(__xludf.DUMMYFUNCTION("""COMPUTED_VALUE"""),"Функция на песента във възрожденския модел на българската историческа драма.")</f>
        <v>Функция на песента във възрожденския модел на българската историческа драма.</v>
      </c>
      <c r="D967" s="10">
        <f ca="1">IFERROR(__xludf.DUMMYFUNCTION("""COMPUTED_VALUE"""),1995)</f>
        <v>1995</v>
      </c>
      <c r="E967" s="10" t="str">
        <f ca="1">IFERROR(__xludf.DUMMYFUNCTION("""COMPUTED_VALUE"""),"Балканистичен форум//Благоевград: 1995, № 3.")</f>
        <v>Балканистичен форум//Благоевград: 1995, № 3.</v>
      </c>
      <c r="F967" s="10"/>
      <c r="G967" s="10"/>
      <c r="H967" s="10"/>
      <c r="I967" s="10"/>
      <c r="J967" s="10"/>
      <c r="K967" s="10"/>
      <c r="L967" s="10"/>
      <c r="M967" s="10"/>
      <c r="N967" s="10"/>
      <c r="O967" s="10"/>
      <c r="P967" s="10"/>
      <c r="Q967" s="10"/>
      <c r="R967" s="10"/>
      <c r="S967" s="10"/>
      <c r="T967" s="10"/>
      <c r="U967" s="10"/>
      <c r="V967" s="10"/>
      <c r="W967" s="10"/>
      <c r="X967" s="10"/>
      <c r="Y967" s="10"/>
      <c r="Z967" s="10"/>
    </row>
    <row r="968" spans="1:26" ht="12.75">
      <c r="A968" s="10" t="str">
        <f ca="1">IFERROR(__xludf.DUMMYFUNCTION("""COMPUTED_VALUE"""),"Васил Йорданов Загоров")</f>
        <v>Васил Йорданов Загоров</v>
      </c>
      <c r="B968" s="10" t="str">
        <f ca="1">IFERROR(__xludf.DUMMYFUNCTION("""COMPUTED_VALUE"""),"Статия в списания и поредици")</f>
        <v>Статия в списания и поредици</v>
      </c>
      <c r="C968" s="10" t="str">
        <f ca="1">IFERROR(__xludf.DUMMYFUNCTION("""COMPUTED_VALUE"""),"Digitalisierungsprojekt Bibliografie der Wiedergeburt Bulgariens in Sofia")</f>
        <v>Digitalisierungsprojekt Bibliografie der Wiedergeburt Bulgariens in Sofia</v>
      </c>
      <c r="D968" s="10">
        <f ca="1">IFERROR(__xludf.DUMMYFUNCTION("""COMPUTED_VALUE"""),2020)</f>
        <v>2020</v>
      </c>
      <c r="E968" s="10" t="str">
        <f ca="1">IFERROR(__xludf.DUMMYFUNCTION("""COMPUTED_VALUE"""),"BIBLIOTHEK Forschung und Praxis, pp. 1-11. ISSN 0341-4183")</f>
        <v>BIBLIOTHEK Forschung und Praxis, pp. 1-11. ISSN 0341-4183</v>
      </c>
      <c r="F968" s="10" t="str">
        <f ca="1">IFERROR(__xludf.DUMMYFUNCTION("""COMPUTED_VALUE"""),"Web of Science
 https://edoc.hu-berlin.de/handle/18452/22686")</f>
        <v>Web of Science
 https://edoc.hu-berlin.de/handle/18452/22686</v>
      </c>
      <c r="G968" s="10" t="str">
        <f ca="1">IFERROR(__xludf.DUMMYFUNCTION("""COMPUTED_VALUE"""),"Марина Енчева, Никол Крюгер, Пламена Златкова, Габриела Ангелова")</f>
        <v>Марина Енчева, Никол Крюгер, Пламена Златкова, Габриела Ангелова</v>
      </c>
      <c r="H968" s="10"/>
      <c r="I968" s="10"/>
      <c r="J968" s="10"/>
      <c r="K968" s="10"/>
      <c r="L968" s="10"/>
      <c r="M968" s="10"/>
      <c r="N968" s="10"/>
      <c r="O968" s="10"/>
      <c r="P968" s="10"/>
      <c r="Q968" s="10"/>
      <c r="R968" s="10"/>
      <c r="S968" s="10"/>
      <c r="T968" s="10"/>
      <c r="U968" s="10"/>
      <c r="V968" s="10"/>
      <c r="W968" s="10"/>
      <c r="X968" s="10"/>
      <c r="Y968" s="10"/>
      <c r="Z968" s="10"/>
    </row>
    <row r="969" spans="1:26" ht="12.75">
      <c r="A969" s="10" t="str">
        <f ca="1">IFERROR(__xludf.DUMMYFUNCTION("""COMPUTED_VALUE"""),"Васил Йорданов Загоров")</f>
        <v>Васил Йорданов Загоров</v>
      </c>
      <c r="B969" s="10" t="str">
        <f ca="1">IFERROR(__xludf.DUMMYFUNCTION("""COMPUTED_VALUE"""),"Статия в списания и поредици")</f>
        <v>Статия в списания и поредици</v>
      </c>
      <c r="C969" s="10" t="str">
        <f ca="1">IFERROR(__xludf.DUMMYFUNCTION("""COMPUTED_VALUE"""),"Ученият и книгите „уличници“ година на издаване 2020 издателски данни: Между кориците и отвъд тях.")</f>
        <v>Ученият и книгите „уличници“ година на издаване 2020 издателски данни: Между кориците и отвъд тях.</v>
      </c>
      <c r="D969" s="10">
        <f ca="1">IFERROR(__xludf.DUMMYFUNCTION("""COMPUTED_VALUE"""),2020)</f>
        <v>2020</v>
      </c>
      <c r="E969" s="10" t="str">
        <f ca="1">IFERROR(__xludf.DUMMYFUNCTION("""COMPUTED_VALUE"""),"Доклади от Академични четения, посветени на 65-годишнината на проф. д-р Алберт Бенбасат. София : Св. Климент Охридски Университетско издателство, 2020, с. 35-38. ISBN 978-954-07-4896-2")</f>
        <v>Доклади от Академични четения, посветени на 65-годишнината на проф. д-р Алберт Бенбасат. София : Св. Климент Охридски Университетско издателство, 2020, с. 35-38. ISBN 978-954-07-4896-2</v>
      </c>
      <c r="F969" s="10" t="str">
        <f ca="1">IFERROR(__xludf.DUMMYFUNCTION("""COMPUTED_VALUE"""),"Рефериран списък на НАЦИД")</f>
        <v>Рефериран списък на НАЦИД</v>
      </c>
      <c r="G969" s="10"/>
      <c r="H969" s="10"/>
      <c r="I969" s="10"/>
      <c r="J969" s="10"/>
      <c r="K969" s="10"/>
      <c r="L969" s="10"/>
      <c r="M969" s="10"/>
      <c r="N969" s="10"/>
      <c r="O969" s="10"/>
      <c r="P969" s="10"/>
      <c r="Q969" s="10"/>
      <c r="R969" s="10"/>
      <c r="S969" s="10"/>
      <c r="T969" s="10"/>
      <c r="U969" s="10"/>
      <c r="V969" s="10"/>
      <c r="W969" s="10"/>
      <c r="X969" s="10"/>
      <c r="Y969" s="10"/>
      <c r="Z969" s="10"/>
    </row>
    <row r="970" spans="1:26" ht="12.75">
      <c r="A970" s="10" t="str">
        <f ca="1">IFERROR(__xludf.DUMMYFUNCTION("""COMPUTED_VALUE"""),"Васил Йорданов Загоров")</f>
        <v>Васил Йорданов Загоров</v>
      </c>
      <c r="B970" s="10" t="str">
        <f ca="1">IFERROR(__xludf.DUMMYFUNCTION("""COMPUTED_VALUE"""),"Статия в списания и поредици")</f>
        <v>Статия в списания и поредици</v>
      </c>
      <c r="C970" s="10" t="str">
        <f ca="1">IFERROR(__xludf.DUMMYFUNCTION("""COMPUTED_VALUE"""),"The Bulgarian 19th-Century Book as a Crossroads of Professional Literary Practices")</f>
        <v>The Bulgarian 19th-Century Book as a Crossroads of Professional Literary Practices</v>
      </c>
      <c r="D970" s="10">
        <f ca="1">IFERROR(__xludf.DUMMYFUNCTION("""COMPUTED_VALUE"""),2019)</f>
        <v>2019</v>
      </c>
      <c r="E970" s="10" t="str">
        <f ca="1">IFERROR(__xludf.DUMMYFUNCTION("""COMPUTED_VALUE"""),"QUAERENDO-A JOURNAL DEVOTED TO MANUSCRIPTS AND PRINTED BOOKS Volume: 49 Issue: 1 Pages: 36-48, ISSN: 1570-0690")</f>
        <v>QUAERENDO-A JOURNAL DEVOTED TO MANUSCRIPTS AND PRINTED BOOKS Volume: 49 Issue: 1 Pages: 36-48, ISSN: 1570-0690</v>
      </c>
      <c r="F970" s="10" t="str">
        <f ca="1">IFERROR(__xludf.DUMMYFUNCTION("""COMPUTED_VALUE"""),"SCOPUS, Web of Knowledge")</f>
        <v>SCOPUS, Web of Knowledge</v>
      </c>
      <c r="G970" s="10"/>
      <c r="H970" s="10"/>
      <c r="I970" s="10"/>
      <c r="J970" s="10"/>
      <c r="K970" s="10"/>
      <c r="L970" s="10"/>
      <c r="M970" s="10"/>
      <c r="N970" s="10"/>
      <c r="O970" s="10"/>
      <c r="P970" s="10"/>
      <c r="Q970" s="10"/>
      <c r="R970" s="10"/>
      <c r="S970" s="10"/>
      <c r="T970" s="10"/>
      <c r="U970" s="10"/>
      <c r="V970" s="10"/>
      <c r="W970" s="10"/>
      <c r="X970" s="10"/>
      <c r="Y970" s="10"/>
      <c r="Z970" s="10"/>
    </row>
    <row r="971" spans="1:26" ht="12.75">
      <c r="A971" s="10" t="str">
        <f ca="1">IFERROR(__xludf.DUMMYFUNCTION("""COMPUTED_VALUE"""),"Васил Йорданов Загоров")</f>
        <v>Васил Йорданов Загоров</v>
      </c>
      <c r="B971" s="10" t="str">
        <f ca="1">IFERROR(__xludf.DUMMYFUNCTION("""COMPUTED_VALUE"""),"Статия в списания и поредици")</f>
        <v>Статия в списания и поредици</v>
      </c>
      <c r="C971" s="10" t="str">
        <f ca="1">IFERROR(__xludf.DUMMYFUNCTION("""COMPUTED_VALUE"""),"BIBLIOGRAPHY OF THE BULGARIAN REVIVAL (1801-1878) AND INFORMATION RETRIEVAL SYSTEM TECHNOLOGIES")</f>
        <v>BIBLIOGRAPHY OF THE BULGARIAN REVIVAL (1801-1878) AND INFORMATION RETRIEVAL SYSTEM TECHNOLOGIES</v>
      </c>
      <c r="D971" s="10">
        <f ca="1">IFERROR(__xludf.DUMMYFUNCTION("""COMPUTED_VALUE"""),2019)</f>
        <v>2019</v>
      </c>
      <c r="E971" s="10" t="str">
        <f ca="1">IFERROR(__xludf.DUMMYFUNCTION("""COMPUTED_VALUE"""),"EDULEARN19 Proceedings, pp. 2985-2989. ISSN: 2340-1079")</f>
        <v>EDULEARN19 Proceedings, pp. 2985-2989. ISSN: 2340-1079</v>
      </c>
      <c r="F971" s="10" t="str">
        <f ca="1">IFERROR(__xludf.DUMMYFUNCTION("""COMPUTED_VALUE"""),"Web of Knowledge")</f>
        <v>Web of Knowledge</v>
      </c>
      <c r="G971" s="10"/>
      <c r="H971" s="10"/>
      <c r="I971" s="10"/>
      <c r="J971" s="10"/>
      <c r="K971" s="10"/>
      <c r="L971" s="10"/>
      <c r="M971" s="10"/>
      <c r="N971" s="10"/>
      <c r="O971" s="10"/>
      <c r="P971" s="10"/>
      <c r="Q971" s="10"/>
      <c r="R971" s="10"/>
      <c r="S971" s="10"/>
      <c r="T971" s="10"/>
      <c r="U971" s="10"/>
      <c r="V971" s="10"/>
      <c r="W971" s="10"/>
      <c r="X971" s="10"/>
      <c r="Y971" s="10"/>
      <c r="Z971" s="10"/>
    </row>
    <row r="972" spans="1:26" ht="12.75">
      <c r="A972" s="10" t="str">
        <f ca="1">IFERROR(__xludf.DUMMYFUNCTION("""COMPUTED_VALUE"""),"Васил Йорданов Загоров")</f>
        <v>Васил Йорданов Загоров</v>
      </c>
      <c r="B972" s="10" t="str">
        <f ca="1">IFERROR(__xludf.DUMMYFUNCTION("""COMPUTED_VALUE"""),"Доклад от конференция")</f>
        <v>Доклад от конференция</v>
      </c>
      <c r="C972" s="10" t="str">
        <f ca="1">IFERROR(__xludf.DUMMYFUNCTION("""COMPUTED_VALUE"""),"Интелектуални посегателства в българското книгоиздаване през XIX век")</f>
        <v>Интелектуални посегателства в българското книгоиздаване през XIX век</v>
      </c>
      <c r="D972" s="10">
        <f ca="1">IFERROR(__xludf.DUMMYFUNCTION("""COMPUTED_VALUE"""),2019)</f>
        <v>2019</v>
      </c>
      <c r="E972" s="10" t="str">
        <f ca="1">IFERROR(__xludf.DUMMYFUNCTION("""COMPUTED_VALUE"""),"Интелектуалната собственост и дигиталните хора. София : За буквите – О писменех, 2019, с. 133-143.
  ISBN 978-619-185-378-6")</f>
        <v>Интелектуалната собственост и дигиталните хора. София : За буквите – О писменех, 2019, с. 133-143.
  ISBN 978-619-185-378-6</v>
      </c>
      <c r="F972" s="10" t="str">
        <f ca="1">IFERROR(__xludf.DUMMYFUNCTION("""COMPUTED_VALUE"""),"Рефериран списък на НАЦИД")</f>
        <v>Рефериран списък на НАЦИД</v>
      </c>
      <c r="G972" s="10"/>
      <c r="H972" s="10"/>
      <c r="I972" s="10"/>
      <c r="J972" s="10"/>
      <c r="K972" s="10"/>
      <c r="L972" s="10"/>
      <c r="M972" s="10"/>
      <c r="N972" s="10"/>
      <c r="O972" s="10"/>
      <c r="P972" s="10"/>
      <c r="Q972" s="10"/>
      <c r="R972" s="10"/>
      <c r="S972" s="10"/>
      <c r="T972" s="10"/>
      <c r="U972" s="10"/>
      <c r="V972" s="10"/>
      <c r="W972" s="10"/>
      <c r="X972" s="10"/>
      <c r="Y972" s="10"/>
      <c r="Z972" s="10"/>
    </row>
    <row r="973" spans="1:26" ht="12.75">
      <c r="A973" s="10" t="str">
        <f ca="1">IFERROR(__xludf.DUMMYFUNCTION("""COMPUTED_VALUE"""),"Васил Йорданов Загоров")</f>
        <v>Васил Йорданов Загоров</v>
      </c>
      <c r="B973" s="10" t="str">
        <f ca="1">IFERROR(__xludf.DUMMYFUNCTION("""COMPUTED_VALUE"""),"Монография")</f>
        <v>Монография</v>
      </c>
      <c r="C973" s="10" t="str">
        <f ca="1">IFERROR(__xludf.DUMMYFUNCTION("""COMPUTED_VALUE"""),"Българското книгоиздаване и руската литература (1918-1944)")</f>
        <v>Българското книгоиздаване и руската литература (1918-1944)</v>
      </c>
      <c r="D973" s="10">
        <f ca="1">IFERROR(__xludf.DUMMYFUNCTION("""COMPUTED_VALUE"""),2019)</f>
        <v>2019</v>
      </c>
      <c r="E973" s="10" t="str">
        <f ca="1">IFERROR(__xludf.DUMMYFUNCTION("""COMPUTED_VALUE"""),"София : Унив. изд. ""Св. Климент Охридски"", 2019. - 320 с. : с ил. ; ISBN 978-954-07-4668-5")</f>
        <v>София : Унив. изд. "Св. Климент Охридски", 2019. - 320 с. : с ил. ; ISBN 978-954-07-4668-5</v>
      </c>
      <c r="F973" s="10" t="str">
        <f ca="1">IFERROR(__xludf.DUMMYFUNCTION("""COMPUTED_VALUE"""),"Cobiss")</f>
        <v>Cobiss</v>
      </c>
      <c r="G973" s="10"/>
      <c r="H973" s="10"/>
      <c r="I973" s="10"/>
      <c r="J973" s="10"/>
      <c r="K973" s="10"/>
      <c r="L973" s="10"/>
      <c r="M973" s="10"/>
      <c r="N973" s="10"/>
      <c r="O973" s="10"/>
      <c r="P973" s="10"/>
      <c r="Q973" s="10"/>
      <c r="R973" s="10"/>
      <c r="S973" s="10"/>
      <c r="T973" s="10"/>
      <c r="U973" s="10"/>
      <c r="V973" s="10"/>
      <c r="W973" s="10"/>
      <c r="X973" s="10"/>
      <c r="Y973" s="10"/>
      <c r="Z973" s="10"/>
    </row>
    <row r="974" spans="1:26" ht="12.75">
      <c r="A974" s="10" t="str">
        <f ca="1">IFERROR(__xludf.DUMMYFUNCTION("""COMPUTED_VALUE"""),"Васил Йорданов Загоров")</f>
        <v>Васил Йорданов Загоров</v>
      </c>
      <c r="B974" s="10" t="str">
        <f ca="1">IFERROR(__xludf.DUMMYFUNCTION("""COMPUTED_VALUE"""),"Статия в списания и поредици")</f>
        <v>Статия в списания и поредици</v>
      </c>
      <c r="C974" s="10" t="str">
        <f ca="1">IFERROR(__xludf.DUMMYFUNCTION("""COMPUTED_VALUE"""),"Changing Information Literacy Training of Undergraduate Students in Europe through the Game-based Learning Approach")</f>
        <v>Changing Information Literacy Training of Undergraduate Students in Europe through the Game-based Learning Approach</v>
      </c>
      <c r="D974" s="10">
        <f ca="1">IFERROR(__xludf.DUMMYFUNCTION("""COMPUTED_VALUE"""),2018)</f>
        <v>2018</v>
      </c>
      <c r="E974" s="10" t="str">
        <f ca="1">IFERROR(__xludf.DUMMYFUNCTION("""COMPUTED_VALUE"""),"Proceedings of INTED 2018 Conference 5th-7th March 2018, Valencia, Spain, 2018, pp. 587-592. ISBN: 978-84-697-9480-7")</f>
        <v>Proceedings of INTED 2018 Conference 5th-7th March 2018, Valencia, Spain, 2018, pp. 587-592. ISBN: 978-84-697-9480-7</v>
      </c>
      <c r="F974" s="10" t="str">
        <f ca="1">IFERROR(__xludf.DUMMYFUNCTION("""COMPUTED_VALUE"""),"Web of Science")</f>
        <v>Web of Science</v>
      </c>
      <c r="G974" s="10" t="str">
        <f ca="1">IFERROR(__xludf.DUMMYFUNCTION("""COMPUTED_VALUE"""),"Marina Encheva; Plamena Zlatkova; Polly Mukanova")</f>
        <v>Marina Encheva; Plamena Zlatkova; Polly Mukanova</v>
      </c>
      <c r="H974" s="10"/>
      <c r="I974" s="10"/>
      <c r="J974" s="10"/>
      <c r="K974" s="10"/>
      <c r="L974" s="10"/>
      <c r="M974" s="10"/>
      <c r="N974" s="10"/>
      <c r="O974" s="10"/>
      <c r="P974" s="10"/>
      <c r="Q974" s="10"/>
      <c r="R974" s="10"/>
      <c r="S974" s="10"/>
      <c r="T974" s="10"/>
      <c r="U974" s="10"/>
      <c r="V974" s="10"/>
      <c r="W974" s="10"/>
      <c r="X974" s="10"/>
      <c r="Y974" s="10"/>
      <c r="Z974" s="10"/>
    </row>
    <row r="975" spans="1:26" ht="12.75">
      <c r="A975" s="10" t="str">
        <f ca="1">IFERROR(__xludf.DUMMYFUNCTION("""COMPUTED_VALUE"""),"Васил Йорданов Загоров")</f>
        <v>Васил Йорданов Загоров</v>
      </c>
      <c r="B975" s="10" t="str">
        <f ca="1">IFERROR(__xludf.DUMMYFUNCTION("""COMPUTED_VALUE"""),"Статия в списания и поредици")</f>
        <v>Статия в списания и поредици</v>
      </c>
      <c r="C975" s="10" t="str">
        <f ca="1">IFERROR(__xludf.DUMMYFUNCTION("""COMPUTED_VALUE"""),"CHANGING INFORMATION LITERACY TRAINING OF UNDERGRADUATE STUDENTS IN EUROPE THROUGH THE GAME-BASED LEARNING APPROACH")</f>
        <v>CHANGING INFORMATION LITERACY TRAINING OF UNDERGRADUATE STUDENTS IN EUROPE THROUGH THE GAME-BASED LEARNING APPROACH</v>
      </c>
      <c r="D975" s="10">
        <f ca="1">IFERROR(__xludf.DUMMYFUNCTION("""COMPUTED_VALUE"""),2018)</f>
        <v>2018</v>
      </c>
      <c r="E975" s="10" t="str">
        <f ca="1">IFERROR(__xludf.DUMMYFUNCTION("""COMPUTED_VALUE"""),"INTED2018 Proceedings, pp. 587-592. ISSN: 2340-1079")</f>
        <v>INTED2018 Proceedings, pp. 587-592. ISSN: 2340-1079</v>
      </c>
      <c r="F975" s="10" t="str">
        <f ca="1">IFERROR(__xludf.DUMMYFUNCTION("""COMPUTED_VALUE"""),"Web of knowledge")</f>
        <v>Web of knowledge</v>
      </c>
      <c r="G975" s="10" t="str">
        <f ca="1">IFERROR(__xludf.DUMMYFUNCTION("""COMPUTED_VALUE"""),"M. Encheva, P. Mukanova, P. Zlatkova")</f>
        <v>M. Encheva, P. Mukanova, P. Zlatkova</v>
      </c>
      <c r="H975" s="10"/>
      <c r="I975" s="10"/>
      <c r="J975" s="10"/>
      <c r="K975" s="10"/>
      <c r="L975" s="10"/>
      <c r="M975" s="10"/>
      <c r="N975" s="10"/>
      <c r="O975" s="10"/>
      <c r="P975" s="10"/>
      <c r="Q975" s="10"/>
      <c r="R975" s="10"/>
      <c r="S975" s="10"/>
      <c r="T975" s="10"/>
      <c r="U975" s="10"/>
      <c r="V975" s="10"/>
      <c r="W975" s="10"/>
      <c r="X975" s="10"/>
      <c r="Y975" s="10"/>
      <c r="Z975" s="10"/>
    </row>
    <row r="976" spans="1:26" ht="12.75">
      <c r="A976" s="10" t="str">
        <f ca="1">IFERROR(__xludf.DUMMYFUNCTION("""COMPUTED_VALUE"""),"Васил Йорданов Загоров")</f>
        <v>Васил Йорданов Загоров</v>
      </c>
      <c r="B976" s="10" t="str">
        <f ca="1">IFERROR(__xludf.DUMMYFUNCTION("""COMPUTED_VALUE"""),"Статия в списания и поредици")</f>
        <v>Статия в списания и поредици</v>
      </c>
      <c r="C976" s="10" t="str">
        <f ca="1">IFERROR(__xludf.DUMMYFUNCTION("""COMPUTED_VALUE"""),"Ресурси за изследване на история на българската печатна книга в Националната библиотека „Св. св. Кирил и Методий“. Една колегиална читателска гледна точка.")</f>
        <v>Ресурси за изследване на история на българската печатна книга в Националната библиотека „Св. св. Кирил и Методий“. Една колегиална читателска гледна точка.</v>
      </c>
      <c r="D976" s="10">
        <f ca="1">IFERROR(__xludf.DUMMYFUNCTION("""COMPUTED_VALUE"""),2018)</f>
        <v>2018</v>
      </c>
      <c r="E976" s="10" t="str">
        <f ca="1">IFERROR(__xludf.DUMMYFUNCTION("""COMPUTED_VALUE"""),"Библиотека, 2018, № 6, 45-52. ISSN 0861 – 847X")</f>
        <v>Библиотека, 2018, № 6, 45-52. ISSN 0861 – 847X</v>
      </c>
      <c r="F976" s="10" t="str">
        <f ca="1">IFERROR(__xludf.DUMMYFUNCTION("""COMPUTED_VALUE"""),"РИНЦ")</f>
        <v>РИНЦ</v>
      </c>
      <c r="G976" s="10"/>
      <c r="H976" s="10"/>
      <c r="I976" s="10"/>
      <c r="J976" s="10"/>
      <c r="K976" s="10"/>
      <c r="L976" s="10"/>
      <c r="M976" s="10"/>
      <c r="N976" s="10"/>
      <c r="O976" s="10"/>
      <c r="P976" s="10"/>
      <c r="Q976" s="10"/>
      <c r="R976" s="10"/>
      <c r="S976" s="10"/>
      <c r="T976" s="10"/>
      <c r="U976" s="10"/>
      <c r="V976" s="10"/>
      <c r="W976" s="10"/>
      <c r="X976" s="10"/>
      <c r="Y976" s="10"/>
      <c r="Z976" s="10"/>
    </row>
    <row r="977" spans="1:26" ht="12.75">
      <c r="A977" s="10" t="str">
        <f ca="1">IFERROR(__xludf.DUMMYFUNCTION("""COMPUTED_VALUE"""),"Васил Йорданов Загоров")</f>
        <v>Васил Йорданов Загоров</v>
      </c>
      <c r="B977" s="10" t="str">
        <f ca="1">IFERROR(__xludf.DUMMYFUNCTION("""COMPUTED_VALUE"""),"Статия в списания и поредици")</f>
        <v>Статия в списания и поредици</v>
      </c>
      <c r="C977" s="10" t="str">
        <f ca="1">IFERROR(__xludf.DUMMYFUNCTION("""COMPUTED_VALUE"""),"ЕБЛИДА – библиотеките за Европа без граници")</f>
        <v>ЕБЛИДА – библиотеките за Европа без граници</v>
      </c>
      <c r="D977" s="10">
        <f ca="1">IFERROR(__xludf.DUMMYFUNCTION("""COMPUTED_VALUE"""),2018)</f>
        <v>2018</v>
      </c>
      <c r="E977" s="10" t="str">
        <f ca="1">IFERROR(__xludf.DUMMYFUNCTION("""COMPUTED_VALUE"""),"ББИА онлайн, VIII, br. 3, 2018, s. 40-42. ISSN 1314-7285")</f>
        <v>ББИА онлайн, VIII, br. 3, 2018, s. 40-42. ISSN 1314-7285</v>
      </c>
      <c r="F977" s="10"/>
      <c r="G977" s="10" t="str">
        <f ca="1">IFERROR(__xludf.DUMMYFUNCTION("""COMPUTED_VALUE"""),"Марина Енчева")</f>
        <v>Марина Енчева</v>
      </c>
      <c r="H977" s="10"/>
      <c r="I977" s="10"/>
      <c r="J977" s="10"/>
      <c r="K977" s="10"/>
      <c r="L977" s="10"/>
      <c r="M977" s="10"/>
      <c r="N977" s="10"/>
      <c r="O977" s="10"/>
      <c r="P977" s="10"/>
      <c r="Q977" s="10"/>
      <c r="R977" s="10"/>
      <c r="S977" s="10"/>
      <c r="T977" s="10"/>
      <c r="U977" s="10"/>
      <c r="V977" s="10"/>
      <c r="W977" s="10"/>
      <c r="X977" s="10"/>
      <c r="Y977" s="10"/>
      <c r="Z977" s="10"/>
    </row>
    <row r="978" spans="1:26" ht="12.75">
      <c r="A978" s="10" t="str">
        <f ca="1">IFERROR(__xludf.DUMMYFUNCTION("""COMPUTED_VALUE"""),"Васил Йорданов Загоров")</f>
        <v>Васил Йорданов Загоров</v>
      </c>
      <c r="B978" s="10" t="str">
        <f ca="1">IFERROR(__xludf.DUMMYFUNCTION("""COMPUTED_VALUE"""),"Доклад от конференция")</f>
        <v>Доклад от конференция</v>
      </c>
      <c r="C978" s="10" t="str">
        <f ca="1">IFERROR(__xludf.DUMMYFUNCTION("""COMPUTED_VALUE"""),"Молитвенный крiнъ"" (1806) – едно пътуване през библиографиите.")</f>
        <v>Молитвенный крiнъ" (1806) – едно пътуване през библиографиите.</v>
      </c>
      <c r="D978" s="10">
        <f ca="1">IFERROR(__xludf.DUMMYFUNCTION("""COMPUTED_VALUE"""),2018)</f>
        <v>2018</v>
      </c>
      <c r="E978" s="10" t="str">
        <f ca="1">IFERROR(__xludf.DUMMYFUNCTION("""COMPUTED_VALUE"""),"Обществото на знанието и хуманизмът на XXI век: XV национална научна конференция с международно участие София, 1 ноември 2017 г. София: За буквите – О писменехь, 2018, с. 669–675. 669–675. 1314-7099 (print) 2683-0094 (pdf)")</f>
        <v>Обществото на знанието и хуманизмът на XXI век: XV национална научна конференция с международно участие София, 1 ноември 2017 г. София: За буквите – О писменехь, 2018, с. 669–675. 669–675. 1314-7099 (print) 2683-0094 (pdf)</v>
      </c>
      <c r="F978" s="10"/>
      <c r="G978" s="10" t="str">
        <f ca="1">IFERROR(__xludf.DUMMYFUNCTION("""COMPUTED_VALUE"""),"Поли Муканова")</f>
        <v>Поли Муканова</v>
      </c>
      <c r="H978" s="10"/>
      <c r="I978" s="10"/>
      <c r="J978" s="10"/>
      <c r="K978" s="10"/>
      <c r="L978" s="10"/>
      <c r="M978" s="10"/>
      <c r="N978" s="10"/>
      <c r="O978" s="10"/>
      <c r="P978" s="10"/>
      <c r="Q978" s="10"/>
      <c r="R978" s="10"/>
      <c r="S978" s="10"/>
      <c r="T978" s="10"/>
      <c r="U978" s="10"/>
      <c r="V978" s="10"/>
      <c r="W978" s="10"/>
      <c r="X978" s="10"/>
      <c r="Y978" s="10"/>
      <c r="Z978" s="10"/>
    </row>
    <row r="979" spans="1:26" ht="12.75">
      <c r="A979" s="10" t="str">
        <f ca="1">IFERROR(__xludf.DUMMYFUNCTION("""COMPUTED_VALUE"""),"Васил Йорданов Загоров")</f>
        <v>Васил Йорданов Загоров</v>
      </c>
      <c r="B979" s="10" t="str">
        <f ca="1">IFERROR(__xludf.DUMMYFUNCTION("""COMPUTED_VALUE"""),"Статия в списания и поредици")</f>
        <v>Статия в списания и поредици</v>
      </c>
      <c r="C979" s="10" t="str">
        <f ca="1">IFERROR(__xludf.DUMMYFUNCTION("""COMPUTED_VALUE"""),"The Bulgarian book – historical routes and scientific directions")</f>
        <v>The Bulgarian book – historical routes and scientific directions</v>
      </c>
      <c r="D979" s="10">
        <f ca="1">IFERROR(__xludf.DUMMYFUNCTION("""COMPUTED_VALUE"""),2018)</f>
        <v>2018</v>
      </c>
      <c r="E979" s="10" t="str">
        <f ca="1">IFERROR(__xludf.DUMMYFUNCTION("""COMPUTED_VALUE"""),"Lingua Franca. Issue 4 (2018) Emerging Histories of the Book.ISSN 2475-1367")</f>
        <v>Lingua Franca. Issue 4 (2018) Emerging Histories of the Book.ISSN 2475-1367</v>
      </c>
      <c r="F979" s="10"/>
      <c r="G979" s="10"/>
      <c r="H979" s="10"/>
      <c r="I979" s="10"/>
      <c r="J979" s="10"/>
      <c r="K979" s="10"/>
      <c r="L979" s="10"/>
      <c r="M979" s="10"/>
      <c r="N979" s="10"/>
      <c r="O979" s="10"/>
      <c r="P979" s="10"/>
      <c r="Q979" s="10"/>
      <c r="R979" s="10"/>
      <c r="S979" s="10"/>
      <c r="T979" s="10"/>
      <c r="U979" s="10"/>
      <c r="V979" s="10"/>
      <c r="W979" s="10"/>
      <c r="X979" s="10"/>
      <c r="Y979" s="10"/>
      <c r="Z979" s="10"/>
    </row>
    <row r="980" spans="1:26" ht="12.75">
      <c r="A980" s="10" t="str">
        <f ca="1">IFERROR(__xludf.DUMMYFUNCTION("""COMPUTED_VALUE"""),"Васил Йорданов Загоров")</f>
        <v>Васил Йорданов Загоров</v>
      </c>
      <c r="B980" s="10" t="str">
        <f ca="1">IFERROR(__xludf.DUMMYFUNCTION("""COMPUTED_VALUE"""),"Книга")</f>
        <v>Книга</v>
      </c>
      <c r="C980" s="10" t="str">
        <f ca="1">IFERROR(__xludf.DUMMYFUNCTION("""COMPUTED_VALUE"""),"КНИГА, книжовност, книгоиздаване. 2 изд.")</f>
        <v>КНИГА, книжовност, книгоиздаване. 2 изд.</v>
      </c>
      <c r="D980" s="10">
        <f ca="1">IFERROR(__xludf.DUMMYFUNCTION("""COMPUTED_VALUE"""),2017)</f>
        <v>2017</v>
      </c>
      <c r="E980" s="10" t="str">
        <f ca="1">IFERROR(__xludf.DUMMYFUNCTION("""COMPUTED_VALUE"""),"София : За буквите - О писменехь, 2017. - 291 с. : с табл., портр., факс. ; 23 см. ISBN 978-619-185-282-6")</f>
        <v>София : За буквите - О писменехь, 2017. - 291 с. : с табл., портр., факс. ; 23 см. ISBN 978-619-185-282-6</v>
      </c>
      <c r="F980" s="10" t="str">
        <f ca="1">IFERROR(__xludf.DUMMYFUNCTION("""COMPUTED_VALUE"""),"Cobiss, Academia.edu")</f>
        <v>Cobiss, Academia.edu</v>
      </c>
      <c r="G980" s="10" t="str">
        <f ca="1">IFERROR(__xludf.DUMMYFUNCTION("""COMPUTED_VALUE"""),"Алберт Бенбасат")</f>
        <v>Алберт Бенбасат</v>
      </c>
      <c r="H980" s="10"/>
      <c r="I980" s="10"/>
      <c r="J980" s="10"/>
      <c r="K980" s="10"/>
      <c r="L980" s="10"/>
      <c r="M980" s="10"/>
      <c r="N980" s="10"/>
      <c r="O980" s="10"/>
      <c r="P980" s="10"/>
      <c r="Q980" s="10"/>
      <c r="R980" s="10"/>
      <c r="S980" s="10"/>
      <c r="T980" s="10"/>
      <c r="U980" s="10"/>
      <c r="V980" s="10"/>
      <c r="W980" s="10"/>
      <c r="X980" s="10"/>
      <c r="Y980" s="10"/>
      <c r="Z980" s="10"/>
    </row>
    <row r="981" spans="1:26" ht="12.75">
      <c r="A981" s="10" t="str">
        <f ca="1">IFERROR(__xludf.DUMMYFUNCTION("""COMPUTED_VALUE"""),"Васил Йорданов Загоров")</f>
        <v>Васил Йорданов Загоров</v>
      </c>
      <c r="B981" s="10" t="str">
        <f ca="1">IFERROR(__xludf.DUMMYFUNCTION("""COMPUTED_VALUE"""),"Статия в списания и поредици")</f>
        <v>Статия в списания и поредици</v>
      </c>
      <c r="C981" s="10" t="str">
        <f ca="1">IFERROR(__xludf.DUMMYFUNCTION("""COMPUTED_VALUE"""),"Lost in Translation or Lost in Publishing: Introduction of World Literature in Early Modern Bulgarian Publishing via Russian Language Editions")</f>
        <v>Lost in Translation or Lost in Publishing: Introduction of World Literature in Early Modern Bulgarian Publishing via Russian Language Editions</v>
      </c>
      <c r="D981" s="10">
        <f ca="1">IFERROR(__xludf.DUMMYFUNCTION("""COMPUTED_VALUE"""),2017)</f>
        <v>2017</v>
      </c>
      <c r="E981" s="10" t="str">
        <f ca="1">IFERROR(__xludf.DUMMYFUNCTION("""COMPUTED_VALUE"""),"Publishing Research Quarterly, June 2017, Volume 33, Issue 2, pp. 160–172. ISSN 1053-8801. DOI 10.1007/s12109-017-9508-5")</f>
        <v>Publishing Research Quarterly, June 2017, Volume 33, Issue 2, pp. 160–172. ISSN 1053-8801. DOI 10.1007/s12109-017-9508-5</v>
      </c>
      <c r="F981" s="10" t="str">
        <f ca="1">IFERROR(__xludf.DUMMYFUNCTION("""COMPUTED_VALUE"""),"Web of science, Academic OneFile, CNKI, Current Abstracts, EBSCO Academic Search, EBSCO Applied Science &amp; Technology Source, EBSCO Communication &amp; Mass Media Complete, EBSCO Computers &amp; Applied Sciences Complete, EBSCO Information Science &amp; Technology Abs"&amp;"tracts (ISTA), EBSCO Library &amp; Information Science Source, EBSCO Library, Information Science &amp; Technology Abstracts (LISTA), EBSCO MasterFILE, EBSCO TOC Premier, Expanded Academic, FRANCIS, International Bibliography of Book Reviews (IBR), International "&amp;"Bibliography of Periodical Literature (IBZ), LISA (Library and Information Sciences Abstracts), MLA International Bibliography, OCLC, PASCAL, ProQuest ABI/INFORM, ProQuest Business Premium Collection, ProQuest Central, ProQuest Research Library, ProQuest "&amp;"Social Science Collection, Summon by ProQuest")</f>
        <v>Web of science, Academic OneFile, CNKI, Current Abstracts, EBSCO Academic Search, EBSCO Applied Science &amp; Technology Source, EBSCO Communication &amp; Mass Media Complete, EBSCO Computers &amp; Applied Sciences Complete, EBSCO Information Science &amp; Technology Abstracts (ISTA), EBSCO Library &amp; Information Science Source, EBSCO Library, Information Science &amp; Technology Abstracts (LISTA), EBSCO MasterFILE, EBSCO TOC Premier, Expanded Academic, FRANCIS, International Bibliography of Book Reviews (IBR), International Bibliography of Periodical Literature (IBZ), LISA (Library and Information Sciences Abstracts), MLA International Bibliography, OCLC, PASCAL, ProQuest ABI/INFORM, ProQuest Business Premium Collection, ProQuest Central, ProQuest Research Library, ProQuest Social Science Collection, Summon by ProQuest</v>
      </c>
      <c r="G981" s="10"/>
      <c r="H981" s="10"/>
      <c r="I981" s="10"/>
      <c r="J981" s="10"/>
      <c r="K981" s="10"/>
      <c r="L981" s="10"/>
      <c r="M981" s="10"/>
      <c r="N981" s="10"/>
      <c r="O981" s="10"/>
      <c r="P981" s="10"/>
      <c r="Q981" s="10"/>
      <c r="R981" s="10"/>
      <c r="S981" s="10"/>
      <c r="T981" s="10"/>
      <c r="U981" s="10"/>
      <c r="V981" s="10"/>
      <c r="W981" s="10"/>
      <c r="X981" s="10"/>
      <c r="Y981" s="10"/>
      <c r="Z981" s="10"/>
    </row>
    <row r="982" spans="1:26" ht="12.75">
      <c r="A982" s="10" t="str">
        <f ca="1">IFERROR(__xludf.DUMMYFUNCTION("""COMPUTED_VALUE"""),"Васил Йорданов Загоров")</f>
        <v>Васил Йорданов Загоров</v>
      </c>
      <c r="B982" s="10" t="str">
        <f ca="1">IFERROR(__xludf.DUMMYFUNCTION("""COMPUTED_VALUE"""),"Статия в списания и поредици")</f>
        <v>Статия в списания и поредици</v>
      </c>
      <c r="C982" s="10" t="str">
        <f ca="1">IFERROR(__xludf.DUMMYFUNCTION("""COMPUTED_VALUE"""),"Digitalization of the Repertoire of Books from the Bulgarian Revival (1801-1878)")</f>
        <v>Digitalization of the Repertoire of Books from the Bulgarian Revival (1801-1878)</v>
      </c>
      <c r="D982" s="10">
        <f ca="1">IFERROR(__xludf.DUMMYFUNCTION("""COMPUTED_VALUE"""),2017)</f>
        <v>2017</v>
      </c>
      <c r="E982" s="10" t="str">
        <f ca="1">IFERROR(__xludf.DUMMYFUNCTION("""COMPUTED_VALUE"""),"ICERI 2017 Proceedings. 10th International Conference of Education, Research and Innovation, 16-18th November, 2017. Seville: IATED Academy, 2017, pp. 3545–3548. ISSN: 2340-1095")</f>
        <v>ICERI 2017 Proceedings. 10th International Conference of Education, Research and Innovation, 16-18th November, 2017. Seville: IATED Academy, 2017, pp. 3545–3548. ISSN: 2340-1095</v>
      </c>
      <c r="F982" s="10" t="str">
        <f ca="1">IFERROR(__xludf.DUMMYFUNCTION("""COMPUTED_VALUE"""),"Web of Science; ProQuest")</f>
        <v>Web of Science; ProQuest</v>
      </c>
      <c r="G982" s="10" t="str">
        <f ca="1">IFERROR(__xludf.DUMMYFUNCTION("""COMPUTED_VALUE"""),"Marina Encheva")</f>
        <v>Marina Encheva</v>
      </c>
      <c r="H982" s="10"/>
      <c r="I982" s="10"/>
      <c r="J982" s="10"/>
      <c r="K982" s="10"/>
      <c r="L982" s="10"/>
      <c r="M982" s="10"/>
      <c r="N982" s="10"/>
      <c r="O982" s="10"/>
      <c r="P982" s="10"/>
      <c r="Q982" s="10"/>
      <c r="R982" s="10"/>
      <c r="S982" s="10"/>
      <c r="T982" s="10"/>
      <c r="U982" s="10"/>
      <c r="V982" s="10"/>
      <c r="W982" s="10"/>
      <c r="X982" s="10"/>
      <c r="Y982" s="10"/>
      <c r="Z982" s="10"/>
    </row>
    <row r="983" spans="1:26" ht="12.75">
      <c r="A983" s="10" t="str">
        <f ca="1">IFERROR(__xludf.DUMMYFUNCTION("""COMPUTED_VALUE"""),"Васил Йорданов Загоров")</f>
        <v>Васил Йорданов Загоров</v>
      </c>
      <c r="B983" s="10" t="str">
        <f ca="1">IFERROR(__xludf.DUMMYFUNCTION("""COMPUTED_VALUE"""),"Статия в списания и поредици")</f>
        <v>Статия в списания и поредици</v>
      </c>
      <c r="C983" s="10" t="str">
        <f ca="1">IFERROR(__xludf.DUMMYFUNCTION("""COMPUTED_VALUE"""),"Българо-католическото книгоиздаване в Одрин")</f>
        <v>Българо-католическото книгоиздаване в Одрин</v>
      </c>
      <c r="D983" s="10">
        <f ca="1">IFERROR(__xludf.DUMMYFUNCTION("""COMPUTED_VALUE"""),2017)</f>
        <v>2017</v>
      </c>
      <c r="E983" s="10" t="str">
        <f ca="1">IFERROR(__xludf.DUMMYFUNCTION("""COMPUTED_VALUE"""),"Съвременни стратегии и иновации в управление на знанието. София : За буквите - О писменехь, 2017. с. 51-60. ISSN 2535-0250")</f>
        <v>Съвременни стратегии и иновации в управление на знанието. София : За буквите - О писменехь, 2017. с. 51-60. ISSN 2535-0250</v>
      </c>
      <c r="F983" s="10"/>
      <c r="G983" s="10" t="str">
        <f ca="1">IFERROR(__xludf.DUMMYFUNCTION("""COMPUTED_VALUE"""),"Пламена Златкова")</f>
        <v>Пламена Златкова</v>
      </c>
      <c r="H983" s="10"/>
      <c r="I983" s="10"/>
      <c r="J983" s="10"/>
      <c r="K983" s="10"/>
      <c r="L983" s="10"/>
      <c r="M983" s="10"/>
      <c r="N983" s="10"/>
      <c r="O983" s="10"/>
      <c r="P983" s="10"/>
      <c r="Q983" s="10"/>
      <c r="R983" s="10"/>
      <c r="S983" s="10"/>
      <c r="T983" s="10"/>
      <c r="U983" s="10"/>
      <c r="V983" s="10"/>
      <c r="W983" s="10"/>
      <c r="X983" s="10"/>
      <c r="Y983" s="10"/>
      <c r="Z983" s="10"/>
    </row>
    <row r="984" spans="1:26" ht="12.75">
      <c r="A984" s="10" t="str">
        <f ca="1">IFERROR(__xludf.DUMMYFUNCTION("""COMPUTED_VALUE"""),"Васил Йорданов Загоров")</f>
        <v>Васил Йорданов Загоров</v>
      </c>
      <c r="B984" s="10" t="str">
        <f ca="1">IFERROR(__xludf.DUMMYFUNCTION("""COMPUTED_VALUE"""),"Статия в списания и поредици")</f>
        <v>Статия в списания и поредици</v>
      </c>
      <c r="C984" s="10" t="str">
        <f ca="1">IFERROR(__xludf.DUMMYFUNCTION("""COMPUTED_VALUE"""),"Насоки за бъдещето на библиотечното образование в България: Прилагане на иновативни подходи при обучението на библиотекари и информационни специалисти в УниБИТ.")</f>
        <v>Насоки за бъдещето на библиотечното образование в България: Прилагане на иновативни подходи при обучението на библиотекари и информационни специалисти в УниБИТ.</v>
      </c>
      <c r="D984" s="10">
        <f ca="1">IFERROR(__xludf.DUMMYFUNCTION("""COMPUTED_VALUE"""),2017)</f>
        <v>2017</v>
      </c>
      <c r="E984" s="10" t="str">
        <f ca="1">IFERROR(__xludf.DUMMYFUNCTION("""COMPUTED_VALUE"""),"Библиотека, 2017, № 3, 169-174. ISSN 0861 – 847X")</f>
        <v>Библиотека, 2017, № 3, 169-174. ISSN 0861 – 847X</v>
      </c>
      <c r="F984" s="10" t="str">
        <f ca="1">IFERROR(__xludf.DUMMYFUNCTION("""COMPUTED_VALUE"""),"РИНЦ")</f>
        <v>РИНЦ</v>
      </c>
      <c r="G984" s="10" t="str">
        <f ca="1">IFERROR(__xludf.DUMMYFUNCTION("""COMPUTED_VALUE"""),"Марина Енчева")</f>
        <v>Марина Енчева</v>
      </c>
      <c r="H984" s="10"/>
      <c r="I984" s="10"/>
      <c r="J984" s="10"/>
      <c r="K984" s="10"/>
      <c r="L984" s="10"/>
      <c r="M984" s="10"/>
      <c r="N984" s="10"/>
      <c r="O984" s="10"/>
      <c r="P984" s="10"/>
      <c r="Q984" s="10"/>
      <c r="R984" s="10"/>
      <c r="S984" s="10"/>
      <c r="T984" s="10"/>
      <c r="U984" s="10"/>
      <c r="V984" s="10"/>
      <c r="W984" s="10"/>
      <c r="X984" s="10"/>
      <c r="Y984" s="10"/>
      <c r="Z984" s="10"/>
    </row>
    <row r="985" spans="1:26" ht="12.75">
      <c r="A985" s="10" t="str">
        <f ca="1">IFERROR(__xludf.DUMMYFUNCTION("""COMPUTED_VALUE"""),"Васил Йорданов Загоров")</f>
        <v>Васил Йорданов Загоров</v>
      </c>
      <c r="B985" s="10" t="str">
        <f ca="1">IFERROR(__xludf.DUMMYFUNCTION("""COMPUTED_VALUE"""),"Доклад от конференция")</f>
        <v>Доклад от конференция</v>
      </c>
      <c r="C985" s="10" t="str">
        <f ca="1">IFERROR(__xludf.DUMMYFUNCTION("""COMPUTED_VALUE"""),"BUDAPEST AND BULGARIAN REVIVAL BOOK PUBLISHING")</f>
        <v>BUDAPEST AND BULGARIAN REVIVAL BOOK PUBLISHING</v>
      </c>
      <c r="D985" s="10">
        <f ca="1">IFERROR(__xludf.DUMMYFUNCTION("""COMPUTED_VALUE"""),2016)</f>
        <v>2016</v>
      </c>
      <c r="E985" s="10" t="str">
        <f ca="1">IFERROR(__xludf.DUMMYFUNCTION("""COMPUTED_VALUE"""),"Десети международен пътуващ семинар на УниБИТ „Съвременни измерения на европейското образовaтелно и научно пространство. Българо-унгарски културни общувания. София: За буквите - О писменехь, 2016, с.23-30, ISSN 2367-7988")</f>
        <v>Десети международен пътуващ семинар на УниБИТ „Съвременни измерения на европейското образовaтелно и научно пространство. Българо-унгарски културни общувания. София: За буквите - О писменехь, 2016, с.23-30, ISSN 2367-7988</v>
      </c>
      <c r="F985" s="10"/>
      <c r="G985" s="10"/>
      <c r="H985" s="10"/>
      <c r="I985" s="10"/>
      <c r="J985" s="10"/>
      <c r="K985" s="10"/>
      <c r="L985" s="10"/>
      <c r="M985" s="10"/>
      <c r="N985" s="10"/>
      <c r="O985" s="10"/>
      <c r="P985" s="10"/>
      <c r="Q985" s="10"/>
      <c r="R985" s="10"/>
      <c r="S985" s="10"/>
      <c r="T985" s="10"/>
      <c r="U985" s="10"/>
      <c r="V985" s="10"/>
      <c r="W985" s="10"/>
      <c r="X985" s="10"/>
      <c r="Y985" s="10"/>
      <c r="Z985" s="10"/>
    </row>
    <row r="986" spans="1:26" ht="12.75">
      <c r="A986" s="10" t="str">
        <f ca="1">IFERROR(__xludf.DUMMYFUNCTION("""COMPUTED_VALUE"""),"Васил Йорданов Загоров")</f>
        <v>Васил Йорданов Загоров</v>
      </c>
      <c r="B986" s="10" t="str">
        <f ca="1">IFERROR(__xludf.DUMMYFUNCTION("""COMPUTED_VALUE"""),"Статия в списания и поредици")</f>
        <v>Статия в списания и поредици</v>
      </c>
      <c r="C986"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986" s="10">
        <f ca="1">IFERROR(__xludf.DUMMYFUNCTION("""COMPUTED_VALUE"""),2016)</f>
        <v>2016</v>
      </c>
      <c r="E986" s="10" t="str">
        <f ca="1">IFERROR(__xludf.DUMMYFUNCTION("""COMPUTED_VALUE"""),"Athens: ATINER'S Conference Paper Series, No: LIB pp. 2015-2151. ISSN: 2241-2891")</f>
        <v>Athens: ATINER'S Conference Paper Series, No: LIB pp. 2015-2151. ISSN: 2241-2891</v>
      </c>
      <c r="F986" s="10"/>
      <c r="G986" s="10" t="str">
        <f ca="1">IFERROR(__xludf.DUMMYFUNCTION("""COMPUTED_VALUE"""),"Denchev, S, Trencheva, T., Boyadzhiev, D., Stoyanova, D., Ignatova, E., Kazakov, K., Nankova, M. Mitev, N.")</f>
        <v>Denchev, S, Trencheva, T., Boyadzhiev, D., Stoyanova, D., Ignatova, E., Kazakov, K., Nankova, M. Mitev, N.</v>
      </c>
      <c r="H986" s="10"/>
      <c r="I986" s="10"/>
      <c r="J986" s="10"/>
      <c r="K986" s="10"/>
      <c r="L986" s="10"/>
      <c r="M986" s="10"/>
      <c r="N986" s="10"/>
      <c r="O986" s="10"/>
      <c r="P986" s="10"/>
      <c r="Q986" s="10"/>
      <c r="R986" s="10"/>
      <c r="S986" s="10"/>
      <c r="T986" s="10"/>
      <c r="U986" s="10"/>
      <c r="V986" s="10"/>
      <c r="W986" s="10"/>
      <c r="X986" s="10"/>
      <c r="Y986" s="10"/>
      <c r="Z986" s="10"/>
    </row>
    <row r="987" spans="1:26" ht="12.75">
      <c r="A987" s="10" t="str">
        <f ca="1">IFERROR(__xludf.DUMMYFUNCTION("""COMPUTED_VALUE"""),"Васил Йорданов Загоров")</f>
        <v>Васил Йорданов Загоров</v>
      </c>
      <c r="B987" s="10" t="str">
        <f ca="1">IFERROR(__xludf.DUMMYFUNCTION("""COMPUTED_VALUE"""),"Статия в списания и поредици")</f>
        <v>Статия в списания и поредици</v>
      </c>
      <c r="C987" s="10" t="str">
        <f ca="1">IFERROR(__xludf.DUMMYFUNCTION("""COMPUTED_VALUE"""),"Библиографска експедиция „Малко Търново“ 2015")</f>
        <v>Библиографска експедиция „Малко Търново“ 2015</v>
      </c>
      <c r="D987" s="10">
        <f ca="1">IFERROR(__xludf.DUMMYFUNCTION("""COMPUTED_VALUE"""),2016)</f>
        <v>2016</v>
      </c>
      <c r="E987" s="10" t="str">
        <f ca="1">IFERROR(__xludf.DUMMYFUNCTION("""COMPUTED_VALUE"""),"Bibliosphere. 2016, Vol. 20. ISSN 1311-8803")</f>
        <v>Bibliosphere. 2016, Vol. 20. ISSN 1311-8803</v>
      </c>
      <c r="F987" s="10" t="str">
        <f ca="1">IFERROR(__xludf.DUMMYFUNCTION("""COMPUTED_VALUE"""),"EBSCO")</f>
        <v>EBSCO</v>
      </c>
      <c r="G987" s="10" t="str">
        <f ca="1">IFERROR(__xludf.DUMMYFUNCTION("""COMPUTED_VALUE"""),"Пламена Златкова")</f>
        <v>Пламена Златкова</v>
      </c>
      <c r="H987" s="10"/>
      <c r="I987" s="10"/>
      <c r="J987" s="10"/>
      <c r="K987" s="10"/>
      <c r="L987" s="10"/>
      <c r="M987" s="10"/>
      <c r="N987" s="10"/>
      <c r="O987" s="10"/>
      <c r="P987" s="10"/>
      <c r="Q987" s="10"/>
      <c r="R987" s="10"/>
      <c r="S987" s="10"/>
      <c r="T987" s="10"/>
      <c r="U987" s="10"/>
      <c r="V987" s="10"/>
      <c r="W987" s="10"/>
      <c r="X987" s="10"/>
      <c r="Y987" s="10"/>
      <c r="Z987" s="10"/>
    </row>
    <row r="988" spans="1:26" ht="12.75">
      <c r="A988" s="10" t="str">
        <f ca="1">IFERROR(__xludf.DUMMYFUNCTION("""COMPUTED_VALUE"""),"Васил Йорданов Загоров")</f>
        <v>Васил Йорданов Загоров</v>
      </c>
      <c r="B988" s="10" t="str">
        <f ca="1">IFERROR(__xludf.DUMMYFUNCTION("""COMPUTED_VALUE"""),"Книга")</f>
        <v>Книга</v>
      </c>
      <c r="C988" s="10" t="str">
        <f ca="1">IFERROR(__xludf.DUMMYFUNCTION("""COMPUTED_VALUE"""),"Книга, книжовност, книгоиздаване")</f>
        <v>Книга, книжовност, книгоиздаване</v>
      </c>
      <c r="D988" s="10">
        <f ca="1">IFERROR(__xludf.DUMMYFUNCTION("""COMPUTED_VALUE"""),2016)</f>
        <v>2016</v>
      </c>
      <c r="E988" s="10" t="str">
        <f ca="1">IFERROR(__xludf.DUMMYFUNCTION("""COMPUTED_VALUE"""),"София : За буквите - О писменехь, 2016. - 291 с. : с табл., портр., факс. ; 23 см. ISBN 978-619-185-264-2")</f>
        <v>София : За буквите - О писменехь, 2016. - 291 с. : с табл., портр., факс. ; 23 см. ISBN 978-619-185-264-2</v>
      </c>
      <c r="F988" s="10" t="str">
        <f ca="1">IFERROR(__xludf.DUMMYFUNCTION("""COMPUTED_VALUE"""),"Cobiss, Academia.edu")</f>
        <v>Cobiss, Academia.edu</v>
      </c>
      <c r="G988" s="10" t="str">
        <f ca="1">IFERROR(__xludf.DUMMYFUNCTION("""COMPUTED_VALUE"""),"Алберт Бенбасат")</f>
        <v>Алберт Бенбасат</v>
      </c>
      <c r="H988" s="10"/>
      <c r="I988" s="10"/>
      <c r="J988" s="10"/>
      <c r="K988" s="10"/>
      <c r="L988" s="10"/>
      <c r="M988" s="10"/>
      <c r="N988" s="10"/>
      <c r="O988" s="10"/>
      <c r="P988" s="10"/>
      <c r="Q988" s="10"/>
      <c r="R988" s="10"/>
      <c r="S988" s="10"/>
      <c r="T988" s="10"/>
      <c r="U988" s="10"/>
      <c r="V988" s="10"/>
      <c r="W988" s="10"/>
      <c r="X988" s="10"/>
      <c r="Y988" s="10"/>
      <c r="Z988" s="10"/>
    </row>
    <row r="989" spans="1:26" ht="12.75">
      <c r="A989" s="10" t="str">
        <f ca="1">IFERROR(__xludf.DUMMYFUNCTION("""COMPUTED_VALUE"""),"Васил Йорданов Загоров")</f>
        <v>Васил Йорданов Загоров</v>
      </c>
      <c r="B989" s="10" t="str">
        <f ca="1">IFERROR(__xludf.DUMMYFUNCTION("""COMPUTED_VALUE"""),"Статия в списания и поредици")</f>
        <v>Статия в списания и поредици</v>
      </c>
      <c r="C989" s="10" t="str">
        <f ca="1">IFERROR(__xludf.DUMMYFUNCTION("""COMPUTED_VALUE"""),"Традиции и иновации в развитието на титулната страница в българската книга след Освобождението")</f>
        <v>Традиции и иновации в развитието на титулната страница в българската книга след Освобождението</v>
      </c>
      <c r="D989" s="10">
        <f ca="1">IFERROR(__xludf.DUMMYFUNCTION("""COMPUTED_VALUE"""),2015)</f>
        <v>2015</v>
      </c>
      <c r="E989" s="10" t="str">
        <f ca="1">IFERROR(__xludf.DUMMYFUNCTION("""COMPUTED_VALUE"""),"В: Съвременни измерения на европейското образователно пространство. София : За буквите – О писменехь, 2015, с.78-82, ISSN 2367-7988")</f>
        <v>В: Съвременни измерения на европейското образователно пространство. София : За буквите – О писменехь, 2015, с.78-82, ISSN 2367-7988</v>
      </c>
      <c r="F989" s="10"/>
      <c r="G989" s="10"/>
      <c r="H989" s="10"/>
      <c r="I989" s="10"/>
      <c r="J989" s="10"/>
      <c r="K989" s="10"/>
      <c r="L989" s="10"/>
      <c r="M989" s="10"/>
      <c r="N989" s="10"/>
      <c r="O989" s="10"/>
      <c r="P989" s="10"/>
      <c r="Q989" s="10"/>
      <c r="R989" s="10"/>
      <c r="S989" s="10"/>
      <c r="T989" s="10"/>
      <c r="U989" s="10"/>
      <c r="V989" s="10"/>
      <c r="W989" s="10"/>
      <c r="X989" s="10"/>
      <c r="Y989" s="10"/>
      <c r="Z989" s="10"/>
    </row>
    <row r="990" spans="1:26" ht="12.75">
      <c r="A990" s="10" t="str">
        <f ca="1">IFERROR(__xludf.DUMMYFUNCTION("""COMPUTED_VALUE"""),"Васил Йорданов Загоров")</f>
        <v>Васил Йорданов Загоров</v>
      </c>
      <c r="B990" s="10" t="str">
        <f ca="1">IFERROR(__xludf.DUMMYFUNCTION("""COMPUTED_VALUE"""),"Глава от колективна монография")</f>
        <v>Глава от колективна монография</v>
      </c>
      <c r="C990" s="10" t="str">
        <f ca="1">IFERROR(__xludf.DUMMYFUNCTION("""COMPUTED_VALUE"""),"Learning by doing или обучение чрез практика в българското библиотечно образование")</f>
        <v>Learning by doing или обучение чрез практика в българското библиотечно образование</v>
      </c>
      <c r="D990" s="10">
        <f ca="1">IFERROR(__xludf.DUMMYFUNCTION("""COMPUTED_VALUE"""),2015)</f>
        <v>2015</v>
      </c>
      <c r="E990" s="10" t="str">
        <f ca="1">IFERROR(__xludf.DUMMYFUNCTION("""COMPUTED_VALUE"""),"В: Обучение чрез прктика в сферата на библиотекознанието. София: За буквите - О писменехь, 2015, с.7-14, ISBN 978619185206-2")</f>
        <v>В: Обучение чрез прктика в сферата на библиотекознанието. София: За буквите - О писменехь, 2015, с.7-14, ISBN 978619185206-2</v>
      </c>
      <c r="F990" s="10"/>
      <c r="G990" s="10" t="str">
        <f ca="1">IFERROR(__xludf.DUMMYFUNCTION("""COMPUTED_VALUE"""),"Пламена Златкова")</f>
        <v>Пламена Златкова</v>
      </c>
      <c r="H990" s="10"/>
      <c r="I990" s="10"/>
      <c r="J990" s="10"/>
      <c r="K990" s="10"/>
      <c r="L990" s="10"/>
      <c r="M990" s="10"/>
      <c r="N990" s="10"/>
      <c r="O990" s="10"/>
      <c r="P990" s="10"/>
      <c r="Q990" s="10"/>
      <c r="R990" s="10"/>
      <c r="S990" s="10"/>
      <c r="T990" s="10"/>
      <c r="U990" s="10"/>
      <c r="V990" s="10"/>
      <c r="W990" s="10"/>
      <c r="X990" s="10"/>
      <c r="Y990" s="10"/>
      <c r="Z990" s="10"/>
    </row>
    <row r="991" spans="1:26" ht="12.75">
      <c r="A991" s="10" t="str">
        <f ca="1">IFERROR(__xludf.DUMMYFUNCTION("""COMPUTED_VALUE"""),"Васил Йорданов Загоров")</f>
        <v>Васил Йорданов Загоров</v>
      </c>
      <c r="B991" s="10" t="str">
        <f ca="1">IFERROR(__xludf.DUMMYFUNCTION("""COMPUTED_VALUE"""),"Учебно пособие")</f>
        <v>Учебно пособие</v>
      </c>
      <c r="C991" s="10" t="str">
        <f ca="1">IFERROR(__xludf.DUMMYFUNCTION("""COMPUTED_VALUE"""),"История на книгата – електронни ресурси")</f>
        <v>История на книгата – електронни ресурси</v>
      </c>
      <c r="D991" s="10">
        <f ca="1">IFERROR(__xludf.DUMMYFUNCTION("""COMPUTED_VALUE"""),2014)</f>
        <v>2014</v>
      </c>
      <c r="E991" s="10" t="str">
        <f ca="1">IFERROR(__xludf.DUMMYFUNCTION("""COMPUTED_VALUE"""),"София : За буквите - О писменехь, 2014. - 107 с. : с табл., портр., факс. ; 21 см. ISBN 978-619-185-039-6")</f>
        <v>София : За буквите - О писменехь, 2014. - 107 с. : с табл., портр., факс. ; 21 см. ISBN 978-619-185-039-6</v>
      </c>
      <c r="F991" s="10" t="str">
        <f ca="1">IFERROR(__xludf.DUMMYFUNCTION("""COMPUTED_VALUE"""),"Cobiss")</f>
        <v>Cobiss</v>
      </c>
      <c r="G991" s="10"/>
      <c r="H991" s="10"/>
      <c r="I991" s="10"/>
      <c r="J991" s="10"/>
      <c r="K991" s="10"/>
      <c r="L991" s="10"/>
      <c r="M991" s="10"/>
      <c r="N991" s="10"/>
      <c r="O991" s="10"/>
      <c r="P991" s="10"/>
      <c r="Q991" s="10"/>
      <c r="R991" s="10"/>
      <c r="S991" s="10"/>
      <c r="T991" s="10"/>
      <c r="U991" s="10"/>
      <c r="V991" s="10"/>
      <c r="W991" s="10"/>
      <c r="X991" s="10"/>
      <c r="Y991" s="10"/>
      <c r="Z991" s="10"/>
    </row>
    <row r="992" spans="1:26" ht="12.75">
      <c r="A992" s="10" t="str">
        <f ca="1">IFERROR(__xludf.DUMMYFUNCTION("""COMPUTED_VALUE"""),"Васил Йорданов Загоров")</f>
        <v>Васил Йорданов Загоров</v>
      </c>
      <c r="B992" s="10" t="str">
        <f ca="1">IFERROR(__xludf.DUMMYFUNCTION("""COMPUTED_VALUE"""),"Монография")</f>
        <v>Монография</v>
      </c>
      <c r="C992" s="10" t="str">
        <f ca="1">IFERROR(__xludf.DUMMYFUNCTION("""COMPUTED_VALUE"""),"Българската книга (1878–1912). От възрожденския идеал до комерсализацията.")</f>
        <v>Българската книга (1878–1912). От възрожденския идеал до комерсализацията.</v>
      </c>
      <c r="D992" s="10">
        <f ca="1">IFERROR(__xludf.DUMMYFUNCTION("""COMPUTED_VALUE"""),2014)</f>
        <v>2014</v>
      </c>
      <c r="E992" s="10" t="str">
        <f ca="1">IFERROR(__xludf.DUMMYFUNCTION("""COMPUTED_VALUE"""),"За буквите-О писменехь, 2014. - 246 с. : с табл., портр., факс. ; 23 см. ISBN 978-619-185-002-0")</f>
        <v>За буквите-О писменехь, 2014. - 246 с. : с табл., портр., факс. ; 23 см. ISBN 978-619-185-002-0</v>
      </c>
      <c r="F992" s="10" t="str">
        <f ca="1">IFERROR(__xludf.DUMMYFUNCTION("""COMPUTED_VALUE"""),"Cobiss, Academia.edu")</f>
        <v>Cobiss, Academia.edu</v>
      </c>
      <c r="G992" s="10"/>
      <c r="H992" s="10"/>
      <c r="I992" s="10"/>
      <c r="J992" s="10"/>
      <c r="K992" s="10"/>
      <c r="L992" s="10"/>
      <c r="M992" s="10"/>
      <c r="N992" s="10"/>
      <c r="O992" s="10"/>
      <c r="P992" s="10"/>
      <c r="Q992" s="10"/>
      <c r="R992" s="10"/>
      <c r="S992" s="10"/>
      <c r="T992" s="10"/>
      <c r="U992" s="10"/>
      <c r="V992" s="10"/>
      <c r="W992" s="10"/>
      <c r="X992" s="10"/>
      <c r="Y992" s="10"/>
      <c r="Z992" s="10"/>
    </row>
    <row r="993" spans="1:26" ht="12.75">
      <c r="A993" s="10" t="str">
        <f ca="1">IFERROR(__xludf.DUMMYFUNCTION("""COMPUTED_VALUE"""),"Васил Йорданов Загоров")</f>
        <v>Васил Йорданов Загоров</v>
      </c>
      <c r="B993" s="10" t="str">
        <f ca="1">IFERROR(__xludf.DUMMYFUNCTION("""COMPUTED_VALUE"""),"Учебно пособие")</f>
        <v>Учебно пособие</v>
      </c>
      <c r="C993" s="10" t="str">
        <f ca="1">IFERROR(__xludf.DUMMYFUNCTION("""COMPUTED_VALUE"""),"История и теория на журналистиката")</f>
        <v>История и теория на журналистиката</v>
      </c>
      <c r="D993" s="10">
        <f ca="1">IFERROR(__xludf.DUMMYFUNCTION("""COMPUTED_VALUE"""),2014)</f>
        <v>2014</v>
      </c>
      <c r="E993" s="10" t="str">
        <f ca="1">IFERROR(__xludf.DUMMYFUNCTION("""COMPUTED_VALUE"""),"София : За буквите - О писменехь, 2014. - 82 с. : с табл., портр., факс. ; 21 см. ISBN 978-619-185-040-2")</f>
        <v>София : За буквите - О писменехь, 2014. - 82 с. : с табл., портр., факс. ; 21 см. ISBN 978-619-185-040-2</v>
      </c>
      <c r="F993" s="10" t="str">
        <f ca="1">IFERROR(__xludf.DUMMYFUNCTION("""COMPUTED_VALUE"""),"Cobiss")</f>
        <v>Cobiss</v>
      </c>
      <c r="G993" s="10"/>
      <c r="H993" s="10"/>
      <c r="I993" s="10"/>
      <c r="J993" s="10"/>
      <c r="K993" s="10"/>
      <c r="L993" s="10"/>
      <c r="M993" s="10"/>
      <c r="N993" s="10"/>
      <c r="O993" s="10"/>
      <c r="P993" s="10"/>
      <c r="Q993" s="10"/>
      <c r="R993" s="10"/>
      <c r="S993" s="10"/>
      <c r="T993" s="10"/>
      <c r="U993" s="10"/>
      <c r="V993" s="10"/>
      <c r="W993" s="10"/>
      <c r="X993" s="10"/>
      <c r="Y993" s="10"/>
      <c r="Z993" s="10"/>
    </row>
    <row r="994" spans="1:26" ht="12.75">
      <c r="A994" s="10" t="str">
        <f ca="1">IFERROR(__xludf.DUMMYFUNCTION("""COMPUTED_VALUE"""),"Васил Йорданов Загоров")</f>
        <v>Васил Йорданов Загоров</v>
      </c>
      <c r="B994" s="10" t="str">
        <f ca="1">IFERROR(__xludf.DUMMYFUNCTION("""COMPUTED_VALUE"""),"Статия в списания и поредици")</f>
        <v>Статия в списания и поредици</v>
      </c>
      <c r="C994" s="10" t="str">
        <f ca="1">IFERROR(__xludf.DUMMYFUNCTION("""COMPUTED_VALUE"""),"Управление на знанието и иновации в областта на история на книгата")</f>
        <v>Управление на знанието и иновации в областта на история на книгата</v>
      </c>
      <c r="D994" s="10">
        <f ca="1">IFERROR(__xludf.DUMMYFUNCTION("""COMPUTED_VALUE"""),2014)</f>
        <v>2014</v>
      </c>
      <c r="E994" s="10" t="str">
        <f ca="1">IFERROR(__xludf.DUMMYFUNCTION("""COMPUTED_VALUE"""),"Съвременни стратегии и инoвации в управление на знанието. Сборник с доклади от Първа научна конференция 3-4 декември 2014. София: За буквите – О писменех, 2014. С. 80-87. ISBN 978-619-185-140-9")</f>
        <v>Съвременни стратегии и инoвации в управление на знанието. Сборник с доклади от Първа научна конференция 3-4 декември 2014. София: За буквите – О писменех, 2014. С. 80-87. ISBN 978-619-185-140-9</v>
      </c>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c r="A995" s="10" t="str">
        <f ca="1">IFERROR(__xludf.DUMMYFUNCTION("""COMPUTED_VALUE"""),"Васил Йорданов Загоров")</f>
        <v>Васил Йорданов Загоров</v>
      </c>
      <c r="B995" s="10" t="str">
        <f ca="1">IFERROR(__xludf.DUMMYFUNCTION("""COMPUTED_VALUE"""),"Статия в списания и поредици")</f>
        <v>Статия в списания и поредици</v>
      </c>
      <c r="C995" s="10" t="str">
        <f ca="1">IFERROR(__xludf.DUMMYFUNCTION("""COMPUTED_VALUE"""),"Книгоиздание Русского Зарубежья в Болгарии до 1944 Г.: Периодизация - организация – проблемы")</f>
        <v>Книгоиздание Русского Зарубежья в Болгарии до 1944 Г.: Периодизация - организация – проблемы</v>
      </c>
      <c r="D995" s="10">
        <f ca="1">IFERROR(__xludf.DUMMYFUNCTION("""COMPUTED_VALUE"""),2014)</f>
        <v>2014</v>
      </c>
      <c r="E995" s="10" t="str">
        <f ca="1">IFERROR(__xludf.DUMMYFUNCTION("""COMPUTED_VALUE"""),"Известия высших учебных заведений. проблемы полиграфии и издательского дела. 2014, №2 , с. 65–78. ISSN 2072-6775")</f>
        <v>Известия высших учебных заведений. проблемы полиграфии и издательского дела. 2014, №2 , с. 65–78. ISSN 2072-6775</v>
      </c>
      <c r="F995" s="10"/>
      <c r="G995" s="10"/>
      <c r="H995" s="10"/>
      <c r="I995" s="10"/>
      <c r="J995" s="10"/>
      <c r="K995" s="10"/>
      <c r="L995" s="10"/>
      <c r="M995" s="10"/>
      <c r="N995" s="10"/>
      <c r="O995" s="10"/>
      <c r="P995" s="10"/>
      <c r="Q995" s="10"/>
      <c r="R995" s="10"/>
      <c r="S995" s="10"/>
      <c r="T995" s="10"/>
      <c r="U995" s="10"/>
      <c r="V995" s="10"/>
      <c r="W995" s="10"/>
      <c r="X995" s="10"/>
      <c r="Y995" s="10"/>
      <c r="Z995" s="10"/>
    </row>
    <row r="996" spans="1:26" ht="12.75">
      <c r="A996" s="10" t="str">
        <f ca="1">IFERROR(__xludf.DUMMYFUNCTION("""COMPUTED_VALUE"""),"Васил Йорданов Загоров")</f>
        <v>Васил Йорданов Загоров</v>
      </c>
      <c r="B996" s="10" t="str">
        <f ca="1">IFERROR(__xludf.DUMMYFUNCTION("""COMPUTED_VALUE"""),"Статия в списания и поредици")</f>
        <v>Статия в списания и поредици</v>
      </c>
      <c r="C996" s="10" t="str">
        <f ca="1">IFERROR(__xludf.DUMMYFUNCTION("""COMPUTED_VALUE"""),"Славянското книгопечатане в Италия през XVI век. Въпроси без отговори")</f>
        <v>Славянското книгопечатане в Италия през XVI век. Въпроси без отговори</v>
      </c>
      <c r="D996" s="10">
        <f ca="1">IFERROR(__xludf.DUMMYFUNCTION("""COMPUTED_VALUE"""),2014)</f>
        <v>2014</v>
      </c>
      <c r="E996" s="10" t="str">
        <f ca="1">IFERROR(__xludf.DUMMYFUNCTION("""COMPUTED_VALUE"""),"В: Съвременни измерения на европейското образователно и научно пространство. Сборник с доклади от международните пътуващи семинари на УниБИТ. София: За буквите - О писменехь, с. 171-181. ISBN 978-619-185-133-1")</f>
        <v>В: Съвременни измерения на европейското образователно и научно пространство. Сборник с доклади от международните пътуващи семинари на УниБИТ. София: За буквите - О писменехь, с. 171-181. ISBN 978-619-185-133-1</v>
      </c>
      <c r="F996" s="10"/>
      <c r="G996" s="10"/>
      <c r="H996" s="10"/>
      <c r="I996" s="10"/>
      <c r="J996" s="10"/>
      <c r="K996" s="10"/>
      <c r="L996" s="10"/>
      <c r="M996" s="10"/>
      <c r="N996" s="10"/>
      <c r="O996" s="10"/>
      <c r="P996" s="10"/>
      <c r="Q996" s="10"/>
      <c r="R996" s="10"/>
      <c r="S996" s="10"/>
      <c r="T996" s="10"/>
      <c r="U996" s="10"/>
      <c r="V996" s="10"/>
      <c r="W996" s="10"/>
      <c r="X996" s="10"/>
      <c r="Y996" s="10"/>
      <c r="Z996" s="10"/>
    </row>
    <row r="997" spans="1:26" ht="12.75">
      <c r="A997" s="10" t="str">
        <f ca="1">IFERROR(__xludf.DUMMYFUNCTION("""COMPUTED_VALUE"""),"Васил Йорданов Загоров")</f>
        <v>Васил Йорданов Загоров</v>
      </c>
      <c r="B997" s="10" t="str">
        <f ca="1">IFERROR(__xludf.DUMMYFUNCTION("""COMPUTED_VALUE"""),"Учебно пособие")</f>
        <v>Учебно пособие</v>
      </c>
      <c r="C997" s="10" t="str">
        <f ca="1">IFERROR(__xludf.DUMMYFUNCTION("""COMPUTED_VALUE"""),"Печатни медии и национална идентичност")</f>
        <v>Печатни медии и национална идентичност</v>
      </c>
      <c r="D997" s="10">
        <f ca="1">IFERROR(__xludf.DUMMYFUNCTION("""COMPUTED_VALUE"""),2014)</f>
        <v>2014</v>
      </c>
      <c r="E997" s="10" t="str">
        <f ca="1">IFERROR(__xludf.DUMMYFUNCTION("""COMPUTED_VALUE"""),"София : За буквите - О писменехь, 2014. - 87 с. : с табл., портр., факс. ; 21 см. ISBN 978-619-185-038-9")</f>
        <v>София : За буквите - О писменехь, 2014. - 87 с. : с табл., портр., факс. ; 21 см. ISBN 978-619-185-038-9</v>
      </c>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c r="A998" s="10" t="str">
        <f ca="1">IFERROR(__xludf.DUMMYFUNCTION("""COMPUTED_VALUE"""),"Васил Йорданов Загоров")</f>
        <v>Васил Йорданов Загоров</v>
      </c>
      <c r="B998" s="10" t="str">
        <f ca="1">IFERROR(__xludf.DUMMYFUNCTION("""COMPUTED_VALUE"""),"Статия в списания и поредици")</f>
        <v>Статия в списания и поредици</v>
      </c>
      <c r="C998" s="10" t="str">
        <f ca="1">IFERROR(__xludf.DUMMYFUNCTION("""COMPUTED_VALUE"""),"Читател и четиво в България (1878–1912)")</f>
        <v>Читател и четиво в България (1878–1912)</v>
      </c>
      <c r="D998" s="10">
        <f ca="1">IFERROR(__xludf.DUMMYFUNCTION("""COMPUTED_VALUE"""),2013)</f>
        <v>2013</v>
      </c>
      <c r="E998" s="10" t="str">
        <f ca="1">IFERROR(__xludf.DUMMYFUNCTION("""COMPUTED_VALUE"""),"Книгата – нашето по-смислено настояще. София, 2013, с. 85–98. ISSN 1314-7323")</f>
        <v>Книгата – нашето по-смислено настояще. София, 2013, с. 85–98. ISSN 1314-7323</v>
      </c>
      <c r="F998" s="10"/>
      <c r="G998" s="10"/>
      <c r="H998" s="10"/>
      <c r="I998" s="10"/>
      <c r="J998" s="10"/>
      <c r="K998" s="10"/>
      <c r="L998" s="10"/>
      <c r="M998" s="10"/>
      <c r="N998" s="10"/>
      <c r="O998" s="10"/>
      <c r="P998" s="10"/>
      <c r="Q998" s="10"/>
      <c r="R998" s="10"/>
      <c r="S998" s="10"/>
      <c r="T998" s="10"/>
      <c r="U998" s="10"/>
      <c r="V998" s="10"/>
      <c r="W998" s="10"/>
      <c r="X998" s="10"/>
      <c r="Y998" s="10"/>
      <c r="Z998" s="10"/>
    </row>
    <row r="999" spans="1:26" ht="12.75">
      <c r="A999" s="10" t="str">
        <f ca="1">IFERROR(__xludf.DUMMYFUNCTION("""COMPUTED_VALUE"""),"Васил Йорданов Загоров")</f>
        <v>Васил Йорданов Загоров</v>
      </c>
      <c r="B999" s="10" t="str">
        <f ca="1">IFERROR(__xludf.DUMMYFUNCTION("""COMPUTED_VALUE"""),"Статия в списания и поредици")</f>
        <v>Статия в списания и поредици</v>
      </c>
      <c r="C999" s="10" t="str">
        <f ca="1">IFERROR(__xludf.DUMMYFUNCTION("""COMPUTED_VALUE"""),"Формиране, развитие и функционални аспекти на българската печатна графосфера от Освобождението до Независимостта. Дигитално представяне на историческото развитие на българската книга (1878–1908).")</f>
        <v>Формиране, развитие и функционални аспекти на българската печатна графосфера от Освобождението до Независимостта. Дигитално представяне на историческото развитие на българската книга (1878–1908).</v>
      </c>
      <c r="D999" s="10">
        <f ca="1">IFERROR(__xludf.DUMMYFUNCTION("""COMPUTED_VALUE"""),2013)</f>
        <v>2013</v>
      </c>
      <c r="E999" s="10" t="str">
        <f ca="1">IFERROR(__xludf.DUMMYFUNCTION("""COMPUTED_VALUE"""),"Нови информационни технологии в образователния процес. Доклади и съобщения от Седмия научен семинар на УниБИТ, проведен в Охрид на 29–31 май 2012 г., с. 100–104. ISSN 1313-2768")</f>
        <v>Нови информационни технологии в образователния процес. Доклади и съобщения от Седмия научен семинар на УниБИТ, проведен в Охрид на 29–31 май 2012 г., с. 100–104. ISSN 1313-2768</v>
      </c>
      <c r="F999" s="10"/>
      <c r="G999" s="10" t="str">
        <f ca="1">IFERROR(__xludf.DUMMYFUNCTION("""COMPUTED_VALUE"""),"Пламена Златкова")</f>
        <v>Пламена Златкова</v>
      </c>
      <c r="H999" s="10"/>
      <c r="I999" s="10"/>
      <c r="J999" s="10"/>
      <c r="K999" s="10"/>
      <c r="L999" s="10"/>
      <c r="M999" s="10"/>
      <c r="N999" s="10"/>
      <c r="O999" s="10"/>
      <c r="P999" s="10"/>
      <c r="Q999" s="10"/>
      <c r="R999" s="10"/>
      <c r="S999" s="10"/>
      <c r="T999" s="10"/>
      <c r="U999" s="10"/>
      <c r="V999" s="10"/>
      <c r="W999" s="10"/>
      <c r="X999" s="10"/>
      <c r="Y999" s="10"/>
      <c r="Z999" s="10"/>
    </row>
    <row r="1000" spans="1:26" ht="12.75">
      <c r="A1000" s="10" t="str">
        <f ca="1">IFERROR(__xludf.DUMMYFUNCTION("""COMPUTED_VALUE"""),"Васил Йорданов Загоров")</f>
        <v>Васил Йорданов Загоров</v>
      </c>
      <c r="B1000" s="10" t="str">
        <f ca="1">IFERROR(__xludf.DUMMYFUNCTION("""COMPUTED_VALUE"""),"Статия в списания и поредици")</f>
        <v>Статия в списания и поредици</v>
      </c>
      <c r="C1000" s="10" t="str">
        <f ca="1">IFERROR(__xludf.DUMMYFUNCTION("""COMPUTED_VALUE"""),"Из историята на авторското право в България")</f>
        <v>Из историята на авторското право в България</v>
      </c>
      <c r="D1000" s="10">
        <f ca="1">IFERROR(__xludf.DUMMYFUNCTION("""COMPUTED_VALUE"""),2013)</f>
        <v>2013</v>
      </c>
      <c r="E1000" s="10" t="str">
        <f ca="1">IFERROR(__xludf.DUMMYFUNCTION("""COMPUTED_VALUE"""),"В: Библиотека, ХХ, 2013, бр. 1, с. 25–34. ISSN 0861 – 847X")</f>
        <v>В: Библиотека, ХХ, 2013, бр. 1, с. 25–34. ISSN 0861 – 847X</v>
      </c>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spans="1:26" ht="12.75">
      <c r="A1001" s="10" t="str">
        <f ca="1">IFERROR(__xludf.DUMMYFUNCTION("""COMPUTED_VALUE"""),"Васил Йорданов Загоров")</f>
        <v>Васил Йорданов Загоров</v>
      </c>
      <c r="B1001" s="10" t="str">
        <f ca="1">IFERROR(__xludf.DUMMYFUNCTION("""COMPUTED_VALUE"""),"Статия в списания и поредици")</f>
        <v>Статия в списания и поредици</v>
      </c>
      <c r="C1001" s="10" t="str">
        <f ca="1">IFERROR(__xludf.DUMMYFUNCTION("""COMPUTED_VALUE"""),"Центрове и териториално развитие на българското книгоиздаване (1878–1908). Приложение и възможности на географските информационни системи в областта на История на книгата")</f>
        <v>Центрове и териториално развитие на българското книгоиздаване (1878–1908). Приложение и възможности на географските информационни системи в областта на История на книгата</v>
      </c>
      <c r="D1001" s="10">
        <f ca="1">IFERROR(__xludf.DUMMYFUNCTION("""COMPUTED_VALUE"""),2013)</f>
        <v>2013</v>
      </c>
      <c r="E1001" s="10" t="str">
        <f ca="1">IFERROR(__xludf.DUMMYFUNCTION("""COMPUTED_VALUE"""),"Библиотеки, четене, комуникации. В. Търново, 2013, с. 294–301. ISSN 1313-8138")</f>
        <v>Библиотеки, четене, комуникации. В. Търново, 2013, с. 294–301. ISSN 1313-8138</v>
      </c>
      <c r="F1001" s="10"/>
      <c r="G1001" s="10" t="str">
        <f ca="1">IFERROR(__xludf.DUMMYFUNCTION("""COMPUTED_VALUE"""),"Добри Бояджиев")</f>
        <v>Добри Бояджиев</v>
      </c>
      <c r="H1001" s="10"/>
      <c r="I1001" s="10"/>
      <c r="J1001" s="10"/>
      <c r="K1001" s="10"/>
      <c r="L1001" s="10"/>
      <c r="M1001" s="10"/>
      <c r="N1001" s="10"/>
      <c r="O1001" s="10"/>
      <c r="P1001" s="10"/>
      <c r="Q1001" s="10"/>
      <c r="R1001" s="10"/>
      <c r="S1001" s="10"/>
      <c r="T1001" s="10"/>
      <c r="U1001" s="10"/>
      <c r="V1001" s="10"/>
      <c r="W1001" s="10"/>
      <c r="X1001" s="10"/>
      <c r="Y1001" s="10"/>
      <c r="Z1001" s="10"/>
    </row>
    <row r="1002" spans="1:26" ht="12.75">
      <c r="A1002" s="10" t="str">
        <f ca="1">IFERROR(__xludf.DUMMYFUNCTION("""COMPUTED_VALUE"""),"Васил Йорданов Загоров")</f>
        <v>Васил Йорданов Загоров</v>
      </c>
      <c r="B1002" s="10" t="str">
        <f ca="1">IFERROR(__xludf.DUMMYFUNCTION("""COMPUTED_VALUE"""),"Статия в списания и поредици")</f>
        <v>Статия в списания и поредици</v>
      </c>
      <c r="C1002" s="10" t="str">
        <f ca="1">IFERROR(__xludf.DUMMYFUNCTION("""COMPUTED_VALUE"""),"Правна регламентация на книжовните занимания в
 България (1878-1908")</f>
        <v>Правна регламентация на книжовните занимания в
 България (1878-1908</v>
      </c>
      <c r="D1002" s="10">
        <f ca="1">IFERROR(__xludf.DUMMYFUNCTION("""COMPUTED_VALUE"""),2013)</f>
        <v>2013</v>
      </c>
      <c r="E1002" s="10" t="str">
        <f ca="1">IFERROR(__xludf.DUMMYFUNCTION("""COMPUTED_VALUE"""),"Общество на знанието и хуманизмът на XXI. София, 2013, с. 90-99. ISBN 978-954-2946-09-0")</f>
        <v>Общество на знанието и хуманизмът на XXI. София, 2013, с. 90-99. ISBN 978-954-2946-09-0</v>
      </c>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spans="1:26" ht="12.75">
      <c r="A1003" s="10" t="str">
        <f ca="1">IFERROR(__xludf.DUMMYFUNCTION("""COMPUTED_VALUE"""),"Васил Йорданов Загоров")</f>
        <v>Васил Йорданов Загоров</v>
      </c>
      <c r="B1003" s="10" t="str">
        <f ca="1">IFERROR(__xludf.DUMMYFUNCTION("""COMPUTED_VALUE"""),"Статия в списания и поредици")</f>
        <v>Статия в списания и поредици</v>
      </c>
      <c r="C1003" s="10" t="str">
        <f ca="1">IFERROR(__xludf.DUMMYFUNCTION("""COMPUTED_VALUE"""),"Дигитално представяне на историческото развитие на българската книга (1878–1908)")</f>
        <v>Дигитално представяне на историческото развитие на българската книга (1878–1908)</v>
      </c>
      <c r="D1003" s="10">
        <f ca="1">IFERROR(__xludf.DUMMYFUNCTION("""COMPUTED_VALUE"""),2012)</f>
        <v>2012</v>
      </c>
      <c r="E1003" s="10" t="str">
        <f ca="1">IFERROR(__xludf.DUMMYFUNCTION("""COMPUTED_VALUE"""),"Образование и технологии, III, бр.3, 2012, с.124–125. ISSN 1314–1791")</f>
        <v>Образование и технологии, III, бр.3, 2012, с.124–125. ISSN 1314–1791</v>
      </c>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spans="1:26" ht="12.75">
      <c r="A1004" s="10" t="str">
        <f ca="1">IFERROR(__xludf.DUMMYFUNCTION("""COMPUTED_VALUE"""),"Васил Йорданов Загоров")</f>
        <v>Васил Йорданов Загоров</v>
      </c>
      <c r="B1004" s="10" t="str">
        <f ca="1">IFERROR(__xludf.DUMMYFUNCTION("""COMPUTED_VALUE"""),"Статия в списания и поредици")</f>
        <v>Статия в списания и поредици</v>
      </c>
      <c r="C1004" s="10" t="str">
        <f ca="1">IFERROR(__xludf.DUMMYFUNCTION("""COMPUTED_VALUE"""),"„Книга-книжовност-книгоиздаване“ – един проект на Алберт Бенбасат")</f>
        <v>„Книга-книжовност-книгоиздаване“ – един проект на Алберт Бенбасат</v>
      </c>
      <c r="D1004" s="10">
        <f ca="1">IFERROR(__xludf.DUMMYFUNCTION("""COMPUTED_VALUE"""),2012)</f>
        <v>2012</v>
      </c>
      <c r="E1004" s="10" t="str">
        <f ca="1">IFERROR(__xludf.DUMMYFUNCTION("""COMPUTED_VALUE"""),"Библиотеки, четене, комуникации. В. Търново, 2012, с. 62–71. ISSN 1313-8138")</f>
        <v>Библиотеки, четене, комуникации. В. Търново, 2012, с. 62–71. ISSN 1313-8138</v>
      </c>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spans="1:26" ht="12.75">
      <c r="A1005" s="10" t="str">
        <f ca="1">IFERROR(__xludf.DUMMYFUNCTION("""COMPUTED_VALUE"""),"Васил Йорданов Загоров")</f>
        <v>Васил Йорданов Загоров</v>
      </c>
      <c r="B1005" s="10" t="str">
        <f ca="1">IFERROR(__xludf.DUMMYFUNCTION("""COMPUTED_VALUE"""),"Статия в списания и поредици")</f>
        <v>Статия в списания и поредици</v>
      </c>
      <c r="C1005" s="10" t="str">
        <f ca="1">IFERROR(__xludf.DUMMYFUNCTION("""COMPUTED_VALUE"""),"История на книгата в нова информационна среда")</f>
        <v>История на книгата в нова информационна среда</v>
      </c>
      <c r="D1005" s="10">
        <f ca="1">IFERROR(__xludf.DUMMYFUNCTION("""COMPUTED_VALUE"""),2012)</f>
        <v>2012</v>
      </c>
      <c r="E1005" s="10" t="str">
        <f ca="1">IFERROR(__xludf.DUMMYFUNCTION("""COMPUTED_VALUE"""),"Сборник с доклади от научния семинар по книгоиздаване, проведен на 4 декември 2010 г. във Факултета по журналистика и масова комуникация на Софийския университет ""Св. Климент Охридски"" / състав. Алберт Бенбасат. София : Унив. изд. ""Св. Климент Охридски"&amp;""", 2012, с. 112–117. ISBN 978-954-07-3387-6")</f>
        <v>Сборник с доклади от научния семинар по книгоиздаване, проведен на 4 декември 2010 г. във Факултета по журналистика и масова комуникация на Софийския университет "Св. Климент Охридски" / състав. Алберт Бенбасат. София : Унив. изд. "Св. Климент Охридски", 2012, с. 112–117. ISBN 978-954-07-3387-6</v>
      </c>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spans="1:26" ht="12.75">
      <c r="A1006" s="10" t="str">
        <f ca="1">IFERROR(__xludf.DUMMYFUNCTION("""COMPUTED_VALUE"""),"Васил Йорданов Загоров")</f>
        <v>Васил Йорданов Загоров</v>
      </c>
      <c r="B1006" s="10" t="str">
        <f ca="1">IFERROR(__xludf.DUMMYFUNCTION("""COMPUTED_VALUE"""),"Статия в списания и поредици")</f>
        <v>Статия в списания и поредици</v>
      </c>
      <c r="C1006" s="10" t="str">
        <f ca="1">IFERROR(__xludf.DUMMYFUNCTION("""COMPUTED_VALUE"""),"Центрове на българското книгоиздаване (1878–1908)")</f>
        <v>Центрове на българското книгоиздаване (1878–1908)</v>
      </c>
      <c r="D1006" s="10">
        <f ca="1">IFERROR(__xludf.DUMMYFUNCTION("""COMPUTED_VALUE"""),2012)</f>
        <v>2012</v>
      </c>
      <c r="E1006" s="10" t="str">
        <f ca="1">IFERROR(__xludf.DUMMYFUNCTION("""COMPUTED_VALUE"""),"Книгата – нашето по-смислено настояще. София, 2012, с. 69–77. ISSN 1314-7323")</f>
        <v>Книгата – нашето по-смислено настояще. София, 2012, с. 69–77. ISSN 1314-7323</v>
      </c>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spans="1:26" ht="12.75">
      <c r="A1007" s="10" t="str">
        <f ca="1">IFERROR(__xludf.DUMMYFUNCTION("""COMPUTED_VALUE"""),"Васил Йорданов Загоров")</f>
        <v>Васил Йорданов Загоров</v>
      </c>
      <c r="B1007" s="10" t="str">
        <f ca="1">IFERROR(__xludf.DUMMYFUNCTION("""COMPUTED_VALUE"""),"Статия в списания и поредици")</f>
        <v>Статия в списания и поредици</v>
      </c>
      <c r="C1007" s="10" t="str">
        <f ca="1">IFERROR(__xludf.DUMMYFUNCTION("""COMPUTED_VALUE"""),"Тарзан – историята на един бестселър")</f>
        <v>Тарзан – историята на един бестселър</v>
      </c>
      <c r="D1007" s="10">
        <f ca="1">IFERROR(__xludf.DUMMYFUNCTION("""COMPUTED_VALUE"""),2012)</f>
        <v>2012</v>
      </c>
      <c r="E1007" s="10" t="str">
        <f ca="1">IFERROR(__xludf.DUMMYFUNCTION("""COMPUTED_VALUE"""),"Ани Гергова – живот с книжовни пристрастия. Сборник в чест на 75-годишнината й. София, 2012, с. 208–218. ISBN 978-954-07-3415-6")</f>
        <v>Ани Гергова – живот с книжовни пристрастия. Сборник в чест на 75-годишнината й. София, 2012, с. 208–218. ISBN 978-954-07-3415-6</v>
      </c>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spans="1:26" ht="12.75">
      <c r="A1008" s="10" t="str">
        <f ca="1">IFERROR(__xludf.DUMMYFUNCTION("""COMPUTED_VALUE"""),"Васил Йорданов Загоров")</f>
        <v>Васил Йорданов Загоров</v>
      </c>
      <c r="B1008" s="10" t="str">
        <f ca="1">IFERROR(__xludf.DUMMYFUNCTION("""COMPUTED_VALUE"""),"Статия в списания и поредици")</f>
        <v>Статия в списания и поредици</v>
      </c>
      <c r="C1008" s="10" t="str">
        <f ca="1">IFERROR(__xludf.DUMMYFUNCTION("""COMPUTED_VALUE"""),"„Чети! Сподели! Бъди крачка напред”")</f>
        <v>„Чети! Сподели! Бъди крачка напред”</v>
      </c>
      <c r="D1008" s="10">
        <f ca="1">IFERROR(__xludf.DUMMYFUNCTION("""COMPUTED_VALUE"""),2012)</f>
        <v>2012</v>
      </c>
      <c r="E1008" s="10" t="str">
        <f ca="1">IFERROR(__xludf.DUMMYFUNCTION("""COMPUTED_VALUE"""),"Книгата – нашето по-смислено настояще. София, 2012, с. 78–92. ISSN 1314-7323")</f>
        <v>Книгата – нашето по-смислено настояще. София, 2012, с. 78–92. ISSN 1314-7323</v>
      </c>
      <c r="F1008" s="10"/>
      <c r="G1008" s="10" t="str">
        <f ca="1">IFERROR(__xludf.DUMMYFUNCTION("""COMPUTED_VALUE"""),"Пламена Златкова")</f>
        <v>Пламена Златкова</v>
      </c>
      <c r="H1008" s="10"/>
      <c r="I1008" s="10"/>
      <c r="J1008" s="10"/>
      <c r="K1008" s="10"/>
      <c r="L1008" s="10"/>
      <c r="M1008" s="10"/>
      <c r="N1008" s="10"/>
      <c r="O1008" s="10"/>
      <c r="P1008" s="10"/>
      <c r="Q1008" s="10"/>
      <c r="R1008" s="10"/>
      <c r="S1008" s="10"/>
      <c r="T1008" s="10"/>
      <c r="U1008" s="10"/>
      <c r="V1008" s="10"/>
      <c r="W1008" s="10"/>
      <c r="X1008" s="10"/>
      <c r="Y1008" s="10"/>
      <c r="Z1008" s="10"/>
    </row>
    <row r="1009" spans="1:26" ht="12.75">
      <c r="A1009" s="10" t="str">
        <f ca="1">IFERROR(__xludf.DUMMYFUNCTION("""COMPUTED_VALUE"""),"Васил Йорданов Загоров")</f>
        <v>Васил Йорданов Загоров</v>
      </c>
      <c r="B1009" s="10" t="str">
        <f ca="1">IFERROR(__xludf.DUMMYFUNCTION("""COMPUTED_VALUE"""),"Статия в списания и поредици")</f>
        <v>Статия в списания и поредици</v>
      </c>
      <c r="C1009" s="10" t="str">
        <f ca="1">IFERROR(__xludf.DUMMYFUNCTION("""COMPUTED_VALUE"""),"Книга и цвете за 23 април")</f>
        <v>Книга и цвете за 23 април</v>
      </c>
      <c r="D1009" s="10">
        <f ca="1">IFERROR(__xludf.DUMMYFUNCTION("""COMPUTED_VALUE"""),2011)</f>
        <v>2011</v>
      </c>
      <c r="E1009" s="10" t="str">
        <f ca="1">IFERROR(__xludf.DUMMYFUNCTION("""COMPUTED_VALUE"""),"Библиотека, бр. 3, 2011, с. 15–17. ISSN 0861 – 847X")</f>
        <v>Библиотека, бр. 3, 2011, с. 15–17. ISSN 0861 – 847X</v>
      </c>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spans="1:26" ht="12.75">
      <c r="A1010" s="10" t="str">
        <f ca="1">IFERROR(__xludf.DUMMYFUNCTION("""COMPUTED_VALUE"""),"Васил Йорданов Загоров")</f>
        <v>Васил Йорданов Загоров</v>
      </c>
      <c r="B1010" s="10" t="str">
        <f ca="1">IFERROR(__xludf.DUMMYFUNCTION("""COMPUTED_VALUE"""),"Статия в списания и поредици")</f>
        <v>Статия в списания и поредици</v>
      </c>
      <c r="C1010" s="10" t="str">
        <f ca="1">IFERROR(__xludf.DUMMYFUNCTION("""COMPUTED_VALUE"""),"Статистически аспекти и проблеми на българското историческо книгознание")</f>
        <v>Статистически аспекти и проблеми на българското историческо книгознание</v>
      </c>
      <c r="D1010" s="10">
        <f ca="1">IFERROR(__xludf.DUMMYFUNCTION("""COMPUTED_VALUE"""),2011)</f>
        <v>2011</v>
      </c>
      <c r="E1010" s="10" t="str">
        <f ca="1">IFERROR(__xludf.DUMMYFUNCTION("""COMPUTED_VALUE"""),"Библиотека, бр. 4, 2011, с. 5–9. ISSN 0861 – 847X")</f>
        <v>Библиотека, бр. 4, 2011, с. 5–9. ISSN 0861 – 847X</v>
      </c>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spans="1:26" ht="12.75">
      <c r="A1011" s="10" t="str">
        <f ca="1">IFERROR(__xludf.DUMMYFUNCTION("""COMPUTED_VALUE"""),"Васил Йорданов Загоров")</f>
        <v>Васил Йорданов Загоров</v>
      </c>
      <c r="B1011" s="10" t="str">
        <f ca="1">IFERROR(__xludf.DUMMYFUNCTION("""COMPUTED_VALUE"""),"Статия в списания и поредици")</f>
        <v>Статия в списания и поредици</v>
      </c>
      <c r="C1011" s="10" t="str">
        <f ca="1">IFERROR(__xludf.DUMMYFUNCTION("""COMPUTED_VALUE"""),"Книгоиздателство „Наша родина“ (1918–1922)")</f>
        <v>Книгоиздателство „Наша родина“ (1918–1922)</v>
      </c>
      <c r="D1011" s="10">
        <f ca="1">IFERROR(__xludf.DUMMYFUNCTION("""COMPUTED_VALUE"""),2011)</f>
        <v>2011</v>
      </c>
      <c r="E1011" s="10" t="str">
        <f ca="1">IFERROR(__xludf.DUMMYFUNCTION("""COMPUTED_VALUE"""),"Библиотека, XVIII, бр. 5–6, 2011, с. 84–87. ISSN 0861 – 847X")</f>
        <v>Библиотека, XVIII, бр. 5–6, 2011, с. 84–87. ISSN 0861 – 847X</v>
      </c>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spans="1:26" ht="12.75">
      <c r="A1012" s="10" t="str">
        <f ca="1">IFERROR(__xludf.DUMMYFUNCTION("""COMPUTED_VALUE"""),"Васил Йорданов Загоров")</f>
        <v>Васил Йорданов Загоров</v>
      </c>
      <c r="B1012" s="10" t="str">
        <f ca="1">IFERROR(__xludf.DUMMYFUNCTION("""COMPUTED_VALUE"""),"Статия в списания и поредици")</f>
        <v>Статия в списания и поредици</v>
      </c>
      <c r="C1012" s="10" t="str">
        <f ca="1">IFERROR(__xludf.DUMMYFUNCTION("""COMPUTED_VALUE"""),"Рекомплекти. Издателски, книготърговски, читателски и институционални аспекти")</f>
        <v>Рекомплекти. Издателски, книготърговски, читателски и институционални аспекти</v>
      </c>
      <c r="D1012" s="10">
        <f ca="1">IFERROR(__xludf.DUMMYFUNCTION("""COMPUTED_VALUE"""),2011)</f>
        <v>2011</v>
      </c>
      <c r="E1012" s="10" t="str">
        <f ca="1">IFERROR(__xludf.DUMMYFUNCTION("""COMPUTED_VALUE"""),"Книгата – нашето по-смислено настояще. София, 2011, с. 52–65. ISSN 1314-7323")</f>
        <v>Книгата – нашето по-смислено настояще. София, 2011, с. 52–65. ISSN 1314-7323</v>
      </c>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spans="1:26" ht="12.75">
      <c r="A1013" s="10" t="str">
        <f ca="1">IFERROR(__xludf.DUMMYFUNCTION("""COMPUTED_VALUE"""),"Васил Йорданов Загоров")</f>
        <v>Васил Йорданов Загоров</v>
      </c>
      <c r="B1013" s="10" t="str">
        <f ca="1">IFERROR(__xludf.DUMMYFUNCTION("""COMPUTED_VALUE"""),"Статия в списания и поредици")</f>
        <v>Статия в списания и поредици</v>
      </c>
      <c r="C1013" s="10" t="str">
        <f ca="1">IFERROR(__xludf.DUMMYFUNCTION("""COMPUTED_VALUE"""),"Публичните изложби на книги в България до 1944 г.")</f>
        <v>Публичните изложби на книги в България до 1944 г.</v>
      </c>
      <c r="D1013" s="10">
        <f ca="1">IFERROR(__xludf.DUMMYFUNCTION("""COMPUTED_VALUE"""),2010)</f>
        <v>2010</v>
      </c>
      <c r="E1013" s="10" t="str">
        <f ca="1">IFERROR(__xludf.DUMMYFUNCTION("""COMPUTED_VALUE"""),"В: Панаирът на книгата. Български и балкански измерения. София, 2010, с. 117–121. ISBN 978-954-07-3129-2")</f>
        <v>В: Панаирът на книгата. Български и балкански измерения. София, 2010, с. 117–121. ISBN 978-954-07-3129-2</v>
      </c>
      <c r="F1013" s="10"/>
      <c r="G1013" s="10"/>
      <c r="H1013" s="10"/>
      <c r="I1013" s="10"/>
      <c r="J1013" s="10"/>
      <c r="K1013" s="10"/>
      <c r="L1013" s="10"/>
      <c r="M1013" s="10"/>
      <c r="N1013" s="10"/>
      <c r="O1013" s="10"/>
      <c r="P1013" s="10"/>
      <c r="Q1013" s="10"/>
      <c r="R1013" s="10"/>
      <c r="S1013" s="10"/>
      <c r="T1013" s="10"/>
      <c r="U1013" s="10"/>
      <c r="V1013" s="10"/>
      <c r="W1013" s="10"/>
      <c r="X1013" s="10"/>
      <c r="Y1013" s="10"/>
      <c r="Z1013" s="10"/>
    </row>
    <row r="1014" spans="1:26" ht="12.75">
      <c r="A1014" s="10" t="str">
        <f ca="1">IFERROR(__xludf.DUMMYFUNCTION("""COMPUTED_VALUE"""),"Васил Йорданов Загоров")</f>
        <v>Васил Йорданов Загоров</v>
      </c>
      <c r="B1014" s="10" t="str">
        <f ca="1">IFERROR(__xludf.DUMMYFUNCTION("""COMPUTED_VALUE"""),"Статия в списания и поредици")</f>
        <v>Статия в списания и поредици</v>
      </c>
      <c r="C1014" s="10" t="str">
        <f ca="1">IFERROR(__xludf.DUMMYFUNCTION("""COMPUTED_VALUE"""),"„Престъпление и наказание”. Регламентиране на отношенията автор – преводач – издател в България за периода 1921–1944 г.")</f>
        <v>„Престъпление и наказание”. Регламентиране на отношенията автор – преводач – издател в България за периода 1921–1944 г.</v>
      </c>
      <c r="D1014" s="10">
        <f ca="1">IFERROR(__xludf.DUMMYFUNCTION("""COMPUTED_VALUE"""),2010)</f>
        <v>2010</v>
      </c>
      <c r="E1014" s="10" t="str">
        <f ca="1">IFERROR(__xludf.DUMMYFUNCTION("""COMPUTED_VALUE"""),"Издател, XII, 2010, № 1–3, с. 90–97. ISSN 1310-4624")</f>
        <v>Издател, XII, 2010, № 1–3, с. 90–97. ISSN 1310-4624</v>
      </c>
      <c r="F1014" s="10"/>
      <c r="G1014" s="10"/>
      <c r="H1014" s="10"/>
      <c r="I1014" s="10"/>
      <c r="J1014" s="10"/>
      <c r="K1014" s="10"/>
      <c r="L1014" s="10"/>
      <c r="M1014" s="10"/>
      <c r="N1014" s="10"/>
      <c r="O1014" s="10"/>
      <c r="P1014" s="10"/>
      <c r="Q1014" s="10"/>
      <c r="R1014" s="10"/>
      <c r="S1014" s="10"/>
      <c r="T1014" s="10"/>
      <c r="U1014" s="10"/>
      <c r="V1014" s="10"/>
      <c r="W1014" s="10"/>
      <c r="X1014" s="10"/>
      <c r="Y1014" s="10"/>
      <c r="Z1014" s="10"/>
    </row>
    <row r="1015" spans="1:26" ht="12.75">
      <c r="A1015" s="10" t="str">
        <f ca="1">IFERROR(__xludf.DUMMYFUNCTION("""COMPUTED_VALUE"""),"Васил Йорданов Загоров")</f>
        <v>Васил Йорданов Загоров</v>
      </c>
      <c r="B1015" s="10" t="str">
        <f ca="1">IFERROR(__xludf.DUMMYFUNCTION("""COMPUTED_VALUE"""),"Статия в списания и поредици")</f>
        <v>Статия в списания и поредици</v>
      </c>
      <c r="C1015" s="10" t="str">
        <f ca="1">IFERROR(__xludf.DUMMYFUNCTION("""COMPUTED_VALUE"""),"Свободата на словото в България (1878–2008)")</f>
        <v>Свободата на словото в България (1878–2008)</v>
      </c>
      <c r="D1015" s="10">
        <f ca="1">IFERROR(__xludf.DUMMYFUNCTION("""COMPUTED_VALUE"""),2010)</f>
        <v>2010</v>
      </c>
      <c r="E1015" s="10" t="str">
        <f ca="1">IFERROR(__xludf.DUMMYFUNCTION("""COMPUTED_VALUE"""),"Общество на знанието и хуманизмът на XXI. София, 2010, с. 258–263. ISBN 978-954-2946-09-0")</f>
        <v>Общество на знанието и хуманизмът на XXI. София, 2010, с. 258–263. ISBN 978-954-2946-09-0</v>
      </c>
      <c r="F1015" s="10"/>
      <c r="G1015" s="10"/>
      <c r="H1015" s="10"/>
      <c r="I1015" s="10"/>
      <c r="J1015" s="10"/>
      <c r="K1015" s="10"/>
      <c r="L1015" s="10"/>
      <c r="M1015" s="10"/>
      <c r="N1015" s="10"/>
      <c r="O1015" s="10"/>
      <c r="P1015" s="10"/>
      <c r="Q1015" s="10"/>
      <c r="R1015" s="10"/>
      <c r="S1015" s="10"/>
      <c r="T1015" s="10"/>
      <c r="U1015" s="10"/>
      <c r="V1015" s="10"/>
      <c r="W1015" s="10"/>
      <c r="X1015" s="10"/>
      <c r="Y1015" s="10"/>
      <c r="Z1015" s="10"/>
    </row>
    <row r="1016" spans="1:26" ht="12.75">
      <c r="A1016" s="10" t="str">
        <f ca="1">IFERROR(__xludf.DUMMYFUNCTION("""COMPUTED_VALUE"""),"Васил Йорданов Загоров")</f>
        <v>Васил Йорданов Загоров</v>
      </c>
      <c r="B1016" s="10" t="str">
        <f ca="1">IFERROR(__xludf.DUMMYFUNCTION("""COMPUTED_VALUE"""),"Статия в списания и поредици")</f>
        <v>Статия в списания и поредици</v>
      </c>
      <c r="C1016" s="10" t="str">
        <f ca="1">IFERROR(__xludf.DUMMYFUNCTION("""COMPUTED_VALUE"""),"Книги и клади. Изворознание за умишленото изгаряне на книги през Античността")</f>
        <v>Книги и клади. Изворознание за умишленото изгаряне на книги през Античността</v>
      </c>
      <c r="D1016" s="10">
        <f ca="1">IFERROR(__xludf.DUMMYFUNCTION("""COMPUTED_VALUE"""),2010)</f>
        <v>2010</v>
      </c>
      <c r="E1016" s="10" t="str">
        <f ca="1">IFERROR(__xludf.DUMMYFUNCTION("""COMPUTED_VALUE"""),"Трудове на СВУБИТ. Т. VIII, 2010, с. 209–224. ISSN 1312-5834")</f>
        <v>Трудове на СВУБИТ. Т. VIII, 2010, с. 209–224. ISSN 1312-5834</v>
      </c>
      <c r="F1016" s="10"/>
      <c r="G1016" s="10"/>
      <c r="H1016" s="10"/>
      <c r="I1016" s="10"/>
      <c r="J1016" s="10"/>
      <c r="K1016" s="10"/>
      <c r="L1016" s="10"/>
      <c r="M1016" s="10"/>
      <c r="N1016" s="10"/>
      <c r="O1016" s="10"/>
      <c r="P1016" s="10"/>
      <c r="Q1016" s="10"/>
      <c r="R1016" s="10"/>
      <c r="S1016" s="10"/>
      <c r="T1016" s="10"/>
      <c r="U1016" s="10"/>
      <c r="V1016" s="10"/>
      <c r="W1016" s="10"/>
      <c r="X1016" s="10"/>
      <c r="Y1016" s="10"/>
      <c r="Z1016" s="10"/>
    </row>
    <row r="1017" spans="1:26" ht="12.75">
      <c r="A1017" s="10" t="str">
        <f ca="1">IFERROR(__xludf.DUMMYFUNCTION("""COMPUTED_VALUE"""),"Васил Йорданов Загоров")</f>
        <v>Васил Йорданов Загоров</v>
      </c>
      <c r="B1017" s="10" t="str">
        <f ca="1">IFERROR(__xludf.DUMMYFUNCTION("""COMPUTED_VALUE"""),"Статия в списания и поредици")</f>
        <v>Статия в списания и поредици</v>
      </c>
      <c r="C1017" s="10" t="str">
        <f ca="1">IFERROR(__xludf.DUMMYFUNCTION("""COMPUTED_VALUE"""),"Протожурналистика – антични и средновековни аспекти")</f>
        <v>Протожурналистика – антични и средновековни аспекти</v>
      </c>
      <c r="D1017" s="10">
        <f ca="1">IFERROR(__xludf.DUMMYFUNCTION("""COMPUTED_VALUE"""),2010)</f>
        <v>2010</v>
      </c>
      <c r="E1017" s="10" t="str">
        <f ca="1">IFERROR(__xludf.DUMMYFUNCTION("""COMPUTED_VALUE"""),"Научни трудове на УниБИТ. Т. IX. София, 2010, с.167–174. ISSN 1314-2623")</f>
        <v>Научни трудове на УниБИТ. Т. IX. София, 2010, с.167–174. ISSN 1314-2623</v>
      </c>
      <c r="F1017" s="10"/>
      <c r="G1017" s="10"/>
      <c r="H1017" s="10"/>
      <c r="I1017" s="10"/>
      <c r="J1017" s="10"/>
      <c r="K1017" s="10"/>
      <c r="L1017" s="10"/>
      <c r="M1017" s="10"/>
      <c r="N1017" s="10"/>
      <c r="O1017" s="10"/>
      <c r="P1017" s="10"/>
      <c r="Q1017" s="10"/>
      <c r="R1017" s="10"/>
      <c r="S1017" s="10"/>
      <c r="T1017" s="10"/>
      <c r="U1017" s="10"/>
      <c r="V1017" s="10"/>
      <c r="W1017" s="10"/>
      <c r="X1017" s="10"/>
      <c r="Y1017" s="10"/>
      <c r="Z1017" s="10"/>
    </row>
    <row r="1018" spans="1:26" ht="12.75">
      <c r="A1018" s="10" t="str">
        <f ca="1">IFERROR(__xludf.DUMMYFUNCTION("""COMPUTED_VALUE"""),"Васил Йорданов Загоров")</f>
        <v>Васил Йорданов Загоров</v>
      </c>
      <c r="B1018" s="10" t="str">
        <f ca="1">IFERROR(__xludf.DUMMYFUNCTION("""COMPUTED_VALUE"""),"Доклад от конференция")</f>
        <v>Доклад от конференция</v>
      </c>
      <c r="C1018" s="10" t="str">
        <f ca="1">IFERROR(__xludf.DUMMYFUNCTION("""COMPUTED_VALUE"""),"Advantages and disadvantages of new technologies in Bulgarian book system")</f>
        <v>Advantages and disadvantages of new technologies in Bulgarian book system</v>
      </c>
      <c r="D1018" s="10">
        <f ca="1">IFERROR(__xludf.DUMMYFUNCTION("""COMPUTED_VALUE"""),2010)</f>
        <v>2010</v>
      </c>
      <c r="E1018" s="10" t="str">
        <f ca="1">IFERROR(__xludf.DUMMYFUNCTION("""COMPUTED_VALUE"""),"LIBRARIES IN THE DIGITAL AGE (LIDA) 2010. LIDA conference 2010. Zadar, Croatia. Poster.")</f>
        <v>LIBRARIES IN THE DIGITAL AGE (LIDA) 2010. LIDA conference 2010. Zadar, Croatia. Poster.</v>
      </c>
      <c r="F1018" s="10"/>
      <c r="G1018" s="10"/>
      <c r="H1018" s="10"/>
      <c r="I1018" s="10"/>
      <c r="J1018" s="10"/>
      <c r="K1018" s="10"/>
      <c r="L1018" s="10"/>
      <c r="M1018" s="10"/>
      <c r="N1018" s="10"/>
      <c r="O1018" s="10"/>
      <c r="P1018" s="10"/>
      <c r="Q1018" s="10"/>
      <c r="R1018" s="10"/>
      <c r="S1018" s="10"/>
      <c r="T1018" s="10"/>
      <c r="U1018" s="10"/>
      <c r="V1018" s="10"/>
      <c r="W1018" s="10"/>
      <c r="X1018" s="10"/>
      <c r="Y1018" s="10"/>
      <c r="Z1018" s="10"/>
    </row>
    <row r="1019" spans="1:26" ht="12.75">
      <c r="A1019" s="10" t="str">
        <f ca="1">IFERROR(__xludf.DUMMYFUNCTION("""COMPUTED_VALUE"""),"Васил Йорданов Загоров")</f>
        <v>Васил Йорданов Загоров</v>
      </c>
      <c r="B1019" s="10" t="str">
        <f ca="1">IFERROR(__xludf.DUMMYFUNCTION("""COMPUTED_VALUE"""),"Статия в списания и поредици")</f>
        <v>Статия в списания и поредици</v>
      </c>
      <c r="C1019" s="10" t="str">
        <f ca="1">IFERROR(__xludf.DUMMYFUNCTION("""COMPUTED_VALUE"""),"Търговският подход на Славчо Атанасов – стари идеи, нови решения (разширена)")</f>
        <v>Търговският подход на Славчо Атанасов – стари идеи, нови решения (разширена)</v>
      </c>
      <c r="D1019" s="10">
        <f ca="1">IFERROR(__xludf.DUMMYFUNCTION("""COMPUTED_VALUE"""),2009)</f>
        <v>2009</v>
      </c>
      <c r="E1019" s="10" t="str">
        <f ca="1">IFERROR(__xludf.DUMMYFUNCTION("""COMPUTED_VALUE"""),"В: Златните зърна на Славчо Атанасов - златни зърна в българската култура : юбилеен сборник, посветен на 100 години от рождението на Славчо Атанасов и 70 години от създаването на Библиотека ""Златни зърна"" / състав. Атанас Атанасов. с.56-62. ISBN 978-954"&amp;"-523-113-1")</f>
        <v>В: Златните зърна на Славчо Атанасов - златни зърна в българската култура : юбилеен сборник, посветен на 100 години от рождението на Славчо Атанасов и 70 години от създаването на Библиотека "Златни зърна" / състав. Атанас Атанасов. с.56-62. ISBN 978-954-523-113-1</v>
      </c>
      <c r="F1019" s="10"/>
      <c r="G1019" s="10"/>
      <c r="H1019" s="10"/>
      <c r="I1019" s="10"/>
      <c r="J1019" s="10"/>
      <c r="K1019" s="10"/>
      <c r="L1019" s="10"/>
      <c r="M1019" s="10"/>
      <c r="N1019" s="10"/>
      <c r="O1019" s="10"/>
      <c r="P1019" s="10"/>
      <c r="Q1019" s="10"/>
      <c r="R1019" s="10"/>
      <c r="S1019" s="10"/>
      <c r="T1019" s="10"/>
      <c r="U1019" s="10"/>
      <c r="V1019" s="10"/>
      <c r="W1019" s="10"/>
      <c r="X1019" s="10"/>
      <c r="Y1019" s="10"/>
      <c r="Z1019" s="10"/>
    </row>
    <row r="1020" spans="1:26" ht="12.75">
      <c r="A1020" s="10" t="str">
        <f ca="1">IFERROR(__xludf.DUMMYFUNCTION("""COMPUTED_VALUE"""),"Васил Йорданов Загоров")</f>
        <v>Васил Йорданов Загоров</v>
      </c>
      <c r="B1020" s="10" t="str">
        <f ca="1">IFERROR(__xludf.DUMMYFUNCTION("""COMPUTED_VALUE"""),"Статия в списания и поредици")</f>
        <v>Статия в списания и поредици</v>
      </c>
      <c r="C1020" s="10" t="str">
        <f ca="1">IFERROR(__xludf.DUMMYFUNCTION("""COMPUTED_VALUE"""),"Русское книгоиздание в Болгарии")</f>
        <v>Русское книгоиздание в Болгарии</v>
      </c>
      <c r="D1020" s="10">
        <f ca="1">IFERROR(__xludf.DUMMYFUNCTION("""COMPUTED_VALUE"""),2009)</f>
        <v>2009</v>
      </c>
      <c r="E1020" s="10" t="str">
        <f ca="1">IFERROR(__xludf.DUMMYFUNCTION("""COMPUTED_VALUE"""),"Русское зарубежье в Болгарии: история и современность. София, 2009, с. 105–109. ISBN 978-954-92421-1-9")</f>
        <v>Русское зарубежье в Болгарии: история и современность. София, 2009, с. 105–109. ISBN 978-954-92421-1-9</v>
      </c>
      <c r="F1020" s="10"/>
      <c r="G1020" s="10" t="str">
        <f ca="1">IFERROR(__xludf.DUMMYFUNCTION("""COMPUTED_VALUE"""),"Елена Янакиева")</f>
        <v>Елена Янакиева</v>
      </c>
      <c r="H1020" s="10"/>
      <c r="I1020" s="10"/>
      <c r="J1020" s="10"/>
      <c r="K1020" s="10"/>
      <c r="L1020" s="10"/>
      <c r="M1020" s="10"/>
      <c r="N1020" s="10"/>
      <c r="O1020" s="10"/>
      <c r="P1020" s="10"/>
      <c r="Q1020" s="10"/>
      <c r="R1020" s="10"/>
      <c r="S1020" s="10"/>
      <c r="T1020" s="10"/>
      <c r="U1020" s="10"/>
      <c r="V1020" s="10"/>
      <c r="W1020" s="10"/>
      <c r="X1020" s="10"/>
      <c r="Y1020" s="10"/>
      <c r="Z1020" s="10"/>
    </row>
    <row r="1021" spans="1:26" ht="12.75">
      <c r="A1021" s="10" t="str">
        <f ca="1">IFERROR(__xludf.DUMMYFUNCTION("""COMPUTED_VALUE"""),"Васил Йорданов Загоров")</f>
        <v>Васил Йорданов Загоров</v>
      </c>
      <c r="B1021" s="10" t="str">
        <f ca="1">IFERROR(__xludf.DUMMYFUNCTION("""COMPUTED_VALUE"""),"Статия в списания и поредици")</f>
        <v>Статия в списания и поредици</v>
      </c>
      <c r="C1021" s="10" t="str">
        <f ca="1">IFERROR(__xludf.DUMMYFUNCTION("""COMPUTED_VALUE"""),"Книгата, бухалът и жената в българския книгоиздателски знак")</f>
        <v>Книгата, бухалът и жената в българския книгоиздателски знак</v>
      </c>
      <c r="D1021" s="10">
        <f ca="1">IFERROR(__xludf.DUMMYFUNCTION("""COMPUTED_VALUE"""),2009)</f>
        <v>2009</v>
      </c>
      <c r="E1021" s="10" t="str">
        <f ca="1">IFERROR(__xludf.DUMMYFUNCTION("""COMPUTED_VALUE"""),"4Publishing, I, 2009, бр.1, с. 39–41. C627-580X. - 1314-8672")</f>
        <v>4Publishing, I, 2009, бр.1, с. 39–41. C627-580X. - 1314-8672</v>
      </c>
      <c r="F1021" s="10"/>
      <c r="G1021" s="10"/>
      <c r="H1021" s="10"/>
      <c r="I1021" s="10"/>
      <c r="J1021" s="10"/>
      <c r="K1021" s="10"/>
      <c r="L1021" s="10"/>
      <c r="M1021" s="10"/>
      <c r="N1021" s="10"/>
      <c r="O1021" s="10"/>
      <c r="P1021" s="10"/>
      <c r="Q1021" s="10"/>
      <c r="R1021" s="10"/>
      <c r="S1021" s="10"/>
      <c r="T1021" s="10"/>
      <c r="U1021" s="10"/>
      <c r="V1021" s="10"/>
      <c r="W1021" s="10"/>
      <c r="X1021" s="10"/>
      <c r="Y1021" s="10"/>
      <c r="Z1021" s="10"/>
    </row>
    <row r="1022" spans="1:26" ht="12.75">
      <c r="A1022" s="10" t="str">
        <f ca="1">IFERROR(__xludf.DUMMYFUNCTION("""COMPUTED_VALUE"""),"Васил Йорданов Загоров")</f>
        <v>Васил Йорданов Загоров</v>
      </c>
      <c r="B1022" s="10" t="str">
        <f ca="1">IFERROR(__xludf.DUMMYFUNCTION("""COMPUTED_VALUE"""),"Статия в списания и поредици")</f>
        <v>Статия в списания и поредици</v>
      </c>
      <c r="C1022" s="10" t="str">
        <f ca="1">IFERROR(__xludf.DUMMYFUNCTION("""COMPUTED_VALUE"""),"Борба за оцеляване. Системи за книгоразпространение между двете световни войни")</f>
        <v>Борба за оцеляване. Системи за книгоразпространение между двете световни войни</v>
      </c>
      <c r="D1022" s="10">
        <f ca="1">IFERROR(__xludf.DUMMYFUNCTION("""COMPUTED_VALUE"""),2009)</f>
        <v>2009</v>
      </c>
      <c r="E1022" s="10" t="str">
        <f ca="1">IFERROR(__xludf.DUMMYFUNCTION("""COMPUTED_VALUE"""),"В: Медии, комуникация, общество : изследвания на докторанти от Факултета по журналистика и масова комуникация на СУ Св. Климент Охридски. - София : Унив. изд. Св. Климент Охридски, 2009. - 372 с. : с табл. ; 20 см. ISBN 978-954-07-2817-9")</f>
        <v>В: Медии, комуникация, общество : изследвания на докторанти от Факултета по журналистика и масова комуникация на СУ Св. Климент Охридски. - София : Унив. изд. Св. Климент Охридски, 2009. - 372 с. : с табл. ; 20 см. ISBN 978-954-07-2817-9</v>
      </c>
      <c r="F1022" s="10" t="str">
        <f ca="1">IFERROR(__xludf.DUMMYFUNCTION("""COMPUTED_VALUE"""),"Cobiss")</f>
        <v>Cobiss</v>
      </c>
      <c r="G1022" s="10"/>
      <c r="H1022" s="10"/>
      <c r="I1022" s="10"/>
      <c r="J1022" s="10"/>
      <c r="K1022" s="10"/>
      <c r="L1022" s="10"/>
      <c r="M1022" s="10"/>
      <c r="N1022" s="10"/>
      <c r="O1022" s="10"/>
      <c r="P1022" s="10"/>
      <c r="Q1022" s="10"/>
      <c r="R1022" s="10"/>
      <c r="S1022" s="10"/>
      <c r="T1022" s="10"/>
      <c r="U1022" s="10"/>
      <c r="V1022" s="10"/>
      <c r="W1022" s="10"/>
      <c r="X1022" s="10"/>
      <c r="Y1022" s="10"/>
      <c r="Z1022" s="10"/>
    </row>
    <row r="1023" spans="1:26" ht="12.75">
      <c r="A1023" s="10" t="str">
        <f ca="1">IFERROR(__xludf.DUMMYFUNCTION("""COMPUTED_VALUE"""),"Васил Йорданов Загоров")</f>
        <v>Васил Йорданов Загоров</v>
      </c>
      <c r="B1023" s="10" t="str">
        <f ca="1">IFERROR(__xludf.DUMMYFUNCTION("""COMPUTED_VALUE"""),"Статия в списания и поредици")</f>
        <v>Статия в списания и поредици</v>
      </c>
      <c r="C1023" s="10" t="str">
        <f ca="1">IFERROR(__xludf.DUMMYFUNCTION("""COMPUTED_VALUE"""),"Търговският подход на Славчо Атанасов – стари идеи, нови решения")</f>
        <v>Търговският подход на Славчо Атанасов – стари идеи, нови решения</v>
      </c>
      <c r="D1023" s="10">
        <f ca="1">IFERROR(__xludf.DUMMYFUNCTION("""COMPUTED_VALUE"""),2007)</f>
        <v>2007</v>
      </c>
      <c r="E1023" s="10" t="str">
        <f ca="1">IFERROR(__xludf.DUMMYFUNCTION("""COMPUTED_VALUE"""),"Библиотека, год. XIV, 2007, кн. 1, с. 54-56. ISSN 0861-847X")</f>
        <v>Библиотека, год. XIV, 2007, кн. 1, с. 54-56. ISSN 0861-847X</v>
      </c>
      <c r="F1023" s="10"/>
      <c r="G1023" s="10"/>
      <c r="H1023" s="10"/>
      <c r="I1023" s="10"/>
      <c r="J1023" s="10"/>
      <c r="K1023" s="10"/>
      <c r="L1023" s="10"/>
      <c r="M1023" s="10"/>
      <c r="N1023" s="10"/>
      <c r="O1023" s="10"/>
      <c r="P1023" s="10"/>
      <c r="Q1023" s="10"/>
      <c r="R1023" s="10"/>
      <c r="S1023" s="10"/>
      <c r="T1023" s="10"/>
      <c r="U1023" s="10"/>
      <c r="V1023" s="10"/>
      <c r="W1023" s="10"/>
      <c r="X1023" s="10"/>
      <c r="Y1023" s="10"/>
      <c r="Z1023" s="10"/>
    </row>
    <row r="1024" spans="1:26" ht="12.75">
      <c r="A1024" s="10" t="str">
        <f ca="1">IFERROR(__xludf.DUMMYFUNCTION("""COMPUTED_VALUE"""),"Васил Йорданов Загоров")</f>
        <v>Васил Йорданов Загоров</v>
      </c>
      <c r="B1024" s="10" t="str">
        <f ca="1">IFERROR(__xludf.DUMMYFUNCTION("""COMPUTED_VALUE"""),"Статия в списания и поредици")</f>
        <v>Статия в списания и поредици</v>
      </c>
      <c r="C1024" s="10" t="str">
        <f ca="1">IFERROR(__xludf.DUMMYFUNCTION("""COMPUTED_VALUE"""),"Авторската инициатива между желанието и реалността")</f>
        <v>Авторската инициатива между желанието и реалността</v>
      </c>
      <c r="D1024" s="10">
        <f ca="1">IFERROR(__xludf.DUMMYFUNCTION("""COMPUTED_VALUE"""),2007)</f>
        <v>2007</v>
      </c>
      <c r="E1024" s="10" t="str">
        <f ca="1">IFERROR(__xludf.DUMMYFUNCTION("""COMPUTED_VALUE"""),"Бизнес среда на книгата. София, Унив. изд. „Св. Климент Охридски”, 2007, с. 171 – 176. ISBN 978-954-07-2487-4")</f>
        <v>Бизнес среда на книгата. София, Унив. изд. „Св. Климент Охридски”, 2007, с. 171 – 176. ISBN 978-954-07-2487-4</v>
      </c>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spans="1:26" ht="12.75">
      <c r="A1025" s="10" t="str">
        <f ca="1">IFERROR(__xludf.DUMMYFUNCTION("""COMPUTED_VALUE"""),"Васил Йорданов Загоров")</f>
        <v>Васил Йорданов Загоров</v>
      </c>
      <c r="B1025" s="10" t="str">
        <f ca="1">IFERROR(__xludf.DUMMYFUNCTION("""COMPUTED_VALUE"""),"Статия в списания и поредици")</f>
        <v>Статия в списания и поредици</v>
      </c>
      <c r="C1025" s="10" t="str">
        <f ca="1">IFERROR(__xludf.DUMMYFUNCTION("""COMPUTED_VALUE"""),"Александър Иванович Куприн в българското книгоиздаване (1911-1944)")</f>
        <v>Александър Иванович Куприн в българското книгоиздаване (1911-1944)</v>
      </c>
      <c r="D1025" s="10">
        <f ca="1">IFERROR(__xludf.DUMMYFUNCTION("""COMPUTED_VALUE"""),2006)</f>
        <v>2006</v>
      </c>
      <c r="E1025" s="10" t="str">
        <f ca="1">IFERROR(__xludf.DUMMYFUNCTION("""COMPUTED_VALUE"""),"Годишник на Софийския университет. ФЖМК. Т. 12. С., 2006, с. 379-389, ISSN 13 11-4883")</f>
        <v>Годишник на Софийския университет. ФЖМК. Т. 12. С., 2006, с. 379-389, ISSN 13 11-4883</v>
      </c>
      <c r="F1025" s="10"/>
      <c r="G1025" s="10"/>
      <c r="H1025" s="10"/>
      <c r="I1025" s="10"/>
      <c r="J1025" s="10"/>
      <c r="K1025" s="10"/>
      <c r="L1025" s="10"/>
      <c r="M1025" s="10"/>
      <c r="N1025" s="10"/>
      <c r="O1025" s="10"/>
      <c r="P1025" s="10"/>
      <c r="Q1025" s="10"/>
      <c r="R1025" s="10"/>
      <c r="S1025" s="10"/>
      <c r="T1025" s="10"/>
      <c r="U1025" s="10"/>
      <c r="V1025" s="10"/>
      <c r="W1025" s="10"/>
      <c r="X1025" s="10"/>
      <c r="Y1025" s="10"/>
      <c r="Z1025" s="10"/>
    </row>
    <row r="1026" spans="1:26" ht="12.75">
      <c r="A1026" s="10" t="str">
        <f ca="1">IFERROR(__xludf.DUMMYFUNCTION("""COMPUTED_VALUE"""),"Васил Стоянов Тотев")</f>
        <v>Васил Стоянов Тотев</v>
      </c>
      <c r="B1026" s="10" t="str">
        <f ca="1">IFERROR(__xludf.DUMMYFUNCTION("""COMPUTED_VALUE"""),"Книга")</f>
        <v>Книга</v>
      </c>
      <c r="C1026" s="10" t="str">
        <f ca="1">IFERROR(__xludf.DUMMYFUNCTION("""COMPUTED_VALUE"""),"ТЕХНОЛОГИИ ЗА USER INTERFACE, Втора част, jQueryUI")</f>
        <v>ТЕХНОЛОГИИ ЗА USER INTERFACE, Втора част, jQueryUI</v>
      </c>
      <c r="D1026" s="10">
        <f ca="1">IFERROR(__xludf.DUMMYFUNCTION("""COMPUTED_VALUE"""),2019)</f>
        <v>2019</v>
      </c>
      <c r="E1026" s="10" t="str">
        <f ca="1">IFERROR(__xludf.DUMMYFUNCTION("""COMPUTED_VALUE"""),"„Авангард Прима“, София 2019, 318 стр. ISBN 978-619-239-170-6,")</f>
        <v>„Авангард Прима“, София 2019, 318 стр. ISBN 978-619-239-170-6,</v>
      </c>
      <c r="F1026" s="10" t="str">
        <f ca="1">IFERROR(__xludf.DUMMYFUNCTION("""COMPUTED_VALUE"""),"Национален регистър на издаваните книги в България")</f>
        <v>Национален регистър на издаваните книги в България</v>
      </c>
      <c r="G1026" s="10" t="str">
        <f ca="1">IFERROR(__xludf.DUMMYFUNCTION("""COMPUTED_VALUE"""),"Катя Рашева – Йорданова, Ива Костадинова")</f>
        <v>Катя Рашева – Йорданова, Ива Костадинова</v>
      </c>
      <c r="H1026" s="10"/>
      <c r="I1026" s="10"/>
      <c r="J1026" s="10"/>
      <c r="K1026" s="10"/>
      <c r="L1026" s="10"/>
      <c r="M1026" s="10"/>
      <c r="N1026" s="10"/>
      <c r="O1026" s="10"/>
      <c r="P1026" s="10"/>
      <c r="Q1026" s="10"/>
      <c r="R1026" s="10"/>
      <c r="S1026" s="10"/>
      <c r="T1026" s="10"/>
      <c r="U1026" s="10"/>
      <c r="V1026" s="10"/>
      <c r="W1026" s="10"/>
      <c r="X1026" s="10"/>
      <c r="Y1026" s="10"/>
      <c r="Z1026" s="10"/>
    </row>
    <row r="1027" spans="1:26" ht="12.75">
      <c r="A1027" s="10" t="str">
        <f ca="1">IFERROR(__xludf.DUMMYFUNCTION("""COMPUTED_VALUE"""),"Васил Стоянов Тотев")</f>
        <v>Васил Стоянов Тотев</v>
      </c>
      <c r="B1027" s="10" t="str">
        <f ca="1">IFERROR(__xludf.DUMMYFUNCTION("""COMPUTED_VALUE"""),"Книга")</f>
        <v>Книга</v>
      </c>
      <c r="C1027" s="10" t="str">
        <f ca="1">IFERROR(__xludf.DUMMYFUNCTION("""COMPUTED_VALUE"""),"ОБЕКТНО-ОРИЕНТИРАНО ПРОГРАМИРАНЕ")</f>
        <v>ОБЕКТНО-ОРИЕНТИРАНО ПРОГРАМИРАНЕ</v>
      </c>
      <c r="D1027" s="10">
        <f ca="1">IFERROR(__xludf.DUMMYFUNCTION("""COMPUTED_VALUE"""),2018)</f>
        <v>2018</v>
      </c>
      <c r="E1027" s="10" t="str">
        <f ca="1">IFERROR(__xludf.DUMMYFUNCTION("""COMPUTED_VALUE"""),"„Авангард Прима“, ISBN 978-619-160-930-7; 268 стр.")</f>
        <v>„Авангард Прима“, ISBN 978-619-160-930-7; 268 стр.</v>
      </c>
      <c r="F1027" s="10"/>
      <c r="G1027" s="10" t="str">
        <f ca="1">IFERROR(__xludf.DUMMYFUNCTION("""COMPUTED_VALUE"""),"Иван Иванов, Васил Тотев, Петър Стойков, Ива Костадинова")</f>
        <v>Иван Иванов, Васил Тотев, Петър Стойков, Ива Костадинова</v>
      </c>
      <c r="H1027" s="10"/>
      <c r="I1027" s="10"/>
      <c r="J1027" s="10"/>
      <c r="K1027" s="10"/>
      <c r="L1027" s="10"/>
      <c r="M1027" s="10"/>
      <c r="N1027" s="10"/>
      <c r="O1027" s="10"/>
      <c r="P1027" s="10"/>
      <c r="Q1027" s="10"/>
      <c r="R1027" s="10"/>
      <c r="S1027" s="10"/>
      <c r="T1027" s="10"/>
      <c r="U1027" s="10"/>
      <c r="V1027" s="10"/>
      <c r="W1027" s="10"/>
      <c r="X1027" s="10"/>
      <c r="Y1027" s="10"/>
      <c r="Z1027" s="10"/>
    </row>
    <row r="1028" spans="1:26" ht="12.75">
      <c r="A1028" s="10" t="str">
        <f ca="1">IFERROR(__xludf.DUMMYFUNCTION("""COMPUTED_VALUE"""),"Васил Стоянов Тотев")</f>
        <v>Васил Стоянов Тотев</v>
      </c>
      <c r="B1028" s="10" t="str">
        <f ca="1">IFERROR(__xludf.DUMMYFUNCTION("""COMPUTED_VALUE"""),"Книга")</f>
        <v>Книга</v>
      </c>
      <c r="C1028" s="10" t="str">
        <f ca="1">IFERROR(__xludf.DUMMYFUNCTION("""COMPUTED_VALUE"""),"ТЕХНОЛОГИИ ЗА USER INTERFACE, Първа част: JavaScript и UI технологии “")</f>
        <v>ТЕХНОЛОГИИ ЗА USER INTERFACE, Първа част: JavaScript и UI технологии “</v>
      </c>
      <c r="D1028" s="10">
        <f ca="1">IFERROR(__xludf.DUMMYFUNCTION("""COMPUTED_VALUE"""),2018)</f>
        <v>2018</v>
      </c>
      <c r="E1028" s="10" t="str">
        <f ca="1">IFERROR(__xludf.DUMMYFUNCTION("""COMPUTED_VALUE"""),"„Авангард Прима“, ISBN 978-619-160-933-8, 288 стр.")</f>
        <v>„Авангард Прима“, ISBN 978-619-160-933-8, 288 стр.</v>
      </c>
      <c r="F1028" s="10"/>
      <c r="G1028" s="10" t="str">
        <f ca="1">IFERROR(__xludf.DUMMYFUNCTION("""COMPUTED_VALUE"""),"Иван Иванов")</f>
        <v>Иван Иванов</v>
      </c>
      <c r="H1028" s="10"/>
      <c r="I1028" s="10"/>
      <c r="J1028" s="10"/>
      <c r="K1028" s="10"/>
      <c r="L1028" s="10"/>
      <c r="M1028" s="10"/>
      <c r="N1028" s="10"/>
      <c r="O1028" s="10"/>
      <c r="P1028" s="10"/>
      <c r="Q1028" s="10"/>
      <c r="R1028" s="10"/>
      <c r="S1028" s="10"/>
      <c r="T1028" s="10"/>
      <c r="U1028" s="10"/>
      <c r="V1028" s="10"/>
      <c r="W1028" s="10"/>
      <c r="X1028" s="10"/>
      <c r="Y1028" s="10"/>
      <c r="Z1028" s="10"/>
    </row>
    <row r="1029" spans="1:26" ht="12.75">
      <c r="A1029" s="10" t="str">
        <f ca="1">IFERROR(__xludf.DUMMYFUNCTION("""COMPUTED_VALUE"""),"Васил Стоянов Тотев")</f>
        <v>Васил Стоянов Тотев</v>
      </c>
      <c r="B1029" s="10" t="str">
        <f ca="1">IFERROR(__xludf.DUMMYFUNCTION("""COMPUTED_VALUE"""),"Книга")</f>
        <v>Книга</v>
      </c>
      <c r="C1029" s="10" t="str">
        <f ca="1">IFERROR(__xludf.DUMMYFUNCTION("""COMPUTED_VALUE"""),"“JAVASCRIPT”, София 2014")</f>
        <v>“JAVASCRIPT”, София 2014</v>
      </c>
      <c r="D1029" s="10">
        <f ca="1">IFERROR(__xludf.DUMMYFUNCTION("""COMPUTED_VALUE"""),2014)</f>
        <v>2014</v>
      </c>
      <c r="E1029" s="10" t="str">
        <f ca="1">IFERROR(__xludf.DUMMYFUNCTION("""COMPUTED_VALUE"""),"„За буквите“, ISBN 978-619-185-060-0, 227 стр.")</f>
        <v>„За буквите“, ISBN 978-619-185-060-0, 227 стр.</v>
      </c>
      <c r="F1029" s="10"/>
      <c r="G1029" s="10"/>
      <c r="H1029" s="10"/>
      <c r="I1029" s="10"/>
      <c r="J1029" s="10"/>
      <c r="K1029" s="10"/>
      <c r="L1029" s="10"/>
      <c r="M1029" s="10"/>
      <c r="N1029" s="10"/>
      <c r="O1029" s="10"/>
      <c r="P1029" s="10"/>
      <c r="Q1029" s="10"/>
      <c r="R1029" s="10"/>
      <c r="S1029" s="10"/>
      <c r="T1029" s="10"/>
      <c r="U1029" s="10"/>
      <c r="V1029" s="10"/>
      <c r="W1029" s="10"/>
      <c r="X1029" s="10"/>
      <c r="Y1029" s="10"/>
      <c r="Z1029" s="10"/>
    </row>
    <row r="1030" spans="1:26" ht="12.75">
      <c r="A1030" s="10" t="str">
        <f ca="1">IFERROR(__xludf.DUMMYFUNCTION("""COMPUTED_VALUE"""),"Васил Стоянов Тотев")</f>
        <v>Васил Стоянов Тотев</v>
      </c>
      <c r="B1030" s="10" t="str">
        <f ca="1">IFERROR(__xludf.DUMMYFUNCTION("""COMPUTED_VALUE"""),"Книга")</f>
        <v>Книга</v>
      </c>
      <c r="C1030" s="10" t="str">
        <f ca="1">IFERROR(__xludf.DUMMYFUNCTION("""COMPUTED_VALUE"""),"„ТЕОРЕТИЧНИ АСПЕКТИ НА ВОЕННИЯ КОНФЛИКТ“, София 2009")</f>
        <v>„ТЕОРЕТИЧНИ АСПЕКТИ НА ВОЕННИЯ КОНФЛИКТ“, София 2009</v>
      </c>
      <c r="D1030" s="10">
        <f ca="1">IFERROR(__xludf.DUMMYFUNCTION("""COMPUTED_VALUE"""),2009)</f>
        <v>2009</v>
      </c>
      <c r="E1030" s="10" t="str">
        <f ca="1">IFERROR(__xludf.DUMMYFUNCTION("""COMPUTED_VALUE"""),"„Военна академия – Г.С.Раковски“, ISBN 978-954-9348-12-5, 230 стр.")</f>
        <v>„Военна академия – Г.С.Раковски“, ISBN 978-954-9348-12-5, 230 стр.</v>
      </c>
      <c r="F1030" s="10"/>
      <c r="G1030" s="10" t="str">
        <f ca="1">IFERROR(__xludf.DUMMYFUNCTION("""COMPUTED_VALUE"""),"Борис Богданов")</f>
        <v>Борис Богданов</v>
      </c>
      <c r="H1030" s="10"/>
      <c r="I1030" s="10"/>
      <c r="J1030" s="10"/>
      <c r="K1030" s="10"/>
      <c r="L1030" s="10"/>
      <c r="M1030" s="10"/>
      <c r="N1030" s="10"/>
      <c r="O1030" s="10"/>
      <c r="P1030" s="10"/>
      <c r="Q1030" s="10"/>
      <c r="R1030" s="10"/>
      <c r="S1030" s="10"/>
      <c r="T1030" s="10"/>
      <c r="U1030" s="10"/>
      <c r="V1030" s="10"/>
      <c r="W1030" s="10"/>
      <c r="X1030" s="10"/>
      <c r="Y1030" s="10"/>
      <c r="Z1030" s="10"/>
    </row>
    <row r="1031" spans="1:26" ht="12.75">
      <c r="A1031" s="10" t="str">
        <f ca="1">IFERROR(__xludf.DUMMYFUNCTION("""COMPUTED_VALUE"""),"Васил Стоянов Тотев")</f>
        <v>Васил Стоянов Тотев</v>
      </c>
      <c r="B1031" s="10" t="str">
        <f ca="1">IFERROR(__xludf.DUMMYFUNCTION("""COMPUTED_VALUE"""),"Статия в списания и поредици")</f>
        <v>Статия в списания и поредици</v>
      </c>
      <c r="C1031" s="10" t="str">
        <f ca="1">IFERROR(__xludf.DUMMYFUNCTION("""COMPUTED_VALUE"""),"Инструментите на модерната война")</f>
        <v>Инструментите на модерната война</v>
      </c>
      <c r="D1031" s="10">
        <f ca="1">IFERROR(__xludf.DUMMYFUNCTION("""COMPUTED_VALUE"""),2004)</f>
        <v>2004</v>
      </c>
      <c r="E1031" s="10" t="str">
        <f ca="1">IFERROR(__xludf.DUMMYFUNCTION("""COMPUTED_VALUE"""),"Военен журнал, кн.5. 23 стр.")</f>
        <v>Военен журнал, кн.5. 23 стр.</v>
      </c>
      <c r="F1031" s="10"/>
      <c r="G1031" s="10"/>
      <c r="H1031" s="10"/>
      <c r="I1031" s="10"/>
      <c r="J1031" s="10"/>
      <c r="K1031" s="10"/>
      <c r="L1031" s="10"/>
      <c r="M1031" s="10"/>
      <c r="N1031" s="10"/>
      <c r="O1031" s="10"/>
      <c r="P1031" s="10"/>
      <c r="Q1031" s="10"/>
      <c r="R1031" s="10"/>
      <c r="S1031" s="10"/>
      <c r="T1031" s="10"/>
      <c r="U1031" s="10"/>
      <c r="V1031" s="10"/>
      <c r="W1031" s="10"/>
      <c r="X1031" s="10"/>
      <c r="Y1031" s="10"/>
      <c r="Z1031" s="10"/>
    </row>
    <row r="1032" spans="1:26" ht="12.75">
      <c r="A1032" s="10" t="str">
        <f ca="1">IFERROR(__xludf.DUMMYFUNCTION("""COMPUTED_VALUE"""),"Васил Стоянов Тотев")</f>
        <v>Васил Стоянов Тотев</v>
      </c>
      <c r="B1032" s="10" t="str">
        <f ca="1">IFERROR(__xludf.DUMMYFUNCTION("""COMPUTED_VALUE"""),"Статия в списания и поредици")</f>
        <v>Статия в списания и поредици</v>
      </c>
      <c r="C1032" s="10" t="str">
        <f ca="1">IFERROR(__xludf.DUMMYFUNCTION("""COMPUTED_VALUE"""),"Глобалните перспективи")</f>
        <v>Глобалните перспективи</v>
      </c>
      <c r="D1032" s="10">
        <f ca="1">IFERROR(__xludf.DUMMYFUNCTION("""COMPUTED_VALUE"""),2004)</f>
        <v>2004</v>
      </c>
      <c r="E1032" s="10" t="str">
        <f ca="1">IFERROR(__xludf.DUMMYFUNCTION("""COMPUTED_VALUE"""),"Военен журнал, кн.5. 23 стр.")</f>
        <v>Военен журнал, кн.5. 23 стр.</v>
      </c>
      <c r="F1032" s="10"/>
      <c r="G1032" s="10" t="str">
        <f ca="1">IFERROR(__xludf.DUMMYFUNCTION("""COMPUTED_VALUE"""),"Георги Бахчеванов")</f>
        <v>Георги Бахчеванов</v>
      </c>
      <c r="H1032" s="10"/>
      <c r="I1032" s="10"/>
      <c r="J1032" s="10"/>
      <c r="K1032" s="10"/>
      <c r="L1032" s="10"/>
      <c r="M1032" s="10"/>
      <c r="N1032" s="10"/>
      <c r="O1032" s="10"/>
      <c r="P1032" s="10"/>
      <c r="Q1032" s="10"/>
      <c r="R1032" s="10"/>
      <c r="S1032" s="10"/>
      <c r="T1032" s="10"/>
      <c r="U1032" s="10"/>
      <c r="V1032" s="10"/>
      <c r="W1032" s="10"/>
      <c r="X1032" s="10"/>
      <c r="Y1032" s="10"/>
      <c r="Z1032" s="10"/>
    </row>
    <row r="1033" spans="1:26" ht="12.75">
      <c r="A1033" s="10" t="str">
        <f ca="1">IFERROR(__xludf.DUMMYFUNCTION("""COMPUTED_VALUE"""),"Васил Стоянов Тотев")</f>
        <v>Васил Стоянов Тотев</v>
      </c>
      <c r="B1033" s="10" t="str">
        <f ca="1">IFERROR(__xludf.DUMMYFUNCTION("""COMPUTED_VALUE"""),"Учебно пособие")</f>
        <v>Учебно пособие</v>
      </c>
      <c r="C1033" s="10" t="str">
        <f ca="1">IFERROR(__xludf.DUMMYFUNCTION("""COMPUTED_VALUE"""),"Основи на ПВО. Операции")</f>
        <v>Основи на ПВО. Операции</v>
      </c>
      <c r="D1033" s="10">
        <f ca="1">IFERROR(__xludf.DUMMYFUNCTION("""COMPUTED_VALUE"""),2004)</f>
        <v>2004</v>
      </c>
      <c r="E1033" s="10" t="str">
        <f ca="1">IFERROR(__xludf.DUMMYFUNCTION("""COMPUTED_VALUE"""),"„Военна академия – Г.С.Раковски“, 123 стр.")</f>
        <v>„Военна академия – Г.С.Раковски“, 123 стр.</v>
      </c>
      <c r="F1033" s="10"/>
      <c r="G1033" s="10"/>
      <c r="H1033" s="10"/>
      <c r="I1033" s="10"/>
      <c r="J1033" s="10"/>
      <c r="K1033" s="10"/>
      <c r="L1033" s="10"/>
      <c r="M1033" s="10"/>
      <c r="N1033" s="10"/>
      <c r="O1033" s="10"/>
      <c r="P1033" s="10"/>
      <c r="Q1033" s="10"/>
      <c r="R1033" s="10"/>
      <c r="S1033" s="10"/>
      <c r="T1033" s="10"/>
      <c r="U1033" s="10"/>
      <c r="V1033" s="10"/>
      <c r="W1033" s="10"/>
      <c r="X1033" s="10"/>
      <c r="Y1033" s="10"/>
      <c r="Z1033" s="10"/>
    </row>
    <row r="1034" spans="1:26" ht="12.75">
      <c r="A1034" s="10" t="str">
        <f ca="1">IFERROR(__xludf.DUMMYFUNCTION("""COMPUTED_VALUE"""),"Васил Стоянов Тотев")</f>
        <v>Васил Стоянов Тотев</v>
      </c>
      <c r="B1034" s="10" t="str">
        <f ca="1">IFERROR(__xludf.DUMMYFUNCTION("""COMPUTED_VALUE"""),"Учебно пособие")</f>
        <v>Учебно пособие</v>
      </c>
      <c r="C1034" s="10" t="str">
        <f ca="1">IFERROR(__xludf.DUMMYFUNCTION("""COMPUTED_VALUE"""),"Планиране на БД на съединение ЗРВ")</f>
        <v>Планиране на БД на съединение ЗРВ</v>
      </c>
      <c r="D1034" s="10">
        <f ca="1">IFERROR(__xludf.DUMMYFUNCTION("""COMPUTED_VALUE"""),2004)</f>
        <v>2004</v>
      </c>
      <c r="E1034" s="10" t="str">
        <f ca="1">IFERROR(__xludf.DUMMYFUNCTION("""COMPUTED_VALUE"""),"„Военна академия – Г.С.Раковски“, 73 стр.")</f>
        <v>„Военна академия – Г.С.Раковски“, 73 стр.</v>
      </c>
      <c r="F1034" s="10"/>
      <c r="G1034" s="10" t="str">
        <f ca="1">IFERROR(__xludf.DUMMYFUNCTION("""COMPUTED_VALUE"""),"Иван Русимов")</f>
        <v>Иван Русимов</v>
      </c>
      <c r="H1034" s="10"/>
      <c r="I1034" s="10"/>
      <c r="J1034" s="10"/>
      <c r="K1034" s="10"/>
      <c r="L1034" s="10"/>
      <c r="M1034" s="10"/>
      <c r="N1034" s="10"/>
      <c r="O1034" s="10"/>
      <c r="P1034" s="10"/>
      <c r="Q1034" s="10"/>
      <c r="R1034" s="10"/>
      <c r="S1034" s="10"/>
      <c r="T1034" s="10"/>
      <c r="U1034" s="10"/>
      <c r="V1034" s="10"/>
      <c r="W1034" s="10"/>
      <c r="X1034" s="10"/>
      <c r="Y1034" s="10"/>
      <c r="Z1034" s="10"/>
    </row>
    <row r="1035" spans="1:26" ht="12.75">
      <c r="A1035" s="10" t="str">
        <f ca="1">IFERROR(__xludf.DUMMYFUNCTION("""COMPUTED_VALUE"""),"Васил Стоянов Тотев")</f>
        <v>Васил Стоянов Тотев</v>
      </c>
      <c r="B1035" s="10" t="str">
        <f ca="1">IFERROR(__xludf.DUMMYFUNCTION("""COMPUTED_VALUE"""),"Учебно пособие")</f>
        <v>Учебно пособие</v>
      </c>
      <c r="C1035" s="10" t="str">
        <f ca="1">IFERROR(__xludf.DUMMYFUNCTION("""COMPUTED_VALUE"""),"Подготовка на Противовъздушната операция.Планиране")</f>
        <v>Подготовка на Противовъздушната операция.Планиране</v>
      </c>
      <c r="D1035" s="10">
        <f ca="1">IFERROR(__xludf.DUMMYFUNCTION("""COMPUTED_VALUE"""),2004)</f>
        <v>2004</v>
      </c>
      <c r="E1035" s="10" t="str">
        <f ca="1">IFERROR(__xludf.DUMMYFUNCTION("""COMPUTED_VALUE"""),"„Военна академия – Г.С.Раковски“, 92 стр.")</f>
        <v>„Военна академия – Г.С.Раковски“, 92 стр.</v>
      </c>
      <c r="F1035" s="10"/>
      <c r="G1035" s="10"/>
      <c r="H1035" s="10"/>
      <c r="I1035" s="10"/>
      <c r="J1035" s="10"/>
      <c r="K1035" s="10"/>
      <c r="L1035" s="10"/>
      <c r="M1035" s="10"/>
      <c r="N1035" s="10"/>
      <c r="O1035" s="10"/>
      <c r="P1035" s="10"/>
      <c r="Q1035" s="10"/>
      <c r="R1035" s="10"/>
      <c r="S1035" s="10"/>
      <c r="T1035" s="10"/>
      <c r="U1035" s="10"/>
      <c r="V1035" s="10"/>
      <c r="W1035" s="10"/>
      <c r="X1035" s="10"/>
      <c r="Y1035" s="10"/>
      <c r="Z1035" s="10"/>
    </row>
    <row r="1036" spans="1:26" ht="12.75">
      <c r="A1036" s="10" t="str">
        <f ca="1">IFERROR(__xludf.DUMMYFUNCTION("""COMPUTED_VALUE"""),"Васил Стоянов Тотев")</f>
        <v>Васил Стоянов Тотев</v>
      </c>
      <c r="B1036" s="10" t="str">
        <f ca="1">IFERROR(__xludf.DUMMYFUNCTION("""COMPUTED_VALUE"""),"Учебно пособие")</f>
        <v>Учебно пособие</v>
      </c>
      <c r="C1036" s="10" t="str">
        <f ca="1">IFERROR(__xludf.DUMMYFUNCTION("""COMPUTED_VALUE"""),"Въздушен противник")</f>
        <v>Въздушен противник</v>
      </c>
      <c r="D1036" s="10">
        <f ca="1">IFERROR(__xludf.DUMMYFUNCTION("""COMPUTED_VALUE"""),2004)</f>
        <v>2004</v>
      </c>
      <c r="E1036" s="10" t="str">
        <f ca="1">IFERROR(__xludf.DUMMYFUNCTION("""COMPUTED_VALUE"""),"„Военна академия – Г.С.Раковски“, 91 стр.")</f>
        <v>„Военна академия – Г.С.Раковски“, 91 стр.</v>
      </c>
      <c r="F1036" s="10"/>
      <c r="G1036" s="10"/>
      <c r="H1036" s="10"/>
      <c r="I1036" s="10"/>
      <c r="J1036" s="10"/>
      <c r="K1036" s="10"/>
      <c r="L1036" s="10"/>
      <c r="M1036" s="10"/>
      <c r="N1036" s="10"/>
      <c r="O1036" s="10"/>
      <c r="P1036" s="10"/>
      <c r="Q1036" s="10"/>
      <c r="R1036" s="10"/>
      <c r="S1036" s="10"/>
      <c r="T1036" s="10"/>
      <c r="U1036" s="10"/>
      <c r="V1036" s="10"/>
      <c r="W1036" s="10"/>
      <c r="X1036" s="10"/>
      <c r="Y1036" s="10"/>
      <c r="Z1036" s="10"/>
    </row>
    <row r="1037" spans="1:26" ht="12.75">
      <c r="A1037" s="10" t="str">
        <f ca="1">IFERROR(__xludf.DUMMYFUNCTION("""COMPUTED_VALUE"""),"Васил Стоянов Тотев")</f>
        <v>Васил Стоянов Тотев</v>
      </c>
      <c r="B1037" s="10" t="str">
        <f ca="1">IFERROR(__xludf.DUMMYFUNCTION("""COMPUTED_VALUE"""),"Учебно пособие")</f>
        <v>Учебно пособие</v>
      </c>
      <c r="C1037" s="10" t="str">
        <f ca="1">IFERROR(__xludf.DUMMYFUNCTION("""COMPUTED_VALUE"""),"Въздушен суверенитет")</f>
        <v>Въздушен суверенитет</v>
      </c>
      <c r="D1037" s="10">
        <f ca="1">IFERROR(__xludf.DUMMYFUNCTION("""COMPUTED_VALUE"""),2004)</f>
        <v>2004</v>
      </c>
      <c r="E1037" s="10" t="str">
        <f ca="1">IFERROR(__xludf.DUMMYFUNCTION("""COMPUTED_VALUE"""),"„Военна академия – Г.С.Раковски“, 119 стр.")</f>
        <v>„Военна академия – Г.С.Раковски“, 119 стр.</v>
      </c>
      <c r="F1037" s="10"/>
      <c r="G1037" s="10"/>
      <c r="H1037" s="10"/>
      <c r="I1037" s="10"/>
      <c r="J1037" s="10"/>
      <c r="K1037" s="10"/>
      <c r="L1037" s="10"/>
      <c r="M1037" s="10"/>
      <c r="N1037" s="10"/>
      <c r="O1037" s="10"/>
      <c r="P1037" s="10"/>
      <c r="Q1037" s="10"/>
      <c r="R1037" s="10"/>
      <c r="S1037" s="10"/>
      <c r="T1037" s="10"/>
      <c r="U1037" s="10"/>
      <c r="V1037" s="10"/>
      <c r="W1037" s="10"/>
      <c r="X1037" s="10"/>
      <c r="Y1037" s="10"/>
      <c r="Z1037" s="10"/>
    </row>
    <row r="1038" spans="1:26" ht="12.75">
      <c r="A1038" s="10" t="str">
        <f ca="1">IFERROR(__xludf.DUMMYFUNCTION("""COMPUTED_VALUE"""),"Васил Стоянов Тотев")</f>
        <v>Васил Стоянов Тотев</v>
      </c>
      <c r="B1038" s="10" t="str">
        <f ca="1">IFERROR(__xludf.DUMMYFUNCTION("""COMPUTED_VALUE"""),"Статия в списания и поредици")</f>
        <v>Статия в списания и поредици</v>
      </c>
      <c r="C1038" s="10" t="str">
        <f ca="1">IFERROR(__xludf.DUMMYFUNCTION("""COMPUTED_VALUE"""),"Националното богатство като основа на системата за национална сигурност")</f>
        <v>Националното богатство като основа на системата за национална сигурност</v>
      </c>
      <c r="D1038" s="10">
        <f ca="1">IFERROR(__xludf.DUMMYFUNCTION("""COMPUTED_VALUE"""),2004)</f>
        <v>2004</v>
      </c>
      <c r="E1038" s="10" t="str">
        <f ca="1">IFERROR(__xludf.DUMMYFUNCTION("""COMPUTED_VALUE"""),"Военен журнал, кн.2. 17 стр.")</f>
        <v>Военен журнал, кн.2. 17 стр.</v>
      </c>
      <c r="F1038" s="10"/>
      <c r="G1038" s="10" t="str">
        <f ca="1">IFERROR(__xludf.DUMMYFUNCTION("""COMPUTED_VALUE"""),"Георги Бахчеванов")</f>
        <v>Георги Бахчеванов</v>
      </c>
      <c r="H1038" s="10"/>
      <c r="I1038" s="10"/>
      <c r="J1038" s="10"/>
      <c r="K1038" s="10"/>
      <c r="L1038" s="10"/>
      <c r="M1038" s="10"/>
      <c r="N1038" s="10"/>
      <c r="O1038" s="10"/>
      <c r="P1038" s="10"/>
      <c r="Q1038" s="10"/>
      <c r="R1038" s="10"/>
      <c r="S1038" s="10"/>
      <c r="T1038" s="10"/>
      <c r="U1038" s="10"/>
      <c r="V1038" s="10"/>
      <c r="W1038" s="10"/>
      <c r="X1038" s="10"/>
      <c r="Y1038" s="10"/>
      <c r="Z1038" s="10"/>
    </row>
    <row r="1039" spans="1:26" ht="12.75">
      <c r="A1039" s="10" t="str">
        <f ca="1">IFERROR(__xludf.DUMMYFUNCTION("""COMPUTED_VALUE"""),"Васил Стоянов Тотев")</f>
        <v>Васил Стоянов Тотев</v>
      </c>
      <c r="B1039" s="10" t="str">
        <f ca="1">IFERROR(__xludf.DUMMYFUNCTION("""COMPUTED_VALUE"""),"Учебно пособие")</f>
        <v>Учебно пособие</v>
      </c>
      <c r="C1039" s="10" t="str">
        <f ca="1">IFERROR(__xludf.DUMMYFUNCTION("""COMPUTED_VALUE"""),"Изследване на системата за ПВО")</f>
        <v>Изследване на системата за ПВО</v>
      </c>
      <c r="D1039" s="10">
        <f ca="1">IFERROR(__xludf.DUMMYFUNCTION("""COMPUTED_VALUE"""),2004)</f>
        <v>2004</v>
      </c>
      <c r="E1039" s="10" t="str">
        <f ca="1">IFERROR(__xludf.DUMMYFUNCTION("""COMPUTED_VALUE"""),"„Военна академия – Г.С.Раковски“, 173 стр.")</f>
        <v>„Военна академия – Г.С.Раковски“, 173 стр.</v>
      </c>
      <c r="F1039" s="10"/>
      <c r="G1039" s="10"/>
      <c r="H1039" s="10"/>
      <c r="I1039" s="10"/>
      <c r="J1039" s="10"/>
      <c r="K1039" s="10"/>
      <c r="L1039" s="10"/>
      <c r="M1039" s="10"/>
      <c r="N1039" s="10"/>
      <c r="O1039" s="10"/>
      <c r="P1039" s="10"/>
      <c r="Q1039" s="10"/>
      <c r="R1039" s="10"/>
      <c r="S1039" s="10"/>
      <c r="T1039" s="10"/>
      <c r="U1039" s="10"/>
      <c r="V1039" s="10"/>
      <c r="W1039" s="10"/>
      <c r="X1039" s="10"/>
      <c r="Y1039" s="10"/>
      <c r="Z1039" s="10"/>
    </row>
    <row r="1040" spans="1:26" ht="12.75">
      <c r="A1040" s="10" t="str">
        <f ca="1">IFERROR(__xludf.DUMMYFUNCTION("""COMPUTED_VALUE"""),"Васил Стоянов Тотев")</f>
        <v>Васил Стоянов Тотев</v>
      </c>
      <c r="B1040" s="10" t="str">
        <f ca="1">IFERROR(__xludf.DUMMYFUNCTION("""COMPUTED_VALUE"""),"Учебно пособие")</f>
        <v>Учебно пособие</v>
      </c>
      <c r="C1040" s="10" t="str">
        <f ca="1">IFERROR(__xludf.DUMMYFUNCTION("""COMPUTED_VALUE"""),"Обекти за прикритие от системата за ПВО")</f>
        <v>Обекти за прикритие от системата за ПВО</v>
      </c>
      <c r="D1040" s="10">
        <f ca="1">IFERROR(__xludf.DUMMYFUNCTION("""COMPUTED_VALUE"""),2004)</f>
        <v>2004</v>
      </c>
      <c r="E1040" s="10" t="str">
        <f ca="1">IFERROR(__xludf.DUMMYFUNCTION("""COMPUTED_VALUE"""),"„Военна академия – Г.С.Раковски“, 85 стр.")</f>
        <v>„Военна академия – Г.С.Раковски“, 85 стр.</v>
      </c>
      <c r="F1040" s="10"/>
      <c r="G1040" s="10"/>
      <c r="H1040" s="10"/>
      <c r="I1040" s="10"/>
      <c r="J1040" s="10"/>
      <c r="K1040" s="10"/>
      <c r="L1040" s="10"/>
      <c r="M1040" s="10"/>
      <c r="N1040" s="10"/>
      <c r="O1040" s="10"/>
      <c r="P1040" s="10"/>
      <c r="Q1040" s="10"/>
      <c r="R1040" s="10"/>
      <c r="S1040" s="10"/>
      <c r="T1040" s="10"/>
      <c r="U1040" s="10"/>
      <c r="V1040" s="10"/>
      <c r="W1040" s="10"/>
      <c r="X1040" s="10"/>
      <c r="Y1040" s="10"/>
      <c r="Z1040" s="10"/>
    </row>
    <row r="1041" spans="1:26" ht="12.75">
      <c r="A1041" s="10" t="str">
        <f ca="1">IFERROR(__xludf.DUMMYFUNCTION("""COMPUTED_VALUE"""),"Васил Стоянов Тотев")</f>
        <v>Васил Стоянов Тотев</v>
      </c>
      <c r="B1041" s="10" t="str">
        <f ca="1">IFERROR(__xludf.DUMMYFUNCTION("""COMPUTED_VALUE"""),"Учебно пособие")</f>
        <v>Учебно пособие</v>
      </c>
      <c r="C1041" s="10" t="str">
        <f ca="1">IFERROR(__xludf.DUMMYFUNCTION("""COMPUTED_VALUE"""),"Сложни системи. Военни формирования и управление")</f>
        <v>Сложни системи. Военни формирования и управление</v>
      </c>
      <c r="D1041" s="10">
        <f ca="1">IFERROR(__xludf.DUMMYFUNCTION("""COMPUTED_VALUE"""),2002)</f>
        <v>2002</v>
      </c>
      <c r="E1041" s="10" t="str">
        <f ca="1">IFERROR(__xludf.DUMMYFUNCTION("""COMPUTED_VALUE"""),"„Военна академия – Г.С.Раковски“, стр. 100")</f>
        <v>„Военна академия – Г.С.Раковски“, стр. 100</v>
      </c>
      <c r="F1041" s="10"/>
      <c r="G1041" s="10"/>
      <c r="H1041" s="10"/>
      <c r="I1041" s="10"/>
      <c r="J1041" s="10"/>
      <c r="K1041" s="10"/>
      <c r="L1041" s="10"/>
      <c r="M1041" s="10"/>
      <c r="N1041" s="10"/>
      <c r="O1041" s="10"/>
      <c r="P1041" s="10"/>
      <c r="Q1041" s="10"/>
      <c r="R1041" s="10"/>
      <c r="S1041" s="10"/>
      <c r="T1041" s="10"/>
      <c r="U1041" s="10"/>
      <c r="V1041" s="10"/>
      <c r="W1041" s="10"/>
      <c r="X1041" s="10"/>
      <c r="Y1041" s="10"/>
      <c r="Z1041" s="10"/>
    </row>
    <row r="1042" spans="1:26" ht="12.75">
      <c r="A1042" s="10" t="str">
        <f ca="1">IFERROR(__xludf.DUMMYFUNCTION("""COMPUTED_VALUE"""),"Васил Стоянов Тотев")</f>
        <v>Васил Стоянов Тотев</v>
      </c>
      <c r="B1042" s="10" t="str">
        <f ca="1">IFERROR(__xludf.DUMMYFUNCTION("""COMPUTED_VALUE"""),"Учебно пособие")</f>
        <v>Учебно пособие</v>
      </c>
      <c r="C1042" s="10" t="str">
        <f ca="1">IFERROR(__xludf.DUMMYFUNCTION("""COMPUTED_VALUE"""),"Бойни възможности на ЗРК")</f>
        <v>Бойни възможности на ЗРК</v>
      </c>
      <c r="D1042" s="10">
        <f ca="1">IFERROR(__xludf.DUMMYFUNCTION("""COMPUTED_VALUE"""),2002)</f>
        <v>2002</v>
      </c>
      <c r="E1042" s="10" t="str">
        <f ca="1">IFERROR(__xludf.DUMMYFUNCTION("""COMPUTED_VALUE"""),"„Военна академия – Г.С.Раковски“, 89 стр.")</f>
        <v>„Военна академия – Г.С.Раковски“, 89 стр.</v>
      </c>
      <c r="F1042" s="10"/>
      <c r="G1042" s="10" t="str">
        <f ca="1">IFERROR(__xludf.DUMMYFUNCTION("""COMPUTED_VALUE"""),"Иван Русимов")</f>
        <v>Иван Русимов</v>
      </c>
      <c r="H1042" s="10"/>
      <c r="I1042" s="10"/>
      <c r="J1042" s="10"/>
      <c r="K1042" s="10"/>
      <c r="L1042" s="10"/>
      <c r="M1042" s="10"/>
      <c r="N1042" s="10"/>
      <c r="O1042" s="10"/>
      <c r="P1042" s="10"/>
      <c r="Q1042" s="10"/>
      <c r="R1042" s="10"/>
      <c r="S1042" s="10"/>
      <c r="T1042" s="10"/>
      <c r="U1042" s="10"/>
      <c r="V1042" s="10"/>
      <c r="W1042" s="10"/>
      <c r="X1042" s="10"/>
      <c r="Y1042" s="10"/>
      <c r="Z1042" s="10"/>
    </row>
    <row r="1043" spans="1:26" ht="12.75">
      <c r="A1043" s="10" t="str">
        <f ca="1">IFERROR(__xludf.DUMMYFUNCTION("""COMPUTED_VALUE"""),"Васил Стоянов Тотев")</f>
        <v>Васил Стоянов Тотев</v>
      </c>
      <c r="B1043" s="10" t="str">
        <f ca="1">IFERROR(__xludf.DUMMYFUNCTION("""COMPUTED_VALUE"""),"Учебно пособие")</f>
        <v>Учебно пособие</v>
      </c>
      <c r="C1043" s="10" t="str">
        <f ca="1">IFERROR(__xludf.DUMMYFUNCTION("""COMPUTED_VALUE"""),"Операции различни от война")</f>
        <v>Операции различни от война</v>
      </c>
      <c r="D1043" s="10">
        <f ca="1">IFERROR(__xludf.DUMMYFUNCTION("""COMPUTED_VALUE"""),2002)</f>
        <v>2002</v>
      </c>
      <c r="E1043" s="10" t="str">
        <f ca="1">IFERROR(__xludf.DUMMYFUNCTION("""COMPUTED_VALUE"""),"„Военна академия – Г.С.Раковски“")</f>
        <v>„Военна академия – Г.С.Раковски“</v>
      </c>
      <c r="F1043" s="10"/>
      <c r="G1043" s="10"/>
      <c r="H1043" s="10"/>
      <c r="I1043" s="10"/>
      <c r="J1043" s="10"/>
      <c r="K1043" s="10"/>
      <c r="L1043" s="10"/>
      <c r="M1043" s="10"/>
      <c r="N1043" s="10"/>
      <c r="O1043" s="10"/>
      <c r="P1043" s="10"/>
      <c r="Q1043" s="10"/>
      <c r="R1043" s="10"/>
      <c r="S1043" s="10"/>
      <c r="T1043" s="10"/>
      <c r="U1043" s="10"/>
      <c r="V1043" s="10"/>
      <c r="W1043" s="10"/>
      <c r="X1043" s="10"/>
      <c r="Y1043" s="10"/>
      <c r="Z1043" s="10"/>
    </row>
    <row r="1044" spans="1:26" ht="12.75">
      <c r="A1044" s="10" t="str">
        <f ca="1">IFERROR(__xludf.DUMMYFUNCTION("""COMPUTED_VALUE"""),"Васил Стоянов Тотев")</f>
        <v>Васил Стоянов Тотев</v>
      </c>
      <c r="B1044" s="10" t="str">
        <f ca="1">IFERROR(__xludf.DUMMYFUNCTION("""COMPUTED_VALUE"""),"Статия в списания и поредици")</f>
        <v>Статия в списания и поредици</v>
      </c>
      <c r="C1044" s="10" t="str">
        <f ca="1">IFERROR(__xludf.DUMMYFUNCTION("""COMPUTED_VALUE"""),"Модернизация на системата за ПВО")</f>
        <v>Модернизация на системата за ПВО</v>
      </c>
      <c r="D1044" s="10">
        <f ca="1">IFERROR(__xludf.DUMMYFUNCTION("""COMPUTED_VALUE"""),2002)</f>
        <v>2002</v>
      </c>
      <c r="E1044" s="10" t="str">
        <f ca="1">IFERROR(__xludf.DUMMYFUNCTION("""COMPUTED_VALUE"""),"„Военна академия – Г.С.Раковски“, стр.88")</f>
        <v>„Военна академия – Г.С.Раковски“, стр.88</v>
      </c>
      <c r="F1044" s="10"/>
      <c r="G1044" s="10"/>
      <c r="H1044" s="10"/>
      <c r="I1044" s="10"/>
      <c r="J1044" s="10"/>
      <c r="K1044" s="10"/>
      <c r="L1044" s="10"/>
      <c r="M1044" s="10"/>
      <c r="N1044" s="10"/>
      <c r="O1044" s="10"/>
      <c r="P1044" s="10"/>
      <c r="Q1044" s="10"/>
      <c r="R1044" s="10"/>
      <c r="S1044" s="10"/>
      <c r="T1044" s="10"/>
      <c r="U1044" s="10"/>
      <c r="V1044" s="10"/>
      <c r="W1044" s="10"/>
      <c r="X1044" s="10"/>
      <c r="Y1044" s="10"/>
      <c r="Z1044" s="10"/>
    </row>
    <row r="1045" spans="1:26" ht="12.75">
      <c r="A1045" s="10" t="str">
        <f ca="1">IFERROR(__xludf.DUMMYFUNCTION("""COMPUTED_VALUE"""),"Васил Стоянов Тотев")</f>
        <v>Васил Стоянов Тотев</v>
      </c>
      <c r="B1045" s="10" t="str">
        <f ca="1">IFERROR(__xludf.DUMMYFUNCTION("""COMPUTED_VALUE"""),"Доклад от конференция")</f>
        <v>Доклад от конференция</v>
      </c>
      <c r="C1045" s="10" t="str">
        <f ca="1">IFERROR(__xludf.DUMMYFUNCTION("""COMPUTED_VALUE"""),"Проблеми на тактиката на формированията от ВВС")</f>
        <v>Проблеми на тактиката на формированията от ВВС</v>
      </c>
      <c r="D1045" s="10">
        <f ca="1">IFERROR(__xludf.DUMMYFUNCTION("""COMPUTED_VALUE"""),2001)</f>
        <v>2001</v>
      </c>
      <c r="E1045" s="10" t="str">
        <f ca="1">IFERROR(__xludf.DUMMYFUNCTION("""COMPUTED_VALUE"""),"„Военна академия – Г.С.Раковски“, годишник, кн.2, стр. 12")</f>
        <v>„Военна академия – Г.С.Раковски“, годишник, кн.2, стр. 12</v>
      </c>
      <c r="F1045" s="10"/>
      <c r="G1045" s="10"/>
      <c r="H1045" s="10"/>
      <c r="I1045" s="10"/>
      <c r="J1045" s="10"/>
      <c r="K1045" s="10"/>
      <c r="L1045" s="10"/>
      <c r="M1045" s="10"/>
      <c r="N1045" s="10"/>
      <c r="O1045" s="10"/>
      <c r="P1045" s="10"/>
      <c r="Q1045" s="10"/>
      <c r="R1045" s="10"/>
      <c r="S1045" s="10"/>
      <c r="T1045" s="10"/>
      <c r="U1045" s="10"/>
      <c r="V1045" s="10"/>
      <c r="W1045" s="10"/>
      <c r="X1045" s="10"/>
      <c r="Y1045" s="10"/>
      <c r="Z1045" s="10"/>
    </row>
    <row r="1046" spans="1:26" ht="12.75">
      <c r="A1046" s="10" t="str">
        <f ca="1">IFERROR(__xludf.DUMMYFUNCTION("""COMPUTED_VALUE"""),"Васил Стоянов Тотев")</f>
        <v>Васил Стоянов Тотев</v>
      </c>
      <c r="B1046" s="10" t="str">
        <f ca="1">IFERROR(__xludf.DUMMYFUNCTION("""COMPUTED_VALUE"""),"Доклад от конференция")</f>
        <v>Доклад от конференция</v>
      </c>
      <c r="C1046" s="10" t="str">
        <f ca="1">IFERROR(__xludf.DUMMYFUNCTION("""COMPUTED_VALUE"""),"Реформата в българската армия и проблеми в тактиката на ЗРВ")</f>
        <v>Реформата в българската армия и проблеми в тактиката на ЗРВ</v>
      </c>
      <c r="D1046" s="10">
        <f ca="1">IFERROR(__xludf.DUMMYFUNCTION("""COMPUTED_VALUE"""),2001)</f>
        <v>2001</v>
      </c>
      <c r="E1046" s="10" t="str">
        <f ca="1">IFERROR(__xludf.DUMMYFUNCTION("""COMPUTED_VALUE"""),"„Военна академия – Г.С.Раковски“, годишник, кн.2, стр. 6")</f>
        <v>„Военна академия – Г.С.Раковски“, годишник, кн.2, стр. 6</v>
      </c>
      <c r="F1046" s="10"/>
      <c r="G1046" s="10"/>
      <c r="H1046" s="10"/>
      <c r="I1046" s="10"/>
      <c r="J1046" s="10"/>
      <c r="K1046" s="10"/>
      <c r="L1046" s="10"/>
      <c r="M1046" s="10"/>
      <c r="N1046" s="10"/>
      <c r="O1046" s="10"/>
      <c r="P1046" s="10"/>
      <c r="Q1046" s="10"/>
      <c r="R1046" s="10"/>
      <c r="S1046" s="10"/>
      <c r="T1046" s="10"/>
      <c r="U1046" s="10"/>
      <c r="V1046" s="10"/>
      <c r="W1046" s="10"/>
      <c r="X1046" s="10"/>
      <c r="Y1046" s="10"/>
      <c r="Z1046" s="10"/>
    </row>
    <row r="1047" spans="1:26" ht="12.75">
      <c r="A1047" s="10" t="str">
        <f ca="1">IFERROR(__xludf.DUMMYFUNCTION("""COMPUTED_VALUE"""),"Васил Стоянов Тотев")</f>
        <v>Васил Стоянов Тотев</v>
      </c>
      <c r="B1047" s="10" t="str">
        <f ca="1">IFERROR(__xludf.DUMMYFUNCTION("""COMPUTED_VALUE"""),"Статия в списания и поредици")</f>
        <v>Статия в списания и поредици</v>
      </c>
      <c r="C1047" s="10" t="str">
        <f ca="1">IFERROR(__xludf.DUMMYFUNCTION("""COMPUTED_VALUE"""),"ВВС и развитие на оперативното изкуство на ПВО")</f>
        <v>ВВС и развитие на оперативното изкуство на ПВО</v>
      </c>
      <c r="D1047" s="10">
        <f ca="1">IFERROR(__xludf.DUMMYFUNCTION("""COMPUTED_VALUE"""),2000)</f>
        <v>2000</v>
      </c>
      <c r="E1047" s="10" t="str">
        <f ca="1">IFERROR(__xludf.DUMMYFUNCTION("""COMPUTED_VALUE"""),"Трудове на Военна академия, кн.2. 8 стр.")</f>
        <v>Трудове на Военна академия, кн.2. 8 стр.</v>
      </c>
      <c r="F1047" s="10"/>
      <c r="G1047" s="10"/>
      <c r="H1047" s="10"/>
      <c r="I1047" s="10"/>
      <c r="J1047" s="10"/>
      <c r="K1047" s="10"/>
      <c r="L1047" s="10"/>
      <c r="M1047" s="10"/>
      <c r="N1047" s="10"/>
      <c r="O1047" s="10"/>
      <c r="P1047" s="10"/>
      <c r="Q1047" s="10"/>
      <c r="R1047" s="10"/>
      <c r="S1047" s="10"/>
      <c r="T1047" s="10"/>
      <c r="U1047" s="10"/>
      <c r="V1047" s="10"/>
      <c r="W1047" s="10"/>
      <c r="X1047" s="10"/>
      <c r="Y1047" s="10"/>
      <c r="Z1047" s="10"/>
    </row>
    <row r="1048" spans="1:26" ht="12.75">
      <c r="A1048" s="10" t="str">
        <f ca="1">IFERROR(__xludf.DUMMYFUNCTION("""COMPUTED_VALUE"""),"Васил Стоянов Тотев")</f>
        <v>Васил Стоянов Тотев</v>
      </c>
      <c r="B1048" s="10" t="str">
        <f ca="1">IFERROR(__xludf.DUMMYFUNCTION("""COMPUTED_VALUE"""),"Доклад от конференция")</f>
        <v>Доклад от конференция</v>
      </c>
      <c r="C1048" s="10" t="str">
        <f ca="1">IFERROR(__xludf.DUMMYFUNCTION("""COMPUTED_VALUE"""),"Цифровизиране на пространството за ПВО")</f>
        <v>Цифровизиране на пространството за ПВО</v>
      </c>
      <c r="D1048" s="10">
        <f ca="1">IFERROR(__xludf.DUMMYFUNCTION("""COMPUTED_VALUE"""),2000)</f>
        <v>2000</v>
      </c>
      <c r="E1048" s="10" t="str">
        <f ca="1">IFERROR(__xludf.DUMMYFUNCTION("""COMPUTED_VALUE"""),"„Висше Военно Училище за Артилерия и ПВО“, НК с межд,участие, стр. 7")</f>
        <v>„Висше Военно Училище за Артилерия и ПВО“, НК с межд,участие, стр. 7</v>
      </c>
      <c r="F1048" s="10"/>
      <c r="G1048" s="10"/>
      <c r="H1048" s="10"/>
      <c r="I1048" s="10"/>
      <c r="J1048" s="10"/>
      <c r="K1048" s="10"/>
      <c r="L1048" s="10"/>
      <c r="M1048" s="10"/>
      <c r="N1048" s="10"/>
      <c r="O1048" s="10"/>
      <c r="P1048" s="10"/>
      <c r="Q1048" s="10"/>
      <c r="R1048" s="10"/>
      <c r="S1048" s="10"/>
      <c r="T1048" s="10"/>
      <c r="U1048" s="10"/>
      <c r="V1048" s="10"/>
      <c r="W1048" s="10"/>
      <c r="X1048" s="10"/>
      <c r="Y1048" s="10"/>
      <c r="Z1048" s="10"/>
    </row>
    <row r="1049" spans="1:26" ht="12.75">
      <c r="A1049" s="10" t="str">
        <f ca="1">IFERROR(__xludf.DUMMYFUNCTION("""COMPUTED_VALUE"""),"Васил Стоянов Тотев")</f>
        <v>Васил Стоянов Тотев</v>
      </c>
      <c r="B1049" s="10" t="str">
        <f ca="1">IFERROR(__xludf.DUMMYFUNCTION("""COMPUTED_VALUE"""),"Статия в списания и поредици")</f>
        <v>Статия в списания и поредици</v>
      </c>
      <c r="C1049" s="10" t="str">
        <f ca="1">IFERROR(__xludf.DUMMYFUNCTION("""COMPUTED_VALUE"""),"Направления за усъвършенстване на системата за ПВО и нейното адаптиране със структурата на НАТО")</f>
        <v>Направления за усъвършенстване на системата за ПВО и нейното адаптиране със структурата на НАТО</v>
      </c>
      <c r="D1049" s="10">
        <f ca="1">IFERROR(__xludf.DUMMYFUNCTION("""COMPUTED_VALUE"""),1999)</f>
        <v>1999</v>
      </c>
      <c r="E1049" s="10" t="str">
        <f ca="1">IFERROR(__xludf.DUMMYFUNCTION("""COMPUTED_VALUE"""),"Трудове на Военна академия, кн.5. 8 стр.")</f>
        <v>Трудове на Военна академия, кн.5. 8 стр.</v>
      </c>
      <c r="F1049" s="10"/>
      <c r="G1049" s="10"/>
      <c r="H1049" s="10"/>
      <c r="I1049" s="10"/>
      <c r="J1049" s="10"/>
      <c r="K1049" s="10"/>
      <c r="L1049" s="10"/>
      <c r="M1049" s="10"/>
      <c r="N1049" s="10"/>
      <c r="O1049" s="10"/>
      <c r="P1049" s="10"/>
      <c r="Q1049" s="10"/>
      <c r="R1049" s="10"/>
      <c r="S1049" s="10"/>
      <c r="T1049" s="10"/>
      <c r="U1049" s="10"/>
      <c r="V1049" s="10"/>
      <c r="W1049" s="10"/>
      <c r="X1049" s="10"/>
      <c r="Y1049" s="10"/>
      <c r="Z1049" s="10"/>
    </row>
    <row r="1050" spans="1:26" ht="12.75">
      <c r="A1050" s="10" t="str">
        <f ca="1">IFERROR(__xludf.DUMMYFUNCTION("""COMPUTED_VALUE"""),"Васил Стоянов Тотев")</f>
        <v>Васил Стоянов Тотев</v>
      </c>
      <c r="B1050" s="10" t="str">
        <f ca="1">IFERROR(__xludf.DUMMYFUNCTION("""COMPUTED_VALUE"""),"Статия в списания и поредици")</f>
        <v>Статия в списания и поредици</v>
      </c>
      <c r="C1050" s="10" t="str">
        <f ca="1">IFERROR(__xludf.DUMMYFUNCTION("""COMPUTED_VALUE"""),"Особености на бойните действия на кПВО в контранастъпателната операция")</f>
        <v>Особености на бойните действия на кПВО в контранастъпателната операция</v>
      </c>
      <c r="D1050" s="10">
        <f ca="1">IFERROR(__xludf.DUMMYFUNCTION("""COMPUTED_VALUE"""),1998)</f>
        <v>1998</v>
      </c>
      <c r="E1050" s="10" t="str">
        <f ca="1">IFERROR(__xludf.DUMMYFUNCTION("""COMPUTED_VALUE"""),"Трудове на Военна акадения, кн.2. 14 стр.")</f>
        <v>Трудове на Военна акадения, кн.2. 14 стр.</v>
      </c>
      <c r="F1050" s="10"/>
      <c r="G1050" s="10"/>
      <c r="H1050" s="10"/>
      <c r="I1050" s="10"/>
      <c r="J1050" s="10"/>
      <c r="K1050" s="10"/>
      <c r="L1050" s="10"/>
      <c r="M1050" s="10"/>
      <c r="N1050" s="10"/>
      <c r="O1050" s="10"/>
      <c r="P1050" s="10"/>
      <c r="Q1050" s="10"/>
      <c r="R1050" s="10"/>
      <c r="S1050" s="10"/>
      <c r="T1050" s="10"/>
      <c r="U1050" s="10"/>
      <c r="V1050" s="10"/>
      <c r="W1050" s="10"/>
      <c r="X1050" s="10"/>
      <c r="Y1050" s="10"/>
      <c r="Z1050" s="10"/>
    </row>
    <row r="1051" spans="1:26" ht="12.75">
      <c r="A1051" s="10" t="str">
        <f ca="1">IFERROR(__xludf.DUMMYFUNCTION("""COMPUTED_VALUE"""),"Васил Стоянов Тотев")</f>
        <v>Васил Стоянов Тотев</v>
      </c>
      <c r="B1051" s="10" t="str">
        <f ca="1">IFERROR(__xludf.DUMMYFUNCTION("""COMPUTED_VALUE"""),"Статия в списания и поредици")</f>
        <v>Статия в списания и поредици</v>
      </c>
      <c r="C1051" s="10" t="str">
        <f ca="1">IFERROR(__xludf.DUMMYFUNCTION("""COMPUTED_VALUE"""),"Особености на управлението на команден пункт на корпус ПВО и от центъра за управление и оповестяване")</f>
        <v>Особености на управлението на команден пункт на корпус ПВО и от центъра за управление и оповестяване</v>
      </c>
      <c r="D1051" s="10">
        <f ca="1">IFERROR(__xludf.DUMMYFUNCTION("""COMPUTED_VALUE"""),1997)</f>
        <v>1997</v>
      </c>
      <c r="E1051" s="10" t="str">
        <f ca="1">IFERROR(__xludf.DUMMYFUNCTION("""COMPUTED_VALUE"""),"Трудове на Военна академия, кн.1. 7 стр.")</f>
        <v>Трудове на Военна академия, кн.1. 7 стр.</v>
      </c>
      <c r="F1051" s="10"/>
      <c r="G1051" s="10"/>
      <c r="H1051" s="10"/>
      <c r="I1051" s="10"/>
      <c r="J1051" s="10"/>
      <c r="K1051" s="10"/>
      <c r="L1051" s="10"/>
      <c r="M1051" s="10"/>
      <c r="N1051" s="10"/>
      <c r="O1051" s="10"/>
      <c r="P1051" s="10"/>
      <c r="Q1051" s="10"/>
      <c r="R1051" s="10"/>
      <c r="S1051" s="10"/>
      <c r="T1051" s="10"/>
      <c r="U1051" s="10"/>
      <c r="V1051" s="10"/>
      <c r="W1051" s="10"/>
      <c r="X1051" s="10"/>
      <c r="Y1051" s="10"/>
      <c r="Z1051" s="10"/>
    </row>
    <row r="1052" spans="1:26" ht="12.75">
      <c r="A1052" s="10" t="str">
        <f ca="1">IFERROR(__xludf.DUMMYFUNCTION("""COMPUTED_VALUE"""),"Велиян Александров Димитров")</f>
        <v>Велиян Александров Димитров</v>
      </c>
      <c r="B1052" s="10" t="str">
        <f ca="1">IFERROR(__xludf.DUMMYFUNCTION("""COMPUTED_VALUE"""),"Статия в списания и поредици")</f>
        <v>Статия в списания и поредици</v>
      </c>
      <c r="C1052" s="10" t="str">
        <f ca="1">IFERROR(__xludf.DUMMYFUNCTION("""COMPUTED_VALUE"""),"Analysis of the functionalities of a Shared ICS Security Operations Center")</f>
        <v>Analysis of the functionalities of a Shared ICS Security Operations Center</v>
      </c>
      <c r="D1052" s="10">
        <f ca="1">IFERROR(__xludf.DUMMYFUNCTION("""COMPUTED_VALUE"""),2019)</f>
        <v>2019</v>
      </c>
      <c r="E1052" s="10" t="str">
        <f ca="1">IFERROR(__xludf.DUMMYFUNCTION("""COMPUTED_VALUE"""),"The 6th IEEE International Conference “Big Data, Knowledge and Control Systems Engineering” (BdKCSE’2019); ISSN: 1064-1246")</f>
        <v>The 6th IEEE International Conference “Big Data, Knowledge and Control Systems Engineering” (BdKCSE’2019); ISSN: 1064-1246</v>
      </c>
      <c r="F1052" s="10"/>
      <c r="G1052" s="10"/>
      <c r="H1052" s="10"/>
      <c r="I1052" s="10"/>
      <c r="J1052" s="10"/>
      <c r="K1052" s="10"/>
      <c r="L1052" s="10"/>
      <c r="M1052" s="10"/>
      <c r="N1052" s="10"/>
      <c r="O1052" s="10"/>
      <c r="P1052" s="10"/>
      <c r="Q1052" s="10"/>
      <c r="R1052" s="10"/>
      <c r="S1052" s="10"/>
      <c r="T1052" s="10"/>
      <c r="U1052" s="10"/>
      <c r="V1052" s="10"/>
      <c r="W1052" s="10"/>
      <c r="X1052" s="10"/>
      <c r="Y1052" s="10"/>
      <c r="Z1052" s="10"/>
    </row>
    <row r="1053" spans="1:26" ht="12.75">
      <c r="A1053" s="10" t="str">
        <f ca="1">IFERROR(__xludf.DUMMYFUNCTION("""COMPUTED_VALUE"""),"Велиян Александров Димитров")</f>
        <v>Велиян Александров Димитров</v>
      </c>
      <c r="B1053" s="10" t="str">
        <f ca="1">IFERROR(__xludf.DUMMYFUNCTION("""COMPUTED_VALUE"""),"Книга")</f>
        <v>Книга</v>
      </c>
      <c r="C1053" s="10" t="str">
        <f ca="1">IFERROR(__xludf.DUMMYFUNCTION("""COMPUTED_VALUE"""),"Оперативна киберсигурност")</f>
        <v>Оперативна киберсигурност</v>
      </c>
      <c r="D1053" s="10">
        <f ca="1">IFERROR(__xludf.DUMMYFUNCTION("""COMPUTED_VALUE"""),2019)</f>
        <v>2019</v>
      </c>
      <c r="E1053" s="10" t="str">
        <f ca="1">IFERROR(__xludf.DUMMYFUNCTION("""COMPUTED_VALUE"""),"Авангард Прима, 978-619-239-209-3")</f>
        <v>Авангард Прима, 978-619-239-209-3</v>
      </c>
      <c r="F1053" s="10"/>
      <c r="G1053" s="10"/>
      <c r="H1053" s="10"/>
      <c r="I1053" s="10"/>
      <c r="J1053" s="10"/>
      <c r="K1053" s="10"/>
      <c r="L1053" s="10"/>
      <c r="M1053" s="10"/>
      <c r="N1053" s="10"/>
      <c r="O1053" s="10"/>
      <c r="P1053" s="10"/>
      <c r="Q1053" s="10"/>
      <c r="R1053" s="10"/>
      <c r="S1053" s="10"/>
      <c r="T1053" s="10"/>
      <c r="U1053" s="10"/>
      <c r="V1053" s="10"/>
      <c r="W1053" s="10"/>
      <c r="X1053" s="10"/>
      <c r="Y1053" s="10"/>
      <c r="Z1053" s="10"/>
    </row>
    <row r="1054" spans="1:26" ht="12.75">
      <c r="A1054" s="10" t="str">
        <f ca="1">IFERROR(__xludf.DUMMYFUNCTION("""COMPUTED_VALUE"""),"Велиян Александров Димитров")</f>
        <v>Велиян Александров Димитров</v>
      </c>
      <c r="B1054" s="10" t="str">
        <f ca="1">IFERROR(__xludf.DUMMYFUNCTION("""COMPUTED_VALUE"""),"Статия в списания и поредици")</f>
        <v>Статия в списания и поредици</v>
      </c>
      <c r="C1054" s="10" t="str">
        <f ca="1">IFERROR(__xludf.DUMMYFUNCTION("""COMPUTED_VALUE"""),"TOWARD OVERCOMING THE DISPROPORTION BETWEEN THE DEMAND FOR PROFESSIONALS AND THE PROVISION OF TRAINING IN CYBERSECURITY")</f>
        <v>TOWARD OVERCOMING THE DISPROPORTION BETWEEN THE DEMAND FOR PROFESSIONALS AND THE PROVISION OF TRAINING IN CYBERSECURITY</v>
      </c>
      <c r="D1054" s="10">
        <f ca="1">IFERROR(__xludf.DUMMYFUNCTION("""COMPUTED_VALUE"""),2019)</f>
        <v>2019</v>
      </c>
      <c r="E1054" s="10" t="str">
        <f ca="1">IFERROR(__xludf.DUMMYFUNCTION("""COMPUTED_VALUE"""),"EDULEARN19 Proceedings Pages: 1656-1664 11th International Conference on Education and New Learning Technologies Dates: 1-3 July, 2019 Location: Palma, Spain, ISBN: 978-84-09-12031-4 ISSN: 2340-1117 10.21125/edulearn.2019.0485")</f>
        <v>EDULEARN19 Proceedings Pages: 1656-1664 11th International Conference on Education and New Learning Technologies Dates: 1-3 July, 2019 Location: Palma, Spain, ISBN: 978-84-09-12031-4 ISSN: 2340-1117 10.21125/edulearn.2019.0485</v>
      </c>
      <c r="F1054" s="10"/>
      <c r="G1054" s="10"/>
      <c r="H1054" s="10"/>
      <c r="I1054" s="10"/>
      <c r="J1054" s="10"/>
      <c r="K1054" s="10"/>
      <c r="L1054" s="10"/>
      <c r="M1054" s="10"/>
      <c r="N1054" s="10"/>
      <c r="O1054" s="10"/>
      <c r="P1054" s="10"/>
      <c r="Q1054" s="10"/>
      <c r="R1054" s="10"/>
      <c r="S1054" s="10"/>
      <c r="T1054" s="10"/>
      <c r="U1054" s="10"/>
      <c r="V1054" s="10"/>
      <c r="W1054" s="10"/>
      <c r="X1054" s="10"/>
      <c r="Y1054" s="10"/>
      <c r="Z1054" s="10"/>
    </row>
    <row r="1055" spans="1:26" ht="12.75">
      <c r="A1055" s="10" t="str">
        <f ca="1">IFERROR(__xludf.DUMMYFUNCTION("""COMPUTED_VALUE"""),"Велиян Александров Димитров")</f>
        <v>Велиян Александров Димитров</v>
      </c>
      <c r="B1055" s="10" t="str">
        <f ca="1">IFERROR(__xludf.DUMMYFUNCTION("""COMPUTED_VALUE"""),"Статия в списания и поредици")</f>
        <v>Статия в списания и поредици</v>
      </c>
      <c r="C1055" s="10" t="str">
        <f ca="1">IFERROR(__xludf.DUMMYFUNCTION("""COMPUTED_VALUE"""),"COMPETENCY IN NUGGETS FOR CYBER SECURITY TRAININGS")</f>
        <v>COMPETENCY IN NUGGETS FOR CYBER SECURITY TRAININGS</v>
      </c>
      <c r="D1055" s="10">
        <f ca="1">IFERROR(__xludf.DUMMYFUNCTION("""COMPUTED_VALUE"""),2019)</f>
        <v>2019</v>
      </c>
      <c r="E1055" s="10" t="str">
        <f ca="1">IFERROR(__xludf.DUMMYFUNCTION("""COMPUTED_VALUE"""),"EDULEARN19 Proceedings Pages: 4311-4318 11th International Conference on Education and New Learning Technologies Dates: 1-3 July, 2019 Location: Palma, Spain , ISBN: 978-84-09-12031-4 ISSN: 2340-1117 doi: 10.21125/edulearn.2019.1086")</f>
        <v>EDULEARN19 Proceedings Pages: 4311-4318 11th International Conference on Education and New Learning Technologies Dates: 1-3 July, 2019 Location: Palma, Spain , ISBN: 978-84-09-12031-4 ISSN: 2340-1117 doi: 10.21125/edulearn.2019.1086</v>
      </c>
      <c r="F1055" s="10"/>
      <c r="G1055" s="10"/>
      <c r="H1055" s="10"/>
      <c r="I1055" s="10"/>
      <c r="J1055" s="10"/>
      <c r="K1055" s="10"/>
      <c r="L1055" s="10"/>
      <c r="M1055" s="10"/>
      <c r="N1055" s="10"/>
      <c r="O1055" s="10"/>
      <c r="P1055" s="10"/>
      <c r="Q1055" s="10"/>
      <c r="R1055" s="10"/>
      <c r="S1055" s="10"/>
      <c r="T1055" s="10"/>
      <c r="U1055" s="10"/>
      <c r="V1055" s="10"/>
      <c r="W1055" s="10"/>
      <c r="X1055" s="10"/>
      <c r="Y1055" s="10"/>
      <c r="Z1055" s="10"/>
    </row>
    <row r="1056" spans="1:26" ht="12.75">
      <c r="A1056" s="10" t="str">
        <f ca="1">IFERROR(__xludf.DUMMYFUNCTION("""COMPUTED_VALUE"""),"Велиян Александров Димитров")</f>
        <v>Велиян Александров Димитров</v>
      </c>
      <c r="B1056" s="10" t="str">
        <f ca="1">IFERROR(__xludf.DUMMYFUNCTION("""COMPUTED_VALUE"""),"Статия в списания и поредици")</f>
        <v>Статия в списания и поредици</v>
      </c>
      <c r="C1056" s="10" t="str">
        <f ca="1">IFERROR(__xludf.DUMMYFUNCTION("""COMPUTED_VALUE"""),"STUDY OF THE IMBALANCE AND DISPROPORTIONS IN THE OPPOSITION OF CYBER DEFENCE AGAINST HACKERS")</f>
        <v>STUDY OF THE IMBALANCE AND DISPROPORTIONS IN THE OPPOSITION OF CYBER DEFENCE AGAINST HACKERS</v>
      </c>
      <c r="D1056" s="10">
        <f ca="1">IFERROR(__xludf.DUMMYFUNCTION("""COMPUTED_VALUE"""),2019)</f>
        <v>2019</v>
      </c>
      <c r="E1056" s="10" t="str">
        <f ca="1">IFERROR(__xludf.DUMMYFUNCTION("""COMPUTED_VALUE"""),"INTERNATIONAL SCIENTIFIC JOURNAL SECURITY &amp; FUTURE, YEAR III, ISSUE 3/2019, SCIENTIFIC TECHNICAL UNION OF MECHANICAL ENGINEERING - INDUSTRY 4.0, P 102-105, ISBN (PRINT) 2535-0668 ISSN (ONLINE) 2535-082X")</f>
        <v>INTERNATIONAL SCIENTIFIC JOURNAL SECURITY &amp; FUTURE, YEAR III, ISSUE 3/2019, SCIENTIFIC TECHNICAL UNION OF MECHANICAL ENGINEERING - INDUSTRY 4.0, P 102-105, ISBN (PRINT) 2535-0668 ISSN (ONLINE) 2535-082X</v>
      </c>
      <c r="F1056" s="10"/>
      <c r="G1056" s="10"/>
      <c r="H1056" s="10"/>
      <c r="I1056" s="10"/>
      <c r="J1056" s="10"/>
      <c r="K1056" s="10"/>
      <c r="L1056" s="10"/>
      <c r="M1056" s="10"/>
      <c r="N1056" s="10"/>
      <c r="O1056" s="10"/>
      <c r="P1056" s="10"/>
      <c r="Q1056" s="10"/>
      <c r="R1056" s="10"/>
      <c r="S1056" s="10"/>
      <c r="T1056" s="10"/>
      <c r="U1056" s="10"/>
      <c r="V1056" s="10"/>
      <c r="W1056" s="10"/>
      <c r="X1056" s="10"/>
      <c r="Y1056" s="10"/>
      <c r="Z1056" s="10"/>
    </row>
    <row r="1057" spans="1:26" ht="12.75">
      <c r="A1057" s="10" t="str">
        <f ca="1">IFERROR(__xludf.DUMMYFUNCTION("""COMPUTED_VALUE"""),"Велиян Александров Димитров")</f>
        <v>Велиян Александров Димитров</v>
      </c>
      <c r="B1057" s="10" t="str">
        <f ca="1">IFERROR(__xludf.DUMMYFUNCTION("""COMPUTED_VALUE"""),"Книга")</f>
        <v>Книга</v>
      </c>
      <c r="C1057" s="10" t="str">
        <f ca="1">IFERROR(__xludf.DUMMYFUNCTION("""COMPUTED_VALUE"""),"Модел за сигурност на ИКТ")</f>
        <v>Модел за сигурност на ИКТ</v>
      </c>
      <c r="D1057" s="10">
        <f ca="1">IFERROR(__xludf.DUMMYFUNCTION("""COMPUTED_VALUE"""),2018)</f>
        <v>2018</v>
      </c>
      <c r="E1057" s="10" t="str">
        <f ca="1">IFERROR(__xludf.DUMMYFUNCTION("""COMPUTED_VALUE"""),"Издателство Авангар Прима, isbn 978-619-160-950-5")</f>
        <v>Издателство Авангар Прима, isbn 978-619-160-950-5</v>
      </c>
      <c r="F1057" s="10" t="str">
        <f ca="1">IFERROR(__xludf.DUMMYFUNCTION("""COMPUTED_VALUE"""),"Народна библиотека")</f>
        <v>Народна библиотека</v>
      </c>
      <c r="G1057" s="10"/>
      <c r="H1057" s="10"/>
      <c r="I1057" s="10"/>
      <c r="J1057" s="10"/>
      <c r="K1057" s="10"/>
      <c r="L1057" s="10"/>
      <c r="M1057" s="10"/>
      <c r="N1057" s="10"/>
      <c r="O1057" s="10"/>
      <c r="P1057" s="10"/>
      <c r="Q1057" s="10"/>
      <c r="R1057" s="10"/>
      <c r="S1057" s="10"/>
      <c r="T1057" s="10"/>
      <c r="U1057" s="10"/>
      <c r="V1057" s="10"/>
      <c r="W1057" s="10"/>
      <c r="X1057" s="10"/>
      <c r="Y1057" s="10"/>
      <c r="Z1057" s="10"/>
    </row>
    <row r="1058" spans="1:26" ht="12.75">
      <c r="A1058" s="10" t="str">
        <f ca="1">IFERROR(__xludf.DUMMYFUNCTION("""COMPUTED_VALUE"""),"Велиян Александров Димитров")</f>
        <v>Велиян Александров Димитров</v>
      </c>
      <c r="B1058" s="10" t="str">
        <f ca="1">IFERROR(__xludf.DUMMYFUNCTION("""COMPUTED_VALUE"""),"Статия в списания и поредици")</f>
        <v>Статия в списания и поредици</v>
      </c>
      <c r="C1058" s="10" t="str">
        <f ca="1">IFERROR(__xludf.DUMMYFUNCTION("""COMPUTED_VALUE"""),"Финансовите институции и изискванията на GDPR")</f>
        <v>Финансовите институции и изискванията на GDPR</v>
      </c>
      <c r="D1058" s="10">
        <f ca="1">IFERROR(__xludf.DUMMYFUNCTION("""COMPUTED_VALUE"""),2018)</f>
        <v>2018</v>
      </c>
      <c r="E1058" s="10" t="str">
        <f ca="1">IFERROR(__xludf.DUMMYFUNCTION("""COMPUTED_VALUE"""),"http://cio.bg/9126_finansovite_institucii_i_iziskvaniyata_na_gdpr 23.11.2017 г.")</f>
        <v>http://cio.bg/9126_finansovite_institucii_i_iziskvaniyata_na_gdpr 23.11.2017 г.</v>
      </c>
      <c r="F1058" s="10"/>
      <c r="G1058" s="10"/>
      <c r="H1058" s="10"/>
      <c r="I1058" s="10"/>
      <c r="J1058" s="10"/>
      <c r="K1058" s="10"/>
      <c r="L1058" s="10"/>
      <c r="M1058" s="10"/>
      <c r="N1058" s="10"/>
      <c r="O1058" s="10"/>
      <c r="P1058" s="10"/>
      <c r="Q1058" s="10"/>
      <c r="R1058" s="10"/>
      <c r="S1058" s="10"/>
      <c r="T1058" s="10"/>
      <c r="U1058" s="10"/>
      <c r="V1058" s="10"/>
      <c r="W1058" s="10"/>
      <c r="X1058" s="10"/>
      <c r="Y1058" s="10"/>
      <c r="Z1058" s="10"/>
    </row>
    <row r="1059" spans="1:26" ht="12.75">
      <c r="A1059" s="10" t="str">
        <f ca="1">IFERROR(__xludf.DUMMYFUNCTION("""COMPUTED_VALUE"""),"Велиян Александров Димитров")</f>
        <v>Велиян Александров Димитров</v>
      </c>
      <c r="B1059" s="10" t="str">
        <f ca="1">IFERROR(__xludf.DUMMYFUNCTION("""COMPUTED_VALUE"""),"Статия в списания и поредици")</f>
        <v>Статия в списания и поредици</v>
      </c>
      <c r="C1059" s="10" t="str">
        <f ca="1">IFERROR(__xludf.DUMMYFUNCTION("""COMPUTED_VALUE"""),"The blockchain as a backbone of GDPR compliant frameworks")</f>
        <v>The blockchain as a backbone of GDPR compliant frameworks</v>
      </c>
      <c r="D1059" s="10">
        <f ca="1">IFERROR(__xludf.DUMMYFUNCTION("""COMPUTED_VALUE"""),2018)</f>
        <v>2018</v>
      </c>
      <c r="E1059" s="10" t="str">
        <f ca="1">IFERROR(__xludf.DUMMYFUNCTION("""COMPUTED_VALUE"""),"Conference SIMPRO 2018, Romania")</f>
        <v>Conference SIMPRO 2018, Romania</v>
      </c>
      <c r="F1059" s="10"/>
      <c r="G1059" s="10" t="str">
        <f ca="1">IFERROR(__xludf.DUMMYFUNCTION("""COMPUTED_VALUE"""),"Peyo Hristov")</f>
        <v>Peyo Hristov</v>
      </c>
      <c r="H1059" s="10"/>
      <c r="I1059" s="10"/>
      <c r="J1059" s="10"/>
      <c r="K1059" s="10"/>
      <c r="L1059" s="10"/>
      <c r="M1059" s="10"/>
      <c r="N1059" s="10"/>
      <c r="O1059" s="10"/>
      <c r="P1059" s="10"/>
      <c r="Q1059" s="10"/>
      <c r="R1059" s="10"/>
      <c r="S1059" s="10"/>
      <c r="T1059" s="10"/>
      <c r="U1059" s="10"/>
      <c r="V1059" s="10"/>
      <c r="W1059" s="10"/>
      <c r="X1059" s="10"/>
      <c r="Y1059" s="10"/>
      <c r="Z1059" s="10"/>
    </row>
    <row r="1060" spans="1:26" ht="12.75">
      <c r="A1060" s="10" t="str">
        <f ca="1">IFERROR(__xludf.DUMMYFUNCTION("""COMPUTED_VALUE"""),"Велиян Александров Димитров")</f>
        <v>Велиян Александров Димитров</v>
      </c>
      <c r="B1060" s="10" t="str">
        <f ca="1">IFERROR(__xludf.DUMMYFUNCTION("""COMPUTED_VALUE"""),"Статия в списания и поредици")</f>
        <v>Статия в списания и поредици</v>
      </c>
      <c r="C1060" s="10" t="str">
        <f ca="1">IFERROR(__xludf.DUMMYFUNCTION("""COMPUTED_VALUE"""),"Формализмът - риск при въвеждане на GDPR")</f>
        <v>Формализмът - риск при въвеждане на GDPR</v>
      </c>
      <c r="D1060" s="10">
        <f ca="1">IFERROR(__xludf.DUMMYFUNCTION("""COMPUTED_VALUE"""),2018)</f>
        <v>2018</v>
      </c>
      <c r="E1060" s="10" t="str">
        <f ca="1">IFERROR(__xludf.DUMMYFUNCTION("""COMPUTED_VALUE"""),"Сп. CIO, 28.03.2018 г. http://cio.bg/9409_formalizmat__risk_pri_vavezhdane_na_gdpr")</f>
        <v>Сп. CIO, 28.03.2018 г. http://cio.bg/9409_formalizmat__risk_pri_vavezhdane_na_gdpr</v>
      </c>
      <c r="F1060" s="10"/>
      <c r="G1060" s="10"/>
      <c r="H1060" s="10"/>
      <c r="I1060" s="10"/>
      <c r="J1060" s="10"/>
      <c r="K1060" s="10"/>
      <c r="L1060" s="10"/>
      <c r="M1060" s="10"/>
      <c r="N1060" s="10"/>
      <c r="O1060" s="10"/>
      <c r="P1060" s="10"/>
      <c r="Q1060" s="10"/>
      <c r="R1060" s="10"/>
      <c r="S1060" s="10"/>
      <c r="T1060" s="10"/>
      <c r="U1060" s="10"/>
      <c r="V1060" s="10"/>
      <c r="W1060" s="10"/>
      <c r="X1060" s="10"/>
      <c r="Y1060" s="10"/>
      <c r="Z1060" s="10"/>
    </row>
    <row r="1061" spans="1:26" ht="12.75">
      <c r="A1061" s="10" t="str">
        <f ca="1">IFERROR(__xludf.DUMMYFUNCTION("""COMPUTED_VALUE"""),"Велиян Александров Димитров")</f>
        <v>Велиян Александров Димитров</v>
      </c>
      <c r="B1061" s="10" t="str">
        <f ca="1">IFERROR(__xludf.DUMMYFUNCTION("""COMPUTED_VALUE"""),"Книга")</f>
        <v>Книга</v>
      </c>
      <c r="C1061" s="10" t="str">
        <f ca="1">IFERROR(__xludf.DUMMYFUNCTION("""COMPUTED_VALUE"""),"Тенденции в сигурността на ИКТ")</f>
        <v>Тенденции в сигурността на ИКТ</v>
      </c>
      <c r="D1061" s="10">
        <f ca="1">IFERROR(__xludf.DUMMYFUNCTION("""COMPUTED_VALUE"""),2017)</f>
        <v>2017</v>
      </c>
      <c r="E1061" s="10" t="str">
        <f ca="1">IFERROR(__xludf.DUMMYFUNCTION("""COMPUTED_VALUE"""),"Издателство Авангар Прима, isbn ISBN 978-619-160-766-2")</f>
        <v>Издателство Авангар Прима, isbn ISBN 978-619-160-766-2</v>
      </c>
      <c r="F1061" s="10" t="str">
        <f ca="1">IFERROR(__xludf.DUMMYFUNCTION("""COMPUTED_VALUE"""),"Народна библиотека")</f>
        <v>Народна библиотека</v>
      </c>
      <c r="G1061" s="10"/>
      <c r="H1061" s="10"/>
      <c r="I1061" s="10"/>
      <c r="J1061" s="10"/>
      <c r="K1061" s="10"/>
      <c r="L1061" s="10"/>
      <c r="M1061" s="10"/>
      <c r="N1061" s="10"/>
      <c r="O1061" s="10"/>
      <c r="P1061" s="10"/>
      <c r="Q1061" s="10"/>
      <c r="R1061" s="10"/>
      <c r="S1061" s="10"/>
      <c r="T1061" s="10"/>
      <c r="U1061" s="10"/>
      <c r="V1061" s="10"/>
      <c r="W1061" s="10"/>
      <c r="X1061" s="10"/>
      <c r="Y1061" s="10"/>
      <c r="Z1061" s="10"/>
    </row>
    <row r="1062" spans="1:26" ht="12.75">
      <c r="A1062" s="10" t="str">
        <f ca="1">IFERROR(__xludf.DUMMYFUNCTION("""COMPUTED_VALUE"""),"Велиян Александров Димитров")</f>
        <v>Велиян Александров Димитров</v>
      </c>
      <c r="B1062" s="10" t="str">
        <f ca="1">IFERROR(__xludf.DUMMYFUNCTION("""COMPUTED_VALUE"""),"Книга")</f>
        <v>Книга</v>
      </c>
      <c r="C1062" s="10" t="str">
        <f ca="1">IFERROR(__xludf.DUMMYFUNCTION("""COMPUTED_VALUE"""),"Тестване на софтуер")</f>
        <v>Тестване на софтуер</v>
      </c>
      <c r="D1062" s="10">
        <f ca="1">IFERROR(__xludf.DUMMYFUNCTION("""COMPUTED_VALUE"""),2017)</f>
        <v>2017</v>
      </c>
      <c r="E1062" s="10" t="str">
        <f ca="1">IFERROR(__xludf.DUMMYFUNCTION("""COMPUTED_VALUE"""),"Издателство Авангар Прима, isbn ISBN 978-619-160-765-5")</f>
        <v>Издателство Авангар Прима, isbn ISBN 978-619-160-765-5</v>
      </c>
      <c r="F1062" s="10" t="str">
        <f ca="1">IFERROR(__xludf.DUMMYFUNCTION("""COMPUTED_VALUE"""),"Народна библиотека")</f>
        <v>Народна библиотека</v>
      </c>
      <c r="G1062" s="10"/>
      <c r="H1062" s="10"/>
      <c r="I1062" s="10"/>
      <c r="J1062" s="10"/>
      <c r="K1062" s="10"/>
      <c r="L1062" s="10"/>
      <c r="M1062" s="10"/>
      <c r="N1062" s="10"/>
      <c r="O1062" s="10"/>
      <c r="P1062" s="10"/>
      <c r="Q1062" s="10"/>
      <c r="R1062" s="10"/>
      <c r="S1062" s="10"/>
      <c r="T1062" s="10"/>
      <c r="U1062" s="10"/>
      <c r="V1062" s="10"/>
      <c r="W1062" s="10"/>
      <c r="X1062" s="10"/>
      <c r="Y1062" s="10"/>
      <c r="Z1062" s="10"/>
    </row>
    <row r="1063" spans="1:26" ht="12.75">
      <c r="A1063" s="10" t="str">
        <f ca="1">IFERROR(__xludf.DUMMYFUNCTION("""COMPUTED_VALUE"""),"Велиян Александров Димитров")</f>
        <v>Велиян Александров Димитров</v>
      </c>
      <c r="B1063" s="10" t="str">
        <f ca="1">IFERROR(__xludf.DUMMYFUNCTION("""COMPUTED_VALUE"""),"Статия в списания и поредици")</f>
        <v>Статия в списания и поредици</v>
      </c>
      <c r="C1063" s="10" t="str">
        <f ca="1">IFERROR(__xludf.DUMMYFUNCTION("""COMPUTED_VALUE"""),"SECURITY DYNAMICS – ADAPTATION OF ICT INFRASTRUCTURE TO CLOUD COMPUTING – THREADS AND OPPORTUNITIES")</f>
        <v>SECURITY DYNAMICS – ADAPTATION OF ICT INFRASTRUCTURE TO CLOUD COMPUTING – THREADS AND OPPORTUNITIES</v>
      </c>
      <c r="D1063" s="10">
        <f ca="1">IFERROR(__xludf.DUMMYFUNCTION("""COMPUTED_VALUE"""),2017)</f>
        <v>2017</v>
      </c>
      <c r="E1063" s="10" t="str">
        <f ca="1">IFERROR(__xludf.DUMMYFUNCTION("""COMPUTED_VALUE"""),"SECURITY DYNAMICS – ADAPTATION OF ICT INFRASTRUCTURE TO CLOUD COMPUTING – THREADS AND OPPORTUNITIES Willian Dimitrov1, Galia Novakova Nedeltcheva2, International Scientific Journal INDUSTRY 4.0, ISSN (PRINT) 2543-8582, ISSN (ONLINE) 2534-997X, YEAR II, IS"&amp;"SUE 1/2017")</f>
        <v>SECURITY DYNAMICS – ADAPTATION OF ICT INFRASTRUCTURE TO CLOUD COMPUTING – THREADS AND OPPORTUNITIES Willian Dimitrov1, Galia Novakova Nedeltcheva2, International Scientific Journal INDUSTRY 4.0, ISSN (PRINT) 2543-8582, ISSN (ONLINE) 2534-997X, YEAR II, ISSUE 1/2017</v>
      </c>
      <c r="F1063" s="10"/>
      <c r="G1063" s="10" t="str">
        <f ca="1">IFERROR(__xludf.DUMMYFUNCTION("""COMPUTED_VALUE"""),"Galia Novakova Nedeltcheva")</f>
        <v>Galia Novakova Nedeltcheva</v>
      </c>
      <c r="H1063" s="10"/>
      <c r="I1063" s="10"/>
      <c r="J1063" s="10"/>
      <c r="K1063" s="10"/>
      <c r="L1063" s="10"/>
      <c r="M1063" s="10"/>
      <c r="N1063" s="10"/>
      <c r="O1063" s="10"/>
      <c r="P1063" s="10"/>
      <c r="Q1063" s="10"/>
      <c r="R1063" s="10"/>
      <c r="S1063" s="10"/>
      <c r="T1063" s="10"/>
      <c r="U1063" s="10"/>
      <c r="V1063" s="10"/>
      <c r="W1063" s="10"/>
      <c r="X1063" s="10"/>
      <c r="Y1063" s="10"/>
      <c r="Z1063" s="10"/>
    </row>
    <row r="1064" spans="1:26" ht="12.75">
      <c r="A1064" s="10" t="str">
        <f ca="1">IFERROR(__xludf.DUMMYFUNCTION("""COMPUTED_VALUE"""),"Велиян Александров Димитров")</f>
        <v>Велиян Александров Димитров</v>
      </c>
      <c r="B1064" s="10" t="str">
        <f ca="1">IFERROR(__xludf.DUMMYFUNCTION("""COMPUTED_VALUE"""),"Статия в списания и поредици")</f>
        <v>Статия в списания и поредици</v>
      </c>
      <c r="C1064" s="10" t="str">
        <f ca="1">IFERROR(__xludf.DUMMYFUNCTION("""COMPUTED_VALUE"""),"GDPR entrapments. Proactive and reactive (re)design thinking")</f>
        <v>GDPR entrapments. Proactive and reactive (re)design thinking</v>
      </c>
      <c r="D1064" s="10">
        <f ca="1">IFERROR(__xludf.DUMMYFUNCTION("""COMPUTED_VALUE"""),2017)</f>
        <v>2017</v>
      </c>
      <c r="E1064" s="10" t="str">
        <f ca="1">IFERROR(__xludf.DUMMYFUNCTION("""COMPUTED_VALUE"""),"ELECTROTECHNICA+ ELECTRONICA, Volume 52, Issue 11-12, p.11-19, 2017")</f>
        <v>ELECTROTECHNICA+ ELECTRONICA, Volume 52, Issue 11-12, p.11-19, 2017</v>
      </c>
      <c r="F1064" s="10"/>
      <c r="G1064" s="10"/>
      <c r="H1064" s="10"/>
      <c r="I1064" s="10"/>
      <c r="J1064" s="10"/>
      <c r="K1064" s="10"/>
      <c r="L1064" s="10"/>
      <c r="M1064" s="10"/>
      <c r="N1064" s="10"/>
      <c r="O1064" s="10"/>
      <c r="P1064" s="10"/>
      <c r="Q1064" s="10"/>
      <c r="R1064" s="10"/>
      <c r="S1064" s="10"/>
      <c r="T1064" s="10"/>
      <c r="U1064" s="10"/>
      <c r="V1064" s="10"/>
      <c r="W1064" s="10"/>
      <c r="X1064" s="10"/>
      <c r="Y1064" s="10"/>
      <c r="Z1064" s="10"/>
    </row>
    <row r="1065" spans="1:26" ht="12.75">
      <c r="A1065" s="10" t="str">
        <f ca="1">IFERROR(__xludf.DUMMYFUNCTION("""COMPUTED_VALUE"""),"Велиян Александров Димитров")</f>
        <v>Велиян Александров Димитров</v>
      </c>
      <c r="B1065" s="10" t="str">
        <f ca="1">IFERROR(__xludf.DUMMYFUNCTION("""COMPUTED_VALUE"""),"Статия в списания и поредици")</f>
        <v>Статия в списания и поредици</v>
      </c>
      <c r="C1065" s="10" t="str">
        <f ca="1">IFERROR(__xludf.DUMMYFUNCTION("""COMPUTED_VALUE"""),"STANDARDS AND INTEROPERABILITY WITHIN SMART CITY ECOSYSTEM")</f>
        <v>STANDARDS AND INTEROPERABILITY WITHIN SMART CITY ECOSYSTEM</v>
      </c>
      <c r="D1065" s="10">
        <f ca="1">IFERROR(__xludf.DUMMYFUNCTION("""COMPUTED_VALUE"""),2017)</f>
        <v>2017</v>
      </c>
      <c r="E1065" s="10" t="str">
        <f ca="1">IFERROR(__xludf.DUMMYFUNCTION("""COMPUTED_VALUE"""),"10th annual International Conference of Education, Research and Innovation, ICERI2017 Proceedings, ISSN 2340-1095, ISBN 978-84-697-6957-7, DOI 10.21125/iceri.2017.1157")</f>
        <v>10th annual International Conference of Education, Research and Innovation, ICERI2017 Proceedings, ISSN 2340-1095, ISBN 978-84-697-6957-7, DOI 10.21125/iceri.2017.1157</v>
      </c>
      <c r="F1065" s="10" t="str">
        <f ca="1">IFERROR(__xludf.DUMMYFUNCTION("""COMPUTED_VALUE"""),"Web of Science")</f>
        <v>Web of Science</v>
      </c>
      <c r="G1065" s="10" t="str">
        <f ca="1">IFERROR(__xludf.DUMMYFUNCTION("""COMPUTED_VALUE"""),"Nikolov, R., Jekov, B.")</f>
        <v>Nikolov, R., Jekov, B.</v>
      </c>
      <c r="H1065" s="10"/>
      <c r="I1065" s="10"/>
      <c r="J1065" s="10"/>
      <c r="K1065" s="10"/>
      <c r="L1065" s="10"/>
      <c r="M1065" s="10"/>
      <c r="N1065" s="10"/>
      <c r="O1065" s="10"/>
      <c r="P1065" s="10"/>
      <c r="Q1065" s="10"/>
      <c r="R1065" s="10"/>
      <c r="S1065" s="10"/>
      <c r="T1065" s="10"/>
      <c r="U1065" s="10"/>
      <c r="V1065" s="10"/>
      <c r="W1065" s="10"/>
      <c r="X1065" s="10"/>
      <c r="Y1065" s="10"/>
      <c r="Z1065" s="10"/>
    </row>
    <row r="1066" spans="1:26" ht="12.75">
      <c r="A1066" s="10" t="str">
        <f ca="1">IFERROR(__xludf.DUMMYFUNCTION("""COMPUTED_VALUE"""),"Велиян Александров Димитров")</f>
        <v>Велиян Александров Димитров</v>
      </c>
      <c r="B1066" s="10" t="str">
        <f ca="1">IFERROR(__xludf.DUMMYFUNCTION("""COMPUTED_VALUE"""),"Статия в списания и поредици")</f>
        <v>Статия в списания и поредици</v>
      </c>
      <c r="C1066" s="10" t="str">
        <f ca="1">IFERROR(__xludf.DUMMYFUNCTION("""COMPUTED_VALUE"""),"Learning in a Smart City Environment Journal of Communication and Computer 13 (2016) 338-350 doi:10.17265/1548-7709/2016.07.003")</f>
        <v>Learning in a Smart City Environment Journal of Communication and Computer 13 (2016) 338-350 doi:10.17265/1548-7709/2016.07.003</v>
      </c>
      <c r="D1066" s="10">
        <f ca="1">IFERROR(__xludf.DUMMYFUNCTION("""COMPUTED_VALUE"""),2016)</f>
        <v>2016</v>
      </c>
      <c r="E1066" s="10" t="str">
        <f ca="1">IFERROR(__xludf.DUMMYFUNCTION("""COMPUTED_VALUE"""),"Journal of Communication and Computer 13 (2016) 338-350 doi:10.17265/1548-7709/2016.07.003")</f>
        <v>Journal of Communication and Computer 13 (2016) 338-350 doi:10.17265/1548-7709/2016.07.003</v>
      </c>
      <c r="F1066" s="10"/>
      <c r="G1066" s="10" t="str">
        <f ca="1">IFERROR(__xludf.DUMMYFUNCTION("""COMPUTED_VALUE"""),"R. Nikolov, E.Shoikova, M. Krumova, E. Kovatcheva, V. Dimitrov and A.Shikalanov")</f>
        <v>R. Nikolov, E.Shoikova, M. Krumova, E. Kovatcheva, V. Dimitrov and A.Shikalanov</v>
      </c>
      <c r="H1066" s="10"/>
      <c r="I1066" s="10"/>
      <c r="J1066" s="10"/>
      <c r="K1066" s="10"/>
      <c r="L1066" s="10"/>
      <c r="M1066" s="10"/>
      <c r="N1066" s="10"/>
      <c r="O1066" s="10"/>
      <c r="P1066" s="10"/>
      <c r="Q1066" s="10"/>
      <c r="R1066" s="10"/>
      <c r="S1066" s="10"/>
      <c r="T1066" s="10"/>
      <c r="U1066" s="10"/>
      <c r="V1066" s="10"/>
      <c r="W1066" s="10"/>
      <c r="X1066" s="10"/>
      <c r="Y1066" s="10"/>
      <c r="Z1066" s="10"/>
    </row>
    <row r="1067" spans="1:26" ht="12.75">
      <c r="A1067" s="10" t="str">
        <f ca="1">IFERROR(__xludf.DUMMYFUNCTION("""COMPUTED_VALUE"""),"Велиян Александров Димитров")</f>
        <v>Велиян Александров Димитров</v>
      </c>
      <c r="B1067" s="10" t="str">
        <f ca="1">IFERROR(__xludf.DUMMYFUNCTION("""COMPUTED_VALUE"""),"Статия в списания и поредици")</f>
        <v>Статия в списания и поредици</v>
      </c>
      <c r="C1067" s="10" t="str">
        <f ca="1">IFERROR(__xludf.DUMMYFUNCTION("""COMPUTED_VALUE"""),"Security in the Supply Chain of ICT Companies.")</f>
        <v>Security in the Supply Chain of ICT Companies.</v>
      </c>
      <c r="D1067" s="10">
        <f ca="1">IFERROR(__xludf.DUMMYFUNCTION("""COMPUTED_VALUE"""),2016)</f>
        <v>2016</v>
      </c>
      <c r="E1067" s="10" t="str">
        <f ca="1">IFERROR(__xludf.DUMMYFUNCTION("""COMPUTED_VALUE"""),"6th International Conference on Application of Information and Communication Technology and Statistics in Economy and Education (ICAICTSEE 2016). December 2 – 3rd 2016, University of National and World Economy (UNWE), Sofia, Bulgaria")</f>
        <v>6th International Conference on Application of Information and Communication Technology and Statistics in Economy and Education (ICAICTSEE 2016). December 2 – 3rd 2016, University of National and World Economy (UNWE), Sofia, Bulgaria</v>
      </c>
      <c r="F1067" s="10"/>
      <c r="G1067" s="10" t="str">
        <f ca="1">IFERROR(__xludf.DUMMYFUNCTION("""COMPUTED_VALUE"""),"Galia Novakova Nedeltcheva")</f>
        <v>Galia Novakova Nedeltcheva</v>
      </c>
      <c r="H1067" s="10"/>
      <c r="I1067" s="10"/>
      <c r="J1067" s="10"/>
      <c r="K1067" s="10"/>
      <c r="L1067" s="10"/>
      <c r="M1067" s="10"/>
      <c r="N1067" s="10"/>
      <c r="O1067" s="10"/>
      <c r="P1067" s="10"/>
      <c r="Q1067" s="10"/>
      <c r="R1067" s="10"/>
      <c r="S1067" s="10"/>
      <c r="T1067" s="10"/>
      <c r="U1067" s="10"/>
      <c r="V1067" s="10"/>
      <c r="W1067" s="10"/>
      <c r="X1067" s="10"/>
      <c r="Y1067" s="10"/>
      <c r="Z1067" s="10"/>
    </row>
    <row r="1068" spans="1:26" ht="12.75">
      <c r="A1068" s="10" t="str">
        <f ca="1">IFERROR(__xludf.DUMMYFUNCTION("""COMPUTED_VALUE"""),"Велиян Александров Димитров")</f>
        <v>Велиян Александров Димитров</v>
      </c>
      <c r="B1068" s="10" t="str">
        <f ca="1">IFERROR(__xludf.DUMMYFUNCTION("""COMPUTED_VALUE"""),"Статия в списания и поредици")</f>
        <v>Статия в списания и поредици</v>
      </c>
      <c r="C1068" s="10" t="str">
        <f ca="1">IFERROR(__xludf.DUMMYFUNCTION("""COMPUTED_VALUE"""),"Learning in a Smart City environment")</f>
        <v>Learning in a Smart City environment</v>
      </c>
      <c r="D1068" s="10">
        <f ca="1">IFERROR(__xludf.DUMMYFUNCTION("""COMPUTED_VALUE"""),2016)</f>
        <v>2016</v>
      </c>
      <c r="E1068" s="10" t="str">
        <f ca="1">IFERROR(__xludf.DUMMYFUNCTION("""COMPUTED_VALUE"""),"Journal of Communication and Computer, vol. 13, p. 338-350, DAVID PUBLISHING COMPANY, ISSN 1548-7709 (Print ) 1930-1553 ( Online )")</f>
        <v>Journal of Communication and Computer, vol. 13, p. 338-350, DAVID PUBLISHING COMPANY, ISSN 1548-7709 (Print ) 1930-1553 ( Online )</v>
      </c>
      <c r="F1068" s="10"/>
      <c r="G1068" s="10"/>
      <c r="H1068" s="10"/>
      <c r="I1068" s="10"/>
      <c r="J1068" s="10"/>
      <c r="K1068" s="10"/>
      <c r="L1068" s="10"/>
      <c r="M1068" s="10"/>
      <c r="N1068" s="10"/>
      <c r="O1068" s="10"/>
      <c r="P1068" s="10"/>
      <c r="Q1068" s="10"/>
      <c r="R1068" s="10"/>
      <c r="S1068" s="10"/>
      <c r="T1068" s="10"/>
      <c r="U1068" s="10"/>
      <c r="V1068" s="10"/>
      <c r="W1068" s="10"/>
      <c r="X1068" s="10"/>
      <c r="Y1068" s="10"/>
      <c r="Z1068" s="10"/>
    </row>
    <row r="1069" spans="1:26" ht="12.75">
      <c r="A1069" s="10" t="str">
        <f ca="1">IFERROR(__xludf.DUMMYFUNCTION("""COMPUTED_VALUE"""),"Велиян Александров Димитров")</f>
        <v>Велиян Александров Димитров</v>
      </c>
      <c r="B1069" s="10" t="str">
        <f ca="1">IFERROR(__xludf.DUMMYFUNCTION("""COMPUTED_VALUE"""),"Статия в списания и поредици")</f>
        <v>Статия в списания и поредици</v>
      </c>
      <c r="C1069" s="10" t="str">
        <f ca="1">IFERROR(__xludf.DUMMYFUNCTION("""COMPUTED_VALUE"""),"Dark Data Governance Reduces Security Risks")</f>
        <v>Dark Data Governance Reduces Security Risks</v>
      </c>
      <c r="D1069" s="10">
        <f ca="1">IFERROR(__xludf.DUMMYFUNCTION("""COMPUTED_VALUE"""),2016)</f>
        <v>2016</v>
      </c>
      <c r="E1069" s="10" t="str">
        <f ca="1">IFERROR(__xludf.DUMMYFUNCTION("""COMPUTED_VALUE"""),"BdKCSE'2016 International Conference on. 1-2 December 2016, Sofia, Bulgaria Big Data, Knowledge and Control Systems Engineering,")</f>
        <v>BdKCSE'2016 International Conference on. 1-2 December 2016, Sofia, Bulgaria Big Data, Knowledge and Control Systems Engineering,</v>
      </c>
      <c r="F1069" s="10"/>
      <c r="G1069" s="10"/>
      <c r="H1069" s="10"/>
      <c r="I1069" s="10"/>
      <c r="J1069" s="10"/>
      <c r="K1069" s="10"/>
      <c r="L1069" s="10"/>
      <c r="M1069" s="10"/>
      <c r="N1069" s="10"/>
      <c r="O1069" s="10"/>
      <c r="P1069" s="10"/>
      <c r="Q1069" s="10"/>
      <c r="R1069" s="10"/>
      <c r="S1069" s="10"/>
      <c r="T1069" s="10"/>
      <c r="U1069" s="10"/>
      <c r="V1069" s="10"/>
      <c r="W1069" s="10"/>
      <c r="X1069" s="10"/>
      <c r="Y1069" s="10"/>
      <c r="Z1069" s="10"/>
    </row>
    <row r="1070" spans="1:26" ht="12.75">
      <c r="A1070" s="10" t="str">
        <f ca="1">IFERROR(__xludf.DUMMYFUNCTION("""COMPUTED_VALUE"""),"Велиян Александров Димитров")</f>
        <v>Велиян Александров Димитров</v>
      </c>
      <c r="B1070" s="10" t="str">
        <f ca="1">IFERROR(__xludf.DUMMYFUNCTION("""COMPUTED_VALUE"""),"Статия в списания и поредици")</f>
        <v>Статия в списания и поредици</v>
      </c>
      <c r="C1070" s="10" t="str">
        <f ca="1">IFERROR(__xludf.DUMMYFUNCTION("""COMPUTED_VALUE"""),"On Learning in a Smart City Environment")</f>
        <v>On Learning in a Smart City Environment</v>
      </c>
      <c r="D1070" s="10">
        <f ca="1">IFERROR(__xludf.DUMMYFUNCTION("""COMPUTED_VALUE"""),2015)</f>
        <v>2015</v>
      </c>
      <c r="E1070" s="10" t="str">
        <f ca="1">IFERROR(__xludf.DUMMYFUNCTION("""COMPUTED_VALUE"""),"Serdica Journal of Computing, Volume 9, Issue 3-4, p. 223-240, Print ISSN 1312-6555, Online ISSN: 1314-7897")</f>
        <v>Serdica Journal of Computing, Volume 9, Issue 3-4, p. 223-240, Print ISSN 1312-6555, Online ISSN: 1314-7897</v>
      </c>
      <c r="F1070" s="10"/>
      <c r="G1070" s="10"/>
      <c r="H1070" s="10"/>
      <c r="I1070" s="10"/>
      <c r="J1070" s="10"/>
      <c r="K1070" s="10"/>
      <c r="L1070" s="10"/>
      <c r="M1070" s="10"/>
      <c r="N1070" s="10"/>
      <c r="O1070" s="10"/>
      <c r="P1070" s="10"/>
      <c r="Q1070" s="10"/>
      <c r="R1070" s="10"/>
      <c r="S1070" s="10"/>
      <c r="T1070" s="10"/>
      <c r="U1070" s="10"/>
      <c r="V1070" s="10"/>
      <c r="W1070" s="10"/>
      <c r="X1070" s="10"/>
      <c r="Y1070" s="10"/>
      <c r="Z1070" s="10"/>
    </row>
    <row r="1071" spans="1:26" ht="12.75">
      <c r="A1071" s="10" t="str">
        <f ca="1">IFERROR(__xludf.DUMMYFUNCTION("""COMPUTED_VALUE"""),"Велиян Александров Димитров")</f>
        <v>Велиян Александров Димитров</v>
      </c>
      <c r="B1071" s="10" t="str">
        <f ca="1">IFERROR(__xludf.DUMMYFUNCTION("""COMPUTED_VALUE"""),"Статия в списания и поредици")</f>
        <v>Статия в списания и поредици</v>
      </c>
      <c r="C1071" s="10" t="str">
        <f ca="1">IFERROR(__xludf.DUMMYFUNCTION("""COMPUTED_VALUE"""),"Приложение на виртуализацията в практическото обучение по информационни технологии")</f>
        <v>Приложение на виртуализацията в практическото обучение по информационни технологии</v>
      </c>
      <c r="D1071" s="10">
        <f ca="1">IFERROR(__xludf.DUMMYFUNCTION("""COMPUTED_VALUE"""),2014)</f>
        <v>2014</v>
      </c>
      <c r="E1071" s="10" t="str">
        <f ca="1">IFERROR(__xludf.DUMMYFUNCTION("""COMPUTED_VALUE"""),"2014/4, JournalАвтоматика и информатика, Issue XLVIII, p.25-27, Съюз по Автоматика и Информатика ""Джон Атанасов"",ISSN 0861-7562")</f>
        <v>2014/4, JournalАвтоматика и информатика, Issue XLVIII, p.25-27, Съюз по Автоматика и Информатика "Джон Атанасов",ISSN 0861-7562</v>
      </c>
      <c r="F1071" s="10"/>
      <c r="G1071" s="10"/>
      <c r="H1071" s="10"/>
      <c r="I1071" s="10"/>
      <c r="J1071" s="10"/>
      <c r="K1071" s="10"/>
      <c r="L1071" s="10"/>
      <c r="M1071" s="10"/>
      <c r="N1071" s="10"/>
      <c r="O1071" s="10"/>
      <c r="P1071" s="10"/>
      <c r="Q1071" s="10"/>
      <c r="R1071" s="10"/>
      <c r="S1071" s="10"/>
      <c r="T1071" s="10"/>
      <c r="U1071" s="10"/>
      <c r="V1071" s="10"/>
      <c r="W1071" s="10"/>
      <c r="X1071" s="10"/>
      <c r="Y1071" s="10"/>
      <c r="Z1071" s="10"/>
    </row>
    <row r="1072" spans="1:26" ht="12.75">
      <c r="A1072" s="10" t="str">
        <f ca="1">IFERROR(__xludf.DUMMYFUNCTION("""COMPUTED_VALUE"""),"Венета Върбанова Ханджийска-Янкулова")</f>
        <v>Венета Върбанова Ханджийска-Янкулова</v>
      </c>
      <c r="B1072" s="10" t="str">
        <f ca="1">IFERROR(__xludf.DUMMYFUNCTION("""COMPUTED_VALUE"""),"Статия в списания и поредици")</f>
        <v>Статия в списания и поредици</v>
      </c>
      <c r="C1072" s="10" t="str">
        <f ca="1">IFERROR(__xludf.DUMMYFUNCTION("""COMPUTED_VALUE"""),"Проучвания в Кабиле – Сектор V")</f>
        <v>Проучвания в Кабиле – Сектор V</v>
      </c>
      <c r="D1072" s="10">
        <f ca="1">IFERROR(__xludf.DUMMYFUNCTION("""COMPUTED_VALUE"""),2019)</f>
        <v>2019</v>
      </c>
      <c r="E1072" s="10" t="str">
        <f ca="1">IFERROR(__xludf.DUMMYFUNCTION("""COMPUTED_VALUE"""),"Археологически открития и разкопки през 2018 г. НАИМ БАН, София 2019, 329-331 ISSN 1313-0889 (PRINT) ISSN 2603-3658 (ONLINE)")</f>
        <v>Археологически открития и разкопки през 2018 г. НАИМ БАН, София 2019, 329-331 ISSN 1313-0889 (PRINT) ISSN 2603-3658 (ONLINE)</v>
      </c>
      <c r="F1072"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72" s="10" t="str">
        <f ca="1">IFERROR(__xludf.DUMMYFUNCTION("""COMPUTED_VALUE"""),"Иван Вълчев, Филип Колев, Ивайло Лозанов")</f>
        <v>Иван Вълчев, Филип Колев, Ивайло Лозанов</v>
      </c>
      <c r="H1072" s="10"/>
      <c r="I1072" s="10"/>
      <c r="J1072" s="10"/>
      <c r="K1072" s="10"/>
      <c r="L1072" s="10"/>
      <c r="M1072" s="10"/>
      <c r="N1072" s="10"/>
      <c r="O1072" s="10"/>
      <c r="P1072" s="10"/>
      <c r="Q1072" s="10"/>
      <c r="R1072" s="10"/>
      <c r="S1072" s="10"/>
      <c r="T1072" s="10"/>
      <c r="U1072" s="10"/>
      <c r="V1072" s="10"/>
      <c r="W1072" s="10"/>
      <c r="X1072" s="10"/>
      <c r="Y1072" s="10"/>
      <c r="Z1072" s="10"/>
    </row>
    <row r="1073" spans="1:26" ht="12.75">
      <c r="A1073" s="10" t="str">
        <f ca="1">IFERROR(__xludf.DUMMYFUNCTION("""COMPUTED_VALUE"""),"Венета Върбанова Ханджийска-Янкулова")</f>
        <v>Венета Върбанова Ханджийска-Янкулова</v>
      </c>
      <c r="B1073" s="10" t="str">
        <f ca="1">IFERROR(__xludf.DUMMYFUNCTION("""COMPUTED_VALUE"""),"Статия в списания и поредици")</f>
        <v>Статия в списания и поредици</v>
      </c>
      <c r="C1073" s="10" t="str">
        <f ca="1">IFERROR(__xludf.DUMMYFUNCTION("""COMPUTED_VALUE"""),"Археологическо проучване на територията на вилно имение от римската епоха в м. Селището при с. Сухаче, община Червен бряг")</f>
        <v>Археологическо проучване на територията на вилно имение от римската епоха в м. Селището при с. Сухаче, община Червен бряг</v>
      </c>
      <c r="D1073" s="10">
        <f ca="1">IFERROR(__xludf.DUMMYFUNCTION("""COMPUTED_VALUE"""),2019)</f>
        <v>2019</v>
      </c>
      <c r="E1073" s="10" t="str">
        <f ca="1">IFERROR(__xludf.DUMMYFUNCTION("""COMPUTED_VALUE"""),"Археологически открития и разкопки през 2018 г. НАИМ БАН, София 2019, 371-373 ISSN 1313-0889 (PRINT) ISSN 2603-3658 (ONLINE)")</f>
        <v>Археологически открития и разкопки през 2018 г. НАИМ БАН, София 2019, 371-373 ISSN 1313-0889 (PRINT) ISSN 2603-3658 (ONLINE)</v>
      </c>
      <c r="F1073"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73" s="10"/>
      <c r="H1073" s="10"/>
      <c r="I1073" s="10"/>
      <c r="J1073" s="10"/>
      <c r="K1073" s="10"/>
      <c r="L1073" s="10"/>
      <c r="M1073" s="10"/>
      <c r="N1073" s="10"/>
      <c r="O1073" s="10"/>
      <c r="P1073" s="10"/>
      <c r="Q1073" s="10"/>
      <c r="R1073" s="10"/>
      <c r="S1073" s="10"/>
      <c r="T1073" s="10"/>
      <c r="U1073" s="10"/>
      <c r="V1073" s="10"/>
      <c r="W1073" s="10"/>
      <c r="X1073" s="10"/>
      <c r="Y1073" s="10"/>
      <c r="Z1073" s="10"/>
    </row>
    <row r="1074" spans="1:26" ht="12.75">
      <c r="A1074" s="10" t="str">
        <f ca="1">IFERROR(__xludf.DUMMYFUNCTION("""COMPUTED_VALUE"""),"Венета Върбанова Ханджийска-Янкулова")</f>
        <v>Венета Върбанова Ханджийска-Янкулова</v>
      </c>
      <c r="B1074" s="10" t="str">
        <f ca="1">IFERROR(__xludf.DUMMYFUNCTION("""COMPUTED_VALUE"""),"Доклад от конференция")</f>
        <v>Доклад от конференция</v>
      </c>
      <c r="C1074" s="10" t="str">
        <f ca="1">IFERROR(__xludf.DUMMYFUNCTION("""COMPUTED_VALUE"""),"Съдове с релефна йонийска кима от Кабиле.")</f>
        <v>Съдове с релефна йонийска кима от Кабиле.</v>
      </c>
      <c r="D1074" s="10">
        <f ca="1">IFERROR(__xludf.DUMMYFUNCTION("""COMPUTED_VALUE"""),2018)</f>
        <v>2018</v>
      </c>
      <c r="E1074" s="10" t="str">
        <f ca="1">IFERROR(__xludf.DUMMYFUNCTION("""COMPUTED_VALUE"""),"Studia Archaeologica Universitatis Serdicensis, Supplementum VI Университетско издателство „Св. Климент Охридски”, 2018 г., 197 – 209 ISSN 1312-7284")</f>
        <v>Studia Archaeologica Universitatis Serdicensis, Supplementum VI Университетско издателство „Св. Климент Охридски”, 2018 г., 197 – 209 ISSN 1312-7284</v>
      </c>
      <c r="F1074"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74" s="10"/>
      <c r="H1074" s="10"/>
      <c r="I1074" s="10"/>
      <c r="J1074" s="10"/>
      <c r="K1074" s="10"/>
      <c r="L1074" s="10"/>
      <c r="M1074" s="10"/>
      <c r="N1074" s="10"/>
      <c r="O1074" s="10"/>
      <c r="P1074" s="10"/>
      <c r="Q1074" s="10"/>
      <c r="R1074" s="10"/>
      <c r="S1074" s="10"/>
      <c r="T1074" s="10"/>
      <c r="U1074" s="10"/>
      <c r="V1074" s="10"/>
      <c r="W1074" s="10"/>
      <c r="X1074" s="10"/>
      <c r="Y1074" s="10"/>
      <c r="Z1074" s="10"/>
    </row>
    <row r="1075" spans="1:26" ht="12.75">
      <c r="A1075" s="10" t="str">
        <f ca="1">IFERROR(__xludf.DUMMYFUNCTION("""COMPUTED_VALUE"""),"Венета Върбанова Ханджийска-Янкулова")</f>
        <v>Венета Върбанова Ханджийска-Янкулова</v>
      </c>
      <c r="B1075" s="10" t="str">
        <f ca="1">IFERROR(__xludf.DUMMYFUNCTION("""COMPUTED_VALUE"""),"Монография")</f>
        <v>Монография</v>
      </c>
      <c r="C1075" s="10" t="str">
        <f ca="1">IFERROR(__xludf.DUMMYFUNCTION("""COMPUTED_VALUE"""),"Трапезна керамика от елинистическия град Кабиле")</f>
        <v>Трапезна керамика от елинистическия град Кабиле</v>
      </c>
      <c r="D1075" s="10">
        <f ca="1">IFERROR(__xludf.DUMMYFUNCTION("""COMPUTED_VALUE"""),2017)</f>
        <v>2017</v>
      </c>
      <c r="E1075" s="10" t="str">
        <f ca="1">IFERROR(__xludf.DUMMYFUNCTION("""COMPUTED_VALUE"""),"Издателство „Фабер“, Велико Търново, 2017 г., 195 стр. ISBN 978-619-00-0672-5")</f>
        <v>Издателство „Фабер“, Велико Търново, 2017 г., 195 стр. ISBN 978-619-00-0672-5</v>
      </c>
      <c r="F1075" s="10"/>
      <c r="G1075" s="10"/>
      <c r="H1075" s="10"/>
      <c r="I1075" s="10"/>
      <c r="J1075" s="10"/>
      <c r="K1075" s="10"/>
      <c r="L1075" s="10"/>
      <c r="M1075" s="10"/>
      <c r="N1075" s="10"/>
      <c r="O1075" s="10"/>
      <c r="P1075" s="10"/>
      <c r="Q1075" s="10"/>
      <c r="R1075" s="10"/>
      <c r="S1075" s="10"/>
      <c r="T1075" s="10"/>
      <c r="U1075" s="10"/>
      <c r="V1075" s="10"/>
      <c r="W1075" s="10"/>
      <c r="X1075" s="10"/>
      <c r="Y1075" s="10"/>
      <c r="Z1075" s="10"/>
    </row>
    <row r="1076" spans="1:26" ht="12.75">
      <c r="A1076" s="10" t="str">
        <f ca="1">IFERROR(__xludf.DUMMYFUNCTION("""COMPUTED_VALUE"""),"Венета Върбанова Ханджийска-Янкулова")</f>
        <v>Венета Върбанова Ханджийска-Янкулова</v>
      </c>
      <c r="B1076" s="10" t="str">
        <f ca="1">IFERROR(__xludf.DUMMYFUNCTION("""COMPUTED_VALUE"""),"Статия в списания и поредици")</f>
        <v>Статия в списания и поредици</v>
      </c>
      <c r="C1076" s="10" t="str">
        <f ca="1">IFERROR(__xludf.DUMMYFUNCTION("""COMPUTED_VALUE"""),"АР „Кабиле” – проучвания на структури от елинистическата и късноримската епоха в сектор V")</f>
        <v>АР „Кабиле” – проучвания на структури от елинистическата и късноримската епоха в сектор V</v>
      </c>
      <c r="D1076" s="10">
        <f ca="1">IFERROR(__xludf.DUMMYFUNCTION("""COMPUTED_VALUE"""),2017)</f>
        <v>2017</v>
      </c>
      <c r="E1076" s="10" t="str">
        <f ca="1">IFERROR(__xludf.DUMMYFUNCTION("""COMPUTED_VALUE"""),"Археологически открития и разкопки през 2016 г., С., 237 – 241 ISSN 1313-0889, БАН, НАИМ")</f>
        <v>Археологически открития и разкопки през 2016 г., С., 237 – 241 ISSN 1313-0889, БАН, НАИМ</v>
      </c>
      <c r="F1076"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76" s="10" t="str">
        <f ca="1">IFERROR(__xludf.DUMMYFUNCTION("""COMPUTED_VALUE"""),"К. Рабаджиев, И. Лозанов, И. Вълчев, Ф. Колев, М. Крумова")</f>
        <v>К. Рабаджиев, И. Лозанов, И. Вълчев, Ф. Колев, М. Крумова</v>
      </c>
      <c r="H1076" s="10"/>
      <c r="I1076" s="10"/>
      <c r="J1076" s="10"/>
      <c r="K1076" s="10"/>
      <c r="L1076" s="10"/>
      <c r="M1076" s="10"/>
      <c r="N1076" s="10"/>
      <c r="O1076" s="10"/>
      <c r="P1076" s="10"/>
      <c r="Q1076" s="10"/>
      <c r="R1076" s="10"/>
      <c r="S1076" s="10"/>
      <c r="T1076" s="10"/>
      <c r="U1076" s="10"/>
      <c r="V1076" s="10"/>
      <c r="W1076" s="10"/>
      <c r="X1076" s="10"/>
      <c r="Y1076" s="10"/>
      <c r="Z1076" s="10"/>
    </row>
    <row r="1077" spans="1:26" ht="12.75">
      <c r="A1077" s="10" t="str">
        <f ca="1">IFERROR(__xludf.DUMMYFUNCTION("""COMPUTED_VALUE"""),"Венета Върбанова Ханджийска-Янкулова")</f>
        <v>Венета Върбанова Ханджийска-Янкулова</v>
      </c>
      <c r="B1077" s="10" t="str">
        <f ca="1">IFERROR(__xludf.DUMMYFUNCTION("""COMPUTED_VALUE"""),"Статия в списания и поредици")</f>
        <v>Статия в списания и поредици</v>
      </c>
      <c r="C1077" s="10" t="str">
        <f ca="1">IFERROR(__xludf.DUMMYFUNCTION("""COMPUTED_VALUE"""),"Археологическо проучване на територията на вилно имение от римската епоха в м. Селището при с. Сухаче, община Червен бряг")</f>
        <v>Археологическо проучване на територията на вилно имение от римската епоха в м. Селището при с. Сухаче, община Червен бряг</v>
      </c>
      <c r="D1077" s="10">
        <f ca="1">IFERROR(__xludf.DUMMYFUNCTION("""COMPUTED_VALUE"""),2017)</f>
        <v>2017</v>
      </c>
      <c r="E1077" s="10" t="str">
        <f ca="1">IFERROR(__xludf.DUMMYFUNCTION("""COMPUTED_VALUE"""),"Археологически открития и разкопки през 2016 г., С., 434 – 437 ISSN 1313-0889, БАН, НАИМ")</f>
        <v>Археологически открития и разкопки през 2016 г., С., 434 – 437 ISSN 1313-0889, БАН, НАИМ</v>
      </c>
      <c r="F1077"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77" s="10"/>
      <c r="H1077" s="10"/>
      <c r="I1077" s="10"/>
      <c r="J1077" s="10"/>
      <c r="K1077" s="10"/>
      <c r="L1077" s="10"/>
      <c r="M1077" s="10"/>
      <c r="N1077" s="10"/>
      <c r="O1077" s="10"/>
      <c r="P1077" s="10"/>
      <c r="Q1077" s="10"/>
      <c r="R1077" s="10"/>
      <c r="S1077" s="10"/>
      <c r="T1077" s="10"/>
      <c r="U1077" s="10"/>
      <c r="V1077" s="10"/>
      <c r="W1077" s="10"/>
      <c r="X1077" s="10"/>
      <c r="Y1077" s="10"/>
      <c r="Z1077" s="10"/>
    </row>
    <row r="1078" spans="1:26" ht="12.75">
      <c r="A1078" s="10" t="str">
        <f ca="1">IFERROR(__xludf.DUMMYFUNCTION("""COMPUTED_VALUE"""),"Венета Върбанова Ханджийска-Янкулова")</f>
        <v>Венета Върбанова Ханджийска-Янкулова</v>
      </c>
      <c r="B1078" s="10" t="str">
        <f ca="1">IFERROR(__xludf.DUMMYFUNCTION("""COMPUTED_VALUE"""),"Статия в списания и поредици")</f>
        <v>Статия в списания и поредици</v>
      </c>
      <c r="C1078" s="10" t="str">
        <f ca="1">IFERROR(__xludf.DUMMYFUNCTION("""COMPUTED_VALUE"""),"Археологическо проучване на територията на АР „Кабиле“ – сектор V през 2016 г.")</f>
        <v>Археологическо проучване на територията на АР „Кабиле“ – сектор V през 2016 г.</v>
      </c>
      <c r="D1078" s="10">
        <f ca="1">IFERROR(__xludf.DUMMYFUNCTION("""COMPUTED_VALUE"""),2017)</f>
        <v>2017</v>
      </c>
      <c r="E1078" s="10" t="str">
        <f ca="1">IFERROR(__xludf.DUMMYFUNCTION("""COMPUTED_VALUE"""),"Археологически открития и разкопки през 2016 г., С. 237-240, ISSN 1313-0889")</f>
        <v>Археологически открития и разкопки през 2016 г., С. 237-240, ISSN 1313-0889</v>
      </c>
      <c r="F1078" s="10"/>
      <c r="G1078" s="10" t="str">
        <f ca="1">IFERROR(__xludf.DUMMYFUNCTION("""COMPUTED_VALUE"""),"К. Рабаджиев, Ив. Вълчев, И. Лозанов")</f>
        <v>К. Рабаджиев, Ив. Вълчев, И. Лозанов</v>
      </c>
      <c r="H1078" s="10"/>
      <c r="I1078" s="10"/>
      <c r="J1078" s="10"/>
      <c r="K1078" s="10"/>
      <c r="L1078" s="10"/>
      <c r="M1078" s="10"/>
      <c r="N1078" s="10"/>
      <c r="O1078" s="10"/>
      <c r="P1078" s="10"/>
      <c r="Q1078" s="10"/>
      <c r="R1078" s="10"/>
      <c r="S1078" s="10"/>
      <c r="T1078" s="10"/>
      <c r="U1078" s="10"/>
      <c r="V1078" s="10"/>
      <c r="W1078" s="10"/>
      <c r="X1078" s="10"/>
      <c r="Y1078" s="10"/>
      <c r="Z1078" s="10"/>
    </row>
    <row r="1079" spans="1:26" ht="12.75">
      <c r="A1079" s="10" t="str">
        <f ca="1">IFERROR(__xludf.DUMMYFUNCTION("""COMPUTED_VALUE"""),"Венета Върбанова Ханджийска-Янкулова")</f>
        <v>Венета Върбанова Ханджийска-Янкулова</v>
      </c>
      <c r="B1079" s="10" t="str">
        <f ca="1">IFERROR(__xludf.DUMMYFUNCTION("""COMPUTED_VALUE"""),"Доклад от конференция")</f>
        <v>Доклад от конференция</v>
      </c>
      <c r="C1079" s="10" t="str">
        <f ca="1">IFERROR(__xludf.DUMMYFUNCTION("""COMPUTED_VALUE"""),"Съдове с релефна кима от Кабиле")</f>
        <v>Съдове с релефна кима от Кабиле</v>
      </c>
      <c r="D1079" s="10">
        <f ca="1">IFERROR(__xludf.DUMMYFUNCTION("""COMPUTED_VALUE"""),2017)</f>
        <v>2017</v>
      </c>
      <c r="E1079" s="10" t="str">
        <f ca="1">IFERROR(__xludf.DUMMYFUNCTION("""COMPUTED_VALUE"""),"Сборник в чест на 80-годишния юбилей на проф. Людмил Гетов")</f>
        <v>Сборник в чест на 80-годишния юбилей на проф. Людмил Гетов</v>
      </c>
      <c r="F1079" s="10"/>
      <c r="G1079" s="10"/>
      <c r="H1079" s="10"/>
      <c r="I1079" s="10"/>
      <c r="J1079" s="10"/>
      <c r="K1079" s="10"/>
      <c r="L1079" s="10"/>
      <c r="M1079" s="10"/>
      <c r="N1079" s="10"/>
      <c r="O1079" s="10"/>
      <c r="P1079" s="10"/>
      <c r="Q1079" s="10"/>
      <c r="R1079" s="10"/>
      <c r="S1079" s="10"/>
      <c r="T1079" s="10"/>
      <c r="U1079" s="10"/>
      <c r="V1079" s="10"/>
      <c r="W1079" s="10"/>
      <c r="X1079" s="10"/>
      <c r="Y1079" s="10"/>
      <c r="Z1079" s="10"/>
    </row>
    <row r="1080" spans="1:26" ht="12.75">
      <c r="A1080" s="10" t="str">
        <f ca="1">IFERROR(__xludf.DUMMYFUNCTION("""COMPUTED_VALUE"""),"Венета Върбанова Ханджийска-Янкулова")</f>
        <v>Венета Върбанова Ханджийска-Янкулова</v>
      </c>
      <c r="B1080" s="10" t="str">
        <f ca="1">IFERROR(__xludf.DUMMYFUNCTION("""COMPUTED_VALUE"""),"Статия в списания и поредици")</f>
        <v>Статия в списания и поредици</v>
      </c>
      <c r="C1080" s="10" t="str">
        <f ca="1">IFERROR(__xludf.DUMMYFUNCTION("""COMPUTED_VALUE"""),"Археологическо проучване на територията на АР „Кабиле“ – сектор V през 2015 г.")</f>
        <v>Археологическо проучване на територията на АР „Кабиле“ – сектор V през 2015 г.</v>
      </c>
      <c r="D1080" s="10">
        <f ca="1">IFERROR(__xludf.DUMMYFUNCTION("""COMPUTED_VALUE"""),2016)</f>
        <v>2016</v>
      </c>
      <c r="E1080" s="10" t="str">
        <f ca="1">IFERROR(__xludf.DUMMYFUNCTION("""COMPUTED_VALUE"""),"Археологически открития и разкопки през 2015 г., С., 624 – 627 ISSN: 13130889, БАН, НАИМ")</f>
        <v>Археологически открития и разкопки през 2015 г., С., 624 – 627 ISSN: 13130889, БАН, НАИМ</v>
      </c>
      <c r="F1080"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0" s="10" t="str">
        <f ca="1">IFERROR(__xludf.DUMMYFUNCTION("""COMPUTED_VALUE"""),"Гетов, Л., К. Рабаджиев, Ив. Вълчев, И. Лозанов")</f>
        <v>Гетов, Л., К. Рабаджиев, Ив. Вълчев, И. Лозанов</v>
      </c>
      <c r="H1080" s="10"/>
      <c r="I1080" s="10"/>
      <c r="J1080" s="10"/>
      <c r="K1080" s="10"/>
      <c r="L1080" s="10"/>
      <c r="M1080" s="10"/>
      <c r="N1080" s="10"/>
      <c r="O1080" s="10"/>
      <c r="P1080" s="10"/>
      <c r="Q1080" s="10"/>
      <c r="R1080" s="10"/>
      <c r="S1080" s="10"/>
      <c r="T1080" s="10"/>
      <c r="U1080" s="10"/>
      <c r="V1080" s="10"/>
      <c r="W1080" s="10"/>
      <c r="X1080" s="10"/>
      <c r="Y1080" s="10"/>
      <c r="Z1080" s="10"/>
    </row>
    <row r="1081" spans="1:26" ht="12.75">
      <c r="A1081" s="10" t="str">
        <f ca="1">IFERROR(__xludf.DUMMYFUNCTION("""COMPUTED_VALUE"""),"Венета Върбанова Ханджийска-Янкулова")</f>
        <v>Венета Върбанова Ханджийска-Янкулова</v>
      </c>
      <c r="B1081" s="10" t="str">
        <f ca="1">IFERROR(__xludf.DUMMYFUNCTION("""COMPUTED_VALUE"""),"Статия в списания и поредици")</f>
        <v>Статия в списания и поредици</v>
      </c>
      <c r="C1081" s="10" t="str">
        <f ca="1">IFERROR(__xludf.DUMMYFUNCTION("""COMPUTED_VALUE"""),"Археологическо проучване на територията на вилно имение от римската епоха в м. Селището при с. Сухаче, община Червен бряг")</f>
        <v>Археологическо проучване на територията на вилно имение от римската епоха в м. Селището при с. Сухаче, община Червен бряг</v>
      </c>
      <c r="D1081" s="10">
        <f ca="1">IFERROR(__xludf.DUMMYFUNCTION("""COMPUTED_VALUE"""),2016)</f>
        <v>2016</v>
      </c>
      <c r="E1081" s="10" t="str">
        <f ca="1">IFERROR(__xludf.DUMMYFUNCTION("""COMPUTED_VALUE"""),"Археологически открития и разкопки през 2015 г., С., 477 – 479 ISSN: 13130889, БАН, НАИМ")</f>
        <v>Археологически открития и разкопки през 2015 г., С., 477 – 479 ISSN: 13130889, БАН, НАИМ</v>
      </c>
      <c r="F1081"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1" s="10"/>
      <c r="H1081" s="10"/>
      <c r="I1081" s="10"/>
      <c r="J1081" s="10"/>
      <c r="K1081" s="10"/>
      <c r="L1081" s="10"/>
      <c r="M1081" s="10"/>
      <c r="N1081" s="10"/>
      <c r="O1081" s="10"/>
      <c r="P1081" s="10"/>
      <c r="Q1081" s="10"/>
      <c r="R1081" s="10"/>
      <c r="S1081" s="10"/>
      <c r="T1081" s="10"/>
      <c r="U1081" s="10"/>
      <c r="V1081" s="10"/>
      <c r="W1081" s="10"/>
      <c r="X1081" s="10"/>
      <c r="Y1081" s="10"/>
      <c r="Z1081" s="10"/>
    </row>
    <row r="1082" spans="1:26" ht="12.75">
      <c r="A1082" s="10" t="str">
        <f ca="1">IFERROR(__xludf.DUMMYFUNCTION("""COMPUTED_VALUE"""),"Венета Върбанова Ханджийска-Янкулова")</f>
        <v>Венета Върбанова Ханджийска-Янкулова</v>
      </c>
      <c r="B1082" s="10" t="str">
        <f ca="1">IFERROR(__xludf.DUMMYFUNCTION("""COMPUTED_VALUE"""),"Доклад от конференция")</f>
        <v>Доклад от конференция</v>
      </c>
      <c r="C1082" s="10" t="str">
        <f ca="1">IFERROR(__xludf.DUMMYFUNCTION("""COMPUTED_VALUE"""),"Съдове с релефна кима от Кабиле")</f>
        <v>Съдове с релефна кима от Кабиле</v>
      </c>
      <c r="D1082" s="10">
        <f ca="1">IFERROR(__xludf.DUMMYFUNCTION("""COMPUTED_VALUE"""),2016)</f>
        <v>2016</v>
      </c>
      <c r="E1082" s="10" t="str">
        <f ca="1">IFERROR(__xludf.DUMMYFUNCTION("""COMPUTED_VALUE"""),"Сборник в чест на 80-годишния юбилей на проф. Людмил Гетов")</f>
        <v>Сборник в чест на 80-годишния юбилей на проф. Людмил Гетов</v>
      </c>
      <c r="F1082" s="10"/>
      <c r="G1082" s="10"/>
      <c r="H1082" s="10"/>
      <c r="I1082" s="10"/>
      <c r="J1082" s="10"/>
      <c r="K1082" s="10"/>
      <c r="L1082" s="10"/>
      <c r="M1082" s="10"/>
      <c r="N1082" s="10"/>
      <c r="O1082" s="10"/>
      <c r="P1082" s="10"/>
      <c r="Q1082" s="10"/>
      <c r="R1082" s="10"/>
      <c r="S1082" s="10"/>
      <c r="T1082" s="10"/>
      <c r="U1082" s="10"/>
      <c r="V1082" s="10"/>
      <c r="W1082" s="10"/>
      <c r="X1082" s="10"/>
      <c r="Y1082" s="10"/>
      <c r="Z1082" s="10"/>
    </row>
    <row r="1083" spans="1:26" ht="12.75">
      <c r="A1083" s="10" t="str">
        <f ca="1">IFERROR(__xludf.DUMMYFUNCTION("""COMPUTED_VALUE"""),"Венета Върбанова Ханджийска-Янкулова")</f>
        <v>Венета Върбанова Ханджийска-Янкулова</v>
      </c>
      <c r="B1083" s="10" t="str">
        <f ca="1">IFERROR(__xludf.DUMMYFUNCTION("""COMPUTED_VALUE"""),"Статия в списания и поредици")</f>
        <v>Статия в списания и поредици</v>
      </c>
      <c r="C1083" s="10" t="str">
        <f ca="1">IFERROR(__xludf.DUMMYFUNCTION("""COMPUTED_VALUE"""),"Скално светилище в м. Беланташ, с. Врата, община Асеновград, област Пловдив.")</f>
        <v>Скално светилище в м. Беланташ, с. Врата, община Асеновград, област Пловдив.</v>
      </c>
      <c r="D1083" s="10">
        <f ca="1">IFERROR(__xludf.DUMMYFUNCTION("""COMPUTED_VALUE"""),2016)</f>
        <v>2016</v>
      </c>
      <c r="E1083" s="10" t="str">
        <f ca="1">IFERROR(__xludf.DUMMYFUNCTION("""COMPUTED_VALUE"""),"Археологически открития и разкопки през 2015 г. С. 2016, 194–197 ISSN: 13130889, БАН, НАИМ")</f>
        <v>Археологически открития и разкопки през 2015 г. С. 2016, 194–197 ISSN: 13130889, БАН, НАИМ</v>
      </c>
      <c r="F1083"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3" s="10" t="str">
        <f ca="1">IFERROR(__xludf.DUMMYFUNCTION("""COMPUTED_VALUE"""),"Б. Бориславов, М. Христов,")</f>
        <v>Б. Бориславов, М. Христов,</v>
      </c>
      <c r="H1083" s="10"/>
      <c r="I1083" s="10"/>
      <c r="J1083" s="10"/>
      <c r="K1083" s="10"/>
      <c r="L1083" s="10"/>
      <c r="M1083" s="10"/>
      <c r="N1083" s="10"/>
      <c r="O1083" s="10"/>
      <c r="P1083" s="10"/>
      <c r="Q1083" s="10"/>
      <c r="R1083" s="10"/>
      <c r="S1083" s="10"/>
      <c r="T1083" s="10"/>
      <c r="U1083" s="10"/>
      <c r="V1083" s="10"/>
      <c r="W1083" s="10"/>
      <c r="X1083" s="10"/>
      <c r="Y1083" s="10"/>
      <c r="Z1083" s="10"/>
    </row>
    <row r="1084" spans="1:26" ht="12.75">
      <c r="A1084" s="10" t="str">
        <f ca="1">IFERROR(__xludf.DUMMYFUNCTION("""COMPUTED_VALUE"""),"Венета Върбанова Ханджийска-Янкулова")</f>
        <v>Венета Върбанова Ханджийска-Янкулова</v>
      </c>
      <c r="B1084" s="10" t="str">
        <f ca="1">IFERROR(__xludf.DUMMYFUNCTION("""COMPUTED_VALUE"""),"Статия в списания и поредици")</f>
        <v>Статия в списания и поредици</v>
      </c>
      <c r="C1084" s="10" t="str">
        <f ca="1">IFERROR(__xludf.DUMMYFUNCTION("""COMPUTED_VALUE"""),"Археологическо издирване в землището на с. Сухаче, общ. Червен бряг през 2014 г.")</f>
        <v>Археологическо издирване в землището на с. Сухаче, общ. Червен бряг през 2014 г.</v>
      </c>
      <c r="D1084" s="10">
        <f ca="1">IFERROR(__xludf.DUMMYFUNCTION("""COMPUTED_VALUE"""),2015)</f>
        <v>2015</v>
      </c>
      <c r="E1084" s="10" t="str">
        <f ca="1">IFERROR(__xludf.DUMMYFUNCTION("""COMPUTED_VALUE"""),"Археологически открития и разкопки през 2014 г., С. 2015, 798 - 799 ISSN: 13130889, БАН, НАИМ")</f>
        <v>Археологически открития и разкопки през 2014 г., С. 2015, 798 - 799 ISSN: 13130889, БАН, НАИМ</v>
      </c>
      <c r="F1084"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4" s="10"/>
      <c r="H1084" s="10"/>
      <c r="I1084" s="10"/>
      <c r="J1084" s="10"/>
      <c r="K1084" s="10"/>
      <c r="L1084" s="10"/>
      <c r="M1084" s="10"/>
      <c r="N1084" s="10"/>
      <c r="O1084" s="10"/>
      <c r="P1084" s="10"/>
      <c r="Q1084" s="10"/>
      <c r="R1084" s="10"/>
      <c r="S1084" s="10"/>
      <c r="T1084" s="10"/>
      <c r="U1084" s="10"/>
      <c r="V1084" s="10"/>
      <c r="W1084" s="10"/>
      <c r="X1084" s="10"/>
      <c r="Y1084" s="10"/>
      <c r="Z1084" s="10"/>
    </row>
    <row r="1085" spans="1:26" ht="12.75">
      <c r="A1085" s="10" t="str">
        <f ca="1">IFERROR(__xludf.DUMMYFUNCTION("""COMPUTED_VALUE"""),"Венета Върбанова Ханджийска-Янкулова")</f>
        <v>Венета Върбанова Ханджийска-Янкулова</v>
      </c>
      <c r="B1085" s="10" t="str">
        <f ca="1">IFERROR(__xludf.DUMMYFUNCTION("""COMPUTED_VALUE"""),"Статия в списания и поредици")</f>
        <v>Статия в списания и поредици</v>
      </c>
      <c r="C1085" s="10" t="str">
        <f ca="1">IFERROR(__xludf.DUMMYFUNCTION("""COMPUTED_VALUE"""),"НАР „Кабиле”. Сектор V- елинистическа агора.")</f>
        <v>НАР „Кабиле”. Сектор V- елинистическа агора.</v>
      </c>
      <c r="D1085" s="10">
        <f ca="1">IFERROR(__xludf.DUMMYFUNCTION("""COMPUTED_VALUE"""),2015)</f>
        <v>2015</v>
      </c>
      <c r="E1085" s="10" t="str">
        <f ca="1">IFERROR(__xludf.DUMMYFUNCTION("""COMPUTED_VALUE"""),"Археологически открития и разкопки през 2014 г., С. 2015, 624 – 627 ISSN: 13130889, БАН, НАИМ")</f>
        <v>Археологически открития и разкопки през 2014 г., С. 2015, 624 – 627 ISSN: 13130889, БАН, НАИМ</v>
      </c>
      <c r="F1085"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5" s="10" t="str">
        <f ca="1">IFERROR(__xludf.DUMMYFUNCTION("""COMPUTED_VALUE"""),"Гетов, Л., К. Рабаджиев, Ив. Вълчев, И. Лозанова.")</f>
        <v>Гетов, Л., К. Рабаджиев, Ив. Вълчев, И. Лозанова.</v>
      </c>
      <c r="H1085" s="10"/>
      <c r="I1085" s="10"/>
      <c r="J1085" s="10"/>
      <c r="K1085" s="10"/>
      <c r="L1085" s="10"/>
      <c r="M1085" s="10"/>
      <c r="N1085" s="10"/>
      <c r="O1085" s="10"/>
      <c r="P1085" s="10"/>
      <c r="Q1085" s="10"/>
      <c r="R1085" s="10"/>
      <c r="S1085" s="10"/>
      <c r="T1085" s="10"/>
      <c r="U1085" s="10"/>
      <c r="V1085" s="10"/>
      <c r="W1085" s="10"/>
      <c r="X1085" s="10"/>
      <c r="Y1085" s="10"/>
      <c r="Z1085" s="10"/>
    </row>
    <row r="1086" spans="1:26" ht="12.75">
      <c r="A1086" s="10" t="str">
        <f ca="1">IFERROR(__xludf.DUMMYFUNCTION("""COMPUTED_VALUE"""),"Венета Върбанова Ханджийска-Янкулова")</f>
        <v>Венета Върбанова Ханджийска-Янкулова</v>
      </c>
      <c r="B1086" s="10" t="str">
        <f ca="1">IFERROR(__xludf.DUMMYFUNCTION("""COMPUTED_VALUE"""),"Статия в списания и поредици")</f>
        <v>Статия в списания и поредици</v>
      </c>
      <c r="C1086" s="10" t="str">
        <f ca="1">IFERROR(__xludf.DUMMYFUNCTION("""COMPUTED_VALUE"""),"НАР „Кабиле”. Сектор V - Елинистическаагора.")</f>
        <v>НАР „Кабиле”. Сектор V - Елинистическаагора.</v>
      </c>
      <c r="D1086" s="10">
        <f ca="1">IFERROR(__xludf.DUMMYFUNCTION("""COMPUTED_VALUE"""),2014)</f>
        <v>2014</v>
      </c>
      <c r="E1086" s="10" t="str">
        <f ca="1">IFERROR(__xludf.DUMMYFUNCTION("""COMPUTED_VALUE"""),"Археологически открития и разкопки през 2013 г., С. 2014 ISSN: 13130889, БАН, НАИМ")</f>
        <v>Археологически открития и разкопки през 2013 г., С. 2014 ISSN: 13130889, БАН, НАИМ</v>
      </c>
      <c r="F1086"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6" s="10" t="str">
        <f ca="1">IFERROR(__xludf.DUMMYFUNCTION("""COMPUTED_VALUE"""),"Л. Гетов, К. Рабаджиев, М. Райчева, И. Вълчев, И. Лозанов")</f>
        <v>Л. Гетов, К. Рабаджиев, М. Райчева, И. Вълчев, И. Лозанов</v>
      </c>
      <c r="H1086" s="10"/>
      <c r="I1086" s="10"/>
      <c r="J1086" s="10"/>
      <c r="K1086" s="10"/>
      <c r="L1086" s="10"/>
      <c r="M1086" s="10"/>
      <c r="N1086" s="10"/>
      <c r="O1086" s="10"/>
      <c r="P1086" s="10"/>
      <c r="Q1086" s="10"/>
      <c r="R1086" s="10"/>
      <c r="S1086" s="10"/>
      <c r="T1086" s="10"/>
      <c r="U1086" s="10"/>
      <c r="V1086" s="10"/>
      <c r="W1086" s="10"/>
      <c r="X1086" s="10"/>
      <c r="Y1086" s="10"/>
      <c r="Z1086" s="10"/>
    </row>
    <row r="1087" spans="1:26" ht="12.75">
      <c r="A1087" s="10" t="str">
        <f ca="1">IFERROR(__xludf.DUMMYFUNCTION("""COMPUTED_VALUE"""),"Венета Върбанова Ханджийска-Янкулова")</f>
        <v>Венета Върбанова Ханджийска-Янкулова</v>
      </c>
      <c r="B1087" s="10" t="str">
        <f ca="1">IFERROR(__xludf.DUMMYFUNCTION("""COMPUTED_VALUE"""),"Доклад от конференция")</f>
        <v>Доклад от конференция</v>
      </c>
      <c r="C1087" s="10" t="str">
        <f ca="1">IFERROR(__xludf.DUMMYFUNCTION("""COMPUTED_VALUE"""),"Ями от елинистическата епоха от Кабиле.")</f>
        <v>Ями от елинистическата епоха от Кабиле.</v>
      </c>
      <c r="D1087" s="10">
        <f ca="1">IFERROR(__xludf.DUMMYFUNCTION("""COMPUTED_VALUE"""),2014)</f>
        <v>2014</v>
      </c>
      <c r="E1087" s="10" t="str">
        <f ca="1">IFERROR(__xludf.DUMMYFUNCTION("""COMPUTED_VALUE"""),"Съвременни визии за изследване, преподаване и популяризиране на българското културно-историческо наследство. Сборник с научни изследвания по случай 10-годишния юбилей на Катедра “Културно-историческо наследство“ при УниБИТ. С. 2014, 163 – 175 ISBN 978-619"&amp;"-185-025-9 Издателство „За буквите – О писменехь”")</f>
        <v>Съвременни визии за изследване, преподаване и популяризиране на българското културно-историческо наследство. Сборник с научни изследвания по случай 10-годишния юбилей на Катедра “Културно-историческо наследство“ при УниБИТ. С. 2014, 163 – 175 ISBN 978-619-185-025-9 Издателство „За буквите – О писменехь”</v>
      </c>
      <c r="F1087" s="10"/>
      <c r="G1087" s="10"/>
      <c r="H1087" s="10"/>
      <c r="I1087" s="10"/>
      <c r="J1087" s="10"/>
      <c r="K1087" s="10"/>
      <c r="L1087" s="10"/>
      <c r="M1087" s="10"/>
      <c r="N1087" s="10"/>
      <c r="O1087" s="10"/>
      <c r="P1087" s="10"/>
      <c r="Q1087" s="10"/>
      <c r="R1087" s="10"/>
      <c r="S1087" s="10"/>
      <c r="T1087" s="10"/>
      <c r="U1087" s="10"/>
      <c r="V1087" s="10"/>
      <c r="W1087" s="10"/>
      <c r="X1087" s="10"/>
      <c r="Y1087" s="10"/>
      <c r="Z1087" s="10"/>
    </row>
    <row r="1088" spans="1:26" ht="12.75">
      <c r="A1088" s="10" t="str">
        <f ca="1">IFERROR(__xludf.DUMMYFUNCTION("""COMPUTED_VALUE"""),"Венета Върбанова Ханджийска-Янкулова")</f>
        <v>Венета Върбанова Ханджийска-Янкулова</v>
      </c>
      <c r="B1088" s="10" t="str">
        <f ca="1">IFERROR(__xludf.DUMMYFUNCTION("""COMPUTED_VALUE"""),"Доклад от конференция")</f>
        <v>Доклад от конференция</v>
      </c>
      <c r="C1088" s="10" t="str">
        <f ca="1">IFERROR(__xludf.DUMMYFUNCTION("""COMPUTED_VALUE"""),"Национален археологически резерват „Кабиле” – състояние и перспективи.")</f>
        <v>Национален археологически резерват „Кабиле” – състояние и перспективи.</v>
      </c>
      <c r="D1088" s="10">
        <f ca="1">IFERROR(__xludf.DUMMYFUNCTION("""COMPUTED_VALUE"""),2014)</f>
        <v>2014</v>
      </c>
      <c r="E1088" s="10" t="str">
        <f ca="1">IFERROR(__xludf.DUMMYFUNCTION("""COMPUTED_VALUE"""),"Доклад на конференция по Проект:„Създаване на информационна среда за мотивация и стимулиране на младите изследователи в УниБИТ”")</f>
        <v>Доклад на конференция по Проект:„Създаване на информационна среда за мотивация и стимулиране на младите изследователи в УниБИТ”</v>
      </c>
      <c r="F1088" s="10"/>
      <c r="G1088" s="10"/>
      <c r="H1088" s="10"/>
      <c r="I1088" s="10"/>
      <c r="J1088" s="10"/>
      <c r="K1088" s="10"/>
      <c r="L1088" s="10"/>
      <c r="M1088" s="10"/>
      <c r="N1088" s="10"/>
      <c r="O1088" s="10"/>
      <c r="P1088" s="10"/>
      <c r="Q1088" s="10"/>
      <c r="R1088" s="10"/>
      <c r="S1088" s="10"/>
      <c r="T1088" s="10"/>
      <c r="U1088" s="10"/>
      <c r="V1088" s="10"/>
      <c r="W1088" s="10"/>
      <c r="X1088" s="10"/>
      <c r="Y1088" s="10"/>
      <c r="Z1088" s="10"/>
    </row>
    <row r="1089" spans="1:26" ht="12.75">
      <c r="A1089" s="10" t="str">
        <f ca="1">IFERROR(__xludf.DUMMYFUNCTION("""COMPUTED_VALUE"""),"Венета Върбанова Ханджийска-Янкулова")</f>
        <v>Венета Върбанова Ханджийска-Янкулова</v>
      </c>
      <c r="B1089" s="10" t="str">
        <f ca="1">IFERROR(__xludf.DUMMYFUNCTION("""COMPUTED_VALUE"""),"Статия в списания и поредици")</f>
        <v>Статия в списания и поредици</v>
      </c>
      <c r="C1089" s="10" t="str">
        <f ca="1">IFERROR(__xludf.DUMMYFUNCTION("""COMPUTED_VALUE"""),"Скално светилище в м. Беланташ, с. Врата, община Асеновград.")</f>
        <v>Скално светилище в м. Беланташ, с. Врата, община Асеновград.</v>
      </c>
      <c r="D1089" s="10">
        <f ca="1">IFERROR(__xludf.DUMMYFUNCTION("""COMPUTED_VALUE"""),2014)</f>
        <v>2014</v>
      </c>
      <c r="E1089" s="10" t="str">
        <f ca="1">IFERROR(__xludf.DUMMYFUNCTION("""COMPUTED_VALUE"""),"Археологически открития и разкопки през 2013 г. С., 2014, 127–129. ISSN: 13130889, БАН, НАИМ")</f>
        <v>Археологически открития и разкопки през 2013 г. С., 2014, 127–129. ISSN: 13130889, БАН, НАИМ</v>
      </c>
      <c r="F1089"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89" s="10" t="str">
        <f ca="1">IFERROR(__xludf.DUMMYFUNCTION("""COMPUTED_VALUE"""),"Б. Бориславов, М. Христов,")</f>
        <v>Б. Бориславов, М. Христов,</v>
      </c>
      <c r="H1089" s="10"/>
      <c r="I1089" s="10"/>
      <c r="J1089" s="10"/>
      <c r="K1089" s="10"/>
      <c r="L1089" s="10"/>
      <c r="M1089" s="10"/>
      <c r="N1089" s="10"/>
      <c r="O1089" s="10"/>
      <c r="P1089" s="10"/>
      <c r="Q1089" s="10"/>
      <c r="R1089" s="10"/>
      <c r="S1089" s="10"/>
      <c r="T1089" s="10"/>
      <c r="U1089" s="10"/>
      <c r="V1089" s="10"/>
      <c r="W1089" s="10"/>
      <c r="X1089" s="10"/>
      <c r="Y1089" s="10"/>
      <c r="Z1089" s="10"/>
    </row>
    <row r="1090" spans="1:26" ht="12.75">
      <c r="A1090" s="10" t="str">
        <f ca="1">IFERROR(__xludf.DUMMYFUNCTION("""COMPUTED_VALUE"""),"Венета Върбанова Ханджийска-Янкулова")</f>
        <v>Венета Върбанова Ханджийска-Янкулова</v>
      </c>
      <c r="B1090" s="10" t="str">
        <f ca="1">IFERROR(__xludf.DUMMYFUNCTION("""COMPUTED_VALUE"""),"Доклад от конференция")</f>
        <v>Доклад от конференция</v>
      </c>
      <c r="C1090" s="10" t="str">
        <f ca="1">IFERROR(__xludf.DUMMYFUNCTION("""COMPUTED_VALUE"""),"Национален археологически резерват „Кабиле“ – състояние и перспективи.")</f>
        <v>Национален археологически резерват „Кабиле“ – състояние и перспективи.</v>
      </c>
      <c r="D1090" s="10">
        <f ca="1">IFERROR(__xludf.DUMMYFUNCTION("""COMPUTED_VALUE"""),2014)</f>
        <v>2014</v>
      </c>
      <c r="E1090" s="10" t="str">
        <f ca="1">IFERROR(__xludf.DUMMYFUNCTION("""COMPUTED_VALUE"""),"Младите в науката – инвестиция в бъдещето. Сборник с доклади от международна научна конференция София-Пловдив, 18-20.10.1913 г. Изд. „За буквите“, С. 2014, 102 – 105. ISBN 978-619-185-132-4 Издателство „За буквите – О писменехь”")</f>
        <v>Младите в науката – инвестиция в бъдещето. Сборник с доклади от международна научна конференция София-Пловдив, 18-20.10.1913 г. Изд. „За буквите“, С. 2014, 102 – 105. ISBN 978-619-185-132-4 Издателство „За буквите – О писменехь”</v>
      </c>
      <c r="F1090" s="10"/>
      <c r="G1090" s="10"/>
      <c r="H1090" s="10"/>
      <c r="I1090" s="10"/>
      <c r="J1090" s="10"/>
      <c r="K1090" s="10"/>
      <c r="L1090" s="10"/>
      <c r="M1090" s="10"/>
      <c r="N1090" s="10"/>
      <c r="O1090" s="10"/>
      <c r="P1090" s="10"/>
      <c r="Q1090" s="10"/>
      <c r="R1090" s="10"/>
      <c r="S1090" s="10"/>
      <c r="T1090" s="10"/>
      <c r="U1090" s="10"/>
      <c r="V1090" s="10"/>
      <c r="W1090" s="10"/>
      <c r="X1090" s="10"/>
      <c r="Y1090" s="10"/>
      <c r="Z1090" s="10"/>
    </row>
    <row r="1091" spans="1:26" ht="12.75">
      <c r="A1091" s="10" t="str">
        <f ca="1">IFERROR(__xludf.DUMMYFUNCTION("""COMPUTED_VALUE"""),"Венета Върбанова Ханджийска-Янкулова")</f>
        <v>Венета Върбанова Ханджийска-Янкулова</v>
      </c>
      <c r="B1091" s="10" t="str">
        <f ca="1">IFERROR(__xludf.DUMMYFUNCTION("""COMPUTED_VALUE"""),"Статия в списания и поредици")</f>
        <v>Статия в списания и поредици</v>
      </c>
      <c r="C1091" s="10" t="str">
        <f ca="1">IFERROR(__xludf.DUMMYFUNCTION("""COMPUTED_VALUE"""),"Битова керамика от укрепената резиденция в подножието на връх Кози грамади.")</f>
        <v>Битова керамика от укрепената резиденция в подножието на връх Кози грамади.</v>
      </c>
      <c r="D1091" s="10">
        <f ca="1">IFERROR(__xludf.DUMMYFUNCTION("""COMPUTED_VALUE"""),2013)</f>
        <v>2013</v>
      </c>
      <c r="E1091" s="10" t="str">
        <f ca="1">IFERROR(__xludf.DUMMYFUNCTION("""COMPUTED_VALUE"""),"Кози грамади. Проучване на Одриска владетелска резиденция и светилища в Средна гора VIII-I в. пр. Хр., Т. 2, 2013, 103 – 130. Издателство UNICARD ISBN 978 – 954 – 92706 – 3 – 1")</f>
        <v>Кози грамади. Проучване на Одриска владетелска резиденция и светилища в Средна гора VIII-I в. пр. Хр., Т. 2, 2013, 103 – 130. Издателство UNICARD ISBN 978 – 954 – 92706 – 3 – 1</v>
      </c>
      <c r="F1091" s="10"/>
      <c r="G1091" s="10"/>
      <c r="H1091" s="10"/>
      <c r="I1091" s="10"/>
      <c r="J1091" s="10"/>
      <c r="K1091" s="10"/>
      <c r="L1091" s="10"/>
      <c r="M1091" s="10"/>
      <c r="N1091" s="10"/>
      <c r="O1091" s="10"/>
      <c r="P1091" s="10"/>
      <c r="Q1091" s="10"/>
      <c r="R1091" s="10"/>
      <c r="S1091" s="10"/>
      <c r="T1091" s="10"/>
      <c r="U1091" s="10"/>
      <c r="V1091" s="10"/>
      <c r="W1091" s="10"/>
      <c r="X1091" s="10"/>
      <c r="Y1091" s="10"/>
      <c r="Z1091" s="10"/>
    </row>
    <row r="1092" spans="1:26" ht="12.75">
      <c r="A1092" s="10" t="str">
        <f ca="1">IFERROR(__xludf.DUMMYFUNCTION("""COMPUTED_VALUE"""),"Венета Върбанова Ханджийска-Янкулова")</f>
        <v>Венета Върбанова Ханджийска-Янкулова</v>
      </c>
      <c r="B1092" s="10" t="str">
        <f ca="1">IFERROR(__xludf.DUMMYFUNCTION("""COMPUTED_VALUE"""),"Статия в списания и поредици")</f>
        <v>Статия в списания и поредици</v>
      </c>
      <c r="C1092" s="10" t="str">
        <f ca="1">IFERROR(__xludf.DUMMYFUNCTION("""COMPUTED_VALUE"""),"НАР Кабиле. Сектор V – Елинистическа агора.")</f>
        <v>НАР Кабиле. Сектор V – Елинистическа агора.</v>
      </c>
      <c r="D1092" s="10">
        <f ca="1">IFERROR(__xludf.DUMMYFUNCTION("""COMPUTED_VALUE"""),2012)</f>
        <v>2012</v>
      </c>
      <c r="E1092" s="10" t="str">
        <f ca="1">IFERROR(__xludf.DUMMYFUNCTION("""COMPUTED_VALUE"""),"Археологически открития и разкопки през 2011 г., С. 2012, 362 – 365 ISSN: 13130889, БАН, НАИМ")</f>
        <v>Археологически открития и разкопки през 2011 г., С. 2012, 362 – 365 ISSN: 13130889, БАН, НАИМ</v>
      </c>
      <c r="F1092"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92" s="10" t="str">
        <f ca="1">IFERROR(__xludf.DUMMYFUNCTION("""COMPUTED_VALUE"""),"Людмил Гетов, Иван Вълчев")</f>
        <v>Людмил Гетов, Иван Вълчев</v>
      </c>
      <c r="H1092" s="10"/>
      <c r="I1092" s="10"/>
      <c r="J1092" s="10"/>
      <c r="K1092" s="10"/>
      <c r="L1092" s="10"/>
      <c r="M1092" s="10"/>
      <c r="N1092" s="10"/>
      <c r="O1092" s="10"/>
      <c r="P1092" s="10"/>
      <c r="Q1092" s="10"/>
      <c r="R1092" s="10"/>
      <c r="S1092" s="10"/>
      <c r="T1092" s="10"/>
      <c r="U1092" s="10"/>
      <c r="V1092" s="10"/>
      <c r="W1092" s="10"/>
      <c r="X1092" s="10"/>
      <c r="Y1092" s="10"/>
      <c r="Z1092" s="10"/>
    </row>
    <row r="1093" spans="1:26" ht="12.75">
      <c r="A1093" s="10" t="str">
        <f ca="1">IFERROR(__xludf.DUMMYFUNCTION("""COMPUTED_VALUE"""),"Венета Върбанова Ханджийска-Янкулова")</f>
        <v>Венета Върбанова Ханджийска-Янкулова</v>
      </c>
      <c r="B1093" s="10" t="str">
        <f ca="1">IFERROR(__xludf.DUMMYFUNCTION("""COMPUTED_VALUE"""),"Статия в списания и поредици")</f>
        <v>Статия в списания и поредици</v>
      </c>
      <c r="C1093" s="10" t="str">
        <f ca="1">IFERROR(__xludf.DUMMYFUNCTION("""COMPUTED_VALUE"""),"Модел на база данни за археологически материали (керамика).")</f>
        <v>Модел на база данни за археологически материали (керамика).</v>
      </c>
      <c r="D1093" s="10">
        <f ca="1">IFERROR(__xludf.DUMMYFUNCTION("""COMPUTED_VALUE"""),2012)</f>
        <v>2012</v>
      </c>
      <c r="E1093" s="10" t="str">
        <f ca="1">IFERROR(__xludf.DUMMYFUNCTION("""COMPUTED_VALUE"""),"Collegium Historicum, Т. 2, 2012, ………. ISBN 978-954-617-115-3")</f>
        <v>Collegium Historicum, Т. 2, 2012, ………. ISBN 978-954-617-115-3</v>
      </c>
      <c r="F1093" s="10"/>
      <c r="G1093" s="10"/>
      <c r="H1093" s="10"/>
      <c r="I1093" s="10"/>
      <c r="J1093" s="10"/>
      <c r="K1093" s="10"/>
      <c r="L1093" s="10"/>
      <c r="M1093" s="10"/>
      <c r="N1093" s="10"/>
      <c r="O1093" s="10"/>
      <c r="P1093" s="10"/>
      <c r="Q1093" s="10"/>
      <c r="R1093" s="10"/>
      <c r="S1093" s="10"/>
      <c r="T1093" s="10"/>
      <c r="U1093" s="10"/>
      <c r="V1093" s="10"/>
      <c r="W1093" s="10"/>
      <c r="X1093" s="10"/>
      <c r="Y1093" s="10"/>
      <c r="Z1093" s="10"/>
    </row>
    <row r="1094" spans="1:26" ht="12.75">
      <c r="A1094" s="10" t="str">
        <f ca="1">IFERROR(__xludf.DUMMYFUNCTION("""COMPUTED_VALUE"""),"Венета Върбанова Ханджийска-Янкулова")</f>
        <v>Венета Върбанова Ханджийска-Янкулова</v>
      </c>
      <c r="B1094" s="10" t="str">
        <f ca="1">IFERROR(__xludf.DUMMYFUNCTION("""COMPUTED_VALUE"""),"Статия в списания и поредици")</f>
        <v>Статия в списания и поредици</v>
      </c>
      <c r="C1094" s="10" t="str">
        <f ca="1">IFERROR(__xludf.DUMMYFUNCTION("""COMPUTED_VALUE"""),"Скално светилище в м. Беланташ, с. Врата, община Асеновград.")</f>
        <v>Скално светилище в м. Беланташ, с. Врата, община Асеновград.</v>
      </c>
      <c r="D1094" s="10">
        <f ca="1">IFERROR(__xludf.DUMMYFUNCTION("""COMPUTED_VALUE"""),2012)</f>
        <v>2012</v>
      </c>
      <c r="E1094" s="10" t="str">
        <f ca="1">IFERROR(__xludf.DUMMYFUNCTION("""COMPUTED_VALUE"""),"Археологически открития и разкопки през 2011 г., С. 2012, 153 - 155 ISSN: 13130889, БАН, НАИМ")</f>
        <v>Археологически открития и разкопки през 2011 г., С. 2012, 153 - 155 ISSN: 13130889, БАН, НАИМ</v>
      </c>
      <c r="F1094"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94" s="10" t="str">
        <f ca="1">IFERROR(__xludf.DUMMYFUNCTION("""COMPUTED_VALUE"""),"Б. Бориславов, М. Христов")</f>
        <v>Б. Бориславов, М. Христов</v>
      </c>
      <c r="H1094" s="10"/>
      <c r="I1094" s="10"/>
      <c r="J1094" s="10"/>
      <c r="K1094" s="10"/>
      <c r="L1094" s="10"/>
      <c r="M1094" s="10"/>
      <c r="N1094" s="10"/>
      <c r="O1094" s="10"/>
      <c r="P1094" s="10"/>
      <c r="Q1094" s="10"/>
      <c r="R1094" s="10"/>
      <c r="S1094" s="10"/>
      <c r="T1094" s="10"/>
      <c r="U1094" s="10"/>
      <c r="V1094" s="10"/>
      <c r="W1094" s="10"/>
      <c r="X1094" s="10"/>
      <c r="Y1094" s="10"/>
      <c r="Z1094" s="10"/>
    </row>
    <row r="1095" spans="1:26" ht="12.75">
      <c r="A1095" s="10" t="str">
        <f ca="1">IFERROR(__xludf.DUMMYFUNCTION("""COMPUTED_VALUE"""),"Венета Върбанова Ханджийска-Янкулова")</f>
        <v>Венета Върбанова Ханджийска-Янкулова</v>
      </c>
      <c r="B1095" s="10" t="str">
        <f ca="1">IFERROR(__xludf.DUMMYFUNCTION("""COMPUTED_VALUE"""),"Статия в списания и поредици")</f>
        <v>Статия в списания и поредици</v>
      </c>
      <c r="C1095" s="10" t="str">
        <f ca="1">IFERROR(__xludf.DUMMYFUNCTION("""COMPUTED_VALUE"""),"Битова керамика на ръка от резиденция в подножието на връх Кози грамади.")</f>
        <v>Битова керамика на ръка от резиденция в подножието на връх Кози грамади.</v>
      </c>
      <c r="D1095" s="10">
        <f ca="1">IFERROR(__xludf.DUMMYFUNCTION("""COMPUTED_VALUE"""),2011)</f>
        <v>2011</v>
      </c>
      <c r="E1095" s="10" t="str">
        <f ca="1">IFERROR(__xludf.DUMMYFUNCTION("""COMPUTED_VALUE"""),"Кози грамади. Проучване на Одриска владетелска резиденция и светилища в Средна гора VIII-I в. пр. Хр., Т.1, 2011, 133 – 150 Издателство UNICARD ISBN 978 – 954 – 92706 – 3 – 1")</f>
        <v>Кози грамади. Проучване на Одриска владетелска резиденция и светилища в Средна гора VIII-I в. пр. Хр., Т.1, 2011, 133 – 150 Издателство UNICARD ISBN 978 – 954 – 92706 – 3 – 1</v>
      </c>
      <c r="F1095" s="10"/>
      <c r="G1095" s="10"/>
      <c r="H1095" s="10"/>
      <c r="I1095" s="10"/>
      <c r="J1095" s="10"/>
      <c r="K1095" s="10"/>
      <c r="L1095" s="10"/>
      <c r="M1095" s="10"/>
      <c r="N1095" s="10"/>
      <c r="O1095" s="10"/>
      <c r="P1095" s="10"/>
      <c r="Q1095" s="10"/>
      <c r="R1095" s="10"/>
      <c r="S1095" s="10"/>
      <c r="T1095" s="10"/>
      <c r="U1095" s="10"/>
      <c r="V1095" s="10"/>
      <c r="W1095" s="10"/>
      <c r="X1095" s="10"/>
      <c r="Y1095" s="10"/>
      <c r="Z1095" s="10"/>
    </row>
    <row r="1096" spans="1:26" ht="12.75">
      <c r="A1096" s="10" t="str">
        <f ca="1">IFERROR(__xludf.DUMMYFUNCTION("""COMPUTED_VALUE"""),"Венета Върбанова Ханджийска-Янкулова")</f>
        <v>Венета Върбанова Ханджийска-Янкулова</v>
      </c>
      <c r="B1096" s="10" t="str">
        <f ca="1">IFERROR(__xludf.DUMMYFUNCTION("""COMPUTED_VALUE"""),"Статия в списания и поредици")</f>
        <v>Статия в списания и поредици</v>
      </c>
      <c r="C1096" s="10" t="str">
        <f ca="1">IFERROR(__xludf.DUMMYFUNCTION("""COMPUTED_VALUE"""),"Керамични форми от Кабиле – определител за обработка на масовия керамичен материал от елинистическата епоха.")</f>
        <v>Керамични форми от Кабиле – определител за обработка на масовия керамичен материал от елинистическата епоха.</v>
      </c>
      <c r="D1096" s="10">
        <f ca="1">IFERROR(__xludf.DUMMYFUNCTION("""COMPUTED_VALUE"""),2011)</f>
        <v>2011</v>
      </c>
      <c r="E1096" s="10" t="str">
        <f ca="1">IFERROR(__xludf.DUMMYFUNCTION("""COMPUTED_VALUE"""),"Collegium Historicum, Т. 1, С. 2011., 37–47 ISBN 978-954-617-115-3")</f>
        <v>Collegium Historicum, Т. 1, С. 2011., 37–47 ISBN 978-954-617-115-3</v>
      </c>
      <c r="F1096" s="10"/>
      <c r="G1096" s="10"/>
      <c r="H1096" s="10"/>
      <c r="I1096" s="10"/>
      <c r="J1096" s="10"/>
      <c r="K1096" s="10"/>
      <c r="L1096" s="10"/>
      <c r="M1096" s="10"/>
      <c r="N1096" s="10"/>
      <c r="O1096" s="10"/>
      <c r="P1096" s="10"/>
      <c r="Q1096" s="10"/>
      <c r="R1096" s="10"/>
      <c r="S1096" s="10"/>
      <c r="T1096" s="10"/>
      <c r="U1096" s="10"/>
      <c r="V1096" s="10"/>
      <c r="W1096" s="10"/>
      <c r="X1096" s="10"/>
      <c r="Y1096" s="10"/>
      <c r="Z1096" s="10"/>
    </row>
    <row r="1097" spans="1:26" ht="12.75">
      <c r="A1097" s="10" t="str">
        <f ca="1">IFERROR(__xludf.DUMMYFUNCTION("""COMPUTED_VALUE"""),"Венета Върбанова Ханджийска-Янкулова")</f>
        <v>Венета Върбанова Ханджийска-Янкулова</v>
      </c>
      <c r="B1097" s="10" t="str">
        <f ca="1">IFERROR(__xludf.DUMMYFUNCTION("""COMPUTED_VALUE"""),"Статия в списания и поредици")</f>
        <v>Статия в списания и поредици</v>
      </c>
      <c r="C1097" s="10" t="str">
        <f ca="1">IFERROR(__xludf.DUMMYFUNCTION("""COMPUTED_VALUE"""),"Светилище от елинистическата и римската епохи и раннохристиянска църква при с. Крепост, общ. Димитровград.")</f>
        <v>Светилище от елинистическата и римската епохи и раннохристиянска църква при с. Крепост, общ. Димитровград.</v>
      </c>
      <c r="D1097" s="10">
        <f ca="1">IFERROR(__xludf.DUMMYFUNCTION("""COMPUTED_VALUE"""),2011)</f>
        <v>2011</v>
      </c>
      <c r="E1097" s="10" t="str">
        <f ca="1">IFERROR(__xludf.DUMMYFUNCTION("""COMPUTED_VALUE"""),"Археологически открития и разкопки през 2010 г., С. 2011, 362 - 366 ISSN: 13130889, БАН, НАИМ")</f>
        <v>Археологически открития и разкопки през 2010 г., С. 2011, 362 - 366 ISSN: 13130889, БАН, НАИМ</v>
      </c>
      <c r="F1097"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97" s="10" t="str">
        <f ca="1">IFERROR(__xludf.DUMMYFUNCTION("""COMPUTED_VALUE"""),"Иван Вълчев, Ивайло Лозанов, Дойчин Грозданов")</f>
        <v>Иван Вълчев, Ивайло Лозанов, Дойчин Грозданов</v>
      </c>
      <c r="H1097" s="10"/>
      <c r="I1097" s="10"/>
      <c r="J1097" s="10"/>
      <c r="K1097" s="10"/>
      <c r="L1097" s="10"/>
      <c r="M1097" s="10"/>
      <c r="N1097" s="10"/>
      <c r="O1097" s="10"/>
      <c r="P1097" s="10"/>
      <c r="Q1097" s="10"/>
      <c r="R1097" s="10"/>
      <c r="S1097" s="10"/>
      <c r="T1097" s="10"/>
      <c r="U1097" s="10"/>
      <c r="V1097" s="10"/>
      <c r="W1097" s="10"/>
      <c r="X1097" s="10"/>
      <c r="Y1097" s="10"/>
      <c r="Z1097" s="10"/>
    </row>
    <row r="1098" spans="1:26" ht="12.75">
      <c r="A1098" s="10" t="str">
        <f ca="1">IFERROR(__xludf.DUMMYFUNCTION("""COMPUTED_VALUE"""),"Венета Върбанова Ханджийска-Янкулова")</f>
        <v>Венета Върбанова Ханджийска-Янкулова</v>
      </c>
      <c r="B1098" s="10" t="str">
        <f ca="1">IFERROR(__xludf.DUMMYFUNCTION("""COMPUTED_VALUE"""),"Статия в списания и поредици")</f>
        <v>Статия в списания и поредици</v>
      </c>
      <c r="C1098" s="10" t="str">
        <f ca="1">IFERROR(__xludf.DUMMYFUNCTION("""COMPUTED_VALUE"""),"Скално светилище на връх Сборови грамади.")</f>
        <v>Скално светилище на връх Сборови грамади.</v>
      </c>
      <c r="D1098" s="10">
        <f ca="1">IFERROR(__xludf.DUMMYFUNCTION("""COMPUTED_VALUE"""),2011)</f>
        <v>2011</v>
      </c>
      <c r="E1098" s="10" t="str">
        <f ca="1">IFERROR(__xludf.DUMMYFUNCTION("""COMPUTED_VALUE"""),"Кози грамади. Проучване на Одриска владетелска резиденция и светилища в Средна гора VIII – I в. пр. Хр., Т.1, 2011, 191 – 194. Издателство UNICARD ISBN 978 – 954 – 92706 – 3 – 1")</f>
        <v>Кози грамади. Проучване на Одриска владетелска резиденция и светилища в Средна гора VIII – I в. пр. Хр., Т.1, 2011, 191 – 194. Издателство UNICARD ISBN 978 – 954 – 92706 – 3 – 1</v>
      </c>
      <c r="F1098" s="10"/>
      <c r="G1098" s="10" t="str">
        <f ca="1">IFERROR(__xludf.DUMMYFUNCTION("""COMPUTED_VALUE"""),"Иван Христов")</f>
        <v>Иван Христов</v>
      </c>
      <c r="H1098" s="10"/>
      <c r="I1098" s="10"/>
      <c r="J1098" s="10"/>
      <c r="K1098" s="10"/>
      <c r="L1098" s="10"/>
      <c r="M1098" s="10"/>
      <c r="N1098" s="10"/>
      <c r="O1098" s="10"/>
      <c r="P1098" s="10"/>
      <c r="Q1098" s="10"/>
      <c r="R1098" s="10"/>
      <c r="S1098" s="10"/>
      <c r="T1098" s="10"/>
      <c r="U1098" s="10"/>
      <c r="V1098" s="10"/>
      <c r="W1098" s="10"/>
      <c r="X1098" s="10"/>
      <c r="Y1098" s="10"/>
      <c r="Z1098" s="10"/>
    </row>
    <row r="1099" spans="1:26" ht="12.75">
      <c r="A1099" s="10" t="str">
        <f ca="1">IFERROR(__xludf.DUMMYFUNCTION("""COMPUTED_VALUE"""),"Венета Върбанова Ханджийска-Янкулова")</f>
        <v>Венета Върбанова Ханджийска-Янкулова</v>
      </c>
      <c r="B1099" s="10" t="str">
        <f ca="1">IFERROR(__xludf.DUMMYFUNCTION("""COMPUTED_VALUE"""),"Статия в списания и поредици")</f>
        <v>Статия в списания и поредици</v>
      </c>
      <c r="C1099" s="10" t="str">
        <f ca="1">IFERROR(__xludf.DUMMYFUNCTION("""COMPUTED_VALUE"""),"Спасителни проучвания по трасето на АМ ""Тракия"", ЛОТ 4, Обект №8 – Източен некропол на Кабиле от II-III в.")</f>
        <v>Спасителни проучвания по трасето на АМ "Тракия", ЛОТ 4, Обект №8 – Източен некропол на Кабиле от II-III в.</v>
      </c>
      <c r="D1099" s="10">
        <f ca="1">IFERROR(__xludf.DUMMYFUNCTION("""COMPUTED_VALUE"""),2010)</f>
        <v>2010</v>
      </c>
      <c r="E1099" s="10" t="str">
        <f ca="1">IFERROR(__xludf.DUMMYFUNCTION("""COMPUTED_VALUE"""),"Археологически открития и разкопки през 2009 г., С.2010, 422 – 425 ISSN: 13130889, БАН, НАИМ")</f>
        <v>Археологически открития и разкопки през 2009 г., С.2010, 422 – 425 ISSN: 13130889, БАН, НАИМ</v>
      </c>
      <c r="F1099"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099" s="10" t="str">
        <f ca="1">IFERROR(__xludf.DUMMYFUNCTION("""COMPUTED_VALUE"""),"Диян Янкулов")</f>
        <v>Диян Янкулов</v>
      </c>
      <c r="H1099" s="10"/>
      <c r="I1099" s="10"/>
      <c r="J1099" s="10"/>
      <c r="K1099" s="10"/>
      <c r="L1099" s="10"/>
      <c r="M1099" s="10"/>
      <c r="N1099" s="10"/>
      <c r="O1099" s="10"/>
      <c r="P1099" s="10"/>
      <c r="Q1099" s="10"/>
      <c r="R1099" s="10"/>
      <c r="S1099" s="10"/>
      <c r="T1099" s="10"/>
      <c r="U1099" s="10"/>
      <c r="V1099" s="10"/>
      <c r="W1099" s="10"/>
      <c r="X1099" s="10"/>
      <c r="Y1099" s="10"/>
      <c r="Z1099" s="10"/>
    </row>
    <row r="1100" spans="1:26" ht="12.75">
      <c r="A1100" s="10" t="str">
        <f ca="1">IFERROR(__xludf.DUMMYFUNCTION("""COMPUTED_VALUE"""),"Венета Върбанова Ханджийска-Янкулова")</f>
        <v>Венета Върбанова Ханджийска-Янкулова</v>
      </c>
      <c r="B1100" s="10" t="str">
        <f ca="1">IFERROR(__xludf.DUMMYFUNCTION("""COMPUTED_VALUE"""),"Статия в списания и поредици")</f>
        <v>Статия в списания и поредици</v>
      </c>
      <c r="C1100" s="10" t="str">
        <f ca="1">IFERROR(__xludf.DUMMYFUNCTION("""COMPUTED_VALUE"""),"Технологични характеристики на керамиката на ръка от Тракия през късната желязна епоха. Производствени етапи (по материали от територията на днешна Югоизточна България).")</f>
        <v>Технологични характеристики на керамиката на ръка от Тракия през късната желязна епоха. Производствени етапи (по материали от територията на днешна Югоизточна България).</v>
      </c>
      <c r="D1100" s="10">
        <f ca="1">IFERROR(__xludf.DUMMYFUNCTION("""COMPUTED_VALUE"""),2010)</f>
        <v>2010</v>
      </c>
      <c r="E1100" s="10" t="str">
        <f ca="1">IFERROR(__xludf.DUMMYFUNCTION("""COMPUTED_VALUE"""),"Studia Archaeologica Universitatis Serdicensis. Suppl. V. (Stephanos Archaeologicos in honorem Professoris Stephcae Angelova ). София, 2010, 229 – 250. Университетско издателство „Св. Климент Охридски” ISSN 1312-7284")</f>
        <v>Studia Archaeologica Universitatis Serdicensis. Suppl. V. (Stephanos Archaeologicos in honorem Professoris Stephcae Angelova ). София, 2010, 229 – 250. Университетско издателство „Св. Климент Охридски” ISSN 1312-7284</v>
      </c>
      <c r="F1100"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0" s="10"/>
      <c r="H1100" s="10"/>
      <c r="I1100" s="10"/>
      <c r="J1100" s="10"/>
      <c r="K1100" s="10"/>
      <c r="L1100" s="10"/>
      <c r="M1100" s="10"/>
      <c r="N1100" s="10"/>
      <c r="O1100" s="10"/>
      <c r="P1100" s="10"/>
      <c r="Q1100" s="10"/>
      <c r="R1100" s="10"/>
      <c r="S1100" s="10"/>
      <c r="T1100" s="10"/>
      <c r="U1100" s="10"/>
      <c r="V1100" s="10"/>
      <c r="W1100" s="10"/>
      <c r="X1100" s="10"/>
      <c r="Y1100" s="10"/>
      <c r="Z1100" s="10"/>
    </row>
    <row r="1101" spans="1:26" ht="12.75">
      <c r="A1101" s="10" t="str">
        <f ca="1">IFERROR(__xludf.DUMMYFUNCTION("""COMPUTED_VALUE"""),"Венета Върбанова Ханджийска-Янкулова")</f>
        <v>Венета Върбанова Ханджийска-Янкулова</v>
      </c>
      <c r="B1101" s="10" t="str">
        <f ca="1">IFERROR(__xludf.DUMMYFUNCTION("""COMPUTED_VALUE"""),"Доклад от конференция")</f>
        <v>Доклад от конференция</v>
      </c>
      <c r="C1101" s="10" t="str">
        <f ca="1">IFERROR(__xludf.DUMMYFUNCTION("""COMPUTED_VALUE"""),"Кабиле през елинистическата епоха – по данни от последните археологически проучвания.")</f>
        <v>Кабиле през елинистическата епоха – по данни от последните археологически проучвания.</v>
      </c>
      <c r="D1101" s="10">
        <f ca="1">IFERROR(__xludf.DUMMYFUNCTION("""COMPUTED_VALUE"""),2010)</f>
        <v>2010</v>
      </c>
      <c r="E1101" s="10" t="str">
        <f ca="1">IFERROR(__xludf.DUMMYFUNCTION("""COMPUTED_VALUE"""),"Югоизточна България през ІІ–І хил. пр. Хр., 2010, 247 – 270, ISBN 978-954-15-0221-1 Книгоиздателство „Зограф”, Варна")</f>
        <v>Югоизточна България през ІІ–І хил. пр. Хр., 2010, 247 – 270, ISBN 978-954-15-0221-1 Книгоиздателство „Зограф”, Варна</v>
      </c>
      <c r="F1101" s="10"/>
      <c r="G1101" s="10" t="str">
        <f ca="1">IFERROR(__xludf.DUMMYFUNCTION("""COMPUTED_VALUE"""),"Ивайло Лозанов")</f>
        <v>Ивайло Лозанов</v>
      </c>
      <c r="H1101" s="10"/>
      <c r="I1101" s="10"/>
      <c r="J1101" s="10"/>
      <c r="K1101" s="10"/>
      <c r="L1101" s="10"/>
      <c r="M1101" s="10"/>
      <c r="N1101" s="10"/>
      <c r="O1101" s="10"/>
      <c r="P1101" s="10"/>
      <c r="Q1101" s="10"/>
      <c r="R1101" s="10"/>
      <c r="S1101" s="10"/>
      <c r="T1101" s="10"/>
      <c r="U1101" s="10"/>
      <c r="V1101" s="10"/>
      <c r="W1101" s="10"/>
      <c r="X1101" s="10"/>
      <c r="Y1101" s="10"/>
      <c r="Z1101" s="10"/>
    </row>
    <row r="1102" spans="1:26" ht="12.75">
      <c r="A1102" s="10" t="str">
        <f ca="1">IFERROR(__xludf.DUMMYFUNCTION("""COMPUTED_VALUE"""),"Венета Върбанова Ханджийска-Янкулова")</f>
        <v>Венета Върбанова Ханджийска-Янкулова</v>
      </c>
      <c r="B1102" s="10" t="str">
        <f ca="1">IFERROR(__xludf.DUMMYFUNCTION("""COMPUTED_VALUE"""),"Статия в списания и поредици")</f>
        <v>Статия в списания и поредици</v>
      </c>
      <c r="C1102" s="10" t="str">
        <f ca="1">IFERROR(__xludf.DUMMYFUNCTION("""COMPUTED_VALUE"""),"Археологически обект при с. Крепост, местността ""Жельова чешма"", община Димитровград, АМ ""Марица"", км 42+020 - 42+300.")</f>
        <v>Археологически обект при с. Крепост, местността "Жельова чешма", община Димитровград, АМ "Марица", км 42+020 - 42+300.</v>
      </c>
      <c r="D1102" s="10">
        <f ca="1">IFERROR(__xludf.DUMMYFUNCTION("""COMPUTED_VALUE"""),2010)</f>
        <v>2010</v>
      </c>
      <c r="E1102" s="10" t="str">
        <f ca="1">IFERROR(__xludf.DUMMYFUNCTION("""COMPUTED_VALUE"""),"Археологически открития и разкопки през 2009 г., С. 2010, 406 - 408 ISSN: 13130889, БАН, НАИМ")</f>
        <v>Археологически открития и разкопки през 2009 г., С. 2010, 406 - 408 ISSN: 13130889, БАН, НАИМ</v>
      </c>
      <c r="F1102"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2" s="10" t="str">
        <f ca="1">IFERROR(__xludf.DUMMYFUNCTION("""COMPUTED_VALUE"""),"Иван Вълчев, Ивайло Лозанов")</f>
        <v>Иван Вълчев, Ивайло Лозанов</v>
      </c>
      <c r="H1102" s="10"/>
      <c r="I1102" s="10"/>
      <c r="J1102" s="10"/>
      <c r="K1102" s="10"/>
      <c r="L1102" s="10"/>
      <c r="M1102" s="10"/>
      <c r="N1102" s="10"/>
      <c r="O1102" s="10"/>
      <c r="P1102" s="10"/>
      <c r="Q1102" s="10"/>
      <c r="R1102" s="10"/>
      <c r="S1102" s="10"/>
      <c r="T1102" s="10"/>
      <c r="U1102" s="10"/>
      <c r="V1102" s="10"/>
      <c r="W1102" s="10"/>
      <c r="X1102" s="10"/>
      <c r="Y1102" s="10"/>
      <c r="Z1102" s="10"/>
    </row>
    <row r="1103" spans="1:26" ht="12.75">
      <c r="A1103" s="10" t="str">
        <f ca="1">IFERROR(__xludf.DUMMYFUNCTION("""COMPUTED_VALUE"""),"Венета Върбанова Ханджийска-Янкулова")</f>
        <v>Венета Върбанова Ханджийска-Янкулова</v>
      </c>
      <c r="B1103" s="10" t="str">
        <f ca="1">IFERROR(__xludf.DUMMYFUNCTION("""COMPUTED_VALUE"""),"Статия в списания и поредици")</f>
        <v>Статия в списания и поредици</v>
      </c>
      <c r="C1103" s="10" t="str">
        <f ca="1">IFERROR(__xludf.DUMMYFUNCTION("""COMPUTED_VALUE"""),"НАР Кабиле. Сектор V – Елинистическа агора.")</f>
        <v>НАР Кабиле. Сектор V – Елинистическа агора.</v>
      </c>
      <c r="D1103" s="10">
        <f ca="1">IFERROR(__xludf.DUMMYFUNCTION("""COMPUTED_VALUE"""),2010)</f>
        <v>2010</v>
      </c>
      <c r="E1103" s="10" t="str">
        <f ca="1">IFERROR(__xludf.DUMMYFUNCTION("""COMPUTED_VALUE"""),"Археологически открития и разкопки през 2009 г., С. 2010, 417 - 419 ISSN: 13130889, БАН, НАИМ")</f>
        <v>Археологически открития и разкопки през 2009 г., С. 2010, 417 - 419 ISSN: 13130889, БАН, НАИМ</v>
      </c>
      <c r="F1103"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3" s="10" t="str">
        <f ca="1">IFERROR(__xludf.DUMMYFUNCTION("""COMPUTED_VALUE"""),"Людмил Гетов, Иван Вълчев")</f>
        <v>Людмил Гетов, Иван Вълчев</v>
      </c>
      <c r="H1103" s="10"/>
      <c r="I1103" s="10"/>
      <c r="J1103" s="10"/>
      <c r="K1103" s="10"/>
      <c r="L1103" s="10"/>
      <c r="M1103" s="10"/>
      <c r="N1103" s="10"/>
      <c r="O1103" s="10"/>
      <c r="P1103" s="10"/>
      <c r="Q1103" s="10"/>
      <c r="R1103" s="10"/>
      <c r="S1103" s="10"/>
      <c r="T1103" s="10"/>
      <c r="U1103" s="10"/>
      <c r="V1103" s="10"/>
      <c r="W1103" s="10"/>
      <c r="X1103" s="10"/>
      <c r="Y1103" s="10"/>
      <c r="Z1103" s="10"/>
    </row>
    <row r="1104" spans="1:26" ht="12.75">
      <c r="A1104" s="10" t="str">
        <f ca="1">IFERROR(__xludf.DUMMYFUNCTION("""COMPUTED_VALUE"""),"Венета Върбанова Ханджийска-Янкулова")</f>
        <v>Венета Върбанова Ханджийска-Янкулова</v>
      </c>
      <c r="B1104" s="10" t="str">
        <f ca="1">IFERROR(__xludf.DUMMYFUNCTION("""COMPUTED_VALUE"""),"Статия в списания и поредици")</f>
        <v>Статия в списания и поредици</v>
      </c>
      <c r="C1104" s="10" t="str">
        <f ca="1">IFERROR(__xludf.DUMMYFUNCTION("""COMPUTED_VALUE"""),"НАР Кабиле, Сектор V. Сгради и съоръжения от елинистическата епоха.")</f>
        <v>НАР Кабиле, Сектор V. Сгради и съоръжения от елинистическата епоха.</v>
      </c>
      <c r="D1104" s="10">
        <f ca="1">IFERROR(__xludf.DUMMYFUNCTION("""COMPUTED_VALUE"""),2009)</f>
        <v>2009</v>
      </c>
      <c r="E1104" s="10" t="str">
        <f ca="1">IFERROR(__xludf.DUMMYFUNCTION("""COMPUTED_VALUE"""),"Археологически открития и разкопки през 2008 г., С. 2009, 409 – 412 ISSN: 13130889, БАН, НАИМ")</f>
        <v>Археологически открития и разкопки през 2008 г., С. 2009, 409 – 412 ISSN: 13130889, БАН, НАИМ</v>
      </c>
      <c r="F1104"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4" s="10" t="str">
        <f ca="1">IFERROR(__xludf.DUMMYFUNCTION("""COMPUTED_VALUE"""),"Людмил Гетов, Костадин Рабаджиев")</f>
        <v>Людмил Гетов, Костадин Рабаджиев</v>
      </c>
      <c r="H1104" s="10"/>
      <c r="I1104" s="10"/>
      <c r="J1104" s="10"/>
      <c r="K1104" s="10"/>
      <c r="L1104" s="10"/>
      <c r="M1104" s="10"/>
      <c r="N1104" s="10"/>
      <c r="O1104" s="10"/>
      <c r="P1104" s="10"/>
      <c r="Q1104" s="10"/>
      <c r="R1104" s="10"/>
      <c r="S1104" s="10"/>
      <c r="T1104" s="10"/>
      <c r="U1104" s="10"/>
      <c r="V1104" s="10"/>
      <c r="W1104" s="10"/>
      <c r="X1104" s="10"/>
      <c r="Y1104" s="10"/>
      <c r="Z1104" s="10"/>
    </row>
    <row r="1105" spans="1:26" ht="12.75">
      <c r="A1105" s="10" t="str">
        <f ca="1">IFERROR(__xludf.DUMMYFUNCTION("""COMPUTED_VALUE"""),"Венета Върбанова Ханджийска-Янкулова")</f>
        <v>Венета Върбанова Ханджийска-Янкулова</v>
      </c>
      <c r="B1105" s="10" t="str">
        <f ca="1">IFERROR(__xludf.DUMMYFUNCTION("""COMPUTED_VALUE"""),"Статия в списания и поредици")</f>
        <v>Статия в списания и поредици</v>
      </c>
      <c r="C1105" s="10" t="str">
        <f ca="1">IFERROR(__xludf.DUMMYFUNCTION("""COMPUTED_VALUE"""),"Сондажни археологически проучвания по трасето на АМ ""Тракия"", ЛОТ 4, Обект № 8, км 283+400 – 283+800")</f>
        <v>Сондажни археологически проучвания по трасето на АМ "Тракия", ЛОТ 4, Обект № 8, км 283+400 – 283+800</v>
      </c>
      <c r="D1105" s="10">
        <f ca="1">IFERROR(__xludf.DUMMYFUNCTION("""COMPUTED_VALUE"""),2009)</f>
        <v>2009</v>
      </c>
      <c r="E1105" s="10" t="str">
        <f ca="1">IFERROR(__xludf.DUMMYFUNCTION("""COMPUTED_VALUE"""),"Археологически открития и разкопки през 2008 г., С. 2009, 532 – 535 ISSN: 13130889, БАН, НАИМ")</f>
        <v>Археологически открития и разкопки през 2008 г., С. 2009, 532 – 535 ISSN: 13130889, БАН, НАИМ</v>
      </c>
      <c r="F1105"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5" s="10" t="str">
        <f ca="1">IFERROR(__xludf.DUMMYFUNCTION("""COMPUTED_VALUE"""),"Костадин Рабаджиев")</f>
        <v>Костадин Рабаджиев</v>
      </c>
      <c r="H1105" s="10"/>
      <c r="I1105" s="10"/>
      <c r="J1105" s="10"/>
      <c r="K1105" s="10"/>
      <c r="L1105" s="10"/>
      <c r="M1105" s="10"/>
      <c r="N1105" s="10"/>
      <c r="O1105" s="10"/>
      <c r="P1105" s="10"/>
      <c r="Q1105" s="10"/>
      <c r="R1105" s="10"/>
      <c r="S1105" s="10"/>
      <c r="T1105" s="10"/>
      <c r="U1105" s="10"/>
      <c r="V1105" s="10"/>
      <c r="W1105" s="10"/>
      <c r="X1105" s="10"/>
      <c r="Y1105" s="10"/>
      <c r="Z1105" s="10"/>
    </row>
    <row r="1106" spans="1:26" ht="12.75">
      <c r="A1106" s="10" t="str">
        <f ca="1">IFERROR(__xludf.DUMMYFUNCTION("""COMPUTED_VALUE"""),"Венета Върбанова Ханджийска-Янкулова")</f>
        <v>Венета Върбанова Ханджийска-Янкулова</v>
      </c>
      <c r="B1106" s="10" t="str">
        <f ca="1">IFERROR(__xludf.DUMMYFUNCTION("""COMPUTED_VALUE"""),"Доклад от конференция")</f>
        <v>Доклад от конференция</v>
      </c>
      <c r="C1106" s="10" t="str">
        <f ca="1">IFERROR(__xludf.DUMMYFUNCTION("""COMPUTED_VALUE"""),"Керамика на ръка от късножелязната епоха от светилището при Бабяк.")</f>
        <v>Керамика на ръка от късножелязната епоха от светилището при Бабяк.</v>
      </c>
      <c r="D1106" s="10">
        <f ca="1">IFERROR(__xludf.DUMMYFUNCTION("""COMPUTED_VALUE"""),2008)</f>
        <v>2008</v>
      </c>
      <c r="E1106" s="10" t="str">
        <f ca="1">IFERROR(__xludf.DUMMYFUNCTION("""COMPUTED_VALUE"""),"Тракийското светилище при Бабяк и неговата археологическа среда. София, 2008, с. 145 – 153.")</f>
        <v>Тракийското светилище при Бабяк и неговата археологическа среда. София, 2008, с. 145 – 153.</v>
      </c>
      <c r="F1106" s="10"/>
      <c r="G1106" s="10"/>
      <c r="H1106" s="10"/>
      <c r="I1106" s="10"/>
      <c r="J1106" s="10"/>
      <c r="K1106" s="10"/>
      <c r="L1106" s="10"/>
      <c r="M1106" s="10"/>
      <c r="N1106" s="10"/>
      <c r="O1106" s="10"/>
      <c r="P1106" s="10"/>
      <c r="Q1106" s="10"/>
      <c r="R1106" s="10"/>
      <c r="S1106" s="10"/>
      <c r="T1106" s="10"/>
      <c r="U1106" s="10"/>
      <c r="V1106" s="10"/>
      <c r="W1106" s="10"/>
      <c r="X1106" s="10"/>
      <c r="Y1106" s="10"/>
      <c r="Z1106" s="10"/>
    </row>
    <row r="1107" spans="1:26" ht="12.75">
      <c r="A1107" s="10" t="str">
        <f ca="1">IFERROR(__xludf.DUMMYFUNCTION("""COMPUTED_VALUE"""),"Венета Върбанова Ханджийска-Янкулова")</f>
        <v>Венета Върбанова Ханджийска-Янкулова</v>
      </c>
      <c r="B1107" s="10" t="str">
        <f ca="1">IFERROR(__xludf.DUMMYFUNCTION("""COMPUTED_VALUE"""),"Статия в списания и поредици")</f>
        <v>Статия в списания и поредици</v>
      </c>
      <c r="C1107" s="10" t="str">
        <f ca="1">IFERROR(__xludf.DUMMYFUNCTION("""COMPUTED_VALUE"""),"НАР Кабиле, Сектор V. Сграда от елинистическата епоха, източно от късноримския хореум.")</f>
        <v>НАР Кабиле, Сектор V. Сграда от елинистическата епоха, източно от късноримския хореум.</v>
      </c>
      <c r="D1107" s="10">
        <f ca="1">IFERROR(__xludf.DUMMYFUNCTION("""COMPUTED_VALUE"""),2008)</f>
        <v>2008</v>
      </c>
      <c r="E1107" s="10" t="str">
        <f ca="1">IFERROR(__xludf.DUMMYFUNCTION("""COMPUTED_VALUE"""),"Археологически открития и разкопки през 2007 г., С. 2008, 427 – 429 ISSN: 13130889, БАН, НАИМ")</f>
        <v>Археологически открития и разкопки през 2007 г., С. 2008, 427 – 429 ISSN: 13130889, БАН, НАИМ</v>
      </c>
      <c r="F1107"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7" s="10" t="str">
        <f ca="1">IFERROR(__xludf.DUMMYFUNCTION("""COMPUTED_VALUE"""),"Людмил Гетов, Костадин Рабаджиев")</f>
        <v>Людмил Гетов, Костадин Рабаджиев</v>
      </c>
      <c r="H1107" s="10"/>
      <c r="I1107" s="10"/>
      <c r="J1107" s="10"/>
      <c r="K1107" s="10"/>
      <c r="L1107" s="10"/>
      <c r="M1107" s="10"/>
      <c r="N1107" s="10"/>
      <c r="O1107" s="10"/>
      <c r="P1107" s="10"/>
      <c r="Q1107" s="10"/>
      <c r="R1107" s="10"/>
      <c r="S1107" s="10"/>
      <c r="T1107" s="10"/>
      <c r="U1107" s="10"/>
      <c r="V1107" s="10"/>
      <c r="W1107" s="10"/>
      <c r="X1107" s="10"/>
      <c r="Y1107" s="10"/>
      <c r="Z1107" s="10"/>
    </row>
    <row r="1108" spans="1:26" ht="12.75">
      <c r="A1108" s="10" t="str">
        <f ca="1">IFERROR(__xludf.DUMMYFUNCTION("""COMPUTED_VALUE"""),"Венета Върбанова Ханджийска-Янкулова")</f>
        <v>Венета Върбанова Ханджийска-Янкулова</v>
      </c>
      <c r="B1108" s="10" t="str">
        <f ca="1">IFERROR(__xludf.DUMMYFUNCTION("""COMPUTED_VALUE"""),"Статия в списания и поредици")</f>
        <v>Статия в списания и поредици</v>
      </c>
      <c r="C1108" s="10" t="str">
        <f ca="1">IFERROR(__xludf.DUMMYFUNCTION("""COMPUTED_VALUE"""),"НАР Кабиле, Сектор V. Сграда от елинистическата епоха, източно от късноримския хореум.")</f>
        <v>НАР Кабиле, Сектор V. Сграда от елинистическата епоха, източно от късноримския хореум.</v>
      </c>
      <c r="D1108" s="10">
        <f ca="1">IFERROR(__xludf.DUMMYFUNCTION("""COMPUTED_VALUE"""),2007)</f>
        <v>2007</v>
      </c>
      <c r="E1108" s="10" t="str">
        <f ca="1">IFERROR(__xludf.DUMMYFUNCTION("""COMPUTED_VALUE"""),"Археологически открития и разкопки през 2006 г., С. 2007, 266 – 271 ISSN: 13130889, БАН, НАИМ")</f>
        <v>Археологически открития и разкопки през 2006 г., С. 2007, 266 – 271 ISSN: 13130889, БАН, НАИМ</v>
      </c>
      <c r="F1108" s="10" t="str">
        <f ca="1">IFERROR(__xludf.DUMMYFUNCTION("""COMPUTED_VALUE"""),"Национален референтен списък на съвременни български научни издания с научно рецензиране")</f>
        <v>Национален референтен списък на съвременни български научни издания с научно рецензиране</v>
      </c>
      <c r="G1108" s="10" t="str">
        <f ca="1">IFERROR(__xludf.DUMMYFUNCTION("""COMPUTED_VALUE"""),"Людмил Гетов, Костадин Рабаджиев")</f>
        <v>Людмил Гетов, Костадин Рабаджиев</v>
      </c>
      <c r="H1108" s="10"/>
      <c r="I1108" s="10"/>
      <c r="J1108" s="10"/>
      <c r="K1108" s="10"/>
      <c r="L1108" s="10"/>
      <c r="M1108" s="10"/>
      <c r="N1108" s="10"/>
      <c r="O1108" s="10"/>
      <c r="P1108" s="10"/>
      <c r="Q1108" s="10"/>
      <c r="R1108" s="10"/>
      <c r="S1108" s="10"/>
      <c r="T1108" s="10"/>
      <c r="U1108" s="10"/>
      <c r="V1108" s="10"/>
      <c r="W1108" s="10"/>
      <c r="X1108" s="10"/>
      <c r="Y1108" s="10"/>
      <c r="Z1108" s="10"/>
    </row>
    <row r="1109" spans="1:26" ht="12.75">
      <c r="A1109" s="10" t="str">
        <f ca="1">IFERROR(__xludf.DUMMYFUNCTION("""COMPUTED_VALUE"""),"Венцислав Иванов Велев")</f>
        <v>Венцислав Иванов Велев</v>
      </c>
      <c r="B1109" s="10" t="str">
        <f ca="1">IFERROR(__xludf.DUMMYFUNCTION("""COMPUTED_VALUE"""),"Доклад от конференция")</f>
        <v>Доклад от конференция</v>
      </c>
      <c r="C1109" s="10" t="str">
        <f ca="1">IFERROR(__xludf.DUMMYFUNCTION("""COMPUTED_VALUE"""),"Нематериалното културно наследство и неговото препредаване през поколенията")</f>
        <v>Нематериалното културно наследство и неговото препредаване през поколенията</v>
      </c>
      <c r="D1109" s="10">
        <f ca="1">IFERROR(__xludf.DUMMYFUNCTION("""COMPUTED_VALUE"""),2020)</f>
        <v>2020</v>
      </c>
      <c r="E1109" s="10" t="str">
        <f ca="1">IFERROR(__xludf.DUMMYFUNCTION("""COMPUTED_VALUE"""),"Проблеми на културното наследство. т.1. Нематериалното културно наследство: самобитност, приемственост, опорочаване. С., 2020, с.246-252. ISBN 978-619-185-414-1")</f>
        <v>Проблеми на културното наследство. т.1. Нематериалното културно наследство: самобитност, приемственост, опорочаване. С., 2020, с.246-252. ISBN 978-619-185-414-1</v>
      </c>
      <c r="F1109" s="10"/>
      <c r="G1109" s="10"/>
      <c r="H1109" s="10"/>
      <c r="I1109" s="10"/>
      <c r="J1109" s="10"/>
      <c r="K1109" s="10"/>
      <c r="L1109" s="10"/>
      <c r="M1109" s="10"/>
      <c r="N1109" s="10"/>
      <c r="O1109" s="10"/>
      <c r="P1109" s="10"/>
      <c r="Q1109" s="10"/>
      <c r="R1109" s="10"/>
      <c r="S1109" s="10"/>
      <c r="T1109" s="10"/>
      <c r="U1109" s="10"/>
      <c r="V1109" s="10"/>
      <c r="W1109" s="10"/>
      <c r="X1109" s="10"/>
      <c r="Y1109" s="10"/>
      <c r="Z1109" s="10"/>
    </row>
    <row r="1110" spans="1:26" ht="12.75">
      <c r="A1110" s="10" t="str">
        <f ca="1">IFERROR(__xludf.DUMMYFUNCTION("""COMPUTED_VALUE"""),"Венцислав Иванов Велев")</f>
        <v>Венцислав Иванов Велев</v>
      </c>
      <c r="B1110" s="10" t="str">
        <f ca="1">IFERROR(__xludf.DUMMYFUNCTION("""COMPUTED_VALUE"""),"Статия в списания и поредици")</f>
        <v>Статия в списания и поредици</v>
      </c>
      <c r="C1110" s="10" t="str">
        <f ca="1">IFERROR(__xludf.DUMMYFUNCTION("""COMPUTED_VALUE"""),"Промените в политическата обстановка на Балканите през първата половина на XIX в. като предпоставка за създаването на народните читалища - кратка характеристика")</f>
        <v>Промените в политическата обстановка на Балканите през първата половина на XIX в. като предпоставка за създаването на народните читалища - кратка характеристика</v>
      </c>
      <c r="D1110" s="10">
        <f ca="1">IFERROR(__xludf.DUMMYFUNCTION("""COMPUTED_VALUE"""),2020)</f>
        <v>2020</v>
      </c>
      <c r="E1110" s="10" t="str">
        <f ca="1">IFERROR(__xludf.DUMMYFUNCTION("""COMPUTED_VALUE"""),"Единство и различия на интеркултурния модел. Сборник с материали. с., 2020, с. 7-17. ISBN 978-619-91616-0-9")</f>
        <v>Единство и различия на интеркултурния модел. Сборник с материали. с., 2020, с. 7-17. ISBN 978-619-91616-0-9</v>
      </c>
      <c r="F1110" s="10"/>
      <c r="G1110" s="10"/>
      <c r="H1110" s="10"/>
      <c r="I1110" s="10"/>
      <c r="J1110" s="10"/>
      <c r="K1110" s="10"/>
      <c r="L1110" s="10"/>
      <c r="M1110" s="10"/>
      <c r="N1110" s="10"/>
      <c r="O1110" s="10"/>
      <c r="P1110" s="10"/>
      <c r="Q1110" s="10"/>
      <c r="R1110" s="10"/>
      <c r="S1110" s="10"/>
      <c r="T1110" s="10"/>
      <c r="U1110" s="10"/>
      <c r="V1110" s="10"/>
      <c r="W1110" s="10"/>
      <c r="X1110" s="10"/>
      <c r="Y1110" s="10"/>
      <c r="Z1110" s="10"/>
    </row>
    <row r="1111" spans="1:26" ht="12.75">
      <c r="A1111" s="10" t="str">
        <f ca="1">IFERROR(__xludf.DUMMYFUNCTION("""COMPUTED_VALUE"""),"Венцислав Иванов Велев")</f>
        <v>Венцислав Иванов Велев</v>
      </c>
      <c r="B1111" s="10" t="str">
        <f ca="1">IFERROR(__xludf.DUMMYFUNCTION("""COMPUTED_VALUE"""),"Статия в списания и поредици")</f>
        <v>Статия в списания и поредици</v>
      </c>
      <c r="C1111" s="10" t="str">
        <f ca="1">IFERROR(__xludf.DUMMYFUNCTION("""COMPUTED_VALUE"""),"Някои от предизвикателствата на пандемията CIVID-19 пред малките библиотеки в страната (с акцент върху читалищните библиотеки)")</f>
        <v>Някои от предизвикателствата на пандемията CIVID-19 пред малките библиотеки в страната (с акцент върху читалищните библиотеки)</v>
      </c>
      <c r="D1111" s="10">
        <f ca="1">IFERROR(__xludf.DUMMYFUNCTION("""COMPUTED_VALUE"""),2020)</f>
        <v>2020</v>
      </c>
      <c r="E1111" s="10" t="str">
        <f ca="1">IFERROR(__xludf.DUMMYFUNCTION("""COMPUTED_VALUE"""),"Библиотека, кн.3, 2020, ISSN 0861-847X Година XXVII (LXVI), с.24-30. ISSN 0861-847X")</f>
        <v>Библиотека, кн.3, 2020, ISSN 0861-847X Година XXVII (LXVI), с.24-30. ISSN 0861-847X</v>
      </c>
      <c r="F1111" s="10"/>
      <c r="G1111" s="10"/>
      <c r="H1111" s="10"/>
      <c r="I1111" s="10"/>
      <c r="J1111" s="10"/>
      <c r="K1111" s="10"/>
      <c r="L1111" s="10"/>
      <c r="M1111" s="10"/>
      <c r="N1111" s="10"/>
      <c r="O1111" s="10"/>
      <c r="P1111" s="10"/>
      <c r="Q1111" s="10"/>
      <c r="R1111" s="10"/>
      <c r="S1111" s="10"/>
      <c r="T1111" s="10"/>
      <c r="U1111" s="10"/>
      <c r="V1111" s="10"/>
      <c r="W1111" s="10"/>
      <c r="X1111" s="10"/>
      <c r="Y1111" s="10"/>
      <c r="Z1111" s="10"/>
    </row>
    <row r="1112" spans="1:26" ht="12.75">
      <c r="A1112" s="10" t="str">
        <f ca="1">IFERROR(__xludf.DUMMYFUNCTION("""COMPUTED_VALUE"""),"Венцислав Иванов Велев")</f>
        <v>Венцислав Иванов Велев</v>
      </c>
      <c r="B1112" s="10" t="str">
        <f ca="1">IFERROR(__xludf.DUMMYFUNCTION("""COMPUTED_VALUE"""),"Доклад от конференция")</f>
        <v>Доклад от конференция</v>
      </c>
      <c r="C1112" s="10" t="str">
        <f ca="1">IFERROR(__xludf.DUMMYFUNCTION("""COMPUTED_VALUE"""),"Българските културни институти в чужбина - инструмент за популяризиране на българската култура извън страната, в контекста и на европейските измерения")</f>
        <v>Българските културни институти в чужбина - инструмент за популяризиране на българската култура извън страната, в контекста и на европейските измерения</v>
      </c>
      <c r="D1112" s="10">
        <f ca="1">IFERROR(__xludf.DUMMYFUNCTION("""COMPUTED_VALUE"""),2020)</f>
        <v>2020</v>
      </c>
      <c r="E1112" s="10" t="str">
        <f ca="1">IFERROR(__xludf.DUMMYFUNCTION("""COMPUTED_VALUE"""),"Общество на знанието и хуманизмът на ХХІ век // ХVIII национална научна конференция с международно участие София, 1–2 ноември 2020 г. С., 2020, с.282-291. 
 ISSN 2683-0094")</f>
        <v>Общество на знанието и хуманизмът на ХХІ век // ХVIII национална научна конференция с международно участие София, 1–2 ноември 2020 г. С., 2020, с.282-291. 
 ISSN 2683-0094</v>
      </c>
      <c r="F1112" s="10"/>
      <c r="G1112" s="10"/>
      <c r="H1112" s="10"/>
      <c r="I1112" s="10"/>
      <c r="J1112" s="10"/>
      <c r="K1112" s="10"/>
      <c r="L1112" s="10"/>
      <c r="M1112" s="10"/>
      <c r="N1112" s="10"/>
      <c r="O1112" s="10"/>
      <c r="P1112" s="10"/>
      <c r="Q1112" s="10"/>
      <c r="R1112" s="10"/>
      <c r="S1112" s="10"/>
      <c r="T1112" s="10"/>
      <c r="U1112" s="10"/>
      <c r="V1112" s="10"/>
      <c r="W1112" s="10"/>
      <c r="X1112" s="10"/>
      <c r="Y1112" s="10"/>
      <c r="Z1112" s="10"/>
    </row>
    <row r="1113" spans="1:26" ht="12.75">
      <c r="A1113" s="10" t="str">
        <f ca="1">IFERROR(__xludf.DUMMYFUNCTION("""COMPUTED_VALUE"""),"Венцислав Иванов Велев")</f>
        <v>Венцислав Иванов Велев</v>
      </c>
      <c r="B1113" s="10" t="str">
        <f ca="1">IFERROR(__xludf.DUMMYFUNCTION("""COMPUTED_VALUE"""),"Доклад от конференция")</f>
        <v>Доклад от конференция</v>
      </c>
      <c r="C1113" s="10" t="str">
        <f ca="1">IFERROR(__xludf.DUMMYFUNCTION("""COMPUTED_VALUE"""),"Живото наследство на България - идентификация и опазване. По примери от практиката")</f>
        <v>Живото наследство на България - идентификация и опазване. По примери от практиката</v>
      </c>
      <c r="D1113" s="10">
        <f ca="1">IFERROR(__xludf.DUMMYFUNCTION("""COMPUTED_VALUE"""),2019)</f>
        <v>2019</v>
      </c>
      <c r="E1113" s="10" t="str">
        <f ca="1">IFERROR(__xludf.DUMMYFUNCTION("""COMPUTED_VALUE"""),"Проблеми на културното наследство. т.3 - Пролетта в празничния обреден календар: Традиция и модерност. Сборник с доклади от научна конференция. София 17-18 април 2019 г., С., 2019, с.31-44. ISBN 978-619-185-388-5")</f>
        <v>Проблеми на културното наследство. т.3 - Пролетта в празничния обреден календар: Традиция и модерност. Сборник с доклади от научна конференция. София 17-18 април 2019 г., С., 2019, с.31-44. ISBN 978-619-185-388-5</v>
      </c>
      <c r="F1113" s="28" t="str">
        <f ca="1">IFERROR(__xludf.DUMMYFUNCTION("""COMPUTED_VALUE"""),"https://www.balkan-history.com/wp-content/uploads/2020/04/Spring-in-the-Festal-Ritual-Calendar-2019.pdf")</f>
        <v>https://www.balkan-history.com/wp-content/uploads/2020/04/Spring-in-the-Festal-Ritual-Calendar-2019.pdf</v>
      </c>
      <c r="G1113" s="10"/>
      <c r="H1113" s="10"/>
      <c r="I1113" s="10"/>
      <c r="J1113" s="10"/>
      <c r="K1113" s="10"/>
      <c r="L1113" s="10"/>
      <c r="M1113" s="10"/>
      <c r="N1113" s="10"/>
      <c r="O1113" s="10"/>
      <c r="P1113" s="10"/>
      <c r="Q1113" s="10"/>
      <c r="R1113" s="10"/>
      <c r="S1113" s="10"/>
      <c r="T1113" s="10"/>
      <c r="U1113" s="10"/>
      <c r="V1113" s="10"/>
      <c r="W1113" s="10"/>
      <c r="X1113" s="10"/>
      <c r="Y1113" s="10"/>
      <c r="Z1113" s="10"/>
    </row>
    <row r="1114" spans="1:26" ht="12.75">
      <c r="A1114" s="10" t="str">
        <f ca="1">IFERROR(__xludf.DUMMYFUNCTION("""COMPUTED_VALUE"""),"Венцислав Иванов Велев")</f>
        <v>Венцислав Иванов Велев</v>
      </c>
      <c r="B1114" s="10" t="str">
        <f ca="1">IFERROR(__xludf.DUMMYFUNCTION("""COMPUTED_VALUE"""),"Доклад от конференция")</f>
        <v>Доклад от конференция</v>
      </c>
      <c r="C1114" s="10" t="str">
        <f ca="1">IFERROR(__xludf.DUMMYFUNCTION("""COMPUTED_VALUE"""),"Програмата на ЮНЕСКО ""Паметта на света"" - опит за опазване на световното документално наследство и пример за мултикултурна толерантност")</f>
        <v>Програмата на ЮНЕСКО "Паметта на света" - опит за опазване на световното документално наследство и пример за мултикултурна толерантност</v>
      </c>
      <c r="D1114" s="10">
        <f ca="1">IFERROR(__xludf.DUMMYFUNCTION("""COMPUTED_VALUE"""),2019)</f>
        <v>2019</v>
      </c>
      <c r="E1114" s="10" t="str">
        <f ca="1">IFERROR(__xludf.DUMMYFUNCTION("""COMPUTED_VALUE"""),"Хармония в различията, Сборник от доклади от научна конференция проведена на 10. 12. 2019. Ред. Ж. Назърска, С. Шапкалова, М. Гарванова, Н. Дебрюне, Д. Стоянова, София: Академично издателство „За буквите – О писменехь“, С., 2019, с. 189-194. ISBN 2367-789"&amp;"9")</f>
        <v>Хармония в различията, Сборник от доклади от научна конференция проведена на 10. 12. 2019. Ред. Ж. Назърска, С. Шапкалова, М. Гарванова, Н. Дебрюне, Д. Стоянова, София: Академично издателство „За буквите – О писменехь“, С., 2019, с. 189-194. ISBN 2367-7899</v>
      </c>
      <c r="F1114" s="10"/>
      <c r="G1114" s="10"/>
      <c r="H1114" s="10"/>
      <c r="I1114" s="10"/>
      <c r="J1114" s="10"/>
      <c r="K1114" s="10"/>
      <c r="L1114" s="10"/>
      <c r="M1114" s="10"/>
      <c r="N1114" s="10"/>
      <c r="O1114" s="10"/>
      <c r="P1114" s="10"/>
      <c r="Q1114" s="10"/>
      <c r="R1114" s="10"/>
      <c r="S1114" s="10"/>
      <c r="T1114" s="10"/>
      <c r="U1114" s="10"/>
      <c r="V1114" s="10"/>
      <c r="W1114" s="10"/>
      <c r="X1114" s="10"/>
      <c r="Y1114" s="10"/>
      <c r="Z1114" s="10"/>
    </row>
    <row r="1115" spans="1:26" ht="12.75">
      <c r="A1115" s="10" t="str">
        <f ca="1">IFERROR(__xludf.DUMMYFUNCTION("""COMPUTED_VALUE"""),"Венцислав Иванов Велев")</f>
        <v>Венцислав Иванов Велев</v>
      </c>
      <c r="B1115" s="10" t="str">
        <f ca="1">IFERROR(__xludf.DUMMYFUNCTION("""COMPUTED_VALUE"""),"Доклад от конференция")</f>
        <v>Доклад от конференция</v>
      </c>
      <c r="C1115" s="10" t="str">
        <f ca="1">IFERROR(__xludf.DUMMYFUNCTION("""COMPUTED_VALUE"""),"Някои аспекти свързани със структурата и характеристика на читалищната мрежа след 1997 г.")</f>
        <v>Някои аспекти свързани със структурата и характеристика на читалищната мрежа след 1997 г.</v>
      </c>
      <c r="D1115" s="10">
        <f ca="1">IFERROR(__xludf.DUMMYFUNCTION("""COMPUTED_VALUE"""),2019)</f>
        <v>2019</v>
      </c>
      <c r="E1115" s="10" t="str">
        <f ca="1">IFERROR(__xludf.DUMMYFUNCTION("""COMPUTED_VALUE"""),"Обществото на знанието и хуманизмът на ХХІ век. ХVI-та Национална научна конференция с международно участие. Академично издателство ""За буквите - О писменехь. С., 2019, с.319-329. ISSN 1314-7099")</f>
        <v>Обществото на знанието и хуманизмът на ХХІ век. ХVI-та Национална научна конференция с международно участие. Академично издателство "За буквите - О писменехь. С., 2019, с.319-329. ISSN 1314-7099</v>
      </c>
      <c r="F1115" s="10"/>
      <c r="G1115" s="10"/>
      <c r="H1115" s="10"/>
      <c r="I1115" s="10"/>
      <c r="J1115" s="10"/>
      <c r="K1115" s="10"/>
      <c r="L1115" s="10"/>
      <c r="M1115" s="10"/>
      <c r="N1115" s="10"/>
      <c r="O1115" s="10"/>
      <c r="P1115" s="10"/>
      <c r="Q1115" s="10"/>
      <c r="R1115" s="10"/>
      <c r="S1115" s="10"/>
      <c r="T1115" s="10"/>
      <c r="U1115" s="10"/>
      <c r="V1115" s="10"/>
      <c r="W1115" s="10"/>
      <c r="X1115" s="10"/>
      <c r="Y1115" s="10"/>
      <c r="Z1115" s="10"/>
    </row>
    <row r="1116" spans="1:26" ht="12.75">
      <c r="A1116" s="10" t="str">
        <f ca="1">IFERROR(__xludf.DUMMYFUNCTION("""COMPUTED_VALUE"""),"Венцислав Иванов Велев")</f>
        <v>Венцислав Иванов Велев</v>
      </c>
      <c r="B1116" s="10" t="str">
        <f ca="1">IFERROR(__xludf.DUMMYFUNCTION("""COMPUTED_VALUE"""),"Доклад от конференция")</f>
        <v>Доклад от конференция</v>
      </c>
      <c r="C1116" s="10" t="str">
        <f ca="1">IFERROR(__xludf.DUMMYFUNCTION("""COMPUTED_VALUE"""),"„Библиотеки-четене-комуникация"" приложено в системата на читалищните библиотеки")</f>
        <v>„Библиотеки-четене-комуникация" приложено в системата на читалищните библиотеки</v>
      </c>
      <c r="D1116" s="10">
        <f ca="1">IFERROR(__xludf.DUMMYFUNCTION("""COMPUTED_VALUE"""),2019)</f>
        <v>2019</v>
      </c>
      <c r="E1116" s="10" t="str">
        <f ca="1">IFERROR(__xludf.DUMMYFUNCTION("""COMPUTED_VALUE"""),"Библиотеки. Четене. Комуникации : Седемнадесета нац. науч. конф. с междунар. участие, В. Търново, 15-16 ноем. 2018 г. : 190 години от рождението на отец Матей Преображенски – виден български възрожденец и просветител : Детската книга и детското четене. – "&amp;"Велико Търново, 2019, с. 111-119. ISSN 1313-8138")</f>
        <v>Библиотеки. Четене. Комуникации : Седемнадесета нац. науч. конф. с междунар. участие, В. Търново, 15-16 ноем. 2018 г. : 190 години от рождението на отец Матей Преображенски – виден български възрожденец и просветител : Детската книга и детското четене. – Велико Търново, 2019, с. 111-119. ISSN 1313-8138</v>
      </c>
      <c r="F1116" s="10"/>
      <c r="G1116" s="10" t="str">
        <f ca="1">IFERROR(__xludf.DUMMYFUNCTION("""COMPUTED_VALUE"""),"Сезер Нихат")</f>
        <v>Сезер Нихат</v>
      </c>
      <c r="H1116" s="10"/>
      <c r="I1116" s="10"/>
      <c r="J1116" s="10"/>
      <c r="K1116" s="10"/>
      <c r="L1116" s="10"/>
      <c r="M1116" s="10"/>
      <c r="N1116" s="10"/>
      <c r="O1116" s="10"/>
      <c r="P1116" s="10"/>
      <c r="Q1116" s="10"/>
      <c r="R1116" s="10"/>
      <c r="S1116" s="10"/>
      <c r="T1116" s="10"/>
      <c r="U1116" s="10"/>
      <c r="V1116" s="10"/>
      <c r="W1116" s="10"/>
      <c r="X1116" s="10"/>
      <c r="Y1116" s="10"/>
      <c r="Z1116" s="10"/>
    </row>
    <row r="1117" spans="1:26" ht="12.75">
      <c r="A1117" s="10" t="str">
        <f ca="1">IFERROR(__xludf.DUMMYFUNCTION("""COMPUTED_VALUE"""),"Венцислав Иванов Велев")</f>
        <v>Венцислав Иванов Велев</v>
      </c>
      <c r="B1117" s="10" t="str">
        <f ca="1">IFERROR(__xludf.DUMMYFUNCTION("""COMPUTED_VALUE"""),"Доклад от конференция")</f>
        <v>Доклад от конференция</v>
      </c>
      <c r="C1117" s="10" t="str">
        <f ca="1">IFERROR(__xludf.DUMMYFUNCTION("""COMPUTED_VALUE"""),"Регистърът на добрите практики за опазване на нематериалното културно наследство на човечеството и българският принос в него")</f>
        <v>Регистърът на добрите практики за опазване на нематериалното културно наследство на човечеството и българският принос в него</v>
      </c>
      <c r="D1117" s="10">
        <f ca="1">IFERROR(__xludf.DUMMYFUNCTION("""COMPUTED_VALUE"""),2019)</f>
        <v>2019</v>
      </c>
      <c r="E1117" s="10" t="str">
        <f ca="1">IFERROR(__xludf.DUMMYFUNCTION("""COMPUTED_VALUE"""),"Общество на знанието и хуманизмът на ХХІ в. ХVII национална научна конференция с международно участие. София, 1 ноември 2019 г. / Knowledge Society and 21st Century Humanism. The 17th International Scientific Conference. Sofia, 1st November 2019 / Академи"&amp;"чно издателство „За буквите – О писменехь“, 2019 / Academic Publishing House “Za Bukvite – O Pismeneh”, 2019. ISSN 2683-0094. с.172-182")</f>
        <v>Общество на знанието и хуманизмът на ХХІ в. ХVII национална научна конференция с международно участие. София, 1 ноември 2019 г. / Knowledge Society and 21st Century Humanism. The 17th International Scientific Conference. Sofia, 1st November 2019 / Академично издателство „За буквите – О писменехь“, 2019 / Academic Publishing House “Za Bukvite – O Pismeneh”, 2019. ISSN 2683-0094. с.172-182</v>
      </c>
      <c r="F1117" s="10"/>
      <c r="G1117" s="10"/>
      <c r="H1117" s="10"/>
      <c r="I1117" s="10"/>
      <c r="J1117" s="10"/>
      <c r="K1117" s="10"/>
      <c r="L1117" s="10"/>
      <c r="M1117" s="10"/>
      <c r="N1117" s="10"/>
      <c r="O1117" s="10"/>
      <c r="P1117" s="10"/>
      <c r="Q1117" s="10"/>
      <c r="R1117" s="10"/>
      <c r="S1117" s="10"/>
      <c r="T1117" s="10"/>
      <c r="U1117" s="10"/>
      <c r="V1117" s="10"/>
      <c r="W1117" s="10"/>
      <c r="X1117" s="10"/>
      <c r="Y1117" s="10"/>
      <c r="Z1117" s="10"/>
    </row>
    <row r="1118" spans="1:26" ht="12.75">
      <c r="A1118" s="10" t="str">
        <f ca="1">IFERROR(__xludf.DUMMYFUNCTION("""COMPUTED_VALUE"""),"Венцислав Иванов Велев")</f>
        <v>Венцислав Иванов Велев</v>
      </c>
      <c r="B1118" s="10" t="str">
        <f ca="1">IFERROR(__xludf.DUMMYFUNCTION("""COMPUTED_VALUE"""),"Доклад от конференция")</f>
        <v>Доклад от конференция</v>
      </c>
      <c r="C1118" s="10" t="str">
        <f ca="1">IFERROR(__xludf.DUMMYFUNCTION("""COMPUTED_VALUE"""),"Финансово управление и контрол върху дейността на читалищната библиотека – актуални проблеми")</f>
        <v>Финансово управление и контрол върху дейността на читалищната библиотека – актуални проблеми</v>
      </c>
      <c r="D1118" s="10">
        <f ca="1">IFERROR(__xludf.DUMMYFUNCTION("""COMPUTED_VALUE"""),2018)</f>
        <v>2018</v>
      </c>
      <c r="E1118" s="10" t="str">
        <f ca="1">IFERROR(__xludf.DUMMYFUNCTION("""COMPUTED_VALUE"""),"Библиотеки.Четене.Комуникации. В.Търново, 2018, с.179-189, ISSN: 1313-8138")</f>
        <v>Библиотеки.Четене.Комуникации. В.Търново, 2018, с.179-189, ISSN: 1313-8138</v>
      </c>
      <c r="F1118" s="10"/>
      <c r="G1118" s="10"/>
      <c r="H1118" s="10"/>
      <c r="I1118" s="10"/>
      <c r="J1118" s="10"/>
      <c r="K1118" s="10"/>
      <c r="L1118" s="10"/>
      <c r="M1118" s="10"/>
      <c r="N1118" s="10"/>
      <c r="O1118" s="10"/>
      <c r="P1118" s="10"/>
      <c r="Q1118" s="10"/>
      <c r="R1118" s="10"/>
      <c r="S1118" s="10"/>
      <c r="T1118" s="10"/>
      <c r="U1118" s="10"/>
      <c r="V1118" s="10"/>
      <c r="W1118" s="10"/>
      <c r="X1118" s="10"/>
      <c r="Y1118" s="10"/>
      <c r="Z1118" s="10"/>
    </row>
    <row r="1119" spans="1:26" ht="12.75">
      <c r="A1119" s="10" t="str">
        <f ca="1">IFERROR(__xludf.DUMMYFUNCTION("""COMPUTED_VALUE"""),"Венцислав Иванов Велев")</f>
        <v>Венцислав Иванов Велев</v>
      </c>
      <c r="B1119" s="10" t="str">
        <f ca="1">IFERROR(__xludf.DUMMYFUNCTION("""COMPUTED_VALUE"""),"Доклад от конференция")</f>
        <v>Доклад от конференция</v>
      </c>
      <c r="C1119" s="10" t="str">
        <f ca="1">IFERROR(__xludf.DUMMYFUNCTION("""COMPUTED_VALUE"""),"Мястото и ролята на народните читалища в системата на културно-историческото наследство на България / The place and the role of the folk community centers in the system of the Bulgarian cultural and historical heritage")</f>
        <v>Мястото и ролята на народните читалища в системата на културно-историческото наследство на България / The place and the role of the folk community centers in the system of the Bulgarian cultural and historical heritage</v>
      </c>
      <c r="D1119" s="10">
        <f ca="1">IFERROR(__xludf.DUMMYFUNCTION("""COMPUTED_VALUE"""),2018)</f>
        <v>2018</v>
      </c>
      <c r="E1119" s="10" t="str">
        <f ca="1">IFERROR(__xludf.DUMMYFUNCTION("""COMPUTED_VALUE"""),"Хармония в различията. Сборник с доклади от научна конференция проведена на 10-12-2018 г. С., 2018, с.407-413, ISSN 2367-7899")</f>
        <v>Хармония в различията. Сборник с доклади от научна конференция проведена на 10-12-2018 г. С., 2018, с.407-413, ISSN 2367-7899</v>
      </c>
      <c r="F1119" s="10"/>
      <c r="G1119" s="10"/>
      <c r="H1119" s="10"/>
      <c r="I1119" s="10"/>
      <c r="J1119" s="10"/>
      <c r="K1119" s="10"/>
      <c r="L1119" s="10"/>
      <c r="M1119" s="10"/>
      <c r="N1119" s="10"/>
      <c r="O1119" s="10"/>
      <c r="P1119" s="10"/>
      <c r="Q1119" s="10"/>
      <c r="R1119" s="10"/>
      <c r="S1119" s="10"/>
      <c r="T1119" s="10"/>
      <c r="U1119" s="10"/>
      <c r="V1119" s="10"/>
      <c r="W1119" s="10"/>
      <c r="X1119" s="10"/>
      <c r="Y1119" s="10"/>
      <c r="Z1119" s="10"/>
    </row>
    <row r="1120" spans="1:26" ht="12.75">
      <c r="A1120" s="10" t="str">
        <f ca="1">IFERROR(__xludf.DUMMYFUNCTION("""COMPUTED_VALUE"""),"Венцислав Иванов Велев")</f>
        <v>Венцислав Иванов Велев</v>
      </c>
      <c r="B1120" s="10" t="str">
        <f ca="1">IFERROR(__xludf.DUMMYFUNCTION("""COMPUTED_VALUE"""),"Доклад от конференция")</f>
        <v>Доклад от конференция</v>
      </c>
      <c r="C1120" s="10" t="str">
        <f ca="1">IFERROR(__xludf.DUMMYFUNCTION("""COMPUTED_VALUE"""),"Структура и характеристика на читалищната и библиотечна мрежа – исторически аспекти и съвременност")</f>
        <v>Структура и характеристика на читалищната и библиотечна мрежа – исторически аспекти и съвременност</v>
      </c>
      <c r="D1120" s="10">
        <f ca="1">IFERROR(__xludf.DUMMYFUNCTION("""COMPUTED_VALUE"""),2018)</f>
        <v>2018</v>
      </c>
      <c r="E1120" s="10" t="str">
        <f ca="1">IFERROR(__xludf.DUMMYFUNCTION("""COMPUTED_VALUE"""),"Европейски хоризонти : Библиотеките между буквите и бинарния код. : Нац. науч. конф., 8 - 9 окт. 2018 г., Силистра / Състав. Даниела Недялкова и Мануела Енчева. - Силистра : Регионална библиотека „Партений Павлович“ , 2018. с. 25-33, ISBN 978-619-7400-36-"&amp;"6")</f>
        <v>Европейски хоризонти : Библиотеките между буквите и бинарния код. : Нац. науч. конф., 8 - 9 окт. 2018 г., Силистра / Състав. Даниела Недялкова и Мануела Енчева. - Силистра : Регионална библиотека „Партений Павлович“ , 2018. с. 25-33, ISBN 978-619-7400-36-6</v>
      </c>
      <c r="F1120" s="10"/>
      <c r="G1120" s="10"/>
      <c r="H1120" s="10"/>
      <c r="I1120" s="10"/>
      <c r="J1120" s="10"/>
      <c r="K1120" s="10"/>
      <c r="L1120" s="10"/>
      <c r="M1120" s="10"/>
      <c r="N1120" s="10"/>
      <c r="O1120" s="10"/>
      <c r="P1120" s="10"/>
      <c r="Q1120" s="10"/>
      <c r="R1120" s="10"/>
      <c r="S1120" s="10"/>
      <c r="T1120" s="10"/>
      <c r="U1120" s="10"/>
      <c r="V1120" s="10"/>
      <c r="W1120" s="10"/>
      <c r="X1120" s="10"/>
      <c r="Y1120" s="10"/>
      <c r="Z1120" s="10"/>
    </row>
    <row r="1121" spans="1:26" ht="12.75">
      <c r="A1121" s="10" t="str">
        <f ca="1">IFERROR(__xludf.DUMMYFUNCTION("""COMPUTED_VALUE"""),"Венцислав Иванов Велев")</f>
        <v>Венцислав Иванов Велев</v>
      </c>
      <c r="B1121" s="10" t="str">
        <f ca="1">IFERROR(__xludf.DUMMYFUNCTION("""COMPUTED_VALUE"""),"Доклад от конференция")</f>
        <v>Доклад от конференция</v>
      </c>
      <c r="C1121" s="10" t="str">
        <f ca="1">IFERROR(__xludf.DUMMYFUNCTION("""COMPUTED_VALUE"""),"Етно-културното развитие на алианската общност в Силистренско в периода 1930-1940 г. по данни от един малко известен ръкопис / The ethno-cultural development of the Alliance community in Silistra in the years 1930-1940, according to data from a little-kno"&amp;"wn manuscript")</f>
        <v>Етно-културното развитие на алианската общност в Силистренско в периода 1930-1940 г. по данни от един малко известен ръкопис / The ethno-cultural development of the Alliance community in Silistra in the years 1930-1940, according to data from a little-known manuscript</v>
      </c>
      <c r="D1121" s="10">
        <f ca="1">IFERROR(__xludf.DUMMYFUNCTION("""COMPUTED_VALUE"""),2018)</f>
        <v>2018</v>
      </c>
      <c r="E1121" s="10" t="str">
        <f ca="1">IFERROR(__xludf.DUMMYFUNCTION("""COMPUTED_VALUE"""),"Хармония в различията. Сборник с доклади от научна конференция проведена на 10-12-2018 г. С., 2018, с.189-194, ISSN 2367-7899")</f>
        <v>Хармония в различията. Сборник с доклади от научна конференция проведена на 10-12-2018 г. С., 2018, с.189-194, ISSN 2367-7899</v>
      </c>
      <c r="F1121" s="10"/>
      <c r="G1121" s="10" t="str">
        <f ca="1">IFERROR(__xludf.DUMMYFUNCTION("""COMPUTED_VALUE"""),"Сезер Нихат")</f>
        <v>Сезер Нихат</v>
      </c>
      <c r="H1121" s="10"/>
      <c r="I1121" s="10"/>
      <c r="J1121" s="10"/>
      <c r="K1121" s="10"/>
      <c r="L1121" s="10"/>
      <c r="M1121" s="10"/>
      <c r="N1121" s="10"/>
      <c r="O1121" s="10"/>
      <c r="P1121" s="10"/>
      <c r="Q1121" s="10"/>
      <c r="R1121" s="10"/>
      <c r="S1121" s="10"/>
      <c r="T1121" s="10"/>
      <c r="U1121" s="10"/>
      <c r="V1121" s="10"/>
      <c r="W1121" s="10"/>
      <c r="X1121" s="10"/>
      <c r="Y1121" s="10"/>
      <c r="Z1121" s="10"/>
    </row>
    <row r="1122" spans="1:26" ht="12.75">
      <c r="A1122" s="10" t="str">
        <f ca="1">IFERROR(__xludf.DUMMYFUNCTION("""COMPUTED_VALUE"""),"Венцислав Иванов Велев")</f>
        <v>Венцислав Иванов Велев</v>
      </c>
      <c r="B1122" s="10" t="str">
        <f ca="1">IFERROR(__xludf.DUMMYFUNCTION("""COMPUTED_VALUE"""),"Доклад от конференция")</f>
        <v>Доклад от конференция</v>
      </c>
      <c r="C1122" s="10" t="str">
        <f ca="1">IFERROR(__xludf.DUMMYFUNCTION("""COMPUTED_VALUE"""),"Културата като важен инструмент за свързаност и изграждане на нови политики / Culture as an important instrument for conjunction and building new policies")</f>
        <v>Културата като важен инструмент за свързаност и изграждане на нови политики / Culture as an important instrument for conjunction and building new policies</v>
      </c>
      <c r="D1122" s="10">
        <f ca="1">IFERROR(__xludf.DUMMYFUNCTION("""COMPUTED_VALUE"""),2017)</f>
        <v>2017</v>
      </c>
      <c r="E1122" s="10" t="str">
        <f ca="1">IFERROR(__xludf.DUMMYFUNCTION("""COMPUTED_VALUE"""),"Хармония в различията. С., 2017, с.331-335, ISSN 2367-7899 Harmony in diversity. Sofia, 2017, p.331-335, ISSN 2367-7899")</f>
        <v>Хармония в различията. С., 2017, с.331-335, ISSN 2367-7899 Harmony in diversity. Sofia, 2017, p.331-335, ISSN 2367-7899</v>
      </c>
      <c r="F1122" s="10"/>
      <c r="G1122" s="10"/>
      <c r="H1122" s="10"/>
      <c r="I1122" s="10"/>
      <c r="J1122" s="10"/>
      <c r="K1122" s="10"/>
      <c r="L1122" s="10"/>
      <c r="M1122" s="10"/>
      <c r="N1122" s="10"/>
      <c r="O1122" s="10"/>
      <c r="P1122" s="10"/>
      <c r="Q1122" s="10"/>
      <c r="R1122" s="10"/>
      <c r="S1122" s="10"/>
      <c r="T1122" s="10"/>
      <c r="U1122" s="10"/>
      <c r="V1122" s="10"/>
      <c r="W1122" s="10"/>
      <c r="X1122" s="10"/>
      <c r="Y1122" s="10"/>
      <c r="Z1122" s="10"/>
    </row>
    <row r="1123" spans="1:26" ht="12.75">
      <c r="A1123" s="10" t="str">
        <f ca="1">IFERROR(__xludf.DUMMYFUNCTION("""COMPUTED_VALUE"""),"Венцислав Иванов Велев")</f>
        <v>Венцислав Иванов Велев</v>
      </c>
      <c r="B1123" s="10" t="str">
        <f ca="1">IFERROR(__xludf.DUMMYFUNCTION("""COMPUTED_VALUE"""),"Статия в списания и поредици")</f>
        <v>Статия в списания и поредици</v>
      </c>
      <c r="C1123" s="10" t="str">
        <f ca="1">IFERROR(__xludf.DUMMYFUNCTION("""COMPUTED_VALUE"""),"Електронен триезичен речник без аналог (УниБИТ – важен център на наукознанието и информатизацията в национален и международен мащаб) (За триезичния речник на УниБИТ по библиосферата. V).")</f>
        <v>Електронен триезичен речник без аналог (УниБИТ – важен център на наукознанието и информатизацията в национален и международен мащаб) (За триезичния речник на УниБИТ по библиосферата. V).</v>
      </c>
      <c r="D1123" s="10">
        <f ca="1">IFERROR(__xludf.DUMMYFUNCTION("""COMPUTED_VALUE"""),2017)</f>
        <v>2017</v>
      </c>
      <c r="E1123" s="10" t="str">
        <f ca="1">IFERROR(__xludf.DUMMYFUNCTION("""COMPUTED_VALUE"""),"Нишката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Стоян Д"&amp;"енчев ; Състав., предг., библиогр. Александра Куманова, Николай Василев. – София, 2017, с. 125-126, ISBN 978-619-185-211-6, online ISBN 978-619-185-212-3.")</f>
        <v>Нишката на Ариадна (Gloria bibliospherae) = Ariadne thread (Gloria bibliospherae) : Когнитология на енциклопедичността на библиотечната и информационната дейност = Cognitology of encyclopedicity of the library and information activity / Науч. ред. Стоян Денчев ; Състав., предг., библиогр. Александра Куманова, Николай Василев. – София, 2017, с. 125-126, ISBN 978-619-185-211-6, online ISBN 978-619-185-212-3.</v>
      </c>
      <c r="F1123" s="10"/>
      <c r="G1123" s="10"/>
      <c r="H1123" s="10"/>
      <c r="I1123" s="10"/>
      <c r="J1123" s="10"/>
      <c r="K1123" s="10"/>
      <c r="L1123" s="10"/>
      <c r="M1123" s="10"/>
      <c r="N1123" s="10"/>
      <c r="O1123" s="10"/>
      <c r="P1123" s="10"/>
      <c r="Q1123" s="10"/>
      <c r="R1123" s="10"/>
      <c r="S1123" s="10"/>
      <c r="T1123" s="10"/>
      <c r="U1123" s="10"/>
      <c r="V1123" s="10"/>
      <c r="W1123" s="10"/>
      <c r="X1123" s="10"/>
      <c r="Y1123" s="10"/>
      <c r="Z1123" s="10"/>
    </row>
    <row r="1124" spans="1:26" ht="12.75">
      <c r="A1124" s="10" t="str">
        <f ca="1">IFERROR(__xludf.DUMMYFUNCTION("""COMPUTED_VALUE"""),"Венцислав Иванов Велев")</f>
        <v>Венцислав Иванов Велев</v>
      </c>
      <c r="B1124" s="10" t="str">
        <f ca="1">IFERROR(__xludf.DUMMYFUNCTION("""COMPUTED_VALUE"""),"Статия в списания и поредици")</f>
        <v>Статия в списания и поредици</v>
      </c>
      <c r="C1124" s="10" t="str">
        <f ca="1">IFERROR(__xludf.DUMMYFUNCTION("""COMPUTED_VALUE"""),"Приносът на държавните, университетските и местните институции, както и на мрежата от музеи и читалища за опазване на нематериалното културно наследство и насърчаване неговата приемственост // The contribution of UNESCO Member States of South-Eastern Euro"&amp;"pe to the Implementation of the Convention for the Safeguarding of the Intangible Cultural Heritage. A Jubilee Edition Dedicated to the 70th Anniversary of UNESCO")</f>
        <v>Приносът на държавните, университетските и местните институции, както и на мрежата от музеи и читалища за опазване на нематериалното културно наследство и насърчаване неговата приемственост // The contribution of UNESCO Member States of South-Eastern Europe to the Implementation of the Convention for the Safeguarding of the Intangible Cultural Heritage. A Jubilee Edition Dedicated to the 70th Anniversary of UNESCO</v>
      </c>
      <c r="D1124" s="10">
        <f ca="1">IFERROR(__xludf.DUMMYFUNCTION("""COMPUTED_VALUE"""),2016)</f>
        <v>2016</v>
      </c>
      <c r="E1124" s="10" t="str">
        <f ca="1">IFERROR(__xludf.DUMMYFUNCTION("""COMPUTED_VALUE"""),"Приносът на държавите членки на ЮНЕСКО от Югоизточна Европа за разпространение и прилагане на конвенцията на ЮНЕСКО за опазване на нематериалното културно наследство от 2003 г. (12-13 декември 2015 г)” – Юбилейно издание, посветено на 70 -годишнината на Ю"&amp;"НЕСКО. С., 2016, с.17-31. ISBN 978-619-90617-0-1")</f>
        <v>Приносът на държавите членки на ЮНЕСКО от Югоизточна Европа за разпространение и прилагане на конвенцията на ЮНЕСКО за опазване на нематериалното културно наследство от 2003 г. (12-13 декември 2015 г)” – Юбилейно издание, посветено на 70 -годишнината на ЮНЕСКО. С., 2016, с.17-31. ISBN 978-619-90617-0-1</v>
      </c>
      <c r="F1124" s="10"/>
      <c r="G1124" s="10"/>
      <c r="H1124" s="10"/>
      <c r="I1124" s="10"/>
      <c r="J1124" s="10"/>
      <c r="K1124" s="10"/>
      <c r="L1124" s="10"/>
      <c r="M1124" s="10"/>
      <c r="N1124" s="10"/>
      <c r="O1124" s="10"/>
      <c r="P1124" s="10"/>
      <c r="Q1124" s="10"/>
      <c r="R1124" s="10"/>
      <c r="S1124" s="10"/>
      <c r="T1124" s="10"/>
      <c r="U1124" s="10"/>
      <c r="V1124" s="10"/>
      <c r="W1124" s="10"/>
      <c r="X1124" s="10"/>
      <c r="Y1124" s="10"/>
      <c r="Z1124" s="10"/>
    </row>
    <row r="1125" spans="1:26" ht="12.75">
      <c r="A1125" s="10" t="str">
        <f ca="1">IFERROR(__xludf.DUMMYFUNCTION("""COMPUTED_VALUE"""),"Венцислав Иванов Велев")</f>
        <v>Венцислав Иванов Велев</v>
      </c>
      <c r="B1125" s="10" t="str">
        <f ca="1">IFERROR(__xludf.DUMMYFUNCTION("""COMPUTED_VALUE"""),"Статия в списания и поредици")</f>
        <v>Статия в списания и поредици</v>
      </c>
      <c r="C1125" s="10" t="str">
        <f ca="1">IFERROR(__xludf.DUMMYFUNCTION("""COMPUTED_VALUE"""),"Нуждата от укрепване на административния капацитет и потенциал на управление в читалищата.")</f>
        <v>Нуждата от укрепване на административния капацитет и потенциал на управление в читалищата.</v>
      </c>
      <c r="D1125" s="10">
        <f ca="1">IFERROR(__xludf.DUMMYFUNCTION("""COMPUTED_VALUE"""),2016)</f>
        <v>2016</v>
      </c>
      <c r="E1125" s="10" t="str">
        <f ca="1">IFERROR(__xludf.DUMMYFUNCTION("""COMPUTED_VALUE"""),"160 години общонародно читалищно дело – сборник. С., 2016. с.139-150, ISBN 978-954-9437-69-0")</f>
        <v>160 години общонародно читалищно дело – сборник. С., 2016. с.139-150, ISBN 978-954-9437-69-0</v>
      </c>
      <c r="F1125" s="10"/>
      <c r="G1125" s="10"/>
      <c r="H1125" s="10"/>
      <c r="I1125" s="10"/>
      <c r="J1125" s="10"/>
      <c r="K1125" s="10"/>
      <c r="L1125" s="10"/>
      <c r="M1125" s="10"/>
      <c r="N1125" s="10"/>
      <c r="O1125" s="10"/>
      <c r="P1125" s="10"/>
      <c r="Q1125" s="10"/>
      <c r="R1125" s="10"/>
      <c r="S1125" s="10"/>
      <c r="T1125" s="10"/>
      <c r="U1125" s="10"/>
      <c r="V1125" s="10"/>
      <c r="W1125" s="10"/>
      <c r="X1125" s="10"/>
      <c r="Y1125" s="10"/>
      <c r="Z1125" s="10"/>
    </row>
    <row r="1126" spans="1:26" ht="12.75">
      <c r="A1126" s="10" t="str">
        <f ca="1">IFERROR(__xludf.DUMMYFUNCTION("""COMPUTED_VALUE"""),"Венцислав Иванов Велев")</f>
        <v>Венцислав Иванов Велев</v>
      </c>
      <c r="B1126" s="10" t="str">
        <f ca="1">IFERROR(__xludf.DUMMYFUNCTION("""COMPUTED_VALUE"""),"Статия в списания и поредици")</f>
        <v>Статия в списания и поредици</v>
      </c>
      <c r="C1126" s="10" t="str">
        <f ca="1">IFERROR(__xludf.DUMMYFUNCTION("""COMPUTED_VALUE"""),"Арианика : Експедиция във Воттоваара – Карелия и Аркаим – Урал (Центрове на праевропейската цивилизация в Русия).")</f>
        <v>Арианика : Експедиция във Воттоваара – Карелия и Аркаим – Урал (Центрове на праевропейската цивилизация в Русия).</v>
      </c>
      <c r="D1126" s="10">
        <f ca="1">IFERROR(__xludf.DUMMYFUNCTION("""COMPUTED_VALUE"""),2016)</f>
        <v>2016</v>
      </c>
      <c r="E1126" s="10" t="str">
        <f ca="1">IFERROR(__xludf.DUMMYFUNCTION("""COMPUTED_VALUE"""),"Арианика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Инфор"&amp;"м. кодове на култ. наследство” / С. Денчев ... [и др.]. ; Науч. ред. Н. Яръмов ... [и др.]. ; Библиогр. ред. Д. Ралева, М. Максимова ; Рец. А. Субето ... [и др.]. – София : За буквите – О писменехь, С., 2016, с.187-188. ISBN 978-619-185-192-8 online ISBN "&amp;"978-619-185-193-5")</f>
        <v>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Информ. кодове на култ. наследство” / С. Денчев ... [и др.]. ; Науч. ред. Н. Яръмов ... [и др.]. ; Библиогр. ред. Д. Ралева, М. Максимова ; Рец. А. Субето ... [и др.]. – София : За буквите – О писменехь, С., 2016, с.187-188. ISBN 978-619-185-192-8 online ISBN 978-619-185-193-5</v>
      </c>
      <c r="F1126" s="10"/>
      <c r="G1126" s="10"/>
      <c r="H1126" s="10"/>
      <c r="I1126" s="10"/>
      <c r="J1126" s="10"/>
      <c r="K1126" s="10"/>
      <c r="L1126" s="10"/>
      <c r="M1126" s="10"/>
      <c r="N1126" s="10"/>
      <c r="O1126" s="10"/>
      <c r="P1126" s="10"/>
      <c r="Q1126" s="10"/>
      <c r="R1126" s="10"/>
      <c r="S1126" s="10"/>
      <c r="T1126" s="10"/>
      <c r="U1126" s="10"/>
      <c r="V1126" s="10"/>
      <c r="W1126" s="10"/>
      <c r="X1126" s="10"/>
      <c r="Y1126" s="10"/>
      <c r="Z1126" s="10"/>
    </row>
    <row r="1127" spans="1:26" ht="12.75">
      <c r="A1127" s="10" t="str">
        <f ca="1">IFERROR(__xludf.DUMMYFUNCTION("""COMPUTED_VALUE"""),"Венцислав Иванов Велев")</f>
        <v>Венцислав Иванов Велев</v>
      </c>
      <c r="B1127" s="10" t="str">
        <f ca="1">IFERROR(__xludf.DUMMYFUNCTION("""COMPUTED_VALUE"""),"Статия в списания и поредици")</f>
        <v>Статия в списания и поредици</v>
      </c>
      <c r="C1127" s="10" t="str">
        <f ca="1">IFERROR(__xludf.DUMMYFUNCTION("""COMPUTED_VALUE"""),"Професор д.ик.н. Стоян Денчев: Primus inter pares (Щрихи към когнитологичен портрет, направен в стила на интервюто)")</f>
        <v>Професор д.ик.н. Стоян Денчев: Primus inter pares (Щрихи към когнитологичен портрет, направен в стила на интервюто)</v>
      </c>
      <c r="D1127" s="10">
        <f ca="1">IFERROR(__xludf.DUMMYFUNCTION("""COMPUTED_VALUE"""),2016)</f>
        <v>2016</v>
      </c>
      <c r="E1127" s="10" t="str">
        <f ca="1">IFERROR(__xludf.DUMMYFUNCTION("""COMPUTED_VALUE"""),"GLORIA BIBLIOSPHERAE (Нишката на Ариадна) : Изследвания в чест на акад. проф. Александра Куманова : Юбил. сб. по случай 65 год. от основаването на УниБИТ = GLORIA BIBLIOSPHERAE (Ariadne’s Thread) : Studia in honorem Acad. Prof. Alexandra Kumanova : A Fest"&amp;"schrift for 65th Golden Jubilee of the University of Library Studies and Information Technologies in Sofia / Науч. ред. Стоян Денчев ; Състав., предг. и интервю Николай Василев. – София, 2016, с. 1059-1061, ISBN 978-619-185-211-6, online ISBN 978-619-185-"&amp;"212-3")</f>
        <v>GLORIA BIBLIOSPHERAE (Нишката на Ариадна) : Изследвания в чест на акад. проф. Александра Куманова : Юбил. сб. по случай 65 год. от основаването на УниБИТ = GLORIA BIBLIOSPHERAE (Ariadne’s Thread) : Studia in honorem Acad. Prof. Alexandra Kumanova : A Festschrift for 65th Golden Jubilee of the University of Library Studies and Information Technologies in Sofia / Науч. ред. Стоян Денчев ; Състав., предг. и интервю Николай Василев. – София, 2016, с. 1059-1061, ISBN 978-619-185-211-6, online ISBN 978-619-185-212-3</v>
      </c>
      <c r="F1127" s="10"/>
      <c r="G1127" s="10"/>
      <c r="H1127" s="10"/>
      <c r="I1127" s="10"/>
      <c r="J1127" s="10"/>
      <c r="K1127" s="10"/>
      <c r="L1127" s="10"/>
      <c r="M1127" s="10"/>
      <c r="N1127" s="10"/>
      <c r="O1127" s="10"/>
      <c r="P1127" s="10"/>
      <c r="Q1127" s="10"/>
      <c r="R1127" s="10"/>
      <c r="S1127" s="10"/>
      <c r="T1127" s="10"/>
      <c r="U1127" s="10"/>
      <c r="V1127" s="10"/>
      <c r="W1127" s="10"/>
      <c r="X1127" s="10"/>
      <c r="Y1127" s="10"/>
      <c r="Z1127" s="10"/>
    </row>
    <row r="1128" spans="1:26" ht="12.75">
      <c r="A1128" s="10" t="str">
        <f ca="1">IFERROR(__xludf.DUMMYFUNCTION("""COMPUTED_VALUE"""),"Венцислав Иванов Велев")</f>
        <v>Венцислав Иванов Велев</v>
      </c>
      <c r="B1128" s="10" t="str">
        <f ca="1">IFERROR(__xludf.DUMMYFUNCTION("""COMPUTED_VALUE"""),"Статия в списания и поредици")</f>
        <v>Статия в списания и поредици</v>
      </c>
      <c r="C1128" s="10" t="str">
        <f ca="1">IFERROR(__xludf.DUMMYFUNCTION("""COMPUTED_VALUE"""),"Труд, съчетаващ в себе си принципите на наукознанието, интердисциплинарните връзки и психология на творчеството")</f>
        <v>Труд, съчетаващ в себе си принципите на наукознанието, интердисциплинарните връзки и психология на творчеството</v>
      </c>
      <c r="D1128" s="10">
        <f ca="1">IFERROR(__xludf.DUMMYFUNCTION("""COMPUTED_VALUE"""),2016)</f>
        <v>2016</v>
      </c>
      <c r="E1128" s="10" t="str">
        <f ca="1">IFERROR(__xludf.DUMMYFUNCTION("""COMPUTED_VALUE"""),"GLORIA BIBLIOSPHERAE (Нишката на Ариадна) : Изследвания в чест на акад. проф. Александра Куманова : Юбил. сб. по случай 65 год. от основаването на УниБИТ = GLORIA BIBLIOSPHERAE (Ariadne’s Thread) : Studia in honorem Acad. Prof. Alexandra Kumanova : A Fest"&amp;"schrift for 65th Golden Jubilee of the University of Library Studies and Information Technologies in Sofia / Науч. ред. Стоян Денчев ; Състав., предг. и интервю Николай Василев. С., 2016, с. 257-261 , ISBN 978-619-185-211-6, online ISBN 978-619-185-212-3.")</f>
        <v>GLORIA BIBLIOSPHERAE (Нишката на Ариадна) : Изследвания в чест на акад. проф. Александра Куманова : Юбил. сб. по случай 65 год. от основаването на УниБИТ = GLORIA BIBLIOSPHERAE (Ariadne’s Thread) : Studia in honorem Acad. Prof. Alexandra Kumanova : A Festschrift for 65th Golden Jubilee of the University of Library Studies and Information Technologies in Sofia / Науч. ред. Стоян Денчев ; Състав., предг. и интервю Николай Василев. С., 2016, с. 257-261 , ISBN 978-619-185-211-6, online ISBN 978-619-185-212-3.</v>
      </c>
      <c r="F1128" s="10"/>
      <c r="G1128" s="10"/>
      <c r="H1128" s="10"/>
      <c r="I1128" s="10"/>
      <c r="J1128" s="10"/>
      <c r="K1128" s="10"/>
      <c r="L1128" s="10"/>
      <c r="M1128" s="10"/>
      <c r="N1128" s="10"/>
      <c r="O1128" s="10"/>
      <c r="P1128" s="10"/>
      <c r="Q1128" s="10"/>
      <c r="R1128" s="10"/>
      <c r="S1128" s="10"/>
      <c r="T1128" s="10"/>
      <c r="U1128" s="10"/>
      <c r="V1128" s="10"/>
      <c r="W1128" s="10"/>
      <c r="X1128" s="10"/>
      <c r="Y1128" s="10"/>
      <c r="Z1128" s="10"/>
    </row>
    <row r="1129" spans="1:26" ht="12.75">
      <c r="A1129" s="10" t="str">
        <f ca="1">IFERROR(__xludf.DUMMYFUNCTION("""COMPUTED_VALUE"""),"Венцислав Иванов Велев")</f>
        <v>Венцислав Иванов Велев</v>
      </c>
      <c r="B1129" s="10" t="str">
        <f ca="1">IFERROR(__xludf.DUMMYFUNCTION("""COMPUTED_VALUE"""),"Статия в списания и поредици")</f>
        <v>Статия в списания и поредици</v>
      </c>
      <c r="C1129" s="10" t="str">
        <f ca="1">IFERROR(__xludf.DUMMYFUNCTION("""COMPUTED_VALUE"""),"Към въпроса за читалищните библиотеки като част от мрежата на обществени библиотеки в страната")</f>
        <v>Към въпроса за читалищните библиотеки като част от мрежата на обществени библиотеки в страната</v>
      </c>
      <c r="D1129" s="10">
        <f ca="1">IFERROR(__xludf.DUMMYFUNCTION("""COMPUTED_VALUE"""),2016)</f>
        <v>2016</v>
      </c>
      <c r="E1129" s="10" t="str">
        <f ca="1">IFERROR(__xludf.DUMMYFUNCTION("""COMPUTED_VALUE"""),"GLORIA BIBLIOSPHERAE (Нишката на Ариадна) : Изследвания в чест на акад. проф. Александра Куманова : Юбилеен сб. по случай 65 год. от основаването на УниБИТ = GLORIA BIBLIOSPHERAE (Ariadne’s Thread) : Studia in honorem Acad. Prof. Alexandra Kumanova : A Fe"&amp;"stschrift for 65th Golden Jubilee of the University of Library Studies and Information Technologies in Sofia / Науч. ред. Стоян Денчев ; Състав., предг. и интервю Николай Василев. – София, 2016. с. 221-227. ISBN 978-619-185-211-6.")</f>
        <v>GLORIA BIBLIOSPHERAE (Нишката на Ариадна) : Изследвания в чест на акад. проф. Александра Куманова : Юбилеен сб. по случай 65 год. от основаването на УниБИТ = GLORIA BIBLIOSPHERAE (Ariadne’s Thread) : Studia in honorem Acad. Prof. Alexandra Kumanova : A Festschrift for 65th Golden Jubilee of the University of Library Studies and Information Technologies in Sofia / Науч. ред. Стоян Денчев ; Състав., предг. и интервю Николай Василев. – София, 2016. с. 221-227. ISBN 978-619-185-211-6.</v>
      </c>
      <c r="F1129" s="10"/>
      <c r="G1129" s="10"/>
      <c r="H1129" s="10"/>
      <c r="I1129" s="10"/>
      <c r="J1129" s="10"/>
      <c r="K1129" s="10"/>
      <c r="L1129" s="10"/>
      <c r="M1129" s="10"/>
      <c r="N1129" s="10"/>
      <c r="O1129" s="10"/>
      <c r="P1129" s="10"/>
      <c r="Q1129" s="10"/>
      <c r="R1129" s="10"/>
      <c r="S1129" s="10"/>
      <c r="T1129" s="10"/>
      <c r="U1129" s="10"/>
      <c r="V1129" s="10"/>
      <c r="W1129" s="10"/>
      <c r="X1129" s="10"/>
      <c r="Y1129" s="10"/>
      <c r="Z1129" s="10"/>
    </row>
    <row r="1130" spans="1:26" ht="12.75">
      <c r="A1130" s="10" t="str">
        <f ca="1">IFERROR(__xludf.DUMMYFUNCTION("""COMPUTED_VALUE"""),"Венцислав Иванов Велев")</f>
        <v>Венцислав Иванов Велев</v>
      </c>
      <c r="B1130" s="10" t="str">
        <f ca="1">IFERROR(__xludf.DUMMYFUNCTION("""COMPUTED_VALUE"""),"Статия в списания и поредици")</f>
        <v>Статия в списания и поредици</v>
      </c>
      <c r="C1130" s="10" t="str">
        <f ca="1">IFERROR(__xludf.DUMMYFUNCTION("""COMPUTED_VALUE"""),"Някои въпроси, свързани с опазването на нематериалното културно наследство в контекста и на съвременния етнокултурен диалог / Some questions related to the safeguarding of intangible cultural heritage in the context of modern and ethno-cultural dialogue /"&amp;"/ Доклад изнесен на Научната конференция ""Хармония в различията""")</f>
        <v>Някои въпроси, свързани с опазването на нематериалното културно наследство в контекста и на съвременния етнокултурен диалог / Some questions related to the safeguarding of intangible cultural heritage in the context of modern and ethno-cultural dialogue // Доклад изнесен на Научната конференция "Хармония в различията"</v>
      </c>
      <c r="D1130" s="10">
        <f ca="1">IFERROR(__xludf.DUMMYFUNCTION("""COMPUTED_VALUE"""),2016)</f>
        <v>2016</v>
      </c>
      <c r="E1130" s="10" t="str">
        <f ca="1">IFERROR(__xludf.DUMMYFUNCTION("""COMPUTED_VALUE"""),"Хармония в различията. Сборник с доклади. С., 2016, Издателства ""За буквите - О писменехь"", с. 218-225. ISSN 2367-7899")</f>
        <v>Хармония в различията. Сборник с доклади. С., 2016, Издателства "За буквите - О писменехь", с. 218-225. ISSN 2367-7899</v>
      </c>
      <c r="F1130" s="10"/>
      <c r="G1130" s="10"/>
      <c r="H1130" s="10"/>
      <c r="I1130" s="10"/>
      <c r="J1130" s="10"/>
      <c r="K1130" s="10"/>
      <c r="L1130" s="10"/>
      <c r="M1130" s="10"/>
      <c r="N1130" s="10"/>
      <c r="O1130" s="10"/>
      <c r="P1130" s="10"/>
      <c r="Q1130" s="10"/>
      <c r="R1130" s="10"/>
      <c r="S1130" s="10"/>
      <c r="T1130" s="10"/>
      <c r="U1130" s="10"/>
      <c r="V1130" s="10"/>
      <c r="W1130" s="10"/>
      <c r="X1130" s="10"/>
      <c r="Y1130" s="10"/>
      <c r="Z1130" s="10"/>
    </row>
    <row r="1131" spans="1:26" ht="12.75">
      <c r="A1131" s="10" t="str">
        <f ca="1">IFERROR(__xludf.DUMMYFUNCTION("""COMPUTED_VALUE"""),"Венцислав Иванов Велев")</f>
        <v>Венцислав Иванов Велев</v>
      </c>
      <c r="B1131" s="10" t="str">
        <f ca="1">IFERROR(__xludf.DUMMYFUNCTION("""COMPUTED_VALUE"""),"Статия в списания и поредици")</f>
        <v>Статия в списания и поредици</v>
      </c>
      <c r="C1131" s="10" t="str">
        <f ca="1">IFERROR(__xludf.DUMMYFUNCTION("""COMPUTED_VALUE"""),"Музейните сбирки в читаищата")</f>
        <v>Музейните сбирки в читаищата</v>
      </c>
      <c r="D1131" s="10">
        <f ca="1">IFERROR(__xludf.DUMMYFUNCTION("""COMPUTED_VALUE"""),2016)</f>
        <v>2016</v>
      </c>
      <c r="E1131" s="10" t="str">
        <f ca="1">IFERROR(__xludf.DUMMYFUNCTION("""COMPUTED_VALUE"""),"Музеи и общини : сборник с доклади от национална научна конференция, 7-8 април 2016 г., гр. Попово. ISBN 978-619-00-0589-6")</f>
        <v>Музеи и общини : сборник с доклади от национална научна конференция, 7-8 април 2016 г., гр. Попово. ISBN 978-619-00-0589-6</v>
      </c>
      <c r="F1131" s="10"/>
      <c r="G1131" s="10"/>
      <c r="H1131" s="10"/>
      <c r="I1131" s="10"/>
      <c r="J1131" s="10"/>
      <c r="K1131" s="10"/>
      <c r="L1131" s="10"/>
      <c r="M1131" s="10"/>
      <c r="N1131" s="10"/>
      <c r="O1131" s="10"/>
      <c r="P1131" s="10"/>
      <c r="Q1131" s="10"/>
      <c r="R1131" s="10"/>
      <c r="S1131" s="10"/>
      <c r="T1131" s="10"/>
      <c r="U1131" s="10"/>
      <c r="V1131" s="10"/>
      <c r="W1131" s="10"/>
      <c r="X1131" s="10"/>
      <c r="Y1131" s="10"/>
      <c r="Z1131" s="10"/>
    </row>
    <row r="1132" spans="1:26" ht="12.75">
      <c r="A1132" s="10" t="str">
        <f ca="1">IFERROR(__xludf.DUMMYFUNCTION("""COMPUTED_VALUE"""),"Венцислав Иванов Велев")</f>
        <v>Венцислав Иванов Велев</v>
      </c>
      <c r="B1132" s="10" t="str">
        <f ca="1">IFERROR(__xludf.DUMMYFUNCTION("""COMPUTED_VALUE"""),"Статия в списания и поредици")</f>
        <v>Статия в списания и поредици</v>
      </c>
      <c r="C1132" s="10" t="str">
        <f ca="1">IFERROR(__xludf.DUMMYFUNCTION("""COMPUTED_VALUE"""),"Съборите на народното творчество като важен елемент за устойчивото развитие на местните общности")</f>
        <v>Съборите на народното творчество като важен елемент за устойчивото развитие на местните общности</v>
      </c>
      <c r="D1132" s="10">
        <f ca="1">IFERROR(__xludf.DUMMYFUNCTION("""COMPUTED_VALUE"""),2016)</f>
        <v>2016</v>
      </c>
      <c r="E1132" s="10" t="str">
        <f ca="1">IFERROR(__xludf.DUMMYFUNCTION("""COMPUTED_VALUE"""),"Обществото на знанието и хуманизмът на XXI век : национална научна конференция с международно участие ISSN: 1314-7099.- 2015 (2016), s. 362-367")</f>
        <v>Обществото на знанието и хуманизмът на XXI век : национална научна конференция с международно участие ISSN: 1314-7099.- 2015 (2016), s. 362-367</v>
      </c>
      <c r="F1132" s="10"/>
      <c r="G1132" s="10"/>
      <c r="H1132" s="10"/>
      <c r="I1132" s="10"/>
      <c r="J1132" s="10"/>
      <c r="K1132" s="10"/>
      <c r="L1132" s="10"/>
      <c r="M1132" s="10"/>
      <c r="N1132" s="10"/>
      <c r="O1132" s="10"/>
      <c r="P1132" s="10"/>
      <c r="Q1132" s="10"/>
      <c r="R1132" s="10"/>
      <c r="S1132" s="10"/>
      <c r="T1132" s="10"/>
      <c r="U1132" s="10"/>
      <c r="V1132" s="10"/>
      <c r="W1132" s="10"/>
      <c r="X1132" s="10"/>
      <c r="Y1132" s="10"/>
      <c r="Z1132" s="10"/>
    </row>
    <row r="1133" spans="1:26" ht="12.75">
      <c r="A1133" s="10" t="str">
        <f ca="1">IFERROR(__xludf.DUMMYFUNCTION("""COMPUTED_VALUE"""),"Венцислав Иванов Велев")</f>
        <v>Венцислав Иванов Велев</v>
      </c>
      <c r="B1133" s="10" t="str">
        <f ca="1">IFERROR(__xludf.DUMMYFUNCTION("""COMPUTED_VALUE"""),"Статия в списания и поредици")</f>
        <v>Статия в списания и поредици</v>
      </c>
      <c r="C1133" s="10" t="str">
        <f ca="1">IFERROR(__xludf.DUMMYFUNCTION("""COMPUTED_VALUE"""),"Към въпроса за читалищните библиотеки като част от мрежата на обществени библиотеки в страната")</f>
        <v>Към въпроса за читалищните библиотеки като част от мрежата на обществени библиотеки в страната</v>
      </c>
      <c r="D1133" s="10">
        <f ca="1">IFERROR(__xludf.DUMMYFUNCTION("""COMPUTED_VALUE"""),2016)</f>
        <v>2016</v>
      </c>
      <c r="E1133"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"&amp;": A Festschrift for 65th Golden Jubilee of the University of Library Studies and Information Technologies in Sofia / Науч. ред. Стоян Денчев ; Състав., предг. и интервю Николай Василев. – София, 2016. – ISBN 978-619-185-211-6. – с. 221-227.")</f>
        <v>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 A Festschrift for 65th Golden Jubilee of the University of Library Studies and Information Technologies in Sofia / Науч. ред. Стоян Денчев ; Състав., предг. и интервю Николай Василев. – София, 2016. – ISBN 978-619-185-211-6. – с. 221-227.</v>
      </c>
      <c r="F1133" s="10"/>
      <c r="G1133" s="10"/>
      <c r="H1133" s="10"/>
      <c r="I1133" s="10"/>
      <c r="J1133" s="10"/>
      <c r="K1133" s="10"/>
      <c r="L1133" s="10"/>
      <c r="M1133" s="10"/>
      <c r="N1133" s="10"/>
      <c r="O1133" s="10"/>
      <c r="P1133" s="10"/>
      <c r="Q1133" s="10"/>
      <c r="R1133" s="10"/>
      <c r="S1133" s="10"/>
      <c r="T1133" s="10"/>
      <c r="U1133" s="10"/>
      <c r="V1133" s="10"/>
      <c r="W1133" s="10"/>
      <c r="X1133" s="10"/>
      <c r="Y1133" s="10"/>
      <c r="Z1133" s="10"/>
    </row>
    <row r="1134" spans="1:26" ht="12.75">
      <c r="A1134" s="10" t="str">
        <f ca="1">IFERROR(__xludf.DUMMYFUNCTION("""COMPUTED_VALUE"""),"Венцислав Иванов Велев")</f>
        <v>Венцислав Иванов Велев</v>
      </c>
      <c r="B1134" s="10" t="str">
        <f ca="1">IFERROR(__xludf.DUMMYFUNCTION("""COMPUTED_VALUE"""),"Статия в списания и поредици")</f>
        <v>Статия в списания и поредици</v>
      </c>
      <c r="C1134" s="10" t="str">
        <f ca="1">IFERROR(__xludf.DUMMYFUNCTION("""COMPUTED_VALUE"""),"Националният събор на народното творчество в Копривщица през погледа на Министерство на културата, или по пътя от Десетия до Единадесетия събор")</f>
        <v>Националният събор на народното творчество в Копривщица през погледа на Министерство на културата, или по пътя от Десетия до Единадесетия събор</v>
      </c>
      <c r="D1134" s="10">
        <f ca="1">IFERROR(__xludf.DUMMYFUNCTION("""COMPUTED_VALUE"""),2015)</f>
        <v>2015</v>
      </c>
      <c r="E1134" s="10" t="str">
        <f ca="1">IFERROR(__xludf.DUMMYFUNCTION("""COMPUTED_VALUE"""),"50 години Национален събор на народното творчество - Копривщица / състав. Валентина Ганева-Райчева ... [и др.]. С., 2015. с.293-296, ISSN 0323-9861")</f>
        <v>50 години Национален събор на народното творчество - Копривщица / състав. Валентина Ганева-Райчева ... [и др.]. С., 2015. с.293-296, ISSN 0323-9861</v>
      </c>
      <c r="F1134" s="10"/>
      <c r="G1134" s="10" t="str">
        <f ca="1">IFERROR(__xludf.DUMMYFUNCTION("""COMPUTED_VALUE"""),"Силва Налбантян-Хачерян")</f>
        <v>Силва Налбантян-Хачерян</v>
      </c>
      <c r="H1134" s="10"/>
      <c r="I1134" s="10"/>
      <c r="J1134" s="10"/>
      <c r="K1134" s="10"/>
      <c r="L1134" s="10"/>
      <c r="M1134" s="10"/>
      <c r="N1134" s="10"/>
      <c r="O1134" s="10"/>
      <c r="P1134" s="10"/>
      <c r="Q1134" s="10"/>
      <c r="R1134" s="10"/>
      <c r="S1134" s="10"/>
      <c r="T1134" s="10"/>
      <c r="U1134" s="10"/>
      <c r="V1134" s="10"/>
      <c r="W1134" s="10"/>
      <c r="X1134" s="10"/>
      <c r="Y1134" s="10"/>
      <c r="Z1134" s="10"/>
    </row>
    <row r="1135" spans="1:26" ht="12.75">
      <c r="A1135" s="10" t="str">
        <f ca="1">IFERROR(__xludf.DUMMYFUNCTION("""COMPUTED_VALUE"""),"Венцислав Иванов Велев")</f>
        <v>Венцислав Иванов Велев</v>
      </c>
      <c r="B1135" s="10" t="str">
        <f ca="1">IFERROR(__xludf.DUMMYFUNCTION("""COMPUTED_VALUE"""),"Статия в списания и поредици")</f>
        <v>Статия в списания и поредици</v>
      </c>
      <c r="C1135" s="10" t="str">
        <f ca="1">IFERROR(__xludf.DUMMYFUNCTION("""COMPUTED_VALUE"""),"The Newly-opened Regional center for Intangible Cultural Heritage in Sofia under UNESCO – an example for sustainable development and cooperation among the countries of Southeastern Europe")</f>
        <v>The Newly-opened Regional center for Intangible Cultural Heritage in Sofia under UNESCO – an example for sustainable development and cooperation among the countries of Southeastern Europe</v>
      </c>
      <c r="D1135" s="10">
        <f ca="1">IFERROR(__xludf.DUMMYFUNCTION("""COMPUTED_VALUE"""),2015)</f>
        <v>2015</v>
      </c>
      <c r="E1135" s="10" t="str">
        <f ca="1">IFERROR(__xludf.DUMMYFUNCTION("""COMPUTED_VALUE"""),"Traveling university seminar. Sharing knowledge on the Intangible Cultural Heritage of Southeastern Europe. Vol.1, Sofia, 2016, p.87-102, ISSN 2534-9775")</f>
        <v>Traveling university seminar. Sharing knowledge on the Intangible Cultural Heritage of Southeastern Europe. Vol.1, Sofia, 2016, p.87-102, ISSN 2534-9775</v>
      </c>
      <c r="F1135" s="10"/>
      <c r="G1135" s="10"/>
      <c r="H1135" s="10"/>
      <c r="I1135" s="10"/>
      <c r="J1135" s="10"/>
      <c r="K1135" s="10"/>
      <c r="L1135" s="10"/>
      <c r="M1135" s="10"/>
      <c r="N1135" s="10"/>
      <c r="O1135" s="10"/>
      <c r="P1135" s="10"/>
      <c r="Q1135" s="10"/>
      <c r="R1135" s="10"/>
      <c r="S1135" s="10"/>
      <c r="T1135" s="10"/>
      <c r="U1135" s="10"/>
      <c r="V1135" s="10"/>
      <c r="W1135" s="10"/>
      <c r="X1135" s="10"/>
      <c r="Y1135" s="10"/>
      <c r="Z1135" s="10"/>
    </row>
    <row r="1136" spans="1:26" ht="12.75">
      <c r="A1136" s="10" t="str">
        <f ca="1">IFERROR(__xludf.DUMMYFUNCTION("""COMPUTED_VALUE"""),"Венцислав Иванов Велев")</f>
        <v>Венцислав Иванов Велев</v>
      </c>
      <c r="B1136" s="10" t="str">
        <f ca="1">IFERROR(__xludf.DUMMYFUNCTION("""COMPUTED_VALUE"""),"Статия в списания и поредици")</f>
        <v>Статия в списания и поредици</v>
      </c>
      <c r="C1136" s="10" t="str">
        <f ca="1">IFERROR(__xludf.DUMMYFUNCTION("""COMPUTED_VALUE"""),"Българското читалище като изразител на принципите на културното многообразие. // Хармония в различията. Сборник с доклади от Научната конференция „Хармония в различията“ – София, 1.12.2015 г., С., 2015, с. 328-228, ISSN 2367-7899")</f>
        <v>Българското читалище като изразител на принципите на културното многообразие. // Хармония в различията. Сборник с доклади от Научната конференция „Хармония в различията“ – София, 1.12.2015 г., С., 2015, с. 328-228, ISSN 2367-7899</v>
      </c>
      <c r="D1136" s="10">
        <f ca="1">IFERROR(__xludf.DUMMYFUNCTION("""COMPUTED_VALUE"""),2015)</f>
        <v>2015</v>
      </c>
      <c r="E1136" s="10" t="str">
        <f ca="1">IFERROR(__xludf.DUMMYFUNCTION("""COMPUTED_VALUE"""),"Сборник с доклади от Научната конференция „Хармония в различията“ – София, 1.12.2015 г., С., 2015, с. 328-228, ISSN 2367-789")</f>
        <v>Сборник с доклади от Научната конференция „Хармония в различията“ – София, 1.12.2015 г., С., 2015, с. 328-228, ISSN 2367-789</v>
      </c>
      <c r="F1136" s="10"/>
      <c r="G1136" s="10"/>
      <c r="H1136" s="10"/>
      <c r="I1136" s="10"/>
      <c r="J1136" s="10"/>
      <c r="K1136" s="10"/>
      <c r="L1136" s="10"/>
      <c r="M1136" s="10"/>
      <c r="N1136" s="10"/>
      <c r="O1136" s="10"/>
      <c r="P1136" s="10"/>
      <c r="Q1136" s="10"/>
      <c r="R1136" s="10"/>
      <c r="S1136" s="10"/>
      <c r="T1136" s="10"/>
      <c r="U1136" s="10"/>
      <c r="V1136" s="10"/>
      <c r="W1136" s="10"/>
      <c r="X1136" s="10"/>
      <c r="Y1136" s="10"/>
      <c r="Z1136" s="10"/>
    </row>
    <row r="1137" spans="1:26" ht="12.75">
      <c r="A1137" s="10" t="str">
        <f ca="1">IFERROR(__xludf.DUMMYFUNCTION("""COMPUTED_VALUE"""),"Венцислав Иванов Велев")</f>
        <v>Венцислав Иванов Велев</v>
      </c>
      <c r="B1137" s="10" t="str">
        <f ca="1">IFERROR(__xludf.DUMMYFUNCTION("""COMPUTED_VALUE"""),"Книга")</f>
        <v>Книга</v>
      </c>
      <c r="C1137" s="10" t="str">
        <f ca="1">IFERROR(__xludf.DUMMYFUNCTION("""COMPUTED_VALUE"""),"Студентски четения и дискусия Бъдещето на българското културно-историческо наследство през погледа на младия учен")</f>
        <v>Студентски четения и дискусия Бъдещето на българското културно-историческо наследство през погледа на младия учен</v>
      </c>
      <c r="D1137" s="10">
        <f ca="1">IFERROR(__xludf.DUMMYFUNCTION("""COMPUTED_VALUE"""),2014)</f>
        <v>2014</v>
      </c>
      <c r="E1137" s="10" t="str">
        <f ca="1">IFERROR(__xludf.DUMMYFUNCTION("""COMPUTED_VALUE"""),"[25-26 април 2014, София] : сборник / състав. Валерия Фол, Венцислав Велев // София : За буквите - О писменехь, 2014, ISBN 978-619-185-141-6")</f>
        <v>[25-26 април 2014, София] : сборник / състав. Валерия Фол, Венцислав Велев // София : За буквите - О писменехь, 2014, ISBN 978-619-185-141-6</v>
      </c>
      <c r="F1137" s="10"/>
      <c r="G1137" s="10"/>
      <c r="H1137" s="10"/>
      <c r="I1137" s="10"/>
      <c r="J1137" s="10"/>
      <c r="K1137" s="10"/>
      <c r="L1137" s="10"/>
      <c r="M1137" s="10"/>
      <c r="N1137" s="10"/>
      <c r="O1137" s="10"/>
      <c r="P1137" s="10"/>
      <c r="Q1137" s="10"/>
      <c r="R1137" s="10"/>
      <c r="S1137" s="10"/>
      <c r="T1137" s="10"/>
      <c r="U1137" s="10"/>
      <c r="V1137" s="10"/>
      <c r="W1137" s="10"/>
      <c r="X1137" s="10"/>
      <c r="Y1137" s="10"/>
      <c r="Z1137" s="10"/>
    </row>
    <row r="1138" spans="1:26" ht="12.75">
      <c r="A1138" s="10" t="str">
        <f ca="1">IFERROR(__xludf.DUMMYFUNCTION("""COMPUTED_VALUE"""),"Венцислав Иванов Велев")</f>
        <v>Венцислав Иванов Велев</v>
      </c>
      <c r="B1138" s="10" t="str">
        <f ca="1">IFERROR(__xludf.DUMMYFUNCTION("""COMPUTED_VALUE"""),"Статия в списания и поредици")</f>
        <v>Статия в списания и поредици</v>
      </c>
      <c r="C1138" s="10" t="str">
        <f ca="1">IFERROR(__xludf.DUMMYFUNCTION("""COMPUTED_VALUE"""),"Към предисторията и същността на конвенцията на ЮНЕСКО за нематериалното култуно наследство (Конвенция 2003).")</f>
        <v>Към предисторията и същността на конвенцията на ЮНЕСКО за нематериалното култуно наследство (Конвенция 2003).</v>
      </c>
      <c r="D1138" s="10">
        <f ca="1">IFERROR(__xludf.DUMMYFUNCTION("""COMPUTED_VALUE"""),2014)</f>
        <v>2014</v>
      </c>
      <c r="E1138" s="10" t="str">
        <f ca="1">IFERROR(__xludf.DUMMYFUNCTION("""COMPUTED_VALUE"""),"Съвременни визии за изследване, преподаване и популяризиране на българското културно-историческо наследство : сборник с научни изследвания по случай 10-годишния юбилей на катедра ""Културно-историческо наследство"" при Университета по библиотекознание и и"&amp;"нформационни технологии /. С., 2014. с.119-128, ISBN 978-619-185-025-9")</f>
        <v>Съвременни визии за изследване, преподаване и популяризиране на българското културно-историческо наследство : сборник с научни изследвания по случай 10-годишния юбилей на катедра "Културно-историческо наследство" при Университета по библиотекознание и информационни технологии /. С., 2014. с.119-128, ISBN 978-619-185-025-9</v>
      </c>
      <c r="F1138" s="10"/>
      <c r="G1138" s="10"/>
      <c r="H1138" s="10"/>
      <c r="I1138" s="10"/>
      <c r="J1138" s="10"/>
      <c r="K1138" s="10"/>
      <c r="L1138" s="10"/>
      <c r="M1138" s="10"/>
      <c r="N1138" s="10"/>
      <c r="O1138" s="10"/>
      <c r="P1138" s="10"/>
      <c r="Q1138" s="10"/>
      <c r="R1138" s="10"/>
      <c r="S1138" s="10"/>
      <c r="T1138" s="10"/>
      <c r="U1138" s="10"/>
      <c r="V1138" s="10"/>
      <c r="W1138" s="10"/>
      <c r="X1138" s="10"/>
      <c r="Y1138" s="10"/>
      <c r="Z1138" s="10"/>
    </row>
    <row r="1139" spans="1:26" ht="12.75">
      <c r="A1139" s="10" t="str">
        <f ca="1">IFERROR(__xludf.DUMMYFUNCTION("""COMPUTED_VALUE"""),"Венцислав Иванов Велев")</f>
        <v>Венцислав Иванов Велев</v>
      </c>
      <c r="B1139" s="10" t="str">
        <f ca="1">IFERROR(__xludf.DUMMYFUNCTION("""COMPUTED_VALUE"""),"Статия в списания и поредици")</f>
        <v>Статия в списания и поредици</v>
      </c>
      <c r="C1139" s="10" t="str">
        <f ca="1">IFERROR(__xludf.DUMMYFUNCTION("""COMPUTED_VALUE"""),"140 години от гибелта на Васил Левски – Дякон Игнатий (Значение за потомците)")</f>
        <v>140 години от гибелта на Васил Левски – Дякон Игнатий (Значение за потомците)</v>
      </c>
      <c r="D1139" s="10">
        <f ca="1">IFERROR(__xludf.DUMMYFUNCTION("""COMPUTED_VALUE"""),2014)</f>
        <v>2014</v>
      </c>
      <c r="E1139" s="10" t="str">
        <f ca="1">IFERROR(__xludf.DUMMYFUNCTION("""COMPUTED_VALUE"""),"Тр. на Студентското научно общество при УниБИТ (София), Т. ІХ, 2014, с. 83 ; 103 ; 123. ISSN 1314-2526, online ISSN 1314-6793")</f>
        <v>Тр. на Студентското научно общество при УниБИТ (София), Т. ІХ, 2014, с. 83 ; 103 ; 123. ISSN 1314-2526, online ISSN 1314-6793</v>
      </c>
      <c r="F1139" s="10"/>
      <c r="G1139" s="10" t="str">
        <f ca="1">IFERROR(__xludf.DUMMYFUNCTION("""COMPUTED_VALUE"""),"Велев, Венцислав. Иванова, М.")</f>
        <v>Велев, Венцислав. Иванова, М.</v>
      </c>
      <c r="H1139" s="10"/>
      <c r="I1139" s="10"/>
      <c r="J1139" s="10"/>
      <c r="K1139" s="10"/>
      <c r="L1139" s="10"/>
      <c r="M1139" s="10"/>
      <c r="N1139" s="10"/>
      <c r="O1139" s="10"/>
      <c r="P1139" s="10"/>
      <c r="Q1139" s="10"/>
      <c r="R1139" s="10"/>
      <c r="S1139" s="10"/>
      <c r="T1139" s="10"/>
      <c r="U1139" s="10"/>
      <c r="V1139" s="10"/>
      <c r="W1139" s="10"/>
      <c r="X1139" s="10"/>
      <c r="Y1139" s="10"/>
      <c r="Z1139" s="10"/>
    </row>
    <row r="1140" spans="1:26" ht="12.75">
      <c r="A1140" s="10" t="str">
        <f ca="1">IFERROR(__xludf.DUMMYFUNCTION("""COMPUTED_VALUE"""),"Венцислав Иванов Велев")</f>
        <v>Венцислав Иванов Велев</v>
      </c>
      <c r="B1140" s="10" t="str">
        <f ca="1">IFERROR(__xludf.DUMMYFUNCTION("""COMPUTED_VALUE"""),"Статия в списания и поредици")</f>
        <v>Статия в списания и поредици</v>
      </c>
      <c r="C1140" s="10" t="str">
        <f ca="1">IFERROR(__xludf.DUMMYFUNCTION("""COMPUTED_VALUE"""),"Съвременни аспекти и предизвикателства пред политиките за КИН")</f>
        <v>Съвременни аспекти и предизвикателства пред политиките за КИН</v>
      </c>
      <c r="D1140" s="10">
        <f ca="1">IFERROR(__xludf.DUMMYFUNCTION("""COMPUTED_VALUE"""),2014)</f>
        <v>2014</v>
      </c>
      <c r="E1140" s="10" t="str">
        <f ca="1">IFERROR(__xludf.DUMMYFUNCTION("""COMPUTED_VALUE"""),"Съвременни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 състав. Стоян Денчев ... [и"&amp;" др.] ; [науч. ред. Мариела Нанкова]. С., 2014, с.133-136, ISBN 978-619-185-140-9")</f>
        <v>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 състав. Стоян Денчев ... [и др.] ; [науч. ред. Мариела Нанкова]. С., 2014, с.133-136, ISBN 978-619-185-140-9</v>
      </c>
      <c r="F1140" s="10"/>
      <c r="G1140" s="10"/>
      <c r="H1140" s="10"/>
      <c r="I1140" s="10"/>
      <c r="J1140" s="10"/>
      <c r="K1140" s="10"/>
      <c r="L1140" s="10"/>
      <c r="M1140" s="10"/>
      <c r="N1140" s="10"/>
      <c r="O1140" s="10"/>
      <c r="P1140" s="10"/>
      <c r="Q1140" s="10"/>
      <c r="R1140" s="10"/>
      <c r="S1140" s="10"/>
      <c r="T1140" s="10"/>
      <c r="U1140" s="10"/>
      <c r="V1140" s="10"/>
      <c r="W1140" s="10"/>
      <c r="X1140" s="10"/>
      <c r="Y1140" s="10"/>
      <c r="Z1140" s="10"/>
    </row>
    <row r="1141" spans="1:26" ht="12.75">
      <c r="A1141" s="10" t="str">
        <f ca="1">IFERROR(__xludf.DUMMYFUNCTION("""COMPUTED_VALUE"""),"Венцислав Иванов Велев")</f>
        <v>Венцислав Иванов Велев</v>
      </c>
      <c r="B1141" s="10" t="str">
        <f ca="1">IFERROR(__xludf.DUMMYFUNCTION("""COMPUTED_VALUE"""),"Статия в списания и поредици")</f>
        <v>Статия в списания и поредици</v>
      </c>
      <c r="C1141" s="10" t="str">
        <f ca="1">IFERROR(__xludf.DUMMYFUNCTION("""COMPUTED_VALUE"""),"Конвенция на ЮНЕСКО за опазване на нематериалното културно наследство (Конвенция 2003).")</f>
        <v>Конвенция на ЮНЕСКО за опазване на нематериалното културно наследство (Конвенция 2003).</v>
      </c>
      <c r="D1141" s="10">
        <f ca="1">IFERROR(__xludf.DUMMYFUNCTION("""COMPUTED_VALUE"""),2014)</f>
        <v>2014</v>
      </c>
      <c r="E1141" s="10" t="str">
        <f ca="1">IFERROR(__xludf.DUMMYFUNCTION("""COMPUTED_VALUE"""),"Северный Кавказ: Проблемы и перспективы развития этноконфесиональных отношений. I Всероссийская (с международным участием) научно-практическая конференция. Россия. Славянск-на-Кубани. 2014. с. 156-159. ISBN 978-5-90363-030-1")</f>
        <v>Северный Кавказ: Проблемы и перспективы развития этноконфесиональных отношений. I Всероссийская (с международным участием) научно-практическая конференция. Россия. Славянск-на-Кубани. 2014. с. 156-159. ISBN 978-5-90363-030-1</v>
      </c>
      <c r="F1141" s="10"/>
      <c r="G1141" s="10"/>
      <c r="H1141" s="10"/>
      <c r="I1141" s="10"/>
      <c r="J1141" s="10"/>
      <c r="K1141" s="10"/>
      <c r="L1141" s="10"/>
      <c r="M1141" s="10"/>
      <c r="N1141" s="10"/>
      <c r="O1141" s="10"/>
      <c r="P1141" s="10"/>
      <c r="Q1141" s="10"/>
      <c r="R1141" s="10"/>
      <c r="S1141" s="10"/>
      <c r="T1141" s="10"/>
      <c r="U1141" s="10"/>
      <c r="V1141" s="10"/>
      <c r="W1141" s="10"/>
      <c r="X1141" s="10"/>
      <c r="Y1141" s="10"/>
      <c r="Z1141" s="10"/>
    </row>
    <row r="1142" spans="1:26" ht="12.75">
      <c r="A1142" s="10" t="str">
        <f ca="1">IFERROR(__xludf.DUMMYFUNCTION("""COMPUTED_VALUE"""),"Венцислав Иванов Велев")</f>
        <v>Венцислав Иванов Велев</v>
      </c>
      <c r="B1142" s="10" t="str">
        <f ca="1">IFERROR(__xludf.DUMMYFUNCTION("""COMPUTED_VALUE"""),"Статия в списания и поредици")</f>
        <v>Статия в списания и поредици</v>
      </c>
      <c r="C1142" s="10" t="str">
        <f ca="1">IFERROR(__xludf.DUMMYFUNCTION("""COMPUTED_VALUE"""),"- Съвременни аспекти и предизвикателства пред политиките за КИН")</f>
        <v>- Съвременни аспекти и предизвикателства пред политиките за КИН</v>
      </c>
      <c r="D1142" s="10">
        <f ca="1">IFERROR(__xludf.DUMMYFUNCTION("""COMPUTED_VALUE"""),2014)</f>
        <v>2014</v>
      </c>
      <c r="E1142" s="10" t="str">
        <f ca="1">IFERROR(__xludf.DUMMYFUNCTION("""COMPUTED_VALUE"""),"Съвременни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 състав. Стоян Денчев ... [и"&amp;" др.] ; [науч. ред. Мариела Нанкова]. София, 2014, ISBN 978-619-185-140-9")</f>
        <v>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 състав. Стоян Денчев ... [и др.] ; [науч. ред. Мариела Нанкова]. София, 2014, ISBN 978-619-185-140-9</v>
      </c>
      <c r="F1142" s="10"/>
      <c r="G1142" s="10"/>
      <c r="H1142" s="10"/>
      <c r="I1142" s="10"/>
      <c r="J1142" s="10"/>
      <c r="K1142" s="10"/>
      <c r="L1142" s="10"/>
      <c r="M1142" s="10"/>
      <c r="N1142" s="10"/>
      <c r="O1142" s="10"/>
      <c r="P1142" s="10"/>
      <c r="Q1142" s="10"/>
      <c r="R1142" s="10"/>
      <c r="S1142" s="10"/>
      <c r="T1142" s="10"/>
      <c r="U1142" s="10"/>
      <c r="V1142" s="10"/>
      <c r="W1142" s="10"/>
      <c r="X1142" s="10"/>
      <c r="Y1142" s="10"/>
      <c r="Z1142" s="10"/>
    </row>
    <row r="1143" spans="1:26" ht="12.75">
      <c r="A1143" s="10" t="str">
        <f ca="1">IFERROR(__xludf.DUMMYFUNCTION("""COMPUTED_VALUE"""),"Венцислав Иванов Велев")</f>
        <v>Венцислав Иванов Велев</v>
      </c>
      <c r="B1143" s="10" t="str">
        <f ca="1">IFERROR(__xludf.DUMMYFUNCTION("""COMPUTED_VALUE"""),"Статия в списания и поредици")</f>
        <v>Статия в списания и поредици</v>
      </c>
      <c r="C1143" s="10" t="str">
        <f ca="1">IFERROR(__xludf.DUMMYFUNCTION("""COMPUTED_VALUE"""),"Някои основни моменти в държавната политика за опазване на нематериалното кутурно наследство.")</f>
        <v>Някои основни моменти в държавната политика за опазване на нематериалното кутурно наследство.</v>
      </c>
      <c r="D1143" s="10">
        <f ca="1">IFERROR(__xludf.DUMMYFUNCTION("""COMPUTED_VALUE"""),2014)</f>
        <v>2014</v>
      </c>
      <c r="E1143" s="10" t="str">
        <f ca="1">IFERROR(__xludf.DUMMYFUNCTION("""COMPUTED_VALUE"""),"Науката за културно-историческото наследство – SCIENTIA “INCOGNITA”. С., 2014, с. 47-56, ISBN 978-619-185-150-8")</f>
        <v>Науката за културно-историческото наследство – SCIENTIA “INCOGNITA”. С., 2014, с. 47-56, ISBN 978-619-185-150-8</v>
      </c>
      <c r="F1143" s="10"/>
      <c r="G1143" s="10"/>
      <c r="H1143" s="10"/>
      <c r="I1143" s="10"/>
      <c r="J1143" s="10"/>
      <c r="K1143" s="10"/>
      <c r="L1143" s="10"/>
      <c r="M1143" s="10"/>
      <c r="N1143" s="10"/>
      <c r="O1143" s="10"/>
      <c r="P1143" s="10"/>
      <c r="Q1143" s="10"/>
      <c r="R1143" s="10"/>
      <c r="S1143" s="10"/>
      <c r="T1143" s="10"/>
      <c r="U1143" s="10"/>
      <c r="V1143" s="10"/>
      <c r="W1143" s="10"/>
      <c r="X1143" s="10"/>
      <c r="Y1143" s="10"/>
      <c r="Z1143" s="10"/>
    </row>
    <row r="1144" spans="1:26" ht="12.75">
      <c r="A1144" s="10" t="str">
        <f ca="1">IFERROR(__xludf.DUMMYFUNCTION("""COMPUTED_VALUE"""),"Венцислав Иванов Велев")</f>
        <v>Венцислав Иванов Велев</v>
      </c>
      <c r="B1144" s="10" t="str">
        <f ca="1">IFERROR(__xludf.DUMMYFUNCTION("""COMPUTED_VALUE"""),"Доклад от конференция")</f>
        <v>Доклад от конференция</v>
      </c>
      <c r="C1144" s="10" t="str">
        <f ca="1">IFERROR(__xludf.DUMMYFUNCTION("""COMPUTED_VALUE"""),"Обществените библиотеки в България и Закона за авторското право и сродните му права – допирни точки")</f>
        <v>Обществените библиотеки в България и Закона за авторското право и сродните му права – допирни точки</v>
      </c>
      <c r="D1144" s="10">
        <f ca="1">IFERROR(__xludf.DUMMYFUNCTION("""COMPUTED_VALUE"""),2014)</f>
        <v>2014</v>
      </c>
      <c r="E1144" s="10" t="str">
        <f ca="1">IFERROR(__xludf.DUMMYFUNCTION("""COMPUTED_VALUE"""),"Публично-частното партньорство и устойчивото развитие на културното наследство : Трета научна конференция по организация, управление и защита на културно-историческото наследство, София, 31 януари 2013 г., Фондация Арете-Фол, С. 2014, ISSN 1314-551")</f>
        <v>Публично-частното партньорство и устойчивото развитие на културното наследство : Трета научна конференция по организация, управление и защита на културно-историческото наследство, София, 31 януари 2013 г., Фондация Арете-Фол, С. 2014, ISSN 1314-551</v>
      </c>
      <c r="F1144" s="10"/>
      <c r="G1144" s="10"/>
      <c r="H1144" s="10"/>
      <c r="I1144" s="10"/>
      <c r="J1144" s="10"/>
      <c r="K1144" s="10"/>
      <c r="L1144" s="10"/>
      <c r="M1144" s="10"/>
      <c r="N1144" s="10"/>
      <c r="O1144" s="10"/>
      <c r="P1144" s="10"/>
      <c r="Q1144" s="10"/>
      <c r="R1144" s="10"/>
      <c r="S1144" s="10"/>
      <c r="T1144" s="10"/>
      <c r="U1144" s="10"/>
      <c r="V1144" s="10"/>
      <c r="W1144" s="10"/>
      <c r="X1144" s="10"/>
      <c r="Y1144" s="10"/>
      <c r="Z1144" s="10"/>
    </row>
    <row r="1145" spans="1:26" ht="12.75">
      <c r="A1145" s="10" t="str">
        <f ca="1">IFERROR(__xludf.DUMMYFUNCTION("""COMPUTED_VALUE"""),"Венцислав Иванов Велев")</f>
        <v>Венцислав Иванов Велев</v>
      </c>
      <c r="B1145" s="10" t="str">
        <f ca="1">IFERROR(__xludf.DUMMYFUNCTION("""COMPUTED_VALUE"""),"Учебно пособие")</f>
        <v>Учебно пособие</v>
      </c>
      <c r="C1145" s="10" t="str">
        <f ca="1">IFERROR(__xludf.DUMMYFUNCTION("""COMPUTED_VALUE"""),"Основни приоритети и стратегически насоки, отразени в нормативните документи на ЮНЕСКО, Съвета на Европа и Европейския съюз, за формиране на политики в сферата на културно-историческото наследство (КИН) и приложението им в българската правно-нормативна ур"&amp;"едба.")</f>
        <v>Основни приоритети и стратегически насоки, отразени в нормативните документи на ЮНЕСКО, Съвета на Европа и Европейския съюз, за формиране на политики в сферата на културно-историческото наследство (КИН) и приложението им в българската правно-нормативна уредба.</v>
      </c>
      <c r="D1145" s="10">
        <f ca="1">IFERROR(__xludf.DUMMYFUNCTION("""COMPUTED_VALUE"""),2014)</f>
        <v>2014</v>
      </c>
      <c r="E1145" s="10" t="str">
        <f ca="1">IFERROR(__xludf.DUMMYFUNCTION("""COMPUTED_VALUE"""),"// Учебно помагало с правно-нормативни документи, предназначен за студенти от УниБИТ изучаващи дисциплини свързани с опазването и популяризирането на културно-историческото наследство // Workbook – Collection of selected legal regulations, С. 2014 . с.423"&amp;"
  Е-ISBN 978-619-185-106-5")</f>
        <v>// Учебно помагало с правно-нормативни документи, предназначен за студенти от УниБИТ изучаващи дисциплини свързани с опазването и популяризирането на културно-историческото наследство // Workbook – Collection of selected legal regulations, С. 2014 . с.423
  Е-ISBN 978-619-185-106-5</v>
      </c>
      <c r="F1145" s="10"/>
      <c r="G1145" s="10"/>
      <c r="H1145" s="10"/>
      <c r="I1145" s="10"/>
      <c r="J1145" s="10"/>
      <c r="K1145" s="10"/>
      <c r="L1145" s="10"/>
      <c r="M1145" s="10"/>
      <c r="N1145" s="10"/>
      <c r="O1145" s="10"/>
      <c r="P1145" s="10"/>
      <c r="Q1145" s="10"/>
      <c r="R1145" s="10"/>
      <c r="S1145" s="10"/>
      <c r="T1145" s="10"/>
      <c r="U1145" s="10"/>
      <c r="V1145" s="10"/>
      <c r="W1145" s="10"/>
      <c r="X1145" s="10"/>
      <c r="Y1145" s="10"/>
      <c r="Z1145" s="10"/>
    </row>
    <row r="1146" spans="1:26" ht="12.75">
      <c r="A1146" s="10" t="str">
        <f ca="1">IFERROR(__xludf.DUMMYFUNCTION("""COMPUTED_VALUE"""),"Венцислав Иванов Велев")</f>
        <v>Венцислав Иванов Велев</v>
      </c>
      <c r="B1146" s="10" t="str">
        <f ca="1">IFERROR(__xludf.DUMMYFUNCTION("""COMPUTED_VALUE"""),"Статия в списания и поредици")</f>
        <v>Статия в списания и поредици</v>
      </c>
      <c r="C1146" s="10" t="str">
        <f ca="1">IFERROR(__xludf.DUMMYFUNCTION("""COMPUTED_VALUE"""),"Българският национален въпрос в контекста на Руско-турската война 1877-1878 г./ Bulgarian national question in the context of Russo-Turkish War of 1877-1878/.")</f>
        <v>Българският национален въпрос в контекста на Руско-турската война 1877-1878 г./ Bulgarian national question in the context of Russo-Turkish War of 1877-1878/.</v>
      </c>
      <c r="D1146" s="10">
        <f ca="1">IFERROR(__xludf.DUMMYFUNCTION("""COMPUTED_VALUE"""),2013)</f>
        <v>2013</v>
      </c>
      <c r="E1146" s="10" t="str">
        <f ca="1">IFERROR(__xludf.DUMMYFUNCTION("""COMPUTED_VALUE"""),"Актуальные проблемы регионоведениял Материалы всероссийской научно-практической конфеенции 2013 г. Россия, Славянск-на-Кубани. 2012. с. 22-31. ISBN 978-5-91980-047-4")</f>
        <v>Актуальные проблемы регионоведениял Материалы всероссийской научно-практической конфеенции 2013 г. Россия, Славянск-на-Кубани. 2012. с. 22-31. ISBN 978-5-91980-047-4</v>
      </c>
      <c r="F1146" s="10"/>
      <c r="G1146" s="10"/>
      <c r="H1146" s="10"/>
      <c r="I1146" s="10"/>
      <c r="J1146" s="10"/>
      <c r="K1146" s="10"/>
      <c r="L1146" s="10"/>
      <c r="M1146" s="10"/>
      <c r="N1146" s="10"/>
      <c r="O1146" s="10"/>
      <c r="P1146" s="10"/>
      <c r="Q1146" s="10"/>
      <c r="R1146" s="10"/>
      <c r="S1146" s="10"/>
      <c r="T1146" s="10"/>
      <c r="U1146" s="10"/>
      <c r="V1146" s="10"/>
      <c r="W1146" s="10"/>
      <c r="X1146" s="10"/>
      <c r="Y1146" s="10"/>
      <c r="Z1146" s="10"/>
    </row>
    <row r="1147" spans="1:26" ht="12.75">
      <c r="A1147" s="10" t="str">
        <f ca="1">IFERROR(__xludf.DUMMYFUNCTION("""COMPUTED_VALUE"""),"Венцислав Иванов Велев")</f>
        <v>Венцислав Иванов Велев</v>
      </c>
      <c r="B1147" s="10" t="str">
        <f ca="1">IFERROR(__xludf.DUMMYFUNCTION("""COMPUTED_VALUE"""),"Статия в списания и поредици")</f>
        <v>Статия в списания и поредици</v>
      </c>
      <c r="C1147" s="10" t="str">
        <f ca="1">IFERROR(__xludf.DUMMYFUNCTION("""COMPUTED_VALUE"""),"Информационен код на българската книжовност и литература (Свети Отец Паисий Хилендарски. История славяноболгарская)")</f>
        <v>Информационен код на българската книжовност и литература (Свети Отец Паисий Хилендарски. История славяноболгарская)</v>
      </c>
      <c r="D1147" s="10">
        <f ca="1">IFERROR(__xludf.DUMMYFUNCTION("""COMPUTED_VALUE"""),2013)</f>
        <v>2013</v>
      </c>
      <c r="E1147" s="10" t="str">
        <f ca="1">IFERROR(__xludf.DUMMYFUNCTION("""COMPUTED_VALUE"""),"Тр. на Студентско науч. о-во при УниБИТ (София), Т. VIIІ, С., 2013, с. 500-501, ISSN 1314-2526, online ISSN 1314-6793")</f>
        <v>Тр. на Студентско науч. о-во при УниБИТ (София), Т. VIIІ, С., 2013, с. 500-501, ISSN 1314-2526, online ISSN 1314-6793</v>
      </c>
      <c r="F1147" s="10"/>
      <c r="G1147" s="10"/>
      <c r="H1147" s="10"/>
      <c r="I1147" s="10"/>
      <c r="J1147" s="10"/>
      <c r="K1147" s="10"/>
      <c r="L1147" s="10"/>
      <c r="M1147" s="10"/>
      <c r="N1147" s="10"/>
      <c r="O1147" s="10"/>
      <c r="P1147" s="10"/>
      <c r="Q1147" s="10"/>
      <c r="R1147" s="10"/>
      <c r="S1147" s="10"/>
      <c r="T1147" s="10"/>
      <c r="U1147" s="10"/>
      <c r="V1147" s="10"/>
      <c r="W1147" s="10"/>
      <c r="X1147" s="10"/>
      <c r="Y1147" s="10"/>
      <c r="Z1147" s="10"/>
    </row>
    <row r="1148" spans="1:26" ht="12.75">
      <c r="A1148" s="10" t="str">
        <f ca="1">IFERROR(__xludf.DUMMYFUNCTION("""COMPUTED_VALUE"""),"Венцислав Иванов Велев")</f>
        <v>Венцислав Иванов Велев</v>
      </c>
      <c r="B1148" s="10" t="str">
        <f ca="1">IFERROR(__xludf.DUMMYFUNCTION("""COMPUTED_VALUE"""),"Книга")</f>
        <v>Книга</v>
      </c>
      <c r="C1148" s="10" t="str">
        <f ca="1">IFERROR(__xludf.DUMMYFUNCTION("""COMPUTED_VALUE"""),"Политики за опазване и популяризиране на нематериалното културно наследство")</f>
        <v>Политики за опазване и популяризиране на нематериалното културно наследство</v>
      </c>
      <c r="D1148" s="10">
        <f ca="1">IFERROR(__xludf.DUMMYFUNCTION("""COMPUTED_VALUE"""),2013)</f>
        <v>2013</v>
      </c>
      <c r="E1148" s="10" t="str">
        <f ca="1">IFERROR(__xludf.DUMMYFUNCTION("""COMPUTED_VALUE"""),"С., 2013, Издателство За буквите - О писменехь., ISBN 978-954-2946-69-4. 284 с. : с цв. ил. ; 21 см. Библиогр.: с. 219-233, Рез. на англ., фр. ез.")</f>
        <v>С., 2013, Издателство За буквите - О писменехь., ISBN 978-954-2946-69-4. 284 с. : с цв. ил. ; 21 см. Библиогр.: с. 219-233, Рез. на англ., фр. ез.</v>
      </c>
      <c r="F1148" s="10"/>
      <c r="G1148" s="10"/>
      <c r="H1148" s="10"/>
      <c r="I1148" s="10"/>
      <c r="J1148" s="10"/>
      <c r="K1148" s="10"/>
      <c r="L1148" s="10"/>
      <c r="M1148" s="10"/>
      <c r="N1148" s="10"/>
      <c r="O1148" s="10"/>
      <c r="P1148" s="10"/>
      <c r="Q1148" s="10"/>
      <c r="R1148" s="10"/>
      <c r="S1148" s="10"/>
      <c r="T1148" s="10"/>
      <c r="U1148" s="10"/>
      <c r="V1148" s="10"/>
      <c r="W1148" s="10"/>
      <c r="X1148" s="10"/>
      <c r="Y1148" s="10"/>
      <c r="Z1148" s="10"/>
    </row>
    <row r="1149" spans="1:26" ht="12.75">
      <c r="A1149" s="10" t="str">
        <f ca="1">IFERROR(__xludf.DUMMYFUNCTION("""COMPUTED_VALUE"""),"Венцислав Иванов Велев")</f>
        <v>Венцислав Иванов Велев</v>
      </c>
      <c r="B1149" s="10" t="str">
        <f ca="1">IFERROR(__xludf.DUMMYFUNCTION("""COMPUTED_VALUE"""),"Статия в списания и поредици")</f>
        <v>Статия в списания и поредици</v>
      </c>
      <c r="C1149" s="10" t="str">
        <f ca="1">IFERROR(__xludf.DUMMYFUNCTION("""COMPUTED_VALUE"""),"Съюзът на народните читалища и неговите председатели.")</f>
        <v>Съюзът на народните читалища и неговите председатели.</v>
      </c>
      <c r="D1149" s="10">
        <f ca="1">IFERROR(__xludf.DUMMYFUNCTION("""COMPUTED_VALUE"""),2013)</f>
        <v>2013</v>
      </c>
      <c r="E1149" s="10" t="str">
        <f ca="1">IFERROR(__xludf.DUMMYFUNCTION("""COMPUTED_VALUE"""),"Cogito ergo sum : проф. Стоян Денчев на 60 години - юбилеен сборник. С., 2013 г., Университетско издателство За буквите – О писменехь. с. 152-162. ISBN 978-954-2946-58-8")</f>
        <v>Cogito ergo sum : проф. Стоян Денчев на 60 години - юбилеен сборник. С., 2013 г., Университетско издателство За буквите – О писменехь. с. 152-162. ISBN 978-954-2946-58-8</v>
      </c>
      <c r="F1149" s="10"/>
      <c r="G1149" s="10"/>
      <c r="H1149" s="10"/>
      <c r="I1149" s="10"/>
      <c r="J1149" s="10"/>
      <c r="K1149" s="10"/>
      <c r="L1149" s="10"/>
      <c r="M1149" s="10"/>
      <c r="N1149" s="10"/>
      <c r="O1149" s="10"/>
      <c r="P1149" s="10"/>
      <c r="Q1149" s="10"/>
      <c r="R1149" s="10"/>
      <c r="S1149" s="10"/>
      <c r="T1149" s="10"/>
      <c r="U1149" s="10"/>
      <c r="V1149" s="10"/>
      <c r="W1149" s="10"/>
      <c r="X1149" s="10"/>
      <c r="Y1149" s="10"/>
      <c r="Z1149" s="10"/>
    </row>
    <row r="1150" spans="1:26" ht="12.75">
      <c r="A1150" s="10" t="str">
        <f ca="1">IFERROR(__xludf.DUMMYFUNCTION("""COMPUTED_VALUE"""),"Венцислав Иванов Велев")</f>
        <v>Венцислав Иванов Велев</v>
      </c>
      <c r="B1150" s="10" t="str">
        <f ca="1">IFERROR(__xludf.DUMMYFUNCTION("""COMPUTED_VALUE"""),"Статия в списания и поредици")</f>
        <v>Статия в списания и поредици</v>
      </c>
      <c r="C1150" s="10" t="str">
        <f ca="1">IFERROR(__xludf.DUMMYFUNCTION("""COMPUTED_VALUE"""),"Уникален модерен многоаспектен електронен летопис във вид на ризомно-ретикуларно организирани бази от дани на съвременната информационно-комуникативна сфера (Позициониране в интернет пространството на „Трудове на СНО при УниБИТ” и съпътстващата ги научна "&amp;"печатна продукция : &lt;www.sno.unibit.bg&gt;).")</f>
        <v>Уникален модерен многоаспектен електронен летопис във вид на ризомно-ретикуларно организирани бази от дани на съвременната информационно-комуникативна сфера (Позициониране в интернет пространството на „Трудове на СНО при УниБИТ” и съпътстващата ги научна печатна продукция : &lt;www.sno.unibit.bg&gt;).</v>
      </c>
      <c r="D1150" s="10">
        <f ca="1">IFERROR(__xludf.DUMMYFUNCTION("""COMPUTED_VALUE"""),2013)</f>
        <v>2013</v>
      </c>
      <c r="E1150" s="10" t="str">
        <f ca="1">IFERROR(__xludf.DUMMYFUNCTION("""COMPUTED_VALUE"""),"Тр. на Студентското науч. о-во при Унив. по библиотекознание и информ. технолог. (София). – ISSN 1314-2526. – Т. 8, 2013, с. 81-96 : с ил.")</f>
        <v>Тр. на Студентското науч. о-во при Унив. по библиотекознание и информ. технолог. (София). – ISSN 1314-2526. – Т. 8, 2013, с. 81-96 : с ил.</v>
      </c>
      <c r="F1150" s="10"/>
      <c r="G1150" s="10"/>
      <c r="H1150" s="10"/>
      <c r="I1150" s="10"/>
      <c r="J1150" s="10"/>
      <c r="K1150" s="10"/>
      <c r="L1150" s="10"/>
      <c r="M1150" s="10"/>
      <c r="N1150" s="10"/>
      <c r="O1150" s="10"/>
      <c r="P1150" s="10"/>
      <c r="Q1150" s="10"/>
      <c r="R1150" s="10"/>
      <c r="S1150" s="10"/>
      <c r="T1150" s="10"/>
      <c r="U1150" s="10"/>
      <c r="V1150" s="10"/>
      <c r="W1150" s="10"/>
      <c r="X1150" s="10"/>
      <c r="Y1150" s="10"/>
      <c r="Z1150" s="10"/>
    </row>
    <row r="1151" spans="1:26" ht="12.75">
      <c r="A1151" s="10" t="str">
        <f ca="1">IFERROR(__xludf.DUMMYFUNCTION("""COMPUTED_VALUE"""),"Венцислав Иванов Велев")</f>
        <v>Венцислав Иванов Велев</v>
      </c>
      <c r="B1151" s="10" t="str">
        <f ca="1">IFERROR(__xludf.DUMMYFUNCTION("""COMPUTED_VALUE"""),"Статия в списания и поредици")</f>
        <v>Статия в списания и поредици</v>
      </c>
      <c r="C1151" s="10" t="str">
        <f ca="1">IFERROR(__xludf.DUMMYFUNCTION("""COMPUTED_VALUE"""),"Паисиев лист от 1935 година (Историко-културен преглед)")</f>
        <v>Паисиев лист от 1935 година (Историко-културен преглед)</v>
      </c>
      <c r="D1151" s="10">
        <f ca="1">IFERROR(__xludf.DUMMYFUNCTION("""COMPUTED_VALUE"""),2013)</f>
        <v>2013</v>
      </c>
      <c r="E1151" s="10" t="str">
        <f ca="1">IFERROR(__xludf.DUMMYFUNCTION("""COMPUTED_VALUE"""),"Тр. на Студентското научно общество при УниБИТ (София), Т. VIII, 2013, с. 510-511, ISSN 1314-2526, online ISSN 1314-6793")</f>
        <v>Тр. на Студентското научно общество при УниБИТ (София), Т. VIII, 2013, с. 510-511, ISSN 1314-2526, online ISSN 1314-6793</v>
      </c>
      <c r="F1151" s="10"/>
      <c r="G1151" s="10" t="str">
        <f ca="1">IFERROR(__xludf.DUMMYFUNCTION("""COMPUTED_VALUE"""),"Велев, Венцислав. Христосков, Йордан.")</f>
        <v>Велев, Венцислав. Христосков, Йордан.</v>
      </c>
      <c r="H1151" s="10"/>
      <c r="I1151" s="10"/>
      <c r="J1151" s="10"/>
      <c r="K1151" s="10"/>
      <c r="L1151" s="10"/>
      <c r="M1151" s="10"/>
      <c r="N1151" s="10"/>
      <c r="O1151" s="10"/>
      <c r="P1151" s="10"/>
      <c r="Q1151" s="10"/>
      <c r="R1151" s="10"/>
      <c r="S1151" s="10"/>
      <c r="T1151" s="10"/>
      <c r="U1151" s="10"/>
      <c r="V1151" s="10"/>
      <c r="W1151" s="10"/>
      <c r="X1151" s="10"/>
      <c r="Y1151" s="10"/>
      <c r="Z1151" s="10"/>
    </row>
    <row r="1152" spans="1:26" ht="12.75">
      <c r="A1152" s="10" t="str">
        <f ca="1">IFERROR(__xludf.DUMMYFUNCTION("""COMPUTED_VALUE"""),"Венцислав Иванов Велев")</f>
        <v>Венцислав Иванов Велев</v>
      </c>
      <c r="B1152" s="10" t="str">
        <f ca="1">IFERROR(__xludf.DUMMYFUNCTION("""COMPUTED_VALUE"""),"Статия в списания и поредици")</f>
        <v>Статия в списания и поредици</v>
      </c>
      <c r="C1152" s="10" t="str">
        <f ca="1">IFERROR(__xludf.DUMMYFUNCTION("""COMPUTED_VALUE"""),"Свети преподобни Паисий Хилендарски и отбелязване на името му")</f>
        <v>Свети преподобни Паисий Хилендарски и отбелязване на името му</v>
      </c>
      <c r="D1152" s="10">
        <f ca="1">IFERROR(__xludf.DUMMYFUNCTION("""COMPUTED_VALUE"""),2013)</f>
        <v>2013</v>
      </c>
      <c r="E1152" s="10" t="str">
        <f ca="1">IFERROR(__xludf.DUMMYFUNCTION("""COMPUTED_VALUE"""),"Тр. на Студентското научно общество при УниБИТ (София), Т. VIII, 2013, с. 502-509, ISSN 1314-2526, online ISSN 1314-6793")</f>
        <v>Тр. на Студентското научно общество при УниБИТ (София), Т. VIII, 2013, с. 502-509, ISSN 1314-2526, online ISSN 1314-6793</v>
      </c>
      <c r="F1152" s="10"/>
      <c r="G1152" s="10" t="str">
        <f ca="1">IFERROR(__xludf.DUMMYFUNCTION("""COMPUTED_VALUE"""),"Велев, Венцислав. Христосков, Йордан")</f>
        <v>Велев, Венцислав. Христосков, Йордан</v>
      </c>
      <c r="H1152" s="10"/>
      <c r="I1152" s="10"/>
      <c r="J1152" s="10"/>
      <c r="K1152" s="10"/>
      <c r="L1152" s="10"/>
      <c r="M1152" s="10"/>
      <c r="N1152" s="10"/>
      <c r="O1152" s="10"/>
      <c r="P1152" s="10"/>
      <c r="Q1152" s="10"/>
      <c r="R1152" s="10"/>
      <c r="S1152" s="10"/>
      <c r="T1152" s="10"/>
      <c r="U1152" s="10"/>
      <c r="V1152" s="10"/>
      <c r="W1152" s="10"/>
      <c r="X1152" s="10"/>
      <c r="Y1152" s="10"/>
      <c r="Z1152" s="10"/>
    </row>
    <row r="1153" spans="1:26" ht="12.75">
      <c r="A1153" s="10" t="str">
        <f ca="1">IFERROR(__xludf.DUMMYFUNCTION("""COMPUTED_VALUE"""),"Венцислав Иванов Велев")</f>
        <v>Венцислав Иванов Велев</v>
      </c>
      <c r="B1153" s="10" t="str">
        <f ca="1">IFERROR(__xludf.DUMMYFUNCTION("""COMPUTED_VALUE"""),"Статия в списания и поредици")</f>
        <v>Статия в списания и поредици</v>
      </c>
      <c r="C1153" s="10" t="str">
        <f ca="1">IFERROR(__xludf.DUMMYFUNCTION("""COMPUTED_VALUE"""),"Създаването на регионален център за нематериално културно наследство в София под егидата на ЮНЕСКО - пример за устойчиво развитие и сътрудничество сред страните от Югоизточна Европа")</f>
        <v>Създаването на регионален център за нематериално културно наследство в София под егидата на ЮНЕСКО - пример за устойчиво развитие и сътрудничество сред страните от Югоизточна Европа</v>
      </c>
      <c r="D1153" s="10">
        <f ca="1">IFERROR(__xludf.DUMMYFUNCTION("""COMPUTED_VALUE"""),2013)</f>
        <v>2013</v>
      </c>
      <c r="E1153" s="10" t="str">
        <f ca="1">IFERROR(__xludf.DUMMYFUNCTION("""COMPUTED_VALUE"""),"Обществото на знанието и хуманизмът на XXI век : национална научна конференция с международно участие ISSN: 1314-7099.- T. 10 (2013), s. 255-262")</f>
        <v>Обществото на знанието и хуманизмът на XXI век : национална научна конференция с международно участие ISSN: 1314-7099.- T. 10 (2013), s. 255-262</v>
      </c>
      <c r="F1153" s="10"/>
      <c r="G1153" s="10"/>
      <c r="H1153" s="10"/>
      <c r="I1153" s="10"/>
      <c r="J1153" s="10"/>
      <c r="K1153" s="10"/>
      <c r="L1153" s="10"/>
      <c r="M1153" s="10"/>
      <c r="N1153" s="10"/>
      <c r="O1153" s="10"/>
      <c r="P1153" s="10"/>
      <c r="Q1153" s="10"/>
      <c r="R1153" s="10"/>
      <c r="S1153" s="10"/>
      <c r="T1153" s="10"/>
      <c r="U1153" s="10"/>
      <c r="V1153" s="10"/>
      <c r="W1153" s="10"/>
      <c r="X1153" s="10"/>
      <c r="Y1153" s="10"/>
      <c r="Z1153" s="10"/>
    </row>
    <row r="1154" spans="1:26" ht="12.75">
      <c r="A1154" s="10" t="str">
        <f ca="1">IFERROR(__xludf.DUMMYFUNCTION("""COMPUTED_VALUE"""),"Венцислав Иванов Велев")</f>
        <v>Венцислав Иванов Велев</v>
      </c>
      <c r="B1154" s="10" t="str">
        <f ca="1">IFERROR(__xludf.DUMMYFUNCTION("""COMPUTED_VALUE"""),"Статия в списания и поредици")</f>
        <v>Статия в списания и поредици</v>
      </c>
      <c r="C1154" s="10" t="str">
        <f ca="1">IFERROR(__xludf.DUMMYFUNCTION("""COMPUTED_VALUE"""),"Модерен летопис на съвременната информационно-комуникативна сфера")</f>
        <v>Модерен летопис на съвременната информационно-комуникативна сфера</v>
      </c>
      <c r="D1154" s="10">
        <f ca="1">IFERROR(__xludf.DUMMYFUNCTION("""COMPUTED_VALUE"""),2012)</f>
        <v>2012</v>
      </c>
      <c r="E1154" s="10" t="str">
        <f ca="1">IFERROR(__xludf.DUMMYFUNCTION("""COMPUTED_VALUE"""),"Том І-VІ на Трудове на Студентското научно общество при УниБИТ (София,2008 - ) //Тр. на Студентското науч. о-во при УниБИТ (София), Т.VІІ, 2012, с.105-122 , ISSN 1314-2526, online ISSN 1314-6793")</f>
        <v>Том І-VІ на Трудове на Студентското научно общество при УниБИТ (София,2008 - ) //Тр. на Студентското науч. о-во при УниБИТ (София), Т.VІІ, 2012, с.105-122 , ISSN 1314-2526, online ISSN 1314-6793</v>
      </c>
      <c r="F1154" s="10"/>
      <c r="G1154" s="10"/>
      <c r="H1154" s="10"/>
      <c r="I1154" s="10"/>
      <c r="J1154" s="10"/>
      <c r="K1154" s="10"/>
      <c r="L1154" s="10"/>
      <c r="M1154" s="10"/>
      <c r="N1154" s="10"/>
      <c r="O1154" s="10"/>
      <c r="P1154" s="10"/>
      <c r="Q1154" s="10"/>
      <c r="R1154" s="10"/>
      <c r="S1154" s="10"/>
      <c r="T1154" s="10"/>
      <c r="U1154" s="10"/>
      <c r="V1154" s="10"/>
      <c r="W1154" s="10"/>
      <c r="X1154" s="10"/>
      <c r="Y1154" s="10"/>
      <c r="Z1154" s="10"/>
    </row>
    <row r="1155" spans="1:26" ht="12.75">
      <c r="A1155" s="10" t="str">
        <f ca="1">IFERROR(__xludf.DUMMYFUNCTION("""COMPUTED_VALUE"""),"Венцислав Иванов Велев")</f>
        <v>Венцислав Иванов Велев</v>
      </c>
      <c r="B1155" s="10" t="str">
        <f ca="1">IFERROR(__xludf.DUMMYFUNCTION("""COMPUTED_VALUE"""),"Статия в списания и поредици")</f>
        <v>Статия в списания и поредици</v>
      </c>
      <c r="C1155" s="10" t="str">
        <f ca="1">IFERROR(__xludf.DUMMYFUNCTION("""COMPUTED_VALUE"""),"Съюзът на народните читалища : В контекста на неговия 100-годишен юбилей")</f>
        <v>Съюзът на народните читалища : В контекста на неговия 100-годишен юбилей</v>
      </c>
      <c r="D1155" s="10">
        <f ca="1">IFERROR(__xludf.DUMMYFUNCTION("""COMPUTED_VALUE"""),2012)</f>
        <v>2012</v>
      </c>
      <c r="E1155" s="10" t="str">
        <f ca="1">IFERROR(__xludf.DUMMYFUNCTION("""COMPUTED_VALUE"""),"Тр. на Студентското научно общество при УниБИТ (София), Т. VII, 2012, с. 335-337 ISSN 1314-2526, online ISSN 1314-6793")</f>
        <v>Тр. на Студентското научно общество при УниБИТ (София), Т. VII, 2012, с. 335-337 ISSN 1314-2526, online ISSN 1314-6793</v>
      </c>
      <c r="F1155" s="10"/>
      <c r="G1155" s="10" t="str">
        <f ca="1">IFERROR(__xludf.DUMMYFUNCTION("""COMPUTED_VALUE"""),"Велев, Венцислав. Христосков, Йордан. Куцаров, Иван")</f>
        <v>Велев, Венцислав. Христосков, Йордан. Куцаров, Иван</v>
      </c>
      <c r="H1155" s="10"/>
      <c r="I1155" s="10"/>
      <c r="J1155" s="10"/>
      <c r="K1155" s="10"/>
      <c r="L1155" s="10"/>
      <c r="M1155" s="10"/>
      <c r="N1155" s="10"/>
      <c r="O1155" s="10"/>
      <c r="P1155" s="10"/>
      <c r="Q1155" s="10"/>
      <c r="R1155" s="10"/>
      <c r="S1155" s="10"/>
      <c r="T1155" s="10"/>
      <c r="U1155" s="10"/>
      <c r="V1155" s="10"/>
      <c r="W1155" s="10"/>
      <c r="X1155" s="10"/>
      <c r="Y1155" s="10"/>
      <c r="Z1155" s="10"/>
    </row>
    <row r="1156" spans="1:26" ht="12.75">
      <c r="A1156" s="10" t="str">
        <f ca="1">IFERROR(__xludf.DUMMYFUNCTION("""COMPUTED_VALUE"""),"Венцислав Иванов Велев")</f>
        <v>Венцислав Иванов Велев</v>
      </c>
      <c r="B1156" s="10" t="str">
        <f ca="1">IFERROR(__xludf.DUMMYFUNCTION("""COMPUTED_VALUE"""),"Статия в списания и поредици")</f>
        <v>Статия в списания и поредици</v>
      </c>
      <c r="C1156" s="10" t="str">
        <f ca="1">IFERROR(__xludf.DUMMYFUNCTION("""COMPUTED_VALUE"""),"Първият триезичен речник по библиотечна и информационна дейност в света „The English – Russian – Bulgarian Dictionary of Library and Information Terminology = Англо-русско-болгарский словарь по библиотечной и информационной деятельности = Англо-руско-бълг"&amp;"арски речник по библиотечна и информационна дейност”. С., 2010")</f>
        <v>Първият триезичен речник по библиотечна и информационна дейност в света „The English – Russian – 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 С., 2010</v>
      </c>
      <c r="D1156" s="10">
        <f ca="1">IFERROR(__xludf.DUMMYFUNCTION("""COMPUTED_VALUE"""),2012)</f>
        <v>2012</v>
      </c>
      <c r="E1156" s="10" t="str">
        <f ca="1">IFERROR(__xludf.DUMMYFUNCTION("""COMPUTED_VALUE"""),"Тр. на Студентското науч. о-во при УниБИТ (София), Т.VІІ, 2012. с.123-130, ISSN 1314-2526, online ISSN 1314-6793")</f>
        <v>Тр. на Студентското науч. о-во при УниБИТ (София), Т.VІІ, 2012. с.123-130, ISSN 1314-2526, online ISSN 1314-6793</v>
      </c>
      <c r="F1156" s="10"/>
      <c r="G1156" s="10"/>
      <c r="H1156" s="10"/>
      <c r="I1156" s="10"/>
      <c r="J1156" s="10"/>
      <c r="K1156" s="10"/>
      <c r="L1156" s="10"/>
      <c r="M1156" s="10"/>
      <c r="N1156" s="10"/>
      <c r="O1156" s="10"/>
      <c r="P1156" s="10"/>
      <c r="Q1156" s="10"/>
      <c r="R1156" s="10"/>
      <c r="S1156" s="10"/>
      <c r="T1156" s="10"/>
      <c r="U1156" s="10"/>
      <c r="V1156" s="10"/>
      <c r="W1156" s="10"/>
      <c r="X1156" s="10"/>
      <c r="Y1156" s="10"/>
      <c r="Z1156" s="10"/>
    </row>
    <row r="1157" spans="1:26" ht="12.75">
      <c r="A1157" s="10" t="str">
        <f ca="1">IFERROR(__xludf.DUMMYFUNCTION("""COMPUTED_VALUE"""),"Венцислав Иванов Велев")</f>
        <v>Венцислав Иванов Велев</v>
      </c>
      <c r="B1157" s="10" t="str">
        <f ca="1">IFERROR(__xludf.DUMMYFUNCTION("""COMPUTED_VALUE"""),"Статия в списания и поредици")</f>
        <v>Статия в списания и поредици</v>
      </c>
      <c r="C1157" s="10" t="str">
        <f ca="1">IFERROR(__xludf.DUMMYFUNCTION("""COMPUTED_VALUE"""),"Характерни моменти от развитието на българския национален въпрос до руско-турската война 1877-1878 г.")</f>
        <v>Характерни моменти от развитието на българския национален въпрос до руско-турската война 1877-1878 г.</v>
      </c>
      <c r="D1157" s="10">
        <f ca="1">IFERROR(__xludf.DUMMYFUNCTION("""COMPUTED_VALUE"""),2012)</f>
        <v>2012</v>
      </c>
      <c r="E1157" s="10" t="str">
        <f ca="1">IFERROR(__xludf.DUMMYFUNCTION("""COMPUTED_VALUE"""),"Славянская историко-культурная и языковая ситуация. Колективная монография. Россия, Славянск-на-Кубани. 2012. с. 29-35. ISBN 978-5-91980-031-6")</f>
        <v>Славянская историко-культурная и языковая ситуация. Колективная монография. Россия, Славянск-на-Кубани. 2012. с. 29-35. ISBN 978-5-91980-031-6</v>
      </c>
      <c r="F1157" s="10"/>
      <c r="G1157" s="10"/>
      <c r="H1157" s="10"/>
      <c r="I1157" s="10"/>
      <c r="J1157" s="10"/>
      <c r="K1157" s="10"/>
      <c r="L1157" s="10"/>
      <c r="M1157" s="10"/>
      <c r="N1157" s="10"/>
      <c r="O1157" s="10"/>
      <c r="P1157" s="10"/>
      <c r="Q1157" s="10"/>
      <c r="R1157" s="10"/>
      <c r="S1157" s="10"/>
      <c r="T1157" s="10"/>
      <c r="U1157" s="10"/>
      <c r="V1157" s="10"/>
      <c r="W1157" s="10"/>
      <c r="X1157" s="10"/>
      <c r="Y1157" s="10"/>
      <c r="Z1157" s="10"/>
    </row>
    <row r="1158" spans="1:26" ht="12.75">
      <c r="A1158" s="10" t="str">
        <f ca="1">IFERROR(__xludf.DUMMYFUNCTION("""COMPUTED_VALUE"""),"Венцислав Иванов Велев")</f>
        <v>Венцислав Иванов Велев</v>
      </c>
      <c r="B1158" s="10" t="str">
        <f ca="1">IFERROR(__xludf.DUMMYFUNCTION("""COMPUTED_VALUE"""),"Глава от колективна монография")</f>
        <v>Глава от колективна монография</v>
      </c>
      <c r="C1158" s="10" t="str">
        <f ca="1">IFERROR(__xludf.DUMMYFUNCTION("""COMPUTED_VALUE"""),"Революционната организация в Западните покрайнини.")</f>
        <v>Революционната организация в Западните покрайнини.</v>
      </c>
      <c r="D1158" s="10">
        <f ca="1">IFERROR(__xludf.DUMMYFUNCTION("""COMPUTED_VALUE"""),2012)</f>
        <v>2012</v>
      </c>
      <c r="E1158" s="10" t="str">
        <f ca="1">IFERROR(__xludf.DUMMYFUNCTION("""COMPUTED_VALUE"""),"История на България. т. IX - История на България 1919-1944, дял IV, глава III, БАН, Институт за исторически изследвания. С. 2012, с. 531-536. ISBN 978-954-2903-08-6")</f>
        <v>История на България. т. IX - История на България 1919-1944, дял IV, глава III, БАН, Институт за исторически изследвания. С. 2012, с. 531-536. ISBN 978-954-2903-08-6</v>
      </c>
      <c r="F1158" s="10"/>
      <c r="G1158" s="10"/>
      <c r="H1158" s="10"/>
      <c r="I1158" s="10"/>
      <c r="J1158" s="10"/>
      <c r="K1158" s="10"/>
      <c r="L1158" s="10"/>
      <c r="M1158" s="10"/>
      <c r="N1158" s="10"/>
      <c r="O1158" s="10"/>
      <c r="P1158" s="10"/>
      <c r="Q1158" s="10"/>
      <c r="R1158" s="10"/>
      <c r="S1158" s="10"/>
      <c r="T1158" s="10"/>
      <c r="U1158" s="10"/>
      <c r="V1158" s="10"/>
      <c r="W1158" s="10"/>
      <c r="X1158" s="10"/>
      <c r="Y1158" s="10"/>
      <c r="Z1158" s="10"/>
    </row>
    <row r="1159" spans="1:26" ht="12.75">
      <c r="A1159" s="10" t="str">
        <f ca="1">IFERROR(__xludf.DUMMYFUNCTION("""COMPUTED_VALUE"""),"Венцислав Иванов Велев")</f>
        <v>Венцислав Иванов Велев</v>
      </c>
      <c r="B1159" s="10" t="str">
        <f ca="1">IFERROR(__xludf.DUMMYFUNCTION("""COMPUTED_VALUE"""),"Статия в списания и поредици")</f>
        <v>Статия в списания и поредици</v>
      </c>
      <c r="C1159" s="10" t="str">
        <f ca="1">IFERROR(__xludf.DUMMYFUNCTION("""COMPUTED_VALUE"""),"Създаване и позициониране в интернет на електронен портал на Студентското научно общество към УниБИТ.")</f>
        <v>Създаване и позициониране в интернет на електронен портал на Студентското научно общество към УниБИТ.</v>
      </c>
      <c r="D1159" s="10">
        <f ca="1">IFERROR(__xludf.DUMMYFUNCTION("""COMPUTED_VALUE"""),2012)</f>
        <v>2012</v>
      </c>
      <c r="E1159" s="10" t="str">
        <f ca="1">IFERROR(__xludf.DUMMYFUNCTION("""COMPUTED_VALUE"""),"Тр. на Студентското науч. о-во при УниБИТ (София), Т.VІІ, 2012. с.131-134, ISSN 1314-2526, online ISSN 1314-6793")</f>
        <v>Тр. на Студентското науч. о-во при УниБИТ (София), Т.VІІ, 2012. с.131-134, ISSN 1314-2526, online ISSN 1314-6793</v>
      </c>
      <c r="F1159" s="10"/>
      <c r="G1159" s="10"/>
      <c r="H1159" s="10"/>
      <c r="I1159" s="10"/>
      <c r="J1159" s="10"/>
      <c r="K1159" s="10"/>
      <c r="L1159" s="10"/>
      <c r="M1159" s="10"/>
      <c r="N1159" s="10"/>
      <c r="O1159" s="10"/>
      <c r="P1159" s="10"/>
      <c r="Q1159" s="10"/>
      <c r="R1159" s="10"/>
      <c r="S1159" s="10"/>
      <c r="T1159" s="10"/>
      <c r="U1159" s="10"/>
      <c r="V1159" s="10"/>
      <c r="W1159" s="10"/>
      <c r="X1159" s="10"/>
      <c r="Y1159" s="10"/>
      <c r="Z1159" s="10"/>
    </row>
    <row r="1160" spans="1:26" ht="12.75">
      <c r="A1160" s="10" t="str">
        <f ca="1">IFERROR(__xludf.DUMMYFUNCTION("""COMPUTED_VALUE"""),"Венцислав Иванов Велев")</f>
        <v>Венцислав Иванов Велев</v>
      </c>
      <c r="B1160" s="10" t="str">
        <f ca="1">IFERROR(__xludf.DUMMYFUNCTION("""COMPUTED_VALUE"""),"Глава от колективна монография")</f>
        <v>Глава от колективна монография</v>
      </c>
      <c r="C1160" s="10" t="str">
        <f ca="1">IFERROR(__xludf.DUMMYFUNCTION("""COMPUTED_VALUE"""),"Бежанците от Западните покрайнини.")</f>
        <v>Бежанците от Западните покрайнини.</v>
      </c>
      <c r="D1160" s="10">
        <f ca="1">IFERROR(__xludf.DUMMYFUNCTION("""COMPUTED_VALUE"""),2012)</f>
        <v>2012</v>
      </c>
      <c r="E1160" s="10" t="str">
        <f ca="1">IFERROR(__xludf.DUMMYFUNCTION("""COMPUTED_VALUE"""),"История на България. т. IX - История на България 1919-1944, дял IV, глава III, БАН, Институт за исторически изследвания. С. 2012, с. 505-509. ISBN 978-954-2903-08-6")</f>
        <v>История на България. т. IX - История на България 1919-1944, дял IV, глава III, БАН, Институт за исторически изследвания. С. 2012, с. 505-509. ISBN 978-954-2903-08-6</v>
      </c>
      <c r="F1160" s="10"/>
      <c r="G1160" s="10"/>
      <c r="H1160" s="10"/>
      <c r="I1160" s="10"/>
      <c r="J1160" s="10"/>
      <c r="K1160" s="10"/>
      <c r="L1160" s="10"/>
      <c r="M1160" s="10"/>
      <c r="N1160" s="10"/>
      <c r="O1160" s="10"/>
      <c r="P1160" s="10"/>
      <c r="Q1160" s="10"/>
      <c r="R1160" s="10"/>
      <c r="S1160" s="10"/>
      <c r="T1160" s="10"/>
      <c r="U1160" s="10"/>
      <c r="V1160" s="10"/>
      <c r="W1160" s="10"/>
      <c r="X1160" s="10"/>
      <c r="Y1160" s="10"/>
      <c r="Z1160" s="10"/>
    </row>
    <row r="1161" spans="1:26" ht="12.75">
      <c r="A1161" s="10" t="str">
        <f ca="1">IFERROR(__xludf.DUMMYFUNCTION("""COMPUTED_VALUE"""),"Венцислав Иванов Велев")</f>
        <v>Венцислав Иванов Велев</v>
      </c>
      <c r="B1161" s="10" t="str">
        <f ca="1">IFERROR(__xludf.DUMMYFUNCTION("""COMPUTED_VALUE"""),"Статия в списания и поредици")</f>
        <v>Статия в списания и поредици</v>
      </c>
      <c r="C1161" s="10" t="str">
        <f ca="1">IFERROR(__xludf.DUMMYFUNCTION("""COMPUTED_VALUE"""),"- Българското читалище в контекста на устойчивото съвременно развитие")</f>
        <v>- Българското читалище в контекста на устойчивото съвременно развитие</v>
      </c>
      <c r="D1161" s="10">
        <f ca="1">IFERROR(__xludf.DUMMYFUNCTION("""COMPUTED_VALUE"""),2012)</f>
        <v>2012</v>
      </c>
      <c r="E1161" s="10" t="str">
        <f ca="1">IFERROR(__xludf.DUMMYFUNCTION("""COMPUTED_VALUE"""),"Общество на знанието и хубанизма на XXI в. Девета национална научна конференция с международно участие. София - 1 ноември 2011 г. // Трудове на УниБИТ, т.IXл Под редакцията на проф. дфн Цветана Георгиева. Издателство За буквите – О писменехь, С., 2012, IS"&amp;"SN 1314-7099, с.319-323")</f>
        <v>Общество на знанието и хубанизма на XXI в. Девета национална научна конференция с международно участие. София - 1 ноември 2011 г. // Трудове на УниБИТ, т.IXл Под редакцията на проф. дфн Цветана Георгиева. Издателство За буквите – О писменехь, С., 2012, ISSN 1314-7099, с.319-323</v>
      </c>
      <c r="F1161" s="10"/>
      <c r="G1161" s="10"/>
      <c r="H1161" s="10"/>
      <c r="I1161" s="10"/>
      <c r="J1161" s="10"/>
      <c r="K1161" s="10"/>
      <c r="L1161" s="10"/>
      <c r="M1161" s="10"/>
      <c r="N1161" s="10"/>
      <c r="O1161" s="10"/>
      <c r="P1161" s="10"/>
      <c r="Q1161" s="10"/>
      <c r="R1161" s="10"/>
      <c r="S1161" s="10"/>
      <c r="T1161" s="10"/>
      <c r="U1161" s="10"/>
      <c r="V1161" s="10"/>
      <c r="W1161" s="10"/>
      <c r="X1161" s="10"/>
      <c r="Y1161" s="10"/>
      <c r="Z1161" s="10"/>
    </row>
    <row r="1162" spans="1:26" ht="12.75">
      <c r="A1162" s="10" t="str">
        <f ca="1">IFERROR(__xludf.DUMMYFUNCTION("""COMPUTED_VALUE"""),"Венцислав Иванов Велев")</f>
        <v>Венцислав Иванов Велев</v>
      </c>
      <c r="B1162" s="10" t="str">
        <f ca="1">IFERROR(__xludf.DUMMYFUNCTION("""COMPUTED_VALUE"""),"Книга")</f>
        <v>Книга</v>
      </c>
      <c r="C1162" s="10" t="str">
        <f ca="1">IFERROR(__xludf.DUMMYFUNCTION("""COMPUTED_VALUE"""),"Нематериалното културно наследство на България / The Intangible Cultural Heritage of Bulgaria")</f>
        <v>Нематериалното културно наследство на България / The Intangible Cultural Heritage of Bulgaria</v>
      </c>
      <c r="D1162" s="10">
        <f ca="1">IFERROR(__xludf.DUMMYFUNCTION("""COMPUTED_VALUE"""),2010)</f>
        <v>2010</v>
      </c>
      <c r="E1162" s="10" t="str">
        <f ca="1">IFERROR(__xludf.DUMMYFUNCTION("""COMPUTED_VALUE"""),"Пловдив, 2010, ISBN: 978-954-516-911-3")</f>
        <v>Пловдив, 2010, ISBN: 978-954-516-911-3</v>
      </c>
      <c r="F1162" s="10"/>
      <c r="G1162" s="10" t="str">
        <f ca="1">IFERROR(__xludf.DUMMYFUNCTION("""COMPUTED_VALUE"""),"Пд, 2010 Текст и съставителство – Венцислав Велев и Кирил Анастасов. Превод на английски – Снежа Цонева-Матюсън")</f>
        <v>Пд, 2010 Текст и съставителство – Венцислав Велев и Кирил Анастасов. Превод на английски – Снежа Цонева-Матюсън</v>
      </c>
      <c r="H1162" s="10"/>
      <c r="I1162" s="10"/>
      <c r="J1162" s="10"/>
      <c r="K1162" s="10"/>
      <c r="L1162" s="10"/>
      <c r="M1162" s="10"/>
      <c r="N1162" s="10"/>
      <c r="O1162" s="10"/>
      <c r="P1162" s="10"/>
      <c r="Q1162" s="10"/>
      <c r="R1162" s="10"/>
      <c r="S1162" s="10"/>
      <c r="T1162" s="10"/>
      <c r="U1162" s="10"/>
      <c r="V1162" s="10"/>
      <c r="W1162" s="10"/>
      <c r="X1162" s="10"/>
      <c r="Y1162" s="10"/>
      <c r="Z1162" s="10"/>
    </row>
    <row r="1163" spans="1:26" ht="12.75">
      <c r="A1163" s="10" t="str">
        <f ca="1">IFERROR(__xludf.DUMMYFUNCTION("""COMPUTED_VALUE"""),"Венцислав Иванов Велев")</f>
        <v>Венцислав Иванов Велев</v>
      </c>
      <c r="B1163" s="10" t="str">
        <f ca="1">IFERROR(__xludf.DUMMYFUNCTION("""COMPUTED_VALUE"""),"Монография")</f>
        <v>Монография</v>
      </c>
      <c r="C1163" s="10" t="str">
        <f ca="1">IFERROR(__xludf.DUMMYFUNCTION("""COMPUTED_VALUE"""),"Западните покрайнини. България и Югославия 1919-1931 г.")</f>
        <v>Западните покрайнини. България и Югославия 1919-1931 г.</v>
      </c>
      <c r="D1163" s="10">
        <f ca="1">IFERROR(__xludf.DUMMYFUNCTION("""COMPUTED_VALUE"""),2009)</f>
        <v>2009</v>
      </c>
      <c r="E1163" s="10" t="str">
        <f ca="1">IFERROR(__xludf.DUMMYFUNCTION("""COMPUTED_VALUE"""),"С., 2009, Издателство: За буквите - О писменехь, ISBN 978-954-8887-59-5, 244 с. : с портр., Хроника на по-важните събития: с. 224-231, Именен показалец, географски показалец")</f>
        <v>С., 2009, Издателство: За буквите - О писменехь, ISBN 978-954-8887-59-5, 244 с. : с портр., Хроника на по-важните събития: с. 224-231, Именен показалец, географски показалец</v>
      </c>
      <c r="F1163" s="10"/>
      <c r="G1163" s="10"/>
      <c r="H1163" s="10"/>
      <c r="I1163" s="10"/>
      <c r="J1163" s="10"/>
      <c r="K1163" s="10"/>
      <c r="L1163" s="10"/>
      <c r="M1163" s="10"/>
      <c r="N1163" s="10"/>
      <c r="O1163" s="10"/>
      <c r="P1163" s="10"/>
      <c r="Q1163" s="10"/>
      <c r="R1163" s="10"/>
      <c r="S1163" s="10"/>
      <c r="T1163" s="10"/>
      <c r="U1163" s="10"/>
      <c r="V1163" s="10"/>
      <c r="W1163" s="10"/>
      <c r="X1163" s="10"/>
      <c r="Y1163" s="10"/>
      <c r="Z1163" s="10"/>
    </row>
    <row r="1164" spans="1:26" ht="12.75">
      <c r="A1164" s="10" t="str">
        <f ca="1">IFERROR(__xludf.DUMMYFUNCTION("""COMPUTED_VALUE"""),"Венцислав Иванов Велев")</f>
        <v>Венцислав Иванов Велев</v>
      </c>
      <c r="B1164" s="10" t="str">
        <f ca="1">IFERROR(__xludf.DUMMYFUNCTION("""COMPUTED_VALUE"""),"Студия")</f>
        <v>Студия</v>
      </c>
      <c r="C1164" s="10" t="str">
        <f ca="1">IFERROR(__xludf.DUMMYFUNCTION("""COMPUTED_VALUE"""),"Западните покрайнини в политиката на правителството на БЗНС (1920-1923).")</f>
        <v>Западните покрайнини в политиката на правителството на БЗНС (1920-1923).</v>
      </c>
      <c r="D1164" s="10">
        <f ca="1">IFERROR(__xludf.DUMMYFUNCTION("""COMPUTED_VALUE"""),2008)</f>
        <v>2008</v>
      </c>
      <c r="E1164" s="10" t="str">
        <f ca="1">IFERROR(__xludf.DUMMYFUNCTION("""COMPUTED_VALUE"""),"Клио. Сборник в чест на 65-годишнината на ст. н.с. Милен Куманов. С., 2008. с.573-617. ISBN 978-954-617-042-2")</f>
        <v>Клио. Сборник в чест на 65-годишнината на ст. н.с. Милен Куманов. С., 2008. с.573-617. ISBN 978-954-617-042-2</v>
      </c>
      <c r="F1164" s="10"/>
      <c r="G1164" s="10"/>
      <c r="H1164" s="10"/>
      <c r="I1164" s="10"/>
      <c r="J1164" s="10"/>
      <c r="K1164" s="10"/>
      <c r="L1164" s="10"/>
      <c r="M1164" s="10"/>
      <c r="N1164" s="10"/>
      <c r="O1164" s="10"/>
      <c r="P1164" s="10"/>
      <c r="Q1164" s="10"/>
      <c r="R1164" s="10"/>
      <c r="S1164" s="10"/>
      <c r="T1164" s="10"/>
      <c r="U1164" s="10"/>
      <c r="V1164" s="10"/>
      <c r="W1164" s="10"/>
      <c r="X1164" s="10"/>
      <c r="Y1164" s="10"/>
      <c r="Z1164" s="10"/>
    </row>
    <row r="1165" spans="1:26" ht="12.75">
      <c r="A1165" s="10" t="str">
        <f ca="1">IFERROR(__xludf.DUMMYFUNCTION("""COMPUTED_VALUE"""),"Венцислав Иванов Велев")</f>
        <v>Венцислав Иванов Велев</v>
      </c>
      <c r="B1165" s="10" t="str">
        <f ca="1">IFERROR(__xludf.DUMMYFUNCTION("""COMPUTED_VALUE"""),"Доклад от конференция")</f>
        <v>Доклад от конференция</v>
      </c>
      <c r="C1165" s="10" t="str">
        <f ca="1">IFERROR(__xludf.DUMMYFUNCTION("""COMPUTED_VALUE"""),"За съвременния облик на читалищата.")</f>
        <v>За съвременния облик на читалищата.</v>
      </c>
      <c r="D1165" s="10">
        <f ca="1">IFERROR(__xludf.DUMMYFUNCTION("""COMPUTED_VALUE"""),2007)</f>
        <v>2007</v>
      </c>
      <c r="E1165" s="10" t="str">
        <f ca="1">IFERROR(__xludf.DUMMYFUNCTION("""COMPUTED_VALUE"""),"150 години Народно читалищно дело. С., „Българска книжница“, 2007, с.52-53. ISBN 978-954380-04-8")</f>
        <v>150 години Народно читалищно дело. С., „Българска книжница“, 2007, с.52-53. ISBN 978-954380-04-8</v>
      </c>
      <c r="F1165" s="10"/>
      <c r="G1165" s="10"/>
      <c r="H1165" s="10"/>
      <c r="I1165" s="10"/>
      <c r="J1165" s="10"/>
      <c r="K1165" s="10"/>
      <c r="L1165" s="10"/>
      <c r="M1165" s="10"/>
      <c r="N1165" s="10"/>
      <c r="O1165" s="10"/>
      <c r="P1165" s="10"/>
      <c r="Q1165" s="10"/>
      <c r="R1165" s="10"/>
      <c r="S1165" s="10"/>
      <c r="T1165" s="10"/>
      <c r="U1165" s="10"/>
      <c r="V1165" s="10"/>
      <c r="W1165" s="10"/>
      <c r="X1165" s="10"/>
      <c r="Y1165" s="10"/>
      <c r="Z1165" s="10"/>
    </row>
    <row r="1166" spans="1:26" ht="12.75">
      <c r="A1166" s="10" t="str">
        <f ca="1">IFERROR(__xludf.DUMMYFUNCTION("""COMPUTED_VALUE"""),"Венцислав Иванов Велев")</f>
        <v>Венцислав Иванов Велев</v>
      </c>
      <c r="B1166" s="10" t="str">
        <f ca="1">IFERROR(__xludf.DUMMYFUNCTION("""COMPUTED_VALUE"""),"Доклад от конференция")</f>
        <v>Доклад от конференция</v>
      </c>
      <c r="C1166" s="10" t="str">
        <f ca="1">IFERROR(__xludf.DUMMYFUNCTION("""COMPUTED_VALUE"""),"Проявления на западнопокрайнския въпрос (1920–1922 г.)")</f>
        <v>Проявления на западнопокрайнския въпрос (1920–1922 г.)</v>
      </c>
      <c r="D1166" s="10">
        <f ca="1">IFERROR(__xludf.DUMMYFUNCTION("""COMPUTED_VALUE"""),2006)</f>
        <v>2006</v>
      </c>
      <c r="E1166" s="10" t="str">
        <f ca="1">IFERROR(__xludf.DUMMYFUNCTION("""COMPUTED_VALUE"""),"Конгреси и програмни документи след 1878 г. за историята и културата на българските земи под чужда власт - Сборник доклади от международната научна конференция, Кюстендил, 14-15 декември 2007 г., Кюстендил, 2006. с. 105-118, ISBN 978-954-92267-1-3 , ISBN "&amp;"978-954-8191-14-2")</f>
        <v>Конгреси и програмни документи след 1878 г. за историята и културата на българските земи под чужда власт - Сборник доклади от международната научна конференция, Кюстендил, 14-15 декември 2007 г., Кюстендил, 2006. с. 105-118, ISBN 978-954-92267-1-3 , ISBN 978-954-8191-14-2</v>
      </c>
      <c r="F1166" s="10"/>
      <c r="G1166" s="10"/>
      <c r="H1166" s="10"/>
      <c r="I1166" s="10"/>
      <c r="J1166" s="10"/>
      <c r="K1166" s="10"/>
      <c r="L1166" s="10"/>
      <c r="M1166" s="10"/>
      <c r="N1166" s="10"/>
      <c r="O1166" s="10"/>
      <c r="P1166" s="10"/>
      <c r="Q1166" s="10"/>
      <c r="R1166" s="10"/>
      <c r="S1166" s="10"/>
      <c r="T1166" s="10"/>
      <c r="U1166" s="10"/>
      <c r="V1166" s="10"/>
      <c r="W1166" s="10"/>
      <c r="X1166" s="10"/>
      <c r="Y1166" s="10"/>
      <c r="Z1166" s="10"/>
    </row>
    <row r="1167" spans="1:26" ht="12.75">
      <c r="A1167" s="10" t="str">
        <f ca="1">IFERROR(__xludf.DUMMYFUNCTION("""COMPUTED_VALUE"""),"Венцислав Иванов Велев")</f>
        <v>Венцислав Иванов Велев</v>
      </c>
      <c r="B1167" s="10" t="str">
        <f ca="1">IFERROR(__xludf.DUMMYFUNCTION("""COMPUTED_VALUE"""),"Статия в списания и поредици")</f>
        <v>Статия в списания и поредици</v>
      </c>
      <c r="C1167" s="10" t="str">
        <f ca="1">IFERROR(__xludf.DUMMYFUNCTION("""COMPUTED_VALUE"""),"Към историята на Западнопокраинската революционна организация ""Въртоп""")</f>
        <v>Към историята на Западнопокраинската революционна организация "Въртоп"</v>
      </c>
      <c r="D1167" s="10">
        <f ca="1">IFERROR(__xludf.DUMMYFUNCTION("""COMPUTED_VALUE"""),2001)</f>
        <v>2001</v>
      </c>
      <c r="E1167" s="10" t="str">
        <f ca="1">IFERROR(__xludf.DUMMYFUNCTION("""COMPUTED_VALUE"""),"Един завет, кн. 2, С., 2001, с. 26-29. ISSN 0861-8151")</f>
        <v>Един завет, кн. 2, С., 2001, с. 26-29. ISSN 0861-8151</v>
      </c>
      <c r="F1167" s="10"/>
      <c r="G1167" s="10"/>
      <c r="H1167" s="10"/>
      <c r="I1167" s="10"/>
      <c r="J1167" s="10"/>
      <c r="K1167" s="10"/>
      <c r="L1167" s="10"/>
      <c r="M1167" s="10"/>
      <c r="N1167" s="10"/>
      <c r="O1167" s="10"/>
      <c r="P1167" s="10"/>
      <c r="Q1167" s="10"/>
      <c r="R1167" s="10"/>
      <c r="S1167" s="10"/>
      <c r="T1167" s="10"/>
      <c r="U1167" s="10"/>
      <c r="V1167" s="10"/>
      <c r="W1167" s="10"/>
      <c r="X1167" s="10"/>
      <c r="Y1167" s="10"/>
      <c r="Z1167" s="10"/>
    </row>
    <row r="1168" spans="1:26" ht="12.75">
      <c r="A1168" s="10" t="str">
        <f ca="1">IFERROR(__xludf.DUMMYFUNCTION("""COMPUTED_VALUE"""),"Венцислав Иванов Велев")</f>
        <v>Венцислав Иванов Велев</v>
      </c>
      <c r="B1168" s="10" t="str">
        <f ca="1">IFERROR(__xludf.DUMMYFUNCTION("""COMPUTED_VALUE"""),"Статия в списания и поредици")</f>
        <v>Статия в списания и поредици</v>
      </c>
      <c r="C1168" s="10" t="str">
        <f ca="1">IFERROR(__xludf.DUMMYFUNCTION("""COMPUTED_VALUE"""),"Претенциите на Югославия към западните български земи, Парижката мирна конференция (1919 г.)")</f>
        <v>Претенциите на Югославия към западните български земи, Парижката мирна конференция (1919 г.)</v>
      </c>
      <c r="D1168" s="10">
        <f ca="1">IFERROR(__xludf.DUMMYFUNCTION("""COMPUTED_VALUE"""),2001)</f>
        <v>2001</v>
      </c>
      <c r="E1168" s="10" t="str">
        <f ca="1">IFERROR(__xludf.DUMMYFUNCTION("""COMPUTED_VALUE"""),"Един завет, кн. 3, С., 2001, с. 12-15. ISSN 0861-8151")</f>
        <v>Един завет, кн. 3, С., 2001, с. 12-15. ISSN 0861-8151</v>
      </c>
      <c r="F1168" s="10"/>
      <c r="G1168" s="10"/>
      <c r="H1168" s="10"/>
      <c r="I1168" s="10"/>
      <c r="J1168" s="10"/>
      <c r="K1168" s="10"/>
      <c r="L1168" s="10"/>
      <c r="M1168" s="10"/>
      <c r="N1168" s="10"/>
      <c r="O1168" s="10"/>
      <c r="P1168" s="10"/>
      <c r="Q1168" s="10"/>
      <c r="R1168" s="10"/>
      <c r="S1168" s="10"/>
      <c r="T1168" s="10"/>
      <c r="U1168" s="10"/>
      <c r="V1168" s="10"/>
      <c r="W1168" s="10"/>
      <c r="X1168" s="10"/>
      <c r="Y1168" s="10"/>
      <c r="Z1168" s="10"/>
    </row>
    <row r="1169" spans="1:26" ht="12.75">
      <c r="A1169" s="10" t="str">
        <f ca="1">IFERROR(__xludf.DUMMYFUNCTION("""COMPUTED_VALUE"""),"Венцислав Иванов Велев")</f>
        <v>Венцислав Иванов Велев</v>
      </c>
      <c r="B1169" s="10" t="str">
        <f ca="1">IFERROR(__xludf.DUMMYFUNCTION("""COMPUTED_VALUE"""),"Статия в списания и поредици")</f>
        <v>Статия в списания и поредици</v>
      </c>
      <c r="C1169" s="10" t="str">
        <f ca="1">IFERROR(__xludf.DUMMYFUNCTION("""COMPUTED_VALUE"""),"Вътрешната западнопокрайнска революционна организация ""Въртоп""")</f>
        <v>Вътрешната западнопокрайнска революционна организация "Въртоп"</v>
      </c>
      <c r="D1169" s="10">
        <f ca="1">IFERROR(__xludf.DUMMYFUNCTION("""COMPUTED_VALUE"""),1999)</f>
        <v>1999</v>
      </c>
      <c r="E1169" s="10" t="str">
        <f ca="1">IFERROR(__xludf.DUMMYFUNCTION("""COMPUTED_VALUE"""),"Исторически преглед, кн. 3-4, С.,1999, с. 51-69. ISSN 0323-9748")</f>
        <v>Исторически преглед, кн. 3-4, С.,1999, с. 51-69. ISSN 0323-9748</v>
      </c>
      <c r="F1169" s="10"/>
      <c r="G1169" s="10"/>
      <c r="H1169" s="10"/>
      <c r="I1169" s="10"/>
      <c r="J1169" s="10"/>
      <c r="K1169" s="10"/>
      <c r="L1169" s="10"/>
      <c r="M1169" s="10"/>
      <c r="N1169" s="10"/>
      <c r="O1169" s="10"/>
      <c r="P1169" s="10"/>
      <c r="Q1169" s="10"/>
      <c r="R1169" s="10"/>
      <c r="S1169" s="10"/>
      <c r="T1169" s="10"/>
      <c r="U1169" s="10"/>
      <c r="V1169" s="10"/>
      <c r="W1169" s="10"/>
      <c r="X1169" s="10"/>
      <c r="Y1169" s="10"/>
      <c r="Z1169" s="10"/>
    </row>
    <row r="1170" spans="1:26" ht="12.75">
      <c r="A1170" s="10" t="str">
        <f ca="1">IFERROR(__xludf.DUMMYFUNCTION("""COMPUTED_VALUE"""),"Венцислав Иванов Велев")</f>
        <v>Венцислав Иванов Велев</v>
      </c>
      <c r="B1170" s="10" t="str">
        <f ca="1">IFERROR(__xludf.DUMMYFUNCTION("""COMPUTED_VALUE"""),"Статия в списания и поредици")</f>
        <v>Статия в списания и поредици</v>
      </c>
      <c r="C1170" s="10" t="str">
        <f ca="1">IFERROR(__xludf.DUMMYFUNCTION("""COMPUTED_VALUE"""),"Ньойският мирен договор от 1919 г. в английския парламент (април 1920 г.)")</f>
        <v>Ньойският мирен договор от 1919 г. в английския парламент (април 1920 г.)</v>
      </c>
      <c r="D1170" s="10">
        <f ca="1">IFERROR(__xludf.DUMMYFUNCTION("""COMPUTED_VALUE"""),1999)</f>
        <v>1999</v>
      </c>
      <c r="E1170" s="10" t="str">
        <f ca="1">IFERROR(__xludf.DUMMYFUNCTION("""COMPUTED_VALUE"""),"Исторически архив = Historical Archives, кн. 3-4 (1998/1999), с. 18-20, 45-54, ISSN: 1311-848X")</f>
        <v>Исторически архив = Historical Archives, кн. 3-4 (1998/1999), с. 18-20, 45-54, ISSN: 1311-848X</v>
      </c>
      <c r="F1170" s="10"/>
      <c r="G1170" s="10"/>
      <c r="H1170" s="10"/>
      <c r="I1170" s="10"/>
      <c r="J1170" s="10"/>
      <c r="K1170" s="10"/>
      <c r="L1170" s="10"/>
      <c r="M1170" s="10"/>
      <c r="N1170" s="10"/>
      <c r="O1170" s="10"/>
      <c r="P1170" s="10"/>
      <c r="Q1170" s="10"/>
      <c r="R1170" s="10"/>
      <c r="S1170" s="10"/>
      <c r="T1170" s="10"/>
      <c r="U1170" s="10"/>
      <c r="V1170" s="10"/>
      <c r="W1170" s="10"/>
      <c r="X1170" s="10"/>
      <c r="Y1170" s="10"/>
      <c r="Z1170" s="10"/>
    </row>
    <row r="1171" spans="1:26" ht="12.75">
      <c r="A1171" s="10" t="str">
        <f ca="1">IFERROR(__xludf.DUMMYFUNCTION("""COMPUTED_VALUE"""),"Венцислав Иванов Велев")</f>
        <v>Венцислав Иванов Велев</v>
      </c>
      <c r="B1171" s="10" t="str">
        <f ca="1">IFERROR(__xludf.DUMMYFUNCTION("""COMPUTED_VALUE"""),"Статия в списания и поредици")</f>
        <v>Статия в списания и поредици</v>
      </c>
      <c r="C1171" s="10" t="str">
        <f ca="1">IFERROR(__xludf.DUMMYFUNCTION("""COMPUTED_VALUE"""),"Двувластните имоти в българо-югославските взаимоотношения (1920-1931)")</f>
        <v>Двувластните имоти в българо-югославските взаимоотношения (1920-1931)</v>
      </c>
      <c r="D1171" s="10">
        <f ca="1">IFERROR(__xludf.DUMMYFUNCTION("""COMPUTED_VALUE"""),1997)</f>
        <v>1997</v>
      </c>
      <c r="E1171" s="10" t="str">
        <f ca="1">IFERROR(__xludf.DUMMYFUNCTION("""COMPUTED_VALUE"""),"Международни отношения : списание за дипломация, политика и икономика. С., 1997, кн. 4, с. 109-116, ISSN: 0324-1092")</f>
        <v>Международни отношения : списание за дипломация, политика и икономика. С., 1997, кн. 4, с. 109-116, ISSN: 0324-1092</v>
      </c>
      <c r="F1171" s="10"/>
      <c r="G1171" s="10"/>
      <c r="H1171" s="10"/>
      <c r="I1171" s="10"/>
      <c r="J1171" s="10"/>
      <c r="K1171" s="10"/>
      <c r="L1171" s="10"/>
      <c r="M1171" s="10"/>
      <c r="N1171" s="10"/>
      <c r="O1171" s="10"/>
      <c r="P1171" s="10"/>
      <c r="Q1171" s="10"/>
      <c r="R1171" s="10"/>
      <c r="S1171" s="10"/>
      <c r="T1171" s="10"/>
      <c r="U1171" s="10"/>
      <c r="V1171" s="10"/>
      <c r="W1171" s="10"/>
      <c r="X1171" s="10"/>
      <c r="Y1171" s="10"/>
      <c r="Z1171" s="10"/>
    </row>
    <row r="1172" spans="1:26" ht="12.75">
      <c r="A1172" s="10" t="str">
        <f ca="1">IFERROR(__xludf.DUMMYFUNCTION("""COMPUTED_VALUE"""),"Вера Петрова Бонева")</f>
        <v>Вера Петрова Бонева</v>
      </c>
      <c r="B1172" s="10" t="str">
        <f ca="1">IFERROR(__xludf.DUMMYFUNCTION("""COMPUTED_VALUE"""),"Статия в списания и поредици")</f>
        <v>Статия в списания и поредици</v>
      </c>
      <c r="C1172" s="10" t="str">
        <f ca="1">IFERROR(__xludf.DUMMYFUNCTION("""COMPUTED_VALUE"""),"Музеят на Чудомир в село Турия")</f>
        <v>Музеят на Чудомир в село Турия</v>
      </c>
      <c r="D1172" s="10">
        <f ca="1">IFERROR(__xludf.DUMMYFUNCTION("""COMPUTED_VALUE"""),2020)</f>
        <v>2020</v>
      </c>
      <c r="E1172" s="10" t="str">
        <f ca="1">IFERROR(__xludf.DUMMYFUNCTION("""COMPUTED_VALUE"""),"Литернет, 2020, кн. 4. ISSN 1312-2282
 https://liternet.bg/publish8/vboneva/chudomir-turia.htm")</f>
        <v>Литернет, 2020, кн. 4. ISSN 1312-2282
 https://liternet.bg/publish8/vboneva/chudomir-turia.htm</v>
      </c>
      <c r="F1172" s="10"/>
      <c r="G1172" s="10"/>
      <c r="H1172" s="10"/>
      <c r="I1172" s="10"/>
      <c r="J1172" s="10"/>
      <c r="K1172" s="10"/>
      <c r="L1172" s="10"/>
      <c r="M1172" s="10"/>
      <c r="N1172" s="10"/>
      <c r="O1172" s="10"/>
      <c r="P1172" s="10"/>
      <c r="Q1172" s="10"/>
      <c r="R1172" s="10"/>
      <c r="S1172" s="10"/>
      <c r="T1172" s="10"/>
      <c r="U1172" s="10"/>
      <c r="V1172" s="10"/>
      <c r="W1172" s="10"/>
      <c r="X1172" s="10"/>
      <c r="Y1172" s="10"/>
      <c r="Z1172" s="10"/>
    </row>
    <row r="1173" spans="1:26" ht="12.75">
      <c r="A1173" s="10" t="str">
        <f ca="1">IFERROR(__xludf.DUMMYFUNCTION("""COMPUTED_VALUE"""),"Вера Петрова Бонева")</f>
        <v>Вера Петрова Бонева</v>
      </c>
      <c r="B1173" s="10" t="str">
        <f ca="1">IFERROR(__xludf.DUMMYFUNCTION("""COMPUTED_VALUE"""),"Монография")</f>
        <v>Монография</v>
      </c>
      <c r="C1173" s="10" t="str">
        <f ca="1">IFERROR(__xludf.DUMMYFUNCTION("""COMPUTED_VALUE"""),"Мемориалните музеи и експозиции в културната инфраструктура на съвременна България.")</f>
        <v>Мемориалните музеи и експозиции в културната инфраструктура на съвременна България.</v>
      </c>
      <c r="D1173" s="10">
        <f ca="1">IFERROR(__xludf.DUMMYFUNCTION("""COMPUTED_VALUE"""),2020)</f>
        <v>2020</v>
      </c>
      <c r="E1173" s="10" t="str">
        <f ca="1">IFERROR(__xludf.DUMMYFUNCTION("""COMPUTED_VALUE"""),"Издателство „Фабер“, 2020. 508 стр. Научни рецензенти проф. Мила Сантова, проф. Симеон Недков, проф. Светла Димитрова; научен редактор д-р Йордан Желев. ISBN 978-619-00-1080-7")</f>
        <v>Издателство „Фабер“, 2020. 508 стр. Научни рецензенти проф. Мила Сантова, проф. Симеон Недков, проф. Светла Димитрова; научен редактор д-р Йордан Желев. ISBN 978-619-00-1080-7</v>
      </c>
      <c r="F1173" s="10" t="str">
        <f ca="1">IFERROR(__xludf.DUMMYFUNCTION("""COMPUTED_VALUE"""),"Националният референтен списък на съвременни български научни
 издания с научно рецензиране към НАЦИД")</f>
        <v>Националният референтен списък на съвременни български научни
 издания с научно рецензиране към НАЦИД</v>
      </c>
      <c r="G1173" s="10"/>
      <c r="H1173" s="10"/>
      <c r="I1173" s="10"/>
      <c r="J1173" s="10"/>
      <c r="K1173" s="10"/>
      <c r="L1173" s="10"/>
      <c r="M1173" s="10"/>
      <c r="N1173" s="10"/>
      <c r="O1173" s="10"/>
      <c r="P1173" s="10"/>
      <c r="Q1173" s="10"/>
      <c r="R1173" s="10"/>
      <c r="S1173" s="10"/>
      <c r="T1173" s="10"/>
      <c r="U1173" s="10"/>
      <c r="V1173" s="10"/>
      <c r="W1173" s="10"/>
      <c r="X1173" s="10"/>
      <c r="Y1173" s="10"/>
      <c r="Z1173" s="10"/>
    </row>
    <row r="1174" spans="1:26" ht="12.75">
      <c r="A1174" s="10" t="str">
        <f ca="1">IFERROR(__xludf.DUMMYFUNCTION("""COMPUTED_VALUE"""),"Вера Петрова Бонева")</f>
        <v>Вера Петрова Бонева</v>
      </c>
      <c r="B1174" s="10" t="str">
        <f ca="1">IFERROR(__xludf.DUMMYFUNCTION("""COMPUTED_VALUE"""),"Статия в списания и поредици")</f>
        <v>Статия в списания и поредици</v>
      </c>
      <c r="C1174" s="10" t="str">
        <f ca="1">IFERROR(__xludf.DUMMYFUNCTION("""COMPUTED_VALUE"""),"Състояние и перспективи на РЕГИНА ПИ – обединен каталог на български периодични издания 1878-1944.")</f>
        <v>Състояние и перспективи на РЕГИНА ПИ – обединен каталог на български периодични издания 1878-1944.</v>
      </c>
      <c r="D1174" s="10">
        <f ca="1">IFERROR(__xludf.DUMMYFUNCTION("""COMPUTED_VALUE"""),2020)</f>
        <v>2020</v>
      </c>
      <c r="E1174" s="10" t="str">
        <f ca="1">IFERROR(__xludf.DUMMYFUNCTION("""COMPUTED_VALUE"""),"Библиотека, 2020, кн. 3, 48-50. ISSN 0861-847X")</f>
        <v>Библиотека, 2020, кн. 3, 48-50. ISSN 0861-847X</v>
      </c>
      <c r="F1174" s="10"/>
      <c r="G1174" s="10"/>
      <c r="H1174" s="10"/>
      <c r="I1174" s="10"/>
      <c r="J1174" s="10"/>
      <c r="K1174" s="10"/>
      <c r="L1174" s="10"/>
      <c r="M1174" s="10"/>
      <c r="N1174" s="10"/>
      <c r="O1174" s="10"/>
      <c r="P1174" s="10"/>
      <c r="Q1174" s="10"/>
      <c r="R1174" s="10"/>
      <c r="S1174" s="10"/>
      <c r="T1174" s="10"/>
      <c r="U1174" s="10"/>
      <c r="V1174" s="10"/>
      <c r="W1174" s="10"/>
      <c r="X1174" s="10"/>
      <c r="Y1174" s="10"/>
      <c r="Z1174" s="10"/>
    </row>
    <row r="1175" spans="1:26" ht="12.75">
      <c r="A1175" s="10" t="str">
        <f ca="1">IFERROR(__xludf.DUMMYFUNCTION("""COMPUTED_VALUE"""),"Вера Петрова Бонева")</f>
        <v>Вера Петрова Бонева</v>
      </c>
      <c r="B1175" s="10" t="str">
        <f ca="1">IFERROR(__xludf.DUMMYFUNCTION("""COMPUTED_VALUE"""),"Статия в списания и поредици")</f>
        <v>Статия в списания и поредици</v>
      </c>
      <c r="C1175" s="10" t="str">
        <f ca="1">IFERROR(__xludf.DUMMYFUNCTION("""COMPUTED_VALUE"""),"Обществени колекции с музеен профил в българските висши училища: Създаване, управление, перспективи")</f>
        <v>Обществени колекции с музеен профил в българските висши училища: Създаване, управление, перспективи</v>
      </c>
      <c r="D1175" s="10">
        <f ca="1">IFERROR(__xludf.DUMMYFUNCTION("""COMPUTED_VALUE"""),2020)</f>
        <v>2020</v>
      </c>
      <c r="E1175" s="10" t="str">
        <f ca="1">IFERROR(__xludf.DUMMYFUNCTION("""COMPUTED_VALUE"""),"Стратегии на образователната и научната политика, 2020, кн. 2. с. 136-152 ISSN 1310–0270")</f>
        <v>Стратегии на образователната и научната политика, 2020, кн. 2. с. 136-152 ISSN 1310–0270</v>
      </c>
      <c r="F1175" s="10" t="str">
        <f ca="1">IFERROR(__xludf.DUMMYFUNCTION("""COMPUTED_VALUE"""),"Web of Science
 European Reference Index for the Humanities and the Social Sciences (ERIH PLUS)
 https://strategies.azbuki.bg/staregies/sadarzhanie-na-sp-strategii-na-obrazovatelnata-i-nauchnata-politika-2020/sp-strategii-na-obrazovatelnata-i-nauchnata-po"&amp;"litika-knizhka-2-2020-godina-xxviii/")</f>
        <v>Web of Science
 European Reference Index for the Humanities and the Social Sciences (ERIH PLUS)
 https://strategies.azbuki.bg/staregies/sadarzhanie-na-sp-strategii-na-obrazovatelnata-i-nauchnata-politika-2020/sp-strategii-na-obrazovatelnata-i-nauchnata-politika-knizhka-2-2020-godina-xxviii/</v>
      </c>
      <c r="G1175" s="10"/>
      <c r="H1175" s="10"/>
      <c r="I1175" s="10"/>
      <c r="J1175" s="10"/>
      <c r="K1175" s="10"/>
      <c r="L1175" s="10"/>
      <c r="M1175" s="10"/>
      <c r="N1175" s="10"/>
      <c r="O1175" s="10"/>
      <c r="P1175" s="10"/>
      <c r="Q1175" s="10"/>
      <c r="R1175" s="10"/>
      <c r="S1175" s="10"/>
      <c r="T1175" s="10"/>
      <c r="U1175" s="10"/>
      <c r="V1175" s="10"/>
      <c r="W1175" s="10"/>
      <c r="X1175" s="10"/>
      <c r="Y1175" s="10"/>
      <c r="Z1175" s="10"/>
    </row>
    <row r="1176" spans="1:26" ht="12.75">
      <c r="A1176" s="10" t="str">
        <f ca="1">IFERROR(__xludf.DUMMYFUNCTION("""COMPUTED_VALUE"""),"Вера Петрова Бонева")</f>
        <v>Вера Петрова Бонева</v>
      </c>
      <c r="B1176" s="10" t="str">
        <f ca="1">IFERROR(__xludf.DUMMYFUNCTION("""COMPUTED_VALUE"""),"Статия в списания и поредици")</f>
        <v>Статия в списания и поредици</v>
      </c>
      <c r="C1176" s="10" t="str">
        <f ca="1">IFERROR(__xludf.DUMMYFUNCTION("""COMPUTED_VALUE"""),"Interactive Time Machine: The Museum of Industry in Gabrovo.")</f>
        <v>Interactive Time Machine: The Museum of Industry in Gabrovo.</v>
      </c>
      <c r="D1176" s="10">
        <f ca="1">IFERROR(__xludf.DUMMYFUNCTION("""COMPUTED_VALUE"""),2020)</f>
        <v>2020</v>
      </c>
      <c r="E1176" s="10" t="str">
        <f ca="1">IFERROR(__xludf.DUMMYFUNCTION("""COMPUTED_VALUE"""),"Kultur und informatik. Extended Reality. Berlin: Verlag Werner Hülsbusch, 2020, 133-139. ISBN 978-3-86488-169-5")</f>
        <v>Kultur und informatik. Extended Reality. Berlin: Verlag Werner Hülsbusch, 2020, 133-139. ISBN 978-3-86488-169-5</v>
      </c>
      <c r="F1176" s="28" t="str">
        <f ca="1">IFERROR(__xludf.DUMMYFUNCTION("""COMPUTED_VALUE"""),"http://www.vwh-verlag.de/vwh/?p=1283")</f>
        <v>http://www.vwh-verlag.de/vwh/?p=1283</v>
      </c>
      <c r="G1176" s="10"/>
      <c r="H1176" s="10"/>
      <c r="I1176" s="10"/>
      <c r="J1176" s="10"/>
      <c r="K1176" s="10"/>
      <c r="L1176" s="10"/>
      <c r="M1176" s="10"/>
      <c r="N1176" s="10"/>
      <c r="O1176" s="10"/>
      <c r="P1176" s="10"/>
      <c r="Q1176" s="10"/>
      <c r="R1176" s="10"/>
      <c r="S1176" s="10"/>
      <c r="T1176" s="10"/>
      <c r="U1176" s="10"/>
      <c r="V1176" s="10"/>
      <c r="W1176" s="10"/>
      <c r="X1176" s="10"/>
      <c r="Y1176" s="10"/>
      <c r="Z1176" s="10"/>
    </row>
    <row r="1177" spans="1:26" ht="12.75">
      <c r="A1177" s="10" t="str">
        <f ca="1">IFERROR(__xludf.DUMMYFUNCTION("""COMPUTED_VALUE"""),"Вера Петрова Бонева")</f>
        <v>Вера Петрова Бонева</v>
      </c>
      <c r="B1177" s="10" t="str">
        <f ca="1">IFERROR(__xludf.DUMMYFUNCTION("""COMPUTED_VALUE"""),"Статия в списания и поредици")</f>
        <v>Статия в списания и поредици</v>
      </c>
      <c r="C1177" s="10" t="str">
        <f ca="1">IFERROR(__xludf.DUMMYFUNCTION("""COMPUTED_VALUE"""),"Нова академична книга за Васил Левски и Вътрешната революционна организация.")</f>
        <v>Нова академична книга за Васил Левски и Вътрешната революционна организация.</v>
      </c>
      <c r="D1177" s="10">
        <f ca="1">IFERROR(__xludf.DUMMYFUNCTION("""COMPUTED_VALUE"""),2020)</f>
        <v>2020</v>
      </c>
      <c r="E1177" s="10" t="str">
        <f ca="1">IFERROR(__xludf.DUMMYFUNCTION("""COMPUTED_VALUE"""),"Библиотека, 2020, кн. 4, 87-90. ISBN 0861-847X")</f>
        <v>Библиотека, 2020, кн. 4, 87-90. ISBN 0861-847X</v>
      </c>
      <c r="F1177" s="10"/>
      <c r="G1177" s="10"/>
      <c r="H1177" s="10"/>
      <c r="I1177" s="10"/>
      <c r="J1177" s="10"/>
      <c r="K1177" s="10"/>
      <c r="L1177" s="10"/>
      <c r="M1177" s="10"/>
      <c r="N1177" s="10"/>
      <c r="O1177" s="10"/>
      <c r="P1177" s="10"/>
      <c r="Q1177" s="10"/>
      <c r="R1177" s="10"/>
      <c r="S1177" s="10"/>
      <c r="T1177" s="10"/>
      <c r="U1177" s="10"/>
      <c r="V1177" s="10"/>
      <c r="W1177" s="10"/>
      <c r="X1177" s="10"/>
      <c r="Y1177" s="10"/>
      <c r="Z1177" s="10"/>
    </row>
    <row r="1178" spans="1:26" ht="12.75">
      <c r="A1178" s="10" t="str">
        <f ca="1">IFERROR(__xludf.DUMMYFUNCTION("""COMPUTED_VALUE"""),"Вера Петрова Бонева")</f>
        <v>Вера Петрова Бонева</v>
      </c>
      <c r="B1178" s="10" t="str">
        <f ca="1">IFERROR(__xludf.DUMMYFUNCTION("""COMPUTED_VALUE"""),"Статия в списания и поредици")</f>
        <v>Статия в списания и поредици</v>
      </c>
      <c r="C1178" s="10" t="str">
        <f ca="1">IFERROR(__xludf.DUMMYFUNCTION("""COMPUTED_VALUE"""),"Документалното наследство на Чудомир в Централния държавен архив: Опит за кратък обзор.")</f>
        <v>Документалното наследство на Чудомир в Централния държавен архив: Опит за кратък обзор.</v>
      </c>
      <c r="D1178" s="10">
        <f ca="1">IFERROR(__xludf.DUMMYFUNCTION("""COMPUTED_VALUE"""),2020)</f>
        <v>2020</v>
      </c>
      <c r="E1178" s="10" t="str">
        <f ca="1">IFERROR(__xludf.DUMMYFUNCTION("""COMPUTED_VALUE"""),"Чудомир между противоречията. Велико Търново: Издателство ""Абагар"", 2020, 76-94. ISBN 978-619-168-249-2.")</f>
        <v>Чудомир между противоречията. Велико Търново: Издателство "Абагар", 2020, 76-94. ISBN 978-619-168-249-2.</v>
      </c>
      <c r="F1178" s="10"/>
      <c r="G1178" s="10"/>
      <c r="H1178" s="10"/>
      <c r="I1178" s="10"/>
      <c r="J1178" s="10"/>
      <c r="K1178" s="10"/>
      <c r="L1178" s="10"/>
      <c r="M1178" s="10"/>
      <c r="N1178" s="10"/>
      <c r="O1178" s="10"/>
      <c r="P1178" s="10"/>
      <c r="Q1178" s="10"/>
      <c r="R1178" s="10"/>
      <c r="S1178" s="10"/>
      <c r="T1178" s="10"/>
      <c r="U1178" s="10"/>
      <c r="V1178" s="10"/>
      <c r="W1178" s="10"/>
      <c r="X1178" s="10"/>
      <c r="Y1178" s="10"/>
      <c r="Z1178" s="10"/>
    </row>
    <row r="1179" spans="1:26" ht="12.75">
      <c r="A1179" s="10" t="str">
        <f ca="1">IFERROR(__xludf.DUMMYFUNCTION("""COMPUTED_VALUE"""),"Вера Петрова Бонева")</f>
        <v>Вера Петрова Бонева</v>
      </c>
      <c r="B1179" s="10" t="str">
        <f ca="1">IFERROR(__xludf.DUMMYFUNCTION("""COMPUTED_VALUE"""),"Книга")</f>
        <v>Книга</v>
      </c>
      <c r="C1179" s="10" t="str">
        <f ca="1">IFERROR(__xludf.DUMMYFUNCTION("""COMPUTED_VALUE"""),"Архивът на Петко Р. Славейков. Ръкописно наследство")</f>
        <v>Архивът на Петко Р. Славейков. Ръкописно наследство</v>
      </c>
      <c r="D1179" s="10">
        <f ca="1">IFERROR(__xludf.DUMMYFUNCTION("""COMPUTED_VALUE"""),2020)</f>
        <v>2020</v>
      </c>
      <c r="E1179" s="10" t="str">
        <f ca="1">IFERROR(__xludf.DUMMYFUNCTION("""COMPUTED_VALUE"""),"Издателство ""Фабер"", 2020. 302 стр. Рецензенти чл. кор. проф. дин Румяна Радкова, доц. д-р Християн Атанасов. Научен редактор д-р Йордан Желев. 
 ISBN 978-619-00-1177-4")</f>
        <v>Издателство "Фабер", 2020. 302 стр. Рецензенти чл. кор. проф. дин Румяна Радкова, доц. д-р Християн Атанасов. Научен редактор д-р Йордан Желев. 
 ISBN 978-619-00-1177-4</v>
      </c>
      <c r="F1179" s="10"/>
      <c r="G1179" s="10"/>
      <c r="H1179" s="10"/>
      <c r="I1179" s="10"/>
      <c r="J1179" s="10"/>
      <c r="K1179" s="10"/>
      <c r="L1179" s="10"/>
      <c r="M1179" s="10"/>
      <c r="N1179" s="10"/>
      <c r="O1179" s="10"/>
      <c r="P1179" s="10"/>
      <c r="Q1179" s="10"/>
      <c r="R1179" s="10"/>
      <c r="S1179" s="10"/>
      <c r="T1179" s="10"/>
      <c r="U1179" s="10"/>
      <c r="V1179" s="10"/>
      <c r="W1179" s="10"/>
      <c r="X1179" s="10"/>
      <c r="Y1179" s="10"/>
      <c r="Z1179" s="10"/>
    </row>
    <row r="1180" spans="1:26" ht="12.75">
      <c r="A1180" s="10" t="str">
        <f ca="1">IFERROR(__xludf.DUMMYFUNCTION("""COMPUTED_VALUE"""),"Вера Петрова Бонева")</f>
        <v>Вера Петрова Бонева</v>
      </c>
      <c r="B1180" s="10" t="str">
        <f ca="1">IFERROR(__xludf.DUMMYFUNCTION("""COMPUTED_VALUE"""),"Статия в списания и поредици")</f>
        <v>Статия в списания и поредици</v>
      </c>
      <c r="C1180" s="10" t="str">
        <f ca="1">IFERROR(__xludf.DUMMYFUNCTION("""COMPUTED_VALUE"""),"Българският XIX век: нови архиви и прочити")</f>
        <v>Българският XIX век: нови архиви и прочити</v>
      </c>
      <c r="D1180" s="10">
        <f ca="1">IFERROR(__xludf.DUMMYFUNCTION("""COMPUTED_VALUE"""),2020)</f>
        <v>2020</v>
      </c>
      <c r="E1180" s="10" t="str">
        <f ca="1">IFERROR(__xludf.DUMMYFUNCTION("""COMPUTED_VALUE"""),"История, 2020, кн. 5. с. 496-500. ISSN 0861–3710.")</f>
        <v>История, 2020, кн. 5. с. 496-500. ISSN 0861–3710.</v>
      </c>
      <c r="F1180" s="10" t="str">
        <f ca="1">IFERROR(__xludf.DUMMYFUNCTION("""COMPUTED_VALUE"""),"Web of Science
 Central and Eastern European Online Library (CEEOL)
 https://history.azbuki.bg/history/sadarzhanie-na-sp-istoriya-2020-g/sp-istoriya-knizhka-5-2020-godina-xxviii/")</f>
        <v>Web of Science
 Central and Eastern European Online Library (CEEOL)
 https://history.azbuki.bg/history/sadarzhanie-na-sp-istoriya-2020-g/sp-istoriya-knizhka-5-2020-godina-xxviii/</v>
      </c>
      <c r="G1180" s="10"/>
      <c r="H1180" s="10"/>
      <c r="I1180" s="10"/>
      <c r="J1180" s="10"/>
      <c r="K1180" s="10"/>
      <c r="L1180" s="10"/>
      <c r="M1180" s="10"/>
      <c r="N1180" s="10"/>
      <c r="O1180" s="10"/>
      <c r="P1180" s="10"/>
      <c r="Q1180" s="10"/>
      <c r="R1180" s="10"/>
      <c r="S1180" s="10"/>
      <c r="T1180" s="10"/>
      <c r="U1180" s="10"/>
      <c r="V1180" s="10"/>
      <c r="W1180" s="10"/>
      <c r="X1180" s="10"/>
      <c r="Y1180" s="10"/>
      <c r="Z1180" s="10"/>
    </row>
    <row r="1181" spans="1:26" ht="12.75">
      <c r="A1181" s="10" t="str">
        <f ca="1">IFERROR(__xludf.DUMMYFUNCTION("""COMPUTED_VALUE"""),"Вера Петрова Бонева")</f>
        <v>Вера Петрова Бонева</v>
      </c>
      <c r="B1181" s="10" t="str">
        <f ca="1">IFERROR(__xludf.DUMMYFUNCTION("""COMPUTED_VALUE"""),"Статия в списания и поредици")</f>
        <v>Статия в списания и поредици</v>
      </c>
      <c r="C1181" s="10" t="str">
        <f ca="1">IFERROR(__xludf.DUMMYFUNCTION("""COMPUTED_VALUE"""),"Котел, Жеравна и Медвен в културната карта на българската мемориална музейност")</f>
        <v>Котел, Жеравна и Медвен в културната карта на българската мемориална музейност</v>
      </c>
      <c r="D1181" s="10">
        <f ca="1">IFERROR(__xludf.DUMMYFUNCTION("""COMPUTED_VALUE"""),2020)</f>
        <v>2020</v>
      </c>
      <c r="E1181" s="10" t="str">
        <f ca="1">IFERROR(__xludf.DUMMYFUNCTION("""COMPUTED_VALUE"""),"Анамнеза/Anamnesis, 2020 кн. 1-2. с. 48-70. ISSN 1312-9295")</f>
        <v>Анамнеза/Anamnesis, 2020 кн. 1-2. с. 48-70. ISSN 1312-9295</v>
      </c>
      <c r="F1181" s="10"/>
      <c r="G1181" s="10"/>
      <c r="H1181" s="10"/>
      <c r="I1181" s="10"/>
      <c r="J1181" s="10"/>
      <c r="K1181" s="10"/>
      <c r="L1181" s="10"/>
      <c r="M1181" s="10"/>
      <c r="N1181" s="10"/>
      <c r="O1181" s="10"/>
      <c r="P1181" s="10"/>
      <c r="Q1181" s="10"/>
      <c r="R1181" s="10"/>
      <c r="S1181" s="10"/>
      <c r="T1181" s="10"/>
      <c r="U1181" s="10"/>
      <c r="V1181" s="10"/>
      <c r="W1181" s="10"/>
      <c r="X1181" s="10"/>
      <c r="Y1181" s="10"/>
      <c r="Z1181" s="10"/>
    </row>
    <row r="1182" spans="1:26" ht="12.75">
      <c r="A1182" s="10" t="str">
        <f ca="1">IFERROR(__xludf.DUMMYFUNCTION("""COMPUTED_VALUE"""),"Вера Петрова Бонева")</f>
        <v>Вера Петрова Бонева</v>
      </c>
      <c r="B1182" s="10" t="str">
        <f ca="1">IFERROR(__xludf.DUMMYFUNCTION("""COMPUTED_VALUE"""),"Статия в списания и поредици")</f>
        <v>Статия в списания и поредици</v>
      </c>
      <c r="C1182" s="10" t="str">
        <f ca="1">IFERROR(__xludf.DUMMYFUNCTION("""COMPUTED_VALUE"""),"High-tech разкази за музикалния гений: музеят на Фредерик Шопен във Варшава.")</f>
        <v>High-tech разкази за музикалния гений: музеят на Фредерик Шопен във Варшава.</v>
      </c>
      <c r="D1182" s="10">
        <f ca="1">IFERROR(__xludf.DUMMYFUNCTION("""COMPUTED_VALUE"""),2020)</f>
        <v>2020</v>
      </c>
      <c r="E1182" s="10" t="str">
        <f ca="1">IFERROR(__xludf.DUMMYFUNCTION("""COMPUTED_VALUE"""),"Културно наследство и съвременни информационни
 технологии. София, УниБИТ, 2020, 124-139.
 ISBN 978-619-185-402-8")</f>
        <v>Културно наследство и съвременни информационни
 технологии. София, УниБИТ, 2020, 124-139.
 ISBN 978-619-185-402-8</v>
      </c>
      <c r="F1182" s="10"/>
      <c r="G1182" s="10"/>
      <c r="H1182" s="10"/>
      <c r="I1182" s="10"/>
      <c r="J1182" s="10"/>
      <c r="K1182" s="10"/>
      <c r="L1182" s="10"/>
      <c r="M1182" s="10"/>
      <c r="N1182" s="10"/>
      <c r="O1182" s="10"/>
      <c r="P1182" s="10"/>
      <c r="Q1182" s="10"/>
      <c r="R1182" s="10"/>
      <c r="S1182" s="10"/>
      <c r="T1182" s="10"/>
      <c r="U1182" s="10"/>
      <c r="V1182" s="10"/>
      <c r="W1182" s="10"/>
      <c r="X1182" s="10"/>
      <c r="Y1182" s="10"/>
      <c r="Z1182" s="10"/>
    </row>
    <row r="1183" spans="1:26" ht="12.75">
      <c r="A1183" s="10" t="str">
        <f ca="1">IFERROR(__xludf.DUMMYFUNCTION("""COMPUTED_VALUE"""),"Вера Петрова Бонева")</f>
        <v>Вера Петрова Бонева</v>
      </c>
      <c r="B1183" s="10" t="str">
        <f ca="1">IFERROR(__xludf.DUMMYFUNCTION("""COMPUTED_VALUE"""),"Статия в списания и поредици")</f>
        <v>Статия в списания и поредици</v>
      </c>
      <c r="C1183" s="10" t="str">
        <f ca="1">IFERROR(__xludf.DUMMYFUNCTION("""COMPUTED_VALUE"""),"Екзарх Антим Първи и националноосвободителното движение на българите срещу Османската империя (1872-1877).")</f>
        <v>Екзарх Антим Първи и националноосвободителното движение на българите срещу Османската империя (1872-1877).</v>
      </c>
      <c r="D1183" s="10">
        <f ca="1">IFERROR(__xludf.DUMMYFUNCTION("""COMPUTED_VALUE"""),2019)</f>
        <v>2019</v>
      </c>
      <c r="E1183" s="10" t="str">
        <f ca="1">IFERROR(__xludf.DUMMYFUNCTION("""COMPUTED_VALUE"""),"Историкии, т. 12. Шуменски университет ""Епископ Константин Преславски"", 2019, 49-60.
 ISBN 978-619-00-1124-8")</f>
        <v>Историкии, т. 12. Шуменски университет "Епископ Константин Преславски", 2019, 49-60.
 ISBN 978-619-00-1124-8</v>
      </c>
      <c r="F1183" s="10"/>
      <c r="G1183" s="10"/>
      <c r="H1183" s="10"/>
      <c r="I1183" s="10"/>
      <c r="J1183" s="10"/>
      <c r="K1183" s="10"/>
      <c r="L1183" s="10"/>
      <c r="M1183" s="10"/>
      <c r="N1183" s="10"/>
      <c r="O1183" s="10"/>
      <c r="P1183" s="10"/>
      <c r="Q1183" s="10"/>
      <c r="R1183" s="10"/>
      <c r="S1183" s="10"/>
      <c r="T1183" s="10"/>
      <c r="U1183" s="10"/>
      <c r="V1183" s="10"/>
      <c r="W1183" s="10"/>
      <c r="X1183" s="10"/>
      <c r="Y1183" s="10"/>
      <c r="Z1183" s="10"/>
    </row>
    <row r="1184" spans="1:26" ht="12.75">
      <c r="A1184" s="10" t="str">
        <f ca="1">IFERROR(__xludf.DUMMYFUNCTION("""COMPUTED_VALUE"""),"Вера Петрова Бонева")</f>
        <v>Вера Петрова Бонева</v>
      </c>
      <c r="B1184" s="10" t="str">
        <f ca="1">IFERROR(__xludf.DUMMYFUNCTION("""COMPUTED_VALUE"""),"Обзор")</f>
        <v>Обзор</v>
      </c>
      <c r="C1184" s="10" t="str">
        <f ca="1">IFERROR(__xludf.DUMMYFUNCTION("""COMPUTED_VALUE"""),"За името на историческия връх Шипка")</f>
        <v>За името на историческия връх Шипка</v>
      </c>
      <c r="D1184" s="10">
        <f ca="1">IFERROR(__xludf.DUMMYFUNCTION("""COMPUTED_VALUE"""),2019)</f>
        <v>2019</v>
      </c>
      <c r="E1184" s="10" t="str">
        <f ca="1">IFERROR(__xludf.DUMMYFUNCTION("""COMPUTED_VALUE"""),"История, 2019, кн. 2, 207-212. ISSN 0861–3710")</f>
        <v>История, 2019, кн. 2, 207-212. ISSN 0861–3710</v>
      </c>
      <c r="F1184" s="10" t="str">
        <f ca="1">IFERROR(__xludf.DUMMYFUNCTION("""COMPUTED_VALUE"""),"Статиите на сп. История
 се реферират, индексират и листват в:
 – Web of Science: Emerging Sources Citation Index
 – European Reference Index for the Humanities
 and the Social Sciences (ERIH PLUS)
 – Central and Eastern European Online Library (CEEOL)
 –"&amp;" EBSCOhost Research Databases
 – Google Scholar, Primo (Ex Libris), Summon (ProQuest)")</f>
        <v>Статиите на сп. История
 се реферират, индексират и листват в:
 – Web of Science: Emerging Sources Citation Index
 – European Reference Index for the Humanities
 and the Social Sciences (ERIH PLUS)
 – Central and Eastern European Online Library (CEEOL)
 – EBSCOhost Research Databases
 – Google Scholar, Primo (Ex Libris), Summon (ProQuest)</v>
      </c>
      <c r="G1184" s="10"/>
      <c r="H1184" s="10"/>
      <c r="I1184" s="10"/>
      <c r="J1184" s="10"/>
      <c r="K1184" s="10"/>
      <c r="L1184" s="10"/>
      <c r="M1184" s="10"/>
      <c r="N1184" s="10"/>
      <c r="O1184" s="10"/>
      <c r="P1184" s="10"/>
      <c r="Q1184" s="10"/>
      <c r="R1184" s="10"/>
      <c r="S1184" s="10"/>
      <c r="T1184" s="10"/>
      <c r="U1184" s="10"/>
      <c r="V1184" s="10"/>
      <c r="W1184" s="10"/>
      <c r="X1184" s="10"/>
      <c r="Y1184" s="10"/>
      <c r="Z1184" s="10"/>
    </row>
    <row r="1185" spans="1:26" ht="12.75">
      <c r="A1185" s="10" t="str">
        <f ca="1">IFERROR(__xludf.DUMMYFUNCTION("""COMPUTED_VALUE"""),"Вера Петрова Бонева")</f>
        <v>Вера Петрова Бонева</v>
      </c>
      <c r="B1185" s="10" t="str">
        <f ca="1">IFERROR(__xludf.DUMMYFUNCTION("""COMPUTED_VALUE"""),"Студия")</f>
        <v>Студия</v>
      </c>
      <c r="C1185" s="10" t="str">
        <f ca="1">IFERROR(__xludf.DUMMYFUNCTION("""COMPUTED_VALUE"""),"Творецът и общественикът Гео Милев в културното пространство на съвременна България.")</f>
        <v>Творецът и общественикът Гео Милев в културното пространство на съвременна България.</v>
      </c>
      <c r="D1185" s="10">
        <f ca="1">IFERROR(__xludf.DUMMYFUNCTION("""COMPUTED_VALUE"""),2019)</f>
        <v>2019</v>
      </c>
      <c r="E1185" s="10" t="str">
        <f ca="1">IFERROR(__xludf.DUMMYFUNCTION("""COMPUTED_VALUE"""),"Сецесион &amp; Компаративистика. Сборник в чест на проф. Цветана Георгиева. Киев - София: Издателство Ан-Ди, 2019, с. 218-244. ISBN 978-619-721-1.")</f>
        <v>Сецесион &amp; Компаративистика. Сборник в чест на проф. Цветана Георгиева. Киев - София: Издателство Ан-Ди, 2019, с. 218-244. ISBN 978-619-721-1.</v>
      </c>
      <c r="F1185" s="10"/>
      <c r="G1185" s="10"/>
      <c r="H1185" s="10"/>
      <c r="I1185" s="10"/>
      <c r="J1185" s="10"/>
      <c r="K1185" s="10"/>
      <c r="L1185" s="10"/>
      <c r="M1185" s="10"/>
      <c r="N1185" s="10"/>
      <c r="O1185" s="10"/>
      <c r="P1185" s="10"/>
      <c r="Q1185" s="10"/>
      <c r="R1185" s="10"/>
      <c r="S1185" s="10"/>
      <c r="T1185" s="10"/>
      <c r="U1185" s="10"/>
      <c r="V1185" s="10"/>
      <c r="W1185" s="10"/>
      <c r="X1185" s="10"/>
      <c r="Y1185" s="10"/>
      <c r="Z1185" s="10"/>
    </row>
    <row r="1186" spans="1:26" ht="12.75">
      <c r="A1186" s="10" t="str">
        <f ca="1">IFERROR(__xludf.DUMMYFUNCTION("""COMPUTED_VALUE"""),"Вера Петрова Бонева")</f>
        <v>Вера Петрова Бонева</v>
      </c>
      <c r="B1186" s="10" t="str">
        <f ca="1">IFERROR(__xludf.DUMMYFUNCTION("""COMPUTED_VALUE"""),"Статия в списания и поредици")</f>
        <v>Статия в списания и поредици</v>
      </c>
      <c r="C1186" s="10" t="str">
        <f ca="1">IFERROR(__xludf.DUMMYFUNCTION("""COMPUTED_VALUE"""),"За името на историческия връх Шипка: Рецензия на монографията на Петко Ст. Петков „Книга за върховете „Свети Никола“ и Шипка”.")</f>
        <v>За името на историческия връх Шипка: Рецензия на монографията на Петко Ст. Петков „Книга за върховете „Свети Никола“ и Шипка”.</v>
      </c>
      <c r="D1186" s="10">
        <f ca="1">IFERROR(__xludf.DUMMYFUNCTION("""COMPUTED_VALUE"""),2019)</f>
        <v>2019</v>
      </c>
      <c r="E1186" s="10" t="str">
        <f ca="1">IFERROR(__xludf.DUMMYFUNCTION("""COMPUTED_VALUE"""),"История, 2019, кн. 2, с. 207-212. ISSN 0861–3710.")</f>
        <v>История, 2019, кн. 2, с. 207-212. ISSN 0861–3710.</v>
      </c>
      <c r="F1186" s="10" t="str">
        <f ca="1">IFERROR(__xludf.DUMMYFUNCTION("""COMPUTED_VALUE"""),"- Web of Science: Emerging Sources Citation Index
 - European Reference Index for the Humanities 
  and the Social Sciences (ERIH PLUS)
 - Central and Eastern European Online Library (CEEOL)
 - EBSCOhost Research Databases
 - Google Scholar, Primo (Ex Lib"&amp;"ris), Summon (ProQuest)")</f>
        <v>- Web of Science: Emerging Sources Citation Index
 - European Reference Index for the Humanities 
  and the Social Sciences (ERIH PLUS)
 - Central and Eastern European Online Library (CEEOL)
 - EBSCOhost Research Databases
 - Google Scholar, Primo (Ex Libris), Summon (ProQuest)</v>
      </c>
      <c r="G1186" s="10"/>
      <c r="H1186" s="10"/>
      <c r="I1186" s="10"/>
      <c r="J1186" s="10"/>
      <c r="K1186" s="10"/>
      <c r="L1186" s="10"/>
      <c r="M1186" s="10"/>
      <c r="N1186" s="10"/>
      <c r="O1186" s="10"/>
      <c r="P1186" s="10"/>
      <c r="Q1186" s="10"/>
      <c r="R1186" s="10"/>
      <c r="S1186" s="10"/>
      <c r="T1186" s="10"/>
      <c r="U1186" s="10"/>
      <c r="V1186" s="10"/>
      <c r="W1186" s="10"/>
      <c r="X1186" s="10"/>
      <c r="Y1186" s="10"/>
      <c r="Z1186" s="10"/>
    </row>
    <row r="1187" spans="1:26" ht="12.75">
      <c r="A1187" s="10" t="str">
        <f ca="1">IFERROR(__xludf.DUMMYFUNCTION("""COMPUTED_VALUE"""),"Вера Петрова Бонева")</f>
        <v>Вера Петрова Бонева</v>
      </c>
      <c r="B1187" s="10" t="str">
        <f ca="1">IFERROR(__xludf.DUMMYFUNCTION("""COMPUTED_VALUE"""),"Статия в списания и поредици")</f>
        <v>Статия в списания и поредици</v>
      </c>
      <c r="C1187" s="10" t="str">
        <f ca="1">IFERROR(__xludf.DUMMYFUNCTION("""COMPUTED_VALUE"""),"Епископ Софроний Врачански в културната памет на съвременна България.")</f>
        <v>Епископ Софроний Врачански в културната памет на съвременна България.</v>
      </c>
      <c r="D1187" s="10">
        <f ca="1">IFERROR(__xludf.DUMMYFUNCTION("""COMPUTED_VALUE"""),2019)</f>
        <v>2019</v>
      </c>
      <c r="E1187" s="10" t="str">
        <f ca="1">IFERROR(__xludf.DUMMYFUNCTION("""COMPUTED_VALUE"""),"Списание на БАН, 2019, кн. 6, с. 72-75. ISSN: 0007-3989")</f>
        <v>Списание на БАН, 2019, кн. 6, с. 72-75. ISSN: 0007-3989</v>
      </c>
      <c r="F1187" s="10"/>
      <c r="G1187" s="10"/>
      <c r="H1187" s="10"/>
      <c r="I1187" s="10"/>
      <c r="J1187" s="10"/>
      <c r="K1187" s="10"/>
      <c r="L1187" s="10"/>
      <c r="M1187" s="10"/>
      <c r="N1187" s="10"/>
      <c r="O1187" s="10"/>
      <c r="P1187" s="10"/>
      <c r="Q1187" s="10"/>
      <c r="R1187" s="10"/>
      <c r="S1187" s="10"/>
      <c r="T1187" s="10"/>
      <c r="U1187" s="10"/>
      <c r="V1187" s="10"/>
      <c r="W1187" s="10"/>
      <c r="X1187" s="10"/>
      <c r="Y1187" s="10"/>
      <c r="Z1187" s="10"/>
    </row>
    <row r="1188" spans="1:26" ht="12.75">
      <c r="A1188" s="10" t="str">
        <f ca="1">IFERROR(__xludf.DUMMYFUNCTION("""COMPUTED_VALUE"""),"Вера Петрова Бонева")</f>
        <v>Вера Петрова Бонева</v>
      </c>
      <c r="B1188" s="10" t="str">
        <f ca="1">IFERROR(__xludf.DUMMYFUNCTION("""COMPUTED_VALUE"""),"Статия в списания и поредици")</f>
        <v>Статия в списания и поредици</v>
      </c>
      <c r="C1188" s="10" t="str">
        <f ca="1">IFERROR(__xludf.DUMMYFUNCTION("""COMPUTED_VALUE"""),"Михаил Грънчаров като историк на музейното дело в Плевен и Плевенско.")</f>
        <v>Михаил Грънчаров като историк на музейното дело в Плевен и Плевенско.</v>
      </c>
      <c r="D1188" s="10">
        <f ca="1">IFERROR(__xludf.DUMMYFUNCTION("""COMPUTED_VALUE"""),2019)</f>
        <v>2019</v>
      </c>
      <c r="E1188" s="10" t="str">
        <f ca="1">IFERROR(__xludf.DUMMYFUNCTION("""COMPUTED_VALUE"""),"Михаил Грънчаров. Историческият музей и музейното дело в Плевен 1903-1978 г. Регионален исторически музей – Плевен, 2019, с. 7-13. ISBN 978-619-00-0970-2")</f>
        <v>Михаил Грънчаров. Историческият музей и музейното дело в Плевен 1903-1978 г. Регионален исторически музей – Плевен, 2019, с. 7-13. ISBN 978-619-00-0970-2</v>
      </c>
      <c r="F1188" s="10"/>
      <c r="G1188" s="10"/>
      <c r="H1188" s="10"/>
      <c r="I1188" s="10"/>
      <c r="J1188" s="10"/>
      <c r="K1188" s="10"/>
      <c r="L1188" s="10"/>
      <c r="M1188" s="10"/>
      <c r="N1188" s="10"/>
      <c r="O1188" s="10"/>
      <c r="P1188" s="10"/>
      <c r="Q1188" s="10"/>
      <c r="R1188" s="10"/>
      <c r="S1188" s="10"/>
      <c r="T1188" s="10"/>
      <c r="U1188" s="10"/>
      <c r="V1188" s="10"/>
      <c r="W1188" s="10"/>
      <c r="X1188" s="10"/>
      <c r="Y1188" s="10"/>
      <c r="Z1188" s="10"/>
    </row>
    <row r="1189" spans="1:26" ht="12.75">
      <c r="A1189" s="10" t="str">
        <f ca="1">IFERROR(__xludf.DUMMYFUNCTION("""COMPUTED_VALUE"""),"Вера Петрова Бонева")</f>
        <v>Вера Петрова Бонева</v>
      </c>
      <c r="B1189" s="10" t="str">
        <f ca="1">IFERROR(__xludf.DUMMYFUNCTION("""COMPUTED_VALUE"""),"Статия в списания и поредици")</f>
        <v>Статия в списания и поредици</v>
      </c>
      <c r="C1189" s="10" t="str">
        <f ca="1">IFERROR(__xludf.DUMMYFUNCTION("""COMPUTED_VALUE"""),"""Тая знаменита къща"": Домът на Любен и Петко Каравелови в Копривщица.")</f>
        <v>"Тая знаменита къща": Домът на Любен и Петко Каравелови в Копривщица.</v>
      </c>
      <c r="D1189" s="10">
        <f ca="1">IFERROR(__xludf.DUMMYFUNCTION("""COMPUTED_VALUE"""),2019)</f>
        <v>2019</v>
      </c>
      <c r="E1189" s="10" t="str">
        <f ca="1">IFERROR(__xludf.DUMMYFUNCTION("""COMPUTED_VALUE"""),"Идеи и идеали – възход и крушение. Сборник с доклади от международна научна конференция, 23-24 април 2019 г. Т. 1.
 Регионална библиотека ""Любен Каравелов"" – Русе, 2019, 13-21. ISBN 978-619-7404-08-1")</f>
        <v>Идеи и идеали – възход и крушение. Сборник с доклади от международна научна конференция, 23-24 април 2019 г. Т. 1.
 Регионална библиотека "Любен Каравелов" – Русе, 2019, 13-21. ISBN 978-619-7404-08-1</v>
      </c>
      <c r="F1189" s="10"/>
      <c r="G1189" s="10"/>
      <c r="H1189" s="10"/>
      <c r="I1189" s="10"/>
      <c r="J1189" s="10"/>
      <c r="K1189" s="10"/>
      <c r="L1189" s="10"/>
      <c r="M1189" s="10"/>
      <c r="N1189" s="10"/>
      <c r="O1189" s="10"/>
      <c r="P1189" s="10"/>
      <c r="Q1189" s="10"/>
      <c r="R1189" s="10"/>
      <c r="S1189" s="10"/>
      <c r="T1189" s="10"/>
      <c r="U1189" s="10"/>
      <c r="V1189" s="10"/>
      <c r="W1189" s="10"/>
      <c r="X1189" s="10"/>
      <c r="Y1189" s="10"/>
      <c r="Z1189" s="10"/>
    </row>
    <row r="1190" spans="1:26" ht="12.75">
      <c r="A1190" s="10" t="str">
        <f ca="1">IFERROR(__xludf.DUMMYFUNCTION("""COMPUTED_VALUE"""),"Вера Петрова Бонева")</f>
        <v>Вера Петрова Бонева</v>
      </c>
      <c r="B1190" s="10" t="str">
        <f ca="1">IFERROR(__xludf.DUMMYFUNCTION("""COMPUTED_VALUE"""),"Студия")</f>
        <v>Студия</v>
      </c>
      <c r="C1190" s="10" t="str">
        <f ca="1">IFERROR(__xludf.DUMMYFUNCTION("""COMPUTED_VALUE"""),"Към темата за политическия отзвук на Хаджи-Димитровата чета: ""Млади"" и ""стари"" в Букурещ през 1869 г.")</f>
        <v>Към темата за политическия отзвук на Хаджи-Димитровата чета: "Млади" и "стари" в Букурещ през 1869 г.</v>
      </c>
      <c r="D1190" s="10">
        <f ca="1">IFERROR(__xludf.DUMMYFUNCTION("""COMPUTED_VALUE"""),2019)</f>
        <v>2019</v>
      </c>
      <c r="E1190" s="10" t="str">
        <f ca="1">IFERROR(__xludf.DUMMYFUNCTION("""COMPUTED_VALUE"""),"Обединената чета на Хаджи Димитър и Стефан Караджа
 (1868 г.). София: Фондация ""Българска памет"", 2019, с. 81-97. ISBN 978-619-7447-02-6")</f>
        <v>Обединената чета на Хаджи Димитър и Стефан Караджа
 (1868 г.). София: Фондация "Българска памет", 2019, с. 81-97. ISBN 978-619-7447-02-6</v>
      </c>
      <c r="F1190" s="10"/>
      <c r="G1190" s="10"/>
      <c r="H1190" s="10"/>
      <c r="I1190" s="10"/>
      <c r="J1190" s="10"/>
      <c r="K1190" s="10"/>
      <c r="L1190" s="10"/>
      <c r="M1190" s="10"/>
      <c r="N1190" s="10"/>
      <c r="O1190" s="10"/>
      <c r="P1190" s="10"/>
      <c r="Q1190" s="10"/>
      <c r="R1190" s="10"/>
      <c r="S1190" s="10"/>
      <c r="T1190" s="10"/>
      <c r="U1190" s="10"/>
      <c r="V1190" s="10"/>
      <c r="W1190" s="10"/>
      <c r="X1190" s="10"/>
      <c r="Y1190" s="10"/>
      <c r="Z1190" s="10"/>
    </row>
    <row r="1191" spans="1:26" ht="12.75">
      <c r="A1191" s="10" t="str">
        <f ca="1">IFERROR(__xludf.DUMMYFUNCTION("""COMPUTED_VALUE"""),"Вера Петрова Бонева")</f>
        <v>Вера Петрова Бонева</v>
      </c>
      <c r="B1191" s="10" t="str">
        <f ca="1">IFERROR(__xludf.DUMMYFUNCTION("""COMPUTED_VALUE"""),"Статия в списания и поредици")</f>
        <v>Статия в списания и поредици</v>
      </c>
      <c r="C1191" s="10" t="str">
        <f ca="1">IFERROR(__xludf.DUMMYFUNCTION("""COMPUTED_VALUE"""),"""Конституция, гарантирана от цяла Европа"": Отново за Органическия устав на Източна Румелия")</f>
        <v>"Конституция, гарантирана от цяла Европа": Отново за Органическия устав на Източна Румелия</v>
      </c>
      <c r="D1191" s="10">
        <f ca="1">IFERROR(__xludf.DUMMYFUNCTION("""COMPUTED_VALUE"""),2019)</f>
        <v>2019</v>
      </c>
      <c r="E1191" s="10" t="str">
        <f ca="1">IFERROR(__xludf.DUMMYFUNCTION("""COMPUTED_VALUE"""),"Конституция и държавност. Доклади от научна конференция по повод 70-годишнината от приемането на Втората българска конституция. Велико Търново: Университетско издателство ""Св. св. Кирил и Методий"", 2019, 77-90. ISBN 978-619-208-206-2")</f>
        <v>Конституция и държавност. Доклади от научна конференция по повод 70-годишнината от приемането на Втората българска конституция. Велико Търново: Университетско издателство "Св. св. Кирил и Методий", 2019, 77-90. ISBN 978-619-208-206-2</v>
      </c>
      <c r="F1191" s="10"/>
      <c r="G1191" s="10"/>
      <c r="H1191" s="10"/>
      <c r="I1191" s="10"/>
      <c r="J1191" s="10"/>
      <c r="K1191" s="10"/>
      <c r="L1191" s="10"/>
      <c r="M1191" s="10"/>
      <c r="N1191" s="10"/>
      <c r="O1191" s="10"/>
      <c r="P1191" s="10"/>
      <c r="Q1191" s="10"/>
      <c r="R1191" s="10"/>
      <c r="S1191" s="10"/>
      <c r="T1191" s="10"/>
      <c r="U1191" s="10"/>
      <c r="V1191" s="10"/>
      <c r="W1191" s="10"/>
      <c r="X1191" s="10"/>
      <c r="Y1191" s="10"/>
      <c r="Z1191" s="10"/>
    </row>
    <row r="1192" spans="1:26" ht="12.75">
      <c r="A1192" s="10" t="str">
        <f ca="1">IFERROR(__xludf.DUMMYFUNCTION("""COMPUTED_VALUE"""),"Вера Петрова Бонева")</f>
        <v>Вера Петрова Бонева</v>
      </c>
      <c r="B1192" s="10" t="str">
        <f ca="1">IFERROR(__xludf.DUMMYFUNCTION("""COMPUTED_VALUE"""),"Статия в списания и поредици")</f>
        <v>Статия в списания и поредици</v>
      </c>
      <c r="C1192" s="10" t="str">
        <f ca="1">IFERROR(__xludf.DUMMYFUNCTION("""COMPUTED_VALUE"""),"Художествена галерия ""Никола Манев"" в Чирпан: Към историята на една ре/емиграция.")</f>
        <v>Художествена галерия "Никола Манев" в Чирпан: Към историята на една ре/емиграция.</v>
      </c>
      <c r="D1192" s="10">
        <f ca="1">IFERROR(__xludf.DUMMYFUNCTION("""COMPUTED_VALUE"""),2019)</f>
        <v>2019</v>
      </c>
      <c r="E1192" s="10" t="str">
        <f ca="1">IFERROR(__xludf.DUMMYFUNCTION("""COMPUTED_VALUE"""),"Любословие. Списание за хуманитаристика. Шуменски университет &amp;quot;Епископ Константин Преславски"", 2019, бр. 19, 261-267. ISSN 1314-6033")</f>
        <v>Любословие. Списание за хуманитаристика. Шуменски университет &amp;quot;Епископ Константин Преславски", 2019, бр. 19, 261-267. ISSN 1314-6033</v>
      </c>
      <c r="F1192" s="10" t="str">
        <f ca="1">IFERROR(__xludf.DUMMYFUNCTION("""COMPUTED_VALUE"""),"ERIH+, РИНЦ и CEEOL, референтен списък на НАЦИД")</f>
        <v>ERIH+, РИНЦ и CEEOL, референтен списък на НАЦИД</v>
      </c>
      <c r="G1192" s="10"/>
      <c r="H1192" s="10"/>
      <c r="I1192" s="10"/>
      <c r="J1192" s="10"/>
      <c r="K1192" s="10"/>
      <c r="L1192" s="10"/>
      <c r="M1192" s="10"/>
      <c r="N1192" s="10"/>
      <c r="O1192" s="10"/>
      <c r="P1192" s="10"/>
      <c r="Q1192" s="10"/>
      <c r="R1192" s="10"/>
      <c r="S1192" s="10"/>
      <c r="T1192" s="10"/>
      <c r="U1192" s="10"/>
      <c r="V1192" s="10"/>
      <c r="W1192" s="10"/>
      <c r="X1192" s="10"/>
      <c r="Y1192" s="10"/>
      <c r="Z1192" s="10"/>
    </row>
    <row r="1193" spans="1:26" ht="12.75">
      <c r="A1193" s="10" t="str">
        <f ca="1">IFERROR(__xludf.DUMMYFUNCTION("""COMPUTED_VALUE"""),"Вера Петрова Бонева")</f>
        <v>Вера Петрова Бонева</v>
      </c>
      <c r="B1193" s="10" t="str">
        <f ca="1">IFERROR(__xludf.DUMMYFUNCTION("""COMPUTED_VALUE"""),"Статия в списания и поредици")</f>
        <v>Статия в списания и поредици</v>
      </c>
      <c r="C1193" s="10" t="str">
        <f ca="1">IFERROR(__xludf.DUMMYFUNCTION("""COMPUTED_VALUE"""),"Възрожденският учител Веселин Груев.")</f>
        <v>Възрожденският учител Веселин Груев.</v>
      </c>
      <c r="D1193" s="10">
        <f ca="1">IFERROR(__xludf.DUMMYFUNCTION("""COMPUTED_VALUE"""),2019)</f>
        <v>2019</v>
      </c>
      <c r="E1193" s="10" t="str">
        <f ca="1">IFERROR(__xludf.DUMMYFUNCTION("""COMPUTED_VALUE"""),"Педагогика, 2019, кн. 4, 463-476. ISSN 0861–3982.")</f>
        <v>Педагогика, 2019, кн. 4, 463-476. ISSN 0861–3982.</v>
      </c>
      <c r="F1193" s="10" t="str">
        <f ca="1">IFERROR(__xludf.DUMMYFUNCTION("""COMPUTED_VALUE"""),"- Web of Science: Emerging Sources Citation Index
 - European Reference Index for the Humanities
  and the Social Sciences (ERIH PLUS)
 - Central and Eastern European Online Library (CEEOL)
 - EBSCOhost Research Databases
 - Google Scholar, Primo (Ex Libr"&amp;"is), Summon (ProQuest)")</f>
        <v>- Web of Science: Emerging Sources Citation Index
 - European Reference Index for the Humanities
  and the Social Sciences (ERIH PLUS)
 - Central and Eastern European Online Library (CEEOL)
 - EBSCOhost Research Databases
 - Google Scholar, Primo (Ex Libris), Summon (ProQuest)</v>
      </c>
      <c r="G1193" s="10"/>
      <c r="H1193" s="10"/>
      <c r="I1193" s="10"/>
      <c r="J1193" s="10"/>
      <c r="K1193" s="10"/>
      <c r="L1193" s="10"/>
      <c r="M1193" s="10"/>
      <c r="N1193" s="10"/>
      <c r="O1193" s="10"/>
      <c r="P1193" s="10"/>
      <c r="Q1193" s="10"/>
      <c r="R1193" s="10"/>
      <c r="S1193" s="10"/>
      <c r="T1193" s="10"/>
      <c r="U1193" s="10"/>
      <c r="V1193" s="10"/>
      <c r="W1193" s="10"/>
      <c r="X1193" s="10"/>
      <c r="Y1193" s="10"/>
      <c r="Z1193" s="10"/>
    </row>
    <row r="1194" spans="1:26" ht="12.75">
      <c r="A1194" s="10" t="str">
        <f ca="1">IFERROR(__xludf.DUMMYFUNCTION("""COMPUTED_VALUE"""),"Вера Петрова Бонева")</f>
        <v>Вера Петрова Бонева</v>
      </c>
      <c r="B1194" s="10" t="str">
        <f ca="1">IFERROR(__xludf.DUMMYFUNCTION("""COMPUTED_VALUE"""),"Статия в списания и поредици")</f>
        <v>Статия в списания и поредици</v>
      </c>
      <c r="C1194" s="10" t="str">
        <f ca="1">IFERROR(__xludf.DUMMYFUNCTION("""COMPUTED_VALUE"""),"Трубадур на Българския Северозапад.")</f>
        <v>Трубадур на Българския Северозапад.</v>
      </c>
      <c r="D1194" s="10">
        <f ca="1">IFERROR(__xludf.DUMMYFUNCTION("""COMPUTED_VALUE"""),2019)</f>
        <v>2019</v>
      </c>
      <c r="E1194" s="10" t="str">
        <f ca="1">IFERROR(__xludf.DUMMYFUNCTION("""COMPUTED_VALUE"""),"Юлий Йорданов ""Северозападни опуси на талантливостта"". Монтана 2019, с. 5-9. ISBN 978-619-00-1023-4")</f>
        <v>Юлий Йорданов "Северозападни опуси на талантливостта". Монтана 2019, с. 5-9. ISBN 978-619-00-1023-4</v>
      </c>
      <c r="F1194" s="10"/>
      <c r="G1194" s="10"/>
      <c r="H1194" s="10"/>
      <c r="I1194" s="10"/>
      <c r="J1194" s="10"/>
      <c r="K1194" s="10"/>
      <c r="L1194" s="10"/>
      <c r="M1194" s="10"/>
      <c r="N1194" s="10"/>
      <c r="O1194" s="10"/>
      <c r="P1194" s="10"/>
      <c r="Q1194" s="10"/>
      <c r="R1194" s="10"/>
      <c r="S1194" s="10"/>
      <c r="T1194" s="10"/>
      <c r="U1194" s="10"/>
      <c r="V1194" s="10"/>
      <c r="W1194" s="10"/>
      <c r="X1194" s="10"/>
      <c r="Y1194" s="10"/>
      <c r="Z1194" s="10"/>
    </row>
    <row r="1195" spans="1:26" ht="12.75">
      <c r="A1195" s="10" t="str">
        <f ca="1">IFERROR(__xludf.DUMMYFUNCTION("""COMPUTED_VALUE"""),"Вера Петрова Бонева")</f>
        <v>Вера Петрова Бонева</v>
      </c>
      <c r="B1195" s="10" t="str">
        <f ca="1">IFERROR(__xludf.DUMMYFUNCTION("""COMPUTED_VALUE"""),"Статия в списания и поредици")</f>
        <v>Статия в списания и поредици</v>
      </c>
      <c r="C1195" s="10" t="str">
        <f ca="1">IFERROR(__xludf.DUMMYFUNCTION("""COMPUTED_VALUE"""),"Възрожденецът Гаврил Кръстевич.")</f>
        <v>Възрожденецът Гаврил Кръстевич.</v>
      </c>
      <c r="D1195" s="10">
        <f ca="1">IFERROR(__xludf.DUMMYFUNCTION("""COMPUTED_VALUE"""),2018)</f>
        <v>2018</v>
      </c>
      <c r="E1195" s="10" t="str">
        <f ca="1">IFERROR(__xludf.DUMMYFUNCTION("""COMPUTED_VALUE"""),"Списание на Българската академия на науките, 2018, кн. 4, с. 43-47. ISSN - 0007-3989")</f>
        <v>Списание на Българската академия на науките, 2018, кн. 4, с. 43-47. ISSN - 0007-3989</v>
      </c>
      <c r="F1195" s="10" t="str">
        <f ca="1">IFERROR(__xludf.DUMMYFUNCTION("""COMPUTED_VALUE"""),"В Националния референтен списък на изданията с научно рецензиране – НАЦИД, № 1235")</f>
        <v>В Националния референтен списък на изданията с научно рецензиране – НАЦИД, № 1235</v>
      </c>
      <c r="G1195" s="10"/>
      <c r="H1195" s="10"/>
      <c r="I1195" s="10"/>
      <c r="J1195" s="10"/>
      <c r="K1195" s="10"/>
      <c r="L1195" s="10"/>
      <c r="M1195" s="10"/>
      <c r="N1195" s="10"/>
      <c r="O1195" s="10"/>
      <c r="P1195" s="10"/>
      <c r="Q1195" s="10"/>
      <c r="R1195" s="10"/>
      <c r="S1195" s="10"/>
      <c r="T1195" s="10"/>
      <c r="U1195" s="10"/>
      <c r="V1195" s="10"/>
      <c r="W1195" s="10"/>
      <c r="X1195" s="10"/>
      <c r="Y1195" s="10"/>
      <c r="Z1195" s="10"/>
    </row>
    <row r="1196" spans="1:26" ht="12.75">
      <c r="A1196" s="10" t="str">
        <f ca="1">IFERROR(__xludf.DUMMYFUNCTION("""COMPUTED_VALUE"""),"Вера Петрова Бонева")</f>
        <v>Вера Петрова Бонева</v>
      </c>
      <c r="B1196" s="10" t="str">
        <f ca="1">IFERROR(__xludf.DUMMYFUNCTION("""COMPUTED_VALUE"""),"Доклад от конференция")</f>
        <v>Доклад от конференция</v>
      </c>
      <c r="C1196" s="10" t="str">
        <f ca="1">IFERROR(__xludf.DUMMYFUNCTION("""COMPUTED_VALUE"""),"Музей, ама не съвсем: Парамузейни структури в България днес.")</f>
        <v>Музей, ама не съвсем: Парамузейни структури в България днес.</v>
      </c>
      <c r="D1196" s="10">
        <f ca="1">IFERROR(__xludf.DUMMYFUNCTION("""COMPUTED_VALUE"""),2018)</f>
        <v>2018</v>
      </c>
      <c r="E1196" s="10" t="str">
        <f ca="1">IFERROR(__xludf.DUMMYFUNCTION("""COMPUTED_VALUE"""),"Музеи и общини. 2. Сборник материали от Национална конференция „Музеи и общини“, проведена в Трявна на 30 и 31 март 2017. Научен редактор на сборника: проф. дин Милко Палангурски. Фабер, 2018, 22-40. ISBN 978-619-00-0727-2")</f>
        <v>Музеи и общини. 2. Сборник материали от Национална конференция „Музеи и общини“, проведена в Трявна на 30 и 31 март 2017. Научен редактор на сборника: проф. дин Милко Палангурски. Фабер, 2018, 22-40. ISBN 978-619-00-0727-2</v>
      </c>
      <c r="F1196" s="10"/>
      <c r="G1196" s="10"/>
      <c r="H1196" s="10"/>
      <c r="I1196" s="10"/>
      <c r="J1196" s="10"/>
      <c r="K1196" s="10"/>
      <c r="L1196" s="10"/>
      <c r="M1196" s="10"/>
      <c r="N1196" s="10"/>
      <c r="O1196" s="10"/>
      <c r="P1196" s="10"/>
      <c r="Q1196" s="10"/>
      <c r="R1196" s="10"/>
      <c r="S1196" s="10"/>
      <c r="T1196" s="10"/>
      <c r="U1196" s="10"/>
      <c r="V1196" s="10"/>
      <c r="W1196" s="10"/>
      <c r="X1196" s="10"/>
      <c r="Y1196" s="10"/>
      <c r="Z1196" s="10"/>
    </row>
    <row r="1197" spans="1:26" ht="12.75">
      <c r="A1197" s="10" t="str">
        <f ca="1">IFERROR(__xludf.DUMMYFUNCTION("""COMPUTED_VALUE"""),"Вера Петрова Бонева")</f>
        <v>Вера Петрова Бонева</v>
      </c>
      <c r="B1197" s="10" t="str">
        <f ca="1">IFERROR(__xludf.DUMMYFUNCTION("""COMPUTED_VALUE"""),"Доклад от конференция")</f>
        <v>Доклад от конференция</v>
      </c>
      <c r="C1197" s="10" t="str">
        <f ca="1">IFERROR(__xludf.DUMMYFUNCTION("""COMPUTED_VALUE"""),"Bulgaria Keeps the Remembrance of Hungarian Revolution: Lajos Kossuth House Museum in Shumen.")</f>
        <v>Bulgaria Keeps the Remembrance of Hungarian Revolution: Lajos Kossuth House Museum in Shumen.</v>
      </c>
      <c r="D1197" s="10">
        <f ca="1">IFERROR(__xludf.DUMMYFUNCTION("""COMPUTED_VALUE"""),2018)</f>
        <v>2018</v>
      </c>
      <c r="E1197" s="10" t="str">
        <f ca="1">IFERROR(__xludf.DUMMYFUNCTION("""COMPUTED_VALUE"""),"Interpret Europe’s Conference: Proceedings. Kőszeg, 2018, 22-28.")</f>
        <v>Interpret Europe’s Conference: Proceedings. Kőszeg, 2018, 22-28.</v>
      </c>
      <c r="F1197" s="10"/>
      <c r="G1197" s="10"/>
      <c r="H1197" s="10"/>
      <c r="I1197" s="10"/>
      <c r="J1197" s="10"/>
      <c r="K1197" s="10"/>
      <c r="L1197" s="10"/>
      <c r="M1197" s="10"/>
      <c r="N1197" s="10"/>
      <c r="O1197" s="10"/>
      <c r="P1197" s="10"/>
      <c r="Q1197" s="10"/>
      <c r="R1197" s="10"/>
      <c r="S1197" s="10"/>
      <c r="T1197" s="10"/>
      <c r="U1197" s="10"/>
      <c r="V1197" s="10"/>
      <c r="W1197" s="10"/>
      <c r="X1197" s="10"/>
      <c r="Y1197" s="10"/>
      <c r="Z1197" s="10"/>
    </row>
    <row r="1198" spans="1:26" ht="12.75">
      <c r="A1198" s="10" t="str">
        <f ca="1">IFERROR(__xludf.DUMMYFUNCTION("""COMPUTED_VALUE"""),"Вера Петрова Бонева")</f>
        <v>Вера Петрова Бонева</v>
      </c>
      <c r="B1198" s="10" t="str">
        <f ca="1">IFERROR(__xludf.DUMMYFUNCTION("""COMPUTED_VALUE"""),"Статия в списания и поредици")</f>
        <v>Статия в списания и поредици</v>
      </c>
      <c r="C1198" s="10" t="str">
        <f ca="1">IFERROR(__xludf.DUMMYFUNCTION("""COMPUTED_VALUE"""),"Музеят разказва за себе си: Една необходима саморефлексия.")</f>
        <v>Музеят разказва за себе си: Една необходима саморефлексия.</v>
      </c>
      <c r="D1198" s="10">
        <f ca="1">IFERROR(__xludf.DUMMYFUNCTION("""COMPUTED_VALUE"""),2018)</f>
        <v>2018</v>
      </c>
      <c r="E1198" s="10" t="str">
        <f ca="1">IFERROR(__xludf.DUMMYFUNCTION("""COMPUTED_VALUE"""),"Музейни летописи – 90 години организирано музейно дело, град Хасково. Регионален исторически музей – Хасково, 2018. с. 165-173. ISBN 978-619-90046-6-1")</f>
        <v>Музейни летописи – 90 години организирано музейно дело, град Хасково. Регионален исторически музей – Хасково, 2018. с. 165-173. ISBN 978-619-90046-6-1</v>
      </c>
      <c r="F1198" s="10"/>
      <c r="G1198" s="10"/>
      <c r="H1198" s="10"/>
      <c r="I1198" s="10"/>
      <c r="J1198" s="10"/>
      <c r="K1198" s="10"/>
      <c r="L1198" s="10"/>
      <c r="M1198" s="10"/>
      <c r="N1198" s="10"/>
      <c r="O1198" s="10"/>
      <c r="P1198" s="10"/>
      <c r="Q1198" s="10"/>
      <c r="R1198" s="10"/>
      <c r="S1198" s="10"/>
      <c r="T1198" s="10"/>
      <c r="U1198" s="10"/>
      <c r="V1198" s="10"/>
      <c r="W1198" s="10"/>
      <c r="X1198" s="10"/>
      <c r="Y1198" s="10"/>
      <c r="Z1198" s="10"/>
    </row>
    <row r="1199" spans="1:26" ht="12.75">
      <c r="A1199" s="10" t="str">
        <f ca="1">IFERROR(__xludf.DUMMYFUNCTION("""COMPUTED_VALUE"""),"Вера Петрова Бонева")</f>
        <v>Вера Петрова Бонева</v>
      </c>
      <c r="B1199" s="10" t="str">
        <f ca="1">IFERROR(__xludf.DUMMYFUNCTION("""COMPUTED_VALUE"""),"Доклад от конференция")</f>
        <v>Доклад от конференция</v>
      </c>
      <c r="C1199" s="10" t="str">
        <f ca="1">IFERROR(__xludf.DUMMYFUNCTION("""COMPUTED_VALUE"""),"Българското училище в музея: колекции, експозиции и интерпретации.")</f>
        <v>Българското училище в музея: колекции, експозиции и интерпретации.</v>
      </c>
      <c r="D1199" s="10">
        <f ca="1">IFERROR(__xludf.DUMMYFUNCTION("""COMPUTED_VALUE"""),2018)</f>
        <v>2018</v>
      </c>
      <c r="E1199" s="10" t="str">
        <f ca="1">IFERROR(__xludf.DUMMYFUNCTION("""COMPUTED_VALUE"""),"Музеите и училищната история. Международна научна конференция – Габрово. Национален музей на образованието и Министерство на образованието и науката – 2018. Сборник с доклади. Издателство ""Фабер"", 2018, с. 7-14. ISBN 978-619-00-0920-7.")</f>
        <v>Музеите и училищната история. Международна научна конференция – Габрово. Национален музей на образованието и Министерство на образованието и науката – 2018. Сборник с доклади. Издателство "Фабер", 2018, с. 7-14. ISBN 978-619-00-0920-7.</v>
      </c>
      <c r="F1199" s="10"/>
      <c r="G1199" s="10"/>
      <c r="H1199" s="10"/>
      <c r="I1199" s="10"/>
      <c r="J1199" s="10"/>
      <c r="K1199" s="10"/>
      <c r="L1199" s="10"/>
      <c r="M1199" s="10"/>
      <c r="N1199" s="10"/>
      <c r="O1199" s="10"/>
      <c r="P1199" s="10"/>
      <c r="Q1199" s="10"/>
      <c r="R1199" s="10"/>
      <c r="S1199" s="10"/>
      <c r="T1199" s="10"/>
      <c r="U1199" s="10"/>
      <c r="V1199" s="10"/>
      <c r="W1199" s="10"/>
      <c r="X1199" s="10"/>
      <c r="Y1199" s="10"/>
      <c r="Z1199" s="10"/>
    </row>
    <row r="1200" spans="1:26" ht="12.75">
      <c r="A1200" s="10" t="str">
        <f ca="1">IFERROR(__xludf.DUMMYFUNCTION("""COMPUTED_VALUE"""),"Вера Петрова Бонева")</f>
        <v>Вера Петрова Бонева</v>
      </c>
      <c r="B1200" s="10" t="str">
        <f ca="1">IFERROR(__xludf.DUMMYFUNCTION("""COMPUTED_VALUE"""),"Доклад от конференция")</f>
        <v>Доклад от конференция</v>
      </c>
      <c r="C1200" s="10" t="str">
        <f ca="1">IFERROR(__xludf.DUMMYFUNCTION("""COMPUTED_VALUE"""),"Манифест за музейния сувенир")</f>
        <v>Манифест за музейния сувенир</v>
      </c>
      <c r="D1200" s="10">
        <f ca="1">IFERROR(__xludf.DUMMYFUNCTION("""COMPUTED_VALUE"""),2018)</f>
        <v>2018</v>
      </c>
      <c r="E1200" s="10" t="str">
        <f ca="1">IFERROR(__xludf.DUMMYFUNCTION("""COMPUTED_VALUE"""),"Копия - реплики - фалшификати. Шеста научна конференция по организация, управление и защита на културно-историческото наследство. София: Фондация ""Арете-Фол"", 2018, 22-27. ISSN: 2340-1095")</f>
        <v>Копия - реплики - фалшификати. Шеста научна конференция по организация, управление и защита на културно-историческото наследство. София: Фондация "Арете-Фол", 2018, 22-27. ISSN: 2340-1095</v>
      </c>
      <c r="F1200" s="10"/>
      <c r="G1200" s="10"/>
      <c r="H1200" s="10"/>
      <c r="I1200" s="10"/>
      <c r="J1200" s="10"/>
      <c r="K1200" s="10"/>
      <c r="L1200" s="10"/>
      <c r="M1200" s="10"/>
      <c r="N1200" s="10"/>
      <c r="O1200" s="10"/>
      <c r="P1200" s="10"/>
      <c r="Q1200" s="10"/>
      <c r="R1200" s="10"/>
      <c r="S1200" s="10"/>
      <c r="T1200" s="10"/>
      <c r="U1200" s="10"/>
      <c r="V1200" s="10"/>
      <c r="W1200" s="10"/>
      <c r="X1200" s="10"/>
      <c r="Y1200" s="10"/>
      <c r="Z1200" s="10"/>
    </row>
    <row r="1201" spans="1:26" ht="12.75">
      <c r="A1201" s="10" t="str">
        <f ca="1">IFERROR(__xludf.DUMMYFUNCTION("""COMPUTED_VALUE"""),"Вера Петрова Бонева")</f>
        <v>Вера Петрова Бонева</v>
      </c>
      <c r="B1201" s="10" t="str">
        <f ca="1">IFERROR(__xludf.DUMMYFUNCTION("""COMPUTED_VALUE"""),"Статия в списания и поредици")</f>
        <v>Статия в списания и поредици</v>
      </c>
      <c r="C1201" s="10" t="str">
        <f ca="1">IFERROR(__xludf.DUMMYFUNCTION("""COMPUTED_VALUE"""),"Българското църковнонационално движение във Видинска епархия 1856-1870.")</f>
        <v>Българското църковнонационално движение във Видинска епархия 1856-1870.</v>
      </c>
      <c r="D1201" s="10">
        <f ca="1">IFERROR(__xludf.DUMMYFUNCTION("""COMPUTED_VALUE"""),2017)</f>
        <v>2017</v>
      </c>
      <c r="E1201" s="10" t="str">
        <f ca="1">IFERROR(__xludf.DUMMYFUNCTION("""COMPUTED_VALUE"""),"Исторически преглед, 2017, кн. 1-2, 61-81.")</f>
        <v>Исторически преглед, 2017, кн. 1-2, 61-81.</v>
      </c>
      <c r="F1201" s="10" t="str">
        <f ca="1">IFERROR(__xludf.DUMMYFUNCTION("""COMPUTED_VALUE"""),"РИНЦ 
 CEEOL
 EBSCO")</f>
        <v>РИНЦ 
 CEEOL
 EBSCO</v>
      </c>
      <c r="G1201" s="10"/>
      <c r="H1201" s="10"/>
      <c r="I1201" s="10"/>
      <c r="J1201" s="10"/>
      <c r="K1201" s="10"/>
      <c r="L1201" s="10"/>
      <c r="M1201" s="10"/>
      <c r="N1201" s="10"/>
      <c r="O1201" s="10"/>
      <c r="P1201" s="10"/>
      <c r="Q1201" s="10"/>
      <c r="R1201" s="10"/>
      <c r="S1201" s="10"/>
      <c r="T1201" s="10"/>
      <c r="U1201" s="10"/>
      <c r="V1201" s="10"/>
      <c r="W1201" s="10"/>
      <c r="X1201" s="10"/>
      <c r="Y1201" s="10"/>
      <c r="Z1201" s="10"/>
    </row>
    <row r="1202" spans="1:26" ht="12.75">
      <c r="A1202" s="10" t="str">
        <f ca="1">IFERROR(__xludf.DUMMYFUNCTION("""COMPUTED_VALUE"""),"Вера Петрова Бонева")</f>
        <v>Вера Петрова Бонева</v>
      </c>
      <c r="B1202" s="10" t="str">
        <f ca="1">IFERROR(__xludf.DUMMYFUNCTION("""COMPUTED_VALUE"""),"Статия в списания и поредици")</f>
        <v>Статия в списания и поредици</v>
      </c>
      <c r="C1202" s="10" t="str">
        <f ca="1">IFERROR(__xludf.DUMMYFUNCTION("""COMPUTED_VALUE"""),"Сътворяването на свободата: Априлското въстание в българското изкуство.")</f>
        <v>Сътворяването на свободата: Априлското въстание в българското изкуство.</v>
      </c>
      <c r="D1202" s="10">
        <f ca="1">IFERROR(__xludf.DUMMYFUNCTION("""COMPUTED_VALUE"""),2017)</f>
        <v>2017</v>
      </c>
      <c r="E1202" s="10" t="str">
        <f ca="1">IFERROR(__xludf.DUMMYFUNCTION("""COMPUTED_VALUE"""),"Град и памет. Т. 3. Пазарджик, 2017, 50-71.")</f>
        <v>Град и памет. Т. 3. Пазарджик, 2017, 50-71.</v>
      </c>
      <c r="F1202" s="10"/>
      <c r="G1202" s="10" t="str">
        <f ca="1">IFERROR(__xludf.DUMMYFUNCTION("""COMPUTED_VALUE"""),"Ваня Донева")</f>
        <v>Ваня Донева</v>
      </c>
      <c r="H1202" s="10"/>
      <c r="I1202" s="10"/>
      <c r="J1202" s="10"/>
      <c r="K1202" s="10"/>
      <c r="L1202" s="10"/>
      <c r="M1202" s="10"/>
      <c r="N1202" s="10"/>
      <c r="O1202" s="10"/>
      <c r="P1202" s="10"/>
      <c r="Q1202" s="10"/>
      <c r="R1202" s="10"/>
      <c r="S1202" s="10"/>
      <c r="T1202" s="10"/>
      <c r="U1202" s="10"/>
      <c r="V1202" s="10"/>
      <c r="W1202" s="10"/>
      <c r="X1202" s="10"/>
      <c r="Y1202" s="10"/>
      <c r="Z1202" s="10"/>
    </row>
    <row r="1203" spans="1:26" ht="12.75">
      <c r="A1203" s="10" t="str">
        <f ca="1">IFERROR(__xludf.DUMMYFUNCTION("""COMPUTED_VALUE"""),"Вера Петрова Бонева")</f>
        <v>Вера Петрова Бонева</v>
      </c>
      <c r="B1203" s="10" t="str">
        <f ca="1">IFERROR(__xludf.DUMMYFUNCTION("""COMPUTED_VALUE"""),"Статия в списания и поредици")</f>
        <v>Статия в списания и поредици</v>
      </c>
      <c r="C1203" s="10" t="str">
        <f ca="1">IFERROR(__xludf.DUMMYFUNCTION("""COMPUTED_VALUE"""),"Брацигово: Музеи и памет за Априлското въстание.")</f>
        <v>Брацигово: Музеи и памет за Априлското въстание.</v>
      </c>
      <c r="D1203" s="10">
        <f ca="1">IFERROR(__xludf.DUMMYFUNCTION("""COMPUTED_VALUE"""),2017)</f>
        <v>2017</v>
      </c>
      <c r="E1203" s="10" t="str">
        <f ca="1">IFERROR(__xludf.DUMMYFUNCTION("""COMPUTED_VALUE"""),"Град и памет. Т. 3. Пазарджик, 2017, 18-26.")</f>
        <v>Град и памет. Т. 3. Пазарджик, 2017, 18-26.</v>
      </c>
      <c r="F1203" s="10"/>
      <c r="G1203" s="10"/>
      <c r="H1203" s="10"/>
      <c r="I1203" s="10"/>
      <c r="J1203" s="10"/>
      <c r="K1203" s="10"/>
      <c r="L1203" s="10"/>
      <c r="M1203" s="10"/>
      <c r="N1203" s="10"/>
      <c r="O1203" s="10"/>
      <c r="P1203" s="10"/>
      <c r="Q1203" s="10"/>
      <c r="R1203" s="10"/>
      <c r="S1203" s="10"/>
      <c r="T1203" s="10"/>
      <c r="U1203" s="10"/>
      <c r="V1203" s="10"/>
      <c r="W1203" s="10"/>
      <c r="X1203" s="10"/>
      <c r="Y1203" s="10"/>
      <c r="Z1203" s="10"/>
    </row>
    <row r="1204" spans="1:26" ht="12.75">
      <c r="A1204" s="10" t="str">
        <f ca="1">IFERROR(__xludf.DUMMYFUNCTION("""COMPUTED_VALUE"""),"Вера Петрова Бонева")</f>
        <v>Вера Петрова Бонева</v>
      </c>
      <c r="B1204" s="10" t="str">
        <f ca="1">IFERROR(__xludf.DUMMYFUNCTION("""COMPUTED_VALUE"""),"Книга")</f>
        <v>Книга</v>
      </c>
      <c r="C1204" s="10" t="str">
        <f ca="1">IFERROR(__xludf.DUMMYFUNCTION("""COMPUTED_VALUE"""),"Регионалните музеи в културната инфраструктура на България. Фабер, 2017. 208 стр. Научен редактор: д-р Йордан Желев.")</f>
        <v>Регионалните музеи в културната инфраструктура на България. Фабер, 2017. 208 стр. Научен редактор: д-р Йордан Желев.</v>
      </c>
      <c r="D1204" s="10">
        <f ca="1">IFERROR(__xludf.DUMMYFUNCTION("""COMPUTED_VALUE"""),2017)</f>
        <v>2017</v>
      </c>
      <c r="E1204" s="10" t="str">
        <f ca="1">IFERROR(__xludf.DUMMYFUNCTION("""COMPUTED_VALUE"""),"Faber – ISBN")</f>
        <v>Faber – ISBN</v>
      </c>
      <c r="F1204" s="10" t="str">
        <f ca="1">IFERROR(__xludf.DUMMYFUNCTION("""COMPUTED_VALUE"""),"Монография по научен проект.")</f>
        <v>Монография по научен проект.</v>
      </c>
      <c r="G1204" s="10" t="str">
        <f ca="1">IFERROR(__xludf.DUMMYFUNCTION("""COMPUTED_VALUE"""),"Руско Русев")</f>
        <v>Руско Русев</v>
      </c>
      <c r="H1204" s="10"/>
      <c r="I1204" s="10"/>
      <c r="J1204" s="10"/>
      <c r="K1204" s="10"/>
      <c r="L1204" s="10"/>
      <c r="M1204" s="10"/>
      <c r="N1204" s="10"/>
      <c r="O1204" s="10"/>
      <c r="P1204" s="10"/>
      <c r="Q1204" s="10"/>
      <c r="R1204" s="10"/>
      <c r="S1204" s="10"/>
      <c r="T1204" s="10"/>
      <c r="U1204" s="10"/>
      <c r="V1204" s="10"/>
      <c r="W1204" s="10"/>
      <c r="X1204" s="10"/>
      <c r="Y1204" s="10"/>
      <c r="Z1204" s="10"/>
    </row>
    <row r="1205" spans="1:26" ht="12.75">
      <c r="A1205" s="10" t="str">
        <f ca="1">IFERROR(__xludf.DUMMYFUNCTION("""COMPUTED_VALUE"""),"Вера Петрова Бонева")</f>
        <v>Вера Петрова Бонева</v>
      </c>
      <c r="B1205" s="10" t="str">
        <f ca="1">IFERROR(__xludf.DUMMYFUNCTION("""COMPUTED_VALUE"""),"Статия в списания и поредици")</f>
        <v>Статия в списания и поредици</v>
      </c>
      <c r="C1205" s="10" t="str">
        <f ca="1">IFERROR(__xludf.DUMMYFUNCTION("""COMPUTED_VALUE"""),"Регионални музеи и общини: Законова рамка и фактическа ситуация.")</f>
        <v>Регионални музеи и общини: Законова рамка и фактическа ситуация.</v>
      </c>
      <c r="D1205" s="10">
        <f ca="1">IFERROR(__xludf.DUMMYFUNCTION("""COMPUTED_VALUE"""),2017)</f>
        <v>2017</v>
      </c>
      <c r="E1205" s="10" t="str">
        <f ca="1">IFERROR(__xludf.DUMMYFUNCTION("""COMPUTED_VALUE"""),"Музеи и общини. Т. 1. Фабер, 2017, 117-133")</f>
        <v>Музеи и общини. Т. 1. Фабер, 2017, 117-133</v>
      </c>
      <c r="F1205" s="10"/>
      <c r="G1205" s="10"/>
      <c r="H1205" s="10"/>
      <c r="I1205" s="10"/>
      <c r="J1205" s="10"/>
      <c r="K1205" s="10"/>
      <c r="L1205" s="10"/>
      <c r="M1205" s="10"/>
      <c r="N1205" s="10"/>
      <c r="O1205" s="10"/>
      <c r="P1205" s="10"/>
      <c r="Q1205" s="10"/>
      <c r="R1205" s="10"/>
      <c r="S1205" s="10"/>
      <c r="T1205" s="10"/>
      <c r="U1205" s="10"/>
      <c r="V1205" s="10"/>
      <c r="W1205" s="10"/>
      <c r="X1205" s="10"/>
      <c r="Y1205" s="10"/>
      <c r="Z1205" s="10"/>
    </row>
    <row r="1206" spans="1:26" ht="12.75">
      <c r="A1206" s="10" t="str">
        <f ca="1">IFERROR(__xludf.DUMMYFUNCTION("""COMPUTED_VALUE"""),"Вера Петрова Бонева")</f>
        <v>Вера Петрова Бонева</v>
      </c>
      <c r="B1206" s="10" t="str">
        <f ca="1">IFERROR(__xludf.DUMMYFUNCTION("""COMPUTED_VALUE"""),"Доклад от конференция")</f>
        <v>Доклад от конференция</v>
      </c>
      <c r="C1206" s="10" t="str">
        <f ca="1">IFERROR(__xludf.DUMMYFUNCTION("""COMPUTED_VALUE"""),"Васил Левски: Музейни разкази.")</f>
        <v>Васил Левски: Музейни разкази.</v>
      </c>
      <c r="D1206" s="10">
        <f ca="1">IFERROR(__xludf.DUMMYFUNCTION("""COMPUTED_VALUE"""),2017)</f>
        <v>2017</v>
      </c>
      <c r="E1206" s="10" t="str">
        <f ca="1">IFERROR(__xludf.DUMMYFUNCTION("""COMPUTED_VALUE"""),"Васил Левски и вътрешната революционна организация в борбата за национално освобождение. Сборник с материали от Национална научна конференция. Карлово, 22-23 юни 2017. Карлово: Национален музей „Васил Левски“, 2017, с. 400-409.")</f>
        <v>Васил Левски и вътрешната революционна организация в борбата за национално освобождение. Сборник с материали от Национална научна конференция. Карлово, 22-23 юни 2017. Карлово: Национален музей „Васил Левски“, 2017, с. 400-409.</v>
      </c>
      <c r="F1206" s="10" t="str">
        <f ca="1">IFERROR(__xludf.DUMMYFUNCTION("""COMPUTED_VALUE"""),"Сборник с научна редакция")</f>
        <v>Сборник с научна редакция</v>
      </c>
      <c r="G1206" s="10"/>
      <c r="H1206" s="10"/>
      <c r="I1206" s="10"/>
      <c r="J1206" s="10"/>
      <c r="K1206" s="10"/>
      <c r="L1206" s="10"/>
      <c r="M1206" s="10"/>
      <c r="N1206" s="10"/>
      <c r="O1206" s="10"/>
      <c r="P1206" s="10"/>
      <c r="Q1206" s="10"/>
      <c r="R1206" s="10"/>
      <c r="S1206" s="10"/>
      <c r="T1206" s="10"/>
      <c r="U1206" s="10"/>
      <c r="V1206" s="10"/>
      <c r="W1206" s="10"/>
      <c r="X1206" s="10"/>
      <c r="Y1206" s="10"/>
      <c r="Z1206" s="10"/>
    </row>
    <row r="1207" spans="1:26" ht="12.75">
      <c r="A1207" s="10" t="str">
        <f ca="1">IFERROR(__xludf.DUMMYFUNCTION("""COMPUTED_VALUE"""),"Вера Петрова Бонева")</f>
        <v>Вера Петрова Бонева</v>
      </c>
      <c r="B1207" s="10" t="str">
        <f ca="1">IFERROR(__xludf.DUMMYFUNCTION("""COMPUTED_VALUE"""),"Статия в списания и поредици")</f>
        <v>Статия в списания и поредици</v>
      </c>
      <c r="C1207" s="10" t="str">
        <f ca="1">IFERROR(__xludf.DUMMYFUNCTION("""COMPUTED_VALUE"""),"Academic Community`s Opinion Regarding Evaluation and Accreditation Procedures")</f>
        <v>Academic Community`s Opinion Regarding Evaluation and Accreditation Procedures</v>
      </c>
      <c r="D1207" s="10">
        <f ca="1">IFERROR(__xludf.DUMMYFUNCTION("""COMPUTED_VALUE"""),2016)</f>
        <v>2016</v>
      </c>
      <c r="E1207" s="10" t="str">
        <f ca="1">IFERROR(__xludf.DUMMYFUNCTION("""COMPUTED_VALUE"""),"55th Annual Sceince Conference of Ruse University “Smart Specialisation – Innovative Strategy for Regional Economic Transformation”. Reports Awarded with Best Paper Cristal Prize. Ruse, 28-29. 10.2016, 372-381. ISSN 1311-3321")</f>
        <v>55th Annual Sceince Conference of Ruse University “Smart Specialisation – Innovative Strategy for Regional Economic Transformation”. Reports Awarded with Best Paper Cristal Prize. Ruse, 28-29. 10.2016, 372-381. ISSN 1311-3321</v>
      </c>
      <c r="F1207" s="10" t="str">
        <f ca="1">IFERROR(__xludf.DUMMYFUNCTION("""COMPUTED_VALUE"""),"Web of science")</f>
        <v>Web of science</v>
      </c>
      <c r="G1207" s="10" t="str">
        <f ca="1">IFERROR(__xludf.DUMMYFUNCTION("""COMPUTED_VALUE"""),"Радослав Кючюков")</f>
        <v>Радослав Кючюков</v>
      </c>
      <c r="H1207" s="10"/>
      <c r="I1207" s="10"/>
      <c r="J1207" s="10"/>
      <c r="K1207" s="10"/>
      <c r="L1207" s="10"/>
      <c r="M1207" s="10"/>
      <c r="N1207" s="10"/>
      <c r="O1207" s="10"/>
      <c r="P1207" s="10"/>
      <c r="Q1207" s="10"/>
      <c r="R1207" s="10"/>
      <c r="S1207" s="10"/>
      <c r="T1207" s="10"/>
      <c r="U1207" s="10"/>
      <c r="V1207" s="10"/>
      <c r="W1207" s="10"/>
      <c r="X1207" s="10"/>
      <c r="Y1207" s="10"/>
      <c r="Z1207" s="10"/>
    </row>
    <row r="1208" spans="1:26" ht="12.75">
      <c r="A1208" s="10" t="str">
        <f ca="1">IFERROR(__xludf.DUMMYFUNCTION("""COMPUTED_VALUE"""),"Вера Петрова Бонева")</f>
        <v>Вера Петрова Бонева</v>
      </c>
      <c r="B1208" s="10" t="str">
        <f ca="1">IFERROR(__xludf.DUMMYFUNCTION("""COMPUTED_VALUE"""),"Статия в списания и поредици")</f>
        <v>Статия в списания и поредици</v>
      </c>
      <c r="C1208" s="10" t="str">
        <f ca="1">IFERROR(__xludf.DUMMYFUNCTION("""COMPUTED_VALUE"""),"""Vladislav Varnenchik"" Park Museum in Varna as a Place of Memory.")</f>
        <v>"Vladislav Varnenchik" Park Museum in Varna as a Place of Memory.</v>
      </c>
      <c r="D1208" s="10">
        <f ca="1">IFERROR(__xludf.DUMMYFUNCTION("""COMPUTED_VALUE"""),2016)</f>
        <v>2016</v>
      </c>
      <c r="E1208" s="10" t="str">
        <f ca="1">IFERROR(__xludf.DUMMYFUNCTION("""COMPUTED_VALUE"""),"The Place of Memory and the Memory of Place. IRF Press, Warsaw, 2016, 115-124.")</f>
        <v>The Place of Memory and the Memory of Place. IRF Press, Warsaw, 2016, 115-124.</v>
      </c>
      <c r="F1208" s="10" t="str">
        <f ca="1">IFERROR(__xludf.DUMMYFUNCTION("""COMPUTED_VALUE"""),"Сборник с научна редакция")</f>
        <v>Сборник с научна редакция</v>
      </c>
      <c r="G1208" s="10"/>
      <c r="H1208" s="10"/>
      <c r="I1208" s="10"/>
      <c r="J1208" s="10"/>
      <c r="K1208" s="10"/>
      <c r="L1208" s="10"/>
      <c r="M1208" s="10"/>
      <c r="N1208" s="10"/>
      <c r="O1208" s="10"/>
      <c r="P1208" s="10"/>
      <c r="Q1208" s="10"/>
      <c r="R1208" s="10"/>
      <c r="S1208" s="10"/>
      <c r="T1208" s="10"/>
      <c r="U1208" s="10"/>
      <c r="V1208" s="10"/>
      <c r="W1208" s="10"/>
      <c r="X1208" s="10"/>
      <c r="Y1208" s="10"/>
      <c r="Z1208" s="10"/>
    </row>
    <row r="1209" spans="1:26" ht="12.75">
      <c r="A1209" s="10" t="str">
        <f ca="1">IFERROR(__xludf.DUMMYFUNCTION("""COMPUTED_VALUE"""),"Вера Петрова Бонева")</f>
        <v>Вера Петрова Бонева</v>
      </c>
      <c r="B1209" s="10" t="str">
        <f ca="1">IFERROR(__xludf.DUMMYFUNCTION("""COMPUTED_VALUE"""),"Статия в списания и поредици")</f>
        <v>Статия в списания и поредици</v>
      </c>
      <c r="C1209" s="10" t="str">
        <f ca="1">IFERROR(__xludf.DUMMYFUNCTION("""COMPUTED_VALUE"""),"Домът на българската възрожденска книга: Христо-Дановият музей в Пловдив.")</f>
        <v>Домът на българската възрожденска книга: Христо-Дановият музей в Пловдив.</v>
      </c>
      <c r="D1209" s="10">
        <f ca="1">IFERROR(__xludf.DUMMYFUNCTION("""COMPUTED_VALUE"""),2016)</f>
        <v>2016</v>
      </c>
      <c r="E1209" s="10" t="str">
        <f ca="1">IFERROR(__xludf.DUMMYFUNCTION("""COMPUTED_VALUE"""),"История, 2016, кн. 1, 89-106.")</f>
        <v>История, 2016, кн. 1, 89-106.</v>
      </c>
      <c r="F1209" s="10" t="str">
        <f ca="1">IFERROR(__xludf.DUMMYFUNCTION("""COMPUTED_VALUE"""),"ИНИОН РАН
 CEEOL
 ERIH PLUS")</f>
        <v>ИНИОН РАН
 CEEOL
 ERIH PLUS</v>
      </c>
      <c r="G1209" s="10"/>
      <c r="H1209" s="10"/>
      <c r="I1209" s="10"/>
      <c r="J1209" s="10"/>
      <c r="K1209" s="10"/>
      <c r="L1209" s="10"/>
      <c r="M1209" s="10"/>
      <c r="N1209" s="10"/>
      <c r="O1209" s="10"/>
      <c r="P1209" s="10"/>
      <c r="Q1209" s="10"/>
      <c r="R1209" s="10"/>
      <c r="S1209" s="10"/>
      <c r="T1209" s="10"/>
      <c r="U1209" s="10"/>
      <c r="V1209" s="10"/>
      <c r="W1209" s="10"/>
      <c r="X1209" s="10"/>
      <c r="Y1209" s="10"/>
      <c r="Z1209" s="10"/>
    </row>
    <row r="1210" spans="1:26" ht="12.75">
      <c r="A1210" s="10" t="str">
        <f ca="1">IFERROR(__xludf.DUMMYFUNCTION("""COMPUTED_VALUE"""),"Вера Петрова Бонева")</f>
        <v>Вера Петрова Бонева</v>
      </c>
      <c r="B1210" s="10" t="str">
        <f ca="1">IFERROR(__xludf.DUMMYFUNCTION("""COMPUTED_VALUE"""),"Статия в списания и поредици")</f>
        <v>Статия в списания и поредици</v>
      </c>
      <c r="C1210" s="10" t="str">
        <f ca="1">IFERROR(__xludf.DUMMYFUNCTION("""COMPUTED_VALUE"""),"Петко Славейков в Стара Загора (1875-1877)")</f>
        <v>Петко Славейков в Стара Загора (1875-1877)</v>
      </c>
      <c r="D1210" s="10">
        <f ca="1">IFERROR(__xludf.DUMMYFUNCTION("""COMPUTED_VALUE"""),2016)</f>
        <v>2016</v>
      </c>
      <c r="E1210" s="10" t="str">
        <f ca="1">IFERROR(__xludf.DUMMYFUNCTION("""COMPUTED_VALUE"""),"Известия на Старозагорския исторически музей. Т. VI. Стара Загора,, 2016, 95-112.")</f>
        <v>Известия на Старозагорския исторически музей. Т. VI. Стара Загора,, 2016, 95-112.</v>
      </c>
      <c r="F1210" s="10" t="str">
        <f ca="1">IFERROR(__xludf.DUMMYFUNCTION("""COMPUTED_VALUE"""),"Научна периодика с научна редакция")</f>
        <v>Научна периодика с научна редакция</v>
      </c>
      <c r="G1210" s="10"/>
      <c r="H1210" s="10"/>
      <c r="I1210" s="10"/>
      <c r="J1210" s="10"/>
      <c r="K1210" s="10"/>
      <c r="L1210" s="10"/>
      <c r="M1210" s="10"/>
      <c r="N1210" s="10"/>
      <c r="O1210" s="10"/>
      <c r="P1210" s="10"/>
      <c r="Q1210" s="10"/>
      <c r="R1210" s="10"/>
      <c r="S1210" s="10"/>
      <c r="T1210" s="10"/>
      <c r="U1210" s="10"/>
      <c r="V1210" s="10"/>
      <c r="W1210" s="10"/>
      <c r="X1210" s="10"/>
      <c r="Y1210" s="10"/>
      <c r="Z1210" s="10"/>
    </row>
    <row r="1211" spans="1:26" ht="12.75">
      <c r="A1211" s="10" t="str">
        <f ca="1">IFERROR(__xludf.DUMMYFUNCTION("""COMPUTED_VALUE"""),"Вера Петрова Бонева")</f>
        <v>Вера Петрова Бонева</v>
      </c>
      <c r="B1211" s="10" t="str">
        <f ca="1">IFERROR(__xludf.DUMMYFUNCTION("""COMPUTED_VALUE"""),"Доклад от конференция")</f>
        <v>Доклад от конференция</v>
      </c>
      <c r="C1211" s="10" t="str">
        <f ca="1">IFERROR(__xludf.DUMMYFUNCTION("""COMPUTED_VALUE"""),"Вазовите музеи в България: Един неизчерпаем сюжет в примката на канона.")</f>
        <v>Вазовите музеи в България: Един неизчерпаем сюжет в примката на канона.</v>
      </c>
      <c r="D1211" s="10">
        <f ca="1">IFERROR(__xludf.DUMMYFUNCTION("""COMPUTED_VALUE"""),2016)</f>
        <v>2016</v>
      </c>
      <c r="E1211" s="10" t="str">
        <f ca="1">IFERROR(__xludf.DUMMYFUNCTION("""COMPUTED_VALUE"""),"Музеят и обществото на спектакъла. Сборник от доклади от втората научна конференция от серията „Дебати в музеологията“. София, 2016, 174-192. ISBN 978-954-326-275-5")</f>
        <v>Музеят и обществото на спектакъла. Сборник от доклади от втората научна конференция от серията „Дебати в музеологията“. София, 2016, 174-192. ISBN 978-954-326-275-5</v>
      </c>
      <c r="F1211" s="10" t="str">
        <f ca="1">IFERROR(__xludf.DUMMYFUNCTION("""COMPUTED_VALUE"""),"Сборник с научна редакция")</f>
        <v>Сборник с научна редакция</v>
      </c>
      <c r="G1211" s="10"/>
      <c r="H1211" s="10"/>
      <c r="I1211" s="10"/>
      <c r="J1211" s="10"/>
      <c r="K1211" s="10"/>
      <c r="L1211" s="10"/>
      <c r="M1211" s="10"/>
      <c r="N1211" s="10"/>
      <c r="O1211" s="10"/>
      <c r="P1211" s="10"/>
      <c r="Q1211" s="10"/>
      <c r="R1211" s="10"/>
      <c r="S1211" s="10"/>
      <c r="T1211" s="10"/>
      <c r="U1211" s="10"/>
      <c r="V1211" s="10"/>
      <c r="W1211" s="10"/>
      <c r="X1211" s="10"/>
      <c r="Y1211" s="10"/>
      <c r="Z1211" s="10"/>
    </row>
    <row r="1212" spans="1:26" ht="12.75">
      <c r="A1212" s="10" t="str">
        <f ca="1">IFERROR(__xludf.DUMMYFUNCTION("""COMPUTED_VALUE"""),"Вера Петрова Бонева")</f>
        <v>Вера Петрова Бонева</v>
      </c>
      <c r="B1212" s="10" t="str">
        <f ca="1">IFERROR(__xludf.DUMMYFUNCTION("""COMPUTED_VALUE"""),"Доклад от конференция")</f>
        <v>Доклад от конференция</v>
      </c>
      <c r="C1212" s="10" t="str">
        <f ca="1">IFERROR(__xludf.DUMMYFUNCTION("""COMPUTED_VALUE"""),"Николай Райнов: една мистична малтийска следа в българската култура.")</f>
        <v>Николай Райнов: една мистична малтийска следа в българската култура.</v>
      </c>
      <c r="D1212" s="10">
        <f ca="1">IFERROR(__xludf.DUMMYFUNCTION("""COMPUTED_VALUE"""),2015)</f>
        <v>2015</v>
      </c>
      <c r="E1212" s="10" t="str">
        <f ca="1">IFERROR(__xludf.DUMMYFUNCTION("""COMPUTED_VALUE"""),"Съвременни измерения на европейското образователно и научно пространство : сборник с доклади // Modern dimensions in European education and research area. T. 3, 2015, с. 394-398. Статията е публикувана и в електронното списание „Литернет“. // liternet.bg")</f>
        <v>Съвременни измерения на европейското образователно и научно пространство : сборник с доклади // Modern dimensions in European education and research area. T. 3, 2015, с. 394-398. Статията е публикувана и в електронното списание „Литернет“. // liternet.bg</v>
      </c>
      <c r="F1212" s="10" t="str">
        <f ca="1">IFERROR(__xludf.DUMMYFUNCTION("""COMPUTED_VALUE"""),"Сборник с научна редакция")</f>
        <v>Сборник с научна редакция</v>
      </c>
      <c r="G1212" s="10"/>
      <c r="H1212" s="10"/>
      <c r="I1212" s="10"/>
      <c r="J1212" s="10"/>
      <c r="K1212" s="10"/>
      <c r="L1212" s="10"/>
      <c r="M1212" s="10"/>
      <c r="N1212" s="10"/>
      <c r="O1212" s="10"/>
      <c r="P1212" s="10"/>
      <c r="Q1212" s="10"/>
      <c r="R1212" s="10"/>
      <c r="S1212" s="10"/>
      <c r="T1212" s="10"/>
      <c r="U1212" s="10"/>
      <c r="V1212" s="10"/>
      <c r="W1212" s="10"/>
      <c r="X1212" s="10"/>
      <c r="Y1212" s="10"/>
      <c r="Z1212" s="10"/>
    </row>
    <row r="1213" spans="1:26" ht="12.75">
      <c r="A1213" s="10" t="str">
        <f ca="1">IFERROR(__xludf.DUMMYFUNCTION("""COMPUTED_VALUE"""),"Вера Петрова Бонева")</f>
        <v>Вера Петрова Бонева</v>
      </c>
      <c r="B1213" s="10" t="str">
        <f ca="1">IFERROR(__xludf.DUMMYFUNCTION("""COMPUTED_VALUE"""),"Доклад от конференция")</f>
        <v>Доклад от конференция</v>
      </c>
      <c r="C1213" s="10" t="str">
        <f ca="1">IFERROR(__xludf.DUMMYFUNCTION("""COMPUTED_VALUE"""),"Музеят като дар: Домът на Вера Недкова в София.")</f>
        <v>Музеят като дар: Домът на Вера Недкова в София.</v>
      </c>
      <c r="D1213" s="10">
        <f ca="1">IFERROR(__xludf.DUMMYFUNCTION("""COMPUTED_VALUE"""),2015)</f>
        <v>2015</v>
      </c>
      <c r="E1213" s="10" t="str">
        <f ca="1">IFERROR(__xludf.DUMMYFUNCTION("""COMPUTED_VALUE"""),"България в европейската култура, наука, образование, религия. Материали от Четвъртата национална конференция по история, археоло")</f>
        <v>България в европейската култура, наука, образование, религия. Материали от Четвъртата национална конференция по история, археоло</v>
      </c>
      <c r="F1213" s="10"/>
      <c r="G1213" s="10"/>
      <c r="H1213" s="10"/>
      <c r="I1213" s="10"/>
      <c r="J1213" s="10"/>
      <c r="K1213" s="10"/>
      <c r="L1213" s="10"/>
      <c r="M1213" s="10"/>
      <c r="N1213" s="10"/>
      <c r="O1213" s="10"/>
      <c r="P1213" s="10"/>
      <c r="Q1213" s="10"/>
      <c r="R1213" s="10"/>
      <c r="S1213" s="10"/>
      <c r="T1213" s="10"/>
      <c r="U1213" s="10"/>
      <c r="V1213" s="10"/>
      <c r="W1213" s="10"/>
      <c r="X1213" s="10"/>
      <c r="Y1213" s="10"/>
      <c r="Z1213" s="10"/>
    </row>
    <row r="1214" spans="1:26" ht="12.75">
      <c r="A1214" s="10" t="str">
        <f ca="1">IFERROR(__xludf.DUMMYFUNCTION("""COMPUTED_VALUE"""),"Вера Петрова Бонева")</f>
        <v>Вера Петрова Бонева</v>
      </c>
      <c r="B1214" s="10" t="str">
        <f ca="1">IFERROR(__xludf.DUMMYFUNCTION("""COMPUTED_VALUE"""),"Доклад от конференция")</f>
        <v>Доклад от конференция</v>
      </c>
      <c r="C1214" s="10" t="str">
        <f ca="1">IFERROR(__xludf.DUMMYFUNCTION("""COMPUTED_VALUE"""),"Музей и памет. Домът на Добри Войников в Шумен.")</f>
        <v>Музей и памет. Домът на Добри Войников в Шумен.</v>
      </c>
      <c r="D1214" s="10">
        <f ca="1">IFERROR(__xludf.DUMMYFUNCTION("""COMPUTED_VALUE"""),2015)</f>
        <v>2015</v>
      </c>
      <c r="E1214" s="10" t="str">
        <f ca="1">IFERROR(__xludf.DUMMYFUNCTION("""COMPUTED_VALUE"""),"Град и памет. Сборник с доклади от Втора национална научна конференция, проведена в Пазарджик на 5-6 юни 2014 г. Регионален исторически музей – Пазарджик, 2015, с. 145-155. ISBN 978-619-90021-4-8.")</f>
        <v>Град и памет. Сборник с доклади от Втора национална научна конференция, проведена в Пазарджик на 5-6 юни 2014 г. Регионален исторически музей – Пазарджик, 2015, с. 145-155. ISBN 978-619-90021-4-8.</v>
      </c>
      <c r="F1214" s="10"/>
      <c r="G1214" s="10"/>
      <c r="H1214" s="10"/>
      <c r="I1214" s="10"/>
      <c r="J1214" s="10"/>
      <c r="K1214" s="10"/>
      <c r="L1214" s="10"/>
      <c r="M1214" s="10"/>
      <c r="N1214" s="10"/>
      <c r="O1214" s="10"/>
      <c r="P1214" s="10"/>
      <c r="Q1214" s="10"/>
      <c r="R1214" s="10"/>
      <c r="S1214" s="10"/>
      <c r="T1214" s="10"/>
      <c r="U1214" s="10"/>
      <c r="V1214" s="10"/>
      <c r="W1214" s="10"/>
      <c r="X1214" s="10"/>
      <c r="Y1214" s="10"/>
      <c r="Z1214" s="10"/>
    </row>
    <row r="1215" spans="1:26" ht="12.75">
      <c r="A1215" s="10" t="str">
        <f ca="1">IFERROR(__xludf.DUMMYFUNCTION("""COMPUTED_VALUE"""),"Вера Петрова Бонева")</f>
        <v>Вера Петрова Бонева</v>
      </c>
      <c r="B1215" s="10" t="str">
        <f ca="1">IFERROR(__xludf.DUMMYFUNCTION("""COMPUTED_VALUE"""),"Статия в списания и поредици")</f>
        <v>Статия в списания и поредици</v>
      </c>
      <c r="C1215" s="10" t="str">
        <f ca="1">IFERROR(__xludf.DUMMYFUNCTION("""COMPUTED_VALUE"""),"„За миналото спомен жив“: Славейковите музеи в България")</f>
        <v>„За миналото спомен жив“: Славейковите музеи в България</v>
      </c>
      <c r="D1215" s="10">
        <f ca="1">IFERROR(__xludf.DUMMYFUNCTION("""COMPUTED_VALUE"""),2015)</f>
        <v>2015</v>
      </c>
      <c r="E1215" s="10" t="str">
        <f ca="1">IFERROR(__xludf.DUMMYFUNCTION("""COMPUTED_VALUE"""),"Известия на Специализирания музей за резбарско и зографско изкуство – Трявна. Кн. 4.")</f>
        <v>Известия на Специализирания музей за резбарско и зографско изкуство – Трявна. Кн. 4.</v>
      </c>
      <c r="F1215" s="10"/>
      <c r="G1215" s="10"/>
      <c r="H1215" s="10"/>
      <c r="I1215" s="10"/>
      <c r="J1215" s="10"/>
      <c r="K1215" s="10"/>
      <c r="L1215" s="10"/>
      <c r="M1215" s="10"/>
      <c r="N1215" s="10"/>
      <c r="O1215" s="10"/>
      <c r="P1215" s="10"/>
      <c r="Q1215" s="10"/>
      <c r="R1215" s="10"/>
      <c r="S1215" s="10"/>
      <c r="T1215" s="10"/>
      <c r="U1215" s="10"/>
      <c r="V1215" s="10"/>
      <c r="W1215" s="10"/>
      <c r="X1215" s="10"/>
      <c r="Y1215" s="10"/>
      <c r="Z1215" s="10"/>
    </row>
    <row r="1216" spans="1:26" ht="12.75">
      <c r="A1216" s="10" t="str">
        <f ca="1">IFERROR(__xludf.DUMMYFUNCTION("""COMPUTED_VALUE"""),"Вера Петрова Бонева")</f>
        <v>Вера Петрова Бонева</v>
      </c>
      <c r="B1216" s="10" t="str">
        <f ca="1">IFERROR(__xludf.DUMMYFUNCTION("""COMPUTED_VALUE"""),"Доклад от конференция")</f>
        <v>Доклад от конференция</v>
      </c>
      <c r="C1216" s="10" t="str">
        <f ca="1">IFERROR(__xludf.DUMMYFUNCTION("""COMPUTED_VALUE"""),"Комплектуване и документиране фондовете на мемориалните музеи.")</f>
        <v>Комплектуване и документиране фондовете на мемориалните музеи.</v>
      </c>
      <c r="D1216" s="10">
        <f ca="1">IFERROR(__xludf.DUMMYFUNCTION("""COMPUTED_VALUE"""),2015)</f>
        <v>2015</v>
      </c>
      <c r="E1216" s="10" t="str">
        <f ca="1">IFERROR(__xludf.DUMMYFUNCTION("""COMPUTED_VALUE"""),"Музеи и колекции. Сборник с доклади и съобщения от Национална конференция ""Музеи и колекции"", 2015. Регионален исторически музей - Смолян, 2016, с. 81-88.")</f>
        <v>Музеи и колекции. Сборник с доклади и съобщения от Национална конференция "Музеи и колекции", 2015. Регионален исторически музей - Смолян, 2016, с. 81-88.</v>
      </c>
      <c r="F1216" s="10" t="str">
        <f ca="1">IFERROR(__xludf.DUMMYFUNCTION("""COMPUTED_VALUE"""),"Цитирания: 
 Стоянов, Св., Георгиева, М. Осигуреност на мемориалните музеи в град Шумен. – Сборник доклади от Годишна университетска научна конференция на Националния военен университет „Васил Левски” (Велико Търново, 01 – 02 юни 2017 г.) – Том 1, Научно "&amp;"направление „Педагогически и хуманитарни науки”, Велико Търново, 2017, Издателски комплекс на НВУ „Васил Левски”, 51 – 63, с. 54 (бел. 19), ISSN 1314-1937.")</f>
        <v>Цитирания: 
 Стоянов, Св., Георгиева, М. Осигуреност на мемориалните музеи в град Шумен. – Сборник доклади от Годишна университетска научна конференция на Националния военен университет „Васил Левски” (Велико Търново, 01 – 02 юни 2017 г.) – Том 1, Научно направление „Педагогически и хуманитарни науки”, Велико Търново, 2017, Издателски комплекс на НВУ „Васил Левски”, 51 – 63, с. 54 (бел. 19), ISSN 1314-1937.</v>
      </c>
      <c r="G1216" s="10"/>
      <c r="H1216" s="10"/>
      <c r="I1216" s="10"/>
      <c r="J1216" s="10"/>
      <c r="K1216" s="10"/>
      <c r="L1216" s="10"/>
      <c r="M1216" s="10"/>
      <c r="N1216" s="10"/>
      <c r="O1216" s="10"/>
      <c r="P1216" s="10"/>
      <c r="Q1216" s="10"/>
      <c r="R1216" s="10"/>
      <c r="S1216" s="10"/>
      <c r="T1216" s="10"/>
      <c r="U1216" s="10"/>
      <c r="V1216" s="10"/>
      <c r="W1216" s="10"/>
      <c r="X1216" s="10"/>
      <c r="Y1216" s="10"/>
      <c r="Z1216" s="10"/>
    </row>
    <row r="1217" spans="1:26" ht="12.75">
      <c r="A1217" s="10" t="str">
        <f ca="1">IFERROR(__xludf.DUMMYFUNCTION("""COMPUTED_VALUE"""),"Вера Петрова Бонева")</f>
        <v>Вера Петрова Бонева</v>
      </c>
      <c r="B1217" s="10" t="str">
        <f ca="1">IFERROR(__xludf.DUMMYFUNCTION("""COMPUTED_VALUE"""),"Доклад от конференция")</f>
        <v>Доклад от конференция</v>
      </c>
      <c r="C1217" s="10" t="str">
        <f ca="1">IFERROR(__xludf.DUMMYFUNCTION("""COMPUTED_VALUE"""),"(Дис)комфортът на книгата в музейния фонд.")</f>
        <v>(Дис)комфортът на книгата в музейния фонд.</v>
      </c>
      <c r="D1217" s="10">
        <f ca="1">IFERROR(__xludf.DUMMYFUNCTION("""COMPUTED_VALUE"""),2015)</f>
        <v>2015</v>
      </c>
      <c r="E1217" s="10" t="str">
        <f ca="1">IFERROR(__xludf.DUMMYFUNCTION("""COMPUTED_VALUE"""),"Чудомир и нашето съвремие. 125 години от рождението на Чудомир. Научна конференция. Научен редактор проф. Яни Милчаков. Казанлък: Издателство „Рамита“, 2015, с. 105-116.")</f>
        <v>Чудомир и нашето съвремие. 125 години от рождението на Чудомир. Научна конференция. Научен редактор проф. Яни Милчаков. Казанлък: Издателство „Рамита“, 2015, с. 105-116.</v>
      </c>
      <c r="F1217" s="10"/>
      <c r="G1217" s="10"/>
      <c r="H1217" s="10"/>
      <c r="I1217" s="10"/>
      <c r="J1217" s="10"/>
      <c r="K1217" s="10"/>
      <c r="L1217" s="10"/>
      <c r="M1217" s="10"/>
      <c r="N1217" s="10"/>
      <c r="O1217" s="10"/>
      <c r="P1217" s="10"/>
      <c r="Q1217" s="10"/>
      <c r="R1217" s="10"/>
      <c r="S1217" s="10"/>
      <c r="T1217" s="10"/>
      <c r="U1217" s="10"/>
      <c r="V1217" s="10"/>
      <c r="W1217" s="10"/>
      <c r="X1217" s="10"/>
      <c r="Y1217" s="10"/>
      <c r="Z1217" s="10"/>
    </row>
    <row r="1218" spans="1:26" ht="12.75">
      <c r="A1218" s="10" t="str">
        <f ca="1">IFERROR(__xludf.DUMMYFUNCTION("""COMPUTED_VALUE"""),"Вера Петрова Бонева")</f>
        <v>Вера Петрова Бонева</v>
      </c>
      <c r="B1218" s="10" t="str">
        <f ca="1">IFERROR(__xludf.DUMMYFUNCTION("""COMPUTED_VALUE"""),"Статия в списания и поредици")</f>
        <v>Статия в списания и поредици</v>
      </c>
      <c r="C1218" s="10" t="str">
        <f ca="1">IFERROR(__xludf.DUMMYFUNCTION("""COMPUTED_VALUE"""),"Българското съединение в съвременната музейна мрежа.")</f>
        <v>Българското съединение в съвременната музейна мрежа.</v>
      </c>
      <c r="D1218" s="10">
        <f ca="1">IFERROR(__xludf.DUMMYFUNCTION("""COMPUTED_VALUE"""),2015)</f>
        <v>2015</v>
      </c>
      <c r="E1218" s="10" t="str">
        <f ca="1">IFERROR(__xludf.DUMMYFUNCTION("""COMPUTED_VALUE"""),"Съединението на България от 1885 г. 130 години по-късно. Регионален исторически музей – Пловдив, 2015, 139-152. Статията е публикувана и в Литернет: www.liternet.bg")</f>
        <v>Съединението на България от 1885 г. 130 години по-късно. Регионален исторически музей – Пловдив, 2015, 139-152. Статията е публикувана и в Литернет: www.liternet.bg</v>
      </c>
      <c r="F1218" s="10"/>
      <c r="G1218" s="10"/>
      <c r="H1218" s="10"/>
      <c r="I1218" s="10"/>
      <c r="J1218" s="10"/>
      <c r="K1218" s="10"/>
      <c r="L1218" s="10"/>
      <c r="M1218" s="10"/>
      <c r="N1218" s="10"/>
      <c r="O1218" s="10"/>
      <c r="P1218" s="10"/>
      <c r="Q1218" s="10"/>
      <c r="R1218" s="10"/>
      <c r="S1218" s="10"/>
      <c r="T1218" s="10"/>
      <c r="U1218" s="10"/>
      <c r="V1218" s="10"/>
      <c r="W1218" s="10"/>
      <c r="X1218" s="10"/>
      <c r="Y1218" s="10"/>
      <c r="Z1218" s="10"/>
    </row>
    <row r="1219" spans="1:26" ht="12.75">
      <c r="A1219" s="10" t="str">
        <f ca="1">IFERROR(__xludf.DUMMYFUNCTION("""COMPUTED_VALUE"""),"Вера Петрова Бонева")</f>
        <v>Вера Петрова Бонева</v>
      </c>
      <c r="B1219" s="10" t="str">
        <f ca="1">IFERROR(__xludf.DUMMYFUNCTION("""COMPUTED_VALUE"""),"Доклад от конференция")</f>
        <v>Доклад от конференция</v>
      </c>
      <c r="C1219" s="10" t="str">
        <f ca="1">IFERROR(__xludf.DUMMYFUNCTION("""COMPUTED_VALUE"""),"Крепост на новобългарската просвета: Музеят на Неофит Рилски в Банско")</f>
        <v>Крепост на новобългарската просвета: Музеят на Неофит Рилски в Банско</v>
      </c>
      <c r="D1219" s="10">
        <f ca="1">IFERROR(__xludf.DUMMYFUNCTION("""COMPUTED_VALUE"""),2015)</f>
        <v>2015</v>
      </c>
      <c r="E1219" s="10" t="str">
        <f ca="1">IFERROR(__xludf.DUMMYFUNCTION("""COMPUTED_VALUE"""),"История на просветното дело – нови изследвания, уникални културни ценности и музейни колекции, иновативни форми на представяне. Международна научна конференция, Габрово, 2014. Сборник доклади. Издателство ""Екс-Прес"", 2015, 23-33.")</f>
        <v>История на просветното дело – нови изследвания, уникални културни ценности и музейни колекции, иновативни форми на представяне. Международна научна конференция, Габрово, 2014. Сборник доклади. Издателство "Екс-Прес", 2015, 23-33.</v>
      </c>
      <c r="F1219" s="10" t="str">
        <f ca="1">IFERROR(__xludf.DUMMYFUNCTION("""COMPUTED_VALUE"""),"Сборник с научна редакция")</f>
        <v>Сборник с научна редакция</v>
      </c>
      <c r="G1219" s="10"/>
      <c r="H1219" s="10"/>
      <c r="I1219" s="10"/>
      <c r="J1219" s="10"/>
      <c r="K1219" s="10"/>
      <c r="L1219" s="10"/>
      <c r="M1219" s="10"/>
      <c r="N1219" s="10"/>
      <c r="O1219" s="10"/>
      <c r="P1219" s="10"/>
      <c r="Q1219" s="10"/>
      <c r="R1219" s="10"/>
      <c r="S1219" s="10"/>
      <c r="T1219" s="10"/>
      <c r="U1219" s="10"/>
      <c r="V1219" s="10"/>
      <c r="W1219" s="10"/>
      <c r="X1219" s="10"/>
      <c r="Y1219" s="10"/>
      <c r="Z1219" s="10"/>
    </row>
    <row r="1220" spans="1:26" ht="12.75">
      <c r="A1220" s="10" t="str">
        <f ca="1">IFERROR(__xludf.DUMMYFUNCTION("""COMPUTED_VALUE"""),"Вера Петрова Бонева")</f>
        <v>Вера Петрова Бонева</v>
      </c>
      <c r="B1220" s="10" t="str">
        <f ca="1">IFERROR(__xludf.DUMMYFUNCTION("""COMPUTED_VALUE"""),"Статия в списания и поредици")</f>
        <v>Статия в списания и поредици</v>
      </c>
      <c r="C1220" s="10" t="str">
        <f ca="1">IFERROR(__xludf.DUMMYFUNCTION("""COMPUTED_VALUE"""),"(Въз)създаването на националния музей на образованието през 60-те и 70-те години на ХХ век: Към историята на една прекъсната културна традиция.")</f>
        <v>(Въз)създаването на националния музей на образованието през 60-те и 70-те години на ХХ век: Към историята на една прекъсната културна традиция.</v>
      </c>
      <c r="D1220" s="10">
        <f ca="1">IFERROR(__xludf.DUMMYFUNCTION("""COMPUTED_VALUE"""),2015)</f>
        <v>2015</v>
      </c>
      <c r="E1220" s="10" t="str">
        <f ca="1">IFERROR(__xludf.DUMMYFUNCTION("""COMPUTED_VALUE"""),"Образованието в България между традицията и комунистическата идеология. Проект „Преживяно минало“. Том 1. Издателство „Фабер“, 2015, 219-236.")</f>
        <v>Образованието в България между традицията и комунистическата идеология. Проект „Преживяно минало“. Том 1. Издателство „Фабер“, 2015, 219-236.</v>
      </c>
      <c r="F1220" s="10" t="str">
        <f ca="1">IFERROR(__xludf.DUMMYFUNCTION("""COMPUTED_VALUE"""),"Сборник с научна редакция")</f>
        <v>Сборник с научна редакция</v>
      </c>
      <c r="G1220" s="10"/>
      <c r="H1220" s="10"/>
      <c r="I1220" s="10"/>
      <c r="J1220" s="10"/>
      <c r="K1220" s="10"/>
      <c r="L1220" s="10"/>
      <c r="M1220" s="10"/>
      <c r="N1220" s="10"/>
      <c r="O1220" s="10"/>
      <c r="P1220" s="10"/>
      <c r="Q1220" s="10"/>
      <c r="R1220" s="10"/>
      <c r="S1220" s="10"/>
      <c r="T1220" s="10"/>
      <c r="U1220" s="10"/>
      <c r="V1220" s="10"/>
      <c r="W1220" s="10"/>
      <c r="X1220" s="10"/>
      <c r="Y1220" s="10"/>
      <c r="Z1220" s="10"/>
    </row>
    <row r="1221" spans="1:26" ht="12.75">
      <c r="A1221" s="10" t="str">
        <f ca="1">IFERROR(__xludf.DUMMYFUNCTION("""COMPUTED_VALUE"""),"Вера Петрова Бонева")</f>
        <v>Вера Петрова Бонева</v>
      </c>
      <c r="B1221" s="10" t="str">
        <f ca="1">IFERROR(__xludf.DUMMYFUNCTION("""COMPUTED_VALUE"""),"Доклад от конференция")</f>
        <v>Доклад от конференция</v>
      </c>
      <c r="C1221" s="10" t="str">
        <f ca="1">IFERROR(__xludf.DUMMYFUNCTION("""COMPUTED_VALUE"""),"В килера на общеовропейския дигитален дом: Българският 19-ти век в Европеана.")</f>
        <v>В килера на общеовропейския дигитален дом: Българският 19-ти век в Европеана.</v>
      </c>
      <c r="D1221" s="10">
        <f ca="1">IFERROR(__xludf.DUMMYFUNCTION("""COMPUTED_VALUE"""),2014)</f>
        <v>2014</v>
      </c>
      <c r="E1221" s="10" t="str">
        <f ca="1">IFERROR(__xludf.DUMMYFUNCTION("""COMPUTED_VALUE"""),"Съвременни визии за изследване, преподаване и популяризиране на българското културно-историческо наследство. Сборник с научни из")</f>
        <v>Съвременни визии за изследване, преподаване и популяризиране на българското културно-историческо наследство. Сборник с научни из</v>
      </c>
      <c r="F1221" s="10"/>
      <c r="G1221" s="10"/>
      <c r="H1221" s="10"/>
      <c r="I1221" s="10"/>
      <c r="J1221" s="10"/>
      <c r="K1221" s="10"/>
      <c r="L1221" s="10"/>
      <c r="M1221" s="10"/>
      <c r="N1221" s="10"/>
      <c r="O1221" s="10"/>
      <c r="P1221" s="10"/>
      <c r="Q1221" s="10"/>
      <c r="R1221" s="10"/>
      <c r="S1221" s="10"/>
      <c r="T1221" s="10"/>
      <c r="U1221" s="10"/>
      <c r="V1221" s="10"/>
      <c r="W1221" s="10"/>
      <c r="X1221" s="10"/>
      <c r="Y1221" s="10"/>
      <c r="Z1221" s="10"/>
    </row>
    <row r="1222" spans="1:26" ht="12.75">
      <c r="A1222" s="10" t="str">
        <f ca="1">IFERROR(__xludf.DUMMYFUNCTION("""COMPUTED_VALUE"""),"Вера Петрова Бонева")</f>
        <v>Вера Петрова Бонева</v>
      </c>
      <c r="B1222" s="10" t="str">
        <f ca="1">IFERROR(__xludf.DUMMYFUNCTION("""COMPUTED_VALUE"""),"Доклад от конференция")</f>
        <v>Доклад от конференция</v>
      </c>
      <c r="C1222" s="10" t="str">
        <f ca="1">IFERROR(__xludf.DUMMYFUNCTION("""COMPUTED_VALUE"""),"Virtual Varna: Cultural Dimensions.")</f>
        <v>Virtual Varna: Cultural Dimensions.</v>
      </c>
      <c r="D1222" s="10">
        <f ca="1">IFERROR(__xludf.DUMMYFUNCTION("""COMPUTED_VALUE"""),2014)</f>
        <v>2014</v>
      </c>
      <c r="E1222" s="10" t="str">
        <f ca="1">IFERROR(__xludf.DUMMYFUNCTION("""COMPUTED_VALUE"""),"Kultur und Informatik. Reality and Virtuality. Verlag Werner Hulsbuch, Gluckstadt")</f>
        <v>Kultur und Informatik. Reality and Virtuality. Verlag Werner Hulsbuch, Gluckstadt</v>
      </c>
      <c r="F1222" s="10"/>
      <c r="G1222" s="10"/>
      <c r="H1222" s="10"/>
      <c r="I1222" s="10"/>
      <c r="J1222" s="10"/>
      <c r="K1222" s="10"/>
      <c r="L1222" s="10"/>
      <c r="M1222" s="10"/>
      <c r="N1222" s="10"/>
      <c r="O1222" s="10"/>
      <c r="P1222" s="10"/>
      <c r="Q1222" s="10"/>
      <c r="R1222" s="10"/>
      <c r="S1222" s="10"/>
      <c r="T1222" s="10"/>
      <c r="U1222" s="10"/>
      <c r="V1222" s="10"/>
      <c r="W1222" s="10"/>
      <c r="X1222" s="10"/>
      <c r="Y1222" s="10"/>
      <c r="Z1222" s="10"/>
    </row>
    <row r="1223" spans="1:26" ht="12.75">
      <c r="A1223" s="10" t="str">
        <f ca="1">IFERROR(__xludf.DUMMYFUNCTION("""COMPUTED_VALUE"""),"Вера Петрова Бонева")</f>
        <v>Вера Петрова Бонева</v>
      </c>
      <c r="B1223" s="10" t="str">
        <f ca="1">IFERROR(__xludf.DUMMYFUNCTION("""COMPUTED_VALUE"""),"Доклад от конференция")</f>
        <v>Доклад от конференция</v>
      </c>
      <c r="C1223" s="10" t="str">
        <f ca="1">IFERROR(__xludf.DUMMYFUNCTION("""COMPUTED_VALUE"""),"„Помогни ми да те возвися“: Възрожденското училище в постоянните експозиции на българските музеи.")</f>
        <v>„Помогни ми да те возвися“: Възрожденското училище в постоянните експозиции на българските музеи.</v>
      </c>
      <c r="D1223" s="10">
        <f ca="1">IFERROR(__xludf.DUMMYFUNCTION("""COMPUTED_VALUE"""),2014)</f>
        <v>2014</v>
      </c>
      <c r="E1223" s="10" t="str">
        <f ca="1">IFERROR(__xludf.DUMMYFUNCTION("""COMPUTED_VALUE"""),"Съхраняването на националната идентичност и музеите на България като част от устойчивото развитие. Сборник с материали от националната музейна среща, Карлово/Калофер, 2013. Издателство „Златен змей“, 2014, с. 173-188.")</f>
        <v>Съхраняването на националната идентичност и музеите на България като част от устойчивото развитие. Сборник с материали от националната музейна среща, Карлово/Калофер, 2013. Издателство „Златен змей“, 2014, с. 173-188.</v>
      </c>
      <c r="F1223" s="10"/>
      <c r="G1223" s="10"/>
      <c r="H1223" s="10"/>
      <c r="I1223" s="10"/>
      <c r="J1223" s="10"/>
      <c r="K1223" s="10"/>
      <c r="L1223" s="10"/>
      <c r="M1223" s="10"/>
      <c r="N1223" s="10"/>
      <c r="O1223" s="10"/>
      <c r="P1223" s="10"/>
      <c r="Q1223" s="10"/>
      <c r="R1223" s="10"/>
      <c r="S1223" s="10"/>
      <c r="T1223" s="10"/>
      <c r="U1223" s="10"/>
      <c r="V1223" s="10"/>
      <c r="W1223" s="10"/>
      <c r="X1223" s="10"/>
      <c r="Y1223" s="10"/>
      <c r="Z1223" s="10"/>
    </row>
    <row r="1224" spans="1:26" ht="12.75">
      <c r="A1224" s="10" t="str">
        <f ca="1">IFERROR(__xludf.DUMMYFUNCTION("""COMPUTED_VALUE"""),"Вера Петрова Бонева")</f>
        <v>Вера Петрова Бонева</v>
      </c>
      <c r="B1224" s="10" t="str">
        <f ca="1">IFERROR(__xludf.DUMMYFUNCTION("""COMPUTED_VALUE"""),"Доклад от конференция")</f>
        <v>Доклад от конференция</v>
      </c>
      <c r="C1224" s="10" t="str">
        <f ca="1">IFERROR(__xludf.DUMMYFUNCTION("""COMPUTED_VALUE"""),"""Нашенци"" в акварел и словесни краски: Домът музей на Чудомир в Казанлък.")</f>
        <v>"Нашенци" в акварел и словесни краски: Домът музей на Чудомир в Казанлък.</v>
      </c>
      <c r="D1224" s="10">
        <f ca="1">IFERROR(__xludf.DUMMYFUNCTION("""COMPUTED_VALUE"""),2014)</f>
        <v>2014</v>
      </c>
      <c r="E1224" s="10" t="str">
        <f ca="1">IFERROR(__xludf.DUMMYFUNCTION("""COMPUTED_VALUE"""),"Известия на Историческия музей Шумен. Книга 16. Културно наследство и културен туризъм: Музейни переспективи. Сборник с доклади от Международната научна конференция, посветена на 110-годишнината на Регионалния исторически музей – Шумен, 25-27 юни 2014. Шу"&amp;"мен, 2014, с. 310-324. Статията е публикувана и в електронното списание Литернет. www.liternet.bg")</f>
        <v>Известия на Историческия музей Шумен. Книга 16. Културно наследство и културен туризъм: Музейни переспективи. Сборник с доклади от Международната научна конференция, посветена на 110-годишнината на Регионалния исторически музей – Шумен, 25-27 юни 2014. Шумен, 2014, с. 310-324. Статията е публикувана и в електронното списание Литернет. www.liternet.bg</v>
      </c>
      <c r="F1224" s="10"/>
      <c r="G1224" s="10"/>
      <c r="H1224" s="10"/>
      <c r="I1224" s="10"/>
      <c r="J1224" s="10"/>
      <c r="K1224" s="10"/>
      <c r="L1224" s="10"/>
      <c r="M1224" s="10"/>
      <c r="N1224" s="10"/>
      <c r="O1224" s="10"/>
      <c r="P1224" s="10"/>
      <c r="Q1224" s="10"/>
      <c r="R1224" s="10"/>
      <c r="S1224" s="10"/>
      <c r="T1224" s="10"/>
      <c r="U1224" s="10"/>
      <c r="V1224" s="10"/>
      <c r="W1224" s="10"/>
      <c r="X1224" s="10"/>
      <c r="Y1224" s="10"/>
      <c r="Z1224" s="10"/>
    </row>
    <row r="1225" spans="1:26" ht="12.75">
      <c r="A1225" s="10" t="str">
        <f ca="1">IFERROR(__xludf.DUMMYFUNCTION("""COMPUTED_VALUE"""),"Вера Петрова Бонева")</f>
        <v>Вера Петрова Бонева</v>
      </c>
      <c r="B1225" s="10" t="str">
        <f ca="1">IFERROR(__xludf.DUMMYFUNCTION("""COMPUTED_VALUE"""),"Статия в списания и поредици")</f>
        <v>Статия в списания и поредици</v>
      </c>
      <c r="C1225" s="10" t="str">
        <f ca="1">IFERROR(__xludf.DUMMYFUNCTION("""COMPUTED_VALUE"""),"Училищният музей в София (1905-1945).")</f>
        <v>Училищният музей в София (1905-1945).</v>
      </c>
      <c r="D1225" s="10">
        <f ca="1">IFERROR(__xludf.DUMMYFUNCTION("""COMPUTED_VALUE"""),2014)</f>
        <v>2014</v>
      </c>
      <c r="E1225" s="10" t="str">
        <f ca="1">IFERROR(__xludf.DUMMYFUNCTION("""COMPUTED_VALUE"""),"Педагогика, 2014, кн. 3, с. 354-361.")</f>
        <v>Педагогика, 2014, кн. 3, с. 354-361.</v>
      </c>
      <c r="F1225" s="10" t="str">
        <f ca="1">IFERROR(__xludf.DUMMYFUNCTION("""COMPUTED_VALUE"""),"Web of Science")</f>
        <v>Web of Science</v>
      </c>
      <c r="G1225" s="10"/>
      <c r="H1225" s="10"/>
      <c r="I1225" s="10"/>
      <c r="J1225" s="10"/>
      <c r="K1225" s="10"/>
      <c r="L1225" s="10"/>
      <c r="M1225" s="10"/>
      <c r="N1225" s="10"/>
      <c r="O1225" s="10"/>
      <c r="P1225" s="10"/>
      <c r="Q1225" s="10"/>
      <c r="R1225" s="10"/>
      <c r="S1225" s="10"/>
      <c r="T1225" s="10"/>
      <c r="U1225" s="10"/>
      <c r="V1225" s="10"/>
      <c r="W1225" s="10"/>
      <c r="X1225" s="10"/>
      <c r="Y1225" s="10"/>
      <c r="Z1225" s="10"/>
    </row>
    <row r="1226" spans="1:26" ht="12.75">
      <c r="A1226" s="10" t="str">
        <f ca="1">IFERROR(__xludf.DUMMYFUNCTION("""COMPUTED_VALUE"""),"Вера Петрова Бонева")</f>
        <v>Вера Петрова Бонева</v>
      </c>
      <c r="B1226" s="10" t="str">
        <f ca="1">IFERROR(__xludf.DUMMYFUNCTION("""COMPUTED_VALUE"""),"Монография")</f>
        <v>Монография</v>
      </c>
      <c r="C1226" s="10" t="str">
        <f ca="1">IFERROR(__xludf.DUMMYFUNCTION("""COMPUTED_VALUE"""),"Музейната мрежа в България")</f>
        <v>Музейната мрежа в България</v>
      </c>
      <c r="D1226" s="10">
        <f ca="1">IFERROR(__xludf.DUMMYFUNCTION("""COMPUTED_VALUE"""),2014)</f>
        <v>2014</v>
      </c>
      <c r="E1226" s="10" t="str">
        <f ca="1">IFERROR(__xludf.DUMMYFUNCTION("""COMPUTED_VALUE"""),"В. Търново: Фабер, 2014, 286 с., ISBN 978-619-00-0158-4.")</f>
        <v>В. Търново: Фабер, 2014, 286 с., ISBN 978-619-00-0158-4.</v>
      </c>
      <c r="F1226" s="10"/>
      <c r="G1226" s="10"/>
      <c r="H1226" s="10"/>
      <c r="I1226" s="10"/>
      <c r="J1226" s="10"/>
      <c r="K1226" s="10"/>
      <c r="L1226" s="10"/>
      <c r="M1226" s="10"/>
      <c r="N1226" s="10"/>
      <c r="O1226" s="10"/>
      <c r="P1226" s="10"/>
      <c r="Q1226" s="10"/>
      <c r="R1226" s="10"/>
      <c r="S1226" s="10"/>
      <c r="T1226" s="10"/>
      <c r="U1226" s="10"/>
      <c r="V1226" s="10"/>
      <c r="W1226" s="10"/>
      <c r="X1226" s="10"/>
      <c r="Y1226" s="10"/>
      <c r="Z1226" s="10"/>
    </row>
    <row r="1227" spans="1:26" ht="12.75">
      <c r="A1227" s="10" t="str">
        <f ca="1">IFERROR(__xludf.DUMMYFUNCTION("""COMPUTED_VALUE"""),"Вера Петрова Бонева")</f>
        <v>Вера Петрова Бонева</v>
      </c>
      <c r="B1227" s="10" t="str">
        <f ca="1">IFERROR(__xludf.DUMMYFUNCTION("""COMPUTED_VALUE"""),"Статия в списания и поредици")</f>
        <v>Статия в списания и поредици</v>
      </c>
      <c r="C1227" s="10" t="str">
        <f ca="1">IFERROR(__xludf.DUMMYFUNCTION("""COMPUTED_VALUE"""),"""За жалост, нищо утешително..."": Три писма от Осман Пазар до Шумен по църковноуправленски проблеми на Българската екзархия (1872-1875).")</f>
        <v>"За жалост, нищо утешително...": Три писма от Осман Пазар до Шумен по църковноуправленски проблеми на Българската екзархия (1872-1875).</v>
      </c>
      <c r="D1227" s="10">
        <f ca="1">IFERROR(__xludf.DUMMYFUNCTION("""COMPUTED_VALUE"""),2013)</f>
        <v>2013</v>
      </c>
      <c r="E1227" s="10" t="str">
        <f ca="1">IFERROR(__xludf.DUMMYFUNCTION("""COMPUTED_VALUE"""),"Историкии. Том 6. Фабер, 2013, с. 77-91.")</f>
        <v>Историкии. Том 6. Фабер, 2013, с. 77-91.</v>
      </c>
      <c r="F1227" s="10"/>
      <c r="G1227" s="10"/>
      <c r="H1227" s="10"/>
      <c r="I1227" s="10"/>
      <c r="J1227" s="10"/>
      <c r="K1227" s="10"/>
      <c r="L1227" s="10"/>
      <c r="M1227" s="10"/>
      <c r="N1227" s="10"/>
      <c r="O1227" s="10"/>
      <c r="P1227" s="10"/>
      <c r="Q1227" s="10"/>
      <c r="R1227" s="10"/>
      <c r="S1227" s="10"/>
      <c r="T1227" s="10"/>
      <c r="U1227" s="10"/>
      <c r="V1227" s="10"/>
      <c r="W1227" s="10"/>
      <c r="X1227" s="10"/>
      <c r="Y1227" s="10"/>
      <c r="Z1227" s="10"/>
    </row>
    <row r="1228" spans="1:26" ht="12.75">
      <c r="A1228" s="10" t="str">
        <f ca="1">IFERROR(__xludf.DUMMYFUNCTION("""COMPUTED_VALUE"""),"Вера Петрова Бонева")</f>
        <v>Вера Петрова Бонева</v>
      </c>
      <c r="B1228" s="10" t="str">
        <f ca="1">IFERROR(__xludf.DUMMYFUNCTION("""COMPUTED_VALUE"""),"Доклад от конференция")</f>
        <v>Доклад от конференция</v>
      </c>
      <c r="C1228" s="10" t="str">
        <f ca="1">IFERROR(__xludf.DUMMYFUNCTION("""COMPUTED_VALUE"""),"Езикът на думите и езикът на вещите в българските мемориални музеи.")</f>
        <v>Езикът на думите и езикът на вещите в българските мемориални музеи.</v>
      </c>
      <c r="D1228" s="10">
        <f ca="1">IFERROR(__xludf.DUMMYFUNCTION("""COMPUTED_VALUE"""),2013)</f>
        <v>2013</v>
      </c>
      <c r="E1228" s="10" t="str">
        <f ca="1">IFERROR(__xludf.DUMMYFUNCTION("""COMPUTED_VALUE"""),"Виж кой говори. Комуникационни и интерпретационни модели в музея. Сборник с доклади от първата научна конференция от серията „Дебати в музеологията“. 19-20 септември 2013. София: Академично издателство „Марин Дринов“, с. 210-222.")</f>
        <v>Виж кой говори. Комуникационни и интерпретационни модели в музея. Сборник с доклади от първата научна конференция от серията „Дебати в музеологията“. 19-20 септември 2013. София: Академично издателство „Марин Дринов“, с. 210-222.</v>
      </c>
      <c r="F1228" s="10"/>
      <c r="G1228" s="10"/>
      <c r="H1228" s="10"/>
      <c r="I1228" s="10"/>
      <c r="J1228" s="10"/>
      <c r="K1228" s="10"/>
      <c r="L1228" s="10"/>
      <c r="M1228" s="10"/>
      <c r="N1228" s="10"/>
      <c r="O1228" s="10"/>
      <c r="P1228" s="10"/>
      <c r="Q1228" s="10"/>
      <c r="R1228" s="10"/>
      <c r="S1228" s="10"/>
      <c r="T1228" s="10"/>
      <c r="U1228" s="10"/>
      <c r="V1228" s="10"/>
      <c r="W1228" s="10"/>
      <c r="X1228" s="10"/>
      <c r="Y1228" s="10"/>
      <c r="Z1228" s="10"/>
    </row>
    <row r="1229" spans="1:26" ht="12.75">
      <c r="A1229" s="10" t="str">
        <f ca="1">IFERROR(__xludf.DUMMYFUNCTION("""COMPUTED_VALUE"""),"Вера Петрова Бонева")</f>
        <v>Вера Петрова Бонева</v>
      </c>
      <c r="B1229" s="10" t="str">
        <f ca="1">IFERROR(__xludf.DUMMYFUNCTION("""COMPUTED_VALUE"""),"Статия в списания и поредици")</f>
        <v>Статия в списания и поредици</v>
      </c>
      <c r="C1229" s="10" t="str">
        <f ca="1">IFERROR(__xludf.DUMMYFUNCTION("""COMPUTED_VALUE"""),"Социалната мрежа на българските светски училища през 60-те и 70-те години на ХІХ век.")</f>
        <v>Социалната мрежа на българските светски училища през 60-те и 70-те години на ХІХ век.</v>
      </c>
      <c r="D1229" s="10">
        <f ca="1">IFERROR(__xludf.DUMMYFUNCTION("""COMPUTED_VALUE"""),2013)</f>
        <v>2013</v>
      </c>
      <c r="E1229" s="10" t="str">
        <f ca="1">IFERROR(__xludf.DUMMYFUNCTION("""COMPUTED_VALUE"""),"Ние в науката и науката в нас. В чест на 50-годишнината на проф. д-р Петко Ст. Петков. Велико Търново: Издателство ""Фабер"", 2013, с. 171-187")</f>
        <v>Ние в науката и науката в нас. В чест на 50-годишнината на проф. д-р Петко Ст. Петков. Велико Търново: Издателство "Фабер", 2013, с. 171-187</v>
      </c>
      <c r="F1229" s="10"/>
      <c r="G1229" s="10"/>
      <c r="H1229" s="10"/>
      <c r="I1229" s="10"/>
      <c r="J1229" s="10"/>
      <c r="K1229" s="10"/>
      <c r="L1229" s="10"/>
      <c r="M1229" s="10"/>
      <c r="N1229" s="10"/>
      <c r="O1229" s="10"/>
      <c r="P1229" s="10"/>
      <c r="Q1229" s="10"/>
      <c r="R1229" s="10"/>
      <c r="S1229" s="10"/>
      <c r="T1229" s="10"/>
      <c r="U1229" s="10"/>
      <c r="V1229" s="10"/>
      <c r="W1229" s="10"/>
      <c r="X1229" s="10"/>
      <c r="Y1229" s="10"/>
      <c r="Z1229" s="10"/>
    </row>
    <row r="1230" spans="1:26" ht="12.75">
      <c r="A1230" s="10" t="str">
        <f ca="1">IFERROR(__xludf.DUMMYFUNCTION("""COMPUTED_VALUE"""),"Вера Петрова Бонева")</f>
        <v>Вера Петрова Бонева</v>
      </c>
      <c r="B1230" s="10" t="str">
        <f ca="1">IFERROR(__xludf.DUMMYFUNCTION("""COMPUTED_VALUE"""),"Статия в списания и поредици")</f>
        <v>Статия в списания и поредици</v>
      </c>
      <c r="C1230" s="10" t="str">
        <f ca="1">IFERROR(__xludf.DUMMYFUNCTION("""COMPUTED_VALUE"""),"Струмишка епархия под духовната власт на митрополит Йеротей (1861-1878).")</f>
        <v>Струмишка епархия под духовната власт на митрополит Йеротей (1861-1878).</v>
      </c>
      <c r="D1230" s="10">
        <f ca="1">IFERROR(__xludf.DUMMYFUNCTION("""COMPUTED_VALUE"""),2013)</f>
        <v>2013</v>
      </c>
      <c r="E1230" s="10" t="str">
        <f ca="1">IFERROR(__xludf.DUMMYFUNCTION("""COMPUTED_VALUE"""),"Българското възрожденско общество: Проблеми, борби и постижения. Сборник с изследвания в чест на 75-годишнината на доц. д-р Огняна Маждракова-Чавдарова. София: Академично издателство ""Професор Марин Дринов"", 2012, 115-128. ISBN 9789543225446")</f>
        <v>Българското възрожденско общество: Проблеми, борби и постижения. Сборник с изследвания в чест на 75-годишнината на доц. д-р Огняна Маждракова-Чавдарова. София: Академично издателство "Професор Марин Дринов", 2012, 115-128. ISBN 9789543225446</v>
      </c>
      <c r="F1230" s="10"/>
      <c r="G1230" s="10"/>
      <c r="H1230" s="10"/>
      <c r="I1230" s="10"/>
      <c r="J1230" s="10"/>
      <c r="K1230" s="10"/>
      <c r="L1230" s="10"/>
      <c r="M1230" s="10"/>
      <c r="N1230" s="10"/>
      <c r="O1230" s="10"/>
      <c r="P1230" s="10"/>
      <c r="Q1230" s="10"/>
      <c r="R1230" s="10"/>
      <c r="S1230" s="10"/>
      <c r="T1230" s="10"/>
      <c r="U1230" s="10"/>
      <c r="V1230" s="10"/>
      <c r="W1230" s="10"/>
      <c r="X1230" s="10"/>
      <c r="Y1230" s="10"/>
      <c r="Z1230" s="10"/>
    </row>
    <row r="1231" spans="1:26" ht="12.75">
      <c r="A1231" s="10" t="str">
        <f ca="1">IFERROR(__xludf.DUMMYFUNCTION("""COMPUTED_VALUE"""),"Вера Петрова Бонева")</f>
        <v>Вера Петрова Бонева</v>
      </c>
      <c r="B1231" s="10" t="str">
        <f ca="1">IFERROR(__xludf.DUMMYFUNCTION("""COMPUTED_VALUE"""),"Доклад от конференция")</f>
        <v>Доклад от конференция</v>
      </c>
      <c r="C1231" s="10" t="str">
        <f ca="1">IFERROR(__xludf.DUMMYFUNCTION("""COMPUTED_VALUE"""),"Мемориалните музеи в България: пазители на историческата памет и/или стожери на националната идентичност.")</f>
        <v>Мемориалните музеи в България: пазители на историческата памет и/или стожери на националната идентичност.</v>
      </c>
      <c r="D1231" s="10">
        <f ca="1">IFERROR(__xludf.DUMMYFUNCTION("""COMPUTED_VALUE"""),2013)</f>
        <v>2013</v>
      </c>
      <c r="E1231" s="10" t="str">
        <f ca="1">IFERROR(__xludf.DUMMYFUNCTION("""COMPUTED_VALUE"""),"Музеят и градът. Сборник с доклади от Национална научна конференция, посветена на 50-годишнината на Музея на занаятите. Троян, 2013, с. 334-343.")</f>
        <v>Музеят и градът. Сборник с доклади от Национална научна конференция, посветена на 50-годишнината на Музея на занаятите. Троян, 2013, с. 334-343.</v>
      </c>
      <c r="F1231" s="10"/>
      <c r="G1231" s="10"/>
      <c r="H1231" s="10"/>
      <c r="I1231" s="10"/>
      <c r="J1231" s="10"/>
      <c r="K1231" s="10"/>
      <c r="L1231" s="10"/>
      <c r="M1231" s="10"/>
      <c r="N1231" s="10"/>
      <c r="O1231" s="10"/>
      <c r="P1231" s="10"/>
      <c r="Q1231" s="10"/>
      <c r="R1231" s="10"/>
      <c r="S1231" s="10"/>
      <c r="T1231" s="10"/>
      <c r="U1231" s="10"/>
      <c r="V1231" s="10"/>
      <c r="W1231" s="10"/>
      <c r="X1231" s="10"/>
      <c r="Y1231" s="10"/>
      <c r="Z1231" s="10"/>
    </row>
    <row r="1232" spans="1:26" ht="12.75">
      <c r="A1232" s="10" t="str">
        <f ca="1">IFERROR(__xludf.DUMMYFUNCTION("""COMPUTED_VALUE"""),"Вера Петрова Бонева")</f>
        <v>Вера Петрова Бонева</v>
      </c>
      <c r="B1232" s="10" t="str">
        <f ca="1">IFERROR(__xludf.DUMMYFUNCTION("""COMPUTED_VALUE"""),"Книга")</f>
        <v>Книга</v>
      </c>
      <c r="C1232" s="10" t="str">
        <f ca="1">IFERROR(__xludf.DUMMYFUNCTION("""COMPUTED_VALUE"""),"Стефан Захариев. Документално наследство.")</f>
        <v>Стефан Захариев. Документално наследство.</v>
      </c>
      <c r="D1232" s="10">
        <f ca="1">IFERROR(__xludf.DUMMYFUNCTION("""COMPUTED_VALUE"""),2013)</f>
        <v>2013</v>
      </c>
      <c r="E1232" s="10" t="str">
        <f ca="1">IFERROR(__xludf.DUMMYFUNCTION("""COMPUTED_VALUE"""),"Издателство Фабер, 2013.")</f>
        <v>Издателство Фабер, 2013.</v>
      </c>
      <c r="F1232" s="10"/>
      <c r="G1232" s="10" t="str">
        <f ca="1">IFERROR(__xludf.DUMMYFUNCTION("""COMPUTED_VALUE"""),"Йордан Желев")</f>
        <v>Йордан Желев</v>
      </c>
      <c r="H1232" s="10"/>
      <c r="I1232" s="10"/>
      <c r="J1232" s="10"/>
      <c r="K1232" s="10"/>
      <c r="L1232" s="10"/>
      <c r="M1232" s="10"/>
      <c r="N1232" s="10"/>
      <c r="O1232" s="10"/>
      <c r="P1232" s="10"/>
      <c r="Q1232" s="10"/>
      <c r="R1232" s="10"/>
      <c r="S1232" s="10"/>
      <c r="T1232" s="10"/>
      <c r="U1232" s="10"/>
      <c r="V1232" s="10"/>
      <c r="W1232" s="10"/>
      <c r="X1232" s="10"/>
      <c r="Y1232" s="10"/>
      <c r="Z1232" s="10"/>
    </row>
    <row r="1233" spans="1:26" ht="12.75">
      <c r="A1233" s="10" t="str">
        <f ca="1">IFERROR(__xludf.DUMMYFUNCTION("""COMPUTED_VALUE"""),"Вера Петрова Бонева")</f>
        <v>Вера Петрова Бонева</v>
      </c>
      <c r="B1233" s="10" t="str">
        <f ca="1">IFERROR(__xludf.DUMMYFUNCTION("""COMPUTED_VALUE"""),"Статия в списания и поредици")</f>
        <v>Статия в списания и поредици</v>
      </c>
      <c r="C1233" s="10" t="str">
        <f ca="1">IFERROR(__xludf.DUMMYFUNCTION("""COMPUTED_VALUE"""),"Паисий Хилендарски и неговият историческ текст във възрожденската публичност")</f>
        <v>Паисий Хилендарски и неговият историческ текст във възрожденската публичност</v>
      </c>
      <c r="D1233" s="10">
        <f ca="1">IFERROR(__xludf.DUMMYFUNCTION("""COMPUTED_VALUE"""),2012)</f>
        <v>2012</v>
      </c>
      <c r="E1233" s="10" t="str">
        <f ca="1">IFERROR(__xludf.DUMMYFUNCTION("""COMPUTED_VALUE"""),"Книгата – нашето по-смислено настояще. Сборник с доклади от форума „Дни на книгата и авторското право”. Съставител – Любомира Парижкова. София: За буквите – О писменех, 2012, с. 23-43. ISBN 9789542946113")</f>
        <v>Книгата – нашето по-смислено настояще. Сборник с доклади от форума „Дни на книгата и авторското право”. Съставител – Любомира Парижкова. София: За буквите – О писменех, 2012, с. 23-43. ISBN 9789542946113</v>
      </c>
      <c r="F1233" s="10"/>
      <c r="G1233" s="10"/>
      <c r="H1233" s="10"/>
      <c r="I1233" s="10"/>
      <c r="J1233" s="10"/>
      <c r="K1233" s="10"/>
      <c r="L1233" s="10"/>
      <c r="M1233" s="10"/>
      <c r="N1233" s="10"/>
      <c r="O1233" s="10"/>
      <c r="P1233" s="10"/>
      <c r="Q1233" s="10"/>
      <c r="R1233" s="10"/>
      <c r="S1233" s="10"/>
      <c r="T1233" s="10"/>
      <c r="U1233" s="10"/>
      <c r="V1233" s="10"/>
      <c r="W1233" s="10"/>
      <c r="X1233" s="10"/>
      <c r="Y1233" s="10"/>
      <c r="Z1233" s="10"/>
    </row>
    <row r="1234" spans="1:26" ht="12.75">
      <c r="A1234" s="10" t="str">
        <f ca="1">IFERROR(__xludf.DUMMYFUNCTION("""COMPUTED_VALUE"""),"Вера Петрова Бонева")</f>
        <v>Вера Петрова Бонева</v>
      </c>
      <c r="B1234" s="10" t="str">
        <f ca="1">IFERROR(__xludf.DUMMYFUNCTION("""COMPUTED_VALUE"""),"Статия в списания и поредици")</f>
        <v>Статия в списания и поредици</v>
      </c>
      <c r="C1234" s="10" t="str">
        <f ca="1">IFERROR(__xludf.DUMMYFUNCTION("""COMPUTED_VALUE"""),"Permanent Exhibitions in Bulgarian Memorial Museums: Post-communist Narratives.")</f>
        <v>Permanent Exhibitions in Bulgarian Memorial Museums: Post-communist Narratives.</v>
      </c>
      <c r="D1234" s="10">
        <f ca="1">IFERROR(__xludf.DUMMYFUNCTION("""COMPUTED_VALUE"""),2012)</f>
        <v>2012</v>
      </c>
      <c r="E1234" s="10" t="str">
        <f ca="1">IFERROR(__xludf.DUMMYFUNCTION("""COMPUTED_VALUE"""),"Remembrance in Time. Volume II. Transilvania University Press in Brasov, 2012, p. 363-370.")</f>
        <v>Remembrance in Time. Volume II. Transilvania University Press in Brasov, 2012, p. 363-370.</v>
      </c>
      <c r="F1234" s="10"/>
      <c r="G1234" s="10"/>
      <c r="H1234" s="10"/>
      <c r="I1234" s="10"/>
      <c r="J1234" s="10"/>
      <c r="K1234" s="10"/>
      <c r="L1234" s="10"/>
      <c r="M1234" s="10"/>
      <c r="N1234" s="10"/>
      <c r="O1234" s="10"/>
      <c r="P1234" s="10"/>
      <c r="Q1234" s="10"/>
      <c r="R1234" s="10"/>
      <c r="S1234" s="10"/>
      <c r="T1234" s="10"/>
      <c r="U1234" s="10"/>
      <c r="V1234" s="10"/>
      <c r="W1234" s="10"/>
      <c r="X1234" s="10"/>
      <c r="Y1234" s="10"/>
      <c r="Z1234" s="10"/>
    </row>
    <row r="1235" spans="1:26" ht="12.75">
      <c r="A1235" s="10" t="str">
        <f ca="1">IFERROR(__xludf.DUMMYFUNCTION("""COMPUTED_VALUE"""),"Вера Петрова Бонева")</f>
        <v>Вера Петрова Бонева</v>
      </c>
      <c r="B1235" s="10" t="str">
        <f ca="1">IFERROR(__xludf.DUMMYFUNCTION("""COMPUTED_VALUE"""),"Статия в списания и поредици")</f>
        <v>Статия в списания и поредици</v>
      </c>
      <c r="C1235" s="10" t="str">
        <f ca="1">IFERROR(__xludf.DUMMYFUNCTION("""COMPUTED_VALUE"""),"Паисий Хилендарски (1722-1773); Софроний епископ Врачански.")</f>
        <v>Паисий Хилендарски (1722-1773); Софроний епископ Врачански.</v>
      </c>
      <c r="D1235" s="10">
        <f ca="1">IFERROR(__xludf.DUMMYFUNCTION("""COMPUTED_VALUE"""),2012)</f>
        <v>2012</v>
      </c>
      <c r="E1235" s="10" t="str">
        <f ca="1">IFERROR(__xludf.DUMMYFUNCTION("""COMPUTED_VALUE"""),"Бележити българи. Българското възраждане – от Паисиевата история до Кримската война. София: Издателство „Световна библиотека”, 2012, с. 6-23.")</f>
        <v>Бележити българи. Българското възраждане – от Паисиевата история до Кримската война. София: Издателство „Световна библиотека”, 2012, с. 6-23.</v>
      </c>
      <c r="F1235" s="10"/>
      <c r="G1235" s="10"/>
      <c r="H1235" s="10"/>
      <c r="I1235" s="10"/>
      <c r="J1235" s="10"/>
      <c r="K1235" s="10"/>
      <c r="L1235" s="10"/>
      <c r="M1235" s="10"/>
      <c r="N1235" s="10"/>
      <c r="O1235" s="10"/>
      <c r="P1235" s="10"/>
      <c r="Q1235" s="10"/>
      <c r="R1235" s="10"/>
      <c r="S1235" s="10"/>
      <c r="T1235" s="10"/>
      <c r="U1235" s="10"/>
      <c r="V1235" s="10"/>
      <c r="W1235" s="10"/>
      <c r="X1235" s="10"/>
      <c r="Y1235" s="10"/>
      <c r="Z1235" s="10"/>
    </row>
    <row r="1236" spans="1:26" ht="12.75">
      <c r="A1236" s="10" t="str">
        <f ca="1">IFERROR(__xludf.DUMMYFUNCTION("""COMPUTED_VALUE"""),"Вера Петрова Бонева")</f>
        <v>Вера Петрова Бонева</v>
      </c>
      <c r="B1236" s="10" t="str">
        <f ca="1">IFERROR(__xludf.DUMMYFUNCTION("""COMPUTED_VALUE"""),"Доклад от конференция")</f>
        <v>Доклад от конференция</v>
      </c>
      <c r="C1236" s="10" t="str">
        <f ca="1">IFERROR(__xludf.DUMMYFUNCTION("""COMPUTED_VALUE"""),"„Обществено достояние”: отново за статуса и състоянието на архивните документи в българските музеи.")</f>
        <v>„Обществено достояние”: отново за статуса и състоянието на архивните документи в българските музеи.</v>
      </c>
      <c r="D1236" s="10">
        <f ca="1">IFERROR(__xludf.DUMMYFUNCTION("""COMPUTED_VALUE"""),2012)</f>
        <v>2012</v>
      </c>
      <c r="E1236" s="10" t="str">
        <f ca="1">IFERROR(__xludf.DUMMYFUNCTION("""COMPUTED_VALUE"""),"Национална културна стратегия и европейска духовна интеграция. Втора научна конференция по проблемите на културно-историческото наследство, проведена в Големия салон на БАН на 9 февруари 2012 г. София: Фондация „Арете-Фол”, 2012, с. 150-167.")</f>
        <v>Национална културна стратегия и европейска духовна интеграция. Втора научна конференция по проблемите на културно-историческото наследство, проведена в Големия салон на БАН на 9 февруари 2012 г. София: Фондация „Арете-Фол”, 2012, с. 150-167.</v>
      </c>
      <c r="F1236" s="10"/>
      <c r="G1236" s="10"/>
      <c r="H1236" s="10"/>
      <c r="I1236" s="10"/>
      <c r="J1236" s="10"/>
      <c r="K1236" s="10"/>
      <c r="L1236" s="10"/>
      <c r="M1236" s="10"/>
      <c r="N1236" s="10"/>
      <c r="O1236" s="10"/>
      <c r="P1236" s="10"/>
      <c r="Q1236" s="10"/>
      <c r="R1236" s="10"/>
      <c r="S1236" s="10"/>
      <c r="T1236" s="10"/>
      <c r="U1236" s="10"/>
      <c r="V1236" s="10"/>
      <c r="W1236" s="10"/>
      <c r="X1236" s="10"/>
      <c r="Y1236" s="10"/>
      <c r="Z1236" s="10"/>
    </row>
    <row r="1237" spans="1:26" ht="12.75">
      <c r="A1237" s="10" t="str">
        <f ca="1">IFERROR(__xludf.DUMMYFUNCTION("""COMPUTED_VALUE"""),"Вера Петрова Бонева")</f>
        <v>Вера Петрова Бонева</v>
      </c>
      <c r="B1237" s="10" t="str">
        <f ca="1">IFERROR(__xludf.DUMMYFUNCTION("""COMPUTED_VALUE"""),"Доклад от конференция")</f>
        <v>Доклад от конференция</v>
      </c>
      <c r="C1237" s="10" t="str">
        <f ca="1">IFERROR(__xludf.DUMMYFUNCTION("""COMPUTED_VALUE"""),"Панаирът като парламент: българското църковнонационално движение на Узунджовския панаир през 1860 г.")</f>
        <v>Панаирът като парламент: българското църковнонационално движение на Узунджовския панаир през 1860 г.</v>
      </c>
      <c r="D1237" s="10">
        <f ca="1">IFERROR(__xludf.DUMMYFUNCTION("""COMPUTED_VALUE"""),2012)</f>
        <v>2012</v>
      </c>
      <c r="E1237" s="10" t="str">
        <f ca="1">IFERROR(__xludf.DUMMYFUNCTION("""COMPUTED_VALUE"""),"Историята, истината, историкът. Материали от научната конференция, „Движение на идеите и изследванията върху Българското възраждане и история на културата”, организирана на 2 ноември 2011 г. от Историческия и Философския факултети на Софийския университет"&amp;" „Св. Климент Охридски”. София: Университетско издателство „Св. Климент Охридски”, 2012, с. 192-202.")</f>
        <v>Историята, истината, историкът. Материали от научната конференция, „Движение на идеите и изследванията върху Българското възраждане и история на културата”, организирана на 2 ноември 2011 г. от Историческия и Философския факултети на Софийския университет „Св. Климент Охридски”. София: Университетско издателство „Св. Климент Охридски”, 2012, с. 192-202.</v>
      </c>
      <c r="F1237" s="10"/>
      <c r="G1237" s="10"/>
      <c r="H1237" s="10"/>
      <c r="I1237" s="10"/>
      <c r="J1237" s="10"/>
      <c r="K1237" s="10"/>
      <c r="L1237" s="10"/>
      <c r="M1237" s="10"/>
      <c r="N1237" s="10"/>
      <c r="O1237" s="10"/>
      <c r="P1237" s="10"/>
      <c r="Q1237" s="10"/>
      <c r="R1237" s="10"/>
      <c r="S1237" s="10"/>
      <c r="T1237" s="10"/>
      <c r="U1237" s="10"/>
      <c r="V1237" s="10"/>
      <c r="W1237" s="10"/>
      <c r="X1237" s="10"/>
      <c r="Y1237" s="10"/>
      <c r="Z1237" s="10"/>
    </row>
    <row r="1238" spans="1:26" ht="12.75">
      <c r="A1238" s="10" t="str">
        <f ca="1">IFERROR(__xludf.DUMMYFUNCTION("""COMPUTED_VALUE"""),"Вера Петрова Бонева")</f>
        <v>Вера Петрова Бонева</v>
      </c>
      <c r="B1238" s="10" t="str">
        <f ca="1">IFERROR(__xludf.DUMMYFUNCTION("""COMPUTED_VALUE"""),"Статия в списания и поредици")</f>
        <v>Статия в списания и поредици</v>
      </c>
      <c r="C1238" s="10" t="str">
        <f ca="1">IFERROR(__xludf.DUMMYFUNCTION("""COMPUTED_VALUE"""),"Националният музеен фонд и европейският дигитален Ренесанс – успоредици и пресечни точки във виртуалното пространство.")</f>
        <v>Националният музеен фонд и европейският дигитален Ренесанс – успоредици и пресечни точки във виртуалното пространство.</v>
      </c>
      <c r="D1238" s="10">
        <f ca="1">IFERROR(__xludf.DUMMYFUNCTION("""COMPUTED_VALUE"""),2012)</f>
        <v>2012</v>
      </c>
      <c r="E1238" s="10" t="str">
        <f ca="1">IFERROR(__xludf.DUMMYFUNCTION("""COMPUTED_VALUE"""),"Научни трудове на Университета по библиотекознание и информационни технологии. Т. 9 за 2011. София, 2012. ISSN 1314-2623.")</f>
        <v>Научни трудове на Университета по библиотекознание и информационни технологии. Т. 9 за 2011. София, 2012. ISSN 1314-2623.</v>
      </c>
      <c r="F1238" s="10"/>
      <c r="G1238" s="10"/>
      <c r="H1238" s="10"/>
      <c r="I1238" s="10"/>
      <c r="J1238" s="10"/>
      <c r="K1238" s="10"/>
      <c r="L1238" s="10"/>
      <c r="M1238" s="10"/>
      <c r="N1238" s="10"/>
      <c r="O1238" s="10"/>
      <c r="P1238" s="10"/>
      <c r="Q1238" s="10"/>
      <c r="R1238" s="10"/>
      <c r="S1238" s="10"/>
      <c r="T1238" s="10"/>
      <c r="U1238" s="10"/>
      <c r="V1238" s="10"/>
      <c r="W1238" s="10"/>
      <c r="X1238" s="10"/>
      <c r="Y1238" s="10"/>
      <c r="Z1238" s="10"/>
    </row>
    <row r="1239" spans="1:26" ht="12.75">
      <c r="A1239" s="10" t="str">
        <f ca="1">IFERROR(__xludf.DUMMYFUNCTION("""COMPUTED_VALUE"""),"Вера Петрова Бонева")</f>
        <v>Вера Петрова Бонева</v>
      </c>
      <c r="B1239" s="10" t="str">
        <f ca="1">IFERROR(__xludf.DUMMYFUNCTION("""COMPUTED_VALUE"""),"Статия в списания и поредици")</f>
        <v>Статия в списания и поредици</v>
      </c>
      <c r="C1239" s="10" t="str">
        <f ca="1">IFERROR(__xludf.DUMMYFUNCTION("""COMPUTED_VALUE"""),"""Както бива в европейските училища"": Двадесет татарпазарджишки писма до Александър Екзарх (1847-1851).")</f>
        <v>"Както бива в европейските училища": Двадесет татарпазарджишки писма до Александър Екзарх (1847-1851).</v>
      </c>
      <c r="D1239" s="10">
        <f ca="1">IFERROR(__xludf.DUMMYFUNCTION("""COMPUTED_VALUE"""),2012)</f>
        <v>2012</v>
      </c>
      <c r="E1239" s="10" t="str">
        <f ca="1">IFERROR(__xludf.DUMMYFUNCTION("""COMPUTED_VALUE"""),"Годишник на Регионален исторически музей Пазарджик. Т. 3. Пазарджик, 2012, с. 184-223.")</f>
        <v>Годишник на Регионален исторически музей Пазарджик. Т. 3. Пазарджик, 2012, с. 184-223.</v>
      </c>
      <c r="F1239" s="10"/>
      <c r="G1239" s="10" t="str">
        <f ca="1">IFERROR(__xludf.DUMMYFUNCTION("""COMPUTED_VALUE"""),"Йордан Желев")</f>
        <v>Йордан Желев</v>
      </c>
      <c r="H1239" s="10"/>
      <c r="I1239" s="10"/>
      <c r="J1239" s="10"/>
      <c r="K1239" s="10"/>
      <c r="L1239" s="10"/>
      <c r="M1239" s="10"/>
      <c r="N1239" s="10"/>
      <c r="O1239" s="10"/>
      <c r="P1239" s="10"/>
      <c r="Q1239" s="10"/>
      <c r="R1239" s="10"/>
      <c r="S1239" s="10"/>
      <c r="T1239" s="10"/>
      <c r="U1239" s="10"/>
      <c r="V1239" s="10"/>
      <c r="W1239" s="10"/>
      <c r="X1239" s="10"/>
      <c r="Y1239" s="10"/>
      <c r="Z1239" s="10"/>
    </row>
    <row r="1240" spans="1:26" ht="12.75">
      <c r="A1240" s="10" t="str">
        <f ca="1">IFERROR(__xludf.DUMMYFUNCTION("""COMPUTED_VALUE"""),"Вера Петрова Бонева")</f>
        <v>Вера Петрова Бонева</v>
      </c>
      <c r="B1240" s="10" t="str">
        <f ca="1">IFERROR(__xludf.DUMMYFUNCTION("""COMPUTED_VALUE"""),"Доклад от конференция")</f>
        <v>Доклад от конференция</v>
      </c>
      <c r="C1240" s="10" t="str">
        <f ca="1">IFERROR(__xludf.DUMMYFUNCTION("""COMPUTED_VALUE"""),"Градът и неговата невидима памет: Софийският исторически музей.")</f>
        <v>Градът и неговата невидима памет: Софийският исторически музей.</v>
      </c>
      <c r="D1240" s="10">
        <f ca="1">IFERROR(__xludf.DUMMYFUNCTION("""COMPUTED_VALUE"""),2011)</f>
        <v>2011</v>
      </c>
      <c r="E1240" s="10" t="str">
        <f ca="1">IFERROR(__xludf.DUMMYFUNCTION("""COMPUTED_VALUE"""),"Град и Памет. Сборник с доклади от национална научна конференция с научен ръководител акад. Георги Марков, Пазарджик 11-12 октомври 2011. Пазарджик, Регионален исторически музей, 2012, с. 42-47.")</f>
        <v>Град и Памет. Сборник с доклади от национална научна конференция с научен ръководител акад. Георги Марков, Пазарджик 11-12 октомври 2011. Пазарджик, Регионален исторически музей, 2012, с. 42-47.</v>
      </c>
      <c r="F1240" s="10"/>
      <c r="G1240" s="10"/>
      <c r="H1240" s="10"/>
      <c r="I1240" s="10"/>
      <c r="J1240" s="10"/>
      <c r="K1240" s="10"/>
      <c r="L1240" s="10"/>
      <c r="M1240" s="10"/>
      <c r="N1240" s="10"/>
      <c r="O1240" s="10"/>
      <c r="P1240" s="10"/>
      <c r="Q1240" s="10"/>
      <c r="R1240" s="10"/>
      <c r="S1240" s="10"/>
      <c r="T1240" s="10"/>
      <c r="U1240" s="10"/>
      <c r="V1240" s="10"/>
      <c r="W1240" s="10"/>
      <c r="X1240" s="10"/>
      <c r="Y1240" s="10"/>
      <c r="Z1240" s="10"/>
    </row>
    <row r="1241" spans="1:26" ht="12.75">
      <c r="A1241" s="10" t="str">
        <f ca="1">IFERROR(__xludf.DUMMYFUNCTION("""COMPUTED_VALUE"""),"Вера Петрова Бонева")</f>
        <v>Вера Петрова Бонева</v>
      </c>
      <c r="B1241" s="10" t="str">
        <f ca="1">IFERROR(__xludf.DUMMYFUNCTION("""COMPUTED_VALUE"""),"Статия в списания и поредици")</f>
        <v>Статия в списания и поредици</v>
      </c>
      <c r="C1241" s="10" t="str">
        <f ca="1">IFERROR(__xludf.DUMMYFUNCTION("""COMPUTED_VALUE"""),"Паисий Хилендарски в Българското възраждане.")</f>
        <v>Паисий Хилендарски в Българското възраждане.</v>
      </c>
      <c r="D1241" s="10">
        <f ca="1">IFERROR(__xludf.DUMMYFUNCTION("""COMPUTED_VALUE"""),2011)</f>
        <v>2011</v>
      </c>
      <c r="E1241" s="10" t="str">
        <f ca="1">IFERROR(__xludf.DUMMYFUNCTION("""COMPUTED_VALUE"""),"Македонски преглед, 2011, кн. 3, с. 31-50.")</f>
        <v>Македонски преглед, 2011, кн. 3, с. 31-50.</v>
      </c>
      <c r="F1241" s="10"/>
      <c r="G1241" s="10"/>
      <c r="H1241" s="10"/>
      <c r="I1241" s="10"/>
      <c r="J1241" s="10"/>
      <c r="K1241" s="10"/>
      <c r="L1241" s="10"/>
      <c r="M1241" s="10"/>
      <c r="N1241" s="10"/>
      <c r="O1241" s="10"/>
      <c r="P1241" s="10"/>
      <c r="Q1241" s="10"/>
      <c r="R1241" s="10"/>
      <c r="S1241" s="10"/>
      <c r="T1241" s="10"/>
      <c r="U1241" s="10"/>
      <c r="V1241" s="10"/>
      <c r="W1241" s="10"/>
      <c r="X1241" s="10"/>
      <c r="Y1241" s="10"/>
      <c r="Z1241" s="10"/>
    </row>
    <row r="1242" spans="1:26" ht="12.75">
      <c r="A1242" s="10" t="str">
        <f ca="1">IFERROR(__xludf.DUMMYFUNCTION("""COMPUTED_VALUE"""),"Вера Петрова Бонева")</f>
        <v>Вера Петрова Бонева</v>
      </c>
      <c r="B1242" s="10" t="str">
        <f ca="1">IFERROR(__xludf.DUMMYFUNCTION("""COMPUTED_VALUE"""),"Статия в списания и поредици")</f>
        <v>Статия в списания и поредици</v>
      </c>
      <c r="C1242" s="10" t="str">
        <f ca="1">IFERROR(__xludf.DUMMYFUNCTION("""COMPUTED_VALUE"""),"Моят слог е моята крепост: словесните послания на българските музейни експозиции.")</f>
        <v>Моят слог е моята крепост: словесните послания на българските музейни експозиции.</v>
      </c>
      <c r="D1242" s="10">
        <f ca="1">IFERROR(__xludf.DUMMYFUNCTION("""COMPUTED_VALUE"""),2011)</f>
        <v>2011</v>
      </c>
      <c r="E1242" s="10" t="str">
        <f ca="1">IFERROR(__xludf.DUMMYFUNCTION("""COMPUTED_VALUE"""),"Юбилейни Паисиеви четения. Университетът – академична карта на света. Пловдив, 3-4 ноември 2011. Научни трудове. Том 49, кн. 1, сб. В, 2011, с. 81-98.")</f>
        <v>Юбилейни Паисиеви четения. Университетът – академична карта на света. Пловдив, 3-4 ноември 2011. Научни трудове. Том 49, кн. 1, сб. В, 2011, с. 81-98.</v>
      </c>
      <c r="F1242" s="10"/>
      <c r="G1242" s="10"/>
      <c r="H1242" s="10"/>
      <c r="I1242" s="10"/>
      <c r="J1242" s="10"/>
      <c r="K1242" s="10"/>
      <c r="L1242" s="10"/>
      <c r="M1242" s="10"/>
      <c r="N1242" s="10"/>
      <c r="O1242" s="10"/>
      <c r="P1242" s="10"/>
      <c r="Q1242" s="10"/>
      <c r="R1242" s="10"/>
      <c r="S1242" s="10"/>
      <c r="T1242" s="10"/>
      <c r="U1242" s="10"/>
      <c r="V1242" s="10"/>
      <c r="W1242" s="10"/>
      <c r="X1242" s="10"/>
      <c r="Y1242" s="10"/>
      <c r="Z1242" s="10"/>
    </row>
    <row r="1243" spans="1:26" ht="12.75">
      <c r="A1243" s="10" t="str">
        <f ca="1">IFERROR(__xludf.DUMMYFUNCTION("""COMPUTED_VALUE"""),"Вера Петрова Бонева")</f>
        <v>Вера Петрова Бонева</v>
      </c>
      <c r="B1243" s="10" t="str">
        <f ca="1">IFERROR(__xludf.DUMMYFUNCTION("""COMPUTED_VALUE"""),"Статия в списания и поредици")</f>
        <v>Статия в списания и поредици</v>
      </c>
      <c r="C1243" s="10" t="str">
        <f ca="1">IFERROR(__xludf.DUMMYFUNCTION("""COMPUTED_VALUE"""),"Братя Миладинови в творчеството на Михаил Арнаудов.")</f>
        <v>Братя Миладинови в творчеството на Михаил Арнаудов.</v>
      </c>
      <c r="D1243" s="10">
        <f ca="1">IFERROR(__xludf.DUMMYFUNCTION("""COMPUTED_VALUE"""),2011)</f>
        <v>2011</v>
      </c>
      <c r="E1243" s="10" t="str">
        <f ca="1">IFERROR(__xludf.DUMMYFUNCTION("""COMPUTED_VALUE"""),"Григор Пърличев и Братя Миладинови. Нови изследвания и прочити. София: Университетско издателство „Св. Климент Охридски”, 2011, с. 155-174.")</f>
        <v>Григор Пърличев и Братя Миладинови. Нови изследвания и прочити. София: Университетско издателство „Св. Климент Охридски”, 2011, с. 155-174.</v>
      </c>
      <c r="F1243" s="10"/>
      <c r="G1243" s="10"/>
      <c r="H1243" s="10"/>
      <c r="I1243" s="10"/>
      <c r="J1243" s="10"/>
      <c r="K1243" s="10"/>
      <c r="L1243" s="10"/>
      <c r="M1243" s="10"/>
      <c r="N1243" s="10"/>
      <c r="O1243" s="10"/>
      <c r="P1243" s="10"/>
      <c r="Q1243" s="10"/>
      <c r="R1243" s="10"/>
      <c r="S1243" s="10"/>
      <c r="T1243" s="10"/>
      <c r="U1243" s="10"/>
      <c r="V1243" s="10"/>
      <c r="W1243" s="10"/>
      <c r="X1243" s="10"/>
      <c r="Y1243" s="10"/>
      <c r="Z1243" s="10"/>
    </row>
    <row r="1244" spans="1:26" ht="12.75">
      <c r="A1244" s="10" t="str">
        <f ca="1">IFERROR(__xludf.DUMMYFUNCTION("""COMPUTED_VALUE"""),"Вера Петрова Бонева")</f>
        <v>Вера Петрова Бонева</v>
      </c>
      <c r="B1244" s="10" t="str">
        <f ca="1">IFERROR(__xludf.DUMMYFUNCTION("""COMPUTED_VALUE"""),"Доклад от конференция")</f>
        <v>Доклад от конференция</v>
      </c>
      <c r="C1244" s="10" t="str">
        <f ca="1">IFERROR(__xludf.DUMMYFUNCTION("""COMPUTED_VALUE"""),"Българската възрожденска книжнина в музейните фондове и музейните експозиции.")</f>
        <v>Българската възрожденска книжнина в музейните фондове и музейните експозиции.</v>
      </c>
      <c r="D1244" s="10">
        <f ca="1">IFERROR(__xludf.DUMMYFUNCTION("""COMPUTED_VALUE"""),2011)</f>
        <v>2011</v>
      </c>
      <c r="E1244" s="10" t="str">
        <f ca="1">IFERROR(__xludf.DUMMYFUNCTION("""COMPUTED_VALUE"""),"Социализация на българското културно-историческо наследство. Първа научна конференция по проблемите на културно-историческото наследство, проведена в Големия салон на БАН. София, 31 януари 2011. София: Фондация „Арете-Фол”, 2011, с. 281-294.")</f>
        <v>Социализация на българското културно-историческо наследство. Първа научна конференция по проблемите на културно-историческото наследство, проведена в Големия салон на БАН. София, 31 януари 2011. София: Фондация „Арете-Фол”, 2011, с. 281-294.</v>
      </c>
      <c r="F1244" s="10"/>
      <c r="G1244" s="10"/>
      <c r="H1244" s="10"/>
      <c r="I1244" s="10"/>
      <c r="J1244" s="10"/>
      <c r="K1244" s="10"/>
      <c r="L1244" s="10"/>
      <c r="M1244" s="10"/>
      <c r="N1244" s="10"/>
      <c r="O1244" s="10"/>
      <c r="P1244" s="10"/>
      <c r="Q1244" s="10"/>
      <c r="R1244" s="10"/>
      <c r="S1244" s="10"/>
      <c r="T1244" s="10"/>
      <c r="U1244" s="10"/>
      <c r="V1244" s="10"/>
      <c r="W1244" s="10"/>
      <c r="X1244" s="10"/>
      <c r="Y1244" s="10"/>
      <c r="Z1244" s="10"/>
    </row>
    <row r="1245" spans="1:26" ht="12.75">
      <c r="A1245" s="10" t="str">
        <f ca="1">IFERROR(__xludf.DUMMYFUNCTION("""COMPUTED_VALUE"""),"Вера Петрова Бонева")</f>
        <v>Вера Петрова Бонева</v>
      </c>
      <c r="B1245" s="10" t="str">
        <f ca="1">IFERROR(__xludf.DUMMYFUNCTION("""COMPUTED_VALUE"""),"Доклад от конференция")</f>
        <v>Доклад от конференция</v>
      </c>
      <c r="C1245" s="10" t="str">
        <f ca="1">IFERROR(__xludf.DUMMYFUNCTION("""COMPUTED_VALUE"""),"Възрожденецът Стефан Захариев.")</f>
        <v>Възрожденецът Стефан Захариев.</v>
      </c>
      <c r="D1245" s="10">
        <f ca="1">IFERROR(__xludf.DUMMYFUNCTION("""COMPUTED_VALUE"""),2011)</f>
        <v>2011</v>
      </c>
      <c r="E1245" s="10" t="str">
        <f ca="1">IFERROR(__xludf.DUMMYFUNCTION("""COMPUTED_VALUE"""),"Стефан Захариев (1810-1871): Живот, дело, род. Научна сесия, посветена на 200 години от рождението му и 140 години от издаването на книгата му ""Географико-историко-статистическо описание на Татар-Пазарджишката кааза"". Пазарджик, 2011, с. 7-29.")</f>
        <v>Стефан Захариев (1810-1871): Живот, дело, род. Научна сесия, посветена на 200 години от рождението му и 140 години от издаването на книгата му "Географико-историко-статистическо описание на Татар-Пазарджишката кааза". Пазарджик, 2011, с. 7-29.</v>
      </c>
      <c r="F1245" s="10"/>
      <c r="G1245" s="10"/>
      <c r="H1245" s="10"/>
      <c r="I1245" s="10"/>
      <c r="J1245" s="10"/>
      <c r="K1245" s="10"/>
      <c r="L1245" s="10"/>
      <c r="M1245" s="10"/>
      <c r="N1245" s="10"/>
      <c r="O1245" s="10"/>
      <c r="P1245" s="10"/>
      <c r="Q1245" s="10"/>
      <c r="R1245" s="10"/>
      <c r="S1245" s="10"/>
      <c r="T1245" s="10"/>
      <c r="U1245" s="10"/>
      <c r="V1245" s="10"/>
      <c r="W1245" s="10"/>
      <c r="X1245" s="10"/>
      <c r="Y1245" s="10"/>
      <c r="Z1245" s="10"/>
    </row>
    <row r="1246" spans="1:26" ht="12.75">
      <c r="A1246" s="10" t="str">
        <f ca="1">IFERROR(__xludf.DUMMYFUNCTION("""COMPUTED_VALUE"""),"Вера Петрова Бонева")</f>
        <v>Вера Петрова Бонева</v>
      </c>
      <c r="B1246" s="10" t="str">
        <f ca="1">IFERROR(__xludf.DUMMYFUNCTION("""COMPUTED_VALUE"""),"Доклад от конференция")</f>
        <v>Доклад от конференция</v>
      </c>
      <c r="C1246" s="10" t="str">
        <f ca="1">IFERROR(__xludf.DUMMYFUNCTION("""COMPUTED_VALUE"""),"Предзнаменованието като публично послание: Славейковият ""Смешний календар за Нова година"" в контекста на възрожденското обществено битие.")</f>
        <v>Предзнаменованието като публично послание: Славейковият "Смешний календар за Нова година" в контекста на възрожденското обществено битие.</v>
      </c>
      <c r="D1246" s="10">
        <f ca="1">IFERROR(__xludf.DUMMYFUNCTION("""COMPUTED_VALUE"""),2011)</f>
        <v>2011</v>
      </c>
      <c r="E1246" s="10" t="str">
        <f ca="1">IFERROR(__xludf.DUMMYFUNCTION("""COMPUTED_VALUE"""),"80 [Осемдесет] години от рождението на Тончо Жечев. Национална научна конференция. Шумен, 20 ноември 2009. Велико Търново: Фабер, 2011, с. 99-139.")</f>
        <v>80 [Осемдесет] години от рождението на Тончо Жечев. Национална научна конференция. Шумен, 20 ноември 2009. Велико Търново: Фабер, 2011, с. 99-139.</v>
      </c>
      <c r="F1246" s="10"/>
      <c r="G1246" s="10"/>
      <c r="H1246" s="10"/>
      <c r="I1246" s="10"/>
      <c r="J1246" s="10"/>
      <c r="K1246" s="10"/>
      <c r="L1246" s="10"/>
      <c r="M1246" s="10"/>
      <c r="N1246" s="10"/>
      <c r="O1246" s="10"/>
      <c r="P1246" s="10"/>
      <c r="Q1246" s="10"/>
      <c r="R1246" s="10"/>
      <c r="S1246" s="10"/>
      <c r="T1246" s="10"/>
      <c r="U1246" s="10"/>
      <c r="V1246" s="10"/>
      <c r="W1246" s="10"/>
      <c r="X1246" s="10"/>
      <c r="Y1246" s="10"/>
      <c r="Z1246" s="10"/>
    </row>
    <row r="1247" spans="1:26" ht="12.75">
      <c r="A1247" s="10" t="str">
        <f ca="1">IFERROR(__xludf.DUMMYFUNCTION("""COMPUTED_VALUE"""),"Вера Петрова Бонева")</f>
        <v>Вера Петрова Бонева</v>
      </c>
      <c r="B1247" s="10" t="str">
        <f ca="1">IFERROR(__xludf.DUMMYFUNCTION("""COMPUTED_VALUE"""),"Статия в списания и поредици")</f>
        <v>Статия в списания и поредици</v>
      </c>
      <c r="C1247" s="10" t="str">
        <f ca="1">IFERROR(__xludf.DUMMYFUNCTION("""COMPUTED_VALUE"""),"Виена и Българското църковно движение (1856-1870).")</f>
        <v>Виена и Българското църковно движение (1856-1870).</v>
      </c>
      <c r="D1247" s="10">
        <f ca="1">IFERROR(__xludf.DUMMYFUNCTION("""COMPUTED_VALUE"""),2011)</f>
        <v>2011</v>
      </c>
      <c r="E1247" s="10" t="str">
        <f ca="1">IFERROR(__xludf.DUMMYFUNCTION("""COMPUTED_VALUE"""),"Сборник в чест на 70-годишнината на проф. дин Димитър Игнатовски. Велико Търново: Фабер, 2011, с. 217-222.")</f>
        <v>Сборник в чест на 70-годишнината на проф. дин Димитър Игнатовски. Велико Търново: Фабер, 2011, с. 217-222.</v>
      </c>
      <c r="F1247" s="10"/>
      <c r="G1247" s="10"/>
      <c r="H1247" s="10"/>
      <c r="I1247" s="10"/>
      <c r="J1247" s="10"/>
      <c r="K1247" s="10"/>
      <c r="L1247" s="10"/>
      <c r="M1247" s="10"/>
      <c r="N1247" s="10"/>
      <c r="O1247" s="10"/>
      <c r="P1247" s="10"/>
      <c r="Q1247" s="10"/>
      <c r="R1247" s="10"/>
      <c r="S1247" s="10"/>
      <c r="T1247" s="10"/>
      <c r="U1247" s="10"/>
      <c r="V1247" s="10"/>
      <c r="W1247" s="10"/>
      <c r="X1247" s="10"/>
      <c r="Y1247" s="10"/>
      <c r="Z1247" s="10"/>
    </row>
    <row r="1248" spans="1:26" ht="12.75">
      <c r="A1248" s="10" t="str">
        <f ca="1">IFERROR(__xludf.DUMMYFUNCTION("""COMPUTED_VALUE"""),"Вера Петрова Бонева")</f>
        <v>Вера Петрова Бонева</v>
      </c>
      <c r="B1248" s="10" t="str">
        <f ca="1">IFERROR(__xludf.DUMMYFUNCTION("""COMPUTED_VALUE"""),"Статия в списания и поредици")</f>
        <v>Статия в списания и поредици</v>
      </c>
      <c r="C1248" s="10" t="str">
        <f ca="1">IFERROR(__xludf.DUMMYFUNCTION("""COMPUTED_VALUE"""),"Никола Станев.")</f>
        <v>Никола Станев.</v>
      </c>
      <c r="D1248" s="10">
        <f ca="1">IFERROR(__xludf.DUMMYFUNCTION("""COMPUTED_VALUE"""),2011)</f>
        <v>2011</v>
      </c>
      <c r="E1248" s="10" t="str">
        <f ca="1">IFERROR(__xludf.DUMMYFUNCTION("""COMPUTED_VALUE"""),"Председатели-родолюбци. [Сборник с биографични очерци за председатели на Съюза на читалищата в България.] Редактор Нели Костова. София: Издателство ""За буквите - О писменехь"", 2011, с. 30-43.")</f>
        <v>Председатели-родолюбци. [Сборник с биографични очерци за председатели на Съюза на читалищата в България.] Редактор Нели Костова. София: Издателство "За буквите - О писменехь", 2011, с. 30-43.</v>
      </c>
      <c r="F1248" s="10"/>
      <c r="G1248" s="10"/>
      <c r="H1248" s="10"/>
      <c r="I1248" s="10"/>
      <c r="J1248" s="10"/>
      <c r="K1248" s="10"/>
      <c r="L1248" s="10"/>
      <c r="M1248" s="10"/>
      <c r="N1248" s="10"/>
      <c r="O1248" s="10"/>
      <c r="P1248" s="10"/>
      <c r="Q1248" s="10"/>
      <c r="R1248" s="10"/>
      <c r="S1248" s="10"/>
      <c r="T1248" s="10"/>
      <c r="U1248" s="10"/>
      <c r="V1248" s="10"/>
      <c r="W1248" s="10"/>
      <c r="X1248" s="10"/>
      <c r="Y1248" s="10"/>
      <c r="Z1248" s="10"/>
    </row>
    <row r="1249" spans="1:26" ht="12.75">
      <c r="A1249" s="10" t="str">
        <f ca="1">IFERROR(__xludf.DUMMYFUNCTION("""COMPUTED_VALUE"""),"Вера Петрова Бонева")</f>
        <v>Вера Петрова Бонева</v>
      </c>
      <c r="B1249" s="10" t="str">
        <f ca="1">IFERROR(__xludf.DUMMYFUNCTION("""COMPUTED_VALUE"""),"Статия в списания и поредици")</f>
        <v>Статия в списания и поредици</v>
      </c>
      <c r="C1249" s="10" t="str">
        <f ca="1">IFERROR(__xludf.DUMMYFUNCTION("""COMPUTED_VALUE"""),"Управление и дейност на Народния археологически музей (1920-1923).")</f>
        <v>Управление и дейност на Народния археологически музей (1920-1923).</v>
      </c>
      <c r="D1249" s="10">
        <f ca="1">IFERROR(__xludf.DUMMYFUNCTION("""COMPUTED_VALUE"""),2011)</f>
        <v>2011</v>
      </c>
      <c r="E1249" s="10" t="str">
        <f ca="1">IFERROR(__xludf.DUMMYFUNCTION("""COMPUTED_VALUE"""),"Културно-историческото наследство – образователни и научноизследователски аспекти. Научен редактор проф. дин Сево Явашчев. С., 2011, с. 184-210.")</f>
        <v>Културно-историческото наследство – образователни и научноизследователски аспекти. Научен редактор проф. дин Сево Явашчев. С., 2011, с. 184-210.</v>
      </c>
      <c r="F1249" s="10"/>
      <c r="G1249" s="10"/>
      <c r="H1249" s="10"/>
      <c r="I1249" s="10"/>
      <c r="J1249" s="10"/>
      <c r="K1249" s="10"/>
      <c r="L1249" s="10"/>
      <c r="M1249" s="10"/>
      <c r="N1249" s="10"/>
      <c r="O1249" s="10"/>
      <c r="P1249" s="10"/>
      <c r="Q1249" s="10"/>
      <c r="R1249" s="10"/>
      <c r="S1249" s="10"/>
      <c r="T1249" s="10"/>
      <c r="U1249" s="10"/>
      <c r="V1249" s="10"/>
      <c r="W1249" s="10"/>
      <c r="X1249" s="10"/>
      <c r="Y1249" s="10"/>
      <c r="Z1249" s="10"/>
    </row>
    <row r="1250" spans="1:26" ht="12.75">
      <c r="A1250" s="10" t="str">
        <f ca="1">IFERROR(__xludf.DUMMYFUNCTION("""COMPUTED_VALUE"""),"Вера Петрова Бонева")</f>
        <v>Вера Петрова Бонева</v>
      </c>
      <c r="B1250" s="10" t="str">
        <f ca="1">IFERROR(__xludf.DUMMYFUNCTION("""COMPUTED_VALUE"""),"Статия в списания и поредици")</f>
        <v>Статия в списания и поредици</v>
      </c>
      <c r="C1250" s="10" t="str">
        <f ca="1">IFERROR(__xludf.DUMMYFUNCTION("""COMPUTED_VALUE"""),"Българските музеи и музейни ценности в европейската дигитална библиотека Европеана.")</f>
        <v>Българските музеи и музейни ценности в европейската дигитална библиотека Европеана.</v>
      </c>
      <c r="D1250" s="10">
        <f ca="1">IFERROR(__xludf.DUMMYFUNCTION("""COMPUTED_VALUE"""),2011)</f>
        <v>2011</v>
      </c>
      <c r="E1250" s="10" t="str">
        <f ca="1">IFERROR(__xludf.DUMMYFUNCTION("""COMPUTED_VALUE"""),"Паметници, реставрация и музеи, 2011, бр. 1–2, с. 85–94.")</f>
        <v>Паметници, реставрация и музеи, 2011, бр. 1–2, с. 85–94.</v>
      </c>
      <c r="F1250" s="10"/>
      <c r="G1250" s="10"/>
      <c r="H1250" s="10"/>
      <c r="I1250" s="10"/>
      <c r="J1250" s="10"/>
      <c r="K1250" s="10"/>
      <c r="L1250" s="10"/>
      <c r="M1250" s="10"/>
      <c r="N1250" s="10"/>
      <c r="O1250" s="10"/>
      <c r="P1250" s="10"/>
      <c r="Q1250" s="10"/>
      <c r="R1250" s="10"/>
      <c r="S1250" s="10"/>
      <c r="T1250" s="10"/>
      <c r="U1250" s="10"/>
      <c r="V1250" s="10"/>
      <c r="W1250" s="10"/>
      <c r="X1250" s="10"/>
      <c r="Y1250" s="10"/>
      <c r="Z1250" s="10"/>
    </row>
    <row r="1251" spans="1:26" ht="12.75">
      <c r="A1251" s="10" t="str">
        <f ca="1">IFERROR(__xludf.DUMMYFUNCTION("""COMPUTED_VALUE"""),"Вера Петрова Бонева")</f>
        <v>Вера Петрова Бонева</v>
      </c>
      <c r="B1251" s="10" t="str">
        <f ca="1">IFERROR(__xludf.DUMMYFUNCTION("""COMPUTED_VALUE"""),"Доклад от конференция")</f>
        <v>Доклад от конференция</v>
      </c>
      <c r="C1251" s="10" t="str">
        <f ca="1">IFERROR(__xludf.DUMMYFUNCTION("""COMPUTED_VALUE"""),"Български музейни истории в Интернет.")</f>
        <v>Български музейни истории в Интернет.</v>
      </c>
      <c r="D1251" s="10">
        <f ca="1">IFERROR(__xludf.DUMMYFUNCTION("""COMPUTED_VALUE"""),2011)</f>
        <v>2011</v>
      </c>
      <c r="E1251" s="10" t="str">
        <f ca="1">IFERROR(__xludf.DUMMYFUNCTION("""COMPUTED_VALUE"""),"Нови информационни технологии в образователния процес. Доклади и съобщения от Петия научен семинар на УниБИТ, проведен в Кюстендил на 2-4 юни 2010. С., 2011, с. 244-257. ISSN 1313-2768.")</f>
        <v>Нови информационни технологии в образователния процес. Доклади и съобщения от Петия научен семинар на УниБИТ, проведен в Кюстендил на 2-4 юни 2010. С., 2011, с. 244-257. ISSN 1313-2768.</v>
      </c>
      <c r="F1251" s="10"/>
      <c r="G1251" s="10"/>
      <c r="H1251" s="10"/>
      <c r="I1251" s="10"/>
      <c r="J1251" s="10"/>
      <c r="K1251" s="10"/>
      <c r="L1251" s="10"/>
      <c r="M1251" s="10"/>
      <c r="N1251" s="10"/>
      <c r="O1251" s="10"/>
      <c r="P1251" s="10"/>
      <c r="Q1251" s="10"/>
      <c r="R1251" s="10"/>
      <c r="S1251" s="10"/>
      <c r="T1251" s="10"/>
      <c r="U1251" s="10"/>
      <c r="V1251" s="10"/>
      <c r="W1251" s="10"/>
      <c r="X1251" s="10"/>
      <c r="Y1251" s="10"/>
      <c r="Z1251" s="10"/>
    </row>
    <row r="1252" spans="1:26" ht="12.75">
      <c r="A1252" s="10" t="str">
        <f ca="1">IFERROR(__xludf.DUMMYFUNCTION("""COMPUTED_VALUE"""),"Вера Петрова Бонева")</f>
        <v>Вера Петрова Бонева</v>
      </c>
      <c r="B1252" s="10" t="str">
        <f ca="1">IFERROR(__xludf.DUMMYFUNCTION("""COMPUTED_VALUE"""),"Монография")</f>
        <v>Монография</v>
      </c>
      <c r="C1252" s="10" t="str">
        <f ca="1">IFERROR(__xludf.DUMMYFUNCTION("""COMPUTED_VALUE"""),"Музеи и туризъм в България.")</f>
        <v>Музеи и туризъм в България.</v>
      </c>
      <c r="D1252" s="10">
        <f ca="1">IFERROR(__xludf.DUMMYFUNCTION("""COMPUTED_VALUE"""),2011)</f>
        <v>2011</v>
      </c>
      <c r="E1252" s="10" t="str">
        <f ca="1">IFERROR(__xludf.DUMMYFUNCTION("""COMPUTED_VALUE"""),"В. Търново : Фабер, 2011, 186 с., ISBN 978-954-400-586-3.")</f>
        <v>В. Търново : Фабер, 2011, 186 с., ISBN 978-954-400-586-3.</v>
      </c>
      <c r="F1252" s="10"/>
      <c r="G1252" s="10"/>
      <c r="H1252" s="10"/>
      <c r="I1252" s="10"/>
      <c r="J1252" s="10"/>
      <c r="K1252" s="10"/>
      <c r="L1252" s="10"/>
      <c r="M1252" s="10"/>
      <c r="N1252" s="10"/>
      <c r="O1252" s="10"/>
      <c r="P1252" s="10"/>
      <c r="Q1252" s="10"/>
      <c r="R1252" s="10"/>
      <c r="S1252" s="10"/>
      <c r="T1252" s="10"/>
      <c r="U1252" s="10"/>
      <c r="V1252" s="10"/>
      <c r="W1252" s="10"/>
      <c r="X1252" s="10"/>
      <c r="Y1252" s="10"/>
      <c r="Z1252" s="10"/>
    </row>
    <row r="1253" spans="1:26" ht="12.75">
      <c r="A1253" s="10" t="str">
        <f ca="1">IFERROR(__xludf.DUMMYFUNCTION("""COMPUTED_VALUE"""),"Вера Петрова Бонева")</f>
        <v>Вера Петрова Бонева</v>
      </c>
      <c r="B1253" s="10" t="str">
        <f ca="1">IFERROR(__xludf.DUMMYFUNCTION("""COMPUTED_VALUE"""),"Доклад от конференция")</f>
        <v>Доклад от конференция</v>
      </c>
      <c r="C1253" s="10" t="str">
        <f ca="1">IFERROR(__xludf.DUMMYFUNCTION("""COMPUTED_VALUE"""),"Българската възрожденска книжнина в музейните фондове и музейните експозиции.")</f>
        <v>Българската възрожденска книжнина в музейните фондове и музейните експозиции.</v>
      </c>
      <c r="D1253" s="10">
        <f ca="1">IFERROR(__xludf.DUMMYFUNCTION("""COMPUTED_VALUE"""),2010)</f>
        <v>2010</v>
      </c>
      <c r="E1253" s="10" t="str">
        <f ca="1">IFERROR(__xludf.DUMMYFUNCTION("""COMPUTED_VALUE"""),"Добри практики: Постоянни и временни експозиции – проблеми и постижения. Доклади от Национална конференция – семинар, Хасково, 25-26 ноември 2010. Хасково, 2010, с. 3-8.")</f>
        <v>Добри практики: Постоянни и временни експозиции – проблеми и постижения. Доклади от Национална конференция – семинар, Хасково, 25-26 ноември 2010. Хасково, 2010, с. 3-8.</v>
      </c>
      <c r="F1253" s="10"/>
      <c r="G1253" s="10"/>
      <c r="H1253" s="10"/>
      <c r="I1253" s="10"/>
      <c r="J1253" s="10"/>
      <c r="K1253" s="10"/>
      <c r="L1253" s="10"/>
      <c r="M1253" s="10"/>
      <c r="N1253" s="10"/>
      <c r="O1253" s="10"/>
      <c r="P1253" s="10"/>
      <c r="Q1253" s="10"/>
      <c r="R1253" s="10"/>
      <c r="S1253" s="10"/>
      <c r="T1253" s="10"/>
      <c r="U1253" s="10"/>
      <c r="V1253" s="10"/>
      <c r="W1253" s="10"/>
      <c r="X1253" s="10"/>
      <c r="Y1253" s="10"/>
      <c r="Z1253" s="10"/>
    </row>
    <row r="1254" spans="1:26" ht="12.75">
      <c r="A1254" s="10" t="str">
        <f ca="1">IFERROR(__xludf.DUMMYFUNCTION("""COMPUTED_VALUE"""),"Вера Петрова Бонева")</f>
        <v>Вера Петрова Бонева</v>
      </c>
      <c r="B1254" s="10" t="str">
        <f ca="1">IFERROR(__xludf.DUMMYFUNCTION("""COMPUTED_VALUE"""),"Статия в списания и поредици")</f>
        <v>Статия в списания и поредици</v>
      </c>
      <c r="C1254" s="10" t="str">
        <f ca="1">IFERROR(__xludf.DUMMYFUNCTION("""COMPUTED_VALUE"""),"Кюстендил, Кюстендилска епархия и митрополит Игнатий Кюстендилски – към историята на едно натрапено съжителство (1861-1877).")</f>
        <v>Кюстендил, Кюстендилска епархия и митрополит Игнатий Кюстендилски – към историята на едно натрапено съжителство (1861-1877).</v>
      </c>
      <c r="D1254" s="10">
        <f ca="1">IFERROR(__xludf.DUMMYFUNCTION("""COMPUTED_VALUE"""),2010)</f>
        <v>2010</v>
      </c>
      <c r="E1254" s="10" t="str">
        <f ca="1">IFERROR(__xludf.DUMMYFUNCTION("""COMPUTED_VALUE"""),"Sine ira et studio: Изследвания в памет на проф. Зина Маркова. София: АИ „Професор Марин Дринов”, 2010, с. 59-90.")</f>
        <v>Sine ira et studio: Изследвания в памет на проф. Зина Маркова. София: АИ „Професор Марин Дринов”, 2010, с. 59-90.</v>
      </c>
      <c r="F1254" s="10"/>
      <c r="G1254" s="10"/>
      <c r="H1254" s="10"/>
      <c r="I1254" s="10"/>
      <c r="J1254" s="10"/>
      <c r="K1254" s="10"/>
      <c r="L1254" s="10"/>
      <c r="M1254" s="10"/>
      <c r="N1254" s="10"/>
      <c r="O1254" s="10"/>
      <c r="P1254" s="10"/>
      <c r="Q1254" s="10"/>
      <c r="R1254" s="10"/>
      <c r="S1254" s="10"/>
      <c r="T1254" s="10"/>
      <c r="U1254" s="10"/>
      <c r="V1254" s="10"/>
      <c r="W1254" s="10"/>
      <c r="X1254" s="10"/>
      <c r="Y1254" s="10"/>
      <c r="Z1254" s="10"/>
    </row>
    <row r="1255" spans="1:26" ht="12.75">
      <c r="A1255" s="10" t="str">
        <f ca="1">IFERROR(__xludf.DUMMYFUNCTION("""COMPUTED_VALUE"""),"Вера Петрова Бонева")</f>
        <v>Вера Петрова Бонева</v>
      </c>
      <c r="B1255" s="10" t="str">
        <f ca="1">IFERROR(__xludf.DUMMYFUNCTION("""COMPUTED_VALUE"""),"Статия в списания и поредици")</f>
        <v>Статия в списания и поредици</v>
      </c>
      <c r="C1255" s="10" t="str">
        <f ca="1">IFERROR(__xludf.DUMMYFUNCTION("""COMPUTED_VALUE"""),"Le publiciste de la Renaissance Bulgare Stefan Zahariev.")</f>
        <v>Le publiciste de la Renaissance Bulgare Stefan Zahariev.</v>
      </c>
      <c r="D1255" s="10">
        <f ca="1">IFERROR(__xludf.DUMMYFUNCTION("""COMPUTED_VALUE"""),2010)</f>
        <v>2010</v>
      </c>
      <c r="E1255" s="10" t="str">
        <f ca="1">IFERROR(__xludf.DUMMYFUNCTION("""COMPUTED_VALUE"""),"Bulgarian Historical Review, 2010, N 3-4, с. 98-120.")</f>
        <v>Bulgarian Historical Review, 2010, N 3-4, с. 98-120.</v>
      </c>
      <c r="F1255" s="10" t="str">
        <f ca="1">IFERROR(__xludf.DUMMYFUNCTION("""COMPUTED_VALUE"""),"SJR 2013 - 0.101 (Scopus)
 CEEOL
 EBSCOHost- Historical Abstracts
 ERIH Plus
 EastView
 eLIBRARY.ru
 HathiTrust’s digital library
 Thomson Reuters – Arts and Humanities Citation Index
 SCOPUS ( 2001 -2007, 2009-2011)")</f>
        <v>SJR 2013 - 0.101 (Scopus)
 CEEOL
 EBSCOHost- Historical Abstracts
 ERIH Plus
 EastView
 eLIBRARY.ru
 HathiTrust’s digital library
 Thomson Reuters – Arts and Humanities Citation Index
 SCOPUS ( 2001 -2007, 2009-2011)</v>
      </c>
      <c r="G1255" s="10"/>
      <c r="H1255" s="10"/>
      <c r="I1255" s="10"/>
      <c r="J1255" s="10"/>
      <c r="K1255" s="10"/>
      <c r="L1255" s="10"/>
      <c r="M1255" s="10"/>
      <c r="N1255" s="10"/>
      <c r="O1255" s="10"/>
      <c r="P1255" s="10"/>
      <c r="Q1255" s="10"/>
      <c r="R1255" s="10"/>
      <c r="S1255" s="10"/>
      <c r="T1255" s="10"/>
      <c r="U1255" s="10"/>
      <c r="V1255" s="10"/>
      <c r="W1255" s="10"/>
      <c r="X1255" s="10"/>
      <c r="Y1255" s="10"/>
      <c r="Z1255" s="10"/>
    </row>
    <row r="1256" spans="1:26" ht="12.75">
      <c r="A1256" s="10" t="str">
        <f ca="1">IFERROR(__xludf.DUMMYFUNCTION("""COMPUTED_VALUE"""),"Вера Петрова Бонева")</f>
        <v>Вера Петрова Бонева</v>
      </c>
      <c r="B1256" s="10" t="str">
        <f ca="1">IFERROR(__xludf.DUMMYFUNCTION("""COMPUTED_VALUE"""),"Доклад от конференция")</f>
        <v>Доклад от конференция</v>
      </c>
      <c r="C1256" s="10" t="str">
        <f ca="1">IFERROR(__xludf.DUMMYFUNCTION("""COMPUTED_VALUE"""),"Рафаил Попов като дописен член на Българската академия на науките: Пет забравени документа.")</f>
        <v>Рафаил Попов като дописен член на Българската академия на науките: Пет забравени документа.</v>
      </c>
      <c r="D1256" s="10">
        <f ca="1">IFERROR(__xludf.DUMMYFUNCTION("""COMPUTED_VALUE"""),2010)</f>
        <v>2010</v>
      </c>
      <c r="E1256" s="10" t="str">
        <f ca="1">IFERROR(__xludf.DUMMYFUNCTION("""COMPUTED_VALUE"""),"Оттука започва България. Материали от втората национална конференция по история, археология и културен туризъм „Пътуване към България”. Научен редактор проф. дин Иван Йорданов. Шумен 14-16 май 2010, с. 561-571.")</f>
        <v>Оттука започва България. Материали от втората национална конференция по история, археология и културен туризъм „Пътуване към България”. Научен редактор проф. дин Иван Йорданов. Шумен 14-16 май 2010, с. 561-571.</v>
      </c>
      <c r="F1256" s="10"/>
      <c r="G1256" s="10"/>
      <c r="H1256" s="10"/>
      <c r="I1256" s="10"/>
      <c r="J1256" s="10"/>
      <c r="K1256" s="10"/>
      <c r="L1256" s="10"/>
      <c r="M1256" s="10"/>
      <c r="N1256" s="10"/>
      <c r="O1256" s="10"/>
      <c r="P1256" s="10"/>
      <c r="Q1256" s="10"/>
      <c r="R1256" s="10"/>
      <c r="S1256" s="10"/>
      <c r="T1256" s="10"/>
      <c r="U1256" s="10"/>
      <c r="V1256" s="10"/>
      <c r="W1256" s="10"/>
      <c r="X1256" s="10"/>
      <c r="Y1256" s="10"/>
      <c r="Z1256" s="10"/>
    </row>
    <row r="1257" spans="1:26" ht="12.75">
      <c r="A1257" s="10" t="str">
        <f ca="1">IFERROR(__xludf.DUMMYFUNCTION("""COMPUTED_VALUE"""),"Вера Петрова Бонева")</f>
        <v>Вера Петрова Бонева</v>
      </c>
      <c r="B1257" s="10" t="str">
        <f ca="1">IFERROR(__xludf.DUMMYFUNCTION("""COMPUTED_VALUE"""),"Статия в списания и поредици")</f>
        <v>Статия в списания и поредици</v>
      </c>
      <c r="C1257" s="10" t="str">
        <f ca="1">IFERROR(__xludf.DUMMYFUNCTION("""COMPUTED_VALUE"""),"""Решението на Въпроса е в ръцете ни"": Българското църковнонационално движение на страниците на Славейковата ""Гайда"".")</f>
        <v>"Решението на Въпроса е в ръцете ни": Българското църковнонационално движение на страниците на Славейковата "Гайда".</v>
      </c>
      <c r="D1257" s="10">
        <f ca="1">IFERROR(__xludf.DUMMYFUNCTION("""COMPUTED_VALUE"""),2010)</f>
        <v>2010</v>
      </c>
      <c r="E1257" s="10" t="str">
        <f ca="1">IFERROR(__xludf.DUMMYFUNCTION("""COMPUTED_VALUE"""),"История, 2010, кн. 2, 33-55.")</f>
        <v>История, 2010, кн. 2, 33-55.</v>
      </c>
      <c r="F1257" s="10" t="str">
        <f ca="1">IFERROR(__xludf.DUMMYFUNCTION("""COMPUTED_VALUE"""),"Web of Science")</f>
        <v>Web of Science</v>
      </c>
      <c r="G1257" s="10"/>
      <c r="H1257" s="10"/>
      <c r="I1257" s="10"/>
      <c r="J1257" s="10"/>
      <c r="K1257" s="10"/>
      <c r="L1257" s="10"/>
      <c r="M1257" s="10"/>
      <c r="N1257" s="10"/>
      <c r="O1257" s="10"/>
      <c r="P1257" s="10"/>
      <c r="Q1257" s="10"/>
      <c r="R1257" s="10"/>
      <c r="S1257" s="10"/>
      <c r="T1257" s="10"/>
      <c r="U1257" s="10"/>
      <c r="V1257" s="10"/>
      <c r="W1257" s="10"/>
      <c r="X1257" s="10"/>
      <c r="Y1257" s="10"/>
      <c r="Z1257" s="10"/>
    </row>
    <row r="1258" spans="1:26" ht="12.75">
      <c r="A1258" s="10" t="str">
        <f ca="1">IFERROR(__xludf.DUMMYFUNCTION("""COMPUTED_VALUE"""),"Вера Петрова Бонева")</f>
        <v>Вера Петрова Бонева</v>
      </c>
      <c r="B1258" s="10" t="str">
        <f ca="1">IFERROR(__xludf.DUMMYFUNCTION("""COMPUTED_VALUE"""),"Монография")</f>
        <v>Монография</v>
      </c>
      <c r="C1258" s="10" t="str">
        <f ca="1">IFERROR(__xludf.DUMMYFUNCTION("""COMPUTED_VALUE"""),"Българското църковнонационално движение (1856-1870).")</f>
        <v>Българското църковнонационално движение (1856-1870).</v>
      </c>
      <c r="D1258" s="10">
        <f ca="1">IFERROR(__xludf.DUMMYFUNCTION("""COMPUTED_VALUE"""),2010)</f>
        <v>2010</v>
      </c>
      <c r="E1258" s="10" t="str">
        <f ca="1">IFERROR(__xludf.DUMMYFUNCTION("""COMPUTED_VALUE"""),"София : За буквите - О писменехь, 2010, 1128 с. ISBN 978-954-8887-77-9.")</f>
        <v>София : За буквите - О писменехь, 2010, 1128 с. ISBN 978-954-8887-77-9.</v>
      </c>
      <c r="F1258" s="10"/>
      <c r="G1258" s="10"/>
      <c r="H1258" s="10"/>
      <c r="I1258" s="10"/>
      <c r="J1258" s="10"/>
      <c r="K1258" s="10"/>
      <c r="L1258" s="10"/>
      <c r="M1258" s="10"/>
      <c r="N1258" s="10"/>
      <c r="O1258" s="10"/>
      <c r="P1258" s="10"/>
      <c r="Q1258" s="10"/>
      <c r="R1258" s="10"/>
      <c r="S1258" s="10"/>
      <c r="T1258" s="10"/>
      <c r="U1258" s="10"/>
      <c r="V1258" s="10"/>
      <c r="W1258" s="10"/>
      <c r="X1258" s="10"/>
      <c r="Y1258" s="10"/>
      <c r="Z1258" s="10"/>
    </row>
    <row r="1259" spans="1:26" ht="12.75">
      <c r="A1259" s="10" t="str">
        <f ca="1">IFERROR(__xludf.DUMMYFUNCTION("""COMPUTED_VALUE"""),"Вера Петрова Бонева")</f>
        <v>Вера Петрова Бонева</v>
      </c>
      <c r="B1259" s="10" t="str">
        <f ca="1">IFERROR(__xludf.DUMMYFUNCTION("""COMPUTED_VALUE"""),"Статия в списания и поредици")</f>
        <v>Статия в списания и поредици</v>
      </c>
      <c r="C1259" s="10" t="str">
        <f ca="1">IFERROR(__xludf.DUMMYFUNCTION("""COMPUTED_VALUE"""),"Българската възрожденска книжнина в съвременната информационна и институционална среда.")</f>
        <v>Българската възрожденска книжнина в съвременната информационна и институционална среда.</v>
      </c>
      <c r="D1259" s="10">
        <f ca="1">IFERROR(__xludf.DUMMYFUNCTION("""COMPUTED_VALUE"""),2010)</f>
        <v>2010</v>
      </c>
      <c r="E1259" s="10" t="str">
        <f ca="1">IFERROR(__xludf.DUMMYFUNCTION("""COMPUTED_VALUE"""),"Трудове на Специализираното висше училище по библиотекознание и информационни технологии. Т. 8. С., 2010, с. 281-287. ISSN 1312-5834.")</f>
        <v>Трудове на Специализираното висше училище по библиотекознание и информационни технологии. Т. 8. С., 2010, с. 281-287. ISSN 1312-5834.</v>
      </c>
      <c r="F1259" s="10"/>
      <c r="G1259" s="10"/>
      <c r="H1259" s="10"/>
      <c r="I1259" s="10"/>
      <c r="J1259" s="10"/>
      <c r="K1259" s="10"/>
      <c r="L1259" s="10"/>
      <c r="M1259" s="10"/>
      <c r="N1259" s="10"/>
      <c r="O1259" s="10"/>
      <c r="P1259" s="10"/>
      <c r="Q1259" s="10"/>
      <c r="R1259" s="10"/>
      <c r="S1259" s="10"/>
      <c r="T1259" s="10"/>
      <c r="U1259" s="10"/>
      <c r="V1259" s="10"/>
      <c r="W1259" s="10"/>
      <c r="X1259" s="10"/>
      <c r="Y1259" s="10"/>
      <c r="Z1259" s="10"/>
    </row>
    <row r="1260" spans="1:26" ht="12.75">
      <c r="A1260" s="10" t="str">
        <f ca="1">IFERROR(__xludf.DUMMYFUNCTION("""COMPUTED_VALUE"""),"Вера Петрова Бонева")</f>
        <v>Вера Петрова Бонева</v>
      </c>
      <c r="B1260" s="10" t="str">
        <f ca="1">IFERROR(__xludf.DUMMYFUNCTION("""COMPUTED_VALUE"""),"Доклад от конференция")</f>
        <v>Доклад от конференция</v>
      </c>
      <c r="C1260" s="10" t="str">
        <f ca="1">IFERROR(__xludf.DUMMYFUNCTION("""COMPUTED_VALUE"""),"Хаджи Иван(чо) Хаджи Пенчович и българският църковен въпрос (1868-1870).")</f>
        <v>Хаджи Иван(чо) Хаджи Пенчович и българският църковен въпрос (1868-1870).</v>
      </c>
      <c r="D1260" s="10">
        <f ca="1">IFERROR(__xludf.DUMMYFUNCTION("""COMPUTED_VALUE"""),2010)</f>
        <v>2010</v>
      </c>
      <c r="E1260" s="10" t="str">
        <f ca="1">IFERROR(__xludf.DUMMYFUNCTION("""COMPUTED_VALUE"""),"Политическото лидерство: Уроци от българската история (лидерство и национална сигурност). Четвърта научна сесия. София: Институт по теория и практика на лидерството, 2010, с. 37-49.")</f>
        <v>Политическото лидерство: Уроци от българската история (лидерство и национална сигурност). Четвърта научна сесия. София: Институт по теория и практика на лидерството, 2010, с. 37-49.</v>
      </c>
      <c r="F1260" s="10"/>
      <c r="G1260" s="10"/>
      <c r="H1260" s="10"/>
      <c r="I1260" s="10"/>
      <c r="J1260" s="10"/>
      <c r="K1260" s="10"/>
      <c r="L1260" s="10"/>
      <c r="M1260" s="10"/>
      <c r="N1260" s="10"/>
      <c r="O1260" s="10"/>
      <c r="P1260" s="10"/>
      <c r="Q1260" s="10"/>
      <c r="R1260" s="10"/>
      <c r="S1260" s="10"/>
      <c r="T1260" s="10"/>
      <c r="U1260" s="10"/>
      <c r="V1260" s="10"/>
      <c r="W1260" s="10"/>
      <c r="X1260" s="10"/>
      <c r="Y1260" s="10"/>
      <c r="Z1260" s="10"/>
    </row>
    <row r="1261" spans="1:26" ht="12.75">
      <c r="A1261" s="10" t="str">
        <f ca="1">IFERROR(__xludf.DUMMYFUNCTION("""COMPUTED_VALUE"""),"Вера Петрова Бонева")</f>
        <v>Вера Петрова Бонева</v>
      </c>
      <c r="B1261" s="10" t="str">
        <f ca="1">IFERROR(__xludf.DUMMYFUNCTION("""COMPUTED_VALUE"""),"Статия в списания и поредици")</f>
        <v>Статия в списания и поредици</v>
      </c>
      <c r="C1261" s="10" t="str">
        <f ca="1">IFERROR(__xludf.DUMMYFUNCTION("""COMPUTED_VALUE"""),"""И тъй се свърши триумфът"": Отзвукът от Фермана за учредяване на Българската екзархия във възрожденското общество.")</f>
        <v>"И тъй се свърши триумфът": Отзвукът от Фермана за учредяване на Българската екзархия във възрожденското общество.</v>
      </c>
      <c r="D1261" s="10">
        <f ca="1">IFERROR(__xludf.DUMMYFUNCTION("""COMPUTED_VALUE"""),2009)</f>
        <v>2009</v>
      </c>
      <c r="E1261" s="10" t="str">
        <f ca="1">IFERROR(__xludf.DUMMYFUNCTION("""COMPUTED_VALUE"""),"Историк със съдба на творец и преподавател. Сборник в чест но 60-годишнината на проф. дин Людмил Спасов. Т. І. Велико Търново, 2009, с. 132-161.")</f>
        <v>Историк със съдба на творец и преподавател. Сборник в чест но 60-годишнината на проф. дин Людмил Спасов. Т. І. Велико Търново, 2009, с. 132-161.</v>
      </c>
      <c r="F1261" s="10"/>
      <c r="G1261" s="10"/>
      <c r="H1261" s="10"/>
      <c r="I1261" s="10"/>
      <c r="J1261" s="10"/>
      <c r="K1261" s="10"/>
      <c r="L1261" s="10"/>
      <c r="M1261" s="10"/>
      <c r="N1261" s="10"/>
      <c r="O1261" s="10"/>
      <c r="P1261" s="10"/>
      <c r="Q1261" s="10"/>
      <c r="R1261" s="10"/>
      <c r="S1261" s="10"/>
      <c r="T1261" s="10"/>
      <c r="U1261" s="10"/>
      <c r="V1261" s="10"/>
      <c r="W1261" s="10"/>
      <c r="X1261" s="10"/>
      <c r="Y1261" s="10"/>
      <c r="Z1261" s="10"/>
    </row>
    <row r="1262" spans="1:26" ht="12.75">
      <c r="A1262" s="10" t="str">
        <f ca="1">IFERROR(__xludf.DUMMYFUNCTION("""COMPUTED_VALUE"""),"Вера Петрова Бонева")</f>
        <v>Вера Петрова Бонева</v>
      </c>
      <c r="B1262" s="10" t="str">
        <f ca="1">IFERROR(__xludf.DUMMYFUNCTION("""COMPUTED_VALUE"""),"Статия в списания и поредици")</f>
        <v>Статия в списания и поредици</v>
      </c>
      <c r="C1262" s="10" t="str">
        <f ca="1">IFERROR(__xludf.DUMMYFUNCTION("""COMPUTED_VALUE"""),"Професор Михаил Грънчаров (1949-2009).")</f>
        <v>Професор Михаил Грънчаров (1949-2009).</v>
      </c>
      <c r="D1262" s="10">
        <f ca="1">IFERROR(__xludf.DUMMYFUNCTION("""COMPUTED_VALUE"""),2009)</f>
        <v>2009</v>
      </c>
      <c r="E1262" s="10" t="str">
        <f ca="1">IFERROR(__xludf.DUMMYFUNCTION("""COMPUTED_VALUE"""),"Исторически преглед, 2009, кн. 5-6, с. 241-246.")</f>
        <v>Исторически преглед, 2009, кн. 5-6, с. 241-246.</v>
      </c>
      <c r="F1262" s="10" t="str">
        <f ca="1">IFERROR(__xludf.DUMMYFUNCTION("""COMPUTED_VALUE"""),"РИНЦ 
  CEEOL 
 EBSCO")</f>
        <v>РИНЦ 
  CEEOL 
 EBSCO</v>
      </c>
      <c r="G1262" s="10"/>
      <c r="H1262" s="10"/>
      <c r="I1262" s="10"/>
      <c r="J1262" s="10"/>
      <c r="K1262" s="10"/>
      <c r="L1262" s="10"/>
      <c r="M1262" s="10"/>
      <c r="N1262" s="10"/>
      <c r="O1262" s="10"/>
      <c r="P1262" s="10"/>
      <c r="Q1262" s="10"/>
      <c r="R1262" s="10"/>
      <c r="S1262" s="10"/>
      <c r="T1262" s="10"/>
      <c r="U1262" s="10"/>
      <c r="V1262" s="10"/>
      <c r="W1262" s="10"/>
      <c r="X1262" s="10"/>
      <c r="Y1262" s="10"/>
      <c r="Z1262" s="10"/>
    </row>
    <row r="1263" spans="1:26" ht="12.75">
      <c r="A1263" s="10" t="str">
        <f ca="1">IFERROR(__xludf.DUMMYFUNCTION("""COMPUTED_VALUE"""),"Вера Петрова Бонева")</f>
        <v>Вера Петрова Бонева</v>
      </c>
      <c r="B1263" s="10" t="str">
        <f ca="1">IFERROR(__xludf.DUMMYFUNCTION("""COMPUTED_VALUE"""),"Статия в списания и поредици")</f>
        <v>Статия в списания и поредици</v>
      </c>
      <c r="C1263" s="10" t="str">
        <f ca="1">IFERROR(__xludf.DUMMYFUNCTION("""COMPUTED_VALUE"""),"Бюджетът на будителите: Търново, 26 октомври 1866 година.")</f>
        <v>Бюджетът на будителите: Търново, 26 октомври 1866 година.</v>
      </c>
      <c r="D1263" s="10">
        <f ca="1">IFERROR(__xludf.DUMMYFUNCTION("""COMPUTED_VALUE"""),2009)</f>
        <v>2009</v>
      </c>
      <c r="E1263" s="10" t="str">
        <f ca="1">IFERROR(__xludf.DUMMYFUNCTION("""COMPUTED_VALUE"""),"Архив за поселищни проучвания, г. 13, 2009, кн. 1-2, 3-50.")</f>
        <v>Архив за поселищни проучвания, г. 13, 2009, кн. 1-2, 3-50.</v>
      </c>
      <c r="F1263" s="10"/>
      <c r="G1263" s="10"/>
      <c r="H1263" s="10"/>
      <c r="I1263" s="10"/>
      <c r="J1263" s="10"/>
      <c r="K1263" s="10"/>
      <c r="L1263" s="10"/>
      <c r="M1263" s="10"/>
      <c r="N1263" s="10"/>
      <c r="O1263" s="10"/>
      <c r="P1263" s="10"/>
      <c r="Q1263" s="10"/>
      <c r="R1263" s="10"/>
      <c r="S1263" s="10"/>
      <c r="T1263" s="10"/>
      <c r="U1263" s="10"/>
      <c r="V1263" s="10"/>
      <c r="W1263" s="10"/>
      <c r="X1263" s="10"/>
      <c r="Y1263" s="10"/>
      <c r="Z1263" s="10"/>
    </row>
    <row r="1264" spans="1:26" ht="12.75">
      <c r="A1264" s="10" t="str">
        <f ca="1">IFERROR(__xludf.DUMMYFUNCTION("""COMPUTED_VALUE"""),"Вера Петрова Бонева")</f>
        <v>Вера Петрова Бонева</v>
      </c>
      <c r="B1264" s="10" t="str">
        <f ca="1">IFERROR(__xludf.DUMMYFUNCTION("""COMPUTED_VALUE"""),"Статия в списания и поредици")</f>
        <v>Статия в списания и поредици</v>
      </c>
      <c r="C1264" s="10" t="str">
        <f ca="1">IFERROR(__xludf.DUMMYFUNCTION("""COMPUTED_VALUE"""),"Другата Великденска акция – 21 април 1861 г., и началото на църковно-светския култ към Иларион Макариополски, Авксентий Велешки и Паисий Пловдивски.")</f>
        <v>Другата Великденска акция – 21 април 1861 г., и началото на църковно-светския култ към Иларион Макариополски, Авксентий Велешки и Паисий Пловдивски.</v>
      </c>
      <c r="D1264" s="10">
        <f ca="1">IFERROR(__xludf.DUMMYFUNCTION("""COMPUTED_VALUE"""),2008)</f>
        <v>2008</v>
      </c>
      <c r="E1264" s="10" t="str">
        <f ca="1">IFERROR(__xludf.DUMMYFUNCTION("""COMPUTED_VALUE"""),"Известия на Българското историческо дружество. Т. 40. С., 2008, с. 63-81.")</f>
        <v>Известия на Българското историческо дружество. Т. 40. С., 2008, с. 63-81.</v>
      </c>
      <c r="F1264" s="10"/>
      <c r="G1264" s="10"/>
      <c r="H1264" s="10"/>
      <c r="I1264" s="10"/>
      <c r="J1264" s="10"/>
      <c r="K1264" s="10"/>
      <c r="L1264" s="10"/>
      <c r="M1264" s="10"/>
      <c r="N1264" s="10"/>
      <c r="O1264" s="10"/>
      <c r="P1264" s="10"/>
      <c r="Q1264" s="10"/>
      <c r="R1264" s="10"/>
      <c r="S1264" s="10"/>
      <c r="T1264" s="10"/>
      <c r="U1264" s="10"/>
      <c r="V1264" s="10"/>
      <c r="W1264" s="10"/>
      <c r="X1264" s="10"/>
      <c r="Y1264" s="10"/>
      <c r="Z1264" s="10"/>
    </row>
    <row r="1265" spans="1:26" ht="12.75">
      <c r="A1265" s="10" t="str">
        <f ca="1">IFERROR(__xludf.DUMMYFUNCTION("""COMPUTED_VALUE"""),"Вера Петрова Бонева")</f>
        <v>Вера Петрова Бонева</v>
      </c>
      <c r="B1265" s="10" t="str">
        <f ca="1">IFERROR(__xludf.DUMMYFUNCTION("""COMPUTED_VALUE"""),"Статия в списания и поредици")</f>
        <v>Статия в списания и поредици</v>
      </c>
      <c r="C1265" s="10" t="str">
        <f ca="1">IFERROR(__xludf.DUMMYFUNCTION("""COMPUTED_VALUE"""),"""Нова конституция французка..."": Модерните конституционни институции в европейските страни на страниците на ""Цариградски вестник"" (1850-1860).")</f>
        <v>"Нова конституция французка...": Модерните конституционни институции в европейските страни на страниците на "Цариградски вестник" (1850-1860).</v>
      </c>
      <c r="D1265" s="10">
        <f ca="1">IFERROR(__xludf.DUMMYFUNCTION("""COMPUTED_VALUE"""),2007)</f>
        <v>2007</v>
      </c>
      <c r="E1265" s="10" t="str">
        <f ca="1">IFERROR(__xludf.DUMMYFUNCTION("""COMPUTED_VALUE"""),"Александър Екзарх и българските пътища към Европа – ХІХ – началото на ХХ век. Стара Загора, 2007, 139-146. //""Nouvelle constitution Francaise"": Les institution constitutionnelles modernes des pais européenes dans les pages de ""Carigradski vestnik"" (18"&amp;"50-1860). – In: Alexandre Exarh et les routes bulgares vers l`Europe ХІХе – débute du ХХ siecle. Stara Zagora, 2007, 134-141. [Сборникът е двуезичен – български и френски език.]")</f>
        <v>Александър Екзарх и българските пътища към Европа – ХІХ – началото на ХХ век. Стара Загора, 2007, 139-146. //"Nouvelle constitution Francaise": Les institution constitutionnelles modernes des pais européenes dans les pages de "Carigradski vestnik" (1850-1860). – In: Alexandre Exarh et les routes bulgares vers l`Europe ХІХе – débute du ХХ siecle. Stara Zagora, 2007, 134-141. [Сборникът е двуезичен – български и френски език.]</v>
      </c>
      <c r="F1265" s="10"/>
      <c r="G1265" s="10"/>
      <c r="H1265" s="10"/>
      <c r="I1265" s="10"/>
      <c r="J1265" s="10"/>
      <c r="K1265" s="10"/>
      <c r="L1265" s="10"/>
      <c r="M1265" s="10"/>
      <c r="N1265" s="10"/>
      <c r="O1265" s="10"/>
      <c r="P1265" s="10"/>
      <c r="Q1265" s="10"/>
      <c r="R1265" s="10"/>
      <c r="S1265" s="10"/>
      <c r="T1265" s="10"/>
      <c r="U1265" s="10"/>
      <c r="V1265" s="10"/>
      <c r="W1265" s="10"/>
      <c r="X1265" s="10"/>
      <c r="Y1265" s="10"/>
      <c r="Z1265" s="10"/>
    </row>
    <row r="1266" spans="1:26" ht="12.75">
      <c r="A1266" s="10" t="str">
        <f ca="1">IFERROR(__xludf.DUMMYFUNCTION("""COMPUTED_VALUE"""),"Вера Петрова Бонева")</f>
        <v>Вера Петрова Бонева</v>
      </c>
      <c r="B1266" s="10" t="str">
        <f ca="1">IFERROR(__xludf.DUMMYFUNCTION("""COMPUTED_VALUE"""),"Статия в списания и поредици")</f>
        <v>Статия в списания и поредици</v>
      </c>
      <c r="C1266" s="10" t="str">
        <f ca="1">IFERROR(__xludf.DUMMYFUNCTION("""COMPUTED_VALUE"""),"Книжовноезиковата дейност на Гаврил Кръстевич и езиковата политика на българския възрожденски елит.")</f>
        <v>Книжовноезиковата дейност на Гаврил Кръстевич и езиковата политика на българския възрожденски елит.</v>
      </c>
      <c r="D1266" s="10">
        <f ca="1">IFERROR(__xludf.DUMMYFUNCTION("""COMPUTED_VALUE"""),2007)</f>
        <v>2007</v>
      </c>
      <c r="E1266" s="10" t="str">
        <f ca="1">IFERROR(__xludf.DUMMYFUNCTION("""COMPUTED_VALUE"""),"Проблеми на българската езикова политика. Шумен, 2007, с. 94-134.")</f>
        <v>Проблеми на българската езикова политика. Шумен, 2007, с. 94-134.</v>
      </c>
      <c r="F1266" s="10"/>
      <c r="G1266" s="10"/>
      <c r="H1266" s="10"/>
      <c r="I1266" s="10"/>
      <c r="J1266" s="10"/>
      <c r="K1266" s="10"/>
      <c r="L1266" s="10"/>
      <c r="M1266" s="10"/>
      <c r="N1266" s="10"/>
      <c r="O1266" s="10"/>
      <c r="P1266" s="10"/>
      <c r="Q1266" s="10"/>
      <c r="R1266" s="10"/>
      <c r="S1266" s="10"/>
      <c r="T1266" s="10"/>
      <c r="U1266" s="10"/>
      <c r="V1266" s="10"/>
      <c r="W1266" s="10"/>
      <c r="X1266" s="10"/>
      <c r="Y1266" s="10"/>
      <c r="Z1266" s="10"/>
    </row>
    <row r="1267" spans="1:26" ht="12.75">
      <c r="A1267" s="10" t="str">
        <f ca="1">IFERROR(__xludf.DUMMYFUNCTION("""COMPUTED_VALUE"""),"Вера Петрова Бонева")</f>
        <v>Вера Петрова Бонева</v>
      </c>
      <c r="B1267" s="10" t="str">
        <f ca="1">IFERROR(__xludf.DUMMYFUNCTION("""COMPUTED_VALUE"""),"Доклад от конференция")</f>
        <v>Доклад от конференция</v>
      </c>
      <c r="C1267" s="10" t="str">
        <f ca="1">IFERROR(__xludf.DUMMYFUNCTION("""COMPUTED_VALUE"""),"Българската община в Шумен през Възраждането. (Опит за анализ).")</f>
        <v>Българската община в Шумен през Възраждането. (Опит за анализ).</v>
      </c>
      <c r="D1267" s="10">
        <f ca="1">IFERROR(__xludf.DUMMYFUNCTION("""COMPUTED_VALUE"""),2007)</f>
        <v>2007</v>
      </c>
      <c r="E1267" s="10" t="str">
        <f ca="1">IFERROR(__xludf.DUMMYFUNCTION("""COMPUTED_VALUE"""),"Шумен и шуменци в националната история. Материали от Национална научна конференция по случай 150 години музейно дело в Шумен. Шумен, 10-11 май 2007. В. Търново, 2009, с. 23-33.")</f>
        <v>Шумен и шуменци в националната история. Материали от Национална научна конференция по случай 150 години музейно дело в Шумен. Шумен, 10-11 май 2007. В. Търново, 2009, с. 23-33.</v>
      </c>
      <c r="F1267" s="10"/>
      <c r="G1267" s="10"/>
      <c r="H1267" s="10"/>
      <c r="I1267" s="10"/>
      <c r="J1267" s="10"/>
      <c r="K1267" s="10"/>
      <c r="L1267" s="10"/>
      <c r="M1267" s="10"/>
      <c r="N1267" s="10"/>
      <c r="O1267" s="10"/>
      <c r="P1267" s="10"/>
      <c r="Q1267" s="10"/>
      <c r="R1267" s="10"/>
      <c r="S1267" s="10"/>
      <c r="T1267" s="10"/>
      <c r="U1267" s="10"/>
      <c r="V1267" s="10"/>
      <c r="W1267" s="10"/>
      <c r="X1267" s="10"/>
      <c r="Y1267" s="10"/>
      <c r="Z1267" s="10"/>
    </row>
    <row r="1268" spans="1:26" ht="12.75">
      <c r="A1268" s="10" t="str">
        <f ca="1">IFERROR(__xludf.DUMMYFUNCTION("""COMPUTED_VALUE"""),"Вера Петрова Бонева")</f>
        <v>Вера Петрова Бонева</v>
      </c>
      <c r="B1268" s="10" t="str">
        <f ca="1">IFERROR(__xludf.DUMMYFUNCTION("""COMPUTED_VALUE"""),"Статия в списания и поредици")</f>
        <v>Статия в списания и поредици</v>
      </c>
      <c r="C1268" s="10" t="str">
        <f ca="1">IFERROR(__xludf.DUMMYFUNCTION("""COMPUTED_VALUE"""),"Българският църковен въпрос и устройственият събор на Цариградската патриаршия (октомври 1858 г. - февруари 1860 г.).")</f>
        <v>Българският църковен въпрос и устройственият събор на Цариградската патриаршия (октомври 1858 г. - февруари 1860 г.).</v>
      </c>
      <c r="D1268" s="10">
        <f ca="1">IFERROR(__xludf.DUMMYFUNCTION("""COMPUTED_VALUE"""),2007)</f>
        <v>2007</v>
      </c>
      <c r="E1268" s="10" t="str">
        <f ca="1">IFERROR(__xludf.DUMMYFUNCTION("""COMPUTED_VALUE"""),"Исторически преглед, 2007, кн. 1-2, с. 42-84.")</f>
        <v>Исторически преглед, 2007, кн. 1-2, с. 42-84.</v>
      </c>
      <c r="F1268" s="10" t="str">
        <f ca="1">IFERROR(__xludf.DUMMYFUNCTION("""COMPUTED_VALUE"""),"РИНЦ 
 CEEOL
 EBSCO")</f>
        <v>РИНЦ 
 CEEOL
 EBSCO</v>
      </c>
      <c r="G1268" s="10"/>
      <c r="H1268" s="10"/>
      <c r="I1268" s="10"/>
      <c r="J1268" s="10"/>
      <c r="K1268" s="10"/>
      <c r="L1268" s="10"/>
      <c r="M1268" s="10"/>
      <c r="N1268" s="10"/>
      <c r="O1268" s="10"/>
      <c r="P1268" s="10"/>
      <c r="Q1268" s="10"/>
      <c r="R1268" s="10"/>
      <c r="S1268" s="10"/>
      <c r="T1268" s="10"/>
      <c r="U1268" s="10"/>
      <c r="V1268" s="10"/>
      <c r="W1268" s="10"/>
      <c r="X1268" s="10"/>
      <c r="Y1268" s="10"/>
      <c r="Z1268" s="10"/>
    </row>
    <row r="1269" spans="1:26" ht="12.75">
      <c r="A1269" s="10" t="str">
        <f ca="1">IFERROR(__xludf.DUMMYFUNCTION("""COMPUTED_VALUE"""),"Вера Петрова Бонева")</f>
        <v>Вера Петрова Бонева</v>
      </c>
      <c r="B1269" s="10" t="str">
        <f ca="1">IFERROR(__xludf.DUMMYFUNCTION("""COMPUTED_VALUE"""),"Статия в списания и поредици")</f>
        <v>Статия в списания и поредици</v>
      </c>
      <c r="C1269" s="10" t="str">
        <f ca="1">IFERROR(__xludf.DUMMYFUNCTION("""COMPUTED_VALUE"""),"""Сега е век на републиката"": Поборникът Петко Франгов за българската независимост от 1908 година.")</f>
        <v>"Сега е век на републиката": Поборникът Петко Франгов за българската независимост от 1908 година.</v>
      </c>
      <c r="D1269" s="10">
        <f ca="1">IFERROR(__xludf.DUMMYFUNCTION("""COMPUTED_VALUE"""),2007)</f>
        <v>2007</v>
      </c>
      <c r="E1269" s="10" t="str">
        <f ca="1">IFERROR(__xludf.DUMMYFUNCTION("""COMPUTED_VALUE"""),"Историкии. Т. 2. Научни изследвания в чест на доц. д-р Стоян Танев. По случай неговата 70-годишнина. Шумен, 2007, с. 317-319")</f>
        <v>Историкии. Т. 2. Научни изследвания в чест на доц. д-р Стоян Танев. По случай неговата 70-годишнина. Шумен, 2007, с. 317-319</v>
      </c>
      <c r="F1269" s="10"/>
      <c r="G1269" s="10"/>
      <c r="H1269" s="10"/>
      <c r="I1269" s="10"/>
      <c r="J1269" s="10"/>
      <c r="K1269" s="10"/>
      <c r="L1269" s="10"/>
      <c r="M1269" s="10"/>
      <c r="N1269" s="10"/>
      <c r="O1269" s="10"/>
      <c r="P1269" s="10"/>
      <c r="Q1269" s="10"/>
      <c r="R1269" s="10"/>
      <c r="S1269" s="10"/>
      <c r="T1269" s="10"/>
      <c r="U1269" s="10"/>
      <c r="V1269" s="10"/>
      <c r="W1269" s="10"/>
      <c r="X1269" s="10"/>
      <c r="Y1269" s="10"/>
      <c r="Z1269" s="10"/>
    </row>
    <row r="1270" spans="1:26" ht="12.75">
      <c r="A1270" s="10" t="str">
        <f ca="1">IFERROR(__xludf.DUMMYFUNCTION("""COMPUTED_VALUE"""),"Вера Петрова Бонева")</f>
        <v>Вера Петрова Бонева</v>
      </c>
      <c r="B1270" s="10" t="str">
        <f ca="1">IFERROR(__xludf.DUMMYFUNCTION("""COMPUTED_VALUE"""),"Студия")</f>
        <v>Студия</v>
      </c>
      <c r="C1270" s="10" t="str">
        <f ca="1">IFERROR(__xludf.DUMMYFUNCTION("""COMPUTED_VALUE"""),"Църковнонационални инициативи на българите в Разград и Разградско през 60-те години на ХІХ век.")</f>
        <v>Църковнонационални инициативи на българите в Разград и Разградско през 60-те години на ХІХ век.</v>
      </c>
      <c r="D1270" s="10">
        <f ca="1">IFERROR(__xludf.DUMMYFUNCTION("""COMPUTED_VALUE"""),2007)</f>
        <v>2007</v>
      </c>
      <c r="E1270" s="10" t="str">
        <f ca="1">IFERROR(__xludf.DUMMYFUNCTION("""COMPUTED_VALUE"""),"Изследвания в памет на акад. Анание Явашов. Сборник със статии от научна конференция, посветена на 150-годишнината от неговото рождение. София, 2007, с. 161-173.")</f>
        <v>Изследвания в памет на акад. Анание Явашов. Сборник със статии от научна конференция, посветена на 150-годишнината от неговото рождение. София, 2007, с. 161-173.</v>
      </c>
      <c r="F1270" s="10"/>
      <c r="G1270" s="10"/>
      <c r="H1270" s="10"/>
      <c r="I1270" s="10"/>
      <c r="J1270" s="10"/>
      <c r="K1270" s="10"/>
      <c r="L1270" s="10"/>
      <c r="M1270" s="10"/>
      <c r="N1270" s="10"/>
      <c r="O1270" s="10"/>
      <c r="P1270" s="10"/>
      <c r="Q1270" s="10"/>
      <c r="R1270" s="10"/>
      <c r="S1270" s="10"/>
      <c r="T1270" s="10"/>
      <c r="U1270" s="10"/>
      <c r="V1270" s="10"/>
      <c r="W1270" s="10"/>
      <c r="X1270" s="10"/>
      <c r="Y1270" s="10"/>
      <c r="Z1270" s="10"/>
    </row>
    <row r="1271" spans="1:26" ht="12.75">
      <c r="A1271" s="10" t="str">
        <f ca="1">IFERROR(__xludf.DUMMYFUNCTION("""COMPUTED_VALUE"""),"Вера Петрова Бонева")</f>
        <v>Вера Петрова Бонева</v>
      </c>
      <c r="B1271" s="10" t="str">
        <f ca="1">IFERROR(__xludf.DUMMYFUNCTION("""COMPUTED_VALUE"""),"Статия в списания и поредици")</f>
        <v>Статия в списания и поредици</v>
      </c>
      <c r="C1271" s="10" t="str">
        <f ca="1">IFERROR(__xludf.DUMMYFUNCTION("""COMPUTED_VALUE"""),"Възрожденското училищно ""законодателство"".")</f>
        <v>Възрожденското училищно "законодателство".</v>
      </c>
      <c r="D1271" s="10">
        <f ca="1">IFERROR(__xludf.DUMMYFUNCTION("""COMPUTED_VALUE"""),2007)</f>
        <v>2007</v>
      </c>
      <c r="E1271" s="10" t="str">
        <f ca="1">IFERROR(__xludf.DUMMYFUNCTION("""COMPUTED_VALUE"""),"Исторически преглед, 2007, кн. 3-4, с. 83-94.")</f>
        <v>Исторически преглед, 2007, кн. 3-4, с. 83-94.</v>
      </c>
      <c r="F1271" s="10" t="str">
        <f ca="1">IFERROR(__xludf.DUMMYFUNCTION("""COMPUTED_VALUE"""),"РИНЦ 
 CEEOL
 EBSCO")</f>
        <v>РИНЦ 
 CEEOL
 EBSCO</v>
      </c>
      <c r="G1271" s="10"/>
      <c r="H1271" s="10"/>
      <c r="I1271" s="10"/>
      <c r="J1271" s="10"/>
      <c r="K1271" s="10"/>
      <c r="L1271" s="10"/>
      <c r="M1271" s="10"/>
      <c r="N1271" s="10"/>
      <c r="O1271" s="10"/>
      <c r="P1271" s="10"/>
      <c r="Q1271" s="10"/>
      <c r="R1271" s="10"/>
      <c r="S1271" s="10"/>
      <c r="T1271" s="10"/>
      <c r="U1271" s="10"/>
      <c r="V1271" s="10"/>
      <c r="W1271" s="10"/>
      <c r="X1271" s="10"/>
      <c r="Y1271" s="10"/>
      <c r="Z1271" s="10"/>
    </row>
    <row r="1272" spans="1:26" ht="12.75">
      <c r="A1272" s="10" t="str">
        <f ca="1">IFERROR(__xludf.DUMMYFUNCTION("""COMPUTED_VALUE"""),"Вера Петрова Бонева")</f>
        <v>Вера Петрова Бонева</v>
      </c>
      <c r="B1272" s="10" t="str">
        <f ca="1">IFERROR(__xludf.DUMMYFUNCTION("""COMPUTED_VALUE"""),"Статия в списания и поредици")</f>
        <v>Статия в списания и поредици</v>
      </c>
      <c r="C1272" s="10" t="str">
        <f ca="1">IFERROR(__xludf.DUMMYFUNCTION("""COMPUTED_VALUE"""),"Арнаудовият Каравелов.")</f>
        <v>Арнаудовият Каравелов.</v>
      </c>
      <c r="D1272" s="10">
        <f ca="1">IFERROR(__xludf.DUMMYFUNCTION("""COMPUTED_VALUE"""),2006)</f>
        <v>2006</v>
      </c>
      <c r="E1272" s="10" t="str">
        <f ca="1">IFERROR(__xludf.DUMMYFUNCTION("""COMPUTED_VALUE"""),"Арнаудов сборник. Доклади и съобщения. Т. 4. Русе, 2006, с. 161-172.")</f>
        <v>Арнаудов сборник. Доклади и съобщения. Т. 4. Русе, 2006, с. 161-172.</v>
      </c>
      <c r="F1272" s="10"/>
      <c r="G1272" s="10"/>
      <c r="H1272" s="10"/>
      <c r="I1272" s="10"/>
      <c r="J1272" s="10"/>
      <c r="K1272" s="10"/>
      <c r="L1272" s="10"/>
      <c r="M1272" s="10"/>
      <c r="N1272" s="10"/>
      <c r="O1272" s="10"/>
      <c r="P1272" s="10"/>
      <c r="Q1272" s="10"/>
      <c r="R1272" s="10"/>
      <c r="S1272" s="10"/>
      <c r="T1272" s="10"/>
      <c r="U1272" s="10"/>
      <c r="V1272" s="10"/>
      <c r="W1272" s="10"/>
      <c r="X1272" s="10"/>
      <c r="Y1272" s="10"/>
      <c r="Z1272" s="10"/>
    </row>
    <row r="1273" spans="1:26" ht="12.75">
      <c r="A1273" s="10" t="str">
        <f ca="1">IFERROR(__xludf.DUMMYFUNCTION("""COMPUTED_VALUE"""),"Вера Петрова Бонева")</f>
        <v>Вера Петрова Бонева</v>
      </c>
      <c r="B1273" s="10" t="str">
        <f ca="1">IFERROR(__xludf.DUMMYFUNCTION("""COMPUTED_VALUE"""),"Доклад от конференция")</f>
        <v>Доклад от конференция</v>
      </c>
      <c r="C1273" s="10" t="str">
        <f ca="1">IFERROR(__xludf.DUMMYFUNCTION("""COMPUTED_VALUE"""),"Българското възраждане в терминологичната среда на следдесетоноемврийската историопис.")</f>
        <v>Българското възраждане в терминологичната среда на следдесетоноемврийската историопис.</v>
      </c>
      <c r="D1273" s="10">
        <f ca="1">IFERROR(__xludf.DUMMYFUNCTION("""COMPUTED_VALUE"""),2006)</f>
        <v>2006</v>
      </c>
      <c r="E1273" s="10" t="str">
        <f ca="1">IFERROR(__xludf.DUMMYFUNCTION("""COMPUTED_VALUE"""),"Предизвикателствата на промяната. Национална научна конференция, София, 10-11 декември 2004"". С., 2006, с. 137-148.")</f>
        <v>Предизвикателствата на промяната. Национална научна конференция, София, 10-11 декември 2004". С., 2006, с. 137-148.</v>
      </c>
      <c r="F1273" s="10"/>
      <c r="G1273" s="10"/>
      <c r="H1273" s="10"/>
      <c r="I1273" s="10"/>
      <c r="J1273" s="10"/>
      <c r="K1273" s="10"/>
      <c r="L1273" s="10"/>
      <c r="M1273" s="10"/>
      <c r="N1273" s="10"/>
      <c r="O1273" s="10"/>
      <c r="P1273" s="10"/>
      <c r="Q1273" s="10"/>
      <c r="R1273" s="10"/>
      <c r="S1273" s="10"/>
      <c r="T1273" s="10"/>
      <c r="U1273" s="10"/>
      <c r="V1273" s="10"/>
      <c r="W1273" s="10"/>
      <c r="X1273" s="10"/>
      <c r="Y1273" s="10"/>
      <c r="Z1273" s="10"/>
    </row>
    <row r="1274" spans="1:26" ht="12.75">
      <c r="A1274" s="10" t="str">
        <f ca="1">IFERROR(__xludf.DUMMYFUNCTION("""COMPUTED_VALUE"""),"Вера Петрова Бонева")</f>
        <v>Вера Петрова Бонева</v>
      </c>
      <c r="B1274" s="10" t="str">
        <f ca="1">IFERROR(__xludf.DUMMYFUNCTION("""COMPUTED_VALUE"""),"Статия в списания и поредици")</f>
        <v>Статия в списания и поредици</v>
      </c>
      <c r="C1274" s="10" t="str">
        <f ca="1">IFERROR(__xludf.DUMMYFUNCTION("""COMPUTED_VALUE"""),"Българското църковнонационално движение и българските възрожденски институции (1856-1870).")</f>
        <v>Българското църковнонационално движение и българските възрожденски институции (1856-1870).</v>
      </c>
      <c r="D1274" s="10">
        <f ca="1">IFERROR(__xludf.DUMMYFUNCTION("""COMPUTED_VALUE"""),2006)</f>
        <v>2006</v>
      </c>
      <c r="E1274" s="10" t="str">
        <f ca="1">IFERROR(__xludf.DUMMYFUNCTION("""COMPUTED_VALUE"""),"Държава &amp; църква – църква &amp; държава в българската история. Сборник по случай 135 години от учредяването на Българската екзархия. С., 2006, с. 217-234.")</f>
        <v>Държава &amp; църква – църква &amp; държава в българската история. Сборник по случай 135 години от учредяването на Българската екзархия. С., 2006, с. 217-234.</v>
      </c>
      <c r="F1274" s="10"/>
      <c r="G1274" s="10"/>
      <c r="H1274" s="10"/>
      <c r="I1274" s="10"/>
      <c r="J1274" s="10"/>
      <c r="K1274" s="10"/>
      <c r="L1274" s="10"/>
      <c r="M1274" s="10"/>
      <c r="N1274" s="10"/>
      <c r="O1274" s="10"/>
      <c r="P1274" s="10"/>
      <c r="Q1274" s="10"/>
      <c r="R1274" s="10"/>
      <c r="S1274" s="10"/>
      <c r="T1274" s="10"/>
      <c r="U1274" s="10"/>
      <c r="V1274" s="10"/>
      <c r="W1274" s="10"/>
      <c r="X1274" s="10"/>
      <c r="Y1274" s="10"/>
      <c r="Z1274" s="10"/>
    </row>
    <row r="1275" spans="1:26" ht="12.75">
      <c r="A1275" s="10" t="str">
        <f ca="1">IFERROR(__xludf.DUMMYFUNCTION("""COMPUTED_VALUE"""),"Вера Петрова Бонева")</f>
        <v>Вера Петрова Бонева</v>
      </c>
      <c r="B1275" s="10" t="str">
        <f ca="1">IFERROR(__xludf.DUMMYFUNCTION("""COMPUTED_VALUE"""),"Статия в списания и поредици")</f>
        <v>Статия в списания и поредици</v>
      </c>
      <c r="C1275" s="10" t="str">
        <f ca="1">IFERROR(__xludf.DUMMYFUNCTION("""COMPUTED_VALUE"""),"Великденската акция на цариградските българи от 3 април 1860 г. като единодействие на ""стари"" и ""млади"".")</f>
        <v>Великденската акция на цариградските българи от 3 април 1860 г. като единодействие на "стари" и "млади".</v>
      </c>
      <c r="D1275" s="10">
        <f ca="1">IFERROR(__xludf.DUMMYFUNCTION("""COMPUTED_VALUE"""),2006)</f>
        <v>2006</v>
      </c>
      <c r="E1275" s="10" t="str">
        <f ca="1">IFERROR(__xludf.DUMMYFUNCTION("""COMPUTED_VALUE"""),"""Млади"" и ""стари"" в Българското възраждане. Пловдив, 2006, с. 136-148.")</f>
        <v>"Млади" и "стари" в Българското възраждане. Пловдив, 2006, с. 136-148.</v>
      </c>
      <c r="F1275" s="10"/>
      <c r="G1275" s="10"/>
      <c r="H1275" s="10"/>
      <c r="I1275" s="10"/>
      <c r="J1275" s="10"/>
      <c r="K1275" s="10"/>
      <c r="L1275" s="10"/>
      <c r="M1275" s="10"/>
      <c r="N1275" s="10"/>
      <c r="O1275" s="10"/>
      <c r="P1275" s="10"/>
      <c r="Q1275" s="10"/>
      <c r="R1275" s="10"/>
      <c r="S1275" s="10"/>
      <c r="T1275" s="10"/>
      <c r="U1275" s="10"/>
      <c r="V1275" s="10"/>
      <c r="W1275" s="10"/>
      <c r="X1275" s="10"/>
      <c r="Y1275" s="10"/>
      <c r="Z1275" s="10"/>
    </row>
    <row r="1276" spans="1:26" ht="12.75">
      <c r="A1276" s="10" t="str">
        <f ca="1">IFERROR(__xludf.DUMMYFUNCTION("""COMPUTED_VALUE"""),"Вера Петрова Бонева")</f>
        <v>Вера Петрова Бонева</v>
      </c>
      <c r="B1276" s="10" t="str">
        <f ca="1">IFERROR(__xludf.DUMMYFUNCTION("""COMPUTED_VALUE"""),"Статия в списания и поредици")</f>
        <v>Статия в списания и поредици</v>
      </c>
      <c r="C1276" s="10" t="str">
        <f ca="1">IFERROR(__xludf.DUMMYFUNCTION("""COMPUTED_VALUE"""),"Неизвестен мемоарен разказ за съдбата на българите в Шумен от времето на руско-турската война 1877/1878 година.")</f>
        <v>Неизвестен мемоарен разказ за съдбата на българите в Шумен от времето на руско-турската война 1877/1878 година.</v>
      </c>
      <c r="D1276" s="10">
        <f ca="1">IFERROR(__xludf.DUMMYFUNCTION("""COMPUTED_VALUE"""),2006)</f>
        <v>2006</v>
      </c>
      <c r="E1276" s="10" t="str">
        <f ca="1">IFERROR(__xludf.DUMMYFUNCTION("""COMPUTED_VALUE"""),"Историкии. Т. 1. Юбилеен сборник. Десет години специалност История в Шуменския университет ""Епископ Константин Преславски"". Шумен, 2006, с. 77-81.")</f>
        <v>Историкии. Т. 1. Юбилеен сборник. Десет години специалност История в Шуменския университет "Епископ Константин Преславски". Шумен, 2006, с. 77-81.</v>
      </c>
      <c r="F1276" s="10"/>
      <c r="G1276" s="10"/>
      <c r="H1276" s="10"/>
      <c r="I1276" s="10"/>
      <c r="J1276" s="10"/>
      <c r="K1276" s="10"/>
      <c r="L1276" s="10"/>
      <c r="M1276" s="10"/>
      <c r="N1276" s="10"/>
      <c r="O1276" s="10"/>
      <c r="P1276" s="10"/>
      <c r="Q1276" s="10"/>
      <c r="R1276" s="10"/>
      <c r="S1276" s="10"/>
      <c r="T1276" s="10"/>
      <c r="U1276" s="10"/>
      <c r="V1276" s="10"/>
      <c r="W1276" s="10"/>
      <c r="X1276" s="10"/>
      <c r="Y1276" s="10"/>
      <c r="Z1276" s="10"/>
    </row>
    <row r="1277" spans="1:26" ht="12.75">
      <c r="A1277" s="10" t="str">
        <f ca="1">IFERROR(__xludf.DUMMYFUNCTION("""COMPUTED_VALUE"""),"Вера Петрова Бонева")</f>
        <v>Вера Петрова Бонева</v>
      </c>
      <c r="B1277" s="10" t="str">
        <f ca="1">IFERROR(__xludf.DUMMYFUNCTION("""COMPUTED_VALUE"""),"Статия в списания и поредици")</f>
        <v>Статия в списания и поредици</v>
      </c>
      <c r="C1277" s="10" t="str">
        <f ca="1">IFERROR(__xludf.DUMMYFUNCTION("""COMPUTED_VALUE"""),"Митрополит Антим и движението на българите от Преславска епархия за църковно-народен суверенитет 1861-1868.")</f>
        <v>Митрополит Антим и движението на българите от Преславска епархия за църковно-народен суверенитет 1861-1868.</v>
      </c>
      <c r="D1277" s="10">
        <f ca="1">IFERROR(__xludf.DUMMYFUNCTION("""COMPUTED_VALUE"""),2006)</f>
        <v>2006</v>
      </c>
      <c r="E1277" s="10" t="str">
        <f ca="1">IFERROR(__xludf.DUMMYFUNCTION("""COMPUTED_VALUE"""),"Studia in Honoreum Professor Virginiae Paskaleva. Bulgarian Historical Review, 2006, 1-2, с. 137-150.")</f>
        <v>Studia in Honoreum Professor Virginiae Paskaleva. Bulgarian Historical Review, 2006, 1-2, с. 137-150.</v>
      </c>
      <c r="F1277" s="10"/>
      <c r="G1277" s="10"/>
      <c r="H1277" s="10"/>
      <c r="I1277" s="10"/>
      <c r="J1277" s="10"/>
      <c r="K1277" s="10"/>
      <c r="L1277" s="10"/>
      <c r="M1277" s="10"/>
      <c r="N1277" s="10"/>
      <c r="O1277" s="10"/>
      <c r="P1277" s="10"/>
      <c r="Q1277" s="10"/>
      <c r="R1277" s="10"/>
      <c r="S1277" s="10"/>
      <c r="T1277" s="10"/>
      <c r="U1277" s="10"/>
      <c r="V1277" s="10"/>
      <c r="W1277" s="10"/>
      <c r="X1277" s="10"/>
      <c r="Y1277" s="10"/>
      <c r="Z1277" s="10"/>
    </row>
    <row r="1278" spans="1:26" ht="12.75">
      <c r="A1278" s="10" t="str">
        <f ca="1">IFERROR(__xludf.DUMMYFUNCTION("""COMPUTED_VALUE"""),"Вера Петрова Бонева")</f>
        <v>Вера Петрова Бонева</v>
      </c>
      <c r="B1278" s="10" t="str">
        <f ca="1">IFERROR(__xludf.DUMMYFUNCTION("""COMPUTED_VALUE"""),"Статия в списания и поредици")</f>
        <v>Статия в списания и поредици</v>
      </c>
      <c r="C1278" s="10" t="str">
        <f ca="1">IFERROR(__xludf.DUMMYFUNCTION("""COMPUTED_VALUE"""),"В ""задния двор"" на съвременната възрожденска историопис.")</f>
        <v>В "задния двор" на съвременната възрожденска историопис.</v>
      </c>
      <c r="D1278" s="10">
        <f ca="1">IFERROR(__xludf.DUMMYFUNCTION("""COMPUTED_VALUE"""),2006)</f>
        <v>2006</v>
      </c>
      <c r="E1278" s="10" t="str">
        <f ca="1">IFERROR(__xludf.DUMMYFUNCTION("""COMPUTED_VALUE"""),"Историческата наука в България – състояние и перспективи. София, 2006, с. 219-225.")</f>
        <v>Историческата наука в България – състояние и перспективи. София, 2006, с. 219-225.</v>
      </c>
      <c r="F1278" s="10"/>
      <c r="G1278" s="10"/>
      <c r="H1278" s="10"/>
      <c r="I1278" s="10"/>
      <c r="J1278" s="10"/>
      <c r="K1278" s="10"/>
      <c r="L1278" s="10"/>
      <c r="M1278" s="10"/>
      <c r="N1278" s="10"/>
      <c r="O1278" s="10"/>
      <c r="P1278" s="10"/>
      <c r="Q1278" s="10"/>
      <c r="R1278" s="10"/>
      <c r="S1278" s="10"/>
      <c r="T1278" s="10"/>
      <c r="U1278" s="10"/>
      <c r="V1278" s="10"/>
      <c r="W1278" s="10"/>
      <c r="X1278" s="10"/>
      <c r="Y1278" s="10"/>
      <c r="Z1278" s="10"/>
    </row>
    <row r="1279" spans="1:26" ht="12.75">
      <c r="A1279" s="10" t="str">
        <f ca="1">IFERROR(__xludf.DUMMYFUNCTION("""COMPUTED_VALUE"""),"Вера Петрова Бонева")</f>
        <v>Вера Петрова Бонева</v>
      </c>
      <c r="B1279" s="10" t="str">
        <f ca="1">IFERROR(__xludf.DUMMYFUNCTION("""COMPUTED_VALUE"""),"Учебник")</f>
        <v>Учебник</v>
      </c>
      <c r="C1279" s="10" t="str">
        <f ca="1">IFERROR(__xludf.DUMMYFUNCTION("""COMPUTED_VALUE"""),"Възраждане: България и българите в преход към новото време.")</f>
        <v>Възраждане: България и българите в преход към новото време.</v>
      </c>
      <c r="D1279" s="10">
        <f ca="1">IFERROR(__xludf.DUMMYFUNCTION("""COMPUTED_VALUE"""),2005)</f>
        <v>2005</v>
      </c>
      <c r="E1279" s="10" t="str">
        <f ca="1">IFERROR(__xludf.DUMMYFUNCTION("""COMPUTED_VALUE"""),"Шумен : Унив. изд. Епископ Константин Преславски, 2005, 503 с., ISBN 954-577-300-6.")</f>
        <v>Шумен : Унив. изд. Епископ Константин Преславски, 2005, 503 с., ISBN 954-577-300-6.</v>
      </c>
      <c r="F1279" s="10"/>
      <c r="G1279" s="10"/>
      <c r="H1279" s="10"/>
      <c r="I1279" s="10"/>
      <c r="J1279" s="10"/>
      <c r="K1279" s="10"/>
      <c r="L1279" s="10"/>
      <c r="M1279" s="10"/>
      <c r="N1279" s="10"/>
      <c r="O1279" s="10"/>
      <c r="P1279" s="10"/>
      <c r="Q1279" s="10"/>
      <c r="R1279" s="10"/>
      <c r="S1279" s="10"/>
      <c r="T1279" s="10"/>
      <c r="U1279" s="10"/>
      <c r="V1279" s="10"/>
      <c r="W1279" s="10"/>
      <c r="X1279" s="10"/>
      <c r="Y1279" s="10"/>
      <c r="Z1279" s="10"/>
    </row>
    <row r="1280" spans="1:26" ht="12.75">
      <c r="A1280" s="10" t="str">
        <f ca="1">IFERROR(__xludf.DUMMYFUNCTION("""COMPUTED_VALUE"""),"Вера Петрова Бонева")</f>
        <v>Вера Петрова Бонева</v>
      </c>
      <c r="B1280" s="10" t="str">
        <f ca="1">IFERROR(__xludf.DUMMYFUNCTION("""COMPUTED_VALUE"""),"Статия в списания и поредици")</f>
        <v>Статия в списания и поредици</v>
      </c>
      <c r="C1280" s="10" t="str">
        <f ca="1">IFERROR(__xludf.DUMMYFUNCTION("""COMPUTED_VALUE"""),"Въвеждане на системата за натрупване и трансфер на образователни кредити в обучението за придобиване на образователно-квалификационна степен ""бакалавър по история"" (седем риторични въпроса).")</f>
        <v>Въвеждане на системата за натрупване и трансфер на образователни кредити в обучението за придобиване на образователно-квалификационна степен "бакалавър по история" (седем риторични въпроса).</v>
      </c>
      <c r="D1280" s="10">
        <f ca="1">IFERROR(__xludf.DUMMYFUNCTION("""COMPUTED_VALUE"""),2005)</f>
        <v>2005</v>
      </c>
      <c r="E1280" s="10" t="str">
        <f ca="1">IFERROR(__xludf.DUMMYFUNCTION("""COMPUTED_VALUE"""),"Педагогика, 2005, кн. 8, с. 81-88.")</f>
        <v>Педагогика, 2005, кн. 8, с. 81-88.</v>
      </c>
      <c r="F1280" s="10" t="str">
        <f ca="1">IFERROR(__xludf.DUMMYFUNCTION("""COMPUTED_VALUE"""),"Web of Science")</f>
        <v>Web of Science</v>
      </c>
      <c r="G1280" s="10"/>
      <c r="H1280" s="10"/>
      <c r="I1280" s="10"/>
      <c r="J1280" s="10"/>
      <c r="K1280" s="10"/>
      <c r="L1280" s="10"/>
      <c r="M1280" s="10"/>
      <c r="N1280" s="10"/>
      <c r="O1280" s="10"/>
      <c r="P1280" s="10"/>
      <c r="Q1280" s="10"/>
      <c r="R1280" s="10"/>
      <c r="S1280" s="10"/>
      <c r="T1280" s="10"/>
      <c r="U1280" s="10"/>
      <c r="V1280" s="10"/>
      <c r="W1280" s="10"/>
      <c r="X1280" s="10"/>
      <c r="Y1280" s="10"/>
      <c r="Z1280" s="10"/>
    </row>
    <row r="1281" spans="1:26" ht="12.75">
      <c r="A1281" s="10" t="str">
        <f ca="1">IFERROR(__xludf.DUMMYFUNCTION("""COMPUTED_VALUE"""),"Вера Петрова Бонева")</f>
        <v>Вера Петрова Бонева</v>
      </c>
      <c r="B1281" s="10" t="str">
        <f ca="1">IFERROR(__xludf.DUMMYFUNCTION("""COMPUTED_VALUE"""),"Статия в списания и поредици")</f>
        <v>Статия в списания и поредици</v>
      </c>
      <c r="C1281" s="10" t="str">
        <f ca="1">IFERROR(__xludf.DUMMYFUNCTION("""COMPUTED_VALUE"""),"""Времената са деликатни сега и много тайни носят под крилата си"": Шест старозагорски писма от Тодор Шишков и хаджи Господин Славов до Йосиф Дайнелов (1861-1862).")</f>
        <v>"Времената са деликатни сега и много тайни носят под крилата си": Шест старозагорски писма от Тодор Шишков и хаджи Господин Славов до Йосиф Дайнелов (1861-1862).</v>
      </c>
      <c r="D1281" s="10">
        <f ca="1">IFERROR(__xludf.DUMMYFUNCTION("""COMPUTED_VALUE"""),2005)</f>
        <v>2005</v>
      </c>
      <c r="E1281" s="10" t="str">
        <f ca="1">IFERROR(__xludf.DUMMYFUNCTION("""COMPUTED_VALUE"""),"Проблеми на Възраждането в Югоизточна България. Т. 3-4. Варна: Книгоиздателство ""Зограф"", 2005, с. 337-357.")</f>
        <v>Проблеми на Възраждането в Югоизточна България. Т. 3-4. Варна: Книгоиздателство "Зограф", 2005, с. 337-357.</v>
      </c>
      <c r="F1281" s="10"/>
      <c r="G1281" s="10"/>
      <c r="H1281" s="10"/>
      <c r="I1281" s="10"/>
      <c r="J1281" s="10"/>
      <c r="K1281" s="10"/>
      <c r="L1281" s="10"/>
      <c r="M1281" s="10"/>
      <c r="N1281" s="10"/>
      <c r="O1281" s="10"/>
      <c r="P1281" s="10"/>
      <c r="Q1281" s="10"/>
      <c r="R1281" s="10"/>
      <c r="S1281" s="10"/>
      <c r="T1281" s="10"/>
      <c r="U1281" s="10"/>
      <c r="V1281" s="10"/>
      <c r="W1281" s="10"/>
      <c r="X1281" s="10"/>
      <c r="Y1281" s="10"/>
      <c r="Z1281" s="10"/>
    </row>
    <row r="1282" spans="1:26" ht="12.75">
      <c r="A1282" s="10" t="str">
        <f ca="1">IFERROR(__xludf.DUMMYFUNCTION("""COMPUTED_VALUE"""),"Вера Петрова Бонева")</f>
        <v>Вера Петрова Бонева</v>
      </c>
      <c r="B1282" s="10" t="str">
        <f ca="1">IFERROR(__xludf.DUMMYFUNCTION("""COMPUTED_VALUE"""),"Статия в списания и поредици")</f>
        <v>Статия в списания и поредици</v>
      </c>
      <c r="C1282" s="10" t="str">
        <f ca="1">IFERROR(__xludf.DUMMYFUNCTION("""COMPUTED_VALUE"""),"Шуменецът Величко Христов като деец на църковно-националното движение през Възраждането.")</f>
        <v>Шуменецът Величко Христов като деец на църковно-националното движение през Възраждането.</v>
      </c>
      <c r="D1282" s="10">
        <f ca="1">IFERROR(__xludf.DUMMYFUNCTION("""COMPUTED_VALUE"""),2004)</f>
        <v>2004</v>
      </c>
      <c r="E1282" s="10" t="str">
        <f ca="1">IFERROR(__xludf.DUMMYFUNCTION("""COMPUTED_VALUE"""),"Християнската традиция и царската институция в българската култура. Шумен, 2004, с. 117-128.")</f>
        <v>Християнската традиция и царската институция в българската култура. Шумен, 2004, с. 117-128.</v>
      </c>
      <c r="F1282" s="10"/>
      <c r="G1282" s="10"/>
      <c r="H1282" s="10"/>
      <c r="I1282" s="10"/>
      <c r="J1282" s="10"/>
      <c r="K1282" s="10"/>
      <c r="L1282" s="10"/>
      <c r="M1282" s="10"/>
      <c r="N1282" s="10"/>
      <c r="O1282" s="10"/>
      <c r="P1282" s="10"/>
      <c r="Q1282" s="10"/>
      <c r="R1282" s="10"/>
      <c r="S1282" s="10"/>
      <c r="T1282" s="10"/>
      <c r="U1282" s="10"/>
      <c r="V1282" s="10"/>
      <c r="W1282" s="10"/>
      <c r="X1282" s="10"/>
      <c r="Y1282" s="10"/>
      <c r="Z1282" s="10"/>
    </row>
    <row r="1283" spans="1:26" ht="12.75">
      <c r="A1283" s="10" t="str">
        <f ca="1">IFERROR(__xludf.DUMMYFUNCTION("""COMPUTED_VALUE"""),"Вера Петрова Бонева")</f>
        <v>Вера Петрова Бонева</v>
      </c>
      <c r="B1283" s="10" t="str">
        <f ca="1">IFERROR(__xludf.DUMMYFUNCTION("""COMPUTED_VALUE"""),"Статия в списания и поредици")</f>
        <v>Статия в списания и поредици</v>
      </c>
      <c r="C1283" s="10" t="str">
        <f ca="1">IFERROR(__xludf.DUMMYFUNCTION("""COMPUTED_VALUE"""),"Българският ХVІІІ век: Феномени и фактори на промяната.")</f>
        <v>Българският ХVІІІ век: Феномени и фактори на промяната.</v>
      </c>
      <c r="D1283" s="10">
        <f ca="1">IFERROR(__xludf.DUMMYFUNCTION("""COMPUTED_VALUE"""),2004)</f>
        <v>2004</v>
      </c>
      <c r="E1283" s="10" t="str">
        <f ca="1">IFERROR(__xludf.DUMMYFUNCTION("""COMPUTED_VALUE"""),"История, 2004, кн. 4-5, с. 37-56.")</f>
        <v>История, 2004, кн. 4-5, с. 37-56.</v>
      </c>
      <c r="F1283" s="10" t="str">
        <f ca="1">IFERROR(__xludf.DUMMYFUNCTION("""COMPUTED_VALUE"""),"Web of Science")</f>
        <v>Web of Science</v>
      </c>
      <c r="G1283" s="10"/>
      <c r="H1283" s="10"/>
      <c r="I1283" s="10"/>
      <c r="J1283" s="10"/>
      <c r="K1283" s="10"/>
      <c r="L1283" s="10"/>
      <c r="M1283" s="10"/>
      <c r="N1283" s="10"/>
      <c r="O1283" s="10"/>
      <c r="P1283" s="10"/>
      <c r="Q1283" s="10"/>
      <c r="R1283" s="10"/>
      <c r="S1283" s="10"/>
      <c r="T1283" s="10"/>
      <c r="U1283" s="10"/>
      <c r="V1283" s="10"/>
      <c r="W1283" s="10"/>
      <c r="X1283" s="10"/>
      <c r="Y1283" s="10"/>
      <c r="Z1283" s="10"/>
    </row>
    <row r="1284" spans="1:26" ht="12.75">
      <c r="A1284" s="10" t="str">
        <f ca="1">IFERROR(__xludf.DUMMYFUNCTION("""COMPUTED_VALUE"""),"Вера Петрова Бонева")</f>
        <v>Вера Петрова Бонева</v>
      </c>
      <c r="B1284" s="10" t="str">
        <f ca="1">IFERROR(__xludf.DUMMYFUNCTION("""COMPUTED_VALUE"""),"Статия в списания и поредици")</f>
        <v>Статия в списания и поредици</v>
      </c>
      <c r="C1284" s="10" t="str">
        <f ca="1">IFERROR(__xludf.DUMMYFUNCTION("""COMPUTED_VALUE"""),"Градиво за историята на българското просвещение в Осман пазар (Омуртаг) през Възраждането (Писма на Стефан Дервентски).")</f>
        <v>Градиво за историята на българското просвещение в Осман пазар (Омуртаг) през Възраждането (Писма на Стефан Дервентски).</v>
      </c>
      <c r="D1284" s="10">
        <f ca="1">IFERROR(__xludf.DUMMYFUNCTION("""COMPUTED_VALUE"""),2004)</f>
        <v>2004</v>
      </c>
      <c r="E1284" s="10" t="str">
        <f ca="1">IFERROR(__xludf.DUMMYFUNCTION("""COMPUTED_VALUE"""),"Омуртаг и Омуртагският край. Т. 3. Велико Търново, 2004, с. 99-134.")</f>
        <v>Омуртаг и Омуртагският край. Т. 3. Велико Търново, 2004, с. 99-134.</v>
      </c>
      <c r="F1284" s="10"/>
      <c r="G1284" s="10"/>
      <c r="H1284" s="10"/>
      <c r="I1284" s="10"/>
      <c r="J1284" s="10"/>
      <c r="K1284" s="10"/>
      <c r="L1284" s="10"/>
      <c r="M1284" s="10"/>
      <c r="N1284" s="10"/>
      <c r="O1284" s="10"/>
      <c r="P1284" s="10"/>
      <c r="Q1284" s="10"/>
      <c r="R1284" s="10"/>
      <c r="S1284" s="10"/>
      <c r="T1284" s="10"/>
      <c r="U1284" s="10"/>
      <c r="V1284" s="10"/>
      <c r="W1284" s="10"/>
      <c r="X1284" s="10"/>
      <c r="Y1284" s="10"/>
      <c r="Z1284" s="10"/>
    </row>
    <row r="1285" spans="1:26" ht="12.75">
      <c r="A1285" s="10" t="str">
        <f ca="1">IFERROR(__xludf.DUMMYFUNCTION("""COMPUTED_VALUE"""),"Вера Петрова Бонева")</f>
        <v>Вера Петрова Бонева</v>
      </c>
      <c r="B1285" s="10" t="str">
        <f ca="1">IFERROR(__xludf.DUMMYFUNCTION("""COMPUTED_VALUE"""),"Статия в списания и поредици")</f>
        <v>Статия в списания и поредици</v>
      </c>
      <c r="C1285" s="10" t="str">
        <f ca="1">IFERROR(__xludf.DUMMYFUNCTION("""COMPUTED_VALUE"""),"Българското просвещение: идейни измерения на възрожденския култ към знанието.")</f>
        <v>Българското просвещение: идейни измерения на възрожденския култ към знанието.</v>
      </c>
      <c r="D1285" s="10">
        <f ca="1">IFERROR(__xludf.DUMMYFUNCTION("""COMPUTED_VALUE"""),2004)</f>
        <v>2004</v>
      </c>
      <c r="E1285" s="10" t="str">
        <f ca="1">IFERROR(__xludf.DUMMYFUNCTION("""COMPUTED_VALUE"""),"Педагогика, 2004, кн. 6, с. 95-107.")</f>
        <v>Педагогика, 2004, кн. 6, с. 95-107.</v>
      </c>
      <c r="F1285" s="10" t="str">
        <f ca="1">IFERROR(__xludf.DUMMYFUNCTION("""COMPUTED_VALUE"""),"Web of Science")</f>
        <v>Web of Science</v>
      </c>
      <c r="G1285" s="10"/>
      <c r="H1285" s="10"/>
      <c r="I1285" s="10"/>
      <c r="J1285" s="10"/>
      <c r="K1285" s="10"/>
      <c r="L1285" s="10"/>
      <c r="M1285" s="10"/>
      <c r="N1285" s="10"/>
      <c r="O1285" s="10"/>
      <c r="P1285" s="10"/>
      <c r="Q1285" s="10"/>
      <c r="R1285" s="10"/>
      <c r="S1285" s="10"/>
      <c r="T1285" s="10"/>
      <c r="U1285" s="10"/>
      <c r="V1285" s="10"/>
      <c r="W1285" s="10"/>
      <c r="X1285" s="10"/>
      <c r="Y1285" s="10"/>
      <c r="Z1285" s="10"/>
    </row>
    <row r="1286" spans="1:26" ht="12.75">
      <c r="A1286" s="10" t="str">
        <f ca="1">IFERROR(__xludf.DUMMYFUNCTION("""COMPUTED_VALUE"""),"Вера Петрова Бонева")</f>
        <v>Вера Петрова Бонева</v>
      </c>
      <c r="B1286" s="10" t="str">
        <f ca="1">IFERROR(__xludf.DUMMYFUNCTION("""COMPUTED_VALUE"""),"Статия в списания и поредици")</f>
        <v>Статия в списания и поредици</v>
      </c>
      <c r="C1286" s="10" t="str">
        <f ca="1">IFERROR(__xludf.DUMMYFUNCTION("""COMPUTED_VALUE"""),"Развитие на учебното дело и образователните институции в българското общество през Възраждането.")</f>
        <v>Развитие на учебното дело и образователните институции в българското общество през Възраждането.</v>
      </c>
      <c r="D1286" s="10">
        <f ca="1">IFERROR(__xludf.DUMMYFUNCTION("""COMPUTED_VALUE"""),2004)</f>
        <v>2004</v>
      </c>
      <c r="E1286" s="10" t="str">
        <f ca="1">IFERROR(__xludf.DUMMYFUNCTION("""COMPUTED_VALUE"""),"Литературна историография и възрожденска култура. Шумен: Университетско издателство ""Епископ Константин Преславски"", 2004, 72-103.")</f>
        <v>Литературна историография и възрожденска култура. Шумен: Университетско издателство "Епископ Константин Преславски", 2004, 72-103.</v>
      </c>
      <c r="F1286" s="10"/>
      <c r="G1286" s="10"/>
      <c r="H1286" s="10"/>
      <c r="I1286" s="10"/>
      <c r="J1286" s="10"/>
      <c r="K1286" s="10"/>
      <c r="L1286" s="10"/>
      <c r="M1286" s="10"/>
      <c r="N1286" s="10"/>
      <c r="O1286" s="10"/>
      <c r="P1286" s="10"/>
      <c r="Q1286" s="10"/>
      <c r="R1286" s="10"/>
      <c r="S1286" s="10"/>
      <c r="T1286" s="10"/>
      <c r="U1286" s="10"/>
      <c r="V1286" s="10"/>
      <c r="W1286" s="10"/>
      <c r="X1286" s="10"/>
      <c r="Y1286" s="10"/>
      <c r="Z1286" s="10"/>
    </row>
    <row r="1287" spans="1:26" ht="12.75">
      <c r="A1287" s="10" t="str">
        <f ca="1">IFERROR(__xludf.DUMMYFUNCTION("""COMPUTED_VALUE"""),"Вера Петрова Бонева")</f>
        <v>Вера Петрова Бонева</v>
      </c>
      <c r="B1287" s="10" t="str">
        <f ca="1">IFERROR(__xludf.DUMMYFUNCTION("""COMPUTED_VALUE"""),"Статия в списания и поредици")</f>
        <v>Статия в списания и поредици</v>
      </c>
      <c r="C1287" s="10" t="str">
        <f ca="1">IFERROR(__xludf.DUMMYFUNCTION("""COMPUTED_VALUE"""),"Архивният документ в историческия музей — правен статут и фактическо състояние.")</f>
        <v>Архивният документ в историческия музей — правен статут и фактическо състояние.</v>
      </c>
      <c r="D1287" s="10">
        <f ca="1">IFERROR(__xludf.DUMMYFUNCTION("""COMPUTED_VALUE"""),2004)</f>
        <v>2004</v>
      </c>
      <c r="E1287" s="10" t="str">
        <f ca="1">IFERROR(__xludf.DUMMYFUNCTION("""COMPUTED_VALUE"""),"Архивен преглед, 2004, кн. 3-4, с. 43-48.")</f>
        <v>Архивен преглед, 2004, кн. 3-4, с. 43-48.</v>
      </c>
      <c r="F1287" s="10"/>
      <c r="G1287" s="10"/>
      <c r="H1287" s="10"/>
      <c r="I1287" s="10"/>
      <c r="J1287" s="10"/>
      <c r="K1287" s="10"/>
      <c r="L1287" s="10"/>
      <c r="M1287" s="10"/>
      <c r="N1287" s="10"/>
      <c r="O1287" s="10"/>
      <c r="P1287" s="10"/>
      <c r="Q1287" s="10"/>
      <c r="R1287" s="10"/>
      <c r="S1287" s="10"/>
      <c r="T1287" s="10"/>
      <c r="U1287" s="10"/>
      <c r="V1287" s="10"/>
      <c r="W1287" s="10"/>
      <c r="X1287" s="10"/>
      <c r="Y1287" s="10"/>
      <c r="Z1287" s="10"/>
    </row>
    <row r="1288" spans="1:26" ht="12.75">
      <c r="A1288" s="10" t="str">
        <f ca="1">IFERROR(__xludf.DUMMYFUNCTION("""COMPUTED_VALUE"""),"Вера Петрова Бонева")</f>
        <v>Вера Петрова Бонева</v>
      </c>
      <c r="B1288" s="10" t="str">
        <f ca="1">IFERROR(__xludf.DUMMYFUNCTION("""COMPUTED_VALUE"""),"Статия в списания и поредици")</f>
        <v>Статия в списания и поредици</v>
      </c>
      <c r="C1288" s="10" t="str">
        <f ca="1">IFERROR(__xludf.DUMMYFUNCTION("""COMPUTED_VALUE"""),"От Манчестър до Михалци: Даскал Тодор Лука Лефтеров.")</f>
        <v>От Манчестър до Михалци: Даскал Тодор Лука Лефтеров.</v>
      </c>
      <c r="D1288" s="10">
        <f ca="1">IFERROR(__xludf.DUMMYFUNCTION("""COMPUTED_VALUE"""),2004)</f>
        <v>2004</v>
      </c>
      <c r="E1288" s="10" t="str">
        <f ca="1">IFERROR(__xludf.DUMMYFUNCTION("""COMPUTED_VALUE"""),"Исторически преглед, 2004, кн. 5-6, с. 343-360.")</f>
        <v>Исторически преглед, 2004, кн. 5-6, с. 343-360.</v>
      </c>
      <c r="F1288" s="10" t="str">
        <f ca="1">IFERROR(__xludf.DUMMYFUNCTION("""COMPUTED_VALUE"""),"Web of Science")</f>
        <v>Web of Science</v>
      </c>
      <c r="G1288" s="10"/>
      <c r="H1288" s="10"/>
      <c r="I1288" s="10"/>
      <c r="J1288" s="10"/>
      <c r="K1288" s="10"/>
      <c r="L1288" s="10"/>
      <c r="M1288" s="10"/>
      <c r="N1288" s="10"/>
      <c r="O1288" s="10"/>
      <c r="P1288" s="10"/>
      <c r="Q1288" s="10"/>
      <c r="R1288" s="10"/>
      <c r="S1288" s="10"/>
      <c r="T1288" s="10"/>
      <c r="U1288" s="10"/>
      <c r="V1288" s="10"/>
      <c r="W1288" s="10"/>
      <c r="X1288" s="10"/>
      <c r="Y1288" s="10"/>
      <c r="Z1288" s="10"/>
    </row>
    <row r="1289" spans="1:26" ht="12.75">
      <c r="A1289" s="10" t="str">
        <f ca="1">IFERROR(__xludf.DUMMYFUNCTION("""COMPUTED_VALUE"""),"Вера Петрова Бонева")</f>
        <v>Вера Петрова Бонева</v>
      </c>
      <c r="B1289" s="10" t="str">
        <f ca="1">IFERROR(__xludf.DUMMYFUNCTION("""COMPUTED_VALUE"""),"Учебно пособие")</f>
        <v>Учебно пособие</v>
      </c>
      <c r="C1289" s="10" t="str">
        <f ca="1">IFERROR(__xludf.DUMMYFUNCTION("""COMPUTED_VALUE"""),"Тестове по история на България.")</f>
        <v>Тестове по история на България.</v>
      </c>
      <c r="D1289" s="10">
        <f ca="1">IFERROR(__xludf.DUMMYFUNCTION("""COMPUTED_VALUE"""),2004)</f>
        <v>2004</v>
      </c>
      <c r="E1289" s="10" t="str">
        <f ca="1">IFERROR(__xludf.DUMMYFUNCTION("""COMPUTED_VALUE"""),"Издателство Фабер, В. Търново, 2004. Редактор Тодор Тодоров. 100 с.")</f>
        <v>Издателство Фабер, В. Търново, 2004. Редактор Тодор Тодоров. 100 с.</v>
      </c>
      <c r="F1289" s="10"/>
      <c r="G1289" s="10" t="str">
        <f ca="1">IFERROR(__xludf.DUMMYFUNCTION("""COMPUTED_VALUE"""),"Тодор Тодоров, Росица Ангелова")</f>
        <v>Тодор Тодоров, Росица Ангелова</v>
      </c>
      <c r="H1289" s="10"/>
      <c r="I1289" s="10"/>
      <c r="J1289" s="10"/>
      <c r="K1289" s="10"/>
      <c r="L1289" s="10"/>
      <c r="M1289" s="10"/>
      <c r="N1289" s="10"/>
      <c r="O1289" s="10"/>
      <c r="P1289" s="10"/>
      <c r="Q1289" s="10"/>
      <c r="R1289" s="10"/>
      <c r="S1289" s="10"/>
      <c r="T1289" s="10"/>
      <c r="U1289" s="10"/>
      <c r="V1289" s="10"/>
      <c r="W1289" s="10"/>
      <c r="X1289" s="10"/>
      <c r="Y1289" s="10"/>
      <c r="Z1289" s="10"/>
    </row>
    <row r="1290" spans="1:26" ht="12.75">
      <c r="A1290" s="10" t="str">
        <f ca="1">IFERROR(__xludf.DUMMYFUNCTION("""COMPUTED_VALUE"""),"Вера Петрова Бонева")</f>
        <v>Вера Петрова Бонева</v>
      </c>
      <c r="B1290" s="10" t="str">
        <f ca="1">IFERROR(__xludf.DUMMYFUNCTION("""COMPUTED_VALUE"""),"Статия в списания и поредици")</f>
        <v>Статия в списания и поредици</v>
      </c>
      <c r="C1290" s="10" t="str">
        <f ca="1">IFERROR(__xludf.DUMMYFUNCTION("""COMPUTED_VALUE"""),"Храмът на цветовете: Очерк за българското възрожденско изкуство.")</f>
        <v>Храмът на цветовете: Очерк за българското възрожденско изкуство.</v>
      </c>
      <c r="D1290" s="10">
        <f ca="1">IFERROR(__xludf.DUMMYFUNCTION("""COMPUTED_VALUE"""),2004)</f>
        <v>2004</v>
      </c>
      <c r="E1290" s="10" t="str">
        <f ca="1">IFERROR(__xludf.DUMMYFUNCTION("""COMPUTED_VALUE"""),"Любословие, 2004, кн. 5, с. 106-123.")</f>
        <v>Любословие, 2004, кн. 5, с. 106-123.</v>
      </c>
      <c r="F1290" s="10"/>
      <c r="G1290" s="10"/>
      <c r="H1290" s="10"/>
      <c r="I1290" s="10"/>
      <c r="J1290" s="10"/>
      <c r="K1290" s="10"/>
      <c r="L1290" s="10"/>
      <c r="M1290" s="10"/>
      <c r="N1290" s="10"/>
      <c r="O1290" s="10"/>
      <c r="P1290" s="10"/>
      <c r="Q1290" s="10"/>
      <c r="R1290" s="10"/>
      <c r="S1290" s="10"/>
      <c r="T1290" s="10"/>
      <c r="U1290" s="10"/>
      <c r="V1290" s="10"/>
      <c r="W1290" s="10"/>
      <c r="X1290" s="10"/>
      <c r="Y1290" s="10"/>
      <c r="Z1290" s="10"/>
    </row>
    <row r="1291" spans="1:26" ht="12.75">
      <c r="A1291" s="10" t="str">
        <f ca="1">IFERROR(__xludf.DUMMYFUNCTION("""COMPUTED_VALUE"""),"Вера Петрова Бонева")</f>
        <v>Вера Петрова Бонева</v>
      </c>
      <c r="B1291" s="10" t="str">
        <f ca="1">IFERROR(__xludf.DUMMYFUNCTION("""COMPUTED_VALUE"""),"Статия в списания и поредици")</f>
        <v>Статия в списания и поредици</v>
      </c>
      <c r="C1291" s="10" t="str">
        <f ca="1">IFERROR(__xludf.DUMMYFUNCTION("""COMPUTED_VALUE"""),"”Всичко или нищо”. Църковно-националното движение на страниците на вестник ”Македония”.")</f>
        <v>”Всичко или нищо”. Църковно-националното движение на страниците на вестник ”Македония”.</v>
      </c>
      <c r="D1291" s="10">
        <f ca="1">IFERROR(__xludf.DUMMYFUNCTION("""COMPUTED_VALUE"""),2003)</f>
        <v>2003</v>
      </c>
      <c r="E1291" s="10" t="str">
        <f ca="1">IFERROR(__xludf.DUMMYFUNCTION("""COMPUTED_VALUE"""),"Петко Славейков. Нови изследвания. Сборник по повод 175 години от рождението му. Под редакцията на Иван Радев. В. Търново, Фабер, 2003, с. 191-200.")</f>
        <v>Петко Славейков. Нови изследвания. Сборник по повод 175 години от рождението му. Под редакцията на Иван Радев. В. Търново, Фабер, 2003, с. 191-200.</v>
      </c>
      <c r="F1291" s="10"/>
      <c r="G1291" s="10"/>
      <c r="H1291" s="10"/>
      <c r="I1291" s="10"/>
      <c r="J1291" s="10"/>
      <c r="K1291" s="10"/>
      <c r="L1291" s="10"/>
      <c r="M1291" s="10"/>
      <c r="N1291" s="10"/>
      <c r="O1291" s="10"/>
      <c r="P1291" s="10"/>
      <c r="Q1291" s="10"/>
      <c r="R1291" s="10"/>
      <c r="S1291" s="10"/>
      <c r="T1291" s="10"/>
      <c r="U1291" s="10"/>
      <c r="V1291" s="10"/>
      <c r="W1291" s="10"/>
      <c r="X1291" s="10"/>
      <c r="Y1291" s="10"/>
      <c r="Z1291" s="10"/>
    </row>
    <row r="1292" spans="1:26" ht="12.75">
      <c r="A1292" s="10" t="str">
        <f ca="1">IFERROR(__xludf.DUMMYFUNCTION("""COMPUTED_VALUE"""),"Вера Петрова Бонева")</f>
        <v>Вера Петрова Бонева</v>
      </c>
      <c r="B1292" s="10" t="str">
        <f ca="1">IFERROR(__xludf.DUMMYFUNCTION("""COMPUTED_VALUE"""),"Статия в списания и поредици")</f>
        <v>Статия в списания и поредици</v>
      </c>
      <c r="C1292" s="10" t="str">
        <f ca="1">IFERROR(__xludf.DUMMYFUNCTION("""COMPUTED_VALUE"""),"Три ""повелителни писма"" на Шуменската община. Към историята на възрожденската градска култура.")</f>
        <v>Три "повелителни писма" на Шуменската община. Към историята на възрожденската градска култура.</v>
      </c>
      <c r="D1292" s="10">
        <f ca="1">IFERROR(__xludf.DUMMYFUNCTION("""COMPUTED_VALUE"""),2003)</f>
        <v>2003</v>
      </c>
      <c r="E1292" s="10" t="str">
        <f ca="1">IFERROR(__xludf.DUMMYFUNCTION("""COMPUTED_VALUE"""),"Българска етнология, 2003, кн. 1, с. 82-95.")</f>
        <v>Българска етнология, 2003, кн. 1, с. 82-95.</v>
      </c>
      <c r="F1292" s="10" t="str">
        <f ca="1">IFERROR(__xludf.DUMMYFUNCTION("""COMPUTED_VALUE"""),"CEEOL
 ЕRIH
 ERIHPlus 
 ProQuest")</f>
        <v>CEEOL
 ЕRIH
 ERIHPlus 
 ProQuest</v>
      </c>
      <c r="G1292" s="10"/>
      <c r="H1292" s="10"/>
      <c r="I1292" s="10"/>
      <c r="J1292" s="10"/>
      <c r="K1292" s="10"/>
      <c r="L1292" s="10"/>
      <c r="M1292" s="10"/>
      <c r="N1292" s="10"/>
      <c r="O1292" s="10"/>
      <c r="P1292" s="10"/>
      <c r="Q1292" s="10"/>
      <c r="R1292" s="10"/>
      <c r="S1292" s="10"/>
      <c r="T1292" s="10"/>
      <c r="U1292" s="10"/>
      <c r="V1292" s="10"/>
      <c r="W1292" s="10"/>
      <c r="X1292" s="10"/>
      <c r="Y1292" s="10"/>
      <c r="Z1292" s="10"/>
    </row>
    <row r="1293" spans="1:26" ht="12.75">
      <c r="A1293" s="10" t="str">
        <f ca="1">IFERROR(__xludf.DUMMYFUNCTION("""COMPUTED_VALUE"""),"Вера Петрова Бонева")</f>
        <v>Вера Петрова Бонева</v>
      </c>
      <c r="B1293" s="10" t="str">
        <f ca="1">IFERROR(__xludf.DUMMYFUNCTION("""COMPUTED_VALUE"""),"Статия в списания и поредици")</f>
        <v>Статия в списания и поредици</v>
      </c>
      <c r="C1293" s="10" t="str">
        <f ca="1">IFERROR(__xludf.DUMMYFUNCTION("""COMPUTED_VALUE"""),"Гаврил Кръстевич на църковнонародния събор 1871 г.")</f>
        <v>Гаврил Кръстевич на църковнонародния събор 1871 г.</v>
      </c>
      <c r="D1293" s="10">
        <f ca="1">IFERROR(__xludf.DUMMYFUNCTION("""COMPUTED_VALUE"""),2003)</f>
        <v>2003</v>
      </c>
      <c r="E1293" s="10" t="str">
        <f ca="1">IFERROR(__xludf.DUMMYFUNCTION("""COMPUTED_VALUE"""),"История. Общество. Религия. Шумен, 2003, с. 141-154.")</f>
        <v>История. Общество. Религия. Шумен, 2003, с. 141-154.</v>
      </c>
      <c r="F1293" s="10"/>
      <c r="G1293" s="10"/>
      <c r="H1293" s="10"/>
      <c r="I1293" s="10"/>
      <c r="J1293" s="10"/>
      <c r="K1293" s="10"/>
      <c r="L1293" s="10"/>
      <c r="M1293" s="10"/>
      <c r="N1293" s="10"/>
      <c r="O1293" s="10"/>
      <c r="P1293" s="10"/>
      <c r="Q1293" s="10"/>
      <c r="R1293" s="10"/>
      <c r="S1293" s="10"/>
      <c r="T1293" s="10"/>
      <c r="U1293" s="10"/>
      <c r="V1293" s="10"/>
      <c r="W1293" s="10"/>
      <c r="X1293" s="10"/>
      <c r="Y1293" s="10"/>
      <c r="Z1293" s="10"/>
    </row>
    <row r="1294" spans="1:26" ht="12.75">
      <c r="A1294" s="10" t="str">
        <f ca="1">IFERROR(__xludf.DUMMYFUNCTION("""COMPUTED_VALUE"""),"Вера Петрова Бонева")</f>
        <v>Вера Петрова Бонева</v>
      </c>
      <c r="B1294" s="10" t="str">
        <f ca="1">IFERROR(__xludf.DUMMYFUNCTION("""COMPUTED_VALUE"""),"Статия в списания и поредици")</f>
        <v>Статия в списания и поредици</v>
      </c>
      <c r="C1294" s="10" t="str">
        <f ca="1">IFERROR(__xludf.DUMMYFUNCTION("""COMPUTED_VALUE"""),"Българското възраждане в българската историопис.")</f>
        <v>Българското възраждане в българската историопис.</v>
      </c>
      <c r="D1294" s="10">
        <f ca="1">IFERROR(__xludf.DUMMYFUNCTION("""COMPUTED_VALUE"""),2003)</f>
        <v>2003</v>
      </c>
      <c r="E1294" s="10" t="str">
        <f ca="1">IFERROR(__xludf.DUMMYFUNCTION("""COMPUTED_VALUE"""),"Bulgarian Historical Review, 2003, 3-4, с. 174-207.")</f>
        <v>Bulgarian Historical Review, 2003, 3-4, с. 174-207.</v>
      </c>
      <c r="F1294" s="10" t="str">
        <f ca="1">IFERROR(__xludf.DUMMYFUNCTION("""COMPUTED_VALUE"""),"SJR 2013 - 0.101 (Scopus)
 CEEOL 
 EBSCOHost- Historical Abstracts
 ERIH Plus
 EastView
 eLIBRARY.ru
 HathiTrust’s digital library
 Thomson Reuters – Arts and Humanities Citation Index
 SCOPUS ( 2001 -2007, 2009-2011)")</f>
        <v>SJR 2013 - 0.101 (Scopus)
 CEEOL 
 EBSCOHost- Historical Abstracts
 ERIH Plus
 EastView
 eLIBRARY.ru
 HathiTrust’s digital library
 Thomson Reuters – Arts and Humanities Citation Index
 SCOPUS ( 2001 -2007, 2009-2011)</v>
      </c>
      <c r="G1294" s="10"/>
      <c r="H1294" s="10"/>
      <c r="I1294" s="10"/>
      <c r="J1294" s="10"/>
      <c r="K1294" s="10"/>
      <c r="L1294" s="10"/>
      <c r="M1294" s="10"/>
      <c r="N1294" s="10"/>
      <c r="O1294" s="10"/>
      <c r="P1294" s="10"/>
      <c r="Q1294" s="10"/>
      <c r="R1294" s="10"/>
      <c r="S1294" s="10"/>
      <c r="T1294" s="10"/>
      <c r="U1294" s="10"/>
      <c r="V1294" s="10"/>
      <c r="W1294" s="10"/>
      <c r="X1294" s="10"/>
      <c r="Y1294" s="10"/>
      <c r="Z1294" s="10"/>
    </row>
    <row r="1295" spans="1:26" ht="12.75">
      <c r="A1295" s="10" t="str">
        <f ca="1">IFERROR(__xludf.DUMMYFUNCTION("""COMPUTED_VALUE"""),"Вера Петрова Бонева")</f>
        <v>Вера Петрова Бонева</v>
      </c>
      <c r="B1295" s="10" t="str">
        <f ca="1">IFERROR(__xludf.DUMMYFUNCTION("""COMPUTED_VALUE"""),"Статия в списания и поредици")</f>
        <v>Статия в списания и поредици</v>
      </c>
      <c r="C1295" s="10" t="str">
        <f ca="1">IFERROR(__xludf.DUMMYFUNCTION("""COMPUTED_VALUE"""),"""Дуализмът е станал днес моден фрак"". Унгарската проблематика в творчеството на Любен Каравелов.")</f>
        <v>"Дуализмът е станал днес моден фрак". Унгарската проблематика в творчеството на Любен Каравелов.</v>
      </c>
      <c r="D1295" s="10">
        <f ca="1">IFERROR(__xludf.DUMMYFUNCTION("""COMPUTED_VALUE"""),2003)</f>
        <v>2003</v>
      </c>
      <c r="E1295" s="10" t="str">
        <f ca="1">IFERROR(__xludf.DUMMYFUNCTION("""COMPUTED_VALUE"""),"История, 2003, кн. 1-2, с. 85-90.")</f>
        <v>История, 2003, кн. 1-2, с. 85-90.</v>
      </c>
      <c r="F1295" s="10" t="str">
        <f ca="1">IFERROR(__xludf.DUMMYFUNCTION("""COMPUTED_VALUE"""),"Web of Science")</f>
        <v>Web of Science</v>
      </c>
      <c r="G1295" s="10"/>
      <c r="H1295" s="10"/>
      <c r="I1295" s="10"/>
      <c r="J1295" s="10"/>
      <c r="K1295" s="10"/>
      <c r="L1295" s="10"/>
      <c r="M1295" s="10"/>
      <c r="N1295" s="10"/>
      <c r="O1295" s="10"/>
      <c r="P1295" s="10"/>
      <c r="Q1295" s="10"/>
      <c r="R1295" s="10"/>
      <c r="S1295" s="10"/>
      <c r="T1295" s="10"/>
      <c r="U1295" s="10"/>
      <c r="V1295" s="10"/>
      <c r="W1295" s="10"/>
      <c r="X1295" s="10"/>
      <c r="Y1295" s="10"/>
      <c r="Z1295" s="10"/>
    </row>
    <row r="1296" spans="1:26" ht="12.75">
      <c r="A1296" s="10" t="str">
        <f ca="1">IFERROR(__xludf.DUMMYFUNCTION("""COMPUTED_VALUE"""),"Вера Петрова Бонева")</f>
        <v>Вера Петрова Бонева</v>
      </c>
      <c r="B1296" s="10" t="str">
        <f ca="1">IFERROR(__xludf.DUMMYFUNCTION("""COMPUTED_VALUE"""),"Статия в списания и поредици")</f>
        <v>Статия в списания и поредици</v>
      </c>
      <c r="C1296" s="10" t="str">
        <f ca="1">IFERROR(__xludf.DUMMYFUNCTION("""COMPUTED_VALUE"""),"Гаврил Кръстевич на църковнонародния събор 1871 г.")</f>
        <v>Гаврил Кръстевич на църковнонародния събор 1871 г.</v>
      </c>
      <c r="D1296" s="10">
        <f ca="1">IFERROR(__xludf.DUMMYFUNCTION("""COMPUTED_VALUE"""),2003)</f>
        <v>2003</v>
      </c>
      <c r="E1296" s="10" t="str">
        <f ca="1">IFERROR(__xludf.DUMMYFUNCTION("""COMPUTED_VALUE"""),"Сборник Българската емиграция през Възраждането. Сливен, 2003, с. 119-128.")</f>
        <v>Сборник Българската емиграция през Възраждането. Сливен, 2003, с. 119-128.</v>
      </c>
      <c r="F1296" s="10"/>
      <c r="G1296" s="10"/>
      <c r="H1296" s="10"/>
      <c r="I1296" s="10"/>
      <c r="J1296" s="10"/>
      <c r="K1296" s="10"/>
      <c r="L1296" s="10"/>
      <c r="M1296" s="10"/>
      <c r="N1296" s="10"/>
      <c r="O1296" s="10"/>
      <c r="P1296" s="10"/>
      <c r="Q1296" s="10"/>
      <c r="R1296" s="10"/>
      <c r="S1296" s="10"/>
      <c r="T1296" s="10"/>
      <c r="U1296" s="10"/>
      <c r="V1296" s="10"/>
      <c r="W1296" s="10"/>
      <c r="X1296" s="10"/>
      <c r="Y1296" s="10"/>
      <c r="Z1296" s="10"/>
    </row>
    <row r="1297" spans="1:26" ht="12.75">
      <c r="A1297" s="10" t="str">
        <f ca="1">IFERROR(__xludf.DUMMYFUNCTION("""COMPUTED_VALUE"""),"Вера Петрова Бонева")</f>
        <v>Вера Петрова Бонева</v>
      </c>
      <c r="B1297" s="10" t="str">
        <f ca="1">IFERROR(__xludf.DUMMYFUNCTION("""COMPUTED_VALUE"""),"Доклад от конференция")</f>
        <v>Доклад от конференция</v>
      </c>
      <c r="C1297" s="10" t="str">
        <f ca="1">IFERROR(__xludf.DUMMYFUNCTION("""COMPUTED_VALUE"""),"""Ако метнем поглед през океана…"" Америка и американското във визиите на възрожденеца Петко Славейков.")</f>
        <v>"Ако метнем поглед през океана…" Америка и американското във визиите на възрожденеца Петко Славейков.</v>
      </c>
      <c r="D1297" s="10">
        <f ca="1">IFERROR(__xludf.DUMMYFUNCTION("""COMPUTED_VALUE"""),2003)</f>
        <v>2003</v>
      </c>
      <c r="E1297" s="10" t="str">
        <f ca="1">IFERROR(__xludf.DUMMYFUNCTION("""COMPUTED_VALUE"""),"Българо-американски научни и политически връзки през ХІХ – първата половина на ХХ век. Сборник с доклади от Националната научна конференция, проведена в София на 16-17 септември 2003. София, Университетско издателство ""Св. Климент Охридски"", 2004, с. 19"&amp;"8-208.")</f>
        <v>Българо-американски научни и политически връзки през ХІХ – първата половина на ХХ век. Сборник с доклади от Националната научна конференция, проведена в София на 16-17 септември 2003. София, Университетско издателство "Св. Климент Охридски", 2004, с. 198-208.</v>
      </c>
      <c r="F1297" s="10"/>
      <c r="G1297" s="10"/>
      <c r="H1297" s="10"/>
      <c r="I1297" s="10"/>
      <c r="J1297" s="10"/>
      <c r="K1297" s="10"/>
      <c r="L1297" s="10"/>
      <c r="M1297" s="10"/>
      <c r="N1297" s="10"/>
      <c r="O1297" s="10"/>
      <c r="P1297" s="10"/>
      <c r="Q1297" s="10"/>
      <c r="R1297" s="10"/>
      <c r="S1297" s="10"/>
      <c r="T1297" s="10"/>
      <c r="U1297" s="10"/>
      <c r="V1297" s="10"/>
      <c r="W1297" s="10"/>
      <c r="X1297" s="10"/>
      <c r="Y1297" s="10"/>
      <c r="Z1297" s="10"/>
    </row>
    <row r="1298" spans="1:26" ht="12.75">
      <c r="A1298" s="10" t="str">
        <f ca="1">IFERROR(__xludf.DUMMYFUNCTION("""COMPUTED_VALUE"""),"Вера Петрова Бонева")</f>
        <v>Вера Петрова Бонева</v>
      </c>
      <c r="B1298" s="10" t="str">
        <f ca="1">IFERROR(__xludf.DUMMYFUNCTION("""COMPUTED_VALUE"""),"Статия в списания и поредици")</f>
        <v>Статия в списания и поредици</v>
      </c>
      <c r="C1298" s="10" t="str">
        <f ca="1">IFERROR(__xludf.DUMMYFUNCTION("""COMPUTED_VALUE"""),"Четвърто ""Писмо върху евреите до народът"" — Шумен, 30 август 1864.")</f>
        <v>Четвърто "Писмо върху евреите до народът" — Шумен, 30 август 1864.</v>
      </c>
      <c r="D1298" s="10">
        <f ca="1">IFERROR(__xludf.DUMMYFUNCTION("""COMPUTED_VALUE"""),2003)</f>
        <v>2003</v>
      </c>
      <c r="E1298" s="10" t="str">
        <f ca="1">IFERROR(__xludf.DUMMYFUNCTION("""COMPUTED_VALUE"""),"Епископ-Константинови четения. Т. 8. Шумен, 2003, с. 381-387.")</f>
        <v>Епископ-Константинови четения. Т. 8. Шумен, 2003, с. 381-387.</v>
      </c>
      <c r="F1298" s="10"/>
      <c r="G1298" s="10"/>
      <c r="H1298" s="10"/>
      <c r="I1298" s="10"/>
      <c r="J1298" s="10"/>
      <c r="K1298" s="10"/>
      <c r="L1298" s="10"/>
      <c r="M1298" s="10"/>
      <c r="N1298" s="10"/>
      <c r="O1298" s="10"/>
      <c r="P1298" s="10"/>
      <c r="Q1298" s="10"/>
      <c r="R1298" s="10"/>
      <c r="S1298" s="10"/>
      <c r="T1298" s="10"/>
      <c r="U1298" s="10"/>
      <c r="V1298" s="10"/>
      <c r="W1298" s="10"/>
      <c r="X1298" s="10"/>
      <c r="Y1298" s="10"/>
      <c r="Z1298" s="10"/>
    </row>
    <row r="1299" spans="1:26" ht="12.75">
      <c r="A1299" s="10" t="str">
        <f ca="1">IFERROR(__xludf.DUMMYFUNCTION("""COMPUTED_VALUE"""),"Вера Петрова Бонева")</f>
        <v>Вера Петрова Бонева</v>
      </c>
      <c r="B1299" s="10" t="str">
        <f ca="1">IFERROR(__xludf.DUMMYFUNCTION("""COMPUTED_VALUE"""),"Статия в списания и поредици")</f>
        <v>Статия в списания и поредици</v>
      </c>
      <c r="C1299" s="10" t="str">
        <f ca="1">IFERROR(__xludf.DUMMYFUNCTION("""COMPUTED_VALUE"""),"Българският ХІХ век — една неосъществена среща на институциите.")</f>
        <v>Българският ХІХ век — една неосъществена среща на институциите.</v>
      </c>
      <c r="D1299" s="10">
        <f ca="1">IFERROR(__xludf.DUMMYFUNCTION("""COMPUTED_VALUE"""),2003)</f>
        <v>2003</v>
      </c>
      <c r="E1299" s="10" t="str">
        <f ca="1">IFERROR(__xludf.DUMMYFUNCTION("""COMPUTED_VALUE"""),"Годишник на Шуменския университет ""Епископ Константин Преславски"". Т. ХVІ-ХVІІА. Филологически, исторически и богословски науки. Шумен, 2003, 158-165.")</f>
        <v>Годишник на Шуменския университет "Епископ Константин Преславски". Т. ХVІ-ХVІІА. Филологически, исторически и богословски науки. Шумен, 2003, 158-165.</v>
      </c>
      <c r="F1299" s="10"/>
      <c r="G1299" s="10"/>
      <c r="H1299" s="10"/>
      <c r="I1299" s="10"/>
      <c r="J1299" s="10"/>
      <c r="K1299" s="10"/>
      <c r="L1299" s="10"/>
      <c r="M1299" s="10"/>
      <c r="N1299" s="10"/>
      <c r="O1299" s="10"/>
      <c r="P1299" s="10"/>
      <c r="Q1299" s="10"/>
      <c r="R1299" s="10"/>
      <c r="S1299" s="10"/>
      <c r="T1299" s="10"/>
      <c r="U1299" s="10"/>
      <c r="V1299" s="10"/>
      <c r="W1299" s="10"/>
      <c r="X1299" s="10"/>
      <c r="Y1299" s="10"/>
      <c r="Z1299" s="10"/>
    </row>
    <row r="1300" spans="1:26" ht="12.75">
      <c r="A1300" s="10" t="str">
        <f ca="1">IFERROR(__xludf.DUMMYFUNCTION("""COMPUTED_VALUE"""),"Вера Петрова Бонева")</f>
        <v>Вера Петрова Бонева</v>
      </c>
      <c r="B1300" s="10" t="str">
        <f ca="1">IFERROR(__xludf.DUMMYFUNCTION("""COMPUTED_VALUE"""),"Статия в списания и поредици")</f>
        <v>Статия в списания и поредици</v>
      </c>
      <c r="C1300" s="10" t="str">
        <f ca="1">IFERROR(__xludf.DUMMYFUNCTION("""COMPUTED_VALUE"""),"Градиво за биографията на Добри Войников.")</f>
        <v>Градиво за биографията на Добри Войников.</v>
      </c>
      <c r="D1300" s="10">
        <f ca="1">IFERROR(__xludf.DUMMYFUNCTION("""COMPUTED_VALUE"""),2003)</f>
        <v>2003</v>
      </c>
      <c r="E1300" s="10" t="str">
        <f ca="1">IFERROR(__xludf.DUMMYFUNCTION("""COMPUTED_VALUE"""),"Известия на държавните архиви. Т. 83. С., 2003, с. 131-150.")</f>
        <v>Известия на държавните архиви. Т. 83. С., 2003, с. 131-150.</v>
      </c>
      <c r="F1300" s="10"/>
      <c r="G1300" s="10"/>
      <c r="H1300" s="10"/>
      <c r="I1300" s="10"/>
      <c r="J1300" s="10"/>
      <c r="K1300" s="10"/>
      <c r="L1300" s="10"/>
      <c r="M1300" s="10"/>
      <c r="N1300" s="10"/>
      <c r="O1300" s="10"/>
      <c r="P1300" s="10"/>
      <c r="Q1300" s="10"/>
      <c r="R1300" s="10"/>
      <c r="S1300" s="10"/>
      <c r="T1300" s="10"/>
      <c r="U1300" s="10"/>
      <c r="V1300" s="10"/>
      <c r="W1300" s="10"/>
      <c r="X1300" s="10"/>
      <c r="Y1300" s="10"/>
      <c r="Z1300" s="10"/>
    </row>
    <row r="1301" spans="1:26" ht="12.75">
      <c r="A1301" s="10" t="str">
        <f ca="1">IFERROR(__xludf.DUMMYFUNCTION("""COMPUTED_VALUE"""),"Вера Петрова Бонева")</f>
        <v>Вера Петрова Бонева</v>
      </c>
      <c r="B1301" s="10" t="str">
        <f ca="1">IFERROR(__xludf.DUMMYFUNCTION("""COMPUTED_VALUE"""),"Статия в списания и поредици")</f>
        <v>Статия в списания и поредици</v>
      </c>
      <c r="C1301" s="10" t="str">
        <f ca="1">IFERROR(__xludf.DUMMYFUNCTION("""COMPUTED_VALUE"""),"Възрожденската проблематика в годишниците на музеите.")</f>
        <v>Възрожденската проблематика в годишниците на музеите.</v>
      </c>
      <c r="D1301" s="10">
        <f ca="1">IFERROR(__xludf.DUMMYFUNCTION("""COMPUTED_VALUE"""),2003)</f>
        <v>2003</v>
      </c>
      <c r="E1301" s="10" t="str">
        <f ca="1">IFERROR(__xludf.DUMMYFUNCTION("""COMPUTED_VALUE"""),"История на музеите и музейното дело в България. Плевен, 2003, с. 295-310.")</f>
        <v>История на музеите и музейното дело в България. Плевен, 2003, с. 295-310.</v>
      </c>
      <c r="F1301" s="10"/>
      <c r="G1301" s="10"/>
      <c r="H1301" s="10"/>
      <c r="I1301" s="10"/>
      <c r="J1301" s="10"/>
      <c r="K1301" s="10"/>
      <c r="L1301" s="10"/>
      <c r="M1301" s="10"/>
      <c r="N1301" s="10"/>
      <c r="O1301" s="10"/>
      <c r="P1301" s="10"/>
      <c r="Q1301" s="10"/>
      <c r="R1301" s="10"/>
      <c r="S1301" s="10"/>
      <c r="T1301" s="10"/>
      <c r="U1301" s="10"/>
      <c r="V1301" s="10"/>
      <c r="W1301" s="10"/>
      <c r="X1301" s="10"/>
      <c r="Y1301" s="10"/>
      <c r="Z1301" s="10"/>
    </row>
    <row r="1302" spans="1:26" ht="12.75">
      <c r="A1302" s="10" t="str">
        <f ca="1">IFERROR(__xludf.DUMMYFUNCTION("""COMPUTED_VALUE"""),"Вера Петрова Бонева")</f>
        <v>Вера Петрова Бонева</v>
      </c>
      <c r="B1302" s="10" t="str">
        <f ca="1">IFERROR(__xludf.DUMMYFUNCTION("""COMPUTED_VALUE"""),"Монография")</f>
        <v>Монография</v>
      </c>
      <c r="C1302" s="10" t="str">
        <f ca="1">IFERROR(__xludf.DUMMYFUNCTION("""COMPUTED_VALUE"""),"Българското възраждане в Шумен и Шуменско. Църковнонационални борби и постижения.")</f>
        <v>Българското възраждане в Шумен и Шуменско. Църковнонационални борби и постижения.</v>
      </c>
      <c r="D1302" s="10">
        <f ca="1">IFERROR(__xludf.DUMMYFUNCTION("""COMPUTED_VALUE"""),2002)</f>
        <v>2002</v>
      </c>
      <c r="E1302" s="10" t="str">
        <f ca="1">IFERROR(__xludf.DUMMYFUNCTION("""COMPUTED_VALUE"""),"Изд. Faber, В. Търново, 2002, 324 с., ISBN 954-775-120-4 . 2 изд. в електронна форма: 2007 г., http://liternet.bg")</f>
        <v>Изд. Faber, В. Търново, 2002, 324 с., ISBN 954-775-120-4 . 2 изд. в електронна форма: 2007 г., http://liternet.bg</v>
      </c>
      <c r="F1302" s="10"/>
      <c r="G1302" s="10"/>
      <c r="H1302" s="10"/>
      <c r="I1302" s="10"/>
      <c r="J1302" s="10"/>
      <c r="K1302" s="10"/>
      <c r="L1302" s="10"/>
      <c r="M1302" s="10"/>
      <c r="N1302" s="10"/>
      <c r="O1302" s="10"/>
      <c r="P1302" s="10"/>
      <c r="Q1302" s="10"/>
      <c r="R1302" s="10"/>
      <c r="S1302" s="10"/>
      <c r="T1302" s="10"/>
      <c r="U1302" s="10"/>
      <c r="V1302" s="10"/>
      <c r="W1302" s="10"/>
      <c r="X1302" s="10"/>
      <c r="Y1302" s="10"/>
      <c r="Z1302" s="10"/>
    </row>
    <row r="1303" spans="1:26" ht="12.75">
      <c r="A1303" s="10" t="str">
        <f ca="1">IFERROR(__xludf.DUMMYFUNCTION("""COMPUTED_VALUE"""),"Вера Петрова Бонева")</f>
        <v>Вера Петрова Бонева</v>
      </c>
      <c r="B1303" s="10" t="str">
        <f ca="1">IFERROR(__xludf.DUMMYFUNCTION("""COMPUTED_VALUE"""),"Статия в списания и поредици")</f>
        <v>Статия в списания и поредици</v>
      </c>
      <c r="C1303" s="10" t="str">
        <f ca="1">IFERROR(__xludf.DUMMYFUNCTION("""COMPUTED_VALUE"""),"Драмата ""Иванко, убиецът на Асеня І"" в контекста на българския църковен въпрос.")</f>
        <v>Драмата "Иванко, убиецът на Асеня І" в контекста на българския църковен въпрос.</v>
      </c>
      <c r="D1303" s="10">
        <f ca="1">IFERROR(__xludf.DUMMYFUNCTION("""COMPUTED_VALUE"""),2002)</f>
        <v>2002</v>
      </c>
      <c r="E1303" s="10" t="str">
        <f ca="1">IFERROR(__xludf.DUMMYFUNCTION("""COMPUTED_VALUE"""),"Васил Друмев — Митрополит Търновски. Юбилеен сборник. Шумен: Аксиос, 2002, 47-54.")</f>
        <v>Васил Друмев — Митрополит Търновски. Юбилеен сборник. Шумен: Аксиос, 2002, 47-54.</v>
      </c>
      <c r="F1303" s="10"/>
      <c r="G1303" s="10"/>
      <c r="H1303" s="10"/>
      <c r="I1303" s="10"/>
      <c r="J1303" s="10"/>
      <c r="K1303" s="10"/>
      <c r="L1303" s="10"/>
      <c r="M1303" s="10"/>
      <c r="N1303" s="10"/>
      <c r="O1303" s="10"/>
      <c r="P1303" s="10"/>
      <c r="Q1303" s="10"/>
      <c r="R1303" s="10"/>
      <c r="S1303" s="10"/>
      <c r="T1303" s="10"/>
      <c r="U1303" s="10"/>
      <c r="V1303" s="10"/>
      <c r="W1303" s="10"/>
      <c r="X1303" s="10"/>
      <c r="Y1303" s="10"/>
      <c r="Z1303" s="10"/>
    </row>
    <row r="1304" spans="1:26" ht="12.75">
      <c r="A1304" s="10" t="str">
        <f ca="1">IFERROR(__xludf.DUMMYFUNCTION("""COMPUTED_VALUE"""),"Вера Петрова Бонева")</f>
        <v>Вера Петрова Бонева</v>
      </c>
      <c r="B1304" s="10" t="str">
        <f ca="1">IFERROR(__xludf.DUMMYFUNCTION("""COMPUTED_VALUE"""),"Статия в списания и поредици")</f>
        <v>Статия в списания и поредици</v>
      </c>
      <c r="C1304" s="10" t="str">
        <f ca="1">IFERROR(__xludf.DUMMYFUNCTION("""COMPUTED_VALUE"""),"Домашни извори за църковнонационалното движение на българите през епохата на Възраждането (класификация на текстовете).")</f>
        <v>Домашни извори за църковнонационалното движение на българите през епохата на Възраждането (класификация на текстовете).</v>
      </c>
      <c r="D1304" s="10">
        <f ca="1">IFERROR(__xludf.DUMMYFUNCTION("""COMPUTED_VALUE"""),2002)</f>
        <v>2002</v>
      </c>
      <c r="E1304" s="10" t="str">
        <f ca="1">IFERROR(__xludf.DUMMYFUNCTION("""COMPUTED_VALUE"""),"Архивен преглед, 2002, кн. 3-4, с. 84-91.")</f>
        <v>Архивен преглед, 2002, кн. 3-4, с. 84-91.</v>
      </c>
      <c r="F1304" s="10"/>
      <c r="G1304" s="10"/>
      <c r="H1304" s="10"/>
      <c r="I1304" s="10"/>
      <c r="J1304" s="10"/>
      <c r="K1304" s="10"/>
      <c r="L1304" s="10"/>
      <c r="M1304" s="10"/>
      <c r="N1304" s="10"/>
      <c r="O1304" s="10"/>
      <c r="P1304" s="10"/>
      <c r="Q1304" s="10"/>
      <c r="R1304" s="10"/>
      <c r="S1304" s="10"/>
      <c r="T1304" s="10"/>
      <c r="U1304" s="10"/>
      <c r="V1304" s="10"/>
      <c r="W1304" s="10"/>
      <c r="X1304" s="10"/>
      <c r="Y1304" s="10"/>
      <c r="Z1304" s="10"/>
    </row>
    <row r="1305" spans="1:26" ht="12.75">
      <c r="A1305" s="10" t="str">
        <f ca="1">IFERROR(__xludf.DUMMYFUNCTION("""COMPUTED_VALUE"""),"Вера Петрова Бонева")</f>
        <v>Вера Петрова Бонева</v>
      </c>
      <c r="B1305" s="10" t="str">
        <f ca="1">IFERROR(__xludf.DUMMYFUNCTION("""COMPUTED_VALUE"""),"Статия в списания и поредици")</f>
        <v>Статия в списания и поредици</v>
      </c>
      <c r="C1305" s="10" t="str">
        <f ca="1">IFERROR(__xludf.DUMMYFUNCTION("""COMPUTED_VALUE"""),"Към предисторията на висшето образование в България.")</f>
        <v>Към предисторията на висшето образование в България.</v>
      </c>
      <c r="D1305" s="10">
        <f ca="1">IFERROR(__xludf.DUMMYFUNCTION("""COMPUTED_VALUE"""),2002)</f>
        <v>2002</v>
      </c>
      <c r="E1305" s="10" t="str">
        <f ca="1">IFERROR(__xludf.DUMMYFUNCTION("""COMPUTED_VALUE"""),"Педагогика, 2002, кн. 3, с. 103-106.")</f>
        <v>Педагогика, 2002, кн. 3, с. 103-106.</v>
      </c>
      <c r="F1305" s="10" t="str">
        <f ca="1">IFERROR(__xludf.DUMMYFUNCTION("""COMPUTED_VALUE"""),"Web of Science")</f>
        <v>Web of Science</v>
      </c>
      <c r="G1305" s="10"/>
      <c r="H1305" s="10"/>
      <c r="I1305" s="10"/>
      <c r="J1305" s="10"/>
      <c r="K1305" s="10"/>
      <c r="L1305" s="10"/>
      <c r="M1305" s="10"/>
      <c r="N1305" s="10"/>
      <c r="O1305" s="10"/>
      <c r="P1305" s="10"/>
      <c r="Q1305" s="10"/>
      <c r="R1305" s="10"/>
      <c r="S1305" s="10"/>
      <c r="T1305" s="10"/>
      <c r="U1305" s="10"/>
      <c r="V1305" s="10"/>
      <c r="W1305" s="10"/>
      <c r="X1305" s="10"/>
      <c r="Y1305" s="10"/>
      <c r="Z1305" s="10"/>
    </row>
    <row r="1306" spans="1:26" ht="12.75">
      <c r="A1306" s="10" t="str">
        <f ca="1">IFERROR(__xludf.DUMMYFUNCTION("""COMPUTED_VALUE"""),"Вера Петрова Бонева")</f>
        <v>Вера Петрова Бонева</v>
      </c>
      <c r="B1306" s="10" t="str">
        <f ca="1">IFERROR(__xludf.DUMMYFUNCTION("""COMPUTED_VALUE"""),"Статия в списания и поредици")</f>
        <v>Статия в списания и поредици</v>
      </c>
      <c r="C1306" s="10" t="str">
        <f ca="1">IFERROR(__xludf.DUMMYFUNCTION("""COMPUTED_VALUE"""),"Френската сватба в Шумен през 1875 година.")</f>
        <v>Френската сватба в Шумен през 1875 година.</v>
      </c>
      <c r="D1306" s="10">
        <f ca="1">IFERROR(__xludf.DUMMYFUNCTION("""COMPUTED_VALUE"""),2002)</f>
        <v>2002</v>
      </c>
      <c r="E1306" s="10" t="str">
        <f ca="1">IFERROR(__xludf.DUMMYFUNCTION("""COMPUTED_VALUE"""),"Исторически преглед, 2002, кн. 3-4, с. 245-265.")</f>
        <v>Исторически преглед, 2002, кн. 3-4, с. 245-265.</v>
      </c>
      <c r="F1306" s="10" t="str">
        <f ca="1">IFERROR(__xludf.DUMMYFUNCTION("""COMPUTED_VALUE"""),"РИНЦ 
 CEEOL
 EBSCO")</f>
        <v>РИНЦ 
 CEEOL
 EBSCO</v>
      </c>
      <c r="G1306" s="10"/>
      <c r="H1306" s="10"/>
      <c r="I1306" s="10"/>
      <c r="J1306" s="10"/>
      <c r="K1306" s="10"/>
      <c r="L1306" s="10"/>
      <c r="M1306" s="10"/>
      <c r="N1306" s="10"/>
      <c r="O1306" s="10"/>
      <c r="P1306" s="10"/>
      <c r="Q1306" s="10"/>
      <c r="R1306" s="10"/>
      <c r="S1306" s="10"/>
      <c r="T1306" s="10"/>
      <c r="U1306" s="10"/>
      <c r="V1306" s="10"/>
      <c r="W1306" s="10"/>
      <c r="X1306" s="10"/>
      <c r="Y1306" s="10"/>
      <c r="Z1306" s="10"/>
    </row>
    <row r="1307" spans="1:26" ht="12.75">
      <c r="A1307" s="10" t="str">
        <f ca="1">IFERROR(__xludf.DUMMYFUNCTION("""COMPUTED_VALUE"""),"Вера Петрова Бонева")</f>
        <v>Вера Петрова Бонева</v>
      </c>
      <c r="B1307" s="10" t="str">
        <f ca="1">IFERROR(__xludf.DUMMYFUNCTION("""COMPUTED_VALUE"""),"Статия в списания и поредици")</f>
        <v>Статия в списания и поредици</v>
      </c>
      <c r="C1307" s="10" t="str">
        <f ca="1">IFERROR(__xludf.DUMMYFUNCTION("""COMPUTED_VALUE"""),"Райна, българска княгиня.")</f>
        <v>Райна, българска княгиня.</v>
      </c>
      <c r="D1307" s="10">
        <f ca="1">IFERROR(__xludf.DUMMYFUNCTION("""COMPUTED_VALUE"""),2002)</f>
        <v>2002</v>
      </c>
      <c r="E1307" s="10" t="str">
        <f ca="1">IFERROR(__xludf.DUMMYFUNCTION("""COMPUTED_VALUE"""),"Историческо бъдеще, 2002, кн. 1-2, с. 10-19.")</f>
        <v>Историческо бъдеще, 2002, кн. 1-2, с. 10-19.</v>
      </c>
      <c r="F1307" s="10"/>
      <c r="G1307" s="10"/>
      <c r="H1307" s="10"/>
      <c r="I1307" s="10"/>
      <c r="J1307" s="10"/>
      <c r="K1307" s="10"/>
      <c r="L1307" s="10"/>
      <c r="M1307" s="10"/>
      <c r="N1307" s="10"/>
      <c r="O1307" s="10"/>
      <c r="P1307" s="10"/>
      <c r="Q1307" s="10"/>
      <c r="R1307" s="10"/>
      <c r="S1307" s="10"/>
      <c r="T1307" s="10"/>
      <c r="U1307" s="10"/>
      <c r="V1307" s="10"/>
      <c r="W1307" s="10"/>
      <c r="X1307" s="10"/>
      <c r="Y1307" s="10"/>
      <c r="Z1307" s="10"/>
    </row>
    <row r="1308" spans="1:26" ht="12.75">
      <c r="A1308" s="10" t="str">
        <f ca="1">IFERROR(__xludf.DUMMYFUNCTION("""COMPUTED_VALUE"""),"Вера Петрова Бонева")</f>
        <v>Вера Петрова Бонева</v>
      </c>
      <c r="B1308" s="10" t="str">
        <f ca="1">IFERROR(__xludf.DUMMYFUNCTION("""COMPUTED_VALUE"""),"Статия в списания и поредици")</f>
        <v>Статия в списания и поредици</v>
      </c>
      <c r="C1308" s="10" t="str">
        <f ca="1">IFERROR(__xludf.DUMMYFUNCTION("""COMPUTED_VALUE"""),"Възрожденецът Никола Бацаров като деец на църковнонационалното движение.")</f>
        <v>Възрожденецът Никола Бацаров като деец на църковнонационалното движение.</v>
      </c>
      <c r="D1308" s="10">
        <f ca="1">IFERROR(__xludf.DUMMYFUNCTION("""COMPUTED_VALUE"""),2002)</f>
        <v>2002</v>
      </c>
      <c r="E1308" s="10" t="str">
        <f ca="1">IFERROR(__xludf.DUMMYFUNCTION("""COMPUTED_VALUE"""),"Духовна култура, 2002, кн. 7, с. 18-25.")</f>
        <v>Духовна култура, 2002, кн. 7, с. 18-25.</v>
      </c>
      <c r="F1308" s="10"/>
      <c r="G1308" s="10"/>
      <c r="H1308" s="10"/>
      <c r="I1308" s="10"/>
      <c r="J1308" s="10"/>
      <c r="K1308" s="10"/>
      <c r="L1308" s="10"/>
      <c r="M1308" s="10"/>
      <c r="N1308" s="10"/>
      <c r="O1308" s="10"/>
      <c r="P1308" s="10"/>
      <c r="Q1308" s="10"/>
      <c r="R1308" s="10"/>
      <c r="S1308" s="10"/>
      <c r="T1308" s="10"/>
      <c r="U1308" s="10"/>
      <c r="V1308" s="10"/>
      <c r="W1308" s="10"/>
      <c r="X1308" s="10"/>
      <c r="Y1308" s="10"/>
      <c r="Z1308" s="10"/>
    </row>
    <row r="1309" spans="1:26" ht="12.75">
      <c r="A1309" s="10" t="str">
        <f ca="1">IFERROR(__xludf.DUMMYFUNCTION("""COMPUTED_VALUE"""),"Вера Петрова Бонева")</f>
        <v>Вера Петрова Бонева</v>
      </c>
      <c r="B1309" s="10" t="str">
        <f ca="1">IFERROR(__xludf.DUMMYFUNCTION("""COMPUTED_VALUE"""),"Статия в списания и поредици")</f>
        <v>Статия в списания и поредици</v>
      </c>
      <c r="C1309" s="10" t="str">
        <f ca="1">IFERROR(__xludf.DUMMYFUNCTION("""COMPUTED_VALUE"""),"Американската революция на Българското възраждане. (Историографски ракурс).")</f>
        <v>Американската революция на Българското възраждане. (Историографски ракурс).</v>
      </c>
      <c r="D1309" s="10">
        <f ca="1">IFERROR(__xludf.DUMMYFUNCTION("""COMPUTED_VALUE"""),2002)</f>
        <v>2002</v>
      </c>
      <c r="E1309" s="10" t="str">
        <f ca="1">IFERROR(__xludf.DUMMYFUNCTION("""COMPUTED_VALUE"""),"Демократически преглед, 2002, кн. 49, с. 246-252.")</f>
        <v>Демократически преглед, 2002, кн. 49, с. 246-252.</v>
      </c>
      <c r="F1309" s="10"/>
      <c r="G1309" s="10"/>
      <c r="H1309" s="10"/>
      <c r="I1309" s="10"/>
      <c r="J1309" s="10"/>
      <c r="K1309" s="10"/>
      <c r="L1309" s="10"/>
      <c r="M1309" s="10"/>
      <c r="N1309" s="10"/>
      <c r="O1309" s="10"/>
      <c r="P1309" s="10"/>
      <c r="Q1309" s="10"/>
      <c r="R1309" s="10"/>
      <c r="S1309" s="10"/>
      <c r="T1309" s="10"/>
      <c r="U1309" s="10"/>
      <c r="V1309" s="10"/>
      <c r="W1309" s="10"/>
      <c r="X1309" s="10"/>
      <c r="Y1309" s="10"/>
      <c r="Z1309" s="10"/>
    </row>
    <row r="1310" spans="1:26" ht="12.75">
      <c r="A1310" s="10" t="str">
        <f ca="1">IFERROR(__xludf.DUMMYFUNCTION("""COMPUTED_VALUE"""),"Вера Петрова Бонева")</f>
        <v>Вера Петрова Бонева</v>
      </c>
      <c r="B1310" s="10" t="str">
        <f ca="1">IFERROR(__xludf.DUMMYFUNCTION("""COMPUTED_VALUE"""),"Учебно пособие")</f>
        <v>Учебно пособие</v>
      </c>
      <c r="C1310" s="10" t="str">
        <f ca="1">IFERROR(__xludf.DUMMYFUNCTION("""COMPUTED_VALUE"""),"Христоматия по история на Българското възраждане. Църковно-национално движение.")</f>
        <v>Христоматия по история на Българското възраждане. Църковно-национално движение.</v>
      </c>
      <c r="D1310" s="10">
        <f ca="1">IFERROR(__xludf.DUMMYFUNCTION("""COMPUTED_VALUE"""),2002)</f>
        <v>2002</v>
      </c>
      <c r="E1310" s="10" t="str">
        <f ca="1">IFERROR(__xludf.DUMMYFUNCTION("""COMPUTED_VALUE"""),"Университетско издателство ""Епископ Константин Преславски"", Шумен, 2002, 240 с.")</f>
        <v>Университетско издателство "Епископ Константин Преславски", Шумен, 2002, 240 с.</v>
      </c>
      <c r="F1310" s="10"/>
      <c r="G1310" s="10"/>
      <c r="H1310" s="10"/>
      <c r="I1310" s="10"/>
      <c r="J1310" s="10"/>
      <c r="K1310" s="10"/>
      <c r="L1310" s="10"/>
      <c r="M1310" s="10"/>
      <c r="N1310" s="10"/>
      <c r="O1310" s="10"/>
      <c r="P1310" s="10"/>
      <c r="Q1310" s="10"/>
      <c r="R1310" s="10"/>
      <c r="S1310" s="10"/>
      <c r="T1310" s="10"/>
      <c r="U1310" s="10"/>
      <c r="V1310" s="10"/>
      <c r="W1310" s="10"/>
      <c r="X1310" s="10"/>
      <c r="Y1310" s="10"/>
      <c r="Z1310" s="10"/>
    </row>
    <row r="1311" spans="1:26" ht="12.75">
      <c r="A1311" s="10" t="str">
        <f ca="1">IFERROR(__xludf.DUMMYFUNCTION("""COMPUTED_VALUE"""),"Вера Петрова Бонева")</f>
        <v>Вера Петрова Бонева</v>
      </c>
      <c r="B1311" s="10" t="str">
        <f ca="1">IFERROR(__xludf.DUMMYFUNCTION("""COMPUTED_VALUE"""),"Статия в списания и поредици")</f>
        <v>Статия в списания и поредици</v>
      </c>
      <c r="C1311" s="10" t="str">
        <f ca="1">IFERROR(__xludf.DUMMYFUNCTION("""COMPUTED_VALUE"""),"Szpiridon Palauzov írásai Magyarországroól. [Спиридон Палаузов разказва за Унгария].")</f>
        <v>Szpiridon Palauzov írásai Magyarországroól. [Спиридон Палаузов разказва за Унгария].</v>
      </c>
      <c r="D1311" s="10">
        <f ca="1">IFERROR(__xludf.DUMMYFUNCTION("""COMPUTED_VALUE"""),2001)</f>
        <v>2001</v>
      </c>
      <c r="E1311" s="10" t="str">
        <f ca="1">IFERROR(__xludf.DUMMYFUNCTION("""COMPUTED_VALUE"""),"HAEMUS/ХЕМУС (Budapest), 2001, 4, с. 59-63. (На унгарски език).")</f>
        <v>HAEMUS/ХЕМУС (Budapest), 2001, 4, с. 59-63. (На унгарски език).</v>
      </c>
      <c r="F1311" s="10"/>
      <c r="G1311" s="10"/>
      <c r="H1311" s="10"/>
      <c r="I1311" s="10"/>
      <c r="J1311" s="10"/>
      <c r="K1311" s="10"/>
      <c r="L1311" s="10"/>
      <c r="M1311" s="10"/>
      <c r="N1311" s="10"/>
      <c r="O1311" s="10"/>
      <c r="P1311" s="10"/>
      <c r="Q1311" s="10"/>
      <c r="R1311" s="10"/>
      <c r="S1311" s="10"/>
      <c r="T1311" s="10"/>
      <c r="U1311" s="10"/>
      <c r="V1311" s="10"/>
      <c r="W1311" s="10"/>
      <c r="X1311" s="10"/>
      <c r="Y1311" s="10"/>
      <c r="Z1311" s="10"/>
    </row>
    <row r="1312" spans="1:26" ht="12.75">
      <c r="A1312" s="10" t="str">
        <f ca="1">IFERROR(__xludf.DUMMYFUNCTION("""COMPUTED_VALUE"""),"Вера Петрова Бонева")</f>
        <v>Вера Петрова Бонева</v>
      </c>
      <c r="B1312" s="10" t="str">
        <f ca="1">IFERROR(__xludf.DUMMYFUNCTION("""COMPUTED_VALUE"""),"Статия в списания и поредици")</f>
        <v>Статия в списания и поредици</v>
      </c>
      <c r="C1312" s="10" t="str">
        <f ca="1">IFERROR(__xludf.DUMMYFUNCTION("""COMPUTED_VALUE"""),"Една среща, превърнала се в сблъсък. (Към историята на протестантската пропаганда в Шумен 1858-1864).")</f>
        <v>Една среща, превърнала се в сблъсък. (Към историята на протестантската пропаганда в Шумен 1858-1864).</v>
      </c>
      <c r="D1312" s="10">
        <f ca="1">IFERROR(__xludf.DUMMYFUNCTION("""COMPUTED_VALUE"""),2001)</f>
        <v>2001</v>
      </c>
      <c r="E1312" s="10" t="str">
        <f ca="1">IFERROR(__xludf.DUMMYFUNCTION("""COMPUTED_VALUE"""),"Духовна култура, 2001, кн. 7, с. 18-27.")</f>
        <v>Духовна култура, 2001, кн. 7, с. 18-27.</v>
      </c>
      <c r="F1312" s="10"/>
      <c r="G1312" s="10"/>
      <c r="H1312" s="10"/>
      <c r="I1312" s="10"/>
      <c r="J1312" s="10"/>
      <c r="K1312" s="10"/>
      <c r="L1312" s="10"/>
      <c r="M1312" s="10"/>
      <c r="N1312" s="10"/>
      <c r="O1312" s="10"/>
      <c r="P1312" s="10"/>
      <c r="Q1312" s="10"/>
      <c r="R1312" s="10"/>
      <c r="S1312" s="10"/>
      <c r="T1312" s="10"/>
      <c r="U1312" s="10"/>
      <c r="V1312" s="10"/>
      <c r="W1312" s="10"/>
      <c r="X1312" s="10"/>
      <c r="Y1312" s="10"/>
      <c r="Z1312" s="10"/>
    </row>
    <row r="1313" spans="1:26" ht="12.75">
      <c r="A1313" s="10" t="str">
        <f ca="1">IFERROR(__xludf.DUMMYFUNCTION("""COMPUTED_VALUE"""),"Вера Петрова Бонева")</f>
        <v>Вера Петрова Бонева</v>
      </c>
      <c r="B1313" s="10" t="str">
        <f ca="1">IFERROR(__xludf.DUMMYFUNCTION("""COMPUTED_VALUE"""),"Доклад от конференция")</f>
        <v>Доклад от конференция</v>
      </c>
      <c r="C1313" s="10" t="str">
        <f ca="1">IFERROR(__xludf.DUMMYFUNCTION("""COMPUTED_VALUE"""),"Христо Коларов, Спиридон Палаузов и Българското възраждане.")</f>
        <v>Христо Коларов, Спиридон Палаузов и Българското възраждане.</v>
      </c>
      <c r="D1313" s="10">
        <f ca="1">IFERROR(__xludf.DUMMYFUNCTION("""COMPUTED_VALUE"""),2001)</f>
        <v>2001</v>
      </c>
      <c r="E1313" s="10" t="str">
        <f ca="1">IFERROR(__xludf.DUMMYFUNCTION("""COMPUTED_VALUE"""),"България, Българите и техните съседи през вековете. Изследвания и материали от научната конференция в памет на доц. д-р Христо Коларов. Велико Търново, 2001, с. 508-518")</f>
        <v>България, Българите и техните съседи през вековете. Изследвания и материали от научната конференция в памет на доц. д-р Христо Коларов. Велико Търново, 2001, с. 508-518</v>
      </c>
      <c r="F1313" s="10"/>
      <c r="G1313" s="10"/>
      <c r="H1313" s="10"/>
      <c r="I1313" s="10"/>
      <c r="J1313" s="10"/>
      <c r="K1313" s="10"/>
      <c r="L1313" s="10"/>
      <c r="M1313" s="10"/>
      <c r="N1313" s="10"/>
      <c r="O1313" s="10"/>
      <c r="P1313" s="10"/>
      <c r="Q1313" s="10"/>
      <c r="R1313" s="10"/>
      <c r="S1313" s="10"/>
      <c r="T1313" s="10"/>
      <c r="U1313" s="10"/>
      <c r="V1313" s="10"/>
      <c r="W1313" s="10"/>
      <c r="X1313" s="10"/>
      <c r="Y1313" s="10"/>
      <c r="Z1313" s="10"/>
    </row>
    <row r="1314" spans="1:26" ht="12.75">
      <c r="A1314" s="10" t="str">
        <f ca="1">IFERROR(__xludf.DUMMYFUNCTION("""COMPUTED_VALUE"""),"Вера Петрова Бонева")</f>
        <v>Вера Петрова Бонева</v>
      </c>
      <c r="B1314" s="10" t="str">
        <f ca="1">IFERROR(__xludf.DUMMYFUNCTION("""COMPUTED_VALUE"""),"Статия в списания и поредици")</f>
        <v>Статия в списания и поредици</v>
      </c>
      <c r="C1314" s="10" t="str">
        <f ca="1">IFERROR(__xludf.DUMMYFUNCTION("""COMPUTED_VALUE"""),"Българското църковнонационално движение през епохата на Възраждането –периодизация.")</f>
        <v>Българското църковнонационално движение през епохата на Възраждането –периодизация.</v>
      </c>
      <c r="D1314" s="10">
        <f ca="1">IFERROR(__xludf.DUMMYFUNCTION("""COMPUTED_VALUE"""),2001)</f>
        <v>2001</v>
      </c>
      <c r="E1314" s="10" t="str">
        <f ca="1">IFERROR(__xludf.DUMMYFUNCTION("""COMPUTED_VALUE"""),"История, 2001, кн. 4, с. 15-22.")</f>
        <v>История, 2001, кн. 4, с. 15-22.</v>
      </c>
      <c r="F1314" s="10" t="str">
        <f ca="1">IFERROR(__xludf.DUMMYFUNCTION("""COMPUTED_VALUE"""),"Web of Science")</f>
        <v>Web of Science</v>
      </c>
      <c r="G1314" s="10"/>
      <c r="H1314" s="10"/>
      <c r="I1314" s="10"/>
      <c r="J1314" s="10"/>
      <c r="K1314" s="10"/>
      <c r="L1314" s="10"/>
      <c r="M1314" s="10"/>
      <c r="N1314" s="10"/>
      <c r="O1314" s="10"/>
      <c r="P1314" s="10"/>
      <c r="Q1314" s="10"/>
      <c r="R1314" s="10"/>
      <c r="S1314" s="10"/>
      <c r="T1314" s="10"/>
      <c r="U1314" s="10"/>
      <c r="V1314" s="10"/>
      <c r="W1314" s="10"/>
      <c r="X1314" s="10"/>
      <c r="Y1314" s="10"/>
      <c r="Z1314" s="10"/>
    </row>
    <row r="1315" spans="1:26" ht="12.75">
      <c r="A1315" s="10" t="str">
        <f ca="1">IFERROR(__xludf.DUMMYFUNCTION("""COMPUTED_VALUE"""),"Вера Петрова Бонева")</f>
        <v>Вера Петрова Бонева</v>
      </c>
      <c r="B1315" s="10" t="str">
        <f ca="1">IFERROR(__xludf.DUMMYFUNCTION("""COMPUTED_VALUE"""),"Статия в списания и поредици")</f>
        <v>Статия в списания и поредици</v>
      </c>
      <c r="C1315" s="10" t="str">
        <f ca="1">IFERROR(__xludf.DUMMYFUNCTION("""COMPUTED_VALUE"""),"Църковно-национално движение през Възраждането в българската историческа книжнина. (С оглед творчеството на Кирил Патриарх Български).")</f>
        <v>Църковно-национално движение през Възраждането в българската историческа книжнина. (С оглед творчеството на Кирил Патриарх Български).</v>
      </c>
      <c r="D1315" s="10">
        <f ca="1">IFERROR(__xludf.DUMMYFUNCTION("""COMPUTED_VALUE"""),2001)</f>
        <v>2001</v>
      </c>
      <c r="E1315" s="10" t="str">
        <f ca="1">IFERROR(__xludf.DUMMYFUNCTION("""COMPUTED_VALUE"""),"Сборник в чест на Кирил Патриарх Български. По случай 100 години от рождението и 30 години от неговата смърт. Пловдив, 2001, с. 84-91.")</f>
        <v>Сборник в чест на Кирил Патриарх Български. По случай 100 години от рождението и 30 години от неговата смърт. Пловдив, 2001, с. 84-91.</v>
      </c>
      <c r="F1315" s="10"/>
      <c r="G1315" s="10"/>
      <c r="H1315" s="10"/>
      <c r="I1315" s="10"/>
      <c r="J1315" s="10"/>
      <c r="K1315" s="10"/>
      <c r="L1315" s="10"/>
      <c r="M1315" s="10"/>
      <c r="N1315" s="10"/>
      <c r="O1315" s="10"/>
      <c r="P1315" s="10"/>
      <c r="Q1315" s="10"/>
      <c r="R1315" s="10"/>
      <c r="S1315" s="10"/>
      <c r="T1315" s="10"/>
      <c r="U1315" s="10"/>
      <c r="V1315" s="10"/>
      <c r="W1315" s="10"/>
      <c r="X1315" s="10"/>
      <c r="Y1315" s="10"/>
      <c r="Z1315" s="10"/>
    </row>
    <row r="1316" spans="1:26" ht="12.75">
      <c r="A1316" s="10" t="str">
        <f ca="1">IFERROR(__xludf.DUMMYFUNCTION("""COMPUTED_VALUE"""),"Вера Петрова Бонева")</f>
        <v>Вера Петрова Бонева</v>
      </c>
      <c r="B1316" s="10" t="str">
        <f ca="1">IFERROR(__xludf.DUMMYFUNCTION("""COMPUTED_VALUE"""),"Статия в списания и поредици")</f>
        <v>Статия в списания и поредици</v>
      </c>
      <c r="C1316" s="10" t="str">
        <f ca="1">IFERROR(__xludf.DUMMYFUNCTION("""COMPUTED_VALUE"""),"""Един силен вятър вее днес в европейското общество... "" — Славейкови евротежнения.")</f>
        <v>"Един силен вятър вее днес в европейското общество... " — Славейкови евротежнения.</v>
      </c>
      <c r="D1316" s="10">
        <f ca="1">IFERROR(__xludf.DUMMYFUNCTION("""COMPUTED_VALUE"""),2001)</f>
        <v>2001</v>
      </c>
      <c r="E1316" s="10" t="str">
        <f ca="1">IFERROR(__xludf.DUMMYFUNCTION("""COMPUTED_VALUE"""),"Литературен форум, бр. 28 (469) от 11-17 септември 2001 и бр. 29 от 18-24 септември 2001.")</f>
        <v>Литературен форум, бр. 28 (469) от 11-17 септември 2001 и бр. 29 от 18-24 септември 2001.</v>
      </c>
      <c r="F1316" s="10"/>
      <c r="G1316" s="10"/>
      <c r="H1316" s="10"/>
      <c r="I1316" s="10"/>
      <c r="J1316" s="10"/>
      <c r="K1316" s="10"/>
      <c r="L1316" s="10"/>
      <c r="M1316" s="10"/>
      <c r="N1316" s="10"/>
      <c r="O1316" s="10"/>
      <c r="P1316" s="10"/>
      <c r="Q1316" s="10"/>
      <c r="R1316" s="10"/>
      <c r="S1316" s="10"/>
      <c r="T1316" s="10"/>
      <c r="U1316" s="10"/>
      <c r="V1316" s="10"/>
      <c r="W1316" s="10"/>
      <c r="X1316" s="10"/>
      <c r="Y1316" s="10"/>
      <c r="Z1316" s="10"/>
    </row>
    <row r="1317" spans="1:26" ht="12.75">
      <c r="A1317" s="10" t="str">
        <f ca="1">IFERROR(__xludf.DUMMYFUNCTION("""COMPUTED_VALUE"""),"Вера Петрова Бонева")</f>
        <v>Вера Петрова Бонева</v>
      </c>
      <c r="B1317" s="10" t="str">
        <f ca="1">IFERROR(__xludf.DUMMYFUNCTION("""COMPUTED_VALUE"""),"Статия в списания и поредици")</f>
        <v>Статия в списания и поредици</v>
      </c>
      <c r="C1317" s="10" t="str">
        <f ca="1">IFERROR(__xludf.DUMMYFUNCTION("""COMPUTED_VALUE"""),"Пловдивският 20 декември 1859 година. Към предисторията на Българския Великден.")</f>
        <v>Пловдивският 20 декември 1859 година. Към предисторията на Българския Великден.</v>
      </c>
      <c r="D1317" s="10">
        <f ca="1">IFERROR(__xludf.DUMMYFUNCTION("""COMPUTED_VALUE"""),2001)</f>
        <v>2001</v>
      </c>
      <c r="E1317" s="10" t="str">
        <f ca="1">IFERROR(__xludf.DUMMYFUNCTION("""COMPUTED_VALUE"""),"Минало, 2001, кн. 2, с. 44-48.")</f>
        <v>Минало, 2001, кн. 2, с. 44-48.</v>
      </c>
      <c r="F1317" s="10"/>
      <c r="G1317" s="10"/>
      <c r="H1317" s="10"/>
      <c r="I1317" s="10"/>
      <c r="J1317" s="10"/>
      <c r="K1317" s="10"/>
      <c r="L1317" s="10"/>
      <c r="M1317" s="10"/>
      <c r="N1317" s="10"/>
      <c r="O1317" s="10"/>
      <c r="P1317" s="10"/>
      <c r="Q1317" s="10"/>
      <c r="R1317" s="10"/>
      <c r="S1317" s="10"/>
      <c r="T1317" s="10"/>
      <c r="U1317" s="10"/>
      <c r="V1317" s="10"/>
      <c r="W1317" s="10"/>
      <c r="X1317" s="10"/>
      <c r="Y1317" s="10"/>
      <c r="Z1317" s="10"/>
    </row>
    <row r="1318" spans="1:26" ht="12.75">
      <c r="A1318" s="10" t="str">
        <f ca="1">IFERROR(__xludf.DUMMYFUNCTION("""COMPUTED_VALUE"""),"Вера Петрова Бонева")</f>
        <v>Вера Петрова Бонева</v>
      </c>
      <c r="B1318" s="10" t="str">
        <f ca="1">IFERROR(__xludf.DUMMYFUNCTION("""COMPUTED_VALUE"""),"Статия в списания и поредици")</f>
        <v>Статия в списания и поредици</v>
      </c>
      <c r="C1318" s="10" t="str">
        <f ca="1">IFERROR(__xludf.DUMMYFUNCTION("""COMPUTED_VALUE"""),"""Защото те са за мен най-голямото съкровище"". Документи по пенсионирането на възрожденския учител Никола Иванов Бацаров (1881-1882).")</f>
        <v>"Защото те са за мен най-голямото съкровище". Документи по пенсионирането на възрожденския учител Никола Иванов Бацаров (1881-1882).</v>
      </c>
      <c r="D1318" s="10">
        <f ca="1">IFERROR(__xludf.DUMMYFUNCTION("""COMPUTED_VALUE"""),2000)</f>
        <v>2000</v>
      </c>
      <c r="E1318" s="10" t="str">
        <f ca="1">IFERROR(__xludf.DUMMYFUNCTION("""COMPUTED_VALUE"""),"Архивен преглед, 2000, кн. 3-4, с. 62-75.")</f>
        <v>Архивен преглед, 2000, кн. 3-4, с. 62-75.</v>
      </c>
      <c r="F1318" s="10"/>
      <c r="G1318" s="10"/>
      <c r="H1318" s="10"/>
      <c r="I1318" s="10"/>
      <c r="J1318" s="10"/>
      <c r="K1318" s="10"/>
      <c r="L1318" s="10"/>
      <c r="M1318" s="10"/>
      <c r="N1318" s="10"/>
      <c r="O1318" s="10"/>
      <c r="P1318" s="10"/>
      <c r="Q1318" s="10"/>
      <c r="R1318" s="10"/>
      <c r="S1318" s="10"/>
      <c r="T1318" s="10"/>
      <c r="U1318" s="10"/>
      <c r="V1318" s="10"/>
      <c r="W1318" s="10"/>
      <c r="X1318" s="10"/>
      <c r="Y1318" s="10"/>
      <c r="Z1318" s="10"/>
    </row>
    <row r="1319" spans="1:26" ht="12.75">
      <c r="A1319" s="10" t="str">
        <f ca="1">IFERROR(__xludf.DUMMYFUNCTION("""COMPUTED_VALUE"""),"Вера Петрова Бонева")</f>
        <v>Вера Петрова Бонева</v>
      </c>
      <c r="B1319" s="10" t="str">
        <f ca="1">IFERROR(__xludf.DUMMYFUNCTION("""COMPUTED_VALUE"""),"Статия в списания и поредици")</f>
        <v>Статия в списания и поредици</v>
      </c>
      <c r="C1319" s="10" t="str">
        <f ca="1">IFERROR(__xludf.DUMMYFUNCTION("""COMPUTED_VALUE"""),"Възрожденски първосказания.")</f>
        <v>Възрожденски първосказания.</v>
      </c>
      <c r="D1319" s="10">
        <f ca="1">IFERROR(__xludf.DUMMYFUNCTION("""COMPUTED_VALUE"""),2000)</f>
        <v>2000</v>
      </c>
      <c r="E1319" s="10" t="str">
        <f ca="1">IFERROR(__xludf.DUMMYFUNCTION("""COMPUTED_VALUE"""),"Литературна мисъл, 2000, кн. 2, с. 5-11.")</f>
        <v>Литературна мисъл, 2000, кн. 2, с. 5-11.</v>
      </c>
      <c r="F1319" s="10" t="str">
        <f ca="1">IFERROR(__xludf.DUMMYFUNCTION("""COMPUTED_VALUE"""),"ЕRIH (European Reference Index for the Humanities)
 ESF Standing Committee for the Humanities")</f>
        <v>ЕRIH (European Reference Index for the Humanities)
 ESF Standing Committee for the Humanities</v>
      </c>
      <c r="G1319" s="10"/>
      <c r="H1319" s="10"/>
      <c r="I1319" s="10"/>
      <c r="J1319" s="10"/>
      <c r="K1319" s="10"/>
      <c r="L1319" s="10"/>
      <c r="M1319" s="10"/>
      <c r="N1319" s="10"/>
      <c r="O1319" s="10"/>
      <c r="P1319" s="10"/>
      <c r="Q1319" s="10"/>
      <c r="R1319" s="10"/>
      <c r="S1319" s="10"/>
      <c r="T1319" s="10"/>
      <c r="U1319" s="10"/>
      <c r="V1319" s="10"/>
      <c r="W1319" s="10"/>
      <c r="X1319" s="10"/>
      <c r="Y1319" s="10"/>
      <c r="Z1319" s="10"/>
    </row>
    <row r="1320" spans="1:26" ht="12.75">
      <c r="A1320" s="10" t="str">
        <f ca="1">IFERROR(__xludf.DUMMYFUNCTION("""COMPUTED_VALUE"""),"Вера Петрова Бонева")</f>
        <v>Вера Петрова Бонева</v>
      </c>
      <c r="B1320" s="10" t="str">
        <f ca="1">IFERROR(__xludf.DUMMYFUNCTION("""COMPUTED_VALUE"""),"Статия в списания и поредици")</f>
        <v>Статия в списания и поредици</v>
      </c>
      <c r="C1320" s="10" t="str">
        <f ca="1">IFERROR(__xludf.DUMMYFUNCTION("""COMPUTED_VALUE"""),"Политическите програми на българската 1867 година.")</f>
        <v>Политическите програми на българската 1867 година.</v>
      </c>
      <c r="D1320" s="10">
        <f ca="1">IFERROR(__xludf.DUMMYFUNCTION("""COMPUTED_VALUE"""),2000)</f>
        <v>2000</v>
      </c>
      <c r="E1320" s="10" t="str">
        <f ca="1">IFERROR(__xludf.DUMMYFUNCTION("""COMPUTED_VALUE"""),"Българското революционно движение в навечерието на създаването на БРЦК 1869. София, 2000, с. 109-117.")</f>
        <v>Българското революционно движение в навечерието на създаването на БРЦК 1869. София, 2000, с. 109-117.</v>
      </c>
      <c r="F1320" s="10"/>
      <c r="G1320" s="10"/>
      <c r="H1320" s="10"/>
      <c r="I1320" s="10"/>
      <c r="J1320" s="10"/>
      <c r="K1320" s="10"/>
      <c r="L1320" s="10"/>
      <c r="M1320" s="10"/>
      <c r="N1320" s="10"/>
      <c r="O1320" s="10"/>
      <c r="P1320" s="10"/>
      <c r="Q1320" s="10"/>
      <c r="R1320" s="10"/>
      <c r="S1320" s="10"/>
      <c r="T1320" s="10"/>
      <c r="U1320" s="10"/>
      <c r="V1320" s="10"/>
      <c r="W1320" s="10"/>
      <c r="X1320" s="10"/>
      <c r="Y1320" s="10"/>
      <c r="Z1320" s="10"/>
    </row>
    <row r="1321" spans="1:26" ht="12.75">
      <c r="A1321" s="10" t="str">
        <f ca="1">IFERROR(__xludf.DUMMYFUNCTION("""COMPUTED_VALUE"""),"Вера Петрова Бонева")</f>
        <v>Вера Петрова Бонева</v>
      </c>
      <c r="B1321" s="10" t="str">
        <f ca="1">IFERROR(__xludf.DUMMYFUNCTION("""COMPUTED_VALUE"""),"Статия в списания и поредици")</f>
        <v>Статия в списания и поредици</v>
      </c>
      <c r="C1321" s="10" t="str">
        <f ca="1">IFERROR(__xludf.DUMMYFUNCTION("""COMPUTED_VALUE"""),"Българското възраждане в българското училище — седем своевременни тезиса.")</f>
        <v>Българското възраждане в българското училище — седем своевременни тезиса.</v>
      </c>
      <c r="D1321" s="10">
        <f ca="1">IFERROR(__xludf.DUMMYFUNCTION("""COMPUTED_VALUE"""),2000)</f>
        <v>2000</v>
      </c>
      <c r="E1321" s="10" t="str">
        <f ca="1">IFERROR(__xludf.DUMMYFUNCTION("""COMPUTED_VALUE"""),"Педагогика, 2000, кн. 8-9, с. 25-31.")</f>
        <v>Педагогика, 2000, кн. 8-9, с. 25-31.</v>
      </c>
      <c r="F1321" s="10" t="str">
        <f ca="1">IFERROR(__xludf.DUMMYFUNCTION("""COMPUTED_VALUE"""),"Web of Science")</f>
        <v>Web of Science</v>
      </c>
      <c r="G1321" s="10"/>
      <c r="H1321" s="10"/>
      <c r="I1321" s="10"/>
      <c r="J1321" s="10"/>
      <c r="K1321" s="10"/>
      <c r="L1321" s="10"/>
      <c r="M1321" s="10"/>
      <c r="N1321" s="10"/>
      <c r="O1321" s="10"/>
      <c r="P1321" s="10"/>
      <c r="Q1321" s="10"/>
      <c r="R1321" s="10"/>
      <c r="S1321" s="10"/>
      <c r="T1321" s="10"/>
      <c r="U1321" s="10"/>
      <c r="V1321" s="10"/>
      <c r="W1321" s="10"/>
      <c r="X1321" s="10"/>
      <c r="Y1321" s="10"/>
      <c r="Z1321" s="10"/>
    </row>
    <row r="1322" spans="1:26" ht="12.75">
      <c r="A1322" s="10" t="str">
        <f ca="1">IFERROR(__xludf.DUMMYFUNCTION("""COMPUTED_VALUE"""),"Вера Петрова Бонева")</f>
        <v>Вера Петрова Бонева</v>
      </c>
      <c r="B1322" s="10" t="str">
        <f ca="1">IFERROR(__xludf.DUMMYFUNCTION("""COMPUTED_VALUE"""),"Статия в списания и поредици")</f>
        <v>Статия в списания и поредици</v>
      </c>
      <c r="C1322" s="10" t="str">
        <f ca="1">IFERROR(__xludf.DUMMYFUNCTION("""COMPUTED_VALUE"""),"Имената на Българското възраждане.")</f>
        <v>Имената на Българското възраждане.</v>
      </c>
      <c r="D1322" s="10">
        <f ca="1">IFERROR(__xludf.DUMMYFUNCTION("""COMPUTED_VALUE"""),2000)</f>
        <v>2000</v>
      </c>
      <c r="E1322" s="10" t="str">
        <f ca="1">IFERROR(__xludf.DUMMYFUNCTION("""COMPUTED_VALUE"""),"Историческо бъдеще, 2000, кн. 1-2, с. 158-171.")</f>
        <v>Историческо бъдеще, 2000, кн. 1-2, с. 158-171.</v>
      </c>
      <c r="F1322" s="10"/>
      <c r="G1322" s="10"/>
      <c r="H1322" s="10"/>
      <c r="I1322" s="10"/>
      <c r="J1322" s="10"/>
      <c r="K1322" s="10"/>
      <c r="L1322" s="10"/>
      <c r="M1322" s="10"/>
      <c r="N1322" s="10"/>
      <c r="O1322" s="10"/>
      <c r="P1322" s="10"/>
      <c r="Q1322" s="10"/>
      <c r="R1322" s="10"/>
      <c r="S1322" s="10"/>
      <c r="T1322" s="10"/>
      <c r="U1322" s="10"/>
      <c r="V1322" s="10"/>
      <c r="W1322" s="10"/>
      <c r="X1322" s="10"/>
      <c r="Y1322" s="10"/>
      <c r="Z1322" s="10"/>
    </row>
    <row r="1323" spans="1:26" ht="12.75">
      <c r="A1323" s="10" t="str">
        <f ca="1">IFERROR(__xludf.DUMMYFUNCTION("""COMPUTED_VALUE"""),"Вера Петрова Бонева")</f>
        <v>Вера Петрова Бонева</v>
      </c>
      <c r="B1323" s="10" t="str">
        <f ca="1">IFERROR(__xludf.DUMMYFUNCTION("""COMPUTED_VALUE"""),"Монография")</f>
        <v>Монография</v>
      </c>
      <c r="C1323" s="10" t="str">
        <f ca="1">IFERROR(__xludf.DUMMYFUNCTION("""COMPUTED_VALUE"""),"Възрожденецът Гаврил Кръстевич.")</f>
        <v>Възрожденецът Гаврил Кръстевич.</v>
      </c>
      <c r="D1323" s="10">
        <f ca="1">IFERROR(__xludf.DUMMYFUNCTION("""COMPUTED_VALUE"""),2000)</f>
        <v>2000</v>
      </c>
      <c r="E1323" s="10" t="str">
        <f ca="1">IFERROR(__xludf.DUMMYFUNCTION("""COMPUTED_VALUE"""),"Изд. Хелион, Шумен, 2000, 198 с.")</f>
        <v>Изд. Хелион, Шумен, 2000, 198 с.</v>
      </c>
      <c r="F1323" s="10"/>
      <c r="G1323" s="10"/>
      <c r="H1323" s="10"/>
      <c r="I1323" s="10"/>
      <c r="J1323" s="10"/>
      <c r="K1323" s="10"/>
      <c r="L1323" s="10"/>
      <c r="M1323" s="10"/>
      <c r="N1323" s="10"/>
      <c r="O1323" s="10"/>
      <c r="P1323" s="10"/>
      <c r="Q1323" s="10"/>
      <c r="R1323" s="10"/>
      <c r="S1323" s="10"/>
      <c r="T1323" s="10"/>
      <c r="U1323" s="10"/>
      <c r="V1323" s="10"/>
      <c r="W1323" s="10"/>
      <c r="X1323" s="10"/>
      <c r="Y1323" s="10"/>
      <c r="Z1323" s="10"/>
    </row>
    <row r="1324" spans="1:26" ht="12.75">
      <c r="A1324" s="10" t="str">
        <f ca="1">IFERROR(__xludf.DUMMYFUNCTION("""COMPUTED_VALUE"""),"Вера Петрова Бонева")</f>
        <v>Вера Петрова Бонева</v>
      </c>
      <c r="B1324" s="10" t="str">
        <f ca="1">IFERROR(__xludf.DUMMYFUNCTION("""COMPUTED_VALUE"""),"Статия в списания и поредици")</f>
        <v>Статия в списания и поредици</v>
      </c>
      <c r="C1324" s="10" t="str">
        <f ca="1">IFERROR(__xludf.DUMMYFUNCTION("""COMPUTED_VALUE"""),"Един български глас от Болград. Програми за политически суверенитет на нацията върху страниците на вестник ""Български глас"".")</f>
        <v>Един български глас от Болград. Програми за политически суверенитет на нацията върху страниците на вестник "Български глас".</v>
      </c>
      <c r="D1324" s="10">
        <f ca="1">IFERROR(__xludf.DUMMYFUNCTION("""COMPUTED_VALUE"""),2000)</f>
        <v>2000</v>
      </c>
      <c r="E1324" s="10" t="str">
        <f ca="1">IFERROR(__xludf.DUMMYFUNCTION("""COMPUTED_VALUE"""),"Исторически преглед, 2000, кн. 3-4, с. 174-187.")</f>
        <v>Исторически преглед, 2000, кн. 3-4, с. 174-187.</v>
      </c>
      <c r="F1324" s="10" t="str">
        <f ca="1">IFERROR(__xludf.DUMMYFUNCTION("""COMPUTED_VALUE"""),"РИНЦ, CEEOL, EBSCO")</f>
        <v>РИНЦ, CEEOL, EBSCO</v>
      </c>
      <c r="G1324" s="10"/>
      <c r="H1324" s="10"/>
      <c r="I1324" s="10"/>
      <c r="J1324" s="10"/>
      <c r="K1324" s="10"/>
      <c r="L1324" s="10"/>
      <c r="M1324" s="10"/>
      <c r="N1324" s="10"/>
      <c r="O1324" s="10"/>
      <c r="P1324" s="10"/>
      <c r="Q1324" s="10"/>
      <c r="R1324" s="10"/>
      <c r="S1324" s="10"/>
      <c r="T1324" s="10"/>
      <c r="U1324" s="10"/>
      <c r="V1324" s="10"/>
      <c r="W1324" s="10"/>
      <c r="X1324" s="10"/>
      <c r="Y1324" s="10"/>
      <c r="Z1324" s="10"/>
    </row>
    <row r="1325" spans="1:26" ht="12.75">
      <c r="A1325" s="10" t="str">
        <f ca="1">IFERROR(__xludf.DUMMYFUNCTION("""COMPUTED_VALUE"""),"Вера Петрова Бонева")</f>
        <v>Вера Петрова Бонева</v>
      </c>
      <c r="B1325" s="10" t="str">
        <f ca="1">IFERROR(__xludf.DUMMYFUNCTION("""COMPUTED_VALUE"""),"Статия в списания и поредици")</f>
        <v>Статия в списания и поредици</v>
      </c>
      <c r="C1325" s="10" t="str">
        <f ca="1">IFERROR(__xludf.DUMMYFUNCTION("""COMPUTED_VALUE"""),"Европейско/балканско/българско. Още за политическата философия на Иван Селимински.")</f>
        <v>Европейско/балканско/българско. Още за политическата философия на Иван Селимински.</v>
      </c>
      <c r="D1325" s="10">
        <f ca="1">IFERROR(__xludf.DUMMYFUNCTION("""COMPUTED_VALUE"""),1999)</f>
        <v>1999</v>
      </c>
      <c r="E1325" s="10" t="str">
        <f ca="1">IFERROR(__xludf.DUMMYFUNCTION("""COMPUTED_VALUE"""),"Общото и специфичното в балканските народи до края на ХІХ век. Сборник в чест на 70-годишнината на проф. Василка Тъпкова-Заимова. С., 1999, 307-311.")</f>
        <v>Общото и специфичното в балканските народи до края на ХІХ век. Сборник в чест на 70-годишнината на проф. Василка Тъпкова-Заимова. С., 1999, 307-311.</v>
      </c>
      <c r="F1325" s="10"/>
      <c r="G1325" s="10"/>
      <c r="H1325" s="10"/>
      <c r="I1325" s="10"/>
      <c r="J1325" s="10"/>
      <c r="K1325" s="10"/>
      <c r="L1325" s="10"/>
      <c r="M1325" s="10"/>
      <c r="N1325" s="10"/>
      <c r="O1325" s="10"/>
      <c r="P1325" s="10"/>
      <c r="Q1325" s="10"/>
      <c r="R1325" s="10"/>
      <c r="S1325" s="10"/>
      <c r="T1325" s="10"/>
      <c r="U1325" s="10"/>
      <c r="V1325" s="10"/>
      <c r="W1325" s="10"/>
      <c r="X1325" s="10"/>
      <c r="Y1325" s="10"/>
      <c r="Z1325" s="10"/>
    </row>
    <row r="1326" spans="1:26" ht="12.75">
      <c r="A1326" s="10" t="str">
        <f ca="1">IFERROR(__xludf.DUMMYFUNCTION("""COMPUTED_VALUE"""),"Вера Петрова Бонева")</f>
        <v>Вера Петрова Бонева</v>
      </c>
      <c r="B1326" s="10" t="str">
        <f ca="1">IFERROR(__xludf.DUMMYFUNCTION("""COMPUTED_VALUE"""),"Статия в списания и поредици")</f>
        <v>Статия в списания и поредици</v>
      </c>
      <c r="C1326" s="10" t="str">
        <f ca="1">IFERROR(__xludf.DUMMYFUNCTION("""COMPUTED_VALUE"""),"Църковно-националното движение през епохата на Възраждането в българската мемоаристика.")</f>
        <v>Църковно-националното движение през епохата на Възраждането в българската мемоаристика.</v>
      </c>
      <c r="D1326" s="10">
        <f ca="1">IFERROR(__xludf.DUMMYFUNCTION("""COMPUTED_VALUE"""),1999)</f>
        <v>1999</v>
      </c>
      <c r="E1326" s="10" t="str">
        <f ca="1">IFERROR(__xludf.DUMMYFUNCTION("""COMPUTED_VALUE"""),"Светогорска обител Зограф. ІІІ. В памет на акад. Димитър Ангелов. С., 1999, с. 246-256.")</f>
        <v>Светогорска обител Зограф. ІІІ. В памет на акад. Димитър Ангелов. С., 1999, с. 246-256.</v>
      </c>
      <c r="F1326" s="10" t="str">
        <f ca="1">IFERROR(__xludf.DUMMYFUNCTION("""COMPUTED_VALUE"""),"Web of Science")</f>
        <v>Web of Science</v>
      </c>
      <c r="G1326" s="10"/>
      <c r="H1326" s="10"/>
      <c r="I1326" s="10"/>
      <c r="J1326" s="10"/>
      <c r="K1326" s="10"/>
      <c r="L1326" s="10"/>
      <c r="M1326" s="10"/>
      <c r="N1326" s="10"/>
      <c r="O1326" s="10"/>
      <c r="P1326" s="10"/>
      <c r="Q1326" s="10"/>
      <c r="R1326" s="10"/>
      <c r="S1326" s="10"/>
      <c r="T1326" s="10"/>
      <c r="U1326" s="10"/>
      <c r="V1326" s="10"/>
      <c r="W1326" s="10"/>
      <c r="X1326" s="10"/>
      <c r="Y1326" s="10"/>
      <c r="Z1326" s="10"/>
    </row>
    <row r="1327" spans="1:26" ht="12.75">
      <c r="A1327" s="10" t="str">
        <f ca="1">IFERROR(__xludf.DUMMYFUNCTION("""COMPUTED_VALUE"""),"Вера Петрова Бонева")</f>
        <v>Вера Петрова Бонева</v>
      </c>
      <c r="B1327" s="10" t="str">
        <f ca="1">IFERROR(__xludf.DUMMYFUNCTION("""COMPUTED_VALUE"""),"Статия в списания и поредици")</f>
        <v>Статия в списания и поредици</v>
      </c>
      <c r="C1327" s="10" t="str">
        <f ca="1">IFERROR(__xludf.DUMMYFUNCTION("""COMPUTED_VALUE"""),"Българското в периодизацията на българската история.")</f>
        <v>Българското в периодизацията на българската история.</v>
      </c>
      <c r="D1327" s="10">
        <f ca="1">IFERROR(__xludf.DUMMYFUNCTION("""COMPUTED_VALUE"""),1999)</f>
        <v>1999</v>
      </c>
      <c r="E1327" s="10" t="str">
        <f ca="1">IFERROR(__xludf.DUMMYFUNCTION("""COMPUTED_VALUE"""),"Литературен форум, бр. 28, 28 септември — 4 октомври 1999.")</f>
        <v>Литературен форум, бр. 28, 28 септември — 4 октомври 1999.</v>
      </c>
      <c r="F1327" s="10"/>
      <c r="G1327" s="10"/>
      <c r="H1327" s="10"/>
      <c r="I1327" s="10"/>
      <c r="J1327" s="10"/>
      <c r="K1327" s="10"/>
      <c r="L1327" s="10"/>
      <c r="M1327" s="10"/>
      <c r="N1327" s="10"/>
      <c r="O1327" s="10"/>
      <c r="P1327" s="10"/>
      <c r="Q1327" s="10"/>
      <c r="R1327" s="10"/>
      <c r="S1327" s="10"/>
      <c r="T1327" s="10"/>
      <c r="U1327" s="10"/>
      <c r="V1327" s="10"/>
      <c r="W1327" s="10"/>
      <c r="X1327" s="10"/>
      <c r="Y1327" s="10"/>
      <c r="Z1327" s="10"/>
    </row>
    <row r="1328" spans="1:26" ht="12.75">
      <c r="A1328" s="10" t="str">
        <f ca="1">IFERROR(__xludf.DUMMYFUNCTION("""COMPUTED_VALUE"""),"Вера Петрова Бонева")</f>
        <v>Вера Петрова Бонева</v>
      </c>
      <c r="B1328" s="10" t="str">
        <f ca="1">IFERROR(__xludf.DUMMYFUNCTION("""COMPUTED_VALUE"""),"Статия в списания и поредици")</f>
        <v>Статия в списания и поредици</v>
      </c>
      <c r="C1328" s="10" t="str">
        <f ca="1">IFERROR(__xludf.DUMMYFUNCTION("""COMPUTED_VALUE"""),"Политикът в расо. Архимандрит Максим Райкович и еволюцията на българския възрожденски политически национализъм.")</f>
        <v>Политикът в расо. Архимандрит Максим Райкович и еволюцията на българския възрожденски политически национализъм.</v>
      </c>
      <c r="D1328" s="10">
        <f ca="1">IFERROR(__xludf.DUMMYFUNCTION("""COMPUTED_VALUE"""),1999)</f>
        <v>1999</v>
      </c>
      <c r="E1328" s="10" t="str">
        <f ca="1">IFERROR(__xludf.DUMMYFUNCTION("""COMPUTED_VALUE"""),"Максим Райкович — традиции и съвременност. Дряново, 1999, с. 67-82.")</f>
        <v>Максим Райкович — традиции и съвременност. Дряново, 1999, с. 67-82.</v>
      </c>
      <c r="F1328" s="10"/>
      <c r="G1328" s="10"/>
      <c r="H1328" s="10"/>
      <c r="I1328" s="10"/>
      <c r="J1328" s="10"/>
      <c r="K1328" s="10"/>
      <c r="L1328" s="10"/>
      <c r="M1328" s="10"/>
      <c r="N1328" s="10"/>
      <c r="O1328" s="10"/>
      <c r="P1328" s="10"/>
      <c r="Q1328" s="10"/>
      <c r="R1328" s="10"/>
      <c r="S1328" s="10"/>
      <c r="T1328" s="10"/>
      <c r="U1328" s="10"/>
      <c r="V1328" s="10"/>
      <c r="W1328" s="10"/>
      <c r="X1328" s="10"/>
      <c r="Y1328" s="10"/>
      <c r="Z1328" s="10"/>
    </row>
    <row r="1329" spans="1:26" ht="12.75">
      <c r="A1329" s="10" t="str">
        <f ca="1">IFERROR(__xludf.DUMMYFUNCTION("""COMPUTED_VALUE"""),"Вера Петрова Бонева")</f>
        <v>Вера Петрова Бонева</v>
      </c>
      <c r="B1329" s="10" t="str">
        <f ca="1">IFERROR(__xludf.DUMMYFUNCTION("""COMPUTED_VALUE"""),"Статия в списания и поредици")</f>
        <v>Статия в списания и поредици</v>
      </c>
      <c r="C1329" s="10" t="str">
        <f ca="1">IFERROR(__xludf.DUMMYFUNCTION("""COMPUTED_VALUE"""),"Петко Славейков и Пандели Кисимов — по следите на едно възрожденско приятелство.")</f>
        <v>Петко Славейков и Пандели Кисимов — по следите на едно възрожденско приятелство.</v>
      </c>
      <c r="D1329" s="10">
        <f ca="1">IFERROR(__xludf.DUMMYFUNCTION("""COMPUTED_VALUE"""),1999)</f>
        <v>1999</v>
      </c>
      <c r="E1329" s="10" t="str">
        <f ca="1">IFERROR(__xludf.DUMMYFUNCTION("""COMPUTED_VALUE"""),"История, 1999, кн. 2-3, с. 67-80.")</f>
        <v>История, 1999, кн. 2-3, с. 67-80.</v>
      </c>
      <c r="F1329" s="10" t="str">
        <f ca="1">IFERROR(__xludf.DUMMYFUNCTION("""COMPUTED_VALUE"""),"Web of Science")</f>
        <v>Web of Science</v>
      </c>
      <c r="G1329" s="10"/>
      <c r="H1329" s="10"/>
      <c r="I1329" s="10"/>
      <c r="J1329" s="10"/>
      <c r="K1329" s="10"/>
      <c r="L1329" s="10"/>
      <c r="M1329" s="10"/>
      <c r="N1329" s="10"/>
      <c r="O1329" s="10"/>
      <c r="P1329" s="10"/>
      <c r="Q1329" s="10"/>
      <c r="R1329" s="10"/>
      <c r="S1329" s="10"/>
      <c r="T1329" s="10"/>
      <c r="U1329" s="10"/>
      <c r="V1329" s="10"/>
      <c r="W1329" s="10"/>
      <c r="X1329" s="10"/>
      <c r="Y1329" s="10"/>
      <c r="Z1329" s="10"/>
    </row>
    <row r="1330" spans="1:26" ht="12.75">
      <c r="A1330" s="10" t="str">
        <f ca="1">IFERROR(__xludf.DUMMYFUNCTION("""COMPUTED_VALUE"""),"Вера Петрова Бонева")</f>
        <v>Вера Петрова Бонева</v>
      </c>
      <c r="B1330" s="10" t="str">
        <f ca="1">IFERROR(__xludf.DUMMYFUNCTION("""COMPUTED_VALUE"""),"Статия в списания и поредици")</f>
        <v>Статия в списания и поредици</v>
      </c>
      <c r="C1330" s="10" t="str">
        <f ca="1">IFERROR(__xludf.DUMMYFUNCTION("""COMPUTED_VALUE"""),"Още един общински устав от епохата на Възраждането — Тулча, 8 септември 1860 година.")</f>
        <v>Още един общински устав от епохата на Възраждането — Тулча, 8 септември 1860 година.</v>
      </c>
      <c r="D1330" s="10">
        <f ca="1">IFERROR(__xludf.DUMMYFUNCTION("""COMPUTED_VALUE"""),1999)</f>
        <v>1999</v>
      </c>
      <c r="E1330" s="10" t="str">
        <f ca="1">IFERROR(__xludf.DUMMYFUNCTION("""COMPUTED_VALUE"""),"Архивен преглед, 1999, бр. 1-2, с. 31-36.")</f>
        <v>Архивен преглед, 1999, бр. 1-2, с. 31-36.</v>
      </c>
      <c r="F1330" s="10"/>
      <c r="G1330" s="10"/>
      <c r="H1330" s="10"/>
      <c r="I1330" s="10"/>
      <c r="J1330" s="10"/>
      <c r="K1330" s="10"/>
      <c r="L1330" s="10"/>
      <c r="M1330" s="10"/>
      <c r="N1330" s="10"/>
      <c r="O1330" s="10"/>
      <c r="P1330" s="10"/>
      <c r="Q1330" s="10"/>
      <c r="R1330" s="10"/>
      <c r="S1330" s="10"/>
      <c r="T1330" s="10"/>
      <c r="U1330" s="10"/>
      <c r="V1330" s="10"/>
      <c r="W1330" s="10"/>
      <c r="X1330" s="10"/>
      <c r="Y1330" s="10"/>
      <c r="Z1330" s="10"/>
    </row>
    <row r="1331" spans="1:26" ht="12.75">
      <c r="A1331" s="10" t="str">
        <f ca="1">IFERROR(__xludf.DUMMYFUNCTION("""COMPUTED_VALUE"""),"Вера Петрова Бонева")</f>
        <v>Вера Петрова Бонева</v>
      </c>
      <c r="B1331" s="10" t="str">
        <f ca="1">IFERROR(__xludf.DUMMYFUNCTION("""COMPUTED_VALUE"""),"Статия в списания и поредици")</f>
        <v>Статия в списания и поредици</v>
      </c>
      <c r="C1331" s="10" t="str">
        <f ca="1">IFERROR(__xludf.DUMMYFUNCTION("""COMPUTED_VALUE"""),"Историческият образ на Васил Левски в творчеството на Михаил Арнаудов.")</f>
        <v>Историческият образ на Васил Левски в творчеството на Михаил Арнаудов.</v>
      </c>
      <c r="D1331" s="10">
        <f ca="1">IFERROR(__xludf.DUMMYFUNCTION("""COMPUTED_VALUE"""),1998)</f>
        <v>1998</v>
      </c>
      <c r="E1331" s="10" t="str">
        <f ca="1">IFERROR(__xludf.DUMMYFUNCTION("""COMPUTED_VALUE"""),"Известия на Исторически музей Ловеч. Т. 3. Ловеч, 1998, с. 185-191.")</f>
        <v>Известия на Исторически музей Ловеч. Т. 3. Ловеч, 1998, с. 185-191.</v>
      </c>
      <c r="F1331" s="10"/>
      <c r="G1331" s="10"/>
      <c r="H1331" s="10"/>
      <c r="I1331" s="10"/>
      <c r="J1331" s="10"/>
      <c r="K1331" s="10"/>
      <c r="L1331" s="10"/>
      <c r="M1331" s="10"/>
      <c r="N1331" s="10"/>
      <c r="O1331" s="10"/>
      <c r="P1331" s="10"/>
      <c r="Q1331" s="10"/>
      <c r="R1331" s="10"/>
      <c r="S1331" s="10"/>
      <c r="T1331" s="10"/>
      <c r="U1331" s="10"/>
      <c r="V1331" s="10"/>
      <c r="W1331" s="10"/>
      <c r="X1331" s="10"/>
      <c r="Y1331" s="10"/>
      <c r="Z1331" s="10"/>
    </row>
    <row r="1332" spans="1:26" ht="12.75">
      <c r="A1332" s="10" t="str">
        <f ca="1">IFERROR(__xludf.DUMMYFUNCTION("""COMPUTED_VALUE"""),"Вера Петрова Бонева")</f>
        <v>Вера Петрова Бонева</v>
      </c>
      <c r="B1332" s="10" t="str">
        <f ca="1">IFERROR(__xludf.DUMMYFUNCTION("""COMPUTED_VALUE"""),"Статия в списания и поредици")</f>
        <v>Статия в списания и поредици</v>
      </c>
      <c r="C1332" s="10" t="str">
        <f ca="1">IFERROR(__xludf.DUMMYFUNCTION("""COMPUTED_VALUE"""),"Учителят Димитър Витанов. (Щрихи от портрета на един забравен възрожденец).")</f>
        <v>Учителят Димитър Витанов. (Щрихи от портрета на един забравен възрожденец).</v>
      </c>
      <c r="D1332" s="10">
        <f ca="1">IFERROR(__xludf.DUMMYFUNCTION("""COMPUTED_VALUE"""),1998)</f>
        <v>1998</v>
      </c>
      <c r="E1332" s="10" t="str">
        <f ca="1">IFERROR(__xludf.DUMMYFUNCTION("""COMPUTED_VALUE"""),"Педагогика, 1998, кн. 8-9, 102-117.")</f>
        <v>Педагогика, 1998, кн. 8-9, 102-117.</v>
      </c>
      <c r="F1332" s="10" t="str">
        <f ca="1">IFERROR(__xludf.DUMMYFUNCTION("""COMPUTED_VALUE"""),"Web of Science")</f>
        <v>Web of Science</v>
      </c>
      <c r="G1332" s="10"/>
      <c r="H1332" s="10"/>
      <c r="I1332" s="10"/>
      <c r="J1332" s="10"/>
      <c r="K1332" s="10"/>
      <c r="L1332" s="10"/>
      <c r="M1332" s="10"/>
      <c r="N1332" s="10"/>
      <c r="O1332" s="10"/>
      <c r="P1332" s="10"/>
      <c r="Q1332" s="10"/>
      <c r="R1332" s="10"/>
      <c r="S1332" s="10"/>
      <c r="T1332" s="10"/>
      <c r="U1332" s="10"/>
      <c r="V1332" s="10"/>
      <c r="W1332" s="10"/>
      <c r="X1332" s="10"/>
      <c r="Y1332" s="10"/>
      <c r="Z1332" s="10"/>
    </row>
    <row r="1333" spans="1:26" ht="12.75">
      <c r="A1333" s="10" t="str">
        <f ca="1">IFERROR(__xludf.DUMMYFUNCTION("""COMPUTED_VALUE"""),"Вера Петрова Бонева")</f>
        <v>Вера Петрова Бонева</v>
      </c>
      <c r="B1333" s="10" t="str">
        <f ca="1">IFERROR(__xludf.DUMMYFUNCTION("""COMPUTED_VALUE"""),"Монография")</f>
        <v>Монография</v>
      </c>
      <c r="C1333" s="10" t="str">
        <f ca="1">IFERROR(__xludf.DUMMYFUNCTION("""COMPUTED_VALUE"""),"Американската мечта в българското възрожденско общество")</f>
        <v>Американската мечта в българското възрожденско общество</v>
      </c>
      <c r="D1333" s="10">
        <f ca="1">IFERROR(__xludf.DUMMYFUNCTION("""COMPUTED_VALUE"""),1998)</f>
        <v>1998</v>
      </c>
      <c r="E1333" s="10" t="str">
        <f ca="1">IFERROR(__xludf.DUMMYFUNCTION("""COMPUTED_VALUE"""),"Издание на Исторически музей В. Търново, 1998, 198 с.")</f>
        <v>Издание на Исторически музей В. Търново, 1998, 198 с.</v>
      </c>
      <c r="F1333" s="10"/>
      <c r="G1333" s="10"/>
      <c r="H1333" s="10"/>
      <c r="I1333" s="10"/>
      <c r="J1333" s="10"/>
      <c r="K1333" s="10"/>
      <c r="L1333" s="10"/>
      <c r="M1333" s="10"/>
      <c r="N1333" s="10"/>
      <c r="O1333" s="10"/>
      <c r="P1333" s="10"/>
      <c r="Q1333" s="10"/>
      <c r="R1333" s="10"/>
      <c r="S1333" s="10"/>
      <c r="T1333" s="10"/>
      <c r="U1333" s="10"/>
      <c r="V1333" s="10"/>
      <c r="W1333" s="10"/>
      <c r="X1333" s="10"/>
      <c r="Y1333" s="10"/>
      <c r="Z1333" s="10"/>
    </row>
    <row r="1334" spans="1:26" ht="12.75">
      <c r="A1334" s="10" t="str">
        <f ca="1">IFERROR(__xludf.DUMMYFUNCTION("""COMPUTED_VALUE"""),"Вера Петрова Бонева")</f>
        <v>Вера Петрова Бонева</v>
      </c>
      <c r="B1334" s="10" t="str">
        <f ca="1">IFERROR(__xludf.DUMMYFUNCTION("""COMPUTED_VALUE"""),"Монография")</f>
        <v>Монография</v>
      </c>
      <c r="C1334" s="10" t="str">
        <f ca="1">IFERROR(__xludf.DUMMYFUNCTION("""COMPUTED_VALUE"""),"Исторически етюди по Българско възраждане.")</f>
        <v>Исторически етюди по Българско възраждане.</v>
      </c>
      <c r="D1334" s="10">
        <f ca="1">IFERROR(__xludf.DUMMYFUNCTION("""COMPUTED_VALUE"""),1998)</f>
        <v>1998</v>
      </c>
      <c r="E1334" s="10" t="str">
        <f ca="1">IFERROR(__xludf.DUMMYFUNCTION("""COMPUTED_VALUE"""),"Велико Търново: Фабер, 1997, 88 с.")</f>
        <v>Велико Търново: Фабер, 1997, 88 с.</v>
      </c>
      <c r="F1334" s="10"/>
      <c r="G1334" s="10"/>
      <c r="H1334" s="10"/>
      <c r="I1334" s="10"/>
      <c r="J1334" s="10"/>
      <c r="K1334" s="10"/>
      <c r="L1334" s="10"/>
      <c r="M1334" s="10"/>
      <c r="N1334" s="10"/>
      <c r="O1334" s="10"/>
      <c r="P1334" s="10"/>
      <c r="Q1334" s="10"/>
      <c r="R1334" s="10"/>
      <c r="S1334" s="10"/>
      <c r="T1334" s="10"/>
      <c r="U1334" s="10"/>
      <c r="V1334" s="10"/>
      <c r="W1334" s="10"/>
      <c r="X1334" s="10"/>
      <c r="Y1334" s="10"/>
      <c r="Z1334" s="10"/>
    </row>
    <row r="1335" spans="1:26" ht="12.75">
      <c r="A1335" s="10" t="str">
        <f ca="1">IFERROR(__xludf.DUMMYFUNCTION("""COMPUTED_VALUE"""),"Вера Петрова Бонева")</f>
        <v>Вера Петрова Бонева</v>
      </c>
      <c r="B1335" s="10" t="str">
        <f ca="1">IFERROR(__xludf.DUMMYFUNCTION("""COMPUTED_VALUE"""),"Статия в списания и поредици")</f>
        <v>Статия в списания и поредици</v>
      </c>
      <c r="C1335" s="10" t="str">
        <f ca="1">IFERROR(__xludf.DUMMYFUNCTION("""COMPUTED_VALUE"""),"Заглавията на възрожденските периодични издания говорят.")</f>
        <v>Заглавията на възрожденските периодични издания говорят.</v>
      </c>
      <c r="D1335" s="10">
        <f ca="1">IFERROR(__xludf.DUMMYFUNCTION("""COMPUTED_VALUE"""),1998)</f>
        <v>1998</v>
      </c>
      <c r="E1335" s="10" t="str">
        <f ca="1">IFERROR(__xludf.DUMMYFUNCTION("""COMPUTED_VALUE"""),"Демократически преглед. Кн. 37. С., 1998, с. 365-381.")</f>
        <v>Демократически преглед. Кн. 37. С., 1998, с. 365-381.</v>
      </c>
      <c r="F1335" s="10"/>
      <c r="G1335" s="10"/>
      <c r="H1335" s="10"/>
      <c r="I1335" s="10"/>
      <c r="J1335" s="10"/>
      <c r="K1335" s="10"/>
      <c r="L1335" s="10"/>
      <c r="M1335" s="10"/>
      <c r="N1335" s="10"/>
      <c r="O1335" s="10"/>
      <c r="P1335" s="10"/>
      <c r="Q1335" s="10"/>
      <c r="R1335" s="10"/>
      <c r="S1335" s="10"/>
      <c r="T1335" s="10"/>
      <c r="U1335" s="10"/>
      <c r="V1335" s="10"/>
      <c r="W1335" s="10"/>
      <c r="X1335" s="10"/>
      <c r="Y1335" s="10"/>
      <c r="Z1335" s="10"/>
    </row>
    <row r="1336" spans="1:26" ht="12.75">
      <c r="A1336" s="10" t="str">
        <f ca="1">IFERROR(__xludf.DUMMYFUNCTION("""COMPUTED_VALUE"""),"Вера Петрова Бонева")</f>
        <v>Вера Петрова Бонева</v>
      </c>
      <c r="B1336" s="10" t="str">
        <f ca="1">IFERROR(__xludf.DUMMYFUNCTION("""COMPUTED_VALUE"""),"Книга")</f>
        <v>Книга</v>
      </c>
      <c r="C1336" s="10" t="str">
        <f ca="1">IFERROR(__xludf.DUMMYFUNCTION("""COMPUTED_VALUE"""),"Пандели Кисимов. Кратък очерк на въстанията на българите за освобождение през последните четири века до Освободителната война на 1877 година.")</f>
        <v>Пандели Кисимов. Кратък очерк на въстанията на българите за освобождение през последните четири века до Освободителната война на 1877 година.</v>
      </c>
      <c r="D1336" s="10">
        <f ca="1">IFERROR(__xludf.DUMMYFUNCTION("""COMPUTED_VALUE"""),1998)</f>
        <v>1998</v>
      </c>
      <c r="E1336" s="10" t="str">
        <f ca="1">IFERROR(__xludf.DUMMYFUNCTION("""COMPUTED_VALUE"""),"Шумен: Хелиос, 1998. 100 с.")</f>
        <v>Шумен: Хелиос, 1998. 100 с.</v>
      </c>
      <c r="F1336" s="10"/>
      <c r="G1336" s="10" t="str">
        <f ca="1">IFERROR(__xludf.DUMMYFUNCTION("""COMPUTED_VALUE"""),"Николай Станев Проданов")</f>
        <v>Николай Станев Проданов</v>
      </c>
      <c r="H1336" s="10"/>
      <c r="I1336" s="10"/>
      <c r="J1336" s="10"/>
      <c r="K1336" s="10"/>
      <c r="L1336" s="10"/>
      <c r="M1336" s="10"/>
      <c r="N1336" s="10"/>
      <c r="O1336" s="10"/>
      <c r="P1336" s="10"/>
      <c r="Q1336" s="10"/>
      <c r="R1336" s="10"/>
      <c r="S1336" s="10"/>
      <c r="T1336" s="10"/>
      <c r="U1336" s="10"/>
      <c r="V1336" s="10"/>
      <c r="W1336" s="10"/>
      <c r="X1336" s="10"/>
      <c r="Y1336" s="10"/>
      <c r="Z1336" s="10"/>
    </row>
    <row r="1337" spans="1:26" ht="12.75">
      <c r="A1337" s="10" t="str">
        <f ca="1">IFERROR(__xludf.DUMMYFUNCTION("""COMPUTED_VALUE"""),"Вера Петрова Бонева")</f>
        <v>Вера Петрова Бонева</v>
      </c>
      <c r="B1337" s="10" t="str">
        <f ca="1">IFERROR(__xludf.DUMMYFUNCTION("""COMPUTED_VALUE"""),"Статия в списания и поредици")</f>
        <v>Статия в списания и поредици</v>
      </c>
      <c r="C1337" s="10" t="str">
        <f ca="1">IFERROR(__xludf.DUMMYFUNCTION("""COMPUTED_VALUE"""),"Пандели Кисимов и българската 1878 година.")</f>
        <v>Пандели Кисимов и българската 1878 година.</v>
      </c>
      <c r="D1337" s="10">
        <f ca="1">IFERROR(__xludf.DUMMYFUNCTION("""COMPUTED_VALUE"""),1998)</f>
        <v>1998</v>
      </c>
      <c r="E1337" s="10" t="str">
        <f ca="1">IFERROR(__xludf.DUMMYFUNCTION("""COMPUTED_VALUE"""),"История, 1998, кн. 1, с. 38-43.")</f>
        <v>История, 1998, кн. 1, с. 38-43.</v>
      </c>
      <c r="F1337" s="10" t="str">
        <f ca="1">IFERROR(__xludf.DUMMYFUNCTION("""COMPUTED_VALUE"""),"Web of Science")</f>
        <v>Web of Science</v>
      </c>
      <c r="G1337" s="10"/>
      <c r="H1337" s="10"/>
      <c r="I1337" s="10"/>
      <c r="J1337" s="10"/>
      <c r="K1337" s="10"/>
      <c r="L1337" s="10"/>
      <c r="M1337" s="10"/>
      <c r="N1337" s="10"/>
      <c r="O1337" s="10"/>
      <c r="P1337" s="10"/>
      <c r="Q1337" s="10"/>
      <c r="R1337" s="10"/>
      <c r="S1337" s="10"/>
      <c r="T1337" s="10"/>
      <c r="U1337" s="10"/>
      <c r="V1337" s="10"/>
      <c r="W1337" s="10"/>
      <c r="X1337" s="10"/>
      <c r="Y1337" s="10"/>
      <c r="Z1337" s="10"/>
    </row>
    <row r="1338" spans="1:26" ht="12.75">
      <c r="A1338" s="10" t="str">
        <f ca="1">IFERROR(__xludf.DUMMYFUNCTION("""COMPUTED_VALUE"""),"Вера Петрова Бонева")</f>
        <v>Вера Петрова Бонева</v>
      </c>
      <c r="B1338" s="10" t="str">
        <f ca="1">IFERROR(__xludf.DUMMYFUNCTION("""COMPUTED_VALUE"""),"Статия в списания и поредици")</f>
        <v>Статия в списания и поредици</v>
      </c>
      <c r="C1338" s="10" t="str">
        <f ca="1">IFERROR(__xludf.DUMMYFUNCTION("""COMPUTED_VALUE"""),"Североамериканската държавност в пространството на възрожденските политически общувания.")</f>
        <v>Североамериканската държавност в пространството на възрожденските политически общувания.</v>
      </c>
      <c r="D1338" s="10">
        <f ca="1">IFERROR(__xludf.DUMMYFUNCTION("""COMPUTED_VALUE"""),1997)</f>
        <v>1997</v>
      </c>
      <c r="E1338" s="10" t="str">
        <f ca="1">IFERROR(__xludf.DUMMYFUNCTION("""COMPUTED_VALUE"""),"Любословие. Кн. 2. Шумен, 1997, с. 83-96.")</f>
        <v>Любословие. Кн. 2. Шумен, 1997, с. 83-96.</v>
      </c>
      <c r="F1338" s="10" t="str">
        <f ca="1">IFERROR(__xludf.DUMMYFUNCTION("""COMPUTED_VALUE"""),"РИНЦ, CEEOL")</f>
        <v>РИНЦ, CEEOL</v>
      </c>
      <c r="G1338" s="10"/>
      <c r="H1338" s="10"/>
      <c r="I1338" s="10"/>
      <c r="J1338" s="10"/>
      <c r="K1338" s="10"/>
      <c r="L1338" s="10"/>
      <c r="M1338" s="10"/>
      <c r="N1338" s="10"/>
      <c r="O1338" s="10"/>
      <c r="P1338" s="10"/>
      <c r="Q1338" s="10"/>
      <c r="R1338" s="10"/>
      <c r="S1338" s="10"/>
      <c r="T1338" s="10"/>
      <c r="U1338" s="10"/>
      <c r="V1338" s="10"/>
      <c r="W1338" s="10"/>
      <c r="X1338" s="10"/>
      <c r="Y1338" s="10"/>
      <c r="Z1338" s="10"/>
    </row>
    <row r="1339" spans="1:26" ht="12.75">
      <c r="A1339" s="10" t="str">
        <f ca="1">IFERROR(__xludf.DUMMYFUNCTION("""COMPUTED_VALUE"""),"Вера Петрова Бонева")</f>
        <v>Вера Петрова Бонева</v>
      </c>
      <c r="B1339" s="10" t="str">
        <f ca="1">IFERROR(__xludf.DUMMYFUNCTION("""COMPUTED_VALUE"""),"Статия в списания и поредици")</f>
        <v>Статия в списания и поредици</v>
      </c>
      <c r="C1339" s="10" t="str">
        <f ca="1">IFERROR(__xludf.DUMMYFUNCTION("""COMPUTED_VALUE"""),"Българската 1844 година.")</f>
        <v>Българската 1844 година.</v>
      </c>
      <c r="D1339" s="10">
        <f ca="1">IFERROR(__xludf.DUMMYFUNCTION("""COMPUTED_VALUE"""),1997)</f>
        <v>1997</v>
      </c>
      <c r="E1339" s="10" t="str">
        <f ca="1">IFERROR(__xludf.DUMMYFUNCTION("""COMPUTED_VALUE"""),"Родина, 1997, кн. 1/2, с. 137-147.")</f>
        <v>Родина, 1997, кн. 1/2, с. 137-147.</v>
      </c>
      <c r="F1339" s="10"/>
      <c r="G1339" s="10"/>
      <c r="H1339" s="10"/>
      <c r="I1339" s="10"/>
      <c r="J1339" s="10"/>
      <c r="K1339" s="10"/>
      <c r="L1339" s="10"/>
      <c r="M1339" s="10"/>
      <c r="N1339" s="10"/>
      <c r="O1339" s="10"/>
      <c r="P1339" s="10"/>
      <c r="Q1339" s="10"/>
      <c r="R1339" s="10"/>
      <c r="S1339" s="10"/>
      <c r="T1339" s="10"/>
      <c r="U1339" s="10"/>
      <c r="V1339" s="10"/>
      <c r="W1339" s="10"/>
      <c r="X1339" s="10"/>
      <c r="Y1339" s="10"/>
      <c r="Z1339" s="10"/>
    </row>
    <row r="1340" spans="1:26" ht="12.75">
      <c r="A1340" s="10" t="str">
        <f ca="1">IFERROR(__xludf.DUMMYFUNCTION("""COMPUTED_VALUE"""),"Вера Петрова Бонева")</f>
        <v>Вера Петрова Бонева</v>
      </c>
      <c r="B1340" s="10" t="str">
        <f ca="1">IFERROR(__xludf.DUMMYFUNCTION("""COMPUTED_VALUE"""),"Статия в списания и поредици")</f>
        <v>Статия в списания и поредици</v>
      </c>
      <c r="C1340" s="10" t="str">
        <f ca="1">IFERROR(__xludf.DUMMYFUNCTION("""COMPUTED_VALUE"""),"Пандели Кисимов в Бесарабия (1862-1865).")</f>
        <v>Пандели Кисимов в Бесарабия (1862-1865).</v>
      </c>
      <c r="D1340" s="10">
        <f ca="1">IFERROR(__xludf.DUMMYFUNCTION("""COMPUTED_VALUE"""),1997)</f>
        <v>1997</v>
      </c>
      <c r="E1340" s="10" t="str">
        <f ca="1">IFERROR(__xludf.DUMMYFUNCTION("""COMPUTED_VALUE"""),"Българите в Северното Причерноморие. Изследвания и материали. Т. VІ. В. Търново, 1997, с. 253-264.")</f>
        <v>Българите в Северното Причерноморие. Изследвания и материали. Т. VІ. В. Търново, 1997, с. 253-264.</v>
      </c>
      <c r="F1340" s="10"/>
      <c r="G1340" s="10"/>
      <c r="H1340" s="10"/>
      <c r="I1340" s="10"/>
      <c r="J1340" s="10"/>
      <c r="K1340" s="10"/>
      <c r="L1340" s="10"/>
      <c r="M1340" s="10"/>
      <c r="N1340" s="10"/>
      <c r="O1340" s="10"/>
      <c r="P1340" s="10"/>
      <c r="Q1340" s="10"/>
      <c r="R1340" s="10"/>
      <c r="S1340" s="10"/>
      <c r="T1340" s="10"/>
      <c r="U1340" s="10"/>
      <c r="V1340" s="10"/>
      <c r="W1340" s="10"/>
      <c r="X1340" s="10"/>
      <c r="Y1340" s="10"/>
      <c r="Z1340" s="10"/>
    </row>
    <row r="1341" spans="1:26" ht="12.75">
      <c r="A1341" s="10" t="str">
        <f ca="1">IFERROR(__xludf.DUMMYFUNCTION("""COMPUTED_VALUE"""),"Вера Петрова Бонева")</f>
        <v>Вера Петрова Бонева</v>
      </c>
      <c r="B1341" s="10" t="str">
        <f ca="1">IFERROR(__xludf.DUMMYFUNCTION("""COMPUTED_VALUE"""),"Статия в списания и поредици")</f>
        <v>Статия в списания и поредици</v>
      </c>
      <c r="C1341" s="10" t="str">
        <f ca="1">IFERROR(__xludf.DUMMYFUNCTION("""COMPUTED_VALUE"""),"Американските образователни стандарти и развитието на българското девическо образование през Възраждането.")</f>
        <v>Американските образователни стандарти и развитието на българското девическо образование през Възраждането.</v>
      </c>
      <c r="D1341" s="10">
        <f ca="1">IFERROR(__xludf.DUMMYFUNCTION("""COMPUTED_VALUE"""),1997)</f>
        <v>1997</v>
      </c>
      <c r="E1341" s="10" t="str">
        <f ca="1">IFERROR(__xludf.DUMMYFUNCTION("""COMPUTED_VALUE"""),"Педагогика, 1997, кн. 4, с. 90-96.")</f>
        <v>Педагогика, 1997, кн. 4, с. 90-96.</v>
      </c>
      <c r="F1341" s="10" t="str">
        <f ca="1">IFERROR(__xludf.DUMMYFUNCTION("""COMPUTED_VALUE"""),"Web of Science")</f>
        <v>Web of Science</v>
      </c>
      <c r="G1341" s="10"/>
      <c r="H1341" s="10"/>
      <c r="I1341" s="10"/>
      <c r="J1341" s="10"/>
      <c r="K1341" s="10"/>
      <c r="L1341" s="10"/>
      <c r="M1341" s="10"/>
      <c r="N1341" s="10"/>
      <c r="O1341" s="10"/>
      <c r="P1341" s="10"/>
      <c r="Q1341" s="10"/>
      <c r="R1341" s="10"/>
      <c r="S1341" s="10"/>
      <c r="T1341" s="10"/>
      <c r="U1341" s="10"/>
      <c r="V1341" s="10"/>
      <c r="W1341" s="10"/>
      <c r="X1341" s="10"/>
      <c r="Y1341" s="10"/>
      <c r="Z1341" s="10"/>
    </row>
    <row r="1342" spans="1:26" ht="12.75">
      <c r="A1342" s="10" t="str">
        <f ca="1">IFERROR(__xludf.DUMMYFUNCTION("""COMPUTED_VALUE"""),"Вера Петрова Бонева")</f>
        <v>Вера Петрова Бонева</v>
      </c>
      <c r="B1342" s="10" t="str">
        <f ca="1">IFERROR(__xludf.DUMMYFUNCTION("""COMPUTED_VALUE"""),"Статия в списания и поредици")</f>
        <v>Статия в списания и поредици</v>
      </c>
      <c r="C1342" s="10" t="str">
        <f ca="1">IFERROR(__xludf.DUMMYFUNCTION("""COMPUTED_VALUE"""),"Княз Стефан Богориди — един българин от другата страна на Високата порта.")</f>
        <v>Княз Стефан Богориди — един българин от другата страна на Високата порта.</v>
      </c>
      <c r="D1342" s="10">
        <f ca="1">IFERROR(__xludf.DUMMYFUNCTION("""COMPUTED_VALUE"""),1997)</f>
        <v>1997</v>
      </c>
      <c r="E1342" s="10" t="str">
        <f ca="1">IFERROR(__xludf.DUMMYFUNCTION("""COMPUTED_VALUE"""),"История, 1997, кн. 3/4, с. 72-78.")</f>
        <v>История, 1997, кн. 3/4, с. 72-78.</v>
      </c>
      <c r="F1342" s="10" t="str">
        <f ca="1">IFERROR(__xludf.DUMMYFUNCTION("""COMPUTED_VALUE"""),"Web of Science")</f>
        <v>Web of Science</v>
      </c>
      <c r="G1342" s="10"/>
      <c r="H1342" s="10"/>
      <c r="I1342" s="10"/>
      <c r="J1342" s="10"/>
      <c r="K1342" s="10"/>
      <c r="L1342" s="10"/>
      <c r="M1342" s="10"/>
      <c r="N1342" s="10"/>
      <c r="O1342" s="10"/>
      <c r="P1342" s="10"/>
      <c r="Q1342" s="10"/>
      <c r="R1342" s="10"/>
      <c r="S1342" s="10"/>
      <c r="T1342" s="10"/>
      <c r="U1342" s="10"/>
      <c r="V1342" s="10"/>
      <c r="W1342" s="10"/>
      <c r="X1342" s="10"/>
      <c r="Y1342" s="10"/>
      <c r="Z1342" s="10"/>
    </row>
    <row r="1343" spans="1:26" ht="12.75">
      <c r="A1343" s="10" t="str">
        <f ca="1">IFERROR(__xludf.DUMMYFUNCTION("""COMPUTED_VALUE"""),"Вера Петрова Бонева")</f>
        <v>Вера Петрова Бонева</v>
      </c>
      <c r="B1343" s="10" t="str">
        <f ca="1">IFERROR(__xludf.DUMMYFUNCTION("""COMPUTED_VALUE"""),"Статия в списания и поредици")</f>
        <v>Статия в списания и поредици</v>
      </c>
      <c r="C1343" s="10" t="str">
        <f ca="1">IFERROR(__xludf.DUMMYFUNCTION("""COMPUTED_VALUE"""),"Мемоарът на Александър Екзарх до Великите сили от 23 януари 1843 година.")</f>
        <v>Мемоарът на Александър Екзарх до Великите сили от 23 януари 1843 година.</v>
      </c>
      <c r="D1343" s="10">
        <f ca="1">IFERROR(__xludf.DUMMYFUNCTION("""COMPUTED_VALUE"""),1997)</f>
        <v>1997</v>
      </c>
      <c r="E1343" s="10" t="str">
        <f ca="1">IFERROR(__xludf.DUMMYFUNCTION("""COMPUTED_VALUE"""),"Исторически преглед, 1997, кн. 2, с. 58-69.")</f>
        <v>Исторически преглед, 1997, кн. 2, с. 58-69.</v>
      </c>
      <c r="F1343" s="10" t="str">
        <f ca="1">IFERROR(__xludf.DUMMYFUNCTION("""COMPUTED_VALUE"""),"РИНЦ, CEEOL, EBSCO")</f>
        <v>РИНЦ, CEEOL, EBSCO</v>
      </c>
      <c r="G1343" s="10"/>
      <c r="H1343" s="10"/>
      <c r="I1343" s="10"/>
      <c r="J1343" s="10"/>
      <c r="K1343" s="10"/>
      <c r="L1343" s="10"/>
      <c r="M1343" s="10"/>
      <c r="N1343" s="10"/>
      <c r="O1343" s="10"/>
      <c r="P1343" s="10"/>
      <c r="Q1343" s="10"/>
      <c r="R1343" s="10"/>
      <c r="S1343" s="10"/>
      <c r="T1343" s="10"/>
      <c r="U1343" s="10"/>
      <c r="V1343" s="10"/>
      <c r="W1343" s="10"/>
      <c r="X1343" s="10"/>
      <c r="Y1343" s="10"/>
      <c r="Z1343" s="10"/>
    </row>
    <row r="1344" spans="1:26" ht="12.75">
      <c r="A1344" s="10" t="str">
        <f ca="1">IFERROR(__xludf.DUMMYFUNCTION("""COMPUTED_VALUE"""),"Вера Петрова Бонева")</f>
        <v>Вера Петрова Бонева</v>
      </c>
      <c r="B1344" s="10" t="str">
        <f ca="1">IFERROR(__xludf.DUMMYFUNCTION("""COMPUTED_VALUE"""),"Статия в списания и поредици")</f>
        <v>Статия в списания и поредици</v>
      </c>
      <c r="C1344" s="10" t="str">
        <f ca="1">IFERROR(__xludf.DUMMYFUNCTION("""COMPUTED_VALUE"""),"Пандели Кисимов за себе си през 1898 година.")</f>
        <v>Пандели Кисимов за себе си през 1898 година.</v>
      </c>
      <c r="D1344" s="10">
        <f ca="1">IFERROR(__xludf.DUMMYFUNCTION("""COMPUTED_VALUE"""),1996)</f>
        <v>1996</v>
      </c>
      <c r="E1344" s="10" t="str">
        <f ca="1">IFERROR(__xludf.DUMMYFUNCTION("""COMPUTED_VALUE"""),"Архив за поселищни проучвания, 1996, кн. 3-4, с. 164-172.")</f>
        <v>Архив за поселищни проучвания, 1996, кн. 3-4, с. 164-172.</v>
      </c>
      <c r="F1344" s="10"/>
      <c r="G1344" s="10"/>
      <c r="H1344" s="10"/>
      <c r="I1344" s="10"/>
      <c r="J1344" s="10"/>
      <c r="K1344" s="10"/>
      <c r="L1344" s="10"/>
      <c r="M1344" s="10"/>
      <c r="N1344" s="10"/>
      <c r="O1344" s="10"/>
      <c r="P1344" s="10"/>
      <c r="Q1344" s="10"/>
      <c r="R1344" s="10"/>
      <c r="S1344" s="10"/>
      <c r="T1344" s="10"/>
      <c r="U1344" s="10"/>
      <c r="V1344" s="10"/>
      <c r="W1344" s="10"/>
      <c r="X1344" s="10"/>
      <c r="Y1344" s="10"/>
      <c r="Z1344" s="10"/>
    </row>
    <row r="1345" spans="1:26" ht="12.75">
      <c r="A1345" s="10" t="str">
        <f ca="1">IFERROR(__xludf.DUMMYFUNCTION("""COMPUTED_VALUE"""),"Вера Петрова Бонева")</f>
        <v>Вера Петрова Бонева</v>
      </c>
      <c r="B1345" s="10" t="str">
        <f ca="1">IFERROR(__xludf.DUMMYFUNCTION("""COMPUTED_VALUE"""),"Доклад от конференция")</f>
        <v>Доклад от конференция</v>
      </c>
      <c r="C1345" s="10" t="str">
        <f ca="1">IFERROR(__xludf.DUMMYFUNCTION("""COMPUTED_VALUE"""),"Другият образ на българския политически консерватизъм (1869-1879 г.)")</f>
        <v>Другият образ на българския политически консерватизъм (1869-1879 г.)</v>
      </c>
      <c r="D1345" s="10">
        <f ca="1">IFERROR(__xludf.DUMMYFUNCTION("""COMPUTED_VALUE"""),1996)</f>
        <v>1996</v>
      </c>
      <c r="E1345" s="10" t="str">
        <f ca="1">IFERROR(__xludf.DUMMYFUNCTION("""COMPUTED_VALUE"""),"Другият в историята. [Сборник от научна конференция на Историческия факултет на СУ ""Св. Климент Охридски""]. Кюстендил, 1996, с. 53-69.")</f>
        <v>Другият в историята. [Сборник от научна конференция на Историческия факултет на СУ "Св. Климент Охридски"]. Кюстендил, 1996, с. 53-69.</v>
      </c>
      <c r="F1345" s="10"/>
      <c r="G1345" s="10"/>
      <c r="H1345" s="10"/>
      <c r="I1345" s="10"/>
      <c r="J1345" s="10"/>
      <c r="K1345" s="10"/>
      <c r="L1345" s="10"/>
      <c r="M1345" s="10"/>
      <c r="N1345" s="10"/>
      <c r="O1345" s="10"/>
      <c r="P1345" s="10"/>
      <c r="Q1345" s="10"/>
      <c r="R1345" s="10"/>
      <c r="S1345" s="10"/>
      <c r="T1345" s="10"/>
      <c r="U1345" s="10"/>
      <c r="V1345" s="10"/>
      <c r="W1345" s="10"/>
      <c r="X1345" s="10"/>
      <c r="Y1345" s="10"/>
      <c r="Z1345" s="10"/>
    </row>
    <row r="1346" spans="1:26" ht="12.75">
      <c r="A1346" s="10" t="str">
        <f ca="1">IFERROR(__xludf.DUMMYFUNCTION("""COMPUTED_VALUE"""),"Вера Петрова Бонева")</f>
        <v>Вера Петрова Бонева</v>
      </c>
      <c r="B1346" s="10" t="str">
        <f ca="1">IFERROR(__xludf.DUMMYFUNCTION("""COMPUTED_VALUE"""),"Статия в списания и поредици")</f>
        <v>Статия в списания и поредици</v>
      </c>
      <c r="C1346" s="10" t="str">
        <f ca="1">IFERROR(__xludf.DUMMYFUNCTION("""COMPUTED_VALUE"""),"Иван Касабов като теоретик на възрожденския политически национализъм.")</f>
        <v>Иван Касабов като теоретик на възрожденския политически национализъм.</v>
      </c>
      <c r="D1346" s="10">
        <f ca="1">IFERROR(__xludf.DUMMYFUNCTION("""COMPUTED_VALUE"""),1996)</f>
        <v>1996</v>
      </c>
      <c r="E1346" s="10" t="str">
        <f ca="1">IFERROR(__xludf.DUMMYFUNCTION("""COMPUTED_VALUE"""),"История, 1996, кн. 1, с. 34-41.")</f>
        <v>История, 1996, кн. 1, с. 34-41.</v>
      </c>
      <c r="F1346" s="10" t="str">
        <f ca="1">IFERROR(__xludf.DUMMYFUNCTION("""COMPUTED_VALUE"""),"Web of Science")</f>
        <v>Web of Science</v>
      </c>
      <c r="G1346" s="10"/>
      <c r="H1346" s="10"/>
      <c r="I1346" s="10"/>
      <c r="J1346" s="10"/>
      <c r="K1346" s="10"/>
      <c r="L1346" s="10"/>
      <c r="M1346" s="10"/>
      <c r="N1346" s="10"/>
      <c r="O1346" s="10"/>
      <c r="P1346" s="10"/>
      <c r="Q1346" s="10"/>
      <c r="R1346" s="10"/>
      <c r="S1346" s="10"/>
      <c r="T1346" s="10"/>
      <c r="U1346" s="10"/>
      <c r="V1346" s="10"/>
      <c r="W1346" s="10"/>
      <c r="X1346" s="10"/>
      <c r="Y1346" s="10"/>
      <c r="Z1346" s="10"/>
    </row>
    <row r="1347" spans="1:26" ht="12.75">
      <c r="A1347" s="10" t="str">
        <f ca="1">IFERROR(__xludf.DUMMYFUNCTION("""COMPUTED_VALUE"""),"Вера Петрова Бонева")</f>
        <v>Вера Петрова Бонева</v>
      </c>
      <c r="B1347" s="10" t="str">
        <f ca="1">IFERROR(__xludf.DUMMYFUNCTION("""COMPUTED_VALUE"""),"Статия в списания и поредици")</f>
        <v>Статия в списания и поредици</v>
      </c>
      <c r="C1347" s="10" t="str">
        <f ca="1">IFERROR(__xludf.DUMMYFUNCTION("""COMPUTED_VALUE"""),"Властта на словото във вихъра на въстанието. (Революционните прокламации на българската 1876 година).")</f>
        <v>Властта на словото във вихъра на въстанието. (Революционните прокламации на българската 1876 година).</v>
      </c>
      <c r="D1347" s="10">
        <f ca="1">IFERROR(__xludf.DUMMYFUNCTION("""COMPUTED_VALUE"""),1996)</f>
        <v>1996</v>
      </c>
      <c r="E1347" s="10" t="str">
        <f ca="1">IFERROR(__xludf.DUMMYFUNCTION("""COMPUTED_VALUE"""),"списание Летописи, 1996, кн. 9-10, с. 187-196.")</f>
        <v>списание Летописи, 1996, кн. 9-10, с. 187-196.</v>
      </c>
      <c r="F1347" s="10"/>
      <c r="G1347" s="10"/>
      <c r="H1347" s="10"/>
      <c r="I1347" s="10"/>
      <c r="J1347" s="10"/>
      <c r="K1347" s="10"/>
      <c r="L1347" s="10"/>
      <c r="M1347" s="10"/>
      <c r="N1347" s="10"/>
      <c r="O1347" s="10"/>
      <c r="P1347" s="10"/>
      <c r="Q1347" s="10"/>
      <c r="R1347" s="10"/>
      <c r="S1347" s="10"/>
      <c r="T1347" s="10"/>
      <c r="U1347" s="10"/>
      <c r="V1347" s="10"/>
      <c r="W1347" s="10"/>
      <c r="X1347" s="10"/>
      <c r="Y1347" s="10"/>
      <c r="Z1347" s="10"/>
    </row>
    <row r="1348" spans="1:26" ht="12.75">
      <c r="A1348" s="10" t="str">
        <f ca="1">IFERROR(__xludf.DUMMYFUNCTION("""COMPUTED_VALUE"""),"Вера Петрова Бонева")</f>
        <v>Вера Петрова Бонева</v>
      </c>
      <c r="B1348" s="10" t="str">
        <f ca="1">IFERROR(__xludf.DUMMYFUNCTION("""COMPUTED_VALUE"""),"Статия в списания и поредици")</f>
        <v>Статия в списания и поредици</v>
      </c>
      <c r="C1348" s="10" t="str">
        <f ca="1">IFERROR(__xludf.DUMMYFUNCTION("""COMPUTED_VALUE"""),"Американската мечта в българското възрожденско общество. (Литературно-исторически измерения).")</f>
        <v>Американската мечта в българското възрожденско общество. (Литературно-исторически измерения).</v>
      </c>
      <c r="D1348" s="10">
        <f ca="1">IFERROR(__xludf.DUMMYFUNCTION("""COMPUTED_VALUE"""),1996)</f>
        <v>1996</v>
      </c>
      <c r="E1348" s="10" t="str">
        <f ca="1">IFERROR(__xludf.DUMMYFUNCTION("""COMPUTED_VALUE"""),"Литературна мисъл, 1995/1996, кн. 4-5, с. 65-75.")</f>
        <v>Литературна мисъл, 1995/1996, кн. 4-5, с. 65-75.</v>
      </c>
      <c r="F1348" s="10" t="str">
        <f ca="1">IFERROR(__xludf.DUMMYFUNCTION("""COMPUTED_VALUE"""),"ЕRIH (European Reference Index for the Humanities)
 ESF Standing Committee for the Humanities")</f>
        <v>ЕRIH (European Reference Index for the Humanities)
 ESF Standing Committee for the Humanities</v>
      </c>
      <c r="G1348" s="10"/>
      <c r="H1348" s="10"/>
      <c r="I1348" s="10"/>
      <c r="J1348" s="10"/>
      <c r="K1348" s="10"/>
      <c r="L1348" s="10"/>
      <c r="M1348" s="10"/>
      <c r="N1348" s="10"/>
      <c r="O1348" s="10"/>
      <c r="P1348" s="10"/>
      <c r="Q1348" s="10"/>
      <c r="R1348" s="10"/>
      <c r="S1348" s="10"/>
      <c r="T1348" s="10"/>
      <c r="U1348" s="10"/>
      <c r="V1348" s="10"/>
      <c r="W1348" s="10"/>
      <c r="X1348" s="10"/>
      <c r="Y1348" s="10"/>
      <c r="Z1348" s="10"/>
    </row>
    <row r="1349" spans="1:26" ht="12.75">
      <c r="A1349" s="10" t="str">
        <f ca="1">IFERROR(__xludf.DUMMYFUNCTION("""COMPUTED_VALUE"""),"Вера Петрова Бонева")</f>
        <v>Вера Петрова Бонева</v>
      </c>
      <c r="B1349" s="10" t="str">
        <f ca="1">IFERROR(__xludf.DUMMYFUNCTION("""COMPUTED_VALUE"""),"Статия в списания и поредици")</f>
        <v>Статия в списания и поредици</v>
      </c>
      <c r="C1349" s="10" t="str">
        <f ca="1">IFERROR(__xludf.DUMMYFUNCTION("""COMPUTED_VALUE"""),"Прошението на цариградските българи за църковно-народен суверенитет от 1856 година и еволюцията на възрожденския политически национализъм.")</f>
        <v>Прошението на цариградските българи за църковно-народен суверенитет от 1856 година и еволюцията на възрожденския политически национализъм.</v>
      </c>
      <c r="D1349" s="10">
        <f ca="1">IFERROR(__xludf.DUMMYFUNCTION("""COMPUTED_VALUE"""),1996)</f>
        <v>1996</v>
      </c>
      <c r="E1349" s="10" t="str">
        <f ca="1">IFERROR(__xludf.DUMMYFUNCTION("""COMPUTED_VALUE"""),"Духовна култура, 1996, кн. 5, с. 19-25.")</f>
        <v>Духовна култура, 1996, кн. 5, с. 19-25.</v>
      </c>
      <c r="F1349" s="10"/>
      <c r="G1349" s="10"/>
      <c r="H1349" s="10"/>
      <c r="I1349" s="10"/>
      <c r="J1349" s="10"/>
      <c r="K1349" s="10"/>
      <c r="L1349" s="10"/>
      <c r="M1349" s="10"/>
      <c r="N1349" s="10"/>
      <c r="O1349" s="10"/>
      <c r="P1349" s="10"/>
      <c r="Q1349" s="10"/>
      <c r="R1349" s="10"/>
      <c r="S1349" s="10"/>
      <c r="T1349" s="10"/>
      <c r="U1349" s="10"/>
      <c r="V1349" s="10"/>
      <c r="W1349" s="10"/>
      <c r="X1349" s="10"/>
      <c r="Y1349" s="10"/>
      <c r="Z1349" s="10"/>
    </row>
    <row r="1350" spans="1:26" ht="12.75">
      <c r="A1350" s="10" t="str">
        <f ca="1">IFERROR(__xludf.DUMMYFUNCTION("""COMPUTED_VALUE"""),"Вера Петрова Бонева")</f>
        <v>Вера Петрова Бонева</v>
      </c>
      <c r="B1350" s="10" t="str">
        <f ca="1">IFERROR(__xludf.DUMMYFUNCTION("""COMPUTED_VALUE"""),"Статия в списания и поредици")</f>
        <v>Статия в списания и поредици</v>
      </c>
      <c r="C1350" s="10" t="str">
        <f ca="1">IFERROR(__xludf.DUMMYFUNCTION("""COMPUTED_VALUE"""),"Гаврил Кръстевич и Българското книжовно дружество.")</f>
        <v>Гаврил Кръстевич и Българското книжовно дружество.</v>
      </c>
      <c r="D1350" s="10">
        <f ca="1">IFERROR(__xludf.DUMMYFUNCTION("""COMPUTED_VALUE"""),1995)</f>
        <v>1995</v>
      </c>
      <c r="E1350" s="10" t="str">
        <f ca="1">IFERROR(__xludf.DUMMYFUNCTION("""COMPUTED_VALUE"""),"Списание на Българската академия на науките, 1995, кн. 2, с. 67-73.")</f>
        <v>Списание на Българската академия на науките, 1995, кн. 2, с. 67-73.</v>
      </c>
      <c r="F1350" s="10"/>
      <c r="G1350" s="10"/>
      <c r="H1350" s="10"/>
      <c r="I1350" s="10"/>
      <c r="J1350" s="10"/>
      <c r="K1350" s="10"/>
      <c r="L1350" s="10"/>
      <c r="M1350" s="10"/>
      <c r="N1350" s="10"/>
      <c r="O1350" s="10"/>
      <c r="P1350" s="10"/>
      <c r="Q1350" s="10"/>
      <c r="R1350" s="10"/>
      <c r="S1350" s="10"/>
      <c r="T1350" s="10"/>
      <c r="U1350" s="10"/>
      <c r="V1350" s="10"/>
      <c r="W1350" s="10"/>
      <c r="X1350" s="10"/>
      <c r="Y1350" s="10"/>
      <c r="Z1350" s="10"/>
    </row>
    <row r="1351" spans="1:26" ht="12.75">
      <c r="A1351" s="10" t="str">
        <f ca="1">IFERROR(__xludf.DUMMYFUNCTION("""COMPUTED_VALUE"""),"Вера Петрова Бонева")</f>
        <v>Вера Петрова Бонева</v>
      </c>
      <c r="B1351" s="10" t="str">
        <f ca="1">IFERROR(__xludf.DUMMYFUNCTION("""COMPUTED_VALUE"""),"Студия")</f>
        <v>Студия</v>
      </c>
      <c r="C1351" s="10" t="str">
        <f ca="1">IFERROR(__xludf.DUMMYFUNCTION("""COMPUTED_VALUE"""),"Историческият образ на Раковски в творчеството на Михаил Арнаудов.")</f>
        <v>Историческият образ на Раковски в творчеството на Михаил Арнаудов.</v>
      </c>
      <c r="D1351" s="10">
        <f ca="1">IFERROR(__xludf.DUMMYFUNCTION("""COMPUTED_VALUE"""),1995)</f>
        <v>1995</v>
      </c>
      <c r="E1351" s="10" t="str">
        <f ca="1">IFERROR(__xludf.DUMMYFUNCTION("""COMPUTED_VALUE"""),"Демократически преглед, 1995, кн. 2, с. 259-271.")</f>
        <v>Демократически преглед, 1995, кн. 2, с. 259-271.</v>
      </c>
      <c r="F1351" s="10"/>
      <c r="G1351" s="10"/>
      <c r="H1351" s="10"/>
      <c r="I1351" s="10"/>
      <c r="J1351" s="10"/>
      <c r="K1351" s="10"/>
      <c r="L1351" s="10"/>
      <c r="M1351" s="10"/>
      <c r="N1351" s="10"/>
      <c r="O1351" s="10"/>
      <c r="P1351" s="10"/>
      <c r="Q1351" s="10"/>
      <c r="R1351" s="10"/>
      <c r="S1351" s="10"/>
      <c r="T1351" s="10"/>
      <c r="U1351" s="10"/>
      <c r="V1351" s="10"/>
      <c r="W1351" s="10"/>
      <c r="X1351" s="10"/>
      <c r="Y1351" s="10"/>
      <c r="Z1351" s="10"/>
    </row>
    <row r="1352" spans="1:26" ht="12.75">
      <c r="A1352" s="10" t="str">
        <f ca="1">IFERROR(__xludf.DUMMYFUNCTION("""COMPUTED_VALUE"""),"Вера Петрова Бонева")</f>
        <v>Вера Петрова Бонева</v>
      </c>
      <c r="B1352" s="10" t="str">
        <f ca="1">IFERROR(__xludf.DUMMYFUNCTION("""COMPUTED_VALUE"""),"Статия в списания и поредици")</f>
        <v>Статия в списания и поредици</v>
      </c>
      <c r="C1352" s="10" t="str">
        <f ca="1">IFERROR(__xludf.DUMMYFUNCTION("""COMPUTED_VALUE"""),"Гаврил Кръстевич и Българският 6-ти септември. (Размисли за това как Съединението разпъна един турски паша на кръста на неговото българство).")</f>
        <v>Гаврил Кръстевич и Българският 6-ти септември. (Размисли за това как Съединението разпъна един турски паша на кръста на неговото българство).</v>
      </c>
      <c r="D1352" s="10">
        <f ca="1">IFERROR(__xludf.DUMMYFUNCTION("""COMPUTED_VALUE"""),1995)</f>
        <v>1995</v>
      </c>
      <c r="E1352" s="10" t="str">
        <f ca="1">IFERROR(__xludf.DUMMYFUNCTION("""COMPUTED_VALUE"""),"Съединението на България от 1885 година и националнообединителната програма на българите. Пловдив, Исторически музей, 1995, с. 116-122.")</f>
        <v>Съединението на България от 1885 година и националнообединителната програма на българите. Пловдив, Исторически музей, 1995, с. 116-122.</v>
      </c>
      <c r="F1352" s="10"/>
      <c r="G1352" s="10"/>
      <c r="H1352" s="10"/>
      <c r="I1352" s="10"/>
      <c r="J1352" s="10"/>
      <c r="K1352" s="10"/>
      <c r="L1352" s="10"/>
      <c r="M1352" s="10"/>
      <c r="N1352" s="10"/>
      <c r="O1352" s="10"/>
      <c r="P1352" s="10"/>
      <c r="Q1352" s="10"/>
      <c r="R1352" s="10"/>
      <c r="S1352" s="10"/>
      <c r="T1352" s="10"/>
      <c r="U1352" s="10"/>
      <c r="V1352" s="10"/>
      <c r="W1352" s="10"/>
      <c r="X1352" s="10"/>
      <c r="Y1352" s="10"/>
      <c r="Z1352" s="10"/>
    </row>
    <row r="1353" spans="1:26" ht="12.75">
      <c r="A1353" s="10" t="str">
        <f ca="1">IFERROR(__xludf.DUMMYFUNCTION("""COMPUTED_VALUE"""),"Вера Петрова Бонева")</f>
        <v>Вера Петрова Бонева</v>
      </c>
      <c r="B1353" s="10" t="str">
        <f ca="1">IFERROR(__xludf.DUMMYFUNCTION("""COMPUTED_VALUE"""),"Статия в списания и поредици")</f>
        <v>Статия в списания и поредици</v>
      </c>
      <c r="C1353" s="10" t="str">
        <f ca="1">IFERROR(__xludf.DUMMYFUNCTION("""COMPUTED_VALUE"""),"Гаврил Кръстевич — един френски възпитаник в Ориента.")</f>
        <v>Гаврил Кръстевич — един френски възпитаник в Ориента.</v>
      </c>
      <c r="D1353" s="10">
        <f ca="1">IFERROR(__xludf.DUMMYFUNCTION("""COMPUTED_VALUE"""),1994)</f>
        <v>1994</v>
      </c>
      <c r="E1353" s="10" t="str">
        <f ca="1">IFERROR(__xludf.DUMMYFUNCTION("""COMPUTED_VALUE"""),"La langue et la litterature francaise dans la civilisation mondiale. V. Tirnovo, 1994, с. 451-459. Издателство на Великотърновския университет")</f>
        <v>La langue et la litterature francaise dans la civilisation mondiale. V. Tirnovo, 1994, с. 451-459. Издателство на Великотърновския университет</v>
      </c>
      <c r="F1353" s="10"/>
      <c r="G1353" s="10"/>
      <c r="H1353" s="10"/>
      <c r="I1353" s="10"/>
      <c r="J1353" s="10"/>
      <c r="K1353" s="10"/>
      <c r="L1353" s="10"/>
      <c r="M1353" s="10"/>
      <c r="N1353" s="10"/>
      <c r="O1353" s="10"/>
      <c r="P1353" s="10"/>
      <c r="Q1353" s="10"/>
      <c r="R1353" s="10"/>
      <c r="S1353" s="10"/>
      <c r="T1353" s="10"/>
      <c r="U1353" s="10"/>
      <c r="V1353" s="10"/>
      <c r="W1353" s="10"/>
      <c r="X1353" s="10"/>
      <c r="Y1353" s="10"/>
      <c r="Z1353" s="10"/>
    </row>
    <row r="1354" spans="1:26" ht="12.75">
      <c r="A1354" s="10" t="str">
        <f ca="1">IFERROR(__xludf.DUMMYFUNCTION("""COMPUTED_VALUE"""),"Вера Петрова Бонева")</f>
        <v>Вера Петрова Бонева</v>
      </c>
      <c r="B1354" s="10" t="str">
        <f ca="1">IFERROR(__xludf.DUMMYFUNCTION("""COMPUTED_VALUE"""),"Студия")</f>
        <v>Студия</v>
      </c>
      <c r="C1354" s="10" t="str">
        <f ca="1">IFERROR(__xludf.DUMMYFUNCTION("""COMPUTED_VALUE"""),"Историкът Гаврил Кръстевич.")</f>
        <v>Историкът Гаврил Кръстевич.</v>
      </c>
      <c r="D1354" s="10">
        <f ca="1">IFERROR(__xludf.DUMMYFUNCTION("""COMPUTED_VALUE"""),1993)</f>
        <v>1993</v>
      </c>
      <c r="E1354" s="10" t="str">
        <f ca="1">IFERROR(__xludf.DUMMYFUNCTION("""COMPUTED_VALUE"""),"Исторически преглед, 1993, кн. 4/5, с. 182-209.")</f>
        <v>Исторически преглед, 1993, кн. 4/5, с. 182-209.</v>
      </c>
      <c r="F1354" s="10" t="str">
        <f ca="1">IFERROR(__xludf.DUMMYFUNCTION("""COMPUTED_VALUE"""),"РИНЦ, CEEOL, EBSCO")</f>
        <v>РИНЦ, CEEOL, EBSCO</v>
      </c>
      <c r="G1354" s="10"/>
      <c r="H1354" s="10"/>
      <c r="I1354" s="10"/>
      <c r="J1354" s="10"/>
      <c r="K1354" s="10"/>
      <c r="L1354" s="10"/>
      <c r="M1354" s="10"/>
      <c r="N1354" s="10"/>
      <c r="O1354" s="10"/>
      <c r="P1354" s="10"/>
      <c r="Q1354" s="10"/>
      <c r="R1354" s="10"/>
      <c r="S1354" s="10"/>
      <c r="T1354" s="10"/>
      <c r="U1354" s="10"/>
      <c r="V1354" s="10"/>
      <c r="W1354" s="10"/>
      <c r="X1354" s="10"/>
      <c r="Y1354" s="10"/>
      <c r="Z1354" s="10"/>
    </row>
    <row r="1355" spans="1:26" ht="12.75">
      <c r="A1355" s="10" t="str">
        <f ca="1">IFERROR(__xludf.DUMMYFUNCTION("""COMPUTED_VALUE"""),"Вера Петрова Бонева")</f>
        <v>Вера Петрова Бонева</v>
      </c>
      <c r="B1355" s="10" t="str">
        <f ca="1">IFERROR(__xludf.DUMMYFUNCTION("""COMPUTED_VALUE"""),"Книга")</f>
        <v>Книга</v>
      </c>
      <c r="C1355" s="10" t="str">
        <f ca="1">IFERROR(__xludf.DUMMYFUNCTION("""COMPUTED_VALUE"""),"Българите пред Европа през 1869 година.")</f>
        <v>Българите пред Европа през 1869 година.</v>
      </c>
      <c r="D1355" s="10">
        <f ca="1">IFERROR(__xludf.DUMMYFUNCTION("""COMPUTED_VALUE"""),1993)</f>
        <v>1993</v>
      </c>
      <c r="E1355" s="10" t="str">
        <f ca="1">IFERROR(__xludf.DUMMYFUNCTION("""COMPUTED_VALUE"""),"Велико Търново: Фабер, 1993. 96 с.")</f>
        <v>Велико Търново: Фабер, 1993. 96 с.</v>
      </c>
      <c r="F1355" s="10"/>
      <c r="G1355" s="10" t="str">
        <f ca="1">IFERROR(__xludf.DUMMYFUNCTION("""COMPUTED_VALUE"""),"Петко Ст. Петков")</f>
        <v>Петко Ст. Петков</v>
      </c>
      <c r="H1355" s="10"/>
      <c r="I1355" s="10"/>
      <c r="J1355" s="10"/>
      <c r="K1355" s="10"/>
      <c r="L1355" s="10"/>
      <c r="M1355" s="10"/>
      <c r="N1355" s="10"/>
      <c r="O1355" s="10"/>
      <c r="P1355" s="10"/>
      <c r="Q1355" s="10"/>
      <c r="R1355" s="10"/>
      <c r="S1355" s="10"/>
      <c r="T1355" s="10"/>
      <c r="U1355" s="10"/>
      <c r="V1355" s="10"/>
      <c r="W1355" s="10"/>
      <c r="X1355" s="10"/>
      <c r="Y1355" s="10"/>
      <c r="Z1355" s="10"/>
    </row>
    <row r="1356" spans="1:26" ht="12.75">
      <c r="A1356" s="10" t="str">
        <f ca="1">IFERROR(__xludf.DUMMYFUNCTION("""COMPUTED_VALUE"""),"Вера Петрова Бонева")</f>
        <v>Вера Петрова Бонева</v>
      </c>
      <c r="B1356" s="10" t="str">
        <f ca="1">IFERROR(__xludf.DUMMYFUNCTION("""COMPUTED_VALUE"""),"Статия в списания и поредици")</f>
        <v>Статия в списания и поредици</v>
      </c>
      <c r="C1356" s="10" t="str">
        <f ca="1">IFERROR(__xludf.DUMMYFUNCTION("""COMPUTED_VALUE"""),"Юристът Гаврил Кръстевич — щрихи от портрета на един забравен възрожденец.")</f>
        <v>Юристът Гаврил Кръстевич — щрихи от портрета на един забравен възрожденец.</v>
      </c>
      <c r="D1356" s="10">
        <f ca="1">IFERROR(__xludf.DUMMYFUNCTION("""COMPUTED_VALUE"""),1993)</f>
        <v>1993</v>
      </c>
      <c r="E1356" s="10" t="str">
        <f ca="1">IFERROR(__xludf.DUMMYFUNCTION("""COMPUTED_VALUE"""),"Правна мисъл, 1993, кн. 4, с. 106-108.")</f>
        <v>Правна мисъл, 1993, кн. 4, с. 106-108.</v>
      </c>
      <c r="F1356" s="10" t="str">
        <f ca="1">IFERROR(__xludf.DUMMYFUNCTION("""COMPUTED_VALUE"""),"CEEOL")</f>
        <v>CEEOL</v>
      </c>
      <c r="G1356" s="10"/>
      <c r="H1356" s="10"/>
      <c r="I1356" s="10"/>
      <c r="J1356" s="10"/>
      <c r="K1356" s="10"/>
      <c r="L1356" s="10"/>
      <c r="M1356" s="10"/>
      <c r="N1356" s="10"/>
      <c r="O1356" s="10"/>
      <c r="P1356" s="10"/>
      <c r="Q1356" s="10"/>
      <c r="R1356" s="10"/>
      <c r="S1356" s="10"/>
      <c r="T1356" s="10"/>
      <c r="U1356" s="10"/>
      <c r="V1356" s="10"/>
      <c r="W1356" s="10"/>
      <c r="X1356" s="10"/>
      <c r="Y1356" s="10"/>
      <c r="Z1356" s="10"/>
    </row>
    <row r="1357" spans="1:26" ht="12.75">
      <c r="A1357" s="10" t="str">
        <f ca="1">IFERROR(__xludf.DUMMYFUNCTION("""COMPUTED_VALUE"""),"Вера Петрова Бонева")</f>
        <v>Вера Петрова Бонева</v>
      </c>
      <c r="B1357" s="10" t="str">
        <f ca="1">IFERROR(__xludf.DUMMYFUNCTION("""COMPUTED_VALUE"""),"Статия в списания и поредици")</f>
        <v>Статия в списания и поредици</v>
      </c>
      <c r="C1357" s="10" t="str">
        <f ca="1">IFERROR(__xludf.DUMMYFUNCTION("""COMPUTED_VALUE"""),"Гаврил Кръстевич за правните, политическите и каноническите аспекти на българския църковен въпрос (1856-1872 г.).")</f>
        <v>Гаврил Кръстевич за правните, политическите и каноническите аспекти на българския църковен въпрос (1856-1872 г.).</v>
      </c>
      <c r="D1357" s="10">
        <f ca="1">IFERROR(__xludf.DUMMYFUNCTION("""COMPUTED_VALUE"""),1992)</f>
        <v>1992</v>
      </c>
      <c r="E1357" s="10" t="str">
        <f ca="1">IFERROR(__xludf.DUMMYFUNCTION("""COMPUTED_VALUE"""),"Духовна култура, 1992, кн. 9, с. 18-24.")</f>
        <v>Духовна култура, 1992, кн. 9, с. 18-24.</v>
      </c>
      <c r="F1357" s="10"/>
      <c r="G1357" s="10"/>
      <c r="H1357" s="10"/>
      <c r="I1357" s="10"/>
      <c r="J1357" s="10"/>
      <c r="K1357" s="10"/>
      <c r="L1357" s="10"/>
      <c r="M1357" s="10"/>
      <c r="N1357" s="10"/>
      <c r="O1357" s="10"/>
      <c r="P1357" s="10"/>
      <c r="Q1357" s="10"/>
      <c r="R1357" s="10"/>
      <c r="S1357" s="10"/>
      <c r="T1357" s="10"/>
      <c r="U1357" s="10"/>
      <c r="V1357" s="10"/>
      <c r="W1357" s="10"/>
      <c r="X1357" s="10"/>
      <c r="Y1357" s="10"/>
      <c r="Z1357" s="10"/>
    </row>
    <row r="1358" spans="1:26" ht="12.75">
      <c r="A1358" s="10" t="str">
        <f ca="1">IFERROR(__xludf.DUMMYFUNCTION("""COMPUTED_VALUE"""),"Вера Петрова Бонева")</f>
        <v>Вера Петрова Бонева</v>
      </c>
      <c r="B1358" s="10" t="str">
        <f ca="1">IFERROR(__xludf.DUMMYFUNCTION("""COMPUTED_VALUE"""),"Книга")</f>
        <v>Книга</v>
      </c>
      <c r="C1358" s="10" t="str">
        <f ca="1">IFERROR(__xludf.DUMMYFUNCTION("""COMPUTED_VALUE"""),"Толерантността, тази трудна политическа добродетел. Към историята на българските политически нрави 1869-1885 година.")</f>
        <v>Толерантността, тази трудна политическа добродетел. Към историята на българските политически нрави 1869-1885 година.</v>
      </c>
      <c r="D1358" s="10">
        <f ca="1">IFERROR(__xludf.DUMMYFUNCTION("""COMPUTED_VALUE"""),1992)</f>
        <v>1992</v>
      </c>
      <c r="E1358" s="10" t="str">
        <f ca="1">IFERROR(__xludf.DUMMYFUNCTION("""COMPUTED_VALUE"""),"Велико Търново: Фабер, 1992, 208 с.")</f>
        <v>Велико Търново: Фабер, 1992, 208 с.</v>
      </c>
      <c r="F1358" s="10"/>
      <c r="G1358" s="10" t="str">
        <f ca="1">IFERROR(__xludf.DUMMYFUNCTION("""COMPUTED_VALUE"""),"Петко Ст. Петков")</f>
        <v>Петко Ст. Петков</v>
      </c>
      <c r="H1358" s="10"/>
      <c r="I1358" s="10"/>
      <c r="J1358" s="10"/>
      <c r="K1358" s="10"/>
      <c r="L1358" s="10"/>
      <c r="M1358" s="10"/>
      <c r="N1358" s="10"/>
      <c r="O1358" s="10"/>
      <c r="P1358" s="10"/>
      <c r="Q1358" s="10"/>
      <c r="R1358" s="10"/>
      <c r="S1358" s="10"/>
      <c r="T1358" s="10"/>
      <c r="U1358" s="10"/>
      <c r="V1358" s="10"/>
      <c r="W1358" s="10"/>
      <c r="X1358" s="10"/>
      <c r="Y1358" s="10"/>
      <c r="Z1358" s="10"/>
    </row>
    <row r="1359" spans="1:26" ht="12.75">
      <c r="A1359" s="10" t="str">
        <f ca="1">IFERROR(__xludf.DUMMYFUNCTION("""COMPUTED_VALUE"""),"Вера Петрова Бонева")</f>
        <v>Вера Петрова Бонева</v>
      </c>
      <c r="B1359" s="10" t="str">
        <f ca="1">IFERROR(__xludf.DUMMYFUNCTION("""COMPUTED_VALUE"""),"Статия в списания и поредици")</f>
        <v>Статия в списания и поредици</v>
      </c>
      <c r="C1359" s="10" t="str">
        <f ca="1">IFERROR(__xludf.DUMMYFUNCTION("""COMPUTED_VALUE"""),"Просветителят Никола Станев.")</f>
        <v>Просветителят Никола Станев.</v>
      </c>
      <c r="D1359" s="10">
        <f ca="1">IFERROR(__xludf.DUMMYFUNCTION("""COMPUTED_VALUE"""),1992)</f>
        <v>1992</v>
      </c>
      <c r="E1359" s="10" t="str">
        <f ca="1">IFERROR(__xludf.DUMMYFUNCTION("""COMPUTED_VALUE"""),"Педагогика, 1992, кн. 6, с. 86-90.")</f>
        <v>Педагогика, 1992, кн. 6, с. 86-90.</v>
      </c>
      <c r="F1359" s="10" t="str">
        <f ca="1">IFERROR(__xludf.DUMMYFUNCTION("""COMPUTED_VALUE"""),"Web of Science")</f>
        <v>Web of Science</v>
      </c>
      <c r="G1359" s="10"/>
      <c r="H1359" s="10"/>
      <c r="I1359" s="10"/>
      <c r="J1359" s="10"/>
      <c r="K1359" s="10"/>
      <c r="L1359" s="10"/>
      <c r="M1359" s="10"/>
      <c r="N1359" s="10"/>
      <c r="O1359" s="10"/>
      <c r="P1359" s="10"/>
      <c r="Q1359" s="10"/>
      <c r="R1359" s="10"/>
      <c r="S1359" s="10"/>
      <c r="T1359" s="10"/>
      <c r="U1359" s="10"/>
      <c r="V1359" s="10"/>
      <c r="W1359" s="10"/>
      <c r="X1359" s="10"/>
      <c r="Y1359" s="10"/>
      <c r="Z1359" s="10"/>
    </row>
    <row r="1360" spans="1:26" ht="12.75">
      <c r="A1360" s="10" t="str">
        <f ca="1">IFERROR(__xludf.DUMMYFUNCTION("""COMPUTED_VALUE"""),"Вера Петрова Бонева")</f>
        <v>Вера Петрова Бонева</v>
      </c>
      <c r="B1360" s="10" t="str">
        <f ca="1">IFERROR(__xludf.DUMMYFUNCTION("""COMPUTED_VALUE"""),"Студия")</f>
        <v>Студия</v>
      </c>
      <c r="C1360" s="10" t="str">
        <f ca="1">IFERROR(__xludf.DUMMYFUNCTION("""COMPUTED_VALUE"""),"Животът и делото на д-р Иван Селимински в българската историческа книжнина.")</f>
        <v>Животът и делото на д-р Иван Селимински в българската историческа книжнина.</v>
      </c>
      <c r="D1360" s="10">
        <f ca="1">IFERROR(__xludf.DUMMYFUNCTION("""COMPUTED_VALUE"""),1991)</f>
        <v>1991</v>
      </c>
      <c r="E1360" s="10" t="str">
        <f ca="1">IFERROR(__xludf.DUMMYFUNCTION("""COMPUTED_VALUE"""),"Исторически преглед, 1991, кн. 12, с. 70-85.")</f>
        <v>Исторически преглед, 1991, кн. 12, с. 70-85.</v>
      </c>
      <c r="F1360" s="10"/>
      <c r="G1360" s="10"/>
      <c r="H1360" s="10"/>
      <c r="I1360" s="10"/>
      <c r="J1360" s="10"/>
      <c r="K1360" s="10"/>
      <c r="L1360" s="10"/>
      <c r="M1360" s="10"/>
      <c r="N1360" s="10"/>
      <c r="O1360" s="10"/>
      <c r="P1360" s="10"/>
      <c r="Q1360" s="10"/>
      <c r="R1360" s="10"/>
      <c r="S1360" s="10"/>
      <c r="T1360" s="10"/>
      <c r="U1360" s="10"/>
      <c r="V1360" s="10"/>
      <c r="W1360" s="10"/>
      <c r="X1360" s="10"/>
      <c r="Y1360" s="10"/>
      <c r="Z1360" s="10"/>
    </row>
    <row r="1361" spans="1:26" ht="12.75">
      <c r="A1361" s="10" t="str">
        <f ca="1">IFERROR(__xludf.DUMMYFUNCTION("""COMPUTED_VALUE"""),"Вера Петрова Бонева")</f>
        <v>Вера Петрова Бонева</v>
      </c>
      <c r="B1361" s="10" t="str">
        <f ca="1">IFERROR(__xludf.DUMMYFUNCTION("""COMPUTED_VALUE"""),"Статия в списания и поредици")</f>
        <v>Статия в списания и поредици</v>
      </c>
      <c r="C1361" s="10" t="str">
        <f ca="1">IFERROR(__xludf.DUMMYFUNCTION("""COMPUTED_VALUE"""),"Благоустройство и обществено строителство в Стара Загора в периода 1944-1948 г.")</f>
        <v>Благоустройство и обществено строителство в Стара Загора в периода 1944-1948 г.</v>
      </c>
      <c r="D1361" s="10">
        <f ca="1">IFERROR(__xludf.DUMMYFUNCTION("""COMPUTED_VALUE"""),1990)</f>
        <v>1990</v>
      </c>
      <c r="E1361" s="10" t="str">
        <f ca="1">IFERROR(__xludf.DUMMYFUNCTION("""COMPUTED_VALUE"""),"Известия на музеите от Югоизточна България. Т. 12. Пловдив, 1990, с. 211-217.")</f>
        <v>Известия на музеите от Югоизточна България. Т. 12. Пловдив, 1990, с. 211-217.</v>
      </c>
      <c r="F1361" s="10"/>
      <c r="G1361" s="10" t="str">
        <f ca="1">IFERROR(__xludf.DUMMYFUNCTION("""COMPUTED_VALUE"""),"Светла Димитрова")</f>
        <v>Светла Димитрова</v>
      </c>
      <c r="H1361" s="10"/>
      <c r="I1361" s="10"/>
      <c r="J1361" s="10"/>
      <c r="K1361" s="10"/>
      <c r="L1361" s="10"/>
      <c r="M1361" s="10"/>
      <c r="N1361" s="10"/>
      <c r="O1361" s="10"/>
      <c r="P1361" s="10"/>
      <c r="Q1361" s="10"/>
      <c r="R1361" s="10"/>
      <c r="S1361" s="10"/>
      <c r="T1361" s="10"/>
      <c r="U1361" s="10"/>
      <c r="V1361" s="10"/>
      <c r="W1361" s="10"/>
      <c r="X1361" s="10"/>
      <c r="Y1361" s="10"/>
      <c r="Z1361" s="10"/>
    </row>
    <row r="1362" spans="1:26" ht="12.75">
      <c r="A1362" s="10" t="str">
        <f ca="1">IFERROR(__xludf.DUMMYFUNCTION("""COMPUTED_VALUE"""),"Веселин Петров Чантов")</f>
        <v>Веселин Петров Чантов</v>
      </c>
      <c r="B1362" s="10" t="str">
        <f ca="1">IFERROR(__xludf.DUMMYFUNCTION("""COMPUTED_VALUE"""),"Доклад от конференция")</f>
        <v>Доклад от конференция</v>
      </c>
      <c r="C1362" s="10" t="str">
        <f ca="1">IFERROR(__xludf.DUMMYFUNCTION("""COMPUTED_VALUE"""),"Forming of Data Science Competence for Bridging the Digital Divide.")</f>
        <v>Forming of Data Science Competence for Bridging the Digital Divide.</v>
      </c>
      <c r="D1362" s="10">
        <f ca="1">IFERROR(__xludf.DUMMYFUNCTION("""COMPUTED_VALUE"""),2018)</f>
        <v>2018</v>
      </c>
      <c r="E1362" s="10" t="str">
        <f ca="1">IFERROR(__xludf.DUMMYFUNCTION("""COMPUTED_VALUE"""),"8th edition of the ""The Future of Education"" conference, PIXEL, Florence, 2018.")</f>
        <v>8th edition of the "The Future of Education" conference, PIXEL, Florence, 2018.</v>
      </c>
      <c r="F1362" s="10" t="str">
        <f ca="1">IFERROR(__xludf.DUMMYFUNCTION("""COMPUTED_VALUE"""),"SCOPUS")</f>
        <v>SCOPUS</v>
      </c>
      <c r="G1362" s="10" t="str">
        <f ca="1">IFERROR(__xludf.DUMMYFUNCTION("""COMPUTED_VALUE"""),"Rasheva-Yordanova, K. Kostadinova, I., Iliev, E., Petrova, P. Nikolova, B.")</f>
        <v>Rasheva-Yordanova, K. Kostadinova, I., Iliev, E., Petrova, P. Nikolova, B.</v>
      </c>
      <c r="H1362" s="10"/>
      <c r="I1362" s="10"/>
      <c r="J1362" s="10"/>
      <c r="K1362" s="10"/>
      <c r="L1362" s="10"/>
      <c r="M1362" s="10"/>
      <c r="N1362" s="10"/>
      <c r="O1362" s="10"/>
      <c r="P1362" s="10"/>
      <c r="Q1362" s="10"/>
      <c r="R1362" s="10"/>
      <c r="S1362" s="10"/>
      <c r="T1362" s="10"/>
      <c r="U1362" s="10"/>
      <c r="V1362" s="10"/>
      <c r="W1362" s="10"/>
      <c r="X1362" s="10"/>
      <c r="Y1362" s="10"/>
      <c r="Z1362" s="10"/>
    </row>
    <row r="1363" spans="1:26" ht="12.75">
      <c r="A1363" s="10" t="str">
        <f ca="1">IFERROR(__xludf.DUMMYFUNCTION("""COMPUTED_VALUE"""),"Веселин Петров Чантов")</f>
        <v>Веселин Петров Чантов</v>
      </c>
      <c r="B1363" s="10" t="str">
        <f ca="1">IFERROR(__xludf.DUMMYFUNCTION("""COMPUTED_VALUE"""),"Статия в списания и поредици")</f>
        <v>Статия в списания и поредици</v>
      </c>
      <c r="C1363" s="10" t="str">
        <f ca="1">IFERROR(__xludf.DUMMYFUNCTION("""COMPUTED_VALUE"""),"English for IT Specialists - A Handbook for IT Students")</f>
        <v>English for IT Specialists - A Handbook for IT Students</v>
      </c>
      <c r="D1363" s="10">
        <f ca="1">IFERROR(__xludf.DUMMYFUNCTION("""COMPUTED_VALUE"""),2018)</f>
        <v>2018</v>
      </c>
      <c r="E1363" s="10" t="str">
        <f ca="1">IFERROR(__xludf.DUMMYFUNCTION("""COMPUTED_VALUE"""),"PHILOLOGY International scientific journal, J\b 1 (13), 2018, ISSN 2414-4452, pp.63-65.")</f>
        <v>PHILOLOGY International scientific journal, J\b 1 (13), 2018, ISSN 2414-4452, pp.63-65.</v>
      </c>
      <c r="F1363" s="10"/>
      <c r="G1363" s="10"/>
      <c r="H1363" s="10"/>
      <c r="I1363" s="10"/>
      <c r="J1363" s="10"/>
      <c r="K1363" s="10"/>
      <c r="L1363" s="10"/>
      <c r="M1363" s="10"/>
      <c r="N1363" s="10"/>
      <c r="O1363" s="10"/>
      <c r="P1363" s="10"/>
      <c r="Q1363" s="10"/>
      <c r="R1363" s="10"/>
      <c r="S1363" s="10"/>
      <c r="T1363" s="10"/>
      <c r="U1363" s="10"/>
      <c r="V1363" s="10"/>
      <c r="W1363" s="10"/>
      <c r="X1363" s="10"/>
      <c r="Y1363" s="10"/>
      <c r="Z1363" s="10"/>
    </row>
    <row r="1364" spans="1:26" ht="12.75">
      <c r="A1364" s="10" t="str">
        <f ca="1">IFERROR(__xludf.DUMMYFUNCTION("""COMPUTED_VALUE"""),"Веселин Петров Чантов")</f>
        <v>Веселин Петров Чантов</v>
      </c>
      <c r="B1364" s="10" t="str">
        <f ca="1">IFERROR(__xludf.DUMMYFUNCTION("""COMPUTED_VALUE"""),"Доклад от конференция")</f>
        <v>Доклад от конференция</v>
      </c>
      <c r="C1364" s="10" t="str">
        <f ca="1">IFERROR(__xludf.DUMMYFUNCTION("""COMPUTED_VALUE"""),"Analysis of Online Courses to Acquire Data Science Literacy.")</f>
        <v>Analysis of Online Courses to Acquire Data Science Literacy.</v>
      </c>
      <c r="D1364" s="10">
        <f ca="1">IFERROR(__xludf.DUMMYFUNCTION("""COMPUTED_VALUE"""),2018)</f>
        <v>2018</v>
      </c>
      <c r="E1364" s="10" t="str">
        <f ca="1">IFERROR(__xludf.DUMMYFUNCTION("""COMPUTED_VALUE"""),"Proceedings of International Conference on Education and New Learning Technologies (EDULEARN 2018), 2-4 July 2018, Palma de Mallorca Spain, ISBN: 978-84-09-02709-5, pp 4073-4080.")</f>
        <v>Proceedings of International Conference on Education and New Learning Technologies (EDULEARN 2018), 2-4 July 2018, Palma de Mallorca Spain, ISBN: 978-84-09-02709-5, pp 4073-4080.</v>
      </c>
      <c r="F1364" s="10" t="str">
        <f ca="1">IFERROR(__xludf.DUMMYFUNCTION("""COMPUTED_VALUE"""),"Web of Science")</f>
        <v>Web of Science</v>
      </c>
      <c r="G1364" s="10" t="str">
        <f ca="1">IFERROR(__xludf.DUMMYFUNCTION("""COMPUTED_VALUE"""),"Petrova P., Kostadinova I.")</f>
        <v>Petrova P., Kostadinova I.</v>
      </c>
      <c r="H1364" s="10"/>
      <c r="I1364" s="10"/>
      <c r="J1364" s="10"/>
      <c r="K1364" s="10"/>
      <c r="L1364" s="10"/>
      <c r="M1364" s="10"/>
      <c r="N1364" s="10"/>
      <c r="O1364" s="10"/>
      <c r="P1364" s="10"/>
      <c r="Q1364" s="10"/>
      <c r="R1364" s="10"/>
      <c r="S1364" s="10"/>
      <c r="T1364" s="10"/>
      <c r="U1364" s="10"/>
      <c r="V1364" s="10"/>
      <c r="W1364" s="10"/>
      <c r="X1364" s="10"/>
      <c r="Y1364" s="10"/>
      <c r="Z1364" s="10"/>
    </row>
    <row r="1365" spans="1:26" ht="12.75">
      <c r="A1365" s="10" t="str">
        <f ca="1">IFERROR(__xludf.DUMMYFUNCTION("""COMPUTED_VALUE"""),"Веселин Петров Чантов")</f>
        <v>Веселин Петров Чантов</v>
      </c>
      <c r="B1365" s="10" t="str">
        <f ca="1">IFERROR(__xludf.DUMMYFUNCTION("""COMPUTED_VALUE"""),"Статия в списания и поредици")</f>
        <v>Статия в списания и поредици</v>
      </c>
      <c r="C1365" s="10" t="str">
        <f ca="1">IFERROR(__xludf.DUMMYFUNCTION("""COMPUTED_VALUE"""),"Early Foreign Language Learning - Methodology Aspects")</f>
        <v>Early Foreign Language Learning - Methodology Aspects</v>
      </c>
      <c r="D1365" s="10">
        <f ca="1">IFERROR(__xludf.DUMMYFUNCTION("""COMPUTED_VALUE"""),2018)</f>
        <v>2018</v>
      </c>
      <c r="E1365" s="10" t="str">
        <f ca="1">IFERROR(__xludf.DUMMYFUNCTION("""COMPUTED_VALUE"""),"Knowledge without Borders, Vrnjacka Banja, Serbia, March 2018, p.1473-1479, ISSN 2545-4439; ISSN 1857-923X")</f>
        <v>Knowledge without Borders, Vrnjacka Banja, Serbia, March 2018, p.1473-1479, ISSN 2545-4439; ISSN 1857-923X</v>
      </c>
      <c r="F1365" s="10" t="str">
        <f ca="1">IFERROR(__xludf.DUMMYFUNCTION("""COMPUTED_VALUE"""),"KNOWLEDGE-International Journal - http://globalimpactfactor.com/knowledge-international-journal/")</f>
        <v>KNOWLEDGE-International Journal - http://globalimpactfactor.com/knowledge-international-journal/</v>
      </c>
      <c r="G1365" s="10"/>
      <c r="H1365" s="10"/>
      <c r="I1365" s="10"/>
      <c r="J1365" s="10"/>
      <c r="K1365" s="10"/>
      <c r="L1365" s="10"/>
      <c r="M1365" s="10"/>
      <c r="N1365" s="10"/>
      <c r="O1365" s="10"/>
      <c r="P1365" s="10"/>
      <c r="Q1365" s="10"/>
      <c r="R1365" s="10"/>
      <c r="S1365" s="10"/>
      <c r="T1365" s="10"/>
      <c r="U1365" s="10"/>
      <c r="V1365" s="10"/>
      <c r="W1365" s="10"/>
      <c r="X1365" s="10"/>
      <c r="Y1365" s="10"/>
      <c r="Z1365" s="10"/>
    </row>
    <row r="1366" spans="1:26" ht="12.75">
      <c r="A1366" s="10" t="str">
        <f ca="1">IFERROR(__xludf.DUMMYFUNCTION("""COMPUTED_VALUE"""),"Веселин Петров Чантов")</f>
        <v>Веселин Петров Чантов</v>
      </c>
      <c r="B1366" s="10" t="str">
        <f ca="1">IFERROR(__xludf.DUMMYFUNCTION("""COMPUTED_VALUE"""),"Статия в списания и поредици")</f>
        <v>Статия в списания и поредици</v>
      </c>
      <c r="C1366" s="10" t="str">
        <f ca="1">IFERROR(__xludf.DUMMYFUNCTION("""COMPUTED_VALUE"""),"On the Structure of Some Methods of Early Foreign Language Learning")</f>
        <v>On the Structure of Some Methods of Early Foreign Language Learning</v>
      </c>
      <c r="D1366" s="10">
        <f ca="1">IFERROR(__xludf.DUMMYFUNCTION("""COMPUTED_VALUE"""),2018)</f>
        <v>2018</v>
      </c>
      <c r="E1366" s="10" t="str">
        <f ca="1">IFERROR(__xludf.DUMMYFUNCTION("""COMPUTED_VALUE"""),"Иновационные процессы в национальной экономике и социально-гуманитарной сфере, Белгород, 2018, ч.1,с. 6-9. ISBN 978-5-6040676-1-1")</f>
        <v>Иновационные процессы в национальной экономике и социально-гуманитарной сфере, Белгород, 2018, ч.1,с. 6-9. ISBN 978-5-6040676-1-1</v>
      </c>
      <c r="F1366" s="28" t="str">
        <f ca="1">IFERROR(__xludf.DUMMYFUNCTION("""COMPUTED_VALUE"""),"https://elibrary.ru/item.asp?id=32471954")</f>
        <v>https://elibrary.ru/item.asp?id=32471954</v>
      </c>
      <c r="G1366" s="10"/>
      <c r="H1366" s="10"/>
      <c r="I1366" s="10"/>
      <c r="J1366" s="10"/>
      <c r="K1366" s="10"/>
      <c r="L1366" s="10"/>
      <c r="M1366" s="10"/>
      <c r="N1366" s="10"/>
      <c r="O1366" s="10"/>
      <c r="P1366" s="10"/>
      <c r="Q1366" s="10"/>
      <c r="R1366" s="10"/>
      <c r="S1366" s="10"/>
      <c r="T1366" s="10"/>
      <c r="U1366" s="10"/>
      <c r="V1366" s="10"/>
      <c r="W1366" s="10"/>
      <c r="X1366" s="10"/>
      <c r="Y1366" s="10"/>
      <c r="Z1366" s="10"/>
    </row>
    <row r="1367" spans="1:26" ht="12.75">
      <c r="A1367" s="10" t="str">
        <f ca="1">IFERROR(__xludf.DUMMYFUNCTION("""COMPUTED_VALUE"""),"Веселин Петров Чантов")</f>
        <v>Веселин Петров Чантов</v>
      </c>
      <c r="B1367" s="10" t="str">
        <f ca="1">IFERROR(__xludf.DUMMYFUNCTION("""COMPUTED_VALUE"""),"Статия в списания и поредици")</f>
        <v>Статия в списания и поредици</v>
      </c>
      <c r="C1367" s="10" t="str">
        <f ca="1">IFERROR(__xludf.DUMMYFUNCTION("""COMPUTED_VALUE"""),"Media Texts and Teaching Business English in Professional Education")</f>
        <v>Media Texts and Teaching Business English in Professional Education</v>
      </c>
      <c r="D1367" s="10">
        <f ca="1">IFERROR(__xludf.DUMMYFUNCTION("""COMPUTED_VALUE"""),2018)</f>
        <v>2018</v>
      </c>
      <c r="E1367" s="10" t="str">
        <f ca="1">IFERROR(__xludf.DUMMYFUNCTION("""COMPUTED_VALUE"""),"Knowledge without Borders"" Selbia. 2018, p.423-429, SSN 2545-4439; ISSN 1857-923X")</f>
        <v>Knowledge without Borders" Selbia. 2018, p.423-429, SSN 2545-4439; ISSN 1857-923X</v>
      </c>
      <c r="F1367" s="10" t="str">
        <f ca="1">IFERROR(__xludf.DUMMYFUNCTION("""COMPUTED_VALUE"""),"KNOWLEDGE-International Journal - http://globalimpactfactor.com/knowledge-international-journal/")</f>
        <v>KNOWLEDGE-International Journal - http://globalimpactfactor.com/knowledge-international-journal/</v>
      </c>
      <c r="G1367" s="10"/>
      <c r="H1367" s="10"/>
      <c r="I1367" s="10"/>
      <c r="J1367" s="10"/>
      <c r="K1367" s="10"/>
      <c r="L1367" s="10"/>
      <c r="M1367" s="10"/>
      <c r="N1367" s="10"/>
      <c r="O1367" s="10"/>
      <c r="P1367" s="10"/>
      <c r="Q1367" s="10"/>
      <c r="R1367" s="10"/>
      <c r="S1367" s="10"/>
      <c r="T1367" s="10"/>
      <c r="U1367" s="10"/>
      <c r="V1367" s="10"/>
      <c r="W1367" s="10"/>
      <c r="X1367" s="10"/>
      <c r="Y1367" s="10"/>
      <c r="Z1367" s="10"/>
    </row>
    <row r="1368" spans="1:26" ht="12.75">
      <c r="A1368" s="10" t="str">
        <f ca="1">IFERROR(__xludf.DUMMYFUNCTION("""COMPUTED_VALUE"""),"Веселин Петров Чантов")</f>
        <v>Веселин Петров Чантов</v>
      </c>
      <c r="B1368" s="10" t="str">
        <f ca="1">IFERROR(__xludf.DUMMYFUNCTION("""COMPUTED_VALUE"""),"Доклад от конференция")</f>
        <v>Доклад от конференция</v>
      </c>
      <c r="C1368" s="10" t="str">
        <f ca="1">IFERROR(__xludf.DUMMYFUNCTION("""COMPUTED_VALUE"""),"Analysis of Missing Data Science Competence in IT Sector.")</f>
        <v>Analysis of Missing Data Science Competence in IT Sector.</v>
      </c>
      <c r="D1368" s="10">
        <f ca="1">IFERROR(__xludf.DUMMYFUNCTION("""COMPUTED_VALUE"""),2018)</f>
        <v>2018</v>
      </c>
      <c r="E1368" s="10" t="str">
        <f ca="1">IFERROR(__xludf.DUMMYFUNCTION("""COMPUTED_VALUE"""),"10th annual International Conference on Education and New Learning Technologies. 2nd-4th of July, 2018, Palma de Mallorca (Spain). IATED, 2018, ISBN: 978-84-09-02709-5, pp 4073-4080.")</f>
        <v>10th annual International Conference on Education and New Learning Technologies. 2nd-4th of July, 2018, Palma de Mallorca (Spain). IATED, 2018, ISBN: 978-84-09-02709-5, pp 4073-4080.</v>
      </c>
      <c r="F1368" s="10" t="str">
        <f ca="1">IFERROR(__xludf.DUMMYFUNCTION("""COMPUTED_VALUE"""),"Web of Science")</f>
        <v>Web of Science</v>
      </c>
      <c r="G1368" s="10" t="str">
        <f ca="1">IFERROR(__xludf.DUMMYFUNCTION("""COMPUTED_VALUE"""),"Rasheva-Yordanova K., Iliev E.")</f>
        <v>Rasheva-Yordanova K., Iliev E.</v>
      </c>
      <c r="H1368" s="10"/>
      <c r="I1368" s="10"/>
      <c r="J1368" s="10"/>
      <c r="K1368" s="10"/>
      <c r="L1368" s="10"/>
      <c r="M1368" s="10"/>
      <c r="N1368" s="10"/>
      <c r="O1368" s="10"/>
      <c r="P1368" s="10"/>
      <c r="Q1368" s="10"/>
      <c r="R1368" s="10"/>
      <c r="S1368" s="10"/>
      <c r="T1368" s="10"/>
      <c r="U1368" s="10"/>
      <c r="V1368" s="10"/>
      <c r="W1368" s="10"/>
      <c r="X1368" s="10"/>
      <c r="Y1368" s="10"/>
      <c r="Z1368" s="10"/>
    </row>
    <row r="1369" spans="1:26" ht="12.75">
      <c r="A1369" s="10" t="str">
        <f ca="1">IFERROR(__xludf.DUMMYFUNCTION("""COMPUTED_VALUE"""),"Веселин Петров Чантов")</f>
        <v>Веселин Петров Чантов</v>
      </c>
      <c r="B1369" s="10" t="str">
        <f ca="1">IFERROR(__xludf.DUMMYFUNCTION("""COMPUTED_VALUE"""),"Учебно пособие")</f>
        <v>Учебно пособие</v>
      </c>
      <c r="C1369" s="10" t="str">
        <f ca="1">IFERROR(__xludf.DUMMYFUNCTION("""COMPUTED_VALUE"""),"Помагало по английски език. Ч.1.")</f>
        <v>Помагало по английски език. Ч.1.</v>
      </c>
      <c r="D1369" s="10">
        <f ca="1">IFERROR(__xludf.DUMMYFUNCTION("""COMPUTED_VALUE"""),2017)</f>
        <v>2017</v>
      </c>
      <c r="E1369" s="10" t="str">
        <f ca="1">IFERROR(__xludf.DUMMYFUNCTION("""COMPUTED_VALUE"""),"Kopeкта 1, Coфия, 2017, 88 c. ISBN 978-954-91082-6-2.")</f>
        <v>Kopeкта 1, Coфия, 2017, 88 c. ISBN 978-954-91082-6-2.</v>
      </c>
      <c r="F1369" s="10"/>
      <c r="G1369" s="10"/>
      <c r="H1369" s="10"/>
      <c r="I1369" s="10"/>
      <c r="J1369" s="10"/>
      <c r="K1369" s="10"/>
      <c r="L1369" s="10"/>
      <c r="M1369" s="10"/>
      <c r="N1369" s="10"/>
      <c r="O1369" s="10"/>
      <c r="P1369" s="10"/>
      <c r="Q1369" s="10"/>
      <c r="R1369" s="10"/>
      <c r="S1369" s="10"/>
      <c r="T1369" s="10"/>
      <c r="U1369" s="10"/>
      <c r="V1369" s="10"/>
      <c r="W1369" s="10"/>
      <c r="X1369" s="10"/>
      <c r="Y1369" s="10"/>
      <c r="Z1369" s="10"/>
    </row>
    <row r="1370" spans="1:26" ht="12.75">
      <c r="A1370" s="10" t="str">
        <f ca="1">IFERROR(__xludf.DUMMYFUNCTION("""COMPUTED_VALUE"""),"Веселин Петров Чантов")</f>
        <v>Веселин Петров Чантов</v>
      </c>
      <c r="B1370" s="10" t="str">
        <f ca="1">IFERROR(__xludf.DUMMYFUNCTION("""COMPUTED_VALUE"""),"Статия в списания и поредици")</f>
        <v>Статия в списания и поредици</v>
      </c>
      <c r="C1370" s="10" t="str">
        <f ca="1">IFERROR(__xludf.DUMMYFUNCTION("""COMPUTED_VALUE"""),"Развитие на медийната компетентност на студентите в обучението по чужд език")</f>
        <v>Развитие на медийната компетентност на студентите в обучението по чужд език</v>
      </c>
      <c r="D1370" s="10">
        <f ca="1">IFERROR(__xludf.DUMMYFUNCTION("""COMPUTED_VALUE"""),2017)</f>
        <v>2017</v>
      </c>
      <c r="E1370" s="10" t="str">
        <f ca="1">IFERROR(__xludf.DUMMYFUNCTION("""COMPUTED_VALUE"""),"Сборник с доклади и научни съобщения от XIV национална научна конференция с международно участие „Обществото на знанието и хуманизмът на 21 век”, Изд.„За буквите-О писменехъ”, 2017, с. 648-656. ISSN 1314-7099")</f>
        <v>Сборник с доклади и научни съобщения от XIV национална научна конференция с международно участие „Обществото на знанието и хуманизмът на 21 век”, Изд.„За буквите-О писменехъ”, 2017, с. 648-656. ISSN 1314-7099</v>
      </c>
      <c r="F1370" s="10"/>
      <c r="G1370" s="10"/>
      <c r="H1370" s="10"/>
      <c r="I1370" s="10"/>
      <c r="J1370" s="10"/>
      <c r="K1370" s="10"/>
      <c r="L1370" s="10"/>
      <c r="M1370" s="10"/>
      <c r="N1370" s="10"/>
      <c r="O1370" s="10"/>
      <c r="P1370" s="10"/>
      <c r="Q1370" s="10"/>
      <c r="R1370" s="10"/>
      <c r="S1370" s="10"/>
      <c r="T1370" s="10"/>
      <c r="U1370" s="10"/>
      <c r="V1370" s="10"/>
      <c r="W1370" s="10"/>
      <c r="X1370" s="10"/>
      <c r="Y1370" s="10"/>
      <c r="Z1370" s="10"/>
    </row>
    <row r="1371" spans="1:26" ht="12.75">
      <c r="A1371" s="10" t="str">
        <f ca="1">IFERROR(__xludf.DUMMYFUNCTION("""COMPUTED_VALUE"""),"Веселин Петров Чантов")</f>
        <v>Веселин Петров Чантов</v>
      </c>
      <c r="B1371" s="10" t="str">
        <f ca="1">IFERROR(__xludf.DUMMYFUNCTION("""COMPUTED_VALUE"""),"Доклад от конференция")</f>
        <v>Доклад от конференция</v>
      </c>
      <c r="C1371" s="10" t="str">
        <f ca="1">IFERROR(__xludf.DUMMYFUNCTION("""COMPUTED_VALUE"""),"Интерактивни методи и форми за развитие на вторичната езикова личност")</f>
        <v>Интерактивни методи и форми за развитие на вторичната езикова личност</v>
      </c>
      <c r="D1371" s="10">
        <f ca="1">IFERROR(__xludf.DUMMYFUNCTION("""COMPUTED_VALUE"""),2017)</f>
        <v>2017</v>
      </c>
      <c r="E1371" s="10" t="str">
        <f ca="1">IFERROR(__xludf.DUMMYFUNCTION("""COMPUTED_VALUE"""),"Сборник с доклади и научни съобщения от XV Национална научна конференция с международно участие „Обществото на знанието и хуманизмът на 21 век”, 01.11.2017 София, Изд.„За буквите - О писменехъ”, ISSN 1314-7099")</f>
        <v>Сборник с доклади и научни съобщения от XV Национална научна конференция с международно участие „Обществото на знанието и хуманизмът на 21 век”, 01.11.2017 София, Изд.„За буквите - О писменехъ”, ISSN 1314-7099</v>
      </c>
      <c r="F1371" s="10"/>
      <c r="G1371" s="10"/>
      <c r="H1371" s="10"/>
      <c r="I1371" s="10"/>
      <c r="J1371" s="10"/>
      <c r="K1371" s="10"/>
      <c r="L1371" s="10"/>
      <c r="M1371" s="10"/>
      <c r="N1371" s="10"/>
      <c r="O1371" s="10"/>
      <c r="P1371" s="10"/>
      <c r="Q1371" s="10"/>
      <c r="R1371" s="10"/>
      <c r="S1371" s="10"/>
      <c r="T1371" s="10"/>
      <c r="U1371" s="10"/>
      <c r="V1371" s="10"/>
      <c r="W1371" s="10"/>
      <c r="X1371" s="10"/>
      <c r="Y1371" s="10"/>
      <c r="Z1371" s="10"/>
    </row>
    <row r="1372" spans="1:26" ht="12.75">
      <c r="A1372" s="10" t="str">
        <f ca="1">IFERROR(__xludf.DUMMYFUNCTION("""COMPUTED_VALUE"""),"Веселин Петров Чантов")</f>
        <v>Веселин Петров Чантов</v>
      </c>
      <c r="B1372" s="10" t="str">
        <f ca="1">IFERROR(__xludf.DUMMYFUNCTION("""COMPUTED_VALUE"""),"Статия в списания и поредици")</f>
        <v>Статия в списания и поредици</v>
      </c>
      <c r="C1372" s="10" t="str">
        <f ca="1">IFERROR(__xludf.DUMMYFUNCTION("""COMPUTED_VALUE"""),"Уеб-технологиите – средство за формиране и развитие на професионална чуждоезикова комуникативна компетентност")</f>
        <v>Уеб-технологиите – средство за формиране и развитие на професионална чуждоезикова комуникативна компетентност</v>
      </c>
      <c r="D1372" s="10">
        <f ca="1">IFERROR(__xludf.DUMMYFUNCTION("""COMPUTED_VALUE"""),2017)</f>
        <v>2017</v>
      </c>
      <c r="E1372" s="10" t="str">
        <f ca="1">IFERROR(__xludf.DUMMYFUNCTION("""COMPUTED_VALUE"""),"Сборник с доклади и научни съобщения от XV Национална научна конференция с международно участие „Обществото на знанието и хуманизмът на 21 век”, 01.11.2017 София, Изд.„За буквите - О писменехъ”, ISSN 1314-7099")</f>
        <v>Сборник с доклади и научни съобщения от XV Национална научна конференция с международно участие „Обществото на знанието и хуманизмът на 21 век”, 01.11.2017 София, Изд.„За буквите - О писменехъ”, ISSN 1314-7099</v>
      </c>
      <c r="F1372" s="10"/>
      <c r="G1372" s="10"/>
      <c r="H1372" s="10"/>
      <c r="I1372" s="10"/>
      <c r="J1372" s="10"/>
      <c r="K1372" s="10"/>
      <c r="L1372" s="10"/>
      <c r="M1372" s="10"/>
      <c r="N1372" s="10"/>
      <c r="O1372" s="10"/>
      <c r="P1372" s="10"/>
      <c r="Q1372" s="10"/>
      <c r="R1372" s="10"/>
      <c r="S1372" s="10"/>
      <c r="T1372" s="10"/>
      <c r="U1372" s="10"/>
      <c r="V1372" s="10"/>
      <c r="W1372" s="10"/>
      <c r="X1372" s="10"/>
      <c r="Y1372" s="10"/>
      <c r="Z1372" s="10"/>
    </row>
    <row r="1373" spans="1:26" ht="12.75">
      <c r="A1373" s="10" t="str">
        <f ca="1">IFERROR(__xludf.DUMMYFUNCTION("""COMPUTED_VALUE"""),"Веселин Петров Чантов")</f>
        <v>Веселин Петров Чантов</v>
      </c>
      <c r="B1373" s="10" t="str">
        <f ca="1">IFERROR(__xludf.DUMMYFUNCTION("""COMPUTED_VALUE"""),"Статия в списания и поредици")</f>
        <v>Статия в списания и поредици</v>
      </c>
      <c r="C1373" s="10" t="str">
        <f ca="1">IFERROR(__xludf.DUMMYFUNCTION("""COMPUTED_VALUE"""),"Качеството в чуждоезиковото обучение в контекста на управление на знанията")</f>
        <v>Качеството в чуждоезиковото обучение в контекста на управление на знанията</v>
      </c>
      <c r="D1373" s="10">
        <f ca="1">IFERROR(__xludf.DUMMYFUNCTION("""COMPUTED_VALUE"""),2017)</f>
        <v>2017</v>
      </c>
      <c r="E1373" s="10" t="str">
        <f ca="1">IFERROR(__xludf.DUMMYFUNCTION("""COMPUTED_VALUE"""),"Съвременни стратегии и иновации в управление на знанието. Сб. Доклади на Трета научна конференция, Европейски парламент, Брюксел, 4 май 2017 г., София, Изд. „За буквите – О писменехь“, 2017, с. 105-112., ISSN 2535-0250")</f>
        <v>Съвременни стратегии и иновации в управление на знанието. Сб. Доклади на Трета научна конференция, Европейски парламент, Брюксел, 4 май 2017 г., София, Изд. „За буквите – О писменехь“, 2017, с. 105-112., ISSN 2535-0250</v>
      </c>
      <c r="F1373" s="10"/>
      <c r="G1373" s="10"/>
      <c r="H1373" s="10"/>
      <c r="I1373" s="10"/>
      <c r="J1373" s="10"/>
      <c r="K1373" s="10"/>
      <c r="L1373" s="10"/>
      <c r="M1373" s="10"/>
      <c r="N1373" s="10"/>
      <c r="O1373" s="10"/>
      <c r="P1373" s="10"/>
      <c r="Q1373" s="10"/>
      <c r="R1373" s="10"/>
      <c r="S1373" s="10"/>
      <c r="T1373" s="10"/>
      <c r="U1373" s="10"/>
      <c r="V1373" s="10"/>
      <c r="W1373" s="10"/>
      <c r="X1373" s="10"/>
      <c r="Y1373" s="10"/>
      <c r="Z1373" s="10"/>
    </row>
    <row r="1374" spans="1:26" ht="12.75">
      <c r="A1374" s="10" t="str">
        <f ca="1">IFERROR(__xludf.DUMMYFUNCTION("""COMPUTED_VALUE"""),"Веселин Петров Чантов")</f>
        <v>Веселин Петров Чантов</v>
      </c>
      <c r="B1374" s="10" t="str">
        <f ca="1">IFERROR(__xludf.DUMMYFUNCTION("""COMPUTED_VALUE"""),"Статия в списания и поредици")</f>
        <v>Статия в списания и поредици</v>
      </c>
      <c r="C1374" s="10" t="str">
        <f ca="1">IFERROR(__xludf.DUMMYFUNCTION("""COMPUTED_VALUE"""),"Развитие на професионалната компетентност на преподавателите по чужд език в системата на непрекъснатото образование")</f>
        <v>Развитие на професионалната компетентност на преподавателите по чужд език в системата на непрекъснатото образование</v>
      </c>
      <c r="D1374" s="10">
        <f ca="1">IFERROR(__xludf.DUMMYFUNCTION("""COMPUTED_VALUE"""),2017)</f>
        <v>2017</v>
      </c>
      <c r="E1374" s="10" t="str">
        <f ca="1">IFERROR(__xludf.DUMMYFUNCTION("""COMPUTED_VALUE"""),"Трудове на УниБИТ, Том 14, София, Изд. „За буквите - О писменехъ“, 2017, ISSN 1314-2623")</f>
        <v>Трудове на УниБИТ, Том 14, София, Изд. „За буквите - О писменехъ“, 2017, ISSN 1314-2623</v>
      </c>
      <c r="F1374" s="10"/>
      <c r="G1374" s="10"/>
      <c r="H1374" s="10"/>
      <c r="I1374" s="10"/>
      <c r="J1374" s="10"/>
      <c r="K1374" s="10"/>
      <c r="L1374" s="10"/>
      <c r="M1374" s="10"/>
      <c r="N1374" s="10"/>
      <c r="O1374" s="10"/>
      <c r="P1374" s="10"/>
      <c r="Q1374" s="10"/>
      <c r="R1374" s="10"/>
      <c r="S1374" s="10"/>
      <c r="T1374" s="10"/>
      <c r="U1374" s="10"/>
      <c r="V1374" s="10"/>
      <c r="W1374" s="10"/>
      <c r="X1374" s="10"/>
      <c r="Y1374" s="10"/>
      <c r="Z1374" s="10"/>
    </row>
    <row r="1375" spans="1:26" ht="12.75">
      <c r="A1375" s="10" t="str">
        <f ca="1">IFERROR(__xludf.DUMMYFUNCTION("""COMPUTED_VALUE"""),"Веселин Петров Чантов")</f>
        <v>Веселин Петров Чантов</v>
      </c>
      <c r="B1375" s="10" t="str">
        <f ca="1">IFERROR(__xludf.DUMMYFUNCTION("""COMPUTED_VALUE"""),"Статия в списания и поредици")</f>
        <v>Статия в списания и поредици</v>
      </c>
      <c r="C1375" s="10" t="str">
        <f ca="1">IFERROR(__xludf.DUMMYFUNCTION("""COMPUTED_VALUE"""),"Модулна технология за развитие на чуждоезиковата комуникативна компетентност на студентите от неезиков вуз")</f>
        <v>Модулна технология за развитие на чуждоезиковата комуникативна компетентност на студентите от неезиков вуз</v>
      </c>
      <c r="D1375" s="10">
        <f ca="1">IFERROR(__xludf.DUMMYFUNCTION("""COMPUTED_VALUE"""),2017)</f>
        <v>2017</v>
      </c>
      <c r="E1375" s="10" t="str">
        <f ca="1">IFERROR(__xludf.DUMMYFUNCTION("""COMPUTED_VALUE"""),"Трудове на УниБИТ, Том 14, София, Изд. „За буквите - О писменехъ“, 2017, ISSN 1314-2623")</f>
        <v>Трудове на УниБИТ, Том 14, София, Изд. „За буквите - О писменехъ“, 2017, ISSN 1314-2623</v>
      </c>
      <c r="F1375" s="10"/>
      <c r="G1375" s="10"/>
      <c r="H1375" s="10"/>
      <c r="I1375" s="10"/>
      <c r="J1375" s="10"/>
      <c r="K1375" s="10"/>
      <c r="L1375" s="10"/>
      <c r="M1375" s="10"/>
      <c r="N1375" s="10"/>
      <c r="O1375" s="10"/>
      <c r="P1375" s="10"/>
      <c r="Q1375" s="10"/>
      <c r="R1375" s="10"/>
      <c r="S1375" s="10"/>
      <c r="T1375" s="10"/>
      <c r="U1375" s="10"/>
      <c r="V1375" s="10"/>
      <c r="W1375" s="10"/>
      <c r="X1375" s="10"/>
      <c r="Y1375" s="10"/>
      <c r="Z1375" s="10"/>
    </row>
    <row r="1376" spans="1:26" ht="12.75">
      <c r="A1376" s="10" t="str">
        <f ca="1">IFERROR(__xludf.DUMMYFUNCTION("""COMPUTED_VALUE"""),"Веселин Петров Чантов")</f>
        <v>Веселин Петров Чантов</v>
      </c>
      <c r="B1376" s="10" t="str">
        <f ca="1">IFERROR(__xludf.DUMMYFUNCTION("""COMPUTED_VALUE"""),"Доклад от конференция")</f>
        <v>Доклад от конференция</v>
      </c>
      <c r="C1376" s="10" t="str">
        <f ca="1">IFERROR(__xludf.DUMMYFUNCTION("""COMPUTED_VALUE"""),"От чуждоезикова компетентност към чуждоезикова култура на студентите в условията на информационно-образователна среда.")</f>
        <v>От чуждоезикова компетентност към чуждоезикова култура на студентите в условията на информационно-образователна среда.</v>
      </c>
      <c r="D1376" s="10">
        <f ca="1">IFERROR(__xludf.DUMMYFUNCTION("""COMPUTED_VALUE"""),2017)</f>
        <v>2017</v>
      </c>
      <c r="E1376" s="10" t="str">
        <f ca="1">IFERROR(__xludf.DUMMYFUNCTION("""COMPUTED_VALUE"""),"Международна научна конференция УниТЕХ, Габрово, 2017. c. 200-205, ISSN 1313-230X")</f>
        <v>Международна научна конференция УниТЕХ, Габрово, 2017. c. 200-205, ISSN 1313-230X</v>
      </c>
      <c r="F1376" s="28" t="str">
        <f ca="1">IFERROR(__xludf.DUMMYFUNCTION("""COMPUTED_VALUE"""),"http://unitech.tugab.bg/")</f>
        <v>http://unitech.tugab.bg/</v>
      </c>
      <c r="G1376" s="10"/>
      <c r="H1376" s="10"/>
      <c r="I1376" s="10"/>
      <c r="J1376" s="10"/>
      <c r="K1376" s="10"/>
      <c r="L1376" s="10"/>
      <c r="M1376" s="10"/>
      <c r="N1376" s="10"/>
      <c r="O1376" s="10"/>
      <c r="P1376" s="10"/>
      <c r="Q1376" s="10"/>
      <c r="R1376" s="10"/>
      <c r="S1376" s="10"/>
      <c r="T1376" s="10"/>
      <c r="U1376" s="10"/>
      <c r="V1376" s="10"/>
      <c r="W1376" s="10"/>
      <c r="X1376" s="10"/>
      <c r="Y1376" s="10"/>
      <c r="Z1376" s="10"/>
    </row>
    <row r="1377" spans="1:26" ht="12.75">
      <c r="A1377" s="10" t="str">
        <f ca="1">IFERROR(__xludf.DUMMYFUNCTION("""COMPUTED_VALUE"""),"Веселин Петров Чантов")</f>
        <v>Веселин Петров Чантов</v>
      </c>
      <c r="B1377" s="10" t="str">
        <f ca="1">IFERROR(__xludf.DUMMYFUNCTION("""COMPUTED_VALUE"""),"Доклад от конференция")</f>
        <v>Доклад от конференция</v>
      </c>
      <c r="C1377" s="10" t="str">
        <f ca="1">IFERROR(__xludf.DUMMYFUNCTION("""COMPUTED_VALUE"""),"Развитие на чуждоезиковата компетентност в информационно-образователна среда")</f>
        <v>Развитие на чуждоезиковата компетентност в информационно-образователна среда</v>
      </c>
      <c r="D1377" s="10">
        <f ca="1">IFERROR(__xludf.DUMMYFUNCTION("""COMPUTED_VALUE"""),2017)</f>
        <v>2017</v>
      </c>
      <c r="E1377" s="10" t="str">
        <f ca="1">IFERROR(__xludf.DUMMYFUNCTION("""COMPUTED_VALUE"""),"Международна научна конференция Унитех, Технически университет, Габрово, 2017, с.206-212, ISSN 1313-230X")</f>
        <v>Международна научна конференция Унитех, Технически университет, Габрово, 2017, с.206-212, ISSN 1313-230X</v>
      </c>
      <c r="F1377" s="28" t="str">
        <f ca="1">IFERROR(__xludf.DUMMYFUNCTION("""COMPUTED_VALUE"""),"http://unitech.tugab.bg/")</f>
        <v>http://unitech.tugab.bg/</v>
      </c>
      <c r="G1377" s="10"/>
      <c r="H1377" s="10"/>
      <c r="I1377" s="10"/>
      <c r="J1377" s="10"/>
      <c r="K1377" s="10"/>
      <c r="L1377" s="10"/>
      <c r="M1377" s="10"/>
      <c r="N1377" s="10"/>
      <c r="O1377" s="10"/>
      <c r="P1377" s="10"/>
      <c r="Q1377" s="10"/>
      <c r="R1377" s="10"/>
      <c r="S1377" s="10"/>
      <c r="T1377" s="10"/>
      <c r="U1377" s="10"/>
      <c r="V1377" s="10"/>
      <c r="W1377" s="10"/>
      <c r="X1377" s="10"/>
      <c r="Y1377" s="10"/>
      <c r="Z1377" s="10"/>
    </row>
    <row r="1378" spans="1:26" ht="12.75">
      <c r="A1378" s="10" t="str">
        <f ca="1">IFERROR(__xludf.DUMMYFUNCTION("""COMPUTED_VALUE"""),"Веселин Петров Чантов")</f>
        <v>Веселин Петров Чантов</v>
      </c>
      <c r="B1378" s="10" t="str">
        <f ca="1">IFERROR(__xludf.DUMMYFUNCTION("""COMPUTED_VALUE"""),"Монография")</f>
        <v>Монография</v>
      </c>
      <c r="C1378" s="10" t="str">
        <f ca="1">IFERROR(__xludf.DUMMYFUNCTION("""COMPUTED_VALUE"""),"Чуждоезиковата комуникативна компетентност в контекста на непрекъснато образование.")</f>
        <v>Чуждоезиковата комуникативна компетентност в контекста на непрекъснато образование.</v>
      </c>
      <c r="D1378" s="10">
        <f ca="1">IFERROR(__xludf.DUMMYFUNCTION("""COMPUTED_VALUE"""),2017)</f>
        <v>2017</v>
      </c>
      <c r="E1378" s="10" t="str">
        <f ca="1">IFERROR(__xludf.DUMMYFUNCTION("""COMPUTED_VALUE"""),"София : За буквите - О писменехь, 2017. - 211 с. ISBN 978-619-185-298-7.")</f>
        <v>София : За буквите - О писменехь, 2017. - 211 с. ISBN 978-619-185-298-7.</v>
      </c>
      <c r="F1378" s="10"/>
      <c r="G1378" s="10"/>
      <c r="H1378" s="10"/>
      <c r="I1378" s="10"/>
      <c r="J1378" s="10"/>
      <c r="K1378" s="10"/>
      <c r="L1378" s="10"/>
      <c r="M1378" s="10"/>
      <c r="N1378" s="10"/>
      <c r="O1378" s="10"/>
      <c r="P1378" s="10"/>
      <c r="Q1378" s="10"/>
      <c r="R1378" s="10"/>
      <c r="S1378" s="10"/>
      <c r="T1378" s="10"/>
      <c r="U1378" s="10"/>
      <c r="V1378" s="10"/>
      <c r="W1378" s="10"/>
      <c r="X1378" s="10"/>
      <c r="Y1378" s="10"/>
      <c r="Z1378" s="10"/>
    </row>
    <row r="1379" spans="1:26" ht="12.75">
      <c r="A1379" s="10" t="str">
        <f ca="1">IFERROR(__xludf.DUMMYFUNCTION("""COMPUTED_VALUE"""),"Веселин Петров Чантов")</f>
        <v>Веселин Петров Чантов</v>
      </c>
      <c r="B1379" s="10" t="str">
        <f ca="1">IFERROR(__xludf.DUMMYFUNCTION("""COMPUTED_VALUE"""),"Статия в списания и поредици")</f>
        <v>Статия в списания и поредици</v>
      </c>
      <c r="C1379" s="10" t="str">
        <f ca="1">IFERROR(__xludf.DUMMYFUNCTION("""COMPUTED_VALUE"""),"Възможностите на дистационното обучение в развитието на чуждоезиковата компетентност по английски език.")</f>
        <v>Възможностите на дистационното обучение в развитието на чуждоезиковата компетентност по английски език.</v>
      </c>
      <c r="D1379" s="10">
        <f ca="1">IFERROR(__xludf.DUMMYFUNCTION("""COMPUTED_VALUE"""),2016)</f>
        <v>2016</v>
      </c>
      <c r="E1379" s="10" t="str">
        <f ca="1">IFERROR(__xludf.DUMMYFUNCTION("""COMPUTED_VALUE"""),"Сборник доклади и научни съобщения от XIII Национална научна конференция с междунар. участие „Обществото на знанието и хуманизмът на 21 век”, София, Изд.„За буквите-О писменехъ”, 2016, с.593-599 ISSN 1314-7099")</f>
        <v>Сборник доклади и научни съобщения от XIII Национална научна конференция с междунар. участие „Обществото на знанието и хуманизмът на 21 век”, София, Изд.„За буквите-О писменехъ”, 2016, с.593-599 ISSN 1314-7099</v>
      </c>
      <c r="F1379" s="10"/>
      <c r="G1379" s="10"/>
      <c r="H1379" s="10"/>
      <c r="I1379" s="10"/>
      <c r="J1379" s="10"/>
      <c r="K1379" s="10"/>
      <c r="L1379" s="10"/>
      <c r="M1379" s="10"/>
      <c r="N1379" s="10"/>
      <c r="O1379" s="10"/>
      <c r="P1379" s="10"/>
      <c r="Q1379" s="10"/>
      <c r="R1379" s="10"/>
      <c r="S1379" s="10"/>
      <c r="T1379" s="10"/>
      <c r="U1379" s="10"/>
      <c r="V1379" s="10"/>
      <c r="W1379" s="10"/>
      <c r="X1379" s="10"/>
      <c r="Y1379" s="10"/>
      <c r="Z1379" s="10"/>
    </row>
    <row r="1380" spans="1:26" ht="12.75">
      <c r="A1380" s="10" t="str">
        <f ca="1">IFERROR(__xludf.DUMMYFUNCTION("""COMPUTED_VALUE"""),"Веселин Петров Чантов")</f>
        <v>Веселин Петров Чантов</v>
      </c>
      <c r="B1380" s="10" t="str">
        <f ca="1">IFERROR(__xludf.DUMMYFUNCTION("""COMPUTED_VALUE"""),"Статия в списания и поредици")</f>
        <v>Статия в списания и поредици</v>
      </c>
      <c r="C1380" s="10" t="str">
        <f ca="1">IFERROR(__xludf.DUMMYFUNCTION("""COMPUTED_VALUE"""),"Развитието на професионалната компетентност на специалистите в контекста на стратегическото управление на знанията")</f>
        <v>Развитието на професионалната компетентност на специалистите в контекста на стратегическото управление на знанията</v>
      </c>
      <c r="D1380" s="10">
        <f ca="1">IFERROR(__xludf.DUMMYFUNCTION("""COMPUTED_VALUE"""),2015)</f>
        <v>2015</v>
      </c>
      <c r="E1380" s="10" t="str">
        <f ca="1">IFERROR(__xludf.DUMMYFUNCTION("""COMPUTED_VALUE"""),"Трудове на УниБИТ, Том 12, София, Изд. „За буквите - О писменехъ“, 2015, с. 411-424 ISSN 1314-2623")</f>
        <v>Трудове на УниБИТ, Том 12, София, Изд. „За буквите - О писменехъ“, 2015, с. 411-424 ISSN 1314-2623</v>
      </c>
      <c r="F1380" s="10"/>
      <c r="G1380" s="10"/>
      <c r="H1380" s="10"/>
      <c r="I1380" s="10"/>
      <c r="J1380" s="10"/>
      <c r="K1380" s="10"/>
      <c r="L1380" s="10"/>
      <c r="M1380" s="10"/>
      <c r="N1380" s="10"/>
      <c r="O1380" s="10"/>
      <c r="P1380" s="10"/>
      <c r="Q1380" s="10"/>
      <c r="R1380" s="10"/>
      <c r="S1380" s="10"/>
      <c r="T1380" s="10"/>
      <c r="U1380" s="10"/>
      <c r="V1380" s="10"/>
      <c r="W1380" s="10"/>
      <c r="X1380" s="10"/>
      <c r="Y1380" s="10"/>
      <c r="Z1380" s="10"/>
    </row>
    <row r="1381" spans="1:26" ht="12.75">
      <c r="A1381" s="10" t="str">
        <f ca="1">IFERROR(__xludf.DUMMYFUNCTION("""COMPUTED_VALUE"""),"Веселин Петров Чантов")</f>
        <v>Веселин Петров Чантов</v>
      </c>
      <c r="B1381" s="10" t="str">
        <f ca="1">IFERROR(__xludf.DUMMYFUNCTION("""COMPUTED_VALUE"""),"Учебник")</f>
        <v>Учебник</v>
      </c>
      <c r="C1381" s="10" t="str">
        <f ca="1">IFERROR(__xludf.DUMMYFUNCTION("""COMPUTED_VALUE"""),"Английски език за ИТ")</f>
        <v>Английски език за ИТ</v>
      </c>
      <c r="D1381" s="10">
        <f ca="1">IFERROR(__xludf.DUMMYFUNCTION("""COMPUTED_VALUE"""),2015)</f>
        <v>2015</v>
      </c>
      <c r="E1381" s="10" t="str">
        <f ca="1">IFERROR(__xludf.DUMMYFUNCTION("""COMPUTED_VALUE"""),"София, Изд. „За буквите – О писменехь, 2015, 103 с. ISBN 978-619-185-053-2")</f>
        <v>София, Изд. „За буквите – О писменехь, 2015, 103 с. ISBN 978-619-185-053-2</v>
      </c>
      <c r="F1381" s="10"/>
      <c r="G1381" s="10"/>
      <c r="H1381" s="10"/>
      <c r="I1381" s="10"/>
      <c r="J1381" s="10"/>
      <c r="K1381" s="10"/>
      <c r="L1381" s="10"/>
      <c r="M1381" s="10"/>
      <c r="N1381" s="10"/>
      <c r="O1381" s="10"/>
      <c r="P1381" s="10"/>
      <c r="Q1381" s="10"/>
      <c r="R1381" s="10"/>
      <c r="S1381" s="10"/>
      <c r="T1381" s="10"/>
      <c r="U1381" s="10"/>
      <c r="V1381" s="10"/>
      <c r="W1381" s="10"/>
      <c r="X1381" s="10"/>
      <c r="Y1381" s="10"/>
      <c r="Z1381" s="10"/>
    </row>
    <row r="1382" spans="1:26" ht="12.75">
      <c r="A1382" s="10" t="str">
        <f ca="1">IFERROR(__xludf.DUMMYFUNCTION("""COMPUTED_VALUE"""),"Веселин Петров Чантов")</f>
        <v>Веселин Петров Чантов</v>
      </c>
      <c r="B1382" s="10" t="str">
        <f ca="1">IFERROR(__xludf.DUMMYFUNCTION("""COMPUTED_VALUE"""),"Доклад от конференция")</f>
        <v>Доклад от конференция</v>
      </c>
      <c r="C1382" s="10" t="str">
        <f ca="1">IFERROR(__xludf.DUMMYFUNCTION("""COMPUTED_VALUE"""),"The impact of the reform of education in EU integration through alternative university teaching models")</f>
        <v>The impact of the reform of education in EU integration through alternative university teaching models</v>
      </c>
      <c r="D1382" s="10">
        <f ca="1">IFERROR(__xludf.DUMMYFUNCTION("""COMPUTED_VALUE"""),2015)</f>
        <v>2015</v>
      </c>
      <c r="E1382" s="10" t="str">
        <f ca="1">IFERROR(__xludf.DUMMYFUNCTION("""COMPUTED_VALUE"""),"South East Europe as a Common Market, Albania, Botim i Universitetit Mesdhetar të Shqipërisë • Revistë Shkencore Periodike. UMSH PRESS. Dhjetor 2015 Nr. 9. ISSN 2220-573X, p.71-83")</f>
        <v>South East Europe as a Common Market, Albania, Botim i Universitetit Mesdhetar të Shqipërisë • Revistë Shkencore Periodike. UMSH PRESS. Dhjetor 2015 Nr. 9. ISSN 2220-573X, p.71-83</v>
      </c>
      <c r="F1382" s="10"/>
      <c r="G1382" s="10" t="str">
        <f ca="1">IFERROR(__xludf.DUMMYFUNCTION("""COMPUTED_VALUE"""),"Denchev, S. Pavlova, I.")</f>
        <v>Denchev, S. Pavlova, I.</v>
      </c>
      <c r="H1382" s="10"/>
      <c r="I1382" s="10"/>
      <c r="J1382" s="10"/>
      <c r="K1382" s="10"/>
      <c r="L1382" s="10"/>
      <c r="M1382" s="10"/>
      <c r="N1382" s="10"/>
      <c r="O1382" s="10"/>
      <c r="P1382" s="10"/>
      <c r="Q1382" s="10"/>
      <c r="R1382" s="10"/>
      <c r="S1382" s="10"/>
      <c r="T1382" s="10"/>
      <c r="U1382" s="10"/>
      <c r="V1382" s="10"/>
      <c r="W1382" s="10"/>
      <c r="X1382" s="10"/>
      <c r="Y1382" s="10"/>
      <c r="Z1382" s="10"/>
    </row>
    <row r="1383" spans="1:26" ht="12.75">
      <c r="A1383" s="10" t="str">
        <f ca="1">IFERROR(__xludf.DUMMYFUNCTION("""COMPUTED_VALUE"""),"Веселин Петров Чантов")</f>
        <v>Веселин Петров Чантов</v>
      </c>
      <c r="B1383" s="10" t="str">
        <f ca="1">IFERROR(__xludf.DUMMYFUNCTION("""COMPUTED_VALUE"""),"Доклад от конференция")</f>
        <v>Доклад от конференция</v>
      </c>
      <c r="C1383" s="10" t="str">
        <f ca="1">IFERROR(__xludf.DUMMYFUNCTION("""COMPUTED_VALUE"""),"Комуникативната компетентност – необходимо условие за развитие на чуждоезикова компетентност")</f>
        <v>Комуникативната компетентност – необходимо условие за развитие на чуждоезикова компетентност</v>
      </c>
      <c r="D1383" s="10">
        <f ca="1">IFERROR(__xludf.DUMMYFUNCTION("""COMPUTED_VALUE"""),2015)</f>
        <v>2015</v>
      </c>
      <c r="E1383" s="10" t="str">
        <f ca="1">IFERROR(__xludf.DUMMYFUNCTION("""COMPUTED_VALUE"""),"Сборник с доклади от ХII Национална научна конференция с международно участие ""Обществото на знанието и хуманизмът на 21 век“, София, Изд. „За буквите - О писменехъ”, 2015, с.391-403 ISSN 1314-7099")</f>
        <v>Сборник с доклади от ХII Национална научна конференция с международно участие "Обществото на знанието и хуманизмът на 21 век“, София, Изд. „За буквите - О писменехъ”, 2015, с.391-403 ISSN 1314-7099</v>
      </c>
      <c r="F1383" s="10"/>
      <c r="G1383" s="10"/>
      <c r="H1383" s="10"/>
      <c r="I1383" s="10"/>
      <c r="J1383" s="10"/>
      <c r="K1383" s="10"/>
      <c r="L1383" s="10"/>
      <c r="M1383" s="10"/>
      <c r="N1383" s="10"/>
      <c r="O1383" s="10"/>
      <c r="P1383" s="10"/>
      <c r="Q1383" s="10"/>
      <c r="R1383" s="10"/>
      <c r="S1383" s="10"/>
      <c r="T1383" s="10"/>
      <c r="U1383" s="10"/>
      <c r="V1383" s="10"/>
      <c r="W1383" s="10"/>
      <c r="X1383" s="10"/>
      <c r="Y1383" s="10"/>
      <c r="Z1383" s="10"/>
    </row>
    <row r="1384" spans="1:26" ht="12.75">
      <c r="A1384" s="10" t="str">
        <f ca="1">IFERROR(__xludf.DUMMYFUNCTION("""COMPUTED_VALUE"""),"Веселин Петров Чантов")</f>
        <v>Веселин Петров Чантов</v>
      </c>
      <c r="B1384" s="10" t="str">
        <f ca="1">IFERROR(__xludf.DUMMYFUNCTION("""COMPUTED_VALUE"""),"Доклад от конференция")</f>
        <v>Доклад от конференция</v>
      </c>
      <c r="C1384" s="10" t="str">
        <f ca="1">IFERROR(__xludf.DUMMYFUNCTION("""COMPUTED_VALUE"""),"Приложно-практичен аспект на модела за развитие на чуждоезикова компетентност в информационно-образователна среда")</f>
        <v>Приложно-практичен аспект на модела за развитие на чуждоезикова компетентност в информационно-образователна среда</v>
      </c>
      <c r="D1384" s="10">
        <f ca="1">IFERROR(__xludf.DUMMYFUNCTION("""COMPUTED_VALUE"""),2014)</f>
        <v>2014</v>
      </c>
      <c r="E1384" s="10" t="str">
        <f ca="1">IFERROR(__xludf.DUMMYFUNCTION("""COMPUTED_VALUE"""),"Сборник с доклади и научни съобщения от международен пътуващ семинар на УниБИТ, Съвременни измерения на европейското образователно и научно пространство. Българско - италиански културни общувания. Рим, 2014, София, Изд. „За буквите - О писменехъ”, с.36-46"&amp;" ISSN 2367-7988")</f>
        <v>Сборник с доклади и научни съобщения от международен пътуващ семинар на УниБИТ, Съвременни измерения на европейското образователно и научно пространство. Българско - италиански културни общувания. Рим, 2014, София, Изд. „За буквите - О писменехъ”, с.36-46 ISSN 2367-7988</v>
      </c>
      <c r="F1384" s="10"/>
      <c r="G1384" s="10"/>
      <c r="H1384" s="10"/>
      <c r="I1384" s="10"/>
      <c r="J1384" s="10"/>
      <c r="K1384" s="10"/>
      <c r="L1384" s="10"/>
      <c r="M1384" s="10"/>
      <c r="N1384" s="10"/>
      <c r="O1384" s="10"/>
      <c r="P1384" s="10"/>
      <c r="Q1384" s="10"/>
      <c r="R1384" s="10"/>
      <c r="S1384" s="10"/>
      <c r="T1384" s="10"/>
      <c r="U1384" s="10"/>
      <c r="V1384" s="10"/>
      <c r="W1384" s="10"/>
      <c r="X1384" s="10"/>
      <c r="Y1384" s="10"/>
      <c r="Z1384" s="10"/>
    </row>
    <row r="1385" spans="1:26" ht="12.75">
      <c r="A1385" s="10" t="str">
        <f ca="1">IFERROR(__xludf.DUMMYFUNCTION("""COMPUTED_VALUE"""),"Веселин Петров Чантов")</f>
        <v>Веселин Петров Чантов</v>
      </c>
      <c r="B1385" s="10" t="str">
        <f ca="1">IFERROR(__xludf.DUMMYFUNCTION("""COMPUTED_VALUE"""),"Доклад от конференция")</f>
        <v>Доклад от конференция</v>
      </c>
      <c r="C1385" s="10" t="str">
        <f ca="1">IFERROR(__xludf.DUMMYFUNCTION("""COMPUTED_VALUE"""),"Модел за развитие на медийната компетентност на студентите в обучението по чужд език")</f>
        <v>Модел за развитие на медийната компетентност на студентите в обучението по чужд език</v>
      </c>
      <c r="D1385" s="10">
        <f ca="1">IFERROR(__xludf.DUMMYFUNCTION("""COMPUTED_VALUE"""),2013)</f>
        <v>2013</v>
      </c>
      <c r="E1385" s="10" t="str">
        <f ca="1">IFERROR(__xludf.DUMMYFUNCTION("""COMPUTED_VALUE"""),"Сборник с доклади от международна конференция „Иновации, предизвикателства и тенденции в пост модерното образование”, 12-13.09.2013, Стара Загора, ISSN 2367-5276")</f>
        <v>Сборник с доклади от международна конференция „Иновации, предизвикателства и тенденции в пост модерното образование”, 12-13.09.2013, Стара Загора, ISSN 2367-5276</v>
      </c>
      <c r="F1385" s="10"/>
      <c r="G1385" s="10"/>
      <c r="H1385" s="10"/>
      <c r="I1385" s="10"/>
      <c r="J1385" s="10"/>
      <c r="K1385" s="10"/>
      <c r="L1385" s="10"/>
      <c r="M1385" s="10"/>
      <c r="N1385" s="10"/>
      <c r="O1385" s="10"/>
      <c r="P1385" s="10"/>
      <c r="Q1385" s="10"/>
      <c r="R1385" s="10"/>
      <c r="S1385" s="10"/>
      <c r="T1385" s="10"/>
      <c r="U1385" s="10"/>
      <c r="V1385" s="10"/>
      <c r="W1385" s="10"/>
      <c r="X1385" s="10"/>
      <c r="Y1385" s="10"/>
      <c r="Z1385" s="10"/>
    </row>
    <row r="1386" spans="1:26" ht="12.75">
      <c r="A1386" s="10" t="str">
        <f ca="1">IFERROR(__xludf.DUMMYFUNCTION("""COMPUTED_VALUE"""),"Веселин Петров Чантов")</f>
        <v>Веселин Петров Чантов</v>
      </c>
      <c r="B1386" s="10" t="str">
        <f ca="1">IFERROR(__xludf.DUMMYFUNCTION("""COMPUTED_VALUE"""),"Статия в списания и поредици")</f>
        <v>Статия в списания и поредици</v>
      </c>
      <c r="C1386" s="10" t="str">
        <f ca="1">IFERROR(__xludf.DUMMYFUNCTION("""COMPUTED_VALUE"""),"Основните понятия на медийното образование в контекста на чуждоезиковото обучение")</f>
        <v>Основните понятия на медийното образование в контекста на чуждоезиковото обучение</v>
      </c>
      <c r="D1386" s="10">
        <f ca="1">IFERROR(__xludf.DUMMYFUNCTION("""COMPUTED_VALUE"""),2013)</f>
        <v>2013</v>
      </c>
      <c r="E1386" s="10" t="str">
        <f ca="1">IFERROR(__xludf.DUMMYFUNCTION("""COMPUTED_VALUE"""),"Трудове на УниБИТ, Том 11, София, Изд. „За буквите - О писменехъ”, 2013, с.361-382, ISSN 1314-2623")</f>
        <v>Трудове на УниБИТ, Том 11, София, Изд. „За буквите - О писменехъ”, 2013, с.361-382, ISSN 1314-2623</v>
      </c>
      <c r="F1386" s="10"/>
      <c r="G1386" s="10" t="str">
        <f ca="1">IFERROR(__xludf.DUMMYFUNCTION("""COMPUTED_VALUE"""),"Славка Славова")</f>
        <v>Славка Славова</v>
      </c>
      <c r="H1386" s="10"/>
      <c r="I1386" s="10"/>
      <c r="J1386" s="10"/>
      <c r="K1386" s="10"/>
      <c r="L1386" s="10"/>
      <c r="M1386" s="10"/>
      <c r="N1386" s="10"/>
      <c r="O1386" s="10"/>
      <c r="P1386" s="10"/>
      <c r="Q1386" s="10"/>
      <c r="R1386" s="10"/>
      <c r="S1386" s="10"/>
      <c r="T1386" s="10"/>
      <c r="U1386" s="10"/>
      <c r="V1386" s="10"/>
      <c r="W1386" s="10"/>
      <c r="X1386" s="10"/>
      <c r="Y1386" s="10"/>
      <c r="Z1386" s="10"/>
    </row>
    <row r="1387" spans="1:26" ht="12.75">
      <c r="A1387" s="10" t="str">
        <f ca="1">IFERROR(__xludf.DUMMYFUNCTION("""COMPUTED_VALUE"""),"Веселин Петров Чантов")</f>
        <v>Веселин Петров Чантов</v>
      </c>
      <c r="B1387" s="10" t="str">
        <f ca="1">IFERROR(__xludf.DUMMYFUNCTION("""COMPUTED_VALUE"""),"Доклад от конференция")</f>
        <v>Доклад от конференция</v>
      </c>
      <c r="C1387" s="10" t="str">
        <f ca="1">IFERROR(__xludf.DUMMYFUNCTION("""COMPUTED_VALUE"""),"A Model For Developing Secondary Language Personality Through Media Education")</f>
        <v>A Model For Developing Secondary Language Personality Through Media Education</v>
      </c>
      <c r="D1387" s="10">
        <f ca="1">IFERROR(__xludf.DUMMYFUNCTION("""COMPUTED_VALUE"""),2013)</f>
        <v>2013</v>
      </c>
      <c r="E1387" s="10" t="str">
        <f ca="1">IFERROR(__xludf.DUMMYFUNCTION("""COMPUTED_VALUE"""),"ICT for Language Learning, Conference Proceedings, 6th Conference Edition, Florence, Libreriauniversitaria.it Edizioni Webster srl, Padova, Italy, 2013, p.133-137, ISBN 978-88-6292-423-8")</f>
        <v>ICT for Language Learning, Conference Proceedings, 6th Conference Edition, Florence, Libreriauniversitaria.it Edizioni Webster srl, Padova, Italy, 2013, p.133-137, ISBN 978-88-6292-423-8</v>
      </c>
      <c r="F1387" s="10"/>
      <c r="G1387" s="10"/>
      <c r="H1387" s="10"/>
      <c r="I1387" s="10"/>
      <c r="J1387" s="10"/>
      <c r="K1387" s="10"/>
      <c r="L1387" s="10"/>
      <c r="M1387" s="10"/>
      <c r="N1387" s="10"/>
      <c r="O1387" s="10"/>
      <c r="P1387" s="10"/>
      <c r="Q1387" s="10"/>
      <c r="R1387" s="10"/>
      <c r="S1387" s="10"/>
      <c r="T1387" s="10"/>
      <c r="U1387" s="10"/>
      <c r="V1387" s="10"/>
      <c r="W1387" s="10"/>
      <c r="X1387" s="10"/>
      <c r="Y1387" s="10"/>
      <c r="Z1387" s="10"/>
    </row>
    <row r="1388" spans="1:26" ht="12.75">
      <c r="A1388" s="10" t="str">
        <f ca="1">IFERROR(__xludf.DUMMYFUNCTION("""COMPUTED_VALUE"""),"Веселин Петров Чантов")</f>
        <v>Веселин Петров Чантов</v>
      </c>
      <c r="B1388" s="10" t="str">
        <f ca="1">IFERROR(__xludf.DUMMYFUNCTION("""COMPUTED_VALUE"""),"Доклад от конференция")</f>
        <v>Доклад от конференция</v>
      </c>
      <c r="C1388" s="10" t="str">
        <f ca="1">IFERROR(__xludf.DUMMYFUNCTION("""COMPUTED_VALUE"""),"Foreign Language Learning in Multicultural Europe – Common European Framework for Languages")</f>
        <v>Foreign Language Learning in Multicultural Europe – Common European Framework for Languages</v>
      </c>
      <c r="D1388" s="10">
        <f ca="1">IFERROR(__xludf.DUMMYFUNCTION("""COMPUTED_VALUE"""),2013)</f>
        <v>2013</v>
      </c>
      <c r="E1388" s="10" t="str">
        <f ca="1">IFERROR(__xludf.DUMMYFUNCTION("""COMPUTED_VALUE"""),"„Policies For Management of Cultural Heritage – Communication and Socialization Through Education”")</f>
        <v>„Policies For Management of Cultural Heritage – Communication and Socialization Through Education”</v>
      </c>
      <c r="F1388" s="10"/>
      <c r="G1388" s="10"/>
      <c r="H1388" s="10"/>
      <c r="I1388" s="10"/>
      <c r="J1388" s="10"/>
      <c r="K1388" s="10"/>
      <c r="L1388" s="10"/>
      <c r="M1388" s="10"/>
      <c r="N1388" s="10"/>
      <c r="O1388" s="10"/>
      <c r="P1388" s="10"/>
      <c r="Q1388" s="10"/>
      <c r="R1388" s="10"/>
      <c r="S1388" s="10"/>
      <c r="T1388" s="10"/>
      <c r="U1388" s="10"/>
      <c r="V1388" s="10"/>
      <c r="W1388" s="10"/>
      <c r="X1388" s="10"/>
      <c r="Y1388" s="10"/>
      <c r="Z1388" s="10"/>
    </row>
    <row r="1389" spans="1:26" ht="12.75">
      <c r="A1389" s="10" t="str">
        <f ca="1">IFERROR(__xludf.DUMMYFUNCTION("""COMPUTED_VALUE"""),"Веселин Петров Чантов")</f>
        <v>Веселин Петров Чантов</v>
      </c>
      <c r="B1389" s="10" t="str">
        <f ca="1">IFERROR(__xludf.DUMMYFUNCTION("""COMPUTED_VALUE"""),"Доклад от конференция")</f>
        <v>Доклад от конференция</v>
      </c>
      <c r="C1389" s="10" t="str">
        <f ca="1">IFERROR(__xludf.DUMMYFUNCTION("""COMPUTED_VALUE"""),"Портфолиото – метод за измерване на учебните постижения на студентите по чужд език")</f>
        <v>Портфолиото – метод за измерване на учебните постижения на студентите по чужд език</v>
      </c>
      <c r="D1389" s="10">
        <f ca="1">IFERROR(__xludf.DUMMYFUNCTION("""COMPUTED_VALUE"""),2013)</f>
        <v>2013</v>
      </c>
      <c r="E1389" s="10" t="str">
        <f ca="1">IFERROR(__xludf.DUMMYFUNCTION("""COMPUTED_VALUE"""),"Сборник доклади от Х Национална научна конференция с международно участие „Общество на знанието и хуманизмът на 21 век”, София, Изд. „ За буквите – О писменехь”, 2013, с.549-565 ISSN 1314-7099")</f>
        <v>Сборник доклади от Х Национална научна конференция с международно участие „Общество на знанието и хуманизмът на 21 век”, София, Изд. „ За буквите – О писменехь”, 2013, с.549-565 ISSN 1314-7099</v>
      </c>
      <c r="F1389" s="10"/>
      <c r="G1389" s="10"/>
      <c r="H1389" s="10"/>
      <c r="I1389" s="10"/>
      <c r="J1389" s="10"/>
      <c r="K1389" s="10"/>
      <c r="L1389" s="10"/>
      <c r="M1389" s="10"/>
      <c r="N1389" s="10"/>
      <c r="O1389" s="10"/>
      <c r="P1389" s="10"/>
      <c r="Q1389" s="10"/>
      <c r="R1389" s="10"/>
      <c r="S1389" s="10"/>
      <c r="T1389" s="10"/>
      <c r="U1389" s="10"/>
      <c r="V1389" s="10"/>
      <c r="W1389" s="10"/>
      <c r="X1389" s="10"/>
      <c r="Y1389" s="10"/>
      <c r="Z1389" s="10"/>
    </row>
    <row r="1390" spans="1:26" ht="12.75">
      <c r="A1390" s="10" t="str">
        <f ca="1">IFERROR(__xludf.DUMMYFUNCTION("""COMPUTED_VALUE"""),"Веселин Петров Чантов")</f>
        <v>Веселин Петров Чантов</v>
      </c>
      <c r="B1390" s="10" t="str">
        <f ca="1">IFERROR(__xludf.DUMMYFUNCTION("""COMPUTED_VALUE"""),"Доклад от конференция")</f>
        <v>Доклад от конференция</v>
      </c>
      <c r="C1390" s="10" t="str">
        <f ca="1">IFERROR(__xludf.DUMMYFUNCTION("""COMPUTED_VALUE"""),"Развитие на медийната компетентност и критичното мислене на студентите в обучението по чужд език")</f>
        <v>Развитие на медийната компетентност и критичното мислене на студентите в обучението по чужд език</v>
      </c>
      <c r="D1390" s="10">
        <f ca="1">IFERROR(__xludf.DUMMYFUNCTION("""COMPUTED_VALUE"""),2013)</f>
        <v>2013</v>
      </c>
      <c r="E1390" s="10" t="str">
        <f ca="1">IFERROR(__xludf.DUMMYFUNCTION("""COMPUTED_VALUE"""),"Дигитално настояще и дигитално бъдеще – икономически, културни, образователни, правни и технологични въздействия – София, 9-10.04.2013, София, с.141-150, ISBN 978-954-2946-64-9")</f>
        <v>Дигитално настояще и дигитално бъдеще – икономически, културни, образователни, правни и технологични въздействия – София, 9-10.04.2013, София, с.141-150, ISBN 978-954-2946-64-9</v>
      </c>
      <c r="F1390" s="10"/>
      <c r="G1390" s="10"/>
      <c r="H1390" s="10"/>
      <c r="I1390" s="10"/>
      <c r="J1390" s="10"/>
      <c r="K1390" s="10"/>
      <c r="L1390" s="10"/>
      <c r="M1390" s="10"/>
      <c r="N1390" s="10"/>
      <c r="O1390" s="10"/>
      <c r="P1390" s="10"/>
      <c r="Q1390" s="10"/>
      <c r="R1390" s="10"/>
      <c r="S1390" s="10"/>
      <c r="T1390" s="10"/>
      <c r="U1390" s="10"/>
      <c r="V1390" s="10"/>
      <c r="W1390" s="10"/>
      <c r="X1390" s="10"/>
      <c r="Y1390" s="10"/>
      <c r="Z1390" s="10"/>
    </row>
    <row r="1391" spans="1:26" ht="12.75">
      <c r="A1391" s="10" t="str">
        <f ca="1">IFERROR(__xludf.DUMMYFUNCTION("""COMPUTED_VALUE"""),"Веселин Петров Чантов")</f>
        <v>Веселин Петров Чантов</v>
      </c>
      <c r="B1391" s="10" t="str">
        <f ca="1">IFERROR(__xludf.DUMMYFUNCTION("""COMPUTED_VALUE"""),"Доклад от конференция")</f>
        <v>Доклад от конференция</v>
      </c>
      <c r="C1391" s="10" t="str">
        <f ca="1">IFERROR(__xludf.DUMMYFUNCTION("""COMPUTED_VALUE"""),"Съвременните интерактивни методи – необходимо условие за интензификация на чуждоезиковото обучение във висшето образование")</f>
        <v>Съвременните интерактивни методи – необходимо условие за интензификация на чуждоезиковото обучение във висшето образование</v>
      </c>
      <c r="D1391" s="10">
        <f ca="1">IFERROR(__xludf.DUMMYFUNCTION("""COMPUTED_VALUE"""),2012)</f>
        <v>2012</v>
      </c>
      <c r="E1391" s="10" t="str">
        <f ca="1">IFERROR(__xludf.DUMMYFUNCTION("""COMPUTED_VALUE"""),"Сборник с доклади и научни съобщения от IX Национална научна конференция с международно участие ""Обществото на знанието и хуманизмът на 21 век"", София, Изд. „За буквите - О писменехъ”, 2012, с.389-404 ISSN 1314-7099")</f>
        <v>Сборник с доклади и научни съобщения от IX Национална научна конференция с международно участие "Обществото на знанието и хуманизмът на 21 век", София, Изд. „За буквите - О писменехъ”, 2012, с.389-404 ISSN 1314-7099</v>
      </c>
      <c r="F1391" s="10"/>
      <c r="G1391" s="10" t="str">
        <f ca="1">IFERROR(__xludf.DUMMYFUNCTION("""COMPUTED_VALUE"""),"Славка Славова")</f>
        <v>Славка Славова</v>
      </c>
      <c r="H1391" s="10"/>
      <c r="I1391" s="10"/>
      <c r="J1391" s="10"/>
      <c r="K1391" s="10"/>
      <c r="L1391" s="10"/>
      <c r="M1391" s="10"/>
      <c r="N1391" s="10"/>
      <c r="O1391" s="10"/>
      <c r="P1391" s="10"/>
      <c r="Q1391" s="10"/>
      <c r="R1391" s="10"/>
      <c r="S1391" s="10"/>
      <c r="T1391" s="10"/>
      <c r="U1391" s="10"/>
      <c r="V1391" s="10"/>
      <c r="W1391" s="10"/>
      <c r="X1391" s="10"/>
      <c r="Y1391" s="10"/>
      <c r="Z1391" s="10"/>
    </row>
    <row r="1392" spans="1:26" ht="12.75">
      <c r="A1392" s="10" t="str">
        <f ca="1">IFERROR(__xludf.DUMMYFUNCTION("""COMPUTED_VALUE"""),"Веселин Петров Чантов")</f>
        <v>Веселин Петров Чантов</v>
      </c>
      <c r="B1392" s="10" t="str">
        <f ca="1">IFERROR(__xludf.DUMMYFUNCTION("""COMPUTED_VALUE"""),"Доклад от конференция")</f>
        <v>Доклад от конференция</v>
      </c>
      <c r="C1392" s="10" t="str">
        <f ca="1">IFERROR(__xludf.DUMMYFUNCTION("""COMPUTED_VALUE"""),"От информационна грамотност към информационна култура в спектъра от комуникативни компетенции в чуждоезиковото обучение")</f>
        <v>От информационна грамотност към информационна култура в спектъра от комуникативни компетенции в чуждоезиковото обучение</v>
      </c>
      <c r="D1392" s="10">
        <f ca="1">IFERROR(__xludf.DUMMYFUNCTION("""COMPUTED_VALUE"""),2012)</f>
        <v>2012</v>
      </c>
      <c r="E1392" s="10" t="str">
        <f ca="1">IFERROR(__xludf.DUMMYFUNCTION("""COMPUTED_VALUE"""),"Сборник с научни доклади и съобщения от Научен семинар с международно участие „Информационна грамотност – модели за обучение и добри практики”, 18-19.10.2012, Варна, Изд. „За буквите - О писменехъ”, София, 2012, с.363-371 ISBN 978-954-2946-30-4")</f>
        <v>Сборник с научни доклади и съобщения от Научен семинар с международно участие „Информационна грамотност – модели за обучение и добри практики”, 18-19.10.2012, Варна, Изд. „За буквите - О писменехъ”, София, 2012, с.363-371 ISBN 978-954-2946-30-4</v>
      </c>
      <c r="F1392" s="10"/>
      <c r="G1392" s="10"/>
      <c r="H1392" s="10"/>
      <c r="I1392" s="10"/>
      <c r="J1392" s="10"/>
      <c r="K1392" s="10"/>
      <c r="L1392" s="10"/>
      <c r="M1392" s="10"/>
      <c r="N1392" s="10"/>
      <c r="O1392" s="10"/>
      <c r="P1392" s="10"/>
      <c r="Q1392" s="10"/>
      <c r="R1392" s="10"/>
      <c r="S1392" s="10"/>
      <c r="T1392" s="10"/>
      <c r="U1392" s="10"/>
      <c r="V1392" s="10"/>
      <c r="W1392" s="10"/>
      <c r="X1392" s="10"/>
      <c r="Y1392" s="10"/>
      <c r="Z1392" s="10"/>
    </row>
    <row r="1393" spans="1:26" ht="12.75">
      <c r="A1393" s="10" t="str">
        <f ca="1">IFERROR(__xludf.DUMMYFUNCTION("""COMPUTED_VALUE"""),"Веселин Петров Чантов")</f>
        <v>Веселин Петров Чантов</v>
      </c>
      <c r="B1393" s="10" t="str">
        <f ca="1">IFERROR(__xludf.DUMMYFUNCTION("""COMPUTED_VALUE"""),"Статия в списания и поредици")</f>
        <v>Статия в списания и поредици</v>
      </c>
      <c r="C1393" s="10" t="str">
        <f ca="1">IFERROR(__xludf.DUMMYFUNCTION("""COMPUTED_VALUE"""),"Компетенции и Компетентност (между знанието и моженето)")</f>
        <v>Компетенции и Компетентност (между знанието и моженето)</v>
      </c>
      <c r="D1393" s="10">
        <f ca="1">IFERROR(__xludf.DUMMYFUNCTION("""COMPUTED_VALUE"""),2012)</f>
        <v>2012</v>
      </c>
      <c r="E1393" s="10" t="str">
        <f ca="1">IFERROR(__xludf.DUMMYFUNCTION("""COMPUTED_VALUE"""),"Нови информационни технологии в образователния процес. – София: За буквите – О писменех, 2012, с.328-342, ISSN 1313-2768")</f>
        <v>Нови информационни технологии в образователния процес. – София: За буквите – О писменех, 2012, с.328-342, ISSN 1313-2768</v>
      </c>
      <c r="F1393" s="10"/>
      <c r="G1393" s="10"/>
      <c r="H1393" s="10"/>
      <c r="I1393" s="10"/>
      <c r="J1393" s="10"/>
      <c r="K1393" s="10"/>
      <c r="L1393" s="10"/>
      <c r="M1393" s="10"/>
      <c r="N1393" s="10"/>
      <c r="O1393" s="10"/>
      <c r="P1393" s="10"/>
      <c r="Q1393" s="10"/>
      <c r="R1393" s="10"/>
      <c r="S1393" s="10"/>
      <c r="T1393" s="10"/>
      <c r="U1393" s="10"/>
      <c r="V1393" s="10"/>
      <c r="W1393" s="10"/>
      <c r="X1393" s="10"/>
      <c r="Y1393" s="10"/>
      <c r="Z1393" s="10"/>
    </row>
    <row r="1394" spans="1:26" ht="12.75">
      <c r="A1394" s="10" t="str">
        <f ca="1">IFERROR(__xludf.DUMMYFUNCTION("""COMPUTED_VALUE"""),"Веселин Петров Чантов")</f>
        <v>Веселин Петров Чантов</v>
      </c>
      <c r="B1394" s="10" t="str">
        <f ca="1">IFERROR(__xludf.DUMMYFUNCTION("""COMPUTED_VALUE"""),"Статия в списания и поредици")</f>
        <v>Статия в списания и поредици</v>
      </c>
      <c r="C1394" s="10" t="str">
        <f ca="1">IFERROR(__xludf.DUMMYFUNCTION("""COMPUTED_VALUE"""),"Развитие на критичното мислене на студентите в обучението по чужд език")</f>
        <v>Развитие на критичното мислене на студентите в обучението по чужд език</v>
      </c>
      <c r="D1394" s="10">
        <f ca="1">IFERROR(__xludf.DUMMYFUNCTION("""COMPUTED_VALUE"""),2012)</f>
        <v>2012</v>
      </c>
      <c r="E1394" s="10" t="str">
        <f ca="1">IFERROR(__xludf.DUMMYFUNCTION("""COMPUTED_VALUE"""),"Нови информационни технологии в образователния процес, София: За буквите – О писменех, 2012, с.187-204, ISSN 1313-2768")</f>
        <v>Нови информационни технологии в образователния процес, София: За буквите – О писменех, 2012, с.187-204, ISSN 1313-2768</v>
      </c>
      <c r="F1394" s="10"/>
      <c r="G1394" s="10" t="str">
        <f ca="1">IFERROR(__xludf.DUMMYFUNCTION("""COMPUTED_VALUE"""),"Славка Славова")</f>
        <v>Славка Славова</v>
      </c>
      <c r="H1394" s="10"/>
      <c r="I1394" s="10"/>
      <c r="J1394" s="10"/>
      <c r="K1394" s="10"/>
      <c r="L1394" s="10"/>
      <c r="M1394" s="10"/>
      <c r="N1394" s="10"/>
      <c r="O1394" s="10"/>
      <c r="P1394" s="10"/>
      <c r="Q1394" s="10"/>
      <c r="R1394" s="10"/>
      <c r="S1394" s="10"/>
      <c r="T1394" s="10"/>
      <c r="U1394" s="10"/>
      <c r="V1394" s="10"/>
      <c r="W1394" s="10"/>
      <c r="X1394" s="10"/>
      <c r="Y1394" s="10"/>
      <c r="Z1394" s="10"/>
    </row>
    <row r="1395" spans="1:26" ht="12.75">
      <c r="A1395" s="10" t="str">
        <f ca="1">IFERROR(__xludf.DUMMYFUNCTION("""COMPUTED_VALUE"""),"Веселин Петров Чантов")</f>
        <v>Веселин Петров Чантов</v>
      </c>
      <c r="B1395" s="10" t="str">
        <f ca="1">IFERROR(__xludf.DUMMYFUNCTION("""COMPUTED_VALUE"""),"Доклад от конференция")</f>
        <v>Доклад от конференция</v>
      </c>
      <c r="C1395" s="10" t="str">
        <f ca="1">IFERROR(__xludf.DUMMYFUNCTION("""COMPUTED_VALUE"""),"Интернет в компютърно-асистираната семинарна зала за чуждоезиковото обучение")</f>
        <v>Интернет в компютърно-асистираната семинарна зала за чуждоезиковото обучение</v>
      </c>
      <c r="D1395" s="10">
        <f ca="1">IFERROR(__xludf.DUMMYFUNCTION("""COMPUTED_VALUE"""),2012)</f>
        <v>2012</v>
      </c>
      <c r="E1395" s="10" t="str">
        <f ca="1">IFERROR(__xludf.DUMMYFUNCTION("""COMPUTED_VALUE"""),"Сборник с доклади и научни съобщения от IX Национална научна конференция с международно участие ""Обществото на знанието и хуманизмът на 21 век"", София, Изд. „За буквите - О писменехъ”, 2012, с.507-514 ISSN 1314-7099")</f>
        <v>Сборник с доклади и научни съобщения от IX Национална научна конференция с международно участие "Обществото на знанието и хуманизмът на 21 век", София, Изд. „За буквите - О писменехъ”, 2012, с.507-514 ISSN 1314-7099</v>
      </c>
      <c r="F1395" s="10"/>
      <c r="G1395" s="10"/>
      <c r="H1395" s="10"/>
      <c r="I1395" s="10"/>
      <c r="J1395" s="10"/>
      <c r="K1395" s="10"/>
      <c r="L1395" s="10"/>
      <c r="M1395" s="10"/>
      <c r="N1395" s="10"/>
      <c r="O1395" s="10"/>
      <c r="P1395" s="10"/>
      <c r="Q1395" s="10"/>
      <c r="R1395" s="10"/>
      <c r="S1395" s="10"/>
      <c r="T1395" s="10"/>
      <c r="U1395" s="10"/>
      <c r="V1395" s="10"/>
      <c r="W1395" s="10"/>
      <c r="X1395" s="10"/>
      <c r="Y1395" s="10"/>
      <c r="Z1395" s="10"/>
    </row>
    <row r="1396" spans="1:26" ht="12.75">
      <c r="A1396" s="10" t="str">
        <f ca="1">IFERROR(__xludf.DUMMYFUNCTION("""COMPUTED_VALUE"""),"Веселин Петров Чантов")</f>
        <v>Веселин Петров Чантов</v>
      </c>
      <c r="B1396" s="10" t="str">
        <f ca="1">IFERROR(__xludf.DUMMYFUNCTION("""COMPUTED_VALUE"""),"Статия в списания и поредици")</f>
        <v>Статия в списания и поредици</v>
      </c>
      <c r="C1396" s="10" t="str">
        <f ca="1">IFERROR(__xludf.DUMMYFUNCTION("""COMPUTED_VALUE"""),"Софтуер за създаване на мултимедийна среда за чуждоезиково обучение")</f>
        <v>Софтуер за създаване на мултимедийна среда за чуждоезиково обучение</v>
      </c>
      <c r="D1396" s="10">
        <f ca="1">IFERROR(__xludf.DUMMYFUNCTION("""COMPUTED_VALUE"""),2011)</f>
        <v>2011</v>
      </c>
      <c r="E1396" s="10" t="str">
        <f ca="1">IFERROR(__xludf.DUMMYFUNCTION("""COMPUTED_VALUE"""),"Трудове на СВУБИТ, Том 9, София, Изд. „За буквите - О писменехъ”, 2011, с.435-444, ISSN 1314-2623")</f>
        <v>Трудове на СВУБИТ, Том 9, София, Изд. „За буквите - О писменехъ”, 2011, с.435-444, ISSN 1314-2623</v>
      </c>
      <c r="F1396" s="10"/>
      <c r="G1396" s="10"/>
      <c r="H1396" s="10"/>
      <c r="I1396" s="10"/>
      <c r="J1396" s="10"/>
      <c r="K1396" s="10"/>
      <c r="L1396" s="10"/>
      <c r="M1396" s="10"/>
      <c r="N1396" s="10"/>
      <c r="O1396" s="10"/>
      <c r="P1396" s="10"/>
      <c r="Q1396" s="10"/>
      <c r="R1396" s="10"/>
      <c r="S1396" s="10"/>
      <c r="T1396" s="10"/>
      <c r="U1396" s="10"/>
      <c r="V1396" s="10"/>
      <c r="W1396" s="10"/>
      <c r="X1396" s="10"/>
      <c r="Y1396" s="10"/>
      <c r="Z1396" s="10"/>
    </row>
    <row r="1397" spans="1:26" ht="12.75">
      <c r="A1397" s="10" t="str">
        <f ca="1">IFERROR(__xludf.DUMMYFUNCTION("""COMPUTED_VALUE"""),"Веселин Петров Чантов")</f>
        <v>Веселин Петров Чантов</v>
      </c>
      <c r="B1397" s="10" t="str">
        <f ca="1">IFERROR(__xludf.DUMMYFUNCTION("""COMPUTED_VALUE"""),"Статия в списания и поредици")</f>
        <v>Статия в списания и поредици</v>
      </c>
      <c r="C1397" s="10" t="str">
        <f ca="1">IFERROR(__xludf.DUMMYFUNCTION("""COMPUTED_VALUE"""),"Мултимедията и принципи в теорията за ученето")</f>
        <v>Мултимедията и принципи в теорията за ученето</v>
      </c>
      <c r="D1397" s="10">
        <f ca="1">IFERROR(__xludf.DUMMYFUNCTION("""COMPUTED_VALUE"""),2010)</f>
        <v>2010</v>
      </c>
      <c r="E1397" s="10" t="str">
        <f ca="1">IFERROR(__xludf.DUMMYFUNCTION("""COMPUTED_VALUE"""),"Нови информационни технологии в образователния процес, София: За буквите – О писменех, 2010, с. 206-214, ISSN 1313-2768")</f>
        <v>Нови информационни технологии в образователния процес, София: За буквите – О писменех, 2010, с. 206-214, ISSN 1313-2768</v>
      </c>
      <c r="F1397" s="10"/>
      <c r="G1397" s="10"/>
      <c r="H1397" s="10"/>
      <c r="I1397" s="10"/>
      <c r="J1397" s="10"/>
      <c r="K1397" s="10"/>
      <c r="L1397" s="10"/>
      <c r="M1397" s="10"/>
      <c r="N1397" s="10"/>
      <c r="O1397" s="10"/>
      <c r="P1397" s="10"/>
      <c r="Q1397" s="10"/>
      <c r="R1397" s="10"/>
      <c r="S1397" s="10"/>
      <c r="T1397" s="10"/>
      <c r="U1397" s="10"/>
      <c r="V1397" s="10"/>
      <c r="W1397" s="10"/>
      <c r="X1397" s="10"/>
      <c r="Y1397" s="10"/>
      <c r="Z1397" s="10"/>
    </row>
    <row r="1398" spans="1:26" ht="12.75">
      <c r="A1398" s="10" t="str">
        <f ca="1">IFERROR(__xludf.DUMMYFUNCTION("""COMPUTED_VALUE"""),"Веселин Петров Чантов")</f>
        <v>Веселин Петров Чантов</v>
      </c>
      <c r="B1398" s="10" t="str">
        <f ca="1">IFERROR(__xludf.DUMMYFUNCTION("""COMPUTED_VALUE"""),"Доклад от конференция")</f>
        <v>Доклад от конференция</v>
      </c>
      <c r="C1398" s="10" t="str">
        <f ca="1">IFERROR(__xludf.DUMMYFUNCTION("""COMPUTED_VALUE"""),"Елементи на уеб-базирано обучение по английски език в средното училище")</f>
        <v>Елементи на уеб-базирано обучение по английски език в средното училище</v>
      </c>
      <c r="D1398" s="10">
        <f ca="1">IFERROR(__xludf.DUMMYFUNCTION("""COMPUTED_VALUE"""),2010)</f>
        <v>2010</v>
      </c>
      <c r="E1398" s="10" t="str">
        <f ca="1">IFERROR(__xludf.DUMMYFUNCTION("""COMPUTED_VALUE"""),"Международен семинар „Образование за всички“, т.1-В Средно и професионално образование, Изд. “Епископ, К. Преславски“, Шумен, 2010, с 141-153, ISSN 1313-4310")</f>
        <v>Международен семинар „Образование за всички“, т.1-В Средно и професионално образование, Изд. “Епископ, К. Преславски“, Шумен, 2010, с 141-153, ISSN 1313-4310</v>
      </c>
      <c r="F1398" s="10"/>
      <c r="G1398" s="10"/>
      <c r="H1398" s="10"/>
      <c r="I1398" s="10"/>
      <c r="J1398" s="10"/>
      <c r="K1398" s="10"/>
      <c r="L1398" s="10"/>
      <c r="M1398" s="10"/>
      <c r="N1398" s="10"/>
      <c r="O1398" s="10"/>
      <c r="P1398" s="10"/>
      <c r="Q1398" s="10"/>
      <c r="R1398" s="10"/>
      <c r="S1398" s="10"/>
      <c r="T1398" s="10"/>
      <c r="U1398" s="10"/>
      <c r="V1398" s="10"/>
      <c r="W1398" s="10"/>
      <c r="X1398" s="10"/>
      <c r="Y1398" s="10"/>
      <c r="Z1398" s="10"/>
    </row>
    <row r="1399" spans="1:26" ht="12.75">
      <c r="A1399" s="10" t="str">
        <f ca="1">IFERROR(__xludf.DUMMYFUNCTION("""COMPUTED_VALUE"""),"Веселин Петров Чантов")</f>
        <v>Веселин Петров Чантов</v>
      </c>
      <c r="B1399" s="10" t="str">
        <f ca="1">IFERROR(__xludf.DUMMYFUNCTION("""COMPUTED_VALUE"""),"Доклад от конференция")</f>
        <v>Доклад от конференция</v>
      </c>
      <c r="C1399" s="10" t="str">
        <f ca="1">IFERROR(__xludf.DUMMYFUNCTION("""COMPUTED_VALUE"""),"Мултимедийни технологии в обучението по английски език в началното училище")</f>
        <v>Мултимедийни технологии в обучението по английски език в началното училище</v>
      </c>
      <c r="D1399" s="10">
        <f ca="1">IFERROR(__xludf.DUMMYFUNCTION("""COMPUTED_VALUE"""),2010)</f>
        <v>2010</v>
      </c>
      <c r="E1399" s="10" t="str">
        <f ca="1">IFERROR(__xludf.DUMMYFUNCTION("""COMPUTED_VALUE"""),"Международен семинар „Образование за всички“, т.1-Б, Предучилищно, начално и основно образование, Шумен, 2010, с. 134-149, ISSN 1313-4310")</f>
        <v>Международен семинар „Образование за всички“, т.1-Б, Предучилищно, начално и основно образование, Шумен, 2010, с. 134-149, ISSN 1313-4310</v>
      </c>
      <c r="F1399" s="10"/>
      <c r="G1399" s="10"/>
      <c r="H1399" s="10"/>
      <c r="I1399" s="10"/>
      <c r="J1399" s="10"/>
      <c r="K1399" s="10"/>
      <c r="L1399" s="10"/>
      <c r="M1399" s="10"/>
      <c r="N1399" s="10"/>
      <c r="O1399" s="10"/>
      <c r="P1399" s="10"/>
      <c r="Q1399" s="10"/>
      <c r="R1399" s="10"/>
      <c r="S1399" s="10"/>
      <c r="T1399" s="10"/>
      <c r="U1399" s="10"/>
      <c r="V1399" s="10"/>
      <c r="W1399" s="10"/>
      <c r="X1399" s="10"/>
      <c r="Y1399" s="10"/>
      <c r="Z1399" s="10"/>
    </row>
    <row r="1400" spans="1:26" ht="12.75">
      <c r="A1400" s="10" t="str">
        <f ca="1">IFERROR(__xludf.DUMMYFUNCTION("""COMPUTED_VALUE"""),"Веселин Петров Чантов")</f>
        <v>Веселин Петров Чантов</v>
      </c>
      <c r="B1400" s="10" t="str">
        <f ca="1">IFERROR(__xludf.DUMMYFUNCTION("""COMPUTED_VALUE"""),"Доклад от конференция")</f>
        <v>Доклад от конференция</v>
      </c>
      <c r="C1400" s="10" t="str">
        <f ca="1">IFERROR(__xludf.DUMMYFUNCTION("""COMPUTED_VALUE"""),"Foreign Language Courses Curriculum at the state University of Library Studies and Information Technologies – a road to multilingual competence")</f>
        <v>Foreign Language Courses Curriculum at the state University of Library Studies and Information Technologies – a road to multilingual competence</v>
      </c>
      <c r="D1400" s="10">
        <f ca="1">IFERROR(__xludf.DUMMYFUNCTION("""COMPUTED_VALUE"""),2010)</f>
        <v>2010</v>
      </c>
      <c r="E1400" s="10" t="str">
        <f ca="1">IFERROR(__xludf.DUMMYFUNCTION("""COMPUTED_VALUE"""),"Concepts and Consequences of Multilingualism in Europe, Budapest, 2010, p. 314-322, ISBN 978-963-7340-69-7")</f>
        <v>Concepts and Consequences of Multilingualism in Europe, Budapest, 2010, p. 314-322, ISBN 978-963-7340-69-7</v>
      </c>
      <c r="F1400" s="10"/>
      <c r="G1400" s="10"/>
      <c r="H1400" s="10"/>
      <c r="I1400" s="10"/>
      <c r="J1400" s="10"/>
      <c r="K1400" s="10"/>
      <c r="L1400" s="10"/>
      <c r="M1400" s="10"/>
      <c r="N1400" s="10"/>
      <c r="O1400" s="10"/>
      <c r="P1400" s="10"/>
      <c r="Q1400" s="10"/>
      <c r="R1400" s="10"/>
      <c r="S1400" s="10"/>
      <c r="T1400" s="10"/>
      <c r="U1400" s="10"/>
      <c r="V1400" s="10"/>
      <c r="W1400" s="10"/>
      <c r="X1400" s="10"/>
      <c r="Y1400" s="10"/>
      <c r="Z1400" s="10"/>
    </row>
    <row r="1401" spans="1:26" ht="12.75">
      <c r="A1401" s="10" t="str">
        <f ca="1">IFERROR(__xludf.DUMMYFUNCTION("""COMPUTED_VALUE"""),"Веселин Петров Чантов")</f>
        <v>Веселин Петров Чантов</v>
      </c>
      <c r="B1401" s="10" t="str">
        <f ca="1">IFERROR(__xludf.DUMMYFUNCTION("""COMPUTED_VALUE"""),"Статия в списания и поредици")</f>
        <v>Статия в списания и поредици</v>
      </c>
      <c r="C1401" s="10" t="str">
        <f ca="1">IFERROR(__xludf.DUMMYFUNCTION("""COMPUTED_VALUE"""),"Ползване на видеоматериал в обучението по английски език")</f>
        <v>Ползване на видеоматериал в обучението по английски език</v>
      </c>
      <c r="D1401" s="10">
        <f ca="1">IFERROR(__xludf.DUMMYFUNCTION("""COMPUTED_VALUE"""),2009)</f>
        <v>2009</v>
      </c>
      <c r="E1401" s="10" t="str">
        <f ca="1">IFERROR(__xludf.DUMMYFUNCTION("""COMPUTED_VALUE"""),"Трудове на СВУБИТ, Том 7, София, Изд. „За буквите - О писменехъ”, 2009, с.116-122, ISSN 1314-2623")</f>
        <v>Трудове на СВУБИТ, Том 7, София, Изд. „За буквите - О писменехъ”, 2009, с.116-122, ISSN 1314-2623</v>
      </c>
      <c r="F1401" s="10"/>
      <c r="G1401" s="10"/>
      <c r="H1401" s="10"/>
      <c r="I1401" s="10"/>
      <c r="J1401" s="10"/>
      <c r="K1401" s="10"/>
      <c r="L1401" s="10"/>
      <c r="M1401" s="10"/>
      <c r="N1401" s="10"/>
      <c r="O1401" s="10"/>
      <c r="P1401" s="10"/>
      <c r="Q1401" s="10"/>
      <c r="R1401" s="10"/>
      <c r="S1401" s="10"/>
      <c r="T1401" s="10"/>
      <c r="U1401" s="10"/>
      <c r="V1401" s="10"/>
      <c r="W1401" s="10"/>
      <c r="X1401" s="10"/>
      <c r="Y1401" s="10"/>
      <c r="Z1401" s="10"/>
    </row>
    <row r="1402" spans="1:26" ht="12.75">
      <c r="A1402" s="10" t="str">
        <f ca="1">IFERROR(__xludf.DUMMYFUNCTION("""COMPUTED_VALUE"""),"Веселин Петров Чантов")</f>
        <v>Веселин Петров Чантов</v>
      </c>
      <c r="B1402" s="10" t="str">
        <f ca="1">IFERROR(__xludf.DUMMYFUNCTION("""COMPUTED_VALUE"""),"Статия в списания и поредици")</f>
        <v>Статия в списания и поредици</v>
      </c>
      <c r="C1402" s="10" t="str">
        <f ca="1">IFERROR(__xludf.DUMMYFUNCTION("""COMPUTED_VALUE"""),"Aвстрийската национална кухня в полза на изучаващите английски език в СВУБИТ (информационни технологии в урок по английски език с австрийски привкус)")</f>
        <v>Aвстрийската национална кухня в полза на изучаващите английски език в СВУБИТ (информационни технологии в урок по английски език с австрийски привкус)</v>
      </c>
      <c r="D1402" s="10">
        <f ca="1">IFERROR(__xludf.DUMMYFUNCTION("""COMPUTED_VALUE"""),2009)</f>
        <v>2009</v>
      </c>
      <c r="E1402" s="10" t="str">
        <f ca="1">IFERROR(__xludf.DUMMYFUNCTION("""COMPUTED_VALUE"""),"Съвременни измерения на европейското образователно и научно пространство. Българо-австрийски културни общувания, Сборник с доклади от международен пътуващ семинар на СВУБИТ – Виена, 2009, София, Изд. „За буквите – О писменехь, с.372-376, ISSN 2367-7988")</f>
        <v>Съвременни измерения на европейското образователно и научно пространство. Българо-австрийски културни общувания, Сборник с доклади от международен пътуващ семинар на СВУБИТ – Виена, 2009, София, Изд. „За буквите – О писменехь, с.372-376, ISSN 2367-7988</v>
      </c>
      <c r="F1402" s="10"/>
      <c r="G1402" s="10"/>
      <c r="H1402" s="10"/>
      <c r="I1402" s="10"/>
      <c r="J1402" s="10"/>
      <c r="K1402" s="10"/>
      <c r="L1402" s="10"/>
      <c r="M1402" s="10"/>
      <c r="N1402" s="10"/>
      <c r="O1402" s="10"/>
      <c r="P1402" s="10"/>
      <c r="Q1402" s="10"/>
      <c r="R1402" s="10"/>
      <c r="S1402" s="10"/>
      <c r="T1402" s="10"/>
      <c r="U1402" s="10"/>
      <c r="V1402" s="10"/>
      <c r="W1402" s="10"/>
      <c r="X1402" s="10"/>
      <c r="Y1402" s="10"/>
      <c r="Z1402" s="10"/>
    </row>
    <row r="1403" spans="1:26" ht="12.75">
      <c r="A1403" s="10" t="str">
        <f ca="1">IFERROR(__xludf.DUMMYFUNCTION("""COMPUTED_VALUE"""),"Веселин Петров Чантов")</f>
        <v>Веселин Петров Чантов</v>
      </c>
      <c r="B1403" s="10" t="str">
        <f ca="1">IFERROR(__xludf.DUMMYFUNCTION("""COMPUTED_VALUE"""),"Статия в списания и поредици")</f>
        <v>Статия в списания и поредици</v>
      </c>
      <c r="C1403" s="10" t="str">
        <f ca="1">IFERROR(__xludf.DUMMYFUNCTION("""COMPUTED_VALUE"""),"Уеб-ресурс за подобряване на обучението по английски език")</f>
        <v>Уеб-ресурс за подобряване на обучението по английски език</v>
      </c>
      <c r="D1403" s="10">
        <f ca="1">IFERROR(__xludf.DUMMYFUNCTION("""COMPUTED_VALUE"""),2009)</f>
        <v>2009</v>
      </c>
      <c r="E1403" s="10" t="str">
        <f ca="1">IFERROR(__xludf.DUMMYFUNCTION("""COMPUTED_VALUE"""),"Нови информационни технологии в образователния процес, София: За буквите – О писменех, 2009, с. 173-180, ISSN 1313-2768")</f>
        <v>Нови информационни технологии в образователния процес, София: За буквите – О писменех, 2009, с. 173-180, ISSN 1313-2768</v>
      </c>
      <c r="F1403" s="10"/>
      <c r="G1403" s="10"/>
      <c r="H1403" s="10"/>
      <c r="I1403" s="10"/>
      <c r="J1403" s="10"/>
      <c r="K1403" s="10"/>
      <c r="L1403" s="10"/>
      <c r="M1403" s="10"/>
      <c r="N1403" s="10"/>
      <c r="O1403" s="10"/>
      <c r="P1403" s="10"/>
      <c r="Q1403" s="10"/>
      <c r="R1403" s="10"/>
      <c r="S1403" s="10"/>
      <c r="T1403" s="10"/>
      <c r="U1403" s="10"/>
      <c r="V1403" s="10"/>
      <c r="W1403" s="10"/>
      <c r="X1403" s="10"/>
      <c r="Y1403" s="10"/>
      <c r="Z1403" s="10"/>
    </row>
    <row r="1404" spans="1:26" ht="12.75">
      <c r="A1404" s="10" t="str">
        <f ca="1">IFERROR(__xludf.DUMMYFUNCTION("""COMPUTED_VALUE"""),"Веселин Ценов Целков")</f>
        <v>Веселин Ценов Целков</v>
      </c>
      <c r="B1404" s="10" t="str">
        <f ca="1">IFERROR(__xludf.DUMMYFUNCTION("""COMPUTED_VALUE"""),"Учебно пособие")</f>
        <v>Учебно пособие</v>
      </c>
      <c r="C1404" s="10" t="str">
        <f ca="1">IFERROR(__xludf.DUMMYFUNCTION("""COMPUTED_VALUE"""),"Българският опит, добри практики и практически действия за защита на личните данни на чужденци")</f>
        <v>Българският опит, добри практики и практически действия за защита на личните данни на чужденци</v>
      </c>
      <c r="D1404" s="10">
        <f ca="1">IFERROR(__xludf.DUMMYFUNCTION("""COMPUTED_VALUE"""),2019)</f>
        <v>2019</v>
      </c>
      <c r="E1404" s="10" t="str">
        <f ca="1">IFERROR(__xludf.DUMMYFUNCTION("""COMPUTED_VALUE"""),"Бургаски свободен университет, Юридически сборник, том XXVI, 2019 г., ISSN 1311-3771, стр. 238 – 245")</f>
        <v>Бургаски свободен университет, Юридически сборник, том XXVI, 2019 г., ISSN 1311-3771, стр. 238 – 245</v>
      </c>
      <c r="F1404" s="10"/>
      <c r="G1404" s="10" t="str">
        <f ca="1">IFERROR(__xludf.DUMMYFUNCTION("""COMPUTED_VALUE"""),"Целков, В. и Г. Средков")</f>
        <v>Целков, В. и Г. Средков</v>
      </c>
      <c r="H1404" s="10"/>
      <c r="I1404" s="10"/>
      <c r="J1404" s="10"/>
      <c r="K1404" s="10"/>
      <c r="L1404" s="10"/>
      <c r="M1404" s="10"/>
      <c r="N1404" s="10"/>
      <c r="O1404" s="10"/>
      <c r="P1404" s="10"/>
      <c r="Q1404" s="10"/>
      <c r="R1404" s="10"/>
      <c r="S1404" s="10"/>
      <c r="T1404" s="10"/>
      <c r="U1404" s="10"/>
      <c r="V1404" s="10"/>
      <c r="W1404" s="10"/>
      <c r="X1404" s="10"/>
      <c r="Y1404" s="10"/>
      <c r="Z1404" s="10"/>
    </row>
    <row r="1405" spans="1:26" ht="12.75">
      <c r="A1405" s="10" t="str">
        <f ca="1">IFERROR(__xludf.DUMMYFUNCTION("""COMPUTED_VALUE"""),"Веселин Ценов Целков")</f>
        <v>Веселин Ценов Целков</v>
      </c>
      <c r="B1405" s="10" t="str">
        <f ca="1">IFERROR(__xludf.DUMMYFUNCTION("""COMPUTED_VALUE"""),"Статия в списания и поредици")</f>
        <v>Статия в списания и поредици</v>
      </c>
      <c r="C1405" s="10" t="str">
        <f ca="1">IFERROR(__xludf.DUMMYFUNCTION("""COMPUTED_VALUE"""),"Academic Review, Data Protection in Commercial Arbitration: In the Light on GDPR")</f>
        <v>Academic Review, Data Protection in Commercial Arbitration: In the Light on GDPR</v>
      </c>
      <c r="D1405" s="10">
        <f ca="1">IFERROR(__xludf.DUMMYFUNCTION("""COMPUTED_VALUE"""),2019)</f>
        <v>2019</v>
      </c>
      <c r="E1405" s="10" t="str">
        <f ca="1">IFERROR(__xludf.DUMMYFUNCTION("""COMPUTED_VALUE"""),"LAP LABBERT Academic Publishing, 2019, ISBN 978-620-0-26501-2")</f>
        <v>LAP LABBERT Academic Publishing, 2019, ISBN 978-620-0-26501-2</v>
      </c>
      <c r="F1405" s="10"/>
      <c r="G1405" s="10" t="str">
        <f ca="1">IFERROR(__xludf.DUMMYFUNCTION("""COMPUTED_VALUE"""),"Tselkov, V.")</f>
        <v>Tselkov, V.</v>
      </c>
      <c r="H1405" s="10"/>
      <c r="I1405" s="10"/>
      <c r="J1405" s="10"/>
      <c r="K1405" s="10"/>
      <c r="L1405" s="10"/>
      <c r="M1405" s="10"/>
      <c r="N1405" s="10"/>
      <c r="O1405" s="10"/>
      <c r="P1405" s="10"/>
      <c r="Q1405" s="10"/>
      <c r="R1405" s="10"/>
      <c r="S1405" s="10"/>
      <c r="T1405" s="10"/>
      <c r="U1405" s="10"/>
      <c r="V1405" s="10"/>
      <c r="W1405" s="10"/>
      <c r="X1405" s="10"/>
      <c r="Y1405" s="10"/>
      <c r="Z1405" s="10"/>
    </row>
    <row r="1406" spans="1:26" ht="12.75">
      <c r="A1406" s="10" t="str">
        <f ca="1">IFERROR(__xludf.DUMMYFUNCTION("""COMPUTED_VALUE"""),"Веселин Ценов Целков")</f>
        <v>Веселин Ценов Целков</v>
      </c>
      <c r="B1406" s="10" t="str">
        <f ca="1">IFERROR(__xludf.DUMMYFUNCTION("""COMPUTED_VALUE"""),"Книга")</f>
        <v>Книга</v>
      </c>
      <c r="C1406" s="10" t="str">
        <f ca="1">IFERROR(__xludf.DUMMYFUNCTION("""COMPUTED_VALUE"""),"Защита на данните - Принципи и практики")</f>
        <v>Защита на данните - Принципи и практики</v>
      </c>
      <c r="D1406" s="10">
        <f ca="1">IFERROR(__xludf.DUMMYFUNCTION("""COMPUTED_VALUE"""),2019)</f>
        <v>2019</v>
      </c>
      <c r="E1406" s="10" t="str">
        <f ca="1">IFERROR(__xludf.DUMMYFUNCTION("""COMPUTED_VALUE"""),"ИздателствоНова Здвезда ISBN:9786191853649")</f>
        <v>ИздателствоНова Здвезда ISBN:9786191853649</v>
      </c>
      <c r="F1406" s="10"/>
      <c r="G1406" s="10" t="str">
        <f ca="1">IFERROR(__xludf.DUMMYFUNCTION("""COMPUTED_VALUE"""),"Веселин Целков, Деян Петков, Георги Средков, Пламен Георгиев")</f>
        <v>Веселин Целков, Деян Петков, Георги Средков, Пламен Георгиев</v>
      </c>
      <c r="H1406" s="10"/>
      <c r="I1406" s="10"/>
      <c r="J1406" s="10"/>
      <c r="K1406" s="10"/>
      <c r="L1406" s="10"/>
      <c r="M1406" s="10"/>
      <c r="N1406" s="10"/>
      <c r="O1406" s="10"/>
      <c r="P1406" s="10"/>
      <c r="Q1406" s="10"/>
      <c r="R1406" s="10"/>
      <c r="S1406" s="10"/>
      <c r="T1406" s="10"/>
      <c r="U1406" s="10"/>
      <c r="V1406" s="10"/>
      <c r="W1406" s="10"/>
      <c r="X1406" s="10"/>
      <c r="Y1406" s="10"/>
      <c r="Z1406" s="10"/>
    </row>
    <row r="1407" spans="1:26" ht="12.75">
      <c r="A1407" s="10" t="str">
        <f ca="1">IFERROR(__xludf.DUMMYFUNCTION("""COMPUTED_VALUE"""),"Веселин Ценов Целков")</f>
        <v>Веселин Ценов Целков</v>
      </c>
      <c r="B1407" s="10" t="str">
        <f ca="1">IFERROR(__xludf.DUMMYFUNCTION("""COMPUTED_VALUE"""),"Статия в списания и поредици")</f>
        <v>Статия в списания и поредици</v>
      </c>
      <c r="C1407" s="10" t="str">
        <f ca="1">IFERROR(__xludf.DUMMYFUNCTION("""COMPUTED_VALUE"""),"Промени ли се бизнес средата в България след GDPR")</f>
        <v>Промени ли се бизнес средата в България след GDPR</v>
      </c>
      <c r="D1407" s="10">
        <f ca="1">IFERROR(__xludf.DUMMYFUNCTION("""COMPUTED_VALUE"""),2019)</f>
        <v>2019</v>
      </c>
      <c r="E1407" s="28" t="str">
        <f ca="1">IFERROR(__xludf.DUMMYFUNCTION("""COMPUTED_VALUE"""),"www.economy.bg")</f>
        <v>www.economy.bg</v>
      </c>
      <c r="F1407" s="10"/>
      <c r="G1407" s="10" t="str">
        <f ca="1">IFERROR(__xludf.DUMMYFUNCTION("""COMPUTED_VALUE"""),"Целков, В.")</f>
        <v>Целков, В.</v>
      </c>
      <c r="H1407" s="10"/>
      <c r="I1407" s="10"/>
      <c r="J1407" s="10"/>
      <c r="K1407" s="10"/>
      <c r="L1407" s="10"/>
      <c r="M1407" s="10"/>
      <c r="N1407" s="10"/>
      <c r="O1407" s="10"/>
      <c r="P1407" s="10"/>
      <c r="Q1407" s="10"/>
      <c r="R1407" s="10"/>
      <c r="S1407" s="10"/>
      <c r="T1407" s="10"/>
      <c r="U1407" s="10"/>
      <c r="V1407" s="10"/>
      <c r="W1407" s="10"/>
      <c r="X1407" s="10"/>
      <c r="Y1407" s="10"/>
      <c r="Z1407" s="10"/>
    </row>
    <row r="1408" spans="1:26" ht="12.75">
      <c r="A1408" s="10" t="str">
        <f ca="1">IFERROR(__xludf.DUMMYFUNCTION("""COMPUTED_VALUE"""),"Веселин Ценов Целков")</f>
        <v>Веселин Ценов Целков</v>
      </c>
      <c r="B1408" s="10" t="str">
        <f ca="1">IFERROR(__xludf.DUMMYFUNCTION("""COMPUTED_VALUE"""),"Статия в списания и поредици")</f>
        <v>Статия в списания и поредици</v>
      </c>
      <c r="C1408" s="10" t="str">
        <f ca="1">IFERROR(__xludf.DUMMYFUNCTION("""COMPUTED_VALUE"""),"Защита на личните данни")</f>
        <v>Защита на личните данни</v>
      </c>
      <c r="D1408" s="10">
        <f ca="1">IFERROR(__xludf.DUMMYFUNCTION("""COMPUTED_VALUE"""),2019)</f>
        <v>2019</v>
      </c>
      <c r="E1408" s="10" t="str">
        <f ca="1">IFERROR(__xludf.DUMMYFUNCTION("""COMPUTED_VALUE"""),"ИК „Труд и право“, 2019 г., ISBN 978-954-608-263-3")</f>
        <v>ИК „Труд и право“, 2019 г., ISBN 978-954-608-263-3</v>
      </c>
      <c r="F1408" s="10"/>
      <c r="G1408" s="10" t="str">
        <f ca="1">IFERROR(__xludf.DUMMYFUNCTION("""COMPUTED_VALUE"""),"Целков, В,Десислава Тошкова-Николова и Невин Фети")</f>
        <v>Целков, В,Десислава Тошкова-Николова и Невин Фети</v>
      </c>
      <c r="H1408" s="10"/>
      <c r="I1408" s="10"/>
      <c r="J1408" s="10"/>
      <c r="K1408" s="10"/>
      <c r="L1408" s="10"/>
      <c r="M1408" s="10"/>
      <c r="N1408" s="10"/>
      <c r="O1408" s="10"/>
      <c r="P1408" s="10"/>
      <c r="Q1408" s="10"/>
      <c r="R1408" s="10"/>
      <c r="S1408" s="10"/>
      <c r="T1408" s="10"/>
      <c r="U1408" s="10"/>
      <c r="V1408" s="10"/>
      <c r="W1408" s="10"/>
      <c r="X1408" s="10"/>
      <c r="Y1408" s="10"/>
      <c r="Z1408" s="10"/>
    </row>
    <row r="1409" spans="1:26" ht="12.75">
      <c r="A1409" s="10" t="str">
        <f ca="1">IFERROR(__xludf.DUMMYFUNCTION("""COMPUTED_VALUE"""),"Веселин Ценов Целков")</f>
        <v>Веселин Ценов Целков</v>
      </c>
      <c r="B1409" s="10" t="str">
        <f ca="1">IFERROR(__xludf.DUMMYFUNCTION("""COMPUTED_VALUE"""),"Доклад от конференция")</f>
        <v>Доклад от конференция</v>
      </c>
      <c r="C1409" s="10" t="str">
        <f ca="1">IFERROR(__xludf.DUMMYFUNCTION("""COMPUTED_VALUE"""),"Methodology for assessment General Data Protection Regulation (GDPR) compliance")</f>
        <v>Methodology for assessment General Data Protection Regulation (GDPR) compliance</v>
      </c>
      <c r="D1409" s="10">
        <f ca="1">IFERROR(__xludf.DUMMYFUNCTION("""COMPUTED_VALUE"""),2018)</f>
        <v>2018</v>
      </c>
      <c r="E1409" s="10" t="str">
        <f ca="1">IFERROR(__xludf.DUMMYFUNCTION("""COMPUTED_VALUE"""),"International Conference “Personal Data Protection”, 8.11.2018, Moscow, Russia")</f>
        <v>International Conference “Personal Data Protection”, 8.11.2018, Moscow, Russia</v>
      </c>
      <c r="F1409" s="10"/>
      <c r="G1409" s="10" t="str">
        <f ca="1">IFERROR(__xludf.DUMMYFUNCTION("""COMPUTED_VALUE"""),"Tselkov, V. , G. Sredkov and O. Aleksandrova")</f>
        <v>Tselkov, V. , G. Sredkov and O. Aleksandrova</v>
      </c>
      <c r="H1409" s="10"/>
      <c r="I1409" s="10"/>
      <c r="J1409" s="10"/>
      <c r="K1409" s="10"/>
      <c r="L1409" s="10"/>
      <c r="M1409" s="10"/>
      <c r="N1409" s="10"/>
      <c r="O1409" s="10"/>
      <c r="P1409" s="10"/>
      <c r="Q1409" s="10"/>
      <c r="R1409" s="10"/>
      <c r="S1409" s="10"/>
      <c r="T1409" s="10"/>
      <c r="U1409" s="10"/>
      <c r="V1409" s="10"/>
      <c r="W1409" s="10"/>
      <c r="X1409" s="10"/>
      <c r="Y1409" s="10"/>
      <c r="Z1409" s="10"/>
    </row>
    <row r="1410" spans="1:26" ht="12.75">
      <c r="A1410" s="10" t="str">
        <f ca="1">IFERROR(__xludf.DUMMYFUNCTION("""COMPUTED_VALUE"""),"Веселин Ценов Целков")</f>
        <v>Веселин Ценов Целков</v>
      </c>
      <c r="B1410" s="10" t="str">
        <f ca="1">IFERROR(__xludf.DUMMYFUNCTION("""COMPUTED_VALUE"""),"Статия в списания и поредици")</f>
        <v>Статия в списания и поредици</v>
      </c>
      <c r="C1410" s="10" t="str">
        <f ca="1">IFERROR(__xludf.DUMMYFUNCTION("""COMPUTED_VALUE"""),"Какво ще се промени с влизането в сила на Общият регламент за защита на личните данни")</f>
        <v>Какво ще се промени с влизането в сила на Общият регламент за защита на личните данни</v>
      </c>
      <c r="D1410" s="10">
        <f ca="1">IFERROR(__xludf.DUMMYFUNCTION("""COMPUTED_VALUE"""),2018)</f>
        <v>2018</v>
      </c>
      <c r="E1410" s="10" t="str">
        <f ca="1">IFERROR(__xludf.DUMMYFUNCTION("""COMPUTED_VALUE"""),"www.economy.bg; 1314-376Х")</f>
        <v>www.economy.bg; 1314-376Х</v>
      </c>
      <c r="F1410" s="10"/>
      <c r="G1410" s="10" t="str">
        <f ca="1">IFERROR(__xludf.DUMMYFUNCTION("""COMPUTED_VALUE"""),"Целков, В.")</f>
        <v>Целков, В.</v>
      </c>
      <c r="H1410" s="10"/>
      <c r="I1410" s="10"/>
      <c r="J1410" s="10"/>
      <c r="K1410" s="10"/>
      <c r="L1410" s="10"/>
      <c r="M1410" s="10"/>
      <c r="N1410" s="10"/>
      <c r="O1410" s="10"/>
      <c r="P1410" s="10"/>
      <c r="Q1410" s="10"/>
      <c r="R1410" s="10"/>
      <c r="S1410" s="10"/>
      <c r="T1410" s="10"/>
      <c r="U1410" s="10"/>
      <c r="V1410" s="10"/>
      <c r="W1410" s="10"/>
      <c r="X1410" s="10"/>
      <c r="Y1410" s="10"/>
      <c r="Z1410" s="10"/>
    </row>
    <row r="1411" spans="1:26" ht="12.75">
      <c r="A1411" s="10" t="str">
        <f ca="1">IFERROR(__xludf.DUMMYFUNCTION("""COMPUTED_VALUE"""),"Веселин Ценов Целков")</f>
        <v>Веселин Ценов Целков</v>
      </c>
      <c r="B1411" s="10" t="str">
        <f ca="1">IFERROR(__xludf.DUMMYFUNCTION("""COMPUTED_VALUE"""),"Статия в списания и поредици")</f>
        <v>Статия в списания и поредици</v>
      </c>
      <c r="C1411" s="10" t="str">
        <f ca="1">IFERROR(__xludf.DUMMYFUNCTION("""COMPUTED_VALUE"""),"Кои компании трябва да назначат DPO")</f>
        <v>Кои компании трябва да назначат DPO</v>
      </c>
      <c r="D1411" s="10">
        <f ca="1">IFERROR(__xludf.DUMMYFUNCTION("""COMPUTED_VALUE"""),2018)</f>
        <v>2018</v>
      </c>
      <c r="E1411" s="28" t="str">
        <f ca="1">IFERROR(__xludf.DUMMYFUNCTION("""COMPUTED_VALUE"""),"www.economy.bg")</f>
        <v>www.economy.bg</v>
      </c>
      <c r="F1411" s="10"/>
      <c r="G1411" s="10" t="str">
        <f ca="1">IFERROR(__xludf.DUMMYFUNCTION("""COMPUTED_VALUE"""),"Целков, В.")</f>
        <v>Целков, В.</v>
      </c>
      <c r="H1411" s="10"/>
      <c r="I1411" s="10"/>
      <c r="J1411" s="10"/>
      <c r="K1411" s="10"/>
      <c r="L1411" s="10"/>
      <c r="M1411" s="10"/>
      <c r="N1411" s="10"/>
      <c r="O1411" s="10"/>
      <c r="P1411" s="10"/>
      <c r="Q1411" s="10"/>
      <c r="R1411" s="10"/>
      <c r="S1411" s="10"/>
      <c r="T1411" s="10"/>
      <c r="U1411" s="10"/>
      <c r="V1411" s="10"/>
      <c r="W1411" s="10"/>
      <c r="X1411" s="10"/>
      <c r="Y1411" s="10"/>
      <c r="Z1411" s="10"/>
    </row>
    <row r="1412" spans="1:26" ht="12.75">
      <c r="A1412" s="10" t="str">
        <f ca="1">IFERROR(__xludf.DUMMYFUNCTION("""COMPUTED_VALUE"""),"Веселин Ценов Целков")</f>
        <v>Веселин Ценов Целков</v>
      </c>
      <c r="B1412" s="10" t="str">
        <f ca="1">IFERROR(__xludf.DUMMYFUNCTION("""COMPUTED_VALUE"""),"Статия в списания и поредици")</f>
        <v>Статия в списания и поредици</v>
      </c>
      <c r="C1412" s="10" t="str">
        <f ca="1">IFERROR(__xludf.DUMMYFUNCTION("""COMPUTED_VALUE"""),"Какво представляват секторните проверки провеждани от КЗЛД")</f>
        <v>Какво представляват секторните проверки провеждани от КЗЛД</v>
      </c>
      <c r="D1412" s="10">
        <f ca="1">IFERROR(__xludf.DUMMYFUNCTION("""COMPUTED_VALUE"""),2018)</f>
        <v>2018</v>
      </c>
      <c r="E1412" s="10" t="str">
        <f ca="1">IFERROR(__xludf.DUMMYFUNCTION("""COMPUTED_VALUE"""),"www.economy.bg; 1314-376Х")</f>
        <v>www.economy.bg; 1314-376Х</v>
      </c>
      <c r="F1412" s="10"/>
      <c r="G1412" s="10" t="str">
        <f ca="1">IFERROR(__xludf.DUMMYFUNCTION("""COMPUTED_VALUE"""),"Целков, В.")</f>
        <v>Целков, В.</v>
      </c>
      <c r="H1412" s="10"/>
      <c r="I1412" s="10"/>
      <c r="J1412" s="10"/>
      <c r="K1412" s="10"/>
      <c r="L1412" s="10"/>
      <c r="M1412" s="10"/>
      <c r="N1412" s="10"/>
      <c r="O1412" s="10"/>
      <c r="P1412" s="10"/>
      <c r="Q1412" s="10"/>
      <c r="R1412" s="10"/>
      <c r="S1412" s="10"/>
      <c r="T1412" s="10"/>
      <c r="U1412" s="10"/>
      <c r="V1412" s="10"/>
      <c r="W1412" s="10"/>
      <c r="X1412" s="10"/>
      <c r="Y1412" s="10"/>
      <c r="Z1412" s="10"/>
    </row>
    <row r="1413" spans="1:26" ht="12.75">
      <c r="A1413" s="10" t="str">
        <f ca="1">IFERROR(__xludf.DUMMYFUNCTION("""COMPUTED_VALUE"""),"Веселин Ценов Целков")</f>
        <v>Веселин Ценов Целков</v>
      </c>
      <c r="B1413" s="10" t="str">
        <f ca="1">IFERROR(__xludf.DUMMYFUNCTION("""COMPUTED_VALUE"""),"Учебно пособие")</f>
        <v>Учебно пособие</v>
      </c>
      <c r="C1413" s="10" t="str">
        <f ca="1">IFERROR(__xludf.DUMMYFUNCTION("""COMPUTED_VALUE"""),"Критерии и компетентност при оценка на съответствието с изискванията на Общия регламент за защита на личните данни")</f>
        <v>Критерии и компетентност при оценка на съответствието с изискванията на Общия регламент за защита на личните данни</v>
      </c>
      <c r="D1413" s="10">
        <f ca="1">IFERROR(__xludf.DUMMYFUNCTION("""COMPUTED_VALUE"""),2018)</f>
        <v>2018</v>
      </c>
      <c r="E1413" s="10" t="str">
        <f ca="1">IFERROR(__xludf.DUMMYFUNCTION("""COMPUTED_VALUE"""),"НВУ, Факултет „Артилерия, ПВО и КИС“, 12-13 май 2018 г., Шумен, СБОРНИК НАУЧНИ ТРУДОВЕ – ИС 2018 ISBN 978-954-9681-89-5")</f>
        <v>НВУ, Факултет „Артилерия, ПВО и КИС“, 12-13 май 2018 г., Шумен, СБОРНИК НАУЧНИ ТРУДОВЕ – ИС 2018 ISBN 978-954-9681-89-5</v>
      </c>
      <c r="F1413" s="10"/>
      <c r="G1413" s="10" t="str">
        <f ca="1">IFERROR(__xludf.DUMMYFUNCTION("""COMPUTED_VALUE"""),"Целков, В. и Г. Средков")</f>
        <v>Целков, В. и Г. Средков</v>
      </c>
      <c r="H1413" s="10"/>
      <c r="I1413" s="10"/>
      <c r="J1413" s="10"/>
      <c r="K1413" s="10"/>
      <c r="L1413" s="10"/>
      <c r="M1413" s="10"/>
      <c r="N1413" s="10"/>
      <c r="O1413" s="10"/>
      <c r="P1413" s="10"/>
      <c r="Q1413" s="10"/>
      <c r="R1413" s="10"/>
      <c r="S1413" s="10"/>
      <c r="T1413" s="10"/>
      <c r="U1413" s="10"/>
      <c r="V1413" s="10"/>
      <c r="W1413" s="10"/>
      <c r="X1413" s="10"/>
      <c r="Y1413" s="10"/>
      <c r="Z1413" s="10"/>
    </row>
    <row r="1414" spans="1:26" ht="12.75">
      <c r="A1414" s="10" t="str">
        <f ca="1">IFERROR(__xludf.DUMMYFUNCTION("""COMPUTED_VALUE"""),"Веселин Ценов Целков")</f>
        <v>Веселин Ценов Целков</v>
      </c>
      <c r="B1414" s="10" t="str">
        <f ca="1">IFERROR(__xludf.DUMMYFUNCTION("""COMPUTED_VALUE"""),"Статия в списания и поредици")</f>
        <v>Статия в списания и поредици</v>
      </c>
      <c r="C1414" s="10" t="str">
        <f ca="1">IFERROR(__xludf.DUMMYFUNCTION("""COMPUTED_VALUE"""),"Практическо ръководство за ИТ сигурност при обработката на лични данни")</f>
        <v>Практическо ръководство за ИТ сигурност при обработката на лични данни</v>
      </c>
      <c r="D1414" s="10">
        <f ca="1">IFERROR(__xludf.DUMMYFUNCTION("""COMPUTED_VALUE"""),2018)</f>
        <v>2018</v>
      </c>
      <c r="E1414" s="10" t="str">
        <f ca="1">IFERROR(__xludf.DUMMYFUNCTION("""COMPUTED_VALUE"""),"Информационен бюлетин на Комисията за защита на личните данни, ISSN 2367-7759, брой 4 (75), юли 2018, стр. 75 - 84")</f>
        <v>Информационен бюлетин на Комисията за защита на личните данни, ISSN 2367-7759, брой 4 (75), юли 2018, стр. 75 - 84</v>
      </c>
      <c r="F1414" s="10"/>
      <c r="G1414" s="10" t="str">
        <f ca="1">IFERROR(__xludf.DUMMYFUNCTION("""COMPUTED_VALUE"""),"Целков, В.")</f>
        <v>Целков, В.</v>
      </c>
      <c r="H1414" s="10"/>
      <c r="I1414" s="10"/>
      <c r="J1414" s="10"/>
      <c r="K1414" s="10"/>
      <c r="L1414" s="10"/>
      <c r="M1414" s="10"/>
      <c r="N1414" s="10"/>
      <c r="O1414" s="10"/>
      <c r="P1414" s="10"/>
      <c r="Q1414" s="10"/>
      <c r="R1414" s="10"/>
      <c r="S1414" s="10"/>
      <c r="T1414" s="10"/>
      <c r="U1414" s="10"/>
      <c r="V1414" s="10"/>
      <c r="W1414" s="10"/>
      <c r="X1414" s="10"/>
      <c r="Y1414" s="10"/>
      <c r="Z1414" s="10"/>
    </row>
    <row r="1415" spans="1:26" ht="12.75">
      <c r="A1415" s="10" t="str">
        <f ca="1">IFERROR(__xludf.DUMMYFUNCTION("""COMPUTED_VALUE"""),"Веселин Ценов Целков")</f>
        <v>Веселин Ценов Целков</v>
      </c>
      <c r="B1415" s="10" t="str">
        <f ca="1">IFERROR(__xludf.DUMMYFUNCTION("""COMPUTED_VALUE"""),"Учебно пособие")</f>
        <v>Учебно пособие</v>
      </c>
      <c r="C1415" s="10" t="str">
        <f ca="1">IFERROR(__xludf.DUMMYFUNCTION("""COMPUTED_VALUE"""),"Един поглед върху Общия регламент за защита на личните данни")</f>
        <v>Един поглед върху Общия регламент за защита на личните данни</v>
      </c>
      <c r="D1415" s="10">
        <f ca="1">IFERROR(__xludf.DUMMYFUNCTION("""COMPUTED_VALUE"""),2018)</f>
        <v>2018</v>
      </c>
      <c r="E1415" s="10" t="str">
        <f ca="1">IFERROR(__xludf.DUMMYFUNCTION("""COMPUTED_VALUE"""),"НВУ, Факултет „Артилерия, ПВО и КИС“, 12-13 май 2018 г., Шумен, СБОРНИК НАУЧНИ ТРУДОВЕ – ИС 2018 ISBN 978-954-9681-89-5")</f>
        <v>НВУ, Факултет „Артилерия, ПВО и КИС“, 12-13 май 2018 г., Шумен, СБОРНИК НАУЧНИ ТРУДОВЕ – ИС 2018 ISBN 978-954-9681-89-5</v>
      </c>
      <c r="F1415" s="10"/>
      <c r="G1415" s="10" t="str">
        <f ca="1">IFERROR(__xludf.DUMMYFUNCTION("""COMPUTED_VALUE"""),"Целков, В.,")</f>
        <v>Целков, В.,</v>
      </c>
      <c r="H1415" s="10"/>
      <c r="I1415" s="10"/>
      <c r="J1415" s="10"/>
      <c r="K1415" s="10"/>
      <c r="L1415" s="10"/>
      <c r="M1415" s="10"/>
      <c r="N1415" s="10"/>
      <c r="O1415" s="10"/>
      <c r="P1415" s="10"/>
      <c r="Q1415" s="10"/>
      <c r="R1415" s="10"/>
      <c r="S1415" s="10"/>
      <c r="T1415" s="10"/>
      <c r="U1415" s="10"/>
      <c r="V1415" s="10"/>
      <c r="W1415" s="10"/>
      <c r="X1415" s="10"/>
      <c r="Y1415" s="10"/>
      <c r="Z1415" s="10"/>
    </row>
    <row r="1416" spans="1:26" ht="12.75">
      <c r="A1416" s="10" t="str">
        <f ca="1">IFERROR(__xludf.DUMMYFUNCTION("""COMPUTED_VALUE"""),"Веселин Ценов Целков")</f>
        <v>Веселин Ценов Целков</v>
      </c>
      <c r="B1416" s="10" t="str">
        <f ca="1">IFERROR(__xludf.DUMMYFUNCTION("""COMPUTED_VALUE"""),"Статия в списания и поредици")</f>
        <v>Статия в списания и поредици</v>
      </c>
      <c r="C1416" s="10" t="str">
        <f ca="1">IFERROR(__xludf.DUMMYFUNCTION("""COMPUTED_VALUE"""),"Общият регламент за защита на личните данни – нови предизвикателства")</f>
        <v>Общият регламент за защита на личните данни – нови предизвикателства</v>
      </c>
      <c r="D1416" s="10">
        <f ca="1">IFERROR(__xludf.DUMMYFUNCTION("""COMPUTED_VALUE"""),2018)</f>
        <v>2018</v>
      </c>
      <c r="E1416" s="10" t="str">
        <f ca="1">IFERROR(__xludf.DUMMYFUNCTION("""COMPUTED_VALUE"""),"Информационен бюлетин на Комисията за защита на личните данни, ISSN 2367-7759, брой 2 (71), март 2018, стр. 79 – 83")</f>
        <v>Информационен бюлетин на Комисията за защита на личните данни, ISSN 2367-7759, брой 2 (71), март 2018, стр. 79 – 83</v>
      </c>
      <c r="F1416" s="10"/>
      <c r="G1416" s="10" t="str">
        <f ca="1">IFERROR(__xludf.DUMMYFUNCTION("""COMPUTED_VALUE"""),"Целков, В.")</f>
        <v>Целков, В.</v>
      </c>
      <c r="H1416" s="10"/>
      <c r="I1416" s="10"/>
      <c r="J1416" s="10"/>
      <c r="K1416" s="10"/>
      <c r="L1416" s="10"/>
      <c r="M1416" s="10"/>
      <c r="N1416" s="10"/>
      <c r="O1416" s="10"/>
      <c r="P1416" s="10"/>
      <c r="Q1416" s="10"/>
      <c r="R1416" s="10"/>
      <c r="S1416" s="10"/>
      <c r="T1416" s="10"/>
      <c r="U1416" s="10"/>
      <c r="V1416" s="10"/>
      <c r="W1416" s="10"/>
      <c r="X1416" s="10"/>
      <c r="Y1416" s="10"/>
      <c r="Z1416" s="10"/>
    </row>
    <row r="1417" spans="1:26" ht="12.75">
      <c r="A1417" s="10" t="str">
        <f ca="1">IFERROR(__xludf.DUMMYFUNCTION("""COMPUTED_VALUE"""),"Веселин Ценов Целков")</f>
        <v>Веселин Ценов Целков</v>
      </c>
      <c r="B1417" s="10" t="str">
        <f ca="1">IFERROR(__xludf.DUMMYFUNCTION("""COMPUTED_VALUE"""),"Доклад от конференция")</f>
        <v>Доклад от конференция</v>
      </c>
      <c r="C1417" s="10" t="str">
        <f ca="1">IFERROR(__xludf.DUMMYFUNCTION("""COMPUTED_VALUE"""),"Global Data Protection Regulation. New Challenges")</f>
        <v>Global Data Protection Regulation. New Challenges</v>
      </c>
      <c r="D1417" s="10">
        <f ca="1">IFERROR(__xludf.DUMMYFUNCTION("""COMPUTED_VALUE"""),2018)</f>
        <v>2018</v>
      </c>
      <c r="E1417" s="10" t="str">
        <f ca="1">IFERROR(__xludf.DUMMYFUNCTION("""COMPUTED_VALUE"""),"II International Conference “Cyber Security and Privacy”, 24 -25th of January 2018, Prishtina, Kosovo")</f>
        <v>II International Conference “Cyber Security and Privacy”, 24 -25th of January 2018, Prishtina, Kosovo</v>
      </c>
      <c r="F1417" s="10"/>
      <c r="G1417" s="10" t="str">
        <f ca="1">IFERROR(__xludf.DUMMYFUNCTION("""COMPUTED_VALUE"""),"Tselkov, V.")</f>
        <v>Tselkov, V.</v>
      </c>
      <c r="H1417" s="10"/>
      <c r="I1417" s="10"/>
      <c r="J1417" s="10"/>
      <c r="K1417" s="10"/>
      <c r="L1417" s="10"/>
      <c r="M1417" s="10"/>
      <c r="N1417" s="10"/>
      <c r="O1417" s="10"/>
      <c r="P1417" s="10"/>
      <c r="Q1417" s="10"/>
      <c r="R1417" s="10"/>
      <c r="S1417" s="10"/>
      <c r="T1417" s="10"/>
      <c r="U1417" s="10"/>
      <c r="V1417" s="10"/>
      <c r="W1417" s="10"/>
      <c r="X1417" s="10"/>
      <c r="Y1417" s="10"/>
      <c r="Z1417" s="10"/>
    </row>
    <row r="1418" spans="1:26" ht="12.75">
      <c r="A1418" s="10" t="str">
        <f ca="1">IFERROR(__xludf.DUMMYFUNCTION("""COMPUTED_VALUE"""),"Веселин Ценов Целков")</f>
        <v>Веселин Ценов Целков</v>
      </c>
      <c r="B1418" s="10" t="str">
        <f ca="1">IFERROR(__xludf.DUMMYFUNCTION("""COMPUTED_VALUE"""),"Статия в списания и поредици")</f>
        <v>Статия в списания и поредици</v>
      </c>
      <c r="C1418" s="10" t="str">
        <f ca="1">IFERROR(__xludf.DUMMYFUNCTION("""COMPUTED_VALUE"""),"10 начини да запазите своите ИТ системи безопасни и сигурни")</f>
        <v>10 начини да запазите своите ИТ системи безопасни и сигурни</v>
      </c>
      <c r="D1418" s="10">
        <f ca="1">IFERROR(__xludf.DUMMYFUNCTION("""COMPUTED_VALUE"""),2018)</f>
        <v>2018</v>
      </c>
      <c r="E1418" s="10" t="str">
        <f ca="1">IFERROR(__xludf.DUMMYFUNCTION("""COMPUTED_VALUE"""),"www.economy.bg; 1314-376Х")</f>
        <v>www.economy.bg; 1314-376Х</v>
      </c>
      <c r="F1418" s="10"/>
      <c r="G1418" s="10" t="str">
        <f ca="1">IFERROR(__xludf.DUMMYFUNCTION("""COMPUTED_VALUE"""),"Целков, В.,")</f>
        <v>Целков, В.,</v>
      </c>
      <c r="H1418" s="10"/>
      <c r="I1418" s="10"/>
      <c r="J1418" s="10"/>
      <c r="K1418" s="10"/>
      <c r="L1418" s="10"/>
      <c r="M1418" s="10"/>
      <c r="N1418" s="10"/>
      <c r="O1418" s="10"/>
      <c r="P1418" s="10"/>
      <c r="Q1418" s="10"/>
      <c r="R1418" s="10"/>
      <c r="S1418" s="10"/>
      <c r="T1418" s="10"/>
      <c r="U1418" s="10"/>
      <c r="V1418" s="10"/>
      <c r="W1418" s="10"/>
      <c r="X1418" s="10"/>
      <c r="Y1418" s="10"/>
      <c r="Z1418" s="10"/>
    </row>
    <row r="1419" spans="1:26" ht="12.75">
      <c r="A1419" s="10" t="str">
        <f ca="1">IFERROR(__xludf.DUMMYFUNCTION("""COMPUTED_VALUE"""),"Веселин Ценов Целков")</f>
        <v>Веселин Ценов Целков</v>
      </c>
      <c r="B1419" s="10" t="str">
        <f ca="1">IFERROR(__xludf.DUMMYFUNCTION("""COMPUTED_VALUE"""),"Статия в списания и поредици")</f>
        <v>Статия в списания и поредици</v>
      </c>
      <c r="C1419" s="10" t="str">
        <f ca="1">IFERROR(__xludf.DUMMYFUNCTION("""COMPUTED_VALUE"""),"Как да изберем консултант по GDPR")</f>
        <v>Как да изберем консултант по GDPR</v>
      </c>
      <c r="D1419" s="10">
        <f ca="1">IFERROR(__xludf.DUMMYFUNCTION("""COMPUTED_VALUE"""),2018)</f>
        <v>2018</v>
      </c>
      <c r="E1419" s="10" t="str">
        <f ca="1">IFERROR(__xludf.DUMMYFUNCTION("""COMPUTED_VALUE"""),"www.economy.bg; 1314-376Х")</f>
        <v>www.economy.bg; 1314-376Х</v>
      </c>
      <c r="F1419" s="10"/>
      <c r="G1419" s="10" t="str">
        <f ca="1">IFERROR(__xludf.DUMMYFUNCTION("""COMPUTED_VALUE"""),"Целков, В.")</f>
        <v>Целков, В.</v>
      </c>
      <c r="H1419" s="10"/>
      <c r="I1419" s="10"/>
      <c r="J1419" s="10"/>
      <c r="K1419" s="10"/>
      <c r="L1419" s="10"/>
      <c r="M1419" s="10"/>
      <c r="N1419" s="10"/>
      <c r="O1419" s="10"/>
      <c r="P1419" s="10"/>
      <c r="Q1419" s="10"/>
      <c r="R1419" s="10"/>
      <c r="S1419" s="10"/>
      <c r="T1419" s="10"/>
      <c r="U1419" s="10"/>
      <c r="V1419" s="10"/>
      <c r="W1419" s="10"/>
      <c r="X1419" s="10"/>
      <c r="Y1419" s="10"/>
      <c r="Z1419" s="10"/>
    </row>
    <row r="1420" spans="1:26" ht="12.75">
      <c r="A1420" s="10" t="str">
        <f ca="1">IFERROR(__xludf.DUMMYFUNCTION("""COMPUTED_VALUE"""),"Веселин Ценов Целков")</f>
        <v>Веселин Ценов Целков</v>
      </c>
      <c r="B1420" s="10" t="str">
        <f ca="1">IFERROR(__xludf.DUMMYFUNCTION("""COMPUTED_VALUE"""),"Доклад от конференция")</f>
        <v>Доклад от конференция</v>
      </c>
      <c r="C1420" s="10" t="str">
        <f ca="1">IFERROR(__xludf.DUMMYFUNCTION("""COMPUTED_VALUE"""),"The Commission for Personal Data Protection administrative services - constituent part of the Bulgarian e-government")</f>
        <v>The Commission for Personal Data Protection administrative services - constituent part of the Bulgarian e-government</v>
      </c>
      <c r="D1420" s="10">
        <f ca="1">IFERROR(__xludf.DUMMYFUNCTION("""COMPUTED_VALUE"""),2017)</f>
        <v>2017</v>
      </c>
      <c r="E1420" s="10" t="str">
        <f ca="1">IFERROR(__xludf.DUMMYFUNCTION("""COMPUTED_VALUE"""),"19th meeting, Central Eastern Europe Data Protection Authority (CEEDPA), 17-18 May 2017, Tbilisi, Georgia")</f>
        <v>19th meeting, Central Eastern Europe Data Protection Authority (CEEDPA), 17-18 May 2017, Tbilisi, Georgia</v>
      </c>
      <c r="F1420" s="10"/>
      <c r="G1420" s="10" t="str">
        <f ca="1">IFERROR(__xludf.DUMMYFUNCTION("""COMPUTED_VALUE"""),"Tselkov V.")</f>
        <v>Tselkov V.</v>
      </c>
      <c r="H1420" s="10"/>
      <c r="I1420" s="10"/>
      <c r="J1420" s="10"/>
      <c r="K1420" s="10"/>
      <c r="L1420" s="10"/>
      <c r="M1420" s="10"/>
      <c r="N1420" s="10"/>
      <c r="O1420" s="10"/>
      <c r="P1420" s="10"/>
      <c r="Q1420" s="10"/>
      <c r="R1420" s="10"/>
      <c r="S1420" s="10"/>
      <c r="T1420" s="10"/>
      <c r="U1420" s="10"/>
      <c r="V1420" s="10"/>
      <c r="W1420" s="10"/>
      <c r="X1420" s="10"/>
      <c r="Y1420" s="10"/>
      <c r="Z1420" s="10"/>
    </row>
    <row r="1421" spans="1:26" ht="12.75">
      <c r="A1421" s="10" t="str">
        <f ca="1">IFERROR(__xludf.DUMMYFUNCTION("""COMPUTED_VALUE"""),"Веселин Ценов Целков")</f>
        <v>Веселин Ценов Целков</v>
      </c>
      <c r="B1421" s="10" t="str">
        <f ca="1">IFERROR(__xludf.DUMMYFUNCTION("""COMPUTED_VALUE"""),"Статия в списания и поредици")</f>
        <v>Статия в списания и поредици</v>
      </c>
      <c r="C1421" s="10" t="str">
        <f ca="1">IFERROR(__xludf.DUMMYFUNCTION("""COMPUTED_VALUE"""),"Интернет базиран инструмент за определяне нивото на въздействие")</f>
        <v>Интернет базиран инструмент за определяне нивото на въздействие</v>
      </c>
      <c r="D1421" s="10">
        <f ca="1">IFERROR(__xludf.DUMMYFUNCTION("""COMPUTED_VALUE"""),2017)</f>
        <v>2017</v>
      </c>
      <c r="E1421" s="10" t="str">
        <f ca="1">IFERROR(__xludf.DUMMYFUNCTION("""COMPUTED_VALUE"""),"Информационен бюлетин на Комисията за защита на личните данни, ISSN 2367-7759, брой 2 (65), март 2017, стр. 73 - 83")</f>
        <v>Информационен бюлетин на Комисията за защита на личните данни, ISSN 2367-7759, брой 2 (65), март 2017, стр. 73 - 83</v>
      </c>
      <c r="F1421" s="10"/>
      <c r="G1421" s="10" t="str">
        <f ca="1">IFERROR(__xludf.DUMMYFUNCTION("""COMPUTED_VALUE"""),"Целков, В.")</f>
        <v>Целков, В.</v>
      </c>
      <c r="H1421" s="10"/>
      <c r="I1421" s="10"/>
      <c r="J1421" s="10"/>
      <c r="K1421" s="10"/>
      <c r="L1421" s="10"/>
      <c r="M1421" s="10"/>
      <c r="N1421" s="10"/>
      <c r="O1421" s="10"/>
      <c r="P1421" s="10"/>
      <c r="Q1421" s="10"/>
      <c r="R1421" s="10"/>
      <c r="S1421" s="10"/>
      <c r="T1421" s="10"/>
      <c r="U1421" s="10"/>
      <c r="V1421" s="10"/>
      <c r="W1421" s="10"/>
      <c r="X1421" s="10"/>
      <c r="Y1421" s="10"/>
      <c r="Z1421" s="10"/>
    </row>
    <row r="1422" spans="1:26" ht="12.75">
      <c r="A1422" s="10" t="str">
        <f ca="1">IFERROR(__xludf.DUMMYFUNCTION("""COMPUTED_VALUE"""),"Веселин Ценов Целков")</f>
        <v>Веселин Ценов Целков</v>
      </c>
      <c r="B1422" s="10" t="str">
        <f ca="1">IFERROR(__xludf.DUMMYFUNCTION("""COMPUTED_VALUE"""),"Книга")</f>
        <v>Книга</v>
      </c>
      <c r="C1422" s="10" t="str">
        <f ca="1">IFERROR(__xludf.DUMMYFUNCTION("""COMPUTED_VALUE"""),"Сигурност на информацията")</f>
        <v>Сигурност на информацията</v>
      </c>
      <c r="D1422" s="10">
        <f ca="1">IFERROR(__xludf.DUMMYFUNCTION("""COMPUTED_VALUE"""),2017)</f>
        <v>2017</v>
      </c>
      <c r="E1422" s="10" t="str">
        <f ca="1">IFERROR(__xludf.DUMMYFUNCTION("""COMPUTED_VALUE"""),"„За буквите – О писменехь”, 2016 г., 216 стр., ISBN 978-619- 185-253- 6")</f>
        <v>„За буквите – О писменехь”, 2016 г., 216 стр., ISBN 978-619- 185-253- 6</v>
      </c>
      <c r="F1422" s="10"/>
      <c r="G1422" s="10" t="str">
        <f ca="1">IFERROR(__xludf.DUMMYFUNCTION("""COMPUTED_VALUE"""),"Целков, В. и О. Исмаилов")</f>
        <v>Целков, В. и О. Исмаилов</v>
      </c>
      <c r="H1422" s="10"/>
      <c r="I1422" s="10"/>
      <c r="J1422" s="10"/>
      <c r="K1422" s="10"/>
      <c r="L1422" s="10"/>
      <c r="M1422" s="10"/>
      <c r="N1422" s="10"/>
      <c r="O1422" s="10"/>
      <c r="P1422" s="10"/>
      <c r="Q1422" s="10"/>
      <c r="R1422" s="10"/>
      <c r="S1422" s="10"/>
      <c r="T1422" s="10"/>
      <c r="U1422" s="10"/>
      <c r="V1422" s="10"/>
      <c r="W1422" s="10"/>
      <c r="X1422" s="10"/>
      <c r="Y1422" s="10"/>
      <c r="Z1422" s="10"/>
    </row>
    <row r="1423" spans="1:26" ht="12.75">
      <c r="A1423" s="10" t="str">
        <f ca="1">IFERROR(__xludf.DUMMYFUNCTION("""COMPUTED_VALUE"""),"Веселин Ценов Целков")</f>
        <v>Веселин Ценов Целков</v>
      </c>
      <c r="B1423" s="10" t="str">
        <f ca="1">IFERROR(__xludf.DUMMYFUNCTION("""COMPUTED_VALUE"""),"Учебно пособие")</f>
        <v>Учебно пособие</v>
      </c>
      <c r="C1423" s="10" t="str">
        <f ca="1">IFERROR(__xludf.DUMMYFUNCTION("""COMPUTED_VALUE"""),"Национална стратегия за кибер сигурност „Кибер устойчива България 2020“")</f>
        <v>Национална стратегия за кибер сигурност „Кибер устойчива България 2020“</v>
      </c>
      <c r="D1423" s="10">
        <f ca="1">IFERROR(__xludf.DUMMYFUNCTION("""COMPUTED_VALUE"""),2017)</f>
        <v>2017</v>
      </c>
      <c r="E1423" s="10" t="str">
        <f ca="1">IFERROR(__xludf.DUMMYFUNCTION("""COMPUTED_VALUE"""),"Проект LMPI, 573901-EPP-1-2016-1-IT-EPPKA2-CBHE-JP, 10-14 юли 2017 г., УниБИТ, София")</f>
        <v>Проект LMPI, 573901-EPP-1-2016-1-IT-EPPKA2-CBHE-JP, 10-14 юли 2017 г., УниБИТ, София</v>
      </c>
      <c r="F1423" s="10"/>
      <c r="G1423" s="10" t="str">
        <f ca="1">IFERROR(__xludf.DUMMYFUNCTION("""COMPUTED_VALUE"""),"Целков, В.")</f>
        <v>Целков, В.</v>
      </c>
      <c r="H1423" s="10"/>
      <c r="I1423" s="10"/>
      <c r="J1423" s="10"/>
      <c r="K1423" s="10"/>
      <c r="L1423" s="10"/>
      <c r="M1423" s="10"/>
      <c r="N1423" s="10"/>
      <c r="O1423" s="10"/>
      <c r="P1423" s="10"/>
      <c r="Q1423" s="10"/>
      <c r="R1423" s="10"/>
      <c r="S1423" s="10"/>
      <c r="T1423" s="10"/>
      <c r="U1423" s="10"/>
      <c r="V1423" s="10"/>
      <c r="W1423" s="10"/>
      <c r="X1423" s="10"/>
      <c r="Y1423" s="10"/>
      <c r="Z1423" s="10"/>
    </row>
    <row r="1424" spans="1:26" ht="12.75">
      <c r="A1424" s="10" t="str">
        <f ca="1">IFERROR(__xludf.DUMMYFUNCTION("""COMPUTED_VALUE"""),"Веселин Ценов Целков")</f>
        <v>Веселин Ценов Целков</v>
      </c>
      <c r="B1424" s="10" t="str">
        <f ca="1">IFERROR(__xludf.DUMMYFUNCTION("""COMPUTED_VALUE"""),"Доклад от конференция")</f>
        <v>Доклад от конференция</v>
      </c>
      <c r="C1424" s="10" t="str">
        <f ca="1">IFERROR(__xludf.DUMMYFUNCTION("""COMPUTED_VALUE"""),"Технологичен модел на обработката на данни в облака")</f>
        <v>Технологичен модел на обработката на данни в облака</v>
      </c>
      <c r="D1424" s="10">
        <f ca="1">IFERROR(__xludf.DUMMYFUNCTION("""COMPUTED_VALUE"""),2016)</f>
        <v>2016</v>
      </c>
      <c r="E1424" s="10" t="str">
        <f ca="1">IFERROR(__xludf.DUMMYFUNCTION("""COMPUTED_VALUE"""),"Научна конференция с международно участие „Облачните технологии и защитата на информацията“, НВУ, Факултет „Артилерия, ПВО и КИС“, 12-13 май 2016 г., Шумен, стр. 32 - 40")</f>
        <v>Научна конференция с международно участие „Облачните технологии и защитата на информацията“, НВУ, Факултет „Артилерия, ПВО и КИС“, 12-13 май 2016 г., Шумен, стр. 32 - 40</v>
      </c>
      <c r="F1424" s="10"/>
      <c r="G1424" s="10" t="str">
        <f ca="1">IFERROR(__xludf.DUMMYFUNCTION("""COMPUTED_VALUE"""),"Целков, В.")</f>
        <v>Целков, В.</v>
      </c>
      <c r="H1424" s="10"/>
      <c r="I1424" s="10"/>
      <c r="J1424" s="10"/>
      <c r="K1424" s="10"/>
      <c r="L1424" s="10"/>
      <c r="M1424" s="10"/>
      <c r="N1424" s="10"/>
      <c r="O1424" s="10"/>
      <c r="P1424" s="10"/>
      <c r="Q1424" s="10"/>
      <c r="R1424" s="10"/>
      <c r="S1424" s="10"/>
      <c r="T1424" s="10"/>
      <c r="U1424" s="10"/>
      <c r="V1424" s="10"/>
      <c r="W1424" s="10"/>
      <c r="X1424" s="10"/>
      <c r="Y1424" s="10"/>
      <c r="Z1424" s="10"/>
    </row>
    <row r="1425" spans="1:26" ht="12.75">
      <c r="A1425" s="10" t="str">
        <f ca="1">IFERROR(__xludf.DUMMYFUNCTION("""COMPUTED_VALUE"""),"Веселин Ценов Целков")</f>
        <v>Веселин Ценов Целков</v>
      </c>
      <c r="B1425" s="10" t="str">
        <f ca="1">IFERROR(__xludf.DUMMYFUNCTION("""COMPUTED_VALUE"""),"Доклад от конференция")</f>
        <v>Доклад от конференция</v>
      </c>
      <c r="C1425" s="10" t="str">
        <f ca="1">IFERROR(__xludf.DUMMYFUNCTION("""COMPUTED_VALUE"""),"Online Impact Assessment Tool")</f>
        <v>Online Impact Assessment Tool</v>
      </c>
      <c r="D1425" s="10">
        <f ca="1">IFERROR(__xludf.DUMMYFUNCTION("""COMPUTED_VALUE"""),2016)</f>
        <v>2016</v>
      </c>
      <c r="E1425" s="10" t="str">
        <f ca="1">IFERROR(__xludf.DUMMYFUNCTION("""COMPUTED_VALUE"""),"International Conference “Personal Data Protection”, 8.11.2016, Moscow, Russia")</f>
        <v>International Conference “Personal Data Protection”, 8.11.2016, Moscow, Russia</v>
      </c>
      <c r="F1425" s="10"/>
      <c r="G1425" s="10" t="str">
        <f ca="1">IFERROR(__xludf.DUMMYFUNCTION("""COMPUTED_VALUE"""),"Tselkov, V.")</f>
        <v>Tselkov, V.</v>
      </c>
      <c r="H1425" s="10"/>
      <c r="I1425" s="10"/>
      <c r="J1425" s="10"/>
      <c r="K1425" s="10"/>
      <c r="L1425" s="10"/>
      <c r="M1425" s="10"/>
      <c r="N1425" s="10"/>
      <c r="O1425" s="10"/>
      <c r="P1425" s="10"/>
      <c r="Q1425" s="10"/>
      <c r="R1425" s="10"/>
      <c r="S1425" s="10"/>
      <c r="T1425" s="10"/>
      <c r="U1425" s="10"/>
      <c r="V1425" s="10"/>
      <c r="W1425" s="10"/>
      <c r="X1425" s="10"/>
      <c r="Y1425" s="10"/>
      <c r="Z1425" s="10"/>
    </row>
    <row r="1426" spans="1:26" ht="12.75">
      <c r="A1426" s="10" t="str">
        <f ca="1">IFERROR(__xludf.DUMMYFUNCTION("""COMPUTED_VALUE"""),"Веселин Ценов Целков")</f>
        <v>Веселин Ценов Целков</v>
      </c>
      <c r="B1426" s="10" t="str">
        <f ca="1">IFERROR(__xludf.DUMMYFUNCTION("""COMPUTED_VALUE"""),"Доклад от конференция")</f>
        <v>Доклад от конференция</v>
      </c>
      <c r="C1426" s="10" t="str">
        <f ca="1">IFERROR(__xludf.DUMMYFUNCTION("""COMPUTED_VALUE"""),"Одит на сигурността на информационни системи свързани с Интернет")</f>
        <v>Одит на сигурността на информационни системи свързани с Интернет</v>
      </c>
      <c r="D1426" s="10">
        <f ca="1">IFERROR(__xludf.DUMMYFUNCTION("""COMPUTED_VALUE"""),2016)</f>
        <v>2016</v>
      </c>
      <c r="E1426" s="10" t="str">
        <f ca="1">IFERROR(__xludf.DUMMYFUNCTION("""COMPUTED_VALUE"""),"Научна конференция с международно участие „Облачните технологии и защитата на информацията“, НВУ, Факултет „Артилерия, ПВО и КИС“, 12-13 май 2016 г., Шумен, стр. 217 - 226")</f>
        <v>Научна конференция с международно участие „Облачните технологии и защитата на информацията“, НВУ, Факултет „Артилерия, ПВО и КИС“, 12-13 май 2016 г., Шумен, стр. 217 - 226</v>
      </c>
      <c r="F1426" s="10"/>
      <c r="G1426" s="10" t="str">
        <f ca="1">IFERROR(__xludf.DUMMYFUNCTION("""COMPUTED_VALUE"""),"Веселин Целков, Орхан Исмаилов и Мая Божилова")</f>
        <v>Веселин Целков, Орхан Исмаилов и Мая Божилова</v>
      </c>
      <c r="H1426" s="10"/>
      <c r="I1426" s="10"/>
      <c r="J1426" s="10"/>
      <c r="K1426" s="10"/>
      <c r="L1426" s="10"/>
      <c r="M1426" s="10"/>
      <c r="N1426" s="10"/>
      <c r="O1426" s="10"/>
      <c r="P1426" s="10"/>
      <c r="Q1426" s="10"/>
      <c r="R1426" s="10"/>
      <c r="S1426" s="10"/>
      <c r="T1426" s="10"/>
      <c r="U1426" s="10"/>
      <c r="V1426" s="10"/>
      <c r="W1426" s="10"/>
      <c r="X1426" s="10"/>
      <c r="Y1426" s="10"/>
      <c r="Z1426" s="10"/>
    </row>
    <row r="1427" spans="1:26" ht="12.75">
      <c r="A1427" s="10" t="str">
        <f ca="1">IFERROR(__xludf.DUMMYFUNCTION("""COMPUTED_VALUE"""),"Веселин Ценов Целков")</f>
        <v>Веселин Ценов Целков</v>
      </c>
      <c r="B1427" s="10" t="str">
        <f ca="1">IFERROR(__xludf.DUMMYFUNCTION("""COMPUTED_VALUE"""),"Доклад от конференция")</f>
        <v>Доклад от конференция</v>
      </c>
      <c r="C1427" s="10" t="str">
        <f ca="1">IFERROR(__xludf.DUMMYFUNCTION("""COMPUTED_VALUE"""),"Работна рамка за сигурността на личните данни обработвани от доставчици на електронни съобщителни услуги")</f>
        <v>Работна рамка за сигурността на личните данни обработвани от доставчици на електронни съобщителни услуги</v>
      </c>
      <c r="D1427" s="10">
        <f ca="1">IFERROR(__xludf.DUMMYFUNCTION("""COMPUTED_VALUE"""),2016)</f>
        <v>2016</v>
      </c>
      <c r="E1427" s="10" t="str">
        <f ca="1">IFERROR(__xludf.DUMMYFUNCTION("""COMPUTED_VALUE"""),"Международна научна конференция „ХЕМУС – 2016“, 27 – 28 май 2016 г., Международен панаир Пловдив")</f>
        <v>Международна научна конференция „ХЕМУС – 2016“, 27 – 28 май 2016 г., Международен панаир Пловдив</v>
      </c>
      <c r="F1427" s="10"/>
      <c r="G1427" s="10" t="str">
        <f ca="1">IFERROR(__xludf.DUMMYFUNCTION("""COMPUTED_VALUE"""),"Целков, В.")</f>
        <v>Целков, В.</v>
      </c>
      <c r="H1427" s="10"/>
      <c r="I1427" s="10"/>
      <c r="J1427" s="10"/>
      <c r="K1427" s="10"/>
      <c r="L1427" s="10"/>
      <c r="M1427" s="10"/>
      <c r="N1427" s="10"/>
      <c r="O1427" s="10"/>
      <c r="P1427" s="10"/>
      <c r="Q1427" s="10"/>
      <c r="R1427" s="10"/>
      <c r="S1427" s="10"/>
      <c r="T1427" s="10"/>
      <c r="U1427" s="10"/>
      <c r="V1427" s="10"/>
      <c r="W1427" s="10"/>
      <c r="X1427" s="10"/>
      <c r="Y1427" s="10"/>
      <c r="Z1427" s="10"/>
    </row>
    <row r="1428" spans="1:26" ht="12.75">
      <c r="A1428" s="10" t="str">
        <f ca="1">IFERROR(__xludf.DUMMYFUNCTION("""COMPUTED_VALUE"""),"Веселин Ценов Целков")</f>
        <v>Веселин Ценов Целков</v>
      </c>
      <c r="B1428" s="10" t="str">
        <f ca="1">IFERROR(__xludf.DUMMYFUNCTION("""COMPUTED_VALUE"""),"Доклад от конференция")</f>
        <v>Доклад от конференция</v>
      </c>
      <c r="C1428" s="10" t="str">
        <f ca="1">IFERROR(__xludf.DUMMYFUNCTION("""COMPUTED_VALUE"""),"Архитектура на Център за изследвания и обучение в областта на (по) кибер отбрана")</f>
        <v>Архитектура на Център за изследвания и обучение в областта на (по) кибер отбрана</v>
      </c>
      <c r="D1428" s="10">
        <f ca="1">IFERROR(__xludf.DUMMYFUNCTION("""COMPUTED_VALUE"""),2016)</f>
        <v>2016</v>
      </c>
      <c r="E1428" s="10" t="str">
        <f ca="1">IFERROR(__xludf.DUMMYFUNCTION("""COMPUTED_VALUE"""),"Военна академия „Г. С. Раковски")</f>
        <v>Военна академия „Г. С. Раковски</v>
      </c>
      <c r="F1428" s="10"/>
      <c r="G1428" s="10" t="str">
        <f ca="1">IFERROR(__xludf.DUMMYFUNCTION("""COMPUTED_VALUE"""),"Веселин Целков, Николай Стоянов. и Орхан Исмаилов")</f>
        <v>Веселин Целков, Николай Стоянов. и Орхан Исмаилов</v>
      </c>
      <c r="H1428" s="10"/>
      <c r="I1428" s="10"/>
      <c r="J1428" s="10"/>
      <c r="K1428" s="10"/>
      <c r="L1428" s="10"/>
      <c r="M1428" s="10"/>
      <c r="N1428" s="10"/>
      <c r="O1428" s="10"/>
      <c r="P1428" s="10"/>
      <c r="Q1428" s="10"/>
      <c r="R1428" s="10"/>
      <c r="S1428" s="10"/>
      <c r="T1428" s="10"/>
      <c r="U1428" s="10"/>
      <c r="V1428" s="10"/>
      <c r="W1428" s="10"/>
      <c r="X1428" s="10"/>
      <c r="Y1428" s="10"/>
      <c r="Z1428" s="10"/>
    </row>
    <row r="1429" spans="1:26" ht="12.75">
      <c r="A1429" s="10" t="str">
        <f ca="1">IFERROR(__xludf.DUMMYFUNCTION("""COMPUTED_VALUE"""),"Веселин Ценов Целков")</f>
        <v>Веселин Ценов Целков</v>
      </c>
      <c r="B1429" s="10" t="str">
        <f ca="1">IFERROR(__xludf.DUMMYFUNCTION("""COMPUTED_VALUE"""),"Книга")</f>
        <v>Книга</v>
      </c>
      <c r="C1429" s="10" t="str">
        <f ca="1">IFERROR(__xludf.DUMMYFUNCTION("""COMPUTED_VALUE"""),"Сигурност на информацията")</f>
        <v>Сигурност на информацията</v>
      </c>
      <c r="D1429" s="10">
        <f ca="1">IFERROR(__xludf.DUMMYFUNCTION("""COMPUTED_VALUE"""),2016)</f>
        <v>2016</v>
      </c>
      <c r="E1429" s="10" t="str">
        <f ca="1">IFERROR(__xludf.DUMMYFUNCTION("""COMPUTED_VALUE"""),"„За буквите – О писменехь”, 2016 г., 170 стр., ISBN 978-619- 185-253- 6")</f>
        <v>„За буквите – О писменехь”, 2016 г., 170 стр., ISBN 978-619- 185-253- 6</v>
      </c>
      <c r="F1429" s="10"/>
      <c r="G1429" s="10" t="str">
        <f ca="1">IFERROR(__xludf.DUMMYFUNCTION("""COMPUTED_VALUE"""),"Целков, В. и О. Исмаилов")</f>
        <v>Целков, В. и О. Исмаилов</v>
      </c>
      <c r="H1429" s="10"/>
      <c r="I1429" s="10"/>
      <c r="J1429" s="10"/>
      <c r="K1429" s="10"/>
      <c r="L1429" s="10"/>
      <c r="M1429" s="10"/>
      <c r="N1429" s="10"/>
      <c r="O1429" s="10"/>
      <c r="P1429" s="10"/>
      <c r="Q1429" s="10"/>
      <c r="R1429" s="10"/>
      <c r="S1429" s="10"/>
      <c r="T1429" s="10"/>
      <c r="U1429" s="10"/>
      <c r="V1429" s="10"/>
      <c r="W1429" s="10"/>
      <c r="X1429" s="10"/>
      <c r="Y1429" s="10"/>
      <c r="Z1429" s="10"/>
    </row>
    <row r="1430" spans="1:26" ht="12.75">
      <c r="A1430" s="10" t="str">
        <f ca="1">IFERROR(__xludf.DUMMYFUNCTION("""COMPUTED_VALUE"""),"Веселин Ценов Целков")</f>
        <v>Веселин Ценов Целков</v>
      </c>
      <c r="B1430" s="10" t="str">
        <f ca="1">IFERROR(__xludf.DUMMYFUNCTION("""COMPUTED_VALUE"""),"Доклад от конференция")</f>
        <v>Доклад от конференция</v>
      </c>
      <c r="C1430" s="10" t="str">
        <f ca="1">IFERROR(__xludf.DUMMYFUNCTION("""COMPUTED_VALUE"""),"Кибер сигурността в Република България. Историческо развитие и перспективи")</f>
        <v>Кибер сигурността в Република България. Историческо развитие и перспективи</v>
      </c>
      <c r="D1430" s="10">
        <f ca="1">IFERROR(__xludf.DUMMYFUNCTION("""COMPUTED_VALUE"""),2016)</f>
        <v>2016</v>
      </c>
      <c r="E1430" s="10" t="str">
        <f ca="1">IFERROR(__xludf.DUMMYFUNCTION("""COMPUTED_VALUE"""),"Научен семинар „Заплахи и рискове за сигурността на Република България в цифровия свят. Кибер сигурност и кибер устойчивост.“, УниБИТ, 5 юли 2016 г., София")</f>
        <v>Научен семинар „Заплахи и рискове за сигурността на Република България в цифровия свят. Кибер сигурност и кибер устойчивост.“, УниБИТ, 5 юли 2016 г., София</v>
      </c>
      <c r="F1430" s="10"/>
      <c r="G1430" s="10" t="str">
        <f ca="1">IFERROR(__xludf.DUMMYFUNCTION("""COMPUTED_VALUE"""),"Целков, В.")</f>
        <v>Целков, В.</v>
      </c>
      <c r="H1430" s="10"/>
      <c r="I1430" s="10"/>
      <c r="J1430" s="10"/>
      <c r="K1430" s="10"/>
      <c r="L1430" s="10"/>
      <c r="M1430" s="10"/>
      <c r="N1430" s="10"/>
      <c r="O1430" s="10"/>
      <c r="P1430" s="10"/>
      <c r="Q1430" s="10"/>
      <c r="R1430" s="10"/>
      <c r="S1430" s="10"/>
      <c r="T1430" s="10"/>
      <c r="U1430" s="10"/>
      <c r="V1430" s="10"/>
      <c r="W1430" s="10"/>
      <c r="X1430" s="10"/>
      <c r="Y1430" s="10"/>
      <c r="Z1430" s="10"/>
    </row>
    <row r="1431" spans="1:26" ht="12.75">
      <c r="A1431" s="10" t="str">
        <f ca="1">IFERROR(__xludf.DUMMYFUNCTION("""COMPUTED_VALUE"""),"Веселин Ценов Целков")</f>
        <v>Веселин Ценов Целков</v>
      </c>
      <c r="B1431" s="10" t="str">
        <f ca="1">IFERROR(__xludf.DUMMYFUNCTION("""COMPUTED_VALUE"""),"Книга")</f>
        <v>Книга</v>
      </c>
      <c r="C1431" s="10" t="str">
        <f ca="1">IFERROR(__xludf.DUMMYFUNCTION("""COMPUTED_VALUE"""),"Управление на риска, тестване и оценка на мрежовата и информационна сигурност")</f>
        <v>Управление на риска, тестване и оценка на мрежовата и информационна сигурност</v>
      </c>
      <c r="D1431" s="10">
        <f ca="1">IFERROR(__xludf.DUMMYFUNCTION("""COMPUTED_VALUE"""),2016)</f>
        <v>2016</v>
      </c>
      <c r="E1431" s="10" t="str">
        <f ca="1">IFERROR(__xludf.DUMMYFUNCTION("""COMPUTED_VALUE"""),"„За буквите – О писменехь”, 2016 г., 334 стр., ISBN 978-619-185-159-1")</f>
        <v>„За буквите – О писменехь”, 2016 г., 334 стр., ISBN 978-619-185-159-1</v>
      </c>
      <c r="F1431" s="10"/>
      <c r="G1431" s="10" t="str">
        <f ca="1">IFERROR(__xludf.DUMMYFUNCTION("""COMPUTED_VALUE"""),"Целков, В., Н. Стоянов и О. Исмаилов")</f>
        <v>Целков, В., Н. Стоянов и О. Исмаилов</v>
      </c>
      <c r="H1431" s="10"/>
      <c r="I1431" s="10"/>
      <c r="J1431" s="10"/>
      <c r="K1431" s="10"/>
      <c r="L1431" s="10"/>
      <c r="M1431" s="10"/>
      <c r="N1431" s="10"/>
      <c r="O1431" s="10"/>
      <c r="P1431" s="10"/>
      <c r="Q1431" s="10"/>
      <c r="R1431" s="10"/>
      <c r="S1431" s="10"/>
      <c r="T1431" s="10"/>
      <c r="U1431" s="10"/>
      <c r="V1431" s="10"/>
      <c r="W1431" s="10"/>
      <c r="X1431" s="10"/>
      <c r="Y1431" s="10"/>
      <c r="Z1431" s="10"/>
    </row>
    <row r="1432" spans="1:26" ht="12.75">
      <c r="A1432" s="10" t="str">
        <f ca="1">IFERROR(__xludf.DUMMYFUNCTION("""COMPUTED_VALUE"""),"Веселин Ценов Целков")</f>
        <v>Веселин Ценов Целков</v>
      </c>
      <c r="B1432" s="10" t="str">
        <f ca="1">IFERROR(__xludf.DUMMYFUNCTION("""COMPUTED_VALUE"""),"Доклад от конференция")</f>
        <v>Доклад от конференция</v>
      </c>
      <c r="C1432" s="10" t="str">
        <f ca="1">IFERROR(__xludf.DUMMYFUNCTION("""COMPUTED_VALUE"""),"Интернет базираните сензорни системи и защитата на данните")</f>
        <v>Интернет базираните сензорни системи и защитата на данните</v>
      </c>
      <c r="D1432" s="10">
        <f ca="1">IFERROR(__xludf.DUMMYFUNCTION("""COMPUTED_VALUE"""),2015)</f>
        <v>2015</v>
      </c>
      <c r="E1432" s="10" t="str">
        <f ca="1">IFERROR(__xludf.DUMMYFUNCTION("""COMPUTED_VALUE"""),"XIII Национална научна конференция с международно участие „Общество на знанието и хуманизмът на XXI век“, 31октомври – 1 ноември 2015, УниБИТ, БАН")</f>
        <v>XIII Национална научна конференция с международно участие „Общество на знанието и хуманизмът на XXI век“, 31октомври – 1 ноември 2015, УниБИТ, БАН</v>
      </c>
      <c r="F1432" s="10"/>
      <c r="G1432" s="10" t="str">
        <f ca="1">IFERROR(__xludf.DUMMYFUNCTION("""COMPUTED_VALUE"""),"Целков, В.")</f>
        <v>Целков, В.</v>
      </c>
      <c r="H1432" s="10"/>
      <c r="I1432" s="10"/>
      <c r="J1432" s="10"/>
      <c r="K1432" s="10"/>
      <c r="L1432" s="10"/>
      <c r="M1432" s="10"/>
      <c r="N1432" s="10"/>
      <c r="O1432" s="10"/>
      <c r="P1432" s="10"/>
      <c r="Q1432" s="10"/>
      <c r="R1432" s="10"/>
      <c r="S1432" s="10"/>
      <c r="T1432" s="10"/>
      <c r="U1432" s="10"/>
      <c r="V1432" s="10"/>
      <c r="W1432" s="10"/>
      <c r="X1432" s="10"/>
      <c r="Y1432" s="10"/>
      <c r="Z1432" s="10"/>
    </row>
    <row r="1433" spans="1:26" ht="12.75">
      <c r="A1433" s="10" t="str">
        <f ca="1">IFERROR(__xludf.DUMMYFUNCTION("""COMPUTED_VALUE"""),"Веселин Ценов Целков")</f>
        <v>Веселин Ценов Целков</v>
      </c>
      <c r="B1433" s="10" t="str">
        <f ca="1">IFERROR(__xludf.DUMMYFUNCTION("""COMPUTED_VALUE"""),"Доклад от конференция")</f>
        <v>Доклад от конференция</v>
      </c>
      <c r="C1433" s="10" t="str">
        <f ca="1">IFERROR(__xludf.DUMMYFUNCTION("""COMPUTED_VALUE"""),"Науката Криптография и използването и в медийното пространство")</f>
        <v>Науката Криптография и използването и в медийното пространство</v>
      </c>
      <c r="D1433" s="10">
        <f ca="1">IFERROR(__xludf.DUMMYFUNCTION("""COMPUTED_VALUE"""),2015)</f>
        <v>2015</v>
      </c>
      <c r="E1433" s="10" t="str">
        <f ca="1">IFERROR(__xludf.DUMMYFUNCTION("""COMPUTED_VALUE"""),"XIII Национална научна конференция с международно участие „Общество на знанието и хуманизмът на XXI век“, 31октомври – 1 ноември 2015, УниБИТ, БАН")</f>
        <v>XIII Национална научна конференция с международно участие „Общество на знанието и хуманизмът на XXI век“, 31октомври – 1 ноември 2015, УниБИТ, БАН</v>
      </c>
      <c r="F1433" s="10"/>
      <c r="G1433" s="10" t="str">
        <f ca="1">IFERROR(__xludf.DUMMYFUNCTION("""COMPUTED_VALUE"""),"Целков, В. и С. Кусева")</f>
        <v>Целков, В. и С. Кусева</v>
      </c>
      <c r="H1433" s="10"/>
      <c r="I1433" s="10"/>
      <c r="J1433" s="10"/>
      <c r="K1433" s="10"/>
      <c r="L1433" s="10"/>
      <c r="M1433" s="10"/>
      <c r="N1433" s="10"/>
      <c r="O1433" s="10"/>
      <c r="P1433" s="10"/>
      <c r="Q1433" s="10"/>
      <c r="R1433" s="10"/>
      <c r="S1433" s="10"/>
      <c r="T1433" s="10"/>
      <c r="U1433" s="10"/>
      <c r="V1433" s="10"/>
      <c r="W1433" s="10"/>
      <c r="X1433" s="10"/>
      <c r="Y1433" s="10"/>
      <c r="Z1433" s="10"/>
    </row>
    <row r="1434" spans="1:26" ht="12.75">
      <c r="A1434" s="10" t="str">
        <f ca="1">IFERROR(__xludf.DUMMYFUNCTION("""COMPUTED_VALUE"""),"Веселин Ценов Целков")</f>
        <v>Веселин Ценов Целков</v>
      </c>
      <c r="B1434" s="10" t="str">
        <f ca="1">IFERROR(__xludf.DUMMYFUNCTION("""COMPUTED_VALUE"""),"Статия в списания и поредици")</f>
        <v>Статия в списания и поредици</v>
      </c>
      <c r="C1434" s="10" t="str">
        <f ca="1">IFERROR(__xludf.DUMMYFUNCTION("""COMPUTED_VALUE"""),"Сензорните устройства свързани с Интернет - голямо предизвикателство за неприкосновеността и защита на данните")</f>
        <v>Сензорните устройства свързани с Интернет - голямо предизвикателство за неприкосновеността и защита на данните</v>
      </c>
      <c r="D1434" s="10">
        <f ca="1">IFERROR(__xludf.DUMMYFUNCTION("""COMPUTED_VALUE"""),2015)</f>
        <v>2015</v>
      </c>
      <c r="E1434" s="10" t="str">
        <f ca="1">IFERROR(__xludf.DUMMYFUNCTION("""COMPUTED_VALUE"""),"Информационен бюлетин на Комисията за защита на личните данни, ISSN 2367-7759, брой 5 (56), септември 2015")</f>
        <v>Информационен бюлетин на Комисията за защита на личните данни, ISSN 2367-7759, брой 5 (56), септември 2015</v>
      </c>
      <c r="F1434" s="10"/>
      <c r="G1434" s="10" t="str">
        <f ca="1">IFERROR(__xludf.DUMMYFUNCTION("""COMPUTED_VALUE"""),"Целков, В.,")</f>
        <v>Целков, В.,</v>
      </c>
      <c r="H1434" s="10"/>
      <c r="I1434" s="10"/>
      <c r="J1434" s="10"/>
      <c r="K1434" s="10"/>
      <c r="L1434" s="10"/>
      <c r="M1434" s="10"/>
      <c r="N1434" s="10"/>
      <c r="O1434" s="10"/>
      <c r="P1434" s="10"/>
      <c r="Q1434" s="10"/>
      <c r="R1434" s="10"/>
      <c r="S1434" s="10"/>
      <c r="T1434" s="10"/>
      <c r="U1434" s="10"/>
      <c r="V1434" s="10"/>
      <c r="W1434" s="10"/>
      <c r="X1434" s="10"/>
      <c r="Y1434" s="10"/>
      <c r="Z1434" s="10"/>
    </row>
    <row r="1435" spans="1:26" ht="12.75">
      <c r="A1435" s="10" t="str">
        <f ca="1">IFERROR(__xludf.DUMMYFUNCTION("""COMPUTED_VALUE"""),"Веселин Ценов Целков")</f>
        <v>Веселин Ценов Целков</v>
      </c>
      <c r="B1435" s="10" t="str">
        <f ca="1">IFERROR(__xludf.DUMMYFUNCTION("""COMPUTED_VALUE"""),"Доклад от конференция")</f>
        <v>Доклад от конференция</v>
      </c>
      <c r="C1435" s="10" t="str">
        <f ca="1">IFERROR(__xludf.DUMMYFUNCTION("""COMPUTED_VALUE"""),"Bulgarian Experience in Setting Up the Minimum Technical and Organizational Measures Personal Data Protection")</f>
        <v>Bulgarian Experience in Setting Up the Minimum Technical and Organizational Measures Personal Data Protection</v>
      </c>
      <c r="D1435" s="10">
        <f ca="1">IFERROR(__xludf.DUMMYFUNCTION("""COMPUTED_VALUE"""),2015)</f>
        <v>2015</v>
      </c>
      <c r="E1435" s="10" t="str">
        <f ca="1">IFERROR(__xludf.DUMMYFUNCTION("""COMPUTED_VALUE"""),"17th meeting, Central Eastern Europe Data Protection Authority (CEEDPA), “Privacy and Technology: Challenges and Opportunities”, 29-30 April 2015, Durres, Albania")</f>
        <v>17th meeting, Central Eastern Europe Data Protection Authority (CEEDPA), “Privacy and Technology: Challenges and Opportunities”, 29-30 April 2015, Durres, Albania</v>
      </c>
      <c r="F1435" s="10"/>
      <c r="G1435" s="10" t="str">
        <f ca="1">IFERROR(__xludf.DUMMYFUNCTION("""COMPUTED_VALUE"""),"Tselkov V.")</f>
        <v>Tselkov V.</v>
      </c>
      <c r="H1435" s="10"/>
      <c r="I1435" s="10"/>
      <c r="J1435" s="10"/>
      <c r="K1435" s="10"/>
      <c r="L1435" s="10"/>
      <c r="M1435" s="10"/>
      <c r="N1435" s="10"/>
      <c r="O1435" s="10"/>
      <c r="P1435" s="10"/>
      <c r="Q1435" s="10"/>
      <c r="R1435" s="10"/>
      <c r="S1435" s="10"/>
      <c r="T1435" s="10"/>
      <c r="U1435" s="10"/>
      <c r="V1435" s="10"/>
      <c r="W1435" s="10"/>
      <c r="X1435" s="10"/>
      <c r="Y1435" s="10"/>
      <c r="Z1435" s="10"/>
    </row>
    <row r="1436" spans="1:26" ht="12.75">
      <c r="A1436" s="10" t="str">
        <f ca="1">IFERROR(__xludf.DUMMYFUNCTION("""COMPUTED_VALUE"""),"Веселин Ценов Целков")</f>
        <v>Веселин Ценов Целков</v>
      </c>
      <c r="B1436" s="10" t="str">
        <f ca="1">IFERROR(__xludf.DUMMYFUNCTION("""COMPUTED_VALUE"""),"Доклад от конференция")</f>
        <v>Доклад от конференция</v>
      </c>
      <c r="C1436" s="10" t="str">
        <f ca="1">IFERROR(__xludf.DUMMYFUNCTION("""COMPUTED_VALUE"""),"Bulgarian Experience, Best Practices and Practical Issues for Personal Data Protection of Foreigners")</f>
        <v>Bulgarian Experience, Best Practices and Practical Issues for Personal Data Protection of Foreigners</v>
      </c>
      <c r="D1436" s="10">
        <f ca="1">IFERROR(__xludf.DUMMYFUNCTION("""COMPUTED_VALUE"""),2015)</f>
        <v>2015</v>
      </c>
      <c r="E1436" s="10" t="str">
        <f ca="1">IFERROR(__xludf.DUMMYFUNCTION("""COMPUTED_VALUE"""),"Workshop on personal data protection of foreigners (including asylum, migrants, …), JHA 22254/57286, 24-25 February 2015, Skopje, Macedonia")</f>
        <v>Workshop on personal data protection of foreigners (including asylum, migrants, …), JHA 22254/57286, 24-25 February 2015, Skopje, Macedonia</v>
      </c>
      <c r="F1436" s="10"/>
      <c r="G1436" s="10" t="str">
        <f ca="1">IFERROR(__xludf.DUMMYFUNCTION("""COMPUTED_VALUE"""),"Tselkov V.")</f>
        <v>Tselkov V.</v>
      </c>
      <c r="H1436" s="10"/>
      <c r="I1436" s="10"/>
      <c r="J1436" s="10"/>
      <c r="K1436" s="10"/>
      <c r="L1436" s="10"/>
      <c r="M1436" s="10"/>
      <c r="N1436" s="10"/>
      <c r="O1436" s="10"/>
      <c r="P1436" s="10"/>
      <c r="Q1436" s="10"/>
      <c r="R1436" s="10"/>
      <c r="S1436" s="10"/>
      <c r="T1436" s="10"/>
      <c r="U1436" s="10"/>
      <c r="V1436" s="10"/>
      <c r="W1436" s="10"/>
      <c r="X1436" s="10"/>
      <c r="Y1436" s="10"/>
      <c r="Z1436" s="10"/>
    </row>
    <row r="1437" spans="1:26" ht="12.75">
      <c r="A1437" s="10" t="str">
        <f ca="1">IFERROR(__xludf.DUMMYFUNCTION("""COMPUTED_VALUE"""),"Веселин Ценов Целков")</f>
        <v>Веселин Ценов Целков</v>
      </c>
      <c r="B1437" s="10" t="str">
        <f ca="1">IFERROR(__xludf.DUMMYFUNCTION("""COMPUTED_VALUE"""),"Доклад от конференция")</f>
        <v>Доклад от конференция</v>
      </c>
      <c r="C1437" s="10" t="str">
        <f ca="1">IFERROR(__xludf.DUMMYFUNCTION("""COMPUTED_VALUE"""),"New Challenges for Privacy and Personal Data Protection in Digital World")</f>
        <v>New Challenges for Privacy and Personal Data Protection in Digital World</v>
      </c>
      <c r="D1437" s="10">
        <f ca="1">IFERROR(__xludf.DUMMYFUNCTION("""COMPUTED_VALUE"""),2015)</f>
        <v>2015</v>
      </c>
      <c r="E1437" s="10" t="str">
        <f ca="1">IFERROR(__xludf.DUMMYFUNCTION("""COMPUTED_VALUE"""),"Regional Conference “Privacy in Digital Age”, 27-28 January 2015, Pristina, Kosovo")</f>
        <v>Regional Conference “Privacy in Digital Age”, 27-28 January 2015, Pristina, Kosovo</v>
      </c>
      <c r="F1437" s="10"/>
      <c r="G1437" s="10" t="str">
        <f ca="1">IFERROR(__xludf.DUMMYFUNCTION("""COMPUTED_VALUE"""),"1. Tselkov V.")</f>
        <v>1. Tselkov V.</v>
      </c>
      <c r="H1437" s="10"/>
      <c r="I1437" s="10"/>
      <c r="J1437" s="10"/>
      <c r="K1437" s="10"/>
      <c r="L1437" s="10"/>
      <c r="M1437" s="10"/>
      <c r="N1437" s="10"/>
      <c r="O1437" s="10"/>
      <c r="P1437" s="10"/>
      <c r="Q1437" s="10"/>
      <c r="R1437" s="10"/>
      <c r="S1437" s="10"/>
      <c r="T1437" s="10"/>
      <c r="U1437" s="10"/>
      <c r="V1437" s="10"/>
      <c r="W1437" s="10"/>
      <c r="X1437" s="10"/>
      <c r="Y1437" s="10"/>
      <c r="Z1437" s="10"/>
    </row>
    <row r="1438" spans="1:26" ht="12.75">
      <c r="A1438" s="10" t="str">
        <f ca="1">IFERROR(__xludf.DUMMYFUNCTION("""COMPUTED_VALUE"""),"Веселин Ценов Целков")</f>
        <v>Веселин Ценов Целков</v>
      </c>
      <c r="B1438" s="10" t="str">
        <f ca="1">IFERROR(__xludf.DUMMYFUNCTION("""COMPUTED_VALUE"""),"Доклад от конференция")</f>
        <v>Доклад от конференция</v>
      </c>
      <c r="C1438" s="10" t="str">
        <f ca="1">IFERROR(__xludf.DUMMYFUNCTION("""COMPUTED_VALUE"""),"Технологични аспекти на архитектурите за кибер сигурност")</f>
        <v>Технологични аспекти на архитектурите за кибер сигурност</v>
      </c>
      <c r="D1438" s="10">
        <f ca="1">IFERROR(__xludf.DUMMYFUNCTION("""COMPUTED_VALUE"""),2015)</f>
        <v>2015</v>
      </c>
      <c r="E1438" s="10" t="str">
        <f ca="1">IFERROR(__xludf.DUMMYFUNCTION("""COMPUTED_VALUE"""),"XIII Национална научна конференция с международно участие „Общество на знанието и хуманизмът на XXI век“, 31октомври – 1 ноември 2015, УниБИТ, БАН")</f>
        <v>XIII Национална научна конференция с международно участие „Общество на знанието и хуманизмът на XXI век“, 31октомври – 1 ноември 2015, УниБИТ, БАН</v>
      </c>
      <c r="F1438" s="10"/>
      <c r="G1438" s="10" t="str">
        <f ca="1">IFERROR(__xludf.DUMMYFUNCTION("""COMPUTED_VALUE"""),"Целков, В., О. Исмаилов и Н. Стоянов")</f>
        <v>Целков, В., О. Исмаилов и Н. Стоянов</v>
      </c>
      <c r="H1438" s="10"/>
      <c r="I1438" s="10"/>
      <c r="J1438" s="10"/>
      <c r="K1438" s="10"/>
      <c r="L1438" s="10"/>
      <c r="M1438" s="10"/>
      <c r="N1438" s="10"/>
      <c r="O1438" s="10"/>
      <c r="P1438" s="10"/>
      <c r="Q1438" s="10"/>
      <c r="R1438" s="10"/>
      <c r="S1438" s="10"/>
      <c r="T1438" s="10"/>
      <c r="U1438" s="10"/>
      <c r="V1438" s="10"/>
      <c r="W1438" s="10"/>
      <c r="X1438" s="10"/>
      <c r="Y1438" s="10"/>
      <c r="Z1438" s="10"/>
    </row>
    <row r="1439" spans="1:26" ht="12.75">
      <c r="A1439" s="10" t="str">
        <f ca="1">IFERROR(__xludf.DUMMYFUNCTION("""COMPUTED_VALUE"""),"Веселин Ценов Целков")</f>
        <v>Веселин Ценов Целков</v>
      </c>
      <c r="B1439" s="10" t="str">
        <f ca="1">IFERROR(__xludf.DUMMYFUNCTION("""COMPUTED_VALUE"""),"Доклад от конференция")</f>
        <v>Доклад от конференция</v>
      </c>
      <c r="C1439" s="10" t="str">
        <f ca="1">IFERROR(__xludf.DUMMYFUNCTION("""COMPUTED_VALUE"""),"Инструмент за Анализ на въздействието")</f>
        <v>Инструмент за Анализ на въздействието</v>
      </c>
      <c r="D1439" s="10">
        <f ca="1">IFERROR(__xludf.DUMMYFUNCTION("""COMPUTED_VALUE"""),2015)</f>
        <v>2015</v>
      </c>
      <c r="E1439" s="10" t="str">
        <f ca="1">IFERROR(__xludf.DUMMYFUNCTION("""COMPUTED_VALUE"""),"Международна конференция „Доверие, неприкосновеност и сигурност на личните данни в цифровия свят“, 18 – 19 ноември 2015 г., София")</f>
        <v>Международна конференция „Доверие, неприкосновеност и сигурност на личните данни в цифровия свят“, 18 – 19 ноември 2015 г., София</v>
      </c>
      <c r="F1439" s="10"/>
      <c r="G1439" s="10" t="str">
        <f ca="1">IFERROR(__xludf.DUMMYFUNCTION("""COMPUTED_VALUE"""),"Целков, В.")</f>
        <v>Целков, В.</v>
      </c>
      <c r="H1439" s="10"/>
      <c r="I1439" s="10"/>
      <c r="J1439" s="10"/>
      <c r="K1439" s="10"/>
      <c r="L1439" s="10"/>
      <c r="M1439" s="10"/>
      <c r="N1439" s="10"/>
      <c r="O1439" s="10"/>
      <c r="P1439" s="10"/>
      <c r="Q1439" s="10"/>
      <c r="R1439" s="10"/>
      <c r="S1439" s="10"/>
      <c r="T1439" s="10"/>
      <c r="U1439" s="10"/>
      <c r="V1439" s="10"/>
      <c r="W1439" s="10"/>
      <c r="X1439" s="10"/>
      <c r="Y1439" s="10"/>
      <c r="Z1439" s="10"/>
    </row>
    <row r="1440" spans="1:26" ht="12.75">
      <c r="A1440" s="10" t="str">
        <f ca="1">IFERROR(__xludf.DUMMYFUNCTION("""COMPUTED_VALUE"""),"Веселин Ценов Целков")</f>
        <v>Веселин Ценов Целков</v>
      </c>
      <c r="B1440" s="10" t="str">
        <f ca="1">IFERROR(__xludf.DUMMYFUNCTION("""COMPUTED_VALUE"""),"Статия в списания и поредици")</f>
        <v>Статия в списания и поредици</v>
      </c>
      <c r="C1440" s="10" t="str">
        <f ca="1">IFERROR(__xludf.DUMMYFUNCTION("""COMPUTED_VALUE"""),"Йерархичен технологичен модел в цифровия свят и защитата на личните данни")</f>
        <v>Йерархичен технологичен модел в цифровия свят и защитата на личните данни</v>
      </c>
      <c r="D1440" s="10">
        <f ca="1">IFERROR(__xludf.DUMMYFUNCTION("""COMPUTED_VALUE"""),2015)</f>
        <v>2015</v>
      </c>
      <c r="E1440" s="10" t="str">
        <f ca="1">IFERROR(__xludf.DUMMYFUNCTION("""COMPUTED_VALUE"""),"Информационен бюлетин на Комисията за защита на личните данни, ISSN 2367-7759, брой 3 (54), май 2015")</f>
        <v>Информационен бюлетин на Комисията за защита на личните данни, ISSN 2367-7759, брой 3 (54), май 2015</v>
      </c>
      <c r="F1440" s="10"/>
      <c r="G1440" s="10" t="str">
        <f ca="1">IFERROR(__xludf.DUMMYFUNCTION("""COMPUTED_VALUE"""),"Целков, В.")</f>
        <v>Целков, В.</v>
      </c>
      <c r="H1440" s="10"/>
      <c r="I1440" s="10"/>
      <c r="J1440" s="10"/>
      <c r="K1440" s="10"/>
      <c r="L1440" s="10"/>
      <c r="M1440" s="10"/>
      <c r="N1440" s="10"/>
      <c r="O1440" s="10"/>
      <c r="P1440" s="10"/>
      <c r="Q1440" s="10"/>
      <c r="R1440" s="10"/>
      <c r="S1440" s="10"/>
      <c r="T1440" s="10"/>
      <c r="U1440" s="10"/>
      <c r="V1440" s="10"/>
      <c r="W1440" s="10"/>
      <c r="X1440" s="10"/>
      <c r="Y1440" s="10"/>
      <c r="Z1440" s="10"/>
    </row>
    <row r="1441" spans="1:26" ht="12.75">
      <c r="A1441" s="10" t="str">
        <f ca="1">IFERROR(__xludf.DUMMYFUNCTION("""COMPUTED_VALUE"""),"Веселин Ценов Целков")</f>
        <v>Веселин Ценов Целков</v>
      </c>
      <c r="B1441" s="10" t="str">
        <f ca="1">IFERROR(__xludf.DUMMYFUNCTION("""COMPUTED_VALUE"""),"Доклад от конференция")</f>
        <v>Доклад от конференция</v>
      </c>
      <c r="C1441" s="10" t="str">
        <f ca="1">IFERROR(__xludf.DUMMYFUNCTION("""COMPUTED_VALUE"""),"Способи за увеличаване на сигурността при извънредни събития")</f>
        <v>Способи за увеличаване на сигурността при извънредни събития</v>
      </c>
      <c r="D1441" s="10">
        <f ca="1">IFERROR(__xludf.DUMMYFUNCTION("""COMPUTED_VALUE"""),2014)</f>
        <v>2014</v>
      </c>
      <c r="E1441" s="10" t="str">
        <f ca="1">IFERROR(__xludf.DUMMYFUNCTION("""COMPUTED_VALUE"""),"Международна научна конференция „НАУЧНИТЕ ИЗСЛЕДВАНИЯ - КЛЮЧОВА РОЛЯ В МОДЕРНИЗАЦИЯ НА ВЪОРЪЖЕНИЕТО, ТЕХНИКАТА И СИСТЕМИТЕ”, ХЕМУС – 2014, 29 – 30 май 2014 г., Международен панаир Пловдив")</f>
        <v>Международна научна конференция „НАУЧНИТЕ ИЗСЛЕДВАНИЯ - КЛЮЧОВА РОЛЯ В МОДЕРНИЗАЦИЯ НА ВЪОРЪЖЕНИЕТО, ТЕХНИКАТА И СИСТЕМИТЕ”, ХЕМУС – 2014, 29 – 30 май 2014 г., Международен панаир Пловдив</v>
      </c>
      <c r="F1441" s="10"/>
      <c r="G1441" s="10" t="str">
        <f ca="1">IFERROR(__xludf.DUMMYFUNCTION("""COMPUTED_VALUE"""),"Исмаилов, О. и В. Целков")</f>
        <v>Исмаилов, О. и В. Целков</v>
      </c>
      <c r="H1441" s="10"/>
      <c r="I1441" s="10"/>
      <c r="J1441" s="10"/>
      <c r="K1441" s="10"/>
      <c r="L1441" s="10"/>
      <c r="M1441" s="10"/>
      <c r="N1441" s="10"/>
      <c r="O1441" s="10"/>
      <c r="P1441" s="10"/>
      <c r="Q1441" s="10"/>
      <c r="R1441" s="10"/>
      <c r="S1441" s="10"/>
      <c r="T1441" s="10"/>
      <c r="U1441" s="10"/>
      <c r="V1441" s="10"/>
      <c r="W1441" s="10"/>
      <c r="X1441" s="10"/>
      <c r="Y1441" s="10"/>
      <c r="Z1441" s="10"/>
    </row>
    <row r="1442" spans="1:26" ht="12.75">
      <c r="A1442" s="10" t="str">
        <f ca="1">IFERROR(__xludf.DUMMYFUNCTION("""COMPUTED_VALUE"""),"Веселин Ценов Целков")</f>
        <v>Веселин Ценов Целков</v>
      </c>
      <c r="B1442" s="10" t="str">
        <f ca="1">IFERROR(__xludf.DUMMYFUNCTION("""COMPUTED_VALUE"""),"Доклад от конференция")</f>
        <v>Доклад от конференция</v>
      </c>
      <c r="C1442" s="10" t="str">
        <f ca="1">IFERROR(__xludf.DUMMYFUNCTION("""COMPUTED_VALUE"""),"Новите информационни технологии, кибер заплахите и предизвикателствата за защита на личните данни")</f>
        <v>Новите информационни технологии, кибер заплахите и предизвикателствата за защита на личните данни</v>
      </c>
      <c r="D1442" s="10">
        <f ca="1">IFERROR(__xludf.DUMMYFUNCTION("""COMPUTED_VALUE"""),2014)</f>
        <v>2014</v>
      </c>
      <c r="E1442" s="10" t="str">
        <f ca="1">IFERROR(__xludf.DUMMYFUNCTION("""COMPUTED_VALUE"""),"Първа научна конференция „Съвременни стратегии и иновации в управление на знанието“, 3 – 4 декември 2014, УниБИТ, София")</f>
        <v>Първа научна конференция „Съвременни стратегии и иновации в управление на знанието“, 3 – 4 декември 2014, УниБИТ, София</v>
      </c>
      <c r="F1442" s="10"/>
      <c r="G1442" s="10" t="str">
        <f ca="1">IFERROR(__xludf.DUMMYFUNCTION("""COMPUTED_VALUE"""),"Христова, Д. и В. Целков")</f>
        <v>Христова, Д. и В. Целков</v>
      </c>
      <c r="H1442" s="10"/>
      <c r="I1442" s="10"/>
      <c r="J1442" s="10"/>
      <c r="K1442" s="10"/>
      <c r="L1442" s="10"/>
      <c r="M1442" s="10"/>
      <c r="N1442" s="10"/>
      <c r="O1442" s="10"/>
      <c r="P1442" s="10"/>
      <c r="Q1442" s="10"/>
      <c r="R1442" s="10"/>
      <c r="S1442" s="10"/>
      <c r="T1442" s="10"/>
      <c r="U1442" s="10"/>
      <c r="V1442" s="10"/>
      <c r="W1442" s="10"/>
      <c r="X1442" s="10"/>
      <c r="Y1442" s="10"/>
      <c r="Z1442" s="10"/>
    </row>
    <row r="1443" spans="1:26" ht="12.75">
      <c r="A1443" s="10" t="str">
        <f ca="1">IFERROR(__xludf.DUMMYFUNCTION("""COMPUTED_VALUE"""),"Веселин Ценов Целков")</f>
        <v>Веселин Ценов Целков</v>
      </c>
      <c r="B1443" s="10" t="str">
        <f ca="1">IFERROR(__xludf.DUMMYFUNCTION("""COMPUTED_VALUE"""),"Доклад от конференция")</f>
        <v>Доклад от конференция</v>
      </c>
      <c r="C1443" s="10" t="str">
        <f ca="1">IFERROR(__xludf.DUMMYFUNCTION("""COMPUTED_VALUE"""),"Подходи за оценка на уязвимостите в компютърни системи и мрежи")</f>
        <v>Подходи за оценка на уязвимостите в компютърни системи и мрежи</v>
      </c>
      <c r="D1443" s="10">
        <f ca="1">IFERROR(__xludf.DUMMYFUNCTION("""COMPUTED_VALUE"""),2014)</f>
        <v>2014</v>
      </c>
      <c r="E1443" s="10" t="str">
        <f ca="1">IFERROR(__xludf.DUMMYFUNCTION("""COMPUTED_VALUE"""),"Първа научна конференция „Съвременни стратегии и иновации в управление на знанието“, 3 – 4 декември 2014, УниБИТ, София")</f>
        <v>Първа научна конференция „Съвременни стратегии и иновации в управление на знанието“, 3 – 4 декември 2014, УниБИТ, София</v>
      </c>
      <c r="F1443" s="10"/>
      <c r="G1443" s="10" t="str">
        <f ca="1">IFERROR(__xludf.DUMMYFUNCTION("""COMPUTED_VALUE"""),"Ненов, И, Н. Стоянов и В. Целков")</f>
        <v>Ненов, И, Н. Стоянов и В. Целков</v>
      </c>
      <c r="H1443" s="10"/>
      <c r="I1443" s="10"/>
      <c r="J1443" s="10"/>
      <c r="K1443" s="10"/>
      <c r="L1443" s="10"/>
      <c r="M1443" s="10"/>
      <c r="N1443" s="10"/>
      <c r="O1443" s="10"/>
      <c r="P1443" s="10"/>
      <c r="Q1443" s="10"/>
      <c r="R1443" s="10"/>
      <c r="S1443" s="10"/>
      <c r="T1443" s="10"/>
      <c r="U1443" s="10"/>
      <c r="V1443" s="10"/>
      <c r="W1443" s="10"/>
      <c r="X1443" s="10"/>
      <c r="Y1443" s="10"/>
      <c r="Z1443" s="10"/>
    </row>
    <row r="1444" spans="1:26" ht="12.75">
      <c r="A1444" s="10" t="str">
        <f ca="1">IFERROR(__xludf.DUMMYFUNCTION("""COMPUTED_VALUE"""),"Веселин Ценов Целков")</f>
        <v>Веселин Ценов Целков</v>
      </c>
      <c r="B1444" s="10" t="str">
        <f ca="1">IFERROR(__xludf.DUMMYFUNCTION("""COMPUTED_VALUE"""),"Доклад от конференция")</f>
        <v>Доклад от конференция</v>
      </c>
      <c r="C1444" s="10" t="str">
        <f ca="1">IFERROR(__xludf.DUMMYFUNCTION("""COMPUTED_VALUE"""),"Cloud Computing, Big Data")</f>
        <v>Cloud Computing, Big Data</v>
      </c>
      <c r="D1444" s="10">
        <f ca="1">IFERROR(__xludf.DUMMYFUNCTION("""COMPUTED_VALUE"""),2014)</f>
        <v>2014</v>
      </c>
      <c r="E1444" s="10" t="str">
        <f ca="1">IFERROR(__xludf.DUMMYFUNCTION("""COMPUTED_VALUE"""),"Accountability and New Challenges for Protection of Personal Data, 16th meeting, Central Eastern Europe Data Protection Authority (CEEDPA), 2-3 April 2014, Skopje, Macedonia")</f>
        <v>Accountability and New Challenges for Protection of Personal Data, 16th meeting, Central Eastern Europe Data Protection Authority (CEEDPA), 2-3 April 2014, Skopje, Macedonia</v>
      </c>
      <c r="F1444" s="10"/>
      <c r="G1444" s="10" t="str">
        <f ca="1">IFERROR(__xludf.DUMMYFUNCTION("""COMPUTED_VALUE"""),"Tselkov V.")</f>
        <v>Tselkov V.</v>
      </c>
      <c r="H1444" s="10"/>
      <c r="I1444" s="10"/>
      <c r="J1444" s="10"/>
      <c r="K1444" s="10"/>
      <c r="L1444" s="10"/>
      <c r="M1444" s="10"/>
      <c r="N1444" s="10"/>
      <c r="O1444" s="10"/>
      <c r="P1444" s="10"/>
      <c r="Q1444" s="10"/>
      <c r="R1444" s="10"/>
      <c r="S1444" s="10"/>
      <c r="T1444" s="10"/>
      <c r="U1444" s="10"/>
      <c r="V1444" s="10"/>
      <c r="W1444" s="10"/>
      <c r="X1444" s="10"/>
      <c r="Y1444" s="10"/>
      <c r="Z1444" s="10"/>
    </row>
    <row r="1445" spans="1:26" ht="12.75">
      <c r="A1445" s="10" t="str">
        <f ca="1">IFERROR(__xludf.DUMMYFUNCTION("""COMPUTED_VALUE"""),"Веселин Ценов Целков")</f>
        <v>Веселин Ценов Целков</v>
      </c>
      <c r="B1445" s="10" t="str">
        <f ca="1">IFERROR(__xludf.DUMMYFUNCTION("""COMPUTED_VALUE"""),"Доклад от конференция")</f>
        <v>Доклад от конференция</v>
      </c>
      <c r="C1445" s="10" t="str">
        <f ca="1">IFERROR(__xludf.DUMMYFUNCTION("""COMPUTED_VALUE"""),"The role of data protection authority in the establishment and work of CERT")</f>
        <v>The role of data protection authority in the establishment and work of CERT</v>
      </c>
      <c r="D1445" s="10">
        <f ca="1">IFERROR(__xludf.DUMMYFUNCTION("""COMPUTED_VALUE"""),2014)</f>
        <v>2014</v>
      </c>
      <c r="E1445" s="10" t="str">
        <f ca="1">IFERROR(__xludf.DUMMYFUNCTION("""COMPUTED_VALUE"""),"Workshop Computer Emergency Response Team (CERT) and Personal Data Protection, 24-25 April 2014, Skopje, Macedonia")</f>
        <v>Workshop Computer Emergency Response Team (CERT) and Personal Data Protection, 24-25 April 2014, Skopje, Macedonia</v>
      </c>
      <c r="F1445" s="10"/>
      <c r="G1445" s="10" t="str">
        <f ca="1">IFERROR(__xludf.DUMMYFUNCTION("""COMPUTED_VALUE"""),"Tselkov, V.")</f>
        <v>Tselkov, V.</v>
      </c>
      <c r="H1445" s="10"/>
      <c r="I1445" s="10"/>
      <c r="J1445" s="10"/>
      <c r="K1445" s="10"/>
      <c r="L1445" s="10"/>
      <c r="M1445" s="10"/>
      <c r="N1445" s="10"/>
      <c r="O1445" s="10"/>
      <c r="P1445" s="10"/>
      <c r="Q1445" s="10"/>
      <c r="R1445" s="10"/>
      <c r="S1445" s="10"/>
      <c r="T1445" s="10"/>
      <c r="U1445" s="10"/>
      <c r="V1445" s="10"/>
      <c r="W1445" s="10"/>
      <c r="X1445" s="10"/>
      <c r="Y1445" s="10"/>
      <c r="Z1445" s="10"/>
    </row>
    <row r="1446" spans="1:26" ht="12.75">
      <c r="A1446" s="10" t="str">
        <f ca="1">IFERROR(__xludf.DUMMYFUNCTION("""COMPUTED_VALUE"""),"Веселин Ценов Целков")</f>
        <v>Веселин Ценов Целков</v>
      </c>
      <c r="B1446" s="10" t="str">
        <f ca="1">IFERROR(__xludf.DUMMYFUNCTION("""COMPUTED_VALUE"""),"Доклад от конференция")</f>
        <v>Доклад от конференция</v>
      </c>
      <c r="C1446" s="10" t="str">
        <f ca="1">IFERROR(__xludf.DUMMYFUNCTION("""COMPUTED_VALUE"""),"Кибер сигурност и системи за управление на информационните събития")</f>
        <v>Кибер сигурност и системи за управление на информационните събития</v>
      </c>
      <c r="D1446" s="10">
        <f ca="1">IFERROR(__xludf.DUMMYFUNCTION("""COMPUTED_VALUE"""),2014)</f>
        <v>2014</v>
      </c>
      <c r="E1446" s="10" t="str">
        <f ca="1">IFERROR(__xludf.DUMMYFUNCTION("""COMPUTED_VALUE"""),"Международна научна конференция „НАУЧНИТЕ ИЗСЛЕДВАНИЯ - КЛЮЧОВА РОЛЯ В МОДЕРНИЗАЦИЯ НА ВЪОРЪЖЕНИЕТО, ТЕХНИКАТА И СИСТЕМИТЕ”, ХЕМУС – 2014, 29 – 30 май 2014 г., Международен панаир Пловдив")</f>
        <v>Международна научна конференция „НАУЧНИТЕ ИЗСЛЕДВАНИЯ - КЛЮЧОВА РОЛЯ В МОДЕРНИЗАЦИЯ НА ВЪОРЪЖЕНИЕТО, ТЕХНИКАТА И СИСТЕМИТЕ”, ХЕМУС – 2014, 29 – 30 май 2014 г., Международен панаир Пловдив</v>
      </c>
      <c r="F1446" s="10"/>
      <c r="G1446" s="10" t="str">
        <f ca="1">IFERROR(__xludf.DUMMYFUNCTION("""COMPUTED_VALUE"""),"Целков, В. и Н. Стоянов")</f>
        <v>Целков, В. и Н. Стоянов</v>
      </c>
      <c r="H1446" s="10"/>
      <c r="I1446" s="10"/>
      <c r="J1446" s="10"/>
      <c r="K1446" s="10"/>
      <c r="L1446" s="10"/>
      <c r="M1446" s="10"/>
      <c r="N1446" s="10"/>
      <c r="O1446" s="10"/>
      <c r="P1446" s="10"/>
      <c r="Q1446" s="10"/>
      <c r="R1446" s="10"/>
      <c r="S1446" s="10"/>
      <c r="T1446" s="10"/>
      <c r="U1446" s="10"/>
      <c r="V1446" s="10"/>
      <c r="W1446" s="10"/>
      <c r="X1446" s="10"/>
      <c r="Y1446" s="10"/>
      <c r="Z1446" s="10"/>
    </row>
    <row r="1447" spans="1:26" ht="12.75">
      <c r="A1447" s="10" t="str">
        <f ca="1">IFERROR(__xludf.DUMMYFUNCTION("""COMPUTED_VALUE"""),"Веселин Ценов Целков")</f>
        <v>Веселин Ценов Целков</v>
      </c>
      <c r="B1447" s="10" t="str">
        <f ca="1">IFERROR(__xludf.DUMMYFUNCTION("""COMPUTED_VALUE"""),"Доклад от конференция")</f>
        <v>Доклад от конференция</v>
      </c>
      <c r="C1447" s="10" t="str">
        <f ca="1">IFERROR(__xludf.DUMMYFUNCTION("""COMPUTED_VALUE"""),"Good Practices of the Bulgarian Data Protection Authority")</f>
        <v>Good Practices of the Bulgarian Data Protection Authority</v>
      </c>
      <c r="D1447" s="10">
        <f ca="1">IFERROR(__xludf.DUMMYFUNCTION("""COMPUTED_VALUE"""),2013)</f>
        <v>2013</v>
      </c>
      <c r="E1447" s="10" t="str">
        <f ca="1">IFERROR(__xludf.DUMMYFUNCTION("""COMPUTED_VALUE"""),"15th meeting, Central Eastern Europe Data Protection Authority (CEEDPA), 10-12 April 2013, Belgrade, Serbia")</f>
        <v>15th meeting, Central Eastern Europe Data Protection Authority (CEEDPA), 10-12 April 2013, Belgrade, Serbia</v>
      </c>
      <c r="F1447" s="10"/>
      <c r="G1447" s="10" t="str">
        <f ca="1">IFERROR(__xludf.DUMMYFUNCTION("""COMPUTED_VALUE"""),"Tselkov V.")</f>
        <v>Tselkov V.</v>
      </c>
      <c r="H1447" s="10"/>
      <c r="I1447" s="10"/>
      <c r="J1447" s="10"/>
      <c r="K1447" s="10"/>
      <c r="L1447" s="10"/>
      <c r="M1447" s="10"/>
      <c r="N1447" s="10"/>
      <c r="O1447" s="10"/>
      <c r="P1447" s="10"/>
      <c r="Q1447" s="10"/>
      <c r="R1447" s="10"/>
      <c r="S1447" s="10"/>
      <c r="T1447" s="10"/>
      <c r="U1447" s="10"/>
      <c r="V1447" s="10"/>
      <c r="W1447" s="10"/>
      <c r="X1447" s="10"/>
      <c r="Y1447" s="10"/>
      <c r="Z1447" s="10"/>
    </row>
    <row r="1448" spans="1:26" ht="12.75">
      <c r="A1448" s="10" t="str">
        <f ca="1">IFERROR(__xludf.DUMMYFUNCTION("""COMPUTED_VALUE"""),"Веселин Ценов Целков")</f>
        <v>Веселин Ценов Целков</v>
      </c>
      <c r="B1448" s="10" t="str">
        <f ca="1">IFERROR(__xludf.DUMMYFUNCTION("""COMPUTED_VALUE"""),"Статия в списания и поредици")</f>
        <v>Статия в списания и поредици</v>
      </c>
      <c r="C1448" s="10" t="str">
        <f ca="1">IFERROR(__xludf.DUMMYFUNCTION("""COMPUTED_VALUE"""),"Работа в облака, големите данни и защита на личните данни")</f>
        <v>Работа в облака, големите данни и защита на личните данни</v>
      </c>
      <c r="D1448" s="10">
        <f ca="1">IFERROR(__xludf.DUMMYFUNCTION("""COMPUTED_VALUE"""),2013)</f>
        <v>2013</v>
      </c>
      <c r="E1448" s="10" t="str">
        <f ca="1">IFERROR(__xludf.DUMMYFUNCTION("""COMPUTED_VALUE"""),"Информационен бюлетин на Комисията за защита на личните данни, ISSN 2367-7759, брой 3 (42), май 2013, стр. 125 - 131")</f>
        <v>Информационен бюлетин на Комисията за защита на личните данни, ISSN 2367-7759, брой 3 (42), май 2013, стр. 125 - 131</v>
      </c>
      <c r="F1448" s="10"/>
      <c r="G1448" s="10" t="str">
        <f ca="1">IFERROR(__xludf.DUMMYFUNCTION("""COMPUTED_VALUE"""),"Целков В.")</f>
        <v>Целков В.</v>
      </c>
      <c r="H1448" s="10"/>
      <c r="I1448" s="10"/>
      <c r="J1448" s="10"/>
      <c r="K1448" s="10"/>
      <c r="L1448" s="10"/>
      <c r="M1448" s="10"/>
      <c r="N1448" s="10"/>
      <c r="O1448" s="10"/>
      <c r="P1448" s="10"/>
      <c r="Q1448" s="10"/>
      <c r="R1448" s="10"/>
      <c r="S1448" s="10"/>
      <c r="T1448" s="10"/>
      <c r="U1448" s="10"/>
      <c r="V1448" s="10"/>
      <c r="W1448" s="10"/>
      <c r="X1448" s="10"/>
      <c r="Y1448" s="10"/>
      <c r="Z1448" s="10"/>
    </row>
    <row r="1449" spans="1:26" ht="12.75">
      <c r="A1449" s="10" t="str">
        <f ca="1">IFERROR(__xludf.DUMMYFUNCTION("""COMPUTED_VALUE"""),"Веселин Ценов Целков")</f>
        <v>Веселин Ценов Целков</v>
      </c>
      <c r="B1449" s="10" t="str">
        <f ca="1">IFERROR(__xludf.DUMMYFUNCTION("""COMPUTED_VALUE"""),"Статия в списания и поредици")</f>
        <v>Статия в списания и поредици</v>
      </c>
      <c r="C1449" s="10" t="str">
        <f ca="1">IFERROR(__xludf.DUMMYFUNCTION("""COMPUTED_VALUE"""),"Информационната цивилизация, глобализацията и неприкосновеността на личността")</f>
        <v>Информационната цивилизация, глобализацията и неприкосновеността на личността</v>
      </c>
      <c r="D1449" s="10">
        <f ca="1">IFERROR(__xludf.DUMMYFUNCTION("""COMPUTED_VALUE"""),2012)</f>
        <v>2012</v>
      </c>
      <c r="E1449" s="10" t="str">
        <f ca="1">IFERROR(__xludf.DUMMYFUNCTION("""COMPUTED_VALUE"""),"сп. „Фонд за научни изследвания”, бр. 1, 2012")</f>
        <v>сп. „Фонд за научни изследвания”, бр. 1, 2012</v>
      </c>
      <c r="F1449" s="10"/>
      <c r="G1449" s="10" t="str">
        <f ca="1">IFERROR(__xludf.DUMMYFUNCTION("""COMPUTED_VALUE"""),"Целков, В.")</f>
        <v>Целков, В.</v>
      </c>
      <c r="H1449" s="10"/>
      <c r="I1449" s="10"/>
      <c r="J1449" s="10"/>
      <c r="K1449" s="10"/>
      <c r="L1449" s="10"/>
      <c r="M1449" s="10"/>
      <c r="N1449" s="10"/>
      <c r="O1449" s="10"/>
      <c r="P1449" s="10"/>
      <c r="Q1449" s="10"/>
      <c r="R1449" s="10"/>
      <c r="S1449" s="10"/>
      <c r="T1449" s="10"/>
      <c r="U1449" s="10"/>
      <c r="V1449" s="10"/>
      <c r="W1449" s="10"/>
      <c r="X1449" s="10"/>
      <c r="Y1449" s="10"/>
      <c r="Z1449" s="10"/>
    </row>
    <row r="1450" spans="1:26" ht="12.75">
      <c r="A1450" s="10" t="str">
        <f ca="1">IFERROR(__xludf.DUMMYFUNCTION("""COMPUTED_VALUE"""),"Веселин Ценов Целков")</f>
        <v>Веселин Ценов Целков</v>
      </c>
      <c r="B1450" s="10" t="str">
        <f ca="1">IFERROR(__xludf.DUMMYFUNCTION("""COMPUTED_VALUE"""),"Статия в списания и поредици")</f>
        <v>Статия в списания и поредици</v>
      </c>
      <c r="C1450" s="10" t="str">
        <f ca="1">IFERROR(__xludf.DUMMYFUNCTION("""COMPUTED_VALUE"""),"Бумът на информационните технологии и новите предизвикателства за защита на личните данни и неприкосновеността на личността")</f>
        <v>Бумът на информационните технологии и новите предизвикателства за защита на личните данни и неприкосновеността на личността</v>
      </c>
      <c r="D1450" s="10">
        <f ca="1">IFERROR(__xludf.DUMMYFUNCTION("""COMPUTED_VALUE"""),2012)</f>
        <v>2012</v>
      </c>
      <c r="E1450" s="10" t="str">
        <f ca="1">IFERROR(__xludf.DUMMYFUNCTION("""COMPUTED_VALUE"""),"Информационен бюлетин на Комисията за защита на личните данни, брой 6 (39), ноември 2012, стр. 118 - 126")</f>
        <v>Информационен бюлетин на Комисията за защита на личните данни, брой 6 (39), ноември 2012, стр. 118 - 126</v>
      </c>
      <c r="F1450" s="10"/>
      <c r="G1450" s="10" t="str">
        <f ca="1">IFERROR(__xludf.DUMMYFUNCTION("""COMPUTED_VALUE"""),"Целков, В.")</f>
        <v>Целков, В.</v>
      </c>
      <c r="H1450" s="10"/>
      <c r="I1450" s="10"/>
      <c r="J1450" s="10"/>
      <c r="K1450" s="10"/>
      <c r="L1450" s="10"/>
      <c r="M1450" s="10"/>
      <c r="N1450" s="10"/>
      <c r="O1450" s="10"/>
      <c r="P1450" s="10"/>
      <c r="Q1450" s="10"/>
      <c r="R1450" s="10"/>
      <c r="S1450" s="10"/>
      <c r="T1450" s="10"/>
      <c r="U1450" s="10"/>
      <c r="V1450" s="10"/>
      <c r="W1450" s="10"/>
      <c r="X1450" s="10"/>
      <c r="Y1450" s="10"/>
      <c r="Z1450" s="10"/>
    </row>
    <row r="1451" spans="1:26" ht="12.75">
      <c r="A1451" s="10" t="str">
        <f ca="1">IFERROR(__xludf.DUMMYFUNCTION("""COMPUTED_VALUE"""),"Веселин Ценов Целков")</f>
        <v>Веселин Ценов Целков</v>
      </c>
      <c r="B1451" s="10" t="str">
        <f ca="1">IFERROR(__xludf.DUMMYFUNCTION("""COMPUTED_VALUE"""),"Книга")</f>
        <v>Книга</v>
      </c>
      <c r="C1451" s="10" t="str">
        <f ca="1">IFERROR(__xludf.DUMMYFUNCTION("""COMPUTED_VALUE"""),"Методика за оценка на информационната сигурност")</f>
        <v>Методика за оценка на информационната сигурност</v>
      </c>
      <c r="D1451" s="10">
        <f ca="1">IFERROR(__xludf.DUMMYFUNCTION("""COMPUTED_VALUE"""),2012)</f>
        <v>2012</v>
      </c>
      <c r="E1451" s="10" t="str">
        <f ca="1">IFERROR(__xludf.DUMMYFUNCTION("""COMPUTED_VALUE"""),"Хемус, 2012")</f>
        <v>Хемус, 2012</v>
      </c>
      <c r="F1451" s="10"/>
      <c r="G1451" s="10" t="str">
        <f ca="1">IFERROR(__xludf.DUMMYFUNCTION("""COMPUTED_VALUE"""),"Целков, В.")</f>
        <v>Целков, В.</v>
      </c>
      <c r="H1451" s="10"/>
      <c r="I1451" s="10"/>
      <c r="J1451" s="10"/>
      <c r="K1451" s="10"/>
      <c r="L1451" s="10"/>
      <c r="M1451" s="10"/>
      <c r="N1451" s="10"/>
      <c r="O1451" s="10"/>
      <c r="P1451" s="10"/>
      <c r="Q1451" s="10"/>
      <c r="R1451" s="10"/>
      <c r="S1451" s="10"/>
      <c r="T1451" s="10"/>
      <c r="U1451" s="10"/>
      <c r="V1451" s="10"/>
      <c r="W1451" s="10"/>
      <c r="X1451" s="10"/>
      <c r="Y1451" s="10"/>
      <c r="Z1451" s="10"/>
    </row>
    <row r="1452" spans="1:26" ht="12.75">
      <c r="A1452" s="10" t="str">
        <f ca="1">IFERROR(__xludf.DUMMYFUNCTION("""COMPUTED_VALUE"""),"Веселин Ценов Целков")</f>
        <v>Веселин Ценов Целков</v>
      </c>
      <c r="B1452" s="10" t="str">
        <f ca="1">IFERROR(__xludf.DUMMYFUNCTION("""COMPUTED_VALUE"""),"Книга")</f>
        <v>Книга</v>
      </c>
      <c r="C1452" s="10" t="str">
        <f ca="1">IFERROR(__xludf.DUMMYFUNCTION("""COMPUTED_VALUE"""),"Технически модели за сигурността на информационните технологии")</f>
        <v>Технически модели за сигурността на информационните технологии</v>
      </c>
      <c r="D1452" s="10">
        <f ca="1">IFERROR(__xludf.DUMMYFUNCTION("""COMPUTED_VALUE"""),2012)</f>
        <v>2012</v>
      </c>
      <c r="E1452" s="10" t="str">
        <f ca="1">IFERROR(__xludf.DUMMYFUNCTION("""COMPUTED_VALUE"""),"Хемус, 2012")</f>
        <v>Хемус, 2012</v>
      </c>
      <c r="F1452" s="10"/>
      <c r="G1452" s="10" t="str">
        <f ca="1">IFERROR(__xludf.DUMMYFUNCTION("""COMPUTED_VALUE"""),"Целков, В.")</f>
        <v>Целков, В.</v>
      </c>
      <c r="H1452" s="10"/>
      <c r="I1452" s="10"/>
      <c r="J1452" s="10"/>
      <c r="K1452" s="10"/>
      <c r="L1452" s="10"/>
      <c r="M1452" s="10"/>
      <c r="N1452" s="10"/>
      <c r="O1452" s="10"/>
      <c r="P1452" s="10"/>
      <c r="Q1452" s="10"/>
      <c r="R1452" s="10"/>
      <c r="S1452" s="10"/>
      <c r="T1452" s="10"/>
      <c r="U1452" s="10"/>
      <c r="V1452" s="10"/>
      <c r="W1452" s="10"/>
      <c r="X1452" s="10"/>
      <c r="Y1452" s="10"/>
      <c r="Z1452" s="10"/>
    </row>
    <row r="1453" spans="1:26" ht="12.75">
      <c r="A1453" s="10" t="str">
        <f ca="1">IFERROR(__xludf.DUMMYFUNCTION("""COMPUTED_VALUE"""),"Веселин Ценов Целков")</f>
        <v>Веселин Ценов Целков</v>
      </c>
      <c r="B1453" s="10" t="str">
        <f ca="1">IFERROR(__xludf.DUMMYFUNCTION("""COMPUTED_VALUE"""),"Книга")</f>
        <v>Книга</v>
      </c>
      <c r="C1453" s="10" t="str">
        <f ca="1">IFERROR(__xludf.DUMMYFUNCTION("""COMPUTED_VALUE"""),"A Formal Model of Cryptographic Systems for Protection of Information in Computer Systems and Networks")</f>
        <v>A Formal Model of Cryptographic Systems for Protection of Information in Computer Systems and Networks</v>
      </c>
      <c r="D1453" s="10">
        <f ca="1">IFERROR(__xludf.DUMMYFUNCTION("""COMPUTED_VALUE"""),2012)</f>
        <v>2012</v>
      </c>
      <c r="E1453" s="10" t="str">
        <f ca="1">IFERROR(__xludf.DUMMYFUNCTION("""COMPUTED_VALUE"""),"Procceedings, BulCrypt 2012, ISBN 978-954-2946-22-9, pp 15 -29")</f>
        <v>Procceedings, BulCrypt 2012, ISBN 978-954-2946-22-9, pp 15 -29</v>
      </c>
      <c r="F1453" s="10"/>
      <c r="G1453" s="10" t="str">
        <f ca="1">IFERROR(__xludf.DUMMYFUNCTION("""COMPUTED_VALUE"""),"Tselkov, V. and N. Stoyanov")</f>
        <v>Tselkov, V. and N. Stoyanov</v>
      </c>
      <c r="H1453" s="10"/>
      <c r="I1453" s="10"/>
      <c r="J1453" s="10"/>
      <c r="K1453" s="10"/>
      <c r="L1453" s="10"/>
      <c r="M1453" s="10"/>
      <c r="N1453" s="10"/>
      <c r="O1453" s="10"/>
      <c r="P1453" s="10"/>
      <c r="Q1453" s="10"/>
      <c r="R1453" s="10"/>
      <c r="S1453" s="10"/>
      <c r="T1453" s="10"/>
      <c r="U1453" s="10"/>
      <c r="V1453" s="10"/>
      <c r="W1453" s="10"/>
      <c r="X1453" s="10"/>
      <c r="Y1453" s="10"/>
      <c r="Z1453" s="10"/>
    </row>
    <row r="1454" spans="1:26" ht="12.75">
      <c r="A1454" s="10" t="str">
        <f ca="1">IFERROR(__xludf.DUMMYFUNCTION("""COMPUTED_VALUE"""),"Веселин Ценов Целков")</f>
        <v>Веселин Ценов Целков</v>
      </c>
      <c r="B1454" s="10" t="str">
        <f ca="1">IFERROR(__xludf.DUMMYFUNCTION("""COMPUTED_VALUE"""),"Доклад от конференция")</f>
        <v>Доклад от конференция</v>
      </c>
      <c r="C1454" s="10" t="str">
        <f ca="1">IFERROR(__xludf.DUMMYFUNCTION("""COMPUTED_VALUE"""),"BS 7799 и одит на сигурността на информационните системи")</f>
        <v>BS 7799 и одит на сигурността на информационните системи</v>
      </c>
      <c r="D1454" s="10">
        <f ca="1">IFERROR(__xludf.DUMMYFUNCTION("""COMPUTED_VALUE"""),2011)</f>
        <v>2011</v>
      </c>
      <c r="E1454" s="10" t="str">
        <f ca="1">IFERROR(__xludf.DUMMYFUNCTION("""COMPUTED_VALUE"""),"Научна конференция, 8-9 декември 2011 г., Институт по отбрана, МО, София")</f>
        <v>Научна конференция, 8-9 декември 2011 г., Институт по отбрана, МО, София</v>
      </c>
      <c r="F1454" s="10"/>
      <c r="G1454" s="10" t="str">
        <f ca="1">IFERROR(__xludf.DUMMYFUNCTION("""COMPUTED_VALUE"""),"Целков, В. и Н. Стоянов")</f>
        <v>Целков, В. и Н. Стоянов</v>
      </c>
      <c r="H1454" s="10"/>
      <c r="I1454" s="10"/>
      <c r="J1454" s="10"/>
      <c r="K1454" s="10"/>
      <c r="L1454" s="10"/>
      <c r="M1454" s="10"/>
      <c r="N1454" s="10"/>
      <c r="O1454" s="10"/>
      <c r="P1454" s="10"/>
      <c r="Q1454" s="10"/>
      <c r="R1454" s="10"/>
      <c r="S1454" s="10"/>
      <c r="T1454" s="10"/>
      <c r="U1454" s="10"/>
      <c r="V1454" s="10"/>
      <c r="W1454" s="10"/>
      <c r="X1454" s="10"/>
      <c r="Y1454" s="10"/>
      <c r="Z1454" s="10"/>
    </row>
    <row r="1455" spans="1:26" ht="12.75">
      <c r="A1455" s="10" t="str">
        <f ca="1">IFERROR(__xludf.DUMMYFUNCTION("""COMPUTED_VALUE"""),"Веселин Ценов Целков")</f>
        <v>Веселин Ценов Целков</v>
      </c>
      <c r="B1455" s="10" t="str">
        <f ca="1">IFERROR(__xludf.DUMMYFUNCTION("""COMPUTED_VALUE"""),"Доклад от конференция")</f>
        <v>Доклад от конференция</v>
      </c>
      <c r="C1455" s="10" t="str">
        <f ca="1">IFERROR(__xludf.DUMMYFUNCTION("""COMPUTED_VALUE"""),"Новите информационни технологии и предизвикателствата на мултикултурната среда")</f>
        <v>Новите информационни технологии и предизвикателствата на мултикултурната среда</v>
      </c>
      <c r="D1455" s="10">
        <f ca="1">IFERROR(__xludf.DUMMYFUNCTION("""COMPUTED_VALUE"""),2011)</f>
        <v>2011</v>
      </c>
      <c r="E1455" s="10" t="str">
        <f ca="1">IFERROR(__xludf.DUMMYFUNCTION("""COMPUTED_VALUE"""),"Петата научна сесия по проблемите на лидерството „Лидерството пред новите предизвикателства на мултикултурната среда”, София, 2011 г.")</f>
        <v>Петата научна сесия по проблемите на лидерството „Лидерството пред новите предизвикателства на мултикултурната среда”, София, 2011 г.</v>
      </c>
      <c r="F1455" s="10"/>
      <c r="G1455" s="10" t="str">
        <f ca="1">IFERROR(__xludf.DUMMYFUNCTION("""COMPUTED_VALUE"""),"Целков, В. и О. Исмаилов")</f>
        <v>Целков, В. и О. Исмаилов</v>
      </c>
      <c r="H1455" s="10"/>
      <c r="I1455" s="10"/>
      <c r="J1455" s="10"/>
      <c r="K1455" s="10"/>
      <c r="L1455" s="10"/>
      <c r="M1455" s="10"/>
      <c r="N1455" s="10"/>
      <c r="O1455" s="10"/>
      <c r="P1455" s="10"/>
      <c r="Q1455" s="10"/>
      <c r="R1455" s="10"/>
      <c r="S1455" s="10"/>
      <c r="T1455" s="10"/>
      <c r="U1455" s="10"/>
      <c r="V1455" s="10"/>
      <c r="W1455" s="10"/>
      <c r="X1455" s="10"/>
      <c r="Y1455" s="10"/>
      <c r="Z1455" s="10"/>
    </row>
    <row r="1456" spans="1:26" ht="12.75">
      <c r="A1456" s="10" t="str">
        <f ca="1">IFERROR(__xludf.DUMMYFUNCTION("""COMPUTED_VALUE"""),"Веселин Ценов Целков")</f>
        <v>Веселин Ценов Целков</v>
      </c>
      <c r="B1456" s="10" t="str">
        <f ca="1">IFERROR(__xludf.DUMMYFUNCTION("""COMPUTED_VALUE"""),"Доклад от конференция")</f>
        <v>Доклад от конференция</v>
      </c>
      <c r="C1456" s="10" t="str">
        <f ca="1">IFERROR(__xludf.DUMMYFUNCTION("""COMPUTED_VALUE"""),"Функционални компоненти за сигурност в съответствие с Общите критерии (Common Criteria)")</f>
        <v>Функционални компоненти за сигурност в съответствие с Общите критерии (Common Criteria)</v>
      </c>
      <c r="D1456" s="10">
        <f ca="1">IFERROR(__xludf.DUMMYFUNCTION("""COMPUTED_VALUE"""),2011)</f>
        <v>2011</v>
      </c>
      <c r="E1456" s="10" t="str">
        <f ca="1">IFERROR(__xludf.DUMMYFUNCTION("""COMPUTED_VALUE"""),"Научна конференция, 3-4 ноември 2011 г., НВУ, Факултет „Артилерия, ПВО и КИС”, ИПО, Шумен")</f>
        <v>Научна конференция, 3-4 ноември 2011 г., НВУ, Факултет „Артилерия, ПВО и КИС”, ИПО, Шумен</v>
      </c>
      <c r="F1456" s="10"/>
      <c r="G1456" s="10" t="str">
        <f ca="1">IFERROR(__xludf.DUMMYFUNCTION("""COMPUTED_VALUE"""),"Целков, В. и Н. Стоянов")</f>
        <v>Целков, В. и Н. Стоянов</v>
      </c>
      <c r="H1456" s="10"/>
      <c r="I1456" s="10"/>
      <c r="J1456" s="10"/>
      <c r="K1456" s="10"/>
      <c r="L1456" s="10"/>
      <c r="M1456" s="10"/>
      <c r="N1456" s="10"/>
      <c r="O1456" s="10"/>
      <c r="P1456" s="10"/>
      <c r="Q1456" s="10"/>
      <c r="R1456" s="10"/>
      <c r="S1456" s="10"/>
      <c r="T1456" s="10"/>
      <c r="U1456" s="10"/>
      <c r="V1456" s="10"/>
      <c r="W1456" s="10"/>
      <c r="X1456" s="10"/>
      <c r="Y1456" s="10"/>
      <c r="Z1456" s="10"/>
    </row>
    <row r="1457" spans="1:26" ht="12.75">
      <c r="A1457" s="10" t="str">
        <f ca="1">IFERROR(__xludf.DUMMYFUNCTION("""COMPUTED_VALUE"""),"Веселин Ценов Целков")</f>
        <v>Веселин Ценов Целков</v>
      </c>
      <c r="B1457" s="10" t="str">
        <f ca="1">IFERROR(__xludf.DUMMYFUNCTION("""COMPUTED_VALUE"""),"Доклад от конференция")</f>
        <v>Доклад от конференция</v>
      </c>
      <c r="C1457" s="10" t="str">
        <f ca="1">IFERROR(__xludf.DUMMYFUNCTION("""COMPUTED_VALUE"""),"Един стандарт за управление на риска в ИТ системите")</f>
        <v>Един стандарт за управление на риска в ИТ системите</v>
      </c>
      <c r="D1457" s="10">
        <f ca="1">IFERROR(__xludf.DUMMYFUNCTION("""COMPUTED_VALUE"""),2011)</f>
        <v>2011</v>
      </c>
      <c r="E1457" s="10" t="str">
        <f ca="1">IFERROR(__xludf.DUMMYFUNCTION("""COMPUTED_VALUE"""),"Научна конференция, 3-4 ноември 2011 г., НВУ, Факултет „Артилерия, ПВО и КИС”, ИПО, Шумен")</f>
        <v>Научна конференция, 3-4 ноември 2011 г., НВУ, Факултет „Артилерия, ПВО и КИС”, ИПО, Шумен</v>
      </c>
      <c r="F1457" s="10"/>
      <c r="G1457" s="10"/>
      <c r="H1457" s="10"/>
      <c r="I1457" s="10"/>
      <c r="J1457" s="10"/>
      <c r="K1457" s="10"/>
      <c r="L1457" s="10"/>
      <c r="M1457" s="10"/>
      <c r="N1457" s="10"/>
      <c r="O1457" s="10"/>
      <c r="P1457" s="10"/>
      <c r="Q1457" s="10"/>
      <c r="R1457" s="10"/>
      <c r="S1457" s="10"/>
      <c r="T1457" s="10"/>
      <c r="U1457" s="10"/>
      <c r="V1457" s="10"/>
      <c r="W1457" s="10"/>
      <c r="X1457" s="10"/>
      <c r="Y1457" s="10"/>
      <c r="Z1457" s="10"/>
    </row>
    <row r="1458" spans="1:26" ht="12.75">
      <c r="A1458" s="10" t="str">
        <f ca="1">IFERROR(__xludf.DUMMYFUNCTION("""COMPUTED_VALUE"""),"Веселин Ценов Целков")</f>
        <v>Веселин Ценов Целков</v>
      </c>
      <c r="B1458" s="10" t="str">
        <f ca="1">IFERROR(__xludf.DUMMYFUNCTION("""COMPUTED_VALUE"""),"Монография")</f>
        <v>Монография</v>
      </c>
      <c r="C1458" s="10" t="str">
        <f ca="1">IFERROR(__xludf.DUMMYFUNCTION("""COMPUTED_VALUE"""),"Критерии за оценка на сигурността на комуникационно-информационните системи")</f>
        <v>Критерии за оценка на сигурността на комуникационно-информационните системи</v>
      </c>
      <c r="D1458" s="10">
        <f ca="1">IFERROR(__xludf.DUMMYFUNCTION("""COMPUTED_VALUE"""),2011)</f>
        <v>2011</v>
      </c>
      <c r="E1458" s="10" t="str">
        <f ca="1">IFERROR(__xludf.DUMMYFUNCTION("""COMPUTED_VALUE"""),"монография, УниБИТ, София, 2011 г.")</f>
        <v>монография, УниБИТ, София, 2011 г.</v>
      </c>
      <c r="F1458" s="10"/>
      <c r="G1458" s="10"/>
      <c r="H1458" s="10"/>
      <c r="I1458" s="10"/>
      <c r="J1458" s="10"/>
      <c r="K1458" s="10"/>
      <c r="L1458" s="10"/>
      <c r="M1458" s="10"/>
      <c r="N1458" s="10"/>
      <c r="O1458" s="10"/>
      <c r="P1458" s="10"/>
      <c r="Q1458" s="10"/>
      <c r="R1458" s="10"/>
      <c r="S1458" s="10"/>
      <c r="T1458" s="10"/>
      <c r="U1458" s="10"/>
      <c r="V1458" s="10"/>
      <c r="W1458" s="10"/>
      <c r="X1458" s="10"/>
      <c r="Y1458" s="10"/>
      <c r="Z1458" s="10"/>
    </row>
    <row r="1459" spans="1:26" ht="12.75">
      <c r="A1459" s="10" t="str">
        <f ca="1">IFERROR(__xludf.DUMMYFUNCTION("""COMPUTED_VALUE"""),"Веселин Ценов Целков")</f>
        <v>Веселин Ценов Целков</v>
      </c>
      <c r="B1459" s="10" t="str">
        <f ca="1">IFERROR(__xludf.DUMMYFUNCTION("""COMPUTED_VALUE"""),"Доклад от конференция")</f>
        <v>Доклад от конференция</v>
      </c>
      <c r="C1459" s="10" t="str">
        <f ca="1">IFERROR(__xludf.DUMMYFUNCTION("""COMPUTED_VALUE"""),"Техники за тестване за сигурност на компютърните системи и мрежи за сигурност и отбрана")</f>
        <v>Техники за тестване за сигурност на компютърните системи и мрежи за сигурност и отбрана</v>
      </c>
      <c r="D1459" s="10">
        <f ca="1">IFERROR(__xludf.DUMMYFUNCTION("""COMPUTED_VALUE"""),2011)</f>
        <v>2011</v>
      </c>
      <c r="E1459" s="10" t="str">
        <f ca="1">IFERROR(__xludf.DUMMYFUNCTION("""COMPUTED_VALUE"""),"Научна конференция, 8-9 декември 2011 г., Институт по отбрана, МО, София")</f>
        <v>Научна конференция, 8-9 декември 2011 г., Институт по отбрана, МО, София</v>
      </c>
      <c r="F1459" s="10"/>
      <c r="G1459" s="10"/>
      <c r="H1459" s="10"/>
      <c r="I1459" s="10"/>
      <c r="J1459" s="10"/>
      <c r="K1459" s="10"/>
      <c r="L1459" s="10"/>
      <c r="M1459" s="10"/>
      <c r="N1459" s="10"/>
      <c r="O1459" s="10"/>
      <c r="P1459" s="10"/>
      <c r="Q1459" s="10"/>
      <c r="R1459" s="10"/>
      <c r="S1459" s="10"/>
      <c r="T1459" s="10"/>
      <c r="U1459" s="10"/>
      <c r="V1459" s="10"/>
      <c r="W1459" s="10"/>
      <c r="X1459" s="10"/>
      <c r="Y1459" s="10"/>
      <c r="Z1459" s="10"/>
    </row>
    <row r="1460" spans="1:26" ht="12.75">
      <c r="A1460" s="10" t="str">
        <f ca="1">IFERROR(__xludf.DUMMYFUNCTION("""COMPUTED_VALUE"""),"Веселин Ценов Целков")</f>
        <v>Веселин Ценов Целков</v>
      </c>
      <c r="B1460" s="10" t="str">
        <f ca="1">IFERROR(__xludf.DUMMYFUNCTION("""COMPUTED_VALUE"""),"Доклад от конференция")</f>
        <v>Доклад от конференция</v>
      </c>
      <c r="C1460" s="10" t="str">
        <f ca="1">IFERROR(__xludf.DUMMYFUNCTION("""COMPUTED_VALUE"""),"Информационни източници и достъп до тях")</f>
        <v>Информационни източници и достъп до тях</v>
      </c>
      <c r="D1460" s="10">
        <f ca="1">IFERROR(__xludf.DUMMYFUNCTION("""COMPUTED_VALUE"""),2011)</f>
        <v>2011</v>
      </c>
      <c r="E1460" s="10" t="str">
        <f ca="1">IFERROR(__xludf.DUMMYFUNCTION("""COMPUTED_VALUE"""),"ІХ-та Национална научна конференция с международно участие „Обществото на знанието и хуманизмът на ХХІ век”, ноември 2011 г., УниБИТ, София")</f>
        <v>ІХ-та Национална научна конференция с международно участие „Обществото на знанието и хуманизмът на ХХІ век”, ноември 2011 г., УниБИТ, София</v>
      </c>
      <c r="F1460" s="10"/>
      <c r="G1460" s="10"/>
      <c r="H1460" s="10"/>
      <c r="I1460" s="10"/>
      <c r="J1460" s="10"/>
      <c r="K1460" s="10"/>
      <c r="L1460" s="10"/>
      <c r="M1460" s="10"/>
      <c r="N1460" s="10"/>
      <c r="O1460" s="10"/>
      <c r="P1460" s="10"/>
      <c r="Q1460" s="10"/>
      <c r="R1460" s="10"/>
      <c r="S1460" s="10"/>
      <c r="T1460" s="10"/>
      <c r="U1460" s="10"/>
      <c r="V1460" s="10"/>
      <c r="W1460" s="10"/>
      <c r="X1460" s="10"/>
      <c r="Y1460" s="10"/>
      <c r="Z1460" s="10"/>
    </row>
    <row r="1461" spans="1:26" ht="12.75">
      <c r="A1461" s="10" t="str">
        <f ca="1">IFERROR(__xludf.DUMMYFUNCTION("""COMPUTED_VALUE"""),"Веселин Ценов Целков")</f>
        <v>Веселин Ценов Целков</v>
      </c>
      <c r="B1461" s="10" t="str">
        <f ca="1">IFERROR(__xludf.DUMMYFUNCTION("""COMPUTED_VALUE"""),"Доклад от конференция")</f>
        <v>Доклад от конференция</v>
      </c>
      <c r="C1461" s="10" t="str">
        <f ca="1">IFERROR(__xludf.DUMMYFUNCTION("""COMPUTED_VALUE"""),"Тестване за сигурност на компютърните системи и мрежи за сигурност и отбрана")</f>
        <v>Тестване за сигурност на компютърните системи и мрежи за сигурност и отбрана</v>
      </c>
      <c r="D1461" s="10">
        <f ca="1">IFERROR(__xludf.DUMMYFUNCTION("""COMPUTED_VALUE"""),2011)</f>
        <v>2011</v>
      </c>
      <c r="E1461" s="10" t="str">
        <f ca="1">IFERROR(__xludf.DUMMYFUNCTION("""COMPUTED_VALUE"""),"Научна конференция, 8-9 декември 2011 г., Институт по отбрана, МО, София")</f>
        <v>Научна конференция, 8-9 декември 2011 г., Институт по отбрана, МО, София</v>
      </c>
      <c r="F1461" s="10"/>
      <c r="G1461" s="10"/>
      <c r="H1461" s="10"/>
      <c r="I1461" s="10"/>
      <c r="J1461" s="10"/>
      <c r="K1461" s="10"/>
      <c r="L1461" s="10"/>
      <c r="M1461" s="10"/>
      <c r="N1461" s="10"/>
      <c r="O1461" s="10"/>
      <c r="P1461" s="10"/>
      <c r="Q1461" s="10"/>
      <c r="R1461" s="10"/>
      <c r="S1461" s="10"/>
      <c r="T1461" s="10"/>
      <c r="U1461" s="10"/>
      <c r="V1461" s="10"/>
      <c r="W1461" s="10"/>
      <c r="X1461" s="10"/>
      <c r="Y1461" s="10"/>
      <c r="Z1461" s="10"/>
    </row>
    <row r="1462" spans="1:26" ht="12.75">
      <c r="A1462" s="10" t="str">
        <f ca="1">IFERROR(__xludf.DUMMYFUNCTION("""COMPUTED_VALUE"""),"Веселин Ценов Целков")</f>
        <v>Веселин Ценов Целков</v>
      </c>
      <c r="B1462" s="10" t="str">
        <f ca="1">IFERROR(__xludf.DUMMYFUNCTION("""COMPUTED_VALUE"""),"Доклад от конференция")</f>
        <v>Доклад от конференция</v>
      </c>
      <c r="C1462" s="10" t="str">
        <f ca="1">IFERROR(__xludf.DUMMYFUNCTION("""COMPUTED_VALUE"""),"АИС на Отдела за обслужване на гражданите в Комисията по досиетата, SWOT и PEST анализи")</f>
        <v>АИС на Отдела за обслужване на гражданите в Комисията по досиетата, SWOT и PEST анализи</v>
      </c>
      <c r="D1462" s="10">
        <f ca="1">IFERROR(__xludf.DUMMYFUNCTION("""COMPUTED_VALUE"""),2010)</f>
        <v>2010</v>
      </c>
      <c r="E1462" s="10" t="str">
        <f ca="1">IFERROR(__xludf.DUMMYFUNCTION("""COMPUTED_VALUE"""),"Научна конференция „Перспективни направления за моделиране на организацията, архитектурата и управлението на видовете въоръжени сили и системите за осигуряване и поддръжка в процеса на трансформация”, Военна академия „Г. С. Раковски”, 22-23 февруари 2010 "&amp;"г .")</f>
        <v>Научна конференция „Перспективни направления за моделиране на организацията, архитектурата и управлението на видовете въоръжени сили и системите за осигуряване и поддръжка в процеса на трансформация”, Военна академия „Г. С. Раковски”, 22-23 февруари 2010 г .</v>
      </c>
      <c r="F1462" s="10"/>
      <c r="G1462" s="10" t="str">
        <f ca="1">IFERROR(__xludf.DUMMYFUNCTION("""COMPUTED_VALUE"""),"Целков, В., О. Исмаилов и В. Целкова")</f>
        <v>Целков, В., О. Исмаилов и В. Целкова</v>
      </c>
      <c r="H1462" s="10"/>
      <c r="I1462" s="10"/>
      <c r="J1462" s="10"/>
      <c r="K1462" s="10"/>
      <c r="L1462" s="10"/>
      <c r="M1462" s="10"/>
      <c r="N1462" s="10"/>
      <c r="O1462" s="10"/>
      <c r="P1462" s="10"/>
      <c r="Q1462" s="10"/>
      <c r="R1462" s="10"/>
      <c r="S1462" s="10"/>
      <c r="T1462" s="10"/>
      <c r="U1462" s="10"/>
      <c r="V1462" s="10"/>
      <c r="W1462" s="10"/>
      <c r="X1462" s="10"/>
      <c r="Y1462" s="10"/>
      <c r="Z1462" s="10"/>
    </row>
    <row r="1463" spans="1:26" ht="12.75">
      <c r="A1463" s="10" t="str">
        <f ca="1">IFERROR(__xludf.DUMMYFUNCTION("""COMPUTED_VALUE"""),"Веселин Ценов Целков")</f>
        <v>Веселин Ценов Целков</v>
      </c>
      <c r="B1463" s="10" t="str">
        <f ca="1">IFERROR(__xludf.DUMMYFUNCTION("""COMPUTED_VALUE"""),"Доклад от конференция")</f>
        <v>Доклад от конференция</v>
      </c>
      <c r="C1463" s="10" t="str">
        <f ca="1">IFERROR(__xludf.DUMMYFUNCTION("""COMPUTED_VALUE"""),"Интернет достъп до услугите на Отдела за обслужване на гражданите в Комисията по досиетата")</f>
        <v>Интернет достъп до услугите на Отдела за обслужване на гражданите в Комисията по досиетата</v>
      </c>
      <c r="D1463" s="10">
        <f ca="1">IFERROR(__xludf.DUMMYFUNCTION("""COMPUTED_VALUE"""),2010)</f>
        <v>2010</v>
      </c>
      <c r="E1463" s="10" t="str">
        <f ca="1">IFERROR(__xludf.DUMMYFUNCTION("""COMPUTED_VALUE"""),"Научна конференция „Перспективни направления за моделиране на организацията, архитектурата и управлението на видовете въоръжени сили и системите за осигуряване и поддръжка в процеса на трансформация”, Военна академия „Г. С. Раковски”, 22-23 февруари 2010 "&amp;"г.")</f>
        <v>Научна конференция „Перспективни направления за моделиране на организацията, архитектурата и управлението на видовете въоръжени сили и системите за осигуряване и поддръжка в процеса на трансформация”, Военна академия „Г. С. Раковски”, 22-23 февруари 2010 г.</v>
      </c>
      <c r="F1463" s="10"/>
      <c r="G1463" s="10" t="str">
        <f ca="1">IFERROR(__xludf.DUMMYFUNCTION("""COMPUTED_VALUE"""),"Целков, В., О. Исмаилов и В. Целкова")</f>
        <v>Целков, В., О. Исмаилов и В. Целкова</v>
      </c>
      <c r="H1463" s="10"/>
      <c r="I1463" s="10"/>
      <c r="J1463" s="10"/>
      <c r="K1463" s="10"/>
      <c r="L1463" s="10"/>
      <c r="M1463" s="10"/>
      <c r="N1463" s="10"/>
      <c r="O1463" s="10"/>
      <c r="P1463" s="10"/>
      <c r="Q1463" s="10"/>
      <c r="R1463" s="10"/>
      <c r="S1463" s="10"/>
      <c r="T1463" s="10"/>
      <c r="U1463" s="10"/>
      <c r="V1463" s="10"/>
      <c r="W1463" s="10"/>
      <c r="X1463" s="10"/>
      <c r="Y1463" s="10"/>
      <c r="Z1463" s="10"/>
    </row>
    <row r="1464" spans="1:26" ht="12.75">
      <c r="A1464" s="10" t="str">
        <f ca="1">IFERROR(__xludf.DUMMYFUNCTION("""COMPUTED_VALUE"""),"Веселин Ценов Целков")</f>
        <v>Веселин Ценов Целков</v>
      </c>
      <c r="B1464" s="10" t="str">
        <f ca="1">IFERROR(__xludf.DUMMYFUNCTION("""COMPUTED_VALUE"""),"Доклад от конференция")</f>
        <v>Доклад от конференция</v>
      </c>
      <c r="C1464" s="10" t="str">
        <f ca="1">IFERROR(__xludf.DUMMYFUNCTION("""COMPUTED_VALUE"""),"Информационен модел на администратор на лични данни")</f>
        <v>Информационен модел на администратор на лични данни</v>
      </c>
      <c r="D1464" s="10">
        <f ca="1">IFERROR(__xludf.DUMMYFUNCTION("""COMPUTED_VALUE"""),2010)</f>
        <v>2010</v>
      </c>
      <c r="E1464" s="10" t="str">
        <f ca="1">IFERROR(__xludf.DUMMYFUNCTION("""COMPUTED_VALUE"""),"Научна конференция, ноември 2010 г., НВУ, Факултет „Артилерия, ПВО и КИС”, Шумен")</f>
        <v>Научна конференция, ноември 2010 г., НВУ, Факултет „Артилерия, ПВО и КИС”, Шумен</v>
      </c>
      <c r="F1464" s="10"/>
      <c r="G1464" s="10"/>
      <c r="H1464" s="10"/>
      <c r="I1464" s="10"/>
      <c r="J1464" s="10"/>
      <c r="K1464" s="10"/>
      <c r="L1464" s="10"/>
      <c r="M1464" s="10"/>
      <c r="N1464" s="10"/>
      <c r="O1464" s="10"/>
      <c r="P1464" s="10"/>
      <c r="Q1464" s="10"/>
      <c r="R1464" s="10"/>
      <c r="S1464" s="10"/>
      <c r="T1464" s="10"/>
      <c r="U1464" s="10"/>
      <c r="V1464" s="10"/>
      <c r="W1464" s="10"/>
      <c r="X1464" s="10"/>
      <c r="Y1464" s="10"/>
      <c r="Z1464" s="10"/>
    </row>
    <row r="1465" spans="1:26" ht="12.75">
      <c r="A1465" s="10" t="str">
        <f ca="1">IFERROR(__xludf.DUMMYFUNCTION("""COMPUTED_VALUE"""),"Веселин Ценов Целков")</f>
        <v>Веселин Ценов Целков</v>
      </c>
      <c r="B1465" s="10" t="str">
        <f ca="1">IFERROR(__xludf.DUMMYFUNCTION("""COMPUTED_VALUE"""),"Книга")</f>
        <v>Книга</v>
      </c>
      <c r="C1465" s="10" t="str">
        <f ca="1">IFERROR(__xludf.DUMMYFUNCTION("""COMPUTED_VALUE"""),"Международни стандарти и добри практики за защита на информацията")</f>
        <v>Международни стандарти и добри практики за защита на информацията</v>
      </c>
      <c r="D1465" s="10">
        <f ca="1">IFERROR(__xludf.DUMMYFUNCTION("""COMPUTED_VALUE"""),2010)</f>
        <v>2010</v>
      </c>
      <c r="E1465" s="10" t="str">
        <f ca="1">IFERROR(__xludf.DUMMYFUNCTION("""COMPUTED_VALUE"""),"За буквите – О писменехь, София, 2010, 231 стр., ISBN 978-954-8887-67-0")</f>
        <v>За буквите – О писменехь, София, 2010, 231 стр., ISBN 978-954-8887-67-0</v>
      </c>
      <c r="F1465" s="10"/>
      <c r="G1465" s="10" t="str">
        <f ca="1">IFERROR(__xludf.DUMMYFUNCTION("""COMPUTED_VALUE"""),"Целков, В., Н. Стоянов и О. Исмаилов")</f>
        <v>Целков, В., Н. Стоянов и О. Исмаилов</v>
      </c>
      <c r="H1465" s="10"/>
      <c r="I1465" s="10"/>
      <c r="J1465" s="10"/>
      <c r="K1465" s="10"/>
      <c r="L1465" s="10"/>
      <c r="M1465" s="10"/>
      <c r="N1465" s="10"/>
      <c r="O1465" s="10"/>
      <c r="P1465" s="10"/>
      <c r="Q1465" s="10"/>
      <c r="R1465" s="10"/>
      <c r="S1465" s="10"/>
      <c r="T1465" s="10"/>
      <c r="U1465" s="10"/>
      <c r="V1465" s="10"/>
      <c r="W1465" s="10"/>
      <c r="X1465" s="10"/>
      <c r="Y1465" s="10"/>
      <c r="Z1465" s="10"/>
    </row>
    <row r="1466" spans="1:26" ht="12.75">
      <c r="A1466" s="10" t="str">
        <f ca="1">IFERROR(__xludf.DUMMYFUNCTION("""COMPUTED_VALUE"""),"Веселин Ценов Целков")</f>
        <v>Веселин Ценов Целков</v>
      </c>
      <c r="B1466" s="10" t="str">
        <f ca="1">IFERROR(__xludf.DUMMYFUNCTION("""COMPUTED_VALUE"""),"Доклад от конференция")</f>
        <v>Доклад от конференция</v>
      </c>
      <c r="C1466" s="10" t="str">
        <f ca="1">IFERROR(__xludf.DUMMYFUNCTION("""COMPUTED_VALUE"""),"Развитие на международните стандарти за защита на информацията в компютърните системи и мрежи")</f>
        <v>Развитие на международните стандарти за защита на информацията в компютърните системи и мрежи</v>
      </c>
      <c r="D1466" s="10">
        <f ca="1">IFERROR(__xludf.DUMMYFUNCTION("""COMPUTED_VALUE"""),2010)</f>
        <v>2010</v>
      </c>
      <c r="E1466" s="10" t="str">
        <f ca="1">IFERROR(__xludf.DUMMYFUNCTION("""COMPUTED_VALUE"""),"Научна конференция, ноември 2010 г., НВУ, Факултет „Артилерия, ПВО и КИС”, Шумен")</f>
        <v>Научна конференция, ноември 2010 г., НВУ, Факултет „Артилерия, ПВО и КИС”, Шумен</v>
      </c>
      <c r="F1466" s="10"/>
      <c r="G1466" s="10" t="str">
        <f ca="1">IFERROR(__xludf.DUMMYFUNCTION("""COMPUTED_VALUE"""),"Целков, В. и Н. Стоянов")</f>
        <v>Целков, В. и Н. Стоянов</v>
      </c>
      <c r="H1466" s="10"/>
      <c r="I1466" s="10"/>
      <c r="J1466" s="10"/>
      <c r="K1466" s="10"/>
      <c r="L1466" s="10"/>
      <c r="M1466" s="10"/>
      <c r="N1466" s="10"/>
      <c r="O1466" s="10"/>
      <c r="P1466" s="10"/>
      <c r="Q1466" s="10"/>
      <c r="R1466" s="10"/>
      <c r="S1466" s="10"/>
      <c r="T1466" s="10"/>
      <c r="U1466" s="10"/>
      <c r="V1466" s="10"/>
      <c r="W1466" s="10"/>
      <c r="X1466" s="10"/>
      <c r="Y1466" s="10"/>
      <c r="Z1466" s="10"/>
    </row>
    <row r="1467" spans="1:26" ht="12.75">
      <c r="A1467" s="10" t="str">
        <f ca="1">IFERROR(__xludf.DUMMYFUNCTION("""COMPUTED_VALUE"""),"Веселин Ценов Целков")</f>
        <v>Веселин Ценов Целков</v>
      </c>
      <c r="B1467" s="10" t="str">
        <f ca="1">IFERROR(__xludf.DUMMYFUNCTION("""COMPUTED_VALUE"""),"Доклад от конференция")</f>
        <v>Доклад от конференция</v>
      </c>
      <c r="C1467" s="10" t="str">
        <f ca="1">IFERROR(__xludf.DUMMYFUNCTION("""COMPUTED_VALUE"""),"Многослойна архитектура на система за криптографска защита на информацията в компютърни системи и мрежи")</f>
        <v>Многослойна архитектура на система за криптографска защита на информацията в компютърни системи и мрежи</v>
      </c>
      <c r="D1467" s="10">
        <f ca="1">IFERROR(__xludf.DUMMYFUNCTION("""COMPUTED_VALUE"""),2009)</f>
        <v>2009</v>
      </c>
      <c r="E1467" s="10" t="str">
        <f ca="1">IFERROR(__xludf.DUMMYFUNCTION("""COMPUTED_VALUE"""),"Научна конференция „Изграждане на сигурност, базирана на знания – предизвикателства и възможности”, 2 ноември 2009 г., Военна Академия „Г. С. Раковски“, стр. 284 - 287")</f>
        <v>Научна конференция „Изграждане на сигурност, базирана на знания – предизвикателства и възможности”, 2 ноември 2009 г., Военна Академия „Г. С. Раковски“, стр. 284 - 287</v>
      </c>
      <c r="F1467" s="10"/>
      <c r="G1467" s="10" t="str">
        <f ca="1">IFERROR(__xludf.DUMMYFUNCTION("""COMPUTED_VALUE"""),"Веселин Целков, Николай Стоянов")</f>
        <v>Веселин Целков, Николай Стоянов</v>
      </c>
      <c r="H1467" s="10"/>
      <c r="I1467" s="10"/>
      <c r="J1467" s="10"/>
      <c r="K1467" s="10"/>
      <c r="L1467" s="10"/>
      <c r="M1467" s="10"/>
      <c r="N1467" s="10"/>
      <c r="O1467" s="10"/>
      <c r="P1467" s="10"/>
      <c r="Q1467" s="10"/>
      <c r="R1467" s="10"/>
      <c r="S1467" s="10"/>
      <c r="T1467" s="10"/>
      <c r="U1467" s="10"/>
      <c r="V1467" s="10"/>
      <c r="W1467" s="10"/>
      <c r="X1467" s="10"/>
      <c r="Y1467" s="10"/>
      <c r="Z1467" s="10"/>
    </row>
    <row r="1468" spans="1:26" ht="12.75">
      <c r="A1468" s="10" t="str">
        <f ca="1">IFERROR(__xludf.DUMMYFUNCTION("""COMPUTED_VALUE"""),"Веселин Ценов Целков")</f>
        <v>Веселин Ценов Целков</v>
      </c>
      <c r="B1468" s="10" t="str">
        <f ca="1">IFERROR(__xludf.DUMMYFUNCTION("""COMPUTED_VALUE"""),"Доклад от конференция")</f>
        <v>Доклад от конференция</v>
      </c>
      <c r="C1468" s="10" t="str">
        <f ca="1">IFERROR(__xludf.DUMMYFUNCTION("""COMPUTED_VALUE"""),"Сигурността и защита на личните данни в процеса на глобализация")</f>
        <v>Сигурността и защита на личните данни в процеса на глобализация</v>
      </c>
      <c r="D1468" s="10">
        <f ca="1">IFERROR(__xludf.DUMMYFUNCTION("""COMPUTED_VALUE"""),2009)</f>
        <v>2009</v>
      </c>
      <c r="E1468" s="10" t="str">
        <f ca="1">IFERROR(__xludf.DUMMYFUNCTION("""COMPUTED_VALUE"""),"СВУБИТ, Научна конференция „Глобализация и сигурност”, 6 юни 2009 г.")</f>
        <v>СВУБИТ, Научна конференция „Глобализация и сигурност”, 6 юни 2009 г.</v>
      </c>
      <c r="F1468" s="10"/>
      <c r="G1468" s="10"/>
      <c r="H1468" s="10"/>
      <c r="I1468" s="10"/>
      <c r="J1468" s="10"/>
      <c r="K1468" s="10"/>
      <c r="L1468" s="10"/>
      <c r="M1468" s="10"/>
      <c r="N1468" s="10"/>
      <c r="O1468" s="10"/>
      <c r="P1468" s="10"/>
      <c r="Q1468" s="10"/>
      <c r="R1468" s="10"/>
      <c r="S1468" s="10"/>
      <c r="T1468" s="10"/>
      <c r="U1468" s="10"/>
      <c r="V1468" s="10"/>
      <c r="W1468" s="10"/>
      <c r="X1468" s="10"/>
      <c r="Y1468" s="10"/>
      <c r="Z1468" s="10"/>
    </row>
    <row r="1469" spans="1:26" ht="12.75">
      <c r="A1469" s="10" t="str">
        <f ca="1">IFERROR(__xludf.DUMMYFUNCTION("""COMPUTED_VALUE"""),"Веселин Ценов Целков")</f>
        <v>Веселин Ценов Целков</v>
      </c>
      <c r="B1469" s="10" t="str">
        <f ca="1">IFERROR(__xludf.DUMMYFUNCTION("""COMPUTED_VALUE"""),"Доклад от конференция")</f>
        <v>Доклад от конференция</v>
      </c>
      <c r="C1469" s="10" t="str">
        <f ca="1">IFERROR(__xludf.DUMMYFUNCTION("""COMPUTED_VALUE"""),"Анализ за съответствие")</f>
        <v>Анализ за съответствие</v>
      </c>
      <c r="D1469" s="10">
        <f ca="1">IFERROR(__xludf.DUMMYFUNCTION("""COMPUTED_VALUE"""),2009)</f>
        <v>2009</v>
      </c>
      <c r="E1469" s="10" t="str">
        <f ca="1">IFERROR(__xludf.DUMMYFUNCTION("""COMPUTED_VALUE"""),"ISO 17799 и COBRA, Научна конференция, Военна академия „Г. С. Раковски”, ИПИО, 2009")</f>
        <v>ISO 17799 и COBRA, Научна конференция, Военна академия „Г. С. Раковски”, ИПИО, 2009</v>
      </c>
      <c r="F1469" s="10"/>
      <c r="G1469" s="10"/>
      <c r="H1469" s="10"/>
      <c r="I1469" s="10"/>
      <c r="J1469" s="10"/>
      <c r="K1469" s="10"/>
      <c r="L1469" s="10"/>
      <c r="M1469" s="10"/>
      <c r="N1469" s="10"/>
      <c r="O1469" s="10"/>
      <c r="P1469" s="10"/>
      <c r="Q1469" s="10"/>
      <c r="R1469" s="10"/>
      <c r="S1469" s="10"/>
      <c r="T1469" s="10"/>
      <c r="U1469" s="10"/>
      <c r="V1469" s="10"/>
      <c r="W1469" s="10"/>
      <c r="X1469" s="10"/>
      <c r="Y1469" s="10"/>
      <c r="Z1469" s="10"/>
    </row>
    <row r="1470" spans="1:26" ht="12.75">
      <c r="A1470" s="10" t="str">
        <f ca="1">IFERROR(__xludf.DUMMYFUNCTION("""COMPUTED_VALUE"""),"Веселин Ценов Целков")</f>
        <v>Веселин Ценов Целков</v>
      </c>
      <c r="B1470" s="10" t="str">
        <f ca="1">IFERROR(__xludf.DUMMYFUNCTION("""COMPUTED_VALUE"""),"Доклад от конференция")</f>
        <v>Доклад от конференция</v>
      </c>
      <c r="C1470" s="10" t="str">
        <f ca="1">IFERROR(__xludf.DUMMYFUNCTION("""COMPUTED_VALUE"""),"Формален информационен модел на процесите по проучване за надеждност")</f>
        <v>Формален информационен модел на процесите по проучване за надеждност</v>
      </c>
      <c r="D1470" s="10">
        <f ca="1">IFERROR(__xludf.DUMMYFUNCTION("""COMPUTED_VALUE"""),2009)</f>
        <v>2009</v>
      </c>
      <c r="E1470" s="10" t="str">
        <f ca="1">IFERROR(__xludf.DUMMYFUNCTION("""COMPUTED_VALUE"""),"Научна конференция 2009, Национален военен университет, Шумен, 8 и 9 октомври 2009 г.")</f>
        <v>Научна конференция 2009, Национален военен университет, Шумен, 8 и 9 октомври 2009 г.</v>
      </c>
      <c r="F1470" s="10"/>
      <c r="G1470" s="10" t="str">
        <f ca="1">IFERROR(__xludf.DUMMYFUNCTION("""COMPUTED_VALUE"""),"Целков, В., В. Витков и М. Мехмед")</f>
        <v>Целков, В., В. Витков и М. Мехмед</v>
      </c>
      <c r="H1470" s="10"/>
      <c r="I1470" s="10"/>
      <c r="J1470" s="10"/>
      <c r="K1470" s="10"/>
      <c r="L1470" s="10"/>
      <c r="M1470" s="10"/>
      <c r="N1470" s="10"/>
      <c r="O1470" s="10"/>
      <c r="P1470" s="10"/>
      <c r="Q1470" s="10"/>
      <c r="R1470" s="10"/>
      <c r="S1470" s="10"/>
      <c r="T1470" s="10"/>
      <c r="U1470" s="10"/>
      <c r="V1470" s="10"/>
      <c r="W1470" s="10"/>
      <c r="X1470" s="10"/>
      <c r="Y1470" s="10"/>
      <c r="Z1470" s="10"/>
    </row>
    <row r="1471" spans="1:26" ht="12.75">
      <c r="A1471" s="10" t="str">
        <f ca="1">IFERROR(__xludf.DUMMYFUNCTION("""COMPUTED_VALUE"""),"Веселин Ценов Целков")</f>
        <v>Веселин Ценов Целков</v>
      </c>
      <c r="B1471" s="10" t="str">
        <f ca="1">IFERROR(__xludf.DUMMYFUNCTION("""COMPUTED_VALUE"""),"Доклад от конференция")</f>
        <v>Доклад от конференция</v>
      </c>
      <c r="C1471" s="10" t="str">
        <f ca="1">IFERROR(__xludf.DUMMYFUNCTION("""COMPUTED_VALUE"""),"Анализ на процесите и състоянието на делата по проучване за надеждност")</f>
        <v>Анализ на процесите и състоянието на делата по проучване за надеждност</v>
      </c>
      <c r="D1471" s="10">
        <f ca="1">IFERROR(__xludf.DUMMYFUNCTION("""COMPUTED_VALUE"""),2009)</f>
        <v>2009</v>
      </c>
      <c r="E1471" s="10" t="str">
        <f ca="1">IFERROR(__xludf.DUMMYFUNCTION("""COMPUTED_VALUE"""),"Научна конференция „Изграждане на сигурност, базирана на знания – предизвикателства и възможности”, 2 ноември 2009 г., Военна Академия „Г. С. Раковски, стр. 280 - 283")</f>
        <v>Научна конференция „Изграждане на сигурност, базирана на знания – предизвикателства и възможности”, 2 ноември 2009 г., Военна Академия „Г. С. Раковски, стр. 280 - 283</v>
      </c>
      <c r="F1471" s="10"/>
      <c r="G1471" s="10"/>
      <c r="H1471" s="10"/>
      <c r="I1471" s="10"/>
      <c r="J1471" s="10"/>
      <c r="K1471" s="10"/>
      <c r="L1471" s="10"/>
      <c r="M1471" s="10"/>
      <c r="N1471" s="10"/>
      <c r="O1471" s="10"/>
      <c r="P1471" s="10"/>
      <c r="Q1471" s="10"/>
      <c r="R1471" s="10"/>
      <c r="S1471" s="10"/>
      <c r="T1471" s="10"/>
      <c r="U1471" s="10"/>
      <c r="V1471" s="10"/>
      <c r="W1471" s="10"/>
      <c r="X1471" s="10"/>
      <c r="Y1471" s="10"/>
      <c r="Z1471" s="10"/>
    </row>
    <row r="1472" spans="1:26" ht="12.75">
      <c r="A1472" s="10" t="str">
        <f ca="1">IFERROR(__xludf.DUMMYFUNCTION("""COMPUTED_VALUE"""),"Веселин Ценов Целков")</f>
        <v>Веселин Ценов Целков</v>
      </c>
      <c r="B1472" s="10" t="str">
        <f ca="1">IFERROR(__xludf.DUMMYFUNCTION("""COMPUTED_VALUE"""),"Статия в списания и поредици")</f>
        <v>Статия в списания и поредици</v>
      </c>
      <c r="C1472" s="10" t="str">
        <f ca="1">IFERROR(__xludf.DUMMYFUNCTION("""COMPUTED_VALUE"""),"Взаимодействия и алгоритми в процеса по проучване за надеждност")</f>
        <v>Взаимодействия и алгоритми в процеса по проучване за надеждност</v>
      </c>
      <c r="D1472" s="10">
        <f ca="1">IFERROR(__xludf.DUMMYFUNCTION("""COMPUTED_VALUE"""),2009)</f>
        <v>2009</v>
      </c>
      <c r="E1472" s="10" t="str">
        <f ca="1">IFERROR(__xludf.DUMMYFUNCTION("""COMPUTED_VALUE"""),"Военен журнал, 2009 г.")</f>
        <v>Военен журнал, 2009 г.</v>
      </c>
      <c r="F1472" s="10"/>
      <c r="G1472" s="10" t="str">
        <f ca="1">IFERROR(__xludf.DUMMYFUNCTION("""COMPUTED_VALUE"""),"Целков, В., В. Витков и М. Мехмед")</f>
        <v>Целков, В., В. Витков и М. Мехмед</v>
      </c>
      <c r="H1472" s="10"/>
      <c r="I1472" s="10"/>
      <c r="J1472" s="10"/>
      <c r="K1472" s="10"/>
      <c r="L1472" s="10"/>
      <c r="M1472" s="10"/>
      <c r="N1472" s="10"/>
      <c r="O1472" s="10"/>
      <c r="P1472" s="10"/>
      <c r="Q1472" s="10"/>
      <c r="R1472" s="10"/>
      <c r="S1472" s="10"/>
      <c r="T1472" s="10"/>
      <c r="U1472" s="10"/>
      <c r="V1472" s="10"/>
      <c r="W1472" s="10"/>
      <c r="X1472" s="10"/>
      <c r="Y1472" s="10"/>
      <c r="Z1472" s="10"/>
    </row>
    <row r="1473" spans="1:26" ht="12.75">
      <c r="A1473" s="10" t="str">
        <f ca="1">IFERROR(__xludf.DUMMYFUNCTION("""COMPUTED_VALUE"""),"Веселин Ценов Целков")</f>
        <v>Веселин Ценов Целков</v>
      </c>
      <c r="B1473" s="10" t="str">
        <f ca="1">IFERROR(__xludf.DUMMYFUNCTION("""COMPUTED_VALUE"""),"Книга")</f>
        <v>Книга</v>
      </c>
      <c r="C1473" s="10" t="str">
        <f ca="1">IFERROR(__xludf.DUMMYFUNCTION("""COMPUTED_VALUE"""),"Защитени криптографски приложения в компютърните системи и мрежи")</f>
        <v>Защитени криптографски приложения в компютърните системи и мрежи</v>
      </c>
      <c r="D1473" s="10">
        <f ca="1">IFERROR(__xludf.DUMMYFUNCTION("""COMPUTED_VALUE"""),2009)</f>
        <v>2009</v>
      </c>
      <c r="E1473" s="10" t="str">
        <f ca="1">IFERROR(__xludf.DUMMYFUNCTION("""COMPUTED_VALUE"""),"Издателство: Нова звезда, ISBN: 978-954-8933-20-9")</f>
        <v>Издателство: Нова звезда, ISBN: 978-954-8933-20-9</v>
      </c>
      <c r="F1473" s="10"/>
      <c r="G1473" s="10" t="str">
        <f ca="1">IFERROR(__xludf.DUMMYFUNCTION("""COMPUTED_VALUE"""),"Веселин Целков, Николай Стоянов")</f>
        <v>Веселин Целков, Николай Стоянов</v>
      </c>
      <c r="H1473" s="10"/>
      <c r="I1473" s="10"/>
      <c r="J1473" s="10"/>
      <c r="K1473" s="10"/>
      <c r="L1473" s="10"/>
      <c r="M1473" s="10"/>
      <c r="N1473" s="10"/>
      <c r="O1473" s="10"/>
      <c r="P1473" s="10"/>
      <c r="Q1473" s="10"/>
      <c r="R1473" s="10"/>
      <c r="S1473" s="10"/>
      <c r="T1473" s="10"/>
      <c r="U1473" s="10"/>
      <c r="V1473" s="10"/>
      <c r="W1473" s="10"/>
      <c r="X1473" s="10"/>
      <c r="Y1473" s="10"/>
      <c r="Z1473" s="10"/>
    </row>
    <row r="1474" spans="1:26" ht="12.75">
      <c r="A1474" s="10" t="str">
        <f ca="1">IFERROR(__xludf.DUMMYFUNCTION("""COMPUTED_VALUE"""),"Веселин Ценов Целков")</f>
        <v>Веселин Ценов Целков</v>
      </c>
      <c r="B1474" s="10" t="str">
        <f ca="1">IFERROR(__xludf.DUMMYFUNCTION("""COMPUTED_VALUE"""),"Доклад от конференция")</f>
        <v>Доклад от конференция</v>
      </c>
      <c r="C1474" s="10" t="str">
        <f ca="1">IFERROR(__xludf.DUMMYFUNCTION("""COMPUTED_VALUE"""),"COBRA и Анализ на риска на най-високо ниво")</f>
        <v>COBRA и Анализ на риска на най-високо ниво</v>
      </c>
      <c r="D1474" s="10">
        <f ca="1">IFERROR(__xludf.DUMMYFUNCTION("""COMPUTED_VALUE"""),2009)</f>
        <v>2009</v>
      </c>
      <c r="E1474" s="10" t="str">
        <f ca="1">IFERROR(__xludf.DUMMYFUNCTION("""COMPUTED_VALUE"""),"ISO 17799, Научна конференция 2009, Национален военен университет, Шумен, 8 и 9 октомври 2009 г.")</f>
        <v>ISO 17799, Научна конференция 2009, Национален военен университет, Шумен, 8 и 9 октомври 2009 г.</v>
      </c>
      <c r="F1474" s="10"/>
      <c r="G1474" s="10"/>
      <c r="H1474" s="10"/>
      <c r="I1474" s="10"/>
      <c r="J1474" s="10"/>
      <c r="K1474" s="10"/>
      <c r="L1474" s="10"/>
      <c r="M1474" s="10"/>
      <c r="N1474" s="10"/>
      <c r="O1474" s="10"/>
      <c r="P1474" s="10"/>
      <c r="Q1474" s="10"/>
      <c r="R1474" s="10"/>
      <c r="S1474" s="10"/>
      <c r="T1474" s="10"/>
      <c r="U1474" s="10"/>
      <c r="V1474" s="10"/>
      <c r="W1474" s="10"/>
      <c r="X1474" s="10"/>
      <c r="Y1474" s="10"/>
      <c r="Z1474" s="10"/>
    </row>
    <row r="1475" spans="1:26" ht="12.75">
      <c r="A1475" s="10" t="str">
        <f ca="1">IFERROR(__xludf.DUMMYFUNCTION("""COMPUTED_VALUE"""),"Веселин Ценов Целков")</f>
        <v>Веселин Ценов Целков</v>
      </c>
      <c r="B1475" s="10" t="str">
        <f ca="1">IFERROR(__xludf.DUMMYFUNCTION("""COMPUTED_VALUE"""),"Доклад от конференция")</f>
        <v>Доклад от конференция</v>
      </c>
      <c r="C1475" s="10" t="str">
        <f ca="1">IFERROR(__xludf.DUMMYFUNCTION("""COMPUTED_VALUE"""),"Един стандарт за управление на риска")</f>
        <v>Един стандарт за управление на риска</v>
      </c>
      <c r="D1475" s="10">
        <f ca="1">IFERROR(__xludf.DUMMYFUNCTION("""COMPUTED_VALUE"""),2009)</f>
        <v>2009</v>
      </c>
      <c r="E1475" s="10" t="str">
        <f ca="1">IFERROR(__xludf.DUMMYFUNCTION("""COMPUTED_VALUE"""),"Научна конференция, Военна академия „Г. С. Раковски”, ИПИО, 2009")</f>
        <v>Научна конференция, Военна академия „Г. С. Раковски”, ИПИО, 2009</v>
      </c>
      <c r="F1475" s="10"/>
      <c r="G1475" s="10"/>
      <c r="H1475" s="10"/>
      <c r="I1475" s="10"/>
      <c r="J1475" s="10"/>
      <c r="K1475" s="10"/>
      <c r="L1475" s="10"/>
      <c r="M1475" s="10"/>
      <c r="N1475" s="10"/>
      <c r="O1475" s="10"/>
      <c r="P1475" s="10"/>
      <c r="Q1475" s="10"/>
      <c r="R1475" s="10"/>
      <c r="S1475" s="10"/>
      <c r="T1475" s="10"/>
      <c r="U1475" s="10"/>
      <c r="V1475" s="10"/>
      <c r="W1475" s="10"/>
      <c r="X1475" s="10"/>
      <c r="Y1475" s="10"/>
      <c r="Z1475" s="10"/>
    </row>
    <row r="1476" spans="1:26" ht="12.75">
      <c r="A1476" s="10" t="str">
        <f ca="1">IFERROR(__xludf.DUMMYFUNCTION("""COMPUTED_VALUE"""),"Веселин Ценов Целков")</f>
        <v>Веселин Ценов Целков</v>
      </c>
      <c r="B1476" s="10" t="str">
        <f ca="1">IFERROR(__xludf.DUMMYFUNCTION("""COMPUTED_VALUE"""),"Доклад от конференция")</f>
        <v>Доклад от конференция</v>
      </c>
      <c r="C1476" s="10" t="str">
        <f ca="1">IFERROR(__xludf.DUMMYFUNCTION("""COMPUTED_VALUE"""),"Е-мрежов модел за тестване на криптографска система за защита на информацията в компютърни системи и мрежи")</f>
        <v>Е-мрежов модел за тестване на криптографска система за защита на информацията в компютърни системи и мрежи</v>
      </c>
      <c r="D1476" s="10">
        <f ca="1">IFERROR(__xludf.DUMMYFUNCTION("""COMPUTED_VALUE"""),2008)</f>
        <v>2008</v>
      </c>
      <c r="E1476" s="10" t="str">
        <f ca="1">IFERROR(__xludf.DUMMYFUNCTION("""COMPUTED_VALUE"""),"Международна научна конференция, ВА „Г. С. Раковски”, ИПИО, ISBN 978-954-9348-07-1, София, април 2008, стр. 226 - 229")</f>
        <v>Международна научна конференция, ВА „Г. С. Раковски”, ИПИО, ISBN 978-954-9348-07-1, София, април 2008, стр. 226 - 229</v>
      </c>
      <c r="F1476" s="10"/>
      <c r="G1476" s="10"/>
      <c r="H1476" s="10"/>
      <c r="I1476" s="10"/>
      <c r="J1476" s="10"/>
      <c r="K1476" s="10"/>
      <c r="L1476" s="10"/>
      <c r="M1476" s="10"/>
      <c r="N1476" s="10"/>
      <c r="O1476" s="10"/>
      <c r="P1476" s="10"/>
      <c r="Q1476" s="10"/>
      <c r="R1476" s="10"/>
      <c r="S1476" s="10"/>
      <c r="T1476" s="10"/>
      <c r="U1476" s="10"/>
      <c r="V1476" s="10"/>
      <c r="W1476" s="10"/>
      <c r="X1476" s="10"/>
      <c r="Y1476" s="10"/>
      <c r="Z1476" s="10"/>
    </row>
    <row r="1477" spans="1:26" ht="12.75">
      <c r="A1477" s="10" t="str">
        <f ca="1">IFERROR(__xludf.DUMMYFUNCTION("""COMPUTED_VALUE"""),"Веселин Ценов Целков")</f>
        <v>Веселин Ценов Целков</v>
      </c>
      <c r="B1477" s="10" t="str">
        <f ca="1">IFERROR(__xludf.DUMMYFUNCTION("""COMPUTED_VALUE"""),"Книга")</f>
        <v>Книга</v>
      </c>
      <c r="C1477" s="10" t="str">
        <f ca="1">IFERROR(__xludf.DUMMYFUNCTION("""COMPUTED_VALUE"""),"Архитектура на криптографска система за защита на информацията в компютърни системи и мрежи")</f>
        <v>Архитектура на криптографска система за защита на информацията в компютърни системи и мрежи</v>
      </c>
      <c r="D1477" s="10">
        <f ca="1">IFERROR(__xludf.DUMMYFUNCTION("""COMPUTED_VALUE"""),2008)</f>
        <v>2008</v>
      </c>
      <c r="E1477" s="10" t="str">
        <f ca="1">IFERROR(__xludf.DUMMYFUNCTION("""COMPUTED_VALUE"""),"Хемус, 2008")</f>
        <v>Хемус, 2008</v>
      </c>
      <c r="F1477" s="10"/>
      <c r="G1477" s="10"/>
      <c r="H1477" s="10"/>
      <c r="I1477" s="10"/>
      <c r="J1477" s="10"/>
      <c r="K1477" s="10"/>
      <c r="L1477" s="10"/>
      <c r="M1477" s="10"/>
      <c r="N1477" s="10"/>
      <c r="O1477" s="10"/>
      <c r="P1477" s="10"/>
      <c r="Q1477" s="10"/>
      <c r="R1477" s="10"/>
      <c r="S1477" s="10"/>
      <c r="T1477" s="10"/>
      <c r="U1477" s="10"/>
      <c r="V1477" s="10"/>
      <c r="W1477" s="10"/>
      <c r="X1477" s="10"/>
      <c r="Y1477" s="10"/>
      <c r="Z1477" s="10"/>
    </row>
    <row r="1478" spans="1:26" ht="12.75">
      <c r="A1478" s="10" t="str">
        <f ca="1">IFERROR(__xludf.DUMMYFUNCTION("""COMPUTED_VALUE"""),"Веселин Ценов Целков")</f>
        <v>Веселин Ценов Целков</v>
      </c>
      <c r="B1478" s="10" t="str">
        <f ca="1">IFERROR(__xludf.DUMMYFUNCTION("""COMPUTED_VALUE"""),"Книга")</f>
        <v>Книга</v>
      </c>
      <c r="C1478" s="10" t="str">
        <f ca="1">IFERROR(__xludf.DUMMYFUNCTION("""COMPUTED_VALUE"""),"Модели на защитени взаимодействия в компютърни системи и мрежи")</f>
        <v>Модели на защитени взаимодействия в компютърни системи и мрежи</v>
      </c>
      <c r="D1478" s="10">
        <f ca="1">IFERROR(__xludf.DUMMYFUNCTION("""COMPUTED_VALUE"""),2008)</f>
        <v>2008</v>
      </c>
      <c r="E1478" s="10" t="str">
        <f ca="1">IFERROR(__xludf.DUMMYFUNCTION("""COMPUTED_VALUE"""),"За буквите – О писменехь, София, 2008, 322 стр., ISBN 978-954-8887-45-8")</f>
        <v>За буквите – О писменехь, София, 2008, 322 стр., ISBN 978-954-8887-45-8</v>
      </c>
      <c r="F1478" s="10"/>
      <c r="G1478" s="10" t="str">
        <f ca="1">IFERROR(__xludf.DUMMYFUNCTION("""COMPUTED_VALUE"""),"Целков, В.")</f>
        <v>Целков, В.</v>
      </c>
      <c r="H1478" s="10"/>
      <c r="I1478" s="10"/>
      <c r="J1478" s="10"/>
      <c r="K1478" s="10"/>
      <c r="L1478" s="10"/>
      <c r="M1478" s="10"/>
      <c r="N1478" s="10"/>
      <c r="O1478" s="10"/>
      <c r="P1478" s="10"/>
      <c r="Q1478" s="10"/>
      <c r="R1478" s="10"/>
      <c r="S1478" s="10"/>
      <c r="T1478" s="10"/>
      <c r="U1478" s="10"/>
      <c r="V1478" s="10"/>
      <c r="W1478" s="10"/>
      <c r="X1478" s="10"/>
      <c r="Y1478" s="10"/>
      <c r="Z1478" s="10"/>
    </row>
    <row r="1479" spans="1:26" ht="12.75">
      <c r="A1479" s="10" t="str">
        <f ca="1">IFERROR(__xludf.DUMMYFUNCTION("""COMPUTED_VALUE"""),"Веселин Ценов Целков")</f>
        <v>Веселин Ценов Целков</v>
      </c>
      <c r="B1479" s="10" t="str">
        <f ca="1">IFERROR(__xludf.DUMMYFUNCTION("""COMPUTED_VALUE"""),"Книга")</f>
        <v>Книга</v>
      </c>
      <c r="C1479" s="10" t="str">
        <f ca="1">IFERROR(__xludf.DUMMYFUNCTION("""COMPUTED_VALUE"""),"Формален модел на криптографска система за защита на информацията в компютърни системи и мрежи")</f>
        <v>Формален модел на криптографска система за защита на информацията в компютърни системи и мрежи</v>
      </c>
      <c r="D1479" s="10">
        <f ca="1">IFERROR(__xludf.DUMMYFUNCTION("""COMPUTED_VALUE"""),2008)</f>
        <v>2008</v>
      </c>
      <c r="E1479" s="10" t="str">
        <f ca="1">IFERROR(__xludf.DUMMYFUNCTION("""COMPUTED_VALUE"""),"Хемус, 2008")</f>
        <v>Хемус, 2008</v>
      </c>
      <c r="F1479" s="10"/>
      <c r="G1479" s="10"/>
      <c r="H1479" s="10"/>
      <c r="I1479" s="10"/>
      <c r="J1479" s="10"/>
      <c r="K1479" s="10"/>
      <c r="L1479" s="10"/>
      <c r="M1479" s="10"/>
      <c r="N1479" s="10"/>
      <c r="O1479" s="10"/>
      <c r="P1479" s="10"/>
      <c r="Q1479" s="10"/>
      <c r="R1479" s="10"/>
      <c r="S1479" s="10"/>
      <c r="T1479" s="10"/>
      <c r="U1479" s="10"/>
      <c r="V1479" s="10"/>
      <c r="W1479" s="10"/>
      <c r="X1479" s="10"/>
      <c r="Y1479" s="10"/>
      <c r="Z1479" s="10"/>
    </row>
    <row r="1480" spans="1:26" ht="12.75">
      <c r="A1480" s="10" t="str">
        <f ca="1">IFERROR(__xludf.DUMMYFUNCTION("""COMPUTED_VALUE"""),"Веселин Ценов Целков")</f>
        <v>Веселин Ценов Целков</v>
      </c>
      <c r="B1480" s="10" t="str">
        <f ca="1">IFERROR(__xludf.DUMMYFUNCTION("""COMPUTED_VALUE"""),"Книга")</f>
        <v>Книга</v>
      </c>
      <c r="C1480" s="10" t="str">
        <f ca="1">IFERROR(__xludf.DUMMYFUNCTION("""COMPUTED_VALUE"""),"Модели на защитени взаимодействия в компютърни системи и мрежи")</f>
        <v>Модели на защитени взаимодействия в компютърни системи и мрежи</v>
      </c>
      <c r="D1480" s="10">
        <f ca="1">IFERROR(__xludf.DUMMYFUNCTION("""COMPUTED_VALUE"""),2008)</f>
        <v>2008</v>
      </c>
      <c r="E1480" s="10" t="str">
        <f ca="1">IFERROR(__xludf.DUMMYFUNCTION("""COMPUTED_VALUE"""),"За буквите - О писменехъ, ISBN:9789548887458")</f>
        <v>За буквите - О писменехъ, ISBN:9789548887458</v>
      </c>
      <c r="F1480" s="10"/>
      <c r="G1480" s="10"/>
      <c r="H1480" s="10"/>
      <c r="I1480" s="10"/>
      <c r="J1480" s="10"/>
      <c r="K1480" s="10"/>
      <c r="L1480" s="10"/>
      <c r="M1480" s="10"/>
      <c r="N1480" s="10"/>
      <c r="O1480" s="10"/>
      <c r="P1480" s="10"/>
      <c r="Q1480" s="10"/>
      <c r="R1480" s="10"/>
      <c r="S1480" s="10"/>
      <c r="T1480" s="10"/>
      <c r="U1480" s="10"/>
      <c r="V1480" s="10"/>
      <c r="W1480" s="10"/>
      <c r="X1480" s="10"/>
      <c r="Y1480" s="10"/>
      <c r="Z1480" s="10"/>
    </row>
    <row r="1481" spans="1:26" ht="12.75">
      <c r="A1481" s="10" t="str">
        <f ca="1">IFERROR(__xludf.DUMMYFUNCTION("""COMPUTED_VALUE"""),"Веселин Ценов Целков")</f>
        <v>Веселин Ценов Целков</v>
      </c>
      <c r="B1481" s="10" t="str">
        <f ca="1">IFERROR(__xludf.DUMMYFUNCTION("""COMPUTED_VALUE"""),"Книга")</f>
        <v>Книга</v>
      </c>
      <c r="C1481" s="10" t="str">
        <f ca="1">IFERROR(__xludf.DUMMYFUNCTION("""COMPUTED_VALUE"""),"Модели на защитени взаимодействия в компютърни системи и мрежи")</f>
        <v>Модели на защитени взаимодействия в компютърни системи и мрежи</v>
      </c>
      <c r="D1481" s="10">
        <f ca="1">IFERROR(__xludf.DUMMYFUNCTION("""COMPUTED_VALUE"""),2008)</f>
        <v>2008</v>
      </c>
      <c r="E1481" s="10" t="str">
        <f ca="1">IFERROR(__xludf.DUMMYFUNCTION("""COMPUTED_VALUE"""),"Автореферат на дисертационен труд за получаване на научната степен „доктор на техническите науки”, СВУБИТ, 2008 г., 40 стр.")</f>
        <v>Автореферат на дисертационен труд за получаване на научната степен „доктор на техническите науки”, СВУБИТ, 2008 г., 40 стр.</v>
      </c>
      <c r="F1481" s="10"/>
      <c r="G1481" s="10"/>
      <c r="H1481" s="10"/>
      <c r="I1481" s="10"/>
      <c r="J1481" s="10"/>
      <c r="K1481" s="10"/>
      <c r="L1481" s="10"/>
      <c r="M1481" s="10"/>
      <c r="N1481" s="10"/>
      <c r="O1481" s="10"/>
      <c r="P1481" s="10"/>
      <c r="Q1481" s="10"/>
      <c r="R1481" s="10"/>
      <c r="S1481" s="10"/>
      <c r="T1481" s="10"/>
      <c r="U1481" s="10"/>
      <c r="V1481" s="10"/>
      <c r="W1481" s="10"/>
      <c r="X1481" s="10"/>
      <c r="Y1481" s="10"/>
      <c r="Z1481" s="10"/>
    </row>
    <row r="1482" spans="1:26" ht="12.75">
      <c r="A1482" s="10" t="str">
        <f ca="1">IFERROR(__xludf.DUMMYFUNCTION("""COMPUTED_VALUE"""),"Веселин Ценов Целков")</f>
        <v>Веселин Ценов Целков</v>
      </c>
      <c r="B1482" s="10" t="str">
        <f ca="1">IFERROR(__xludf.DUMMYFUNCTION("""COMPUTED_VALUE"""),"Статия в списания и поредици")</f>
        <v>Статия в списания и поредици</v>
      </c>
      <c r="C1482" s="10" t="str">
        <f ca="1">IFERROR(__xludf.DUMMYFUNCTION("""COMPUTED_VALUE"""),"Разширение на класическите модели за контрол на достъпа до ресурсите в компютърните системи в измеренията „входни точки и единно време”")</f>
        <v>Разширение на класическите модели за контрол на достъпа до ресурсите в компютърните системи в измеренията „входни точки и единно време”</v>
      </c>
      <c r="D1482" s="10">
        <f ca="1">IFERROR(__xludf.DUMMYFUNCTION("""COMPUTED_VALUE"""),2007)</f>
        <v>2007</v>
      </c>
      <c r="E1482" s="10" t="str">
        <f ca="1">IFERROR(__xludf.DUMMYFUNCTION("""COMPUTED_VALUE"""),"Разширение на класическите модели за контрол на достъпа до ресурсите в компютърните системи в измеренията „входни точки и единно време”")</f>
        <v>Разширение на класическите модели за контрол на достъпа до ресурсите в компютърните системи в измеренията „входни точки и единно време”</v>
      </c>
      <c r="F1482" s="10"/>
      <c r="G1482" s="10" t="str">
        <f ca="1">IFERROR(__xludf.DUMMYFUNCTION("""COMPUTED_VALUE"""),"Целков, В. и Н. Стоянов")</f>
        <v>Целков, В. и Н. Стоянов</v>
      </c>
      <c r="H1482" s="10"/>
      <c r="I1482" s="10"/>
      <c r="J1482" s="10"/>
      <c r="K1482" s="10"/>
      <c r="L1482" s="10"/>
      <c r="M1482" s="10"/>
      <c r="N1482" s="10"/>
      <c r="O1482" s="10"/>
      <c r="P1482" s="10"/>
      <c r="Q1482" s="10"/>
      <c r="R1482" s="10"/>
      <c r="S1482" s="10"/>
      <c r="T1482" s="10"/>
      <c r="U1482" s="10"/>
      <c r="V1482" s="10"/>
      <c r="W1482" s="10"/>
      <c r="X1482" s="10"/>
      <c r="Y1482" s="10"/>
      <c r="Z1482" s="10"/>
    </row>
    <row r="1483" spans="1:26" ht="12.75">
      <c r="A1483" s="10" t="str">
        <f ca="1">IFERROR(__xludf.DUMMYFUNCTION("""COMPUTED_VALUE"""),"Веселин Ценов Целков")</f>
        <v>Веселин Ценов Целков</v>
      </c>
      <c r="B1483" s="10" t="str">
        <f ca="1">IFERROR(__xludf.DUMMYFUNCTION("""COMPUTED_VALUE"""),"Статия в списания и поредици")</f>
        <v>Статия в списания и поредици</v>
      </c>
      <c r="C1483" s="10" t="str">
        <f ca="1">IFERROR(__xludf.DUMMYFUNCTION("""COMPUTED_VALUE"""),"Модели и механизми за тестване на криптографска система за защита на информацията в компютърни системи и мрежи.")</f>
        <v>Модели и механизми за тестване на криптографска система за защита на информацията в компютърни системи и мрежи.</v>
      </c>
      <c r="D1483" s="10">
        <f ca="1">IFERROR(__xludf.DUMMYFUNCTION("""COMPUTED_VALUE"""),2007)</f>
        <v>2007</v>
      </c>
      <c r="E1483" s="10" t="str">
        <f ca="1">IFERROR(__xludf.DUMMYFUNCTION("""COMPUTED_VALUE"""),"ВА „Г. С. Раковски”, Научна сесия „95 години ВА”, София, 2007 г., стр. 145 - 148")</f>
        <v>ВА „Г. С. Раковски”, Научна сесия „95 години ВА”, София, 2007 г., стр. 145 - 148</v>
      </c>
      <c r="F1483" s="10"/>
      <c r="G1483" s="10"/>
      <c r="H1483" s="10"/>
      <c r="I1483" s="10"/>
      <c r="J1483" s="10"/>
      <c r="K1483" s="10"/>
      <c r="L1483" s="10"/>
      <c r="M1483" s="10"/>
      <c r="N1483" s="10"/>
      <c r="O1483" s="10"/>
      <c r="P1483" s="10"/>
      <c r="Q1483" s="10"/>
      <c r="R1483" s="10"/>
      <c r="S1483" s="10"/>
      <c r="T1483" s="10"/>
      <c r="U1483" s="10"/>
      <c r="V1483" s="10"/>
      <c r="W1483" s="10"/>
      <c r="X1483" s="10"/>
      <c r="Y1483" s="10"/>
      <c r="Z1483" s="10"/>
    </row>
    <row r="1484" spans="1:26" ht="12.75">
      <c r="A1484" s="10" t="str">
        <f ca="1">IFERROR(__xludf.DUMMYFUNCTION("""COMPUTED_VALUE"""),"Веселин Ценов Целков")</f>
        <v>Веселин Ценов Целков</v>
      </c>
      <c r="B1484" s="10" t="str">
        <f ca="1">IFERROR(__xludf.DUMMYFUNCTION("""COMPUTED_VALUE"""),"Доклад от конференция")</f>
        <v>Доклад от конференция</v>
      </c>
      <c r="C1484" s="10" t="str">
        <f ca="1">IFERROR(__xludf.DUMMYFUNCTION("""COMPUTED_VALUE"""),"ВА „Г. С. Раковски”, Научна сесия „95 години ВА”, София, 2007 г., стр. 145 - 148")</f>
        <v>ВА „Г. С. Раковски”, Научна сесия „95 години ВА”, София, 2007 г., стр. 145 - 148</v>
      </c>
      <c r="D1484" s="10">
        <f ca="1">IFERROR(__xludf.DUMMYFUNCTION("""COMPUTED_VALUE"""),2007)</f>
        <v>2007</v>
      </c>
      <c r="E1484" s="10" t="str">
        <f ca="1">IFERROR(__xludf.DUMMYFUNCTION("""COMPUTED_VALUE"""),"ВА „Г. С. Раковски”, Научна сесия „95 години ВА”, София, 2007 г., стр. 145 - 148")</f>
        <v>ВА „Г. С. Раковски”, Научна сесия „95 години ВА”, София, 2007 г., стр. 145 - 148</v>
      </c>
      <c r="F1484" s="10"/>
      <c r="G1484" s="10" t="str">
        <f ca="1">IFERROR(__xludf.DUMMYFUNCTION("""COMPUTED_VALUE"""),"V. Tselkov")</f>
        <v>V. Tselkov</v>
      </c>
      <c r="H1484" s="10"/>
      <c r="I1484" s="10"/>
      <c r="J1484" s="10"/>
      <c r="K1484" s="10"/>
      <c r="L1484" s="10"/>
      <c r="M1484" s="10"/>
      <c r="N1484" s="10"/>
      <c r="O1484" s="10"/>
      <c r="P1484" s="10"/>
      <c r="Q1484" s="10"/>
      <c r="R1484" s="10"/>
      <c r="S1484" s="10"/>
      <c r="T1484" s="10"/>
      <c r="U1484" s="10"/>
      <c r="V1484" s="10"/>
      <c r="W1484" s="10"/>
      <c r="X1484" s="10"/>
      <c r="Y1484" s="10"/>
      <c r="Z1484" s="10"/>
    </row>
    <row r="1485" spans="1:26" ht="12.75">
      <c r="A1485" s="10" t="str">
        <f ca="1">IFERROR(__xludf.DUMMYFUNCTION("""COMPUTED_VALUE"""),"Веселин Ценов Целков")</f>
        <v>Веселин Ценов Целков</v>
      </c>
      <c r="B1485" s="10" t="str">
        <f ca="1">IFERROR(__xludf.DUMMYFUNCTION("""COMPUTED_VALUE"""),"Учебно пособие")</f>
        <v>Учебно пособие</v>
      </c>
      <c r="C1485" s="10" t="str">
        <f ca="1">IFERROR(__xludf.DUMMYFUNCTION("""COMPUTED_VALUE"""),"Функциониране на обобщения модел за достъпа до ресурсите в компютърни системи")</f>
        <v>Функциониране на обобщения модел за достъпа до ресурсите в компютърни системи</v>
      </c>
      <c r="D1485" s="10">
        <f ca="1">IFERROR(__xludf.DUMMYFUNCTION("""COMPUTED_VALUE"""),2006)</f>
        <v>2006</v>
      </c>
      <c r="E1485" s="10" t="str">
        <f ca="1">IFERROR(__xludf.DUMMYFUNCTION("""COMPUTED_VALUE"""),"Сборник трудове на Института за Перспективни Изследвания за отбраната, ВА „Г. С. Раковски”, София 2006 г., 102 - 111")</f>
        <v>Сборник трудове на Института за Перспективни Изследвания за отбраната, ВА „Г. С. Раковски”, София 2006 г., 102 - 111</v>
      </c>
      <c r="F1485" s="10"/>
      <c r="G1485" s="10"/>
      <c r="H1485" s="10"/>
      <c r="I1485" s="10"/>
      <c r="J1485" s="10"/>
      <c r="K1485" s="10"/>
      <c r="L1485" s="10"/>
      <c r="M1485" s="10"/>
      <c r="N1485" s="10"/>
      <c r="O1485" s="10"/>
      <c r="P1485" s="10"/>
      <c r="Q1485" s="10"/>
      <c r="R1485" s="10"/>
      <c r="S1485" s="10"/>
      <c r="T1485" s="10"/>
      <c r="U1485" s="10"/>
      <c r="V1485" s="10"/>
      <c r="W1485" s="10"/>
      <c r="X1485" s="10"/>
      <c r="Y1485" s="10"/>
      <c r="Z1485" s="10"/>
    </row>
    <row r="1486" spans="1:26" ht="12.75">
      <c r="A1486" s="10" t="str">
        <f ca="1">IFERROR(__xludf.DUMMYFUNCTION("""COMPUTED_VALUE"""),"Веселин Ценов Целков")</f>
        <v>Веселин Ценов Целков</v>
      </c>
      <c r="B1486" s="10" t="str">
        <f ca="1">IFERROR(__xludf.DUMMYFUNCTION("""COMPUTED_VALUE"""),"Учебно пособие")</f>
        <v>Учебно пособие</v>
      </c>
      <c r="C1486" s="10" t="str">
        <f ca="1">IFERROR(__xludf.DUMMYFUNCTION("""COMPUTED_VALUE"""),"Едно разширение на класическите модели за контрол на достъпа до ресурсите в компютърните системи")</f>
        <v>Едно разширение на класическите модели за контрол на достъпа до ресурсите в компютърните системи</v>
      </c>
      <c r="D1486" s="10">
        <f ca="1">IFERROR(__xludf.DUMMYFUNCTION("""COMPUTED_VALUE"""),2006)</f>
        <v>2006</v>
      </c>
      <c r="E1486" s="10" t="str">
        <f ca="1">IFERROR(__xludf.DUMMYFUNCTION("""COMPUTED_VALUE"""),"Сборник трудове на Института за Перспективни Изследвания за отбраната, ВА „Г. С. Раковски”, София 2006 г.")</f>
        <v>Сборник трудове на Института за Перспективни Изследвания за отбраната, ВА „Г. С. Раковски”, София 2006 г.</v>
      </c>
      <c r="F1486" s="10"/>
      <c r="G1486" s="10"/>
      <c r="H1486" s="10"/>
      <c r="I1486" s="10"/>
      <c r="J1486" s="10"/>
      <c r="K1486" s="10"/>
      <c r="L1486" s="10"/>
      <c r="M1486" s="10"/>
      <c r="N1486" s="10"/>
      <c r="O1486" s="10"/>
      <c r="P1486" s="10"/>
      <c r="Q1486" s="10"/>
      <c r="R1486" s="10"/>
      <c r="S1486" s="10"/>
      <c r="T1486" s="10"/>
      <c r="U1486" s="10"/>
      <c r="V1486" s="10"/>
      <c r="W1486" s="10"/>
      <c r="X1486" s="10"/>
      <c r="Y1486" s="10"/>
      <c r="Z1486" s="10"/>
    </row>
    <row r="1487" spans="1:26" ht="12.75">
      <c r="A1487" s="10" t="str">
        <f ca="1">IFERROR(__xludf.DUMMYFUNCTION("""COMPUTED_VALUE"""),"Веселин Ценов Целков")</f>
        <v>Веселин Ценов Целков</v>
      </c>
      <c r="B1487" s="10" t="str">
        <f ca="1">IFERROR(__xludf.DUMMYFUNCTION("""COMPUTED_VALUE"""),"Доклад от конференция")</f>
        <v>Доклад от конференция</v>
      </c>
      <c r="C1487" s="10" t="str">
        <f ca="1">IFERROR(__xludf.DUMMYFUNCTION("""COMPUTED_VALUE"""),"Обобщен модел за контрол на достъп в компютърни системи")</f>
        <v>Обобщен модел за контрол на достъп в компютърни системи</v>
      </c>
      <c r="D1487" s="10">
        <f ca="1">IFERROR(__xludf.DUMMYFUNCTION("""COMPUTED_VALUE"""),2006)</f>
        <v>2006</v>
      </c>
      <c r="E1487" s="10" t="str">
        <f ca="1">IFERROR(__xludf.DUMMYFUNCTION("""COMPUTED_VALUE"""),"ХЕМУС 2006 – Изследвания и технологии за нуждите на отбраната и въоръжените сили, Международна научна конференция, ВА „Г. С. Раковски”, ИПИО, София 2006 г., стр. 251 – 258 (ISSN 1312-2916)")</f>
        <v>ХЕМУС 2006 – Изследвания и технологии за нуждите на отбраната и въоръжените сили, Международна научна конференция, ВА „Г. С. Раковски”, ИПИО, София 2006 г., стр. 251 – 258 (ISSN 1312-2916)</v>
      </c>
      <c r="F1487" s="10"/>
      <c r="G1487" s="10"/>
      <c r="H1487" s="10"/>
      <c r="I1487" s="10"/>
      <c r="J1487" s="10"/>
      <c r="K1487" s="10"/>
      <c r="L1487" s="10"/>
      <c r="M1487" s="10"/>
      <c r="N1487" s="10"/>
      <c r="O1487" s="10"/>
      <c r="P1487" s="10"/>
      <c r="Q1487" s="10"/>
      <c r="R1487" s="10"/>
      <c r="S1487" s="10"/>
      <c r="T1487" s="10"/>
      <c r="U1487" s="10"/>
      <c r="V1487" s="10"/>
      <c r="W1487" s="10"/>
      <c r="X1487" s="10"/>
      <c r="Y1487" s="10"/>
      <c r="Z1487" s="10"/>
    </row>
    <row r="1488" spans="1:26" ht="12.75">
      <c r="A1488" s="10" t="str">
        <f ca="1">IFERROR(__xludf.DUMMYFUNCTION("""COMPUTED_VALUE"""),"Веселин Ценов Целков")</f>
        <v>Веселин Ценов Целков</v>
      </c>
      <c r="B1488" s="10" t="str">
        <f ca="1">IFERROR(__xludf.DUMMYFUNCTION("""COMPUTED_VALUE"""),"Доклад от конференция")</f>
        <v>Доклад от конференция</v>
      </c>
      <c r="C1488" s="10" t="str">
        <f ca="1">IFERROR(__xludf.DUMMYFUNCTION("""COMPUTED_VALUE"""),"Архитектура на система за контрол на достъп в компютърни системи")</f>
        <v>Архитектура на система за контрол на достъп в компютърни системи</v>
      </c>
      <c r="D1488" s="10">
        <f ca="1">IFERROR(__xludf.DUMMYFUNCTION("""COMPUTED_VALUE"""),2006)</f>
        <v>2006</v>
      </c>
      <c r="E1488" s="10" t="str">
        <f ca="1">IFERROR(__xludf.DUMMYFUNCTION("""COMPUTED_VALUE"""),"ХЕМУС 2006 – Изследвания и технологии за нуждите на отбраната и въоръжените сили, Международна научна конференция, ВА „Г. С. Раковски”, ИПИО, София 2006 г., стр. 243 – 250 (ISSN 1312-2916)")</f>
        <v>ХЕМУС 2006 – Изследвания и технологии за нуждите на отбраната и въоръжените сили, Международна научна конференция, ВА „Г. С. Раковски”, ИПИО, София 2006 г., стр. 243 – 250 (ISSN 1312-2916)</v>
      </c>
      <c r="F1488" s="10"/>
      <c r="G1488" s="10"/>
      <c r="H1488" s="10"/>
      <c r="I1488" s="10"/>
      <c r="J1488" s="10"/>
      <c r="K1488" s="10"/>
      <c r="L1488" s="10"/>
      <c r="M1488" s="10"/>
      <c r="N1488" s="10"/>
      <c r="O1488" s="10"/>
      <c r="P1488" s="10"/>
      <c r="Q1488" s="10"/>
      <c r="R1488" s="10"/>
      <c r="S1488" s="10"/>
      <c r="T1488" s="10"/>
      <c r="U1488" s="10"/>
      <c r="V1488" s="10"/>
      <c r="W1488" s="10"/>
      <c r="X1488" s="10"/>
      <c r="Y1488" s="10"/>
      <c r="Z1488" s="10"/>
    </row>
    <row r="1489" spans="1:26" ht="12.75">
      <c r="A1489" s="10" t="str">
        <f ca="1">IFERROR(__xludf.DUMMYFUNCTION("""COMPUTED_VALUE"""),"Веселин Ценов Целков")</f>
        <v>Веселин Ценов Целков</v>
      </c>
      <c r="B1489" s="10" t="str">
        <f ca="1">IFERROR(__xludf.DUMMYFUNCTION("""COMPUTED_VALUE"""),"Статия в списания и поредици")</f>
        <v>Статия в списания и поредици</v>
      </c>
      <c r="C1489" s="10" t="str">
        <f ca="1">IFERROR(__xludf.DUMMYFUNCTION("""COMPUTED_VALUE"""),"Защита на информацията при работа в групова среда")</f>
        <v>Защита на информацията при работа в групова среда</v>
      </c>
      <c r="D1489" s="10">
        <f ca="1">IFERROR(__xludf.DUMMYFUNCTION("""COMPUTED_VALUE"""),2004)</f>
        <v>2004</v>
      </c>
      <c r="E1489" s="10" t="str">
        <f ca="1">IFERROR(__xludf.DUMMYFUNCTION("""COMPUTED_VALUE"""),"ВА годишник, 2004")</f>
        <v>ВА годишник, 2004</v>
      </c>
      <c r="F1489" s="10"/>
      <c r="G1489" s="10" t="str">
        <f ca="1">IFERROR(__xludf.DUMMYFUNCTION("""COMPUTED_VALUE"""),"Стоянов Н., В. Целков")</f>
        <v>Стоянов Н., В. Целков</v>
      </c>
      <c r="H1489" s="10"/>
      <c r="I1489" s="10"/>
      <c r="J1489" s="10"/>
      <c r="K1489" s="10"/>
      <c r="L1489" s="10"/>
      <c r="M1489" s="10"/>
      <c r="N1489" s="10"/>
      <c r="O1489" s="10"/>
      <c r="P1489" s="10"/>
      <c r="Q1489" s="10"/>
      <c r="R1489" s="10"/>
      <c r="S1489" s="10"/>
      <c r="T1489" s="10"/>
      <c r="U1489" s="10"/>
      <c r="V1489" s="10"/>
      <c r="W1489" s="10"/>
      <c r="X1489" s="10"/>
      <c r="Y1489" s="10"/>
      <c r="Z1489" s="10"/>
    </row>
    <row r="1490" spans="1:26" ht="12.75">
      <c r="A1490" s="10" t="str">
        <f ca="1">IFERROR(__xludf.DUMMYFUNCTION("""COMPUTED_VALUE"""),"Веселин Ценов Целков")</f>
        <v>Веселин Ценов Целков</v>
      </c>
      <c r="B1490" s="10" t="str">
        <f ca="1">IFERROR(__xludf.DUMMYFUNCTION("""COMPUTED_VALUE"""),"Учебно пособие")</f>
        <v>Учебно пособие</v>
      </c>
      <c r="C1490" s="10" t="str">
        <f ca="1">IFERROR(__xludf.DUMMYFUNCTION("""COMPUTED_VALUE"""),"E-net models for distribution, access and use of resources in security information systems")</f>
        <v>E-net models for distribution, access and use of resources in security information systems</v>
      </c>
      <c r="D1490" s="10">
        <f ca="1">IFERROR(__xludf.DUMMYFUNCTION("""COMPUTED_VALUE"""),2004)</f>
        <v>2004</v>
      </c>
      <c r="E1490" s="10" t="str">
        <f ca="1">IFERROR(__xludf.DUMMYFUNCTION("""COMPUTED_VALUE"""),"Математика и математическо образование, София, БАН, 2004 г., 251 – 256 (ISBN 954-8880-17-2)")</f>
        <v>Математика и математическо образование, София, БАН, 2004 г., 251 – 256 (ISBN 954-8880-17-2)</v>
      </c>
      <c r="F1490" s="10"/>
      <c r="G1490" s="10" t="str">
        <f ca="1">IFERROR(__xludf.DUMMYFUNCTION("""COMPUTED_VALUE"""),"Tselkov, V. and N. Stoianov")</f>
        <v>Tselkov, V. and N. Stoianov</v>
      </c>
      <c r="H1490" s="10"/>
      <c r="I1490" s="10"/>
      <c r="J1490" s="10"/>
      <c r="K1490" s="10"/>
      <c r="L1490" s="10"/>
      <c r="M1490" s="10"/>
      <c r="N1490" s="10"/>
      <c r="O1490" s="10"/>
      <c r="P1490" s="10"/>
      <c r="Q1490" s="10"/>
      <c r="R1490" s="10"/>
      <c r="S1490" s="10"/>
      <c r="T1490" s="10"/>
      <c r="U1490" s="10"/>
      <c r="V1490" s="10"/>
      <c r="W1490" s="10"/>
      <c r="X1490" s="10"/>
      <c r="Y1490" s="10"/>
      <c r="Z1490" s="10"/>
    </row>
    <row r="1491" spans="1:26" ht="12.75">
      <c r="A1491" s="10" t="str">
        <f ca="1">IFERROR(__xludf.DUMMYFUNCTION("""COMPUTED_VALUE"""),"Веселин Ценов Целков")</f>
        <v>Веселин Ценов Целков</v>
      </c>
      <c r="B1491" s="10" t="str">
        <f ca="1">IFERROR(__xludf.DUMMYFUNCTION("""COMPUTED_VALUE"""),"Статия в списания и поредици")</f>
        <v>Статия в списания и поредици</v>
      </c>
      <c r="C1491" s="10" t="str">
        <f ca="1">IFERROR(__xludf.DUMMYFUNCTION("""COMPUTED_VALUE"""),"IT Security Regulatory Changes on the Road to NATO and EU")</f>
        <v>IT Security Regulatory Changes on the Road to NATO and EU</v>
      </c>
      <c r="D1491" s="10">
        <f ca="1">IFERROR(__xludf.DUMMYFUNCTION("""COMPUTED_VALUE"""),2004)</f>
        <v>2004</v>
      </c>
      <c r="E1491" s="10" t="str">
        <f ca="1">IFERROR(__xludf.DUMMYFUNCTION("""COMPUTED_VALUE"""),"IT Security Road Show, Busharest, February, 2004")</f>
        <v>IT Security Road Show, Busharest, February, 2004</v>
      </c>
      <c r="F1491" s="10"/>
      <c r="G1491" s="10"/>
      <c r="H1491" s="10"/>
      <c r="I1491" s="10"/>
      <c r="J1491" s="10"/>
      <c r="K1491" s="10"/>
      <c r="L1491" s="10"/>
      <c r="M1491" s="10"/>
      <c r="N1491" s="10"/>
      <c r="O1491" s="10"/>
      <c r="P1491" s="10"/>
      <c r="Q1491" s="10"/>
      <c r="R1491" s="10"/>
      <c r="S1491" s="10"/>
      <c r="T1491" s="10"/>
      <c r="U1491" s="10"/>
      <c r="V1491" s="10"/>
      <c r="W1491" s="10"/>
      <c r="X1491" s="10"/>
      <c r="Y1491" s="10"/>
      <c r="Z1491" s="10"/>
    </row>
    <row r="1492" spans="1:26" ht="12.75">
      <c r="A1492" s="10" t="str">
        <f ca="1">IFERROR(__xludf.DUMMYFUNCTION("""COMPUTED_VALUE"""),"Веселин Ценов Целков")</f>
        <v>Веселин Ценов Целков</v>
      </c>
      <c r="B1492" s="10" t="str">
        <f ca="1">IFERROR(__xludf.DUMMYFUNCTION("""COMPUTED_VALUE"""),"Учебно пособие")</f>
        <v>Учебно пособие</v>
      </c>
      <c r="C1492" s="10" t="str">
        <f ca="1">IFERROR(__xludf.DUMMYFUNCTION("""COMPUTED_VALUE"""),"Модели на защитено взаимодействие в компютърни системи")</f>
        <v>Модели на защитено взаимодействие в компютърни системи</v>
      </c>
      <c r="D1492" s="10">
        <f ca="1">IFERROR(__xludf.DUMMYFUNCTION("""COMPUTED_VALUE"""),2004)</f>
        <v>2004</v>
      </c>
      <c r="E1492" s="10" t="str">
        <f ca="1">IFERROR(__xludf.DUMMYFUNCTION("""COMPUTED_VALUE"""),"Сборник научни трудове посветен на 100-годишнината от рождението на Джон Атанасов, том 3, Шуменски университет „Епископ Константин Преславски”, Шумен, 2004 г., стр. 25 – 30 (ISBN 954-577-259-X(т.3))")</f>
        <v>Сборник научни трудове посветен на 100-годишнината от рождението на Джон Атанасов, том 3, Шуменски университет „Епископ Константин Преславски”, Шумен, 2004 г., стр. 25 – 30 (ISBN 954-577-259-X(т.3))</v>
      </c>
      <c r="F1492" s="10"/>
      <c r="G1492" s="10" t="str">
        <f ca="1">IFERROR(__xludf.DUMMYFUNCTION("""COMPUTED_VALUE"""),"В. Целков, Н. Стоянов")</f>
        <v>В. Целков, Н. Стоянов</v>
      </c>
      <c r="H1492" s="10"/>
      <c r="I1492" s="10"/>
      <c r="J1492" s="10"/>
      <c r="K1492" s="10"/>
      <c r="L1492" s="10"/>
      <c r="M1492" s="10"/>
      <c r="N1492" s="10"/>
      <c r="O1492" s="10"/>
      <c r="P1492" s="10"/>
      <c r="Q1492" s="10"/>
      <c r="R1492" s="10"/>
      <c r="S1492" s="10"/>
      <c r="T1492" s="10"/>
      <c r="U1492" s="10"/>
      <c r="V1492" s="10"/>
      <c r="W1492" s="10"/>
      <c r="X1492" s="10"/>
      <c r="Y1492" s="10"/>
      <c r="Z1492" s="10"/>
    </row>
    <row r="1493" spans="1:26" ht="12.75">
      <c r="A1493" s="10" t="str">
        <f ca="1">IFERROR(__xludf.DUMMYFUNCTION("""COMPUTED_VALUE"""),"Веселин Ценов Целков")</f>
        <v>Веселин Ценов Целков</v>
      </c>
      <c r="B1493" s="10" t="str">
        <f ca="1">IFERROR(__xludf.DUMMYFUNCTION("""COMPUTED_VALUE"""),"Учебно пособие")</f>
        <v>Учебно пособие</v>
      </c>
      <c r="C1493" s="10" t="str">
        <f ca="1">IFERROR(__xludf.DUMMYFUNCTION("""COMPUTED_VALUE"""),"Модели на взаимодействие в специализирана информационна система")</f>
        <v>Модели на взаимодействие в специализирана информационна система</v>
      </c>
      <c r="D1493" s="10">
        <f ca="1">IFERROR(__xludf.DUMMYFUNCTION("""COMPUTED_VALUE"""),2004)</f>
        <v>2004</v>
      </c>
      <c r="E1493" s="10" t="str">
        <f ca="1">IFERROR(__xludf.DUMMYFUNCTION("""COMPUTED_VALUE"""),", Сборник научни трудове част II, Шумен, НВУ „Васил Левски” факултет „Артилерия, ПВО и КИС”, 2004, 104-110")</f>
        <v>, Сборник научни трудове част II, Шумен, НВУ „Васил Левски” факултет „Артилерия, ПВО и КИС”, 2004, 104-110</v>
      </c>
      <c r="F1493" s="10"/>
      <c r="G1493" s="10" t="str">
        <f ca="1">IFERROR(__xludf.DUMMYFUNCTION("""COMPUTED_VALUE"""),"Георгиев Л., Целков В., Стоянов Н., Божилова М.")</f>
        <v>Георгиев Л., Целков В., Стоянов Н., Божилова М.</v>
      </c>
      <c r="H1493" s="10"/>
      <c r="I1493" s="10"/>
      <c r="J1493" s="10"/>
      <c r="K1493" s="10"/>
      <c r="L1493" s="10"/>
      <c r="M1493" s="10"/>
      <c r="N1493" s="10"/>
      <c r="O1493" s="10"/>
      <c r="P1493" s="10"/>
      <c r="Q1493" s="10"/>
      <c r="R1493" s="10"/>
      <c r="S1493" s="10"/>
      <c r="T1493" s="10"/>
      <c r="U1493" s="10"/>
      <c r="V1493" s="10"/>
      <c r="W1493" s="10"/>
      <c r="X1493" s="10"/>
      <c r="Y1493" s="10"/>
      <c r="Z1493" s="10"/>
    </row>
    <row r="1494" spans="1:26" ht="12.75">
      <c r="A1494" s="10" t="str">
        <f ca="1">IFERROR(__xludf.DUMMYFUNCTION("""COMPUTED_VALUE"""),"Веселин Ценов Целков")</f>
        <v>Веселин Ценов Целков</v>
      </c>
      <c r="B1494" s="10" t="str">
        <f ca="1">IFERROR(__xludf.DUMMYFUNCTION("""COMPUTED_VALUE"""),"Статия в списания и поредици")</f>
        <v>Статия в списания и поредици</v>
      </c>
      <c r="C1494" s="10" t="str">
        <f ca="1">IFERROR(__xludf.DUMMYFUNCTION("""COMPUTED_VALUE"""),"Модел на софтуерна криптографска система за защита на данните в разпределени информационни системи")</f>
        <v>Модел на софтуерна криптографска система за защита на данните в разпределени информационни системи</v>
      </c>
      <c r="D1494" s="10">
        <f ca="1">IFERROR(__xludf.DUMMYFUNCTION("""COMPUTED_VALUE"""),2004)</f>
        <v>2004</v>
      </c>
      <c r="E1494" s="10" t="str">
        <f ca="1">IFERROR(__xludf.DUMMYFUNCTION("""COMPUTED_VALUE"""),"ВА годишник, 2004, стр. 103 - 109")</f>
        <v>ВА годишник, 2004, стр. 103 - 109</v>
      </c>
      <c r="F1494" s="10"/>
      <c r="G1494" s="10" t="str">
        <f ca="1">IFERROR(__xludf.DUMMYFUNCTION("""COMPUTED_VALUE"""),"Целков В., Н. Стоянов")</f>
        <v>Целков В., Н. Стоянов</v>
      </c>
      <c r="H1494" s="10"/>
      <c r="I1494" s="10"/>
      <c r="J1494" s="10"/>
      <c r="K1494" s="10"/>
      <c r="L1494" s="10"/>
      <c r="M1494" s="10"/>
      <c r="N1494" s="10"/>
      <c r="O1494" s="10"/>
      <c r="P1494" s="10"/>
      <c r="Q1494" s="10"/>
      <c r="R1494" s="10"/>
      <c r="S1494" s="10"/>
      <c r="T1494" s="10"/>
      <c r="U1494" s="10"/>
      <c r="V1494" s="10"/>
      <c r="W1494" s="10"/>
      <c r="X1494" s="10"/>
      <c r="Y1494" s="10"/>
      <c r="Z1494" s="10"/>
    </row>
    <row r="1495" spans="1:26" ht="12.75">
      <c r="A1495" s="10" t="str">
        <f ca="1">IFERROR(__xludf.DUMMYFUNCTION("""COMPUTED_VALUE"""),"Веселин Ценов Целков")</f>
        <v>Веселин Ценов Целков</v>
      </c>
      <c r="B1495" s="10" t="str">
        <f ca="1">IFERROR(__xludf.DUMMYFUNCTION("""COMPUTED_VALUE"""),"Учебно пособие")</f>
        <v>Учебно пособие</v>
      </c>
      <c r="C1495" s="10" t="str">
        <f ca="1">IFERROR(__xludf.DUMMYFUNCTION("""COMPUTED_VALUE"""),"Едно статистическо изследване върху специализирани текстове от военни публикации")</f>
        <v>Едно статистическо изследване върху специализирани текстове от военни публикации</v>
      </c>
      <c r="D1495" s="10">
        <f ca="1">IFERROR(__xludf.DUMMYFUNCTION("""COMPUTED_VALUE"""),2004)</f>
        <v>2004</v>
      </c>
      <c r="E1495" s="10" t="str">
        <f ca="1">IFERROR(__xludf.DUMMYFUNCTION("""COMPUTED_VALUE"""),"Сборник научни трудове посветен на 100-годишнината от рождението на Джон Атанасов, том 3, Шуменски университет „Епископ Константин Преславски”, Шумен, 2004 г., стр. 21 – 24 (ISBN 954-577-259-X(т.3))")</f>
        <v>Сборник научни трудове посветен на 100-годишнината от рождението на Джон Атанасов, том 3, Шуменски университет „Епископ Константин Преславски”, Шумен, 2004 г., стр. 21 – 24 (ISBN 954-577-259-X(т.3))</v>
      </c>
      <c r="F1495" s="10"/>
      <c r="G1495" s="10" t="str">
        <f ca="1">IFERROR(__xludf.DUMMYFUNCTION("""COMPUTED_VALUE"""),"Н. Стоянов, В. Целков")</f>
        <v>Н. Стоянов, В. Целков</v>
      </c>
      <c r="H1495" s="10"/>
      <c r="I1495" s="10"/>
      <c r="J1495" s="10"/>
      <c r="K1495" s="10"/>
      <c r="L1495" s="10"/>
      <c r="M1495" s="10"/>
      <c r="N1495" s="10"/>
      <c r="O1495" s="10"/>
      <c r="P1495" s="10"/>
      <c r="Q1495" s="10"/>
      <c r="R1495" s="10"/>
      <c r="S1495" s="10"/>
      <c r="T1495" s="10"/>
      <c r="U1495" s="10"/>
      <c r="V1495" s="10"/>
      <c r="W1495" s="10"/>
      <c r="X1495" s="10"/>
      <c r="Y1495" s="10"/>
      <c r="Z1495" s="10"/>
    </row>
    <row r="1496" spans="1:26" ht="12.75">
      <c r="A1496" s="10" t="str">
        <f ca="1">IFERROR(__xludf.DUMMYFUNCTION("""COMPUTED_VALUE"""),"Веселин Ценов Целков")</f>
        <v>Веселин Ценов Целков</v>
      </c>
      <c r="B1496" s="10" t="str">
        <f ca="1">IFERROR(__xludf.DUMMYFUNCTION("""COMPUTED_VALUE"""),"Учебно пособие")</f>
        <v>Учебно пособие</v>
      </c>
      <c r="C1496" s="10" t="str">
        <f ca="1">IFERROR(__xludf.DUMMYFUNCTION("""COMPUTED_VALUE"""),"Един формализъм за разпределение на ресурси по групи на достъп в защитени компютърни системи")</f>
        <v>Един формализъм за разпределение на ресурси по групи на достъп в защитени компютърни системи</v>
      </c>
      <c r="D1496" s="10">
        <f ca="1">IFERROR(__xludf.DUMMYFUNCTION("""COMPUTED_VALUE"""),2004)</f>
        <v>2004</v>
      </c>
      <c r="E1496" s="10" t="str">
        <f ca="1">IFERROR(__xludf.DUMMYFUNCTION("""COMPUTED_VALUE"""),"Сборник научни трудове част II, Шумен, НВУ „Васил Левски” факултет „Артилерия, ПВО и КИС”, 2004, 96-103")</f>
        <v>Сборник научни трудове част II, Шумен, НВУ „Васил Левски” факултет „Артилерия, ПВО и КИС”, 2004, 96-103</v>
      </c>
      <c r="F1496" s="10"/>
      <c r="G1496" s="10" t="str">
        <f ca="1">IFERROR(__xludf.DUMMYFUNCTION("""COMPUTED_VALUE"""),"Стоянов Н. Т., Целков В.")</f>
        <v>Стоянов Н. Т., Целков В.</v>
      </c>
      <c r="H1496" s="10"/>
      <c r="I1496" s="10"/>
      <c r="J1496" s="10"/>
      <c r="K1496" s="10"/>
      <c r="L1496" s="10"/>
      <c r="M1496" s="10"/>
      <c r="N1496" s="10"/>
      <c r="O1496" s="10"/>
      <c r="P1496" s="10"/>
      <c r="Q1496" s="10"/>
      <c r="R1496" s="10"/>
      <c r="S1496" s="10"/>
      <c r="T1496" s="10"/>
      <c r="U1496" s="10"/>
      <c r="V1496" s="10"/>
      <c r="W1496" s="10"/>
      <c r="X1496" s="10"/>
      <c r="Y1496" s="10"/>
      <c r="Z1496" s="10"/>
    </row>
    <row r="1497" spans="1:26" ht="12.75">
      <c r="A1497" s="10" t="str">
        <f ca="1">IFERROR(__xludf.DUMMYFUNCTION("""COMPUTED_VALUE"""),"Веселин Ценов Целков")</f>
        <v>Веселин Ценов Целков</v>
      </c>
      <c r="B1497" s="10" t="str">
        <f ca="1">IFERROR(__xludf.DUMMYFUNCTION("""COMPUTED_VALUE"""),"Статия в списания и поредици")</f>
        <v>Статия в списания и поредици</v>
      </c>
      <c r="C1497" s="10" t="str">
        <f ca="1">IFERROR(__xludf.DUMMYFUNCTION("""COMPUTED_VALUE"""),"Заплахите за информационните и комуникационните системи и националната сигурност.")</f>
        <v>Заплахите за информационните и комуникационните системи и националната сигурност.</v>
      </c>
      <c r="D1497" s="10">
        <f ca="1">IFERROR(__xludf.DUMMYFUNCTION("""COMPUTED_VALUE"""),2003)</f>
        <v>2003</v>
      </c>
      <c r="E1497" s="10" t="str">
        <f ca="1">IFERROR(__xludf.DUMMYFUNCTION("""COMPUTED_VALUE"""),"E-Democracy-Bulgaria, http://www-it.fmi.uni-sofia.bg/eg, 2003 г.")</f>
        <v>E-Democracy-Bulgaria, http://www-it.fmi.uni-sofia.bg/eg, 2003 г.</v>
      </c>
      <c r="F1497" s="10"/>
      <c r="G1497" s="10"/>
      <c r="H1497" s="10"/>
      <c r="I1497" s="10"/>
      <c r="J1497" s="10"/>
      <c r="K1497" s="10"/>
      <c r="L1497" s="10"/>
      <c r="M1497" s="10"/>
      <c r="N1497" s="10"/>
      <c r="O1497" s="10"/>
      <c r="P1497" s="10"/>
      <c r="Q1497" s="10"/>
      <c r="R1497" s="10"/>
      <c r="S1497" s="10"/>
      <c r="T1497" s="10"/>
      <c r="U1497" s="10"/>
      <c r="V1497" s="10"/>
      <c r="W1497" s="10"/>
      <c r="X1497" s="10"/>
      <c r="Y1497" s="10"/>
      <c r="Z1497" s="10"/>
    </row>
    <row r="1498" spans="1:26" ht="12.75">
      <c r="A1498" s="10" t="str">
        <f ca="1">IFERROR(__xludf.DUMMYFUNCTION("""COMPUTED_VALUE"""),"Веселин Ценов Целков")</f>
        <v>Веселин Ценов Целков</v>
      </c>
      <c r="B1498" s="10" t="str">
        <f ca="1">IFERROR(__xludf.DUMMYFUNCTION("""COMPUTED_VALUE"""),"Статия в списания и поредици")</f>
        <v>Статия в списания и поредици</v>
      </c>
      <c r="C1498" s="10" t="str">
        <f ca="1">IFERROR(__xludf.DUMMYFUNCTION("""COMPUTED_VALUE"""),"E-net models of a software system for web pages security")</f>
        <v>E-net models of a software system for web pages security</v>
      </c>
      <c r="D1498" s="10">
        <f ca="1">IFERROR(__xludf.DUMMYFUNCTION("""COMPUTED_VALUE"""),2003)</f>
        <v>2003</v>
      </c>
      <c r="E1498" s="10" t="str">
        <f ca="1">IFERROR(__xludf.DUMMYFUNCTION("""COMPUTED_VALUE"""),"Математика и математическо образование, София, БАН, 2003 г., стр. 285 – 290, (ISBN 954-8880-14-8)")</f>
        <v>Математика и математическо образование, София, БАН, 2003 г., стр. 285 – 290, (ISBN 954-8880-14-8)</v>
      </c>
      <c r="F1498" s="10"/>
      <c r="G1498" s="10" t="str">
        <f ca="1">IFERROR(__xludf.DUMMYFUNCTION("""COMPUTED_VALUE"""),"Tselkov, V. and N. Stoianov")</f>
        <v>Tselkov, V. and N. Stoianov</v>
      </c>
      <c r="H1498" s="10"/>
      <c r="I1498" s="10"/>
      <c r="J1498" s="10"/>
      <c r="K1498" s="10"/>
      <c r="L1498" s="10"/>
      <c r="M1498" s="10"/>
      <c r="N1498" s="10"/>
      <c r="O1498" s="10"/>
      <c r="P1498" s="10"/>
      <c r="Q1498" s="10"/>
      <c r="R1498" s="10"/>
      <c r="S1498" s="10"/>
      <c r="T1498" s="10"/>
      <c r="U1498" s="10"/>
      <c r="V1498" s="10"/>
      <c r="W1498" s="10"/>
      <c r="X1498" s="10"/>
      <c r="Y1498" s="10"/>
      <c r="Z1498" s="10"/>
    </row>
    <row r="1499" spans="1:26" ht="12.75">
      <c r="A1499" s="10" t="str">
        <f ca="1">IFERROR(__xludf.DUMMYFUNCTION("""COMPUTED_VALUE"""),"Веселин Ценов Целков")</f>
        <v>Веселин Ценов Целков</v>
      </c>
      <c r="B1499" s="10" t="str">
        <f ca="1">IFERROR(__xludf.DUMMYFUNCTION("""COMPUTED_VALUE"""),"Доклад от конференция")</f>
        <v>Доклад от конференция</v>
      </c>
      <c r="C1499" s="10" t="str">
        <f ca="1">IFERROR(__xludf.DUMMYFUNCTION("""COMPUTED_VALUE"""),"Модел на Център за откриване, регистриране, анализ и реакция на атаките и инцидентите в корпоративна Интранет")</f>
        <v>Модел на Център за откриване, регистриране, анализ и реакция на атаките и инцидентите в корпоративна Интранет</v>
      </c>
      <c r="D1499" s="10">
        <f ca="1">IFERROR(__xludf.DUMMYFUNCTION("""COMPUTED_VALUE"""),2003)</f>
        <v>2003</v>
      </c>
      <c r="E1499" s="10" t="str">
        <f ca="1">IFERROR(__xludf.DUMMYFUNCTION("""COMPUTED_VALUE"""),"Международна научна конференция “ХЕМУС – 2002, Изследвания и технологии за нуждите на отбраната и въоръжените сили”, ВА „Г. Раковски”, София, 2003, 20 – 32 (ISSN 1312-2916)")</f>
        <v>Международна научна конференция “ХЕМУС – 2002, Изследвания и технологии за нуждите на отбраната и въоръжените сили”, ВА „Г. Раковски”, София, 2003, 20 – 32 (ISSN 1312-2916)</v>
      </c>
      <c r="F1499" s="10"/>
      <c r="G1499" s="10"/>
      <c r="H1499" s="10"/>
      <c r="I1499" s="10"/>
      <c r="J1499" s="10"/>
      <c r="K1499" s="10"/>
      <c r="L1499" s="10"/>
      <c r="M1499" s="10"/>
      <c r="N1499" s="10"/>
      <c r="O1499" s="10"/>
      <c r="P1499" s="10"/>
      <c r="Q1499" s="10"/>
      <c r="R1499" s="10"/>
      <c r="S1499" s="10"/>
      <c r="T1499" s="10"/>
      <c r="U1499" s="10"/>
      <c r="V1499" s="10"/>
      <c r="W1499" s="10"/>
      <c r="X1499" s="10"/>
      <c r="Y1499" s="10"/>
      <c r="Z1499" s="10"/>
    </row>
    <row r="1500" spans="1:26" ht="12.75">
      <c r="A1500" s="10" t="str">
        <f ca="1">IFERROR(__xludf.DUMMYFUNCTION("""COMPUTED_VALUE"""),"Веселин Ценов Целков")</f>
        <v>Веселин Ценов Целков</v>
      </c>
      <c r="B1500" s="10" t="str">
        <f ca="1">IFERROR(__xludf.DUMMYFUNCTION("""COMPUTED_VALUE"""),"Доклад от конференция")</f>
        <v>Доклад от конференция</v>
      </c>
      <c r="C1500" s="10" t="str">
        <f ca="1">IFERROR(__xludf.DUMMYFUNCTION("""COMPUTED_VALUE"""),"A model of software cryptography system for data protection in distribution information system")</f>
        <v>A model of software cryptography system for data protection in distribution information system</v>
      </c>
      <c r="D1500" s="10">
        <f ca="1">IFERROR(__xludf.DUMMYFUNCTION("""COMPUTED_VALUE"""),2003)</f>
        <v>2003</v>
      </c>
      <c r="E1500" s="10" t="str">
        <f ca="1">IFERROR(__xludf.DUMMYFUNCTION("""COMPUTED_VALUE"""),"South Eastern Europe Conference on Regional Security through Data Protection, Belgrade, December, 2003")</f>
        <v>South Eastern Europe Conference on Regional Security through Data Protection, Belgrade, December, 2003</v>
      </c>
      <c r="F1500" s="10"/>
      <c r="G1500" s="10" t="str">
        <f ca="1">IFERROR(__xludf.DUMMYFUNCTION("""COMPUTED_VALUE"""),"Tselkov, V. and Stoianov N.")</f>
        <v>Tselkov, V. and Stoianov N.</v>
      </c>
      <c r="H1500" s="10"/>
      <c r="I1500" s="10"/>
      <c r="J1500" s="10"/>
      <c r="K1500" s="10"/>
      <c r="L1500" s="10"/>
      <c r="M1500" s="10"/>
      <c r="N1500" s="10"/>
      <c r="O1500" s="10"/>
      <c r="P1500" s="10"/>
      <c r="Q1500" s="10"/>
      <c r="R1500" s="10"/>
      <c r="S1500" s="10"/>
      <c r="T1500" s="10"/>
      <c r="U1500" s="10"/>
      <c r="V1500" s="10"/>
      <c r="W1500" s="10"/>
      <c r="X1500" s="10"/>
      <c r="Y1500" s="10"/>
      <c r="Z1500" s="10"/>
    </row>
    <row r="1501" spans="1:26" ht="12.75">
      <c r="A1501" s="10" t="str">
        <f ca="1">IFERROR(__xludf.DUMMYFUNCTION("""COMPUTED_VALUE"""),"Веселин Ценов Целков")</f>
        <v>Веселин Ценов Целков</v>
      </c>
      <c r="B1501" s="10" t="str">
        <f ca="1">IFERROR(__xludf.DUMMYFUNCTION("""COMPUTED_VALUE"""),"Статия в списания и поредици")</f>
        <v>Статия в списания и поредици</v>
      </c>
      <c r="C1501" s="10" t="str">
        <f ca="1">IFERROR(__xludf.DUMMYFUNCTION("""COMPUTED_VALUE"""),"Модели за разпределение на ресурси в защитени компютърни системи")</f>
        <v>Модели за разпределение на ресурси в защитени компютърни системи</v>
      </c>
      <c r="D1501" s="10">
        <f ca="1">IFERROR(__xludf.DUMMYFUNCTION("""COMPUTED_VALUE"""),2003)</f>
        <v>2003</v>
      </c>
      <c r="E1501" s="10" t="str">
        <f ca="1">IFERROR(__xludf.DUMMYFUNCTION("""COMPUTED_VALUE"""),"ВА, 2003")</f>
        <v>ВА, 2003</v>
      </c>
      <c r="F1501" s="10"/>
      <c r="G1501" s="10" t="str">
        <f ca="1">IFERROR(__xludf.DUMMYFUNCTION("""COMPUTED_VALUE"""),"Стоянов Н., В. Целков")</f>
        <v>Стоянов Н., В. Целков</v>
      </c>
      <c r="H1501" s="10"/>
      <c r="I1501" s="10"/>
      <c r="J1501" s="10"/>
      <c r="K1501" s="10"/>
      <c r="L1501" s="10"/>
      <c r="M1501" s="10"/>
      <c r="N1501" s="10"/>
      <c r="O1501" s="10"/>
      <c r="P1501" s="10"/>
      <c r="Q1501" s="10"/>
      <c r="R1501" s="10"/>
      <c r="S1501" s="10"/>
      <c r="T1501" s="10"/>
      <c r="U1501" s="10"/>
      <c r="V1501" s="10"/>
      <c r="W1501" s="10"/>
      <c r="X1501" s="10"/>
      <c r="Y1501" s="10"/>
      <c r="Z1501" s="10"/>
    </row>
    <row r="1502" spans="1:26" ht="12.75">
      <c r="A1502" s="10" t="str">
        <f ca="1">IFERROR(__xludf.DUMMYFUNCTION("""COMPUTED_VALUE"""),"Веселин Ценов Целков")</f>
        <v>Веселин Ценов Целков</v>
      </c>
      <c r="B1502" s="10" t="str">
        <f ca="1">IFERROR(__xludf.DUMMYFUNCTION("""COMPUTED_VALUE"""),"Статия в списания и поредици")</f>
        <v>Статия в списания и поредици</v>
      </c>
      <c r="C1502" s="10" t="str">
        <f ca="1">IFERROR(__xludf.DUMMYFUNCTION("""COMPUTED_VALUE"""),"Архитектура на програмна система “Защитени Електронни Страници”")</f>
        <v>Архитектура на програмна система “Защитени Електронни Страници”</v>
      </c>
      <c r="D1502" s="10">
        <f ca="1">IFERROR(__xludf.DUMMYFUNCTION("""COMPUTED_VALUE"""),2002)</f>
        <v>2002</v>
      </c>
      <c r="E1502" s="10" t="str">
        <f ca="1">IFERROR(__xludf.DUMMYFUNCTION("""COMPUTED_VALUE"""),"Юбилейна научна сесия с международни участие “110 години Въздухоплаване в България”, 25-26 април 2002 г., том 3, Д. Митрополия, ВВВУ „Г. Бенковски”, 2002, 40-49")</f>
        <v>Юбилейна научна сесия с международни участие “110 години Въздухоплаване в България”, 25-26 април 2002 г., том 3, Д. Митрополия, ВВВУ „Г. Бенковски”, 2002, 40-49</v>
      </c>
      <c r="F1502" s="10"/>
      <c r="G1502" s="10" t="str">
        <f ca="1">IFERROR(__xludf.DUMMYFUNCTION("""COMPUTED_VALUE"""),"В. Целков, Н. Стоянов")</f>
        <v>В. Целков, Н. Стоянов</v>
      </c>
      <c r="H1502" s="10"/>
      <c r="I1502" s="10"/>
      <c r="J1502" s="10"/>
      <c r="K1502" s="10"/>
      <c r="L1502" s="10"/>
      <c r="M1502" s="10"/>
      <c r="N1502" s="10"/>
      <c r="O1502" s="10"/>
      <c r="P1502" s="10"/>
      <c r="Q1502" s="10"/>
      <c r="R1502" s="10"/>
      <c r="S1502" s="10"/>
      <c r="T1502" s="10"/>
      <c r="U1502" s="10"/>
      <c r="V1502" s="10"/>
      <c r="W1502" s="10"/>
      <c r="X1502" s="10"/>
      <c r="Y1502" s="10"/>
      <c r="Z1502" s="10"/>
    </row>
    <row r="1503" spans="1:26" ht="12.75">
      <c r="A1503" s="10" t="str">
        <f ca="1">IFERROR(__xludf.DUMMYFUNCTION("""COMPUTED_VALUE"""),"Веселин Ценов Целков")</f>
        <v>Веселин Ценов Целков</v>
      </c>
      <c r="B1503" s="10" t="str">
        <f ca="1">IFERROR(__xludf.DUMMYFUNCTION("""COMPUTED_VALUE"""),"Учебно пособие")</f>
        <v>Учебно пособие</v>
      </c>
      <c r="C1503" s="10" t="str">
        <f ca="1">IFERROR(__xludf.DUMMYFUNCTION("""COMPUTED_VALUE"""),"Софтуерни средства за защита на информацията в компютърните системи за сигурност и отбрана")</f>
        <v>Софтуерни средства за защита на информацията в компютърните системи за сигурност и отбрана</v>
      </c>
      <c r="D1503" s="10">
        <f ca="1">IFERROR(__xludf.DUMMYFUNCTION("""COMPUTED_VALUE"""),2002)</f>
        <v>2002</v>
      </c>
      <c r="E1503" s="10" t="str">
        <f ca="1">IFERROR(__xludf.DUMMYFUNCTION("""COMPUTED_VALUE"""),"Сборник материали “Първа международна научна конференция “ХЕМУС – 2002”, 31 май, 1юни 2002 г. , гр. Пловдив")</f>
        <v>Сборник материали “Първа международна научна конференция “ХЕМУС – 2002”, 31 май, 1юни 2002 г. , гр. Пловдив</v>
      </c>
      <c r="F1503" s="10"/>
      <c r="G1503" s="10" t="str">
        <f ca="1">IFERROR(__xludf.DUMMYFUNCTION("""COMPUTED_VALUE"""),"В. Целков, Н. Стоянов, З. Здравков, М. Божилова")</f>
        <v>В. Целков, Н. Стоянов, З. Здравков, М. Божилова</v>
      </c>
      <c r="H1503" s="10"/>
      <c r="I1503" s="10"/>
      <c r="J1503" s="10"/>
      <c r="K1503" s="10"/>
      <c r="L1503" s="10"/>
      <c r="M1503" s="10"/>
      <c r="N1503" s="10"/>
      <c r="O1503" s="10"/>
      <c r="P1503" s="10"/>
      <c r="Q1503" s="10"/>
      <c r="R1503" s="10"/>
      <c r="S1503" s="10"/>
      <c r="T1503" s="10"/>
      <c r="U1503" s="10"/>
      <c r="V1503" s="10"/>
      <c r="W1503" s="10"/>
      <c r="X1503" s="10"/>
      <c r="Y1503" s="10"/>
      <c r="Z1503" s="10"/>
    </row>
    <row r="1504" spans="1:26" ht="12.75">
      <c r="A1504" s="10" t="str">
        <f ca="1">IFERROR(__xludf.DUMMYFUNCTION("""COMPUTED_VALUE"""),"Веселин Ценов Целков")</f>
        <v>Веселин Ценов Целков</v>
      </c>
      <c r="B1504" s="10" t="str">
        <f ca="1">IFERROR(__xludf.DUMMYFUNCTION("""COMPUTED_VALUE"""),"Книга")</f>
        <v>Книга</v>
      </c>
      <c r="C1504" s="10" t="str">
        <f ca="1">IFERROR(__xludf.DUMMYFUNCTION("""COMPUTED_VALUE"""),"Е-Демокрация")</f>
        <v>Е-Демокрация</v>
      </c>
      <c r="D1504" s="10">
        <f ca="1">IFERROR(__xludf.DUMMYFUNCTION("""COMPUTED_VALUE"""),2002)</f>
        <v>2002</v>
      </c>
      <c r="E1504" s="10" t="str">
        <f ca="1">IFERROR(__xludf.DUMMYFUNCTION("""COMPUTED_VALUE"""),"Издател: София : Унив. изд. Св. Климент Охридски, Година на създаване: 2002, Идентификатор: ISBN954-07-1782-5")</f>
        <v>Издател: София : Унив. изд. Св. Климент Охридски, Година на създаване: 2002, Идентификатор: ISBN954-07-1782-5</v>
      </c>
      <c r="F1504" s="10"/>
      <c r="G1504" s="10" t="str">
        <f ca="1">IFERROR(__xludf.DUMMYFUNCTION("""COMPUTED_VALUE"""),"Юрий Буров ; Ангел Попов ; Румен Николов ; Камелия Стефанова ; Мариана Бурова ; Красен Стефанов ; Веселин Целков")</f>
        <v>Юрий Буров ; Ангел Попов ; Румен Николов ; Камелия Стефанова ; Мариана Бурова ; Красен Стефанов ; Веселин Целков</v>
      </c>
      <c r="H1504" s="10"/>
      <c r="I1504" s="10"/>
      <c r="J1504" s="10"/>
      <c r="K1504" s="10"/>
      <c r="L1504" s="10"/>
      <c r="M1504" s="10"/>
      <c r="N1504" s="10"/>
      <c r="O1504" s="10"/>
      <c r="P1504" s="10"/>
      <c r="Q1504" s="10"/>
      <c r="R1504" s="10"/>
      <c r="S1504" s="10"/>
      <c r="T1504" s="10"/>
      <c r="U1504" s="10"/>
      <c r="V1504" s="10"/>
      <c r="W1504" s="10"/>
      <c r="X1504" s="10"/>
      <c r="Y1504" s="10"/>
      <c r="Z1504" s="10"/>
    </row>
    <row r="1505" spans="1:26" ht="12.75">
      <c r="A1505" s="10" t="str">
        <f ca="1">IFERROR(__xludf.DUMMYFUNCTION("""COMPUTED_VALUE"""),"Веселин Ценов Целков")</f>
        <v>Веселин Ценов Целков</v>
      </c>
      <c r="B1505" s="10" t="str">
        <f ca="1">IFERROR(__xludf.DUMMYFUNCTION("""COMPUTED_VALUE"""),"Учебно пособие")</f>
        <v>Учебно пособие</v>
      </c>
      <c r="C1505" s="10" t="str">
        <f ca="1">IFERROR(__xludf.DUMMYFUNCTION("""COMPUTED_VALUE"""),"Модел на Център за откриване, регистриране, анализ и реакция на атаките и инцидентите в корпоративна Интранет")</f>
        <v>Модел на Център за откриване, регистриране, анализ и реакция на атаките и инцидентите в корпоративна Интранет</v>
      </c>
      <c r="D1505" s="10">
        <f ca="1">IFERROR(__xludf.DUMMYFUNCTION("""COMPUTED_VALUE"""),2002)</f>
        <v>2002</v>
      </c>
      <c r="E1505" s="10" t="str">
        <f ca="1">IFERROR(__xludf.DUMMYFUNCTION("""COMPUTED_VALUE"""),"Сборник трудове на Института за Перспективни Изследвания за отбраната, 2002.")</f>
        <v>Сборник трудове на Института за Перспективни Изследвания за отбраната, 2002.</v>
      </c>
      <c r="F1505" s="10"/>
      <c r="G1505" s="10"/>
      <c r="H1505" s="10"/>
      <c r="I1505" s="10"/>
      <c r="J1505" s="10"/>
      <c r="K1505" s="10"/>
      <c r="L1505" s="10"/>
      <c r="M1505" s="10"/>
      <c r="N1505" s="10"/>
      <c r="O1505" s="10"/>
      <c r="P1505" s="10"/>
      <c r="Q1505" s="10"/>
      <c r="R1505" s="10"/>
      <c r="S1505" s="10"/>
      <c r="T1505" s="10"/>
      <c r="U1505" s="10"/>
      <c r="V1505" s="10"/>
      <c r="W1505" s="10"/>
      <c r="X1505" s="10"/>
      <c r="Y1505" s="10"/>
      <c r="Z1505" s="10"/>
    </row>
    <row r="1506" spans="1:26" ht="12.75">
      <c r="A1506" s="10" t="str">
        <f ca="1">IFERROR(__xludf.DUMMYFUNCTION("""COMPUTED_VALUE"""),"Веселин Ценов Целков")</f>
        <v>Веселин Ценов Целков</v>
      </c>
      <c r="B1506" s="10" t="str">
        <f ca="1">IFERROR(__xludf.DUMMYFUNCTION("""COMPUTED_VALUE"""),"Доклад от конференция")</f>
        <v>Доклад от конференция</v>
      </c>
      <c r="C1506" s="10" t="str">
        <f ca="1">IFERROR(__xludf.DUMMYFUNCTION("""COMPUTED_VALUE"""),"Един модел за идентификация на потребителите в софтуерни приложения")</f>
        <v>Един модел за идентификация на потребителите в софтуерни приложения</v>
      </c>
      <c r="D1506" s="10">
        <f ca="1">IFERROR(__xludf.DUMMYFUNCTION("""COMPUTED_VALUE"""),2002)</f>
        <v>2002</v>
      </c>
      <c r="E1506" s="10" t="str">
        <f ca="1">IFERROR(__xludf.DUMMYFUNCTION("""COMPUTED_VALUE"""),"Научна сесия 2002 с международно участие, 24 – 25 октомври 2002, ВВУАПВО “П. Волов”, гр. Шумен")</f>
        <v>Научна сесия 2002 с международно участие, 24 – 25 октомври 2002, ВВУАПВО “П. Волов”, гр. Шумен</v>
      </c>
      <c r="F1506" s="10"/>
      <c r="G1506" s="10" t="str">
        <f ca="1">IFERROR(__xludf.DUMMYFUNCTION("""COMPUTED_VALUE"""),"Целков, В., М. Божилова, Н. Стоянов, Л. Георгиев")</f>
        <v>Целков, В., М. Божилова, Н. Стоянов, Л. Георгиев</v>
      </c>
      <c r="H1506" s="10"/>
      <c r="I1506" s="10"/>
      <c r="J1506" s="10"/>
      <c r="K1506" s="10"/>
      <c r="L1506" s="10"/>
      <c r="M1506" s="10"/>
      <c r="N1506" s="10"/>
      <c r="O1506" s="10"/>
      <c r="P1506" s="10"/>
      <c r="Q1506" s="10"/>
      <c r="R1506" s="10"/>
      <c r="S1506" s="10"/>
      <c r="T1506" s="10"/>
      <c r="U1506" s="10"/>
      <c r="V1506" s="10"/>
      <c r="W1506" s="10"/>
      <c r="X1506" s="10"/>
      <c r="Y1506" s="10"/>
      <c r="Z1506" s="10"/>
    </row>
    <row r="1507" spans="1:26" ht="12.75">
      <c r="A1507" s="10" t="str">
        <f ca="1">IFERROR(__xludf.DUMMYFUNCTION("""COMPUTED_VALUE"""),"Веселин Ценов Целков")</f>
        <v>Веселин Ценов Целков</v>
      </c>
      <c r="B1507" s="10" t="str">
        <f ca="1">IFERROR(__xludf.DUMMYFUNCTION("""COMPUTED_VALUE"""),"Учебно пособие")</f>
        <v>Учебно пособие</v>
      </c>
      <c r="C1507" s="10" t="str">
        <f ca="1">IFERROR(__xludf.DUMMYFUNCTION("""COMPUTED_VALUE"""),"Проблеми при защита на информацията в приложни информационни системи")</f>
        <v>Проблеми при защита на информацията в приложни информационни системи</v>
      </c>
      <c r="D1507" s="10">
        <f ca="1">IFERROR(__xludf.DUMMYFUNCTION("""COMPUTED_VALUE"""),2002)</f>
        <v>2002</v>
      </c>
      <c r="E1507" s="10" t="str">
        <f ca="1">IFERROR(__xludf.DUMMYFUNCTION("""COMPUTED_VALUE"""),"Сборник материали “Първа международна научна конференция “ХЕМУС – 2002”, 31 май, 1юни 2002 г. , гр. Пловдив")</f>
        <v>Сборник материали “Първа международна научна конференция “ХЕМУС – 2002”, 31 май, 1юни 2002 г. , гр. Пловдив</v>
      </c>
      <c r="F1507" s="10"/>
      <c r="G1507" s="10" t="str">
        <f ca="1">IFERROR(__xludf.DUMMYFUNCTION("""COMPUTED_VALUE"""),"Целков, Н. Стоянов, Л. Георгиев")</f>
        <v>Целков, Н. Стоянов, Л. Георгиев</v>
      </c>
      <c r="H1507" s="10"/>
      <c r="I1507" s="10"/>
      <c r="J1507" s="10"/>
      <c r="K1507" s="10"/>
      <c r="L1507" s="10"/>
      <c r="M1507" s="10"/>
      <c r="N1507" s="10"/>
      <c r="O1507" s="10"/>
      <c r="P1507" s="10"/>
      <c r="Q1507" s="10"/>
      <c r="R1507" s="10"/>
      <c r="S1507" s="10"/>
      <c r="T1507" s="10"/>
      <c r="U1507" s="10"/>
      <c r="V1507" s="10"/>
      <c r="W1507" s="10"/>
      <c r="X1507" s="10"/>
      <c r="Y1507" s="10"/>
      <c r="Z1507" s="10"/>
    </row>
    <row r="1508" spans="1:26" ht="12.75">
      <c r="A1508" s="10" t="str">
        <f ca="1">IFERROR(__xludf.DUMMYFUNCTION("""COMPUTED_VALUE"""),"Веселин Ценов Целков")</f>
        <v>Веселин Ценов Целков</v>
      </c>
      <c r="B1508" s="10" t="str">
        <f ca="1">IFERROR(__xludf.DUMMYFUNCTION("""COMPUTED_VALUE"""),"Доклад от конференция")</f>
        <v>Доклад от конференция</v>
      </c>
      <c r="C1508" s="10" t="str">
        <f ca="1">IFERROR(__xludf.DUMMYFUNCTION("""COMPUTED_VALUE"""),"Един модел за идентификация на потребителите в софтуерни приложения")</f>
        <v>Един модел за идентификация на потребителите в софтуерни приложения</v>
      </c>
      <c r="D1508" s="10">
        <f ca="1">IFERROR(__xludf.DUMMYFUNCTION("""COMPUTED_VALUE"""),2002)</f>
        <v>2002</v>
      </c>
      <c r="E1508" s="10" t="str">
        <f ca="1">IFERROR(__xludf.DUMMYFUNCTION("""COMPUTED_VALUE"""),"Научна сесия 2002 с международно участие, 24 – 25 октомври 2002, ВВУАПВО “П. Волов”, гр. Шумен")</f>
        <v>Научна сесия 2002 с международно участие, 24 – 25 октомври 2002, ВВУАПВО “П. Волов”, гр. Шумен</v>
      </c>
      <c r="F1508" s="10"/>
      <c r="G1508" s="10" t="str">
        <f ca="1">IFERROR(__xludf.DUMMYFUNCTION("""COMPUTED_VALUE"""),"В. Целков, М. Божилова, Н. Стоянов, Л. Георгиев")</f>
        <v>В. Целков, М. Божилова, Н. Стоянов, Л. Георгиев</v>
      </c>
      <c r="H1508" s="10"/>
      <c r="I1508" s="10"/>
      <c r="J1508" s="10"/>
      <c r="K1508" s="10"/>
      <c r="L1508" s="10"/>
      <c r="M1508" s="10"/>
      <c r="N1508" s="10"/>
      <c r="O1508" s="10"/>
      <c r="P1508" s="10"/>
      <c r="Q1508" s="10"/>
      <c r="R1508" s="10"/>
      <c r="S1508" s="10"/>
      <c r="T1508" s="10"/>
      <c r="U1508" s="10"/>
      <c r="V1508" s="10"/>
      <c r="W1508" s="10"/>
      <c r="X1508" s="10"/>
      <c r="Y1508" s="10"/>
      <c r="Z1508" s="10"/>
    </row>
    <row r="1509" spans="1:26" ht="12.75">
      <c r="A1509" s="10" t="str">
        <f ca="1">IFERROR(__xludf.DUMMYFUNCTION("""COMPUTED_VALUE"""),"Веселин Ценов Целков")</f>
        <v>Веселин Ценов Целков</v>
      </c>
      <c r="B1509" s="10" t="str">
        <f ca="1">IFERROR(__xludf.DUMMYFUNCTION("""COMPUTED_VALUE"""),"Доклад от конференция")</f>
        <v>Доклад от конференция</v>
      </c>
      <c r="C1509" s="10" t="str">
        <f ca="1">IFERROR(__xludf.DUMMYFUNCTION("""COMPUTED_VALUE"""),"Криптографски основи на архитектурата за сигурност в компютърни системи")</f>
        <v>Криптографски основи на архитектурата за сигурност в компютърни системи</v>
      </c>
      <c r="D1509" s="10">
        <f ca="1">IFERROR(__xludf.DUMMYFUNCTION("""COMPUTED_VALUE"""),2002)</f>
        <v>2002</v>
      </c>
      <c r="E1509" s="10" t="str">
        <f ca="1">IFERROR(__xludf.DUMMYFUNCTION("""COMPUTED_VALUE"""),"Научна сесия 2002 с международно участие, 24 – 25 октомври 2002, ВВУАПВО “П. Волов”, гр. Шумен")</f>
        <v>Научна сесия 2002 с международно участие, 24 – 25 октомври 2002, ВВУАПВО “П. Волов”, гр. Шумен</v>
      </c>
      <c r="F1509" s="10"/>
      <c r="G1509" s="10" t="str">
        <f ca="1">IFERROR(__xludf.DUMMYFUNCTION("""COMPUTED_VALUE"""),"Целков, В., Н. Стоянов")</f>
        <v>Целков, В., Н. Стоянов</v>
      </c>
      <c r="H1509" s="10"/>
      <c r="I1509" s="10"/>
      <c r="J1509" s="10"/>
      <c r="K1509" s="10"/>
      <c r="L1509" s="10"/>
      <c r="M1509" s="10"/>
      <c r="N1509" s="10"/>
      <c r="O1509" s="10"/>
      <c r="P1509" s="10"/>
      <c r="Q1509" s="10"/>
      <c r="R1509" s="10"/>
      <c r="S1509" s="10"/>
      <c r="T1509" s="10"/>
      <c r="U1509" s="10"/>
      <c r="V1509" s="10"/>
      <c r="W1509" s="10"/>
      <c r="X1509" s="10"/>
      <c r="Y1509" s="10"/>
      <c r="Z1509" s="10"/>
    </row>
    <row r="1510" spans="1:26" ht="12.75">
      <c r="A1510" s="10" t="str">
        <f ca="1">IFERROR(__xludf.DUMMYFUNCTION("""COMPUTED_VALUE"""),"Веселин Ценов Целков")</f>
        <v>Веселин Ценов Целков</v>
      </c>
      <c r="B1510" s="10" t="str">
        <f ca="1">IFERROR(__xludf.DUMMYFUNCTION("""COMPUTED_VALUE"""),"Учебно пособие")</f>
        <v>Учебно пособие</v>
      </c>
      <c r="C1510" s="10" t="str">
        <f ca="1">IFERROR(__xludf.DUMMYFUNCTION("""COMPUTED_VALUE"""),"E-net models of a software system for e-mail security")</f>
        <v>E-net models of a software system for e-mail security</v>
      </c>
      <c r="D1510" s="10">
        <f ca="1">IFERROR(__xludf.DUMMYFUNCTION("""COMPUTED_VALUE"""),2002)</f>
        <v>2002</v>
      </c>
      <c r="E1510" s="10" t="str">
        <f ca="1">IFERROR(__xludf.DUMMYFUNCTION("""COMPUTED_VALUE"""),"Математика и математическо образование, София, БАН, 2002 г., стр.198-203 (ISBN 954-8880-11-3)")</f>
        <v>Математика и математическо образование, София, БАН, 2002 г., стр.198-203 (ISBN 954-8880-11-3)</v>
      </c>
      <c r="F1510" s="10"/>
      <c r="G1510" s="10" t="str">
        <f ca="1">IFERROR(__xludf.DUMMYFUNCTION("""COMPUTED_VALUE"""),"Tselkov, V. and N. Stoianov")</f>
        <v>Tselkov, V. and N. Stoianov</v>
      </c>
      <c r="H1510" s="10"/>
      <c r="I1510" s="10"/>
      <c r="J1510" s="10"/>
      <c r="K1510" s="10"/>
      <c r="L1510" s="10"/>
      <c r="M1510" s="10"/>
      <c r="N1510" s="10"/>
      <c r="O1510" s="10"/>
      <c r="P1510" s="10"/>
      <c r="Q1510" s="10"/>
      <c r="R1510" s="10"/>
      <c r="S1510" s="10"/>
      <c r="T1510" s="10"/>
      <c r="U1510" s="10"/>
      <c r="V1510" s="10"/>
      <c r="W1510" s="10"/>
      <c r="X1510" s="10"/>
      <c r="Y1510" s="10"/>
      <c r="Z1510" s="10"/>
    </row>
    <row r="1511" spans="1:26" ht="12.75">
      <c r="A1511" s="10" t="str">
        <f ca="1">IFERROR(__xludf.DUMMYFUNCTION("""COMPUTED_VALUE"""),"Веселин Ценов Целков")</f>
        <v>Веселин Ценов Целков</v>
      </c>
      <c r="B1511" s="10" t="str">
        <f ca="1">IFERROR(__xludf.DUMMYFUNCTION("""COMPUTED_VALUE"""),"Учебно пособие")</f>
        <v>Учебно пособие</v>
      </c>
      <c r="C1511" s="10" t="str">
        <f ca="1">IFERROR(__xludf.DUMMYFUNCTION("""COMPUTED_VALUE"""),"Е-Демокрация")</f>
        <v>Е-Демокрация</v>
      </c>
      <c r="D1511" s="10">
        <f ca="1">IFERROR(__xludf.DUMMYFUNCTION("""COMPUTED_VALUE"""),2002)</f>
        <v>2002</v>
      </c>
      <c r="E1511" s="10" t="str">
        <f ca="1">IFERROR(__xludf.DUMMYFUNCTION("""COMPUTED_VALUE"""),"София : Унив. изд. Св. Климент Охридски, Година на създаване: 2002, Идентификатор: ISBN954-07-1782-5")</f>
        <v>София : Унив. изд. Св. Климент Охридски, Година на създаване: 2002, Идентификатор: ISBN954-07-1782-5</v>
      </c>
      <c r="F1511" s="10"/>
      <c r="G1511" s="10" t="str">
        <f ca="1">IFERROR(__xludf.DUMMYFUNCTION("""COMPUTED_VALUE"""),"Юрий Буров ; Ангел Попов ; Румен Николов ; Камелия Стефанова ; Мариана Бурова ; Красен Стефанов ; Веселин Целков")</f>
        <v>Юрий Буров ; Ангел Попов ; Румен Николов ; Камелия Стефанова ; Мариана Бурова ; Красен Стефанов ; Веселин Целков</v>
      </c>
      <c r="H1511" s="10"/>
      <c r="I1511" s="10"/>
      <c r="J1511" s="10"/>
      <c r="K1511" s="10"/>
      <c r="L1511" s="10"/>
      <c r="M1511" s="10"/>
      <c r="N1511" s="10"/>
      <c r="O1511" s="10"/>
      <c r="P1511" s="10"/>
      <c r="Q1511" s="10"/>
      <c r="R1511" s="10"/>
      <c r="S1511" s="10"/>
      <c r="T1511" s="10"/>
      <c r="U1511" s="10"/>
      <c r="V1511" s="10"/>
      <c r="W1511" s="10"/>
      <c r="X1511" s="10"/>
      <c r="Y1511" s="10"/>
      <c r="Z1511" s="10"/>
    </row>
    <row r="1512" spans="1:26" ht="12.75">
      <c r="A1512" s="10" t="str">
        <f ca="1">IFERROR(__xludf.DUMMYFUNCTION("""COMPUTED_VALUE"""),"Веселин Ценов Целков")</f>
        <v>Веселин Ценов Целков</v>
      </c>
      <c r="B1512" s="10" t="str">
        <f ca="1">IFERROR(__xludf.DUMMYFUNCTION("""COMPUTED_VALUE"""),"Доклад от конференция")</f>
        <v>Доклад от конференция</v>
      </c>
      <c r="C1512" s="10" t="str">
        <f ca="1">IFERROR(__xludf.DUMMYFUNCTION("""COMPUTED_VALUE"""),"Информационните технологии в борбата срещу тероризма")</f>
        <v>Информационните технологии в борбата срещу тероризма</v>
      </c>
      <c r="D1512" s="10">
        <f ca="1">IFERROR(__xludf.DUMMYFUNCTION("""COMPUTED_VALUE"""),2001)</f>
        <v>2001</v>
      </c>
      <c r="E1512" s="10" t="str">
        <f ca="1">IFERROR(__xludf.DUMMYFUNCTION("""COMPUTED_VALUE"""),"“E-DEFENCE &amp; SECURITY – НОВИ ПРЕДИЗВИКАТЕЛСТВА”, AFCEA Sofia, 29 и 30 ноември 2001 г.")</f>
        <v>“E-DEFENCE &amp; SECURITY – НОВИ ПРЕДИЗВИКАТЕЛСТВА”, AFCEA Sofia, 29 и 30 ноември 2001 г.</v>
      </c>
      <c r="F1512" s="10"/>
      <c r="G1512" s="10"/>
      <c r="H1512" s="10"/>
      <c r="I1512" s="10"/>
      <c r="J1512" s="10"/>
      <c r="K1512" s="10"/>
      <c r="L1512" s="10"/>
      <c r="M1512" s="10"/>
      <c r="N1512" s="10"/>
      <c r="O1512" s="10"/>
      <c r="P1512" s="10"/>
      <c r="Q1512" s="10"/>
      <c r="R1512" s="10"/>
      <c r="S1512" s="10"/>
      <c r="T1512" s="10"/>
      <c r="U1512" s="10"/>
      <c r="V1512" s="10"/>
      <c r="W1512" s="10"/>
      <c r="X1512" s="10"/>
      <c r="Y1512" s="10"/>
      <c r="Z1512" s="10"/>
    </row>
    <row r="1513" spans="1:26" ht="12.75">
      <c r="A1513" s="10" t="str">
        <f ca="1">IFERROR(__xludf.DUMMYFUNCTION("""COMPUTED_VALUE"""),"Веселин Ценов Целков")</f>
        <v>Веселин Ценов Целков</v>
      </c>
      <c r="B1513" s="10" t="str">
        <f ca="1">IFERROR(__xludf.DUMMYFUNCTION("""COMPUTED_VALUE"""),"Доклад от конференция")</f>
        <v>Доклад от конференция</v>
      </c>
      <c r="C1513" s="10" t="str">
        <f ca="1">IFERROR(__xludf.DUMMYFUNCTION("""COMPUTED_VALUE"""),"Програмни средства за информационна сигурност в персоналните компютри")</f>
        <v>Програмни средства за информационна сигурност в персоналните компютри</v>
      </c>
      <c r="D1513" s="10">
        <f ca="1">IFERROR(__xludf.DUMMYFUNCTION("""COMPUTED_VALUE"""),2001)</f>
        <v>2001</v>
      </c>
      <c r="E1513" s="10" t="str">
        <f ca="1">IFERROR(__xludf.DUMMYFUNCTION("""COMPUTED_VALUE"""),"Научна сесия 2001 с международно участие, 16 – 17 октомври 2001, ВВУАПВО “П. Волов”, гр. Шумен. ISBN 954-9681-02-3")</f>
        <v>Научна сесия 2001 с международно участие, 16 – 17 октомври 2001, ВВУАПВО “П. Волов”, гр. Шумен. ISBN 954-9681-02-3</v>
      </c>
      <c r="F1513" s="10"/>
      <c r="G1513" s="10"/>
      <c r="H1513" s="10"/>
      <c r="I1513" s="10"/>
      <c r="J1513" s="10"/>
      <c r="K1513" s="10"/>
      <c r="L1513" s="10"/>
      <c r="M1513" s="10"/>
      <c r="N1513" s="10"/>
      <c r="O1513" s="10"/>
      <c r="P1513" s="10"/>
      <c r="Q1513" s="10"/>
      <c r="R1513" s="10"/>
      <c r="S1513" s="10"/>
      <c r="T1513" s="10"/>
      <c r="U1513" s="10"/>
      <c r="V1513" s="10"/>
      <c r="W1513" s="10"/>
      <c r="X1513" s="10"/>
      <c r="Y1513" s="10"/>
      <c r="Z1513" s="10"/>
    </row>
    <row r="1514" spans="1:26" ht="12.75">
      <c r="A1514" s="10" t="str">
        <f ca="1">IFERROR(__xludf.DUMMYFUNCTION("""COMPUTED_VALUE"""),"Веселин Ценов Целков")</f>
        <v>Веселин Ценов Целков</v>
      </c>
      <c r="B1514" s="10" t="str">
        <f ca="1">IFERROR(__xludf.DUMMYFUNCTION("""COMPUTED_VALUE"""),"Доклад от конференция")</f>
        <v>Доклад от конференция</v>
      </c>
      <c r="C1514" s="10" t="str">
        <f ca="1">IFERROR(__xludf.DUMMYFUNCTION("""COMPUTED_VALUE"""),"Сигурността в разпределени релационни бази данни")</f>
        <v>Сигурността в разпределени релационни бази данни</v>
      </c>
      <c r="D1514" s="10">
        <f ca="1">IFERROR(__xludf.DUMMYFUNCTION("""COMPUTED_VALUE"""),2001)</f>
        <v>2001</v>
      </c>
      <c r="E1514" s="10" t="str">
        <f ca="1">IFERROR(__xludf.DUMMYFUNCTION("""COMPUTED_VALUE"""),"Научна сесия 2001 с международно участие, 16 – 17 октомври 2001, Сборник научни трудове част II, Шумен, ВВУАПВО „П. Волов”, 2002, стр. 200-205. ISBN 954-9681-02-3")</f>
        <v>Научна сесия 2001 с международно участие, 16 – 17 октомври 2001, Сборник научни трудове част II, Шумен, ВВУАПВО „П. Волов”, 2002, стр. 200-205. ISBN 954-9681-02-3</v>
      </c>
      <c r="F1514" s="10"/>
      <c r="G1514" s="10" t="str">
        <f ca="1">IFERROR(__xludf.DUMMYFUNCTION("""COMPUTED_VALUE"""),"Целков В. Ц., Здравков З., Стоянов Н., Георгиев Л.")</f>
        <v>Целков В. Ц., Здравков З., Стоянов Н., Георгиев Л.</v>
      </c>
      <c r="H1514" s="10"/>
      <c r="I1514" s="10"/>
      <c r="J1514" s="10"/>
      <c r="K1514" s="10"/>
      <c r="L1514" s="10"/>
      <c r="M1514" s="10"/>
      <c r="N1514" s="10"/>
      <c r="O1514" s="10"/>
      <c r="P1514" s="10"/>
      <c r="Q1514" s="10"/>
      <c r="R1514" s="10"/>
      <c r="S1514" s="10"/>
      <c r="T1514" s="10"/>
      <c r="U1514" s="10"/>
      <c r="V1514" s="10"/>
      <c r="W1514" s="10"/>
      <c r="X1514" s="10"/>
      <c r="Y1514" s="10"/>
      <c r="Z1514" s="10"/>
    </row>
    <row r="1515" spans="1:26" ht="12.75">
      <c r="A1515" s="10" t="str">
        <f ca="1">IFERROR(__xludf.DUMMYFUNCTION("""COMPUTED_VALUE"""),"Веселин Ценов Целков")</f>
        <v>Веселин Ценов Целков</v>
      </c>
      <c r="B1515" s="10" t="str">
        <f ca="1">IFERROR(__xludf.DUMMYFUNCTION("""COMPUTED_VALUE"""),"Доклад от конференция")</f>
        <v>Доклад от конференция</v>
      </c>
      <c r="C1515" s="10" t="str">
        <f ca="1">IFERROR(__xludf.DUMMYFUNCTION("""COMPUTED_VALUE"""),"“The Next IT Security Generation with VPN and PKI”")</f>
        <v>“The Next IT Security Generation with VPN and PKI”</v>
      </c>
      <c r="D1515" s="10">
        <f ca="1">IFERROR(__xludf.DUMMYFUNCTION("""COMPUTED_VALUE"""),2001)</f>
        <v>2001</v>
      </c>
      <c r="E1515" s="10" t="str">
        <f ca="1">IFERROR(__xludf.DUMMYFUNCTION("""COMPUTED_VALUE"""),"Virtual Private Networks and Public Key Infrastructures, International Conference, 22-29 September 2001, Hotel of the Council of Ministers, Bansko, Bulgaria .")</f>
        <v>Virtual Private Networks and Public Key Infrastructures, International Conference, 22-29 September 2001, Hotel of the Council of Ministers, Bansko, Bulgaria .</v>
      </c>
      <c r="F1515" s="10"/>
      <c r="G1515" s="10" t="str">
        <f ca="1">IFERROR(__xludf.DUMMYFUNCTION("""COMPUTED_VALUE"""),"Dragomir Pargov, Veselin Tselkov")</f>
        <v>Dragomir Pargov, Veselin Tselkov</v>
      </c>
      <c r="H1515" s="10"/>
      <c r="I1515" s="10"/>
      <c r="J1515" s="10"/>
      <c r="K1515" s="10"/>
      <c r="L1515" s="10"/>
      <c r="M1515" s="10"/>
      <c r="N1515" s="10"/>
      <c r="O1515" s="10"/>
      <c r="P1515" s="10"/>
      <c r="Q1515" s="10"/>
      <c r="R1515" s="10"/>
      <c r="S1515" s="10"/>
      <c r="T1515" s="10"/>
      <c r="U1515" s="10"/>
      <c r="V1515" s="10"/>
      <c r="W1515" s="10"/>
      <c r="X1515" s="10"/>
      <c r="Y1515" s="10"/>
      <c r="Z1515" s="10"/>
    </row>
    <row r="1516" spans="1:26" ht="12.75">
      <c r="A1516" s="10" t="str">
        <f ca="1">IFERROR(__xludf.DUMMYFUNCTION("""COMPUTED_VALUE"""),"Веселин Ценов Целков")</f>
        <v>Веселин Ценов Целков</v>
      </c>
      <c r="B1516" s="10" t="str">
        <f ca="1">IFERROR(__xludf.DUMMYFUNCTION("""COMPUTED_VALUE"""),"Доклад от конференция")</f>
        <v>Доклад от конференция</v>
      </c>
      <c r="C1516" s="10" t="str">
        <f ca="1">IFERROR(__xludf.DUMMYFUNCTION("""COMPUTED_VALUE"""),"Архитектура и функционални възможности на програмна система за защита на електронна поща")</f>
        <v>Архитектура и функционални възможности на програмна система за защита на електронна поща</v>
      </c>
      <c r="D1516" s="10">
        <f ca="1">IFERROR(__xludf.DUMMYFUNCTION("""COMPUTED_VALUE"""),2001)</f>
        <v>2001</v>
      </c>
      <c r="E1516" s="10" t="str">
        <f ca="1">IFERROR(__xludf.DUMMYFUNCTION("""COMPUTED_VALUE"""),"Научна сесия 2001 с международно участие, 16 – 17 октомври 2001, ВВУАПВО “П. Волов”, гр. Шумен. ISBN 954-9681-02-3")</f>
        <v>Научна сесия 2001 с международно участие, 16 – 17 октомври 2001, ВВУАПВО “П. Волов”, гр. Шумен. ISBN 954-9681-02-3</v>
      </c>
      <c r="F1516" s="10"/>
      <c r="G1516" s="10" t="str">
        <f ca="1">IFERROR(__xludf.DUMMYFUNCTION("""COMPUTED_VALUE"""),"34. Веселин Целков, Николай Стоянов")</f>
        <v>34. Веселин Целков, Николай Стоянов</v>
      </c>
      <c r="H1516" s="10"/>
      <c r="I1516" s="10"/>
      <c r="J1516" s="10"/>
      <c r="K1516" s="10"/>
      <c r="L1516" s="10"/>
      <c r="M1516" s="10"/>
      <c r="N1516" s="10"/>
      <c r="O1516" s="10"/>
      <c r="P1516" s="10"/>
      <c r="Q1516" s="10"/>
      <c r="R1516" s="10"/>
      <c r="S1516" s="10"/>
      <c r="T1516" s="10"/>
      <c r="U1516" s="10"/>
      <c r="V1516" s="10"/>
      <c r="W1516" s="10"/>
      <c r="X1516" s="10"/>
      <c r="Y1516" s="10"/>
      <c r="Z1516" s="10"/>
    </row>
    <row r="1517" spans="1:26" ht="12.75">
      <c r="A1517" s="10" t="str">
        <f ca="1">IFERROR(__xludf.DUMMYFUNCTION("""COMPUTED_VALUE"""),"Веселин Ценов Целков")</f>
        <v>Веселин Ценов Целков</v>
      </c>
      <c r="B1517" s="10" t="str">
        <f ca="1">IFERROR(__xludf.DUMMYFUNCTION("""COMPUTED_VALUE"""),"Статия в списания и поредици")</f>
        <v>Статия в списания и поредици</v>
      </c>
      <c r="C1517" s="10" t="str">
        <f ca="1">IFERROR(__xludf.DUMMYFUNCTION("""COMPUTED_VALUE"""),"“I&amp;S Reference Files”")</f>
        <v>“I&amp;S Reference Files”</v>
      </c>
      <c r="D1517" s="10">
        <f ca="1">IFERROR(__xludf.DUMMYFUNCTION("""COMPUTED_VALUE"""),2000)</f>
        <v>2000</v>
      </c>
      <c r="E1517" s="10" t="str">
        <f ca="1">IFERROR(__xludf.DUMMYFUNCTION("""COMPUTED_VALUE"""),"Information&amp;Security, vol. 4, 2000, pp. 126 – 140 (ISSN 1311-1493)")</f>
        <v>Information&amp;Security, vol. 4, 2000, pp. 126 – 140 (ISSN 1311-1493)</v>
      </c>
      <c r="F1517" s="10"/>
      <c r="G1517" s="10"/>
      <c r="H1517" s="10"/>
      <c r="I1517" s="10"/>
      <c r="J1517" s="10"/>
      <c r="K1517" s="10"/>
      <c r="L1517" s="10"/>
      <c r="M1517" s="10"/>
      <c r="N1517" s="10"/>
      <c r="O1517" s="10"/>
      <c r="P1517" s="10"/>
      <c r="Q1517" s="10"/>
      <c r="R1517" s="10"/>
      <c r="S1517" s="10"/>
      <c r="T1517" s="10"/>
      <c r="U1517" s="10"/>
      <c r="V1517" s="10"/>
      <c r="W1517" s="10"/>
      <c r="X1517" s="10"/>
      <c r="Y1517" s="10"/>
      <c r="Z1517" s="10"/>
    </row>
    <row r="1518" spans="1:26" ht="12.75">
      <c r="A1518" s="10" t="str">
        <f ca="1">IFERROR(__xludf.DUMMYFUNCTION("""COMPUTED_VALUE"""),"Веселин Ценов Целков")</f>
        <v>Веселин Ценов Целков</v>
      </c>
      <c r="B1518" s="10" t="str">
        <f ca="1">IFERROR(__xludf.DUMMYFUNCTION("""COMPUTED_VALUE"""),"Доклад от конференция")</f>
        <v>Доклад от конференция</v>
      </c>
      <c r="C1518" s="10" t="str">
        <f ca="1">IFERROR(__xludf.DUMMYFUNCTION("""COMPUTED_VALUE"""),"“Защита информацията в корпоративни информационни системи”")</f>
        <v>“Защита информацията в корпоративни информационни системи”</v>
      </c>
      <c r="D1518" s="10">
        <f ca="1">IFERROR(__xludf.DUMMYFUNCTION("""COMPUTED_VALUE"""),2000)</f>
        <v>2000</v>
      </c>
      <c r="E1518" s="10" t="str">
        <f ca="1">IFERROR(__xludf.DUMMYFUNCTION("""COMPUTED_VALUE"""),"Сборник научни трудове “Международна научна конференция 2000”, 12 –13 октомври 2000 г., ВВУАПВО “П. Волов” – гр. Шумен")</f>
        <v>Сборник научни трудове “Международна научна конференция 2000”, 12 –13 октомври 2000 г., ВВУАПВО “П. Волов” – гр. Шумен</v>
      </c>
      <c r="F1518" s="10"/>
      <c r="G1518" s="10"/>
      <c r="H1518" s="10"/>
      <c r="I1518" s="10"/>
      <c r="J1518" s="10"/>
      <c r="K1518" s="10"/>
      <c r="L1518" s="10"/>
      <c r="M1518" s="10"/>
      <c r="N1518" s="10"/>
      <c r="O1518" s="10"/>
      <c r="P1518" s="10"/>
      <c r="Q1518" s="10"/>
      <c r="R1518" s="10"/>
      <c r="S1518" s="10"/>
      <c r="T1518" s="10"/>
      <c r="U1518" s="10"/>
      <c r="V1518" s="10"/>
      <c r="W1518" s="10"/>
      <c r="X1518" s="10"/>
      <c r="Y1518" s="10"/>
      <c r="Z1518" s="10"/>
    </row>
    <row r="1519" spans="1:26" ht="12.75">
      <c r="A1519" s="10" t="str">
        <f ca="1">IFERROR(__xludf.DUMMYFUNCTION("""COMPUTED_VALUE"""),"Веселин Ценов Целков")</f>
        <v>Веселин Ценов Целков</v>
      </c>
      <c r="B1519" s="10" t="str">
        <f ca="1">IFERROR(__xludf.DUMMYFUNCTION("""COMPUTED_VALUE"""),"Учебно пособие")</f>
        <v>Учебно пособие</v>
      </c>
      <c r="C1519" s="10" t="str">
        <f ca="1">IFERROR(__xludf.DUMMYFUNCTION("""COMPUTED_VALUE"""),"“Експертен екип по информационна сигурност”")</f>
        <v>“Експертен екип по информационна сигурност”</v>
      </c>
      <c r="D1519" s="10">
        <f ca="1">IFERROR(__xludf.DUMMYFUNCTION("""COMPUTED_VALUE"""),2000)</f>
        <v>2000</v>
      </c>
      <c r="E1519" s="10" t="str">
        <f ca="1">IFERROR(__xludf.DUMMYFUNCTION("""COMPUTED_VALUE"""),"Сборник материали “Гарантиране на Информацията за Националната Сигурност и Отбрана”, 11 – 12 декември, ВПД Рибарица, ИПИО 2000")</f>
        <v>Сборник материали “Гарантиране на Информацията за Националната Сигурност и Отбрана”, 11 – 12 декември, ВПД Рибарица, ИПИО 2000</v>
      </c>
      <c r="F1519" s="10"/>
      <c r="G1519" s="10"/>
      <c r="H1519" s="10"/>
      <c r="I1519" s="10"/>
      <c r="J1519" s="10"/>
      <c r="K1519" s="10"/>
      <c r="L1519" s="10"/>
      <c r="M1519" s="10"/>
      <c r="N1519" s="10"/>
      <c r="O1519" s="10"/>
      <c r="P1519" s="10"/>
      <c r="Q1519" s="10"/>
      <c r="R1519" s="10"/>
      <c r="S1519" s="10"/>
      <c r="T1519" s="10"/>
      <c r="U1519" s="10"/>
      <c r="V1519" s="10"/>
      <c r="W1519" s="10"/>
      <c r="X1519" s="10"/>
      <c r="Y1519" s="10"/>
      <c r="Z1519" s="10"/>
    </row>
    <row r="1520" spans="1:26" ht="12.75">
      <c r="A1520" s="10" t="str">
        <f ca="1">IFERROR(__xludf.DUMMYFUNCTION("""COMPUTED_VALUE"""),"Веселин Ценов Целков")</f>
        <v>Веселин Ценов Целков</v>
      </c>
      <c r="B1520" s="10" t="str">
        <f ca="1">IFERROR(__xludf.DUMMYFUNCTION("""COMPUTED_VALUE"""),"Доклад от конференция")</f>
        <v>Доклад от конференция</v>
      </c>
      <c r="C1520" s="10" t="str">
        <f ca="1">IFERROR(__xludf.DUMMYFUNCTION("""COMPUTED_VALUE"""),"“Информационните технологии и електронната търговия в МО и БА”")</f>
        <v>“Информационните технологии и електронната търговия в МО и БА”</v>
      </c>
      <c r="D1520" s="10">
        <f ca="1">IFERROR(__xludf.DUMMYFUNCTION("""COMPUTED_VALUE"""),2000)</f>
        <v>2000</v>
      </c>
      <c r="E1520" s="10" t="str">
        <f ca="1">IFERROR(__xludf.DUMMYFUNCTION("""COMPUTED_VALUE"""),"Втора Конференция по електронна търговия за страните от Югоизточна Европа, октомври 2000 г")</f>
        <v>Втора Конференция по електронна търговия за страните от Югоизточна Европа, октомври 2000 г</v>
      </c>
      <c r="F1520" s="10"/>
      <c r="G1520" s="10" t="str">
        <f ca="1">IFERROR(__xludf.DUMMYFUNCTION("""COMPUTED_VALUE"""),"Велизар Шаламанов, Веселин Целков")</f>
        <v>Велизар Шаламанов, Веселин Целков</v>
      </c>
      <c r="H1520" s="10"/>
      <c r="I1520" s="10"/>
      <c r="J1520" s="10"/>
      <c r="K1520" s="10"/>
      <c r="L1520" s="10"/>
      <c r="M1520" s="10"/>
      <c r="N1520" s="10"/>
      <c r="O1520" s="10"/>
      <c r="P1520" s="10"/>
      <c r="Q1520" s="10"/>
      <c r="R1520" s="10"/>
      <c r="S1520" s="10"/>
      <c r="T1520" s="10"/>
      <c r="U1520" s="10"/>
      <c r="V1520" s="10"/>
      <c r="W1520" s="10"/>
      <c r="X1520" s="10"/>
      <c r="Y1520" s="10"/>
      <c r="Z1520" s="10"/>
    </row>
    <row r="1521" spans="1:26" ht="12.75">
      <c r="A1521" s="10" t="str">
        <f ca="1">IFERROR(__xludf.DUMMYFUNCTION("""COMPUTED_VALUE"""),"Веселин Ценов Целков")</f>
        <v>Веселин Ценов Целков</v>
      </c>
      <c r="B1521" s="10" t="str">
        <f ca="1">IFERROR(__xludf.DUMMYFUNCTION("""COMPUTED_VALUE"""),"Статия в списания и поредици")</f>
        <v>Статия в списания и поредици</v>
      </c>
      <c r="C1521" s="10" t="str">
        <f ca="1">IFERROR(__xludf.DUMMYFUNCTION("""COMPUTED_VALUE"""),"“I&amp;S Library Update”")</f>
        <v>“I&amp;S Library Update”</v>
      </c>
      <c r="D1521" s="10">
        <f ca="1">IFERROR(__xludf.DUMMYFUNCTION("""COMPUTED_VALUE"""),2000)</f>
        <v>2000</v>
      </c>
      <c r="E1521" s="10" t="str">
        <f ca="1">IFERROR(__xludf.DUMMYFUNCTION("""COMPUTED_VALUE"""),"Information&amp;Security, vol. 4, 2000, pp. 113 – 125 (ISSN 1311-1493)")</f>
        <v>Information&amp;Security, vol. 4, 2000, pp. 113 – 125 (ISSN 1311-1493)</v>
      </c>
      <c r="F1521" s="10"/>
      <c r="G1521" s="10"/>
      <c r="H1521" s="10"/>
      <c r="I1521" s="10"/>
      <c r="J1521" s="10"/>
      <c r="K1521" s="10"/>
      <c r="L1521" s="10"/>
      <c r="M1521" s="10"/>
      <c r="N1521" s="10"/>
      <c r="O1521" s="10"/>
      <c r="P1521" s="10"/>
      <c r="Q1521" s="10"/>
      <c r="R1521" s="10"/>
      <c r="S1521" s="10"/>
      <c r="T1521" s="10"/>
      <c r="U1521" s="10"/>
      <c r="V1521" s="10"/>
      <c r="W1521" s="10"/>
      <c r="X1521" s="10"/>
      <c r="Y1521" s="10"/>
      <c r="Z1521" s="10"/>
    </row>
    <row r="1522" spans="1:26" ht="12.75">
      <c r="A1522" s="10" t="str">
        <f ca="1">IFERROR(__xludf.DUMMYFUNCTION("""COMPUTED_VALUE"""),"Веселин Ценов Целков")</f>
        <v>Веселин Ценов Целков</v>
      </c>
      <c r="B1522" s="10" t="str">
        <f ca="1">IFERROR(__xludf.DUMMYFUNCTION("""COMPUTED_VALUE"""),"Учебно пособие")</f>
        <v>Учебно пособие</v>
      </c>
      <c r="C1522" s="10" t="str">
        <f ca="1">IFERROR(__xludf.DUMMYFUNCTION("""COMPUTED_VALUE"""),"“Информационните технологии и информационната сигурност в Министерството на отбраната и Българската армия”")</f>
        <v>“Информационните технологии и информационната сигурност в Министерството на отбраната и Българската армия”</v>
      </c>
      <c r="D1522" s="10">
        <f ca="1">IFERROR(__xludf.DUMMYFUNCTION("""COMPUTED_VALUE"""),2000)</f>
        <v>2000</v>
      </c>
      <c r="E1522" s="10" t="str">
        <f ca="1">IFERROR(__xludf.DUMMYFUNCTION("""COMPUTED_VALUE"""),"Сборник материали “Гарантиране на Информацията за Националната Сигурност и Отбрана”, 11 – 12 декември, ВПД Рибарица, ИПИО 2000, стр. 9 - 17")</f>
        <v>Сборник материали “Гарантиране на Информацията за Националната Сигурност и Отбрана”, 11 – 12 декември, ВПД Рибарица, ИПИО 2000, стр. 9 - 17</v>
      </c>
      <c r="F1522" s="10"/>
      <c r="G1522" s="10" t="str">
        <f ca="1">IFERROR(__xludf.DUMMYFUNCTION("""COMPUTED_VALUE"""),"Велизар Шаламанов, Веселин Целков")</f>
        <v>Велизар Шаламанов, Веселин Целков</v>
      </c>
      <c r="H1522" s="10"/>
      <c r="I1522" s="10"/>
      <c r="J1522" s="10"/>
      <c r="K1522" s="10"/>
      <c r="L1522" s="10"/>
      <c r="M1522" s="10"/>
      <c r="N1522" s="10"/>
      <c r="O1522" s="10"/>
      <c r="P1522" s="10"/>
      <c r="Q1522" s="10"/>
      <c r="R1522" s="10"/>
      <c r="S1522" s="10"/>
      <c r="T1522" s="10"/>
      <c r="U1522" s="10"/>
      <c r="V1522" s="10"/>
      <c r="W1522" s="10"/>
      <c r="X1522" s="10"/>
      <c r="Y1522" s="10"/>
      <c r="Z1522" s="10"/>
    </row>
    <row r="1523" spans="1:26" ht="12.75">
      <c r="A1523" s="10" t="str">
        <f ca="1">IFERROR(__xludf.DUMMYFUNCTION("""COMPUTED_VALUE"""),"Веселин Ценов Целков")</f>
        <v>Веселин Ценов Целков</v>
      </c>
      <c r="B1523" s="10" t="str">
        <f ca="1">IFERROR(__xludf.DUMMYFUNCTION("""COMPUTED_VALUE"""),"Учебно пособие")</f>
        <v>Учебно пособие</v>
      </c>
      <c r="C1523" s="10" t="str">
        <f ca="1">IFERROR(__xludf.DUMMYFUNCTION("""COMPUTED_VALUE"""),"“Софтуерни средства за защита на данните в системи за управление на база данни”")</f>
        <v>“Софтуерни средства за защита на данните в системи за управление на база данни”</v>
      </c>
      <c r="D1523" s="10">
        <f ca="1">IFERROR(__xludf.DUMMYFUNCTION("""COMPUTED_VALUE"""),2000)</f>
        <v>2000</v>
      </c>
      <c r="E1523" s="10" t="str">
        <f ca="1">IFERROR(__xludf.DUMMYFUNCTION("""COMPUTED_VALUE"""),"Сборник научни трудове “Научно-технологичен трансфер”, Институт за космически изследвания – БАН, Шумен 2000, стр. 18 – 23")</f>
        <v>Сборник научни трудове “Научно-технологичен трансфер”, Институт за космически изследвания – БАН, Шумен 2000, стр. 18 – 23</v>
      </c>
      <c r="F1523" s="10"/>
      <c r="G1523" s="10" t="str">
        <f ca="1">IFERROR(__xludf.DUMMYFUNCTION("""COMPUTED_VALUE"""),"Веселин Целков, Зарко Здравков, Николай Стоянов")</f>
        <v>Веселин Целков, Зарко Здравков, Николай Стоянов</v>
      </c>
      <c r="H1523" s="10"/>
      <c r="I1523" s="10"/>
      <c r="J1523" s="10"/>
      <c r="K1523" s="10"/>
      <c r="L1523" s="10"/>
      <c r="M1523" s="10"/>
      <c r="N1523" s="10"/>
      <c r="O1523" s="10"/>
      <c r="P1523" s="10"/>
      <c r="Q1523" s="10"/>
      <c r="R1523" s="10"/>
      <c r="S1523" s="10"/>
      <c r="T1523" s="10"/>
      <c r="U1523" s="10"/>
      <c r="V1523" s="10"/>
      <c r="W1523" s="10"/>
      <c r="X1523" s="10"/>
      <c r="Y1523" s="10"/>
      <c r="Z1523" s="10"/>
    </row>
    <row r="1524" spans="1:26" ht="12.75">
      <c r="A1524" s="10" t="str">
        <f ca="1">IFERROR(__xludf.DUMMYFUNCTION("""COMPUTED_VALUE"""),"Веселин Ценов Целков")</f>
        <v>Веселин Ценов Целков</v>
      </c>
      <c r="B1524" s="10" t="str">
        <f ca="1">IFERROR(__xludf.DUMMYFUNCTION("""COMPUTED_VALUE"""),"Учебно пособие")</f>
        <v>Учебно пособие</v>
      </c>
      <c r="C1524" s="10" t="str">
        <f ca="1">IFERROR(__xludf.DUMMYFUNCTION("""COMPUTED_VALUE"""),"Гарантиране на информацията за националната сигурност и отбрана – кратък исторически обзор")</f>
        <v>Гарантиране на информацията за националната сигурност и отбрана – кратък исторически обзор</v>
      </c>
      <c r="D1524" s="10">
        <f ca="1">IFERROR(__xludf.DUMMYFUNCTION("""COMPUTED_VALUE"""),2000)</f>
        <v>2000</v>
      </c>
      <c r="E1524" s="10" t="str">
        <f ca="1">IFERROR(__xludf.DUMMYFUNCTION("""COMPUTED_VALUE"""),"Сборник материали “Гарантиране на Информацията за Националната Сигурност и Отбрана”, 11 – 12 декември, ВПД Рибарица, ИПИО 2000, стр. 6 - 8")</f>
        <v>Сборник материали “Гарантиране на Информацията за Националната Сигурност и Отбрана”, 11 – 12 декември, ВПД Рибарица, ИПИО 2000, стр. 6 - 8</v>
      </c>
      <c r="F1524" s="10"/>
      <c r="G1524" s="10" t="str">
        <f ca="1">IFERROR(__xludf.DUMMYFUNCTION("""COMPUTED_VALUE"""),"Велизар Шаламанов, Веселин Целков")</f>
        <v>Велизар Шаламанов, Веселин Целков</v>
      </c>
      <c r="H1524" s="10"/>
      <c r="I1524" s="10"/>
      <c r="J1524" s="10"/>
      <c r="K1524" s="10"/>
      <c r="L1524" s="10"/>
      <c r="M1524" s="10"/>
      <c r="N1524" s="10"/>
      <c r="O1524" s="10"/>
      <c r="P1524" s="10"/>
      <c r="Q1524" s="10"/>
      <c r="R1524" s="10"/>
      <c r="S1524" s="10"/>
      <c r="T1524" s="10"/>
      <c r="U1524" s="10"/>
      <c r="V1524" s="10"/>
      <c r="W1524" s="10"/>
      <c r="X1524" s="10"/>
      <c r="Y1524" s="10"/>
      <c r="Z1524" s="10"/>
    </row>
    <row r="1525" spans="1:26" ht="12.75">
      <c r="A1525" s="10" t="str">
        <f ca="1">IFERROR(__xludf.DUMMYFUNCTION("""COMPUTED_VALUE"""),"Веселин Ценов Целков")</f>
        <v>Веселин Ценов Целков</v>
      </c>
      <c r="B1525" s="10" t="str">
        <f ca="1">IFERROR(__xludf.DUMMYFUNCTION("""COMPUTED_VALUE"""),"Статия в списания и поредици")</f>
        <v>Статия в списания и поредици</v>
      </c>
      <c r="C1525" s="10" t="str">
        <f ca="1">IFERROR(__xludf.DUMMYFUNCTION("""COMPUTED_VALUE"""),"Cryptographic Software Solution for Information Protection in a Corporate Intranet")</f>
        <v>Cryptographic Software Solution for Information Protection in a Corporate Intranet</v>
      </c>
      <c r="D1525" s="10">
        <f ca="1">IFERROR(__xludf.DUMMYFUNCTION("""COMPUTED_VALUE"""),2000)</f>
        <v>2000</v>
      </c>
      <c r="E1525" s="10" t="str">
        <f ca="1">IFERROR(__xludf.DUMMYFUNCTION("""COMPUTED_VALUE"""),"Information&amp;Security, vol. 4, 2000, pp. 97 – 104 (ISSN 1311-1493)")</f>
        <v>Information&amp;Security, vol. 4, 2000, pp. 97 – 104 (ISSN 1311-1493)</v>
      </c>
      <c r="F1525" s="10"/>
      <c r="G1525" s="10"/>
      <c r="H1525" s="10"/>
      <c r="I1525" s="10"/>
      <c r="J1525" s="10"/>
      <c r="K1525" s="10"/>
      <c r="L1525" s="10"/>
      <c r="M1525" s="10"/>
      <c r="N1525" s="10"/>
      <c r="O1525" s="10"/>
      <c r="P1525" s="10"/>
      <c r="Q1525" s="10"/>
      <c r="R1525" s="10"/>
      <c r="S1525" s="10"/>
      <c r="T1525" s="10"/>
      <c r="U1525" s="10"/>
      <c r="V1525" s="10"/>
      <c r="W1525" s="10"/>
      <c r="X1525" s="10"/>
      <c r="Y1525" s="10"/>
      <c r="Z1525" s="10"/>
    </row>
    <row r="1526" spans="1:26" ht="12.75">
      <c r="A1526" s="10" t="str">
        <f ca="1">IFERROR(__xludf.DUMMYFUNCTION("""COMPUTED_VALUE"""),"Веселин Ценов Целков")</f>
        <v>Веселин Ценов Целков</v>
      </c>
      <c r="B1526" s="10" t="str">
        <f ca="1">IFERROR(__xludf.DUMMYFUNCTION("""COMPUTED_VALUE"""),"Статия в списания и поредици")</f>
        <v>Статия в списания и поредици</v>
      </c>
      <c r="C1526" s="10" t="str">
        <f ca="1">IFERROR(__xludf.DUMMYFUNCTION("""COMPUTED_VALUE"""),"Dialectics of Information Security")</f>
        <v>Dialectics of Information Security</v>
      </c>
      <c r="D1526" s="10">
        <f ca="1">IFERROR(__xludf.DUMMYFUNCTION("""COMPUTED_VALUE"""),2000)</f>
        <v>2000</v>
      </c>
      <c r="E1526" s="10" t="str">
        <f ca="1">IFERROR(__xludf.DUMMYFUNCTION("""COMPUTED_VALUE"""),"Editorial, Information&amp;Security, vol. 4, 2000, pp. 5 - 10 (ISSN 1311-1493)")</f>
        <v>Editorial, Information&amp;Security, vol. 4, 2000, pp. 5 - 10 (ISSN 1311-1493)</v>
      </c>
      <c r="F1526" s="10"/>
      <c r="G1526" s="10" t="str">
        <f ca="1">IFERROR(__xludf.DUMMYFUNCTION("""COMPUTED_VALUE"""),"Veselin Tselkov, Dragomir Pargov")</f>
        <v>Veselin Tselkov, Dragomir Pargov</v>
      </c>
      <c r="H1526" s="10"/>
      <c r="I1526" s="10"/>
      <c r="J1526" s="10"/>
      <c r="K1526" s="10"/>
      <c r="L1526" s="10"/>
      <c r="M1526" s="10"/>
      <c r="N1526" s="10"/>
      <c r="O1526" s="10"/>
      <c r="P1526" s="10"/>
      <c r="Q1526" s="10"/>
      <c r="R1526" s="10"/>
      <c r="S1526" s="10"/>
      <c r="T1526" s="10"/>
      <c r="U1526" s="10"/>
      <c r="V1526" s="10"/>
      <c r="W1526" s="10"/>
      <c r="X1526" s="10"/>
      <c r="Y1526" s="10"/>
      <c r="Z1526" s="10"/>
    </row>
    <row r="1527" spans="1:26" ht="12.75">
      <c r="A1527" s="10" t="str">
        <f ca="1">IFERROR(__xludf.DUMMYFUNCTION("""COMPUTED_VALUE"""),"Веселин Ценов Целков")</f>
        <v>Веселин Ценов Целков</v>
      </c>
      <c r="B1527" s="10" t="str">
        <f ca="1">IFERROR(__xludf.DUMMYFUNCTION("""COMPUTED_VALUE"""),"Статия в списания и поредици")</f>
        <v>Статия в списания и поредици</v>
      </c>
      <c r="C1527" s="10" t="str">
        <f ca="1">IFERROR(__xludf.DUMMYFUNCTION("""COMPUTED_VALUE"""),"Стратегия за информационна сигурност в C4I системите на Българската армия”")</f>
        <v>Стратегия за информационна сигурност в C4I системите на Българската армия”</v>
      </c>
      <c r="D1527" s="10">
        <f ca="1">IFERROR(__xludf.DUMMYFUNCTION("""COMPUTED_VALUE"""),2000)</f>
        <v>2000</v>
      </c>
      <c r="E1527" s="10" t="str">
        <f ca="1">IFERROR(__xludf.DUMMYFUNCTION("""COMPUTED_VALUE"""),"Сборник материали “Четвърта международна изложба – семинар по отбранителна техника “ХЕМУС – 2000”, 1 – 2 юни, Пловдив 2000, стр. 27 - 32. ISSN 1312-2916")</f>
        <v>Сборник материали “Четвърта международна изложба – семинар по отбранителна техника “ХЕМУС – 2000”, 1 – 2 юни, Пловдив 2000, стр. 27 - 32. ISSN 1312-2916</v>
      </c>
      <c r="F1527" s="10"/>
      <c r="G1527" s="10" t="str">
        <f ca="1">IFERROR(__xludf.DUMMYFUNCTION("""COMPUTED_VALUE"""),"Веселин Целков, Здравко Здравков, Николай Стоянов")</f>
        <v>Веселин Целков, Здравко Здравков, Николай Стоянов</v>
      </c>
      <c r="H1527" s="10"/>
      <c r="I1527" s="10"/>
      <c r="J1527" s="10"/>
      <c r="K1527" s="10"/>
      <c r="L1527" s="10"/>
      <c r="M1527" s="10"/>
      <c r="N1527" s="10"/>
      <c r="O1527" s="10"/>
      <c r="P1527" s="10"/>
      <c r="Q1527" s="10"/>
      <c r="R1527" s="10"/>
      <c r="S1527" s="10"/>
      <c r="T1527" s="10"/>
      <c r="U1527" s="10"/>
      <c r="V1527" s="10"/>
      <c r="W1527" s="10"/>
      <c r="X1527" s="10"/>
      <c r="Y1527" s="10"/>
      <c r="Z1527" s="10"/>
    </row>
    <row r="1528" spans="1:26" ht="12.75">
      <c r="A1528" s="10" t="str">
        <f ca="1">IFERROR(__xludf.DUMMYFUNCTION("""COMPUTED_VALUE"""),"Веселин Ценов Целков")</f>
        <v>Веселин Ценов Целков</v>
      </c>
      <c r="B1528" s="10" t="str">
        <f ca="1">IFERROR(__xludf.DUMMYFUNCTION("""COMPUTED_VALUE"""),"Доклад от конференция")</f>
        <v>Доклад от конференция</v>
      </c>
      <c r="C1528" s="10" t="str">
        <f ca="1">IFERROR(__xludf.DUMMYFUNCTION("""COMPUTED_VALUE"""),"“Едно софтуерно решение за защита на данните в корпоративни информационни системи”")</f>
        <v>“Едно софтуерно решение за защита на данните в корпоративни информационни системи”</v>
      </c>
      <c r="D1528" s="10">
        <f ca="1">IFERROR(__xludf.DUMMYFUNCTION("""COMPUTED_VALUE"""),2000)</f>
        <v>2000</v>
      </c>
      <c r="E1528" s="10" t="str">
        <f ca="1">IFERROR(__xludf.DUMMYFUNCTION("""COMPUTED_VALUE"""),"Сборник научни трудове “Международна научна конференция 2000”, 12 –13 октомври 2000 г., ВВУАПВО “П. Волов” – гр. Шумен")</f>
        <v>Сборник научни трудове “Международна научна конференция 2000”, 12 –13 октомври 2000 г., ВВУАПВО “П. Волов” – гр. Шумен</v>
      </c>
      <c r="F1528" s="10"/>
      <c r="G1528" s="10" t="str">
        <f ca="1">IFERROR(__xludf.DUMMYFUNCTION("""COMPUTED_VALUE"""),"Николай Стоянов, Веселин Ц. Целков")</f>
        <v>Николай Стоянов, Веселин Ц. Целков</v>
      </c>
      <c r="H1528" s="10"/>
      <c r="I1528" s="10"/>
      <c r="J1528" s="10"/>
      <c r="K1528" s="10"/>
      <c r="L1528" s="10"/>
      <c r="M1528" s="10"/>
      <c r="N1528" s="10"/>
      <c r="O1528" s="10"/>
      <c r="P1528" s="10"/>
      <c r="Q1528" s="10"/>
      <c r="R1528" s="10"/>
      <c r="S1528" s="10"/>
      <c r="T1528" s="10"/>
      <c r="U1528" s="10"/>
      <c r="V1528" s="10"/>
      <c r="W1528" s="10"/>
      <c r="X1528" s="10"/>
      <c r="Y1528" s="10"/>
      <c r="Z1528" s="10"/>
    </row>
    <row r="1529" spans="1:26" ht="12.75">
      <c r="A1529" s="10" t="str">
        <f ca="1">IFERROR(__xludf.DUMMYFUNCTION("""COMPUTED_VALUE"""),"Веселин Ценов Целков")</f>
        <v>Веселин Ценов Целков</v>
      </c>
      <c r="B1529" s="10" t="str">
        <f ca="1">IFERROR(__xludf.DUMMYFUNCTION("""COMPUTED_VALUE"""),"Учебно пособие")</f>
        <v>Учебно пособие</v>
      </c>
      <c r="C1529" s="10" t="str">
        <f ca="1">IFERROR(__xludf.DUMMYFUNCTION("""COMPUTED_VALUE"""),"“Аспекти и политика за информационна сигурност”")</f>
        <v>“Аспекти и политика за информационна сигурност”</v>
      </c>
      <c r="D1529" s="10">
        <f ca="1">IFERROR(__xludf.DUMMYFUNCTION("""COMPUTED_VALUE"""),2000)</f>
        <v>2000</v>
      </c>
      <c r="E1529" s="10" t="str">
        <f ca="1">IFERROR(__xludf.DUMMYFUNCTION("""COMPUTED_VALUE"""),"Сборник материали “Гарантиране на Информацията за Националната Сигурност и Отбрана”, 11 – 12 декември, ВПД Рибарица, ИПИО 2000")</f>
        <v>Сборник материали “Гарантиране на Информацията за Националната Сигурност и Отбрана”, 11 – 12 декември, ВПД Рибарица, ИПИО 2000</v>
      </c>
      <c r="F1529" s="10"/>
      <c r="G1529" s="10"/>
      <c r="H1529" s="10"/>
      <c r="I1529" s="10"/>
      <c r="J1529" s="10"/>
      <c r="K1529" s="10"/>
      <c r="L1529" s="10"/>
      <c r="M1529" s="10"/>
      <c r="N1529" s="10"/>
      <c r="O1529" s="10"/>
      <c r="P1529" s="10"/>
      <c r="Q1529" s="10"/>
      <c r="R1529" s="10"/>
      <c r="S1529" s="10"/>
      <c r="T1529" s="10"/>
      <c r="U1529" s="10"/>
      <c r="V1529" s="10"/>
      <c r="W1529" s="10"/>
      <c r="X1529" s="10"/>
      <c r="Y1529" s="10"/>
      <c r="Z1529" s="10"/>
    </row>
    <row r="1530" spans="1:26" ht="12.75">
      <c r="A1530" s="10" t="str">
        <f ca="1">IFERROR(__xludf.DUMMYFUNCTION("""COMPUTED_VALUE"""),"Веселин Ценов Целков")</f>
        <v>Веселин Ценов Целков</v>
      </c>
      <c r="B1530" s="10" t="str">
        <f ca="1">IFERROR(__xludf.DUMMYFUNCTION("""COMPUTED_VALUE"""),"Статия в списания и поредици")</f>
        <v>Статия в списания и поредици</v>
      </c>
      <c r="C1530" s="10" t="str">
        <f ca="1">IFERROR(__xludf.DUMMYFUNCTION("""COMPUTED_VALUE"""),"“Информационната сигурност – мит или реалност”")</f>
        <v>“Информационната сигурност – мит или реалност”</v>
      </c>
      <c r="D1530" s="10">
        <f ca="1">IFERROR(__xludf.DUMMYFUNCTION("""COMPUTED_VALUE"""),1999)</f>
        <v>1999</v>
      </c>
      <c r="E1530" s="10" t="str">
        <f ca="1">IFERROR(__xludf.DUMMYFUNCTION("""COMPUTED_VALUE"""),"InfoWeek, бр. 45, 1999 г.")</f>
        <v>InfoWeek, бр. 45, 1999 г.</v>
      </c>
      <c r="F1530" s="10"/>
      <c r="G1530" s="10" t="str">
        <f ca="1">IFERROR(__xludf.DUMMYFUNCTION("""COMPUTED_VALUE"""),"Веселин Целков, Драгомир Паргов")</f>
        <v>Веселин Целков, Драгомир Паргов</v>
      </c>
      <c r="H1530" s="10"/>
      <c r="I1530" s="10"/>
      <c r="J1530" s="10"/>
      <c r="K1530" s="10"/>
      <c r="L1530" s="10"/>
      <c r="M1530" s="10"/>
      <c r="N1530" s="10"/>
      <c r="O1530" s="10"/>
      <c r="P1530" s="10"/>
      <c r="Q1530" s="10"/>
      <c r="R1530" s="10"/>
      <c r="S1530" s="10"/>
      <c r="T1530" s="10"/>
      <c r="U1530" s="10"/>
      <c r="V1530" s="10"/>
      <c r="W1530" s="10"/>
      <c r="X1530" s="10"/>
      <c r="Y1530" s="10"/>
      <c r="Z1530" s="10"/>
    </row>
    <row r="1531" spans="1:26" ht="12.75">
      <c r="A1531" s="10" t="str">
        <f ca="1">IFERROR(__xludf.DUMMYFUNCTION("""COMPUTED_VALUE"""),"Веселин Ценов Целков")</f>
        <v>Веселин Ценов Целков</v>
      </c>
      <c r="B1531" s="10" t="str">
        <f ca="1">IFERROR(__xludf.DUMMYFUNCTION("""COMPUTED_VALUE"""),"Учебно пособие")</f>
        <v>Учебно пособие</v>
      </c>
      <c r="C1531" s="10" t="str">
        <f ca="1">IFERROR(__xludf.DUMMYFUNCTION("""COMPUTED_VALUE"""),"“Предизвикателствата на 21-ия век за сигурността на информационното общество”")</f>
        <v>“Предизвикателствата на 21-ия век за сигурността на информационното общество”</v>
      </c>
      <c r="D1531" s="10">
        <f ca="1">IFERROR(__xludf.DUMMYFUNCTION("""COMPUTED_VALUE"""),1999)</f>
        <v>1999</v>
      </c>
      <c r="E1531" s="10" t="str">
        <f ca="1">IFERROR(__xludf.DUMMYFUNCTION("""COMPUTED_VALUE"""),"Сборник доклади на тема “Новото хилядолетие: нови предизвикателства пред Комуникационно-информационните системи за отбрана и сигурност”, София, AFCEA, 1999, стр. 35 -40")</f>
        <v>Сборник доклади на тема “Новото хилядолетие: нови предизвикателства пред Комуникационно-информационните системи за отбрана и сигурност”, София, AFCEA, 1999, стр. 35 -40</v>
      </c>
      <c r="F1531" s="10"/>
      <c r="G1531" s="10" t="str">
        <f ca="1">IFERROR(__xludf.DUMMYFUNCTION("""COMPUTED_VALUE"""),"Веселин Целков, Драгомир Паргов")</f>
        <v>Веселин Целков, Драгомир Паргов</v>
      </c>
      <c r="H1531" s="10"/>
      <c r="I1531" s="10"/>
      <c r="J1531" s="10"/>
      <c r="K1531" s="10"/>
      <c r="L1531" s="10"/>
      <c r="M1531" s="10"/>
      <c r="N1531" s="10"/>
      <c r="O1531" s="10"/>
      <c r="P1531" s="10"/>
      <c r="Q1531" s="10"/>
      <c r="R1531" s="10"/>
      <c r="S1531" s="10"/>
      <c r="T1531" s="10"/>
      <c r="U1531" s="10"/>
      <c r="V1531" s="10"/>
      <c r="W1531" s="10"/>
      <c r="X1531" s="10"/>
      <c r="Y1531" s="10"/>
      <c r="Z1531" s="10"/>
    </row>
    <row r="1532" spans="1:26" ht="12.75">
      <c r="A1532" s="10" t="str">
        <f ca="1">IFERROR(__xludf.DUMMYFUNCTION("""COMPUTED_VALUE"""),"Веселин Ценов Целков")</f>
        <v>Веселин Ценов Целков</v>
      </c>
      <c r="B1532" s="10" t="str">
        <f ca="1">IFERROR(__xludf.DUMMYFUNCTION("""COMPUTED_VALUE"""),"Статия в списания и поредици")</f>
        <v>Статия в списания и поредици</v>
      </c>
      <c r="C1532" s="10" t="str">
        <f ca="1">IFERROR(__xludf.DUMMYFUNCTION("""COMPUTED_VALUE"""),"Криптографските алгоритми и информационната сигурност, Информационното общество: Нов устройство и сигурност в света")</f>
        <v>Криптографските алгоритми и информационната сигурност, Информационното общество: Нов устройство и сигурност в света</v>
      </c>
      <c r="D1532" s="10">
        <f ca="1">IFERROR(__xludf.DUMMYFUNCTION("""COMPUTED_VALUE"""),1998)</f>
        <v>1998</v>
      </c>
      <c r="E1532" s="10" t="str">
        <f ca="1">IFERROR(__xludf.DUMMYFUNCTION("""COMPUTED_VALUE"""),"AFSEA Sofia, 25-26 Ноември 1998, стр.34-39")</f>
        <v>AFSEA Sofia, 25-26 Ноември 1998, стр.34-39</v>
      </c>
      <c r="F1532" s="10"/>
      <c r="G1532" s="10" t="str">
        <f ca="1">IFERROR(__xludf.DUMMYFUNCTION("""COMPUTED_VALUE"""),"Целков В., Ил. Крайчев и Др. Паргов")</f>
        <v>Целков В., Ил. Крайчев и Др. Паргов</v>
      </c>
      <c r="H1532" s="10"/>
      <c r="I1532" s="10"/>
      <c r="J1532" s="10"/>
      <c r="K1532" s="10"/>
      <c r="L1532" s="10"/>
      <c r="M1532" s="10"/>
      <c r="N1532" s="10"/>
      <c r="O1532" s="10"/>
      <c r="P1532" s="10"/>
      <c r="Q1532" s="10"/>
      <c r="R1532" s="10"/>
      <c r="S1532" s="10"/>
      <c r="T1532" s="10"/>
      <c r="U1532" s="10"/>
      <c r="V1532" s="10"/>
      <c r="W1532" s="10"/>
      <c r="X1532" s="10"/>
      <c r="Y1532" s="10"/>
      <c r="Z1532" s="10"/>
    </row>
    <row r="1533" spans="1:26" ht="12.75">
      <c r="A1533" s="10" t="str">
        <f ca="1">IFERROR(__xludf.DUMMYFUNCTION("""COMPUTED_VALUE"""),"Веселин Ценов Целков")</f>
        <v>Веселин Ценов Целков</v>
      </c>
      <c r="B1533" s="10" t="str">
        <f ca="1">IFERROR(__xludf.DUMMYFUNCTION("""COMPUTED_VALUE"""),"Статия в списания и поредици")</f>
        <v>Статия в списания и поредици</v>
      </c>
      <c r="C1533" s="10" t="str">
        <f ca="1">IFERROR(__xludf.DUMMYFUNCTION("""COMPUTED_VALUE"""),"Сигурност на информационните системи в Internet, Разширението на НАТО: Нови изисквания към системите за управление")</f>
        <v>Сигурност на информационните системи в Internet, Разширението на НАТО: Нови изисквания към системите за управление</v>
      </c>
      <c r="D1533" s="10">
        <f ca="1">IFERROR(__xludf.DUMMYFUNCTION("""COMPUTED_VALUE"""),1997)</f>
        <v>1997</v>
      </c>
      <c r="E1533" s="10" t="str">
        <f ca="1">IFERROR(__xludf.DUMMYFUNCTION("""COMPUTED_VALUE"""),"AFSEA Sofia, 4-5 December 1997, стр.40-48.")</f>
        <v>AFSEA Sofia, 4-5 December 1997, стр.40-48.</v>
      </c>
      <c r="F1533" s="10"/>
      <c r="G1533" s="10" t="str">
        <f ca="1">IFERROR(__xludf.DUMMYFUNCTION("""COMPUTED_VALUE"""),"52. Целков В. и Др. Паргов")</f>
        <v>52. Целков В. и Др. Паргов</v>
      </c>
      <c r="H1533" s="10"/>
      <c r="I1533" s="10"/>
      <c r="J1533" s="10"/>
      <c r="K1533" s="10"/>
      <c r="L1533" s="10"/>
      <c r="M1533" s="10"/>
      <c r="N1533" s="10"/>
      <c r="O1533" s="10"/>
      <c r="P1533" s="10"/>
      <c r="Q1533" s="10"/>
      <c r="R1533" s="10"/>
      <c r="S1533" s="10"/>
      <c r="T1533" s="10"/>
      <c r="U1533" s="10"/>
      <c r="V1533" s="10"/>
      <c r="W1533" s="10"/>
      <c r="X1533" s="10"/>
      <c r="Y1533" s="10"/>
      <c r="Z1533" s="10"/>
    </row>
    <row r="1534" spans="1:26" ht="12.75">
      <c r="A1534" s="10" t="str">
        <f ca="1">IFERROR(__xludf.DUMMYFUNCTION("""COMPUTED_VALUE"""),"Веселин Ценов Целков")</f>
        <v>Веселин Ценов Целков</v>
      </c>
      <c r="B1534" s="10" t="str">
        <f ca="1">IFERROR(__xludf.DUMMYFUNCTION("""COMPUTED_VALUE"""),"Статия в списания и поредици")</f>
        <v>Статия в списания и поредици</v>
      </c>
      <c r="C1534" s="10" t="str">
        <f ca="1">IFERROR(__xludf.DUMMYFUNCTION("""COMPUTED_VALUE"""),"Criteria of Computer System Security Assessment and Evaluation, Information Aspects of Security and Development of Modern Societies")</f>
        <v>Criteria of Computer System Security Assessment and Evaluation, Information Aspects of Security and Development of Modern Societies</v>
      </c>
      <c r="D1534" s="10">
        <f ca="1">IFERROR(__xludf.DUMMYFUNCTION("""COMPUTED_VALUE"""),1996)</f>
        <v>1996</v>
      </c>
      <c r="E1534" s="10" t="str">
        <f ca="1">IFERROR(__xludf.DUMMYFUNCTION("""COMPUTED_VALUE"""),"AFSEA Sofia, 11 - 13 September 1996, pp. 99-103.")</f>
        <v>AFSEA Sofia, 11 - 13 September 1996, pp. 99-103.</v>
      </c>
      <c r="F1534" s="10"/>
      <c r="G1534" s="10"/>
      <c r="H1534" s="10"/>
      <c r="I1534" s="10"/>
      <c r="J1534" s="10"/>
      <c r="K1534" s="10"/>
      <c r="L1534" s="10"/>
      <c r="M1534" s="10"/>
      <c r="N1534" s="10"/>
      <c r="O1534" s="10"/>
      <c r="P1534" s="10"/>
      <c r="Q1534" s="10"/>
      <c r="R1534" s="10"/>
      <c r="S1534" s="10"/>
      <c r="T1534" s="10"/>
      <c r="U1534" s="10"/>
      <c r="V1534" s="10"/>
      <c r="W1534" s="10"/>
      <c r="X1534" s="10"/>
      <c r="Y1534" s="10"/>
      <c r="Z1534" s="10"/>
    </row>
    <row r="1535" spans="1:26" ht="12.75">
      <c r="A1535" s="10" t="str">
        <f ca="1">IFERROR(__xludf.DUMMYFUNCTION("""COMPUTED_VALUE"""),"Веселин Ценов Целков")</f>
        <v>Веселин Ценов Целков</v>
      </c>
      <c r="B1535" s="10" t="str">
        <f ca="1">IFERROR(__xludf.DUMMYFUNCTION("""COMPUTED_VALUE"""),"Доклад от конференция")</f>
        <v>Доклад от конференция</v>
      </c>
      <c r="C1535" s="10" t="str">
        <f ca="1">IFERROR(__xludf.DUMMYFUNCTION("""COMPUTED_VALUE"""),"Защита на информацията в компютърните системи на Българската армия")</f>
        <v>Защита на информацията в компютърните системи на Българската армия</v>
      </c>
      <c r="D1535" s="10">
        <f ca="1">IFERROR(__xludf.DUMMYFUNCTION("""COMPUTED_VALUE"""),1996)</f>
        <v>1996</v>
      </c>
      <c r="E1535" s="10" t="str">
        <f ca="1">IFERROR(__xludf.DUMMYFUNCTION("""COMPUTED_VALUE"""),"Научно-приложна конференция ”Автоматизация на управлението - минало, настояще, бъдеще”, 14 и 15 май 1996 год., гр. София, Сборник доклади, част I, стр.202-213.")</f>
        <v>Научно-приложна конференция ”Автоматизация на управлението - минало, настояще, бъдеще”, 14 и 15 май 1996 год., гр. София, Сборник доклади, част I, стр.202-213.</v>
      </c>
      <c r="F1535" s="10"/>
      <c r="G1535" s="10" t="str">
        <f ca="1">IFERROR(__xludf.DUMMYFUNCTION("""COMPUTED_VALUE"""),"Петров Р., В. Целков и Др. Паргов")</f>
        <v>Петров Р., В. Целков и Др. Паргов</v>
      </c>
      <c r="H1535" s="10"/>
      <c r="I1535" s="10"/>
      <c r="J1535" s="10"/>
      <c r="K1535" s="10"/>
      <c r="L1535" s="10"/>
      <c r="M1535" s="10"/>
      <c r="N1535" s="10"/>
      <c r="O1535" s="10"/>
      <c r="P1535" s="10"/>
      <c r="Q1535" s="10"/>
      <c r="R1535" s="10"/>
      <c r="S1535" s="10"/>
      <c r="T1535" s="10"/>
      <c r="U1535" s="10"/>
      <c r="V1535" s="10"/>
      <c r="W1535" s="10"/>
      <c r="X1535" s="10"/>
      <c r="Y1535" s="10"/>
      <c r="Z1535" s="10"/>
    </row>
    <row r="1536" spans="1:26" ht="12.75">
      <c r="A1536" s="10" t="str">
        <f ca="1">IFERROR(__xludf.DUMMYFUNCTION("""COMPUTED_VALUE"""),"Веселин Ценов Целков")</f>
        <v>Веселин Ценов Целков</v>
      </c>
      <c r="B1536" s="10" t="str">
        <f ca="1">IFERROR(__xludf.DUMMYFUNCTION("""COMPUTED_VALUE"""),"Доклад от конференция")</f>
        <v>Доклад от конференция</v>
      </c>
      <c r="C1536" s="10" t="str">
        <f ca="1">IFERROR(__xludf.DUMMYFUNCTION("""COMPUTED_VALUE"""),"Критерии за оценка безопасността на компютърни системи")</f>
        <v>Критерии за оценка безопасността на компютърни системи</v>
      </c>
      <c r="D1536" s="10">
        <f ca="1">IFERROR(__xludf.DUMMYFUNCTION("""COMPUTED_VALUE"""),1996)</f>
        <v>1996</v>
      </c>
      <c r="E1536" s="10" t="str">
        <f ca="1">IFERROR(__xludf.DUMMYFUNCTION("""COMPUTED_VALUE"""),"Научно-приложна конференция ”Автоматизация на управлението - минало, настояще, бъдеще”, 14 и 15 май 1996 год., гр. София, Сборник доклади, част I, стр.214-228")</f>
        <v>Научно-приложна конференция ”Автоматизация на управлението - минало, настояще, бъдеще”, 14 и 15 май 1996 год., гр. София, Сборник доклади, част I, стр.214-228</v>
      </c>
      <c r="F1536" s="10"/>
      <c r="G1536" s="10" t="str">
        <f ca="1">IFERROR(__xludf.DUMMYFUNCTION("""COMPUTED_VALUE"""),"54. Целков В., И. Крайчев и Др. Паргов")</f>
        <v>54. Целков В., И. Крайчев и Др. Паргов</v>
      </c>
      <c r="H1536" s="10"/>
      <c r="I1536" s="10"/>
      <c r="J1536" s="10"/>
      <c r="K1536" s="10"/>
      <c r="L1536" s="10"/>
      <c r="M1536" s="10"/>
      <c r="N1536" s="10"/>
      <c r="O1536" s="10"/>
      <c r="P1536" s="10"/>
      <c r="Q1536" s="10"/>
      <c r="R1536" s="10"/>
      <c r="S1536" s="10"/>
      <c r="T1536" s="10"/>
      <c r="U1536" s="10"/>
      <c r="V1536" s="10"/>
      <c r="W1536" s="10"/>
      <c r="X1536" s="10"/>
      <c r="Y1536" s="10"/>
      <c r="Z1536" s="10"/>
    </row>
    <row r="1537" spans="1:26" ht="12.75">
      <c r="A1537" s="10" t="str">
        <f ca="1">IFERROR(__xludf.DUMMYFUNCTION("""COMPUTED_VALUE"""),"Веселин Ценов Целков")</f>
        <v>Веселин Ценов Целков</v>
      </c>
      <c r="B1537" s="10" t="str">
        <f ca="1">IFERROR(__xludf.DUMMYFUNCTION("""COMPUTED_VALUE"""),"Доклад от конференция")</f>
        <v>Доклад от конференция</v>
      </c>
      <c r="C1537" s="10" t="str">
        <f ca="1">IFERROR(__xludf.DUMMYFUNCTION("""COMPUTED_VALUE"""),"Контрол на достъпа, наблюдение и анализ на действията при използуване на защитена система за работа и обмен на документи")</f>
        <v>Контрол на достъпа, наблюдение и анализ на действията при използуване на защитена система за работа и обмен на документи</v>
      </c>
      <c r="D1537" s="10">
        <f ca="1">IFERROR(__xludf.DUMMYFUNCTION("""COMPUTED_VALUE"""),1996)</f>
        <v>1996</v>
      </c>
      <c r="E1537" s="10" t="str">
        <f ca="1">IFERROR(__xludf.DUMMYFUNCTION("""COMPUTED_VALUE"""),"Юбилейна научна сесия ‘96 ВВВУ Г. Бенковски, Долна Митрополия, 1996 год, Сборник доклади, том 2, стр.174-179.")</f>
        <v>Юбилейна научна сесия ‘96 ВВВУ Г. Бенковски, Долна Митрополия, 1996 год, Сборник доклади, том 2, стр.174-179.</v>
      </c>
      <c r="F1537" s="10"/>
      <c r="G1537" s="10" t="str">
        <f ca="1">IFERROR(__xludf.DUMMYFUNCTION("""COMPUTED_VALUE"""),"55. Целков В., И. Крайчев и Др. Паргов")</f>
        <v>55. Целков В., И. Крайчев и Др. Паргов</v>
      </c>
      <c r="H1537" s="10"/>
      <c r="I1537" s="10"/>
      <c r="J1537" s="10"/>
      <c r="K1537" s="10"/>
      <c r="L1537" s="10"/>
      <c r="M1537" s="10"/>
      <c r="N1537" s="10"/>
      <c r="O1537" s="10"/>
      <c r="P1537" s="10"/>
      <c r="Q1537" s="10"/>
      <c r="R1537" s="10"/>
      <c r="S1537" s="10"/>
      <c r="T1537" s="10"/>
      <c r="U1537" s="10"/>
      <c r="V1537" s="10"/>
      <c r="W1537" s="10"/>
      <c r="X1537" s="10"/>
      <c r="Y1537" s="10"/>
      <c r="Z1537" s="10"/>
    </row>
    <row r="1538" spans="1:26" ht="12.75">
      <c r="A1538" s="10" t="str">
        <f ca="1">IFERROR(__xludf.DUMMYFUNCTION("""COMPUTED_VALUE"""),"Веселин Ценов Целков")</f>
        <v>Веселин Ценов Целков</v>
      </c>
      <c r="B1538" s="10" t="str">
        <f ca="1">IFERROR(__xludf.DUMMYFUNCTION("""COMPUTED_VALUE"""),"Статия в списания и поредици")</f>
        <v>Статия в списания и поредици</v>
      </c>
      <c r="C1538" s="10" t="str">
        <f ca="1">IFERROR(__xludf.DUMMYFUNCTION("""COMPUTED_VALUE"""),"Security in the Computer Systems, Information Aspects of Security and Development of Modern Societies")</f>
        <v>Security in the Computer Systems, Information Aspects of Security and Development of Modern Societies</v>
      </c>
      <c r="D1538" s="10">
        <f ca="1">IFERROR(__xludf.DUMMYFUNCTION("""COMPUTED_VALUE"""),1996)</f>
        <v>1996</v>
      </c>
      <c r="E1538" s="10" t="str">
        <f ca="1">IFERROR(__xludf.DUMMYFUNCTION("""COMPUTED_VALUE"""),"AFSEA Sofia, 11 - 13 September 1996, pp. 93-98.")</f>
        <v>AFSEA Sofia, 11 - 13 September 1996, pp. 93-98.</v>
      </c>
      <c r="F1538" s="10"/>
      <c r="G1538" s="10" t="str">
        <f ca="1">IFERROR(__xludf.DUMMYFUNCTION("""COMPUTED_VALUE"""),"56. Pargov D., V. Tselkov, etc.")</f>
        <v>56. Pargov D., V. Tselkov, etc.</v>
      </c>
      <c r="H1538" s="10"/>
      <c r="I1538" s="10"/>
      <c r="J1538" s="10"/>
      <c r="K1538" s="10"/>
      <c r="L1538" s="10"/>
      <c r="M1538" s="10"/>
      <c r="N1538" s="10"/>
      <c r="O1538" s="10"/>
      <c r="P1538" s="10"/>
      <c r="Q1538" s="10"/>
      <c r="R1538" s="10"/>
      <c r="S1538" s="10"/>
      <c r="T1538" s="10"/>
      <c r="U1538" s="10"/>
      <c r="V1538" s="10"/>
      <c r="W1538" s="10"/>
      <c r="X1538" s="10"/>
      <c r="Y1538" s="10"/>
      <c r="Z1538" s="10"/>
    </row>
    <row r="1539" spans="1:26" ht="12.75">
      <c r="A1539" s="10" t="str">
        <f ca="1">IFERROR(__xludf.DUMMYFUNCTION("""COMPUTED_VALUE"""),"Веселин Ценов Целков")</f>
        <v>Веселин Ценов Целков</v>
      </c>
      <c r="B1539" s="10" t="str">
        <f ca="1">IFERROR(__xludf.DUMMYFUNCTION("""COMPUTED_VALUE"""),"Учебно пособие")</f>
        <v>Учебно пособие</v>
      </c>
      <c r="C1539" s="10" t="str">
        <f ca="1">IFERROR(__xludf.DUMMYFUNCTION("""COMPUTED_VALUE"""),"Алгоритъм за зареждане и изпълнение на защитени програми в персонални компютри")</f>
        <v>Алгоритъм за зареждане и изпълнение на защитени програми в персонални компютри</v>
      </c>
      <c r="D1539" s="10">
        <f ca="1">IFERROR(__xludf.DUMMYFUNCTION("""COMPUTED_VALUE"""),1995)</f>
        <v>1995</v>
      </c>
      <c r="E1539" s="10" t="str">
        <f ca="1">IFERROR(__xludf.DUMMYFUNCTION("""COMPUTED_VALUE"""),"Математика и математическо образование, София, БАН, 1995 год., стр. 396-402.")</f>
        <v>Математика и математическо образование, София, БАН, 1995 год., стр. 396-402.</v>
      </c>
      <c r="F1539" s="10"/>
      <c r="G1539" s="10" t="str">
        <f ca="1">IFERROR(__xludf.DUMMYFUNCTION("""COMPUTED_VALUE"""),"Вакарелов И., В. Целков и др.")</f>
        <v>Вакарелов И., В. Целков и др.</v>
      </c>
      <c r="H1539" s="10"/>
      <c r="I1539" s="10"/>
      <c r="J1539" s="10"/>
      <c r="K1539" s="10"/>
      <c r="L1539" s="10"/>
      <c r="M1539" s="10"/>
      <c r="N1539" s="10"/>
      <c r="O1539" s="10"/>
      <c r="P1539" s="10"/>
      <c r="Q1539" s="10"/>
      <c r="R1539" s="10"/>
      <c r="S1539" s="10"/>
      <c r="T1539" s="10"/>
      <c r="U1539" s="10"/>
      <c r="V1539" s="10"/>
      <c r="W1539" s="10"/>
      <c r="X1539" s="10"/>
      <c r="Y1539" s="10"/>
      <c r="Z1539" s="10"/>
    </row>
    <row r="1540" spans="1:26" ht="12.75">
      <c r="A1540" s="10" t="str">
        <f ca="1">IFERROR(__xludf.DUMMYFUNCTION("""COMPUTED_VALUE"""),"Веселин Ценов Целков")</f>
        <v>Веселин Ценов Целков</v>
      </c>
      <c r="B1540" s="10" t="str">
        <f ca="1">IFERROR(__xludf.DUMMYFUNCTION("""COMPUTED_VALUE"""),"Учебно пособие")</f>
        <v>Учебно пособие</v>
      </c>
      <c r="C1540" s="10" t="str">
        <f ca="1">IFERROR(__xludf.DUMMYFUNCTION("""COMPUTED_VALUE"""),"Планиране на безопасността в локалната изчислителна мрежа Nevell NetWare")</f>
        <v>Планиране на безопасността в локалната изчислителна мрежа Nevell NetWare</v>
      </c>
      <c r="D1540" s="10">
        <f ca="1">IFERROR(__xludf.DUMMYFUNCTION("""COMPUTED_VALUE"""),1995)</f>
        <v>1995</v>
      </c>
      <c r="E1540" s="10" t="str">
        <f ca="1">IFERROR(__xludf.DUMMYFUNCTION("""COMPUTED_VALUE"""),"ЮНС ВВВУ ""Г. Бенковски"", Долна Митрополия, 22-23 май 1995 год., Сборник трудове, том 2, стр. 501-509.")</f>
        <v>ЮНС ВВВУ "Г. Бенковски", Долна Митрополия, 22-23 май 1995 год., Сборник трудове, том 2, стр. 501-509.</v>
      </c>
      <c r="F1540" s="10"/>
      <c r="G1540" s="10" t="str">
        <f ca="1">IFERROR(__xludf.DUMMYFUNCTION("""COMPUTED_VALUE"""),"Целков В. и И. Крайчев")</f>
        <v>Целков В. и И. Крайчев</v>
      </c>
      <c r="H1540" s="10"/>
      <c r="I1540" s="10"/>
      <c r="J1540" s="10"/>
      <c r="K1540" s="10"/>
      <c r="L1540" s="10"/>
      <c r="M1540" s="10"/>
      <c r="N1540" s="10"/>
      <c r="O1540" s="10"/>
      <c r="P1540" s="10"/>
      <c r="Q1540" s="10"/>
      <c r="R1540" s="10"/>
      <c r="S1540" s="10"/>
      <c r="T1540" s="10"/>
      <c r="U1540" s="10"/>
      <c r="V1540" s="10"/>
      <c r="W1540" s="10"/>
      <c r="X1540" s="10"/>
      <c r="Y1540" s="10"/>
      <c r="Z1540" s="10"/>
    </row>
    <row r="1541" spans="1:26" ht="12.75">
      <c r="A1541" s="10" t="str">
        <f ca="1">IFERROR(__xludf.DUMMYFUNCTION("""COMPUTED_VALUE"""),"Веселин Ценов Целков")</f>
        <v>Веселин Ценов Целков</v>
      </c>
      <c r="B1541" s="10" t="str">
        <f ca="1">IFERROR(__xludf.DUMMYFUNCTION("""COMPUTED_VALUE"""),"Статия в списания и поредици")</f>
        <v>Статия в списания и поредици</v>
      </c>
      <c r="C1541" s="10" t="str">
        <f ca="1">IFERROR(__xludf.DUMMYFUNCTION("""COMPUTED_VALUE"""),"Методи за криптиране на данни")</f>
        <v>Методи за криптиране на данни</v>
      </c>
      <c r="D1541" s="10">
        <f ca="1">IFERROR(__xludf.DUMMYFUNCTION("""COMPUTED_VALUE"""),1995)</f>
        <v>1995</v>
      </c>
      <c r="E1541" s="10" t="str">
        <f ca="1">IFERROR(__xludf.DUMMYFUNCTION("""COMPUTED_VALUE"""),"ComputerWorld, бр.45, 1995 год., стр. 24.")</f>
        <v>ComputerWorld, бр.45, 1995 год., стр. 24.</v>
      </c>
      <c r="F1541" s="10"/>
      <c r="G1541" s="10"/>
      <c r="H1541" s="10"/>
      <c r="I1541" s="10"/>
      <c r="J1541" s="10"/>
      <c r="K1541" s="10"/>
      <c r="L1541" s="10"/>
      <c r="M1541" s="10"/>
      <c r="N1541" s="10"/>
      <c r="O1541" s="10"/>
      <c r="P1541" s="10"/>
      <c r="Q1541" s="10"/>
      <c r="R1541" s="10"/>
      <c r="S1541" s="10"/>
      <c r="T1541" s="10"/>
      <c r="U1541" s="10"/>
      <c r="V1541" s="10"/>
      <c r="W1541" s="10"/>
      <c r="X1541" s="10"/>
      <c r="Y1541" s="10"/>
      <c r="Z1541" s="10"/>
    </row>
    <row r="1542" spans="1:26" ht="12.75">
      <c r="A1542" s="10" t="str">
        <f ca="1">IFERROR(__xludf.DUMMYFUNCTION("""COMPUTED_VALUE"""),"Веселин Ценов Целков")</f>
        <v>Веселин Ценов Целков</v>
      </c>
      <c r="B1542" s="10" t="str">
        <f ca="1">IFERROR(__xludf.DUMMYFUNCTION("""COMPUTED_VALUE"""),"Статия в списания и поредици")</f>
        <v>Статия в списания и поредици</v>
      </c>
      <c r="C1542" s="10" t="str">
        <f ca="1">IFERROR(__xludf.DUMMYFUNCTION("""COMPUTED_VALUE"""),"User Identification and Authentication in Computer System Security Modeling")</f>
        <v>User Identification and Authentication in Computer System Security Modeling</v>
      </c>
      <c r="D1542" s="10">
        <f ca="1">IFERROR(__xludf.DUMMYFUNCTION("""COMPUTED_VALUE"""),1995)</f>
        <v>1995</v>
      </c>
      <c r="E1542" s="10" t="str">
        <f ca="1">IFERROR(__xludf.DUMMYFUNCTION("""COMPUTED_VALUE"""),"Information Theories and Applications, Vol.3. No 8/1995, pp. 23-28. ISSN 1310-0513")</f>
        <v>Information Theories and Applications, Vol.3. No 8/1995, pp. 23-28. ISSN 1310-0513</v>
      </c>
      <c r="F1542" s="10"/>
      <c r="G1542" s="10" t="str">
        <f ca="1">IFERROR(__xludf.DUMMYFUNCTION("""COMPUTED_VALUE"""),"Tselkov V., R. Mitsev, Dr. Pargov,Il. Kraytchev, Iv. Vacarelov")</f>
        <v>Tselkov V., R. Mitsev, Dr. Pargov,Il. Kraytchev, Iv. Vacarelov</v>
      </c>
      <c r="H1542" s="10"/>
      <c r="I1542" s="10"/>
      <c r="J1542" s="10"/>
      <c r="K1542" s="10"/>
      <c r="L1542" s="10"/>
      <c r="M1542" s="10"/>
      <c r="N1542" s="10"/>
      <c r="O1542" s="10"/>
      <c r="P1542" s="10"/>
      <c r="Q1542" s="10"/>
      <c r="R1542" s="10"/>
      <c r="S1542" s="10"/>
      <c r="T1542" s="10"/>
      <c r="U1542" s="10"/>
      <c r="V1542" s="10"/>
      <c r="W1542" s="10"/>
      <c r="X1542" s="10"/>
      <c r="Y1542" s="10"/>
      <c r="Z1542" s="10"/>
    </row>
    <row r="1543" spans="1:26" ht="12.75">
      <c r="A1543" s="10" t="str">
        <f ca="1">IFERROR(__xludf.DUMMYFUNCTION("""COMPUTED_VALUE"""),"Веселин Ценов Целков")</f>
        <v>Веселин Ценов Целков</v>
      </c>
      <c r="B1543" s="10" t="str">
        <f ca="1">IFERROR(__xludf.DUMMYFUNCTION("""COMPUTED_VALUE"""),"Статия в списания и поредици")</f>
        <v>Статия в списания и поредици</v>
      </c>
      <c r="C1543" s="10" t="str">
        <f ca="1">IFERROR(__xludf.DUMMYFUNCTION("""COMPUTED_VALUE"""),"A Security Iteraction Model in Heterogeneous Computer Systems")</f>
        <v>A Security Iteraction Model in Heterogeneous Computer Systems</v>
      </c>
      <c r="D1543" s="10">
        <f ca="1">IFERROR(__xludf.DUMMYFUNCTION("""COMPUTED_VALUE"""),1995)</f>
        <v>1995</v>
      </c>
      <c r="E1543" s="10" t="str">
        <f ca="1">IFERROR(__xludf.DUMMYFUNCTION("""COMPUTED_VALUE"""),"Information Theories and Applications, Vol.3. No 9/1995, pp. 21-28. ISSN 1310-1513")</f>
        <v>Information Theories and Applications, Vol.3. No 9/1995, pp. 21-28. ISSN 1310-1513</v>
      </c>
      <c r="F1543" s="10"/>
      <c r="G1543" s="10" t="str">
        <f ca="1">IFERROR(__xludf.DUMMYFUNCTION("""COMPUTED_VALUE"""),"Dr. Pargov, V. Tselkov, R. Mitsev, Il. Kraytchev, Iv. Vacarelov")</f>
        <v>Dr. Pargov, V. Tselkov, R. Mitsev, Il. Kraytchev, Iv. Vacarelov</v>
      </c>
      <c r="H1543" s="10"/>
      <c r="I1543" s="10"/>
      <c r="J1543" s="10"/>
      <c r="K1543" s="10"/>
      <c r="L1543" s="10"/>
      <c r="M1543" s="10"/>
      <c r="N1543" s="10"/>
      <c r="O1543" s="10"/>
      <c r="P1543" s="10"/>
      <c r="Q1543" s="10"/>
      <c r="R1543" s="10"/>
      <c r="S1543" s="10"/>
      <c r="T1543" s="10"/>
      <c r="U1543" s="10"/>
      <c r="V1543" s="10"/>
      <c r="W1543" s="10"/>
      <c r="X1543" s="10"/>
      <c r="Y1543" s="10"/>
      <c r="Z1543" s="10"/>
    </row>
    <row r="1544" spans="1:26" ht="12.75">
      <c r="A1544" s="10" t="str">
        <f ca="1">IFERROR(__xludf.DUMMYFUNCTION("""COMPUTED_VALUE"""),"Веселин Ценов Целков")</f>
        <v>Веселин Ценов Целков</v>
      </c>
      <c r="B1544" s="10" t="str">
        <f ca="1">IFERROR(__xludf.DUMMYFUNCTION("""COMPUTED_VALUE"""),"Статия в списания и поредици")</f>
        <v>Статия в списания и поредици</v>
      </c>
      <c r="C1544" s="10" t="str">
        <f ca="1">IFERROR(__xludf.DUMMYFUNCTION("""COMPUTED_VALUE"""),"Защита на данните в персоналните компютри")</f>
        <v>Защита на данните в персоналните компютри</v>
      </c>
      <c r="D1544" s="10">
        <f ca="1">IFERROR(__xludf.DUMMYFUNCTION("""COMPUTED_VALUE"""),1995)</f>
        <v>1995</v>
      </c>
      <c r="E1544" s="10" t="str">
        <f ca="1">IFERROR(__xludf.DUMMYFUNCTION("""COMPUTED_VALUE"""),"ComputerWorld, бр.6, 1995 год., стр. 12-13.")</f>
        <v>ComputerWorld, бр.6, 1995 год., стр. 12-13.</v>
      </c>
      <c r="F1544" s="10"/>
      <c r="G1544" s="10"/>
      <c r="H1544" s="10"/>
      <c r="I1544" s="10"/>
      <c r="J1544" s="10"/>
      <c r="K1544" s="10"/>
      <c r="L1544" s="10"/>
      <c r="M1544" s="10"/>
      <c r="N1544" s="10"/>
      <c r="O1544" s="10"/>
      <c r="P1544" s="10"/>
      <c r="Q1544" s="10"/>
      <c r="R1544" s="10"/>
      <c r="S1544" s="10"/>
      <c r="T1544" s="10"/>
      <c r="U1544" s="10"/>
      <c r="V1544" s="10"/>
      <c r="W1544" s="10"/>
      <c r="X1544" s="10"/>
      <c r="Y1544" s="10"/>
      <c r="Z1544" s="10"/>
    </row>
    <row r="1545" spans="1:26" ht="12.75">
      <c r="A1545" s="10" t="str">
        <f ca="1">IFERROR(__xludf.DUMMYFUNCTION("""COMPUTED_VALUE"""),"Веселин Ценов Целков")</f>
        <v>Веселин Ценов Целков</v>
      </c>
      <c r="B1545" s="10" t="str">
        <f ca="1">IFERROR(__xludf.DUMMYFUNCTION("""COMPUTED_VALUE"""),"Учебно пособие")</f>
        <v>Учебно пособие</v>
      </c>
      <c r="C1545" s="10" t="str">
        <f ca="1">IFERROR(__xludf.DUMMYFUNCTION("""COMPUTED_VALUE"""),"Моделиране на процесите за идентификация и автентификация на потребителите в службата за безопасност на компютърни системи")</f>
        <v>Моделиране на процесите за идентификация и автентификация на потребителите в службата за безопасност на компютърни системи</v>
      </c>
      <c r="D1545" s="10">
        <f ca="1">IFERROR(__xludf.DUMMYFUNCTION("""COMPUTED_VALUE"""),1995)</f>
        <v>1995</v>
      </c>
      <c r="E1545" s="10" t="str">
        <f ca="1">IFERROR(__xludf.DUMMYFUNCTION("""COMPUTED_VALUE"""),"Математика и математическо образование, София, БАН, 1995 год., стр. 449-456.")</f>
        <v>Математика и математическо образование, София, БАН, 1995 год., стр. 449-456.</v>
      </c>
      <c r="F1545" s="10"/>
      <c r="G1545" s="10"/>
      <c r="H1545" s="10"/>
      <c r="I1545" s="10"/>
      <c r="J1545" s="10"/>
      <c r="K1545" s="10"/>
      <c r="L1545" s="10"/>
      <c r="M1545" s="10"/>
      <c r="N1545" s="10"/>
      <c r="O1545" s="10"/>
      <c r="P1545" s="10"/>
      <c r="Q1545" s="10"/>
      <c r="R1545" s="10"/>
      <c r="S1545" s="10"/>
      <c r="T1545" s="10"/>
      <c r="U1545" s="10"/>
      <c r="V1545" s="10"/>
      <c r="W1545" s="10"/>
      <c r="X1545" s="10"/>
      <c r="Y1545" s="10"/>
      <c r="Z1545" s="10"/>
    </row>
    <row r="1546" spans="1:26" ht="12.75">
      <c r="A1546" s="10" t="str">
        <f ca="1">IFERROR(__xludf.DUMMYFUNCTION("""COMPUTED_VALUE"""),"Веселин Ценов Целков")</f>
        <v>Веселин Ценов Целков</v>
      </c>
      <c r="B1546" s="10" t="str">
        <f ca="1">IFERROR(__xludf.DUMMYFUNCTION("""COMPUTED_VALUE"""),"Статия в списания и поредици")</f>
        <v>Статия в списания и поредици</v>
      </c>
      <c r="C1546" s="10" t="str">
        <f ca="1">IFERROR(__xludf.DUMMYFUNCTION("""COMPUTED_VALUE"""),"Програмни средства за изграждане на защитени системи за работа и обмен на документи")</f>
        <v>Програмни средства за изграждане на защитени системи за работа и обмен на документи</v>
      </c>
      <c r="D1546" s="10">
        <f ca="1">IFERROR(__xludf.DUMMYFUNCTION("""COMPUTED_VALUE"""),1995)</f>
        <v>1995</v>
      </c>
      <c r="E1546" s="10" t="str">
        <f ca="1">IFERROR(__xludf.DUMMYFUNCTION("""COMPUTED_VALUE"""),"ЮНС ВВОУ ""В. Левски"", В. Търново, 15-16 юни 1995 год")</f>
        <v>ЮНС ВВОУ "В. Левски", В. Търново, 15-16 юни 1995 год</v>
      </c>
      <c r="F1546" s="10"/>
      <c r="G1546" s="10"/>
      <c r="H1546" s="10"/>
      <c r="I1546" s="10"/>
      <c r="J1546" s="10"/>
      <c r="K1546" s="10"/>
      <c r="L1546" s="10"/>
      <c r="M1546" s="10"/>
      <c r="N1546" s="10"/>
      <c r="O1546" s="10"/>
      <c r="P1546" s="10"/>
      <c r="Q1546" s="10"/>
      <c r="R1546" s="10"/>
      <c r="S1546" s="10"/>
      <c r="T1546" s="10"/>
      <c r="U1546" s="10"/>
      <c r="V1546" s="10"/>
      <c r="W1546" s="10"/>
      <c r="X1546" s="10"/>
      <c r="Y1546" s="10"/>
      <c r="Z1546" s="10"/>
    </row>
    <row r="1547" spans="1:26" ht="12.75">
      <c r="A1547" s="10" t="str">
        <f ca="1">IFERROR(__xludf.DUMMYFUNCTION("""COMPUTED_VALUE"""),"Веселин Ценов Целков")</f>
        <v>Веселин Ценов Целков</v>
      </c>
      <c r="B1547" s="10" t="str">
        <f ca="1">IFERROR(__xludf.DUMMYFUNCTION("""COMPUTED_VALUE"""),"Учебно пособие")</f>
        <v>Учебно пособие</v>
      </c>
      <c r="C1547" s="10" t="str">
        <f ca="1">IFERROR(__xludf.DUMMYFUNCTION("""COMPUTED_VALUE"""),"Архитектура на защитена система за работа и обмен на документи")</f>
        <v>Архитектура на защитена система за работа и обмен на документи</v>
      </c>
      <c r="D1547" s="10">
        <f ca="1">IFERROR(__xludf.DUMMYFUNCTION("""COMPUTED_VALUE"""),1995)</f>
        <v>1995</v>
      </c>
      <c r="E1547" s="10" t="str">
        <f ca="1">IFERROR(__xludf.DUMMYFUNCTION("""COMPUTED_VALUE"""),"ЮНС ВВУАПО ""П.Волов"", Шумен, 18-19 май 1995 год., Сборник трудове, част 5, стр. 254-260")</f>
        <v>ЮНС ВВУАПО "П.Волов", Шумен, 18-19 май 1995 год., Сборник трудове, част 5, стр. 254-260</v>
      </c>
      <c r="F1547" s="10"/>
      <c r="G1547" s="10" t="str">
        <f ca="1">IFERROR(__xludf.DUMMYFUNCTION("""COMPUTED_VALUE"""),"Целков В., И. Крайчев и Др. Паргов")</f>
        <v>Целков В., И. Крайчев и Др. Паргов</v>
      </c>
      <c r="H1547" s="10"/>
      <c r="I1547" s="10"/>
      <c r="J1547" s="10"/>
      <c r="K1547" s="10"/>
      <c r="L1547" s="10"/>
      <c r="M1547" s="10"/>
      <c r="N1547" s="10"/>
      <c r="O1547" s="10"/>
      <c r="P1547" s="10"/>
      <c r="Q1547" s="10"/>
      <c r="R1547" s="10"/>
      <c r="S1547" s="10"/>
      <c r="T1547" s="10"/>
      <c r="U1547" s="10"/>
      <c r="V1547" s="10"/>
      <c r="W1547" s="10"/>
      <c r="X1547" s="10"/>
      <c r="Y1547" s="10"/>
      <c r="Z1547" s="10"/>
    </row>
    <row r="1548" spans="1:26" ht="12.75">
      <c r="A1548" s="10" t="str">
        <f ca="1">IFERROR(__xludf.DUMMYFUNCTION("""COMPUTED_VALUE"""),"Веселин Ценов Целков")</f>
        <v>Веселин Ценов Целков</v>
      </c>
      <c r="B1548" s="10" t="str">
        <f ca="1">IFERROR(__xludf.DUMMYFUNCTION("""COMPUTED_VALUE"""),"Учебно пособие")</f>
        <v>Учебно пособие</v>
      </c>
      <c r="C1548" s="10" t="str">
        <f ca="1">IFERROR(__xludf.DUMMYFUNCTION("""COMPUTED_VALUE"""),"Моделирана на център за администриране и безопасност в автоматизирани информационни системи")</f>
        <v>Моделирана на център за администриране и безопасност в автоматизирани информационни системи</v>
      </c>
      <c r="D1548" s="10">
        <f ca="1">IFERROR(__xludf.DUMMYFUNCTION("""COMPUTED_VALUE"""),1995)</f>
        <v>1995</v>
      </c>
      <c r="E1548" s="10" t="str">
        <f ca="1">IFERROR(__xludf.DUMMYFUNCTION("""COMPUTED_VALUE"""),"XXI Национална школа ""Приложението на математиката в техниката"" Сб. доклади и научни съобщения, Варна, август 1995 год.")</f>
        <v>XXI Национална школа "Приложението на математиката в техниката" Сб. доклади и научни съобщения, Варна, август 1995 год.</v>
      </c>
      <c r="F1548" s="10"/>
      <c r="G1548" s="10" t="str">
        <f ca="1">IFERROR(__xludf.DUMMYFUNCTION("""COMPUTED_VALUE"""),"Целков В. и Др. Паргов")</f>
        <v>Целков В. и Др. Паргов</v>
      </c>
      <c r="H1548" s="10"/>
      <c r="I1548" s="10"/>
      <c r="J1548" s="10"/>
      <c r="K1548" s="10"/>
      <c r="L1548" s="10"/>
      <c r="M1548" s="10"/>
      <c r="N1548" s="10"/>
      <c r="O1548" s="10"/>
      <c r="P1548" s="10"/>
      <c r="Q1548" s="10"/>
      <c r="R1548" s="10"/>
      <c r="S1548" s="10"/>
      <c r="T1548" s="10"/>
      <c r="U1548" s="10"/>
      <c r="V1548" s="10"/>
      <c r="W1548" s="10"/>
      <c r="X1548" s="10"/>
      <c r="Y1548" s="10"/>
      <c r="Z1548" s="10"/>
    </row>
    <row r="1549" spans="1:26" ht="12.75">
      <c r="A1549" s="10" t="str">
        <f ca="1">IFERROR(__xludf.DUMMYFUNCTION("""COMPUTED_VALUE"""),"Веселин Ценов Целков")</f>
        <v>Веселин Ценов Целков</v>
      </c>
      <c r="B1549" s="10" t="str">
        <f ca="1">IFERROR(__xludf.DUMMYFUNCTION("""COMPUTED_VALUE"""),"Доклад от конференция")</f>
        <v>Доклад от конференция</v>
      </c>
      <c r="C1549" s="10" t="str">
        <f ca="1">IFERROR(__xludf.DUMMYFUNCTION("""COMPUTED_VALUE"""),"Нежелани събития в автоматизираните системи за управление и стратегия за ограничаването им")</f>
        <v>Нежелани събития в автоматизираните системи за управление и стратегия за ограничаването им</v>
      </c>
      <c r="D1549" s="10">
        <f ca="1">IFERROR(__xludf.DUMMYFUNCTION("""COMPUTED_VALUE"""),1994)</f>
        <v>1994</v>
      </c>
      <c r="E1549" s="10" t="str">
        <f ca="1">IFERROR(__xludf.DUMMYFUNCTION("""COMPUTED_VALUE"""),"Научна сесия посветена на десетгодишнината от висшето образование във ВВТУ ""Т. Каблешков"", 17-18 ноември, София, 1994 год.")</f>
        <v>Научна сесия посветена на десетгодишнината от висшето образование във ВВТУ "Т. Каблешков", 17-18 ноември, София, 1994 год.</v>
      </c>
      <c r="F1549" s="10"/>
      <c r="G1549" s="10"/>
      <c r="H1549" s="10"/>
      <c r="I1549" s="10"/>
      <c r="J1549" s="10"/>
      <c r="K1549" s="10"/>
      <c r="L1549" s="10"/>
      <c r="M1549" s="10"/>
      <c r="N1549" s="10"/>
      <c r="O1549" s="10"/>
      <c r="P1549" s="10"/>
      <c r="Q1549" s="10"/>
      <c r="R1549" s="10"/>
      <c r="S1549" s="10"/>
      <c r="T1549" s="10"/>
      <c r="U1549" s="10"/>
      <c r="V1549" s="10"/>
      <c r="W1549" s="10"/>
      <c r="X1549" s="10"/>
      <c r="Y1549" s="10"/>
      <c r="Z1549" s="10"/>
    </row>
    <row r="1550" spans="1:26" ht="12.75">
      <c r="A1550" s="10" t="str">
        <f ca="1">IFERROR(__xludf.DUMMYFUNCTION("""COMPUTED_VALUE"""),"Веселин Ценов Целков")</f>
        <v>Веселин Ценов Целков</v>
      </c>
      <c r="B1550" s="10" t="str">
        <f ca="1">IFERROR(__xludf.DUMMYFUNCTION("""COMPUTED_VALUE"""),"Учебно пособие")</f>
        <v>Учебно пособие</v>
      </c>
      <c r="C1550" s="10" t="str">
        <f ca="1">IFERROR(__xludf.DUMMYFUNCTION("""COMPUTED_VALUE"""),"Моделиране на служба за безопасност в компютърни системи")</f>
        <v>Моделиране на служба за безопасност в компютърни системи</v>
      </c>
      <c r="D1550" s="10">
        <f ca="1">IFERROR(__xludf.DUMMYFUNCTION("""COMPUTED_VALUE"""),1994)</f>
        <v>1994</v>
      </c>
      <c r="E1550" s="10" t="str">
        <f ca="1">IFERROR(__xludf.DUMMYFUNCTION("""COMPUTED_VALUE"""),"Математика и математическо образование, София, БАН, 1994 год., стр. 415-422.")</f>
        <v>Математика и математическо образование, София, БАН, 1994 год., стр. 415-422.</v>
      </c>
      <c r="F1550" s="10"/>
      <c r="G1550" s="10"/>
      <c r="H1550" s="10"/>
      <c r="I1550" s="10"/>
      <c r="J1550" s="10"/>
      <c r="K1550" s="10"/>
      <c r="L1550" s="10"/>
      <c r="M1550" s="10"/>
      <c r="N1550" s="10"/>
      <c r="O1550" s="10"/>
      <c r="P1550" s="10"/>
      <c r="Q1550" s="10"/>
      <c r="R1550" s="10"/>
      <c r="S1550" s="10"/>
      <c r="T1550" s="10"/>
      <c r="U1550" s="10"/>
      <c r="V1550" s="10"/>
      <c r="W1550" s="10"/>
      <c r="X1550" s="10"/>
      <c r="Y1550" s="10"/>
      <c r="Z1550" s="10"/>
    </row>
    <row r="1551" spans="1:26" ht="12.75">
      <c r="A1551" s="10" t="str">
        <f ca="1">IFERROR(__xludf.DUMMYFUNCTION("""COMPUTED_VALUE"""),"Веселин Ценов Целков")</f>
        <v>Веселин Ценов Целков</v>
      </c>
      <c r="B1551" s="10" t="str">
        <f ca="1">IFERROR(__xludf.DUMMYFUNCTION("""COMPUTED_VALUE"""),"Статия в списания и поредици")</f>
        <v>Статия в списания и поредици</v>
      </c>
      <c r="C1551" s="10" t="str">
        <f ca="1">IFERROR(__xludf.DUMMYFUNCTION("""COMPUTED_VALUE"""),"Computer Systems Recources Distibution and Control, Information Theories and Applications")</f>
        <v>Computer Systems Recources Distibution and Control, Information Theories and Applications</v>
      </c>
      <c r="D1551" s="10">
        <f ca="1">IFERROR(__xludf.DUMMYFUNCTION("""COMPUTED_VALUE"""),1994)</f>
        <v>1994</v>
      </c>
      <c r="E1551" s="10" t="str">
        <f ca="1">IFERROR(__xludf.DUMMYFUNCTION("""COMPUTED_VALUE"""),"INTERNATIONAL Journal on Information Theories &amp; Applications – Sofia: Institute of Information Theories and Applications FOI ITHEA, 1993, ISSN 1310-0513; ISSN 1313-0463, Vol.2. No 7/1994, pp. 39-44.")</f>
        <v>INTERNATIONAL Journal on Information Theories &amp; Applications – Sofia: Institute of Information Theories and Applications FOI ITHEA, 1993, ISSN 1310-0513; ISSN 1313-0463, Vol.2. No 7/1994, pp. 39-44.</v>
      </c>
      <c r="F1551" s="10"/>
      <c r="G1551" s="10" t="str">
        <f ca="1">IFERROR(__xludf.DUMMYFUNCTION("""COMPUTED_VALUE"""),"Tselkov V., Dr. Pargov, R. Mitsev")</f>
        <v>Tselkov V., Dr. Pargov, R. Mitsev</v>
      </c>
      <c r="H1551" s="10"/>
      <c r="I1551" s="10"/>
      <c r="J1551" s="10"/>
      <c r="K1551" s="10"/>
      <c r="L1551" s="10"/>
      <c r="M1551" s="10"/>
      <c r="N1551" s="10"/>
      <c r="O1551" s="10"/>
      <c r="P1551" s="10"/>
      <c r="Q1551" s="10"/>
      <c r="R1551" s="10"/>
      <c r="S1551" s="10"/>
      <c r="T1551" s="10"/>
      <c r="U1551" s="10"/>
      <c r="V1551" s="10"/>
      <c r="W1551" s="10"/>
      <c r="X1551" s="10"/>
      <c r="Y1551" s="10"/>
      <c r="Z1551" s="10"/>
    </row>
    <row r="1552" spans="1:26" ht="12.75">
      <c r="A1552" s="10" t="str">
        <f ca="1">IFERROR(__xludf.DUMMYFUNCTION("""COMPUTED_VALUE"""),"Веселин Ценов Целков")</f>
        <v>Веселин Ценов Целков</v>
      </c>
      <c r="B1552" s="10" t="str">
        <f ca="1">IFERROR(__xludf.DUMMYFUNCTION("""COMPUTED_VALUE"""),"Учебно пособие")</f>
        <v>Учебно пособие</v>
      </c>
      <c r="C1552" s="10" t="str">
        <f ca="1">IFERROR(__xludf.DUMMYFUNCTION("""COMPUTED_VALUE"""),"Архитектура на защитена интегрирана среда за работа с персонални компютри")</f>
        <v>Архитектура на защитена интегрирана среда за работа с персонални компютри</v>
      </c>
      <c r="D1552" s="10">
        <f ca="1">IFERROR(__xludf.DUMMYFUNCTION("""COMPUTED_VALUE"""),1994)</f>
        <v>1994</v>
      </c>
      <c r="E1552" s="10" t="str">
        <f ca="1">IFERROR(__xludf.DUMMYFUNCTION("""COMPUTED_VALUE"""),"Математика и математическо образование, София, БАН, 1994 год., стр. 402-407")</f>
        <v>Математика и математическо образование, София, БАН, 1994 год., стр. 402-407</v>
      </c>
      <c r="F1552" s="10"/>
      <c r="G1552" s="10" t="str">
        <f ca="1">IFERROR(__xludf.DUMMYFUNCTION("""COMPUTED_VALUE"""),"Паргов Д., В. Целков и др.")</f>
        <v>Паргов Д., В. Целков и др.</v>
      </c>
      <c r="H1552" s="10"/>
      <c r="I1552" s="10"/>
      <c r="J1552" s="10"/>
      <c r="K1552" s="10"/>
      <c r="L1552" s="10"/>
      <c r="M1552" s="10"/>
      <c r="N1552" s="10"/>
      <c r="O1552" s="10"/>
      <c r="P1552" s="10"/>
      <c r="Q1552" s="10"/>
      <c r="R1552" s="10"/>
      <c r="S1552" s="10"/>
      <c r="T1552" s="10"/>
      <c r="U1552" s="10"/>
      <c r="V1552" s="10"/>
      <c r="W1552" s="10"/>
      <c r="X1552" s="10"/>
      <c r="Y1552" s="10"/>
      <c r="Z1552" s="10"/>
    </row>
    <row r="1553" spans="1:26" ht="12.75">
      <c r="A1553" s="10" t="str">
        <f ca="1">IFERROR(__xludf.DUMMYFUNCTION("""COMPUTED_VALUE"""),"Веселин Ценов Целков")</f>
        <v>Веселин Ценов Целков</v>
      </c>
      <c r="B1553" s="10" t="str">
        <f ca="1">IFERROR(__xludf.DUMMYFUNCTION("""COMPUTED_VALUE"""),"Доклад от конференция")</f>
        <v>Доклад от конференция</v>
      </c>
      <c r="C1553" s="10" t="str">
        <f ca="1">IFERROR(__xludf.DUMMYFUNCTION("""COMPUTED_VALUE"""),"Пакет програмни средства за защита на информацията в персонални компютри CS_SECURE_TOOLS")</f>
        <v>Пакет програмни средства за защита на информацията в персонални компютри CS_SECURE_TOOLS</v>
      </c>
      <c r="D1553" s="10">
        <f ca="1">IFERROR(__xludf.DUMMYFUNCTION("""COMPUTED_VALUE"""),1994)</f>
        <v>1994</v>
      </c>
      <c r="E1553" s="10" t="str">
        <f ca="1">IFERROR(__xludf.DUMMYFUNCTION("""COMPUTED_VALUE"""),"Първа национална конференция ""ИНФОРМАТИКА'94"", София, САИ, 1994 год., стр. 235-240")</f>
        <v>Първа национална конференция "ИНФОРМАТИКА'94", София, САИ, 1994 год., стр. 235-240</v>
      </c>
      <c r="F1553" s="10"/>
      <c r="G1553" s="10"/>
      <c r="H1553" s="10"/>
      <c r="I1553" s="10"/>
      <c r="J1553" s="10"/>
      <c r="K1553" s="10"/>
      <c r="L1553" s="10"/>
      <c r="M1553" s="10"/>
      <c r="N1553" s="10"/>
      <c r="O1553" s="10"/>
      <c r="P1553" s="10"/>
      <c r="Q1553" s="10"/>
      <c r="R1553" s="10"/>
      <c r="S1553" s="10"/>
      <c r="T1553" s="10"/>
      <c r="U1553" s="10"/>
      <c r="V1553" s="10"/>
      <c r="W1553" s="10"/>
      <c r="X1553" s="10"/>
      <c r="Y1553" s="10"/>
      <c r="Z1553" s="10"/>
    </row>
    <row r="1554" spans="1:26" ht="12.75">
      <c r="A1554" s="10" t="str">
        <f ca="1">IFERROR(__xludf.DUMMYFUNCTION("""COMPUTED_VALUE"""),"Веселин Ценов Целков")</f>
        <v>Веселин Ценов Целков</v>
      </c>
      <c r="B1554" s="10" t="str">
        <f ca="1">IFERROR(__xludf.DUMMYFUNCTION("""COMPUTED_VALUE"""),"Учебно пособие")</f>
        <v>Учебно пособие</v>
      </c>
      <c r="C1554" s="10" t="str">
        <f ca="1">IFERROR(__xludf.DUMMYFUNCTION("""COMPUTED_VALUE"""),"Програмна система за изследване и контрол на състоянието на група обекти след ""ЗАСТРАШАВАЩИ СЪБИТИЯ""")</f>
        <v>Програмна система за изследване и контрол на състоянието на група обекти след "ЗАСТРАШАВАЩИ СЪБИТИЯ"</v>
      </c>
      <c r="D1554" s="10">
        <f ca="1">IFERROR(__xludf.DUMMYFUNCTION("""COMPUTED_VALUE"""),1993)</f>
        <v>1993</v>
      </c>
      <c r="E1554" s="10" t="str">
        <f ca="1">IFERROR(__xludf.DUMMYFUNCTION("""COMPUTED_VALUE"""),"Школа по ПРОГРАМИРАНЕ, 1991 год.")</f>
        <v>Школа по ПРОГРАМИРАНЕ, 1991 год.</v>
      </c>
      <c r="F1554" s="10"/>
      <c r="G1554" s="10" t="str">
        <f ca="1">IFERROR(__xludf.DUMMYFUNCTION("""COMPUTED_VALUE"""),"Целков В. Ц. Якимов и Н. Московска")</f>
        <v>Целков В. Ц. Якимов и Н. Московска</v>
      </c>
      <c r="H1554" s="10"/>
      <c r="I1554" s="10"/>
      <c r="J1554" s="10"/>
      <c r="K1554" s="10"/>
      <c r="L1554" s="10"/>
      <c r="M1554" s="10"/>
      <c r="N1554" s="10"/>
      <c r="O1554" s="10"/>
      <c r="P1554" s="10"/>
      <c r="Q1554" s="10"/>
      <c r="R1554" s="10"/>
      <c r="S1554" s="10"/>
      <c r="T1554" s="10"/>
      <c r="U1554" s="10"/>
      <c r="V1554" s="10"/>
      <c r="W1554" s="10"/>
      <c r="X1554" s="10"/>
      <c r="Y1554" s="10"/>
      <c r="Z1554" s="10"/>
    </row>
    <row r="1555" spans="1:26" ht="12.75">
      <c r="A1555" s="10" t="str">
        <f ca="1">IFERROR(__xludf.DUMMYFUNCTION("""COMPUTED_VALUE"""),"Веселин Ценов Целков")</f>
        <v>Веселин Ценов Целков</v>
      </c>
      <c r="B1555" s="10" t="str">
        <f ca="1">IFERROR(__xludf.DUMMYFUNCTION("""COMPUTED_VALUE"""),"Учебно пособие")</f>
        <v>Учебно пособие</v>
      </c>
      <c r="C1555" s="10" t="str">
        <f ca="1">IFERROR(__xludf.DUMMYFUNCTION("""COMPUTED_VALUE"""),"Модели за разпределение и управление на ключове в компютърни системи")</f>
        <v>Модели за разпределение и управление на ключове в компютърни системи</v>
      </c>
      <c r="D1555" s="10">
        <f ca="1">IFERROR(__xludf.DUMMYFUNCTION("""COMPUTED_VALUE"""),1993)</f>
        <v>1993</v>
      </c>
      <c r="E1555" s="10" t="str">
        <f ca="1">IFERROR(__xludf.DUMMYFUNCTION("""COMPUTED_VALUE"""),"ЮНС ВВУ ""В. Левски"", В. Търново, 1993 год., Научни трудове, Книжка 27, стр. 321-326.")</f>
        <v>ЮНС ВВУ "В. Левски", В. Търново, 1993 год., Научни трудове, Книжка 27, стр. 321-326.</v>
      </c>
      <c r="F1555" s="10"/>
      <c r="G1555" s="10" t="str">
        <f ca="1">IFERROR(__xludf.DUMMYFUNCTION("""COMPUTED_VALUE"""),"Целков В., Р. Мицев и Д. Паргов")</f>
        <v>Целков В., Р. Мицев и Д. Паргов</v>
      </c>
      <c r="H1555" s="10"/>
      <c r="I1555" s="10"/>
      <c r="J1555" s="10"/>
      <c r="K1555" s="10"/>
      <c r="L1555" s="10"/>
      <c r="M1555" s="10"/>
      <c r="N1555" s="10"/>
      <c r="O1555" s="10"/>
      <c r="P1555" s="10"/>
      <c r="Q1555" s="10"/>
      <c r="R1555" s="10"/>
      <c r="S1555" s="10"/>
      <c r="T1555" s="10"/>
      <c r="U1555" s="10"/>
      <c r="V1555" s="10"/>
      <c r="W1555" s="10"/>
      <c r="X1555" s="10"/>
      <c r="Y1555" s="10"/>
      <c r="Z1555" s="10"/>
    </row>
    <row r="1556" spans="1:26" ht="12.75">
      <c r="A1556" s="10" t="str">
        <f ca="1">IFERROR(__xludf.DUMMYFUNCTION("""COMPUTED_VALUE"""),"Веселин Ценов Целков")</f>
        <v>Веселин Ценов Целков</v>
      </c>
      <c r="B1556" s="10" t="str">
        <f ca="1">IFERROR(__xludf.DUMMYFUNCTION("""COMPUTED_VALUE"""),"Учебно пособие")</f>
        <v>Учебно пособие</v>
      </c>
      <c r="C1556" s="10" t="str">
        <f ca="1">IFERROR(__xludf.DUMMYFUNCTION("""COMPUTED_VALUE"""),"Безопасността в локалната изчислителна мрежа 10NET")</f>
        <v>Безопасността в локалната изчислителна мрежа 10NET</v>
      </c>
      <c r="D1556" s="10">
        <f ca="1">IFERROR(__xludf.DUMMYFUNCTION("""COMPUTED_VALUE"""),1993)</f>
        <v>1993</v>
      </c>
      <c r="E1556" s="10" t="str">
        <f ca="1">IFERROR(__xludf.DUMMYFUNCTION("""COMPUTED_VALUE"""),"ЮНС ВВУ ""В. Левски"", В. Търново, 1993 год., Научни трудове, Книжка 27, стр. 299-304.")</f>
        <v>ЮНС ВВУ "В. Левски", В. Търново, 1993 год., Научни трудове, Книжка 27, стр. 299-304.</v>
      </c>
      <c r="F1556" s="10"/>
      <c r="G1556" s="10" t="str">
        <f ca="1">IFERROR(__xludf.DUMMYFUNCTION("""COMPUTED_VALUE"""),"Мицев Р, В. Целков и Д. Паргов")</f>
        <v>Мицев Р, В. Целков и Д. Паргов</v>
      </c>
      <c r="H1556" s="10"/>
      <c r="I1556" s="10"/>
      <c r="J1556" s="10"/>
      <c r="K1556" s="10"/>
      <c r="L1556" s="10"/>
      <c r="M1556" s="10"/>
      <c r="N1556" s="10"/>
      <c r="O1556" s="10"/>
      <c r="P1556" s="10"/>
      <c r="Q1556" s="10"/>
      <c r="R1556" s="10"/>
      <c r="S1556" s="10"/>
      <c r="T1556" s="10"/>
      <c r="U1556" s="10"/>
      <c r="V1556" s="10"/>
      <c r="W1556" s="10"/>
      <c r="X1556" s="10"/>
      <c r="Y1556" s="10"/>
      <c r="Z1556" s="10"/>
    </row>
    <row r="1557" spans="1:26" ht="12.75">
      <c r="A1557" s="10" t="str">
        <f ca="1">IFERROR(__xludf.DUMMYFUNCTION("""COMPUTED_VALUE"""),"Веселин Ценов Целков")</f>
        <v>Веселин Ценов Целков</v>
      </c>
      <c r="B1557" s="10" t="str">
        <f ca="1">IFERROR(__xludf.DUMMYFUNCTION("""COMPUTED_VALUE"""),"Учебно пособие")</f>
        <v>Учебно пособие</v>
      </c>
      <c r="C1557" s="10" t="str">
        <f ca="1">IFERROR(__xludf.DUMMYFUNCTION("""COMPUTED_VALUE"""),"Дигитален модел за пресмятане и графично изобразяване на зони със замърсявания по фактически данни")</f>
        <v>Дигитален модел за пресмятане и графично изобразяване на зони със замърсявания по фактически данни</v>
      </c>
      <c r="D1557" s="10">
        <f ca="1">IFERROR(__xludf.DUMMYFUNCTION("""COMPUTED_VALUE"""),1993)</f>
        <v>1993</v>
      </c>
      <c r="E1557" s="10" t="str">
        <f ca="1">IFERROR(__xludf.DUMMYFUNCTION("""COMPUTED_VALUE"""),"ЮНС ВВУ ""В. Левски"", В. Търново, 1993 год., Научни трудове, Книжка 27, стр. 381-386.")</f>
        <v>ЮНС ВВУ "В. Левски", В. Търново, 1993 год., Научни трудове, Книжка 27, стр. 381-386.</v>
      </c>
      <c r="F1557" s="10"/>
      <c r="G1557" s="10" t="str">
        <f ca="1">IFERROR(__xludf.DUMMYFUNCTION("""COMPUTED_VALUE"""),"76. Новаков В, В. Целков и др.")</f>
        <v>76. Новаков В, В. Целков и др.</v>
      </c>
      <c r="H1557" s="10"/>
      <c r="I1557" s="10"/>
      <c r="J1557" s="10"/>
      <c r="K1557" s="10"/>
      <c r="L1557" s="10"/>
      <c r="M1557" s="10"/>
      <c r="N1557" s="10"/>
      <c r="O1557" s="10"/>
      <c r="P1557" s="10"/>
      <c r="Q1557" s="10"/>
      <c r="R1557" s="10"/>
      <c r="S1557" s="10"/>
      <c r="T1557" s="10"/>
      <c r="U1557" s="10"/>
      <c r="V1557" s="10"/>
      <c r="W1557" s="10"/>
      <c r="X1557" s="10"/>
      <c r="Y1557" s="10"/>
      <c r="Z1557" s="10"/>
    </row>
    <row r="1558" spans="1:26" ht="12.75">
      <c r="A1558" s="10" t="str">
        <f ca="1">IFERROR(__xludf.DUMMYFUNCTION("""COMPUTED_VALUE"""),"Веселин Ценов Целков")</f>
        <v>Веселин Ценов Целков</v>
      </c>
      <c r="B1558" s="10" t="str">
        <f ca="1">IFERROR(__xludf.DUMMYFUNCTION("""COMPUTED_VALUE"""),"Статия в списания и поредици")</f>
        <v>Статия в списания и поредици</v>
      </c>
      <c r="C1558" s="10" t="str">
        <f ca="1">IFERROR(__xludf.DUMMYFUNCTION("""COMPUTED_VALUE"""),"Възможности, състав и структура на програмното осигуряване на система за радиационно наблюдение")</f>
        <v>Възможности, състав и структура на програмното осигуряване на система за радиационно наблюдение</v>
      </c>
      <c r="D1558" s="10">
        <f ca="1">IFERROR(__xludf.DUMMYFUNCTION("""COMPUTED_VALUE"""),1991)</f>
        <v>1991</v>
      </c>
      <c r="E1558" s="10" t="str">
        <f ca="1">IFERROR(__xludf.DUMMYFUNCTION("""COMPUTED_VALUE"""),"ЮНС на под. 22810, 1991")</f>
        <v>ЮНС на под. 22810, 1991</v>
      </c>
      <c r="F1558" s="10"/>
      <c r="G1558" s="10"/>
      <c r="H1558" s="10"/>
      <c r="I1558" s="10"/>
      <c r="J1558" s="10"/>
      <c r="K1558" s="10"/>
      <c r="L1558" s="10"/>
      <c r="M1558" s="10"/>
      <c r="N1558" s="10"/>
      <c r="O1558" s="10"/>
      <c r="P1558" s="10"/>
      <c r="Q1558" s="10"/>
      <c r="R1558" s="10"/>
      <c r="S1558" s="10"/>
      <c r="T1558" s="10"/>
      <c r="U1558" s="10"/>
      <c r="V1558" s="10"/>
      <c r="W1558" s="10"/>
      <c r="X1558" s="10"/>
      <c r="Y1558" s="10"/>
      <c r="Z1558" s="10"/>
    </row>
    <row r="1559" spans="1:26" ht="12.75">
      <c r="A1559" s="10" t="str">
        <f ca="1">IFERROR(__xludf.DUMMYFUNCTION("""COMPUTED_VALUE"""),"Веселин Ценов Целков")</f>
        <v>Веселин Ценов Целков</v>
      </c>
      <c r="B1559" s="10" t="str">
        <f ca="1">IFERROR(__xludf.DUMMYFUNCTION("""COMPUTED_VALUE"""),"Статия в списания и поредици")</f>
        <v>Статия в списания и поредици</v>
      </c>
      <c r="C1559" s="10" t="str">
        <f ca="1">IFERROR(__xludf.DUMMYFUNCTION("""COMPUTED_VALUE"""),"Основни принципи и организация на защитата на информацията в автоматизираните системи за управление")</f>
        <v>Основни принципи и организация на защитата на информацията в автоматизираните системи за управление</v>
      </c>
      <c r="D1559" s="10">
        <f ca="1">IFERROR(__xludf.DUMMYFUNCTION("""COMPUTED_VALUE"""),1991)</f>
        <v>1991</v>
      </c>
      <c r="E1559" s="10" t="str">
        <f ca="1">IFERROR(__xludf.DUMMYFUNCTION("""COMPUTED_VALUE"""),"ЮНС на под. 22810, София, 1991 год.")</f>
        <v>ЮНС на под. 22810, София, 1991 год.</v>
      </c>
      <c r="F1559" s="10"/>
      <c r="G1559" s="10" t="str">
        <f ca="1">IFERROR(__xludf.DUMMYFUNCTION("""COMPUTED_VALUE"""),"Петров Р., В. Целков и Д. Паргов")</f>
        <v>Петров Р., В. Целков и Д. Паргов</v>
      </c>
      <c r="H1559" s="10"/>
      <c r="I1559" s="10"/>
      <c r="J1559" s="10"/>
      <c r="K1559" s="10"/>
      <c r="L1559" s="10"/>
      <c r="M1559" s="10"/>
      <c r="N1559" s="10"/>
      <c r="O1559" s="10"/>
      <c r="P1559" s="10"/>
      <c r="Q1559" s="10"/>
      <c r="R1559" s="10"/>
      <c r="S1559" s="10"/>
      <c r="T1559" s="10"/>
      <c r="U1559" s="10"/>
      <c r="V1559" s="10"/>
      <c r="W1559" s="10"/>
      <c r="X1559" s="10"/>
      <c r="Y1559" s="10"/>
      <c r="Z1559" s="10"/>
    </row>
    <row r="1560" spans="1:26" ht="12.75">
      <c r="A1560" s="10" t="str">
        <f ca="1">IFERROR(__xludf.DUMMYFUNCTION("""COMPUTED_VALUE"""),"Веселин Ценов Целков")</f>
        <v>Веселин Ценов Целков</v>
      </c>
      <c r="B1560" s="10" t="str">
        <f ca="1">IFERROR(__xludf.DUMMYFUNCTION("""COMPUTED_VALUE"""),"Учебно пособие")</f>
        <v>Учебно пособие</v>
      </c>
      <c r="C1560" s="10" t="str">
        <f ca="1">IFERROR(__xludf.DUMMYFUNCTION("""COMPUTED_VALUE"""),"Програмна система за изследване и контрол на състоянието на група обекти след ""ЗАСТРАШАВАЩИ СЪБИТИЯ""")</f>
        <v>Програмна система за изследване и контрол на състоянието на група обекти след "ЗАСТРАШАВАЩИ СЪБИТИЯ"</v>
      </c>
      <c r="D1560" s="10">
        <f ca="1">IFERROR(__xludf.DUMMYFUNCTION("""COMPUTED_VALUE"""),1991)</f>
        <v>1991</v>
      </c>
      <c r="E1560" s="10" t="str">
        <f ca="1">IFERROR(__xludf.DUMMYFUNCTION("""COMPUTED_VALUE"""),"ЮНС ВВУ ""В. Левски"", 1993 год.")</f>
        <v>ЮНС ВВУ "В. Левски", 1993 год.</v>
      </c>
      <c r="F1560" s="10"/>
      <c r="G1560" s="10" t="str">
        <f ca="1">IFERROR(__xludf.DUMMYFUNCTION("""COMPUTED_VALUE"""),"Новаков В, В. Целков и др.")</f>
        <v>Новаков В, В. Целков и др.</v>
      </c>
      <c r="H1560" s="10"/>
      <c r="I1560" s="10"/>
      <c r="J1560" s="10"/>
      <c r="K1560" s="10"/>
      <c r="L1560" s="10"/>
      <c r="M1560" s="10"/>
      <c r="N1560" s="10"/>
      <c r="O1560" s="10"/>
      <c r="P1560" s="10"/>
      <c r="Q1560" s="10"/>
      <c r="R1560" s="10"/>
      <c r="S1560" s="10"/>
      <c r="T1560" s="10"/>
      <c r="U1560" s="10"/>
      <c r="V1560" s="10"/>
      <c r="W1560" s="10"/>
      <c r="X1560" s="10"/>
      <c r="Y1560" s="10"/>
      <c r="Z1560" s="10"/>
    </row>
    <row r="1561" spans="1:26" ht="12.75">
      <c r="A1561" s="10" t="str">
        <f ca="1">IFERROR(__xludf.DUMMYFUNCTION("""COMPUTED_VALUE"""),"Веселин Ценов Целков")</f>
        <v>Веселин Ценов Целков</v>
      </c>
      <c r="B1561" s="10" t="str">
        <f ca="1">IFERROR(__xludf.DUMMYFUNCTION("""COMPUTED_VALUE"""),"Учебно пособие")</f>
        <v>Учебно пособие</v>
      </c>
      <c r="C1561" s="10" t="str">
        <f ca="1">IFERROR(__xludf.DUMMYFUNCTION("""COMPUTED_VALUE"""),"Паралелен алгоритъм за решаване на системи линейни уравнения по метода на ортогонализацията върху мултитранспютърна система")</f>
        <v>Паралелен алгоритъм за решаване на системи линейни уравнения по метода на ортогонализацията върху мултитранспютърна система</v>
      </c>
      <c r="D1561" s="10">
        <f ca="1">IFERROR(__xludf.DUMMYFUNCTION("""COMPUTED_VALUE"""),1991)</f>
        <v>1991</v>
      </c>
      <c r="E1561" s="10" t="str">
        <f ca="1">IFERROR(__xludf.DUMMYFUNCTION("""COMPUTED_VALUE"""),"Математика и математическо образование, София, БАН, 1991 год., стр.365-371")</f>
        <v>Математика и математическо образование, София, БАН, 1991 год., стр.365-371</v>
      </c>
      <c r="F1561" s="10"/>
      <c r="G1561" s="10" t="str">
        <f ca="1">IFERROR(__xludf.DUMMYFUNCTION("""COMPUTED_VALUE"""),"77. Целков В. и В. Целкова")</f>
        <v>77. Целков В. и В. Целкова</v>
      </c>
      <c r="H1561" s="10"/>
      <c r="I1561" s="10"/>
      <c r="J1561" s="10"/>
      <c r="K1561" s="10"/>
      <c r="L1561" s="10"/>
      <c r="M1561" s="10"/>
      <c r="N1561" s="10"/>
      <c r="O1561" s="10"/>
      <c r="P1561" s="10"/>
      <c r="Q1561" s="10"/>
      <c r="R1561" s="10"/>
      <c r="S1561" s="10"/>
      <c r="T1561" s="10"/>
      <c r="U1561" s="10"/>
      <c r="V1561" s="10"/>
      <c r="W1561" s="10"/>
      <c r="X1561" s="10"/>
      <c r="Y1561" s="10"/>
      <c r="Z1561" s="10"/>
    </row>
    <row r="1562" spans="1:26" ht="12.75">
      <c r="A1562" s="10" t="str">
        <f ca="1">IFERROR(__xludf.DUMMYFUNCTION("""COMPUTED_VALUE"""),"Веселин Ценов Целков")</f>
        <v>Веселин Ценов Целков</v>
      </c>
      <c r="B1562" s="10" t="str">
        <f ca="1">IFERROR(__xludf.DUMMYFUNCTION("""COMPUTED_VALUE"""),"Статия в списания и поредици")</f>
        <v>Статия в списания и поредици</v>
      </c>
      <c r="C1562" s="10" t="str">
        <f ca="1">IFERROR(__xludf.DUMMYFUNCTION("""COMPUTED_VALUE"""),"Разпределена база данни на Експертна Система за прогнозиране, анализ и оценка на обстановката на територията на страната при радиационни и химически опасни аварии ""СТАРК""")</f>
        <v>Разпределена база данни на Експертна Система за прогнозиране, анализ и оценка на обстановката на територията на страната при радиационни и химически опасни аварии "СТАРК"</v>
      </c>
      <c r="D1562" s="10">
        <f ca="1">IFERROR(__xludf.DUMMYFUNCTION("""COMPUTED_VALUE"""),1991)</f>
        <v>1991</v>
      </c>
      <c r="E1562" s="10" t="str">
        <f ca="1">IFERROR(__xludf.DUMMYFUNCTION("""COMPUTED_VALUE"""),"Информационен Бюлетин на ГЩ, 1991г")</f>
        <v>Информационен Бюлетин на ГЩ, 1991г</v>
      </c>
      <c r="F1562" s="10"/>
      <c r="G1562" s="10"/>
      <c r="H1562" s="10"/>
      <c r="I1562" s="10"/>
      <c r="J1562" s="10"/>
      <c r="K1562" s="10"/>
      <c r="L1562" s="10"/>
      <c r="M1562" s="10"/>
      <c r="N1562" s="10"/>
      <c r="O1562" s="10"/>
      <c r="P1562" s="10"/>
      <c r="Q1562" s="10"/>
      <c r="R1562" s="10"/>
      <c r="S1562" s="10"/>
      <c r="T1562" s="10"/>
      <c r="U1562" s="10"/>
      <c r="V1562" s="10"/>
      <c r="W1562" s="10"/>
      <c r="X1562" s="10"/>
      <c r="Y1562" s="10"/>
      <c r="Z1562" s="10"/>
    </row>
    <row r="1563" spans="1:26" ht="12.75">
      <c r="A1563" s="10" t="str">
        <f ca="1">IFERROR(__xludf.DUMMYFUNCTION("""COMPUTED_VALUE"""),"Веселин Ценов Целков")</f>
        <v>Веселин Ценов Целков</v>
      </c>
      <c r="B1563" s="10" t="str">
        <f ca="1">IFERROR(__xludf.DUMMYFUNCTION("""COMPUTED_VALUE"""),"Статия в списания и поредици")</f>
        <v>Статия в списания и поредици</v>
      </c>
      <c r="C1563" s="10" t="str">
        <f ca="1">IFERROR(__xludf.DUMMYFUNCTION("""COMPUTED_VALUE"""),"Дигитален модел за пресмятане и графично изобразяване на зони със замърсявания по фактически данни")</f>
        <v>Дигитален модел за пресмятане и графично изобразяване на зони със замърсявания по фактически данни</v>
      </c>
      <c r="D1563" s="10">
        <f ca="1">IFERROR(__xludf.DUMMYFUNCTION("""COMPUTED_VALUE"""),1991)</f>
        <v>1991</v>
      </c>
      <c r="E1563" s="10" t="str">
        <f ca="1">IFERROR(__xludf.DUMMYFUNCTION("""COMPUTED_VALUE"""),"Информационен Бюлетин на ГЩ, 1991г.")</f>
        <v>Информационен Бюлетин на ГЩ, 1991г.</v>
      </c>
      <c r="F1563" s="10"/>
      <c r="G1563" s="10"/>
      <c r="H1563" s="10"/>
      <c r="I1563" s="10"/>
      <c r="J1563" s="10"/>
      <c r="K1563" s="10"/>
      <c r="L1563" s="10"/>
      <c r="M1563" s="10"/>
      <c r="N1563" s="10"/>
      <c r="O1563" s="10"/>
      <c r="P1563" s="10"/>
      <c r="Q1563" s="10"/>
      <c r="R1563" s="10"/>
      <c r="S1563" s="10"/>
      <c r="T1563" s="10"/>
      <c r="U1563" s="10"/>
      <c r="V1563" s="10"/>
      <c r="W1563" s="10"/>
      <c r="X1563" s="10"/>
      <c r="Y1563" s="10"/>
      <c r="Z1563" s="10"/>
    </row>
    <row r="1564" spans="1:26" ht="12.75">
      <c r="A1564" s="10" t="str">
        <f ca="1">IFERROR(__xludf.DUMMYFUNCTION("""COMPUTED_VALUE"""),"Веселин Ценов Целков")</f>
        <v>Веселин Ценов Целков</v>
      </c>
      <c r="B1564" s="10" t="str">
        <f ca="1">IFERROR(__xludf.DUMMYFUNCTION("""COMPUTED_VALUE"""),"Учебно пособие")</f>
        <v>Учебно пособие</v>
      </c>
      <c r="C1564" s="10" t="str">
        <f ca="1">IFERROR(__xludf.DUMMYFUNCTION("""COMPUTED_VALUE"""),"АВТОРЕФЕРАТ на дисертация ""Управление на информацията в мрежи от ЕИМ""")</f>
        <v>АВТОРЕФЕРАТ на дисертация "Управление на информацията в мрежи от ЕИМ"</v>
      </c>
      <c r="D1564" s="10">
        <f ca="1">IFERROR(__xludf.DUMMYFUNCTION("""COMPUTED_VALUE"""),1990)</f>
        <v>1990</v>
      </c>
      <c r="E1564" s="10" t="str">
        <f ca="1">IFERROR(__xludf.DUMMYFUNCTION("""COMPUTED_VALUE"""),"под. 24710, София, 1990 год.")</f>
        <v>под. 24710, София, 1990 год.</v>
      </c>
      <c r="F1564" s="10"/>
      <c r="G1564" s="10"/>
      <c r="H1564" s="10"/>
      <c r="I1564" s="10"/>
      <c r="J1564" s="10"/>
      <c r="K1564" s="10"/>
      <c r="L1564" s="10"/>
      <c r="M1564" s="10"/>
      <c r="N1564" s="10"/>
      <c r="O1564" s="10"/>
      <c r="P1564" s="10"/>
      <c r="Q1564" s="10"/>
      <c r="R1564" s="10"/>
      <c r="S1564" s="10"/>
      <c r="T1564" s="10"/>
      <c r="U1564" s="10"/>
      <c r="V1564" s="10"/>
      <c r="W1564" s="10"/>
      <c r="X1564" s="10"/>
      <c r="Y1564" s="10"/>
      <c r="Z1564" s="10"/>
    </row>
    <row r="1565" spans="1:26" ht="12.75">
      <c r="A1565" s="10" t="str">
        <f ca="1">IFERROR(__xludf.DUMMYFUNCTION("""COMPUTED_VALUE"""),"Веселин Ценов Целков")</f>
        <v>Веселин Ценов Целков</v>
      </c>
      <c r="B1565" s="10" t="str">
        <f ca="1">IFERROR(__xludf.DUMMYFUNCTION("""COMPUTED_VALUE"""),"Учебно пособие")</f>
        <v>Учебно пособие</v>
      </c>
      <c r="C1565" s="10" t="str">
        <f ca="1">IFERROR(__xludf.DUMMYFUNCTION("""COMPUTED_VALUE"""),"ДИСЕРТАЦИЯ ""Управление на информацията в мрежи от ЕИМ""")</f>
        <v>ДИСЕРТАЦИЯ "Управление на информацията в мрежи от ЕИМ"</v>
      </c>
      <c r="D1565" s="10">
        <f ca="1">IFERROR(__xludf.DUMMYFUNCTION("""COMPUTED_VALUE"""),1990)</f>
        <v>1990</v>
      </c>
      <c r="E1565" s="10" t="str">
        <f ca="1">IFERROR(__xludf.DUMMYFUNCTION("""COMPUTED_VALUE"""),"под. 24710, София, 1990 год.")</f>
        <v>под. 24710, София, 1990 год.</v>
      </c>
      <c r="F1565" s="10"/>
      <c r="G1565" s="10"/>
      <c r="H1565" s="10"/>
      <c r="I1565" s="10"/>
      <c r="J1565" s="10"/>
      <c r="K1565" s="10"/>
      <c r="L1565" s="10"/>
      <c r="M1565" s="10"/>
      <c r="N1565" s="10"/>
      <c r="O1565" s="10"/>
      <c r="P1565" s="10"/>
      <c r="Q1565" s="10"/>
      <c r="R1565" s="10"/>
      <c r="S1565" s="10"/>
      <c r="T1565" s="10"/>
      <c r="U1565" s="10"/>
      <c r="V1565" s="10"/>
      <c r="W1565" s="10"/>
      <c r="X1565" s="10"/>
      <c r="Y1565" s="10"/>
      <c r="Z1565" s="10"/>
    </row>
    <row r="1566" spans="1:26" ht="12.75">
      <c r="A1566" s="10" t="str">
        <f ca="1">IFERROR(__xludf.DUMMYFUNCTION("""COMPUTED_VALUE"""),"Веселин Ценов Целков")</f>
        <v>Веселин Ценов Целков</v>
      </c>
      <c r="B1566" s="10" t="str">
        <f ca="1">IFERROR(__xludf.DUMMYFUNCTION("""COMPUTED_VALUE"""),"Учебно пособие")</f>
        <v>Учебно пособие</v>
      </c>
      <c r="C1566" s="10" t="str">
        <f ca="1">IFERROR(__xludf.DUMMYFUNCTION("""COMPUTED_VALUE"""),"Приложение на Е - мрежов модел на специализиран систоличен процесор при решаване на системи линейни уравнени")</f>
        <v>Приложение на Е - мрежов модел на специализиран систоличен процесор при решаване на системи линейни уравнени</v>
      </c>
      <c r="D1566" s="10">
        <f ca="1">IFERROR(__xludf.DUMMYFUNCTION("""COMPUTED_VALUE"""),1990)</f>
        <v>1990</v>
      </c>
      <c r="E1566" s="10" t="str">
        <f ca="1">IFERROR(__xludf.DUMMYFUNCTION("""COMPUTED_VALUE"""),"Сб. трудове на под. 24710, 1990 год.")</f>
        <v>Сб. трудове на под. 24710, 1990 год.</v>
      </c>
      <c r="F1566" s="10"/>
      <c r="G1566" s="10" t="str">
        <f ca="1">IFERROR(__xludf.DUMMYFUNCTION("""COMPUTED_VALUE"""),"Целков В., В. Целкова и Д. Паргов")</f>
        <v>Целков В., В. Целкова и Д. Паргов</v>
      </c>
      <c r="H1566" s="10"/>
      <c r="I1566" s="10"/>
      <c r="J1566" s="10"/>
      <c r="K1566" s="10"/>
      <c r="L1566" s="10"/>
      <c r="M1566" s="10"/>
      <c r="N1566" s="10"/>
      <c r="O1566" s="10"/>
      <c r="P1566" s="10"/>
      <c r="Q1566" s="10"/>
      <c r="R1566" s="10"/>
      <c r="S1566" s="10"/>
      <c r="T1566" s="10"/>
      <c r="U1566" s="10"/>
      <c r="V1566" s="10"/>
      <c r="W1566" s="10"/>
      <c r="X1566" s="10"/>
      <c r="Y1566" s="10"/>
      <c r="Z1566" s="10"/>
    </row>
    <row r="1567" spans="1:26" ht="12.75">
      <c r="A1567" s="10" t="str">
        <f ca="1">IFERROR(__xludf.DUMMYFUNCTION("""COMPUTED_VALUE"""),"Веселин Ценов Целков")</f>
        <v>Веселин Ценов Целков</v>
      </c>
      <c r="B1567" s="10" t="str">
        <f ca="1">IFERROR(__xludf.DUMMYFUNCTION("""COMPUTED_VALUE"""),"Учебно пособие")</f>
        <v>Учебно пособие</v>
      </c>
      <c r="C1567" s="10" t="str">
        <f ca="1">IFERROR(__xludf.DUMMYFUNCTION("""COMPUTED_VALUE"""),"ПП ""DOKUMENT"" - средство за работа с документи в Автоматизираните Системи за Управление")</f>
        <v>ПП "DOKUMENT" - средство за работа с документи в Автоматизираните Системи за Управление</v>
      </c>
      <c r="D1567" s="10">
        <f ca="1">IFERROR(__xludf.DUMMYFUNCTION("""COMPUTED_VALUE"""),1990)</f>
        <v>1990</v>
      </c>
      <c r="E1567" s="10" t="str">
        <f ca="1">IFERROR(__xludf.DUMMYFUNCTION("""COMPUTED_VALUE"""),"Школа по ПРОГРАМИРАНЕ 1990 год.")</f>
        <v>Школа по ПРОГРАМИРАНЕ 1990 год.</v>
      </c>
      <c r="F1567" s="10"/>
      <c r="G1567" s="10" t="str">
        <f ca="1">IFERROR(__xludf.DUMMYFUNCTION("""COMPUTED_VALUE"""),"Целков В., Ц. Якимов и Д. Паргов")</f>
        <v>Целков В., Ц. Якимов и Д. Паргов</v>
      </c>
      <c r="H1567" s="10"/>
      <c r="I1567" s="10"/>
      <c r="J1567" s="10"/>
      <c r="K1567" s="10"/>
      <c r="L1567" s="10"/>
      <c r="M1567" s="10"/>
      <c r="N1567" s="10"/>
      <c r="O1567" s="10"/>
      <c r="P1567" s="10"/>
      <c r="Q1567" s="10"/>
      <c r="R1567" s="10"/>
      <c r="S1567" s="10"/>
      <c r="T1567" s="10"/>
      <c r="U1567" s="10"/>
      <c r="V1567" s="10"/>
      <c r="W1567" s="10"/>
      <c r="X1567" s="10"/>
      <c r="Y1567" s="10"/>
      <c r="Z1567" s="10"/>
    </row>
    <row r="1568" spans="1:26" ht="12.75">
      <c r="A1568" s="10" t="str">
        <f ca="1">IFERROR(__xludf.DUMMYFUNCTION("""COMPUTED_VALUE"""),"Веселин Ценов Целков")</f>
        <v>Веселин Ценов Целков</v>
      </c>
      <c r="B1568" s="10" t="str">
        <f ca="1">IFERROR(__xludf.DUMMYFUNCTION("""COMPUTED_VALUE"""),"Учебно пособие")</f>
        <v>Учебно пособие</v>
      </c>
      <c r="C1568" s="10" t="str">
        <f ca="1">IFERROR(__xludf.DUMMYFUNCTION("""COMPUTED_VALUE"""),"Подготовка на сложни документи по програмен способ")</f>
        <v>Подготовка на сложни документи по програмен способ</v>
      </c>
      <c r="D1568" s="10">
        <f ca="1">IFERROR(__xludf.DUMMYFUNCTION("""COMPUTED_VALUE"""),1990)</f>
        <v>1990</v>
      </c>
      <c r="E1568" s="10" t="str">
        <f ca="1">IFERROR(__xludf.DUMMYFUNCTION("""COMPUTED_VALUE"""),"Сб. трудове на под. 24710, 1990 год.")</f>
        <v>Сб. трудове на под. 24710, 1990 год.</v>
      </c>
      <c r="F1568" s="10"/>
      <c r="G1568" s="10" t="str">
        <f ca="1">IFERROR(__xludf.DUMMYFUNCTION("""COMPUTED_VALUE"""),"Целков В. и Д. Паргов")</f>
        <v>Целков В. и Д. Паргов</v>
      </c>
      <c r="H1568" s="10"/>
      <c r="I1568" s="10"/>
      <c r="J1568" s="10"/>
      <c r="K1568" s="10"/>
      <c r="L1568" s="10"/>
      <c r="M1568" s="10"/>
      <c r="N1568" s="10"/>
      <c r="O1568" s="10"/>
      <c r="P1568" s="10"/>
      <c r="Q1568" s="10"/>
      <c r="R1568" s="10"/>
      <c r="S1568" s="10"/>
      <c r="T1568" s="10"/>
      <c r="U1568" s="10"/>
      <c r="V1568" s="10"/>
      <c r="W1568" s="10"/>
      <c r="X1568" s="10"/>
      <c r="Y1568" s="10"/>
      <c r="Z1568" s="10"/>
    </row>
    <row r="1569" spans="1:26" ht="12.75">
      <c r="A1569" s="10" t="str">
        <f ca="1">IFERROR(__xludf.DUMMYFUNCTION("""COMPUTED_VALUE"""),"Веселин Ценов Целков")</f>
        <v>Веселин Ценов Целков</v>
      </c>
      <c r="B1569" s="10" t="str">
        <f ca="1">IFERROR(__xludf.DUMMYFUNCTION("""COMPUTED_VALUE"""),"Учебно пособие")</f>
        <v>Учебно пособие</v>
      </c>
      <c r="C1569" s="10" t="str">
        <f ca="1">IFERROR(__xludf.DUMMYFUNCTION("""COMPUTED_VALUE"""),"Решаване на системи линейни уравнения по метода на квадратния корен върху ""RISC"" архитектура")</f>
        <v>Решаване на системи линейни уравнения по метода на квадратния корен върху "RISC" архитектура</v>
      </c>
      <c r="D1569" s="10">
        <f ca="1">IFERROR(__xludf.DUMMYFUNCTION("""COMPUTED_VALUE"""),1990)</f>
        <v>1990</v>
      </c>
      <c r="E1569" s="10" t="str">
        <f ca="1">IFERROR(__xludf.DUMMYFUNCTION("""COMPUTED_VALUE"""),"Математика и математическо образование, София, БАН, 1990 год., стр. 310-314.")</f>
        <v>Математика и математическо образование, София, БАН, 1990 год., стр. 310-314.</v>
      </c>
      <c r="F1569" s="10"/>
      <c r="G1569" s="10" t="str">
        <f ca="1">IFERROR(__xludf.DUMMYFUNCTION("""COMPUTED_VALUE"""),"87. Целков В. и В. Целкова")</f>
        <v>87. Целков В. и В. Целкова</v>
      </c>
      <c r="H1569" s="10"/>
      <c r="I1569" s="10"/>
      <c r="J1569" s="10"/>
      <c r="K1569" s="10"/>
      <c r="L1569" s="10"/>
      <c r="M1569" s="10"/>
      <c r="N1569" s="10"/>
      <c r="O1569" s="10"/>
      <c r="P1569" s="10"/>
      <c r="Q1569" s="10"/>
      <c r="R1569" s="10"/>
      <c r="S1569" s="10"/>
      <c r="T1569" s="10"/>
      <c r="U1569" s="10"/>
      <c r="V1569" s="10"/>
      <c r="W1569" s="10"/>
      <c r="X1569" s="10"/>
      <c r="Y1569" s="10"/>
      <c r="Z1569" s="10"/>
    </row>
    <row r="1570" spans="1:26" ht="12.75">
      <c r="A1570" s="10" t="str">
        <f ca="1">IFERROR(__xludf.DUMMYFUNCTION("""COMPUTED_VALUE"""),"Веселин Ценов Целков")</f>
        <v>Веселин Ценов Целков</v>
      </c>
      <c r="B1570" s="10" t="str">
        <f ca="1">IFERROR(__xludf.DUMMYFUNCTION("""COMPUTED_VALUE"""),"Статия в списания и поредици")</f>
        <v>Статия в списания и поредици</v>
      </c>
      <c r="C1570" s="10" t="str">
        <f ca="1">IFERROR(__xludf.DUMMYFUNCTION("""COMPUTED_VALUE"""),"""PN""-Програмен модел на мрежите на Петри")</f>
        <v>"PN"-Програмен модел на мрежите на Петри</v>
      </c>
      <c r="D1570" s="10">
        <f ca="1">IFERROR(__xludf.DUMMYFUNCTION("""COMPUTED_VALUE"""),1989)</f>
        <v>1989</v>
      </c>
      <c r="E1570" s="10" t="str">
        <f ca="1">IFERROR(__xludf.DUMMYFUNCTION("""COMPUTED_VALUE"""),"Информационен Бюлетин на ГЩ, 1989г.")</f>
        <v>Информационен Бюлетин на ГЩ, 1989г.</v>
      </c>
      <c r="F1570" s="10"/>
      <c r="G1570" s="10" t="str">
        <f ca="1">IFERROR(__xludf.DUMMYFUNCTION("""COMPUTED_VALUE"""),"Целков В. и Ф. Стоянов")</f>
        <v>Целков В. и Ф. Стоянов</v>
      </c>
      <c r="H1570" s="10"/>
      <c r="I1570" s="10"/>
      <c r="J1570" s="10"/>
      <c r="K1570" s="10"/>
      <c r="L1570" s="10"/>
      <c r="M1570" s="10"/>
      <c r="N1570" s="10"/>
      <c r="O1570" s="10"/>
      <c r="P1570" s="10"/>
      <c r="Q1570" s="10"/>
      <c r="R1570" s="10"/>
      <c r="S1570" s="10"/>
      <c r="T1570" s="10"/>
      <c r="U1570" s="10"/>
      <c r="V1570" s="10"/>
      <c r="W1570" s="10"/>
      <c r="X1570" s="10"/>
      <c r="Y1570" s="10"/>
      <c r="Z1570" s="10"/>
    </row>
    <row r="1571" spans="1:26" ht="12.75">
      <c r="A1571" s="10" t="str">
        <f ca="1">IFERROR(__xludf.DUMMYFUNCTION("""COMPUTED_VALUE"""),"Веселин Ценов Целков")</f>
        <v>Веселин Ценов Целков</v>
      </c>
      <c r="B1571" s="10" t="str">
        <f ca="1">IFERROR(__xludf.DUMMYFUNCTION("""COMPUTED_VALUE"""),"Учебно пособие")</f>
        <v>Учебно пособие</v>
      </c>
      <c r="C1571" s="10" t="str">
        <f ca="1">IFERROR(__xludf.DUMMYFUNCTION("""COMPUTED_VALUE"""),"Програмно осигуряване за предаване на данни в мрежи от СМ ЕИМ. Технология и принципи на изграждане")</f>
        <v>Програмно осигуряване за предаване на данни в мрежи от СМ ЕИМ. Технология и принципи на изграждане</v>
      </c>
      <c r="D1571" s="10">
        <f ca="1">IFERROR(__xludf.DUMMYFUNCTION("""COMPUTED_VALUE"""),1989)</f>
        <v>1989</v>
      </c>
      <c r="E1571" s="10" t="str">
        <f ca="1">IFERROR(__xludf.DUMMYFUNCTION("""COMPUTED_VALUE"""),"Международен симпозиум ""Програмно осигуряване за ЕС и СМ ЕИМ и мрежи от тях"", Пловдив, 1989 год.")</f>
        <v>Международен симпозиум "Програмно осигуряване за ЕС и СМ ЕИМ и мрежи от тях", Пловдив, 1989 год.</v>
      </c>
      <c r="F1571" s="10"/>
      <c r="G1571" s="10"/>
      <c r="H1571" s="10"/>
      <c r="I1571" s="10"/>
      <c r="J1571" s="10"/>
      <c r="K1571" s="10"/>
      <c r="L1571" s="10"/>
      <c r="M1571" s="10"/>
      <c r="N1571" s="10"/>
      <c r="O1571" s="10"/>
      <c r="P1571" s="10"/>
      <c r="Q1571" s="10"/>
      <c r="R1571" s="10"/>
      <c r="S1571" s="10"/>
      <c r="T1571" s="10"/>
      <c r="U1571" s="10"/>
      <c r="V1571" s="10"/>
      <c r="W1571" s="10"/>
      <c r="X1571" s="10"/>
      <c r="Y1571" s="10"/>
      <c r="Z1571" s="10"/>
    </row>
    <row r="1572" spans="1:26" ht="12.75">
      <c r="A1572" s="10" t="str">
        <f ca="1">IFERROR(__xludf.DUMMYFUNCTION("""COMPUTED_VALUE"""),"Веселин Ценов Целков")</f>
        <v>Веселин Ценов Целков</v>
      </c>
      <c r="B1572" s="10" t="str">
        <f ca="1">IFERROR(__xludf.DUMMYFUNCTION("""COMPUTED_VALUE"""),"Статия в списания и поредици")</f>
        <v>Статия в списания и поредици</v>
      </c>
      <c r="C1572" s="10" t="str">
        <f ca="1">IFERROR(__xludf.DUMMYFUNCTION("""COMPUTED_VALUE"""),"Технологични схеми на взаимодействие в мрежи от МЕИМ")</f>
        <v>Технологични схеми на взаимодействие в мрежи от МЕИМ</v>
      </c>
      <c r="D1572" s="10">
        <f ca="1">IFERROR(__xludf.DUMMYFUNCTION("""COMPUTED_VALUE"""),1989)</f>
        <v>1989</v>
      </c>
      <c r="E1572" s="10" t="str">
        <f ca="1">IFERROR(__xludf.DUMMYFUNCTION("""COMPUTED_VALUE"""),"Юбилейна Научна Сесия на под. 24710, София, 1989 год.")</f>
        <v>Юбилейна Научна Сесия на под. 24710, София, 1989 год.</v>
      </c>
      <c r="F1572" s="10"/>
      <c r="G1572" s="10"/>
      <c r="H1572" s="10"/>
      <c r="I1572" s="10"/>
      <c r="J1572" s="10"/>
      <c r="K1572" s="10"/>
      <c r="L1572" s="10"/>
      <c r="M1572" s="10"/>
      <c r="N1572" s="10"/>
      <c r="O1572" s="10"/>
      <c r="P1572" s="10"/>
      <c r="Q1572" s="10"/>
      <c r="R1572" s="10"/>
      <c r="S1572" s="10"/>
      <c r="T1572" s="10"/>
      <c r="U1572" s="10"/>
      <c r="V1572" s="10"/>
      <c r="W1572" s="10"/>
      <c r="X1572" s="10"/>
      <c r="Y1572" s="10"/>
      <c r="Z1572" s="10"/>
    </row>
    <row r="1573" spans="1:26" ht="12.75">
      <c r="A1573" s="10" t="str">
        <f ca="1">IFERROR(__xludf.DUMMYFUNCTION("""COMPUTED_VALUE"""),"Веселин Ценов Целков")</f>
        <v>Веселин Ценов Целков</v>
      </c>
      <c r="B1573" s="10" t="str">
        <f ca="1">IFERROR(__xludf.DUMMYFUNCTION("""COMPUTED_VALUE"""),"Учебно пособие")</f>
        <v>Учебно пособие</v>
      </c>
      <c r="C1573" s="10" t="str">
        <f ca="1">IFERROR(__xludf.DUMMYFUNCTION("""COMPUTED_VALUE"""),"Реализация на метода на ортогонализацията върху специализиран процесор")</f>
        <v>Реализация на метода на ортогонализацията върху специализиран процесор</v>
      </c>
      <c r="D1573" s="10">
        <f ca="1">IFERROR(__xludf.DUMMYFUNCTION("""COMPUTED_VALUE"""),1989)</f>
        <v>1989</v>
      </c>
      <c r="E1573" s="10" t="str">
        <f ca="1">IFERROR(__xludf.DUMMYFUNCTION("""COMPUTED_VALUE"""),"Математика и математическо образование, София, БАН, 1989 год., стр. 540-545.")</f>
        <v>Математика и математическо образование, София, БАН, 1989 год., стр. 540-545.</v>
      </c>
      <c r="F1573" s="10"/>
      <c r="G1573" s="10" t="str">
        <f ca="1">IFERROR(__xludf.DUMMYFUNCTION("""COMPUTED_VALUE"""),"Целков В. и В. Целкова")</f>
        <v>Целков В. и В. Целкова</v>
      </c>
      <c r="H1573" s="10"/>
      <c r="I1573" s="10"/>
      <c r="J1573" s="10"/>
      <c r="K1573" s="10"/>
      <c r="L1573" s="10"/>
      <c r="M1573" s="10"/>
      <c r="N1573" s="10"/>
      <c r="O1573" s="10"/>
      <c r="P1573" s="10"/>
      <c r="Q1573" s="10"/>
      <c r="R1573" s="10"/>
      <c r="S1573" s="10"/>
      <c r="T1573" s="10"/>
      <c r="U1573" s="10"/>
      <c r="V1573" s="10"/>
      <c r="W1573" s="10"/>
      <c r="X1573" s="10"/>
      <c r="Y1573" s="10"/>
      <c r="Z1573" s="10"/>
    </row>
    <row r="1574" spans="1:26" ht="12.75">
      <c r="A1574" s="10" t="str">
        <f ca="1">IFERROR(__xludf.DUMMYFUNCTION("""COMPUTED_VALUE"""),"Веселин Ценов Целков")</f>
        <v>Веселин Ценов Целков</v>
      </c>
      <c r="B1574" s="10" t="str">
        <f ca="1">IFERROR(__xludf.DUMMYFUNCTION("""COMPUTED_VALUE"""),"Учебно пособие")</f>
        <v>Учебно пособие</v>
      </c>
      <c r="C1574" s="10" t="str">
        <f ca="1">IFERROR(__xludf.DUMMYFUNCTION("""COMPUTED_VALUE"""),"Генериране на сложни документи в автоматизираните системи за управление")</f>
        <v>Генериране на сложни документи в автоматизираните системи за управление</v>
      </c>
      <c r="D1574" s="10">
        <f ca="1">IFERROR(__xludf.DUMMYFUNCTION("""COMPUTED_VALUE"""),1989)</f>
        <v>1989</v>
      </c>
      <c r="E1574" s="10" t="str">
        <f ca="1">IFERROR(__xludf.DUMMYFUNCTION("""COMPUTED_VALUE"""),"Сб. трудове на под. 24710, 1989 год.")</f>
        <v>Сб. трудове на под. 24710, 1989 год.</v>
      </c>
      <c r="F1574" s="10"/>
      <c r="G1574" s="10" t="str">
        <f ca="1">IFERROR(__xludf.DUMMYFUNCTION("""COMPUTED_VALUE"""),"Целков В., Ц. Якимов и Д. Паргов")</f>
        <v>Целков В., Ц. Якимов и Д. Паргов</v>
      </c>
      <c r="H1574" s="10"/>
      <c r="I1574" s="10"/>
      <c r="J1574" s="10"/>
      <c r="K1574" s="10"/>
      <c r="L1574" s="10"/>
      <c r="M1574" s="10"/>
      <c r="N1574" s="10"/>
      <c r="O1574" s="10"/>
      <c r="P1574" s="10"/>
      <c r="Q1574" s="10"/>
      <c r="R1574" s="10"/>
      <c r="S1574" s="10"/>
      <c r="T1574" s="10"/>
      <c r="U1574" s="10"/>
      <c r="V1574" s="10"/>
      <c r="W1574" s="10"/>
      <c r="X1574" s="10"/>
      <c r="Y1574" s="10"/>
      <c r="Z1574" s="10"/>
    </row>
    <row r="1575" spans="1:26" ht="12.75">
      <c r="A1575" s="10" t="str">
        <f ca="1">IFERROR(__xludf.DUMMYFUNCTION("""COMPUTED_VALUE"""),"Веселин Ценов Целков")</f>
        <v>Веселин Ценов Целков</v>
      </c>
      <c r="B1575" s="10" t="str">
        <f ca="1">IFERROR(__xludf.DUMMYFUNCTION("""COMPUTED_VALUE"""),"Статия в списания и поредици")</f>
        <v>Статия в списания и поредици</v>
      </c>
      <c r="C1575" s="10" t="str">
        <f ca="1">IFERROR(__xludf.DUMMYFUNCTION("""COMPUTED_VALUE"""),"Програмни средства за защита на информацията в мрежи от МЕИМ")</f>
        <v>Програмни средства за защита на информацията в мрежи от МЕИМ</v>
      </c>
      <c r="D1575" s="10">
        <f ca="1">IFERROR(__xludf.DUMMYFUNCTION("""COMPUTED_VALUE"""),1989)</f>
        <v>1989</v>
      </c>
      <c r="E1575" s="10" t="str">
        <f ca="1">IFERROR(__xludf.DUMMYFUNCTION("""COMPUTED_VALUE"""),"Юбилейна научна сесия на под. 22810, София, 1989 год.")</f>
        <v>Юбилейна научна сесия на под. 22810, София, 1989 год.</v>
      </c>
      <c r="F1575" s="10"/>
      <c r="G1575" s="10" t="str">
        <f ca="1">IFERROR(__xludf.DUMMYFUNCTION("""COMPUTED_VALUE"""),"Целков В. и Д. Паргов")</f>
        <v>Целков В. и Д. Паргов</v>
      </c>
      <c r="H1575" s="10"/>
      <c r="I1575" s="10"/>
      <c r="J1575" s="10"/>
      <c r="K1575" s="10"/>
      <c r="L1575" s="10"/>
      <c r="M1575" s="10"/>
      <c r="N1575" s="10"/>
      <c r="O1575" s="10"/>
      <c r="P1575" s="10"/>
      <c r="Q1575" s="10"/>
      <c r="R1575" s="10"/>
      <c r="S1575" s="10"/>
      <c r="T1575" s="10"/>
      <c r="U1575" s="10"/>
      <c r="V1575" s="10"/>
      <c r="W1575" s="10"/>
      <c r="X1575" s="10"/>
      <c r="Y1575" s="10"/>
      <c r="Z1575" s="10"/>
    </row>
    <row r="1576" spans="1:26" ht="12.75">
      <c r="A1576" s="10" t="str">
        <f ca="1">IFERROR(__xludf.DUMMYFUNCTION("""COMPUTED_VALUE"""),"Веселин Ценов Целков")</f>
        <v>Веселин Ценов Целков</v>
      </c>
      <c r="B1576" s="10" t="str">
        <f ca="1">IFERROR(__xludf.DUMMYFUNCTION("""COMPUTED_VALUE"""),"Статия в списания и поредици")</f>
        <v>Статия в списания и поредици</v>
      </c>
      <c r="C1576" s="10" t="str">
        <f ca="1">IFERROR(__xludf.DUMMYFUNCTION("""COMPUTED_VALUE"""),"Използване на регионална мрежа от мини ЕИМ при изграждане на потребителска разпределена автоматизирана система")</f>
        <v>Използване на регионална мрежа от мини ЕИМ при изграждане на потребителска разпределена автоматизирана система</v>
      </c>
      <c r="D1576" s="10">
        <f ca="1">IFERROR(__xludf.DUMMYFUNCTION("""COMPUTED_VALUE"""),1989)</f>
        <v>1989</v>
      </c>
      <c r="E1576" s="10" t="str">
        <f ca="1">IFERROR(__xludf.DUMMYFUNCTION("""COMPUTED_VALUE"""),"Юбилейна научна сесия на под. 22810, 1989 год.")</f>
        <v>Юбилейна научна сесия на под. 22810, 1989 год.</v>
      </c>
      <c r="F1576" s="10"/>
      <c r="G1576" s="10" t="str">
        <f ca="1">IFERROR(__xludf.DUMMYFUNCTION("""COMPUTED_VALUE"""),"Целков В. и Ц. Якимов")</f>
        <v>Целков В. и Ц. Якимов</v>
      </c>
      <c r="H1576" s="10"/>
      <c r="I1576" s="10"/>
      <c r="J1576" s="10"/>
      <c r="K1576" s="10"/>
      <c r="L1576" s="10"/>
      <c r="M1576" s="10"/>
      <c r="N1576" s="10"/>
      <c r="O1576" s="10"/>
      <c r="P1576" s="10"/>
      <c r="Q1576" s="10"/>
      <c r="R1576" s="10"/>
      <c r="S1576" s="10"/>
      <c r="T1576" s="10"/>
      <c r="U1576" s="10"/>
      <c r="V1576" s="10"/>
      <c r="W1576" s="10"/>
      <c r="X1576" s="10"/>
      <c r="Y1576" s="10"/>
      <c r="Z1576" s="10"/>
    </row>
    <row r="1577" spans="1:26" ht="12.75">
      <c r="A1577" s="10" t="str">
        <f ca="1">IFERROR(__xludf.DUMMYFUNCTION("""COMPUTED_VALUE"""),"Веселин Ценов Целков")</f>
        <v>Веселин Ценов Целков</v>
      </c>
      <c r="B1577" s="10" t="str">
        <f ca="1">IFERROR(__xludf.DUMMYFUNCTION("""COMPUTED_VALUE"""),"Доклад от конференция")</f>
        <v>Доклад от конференция</v>
      </c>
      <c r="C1577" s="10" t="str">
        <f ca="1">IFERROR(__xludf.DUMMYFUNCTION("""COMPUTED_VALUE"""),"Една реализация на метода на квадратния корен върху специализиран процесор")</f>
        <v>Една реализация на метода на квадратния корен върху специализиран процесор</v>
      </c>
      <c r="D1577" s="10">
        <f ca="1">IFERROR(__xludf.DUMMYFUNCTION("""COMPUTED_VALUE"""),1989)</f>
        <v>1989</v>
      </c>
      <c r="E1577" s="10" t="str">
        <f ca="1">IFERROR(__xludf.DUMMYFUNCTION("""COMPUTED_VALUE"""),"Втора международна конференция по числени методи, София, БАН, 1989 год., стр.511-515")</f>
        <v>Втора международна конференция по числени методи, София, БАН, 1989 год., стр.511-515</v>
      </c>
      <c r="F1577" s="10"/>
      <c r="G1577" s="10" t="str">
        <f ca="1">IFERROR(__xludf.DUMMYFUNCTION("""COMPUTED_VALUE"""),"Целкова В. и В. Целков")</f>
        <v>Целкова В. и В. Целков</v>
      </c>
      <c r="H1577" s="10"/>
      <c r="I1577" s="10"/>
      <c r="J1577" s="10"/>
      <c r="K1577" s="10"/>
      <c r="L1577" s="10"/>
      <c r="M1577" s="10"/>
      <c r="N1577" s="10"/>
      <c r="O1577" s="10"/>
      <c r="P1577" s="10"/>
      <c r="Q1577" s="10"/>
      <c r="R1577" s="10"/>
      <c r="S1577" s="10"/>
      <c r="T1577" s="10"/>
      <c r="U1577" s="10"/>
      <c r="V1577" s="10"/>
      <c r="W1577" s="10"/>
      <c r="X1577" s="10"/>
      <c r="Y1577" s="10"/>
      <c r="Z1577" s="10"/>
    </row>
    <row r="1578" spans="1:26" ht="12.75">
      <c r="A1578" s="10" t="str">
        <f ca="1">IFERROR(__xludf.DUMMYFUNCTION("""COMPUTED_VALUE"""),"Веселин Ценов Целков")</f>
        <v>Веселин Ценов Целков</v>
      </c>
      <c r="B1578" s="10" t="str">
        <f ca="1">IFERROR(__xludf.DUMMYFUNCTION("""COMPUTED_VALUE"""),"Учебно пособие")</f>
        <v>Учебно пособие</v>
      </c>
      <c r="C1578" s="10" t="str">
        <f ca="1">IFERROR(__xludf.DUMMYFUNCTION("""COMPUTED_VALUE"""),"Е - мрежов модел на специализиран систоличен процесор")</f>
        <v>Е - мрежов модел на специализиран систоличен процесор</v>
      </c>
      <c r="D1578" s="10">
        <f ca="1">IFERROR(__xludf.DUMMYFUNCTION("""COMPUTED_VALUE"""),1989)</f>
        <v>1989</v>
      </c>
      <c r="E1578" s="10" t="str">
        <f ca="1">IFERROR(__xludf.DUMMYFUNCTION("""COMPUTED_VALUE"""),"XV Национална школа ""Приложението на математиката в техниката"" Сб. доклади и научни съобщения, Варна, 1989 год., стр. 256 - 260.")</f>
        <v>XV Национална школа "Приложението на математиката в техниката" Сб. доклади и научни съобщения, Варна, 1989 год., стр. 256 - 260.</v>
      </c>
      <c r="F1578" s="10"/>
      <c r="G1578" s="10" t="str">
        <f ca="1">IFERROR(__xludf.DUMMYFUNCTION("""COMPUTED_VALUE"""),"Целков В., В. Целкова и Д. Паргов")</f>
        <v>Целков В., В. Целкова и Д. Паргов</v>
      </c>
      <c r="H1578" s="10"/>
      <c r="I1578" s="10"/>
      <c r="J1578" s="10"/>
      <c r="K1578" s="10"/>
      <c r="L1578" s="10"/>
      <c r="M1578" s="10"/>
      <c r="N1578" s="10"/>
      <c r="O1578" s="10"/>
      <c r="P1578" s="10"/>
      <c r="Q1578" s="10"/>
      <c r="R1578" s="10"/>
      <c r="S1578" s="10"/>
      <c r="T1578" s="10"/>
      <c r="U1578" s="10"/>
      <c r="V1578" s="10"/>
      <c r="W1578" s="10"/>
      <c r="X1578" s="10"/>
      <c r="Y1578" s="10"/>
      <c r="Z1578" s="10"/>
    </row>
    <row r="1579" spans="1:26" ht="12.75">
      <c r="A1579" s="10" t="str">
        <f ca="1">IFERROR(__xludf.DUMMYFUNCTION("""COMPUTED_VALUE"""),"Веселин Ценов Целков")</f>
        <v>Веселин Ценов Целков</v>
      </c>
      <c r="B1579" s="10" t="str">
        <f ca="1">IFERROR(__xludf.DUMMYFUNCTION("""COMPUTED_VALUE"""),"Учебно пособие")</f>
        <v>Учебно пособие</v>
      </c>
      <c r="C1579" s="10" t="str">
        <f ca="1">IFERROR(__xludf.DUMMYFUNCTION("""COMPUTED_VALUE"""),"Ефективни структури и подходи за определяне на въздействията върху групи от обекти с йерархична подчиненост")</f>
        <v>Ефективни структури и подходи за определяне на въздействията върху групи от обекти с йерархична подчиненост</v>
      </c>
      <c r="D1579" s="10">
        <f ca="1">IFERROR(__xludf.DUMMYFUNCTION("""COMPUTED_VALUE"""),1989)</f>
        <v>1989</v>
      </c>
      <c r="E1579" s="10" t="str">
        <f ca="1">IFERROR(__xludf.DUMMYFUNCTION("""COMPUTED_VALUE"""),"ЮНС на под. 24710, 1989 год.")</f>
        <v>ЮНС на под. 24710, 1989 год.</v>
      </c>
      <c r="F1579" s="10"/>
      <c r="G1579" s="10" t="str">
        <f ca="1">IFERROR(__xludf.DUMMYFUNCTION("""COMPUTED_VALUE"""),"Целков В. и Ф. Стоянов")</f>
        <v>Целков В. и Ф. Стоянов</v>
      </c>
      <c r="H1579" s="10"/>
      <c r="I1579" s="10"/>
      <c r="J1579" s="10"/>
      <c r="K1579" s="10"/>
      <c r="L1579" s="10"/>
      <c r="M1579" s="10"/>
      <c r="N1579" s="10"/>
      <c r="O1579" s="10"/>
      <c r="P1579" s="10"/>
      <c r="Q1579" s="10"/>
      <c r="R1579" s="10"/>
      <c r="S1579" s="10"/>
      <c r="T1579" s="10"/>
      <c r="U1579" s="10"/>
      <c r="V1579" s="10"/>
      <c r="W1579" s="10"/>
      <c r="X1579" s="10"/>
      <c r="Y1579" s="10"/>
      <c r="Z1579" s="10"/>
    </row>
    <row r="1580" spans="1:26" ht="12.75">
      <c r="A1580" s="10" t="str">
        <f ca="1">IFERROR(__xludf.DUMMYFUNCTION("""COMPUTED_VALUE"""),"Веселин Ценов Целков")</f>
        <v>Веселин Ценов Целков</v>
      </c>
      <c r="B1580" s="10" t="str">
        <f ca="1">IFERROR(__xludf.DUMMYFUNCTION("""COMPUTED_VALUE"""),"Учебно пособие")</f>
        <v>Учебно пособие</v>
      </c>
      <c r="C1580" s="10" t="str">
        <f ca="1">IFERROR(__xludf.DUMMYFUNCTION("""COMPUTED_VALUE"""),"Интелектуална система за генериране на сложни документи")</f>
        <v>Интелектуална система за генериране на сложни документи</v>
      </c>
      <c r="D1580" s="10">
        <f ca="1">IFERROR(__xludf.DUMMYFUNCTION("""COMPUTED_VALUE"""),1988)</f>
        <v>1988</v>
      </c>
      <c r="E1580" s="10" t="str">
        <f ca="1">IFERROR(__xludf.DUMMYFUNCTION("""COMPUTED_VALUE"""),"ЮНС-под.22810, София, 1988 год.")</f>
        <v>ЮНС-под.22810, София, 1988 год.</v>
      </c>
      <c r="F1580" s="10"/>
      <c r="G1580" s="10" t="str">
        <f ca="1">IFERROR(__xludf.DUMMYFUNCTION("""COMPUTED_VALUE"""),"Целков В. и Д. Паргов")</f>
        <v>Целков В. и Д. Паргов</v>
      </c>
      <c r="H1580" s="10"/>
      <c r="I1580" s="10"/>
      <c r="J1580" s="10"/>
      <c r="K1580" s="10"/>
      <c r="L1580" s="10"/>
      <c r="M1580" s="10"/>
      <c r="N1580" s="10"/>
      <c r="O1580" s="10"/>
      <c r="P1580" s="10"/>
      <c r="Q1580" s="10"/>
      <c r="R1580" s="10"/>
      <c r="S1580" s="10"/>
      <c r="T1580" s="10"/>
      <c r="U1580" s="10"/>
      <c r="V1580" s="10"/>
      <c r="W1580" s="10"/>
      <c r="X1580" s="10"/>
      <c r="Y1580" s="10"/>
      <c r="Z1580" s="10"/>
    </row>
    <row r="1581" spans="1:26" ht="12.75">
      <c r="A1581" s="10" t="str">
        <f ca="1">IFERROR(__xludf.DUMMYFUNCTION("""COMPUTED_VALUE"""),"Веселин Ценов Целков")</f>
        <v>Веселин Ценов Целков</v>
      </c>
      <c r="B1581" s="10" t="str">
        <f ca="1">IFERROR(__xludf.DUMMYFUNCTION("""COMPUTED_VALUE"""),"Учебно пособие")</f>
        <v>Учебно пособие</v>
      </c>
      <c r="C1581" s="10" t="str">
        <f ca="1">IFERROR(__xludf.DUMMYFUNCTION("""COMPUTED_VALUE"""),"Разпределени изчислителни процеси. Формален модел за описание и анализ.")</f>
        <v>Разпределени изчислителни процеси. Формален модел за описание и анализ.</v>
      </c>
      <c r="D1581" s="10">
        <f ca="1">IFERROR(__xludf.DUMMYFUNCTION("""COMPUTED_VALUE"""),1988)</f>
        <v>1988</v>
      </c>
      <c r="E1581" s="10" t="str">
        <f ca="1">IFERROR(__xludf.DUMMYFUNCTION("""COMPUTED_VALUE"""),"Юбилейна Научна Сесия на ВНВАУ - Шумен, 1988год.")</f>
        <v>Юбилейна Научна Сесия на ВНВАУ - Шумен, 1988год.</v>
      </c>
      <c r="F1581" s="10"/>
      <c r="G1581" s="10"/>
      <c r="H1581" s="10"/>
      <c r="I1581" s="10"/>
      <c r="J1581" s="10"/>
      <c r="K1581" s="10"/>
      <c r="L1581" s="10"/>
      <c r="M1581" s="10"/>
      <c r="N1581" s="10"/>
      <c r="O1581" s="10"/>
      <c r="P1581" s="10"/>
      <c r="Q1581" s="10"/>
      <c r="R1581" s="10"/>
      <c r="S1581" s="10"/>
      <c r="T1581" s="10"/>
      <c r="U1581" s="10"/>
      <c r="V1581" s="10"/>
      <c r="W1581" s="10"/>
      <c r="X1581" s="10"/>
      <c r="Y1581" s="10"/>
      <c r="Z1581" s="10"/>
    </row>
    <row r="1582" spans="1:26" ht="12.75">
      <c r="A1582" s="10" t="str">
        <f ca="1">IFERROR(__xludf.DUMMYFUNCTION("""COMPUTED_VALUE"""),"Веселин Ценов Целков")</f>
        <v>Веселин Ценов Целков</v>
      </c>
      <c r="B1582" s="10" t="str">
        <f ca="1">IFERROR(__xludf.DUMMYFUNCTION("""COMPUTED_VALUE"""),"Учебно пособие")</f>
        <v>Учебно пособие</v>
      </c>
      <c r="C1582" s="10" t="str">
        <f ca="1">IFERROR(__xludf.DUMMYFUNCTION("""COMPUTED_VALUE"""),"Разпределени изчислителни процеси. Изисквания към средствата за описание и възможност за програмна реализация")</f>
        <v>Разпределени изчислителни процеси. Изисквания към средствата за описание и възможност за програмна реализация</v>
      </c>
      <c r="D1582" s="10">
        <f ca="1">IFERROR(__xludf.DUMMYFUNCTION("""COMPUTED_VALUE"""),1988)</f>
        <v>1988</v>
      </c>
      <c r="E1582" s="10" t="str">
        <f ca="1">IFERROR(__xludf.DUMMYFUNCTION("""COMPUTED_VALUE"""),"Юбилейна Научна Сесия на ВНВАУ - Шумен 1988год.")</f>
        <v>Юбилейна Научна Сесия на ВНВАУ - Шумен 1988год.</v>
      </c>
      <c r="F1582" s="10"/>
      <c r="G1582" s="10"/>
      <c r="H1582" s="10"/>
      <c r="I1582" s="10"/>
      <c r="J1582" s="10"/>
      <c r="K1582" s="10"/>
      <c r="L1582" s="10"/>
      <c r="M1582" s="10"/>
      <c r="N1582" s="10"/>
      <c r="O1582" s="10"/>
      <c r="P1582" s="10"/>
      <c r="Q1582" s="10"/>
      <c r="R1582" s="10"/>
      <c r="S1582" s="10"/>
      <c r="T1582" s="10"/>
      <c r="U1582" s="10"/>
      <c r="V1582" s="10"/>
      <c r="W1582" s="10"/>
      <c r="X1582" s="10"/>
      <c r="Y1582" s="10"/>
      <c r="Z1582" s="10"/>
    </row>
    <row r="1583" spans="1:26" ht="12.75">
      <c r="A1583" s="10" t="str">
        <f ca="1">IFERROR(__xludf.DUMMYFUNCTION("""COMPUTED_VALUE"""),"Веселин Ценов Целков")</f>
        <v>Веселин Ценов Целков</v>
      </c>
      <c r="B1583" s="10" t="str">
        <f ca="1">IFERROR(__xludf.DUMMYFUNCTION("""COMPUTED_VALUE"""),"Статия в списания и поредици")</f>
        <v>Статия в списания и поредици</v>
      </c>
      <c r="C1583" s="10" t="str">
        <f ca="1">IFERROR(__xludf.DUMMYFUNCTION("""COMPUTED_VALUE"""),"Подходи, възможности и програмно осигуряване за графично изобразяване на обстановката в АСУ след застрашаващи събития")</f>
        <v>Подходи, възможности и програмно осигуряване за графично изобразяване на обстановката в АСУ след застрашаващи събития</v>
      </c>
      <c r="D1583" s="10">
        <f ca="1">IFERROR(__xludf.DUMMYFUNCTION("""COMPUTED_VALUE"""),1988)</f>
        <v>1988</v>
      </c>
      <c r="E1583" s="10" t="str">
        <f ca="1">IFERROR(__xludf.DUMMYFUNCTION("""COMPUTED_VALUE"""),"ЮНС ВНВАУ Шумен, 1988г.")</f>
        <v>ЮНС ВНВАУ Шумен, 1988г.</v>
      </c>
      <c r="F1583" s="10"/>
      <c r="G1583" s="10" t="str">
        <f ca="1">IFERROR(__xludf.DUMMYFUNCTION("""COMPUTED_VALUE"""),"Целков В. и Ц. Якимов")</f>
        <v>Целков В. и Ц. Якимов</v>
      </c>
      <c r="H1583" s="10"/>
      <c r="I1583" s="10"/>
      <c r="J1583" s="10"/>
      <c r="K1583" s="10"/>
      <c r="L1583" s="10"/>
      <c r="M1583" s="10"/>
      <c r="N1583" s="10"/>
      <c r="O1583" s="10"/>
      <c r="P1583" s="10"/>
      <c r="Q1583" s="10"/>
      <c r="R1583" s="10"/>
      <c r="S1583" s="10"/>
      <c r="T1583" s="10"/>
      <c r="U1583" s="10"/>
      <c r="V1583" s="10"/>
      <c r="W1583" s="10"/>
      <c r="X1583" s="10"/>
      <c r="Y1583" s="10"/>
      <c r="Z1583" s="10"/>
    </row>
    <row r="1584" spans="1:26" ht="12.75">
      <c r="A1584" s="10" t="str">
        <f ca="1">IFERROR(__xludf.DUMMYFUNCTION("""COMPUTED_VALUE"""),"Веселин Ценов Целков")</f>
        <v>Веселин Ценов Целков</v>
      </c>
      <c r="B1584" s="10" t="str">
        <f ca="1">IFERROR(__xludf.DUMMYFUNCTION("""COMPUTED_VALUE"""),"Статия в списания и поредици")</f>
        <v>Статия в списания и поредици</v>
      </c>
      <c r="C1584" s="10" t="str">
        <f ca="1">IFERROR(__xludf.DUMMYFUNCTION("""COMPUTED_VALUE"""),"Приложни програми за обработка на графична информация при изобразяване на радиационна обстановка")</f>
        <v>Приложни програми за обработка на графична информация при изобразяване на радиационна обстановка</v>
      </c>
      <c r="D1584" s="10">
        <f ca="1">IFERROR(__xludf.DUMMYFUNCTION("""COMPUTED_VALUE"""),1987)</f>
        <v>1987</v>
      </c>
      <c r="E1584" s="10" t="str">
        <f ca="1">IFERROR(__xludf.DUMMYFUNCTION("""COMPUTED_VALUE"""),"под.24710, София, 1987 год.")</f>
        <v>под.24710, София, 1987 год.</v>
      </c>
      <c r="F1584" s="10"/>
      <c r="G1584" s="10" t="str">
        <f ca="1">IFERROR(__xludf.DUMMYFUNCTION("""COMPUTED_VALUE"""),"Гаев С. и В. Целков")</f>
        <v>Гаев С. и В. Целков</v>
      </c>
      <c r="H1584" s="10"/>
      <c r="I1584" s="10"/>
      <c r="J1584" s="10"/>
      <c r="K1584" s="10"/>
      <c r="L1584" s="10"/>
      <c r="M1584" s="10"/>
      <c r="N1584" s="10"/>
      <c r="O1584" s="10"/>
      <c r="P1584" s="10"/>
      <c r="Q1584" s="10"/>
      <c r="R1584" s="10"/>
      <c r="S1584" s="10"/>
      <c r="T1584" s="10"/>
      <c r="U1584" s="10"/>
      <c r="V1584" s="10"/>
      <c r="W1584" s="10"/>
      <c r="X1584" s="10"/>
      <c r="Y1584" s="10"/>
      <c r="Z1584" s="10"/>
    </row>
    <row r="1585" spans="1:26" ht="12.75">
      <c r="A1585" s="10" t="str">
        <f ca="1">IFERROR(__xludf.DUMMYFUNCTION("""COMPUTED_VALUE"""),"Веселин Ценов Целков")</f>
        <v>Веселин Ценов Целков</v>
      </c>
      <c r="B1585" s="10" t="str">
        <f ca="1">IFERROR(__xludf.DUMMYFUNCTION("""COMPUTED_VALUE"""),"Статия в списания и поредици")</f>
        <v>Статия в списания и поредици</v>
      </c>
      <c r="C1585" s="10" t="str">
        <f ca="1">IFERROR(__xludf.DUMMYFUNCTION("""COMPUTED_VALUE"""),"Моделиране процесите на оценка на обстановката при използване на оръжия за масово поразяване")</f>
        <v>Моделиране процесите на оценка на обстановката при използване на оръжия за масово поразяване</v>
      </c>
      <c r="D1585" s="10">
        <f ca="1">IFERROR(__xludf.DUMMYFUNCTION("""COMPUTED_VALUE"""),1987)</f>
        <v>1987</v>
      </c>
      <c r="E1585" s="10" t="str">
        <f ca="1">IFERROR(__xludf.DUMMYFUNCTION("""COMPUTED_VALUE"""),"ЮНС ВВУ ""В. Левски"", В. Търново, 1987 год., Научни трудове, Книжка 6, стр. 166-171.")</f>
        <v>ЮНС ВВУ "В. Левски", В. Търново, 1987 год., Научни трудове, Книжка 6, стр. 166-171.</v>
      </c>
      <c r="F1585" s="10"/>
      <c r="G1585" s="10" t="str">
        <f ca="1">IFERROR(__xludf.DUMMYFUNCTION("""COMPUTED_VALUE"""),"Новаков В., В. Целков и др.")</f>
        <v>Новаков В., В. Целков и др.</v>
      </c>
      <c r="H1585" s="10"/>
      <c r="I1585" s="10"/>
      <c r="J1585" s="10"/>
      <c r="K1585" s="10"/>
      <c r="L1585" s="10"/>
      <c r="M1585" s="10"/>
      <c r="N1585" s="10"/>
      <c r="O1585" s="10"/>
      <c r="P1585" s="10"/>
      <c r="Q1585" s="10"/>
      <c r="R1585" s="10"/>
      <c r="S1585" s="10"/>
      <c r="T1585" s="10"/>
      <c r="U1585" s="10"/>
      <c r="V1585" s="10"/>
      <c r="W1585" s="10"/>
      <c r="X1585" s="10"/>
      <c r="Y1585" s="10"/>
      <c r="Z1585" s="10"/>
    </row>
    <row r="1586" spans="1:26" ht="12.75">
      <c r="A1586" s="10" t="str">
        <f ca="1">IFERROR(__xludf.DUMMYFUNCTION("""COMPUTED_VALUE"""),"Веселин Ценов Целков")</f>
        <v>Веселин Ценов Целков</v>
      </c>
      <c r="B1586" s="10" t="str">
        <f ca="1">IFERROR(__xludf.DUMMYFUNCTION("""COMPUTED_VALUE"""),"Статия в списания и поредици")</f>
        <v>Статия в списания и поредици</v>
      </c>
      <c r="C1586" s="10" t="str">
        <f ca="1">IFERROR(__xludf.DUMMYFUNCTION("""COMPUTED_VALUE"""),"Модел на интерфейса между транспортното и мрежово нива в рамките на комплекс ""РА""")</f>
        <v>Модел на интерфейса между транспортното и мрежово нива в рамките на комплекс "РА"</v>
      </c>
      <c r="D1586" s="10">
        <f ca="1">IFERROR(__xludf.DUMMYFUNCTION("""COMPUTED_VALUE"""),1987)</f>
        <v>1987</v>
      </c>
      <c r="E1586" s="10" t="str">
        <f ca="1">IFERROR(__xludf.DUMMYFUNCTION("""COMPUTED_VALUE"""),"ЮНС ВМЕИ Габрово 1987год.")</f>
        <v>ЮНС ВМЕИ Габрово 1987год.</v>
      </c>
      <c r="F1586" s="10"/>
      <c r="G1586" s="10" t="str">
        <f ca="1">IFERROR(__xludf.DUMMYFUNCTION("""COMPUTED_VALUE"""),"Целков В. и А. Безменов")</f>
        <v>Целков В. и А. Безменов</v>
      </c>
      <c r="H1586" s="10"/>
      <c r="I1586" s="10"/>
      <c r="J1586" s="10"/>
      <c r="K1586" s="10"/>
      <c r="L1586" s="10"/>
      <c r="M1586" s="10"/>
      <c r="N1586" s="10"/>
      <c r="O1586" s="10"/>
      <c r="P1586" s="10"/>
      <c r="Q1586" s="10"/>
      <c r="R1586" s="10"/>
      <c r="S1586" s="10"/>
      <c r="T1586" s="10"/>
      <c r="U1586" s="10"/>
      <c r="V1586" s="10"/>
      <c r="W1586" s="10"/>
      <c r="X1586" s="10"/>
      <c r="Y1586" s="10"/>
      <c r="Z1586" s="10"/>
    </row>
    <row r="1587" spans="1:26" ht="12.75">
      <c r="A1587" s="10" t="str">
        <f ca="1">IFERROR(__xludf.DUMMYFUNCTION("""COMPUTED_VALUE"""),"Веселин Ценов Целков")</f>
        <v>Веселин Ценов Целков</v>
      </c>
      <c r="B1587" s="10" t="str">
        <f ca="1">IFERROR(__xludf.DUMMYFUNCTION("""COMPUTED_VALUE"""),"Учебно пособие")</f>
        <v>Учебно пособие</v>
      </c>
      <c r="C1587" s="10" t="str">
        <f ca="1">IFERROR(__xludf.DUMMYFUNCTION("""COMPUTED_VALUE"""),"Метод за получаване на контурите при оцветяване на равнината")</f>
        <v>Метод за получаване на контурите при оцветяване на равнината</v>
      </c>
      <c r="D1587" s="10">
        <f ca="1">IFERROR(__xludf.DUMMYFUNCTION("""COMPUTED_VALUE"""),1987)</f>
        <v>1987</v>
      </c>
      <c r="E1587" s="10" t="str">
        <f ca="1">IFERROR(__xludf.DUMMYFUNCTION("""COMPUTED_VALUE"""),"Сб. трудове на под. 24710, 1987 год.")</f>
        <v>Сб. трудове на под. 24710, 1987 год.</v>
      </c>
      <c r="F1587" s="10"/>
      <c r="G1587" s="10" t="str">
        <f ca="1">IFERROR(__xludf.DUMMYFUNCTION("""COMPUTED_VALUE"""),"Гаев С., В Целков и Ц. Якимов")</f>
        <v>Гаев С., В Целков и Ц. Якимов</v>
      </c>
      <c r="H1587" s="10"/>
      <c r="I1587" s="10"/>
      <c r="J1587" s="10"/>
      <c r="K1587" s="10"/>
      <c r="L1587" s="10"/>
      <c r="M1587" s="10"/>
      <c r="N1587" s="10"/>
      <c r="O1587" s="10"/>
      <c r="P1587" s="10"/>
      <c r="Q1587" s="10"/>
      <c r="R1587" s="10"/>
      <c r="S1587" s="10"/>
      <c r="T1587" s="10"/>
      <c r="U1587" s="10"/>
      <c r="V1587" s="10"/>
      <c r="W1587" s="10"/>
      <c r="X1587" s="10"/>
      <c r="Y1587" s="10"/>
      <c r="Z1587" s="10"/>
    </row>
    <row r="1588" spans="1:26" ht="12.75">
      <c r="A1588" s="10" t="str">
        <f ca="1">IFERROR(__xludf.DUMMYFUNCTION("""COMPUTED_VALUE"""),"Веселин Ценов Целков")</f>
        <v>Веселин Ценов Целков</v>
      </c>
      <c r="B1588" s="10" t="str">
        <f ca="1">IFERROR(__xludf.DUMMYFUNCTION("""COMPUTED_VALUE"""),"Статия в списания и поредици")</f>
        <v>Статия в списания и поредици</v>
      </c>
      <c r="C1588" s="10" t="str">
        <f ca="1">IFERROR(__xludf.DUMMYFUNCTION("""COMPUTED_VALUE"""),"Математическо и програмно осигуряване на потребителска разпределена автоматизирана система за работа в реално време. Структура и модели на функциониране")</f>
        <v>Математическо и програмно осигуряване на потребителска разпределена автоматизирана система за работа в реално време. Структура и модели на функциониране</v>
      </c>
      <c r="D1588" s="10">
        <f ca="1">IFERROR(__xludf.DUMMYFUNCTION("""COMPUTED_VALUE"""),1987)</f>
        <v>1987</v>
      </c>
      <c r="E1588" s="10" t="str">
        <f ca="1">IFERROR(__xludf.DUMMYFUNCTION("""COMPUTED_VALUE"""),"ЮНС ВМЕИ - Габрово и ВВАУ - Шумен, Габрово, 4-6.11.1987 год.")</f>
        <v>ЮНС ВМЕИ - Габрово и ВВАУ - Шумен, Габрово, 4-6.11.1987 год.</v>
      </c>
      <c r="F1588" s="10"/>
      <c r="G1588" s="10"/>
      <c r="H1588" s="10"/>
      <c r="I1588" s="10"/>
      <c r="J1588" s="10"/>
      <c r="K1588" s="10"/>
      <c r="L1588" s="10"/>
      <c r="M1588" s="10"/>
      <c r="N1588" s="10"/>
      <c r="O1588" s="10"/>
      <c r="P1588" s="10"/>
      <c r="Q1588" s="10"/>
      <c r="R1588" s="10"/>
      <c r="S1588" s="10"/>
      <c r="T1588" s="10"/>
      <c r="U1588" s="10"/>
      <c r="V1588" s="10"/>
      <c r="W1588" s="10"/>
      <c r="X1588" s="10"/>
      <c r="Y1588" s="10"/>
      <c r="Z1588" s="10"/>
    </row>
    <row r="1589" spans="1:26" ht="12.75">
      <c r="A1589" s="10" t="str">
        <f ca="1">IFERROR(__xludf.DUMMYFUNCTION("""COMPUTED_VALUE"""),"Веселин Ценов Целков")</f>
        <v>Веселин Ценов Целков</v>
      </c>
      <c r="B1589" s="10" t="str">
        <f ca="1">IFERROR(__xludf.DUMMYFUNCTION("""COMPUTED_VALUE"""),"Учебно пособие")</f>
        <v>Учебно пособие</v>
      </c>
      <c r="C1589" s="10" t="str">
        <f ca="1">IFERROR(__xludf.DUMMYFUNCTION("""COMPUTED_VALUE"""),"Организация и разработка Гибких Автоматизированных Учрежденских Систем (ГАУС)")</f>
        <v>Организация и разработка Гибких Автоматизированных Учрежденских Систем (ГАУС)</v>
      </c>
      <c r="D1589" s="10">
        <f ca="1">IFERROR(__xludf.DUMMYFUNCTION("""COMPUTED_VALUE"""),1987)</f>
        <v>1987</v>
      </c>
      <c r="E1589" s="10" t="str">
        <f ca="1">IFERROR(__xludf.DUMMYFUNCTION("""COMPUTED_VALUE"""),"ПЕРСКОМП, 1987г.")</f>
        <v>ПЕРСКОМП, 1987г.</v>
      </c>
      <c r="F1589" s="10"/>
      <c r="G1589" s="10" t="str">
        <f ca="1">IFERROR(__xludf.DUMMYFUNCTION("""COMPUTED_VALUE"""),"104. Безменов А., В. Целков и др.")</f>
        <v>104. Безменов А., В. Целков и др.</v>
      </c>
      <c r="H1589" s="10"/>
      <c r="I1589" s="10"/>
      <c r="J1589" s="10"/>
      <c r="K1589" s="10"/>
      <c r="L1589" s="10"/>
      <c r="M1589" s="10"/>
      <c r="N1589" s="10"/>
      <c r="O1589" s="10"/>
      <c r="P1589" s="10"/>
      <c r="Q1589" s="10"/>
      <c r="R1589" s="10"/>
      <c r="S1589" s="10"/>
      <c r="T1589" s="10"/>
      <c r="U1589" s="10"/>
      <c r="V1589" s="10"/>
      <c r="W1589" s="10"/>
      <c r="X1589" s="10"/>
      <c r="Y1589" s="10"/>
      <c r="Z1589" s="10"/>
    </row>
    <row r="1590" spans="1:26" ht="12.75">
      <c r="A1590" s="10" t="str">
        <f ca="1">IFERROR(__xludf.DUMMYFUNCTION("""COMPUTED_VALUE"""),"Веселин Ценов Целков")</f>
        <v>Веселин Ценов Целков</v>
      </c>
      <c r="B1590" s="10" t="str">
        <f ca="1">IFERROR(__xludf.DUMMYFUNCTION("""COMPUTED_VALUE"""),"Статия в списания и поредици")</f>
        <v>Статия в списания и поредици</v>
      </c>
      <c r="C1590" s="10" t="str">
        <f ca="1">IFERROR(__xludf.DUMMYFUNCTION("""COMPUTED_VALUE"""),"Реализирани структури при предаване на данни в мрежи от ЕИМ и моделирането им чрез мрежи на Петри")</f>
        <v>Реализирани структури при предаване на данни в мрежи от ЕИМ и моделирането им чрез мрежи на Петри</v>
      </c>
      <c r="D1590" s="10">
        <f ca="1">IFERROR(__xludf.DUMMYFUNCTION("""COMPUTED_VALUE"""),1987)</f>
        <v>1987</v>
      </c>
      <c r="E1590" s="10" t="str">
        <f ca="1">IFERROR(__xludf.DUMMYFUNCTION("""COMPUTED_VALUE"""),"ЮНС ВНВУ ""В. Левски"", 1987г.")</f>
        <v>ЮНС ВНВУ "В. Левски", 1987г.</v>
      </c>
      <c r="F1590" s="10"/>
      <c r="G1590" s="10" t="str">
        <f ca="1">IFERROR(__xludf.DUMMYFUNCTION("""COMPUTED_VALUE"""),"Безменов А. и В. Целков")</f>
        <v>Безменов А. и В. Целков</v>
      </c>
      <c r="H1590" s="10"/>
      <c r="I1590" s="10"/>
      <c r="J1590" s="10"/>
      <c r="K1590" s="10"/>
      <c r="L1590" s="10"/>
      <c r="M1590" s="10"/>
      <c r="N1590" s="10"/>
      <c r="O1590" s="10"/>
      <c r="P1590" s="10"/>
      <c r="Q1590" s="10"/>
      <c r="R1590" s="10"/>
      <c r="S1590" s="10"/>
      <c r="T1590" s="10"/>
      <c r="U1590" s="10"/>
      <c r="V1590" s="10"/>
      <c r="W1590" s="10"/>
      <c r="X1590" s="10"/>
      <c r="Y1590" s="10"/>
      <c r="Z1590" s="10"/>
    </row>
    <row r="1591" spans="1:26" ht="12.75">
      <c r="A1591" s="10" t="str">
        <f ca="1">IFERROR(__xludf.DUMMYFUNCTION("""COMPUTED_VALUE"""),"Веселин Ценов Целков")</f>
        <v>Веселин Ценов Целков</v>
      </c>
      <c r="B1591" s="10" t="str">
        <f ca="1">IFERROR(__xludf.DUMMYFUNCTION("""COMPUTED_VALUE"""),"Статия в списания и поредици")</f>
        <v>Статия в списания и поредици</v>
      </c>
      <c r="C1591" s="10" t="str">
        <f ca="1">IFERROR(__xludf.DUMMYFUNCTION("""COMPUTED_VALUE"""),"Design and Implementation of a Knowledge Representation System in the Multiple Computer Complex ""RA""")</f>
        <v>Design and Implementation of a Knowledge Representation System in the Multiple Computer Complex "RA"</v>
      </c>
      <c r="D1591" s="10">
        <f ca="1">IFERROR(__xludf.DUMMYFUNCTION("""COMPUTED_VALUE"""),1986)</f>
        <v>1986</v>
      </c>
      <c r="E1591" s="10" t="str">
        <f ca="1">IFERROR(__xludf.DUMMYFUNCTION("""COMPUTED_VALUE"""),"AIMSA 86.")</f>
        <v>AIMSA 86.</v>
      </c>
      <c r="F1591" s="10"/>
      <c r="G1591" s="10" t="str">
        <f ca="1">IFERROR(__xludf.DUMMYFUNCTION("""COMPUTED_VALUE"""),"Bezmenov A., Tselkov V.")</f>
        <v>Bezmenov A., Tselkov V.</v>
      </c>
      <c r="H1591" s="10"/>
      <c r="I1591" s="10"/>
      <c r="J1591" s="10"/>
      <c r="K1591" s="10"/>
      <c r="L1591" s="10"/>
      <c r="M1591" s="10"/>
      <c r="N1591" s="10"/>
      <c r="O1591" s="10"/>
      <c r="P1591" s="10"/>
      <c r="Q1591" s="10"/>
      <c r="R1591" s="10"/>
      <c r="S1591" s="10"/>
      <c r="T1591" s="10"/>
      <c r="U1591" s="10"/>
      <c r="V1591" s="10"/>
      <c r="W1591" s="10"/>
      <c r="X1591" s="10"/>
      <c r="Y1591" s="10"/>
      <c r="Z1591" s="10"/>
    </row>
    <row r="1592" spans="1:26" ht="12.75">
      <c r="A1592" s="10" t="str">
        <f ca="1">IFERROR(__xludf.DUMMYFUNCTION("""COMPUTED_VALUE"""),"Веселин Ценов Целков")</f>
        <v>Веселин Ценов Целков</v>
      </c>
      <c r="B1592" s="10" t="str">
        <f ca="1">IFERROR(__xludf.DUMMYFUNCTION("""COMPUTED_VALUE"""),"Учебно пособие")</f>
        <v>Учебно пособие</v>
      </c>
      <c r="C1592" s="10" t="str">
        <f ca="1">IFERROR(__xludf.DUMMYFUNCTION("""COMPUTED_VALUE"""),"Назначение и модели на функционирането на математическото и програмно осигуряване на ЕАСО ""ПРЕСЛАВ""")</f>
        <v>Назначение и модели на функционирането на математическото и програмно осигуряване на ЕАСО "ПРЕСЛАВ"</v>
      </c>
      <c r="D1592" s="10">
        <f ca="1">IFERROR(__xludf.DUMMYFUNCTION("""COMPUTED_VALUE"""),1986)</f>
        <v>1986</v>
      </c>
      <c r="E1592" s="10" t="str">
        <f ca="1">IFERROR(__xludf.DUMMYFUNCTION("""COMPUTED_VALUE"""),"Сб. трудове на под. 24710, 1986 год.")</f>
        <v>Сб. трудове на под. 24710, 1986 год.</v>
      </c>
      <c r="F1592" s="10"/>
      <c r="G1592" s="10" t="str">
        <f ca="1">IFERROR(__xludf.DUMMYFUNCTION("""COMPUTED_VALUE"""),"Киселов К. и В. Целков")</f>
        <v>Киселов К. и В. Целков</v>
      </c>
      <c r="H1592" s="10"/>
      <c r="I1592" s="10"/>
      <c r="J1592" s="10"/>
      <c r="K1592" s="10"/>
      <c r="L1592" s="10"/>
      <c r="M1592" s="10"/>
      <c r="N1592" s="10"/>
      <c r="O1592" s="10"/>
      <c r="P1592" s="10"/>
      <c r="Q1592" s="10"/>
      <c r="R1592" s="10"/>
      <c r="S1592" s="10"/>
      <c r="T1592" s="10"/>
      <c r="U1592" s="10"/>
      <c r="V1592" s="10"/>
      <c r="W1592" s="10"/>
      <c r="X1592" s="10"/>
      <c r="Y1592" s="10"/>
      <c r="Z1592" s="10"/>
    </row>
    <row r="1593" spans="1:26" ht="12.75">
      <c r="A1593" s="10" t="str">
        <f ca="1">IFERROR(__xludf.DUMMYFUNCTION("""COMPUTED_VALUE"""),"Веселин Ценов Целков")</f>
        <v>Веселин Ценов Целков</v>
      </c>
      <c r="B1593" s="10" t="str">
        <f ca="1">IFERROR(__xludf.DUMMYFUNCTION("""COMPUTED_VALUE"""),"Учебно пособие")</f>
        <v>Учебно пособие</v>
      </c>
      <c r="C1593" s="10" t="str">
        <f ca="1">IFERROR(__xludf.DUMMYFUNCTION("""COMPUTED_VALUE"""),"Алгоритми за установяване на отношение между точки и многоъгълници в равнина")</f>
        <v>Алгоритми за установяване на отношение между точки и многоъгълници в равнина</v>
      </c>
      <c r="D1593" s="10">
        <f ca="1">IFERROR(__xludf.DUMMYFUNCTION("""COMPUTED_VALUE"""),1986)</f>
        <v>1986</v>
      </c>
      <c r="E1593" s="10" t="str">
        <f ca="1">IFERROR(__xludf.DUMMYFUNCTION("""COMPUTED_VALUE"""),"Сб. трудове на под. 24710, 1986 год.")</f>
        <v>Сб. трудове на под. 24710, 1986 год.</v>
      </c>
      <c r="F1593" s="10"/>
      <c r="G1593" s="10" t="str">
        <f ca="1">IFERROR(__xludf.DUMMYFUNCTION("""COMPUTED_VALUE"""),"Целков В. и Д. Паргов")</f>
        <v>Целков В. и Д. Паргов</v>
      </c>
      <c r="H1593" s="10"/>
      <c r="I1593" s="10"/>
      <c r="J1593" s="10"/>
      <c r="K1593" s="10"/>
      <c r="L1593" s="10"/>
      <c r="M1593" s="10"/>
      <c r="N1593" s="10"/>
      <c r="O1593" s="10"/>
      <c r="P1593" s="10"/>
      <c r="Q1593" s="10"/>
      <c r="R1593" s="10"/>
      <c r="S1593" s="10"/>
      <c r="T1593" s="10"/>
      <c r="U1593" s="10"/>
      <c r="V1593" s="10"/>
      <c r="W1593" s="10"/>
      <c r="X1593" s="10"/>
      <c r="Y1593" s="10"/>
      <c r="Z1593" s="10"/>
    </row>
    <row r="1594" spans="1:26" ht="12.75">
      <c r="A1594" s="10" t="str">
        <f ca="1">IFERROR(__xludf.DUMMYFUNCTION("""COMPUTED_VALUE"""),"Веселин Ценов Целков")</f>
        <v>Веселин Ценов Целков</v>
      </c>
      <c r="B1594" s="10" t="str">
        <f ca="1">IFERROR(__xludf.DUMMYFUNCTION("""COMPUTED_VALUE"""),"Учебно пособие")</f>
        <v>Учебно пособие</v>
      </c>
      <c r="C1594" s="10" t="str">
        <f ca="1">IFERROR(__xludf.DUMMYFUNCTION("""COMPUTED_VALUE"""),"Алгоритми за изпъкнали многоъгълници, сп. Математика")</f>
        <v>Алгоритми за изпъкнали многоъгълници, сп. Математика</v>
      </c>
      <c r="D1594" s="10">
        <f ca="1">IFERROR(__xludf.DUMMYFUNCTION("""COMPUTED_VALUE"""),1985)</f>
        <v>1985</v>
      </c>
      <c r="E1594" s="10" t="str">
        <f ca="1">IFERROR(__xludf.DUMMYFUNCTION("""COMPUTED_VALUE"""),"1985 год. бр.4.")</f>
        <v>1985 год. бр.4.</v>
      </c>
      <c r="F1594" s="10"/>
      <c r="G1594" s="10" t="str">
        <f ca="1">IFERROR(__xludf.DUMMYFUNCTION("""COMPUTED_VALUE"""),"Целков В. и Д. Паргов")</f>
        <v>Целков В. и Д. Паргов</v>
      </c>
      <c r="H1594" s="10"/>
      <c r="I1594" s="10"/>
      <c r="J1594" s="10"/>
      <c r="K1594" s="10"/>
      <c r="L1594" s="10"/>
      <c r="M1594" s="10"/>
      <c r="N1594" s="10"/>
      <c r="O1594" s="10"/>
      <c r="P1594" s="10"/>
      <c r="Q1594" s="10"/>
      <c r="R1594" s="10"/>
      <c r="S1594" s="10"/>
      <c r="T1594" s="10"/>
      <c r="U1594" s="10"/>
      <c r="V1594" s="10"/>
      <c r="W1594" s="10"/>
      <c r="X1594" s="10"/>
      <c r="Y1594" s="10"/>
      <c r="Z1594" s="10"/>
    </row>
    <row r="1595" spans="1:26" ht="12.75">
      <c r="A1595" s="10" t="str">
        <f ca="1">IFERROR(__xludf.DUMMYFUNCTION("""COMPUTED_VALUE"""),"Веселин Ценов Целков")</f>
        <v>Веселин Ценов Целков</v>
      </c>
      <c r="B1595" s="10" t="str">
        <f ca="1">IFERROR(__xludf.DUMMYFUNCTION("""COMPUTED_VALUE"""),"Статия в списания и поредици")</f>
        <v>Статия в списания и поредици</v>
      </c>
      <c r="C1595" s="10" t="str">
        <f ca="1">IFERROR(__xludf.DUMMYFUNCTION("""COMPUTED_VALUE"""),"Някои свойства на крайните множества използувани при решаването на задачи от определен вид")</f>
        <v>Някои свойства на крайните множества използувани при решаването на задачи от определен вид</v>
      </c>
      <c r="D1595" s="10">
        <f ca="1">IFERROR(__xludf.DUMMYFUNCTION("""COMPUTED_VALUE"""),1983)</f>
        <v>1983</v>
      </c>
      <c r="E1595" s="10" t="str">
        <f ca="1">IFERROR(__xludf.DUMMYFUNCTION("""COMPUTED_VALUE"""),"ЮНС ""100 години от рождението на акад. Иван Ценов"", Враца, 1983 год., том 2, стр. 169 - 176")</f>
        <v>ЮНС "100 години от рождението на акад. Иван Ценов", Враца, 1983 год., том 2, стр. 169 - 176</v>
      </c>
      <c r="F1595" s="10"/>
      <c r="G1595" s="10"/>
      <c r="H1595" s="10"/>
      <c r="I1595" s="10"/>
      <c r="J1595" s="10"/>
      <c r="K1595" s="10"/>
      <c r="L1595" s="10"/>
      <c r="M1595" s="10"/>
      <c r="N1595" s="10"/>
      <c r="O1595" s="10"/>
      <c r="P1595" s="10"/>
      <c r="Q1595" s="10"/>
      <c r="R1595" s="10"/>
      <c r="S1595" s="10"/>
      <c r="T1595" s="10"/>
      <c r="U1595" s="10"/>
      <c r="V1595" s="10"/>
      <c r="W1595" s="10"/>
      <c r="X1595" s="10"/>
      <c r="Y1595" s="10"/>
      <c r="Z1595" s="10"/>
    </row>
    <row r="1596" spans="1:26" ht="12.75">
      <c r="A1596" s="10" t="str">
        <f ca="1">IFERROR(__xludf.DUMMYFUNCTION("""COMPUTED_VALUE"""),"Веселин Ценов Целков")</f>
        <v>Веселин Ценов Целков</v>
      </c>
      <c r="B1596" s="10" t="str">
        <f ca="1">IFERROR(__xludf.DUMMYFUNCTION("""COMPUTED_VALUE"""),"Статия в списания и поредици")</f>
        <v>Статия в списания и поредици</v>
      </c>
      <c r="C1596" s="10" t="str">
        <f ca="1">IFERROR(__xludf.DUMMYFUNCTION("""COMPUTED_VALUE"""),"Intuitionistic Modal Logics Contradicting The Rieger - Nishimura Logics")</f>
        <v>Intuitionistic Modal Logics Contradicting The Rieger - Nishimura Logics</v>
      </c>
      <c r="D1596" s="10">
        <f ca="1">IFERROR(__xludf.DUMMYFUNCTION("""COMPUTED_VALUE"""),1983)</f>
        <v>1983</v>
      </c>
      <c r="E1596" s="10" t="str">
        <f ca="1">IFERROR(__xludf.DUMMYFUNCTION("""COMPUTED_VALUE"""),"Математика и математическо образование, София, БАН, 1983 год., стр.133-139")</f>
        <v>Математика и математическо образование, София, БАН, 1983 год., стр.133-139</v>
      </c>
      <c r="F1596" s="10"/>
      <c r="G1596" s="10" t="str">
        <f ca="1">IFERROR(__xludf.DUMMYFUNCTION("""COMPUTED_VALUE"""),"Tselkov, V.")</f>
        <v>Tselkov, V.</v>
      </c>
      <c r="H1596" s="10"/>
      <c r="I1596" s="10"/>
      <c r="J1596" s="10"/>
      <c r="K1596" s="10"/>
      <c r="L1596" s="10"/>
      <c r="M1596" s="10"/>
      <c r="N1596" s="10"/>
      <c r="O1596" s="10"/>
      <c r="P1596" s="10"/>
      <c r="Q1596" s="10"/>
      <c r="R1596" s="10"/>
      <c r="S1596" s="10"/>
      <c r="T1596" s="10"/>
      <c r="U1596" s="10"/>
      <c r="V1596" s="10"/>
      <c r="W1596" s="10"/>
      <c r="X1596" s="10"/>
      <c r="Y1596" s="10"/>
      <c r="Z1596" s="10"/>
    </row>
    <row r="1597" spans="1:26" ht="12.75">
      <c r="A1597" s="10" t="str">
        <f ca="1">IFERROR(__xludf.DUMMYFUNCTION("""COMPUTED_VALUE"""),"Владимир Симов Йоцов")</f>
        <v>Владимир Симов Йоцов</v>
      </c>
      <c r="B1597" s="10" t="str">
        <f ca="1">IFERROR(__xludf.DUMMYFUNCTION("""COMPUTED_VALUE"""),"Доклад от конференция")</f>
        <v>Доклад от конференция</v>
      </c>
      <c r="C1597" s="10" t="str">
        <f ca="1">IFERROR(__xludf.DUMMYFUNCTION("""COMPUTED_VALUE"""),"ЛОГИЧЕСКИЕ ПРИНЦИПы АВТОНОМНОГО УПРАВЛЕНИЯ В ИНТЕЛЛЕКТУАЛьНыХ СИСТЕМАХ КИБЕРБЕЗОПАСНОСТИ")</f>
        <v>ЛОГИЧЕСКИЕ ПРИНЦИПы АВТОНОМНОГО УПРАВЛЕНИЯ В ИНТЕЛЛЕКТУАЛьНыХ СИСТЕМАХ КИБЕРБЕЗОПАСНОСТИ</v>
      </c>
      <c r="D1597" s="10">
        <f ca="1">IFERROR(__xludf.DUMMYFUNCTION("""COMPUTED_VALUE"""),2019)</f>
        <v>2019</v>
      </c>
      <c r="E1597" s="10" t="str">
        <f ca="1">IFERROR(__xludf.DUMMYFUNCTION("""COMPUTED_VALUE"""),"Труды международной научно-практической конференции «V Уркумбаевские чтения», Таразский государственный университет имени М.Х. Дулати 22-23 ноября 2019 года (Пленарен доклад, под печат)")</f>
        <v>Труды международной научно-практической конференции «V Уркумбаевские чтения», Таразский государственный университет имени М.Х. Дулати 22-23 ноября 2019 года (Пленарен доклад, под печат)</v>
      </c>
      <c r="F1597" s="10"/>
      <c r="G1597" s="10" t="str">
        <f ca="1">IFERROR(__xludf.DUMMYFUNCTION("""COMPUTED_VALUE"""),"Туленбаев М.")</f>
        <v>Туленбаев М.</v>
      </c>
      <c r="H1597" s="10"/>
      <c r="I1597" s="10"/>
      <c r="J1597" s="10"/>
      <c r="K1597" s="10"/>
      <c r="L1597" s="10"/>
      <c r="M1597" s="10"/>
      <c r="N1597" s="10"/>
      <c r="O1597" s="10"/>
      <c r="P1597" s="10"/>
      <c r="Q1597" s="10"/>
      <c r="R1597" s="10"/>
      <c r="S1597" s="10"/>
      <c r="T1597" s="10"/>
      <c r="U1597" s="10"/>
      <c r="V1597" s="10"/>
      <c r="W1597" s="10"/>
      <c r="X1597" s="10"/>
      <c r="Y1597" s="10"/>
      <c r="Z1597" s="10"/>
    </row>
    <row r="1598" spans="1:26" ht="12.75">
      <c r="A1598" s="10" t="str">
        <f ca="1">IFERROR(__xludf.DUMMYFUNCTION("""COMPUTED_VALUE"""),"Владимир Симов Йоцов")</f>
        <v>Владимир Симов Йоцов</v>
      </c>
      <c r="B1598" s="10" t="str">
        <f ca="1">IFERROR(__xludf.DUMMYFUNCTION("""COMPUTED_VALUE"""),"Доклад от конференция")</f>
        <v>Доклад от конференция</v>
      </c>
      <c r="C1598" s="10" t="str">
        <f ca="1">IFERROR(__xludf.DUMMYFUNCTION("""COMPUTED_VALUE"""),"Blockchain Solutions for Multi-Agent Robotic Systems: Related Work and Open questions")</f>
        <v>Blockchain Solutions for Multi-Agent Robotic Systems: Related Work and Open questions</v>
      </c>
      <c r="D1598" s="10">
        <f ca="1">IFERROR(__xludf.DUMMYFUNCTION("""COMPUTED_VALUE"""),2019)</f>
        <v>2019</v>
      </c>
      <c r="E1598" s="10" t="str">
        <f ca="1">IFERROR(__xludf.DUMMYFUNCTION("""COMPUTED_VALUE"""),"Proceedings of the 24th Conference of OpenRussia — April 08 - 12, 2019, FRUCT Oy Helsinki, Finland ©2019, ISSN 2305-7254, ISBN 978-952-68653-8-6, FRUCT Oy, e-ISSN 2343-0737 (license CC BY-ND), https://dl.acm.org/citation.cfm?id=3338366, ISSN 2305-7254, IS"&amp;"BN 978-952-68653-8-6, FRUCT Oy, e-ISSN")</f>
        <v>Proceedings of the 24th Conference of OpenRussia — April 08 - 12, 2019, FRUCT Oy Helsinki, Finland ©2019, ISSN 2305-7254, ISBN 978-952-68653-8-6, FRUCT Oy, e-ISSN 2343-0737 (license CC BY-ND), https://dl.acm.org/citation.cfm?id=3338366, ISSN 2305-7254, ISBN 978-952-68653-8-6, FRUCT Oy, e-ISSN</v>
      </c>
      <c r="F1598" s="10" t="str">
        <f ca="1">IFERROR(__xludf.DUMMYFUNCTION("""COMPUTED_VALUE"""),"ACM Digital Library")</f>
        <v>ACM Digital Library</v>
      </c>
      <c r="G1598" s="10" t="str">
        <f ca="1">IFERROR(__xludf.DUMMYFUNCTION("""COMPUTED_VALUE"""),"Afanasyev I., Kolotov A., Rezin R., Danilov K., Kashevnik A.")</f>
        <v>Afanasyev I., Kolotov A., Rezin R., Danilov K., Kashevnik A.</v>
      </c>
      <c r="H1598" s="10"/>
      <c r="I1598" s="10"/>
      <c r="J1598" s="10"/>
      <c r="K1598" s="10"/>
      <c r="L1598" s="10"/>
      <c r="M1598" s="10"/>
      <c r="N1598" s="10"/>
      <c r="O1598" s="10"/>
      <c r="P1598" s="10"/>
      <c r="Q1598" s="10"/>
      <c r="R1598" s="10"/>
      <c r="S1598" s="10"/>
      <c r="T1598" s="10"/>
      <c r="U1598" s="10"/>
      <c r="V1598" s="10"/>
      <c r="W1598" s="10"/>
      <c r="X1598" s="10"/>
      <c r="Y1598" s="10"/>
      <c r="Z1598" s="10"/>
    </row>
    <row r="1599" spans="1:26" ht="12.75">
      <c r="A1599" s="10" t="str">
        <f ca="1">IFERROR(__xludf.DUMMYFUNCTION("""COMPUTED_VALUE"""),"Владимир Симов Йоцов")</f>
        <v>Владимир Симов Йоцов</v>
      </c>
      <c r="B1599" s="10" t="str">
        <f ca="1">IFERROR(__xludf.DUMMYFUNCTION("""COMPUTED_VALUE"""),"Доклад от конференция")</f>
        <v>Доклад от конференция</v>
      </c>
      <c r="C1599" s="10" t="str">
        <f ca="1">IFERROR(__xludf.DUMMYFUNCTION("""COMPUTED_VALUE"""),"Puzzle Methods for Automatic Selection of Data Cleansing Techniques. // In Proc. 9th International IEEE Conference on Intelligent Systems, Funchal, Madeira Island, September 25-27, 2018")</f>
        <v>Puzzle Methods for Automatic Selection of Data Cleansing Techniques. // In Proc. 9th International IEEE Conference on Intelligent Systems, Funchal, Madeira Island, September 25-27, 2018</v>
      </c>
      <c r="D1599" s="10">
        <f ca="1">IFERROR(__xludf.DUMMYFUNCTION("""COMPUTED_VALUE"""),2018)</f>
        <v>2018</v>
      </c>
      <c r="E1599" s="10" t="str">
        <f ca="1">IFERROR(__xludf.DUMMYFUNCTION("""COMPUTED_VALUE"""),"Proc. 2018 IEEE 9th International Conference on Intelligent Systems, Madeira Island, September 25-27, 2018 (in print)")</f>
        <v>Proc. 2018 IEEE 9th International Conference on Intelligent Systems, Madeira Island, September 25-27, 2018 (in print)</v>
      </c>
      <c r="F1599" s="10" t="str">
        <f ca="1">IFERROR(__xludf.DUMMYFUNCTION("""COMPUTED_VALUE"""),"IE Compendex, Scopus, библиотеката на амер. конгрес")</f>
        <v>IE Compendex, Scopus, библиотеката на амер. конгрес</v>
      </c>
      <c r="G1599" s="10" t="str">
        <f ca="1">IFERROR(__xludf.DUMMYFUNCTION("""COMPUTED_VALUE"""),"Petrova P., Sgurev V.")</f>
        <v>Petrova P., Sgurev V.</v>
      </c>
      <c r="H1599" s="10"/>
      <c r="I1599" s="10"/>
      <c r="J1599" s="10"/>
      <c r="K1599" s="10"/>
      <c r="L1599" s="10"/>
      <c r="M1599" s="10"/>
      <c r="N1599" s="10"/>
      <c r="O1599" s="10"/>
      <c r="P1599" s="10"/>
      <c r="Q1599" s="10"/>
      <c r="R1599" s="10"/>
      <c r="S1599" s="10"/>
      <c r="T1599" s="10"/>
      <c r="U1599" s="10"/>
      <c r="V1599" s="10"/>
      <c r="W1599" s="10"/>
      <c r="X1599" s="10"/>
      <c r="Y1599" s="10"/>
      <c r="Z1599" s="10"/>
    </row>
    <row r="1600" spans="1:26" ht="12.75">
      <c r="A1600" s="10" t="str">
        <f ca="1">IFERROR(__xludf.DUMMYFUNCTION("""COMPUTED_VALUE"""),"Владимир Симов Йоцов")</f>
        <v>Владимир Симов Йоцов</v>
      </c>
      <c r="B1600" s="10" t="str">
        <f ca="1">IFERROR(__xludf.DUMMYFUNCTION("""COMPUTED_VALUE"""),"Глава от колективна монография")</f>
        <v>Глава от колективна монография</v>
      </c>
      <c r="C1600" s="10" t="str">
        <f ca="1">IFERROR(__xludf.DUMMYFUNCTION("""COMPUTED_VALUE"""),"Decreasing Influence of the Error Due to Acquired Inhomogeneity of Sensors by the Means of Artificial Intelligence.")</f>
        <v>Decreasing Influence of the Error Due to Acquired Inhomogeneity of Sensors by the Means of Artificial Intelligence.</v>
      </c>
      <c r="D1600" s="10">
        <f ca="1">IFERROR(__xludf.DUMMYFUNCTION("""COMPUTED_VALUE"""),2018)</f>
        <v>2018</v>
      </c>
      <c r="E1600" s="10" t="str">
        <f ca="1">IFERROR(__xludf.DUMMYFUNCTION("""COMPUTED_VALUE"""),"V. Sgurev, V. Jotsov, J. Kacprzyk (Eds.), Springer, NY Berlin Heidelberg, Springer Series Studies in Systems, Decision and Control, ISSN 2198-4182, ISBN 978-3-319-78436-6, 2018, p. 89-130")</f>
        <v>V. Sgurev, V. Jotsov, J. Kacprzyk (Eds.), Springer, NY Berlin Heidelberg, Springer Series Studies in Systems, Decision and Control, ISSN 2198-4182, ISBN 978-3-319-78436-6, 2018, p. 89-130</v>
      </c>
      <c r="F1600" s="10" t="str">
        <f ca="1">IFERROR(__xludf.DUMMYFUNCTION("""COMPUTED_VALUE"""),"Scopus")</f>
        <v>Scopus</v>
      </c>
      <c r="G1600" s="10" t="str">
        <f ca="1">IFERROR(__xludf.DUMMYFUNCTION("""COMPUTED_VALUE"""),"O. Kochan, S. Jun")</f>
        <v>O. Kochan, S. Jun</v>
      </c>
      <c r="H1600" s="10"/>
      <c r="I1600" s="10"/>
      <c r="J1600" s="10"/>
      <c r="K1600" s="10"/>
      <c r="L1600" s="10"/>
      <c r="M1600" s="10"/>
      <c r="N1600" s="10"/>
      <c r="O1600" s="10"/>
      <c r="P1600" s="10"/>
      <c r="Q1600" s="10"/>
      <c r="R1600" s="10"/>
      <c r="S1600" s="10"/>
      <c r="T1600" s="10"/>
      <c r="U1600" s="10"/>
      <c r="V1600" s="10"/>
      <c r="W1600" s="10"/>
      <c r="X1600" s="10"/>
      <c r="Y1600" s="10"/>
      <c r="Z1600" s="10"/>
    </row>
    <row r="1601" spans="1:26" ht="12.75">
      <c r="A1601" s="10" t="str">
        <f ca="1">IFERROR(__xludf.DUMMYFUNCTION("""COMPUTED_VALUE"""),"Владимир Симов Йоцов")</f>
        <v>Владимир Симов Йоцов</v>
      </c>
      <c r="B1601" s="10" t="str">
        <f ca="1">IFERROR(__xludf.DUMMYFUNCTION("""COMPUTED_VALUE"""),"Глава от колективна монография")</f>
        <v>Глава от колективна монография</v>
      </c>
      <c r="C1601" s="10" t="str">
        <f ca="1">IFERROR(__xludf.DUMMYFUNCTION("""COMPUTED_VALUE"""),"Learning Through Constraint Applications")</f>
        <v>Learning Through Constraint Applications</v>
      </c>
      <c r="D1601" s="10">
        <f ca="1">IFERROR(__xludf.DUMMYFUNCTION("""COMPUTED_VALUE"""),2018)</f>
        <v>2018</v>
      </c>
      <c r="E1601" s="10" t="str">
        <f ca="1">IFERROR(__xludf.DUMMYFUNCTION("""COMPUTED_VALUE"""),"Learning Systems: From Theory to Practice. V.Sgurev, V. Piuri, V. Jotsov (Eds.), Springer, Series Studies in Computational Intelligence, NY Berlin Heidelberg, DOI 0.1007/978-3-319-75181-8, vol. 756, 2018, p. 149-168 (ISBN: 978-3-319-75180-1)")</f>
        <v>Learning Systems: From Theory to Practice. V.Sgurev, V. Piuri, V. Jotsov (Eds.), Springer, Series Studies in Computational Intelligence, NY Berlin Heidelberg, DOI 0.1007/978-3-319-75181-8, vol. 756, 2018, p. 149-168 (ISBN: 978-3-319-75180-1)</v>
      </c>
      <c r="F1601" s="10" t="str">
        <f ca="1">IFERROR(__xludf.DUMMYFUNCTION("""COMPUTED_VALUE"""),"Scopus")</f>
        <v>Scopus</v>
      </c>
      <c r="G1601" s="10" t="str">
        <f ca="1">IFERROR(__xludf.DUMMYFUNCTION("""COMPUTED_VALUE"""),"Iliev, E., Petrova, P.")</f>
        <v>Iliev, E., Petrova, P.</v>
      </c>
      <c r="H1601" s="10"/>
      <c r="I1601" s="10"/>
      <c r="J1601" s="10"/>
      <c r="K1601" s="10"/>
      <c r="L1601" s="10"/>
      <c r="M1601" s="10"/>
      <c r="N1601" s="10"/>
      <c r="O1601" s="10"/>
      <c r="P1601" s="10"/>
      <c r="Q1601" s="10"/>
      <c r="R1601" s="10"/>
      <c r="S1601" s="10"/>
      <c r="T1601" s="10"/>
      <c r="U1601" s="10"/>
      <c r="V1601" s="10"/>
      <c r="W1601" s="10"/>
      <c r="X1601" s="10"/>
      <c r="Y1601" s="10"/>
      <c r="Z1601" s="10"/>
    </row>
    <row r="1602" spans="1:26" ht="12.75">
      <c r="A1602" s="10" t="str">
        <f ca="1">IFERROR(__xludf.DUMMYFUNCTION("""COMPUTED_VALUE"""),"Владимир Симов Йоцов")</f>
        <v>Владимир Симов Йоцов</v>
      </c>
      <c r="B1602" s="10" t="str">
        <f ca="1">IFERROR(__xludf.DUMMYFUNCTION("""COMPUTED_VALUE"""),"Доклад от конференция")</f>
        <v>Доклад от конференция</v>
      </c>
      <c r="C1602" s="10" t="str">
        <f ca="1">IFERROR(__xludf.DUMMYFUNCTION("""COMPUTED_VALUE"""),"Network Flow Interpretation Of Artificial Neural Networks")</f>
        <v>Network Flow Interpretation Of Artificial Neural Networks</v>
      </c>
      <c r="D1602" s="10">
        <f ca="1">IFERROR(__xludf.DUMMYFUNCTION("""COMPUTED_VALUE"""),2018)</f>
        <v>2018</v>
      </c>
      <c r="E1602" s="10" t="str">
        <f ca="1">IFERROR(__xludf.DUMMYFUNCTION("""COMPUTED_VALUE"""),"Proc. 2018 IEEE 9th International Conference on Intelligent Systems, Madeira Island, September 25-27, 2018")</f>
        <v>Proc. 2018 IEEE 9th International Conference on Intelligent Systems, Madeira Island, September 25-27, 2018</v>
      </c>
      <c r="F1602" s="10" t="str">
        <f ca="1">IFERROR(__xludf.DUMMYFUNCTION("""COMPUTED_VALUE"""),"IE Compendex, Scopus, библиотеката на амер. конгрес")</f>
        <v>IE Compendex, Scopus, библиотеката на амер. конгрес</v>
      </c>
      <c r="G1602" s="10" t="str">
        <f ca="1">IFERROR(__xludf.DUMMYFUNCTION("""COMPUTED_VALUE"""),"Sgurev V., Drangajov S.")</f>
        <v>Sgurev V., Drangajov S.</v>
      </c>
      <c r="H1602" s="10"/>
      <c r="I1602" s="10"/>
      <c r="J1602" s="10"/>
      <c r="K1602" s="10"/>
      <c r="L1602" s="10"/>
      <c r="M1602" s="10"/>
      <c r="N1602" s="10"/>
      <c r="O1602" s="10"/>
      <c r="P1602" s="10"/>
      <c r="Q1602" s="10"/>
      <c r="R1602" s="10"/>
      <c r="S1602" s="10"/>
      <c r="T1602" s="10"/>
      <c r="U1602" s="10"/>
      <c r="V1602" s="10"/>
      <c r="W1602" s="10"/>
      <c r="X1602" s="10"/>
      <c r="Y1602" s="10"/>
      <c r="Z1602" s="10"/>
    </row>
    <row r="1603" spans="1:26" ht="12.75">
      <c r="A1603" s="10" t="str">
        <f ca="1">IFERROR(__xludf.DUMMYFUNCTION("""COMPUTED_VALUE"""),"Владимир Симов Йоцов")</f>
        <v>Владимир Симов Йоцов</v>
      </c>
      <c r="B1603" s="10" t="str">
        <f ca="1">IFERROR(__xludf.DUMMYFUNCTION("""COMPUTED_VALUE"""),"Доклад от конференция")</f>
        <v>Доклад от конференция</v>
      </c>
      <c r="C1603" s="10" t="str">
        <f ca="1">IFERROR(__xludf.DUMMYFUNCTION("""COMPUTED_VALUE"""),"Node-Based System For Optimizing The Process Of Creation Of Intelligent Agents For Intrusion Detection And Analysis")</f>
        <v>Node-Based System For Optimizing The Process Of Creation Of Intelligent Agents For Intrusion Detection And Analysis</v>
      </c>
      <c r="D1603" s="10">
        <f ca="1">IFERROR(__xludf.DUMMYFUNCTION("""COMPUTED_VALUE"""),2018)</f>
        <v>2018</v>
      </c>
      <c r="E1603" s="10" t="str">
        <f ca="1">IFERROR(__xludf.DUMMYFUNCTION("""COMPUTED_VALUE"""),"Proc. 2018 IEEE 9th International Conference on Intelligent Systems, Madeira Island, September 25-27, 2018")</f>
        <v>Proc. 2018 IEEE 9th International Conference on Intelligent Systems, Madeira Island, September 25-27, 2018</v>
      </c>
      <c r="F1603" s="10" t="str">
        <f ca="1">IFERROR(__xludf.DUMMYFUNCTION("""COMPUTED_VALUE"""),"IE Compendex, Scopus, библиотеката на амер. конгрес")</f>
        <v>IE Compendex, Scopus, библиотеката на амер. конгрес</v>
      </c>
      <c r="G1603" s="10" t="str">
        <f ca="1">IFERROR(__xludf.DUMMYFUNCTION("""COMPUTED_VALUE"""),"I. Marinova")</f>
        <v>I. Marinova</v>
      </c>
      <c r="H1603" s="10"/>
      <c r="I1603" s="10"/>
      <c r="J1603" s="10"/>
      <c r="K1603" s="10"/>
      <c r="L1603" s="10"/>
      <c r="M1603" s="10"/>
      <c r="N1603" s="10"/>
      <c r="O1603" s="10"/>
      <c r="P1603" s="10"/>
      <c r="Q1603" s="10"/>
      <c r="R1603" s="10"/>
      <c r="S1603" s="10"/>
      <c r="T1603" s="10"/>
      <c r="U1603" s="10"/>
      <c r="V1603" s="10"/>
      <c r="W1603" s="10"/>
      <c r="X1603" s="10"/>
      <c r="Y1603" s="10"/>
      <c r="Z1603" s="10"/>
    </row>
    <row r="1604" spans="1:26" ht="12.75">
      <c r="A1604" s="10" t="str">
        <f ca="1">IFERROR(__xludf.DUMMYFUNCTION("""COMPUTED_VALUE"""),"Владимир Симов Йоцов")</f>
        <v>Владимир Симов Йоцов</v>
      </c>
      <c r="B1604" s="10" t="str">
        <f ca="1">IFERROR(__xludf.DUMMYFUNCTION("""COMPUTED_VALUE"""),"Статия в списания и поредици")</f>
        <v>Статия в списания и поредици</v>
      </c>
      <c r="C1604" s="10" t="str">
        <f ca="1">IFERROR(__xludf.DUMMYFUNCTION("""COMPUTED_VALUE"""),"Guest Editorial: Journal of Internet Technologies (JIT, China), Advanced Algorithms and Techniques for Engineering Applications V Jotsov, KT Chui, H Zhu - 網際網路技術學刊, 2017 - airitilibrary.com")</f>
        <v>Guest Editorial: Journal of Internet Technologies (JIT, China), Advanced Algorithms and Techniques for Engineering Applications V Jotsov, KT Chui, H Zhu - 網際網路技術學刊, 2017 - airitilibrary.com</v>
      </c>
      <c r="D1604" s="10">
        <f ca="1">IFERROR(__xludf.DUMMYFUNCTION("""COMPUTED_VALUE"""),2017)</f>
        <v>2017</v>
      </c>
      <c r="E1604" s="10" t="str">
        <f ca="1">IFERROR(__xludf.DUMMYFUNCTION("""COMPUTED_VALUE"""),"От Китай: 每個DOI號前面加上 「 http://dx.doi.org/ 」 便成為永久網址。 如以DOI號為 10.5297/ser.1201.002 的文獻為例，此文獻的永久連結便是： http://dx.doi.org/ 10.5297/ser.1201.002 。 日後不論出版單位如何更動此文獻位置，永久連結所指向的位置皆會即時更新，不再錯失重要的研究")</f>
        <v>От Китай: 每個DOI號前面加上 「 http://dx.doi.org/ 」 便成為永久網址。 如以DOI號為 10.5297/ser.1201.002 的文獻為例，此文獻的永久連結便是： http://dx.doi.org/ 10.5297/ser.1201.002 。 日後不論出版單位如何更動此文獻位置，永久連結所指向的位置皆會即時更新，不再錯失重要的研究</v>
      </c>
      <c r="F1604" s="10" t="str">
        <f ca="1">IFERROR(__xludf.DUMMYFUNCTION("""COMPUTED_VALUE"""),"Web of Science")</f>
        <v>Web of Science</v>
      </c>
      <c r="G1604" s="10" t="str">
        <f ca="1">IFERROR(__xludf.DUMMYFUNCTION("""COMPUTED_VALUE"""),"Chiu K., Zhu H.")</f>
        <v>Chiu K., Zhu H.</v>
      </c>
      <c r="H1604" s="10"/>
      <c r="I1604" s="10"/>
      <c r="J1604" s="10"/>
      <c r="K1604" s="10"/>
      <c r="L1604" s="10"/>
      <c r="M1604" s="10"/>
      <c r="N1604" s="10"/>
      <c r="O1604" s="10"/>
      <c r="P1604" s="10"/>
      <c r="Q1604" s="10"/>
      <c r="R1604" s="10"/>
      <c r="S1604" s="10"/>
      <c r="T1604" s="10"/>
      <c r="U1604" s="10"/>
      <c r="V1604" s="10"/>
      <c r="W1604" s="10"/>
      <c r="X1604" s="10"/>
      <c r="Y1604" s="10"/>
      <c r="Z1604" s="10"/>
    </row>
    <row r="1605" spans="1:26" ht="12.75">
      <c r="A1605" s="10" t="str">
        <f ca="1">IFERROR(__xludf.DUMMYFUNCTION("""COMPUTED_VALUE"""),"Владимир Симов Йоцов")</f>
        <v>Владимир Симов Йоцов</v>
      </c>
      <c r="B1605" s="10" t="str">
        <f ca="1">IFERROR(__xludf.DUMMYFUNCTION("""COMPUTED_VALUE"""),"Книга")</f>
        <v>Книга</v>
      </c>
      <c r="C1605" s="10" t="str">
        <f ca="1">IFERROR(__xludf.DUMMYFUNCTION("""COMPUTED_VALUE"""),"Innovative Issues in Intelligent Systems")</f>
        <v>Innovative Issues in Intelligent Systems</v>
      </c>
      <c r="D1605" s="10">
        <f ca="1">IFERROR(__xludf.DUMMYFUNCTION("""COMPUTED_VALUE"""),2016)</f>
        <v>2016</v>
      </c>
      <c r="E1605" s="10" t="str">
        <f ca="1">IFERROR(__xludf.DUMMYFUNCTION("""COMPUTED_VALUE"""),"Studies in Computational Intelligence. vol. 623, Springer, Berlin, 2016. ISSN 1860-949x")</f>
        <v>Studies in Computational Intelligence. vol. 623, Springer, Berlin, 2016. ISSN 1860-949x</v>
      </c>
      <c r="F1605" s="10" t="str">
        <f ca="1">IFERROR(__xludf.DUMMYFUNCTION("""COMPUTED_VALUE"""),"Springer")</f>
        <v>Springer</v>
      </c>
      <c r="G1605" s="10" t="str">
        <f ca="1">IFERROR(__xludf.DUMMYFUNCTION("""COMPUTED_VALUE"""),"Kacprzyk J., Sgurev V., Yager R.")</f>
        <v>Kacprzyk J., Sgurev V., Yager R.</v>
      </c>
      <c r="H1605" s="10"/>
      <c r="I1605" s="10"/>
      <c r="J1605" s="10"/>
      <c r="K1605" s="10"/>
      <c r="L1605" s="10"/>
      <c r="M1605" s="10"/>
      <c r="N1605" s="10"/>
      <c r="O1605" s="10"/>
      <c r="P1605" s="10"/>
      <c r="Q1605" s="10"/>
      <c r="R1605" s="10"/>
      <c r="S1605" s="10"/>
      <c r="T1605" s="10"/>
      <c r="U1605" s="10"/>
      <c r="V1605" s="10"/>
      <c r="W1605" s="10"/>
      <c r="X1605" s="10"/>
      <c r="Y1605" s="10"/>
      <c r="Z1605" s="10"/>
    </row>
    <row r="1606" spans="1:26" ht="12.75">
      <c r="A1606" s="10" t="str">
        <f ca="1">IFERROR(__xludf.DUMMYFUNCTION("""COMPUTED_VALUE"""),"Владимир Симов Йоцов")</f>
        <v>Владимир Симов Йоцов</v>
      </c>
      <c r="B1606" s="10" t="str">
        <f ca="1">IFERROR(__xludf.DUMMYFUNCTION("""COMPUTED_VALUE"""),"Глава от колективна монография")</f>
        <v>Глава от колективна монография</v>
      </c>
      <c r="C1606" s="10" t="str">
        <f ca="1">IFERROR(__xludf.DUMMYFUNCTION("""COMPUTED_VALUE"""),"Intelligent Applications Using Binary Markov Logic")</f>
        <v>Intelligent Applications Using Binary Markov Logic</v>
      </c>
      <c r="D1606" s="10">
        <f ca="1">IFERROR(__xludf.DUMMYFUNCTION("""COMPUTED_VALUE"""),2016)</f>
        <v>2016</v>
      </c>
      <c r="E1606" s="10" t="str">
        <f ca="1">IFERROR(__xludf.DUMMYFUNCTION("""COMPUTED_VALUE"""),"Recent Contributions on Intelligent Systems V. Sgurev, R. Yager, J. Kacprzyk, K. Atanassov (Eds.), Series Studies in Computational Intelligence, vol. 657, Springer, Berlin Heidelberg, 2016, p. 249-262 (ISSN 1860-9503)")</f>
        <v>Recent Contributions on Intelligent Systems V. Sgurev, R. Yager, J. Kacprzyk, K. Atanassov (Eds.), Series Studies in Computational Intelligence, vol. 657, Springer, Berlin Heidelberg, 2016, p. 249-262 (ISSN 1860-9503)</v>
      </c>
      <c r="F1606" s="10" t="str">
        <f ca="1">IFERROR(__xludf.DUMMYFUNCTION("""COMPUTED_VALUE"""),"Scopus")</f>
        <v>Scopus</v>
      </c>
      <c r="G1606" s="10" t="str">
        <f ca="1">IFERROR(__xludf.DUMMYFUNCTION("""COMPUTED_VALUE"""),"Sgurev, V.")</f>
        <v>Sgurev, V.</v>
      </c>
      <c r="H1606" s="10"/>
      <c r="I1606" s="10"/>
      <c r="J1606" s="10"/>
      <c r="K1606" s="10"/>
      <c r="L1606" s="10"/>
      <c r="M1606" s="10"/>
      <c r="N1606" s="10"/>
      <c r="O1606" s="10"/>
      <c r="P1606" s="10"/>
      <c r="Q1606" s="10"/>
      <c r="R1606" s="10"/>
      <c r="S1606" s="10"/>
      <c r="T1606" s="10"/>
      <c r="U1606" s="10"/>
      <c r="V1606" s="10"/>
      <c r="W1606" s="10"/>
      <c r="X1606" s="10"/>
      <c r="Y1606" s="10"/>
      <c r="Z1606" s="10"/>
    </row>
    <row r="1607" spans="1:26" ht="12.75">
      <c r="A1607" s="10" t="str">
        <f ca="1">IFERROR(__xludf.DUMMYFUNCTION("""COMPUTED_VALUE"""),"Владимир Симов Йоцов")</f>
        <v>Владимир Симов Йоцов</v>
      </c>
      <c r="B1607" s="10" t="str">
        <f ca="1">IFERROR(__xludf.DUMMYFUNCTION("""COMPUTED_VALUE"""),"Книга")</f>
        <v>Книга</v>
      </c>
      <c r="C1607" s="10" t="str">
        <f ca="1">IFERROR(__xludf.DUMMYFUNCTION("""COMPUTED_VALUE"""),"Novel Applications of Intelligent Systems")</f>
        <v>Novel Applications of Intelligent Systems</v>
      </c>
      <c r="D1607" s="10">
        <f ca="1">IFERROR(__xludf.DUMMYFUNCTION("""COMPUTED_VALUE"""),2016)</f>
        <v>2016</v>
      </c>
      <c r="E1607" s="10" t="str">
        <f ca="1">IFERROR(__xludf.DUMMYFUNCTION("""COMPUTED_VALUE"""),"M. Hadjiski, N. Kasabov, D. Filev, V. Jotsov (Eds.), Series Studies in Computational Intelligence, vol. 586, Springer, Berlin Heidelberg, 2016. (http://www.springer.com/us/book/9783319141930). ISBN 978-3-319-14194-7")</f>
        <v>M. Hadjiski, N. Kasabov, D. Filev, V. Jotsov (Eds.), Series Studies in Computational Intelligence, vol. 586, Springer, Berlin Heidelberg, 2016. (http://www.springer.com/us/book/9783319141930). ISBN 978-3-319-14194-7</v>
      </c>
      <c r="F1607" s="10" t="str">
        <f ca="1">IFERROR(__xludf.DUMMYFUNCTION("""COMPUTED_VALUE"""),"Scopus")</f>
        <v>Scopus</v>
      </c>
      <c r="G1607" s="10" t="str">
        <f ca="1">IFERROR(__xludf.DUMMYFUNCTION("""COMPUTED_VALUE"""),"M. Hadjiski, N. Kasabov, D. Filev")</f>
        <v>M. Hadjiski, N. Kasabov, D. Filev</v>
      </c>
      <c r="H1607" s="10"/>
      <c r="I1607" s="10"/>
      <c r="J1607" s="10"/>
      <c r="K1607" s="10"/>
      <c r="L1607" s="10"/>
      <c r="M1607" s="10"/>
      <c r="N1607" s="10"/>
      <c r="O1607" s="10"/>
      <c r="P1607" s="10"/>
      <c r="Q1607" s="10"/>
      <c r="R1607" s="10"/>
      <c r="S1607" s="10"/>
      <c r="T1607" s="10"/>
      <c r="U1607" s="10"/>
      <c r="V1607" s="10"/>
      <c r="W1607" s="10"/>
      <c r="X1607" s="10"/>
      <c r="Y1607" s="10"/>
      <c r="Z1607" s="10"/>
    </row>
    <row r="1608" spans="1:26" ht="12.75">
      <c r="A1608" s="10" t="str">
        <f ca="1">IFERROR(__xludf.DUMMYFUNCTION("""COMPUTED_VALUE"""),"Владимир Симов Йоцов")</f>
        <v>Владимир Симов Йоцов</v>
      </c>
      <c r="B1608" s="10" t="str">
        <f ca="1">IFERROR(__xludf.DUMMYFUNCTION("""COMPUTED_VALUE"""),"Доклад от конференция")</f>
        <v>Доклад от конференция</v>
      </c>
      <c r="C1608" s="10" t="str">
        <f ca="1">IFERROR(__xludf.DUMMYFUNCTION("""COMPUTED_VALUE"""),"Security Applications Using Puzzle and Other Intelligent Metods")</f>
        <v>Security Applications Using Puzzle and Other Intelligent Metods</v>
      </c>
      <c r="D1608" s="10">
        <f ca="1">IFERROR(__xludf.DUMMYFUNCTION("""COMPUTED_VALUE"""),2016)</f>
        <v>2016</v>
      </c>
      <c r="E1608" s="10" t="str">
        <f ca="1">IFERROR(__xludf.DUMMYFUNCTION("""COMPUTED_VALUE"""),"Novel Applications of Intelligent Systems. M. Hadjiski, N. Kasabov, D. Filev, V. Jotsov (Eds.), Series Studies in Computational Intelligence, vol. 586, Springer, Berlin Heidelberg, 2016, p. 183-202 (http://www.springer.com/us/book/9783319141930). ISBN 978"&amp;"-3-319-14194-7")</f>
        <v>Novel Applications of Intelligent Systems. M. Hadjiski, N. Kasabov, D. Filev, V. Jotsov (Eds.), Series Studies in Computational Intelligence, vol. 586, Springer, Berlin Heidelberg, 2016, p. 183-202 (http://www.springer.com/us/book/9783319141930). ISBN 978-3-319-14194-7</v>
      </c>
      <c r="F1608" s="10" t="str">
        <f ca="1">IFERROR(__xludf.DUMMYFUNCTION("""COMPUTED_VALUE"""),"Скопус и др.")</f>
        <v>Скопус и др.</v>
      </c>
      <c r="G1608" s="10" t="str">
        <f ca="1">IFERROR(__xludf.DUMMYFUNCTION("""COMPUTED_VALUE"""),"Sgurev, V.")</f>
        <v>Sgurev, V.</v>
      </c>
      <c r="H1608" s="10"/>
      <c r="I1608" s="10"/>
      <c r="J1608" s="10"/>
      <c r="K1608" s="10"/>
      <c r="L1608" s="10"/>
      <c r="M1608" s="10"/>
      <c r="N1608" s="10"/>
      <c r="O1608" s="10"/>
      <c r="P1608" s="10"/>
      <c r="Q1608" s="10"/>
      <c r="R1608" s="10"/>
      <c r="S1608" s="10"/>
      <c r="T1608" s="10"/>
      <c r="U1608" s="10"/>
      <c r="V1608" s="10"/>
      <c r="W1608" s="10"/>
      <c r="X1608" s="10"/>
      <c r="Y1608" s="10"/>
      <c r="Z1608" s="10"/>
    </row>
    <row r="1609" spans="1:26" ht="12.75">
      <c r="A1609" s="10" t="str">
        <f ca="1">IFERROR(__xludf.DUMMYFUNCTION("""COMPUTED_VALUE"""),"Владимир Симов Йоцов")</f>
        <v>Владимир Симов Йоцов</v>
      </c>
      <c r="B1609" s="10" t="str">
        <f ca="1">IFERROR(__xludf.DUMMYFUNCTION("""COMPUTED_VALUE"""),"Глава от колективна монография")</f>
        <v>Глава от колективна монография</v>
      </c>
      <c r="C1609" s="10" t="str">
        <f ca="1">IFERROR(__xludf.DUMMYFUNCTION("""COMPUTED_VALUE"""),"New Proposals for Knowledge and Data Driven Applications in Security Systems")</f>
        <v>New Proposals for Knowledge and Data Driven Applications in Security Systems</v>
      </c>
      <c r="D1609" s="10">
        <f ca="1">IFERROR(__xludf.DUMMYFUNCTION("""COMPUTED_VALUE"""),2016)</f>
        <v>2016</v>
      </c>
      <c r="E1609" s="10" t="str">
        <f ca="1">IFERROR(__xludf.DUMMYFUNCTION("""COMPUTED_VALUE"""),"Innovative Issues in Intelligent Systems. V. Sgurev, R. Yager, J. Kacprzyk, V. Jotsov (Eds.) Studies in Computational Intelligence, vol. 623, Springer, Berlin Heidelberg, 2016, p. 231-294 (ISSN: 1860-949X)")</f>
        <v>Innovative Issues in Intelligent Systems. V. Sgurev, R. Yager, J. Kacprzyk, V. Jotsov (Eds.) Studies in Computational Intelligence, vol. 623, Springer, Berlin Heidelberg, 2016, p. 231-294 (ISSN: 1860-949X)</v>
      </c>
      <c r="F1609" s="10" t="str">
        <f ca="1">IFERROR(__xludf.DUMMYFUNCTION("""COMPUTED_VALUE"""),"Скопус и др.")</f>
        <v>Скопус и др.</v>
      </c>
      <c r="G1609" s="10"/>
      <c r="H1609" s="10"/>
      <c r="I1609" s="10"/>
      <c r="J1609" s="10"/>
      <c r="K1609" s="10"/>
      <c r="L1609" s="10"/>
      <c r="M1609" s="10"/>
      <c r="N1609" s="10"/>
      <c r="O1609" s="10"/>
      <c r="P1609" s="10"/>
      <c r="Q1609" s="10"/>
      <c r="R1609" s="10"/>
      <c r="S1609" s="10"/>
      <c r="T1609" s="10"/>
      <c r="U1609" s="10"/>
      <c r="V1609" s="10"/>
      <c r="W1609" s="10"/>
      <c r="X1609" s="10"/>
      <c r="Y1609" s="10"/>
      <c r="Z1609" s="10"/>
    </row>
    <row r="1610" spans="1:26" ht="12.75">
      <c r="A1610" s="10" t="str">
        <f ca="1">IFERROR(__xludf.DUMMYFUNCTION("""COMPUTED_VALUE"""),"Владимир Симов Йоцов")</f>
        <v>Владимир Симов Йоцов</v>
      </c>
      <c r="B1610" s="10" t="str">
        <f ca="1">IFERROR(__xludf.DUMMYFUNCTION("""COMPUTED_VALUE"""),"Доклад от конференция")</f>
        <v>Доклад от конференция</v>
      </c>
      <c r="C1610" s="10" t="str">
        <f ca="1">IFERROR(__xludf.DUMMYFUNCTION("""COMPUTED_VALUE"""),"Data Science Applications to Improve Accuracy of Thermocouples")</f>
        <v>Data Science Applications to Improve Accuracy of Thermocouples</v>
      </c>
      <c r="D1610" s="10">
        <f ca="1">IFERROR(__xludf.DUMMYFUNCTION("""COMPUTED_VALUE"""),2016)</f>
        <v>2016</v>
      </c>
      <c r="E1610" s="10" t="str">
        <f ca="1">IFERROR(__xludf.DUMMYFUNCTION("""COMPUTED_VALUE"""),"Proc. 2016 IEEE 8th International Conference on Intelligent Systems, Ronald Yager, Vassil Sgurev, Mincho Hadjiski and Vladimir Jotsov (Eds.), Sofia, September 4-6, 2016, vol. I, p. 180-188. ISSN 978-1-5090-1354-8")</f>
        <v>Proc. 2016 IEEE 8th International Conference on Intelligent Systems, Ronald Yager, Vassil Sgurev, Mincho Hadjiski and Vladimir Jotsov (Eds.), Sofia, September 4-6, 2016, vol. I, p. 180-188. ISSN 978-1-5090-1354-8</v>
      </c>
      <c r="F1610" s="10" t="str">
        <f ca="1">IFERROR(__xludf.DUMMYFUNCTION("""COMPUTED_VALUE"""),"IEEE (САЩ)
 Scopus, библиотеката на амер. конгрес …")</f>
        <v>IEEE (САЩ)
 Scopus, библиотеката на амер. конгрес …</v>
      </c>
      <c r="G1610" s="10" t="str">
        <f ca="1">IFERROR(__xludf.DUMMYFUNCTION("""COMPUTED_VALUE"""),"Zhengbing H., Jun S., Jotsov V., Kochan O., Mykyichuk M., Kochan R., Sasiuk T")</f>
        <v>Zhengbing H., Jun S., Jotsov V., Kochan O., Mykyichuk M., Kochan R., Sasiuk T</v>
      </c>
      <c r="H1610" s="10"/>
      <c r="I1610" s="10"/>
      <c r="J1610" s="10"/>
      <c r="K1610" s="10"/>
      <c r="L1610" s="10"/>
      <c r="M1610" s="10"/>
      <c r="N1610" s="10"/>
      <c r="O1610" s="10"/>
      <c r="P1610" s="10"/>
      <c r="Q1610" s="10"/>
      <c r="R1610" s="10"/>
      <c r="S1610" s="10"/>
      <c r="T1610" s="10"/>
      <c r="U1610" s="10"/>
      <c r="V1610" s="10"/>
      <c r="W1610" s="10"/>
      <c r="X1610" s="10"/>
      <c r="Y1610" s="10"/>
      <c r="Z1610" s="10"/>
    </row>
    <row r="1611" spans="1:26" ht="12.75">
      <c r="A1611" s="10" t="str">
        <f ca="1">IFERROR(__xludf.DUMMYFUNCTION("""COMPUTED_VALUE"""),"Владимир Симов Йоцов")</f>
        <v>Владимир Симов Йоцов</v>
      </c>
      <c r="B1611" s="10" t="str">
        <f ca="1">IFERROR(__xludf.DUMMYFUNCTION("""COMPUTED_VALUE"""),"Книга")</f>
        <v>Книга</v>
      </c>
      <c r="C1611" s="10" t="str">
        <f ca="1">IFERROR(__xludf.DUMMYFUNCTION("""COMPUTED_VALUE"""),"Intelligent Applications Using Binary Markov Logic")</f>
        <v>Intelligent Applications Using Binary Markov Logic</v>
      </c>
      <c r="D1611" s="10">
        <f ca="1">IFERROR(__xludf.DUMMYFUNCTION("""COMPUTED_VALUE"""),2016)</f>
        <v>2016</v>
      </c>
      <c r="E1611" s="10" t="str">
        <f ca="1">IFERROR(__xludf.DUMMYFUNCTION("""COMPUTED_VALUE"""),"Recent Contributions on Intelligent Systems V. Sgurev, R. Yager, J. Kacprzyk, K. Atanassov (Eds.), Series Studies in Computational Intelligence, vol. 657, Springer, Berlin Heidelberg, 2016, p. 249-262 (ISSN 1860-9503)")</f>
        <v>Recent Contributions on Intelligent Systems V. Sgurev, R. Yager, J. Kacprzyk, K. Atanassov (Eds.), Series Studies in Computational Intelligence, vol. 657, Springer, Berlin Heidelberg, 2016, p. 249-262 (ISSN 1860-9503)</v>
      </c>
      <c r="F1611" s="10" t="str">
        <f ca="1">IFERROR(__xludf.DUMMYFUNCTION("""COMPUTED_VALUE"""),"Скопус и др.")</f>
        <v>Скопус и др.</v>
      </c>
      <c r="G1611" s="10" t="str">
        <f ca="1">IFERROR(__xludf.DUMMYFUNCTION("""COMPUTED_VALUE"""),"Sgurev, V.,")</f>
        <v>Sgurev, V.,</v>
      </c>
      <c r="H1611" s="10"/>
      <c r="I1611" s="10"/>
      <c r="J1611" s="10"/>
      <c r="K1611" s="10"/>
      <c r="L1611" s="10"/>
      <c r="M1611" s="10"/>
      <c r="N1611" s="10"/>
      <c r="O1611" s="10"/>
      <c r="P1611" s="10"/>
      <c r="Q1611" s="10"/>
      <c r="R1611" s="10"/>
      <c r="S1611" s="10"/>
      <c r="T1611" s="10"/>
      <c r="U1611" s="10"/>
      <c r="V1611" s="10"/>
      <c r="W1611" s="10"/>
      <c r="X1611" s="10"/>
      <c r="Y1611" s="10"/>
      <c r="Z1611" s="10"/>
    </row>
    <row r="1612" spans="1:26" ht="12.75">
      <c r="A1612" s="10" t="str">
        <f ca="1">IFERROR(__xludf.DUMMYFUNCTION("""COMPUTED_VALUE"""),"Владимир Симов Йоцов")</f>
        <v>Владимир Симов Йоцов</v>
      </c>
      <c r="B1612" s="10" t="str">
        <f ca="1">IFERROR(__xludf.DUMMYFUNCTION("""COMPUTED_VALUE"""),"Доклад от конференция")</f>
        <v>Доклад от конференция</v>
      </c>
      <c r="C1612" s="10" t="str">
        <f ca="1">IFERROR(__xludf.DUMMYFUNCTION("""COMPUTED_VALUE"""),"Puzzle Methods for Data Science Applications")</f>
        <v>Puzzle Methods for Data Science Applications</v>
      </c>
      <c r="D1612" s="10">
        <f ca="1">IFERROR(__xludf.DUMMYFUNCTION("""COMPUTED_VALUE"""),2016)</f>
        <v>2016</v>
      </c>
      <c r="E1612" s="10" t="str">
        <f ca="1">IFERROR(__xludf.DUMMYFUNCTION("""COMPUTED_VALUE"""),"Proc. 2016 IEEE 8th International Conference on Intelligent Systems, Ronald Yager, Vassil Sgurev, Mincho Hadjiski and Vladimir Jotsov (Eds.), Sofia, September 4-6, 2016, vol. I, p. 322-332")</f>
        <v>Proc. 2016 IEEE 8th International Conference on Intelligent Systems, Ronald Yager, Vassil Sgurev, Mincho Hadjiski and Vladimir Jotsov (Eds.), Sofia, September 4-6, 2016, vol. I, p. 322-332</v>
      </c>
      <c r="F1612" s="10" t="str">
        <f ca="1">IFERROR(__xludf.DUMMYFUNCTION("""COMPUTED_VALUE"""),"IEEE Compendex, Scopus, библиотеката на амер. конгрес …")</f>
        <v>IEEE Compendex, Scopus, библиотеката на амер. конгрес …</v>
      </c>
      <c r="G1612" s="10" t="str">
        <f ca="1">IFERROR(__xludf.DUMMYFUNCTION("""COMPUTED_VALUE"""),"V., Petrova, P., Iliev, E.")</f>
        <v>V., Petrova, P., Iliev, E.</v>
      </c>
      <c r="H1612" s="10"/>
      <c r="I1612" s="10"/>
      <c r="J1612" s="10"/>
      <c r="K1612" s="10"/>
      <c r="L1612" s="10"/>
      <c r="M1612" s="10"/>
      <c r="N1612" s="10"/>
      <c r="O1612" s="10"/>
      <c r="P1612" s="10"/>
      <c r="Q1612" s="10"/>
      <c r="R1612" s="10"/>
      <c r="S1612" s="10"/>
      <c r="T1612" s="10"/>
      <c r="U1612" s="10"/>
      <c r="V1612" s="10"/>
      <c r="W1612" s="10"/>
      <c r="X1612" s="10"/>
      <c r="Y1612" s="10"/>
      <c r="Z1612" s="10"/>
    </row>
    <row r="1613" spans="1:26" ht="12.75">
      <c r="A1613" s="10" t="str">
        <f ca="1">IFERROR(__xludf.DUMMYFUNCTION("""COMPUTED_VALUE"""),"Владимир Симов Йоцов")</f>
        <v>Владимир Симов Йоцов</v>
      </c>
      <c r="B1613" s="10" t="str">
        <f ca="1">IFERROR(__xludf.DUMMYFUNCTION("""COMPUTED_VALUE"""),"Статия в списания и поредици")</f>
        <v>Статия в списания и поредици</v>
      </c>
      <c r="C1613" s="10" t="str">
        <f ca="1">IFERROR(__xludf.DUMMYFUNCTION("""COMPUTED_VALUE"""),"Methods of Reducing the Effect of the Acquired Thermoelectric Inhomogeneity of Thermocouples on Temperature Measurement Error")</f>
        <v>Methods of Reducing the Effect of the Acquired Thermoelectric Inhomogeneity of Thermocouples on Temperature Measurement Error</v>
      </c>
      <c r="D1613" s="10">
        <f ca="1">IFERROR(__xludf.DUMMYFUNCTION("""COMPUTED_VALUE"""),2015)</f>
        <v>2015</v>
      </c>
      <c r="E1613" s="10" t="str">
        <f ca="1">IFERROR(__xludf.DUMMYFUNCTION("""COMPUTED_VALUE"""),"J. Measurement Techniques (2015-06-01) 58: 327-331, 2015. ISSN 0543-1972")</f>
        <v>J. Measurement Techniques (2015-06-01) 58: 327-331, 2015. ISSN 0543-1972</v>
      </c>
      <c r="F1613" s="10" t="str">
        <f ca="1">IFERROR(__xludf.DUMMYFUNCTION("""COMPUTED_VALUE"""),"Web of Science")</f>
        <v>Web of Science</v>
      </c>
      <c r="G1613" s="10" t="str">
        <f ca="1">IFERROR(__xludf.DUMMYFUNCTION("""COMPUTED_VALUE"""),"Jun S., Kochan O.")</f>
        <v>Jun S., Kochan O.</v>
      </c>
      <c r="H1613" s="10"/>
      <c r="I1613" s="10"/>
      <c r="J1613" s="10"/>
      <c r="K1613" s="10"/>
      <c r="L1613" s="10"/>
      <c r="M1613" s="10"/>
      <c r="N1613" s="10"/>
      <c r="O1613" s="10"/>
      <c r="P1613" s="10"/>
      <c r="Q1613" s="10"/>
      <c r="R1613" s="10"/>
      <c r="S1613" s="10"/>
      <c r="T1613" s="10"/>
      <c r="U1613" s="10"/>
      <c r="V1613" s="10"/>
      <c r="W1613" s="10"/>
      <c r="X1613" s="10"/>
      <c r="Y1613" s="10"/>
      <c r="Z1613" s="10"/>
    </row>
    <row r="1614" spans="1:26" ht="12.75">
      <c r="A1614" s="10" t="str">
        <f ca="1">IFERROR(__xludf.DUMMYFUNCTION("""COMPUTED_VALUE"""),"Владимир Симов Йоцов")</f>
        <v>Владимир Симов Йоцов</v>
      </c>
      <c r="B1614" s="10" t="str">
        <f ca="1">IFERROR(__xludf.DUMMYFUNCTION("""COMPUTED_VALUE"""),"Учебник")</f>
        <v>Учебник</v>
      </c>
      <c r="C1614" s="10" t="str">
        <f ca="1">IFERROR(__xludf.DUMMYFUNCTION("""COMPUTED_VALUE"""),"Логическо програмиране")</f>
        <v>Логическо програмиране</v>
      </c>
      <c r="D1614" s="10">
        <f ca="1">IFERROR(__xludf.DUMMYFUNCTION("""COMPUTED_VALUE"""),2014)</f>
        <v>2014</v>
      </c>
      <c r="E1614" s="10" t="str">
        <f ca="1">IFERROR(__xludf.DUMMYFUNCTION("""COMPUTED_VALUE"""),"София: За буквите - О писменехь, 2014, 168 с. ISBN 978-619-185-103-4")</f>
        <v>София: За буквите - О писменехь, 2014, 168 с. ISBN 978-619-185-103-4</v>
      </c>
      <c r="F1614" s="10"/>
      <c r="G1614" s="10"/>
      <c r="H1614" s="10"/>
      <c r="I1614" s="10"/>
      <c r="J1614" s="10"/>
      <c r="K1614" s="10"/>
      <c r="L1614" s="10"/>
      <c r="M1614" s="10"/>
      <c r="N1614" s="10"/>
      <c r="O1614" s="10"/>
      <c r="P1614" s="10"/>
      <c r="Q1614" s="10"/>
      <c r="R1614" s="10"/>
      <c r="S1614" s="10"/>
      <c r="T1614" s="10"/>
      <c r="U1614" s="10"/>
      <c r="V1614" s="10"/>
      <c r="W1614" s="10"/>
      <c r="X1614" s="10"/>
      <c r="Y1614" s="10"/>
      <c r="Z1614" s="10"/>
    </row>
    <row r="1615" spans="1:26" ht="12.75">
      <c r="A1615" s="10" t="str">
        <f ca="1">IFERROR(__xludf.DUMMYFUNCTION("""COMPUTED_VALUE"""),"Владимир Симов Йоцов")</f>
        <v>Владимир Симов Йоцов</v>
      </c>
      <c r="B1615" s="10" t="str">
        <f ca="1">IFERROR(__xludf.DUMMYFUNCTION("""COMPUTED_VALUE"""),"Учебник")</f>
        <v>Учебник</v>
      </c>
      <c r="C1615" s="10" t="str">
        <f ca="1">IFERROR(__xludf.DUMMYFUNCTION("""COMPUTED_VALUE"""),"Изкуствен интелект и експертни системи")</f>
        <v>Изкуствен интелект и експертни системи</v>
      </c>
      <c r="D1615" s="10">
        <f ca="1">IFERROR(__xludf.DUMMYFUNCTION("""COMPUTED_VALUE"""),2014)</f>
        <v>2014</v>
      </c>
      <c r="E1615" s="10" t="str">
        <f ca="1">IFERROR(__xludf.DUMMYFUNCTION("""COMPUTED_VALUE"""),"София: За буквите - О писменехь, 2014, 168 с. ISBN 978-619-185-033-4")</f>
        <v>София: За буквите - О писменехь, 2014, 168 с. ISBN 978-619-185-033-4</v>
      </c>
      <c r="F1615" s="10"/>
      <c r="G1615" s="10"/>
      <c r="H1615" s="10"/>
      <c r="I1615" s="10"/>
      <c r="J1615" s="10"/>
      <c r="K1615" s="10"/>
      <c r="L1615" s="10"/>
      <c r="M1615" s="10"/>
      <c r="N1615" s="10"/>
      <c r="O1615" s="10"/>
      <c r="P1615" s="10"/>
      <c r="Q1615" s="10"/>
      <c r="R1615" s="10"/>
      <c r="S1615" s="10"/>
      <c r="T1615" s="10"/>
      <c r="U1615" s="10"/>
      <c r="V1615" s="10"/>
      <c r="W1615" s="10"/>
      <c r="X1615" s="10"/>
      <c r="Y1615" s="10"/>
      <c r="Z1615" s="10"/>
    </row>
    <row r="1616" spans="1:26" ht="12.75">
      <c r="A1616" s="10" t="str">
        <f ca="1">IFERROR(__xludf.DUMMYFUNCTION("""COMPUTED_VALUE"""),"Владимир Симов Йоцов")</f>
        <v>Владимир Симов Йоцов</v>
      </c>
      <c r="B1616" s="10" t="str">
        <f ca="1">IFERROR(__xludf.DUMMYFUNCTION("""COMPUTED_VALUE"""),"Статия в списания и поредици")</f>
        <v>Статия в списания и поредици</v>
      </c>
      <c r="C1616" s="10" t="str">
        <f ca="1">IFERROR(__xludf.DUMMYFUNCTION("""COMPUTED_VALUE"""),"Intelligent Data Processing: Methodology, Problems, Realizations, and Trends")</f>
        <v>Intelligent Data Processing: Methodology, Problems, Realizations, and Trends</v>
      </c>
      <c r="D1616" s="10">
        <f ca="1">IFERROR(__xludf.DUMMYFUNCTION("""COMPUTED_VALUE"""),2014)</f>
        <v>2014</v>
      </c>
      <c r="E1616" s="10" t="str">
        <f ca="1">IFERROR(__xludf.DUMMYFUNCTION("""COMPUTED_VALUE"""),"International J. of Inteligent Systems. - NJ : Wiley Press, USA, vol. 26, issue 3, pp. 3-4, ISSN 0884-8173.")</f>
        <v>International J. of Inteligent Systems. - NJ : Wiley Press, USA, vol. 26, issue 3, pp. 3-4, ISSN 0884-8173.</v>
      </c>
      <c r="F1616" s="10"/>
      <c r="G1616" s="10" t="str">
        <f ca="1">IFERROR(__xludf.DUMMYFUNCTION("""COMPUTED_VALUE"""),"Васил Сгурев")</f>
        <v>Васил Сгурев</v>
      </c>
      <c r="H1616" s="10"/>
      <c r="I1616" s="10"/>
      <c r="J1616" s="10"/>
      <c r="K1616" s="10"/>
      <c r="L1616" s="10"/>
      <c r="M1616" s="10"/>
      <c r="N1616" s="10"/>
      <c r="O1616" s="10"/>
      <c r="P1616" s="10"/>
      <c r="Q1616" s="10"/>
      <c r="R1616" s="10"/>
      <c r="S1616" s="10"/>
      <c r="T1616" s="10"/>
      <c r="U1616" s="10"/>
      <c r="V1616" s="10"/>
      <c r="W1616" s="10"/>
      <c r="X1616" s="10"/>
      <c r="Y1616" s="10"/>
      <c r="Z1616" s="10"/>
    </row>
    <row r="1617" spans="1:26" ht="12.75">
      <c r="A1617" s="10" t="str">
        <f ca="1">IFERROR(__xludf.DUMMYFUNCTION("""COMPUTED_VALUE"""),"Владимир Симов Йоцов")</f>
        <v>Владимир Симов Йоцов</v>
      </c>
      <c r="B1617" s="10" t="str">
        <f ca="1">IFERROR(__xludf.DUMMYFUNCTION("""COMPUTED_VALUE"""),"Глава от колективна монография")</f>
        <v>Глава от колективна монография</v>
      </c>
      <c r="C1617" s="10" t="str">
        <f ca="1">IFERROR(__xludf.DUMMYFUNCTION("""COMPUTED_VALUE"""),"Applications of Advanced Analytics Methods in SAS Enterprise Miner. // Proc")</f>
        <v>Applications of Advanced Analytics Methods in SAS Enterprise Miner. // Proc</v>
      </c>
      <c r="D1617" s="10">
        <f ca="1">IFERROR(__xludf.DUMMYFUNCTION("""COMPUTED_VALUE"""),2014)</f>
        <v>2014</v>
      </c>
      <c r="E1617" s="10" t="str">
        <f ca="1">IFERROR(__xludf.DUMMYFUNCTION("""COMPUTED_VALUE"""),"IEEE 7th Int. Conference ‘Intelligent Systems’, Warsaw, September 24-26, Filev, D., et. al. (Eds.) Series Advances in Intelligent Systems and Computing, No. 323, Springer, Berlin Heidelberg, 2014, p. 413-430. ISBN 978-3-319-11309-8")</f>
        <v>IEEE 7th Int. Conference ‘Intelligent Systems’, Warsaw, September 24-26, Filev, D., et. al. (Eds.) Series Advances in Intelligent Systems and Computing, No. 323, Springer, Berlin Heidelberg, 2014, p. 413-430. ISBN 978-3-319-11309-8</v>
      </c>
      <c r="F1617" s="10" t="str">
        <f ca="1">IFERROR(__xludf.DUMMYFUNCTION("""COMPUTED_VALUE"""),"Scopus")</f>
        <v>Scopus</v>
      </c>
      <c r="G1617" s="10" t="str">
        <f ca="1">IFERROR(__xludf.DUMMYFUNCTION("""COMPUTED_VALUE"""),"Iliev, E.")</f>
        <v>Iliev, E.</v>
      </c>
      <c r="H1617" s="10"/>
      <c r="I1617" s="10"/>
      <c r="J1617" s="10"/>
      <c r="K1617" s="10"/>
      <c r="L1617" s="10"/>
      <c r="M1617" s="10"/>
      <c r="N1617" s="10"/>
      <c r="O1617" s="10"/>
      <c r="P1617" s="10"/>
      <c r="Q1617" s="10"/>
      <c r="R1617" s="10"/>
      <c r="S1617" s="10"/>
      <c r="T1617" s="10"/>
      <c r="U1617" s="10"/>
      <c r="V1617" s="10"/>
      <c r="W1617" s="10"/>
      <c r="X1617" s="10"/>
      <c r="Y1617" s="10"/>
      <c r="Z1617" s="10"/>
    </row>
    <row r="1618" spans="1:26" ht="12.75">
      <c r="A1618" s="10" t="str">
        <f ca="1">IFERROR(__xludf.DUMMYFUNCTION("""COMPUTED_VALUE"""),"Владимир Симов Йоцов")</f>
        <v>Владимир Симов Йоцов</v>
      </c>
      <c r="B1618" s="10" t="str">
        <f ca="1">IFERROR(__xludf.DUMMYFUNCTION("""COMPUTED_VALUE"""),"Доклад от конференция")</f>
        <v>Доклад от конференция</v>
      </c>
      <c r="C1618" s="10" t="str">
        <f ca="1">IFERROR(__xludf.DUMMYFUNCTION("""COMPUTED_VALUE"""),"Advanced Analytics Methods and Intelligent Applications in Education")</f>
        <v>Advanced Analytics Methods and Intelligent Applications in Education</v>
      </c>
      <c r="D1618" s="10">
        <f ca="1">IFERROR(__xludf.DUMMYFUNCTION("""COMPUTED_VALUE"""),2013)</f>
        <v>2013</v>
      </c>
      <c r="E1618" s="10" t="str">
        <f ca="1">IFERROR(__xludf.DUMMYFUNCTION("""COMPUTED_VALUE"""),"Proc. 7th IEEE International Conference on Intelligent Data Acquisition and Advanced Computing Systems: Technology and Applications IDAACS’2013, vol. I, Berlin, Germany, September 11-13, 2013, pp. 197-202, IEEE Catalog Number: CFP13803-PRT, ISBN: 978-1-47"&amp;"99-1426-5")</f>
        <v>Proc. 7th IEEE International Conference on Intelligent Data Acquisition and Advanced Computing Systems: Technology and Applications IDAACS’2013, vol. I, Berlin, Germany, September 11-13, 2013, pp. 197-202, IEEE Catalog Number: CFP13803-PRT, ISBN: 978-1-4799-1426-5</v>
      </c>
      <c r="F1618" s="10"/>
      <c r="G1618" s="10"/>
      <c r="H1618" s="10"/>
      <c r="I1618" s="10"/>
      <c r="J1618" s="10"/>
      <c r="K1618" s="10"/>
      <c r="L1618" s="10"/>
      <c r="M1618" s="10"/>
      <c r="N1618" s="10"/>
      <c r="O1618" s="10"/>
      <c r="P1618" s="10"/>
      <c r="Q1618" s="10"/>
      <c r="R1618" s="10"/>
      <c r="S1618" s="10"/>
      <c r="T1618" s="10"/>
      <c r="U1618" s="10"/>
      <c r="V1618" s="10"/>
      <c r="W1618" s="10"/>
      <c r="X1618" s="10"/>
      <c r="Y1618" s="10"/>
      <c r="Z1618" s="10"/>
    </row>
    <row r="1619" spans="1:26" ht="12.75">
      <c r="A1619" s="10" t="str">
        <f ca="1">IFERROR(__xludf.DUMMYFUNCTION("""COMPUTED_VALUE"""),"Владимир Симов Йоцов")</f>
        <v>Владимир Симов Йоцов</v>
      </c>
      <c r="B1619" s="10" t="str">
        <f ca="1">IFERROR(__xludf.DUMMYFUNCTION("""COMPUTED_VALUE"""),"Статия в списания и поредици")</f>
        <v>Статия в списания и поредици</v>
      </c>
      <c r="C1619" s="10" t="str">
        <f ca="1">IFERROR(__xludf.DUMMYFUNCTION("""COMPUTED_VALUE"""),"Applications of advanced analytics methods in education")</f>
        <v>Applications of advanced analytics methods in education</v>
      </c>
      <c r="D1619" s="10">
        <f ca="1">IFERROR(__xludf.DUMMYFUNCTION("""COMPUTED_VALUE"""),2013)</f>
        <v>2013</v>
      </c>
      <c r="E1619" s="10" t="str">
        <f ca="1">IFERROR(__xludf.DUMMYFUNCTION("""COMPUTED_VALUE"""),"Науковий вісник Чернівецького університету. Комп’ютерні системи та компоненти. 2013. Т. 4. Вип. 4. с.129. УДК 372.851:[378.4+621]:004")</f>
        <v>Науковий вісник Чернівецького університету. Комп’ютерні системи та компоненти. 2013. Т. 4. Вип. 4. с.129. УДК 372.851:[378.4+621]:004</v>
      </c>
      <c r="F1619" s="10"/>
      <c r="G1619" s="10"/>
      <c r="H1619" s="10"/>
      <c r="I1619" s="10"/>
      <c r="J1619" s="10"/>
      <c r="K1619" s="10"/>
      <c r="L1619" s="10"/>
      <c r="M1619" s="10"/>
      <c r="N1619" s="10"/>
      <c r="O1619" s="10"/>
      <c r="P1619" s="10"/>
      <c r="Q1619" s="10"/>
      <c r="R1619" s="10"/>
      <c r="S1619" s="10"/>
      <c r="T1619" s="10"/>
      <c r="U1619" s="10"/>
      <c r="V1619" s="10"/>
      <c r="W1619" s="10"/>
      <c r="X1619" s="10"/>
      <c r="Y1619" s="10"/>
      <c r="Z1619" s="10"/>
    </row>
    <row r="1620" spans="1:26" ht="12.75">
      <c r="A1620" s="10" t="str">
        <f ca="1">IFERROR(__xludf.DUMMYFUNCTION("""COMPUTED_VALUE"""),"Владимир Симов Йоцов")</f>
        <v>Владимир Симов Йоцов</v>
      </c>
      <c r="B1620" s="10" t="str">
        <f ca="1">IFERROR(__xludf.DUMMYFUNCTION("""COMPUTED_VALUE"""),"Статия в списания и поредици")</f>
        <v>Статия в списания и поредици</v>
      </c>
      <c r="C1620" s="10" t="str">
        <f ca="1">IFERROR(__xludf.DUMMYFUNCTION("""COMPUTED_VALUE"""),"Applications of knowledge discovery methods in education")</f>
        <v>Applications of knowledge discovery methods in education</v>
      </c>
      <c r="D1620" s="10">
        <f ca="1">IFERROR(__xludf.DUMMYFUNCTION("""COMPUTED_VALUE"""),2013)</f>
        <v>2013</v>
      </c>
      <c r="E1620" s="10" t="str">
        <f ca="1">IFERROR(__xludf.DUMMYFUNCTION("""COMPUTED_VALUE"""),"J. Information Theory and Knowledge Vol. 7, Number 2, 2013, pp. 103-118, ISSN 1310-0455 (printed) ISSN 1313-048X (online)")</f>
        <v>J. Information Theory and Knowledge Vol. 7, Number 2, 2013, pp. 103-118, ISSN 1310-0455 (printed) ISSN 1313-048X (online)</v>
      </c>
      <c r="F1620" s="10"/>
      <c r="G1620" s="10" t="str">
        <f ca="1">IFERROR(__xludf.DUMMYFUNCTION("""COMPUTED_VALUE"""),"Koynov S.")</f>
        <v>Koynov S.</v>
      </c>
      <c r="H1620" s="10"/>
      <c r="I1620" s="10"/>
      <c r="J1620" s="10"/>
      <c r="K1620" s="10"/>
      <c r="L1620" s="10"/>
      <c r="M1620" s="10"/>
      <c r="N1620" s="10"/>
      <c r="O1620" s="10"/>
      <c r="P1620" s="10"/>
      <c r="Q1620" s="10"/>
      <c r="R1620" s="10"/>
      <c r="S1620" s="10"/>
      <c r="T1620" s="10"/>
      <c r="U1620" s="10"/>
      <c r="V1620" s="10"/>
      <c r="W1620" s="10"/>
      <c r="X1620" s="10"/>
      <c r="Y1620" s="10"/>
      <c r="Z1620" s="10"/>
    </row>
    <row r="1621" spans="1:26" ht="12.75">
      <c r="A1621" s="10" t="str">
        <f ca="1">IFERROR(__xludf.DUMMYFUNCTION("""COMPUTED_VALUE"""),"Владимир Симов Йоцов")</f>
        <v>Владимир Симов Йоцов</v>
      </c>
      <c r="B1621" s="10" t="str">
        <f ca="1">IFERROR(__xludf.DUMMYFUNCTION("""COMPUTED_VALUE"""),"Статия в списания и поредици")</f>
        <v>Статия в списания и поредици</v>
      </c>
      <c r="C1621" s="10" t="str">
        <f ca="1">IFERROR(__xludf.DUMMYFUNCTION("""COMPUTED_VALUE"""),"Towards a novel design of creative systems")</f>
        <v>Towards a novel design of creative systems</v>
      </c>
      <c r="D1621" s="10">
        <f ca="1">IFERROR(__xludf.DUMMYFUNCTION("""COMPUTED_VALUE"""),2013)</f>
        <v>2013</v>
      </c>
      <c r="E1621" s="10" t="str">
        <f ca="1">IFERROR(__xludf.DUMMYFUNCTION("""COMPUTED_VALUE"""),"Information Theory and Applications Vol. 20, Number 1, 2013, pp. 57-74, ISSN 1310-0513 (printed) ISSN 1313-0463 (online)")</f>
        <v>Information Theory and Applications Vol. 20, Number 1, 2013, pp. 57-74, ISSN 1310-0513 (printed) ISSN 1313-0463 (online)</v>
      </c>
      <c r="F1621" s="10"/>
      <c r="G1621" s="10"/>
      <c r="H1621" s="10"/>
      <c r="I1621" s="10"/>
      <c r="J1621" s="10"/>
      <c r="K1621" s="10"/>
      <c r="L1621" s="10"/>
      <c r="M1621" s="10"/>
      <c r="N1621" s="10"/>
      <c r="O1621" s="10"/>
      <c r="P1621" s="10"/>
      <c r="Q1621" s="10"/>
      <c r="R1621" s="10"/>
      <c r="S1621" s="10"/>
      <c r="T1621" s="10"/>
      <c r="U1621" s="10"/>
      <c r="V1621" s="10"/>
      <c r="W1621" s="10"/>
      <c r="X1621" s="10"/>
      <c r="Y1621" s="10"/>
      <c r="Z1621" s="10"/>
    </row>
    <row r="1622" spans="1:26" ht="12.75">
      <c r="A1622" s="10" t="str">
        <f ca="1">IFERROR(__xludf.DUMMYFUNCTION("""COMPUTED_VALUE"""),"Владимир Симов Йоцов")</f>
        <v>Владимир Симов Йоцов</v>
      </c>
      <c r="B1622" s="10" t="str">
        <f ca="1">IFERROR(__xludf.DUMMYFUNCTION("""COMPUTED_VALUE"""),"Доклад от конференция")</f>
        <v>Доклад от конференция</v>
      </c>
      <c r="C1622" s="10" t="str">
        <f ca="1">IFERROR(__xludf.DUMMYFUNCTION("""COMPUTED_VALUE"""),"Applications of Puzzle Methods for Intrusion Detection in ATMs")</f>
        <v>Applications of Puzzle Methods for Intrusion Detection in ATMs</v>
      </c>
      <c r="D1622" s="10">
        <f ca="1">IFERROR(__xludf.DUMMYFUNCTION("""COMPUTED_VALUE"""),2012)</f>
        <v>2012</v>
      </c>
      <c r="E1622" s="10" t="str">
        <f ca="1">IFERROR(__xludf.DUMMYFUNCTION("""COMPUTED_VALUE"""),"Proc. IEEE 6th Int. Conference ‘Intelligent Systems’, Vol. 1, Sofia, Hotel Rodina, September 6-8, 2012, pp. 208-212. ISBN 978-1-4673-2276-8")</f>
        <v>Proc. IEEE 6th Int. Conference ‘Intelligent Systems’, Vol. 1, Sofia, Hotel Rodina, September 6-8, 2012, pp. 208-212. ISBN 978-1-4673-2276-8</v>
      </c>
      <c r="F1622" s="10" t="str">
        <f ca="1">IFERROR(__xludf.DUMMYFUNCTION("""COMPUTED_VALUE"""),"Scopus")</f>
        <v>Scopus</v>
      </c>
      <c r="G1622" s="10" t="str">
        <f ca="1">IFERROR(__xludf.DUMMYFUNCTION("""COMPUTED_VALUE"""),"Sgurev V.")</f>
        <v>Sgurev V.</v>
      </c>
      <c r="H1622" s="10"/>
      <c r="I1622" s="10"/>
      <c r="J1622" s="10"/>
      <c r="K1622" s="10"/>
      <c r="L1622" s="10"/>
      <c r="M1622" s="10"/>
      <c r="N1622" s="10"/>
      <c r="O1622" s="10"/>
      <c r="P1622" s="10"/>
      <c r="Q1622" s="10"/>
      <c r="R1622" s="10"/>
      <c r="S1622" s="10"/>
      <c r="T1622" s="10"/>
      <c r="U1622" s="10"/>
      <c r="V1622" s="10"/>
      <c r="W1622" s="10"/>
      <c r="X1622" s="10"/>
      <c r="Y1622" s="10"/>
      <c r="Z1622" s="10"/>
    </row>
    <row r="1623" spans="1:26" ht="12.75">
      <c r="A1623" s="10" t="str">
        <f ca="1">IFERROR(__xludf.DUMMYFUNCTION("""COMPUTED_VALUE"""),"Владимир Симов Йоцов")</f>
        <v>Владимир Симов Йоцов</v>
      </c>
      <c r="B1623" s="10" t="str">
        <f ca="1">IFERROR(__xludf.DUMMYFUNCTION("""COMPUTED_VALUE"""),"Статия в списания и поредици")</f>
        <v>Статия в списания и поредици</v>
      </c>
      <c r="C1623" s="10" t="str">
        <f ca="1">IFERROR(__xludf.DUMMYFUNCTION("""COMPUTED_VALUE"""),"Игрови подходи за обучение по информационна сигурност")</f>
        <v>Игрови подходи за обучение по информационна сигурност</v>
      </c>
      <c r="D1623" s="10">
        <f ca="1">IFERROR(__xludf.DUMMYFUNCTION("""COMPUTED_VALUE"""),2012)</f>
        <v>2012</v>
      </c>
      <c r="E1623" s="10" t="str">
        <f ca="1">IFERROR(__xludf.DUMMYFUNCTION("""COMPUTED_VALUE"""),"Трудове на СВУБИТ, том 9, 2012, ISSN 1312-5834")</f>
        <v>Трудове на СВУБИТ, том 9, 2012, ISSN 1312-5834</v>
      </c>
      <c r="F1623" s="10"/>
      <c r="G1623" s="10"/>
      <c r="H1623" s="10"/>
      <c r="I1623" s="10"/>
      <c r="J1623" s="10"/>
      <c r="K1623" s="10"/>
      <c r="L1623" s="10"/>
      <c r="M1623" s="10"/>
      <c r="N1623" s="10"/>
      <c r="O1623" s="10"/>
      <c r="P1623" s="10"/>
      <c r="Q1623" s="10"/>
      <c r="R1623" s="10"/>
      <c r="S1623" s="10"/>
      <c r="T1623" s="10"/>
      <c r="U1623" s="10"/>
      <c r="V1623" s="10"/>
      <c r="W1623" s="10"/>
      <c r="X1623" s="10"/>
      <c r="Y1623" s="10"/>
      <c r="Z1623" s="10"/>
    </row>
    <row r="1624" spans="1:26" ht="12.75">
      <c r="A1624" s="10" t="str">
        <f ca="1">IFERROR(__xludf.DUMMYFUNCTION("""COMPUTED_VALUE"""),"Владимир Симов Йоцов")</f>
        <v>Владимир Симов Йоцов</v>
      </c>
      <c r="B1624" s="10" t="str">
        <f ca="1">IFERROR(__xludf.DUMMYFUNCTION("""COMPUTED_VALUE"""),"Доклад от конференция")</f>
        <v>Доклад от конференция</v>
      </c>
      <c r="C1624" s="10" t="str">
        <f ca="1">IFERROR(__xludf.DUMMYFUNCTION("""COMPUTED_VALUE"""),"Specifics of Transitions in Binary Markov Logic")</f>
        <v>Specifics of Transitions in Binary Markov Logic</v>
      </c>
      <c r="D1624" s="10">
        <f ca="1">IFERROR(__xludf.DUMMYFUNCTION("""COMPUTED_VALUE"""),2012)</f>
        <v>2012</v>
      </c>
      <c r="E1624" s="10" t="str">
        <f ca="1">IFERROR(__xludf.DUMMYFUNCTION("""COMPUTED_VALUE"""),"Proc. IEEE 6th Int. Conference ‘Intelligent Systems’, Vol. 1, Sofia, Hotel Rodina, September 6-8, 2012, pp. 481-488. ISBN 978-1-4673-2276-8")</f>
        <v>Proc. IEEE 6th Int. Conference ‘Intelligent Systems’, Vol. 1, Sofia, Hotel Rodina, September 6-8, 2012, pp. 481-488. ISBN 978-1-4673-2276-8</v>
      </c>
      <c r="F1624" s="10" t="str">
        <f ca="1">IFERROR(__xludf.DUMMYFUNCTION("""COMPUTED_VALUE"""),"Scopus")</f>
        <v>Scopus</v>
      </c>
      <c r="G1624" s="10" t="str">
        <f ca="1">IFERROR(__xludf.DUMMYFUNCTION("""COMPUTED_VALUE"""),"Sgurev V.")</f>
        <v>Sgurev V.</v>
      </c>
      <c r="H1624" s="10"/>
      <c r="I1624" s="10"/>
      <c r="J1624" s="10"/>
      <c r="K1624" s="10"/>
      <c r="L1624" s="10"/>
      <c r="M1624" s="10"/>
      <c r="N1624" s="10"/>
      <c r="O1624" s="10"/>
      <c r="P1624" s="10"/>
      <c r="Q1624" s="10"/>
      <c r="R1624" s="10"/>
      <c r="S1624" s="10"/>
      <c r="T1624" s="10"/>
      <c r="U1624" s="10"/>
      <c r="V1624" s="10"/>
      <c r="W1624" s="10"/>
      <c r="X1624" s="10"/>
      <c r="Y1624" s="10"/>
      <c r="Z1624" s="10"/>
    </row>
    <row r="1625" spans="1:26" ht="12.75">
      <c r="A1625" s="10" t="str">
        <f ca="1">IFERROR(__xludf.DUMMYFUNCTION("""COMPUTED_VALUE"""),"Владимир Симов Йоцов")</f>
        <v>Владимир Симов Йоцов</v>
      </c>
      <c r="B1625" s="10" t="str">
        <f ca="1">IFERROR(__xludf.DUMMYFUNCTION("""COMPUTED_VALUE"""),"Доклад от конференция")</f>
        <v>Доклад от конференция</v>
      </c>
      <c r="C1625" s="10" t="str">
        <f ca="1">IFERROR(__xludf.DUMMYFUNCTION("""COMPUTED_VALUE"""),"Machine Self-Learning Applications in Security Systems")</f>
        <v>Machine Self-Learning Applications in Security Systems</v>
      </c>
      <c r="D1625" s="10">
        <f ca="1">IFERROR(__xludf.DUMMYFUNCTION("""COMPUTED_VALUE"""),2011)</f>
        <v>2011</v>
      </c>
      <c r="E1625" s="10" t="str">
        <f ca="1">IFERROR(__xludf.DUMMYFUNCTION("""COMPUTED_VALUE"""),"Proc. 6th IEEE International Conference on Intelligent Data Acquisition and Advanced Computing Systems, Prague, Czech Republic, September 15-17, 2011, p. 727-732, ISBN 978-1-4577-1424-5.")</f>
        <v>Proc. 6th IEEE International Conference on Intelligent Data Acquisition and Advanced Computing Systems, Prague, Czech Republic, September 15-17, 2011, p. 727-732, ISBN 978-1-4577-1424-5.</v>
      </c>
      <c r="F1625" s="10" t="str">
        <f ca="1">IFERROR(__xludf.DUMMYFUNCTION("""COMPUTED_VALUE"""),"Scopus")</f>
        <v>Scopus</v>
      </c>
      <c r="G1625" s="10"/>
      <c r="H1625" s="10"/>
      <c r="I1625" s="10"/>
      <c r="J1625" s="10"/>
      <c r="K1625" s="10"/>
      <c r="L1625" s="10"/>
      <c r="M1625" s="10"/>
      <c r="N1625" s="10"/>
      <c r="O1625" s="10"/>
      <c r="P1625" s="10"/>
      <c r="Q1625" s="10"/>
      <c r="R1625" s="10"/>
      <c r="S1625" s="10"/>
      <c r="T1625" s="10"/>
      <c r="U1625" s="10"/>
      <c r="V1625" s="10"/>
      <c r="W1625" s="10"/>
      <c r="X1625" s="10"/>
      <c r="Y1625" s="10"/>
      <c r="Z1625" s="10"/>
    </row>
    <row r="1626" spans="1:26" ht="12.75">
      <c r="A1626" s="10" t="str">
        <f ca="1">IFERROR(__xludf.DUMMYFUNCTION("""COMPUTED_VALUE"""),"Владимир Симов Йоцов")</f>
        <v>Владимир Симов Йоцов</v>
      </c>
      <c r="B1626" s="10" t="str">
        <f ca="1">IFERROR(__xludf.DUMMYFUNCTION("""COMPUTED_VALUE"""),"Статия в списания и поредици")</f>
        <v>Статия в списания и поредици</v>
      </c>
      <c r="C1626" s="10" t="str">
        <f ca="1">IFERROR(__xludf.DUMMYFUNCTION("""COMPUTED_VALUE"""),"A system approach to agent negotiation and learning")</f>
        <v>A system approach to agent negotiation and learning</v>
      </c>
      <c r="D1626" s="10">
        <f ca="1">IFERROR(__xludf.DUMMYFUNCTION("""COMPUTED_VALUE"""),2010)</f>
        <v>2010</v>
      </c>
      <c r="E1626" s="10" t="str">
        <f ca="1">IFERROR(__xludf.DUMMYFUNCTION("""COMPUTED_VALUE"""),"Intelligent Systems - from Theory to Practice. Series Studies in Computational Intelligence. Vol. 299. – Berlin Heidelberg: Springer-Verlag, 2010, p.133-160, ISSN 1860-949X, ISBN 978-3-642-13427-2.")</f>
        <v>Intelligent Systems - from Theory to Practice. Series Studies in Computational Intelligence. Vol. 299. – Berlin Heidelberg: Springer-Verlag, 2010, p.133-160, ISSN 1860-949X, ISBN 978-3-642-13427-2.</v>
      </c>
      <c r="F1626" s="10" t="str">
        <f ca="1">IFERROR(__xludf.DUMMYFUNCTION("""COMPUTED_VALUE"""),"Scopus")</f>
        <v>Scopus</v>
      </c>
      <c r="G1626" s="10" t="str">
        <f ca="1">IFERROR(__xludf.DUMMYFUNCTION("""COMPUTED_VALUE"""),"Čapkovič, F.")</f>
        <v>Čapkovič, F.</v>
      </c>
      <c r="H1626" s="10"/>
      <c r="I1626" s="10"/>
      <c r="J1626" s="10"/>
      <c r="K1626" s="10"/>
      <c r="L1626" s="10"/>
      <c r="M1626" s="10"/>
      <c r="N1626" s="10"/>
      <c r="O1626" s="10"/>
      <c r="P1626" s="10"/>
      <c r="Q1626" s="10"/>
      <c r="R1626" s="10"/>
      <c r="S1626" s="10"/>
      <c r="T1626" s="10"/>
      <c r="U1626" s="10"/>
      <c r="V1626" s="10"/>
      <c r="W1626" s="10"/>
      <c r="X1626" s="10"/>
      <c r="Y1626" s="10"/>
      <c r="Z1626" s="10"/>
    </row>
    <row r="1627" spans="1:26" ht="12.75">
      <c r="A1627" s="10" t="str">
        <f ca="1">IFERROR(__xludf.DUMMYFUNCTION("""COMPUTED_VALUE"""),"Владимир Симов Йоцов")</f>
        <v>Владимир Симов Йоцов</v>
      </c>
      <c r="B1627" s="10" t="str">
        <f ca="1">IFERROR(__xludf.DUMMYFUNCTION("""COMPUTED_VALUE"""),"Доклад от конференция")</f>
        <v>Доклад от конференция</v>
      </c>
      <c r="C1627" s="10" t="str">
        <f ca="1">IFERROR(__xludf.DUMMYFUNCTION("""COMPUTED_VALUE"""),"Discrete Markov Process Interpretation of Propositional Logic")</f>
        <v>Discrete Markov Process Interpretation of Propositional Logic</v>
      </c>
      <c r="D1627" s="10">
        <f ca="1">IFERROR(__xludf.DUMMYFUNCTION("""COMPUTED_VALUE"""),2010)</f>
        <v>2010</v>
      </c>
      <c r="E1627" s="10" t="str">
        <f ca="1">IFERROR(__xludf.DUMMYFUNCTION("""COMPUTED_VALUE"""),"Proc. 5th IEEE International Conference on Intelligent Systems, University of Westminster, London, UK, July 6-8, 2010, p.203-206, ISSN 978-1-4244-5164-7. ISBN 978-1-4244-5164-7")</f>
        <v>Proc. 5th IEEE International Conference on Intelligent Systems, University of Westminster, London, UK, July 6-8, 2010, p.203-206, ISSN 978-1-4244-5164-7. ISBN 978-1-4244-5164-7</v>
      </c>
      <c r="F1627" s="10" t="str">
        <f ca="1">IFERROR(__xludf.DUMMYFUNCTION("""COMPUTED_VALUE"""),"Scopus")</f>
        <v>Scopus</v>
      </c>
      <c r="G1627" s="10" t="str">
        <f ca="1">IFERROR(__xludf.DUMMYFUNCTION("""COMPUTED_VALUE"""),"Sgurev, V.")</f>
        <v>Sgurev, V.</v>
      </c>
      <c r="H1627" s="10"/>
      <c r="I1627" s="10"/>
      <c r="J1627" s="10"/>
      <c r="K1627" s="10"/>
      <c r="L1627" s="10"/>
      <c r="M1627" s="10"/>
      <c r="N1627" s="10"/>
      <c r="O1627" s="10"/>
      <c r="P1627" s="10"/>
      <c r="Q1627" s="10"/>
      <c r="R1627" s="10"/>
      <c r="S1627" s="10"/>
      <c r="T1627" s="10"/>
      <c r="U1627" s="10"/>
      <c r="V1627" s="10"/>
      <c r="W1627" s="10"/>
      <c r="X1627" s="10"/>
      <c r="Y1627" s="10"/>
      <c r="Z1627" s="10"/>
    </row>
    <row r="1628" spans="1:26" ht="12.75">
      <c r="A1628" s="10" t="str">
        <f ca="1">IFERROR(__xludf.DUMMYFUNCTION("""COMPUTED_VALUE"""),"Владимир Симов Йоцов")</f>
        <v>Владимир Симов Йоцов</v>
      </c>
      <c r="B1628" s="10" t="str">
        <f ca="1">IFERROR(__xludf.DUMMYFUNCTION("""COMPUTED_VALUE"""),"Доклад от конференция")</f>
        <v>Доклад от конференция</v>
      </c>
      <c r="C1628" s="10" t="str">
        <f ca="1">IFERROR(__xludf.DUMMYFUNCTION("""COMPUTED_VALUE"""),"Self-Learning Strategies in Multiagent Environments")</f>
        <v>Self-Learning Strategies in Multiagent Environments</v>
      </c>
      <c r="D1628" s="10">
        <f ca="1">IFERROR(__xludf.DUMMYFUNCTION("""COMPUTED_VALUE"""),2010)</f>
        <v>2010</v>
      </c>
      <c r="E1628" s="10" t="str">
        <f ca="1">IFERROR(__xludf.DUMMYFUNCTION("""COMPUTED_VALUE"""),"Proc. 5th IEEE International Conference on Intelligent Systems, University of Westminster, London, UK, July 6-8, 2010, p.67-72, ISSN 978-1-4244-5164-7. ISBN 978-1-4244-5164-7")</f>
        <v>Proc. 5th IEEE International Conference on Intelligent Systems, University of Westminster, London, UK, July 6-8, 2010, p.67-72, ISSN 978-1-4244-5164-7. ISBN 978-1-4244-5164-7</v>
      </c>
      <c r="F1628" s="10" t="str">
        <f ca="1">IFERROR(__xludf.DUMMYFUNCTION("""COMPUTED_VALUE"""),"Scopus")</f>
        <v>Scopus</v>
      </c>
      <c r="G1628" s="10" t="str">
        <f ca="1">IFERROR(__xludf.DUMMYFUNCTION("""COMPUTED_VALUE"""),"Sgurev, V.")</f>
        <v>Sgurev, V.</v>
      </c>
      <c r="H1628" s="10"/>
      <c r="I1628" s="10"/>
      <c r="J1628" s="10"/>
      <c r="K1628" s="10"/>
      <c r="L1628" s="10"/>
      <c r="M1628" s="10"/>
      <c r="N1628" s="10"/>
      <c r="O1628" s="10"/>
      <c r="P1628" s="10"/>
      <c r="Q1628" s="10"/>
      <c r="R1628" s="10"/>
      <c r="S1628" s="10"/>
      <c r="T1628" s="10"/>
      <c r="U1628" s="10"/>
      <c r="V1628" s="10"/>
      <c r="W1628" s="10"/>
      <c r="X1628" s="10"/>
      <c r="Y1628" s="10"/>
      <c r="Z1628" s="10"/>
    </row>
    <row r="1629" spans="1:26" ht="12.75">
      <c r="A1629" s="10" t="str">
        <f ca="1">IFERROR(__xludf.DUMMYFUNCTION("""COMPUTED_VALUE"""),"Владимир Симов Йоцов")</f>
        <v>Владимир Симов Йоцов</v>
      </c>
      <c r="B1629" s="10" t="str">
        <f ca="1">IFERROR(__xludf.DUMMYFUNCTION("""COMPUTED_VALUE"""),"Монография")</f>
        <v>Монография</v>
      </c>
      <c r="C1629" s="10" t="str">
        <f ca="1">IFERROR(__xludf.DUMMYFUNCTION("""COMPUTED_VALUE"""),"Интелигентни системи за информационна сигурност")</f>
        <v>Интелигентни системи за информационна сигурност</v>
      </c>
      <c r="D1629" s="10">
        <f ca="1">IFERROR(__xludf.DUMMYFUNCTION("""COMPUTED_VALUE"""),2010)</f>
        <v>2010</v>
      </c>
      <c r="E1629" s="10" t="str">
        <f ca="1">IFERROR(__xludf.DUMMYFUNCTION("""COMPUTED_VALUE"""),"София: За буквите - О писменехь, 2011, 278 с., ISBN 978-954-8887-83-0")</f>
        <v>София: За буквите - О писменехь, 2011, 278 с., ISBN 978-954-8887-83-0</v>
      </c>
      <c r="F1629" s="10"/>
      <c r="G1629" s="10"/>
      <c r="H1629" s="10"/>
      <c r="I1629" s="10"/>
      <c r="J1629" s="10"/>
      <c r="K1629" s="10"/>
      <c r="L1629" s="10"/>
      <c r="M1629" s="10"/>
      <c r="N1629" s="10"/>
      <c r="O1629" s="10"/>
      <c r="P1629" s="10"/>
      <c r="Q1629" s="10"/>
      <c r="R1629" s="10"/>
      <c r="S1629" s="10"/>
      <c r="T1629" s="10"/>
      <c r="U1629" s="10"/>
      <c r="V1629" s="10"/>
      <c r="W1629" s="10"/>
      <c r="X1629" s="10"/>
      <c r="Y1629" s="10"/>
      <c r="Z1629" s="10"/>
    </row>
    <row r="1630" spans="1:26" ht="12.75">
      <c r="A1630" s="10" t="str">
        <f ca="1">IFERROR(__xludf.DUMMYFUNCTION("""COMPUTED_VALUE"""),"Владимир Симов Йоцов")</f>
        <v>Владимир Симов Йоцов</v>
      </c>
      <c r="B1630" s="10" t="str">
        <f ca="1">IFERROR(__xludf.DUMMYFUNCTION("""COMPUTED_VALUE"""),"Статия в списания и поредици")</f>
        <v>Статия в списания и поредици</v>
      </c>
      <c r="C1630" s="10" t="str">
        <f ca="1">IFERROR(__xludf.DUMMYFUNCTION("""COMPUTED_VALUE"""),"Emotion-Aware Education and Research Systems")</f>
        <v>Emotion-Aware Education and Research Systems</v>
      </c>
      <c r="D1630" s="10">
        <f ca="1">IFERROR(__xludf.DUMMYFUNCTION("""COMPUTED_VALUE"""),2009)</f>
        <v>2009</v>
      </c>
      <c r="E1630" s="10" t="str">
        <f ca="1">IFERROR(__xludf.DUMMYFUNCTION("""COMPUTED_VALUE"""),"J. Issues in Informing Science and Information Technologies (IISIT), USA, Vol. 6, p. 779-794, 2009, ISSN 1547-5840.")</f>
        <v>J. Issues in Informing Science and Information Technologies (IISIT), USA, Vol. 6, p. 779-794, 2009, ISSN 1547-5840.</v>
      </c>
      <c r="F1630" s="10"/>
      <c r="G1630" s="10"/>
      <c r="H1630" s="10"/>
      <c r="I1630" s="10"/>
      <c r="J1630" s="10"/>
      <c r="K1630" s="10"/>
      <c r="L1630" s="10"/>
      <c r="M1630" s="10"/>
      <c r="N1630" s="10"/>
      <c r="O1630" s="10"/>
      <c r="P1630" s="10"/>
      <c r="Q1630" s="10"/>
      <c r="R1630" s="10"/>
      <c r="S1630" s="10"/>
      <c r="T1630" s="10"/>
      <c r="U1630" s="10"/>
      <c r="V1630" s="10"/>
      <c r="W1630" s="10"/>
      <c r="X1630" s="10"/>
      <c r="Y1630" s="10"/>
      <c r="Z1630" s="10"/>
    </row>
    <row r="1631" spans="1:26" ht="12.75">
      <c r="A1631" s="10" t="str">
        <f ca="1">IFERROR(__xludf.DUMMYFUNCTION("""COMPUTED_VALUE"""),"Владимир Симов Йоцов")</f>
        <v>Владимир Симов Йоцов</v>
      </c>
      <c r="B1631" s="10" t="str">
        <f ca="1">IFERROR(__xludf.DUMMYFUNCTION("""COMPUTED_VALUE"""),"Статия в списания и поредици")</f>
        <v>Статия в списания и поредици</v>
      </c>
      <c r="C1631" s="10" t="str">
        <f ca="1">IFERROR(__xludf.DUMMYFUNCTION("""COMPUTED_VALUE"""),"Програмна реализация на многоагентни системи за информационна сигурност чрез използване на JADE")</f>
        <v>Програмна реализация на многоагентни системи за информационна сигурност чрез използване на JADE</v>
      </c>
      <c r="D1631" s="10">
        <f ca="1">IFERROR(__xludf.DUMMYFUNCTION("""COMPUTED_VALUE"""),2009)</f>
        <v>2009</v>
      </c>
      <c r="E1631" s="10" t="str">
        <f ca="1">IFERROR(__xludf.DUMMYFUNCTION("""COMPUTED_VALUE"""),"Сб. ‘Нови информационни технологии в образователния процес’.-София: Изд. ‘За буквите-О писъменехь’, том. 3, 2009, с. 239-252, ISSN 1313-2768.")</f>
        <v>Сб. ‘Нови информационни технологии в образователния процес’.-София: Изд. ‘За буквите-О писъменехь’, том. 3, 2009, с. 239-252, ISSN 1313-2768.</v>
      </c>
      <c r="F1631" s="10"/>
      <c r="G1631" s="10" t="str">
        <f ca="1">IFERROR(__xludf.DUMMYFUNCTION("""COMPUTED_VALUE"""),"Петрова П.")</f>
        <v>Петрова П.</v>
      </c>
      <c r="H1631" s="10"/>
      <c r="I1631" s="10"/>
      <c r="J1631" s="10"/>
      <c r="K1631" s="10"/>
      <c r="L1631" s="10"/>
      <c r="M1631" s="10"/>
      <c r="N1631" s="10"/>
      <c r="O1631" s="10"/>
      <c r="P1631" s="10"/>
      <c r="Q1631" s="10"/>
      <c r="R1631" s="10"/>
      <c r="S1631" s="10"/>
      <c r="T1631" s="10"/>
      <c r="U1631" s="10"/>
      <c r="V1631" s="10"/>
      <c r="W1631" s="10"/>
      <c r="X1631" s="10"/>
      <c r="Y1631" s="10"/>
      <c r="Z1631" s="10"/>
    </row>
    <row r="1632" spans="1:26" ht="12.75">
      <c r="A1632" s="10" t="str">
        <f ca="1">IFERROR(__xludf.DUMMYFUNCTION("""COMPUTED_VALUE"""),"Владимир Симов Йоцов")</f>
        <v>Владимир Симов Йоцов</v>
      </c>
      <c r="B1632" s="10" t="str">
        <f ca="1">IFERROR(__xludf.DUMMYFUNCTION("""COMPUTED_VALUE"""),"Доклад от конференция")</f>
        <v>Доклад от конференция</v>
      </c>
      <c r="C1632" s="10" t="str">
        <f ca="1">IFERROR(__xludf.DUMMYFUNCTION("""COMPUTED_VALUE"""),"Network Flow Interpretation of Logical Structures in Decision Support Systems.")</f>
        <v>Network Flow Interpretation of Logical Structures in Decision Support Systems.</v>
      </c>
      <c r="D1632" s="10">
        <f ca="1">IFERROR(__xludf.DUMMYFUNCTION("""COMPUTED_VALUE"""),2008)</f>
        <v>2008</v>
      </c>
      <c r="E1632" s="10" t="str">
        <f ca="1">IFERROR(__xludf.DUMMYFUNCTION("""COMPUTED_VALUE"""),"Proc. 4th International IEEE Conference on Intelligent Systems, Yager R., V. Sgurev V and V. Jotsov (Eds.), Vol. II, Varna, Bulgaria, September 6-8, 2008, p. 8.19-8.22 , ISBN 978-1-4244-1739-1, Library of Congress 2007906911.")</f>
        <v>Proc. 4th International IEEE Conference on Intelligent Systems, Yager R., V. Sgurev V and V. Jotsov (Eds.), Vol. II, Varna, Bulgaria, September 6-8, 2008, p. 8.19-8.22 , ISBN 978-1-4244-1739-1, Library of Congress 2007906911.</v>
      </c>
      <c r="F1632" s="10" t="str">
        <f ca="1">IFERROR(__xludf.DUMMYFUNCTION("""COMPUTED_VALUE"""),"Scopus")</f>
        <v>Scopus</v>
      </c>
      <c r="G1632" s="10" t="str">
        <f ca="1">IFERROR(__xludf.DUMMYFUNCTION("""COMPUTED_VALUE"""),"Sgurev, V., Hadjiski, M.")</f>
        <v>Sgurev, V., Hadjiski, M.</v>
      </c>
      <c r="H1632" s="10"/>
      <c r="I1632" s="10"/>
      <c r="J1632" s="10"/>
      <c r="K1632" s="10"/>
      <c r="L1632" s="10"/>
      <c r="M1632" s="10"/>
      <c r="N1632" s="10"/>
      <c r="O1632" s="10"/>
      <c r="P1632" s="10"/>
      <c r="Q1632" s="10"/>
      <c r="R1632" s="10"/>
      <c r="S1632" s="10"/>
      <c r="T1632" s="10"/>
      <c r="U1632" s="10"/>
      <c r="V1632" s="10"/>
      <c r="W1632" s="10"/>
      <c r="X1632" s="10"/>
      <c r="Y1632" s="10"/>
      <c r="Z1632" s="10"/>
    </row>
    <row r="1633" spans="1:26" ht="12.75">
      <c r="A1633" s="10" t="str">
        <f ca="1">IFERROR(__xludf.DUMMYFUNCTION("""COMPUTED_VALUE"""),"Владимир Симов Йоцов")</f>
        <v>Владимир Симов Йоцов</v>
      </c>
      <c r="B1633" s="10" t="str">
        <f ca="1">IFERROR(__xludf.DUMMYFUNCTION("""COMPUTED_VALUE"""),"Статия в списания и поредици")</f>
        <v>Статия в списания и поредици</v>
      </c>
      <c r="C1633" s="10" t="str">
        <f ca="1">IFERROR(__xludf.DUMMYFUNCTION("""COMPUTED_VALUE"""),"Applications in Intelligent Systems of Knowledge Discovery Methods Based on Human-Machine Interaction")</f>
        <v>Applications in Intelligent Systems of Knowledge Discovery Methods Based on Human-Machine Interaction</v>
      </c>
      <c r="D1633" s="10">
        <f ca="1">IFERROR(__xludf.DUMMYFUNCTION("""COMPUTED_VALUE"""),2008)</f>
        <v>2008</v>
      </c>
      <c r="E1633" s="10" t="str">
        <f ca="1">IFERROR(__xludf.DUMMYFUNCTION("""COMPUTED_VALUE"""),"International Journal of Intelligent Systems (IJIS). - NJ: Wiley Press (USA), Vol 23, no. 5, May 2008, p. 588-606, ISSN 0884-8173. Impact Factor 0,86")</f>
        <v>International Journal of Intelligent Systems (IJIS). - NJ: Wiley Press (USA), Vol 23, no. 5, May 2008, p. 588-606, ISSN 0884-8173. Impact Factor 0,86</v>
      </c>
      <c r="F1633" s="10" t="str">
        <f ca="1">IFERROR(__xludf.DUMMYFUNCTION("""COMPUTED_VALUE"""),"Web of Knowledge, Scopus")</f>
        <v>Web of Knowledge, Scopus</v>
      </c>
      <c r="G1633" s="10" t="str">
        <f ca="1">IFERROR(__xludf.DUMMYFUNCTION("""COMPUTED_VALUE"""),"Sgurev, V")</f>
        <v>Sgurev, V</v>
      </c>
      <c r="H1633" s="10"/>
      <c r="I1633" s="10"/>
      <c r="J1633" s="10"/>
      <c r="K1633" s="10"/>
      <c r="L1633" s="10"/>
      <c r="M1633" s="10"/>
      <c r="N1633" s="10"/>
      <c r="O1633" s="10"/>
      <c r="P1633" s="10"/>
      <c r="Q1633" s="10"/>
      <c r="R1633" s="10"/>
      <c r="S1633" s="10"/>
      <c r="T1633" s="10"/>
      <c r="U1633" s="10"/>
      <c r="V1633" s="10"/>
      <c r="W1633" s="10"/>
      <c r="X1633" s="10"/>
      <c r="Y1633" s="10"/>
      <c r="Z1633" s="10"/>
    </row>
    <row r="1634" spans="1:26" ht="12.75">
      <c r="A1634" s="10" t="str">
        <f ca="1">IFERROR(__xludf.DUMMYFUNCTION("""COMPUTED_VALUE"""),"Владимир Симов Йоцов")</f>
        <v>Владимир Симов Йоцов</v>
      </c>
      <c r="B1634" s="10" t="str">
        <f ca="1">IFERROR(__xludf.DUMMYFUNCTION("""COMPUTED_VALUE"""),"Статия в списания и поредици")</f>
        <v>Статия в списания и поредици</v>
      </c>
      <c r="C1634" s="10" t="str">
        <f ca="1">IFERROR(__xludf.DUMMYFUNCTION("""COMPUTED_VALUE"""),"Онтологии для разрешения семантических конфликтов")</f>
        <v>Онтологии для разрешения семантических конфликтов</v>
      </c>
      <c r="D1634" s="10">
        <f ca="1">IFERROR(__xludf.DUMMYFUNCTION("""COMPUTED_VALUE"""),2008)</f>
        <v>2008</v>
      </c>
      <c r="E1634" s="10" t="str">
        <f ca="1">IFERROR(__xludf.DUMMYFUNCTION("""COMPUTED_VALUE"""),"Труды СПИИРАН. Вып. 7 – СПб: СПИИРАН, Наука, 2008, с. 26-40, ISBN 978-5-02-025354-4. ISSN 2078-9181")</f>
        <v>Труды СПИИРАН. Вып. 7 – СПб: СПИИРАН, Наука, 2008, с. 26-40, ISBN 978-5-02-025354-4. ISSN 2078-9181</v>
      </c>
      <c r="F1634" s="10" t="str">
        <f ca="1">IFERROR(__xludf.DUMMYFUNCTION("""COMPUTED_VALUE"""),"Scopus, Web of Knowledge")</f>
        <v>Scopus, Web of Knowledge</v>
      </c>
      <c r="G1634" s="10" t="str">
        <f ca="1">IFERROR(__xludf.DUMMYFUNCTION("""COMPUTED_VALUE"""),"В. Сгурев, Р. Юсупов, А. Хомоненко")</f>
        <v>В. Сгурев, Р. Юсупов, А. Хомоненко</v>
      </c>
      <c r="H1634" s="10"/>
      <c r="I1634" s="10"/>
      <c r="J1634" s="10"/>
      <c r="K1634" s="10"/>
      <c r="L1634" s="10"/>
      <c r="M1634" s="10"/>
      <c r="N1634" s="10"/>
      <c r="O1634" s="10"/>
      <c r="P1634" s="10"/>
      <c r="Q1634" s="10"/>
      <c r="R1634" s="10"/>
      <c r="S1634" s="10"/>
      <c r="T1634" s="10"/>
      <c r="U1634" s="10"/>
      <c r="V1634" s="10"/>
      <c r="W1634" s="10"/>
      <c r="X1634" s="10"/>
      <c r="Y1634" s="10"/>
      <c r="Z1634" s="10"/>
    </row>
    <row r="1635" spans="1:26" ht="12.75">
      <c r="A1635" s="10" t="str">
        <f ca="1">IFERROR(__xludf.DUMMYFUNCTION("""COMPUTED_VALUE"""),"Владимир Симов Йоцов")</f>
        <v>Владимир Симов Йоцов</v>
      </c>
      <c r="B1635" s="10" t="str">
        <f ca="1">IFERROR(__xludf.DUMMYFUNCTION("""COMPUTED_VALUE"""),"Доклад от конференция")</f>
        <v>Доклад от конференция</v>
      </c>
      <c r="C1635" s="10" t="str">
        <f ca="1">IFERROR(__xludf.DUMMYFUNCTION("""COMPUTED_VALUE"""),"Novel Intrusion Prevention and Detection Systems")</f>
        <v>Novel Intrusion Prevention and Detection Systems</v>
      </c>
      <c r="D1635" s="10">
        <f ca="1">IFERROR(__xludf.DUMMYFUNCTION("""COMPUTED_VALUE"""),2008)</f>
        <v>2008</v>
      </c>
      <c r="E1635" s="10" t="str">
        <f ca="1">IFERROR(__xludf.DUMMYFUNCTION("""COMPUTED_VALUE"""),"Proc. 4th International IEEE Conference on Intelligent Systems, Yager R., V. Sgurev V and V. Jotsov (Eds.), Vol. II, Varna, Bulgaria, September 6-8, 2008, p. 14.20-14.27, ISBN 978-1-4244-1739-1, Library of Congress 2007906911")</f>
        <v>Proc. 4th International IEEE Conference on Intelligent Systems, Yager R., V. Sgurev V and V. Jotsov (Eds.), Vol. II, Varna, Bulgaria, September 6-8, 2008, p. 14.20-14.27, ISBN 978-1-4244-1739-1, Library of Congress 2007906911</v>
      </c>
      <c r="F1635" s="10" t="str">
        <f ca="1">IFERROR(__xludf.DUMMYFUNCTION("""COMPUTED_VALUE"""),"Scopus")</f>
        <v>Scopus</v>
      </c>
      <c r="G1635" s="10"/>
      <c r="H1635" s="10"/>
      <c r="I1635" s="10"/>
      <c r="J1635" s="10"/>
      <c r="K1635" s="10"/>
      <c r="L1635" s="10"/>
      <c r="M1635" s="10"/>
      <c r="N1635" s="10"/>
      <c r="O1635" s="10"/>
      <c r="P1635" s="10"/>
      <c r="Q1635" s="10"/>
      <c r="R1635" s="10"/>
      <c r="S1635" s="10"/>
      <c r="T1635" s="10"/>
      <c r="U1635" s="10"/>
      <c r="V1635" s="10"/>
      <c r="W1635" s="10"/>
      <c r="X1635" s="10"/>
      <c r="Y1635" s="10"/>
      <c r="Z1635" s="10"/>
    </row>
    <row r="1636" spans="1:26" ht="12.75">
      <c r="A1636" s="10" t="str">
        <f ca="1">IFERROR(__xludf.DUMMYFUNCTION("""COMPUTED_VALUE"""),"Владимир Симов Йоцов")</f>
        <v>Владимир Симов Йоцов</v>
      </c>
      <c r="B1636" s="10" t="str">
        <f ca="1">IFERROR(__xludf.DUMMYFUNCTION("""COMPUTED_VALUE"""),"Статия в списания и поредици")</f>
        <v>Статия в списания и поредици</v>
      </c>
      <c r="C1636" s="10" t="str">
        <f ca="1">IFERROR(__xludf.DUMMYFUNCTION("""COMPUTED_VALUE"""),"Изследване върху синтетични методи за интелигентна обработка на данни и техните приложения в системи за защита от нарушения.")</f>
        <v>Изследване върху синтетични методи за интелигентна обработка на данни и техните приложения в системи за защита от нарушения.</v>
      </c>
      <c r="D1636" s="10">
        <f ca="1">IFERROR(__xludf.DUMMYFUNCTION("""COMPUTED_VALUE"""),2008)</f>
        <v>2008</v>
      </c>
      <c r="E1636" s="10" t="str">
        <f ca="1">IFERROR(__xludf.DUMMYFUNCTION("""COMPUTED_VALUE"""),"Трудове на СВУБИТ, том 7, 2008, с. 227-244, ISSN 1312-5834")</f>
        <v>Трудове на СВУБИТ, том 7, 2008, с. 227-244, ISSN 1312-5834</v>
      </c>
      <c r="F1636" s="10"/>
      <c r="G1636" s="10"/>
      <c r="H1636" s="10"/>
      <c r="I1636" s="10"/>
      <c r="J1636" s="10"/>
      <c r="K1636" s="10"/>
      <c r="L1636" s="10"/>
      <c r="M1636" s="10"/>
      <c r="N1636" s="10"/>
      <c r="O1636" s="10"/>
      <c r="P1636" s="10"/>
      <c r="Q1636" s="10"/>
      <c r="R1636" s="10"/>
      <c r="S1636" s="10"/>
      <c r="T1636" s="10"/>
      <c r="U1636" s="10"/>
      <c r="V1636" s="10"/>
      <c r="W1636" s="10"/>
      <c r="X1636" s="10"/>
      <c r="Y1636" s="10"/>
      <c r="Z1636" s="10"/>
    </row>
    <row r="1637" spans="1:26" ht="12.75">
      <c r="A1637" s="10" t="str">
        <f ca="1">IFERROR(__xludf.DUMMYFUNCTION("""COMPUTED_VALUE"""),"Владимир Симов Йоцов")</f>
        <v>Владимир Симов Йоцов</v>
      </c>
      <c r="B1637" s="10" t="str">
        <f ca="1">IFERROR(__xludf.DUMMYFUNCTION("""COMPUTED_VALUE"""),"Учебник")</f>
        <v>Учебник</v>
      </c>
      <c r="C1637" s="10" t="str">
        <f ca="1">IFERROR(__xludf.DUMMYFUNCTION("""COMPUTED_VALUE"""),"Сигурност и защита на информацията")</f>
        <v>Сигурност и защита на информацията</v>
      </c>
      <c r="D1637" s="10">
        <f ca="1">IFERROR(__xludf.DUMMYFUNCTION("""COMPUTED_VALUE"""),2006)</f>
        <v>2006</v>
      </c>
      <c r="E1637" s="10" t="str">
        <f ca="1">IFERROR(__xludf.DUMMYFUNCTION("""COMPUTED_VALUE"""),"София: За буквите - О писменехь, 2006, 156 с. ISBN 10:954-8887-14-4")</f>
        <v>София: За буквите - О писменехь, 2006, 156 с. ISBN 10:954-8887-14-4</v>
      </c>
      <c r="F1637" s="10"/>
      <c r="G1637" s="10"/>
      <c r="H1637" s="10"/>
      <c r="I1637" s="10"/>
      <c r="J1637" s="10"/>
      <c r="K1637" s="10"/>
      <c r="L1637" s="10"/>
      <c r="M1637" s="10"/>
      <c r="N1637" s="10"/>
      <c r="O1637" s="10"/>
      <c r="P1637" s="10"/>
      <c r="Q1637" s="10"/>
      <c r="R1637" s="10"/>
      <c r="S1637" s="10"/>
      <c r="T1637" s="10"/>
      <c r="U1637" s="10"/>
      <c r="V1637" s="10"/>
      <c r="W1637" s="10"/>
      <c r="X1637" s="10"/>
      <c r="Y1637" s="10"/>
      <c r="Z1637" s="10"/>
    </row>
    <row r="1638" spans="1:26" ht="12.75">
      <c r="A1638" s="10" t="str">
        <f ca="1">IFERROR(__xludf.DUMMYFUNCTION("""COMPUTED_VALUE"""),"Владимир Симов Йоцов")</f>
        <v>Владимир Симов Йоцов</v>
      </c>
      <c r="B1638" s="10" t="str">
        <f ca="1">IFERROR(__xludf.DUMMYFUNCTION("""COMPUTED_VALUE"""),"Статия в списания и поредици")</f>
        <v>Статия в списания и поредици</v>
      </c>
      <c r="C1638" s="10" t="str">
        <f ca="1">IFERROR(__xludf.DUMMYFUNCTION("""COMPUTED_VALUE"""),"Развитие и применение многозначных логик и сетевых потоков в интеллектуальных системах")</f>
        <v>Развитие и применение многозначных логик и сетевых потоков в интеллектуальных системах</v>
      </c>
      <c r="D1638" s="10">
        <f ca="1">IFERROR(__xludf.DUMMYFUNCTION("""COMPUTED_VALUE"""),2005)</f>
        <v>2005</v>
      </c>
      <c r="E1638" s="10" t="str">
        <f ca="1">IFERROR(__xludf.DUMMYFUNCTION("""COMPUTED_VALUE"""),"Труды СПИИРАН, вып. 2, 2005. С. 114–126, ISSN 2078-9181")</f>
        <v>Труды СПИИРАН, вып. 2, 2005. С. 114–126, ISSN 2078-9181</v>
      </c>
      <c r="F1638" s="10" t="str">
        <f ca="1">IFERROR(__xludf.DUMMYFUNCTION("""COMPUTED_VALUE"""),"Scopus, web of knowledge")</f>
        <v>Scopus, web of knowledge</v>
      </c>
      <c r="G1638" s="10" t="str">
        <f ca="1">IFERROR(__xludf.DUMMYFUNCTION("""COMPUTED_VALUE"""),"Л Лютикова, А Тимофеев, В Сгурев")</f>
        <v>Л Лютикова, А Тимофеев, В Сгурев</v>
      </c>
      <c r="H1638" s="10"/>
      <c r="I1638" s="10"/>
      <c r="J1638" s="10"/>
      <c r="K1638" s="10"/>
      <c r="L1638" s="10"/>
      <c r="M1638" s="10"/>
      <c r="N1638" s="10"/>
      <c r="O1638" s="10"/>
      <c r="P1638" s="10"/>
      <c r="Q1638" s="10"/>
      <c r="R1638" s="10"/>
      <c r="S1638" s="10"/>
      <c r="T1638" s="10"/>
      <c r="U1638" s="10"/>
      <c r="V1638" s="10"/>
      <c r="W1638" s="10"/>
      <c r="X1638" s="10"/>
      <c r="Y1638" s="10"/>
      <c r="Z1638" s="10"/>
    </row>
    <row r="1639" spans="1:26" ht="12.75">
      <c r="A1639" s="10" t="str">
        <f ca="1">IFERROR(__xludf.DUMMYFUNCTION("""COMPUTED_VALUE"""),"Владимир Симов Йоцов")</f>
        <v>Владимир Симов Йоцов</v>
      </c>
      <c r="B1639" s="10" t="str">
        <f ca="1">IFERROR(__xludf.DUMMYFUNCTION("""COMPUTED_VALUE"""),"Статия в списания и поредици")</f>
        <v>Статия в списания и поредици</v>
      </c>
      <c r="C1639" s="10" t="str">
        <f ca="1">IFERROR(__xludf.DUMMYFUNCTION("""COMPUTED_VALUE"""),"От информатики к теории чисел 3")</f>
        <v>От информатики к теории чисел 3</v>
      </c>
      <c r="D1639" s="10">
        <f ca="1">IFERROR(__xludf.DUMMYFUNCTION("""COMPUTED_VALUE"""),2003)</f>
        <v>2003</v>
      </c>
      <c r="E1639" s="10" t="str">
        <f ca="1">IFERROR(__xludf.DUMMYFUNCTION("""COMPUTED_VALUE"""),"Ж. Математические машины и системы (Математичнi машинi и системi), номер 2, 2003, с. 19-28 ISSN 1028-9763 УДК 631-3")</f>
        <v>Ж. Математические машины и системы (Математичнi машинi и системi), номер 2, 2003, с. 19-28 ISSN 1028-9763 УДК 631-3</v>
      </c>
      <c r="F1639" s="10"/>
      <c r="G1639" s="10"/>
      <c r="H1639" s="10"/>
      <c r="I1639" s="10"/>
      <c r="J1639" s="10"/>
      <c r="K1639" s="10"/>
      <c r="L1639" s="10"/>
      <c r="M1639" s="10"/>
      <c r="N1639" s="10"/>
      <c r="O1639" s="10"/>
      <c r="P1639" s="10"/>
      <c r="Q1639" s="10"/>
      <c r="R1639" s="10"/>
      <c r="S1639" s="10"/>
      <c r="T1639" s="10"/>
      <c r="U1639" s="10"/>
      <c r="V1639" s="10"/>
      <c r="W1639" s="10"/>
      <c r="X1639" s="10"/>
      <c r="Y1639" s="10"/>
      <c r="Z1639" s="10"/>
    </row>
    <row r="1640" spans="1:26" ht="12.75">
      <c r="A1640" s="10" t="str">
        <f ca="1">IFERROR(__xludf.DUMMYFUNCTION("""COMPUTED_VALUE"""),"Владимир Симов Йоцов")</f>
        <v>Владимир Симов Йоцов</v>
      </c>
      <c r="B1640" s="10" t="str">
        <f ca="1">IFERROR(__xludf.DUMMYFUNCTION("""COMPUTED_VALUE"""),"Статия в списания и поредици")</f>
        <v>Статия в списания и поредици</v>
      </c>
      <c r="C1640" s="10" t="str">
        <f ca="1">IFERROR(__xludf.DUMMYFUNCTION("""COMPUTED_VALUE"""),"От информатики к теории чисел 2: взаимосвязь доказательств")</f>
        <v>От информатики к теории чисел 2: взаимосвязь доказательств</v>
      </c>
      <c r="D1640" s="10">
        <f ca="1">IFERROR(__xludf.DUMMYFUNCTION("""COMPUTED_VALUE"""),2003)</f>
        <v>2003</v>
      </c>
      <c r="E1640" s="10" t="str">
        <f ca="1">IFERROR(__xludf.DUMMYFUNCTION("""COMPUTED_VALUE"""),"Ж. Математические машины и системы (Математичнi машинi и системi), номер 1, 2003, с. 15-29 ISSN 1028-9763 УДК 631-3")</f>
        <v>Ж. Математические машины и системы (Математичнi машинi и системi), номер 1, 2003, с. 15-29 ISSN 1028-9763 УДК 631-3</v>
      </c>
      <c r="F1640" s="10"/>
      <c r="G1640" s="10"/>
      <c r="H1640" s="10"/>
      <c r="I1640" s="10"/>
      <c r="J1640" s="10"/>
      <c r="K1640" s="10"/>
      <c r="L1640" s="10"/>
      <c r="M1640" s="10"/>
      <c r="N1640" s="10"/>
      <c r="O1640" s="10"/>
      <c r="P1640" s="10"/>
      <c r="Q1640" s="10"/>
      <c r="R1640" s="10"/>
      <c r="S1640" s="10"/>
      <c r="T1640" s="10"/>
      <c r="U1640" s="10"/>
      <c r="V1640" s="10"/>
      <c r="W1640" s="10"/>
      <c r="X1640" s="10"/>
      <c r="Y1640" s="10"/>
      <c r="Z1640" s="10"/>
    </row>
    <row r="1641" spans="1:26" ht="12.75">
      <c r="A1641" s="10" t="str">
        <f ca="1">IFERROR(__xludf.DUMMYFUNCTION("""COMPUTED_VALUE"""),"Владимир Симов Йоцов")</f>
        <v>Владимир Симов Йоцов</v>
      </c>
      <c r="B1641" s="10" t="str">
        <f ca="1">IFERROR(__xludf.DUMMYFUNCTION("""COMPUTED_VALUE"""),"Статия в списания и поредици")</f>
        <v>Статия в списания и поредици</v>
      </c>
      <c r="C1641" s="10" t="str">
        <f ca="1">IFERROR(__xludf.DUMMYFUNCTION("""COMPUTED_VALUE"""),"От информатики к теории чисел: к вопросу о смене парадигм")</f>
        <v>От информатики к теории чисел: к вопросу о смене парадигм</v>
      </c>
      <c r="D1641" s="10">
        <f ca="1">IFERROR(__xludf.DUMMYFUNCTION("""COMPUTED_VALUE"""),2000)</f>
        <v>2000</v>
      </c>
      <c r="E1641" s="10" t="str">
        <f ca="1">IFERROR(__xludf.DUMMYFUNCTION("""COMPUTED_VALUE"""),"Ж. Математические машины и системы (Математичнi машинi и системi), номер 2-3, 2000, с. 33-44 ISSN 1028-9763 УДК 631-3")</f>
        <v>Ж. Математические машины и системы (Математичнi машинi и системi), номер 2-3, 2000, с. 33-44 ISSN 1028-9763 УДК 631-3</v>
      </c>
      <c r="F1641" s="10"/>
      <c r="G1641" s="10"/>
      <c r="H1641" s="10"/>
      <c r="I1641" s="10"/>
      <c r="J1641" s="10"/>
      <c r="K1641" s="10"/>
      <c r="L1641" s="10"/>
      <c r="M1641" s="10"/>
      <c r="N1641" s="10"/>
      <c r="O1641" s="10"/>
      <c r="P1641" s="10"/>
      <c r="Q1641" s="10"/>
      <c r="R1641" s="10"/>
      <c r="S1641" s="10"/>
      <c r="T1641" s="10"/>
      <c r="U1641" s="10"/>
      <c r="V1641" s="10"/>
      <c r="W1641" s="10"/>
      <c r="X1641" s="10"/>
      <c r="Y1641" s="10"/>
      <c r="Z1641" s="10"/>
    </row>
    <row r="1642" spans="1:26" ht="12.75">
      <c r="A1642" s="10" t="str">
        <f ca="1">IFERROR(__xludf.DUMMYFUNCTION("""COMPUTED_VALUE"""),"Владимир Симов Йоцов")</f>
        <v>Владимир Симов Йоцов</v>
      </c>
      <c r="B1642" s="10" t="str">
        <f ca="1">IFERROR(__xludf.DUMMYFUNCTION("""COMPUTED_VALUE"""),"Статия в списания и поредици")</f>
        <v>Статия в списания и поредици</v>
      </c>
      <c r="C1642" s="10" t="str">
        <f ca="1">IFERROR(__xludf.DUMMYFUNCTION("""COMPUTED_VALUE"""),"On prime k-tuples conjectures")</f>
        <v>On prime k-tuples conjectures</v>
      </c>
      <c r="D1642" s="10">
        <f ca="1">IFERROR(__xludf.DUMMYFUNCTION("""COMPUTED_VALUE"""),2000)</f>
        <v>2000</v>
      </c>
      <c r="E1642" s="10" t="str">
        <f ca="1">IFERROR(__xludf.DUMMYFUNCTION("""COMPUTED_VALUE"""),"Int. J. Notes on Number Theory and Discrete Mathematics Vol. 2, number 6, 2000, p. 39-44 ISSN 1310-5132 (print), 2367-8275 (online)")</f>
        <v>Int. J. Notes on Number Theory and Discrete Mathematics Vol. 2, number 6, 2000, p. 39-44 ISSN 1310-5132 (print), 2367-8275 (online)</v>
      </c>
      <c r="F1642" s="10" t="str">
        <f ca="1">IFERROR(__xludf.DUMMYFUNCTION("""COMPUTED_VALUE"""),"Scopus")</f>
        <v>Scopus</v>
      </c>
      <c r="G1642" s="10"/>
      <c r="H1642" s="10"/>
      <c r="I1642" s="10"/>
      <c r="J1642" s="10"/>
      <c r="K1642" s="10"/>
      <c r="L1642" s="10"/>
      <c r="M1642" s="10"/>
      <c r="N1642" s="10"/>
      <c r="O1642" s="10"/>
      <c r="P1642" s="10"/>
      <c r="Q1642" s="10"/>
      <c r="R1642" s="10"/>
      <c r="S1642" s="10"/>
      <c r="T1642" s="10"/>
      <c r="U1642" s="10"/>
      <c r="V1642" s="10"/>
      <c r="W1642" s="10"/>
      <c r="X1642" s="10"/>
      <c r="Y1642" s="10"/>
      <c r="Z1642" s="10"/>
    </row>
    <row r="1643" spans="1:26" ht="12.75">
      <c r="A1643" s="10" t="str">
        <f ca="1">IFERROR(__xludf.DUMMYFUNCTION("""COMPUTED_VALUE"""),"Владимир Симов Йоцов")</f>
        <v>Владимир Симов Йоцов</v>
      </c>
      <c r="B1643" s="10" t="str">
        <f ca="1">IFERROR(__xludf.DUMMYFUNCTION("""COMPUTED_VALUE"""),"Доклад от конференция")</f>
        <v>Доклад от конференция</v>
      </c>
      <c r="C1643" s="10" t="str">
        <f ca="1">IFERROR(__xludf.DUMMYFUNCTION("""COMPUTED_VALUE"""),"Приложения за тернарен (тризначен) извод")</f>
        <v>Приложения за тернарен (тризначен) извод</v>
      </c>
      <c r="D1643" s="10">
        <f ca="1">IFERROR(__xludf.DUMMYFUNCTION("""COMPUTED_VALUE"""),1999)</f>
        <v>1999</v>
      </c>
      <c r="E1643" s="10" t="str">
        <f ca="1">IFERROR(__xludf.DUMMYFUNCTION("""COMPUTED_VALUE"""),"Тр. на национална конференция „Автоматика и информатика“, т. 2, София, Октомври 1998, с. 25-28")</f>
        <v>Тр. на национална конференция „Автоматика и информатика“, т. 2, София, Октомври 1998, с. 25-28</v>
      </c>
      <c r="F1643" s="10"/>
      <c r="G1643" s="10"/>
      <c r="H1643" s="10"/>
      <c r="I1643" s="10"/>
      <c r="J1643" s="10"/>
      <c r="K1643" s="10"/>
      <c r="L1643" s="10"/>
      <c r="M1643" s="10"/>
      <c r="N1643" s="10"/>
      <c r="O1643" s="10"/>
      <c r="P1643" s="10"/>
      <c r="Q1643" s="10"/>
      <c r="R1643" s="10"/>
      <c r="S1643" s="10"/>
      <c r="T1643" s="10"/>
      <c r="U1643" s="10"/>
      <c r="V1643" s="10"/>
      <c r="W1643" s="10"/>
      <c r="X1643" s="10"/>
      <c r="Y1643" s="10"/>
      <c r="Z1643" s="10"/>
    </row>
    <row r="1644" spans="1:26" ht="12.75">
      <c r="A1644" s="10" t="str">
        <f ca="1">IFERROR(__xludf.DUMMYFUNCTION("""COMPUTED_VALUE"""),"Владимир Симов Йоцов")</f>
        <v>Владимир Симов Йоцов</v>
      </c>
      <c r="B1644" s="10" t="str">
        <f ca="1">IFERROR(__xludf.DUMMYFUNCTION("""COMPUTED_VALUE"""),"Доклад от конференция")</f>
        <v>Доклад от конференция</v>
      </c>
      <c r="C1644" s="10" t="str">
        <f ca="1">IFERROR(__xludf.DUMMYFUNCTION("""COMPUTED_VALUE"""),"Възможности за моделиране и управление на конфликти")</f>
        <v>Възможности за моделиране и управление на конфликти</v>
      </c>
      <c r="D1644" s="10">
        <f ca="1">IFERROR(__xludf.DUMMYFUNCTION("""COMPUTED_VALUE"""),1999)</f>
        <v>1999</v>
      </c>
      <c r="E1644" s="10" t="str">
        <f ca="1">IFERROR(__xludf.DUMMYFUNCTION("""COMPUTED_VALUE"""),"Тр. на 34 конференция „Комуникации, електроника и компютърни системи“, ТУ-София, 1999, с. 382-388")</f>
        <v>Тр. на 34 конференция „Комуникации, електроника и компютърни системи“, ТУ-София, 1999, с. 382-388</v>
      </c>
      <c r="F1644" s="10"/>
      <c r="G1644" s="10" t="str">
        <f ca="1">IFERROR(__xludf.DUMMYFUNCTION("""COMPUTED_VALUE"""),"Сгурев, В.")</f>
        <v>Сгурев, В.</v>
      </c>
      <c r="H1644" s="10"/>
      <c r="I1644" s="10"/>
      <c r="J1644" s="10"/>
      <c r="K1644" s="10"/>
      <c r="L1644" s="10"/>
      <c r="M1644" s="10"/>
      <c r="N1644" s="10"/>
      <c r="O1644" s="10"/>
      <c r="P1644" s="10"/>
      <c r="Q1644" s="10"/>
      <c r="R1644" s="10"/>
      <c r="S1644" s="10"/>
      <c r="T1644" s="10"/>
      <c r="U1644" s="10"/>
      <c r="V1644" s="10"/>
      <c r="W1644" s="10"/>
      <c r="X1644" s="10"/>
      <c r="Y1644" s="10"/>
      <c r="Z1644" s="10"/>
    </row>
    <row r="1645" spans="1:26" ht="12.75">
      <c r="A1645" s="10" t="str">
        <f ca="1">IFERROR(__xludf.DUMMYFUNCTION("""COMPUTED_VALUE"""),"Владимир Симов Йоцов")</f>
        <v>Владимир Симов Йоцов</v>
      </c>
      <c r="B1645" s="10" t="str">
        <f ca="1">IFERROR(__xludf.DUMMYFUNCTION("""COMPUTED_VALUE"""),"Статия в списания и поредици")</f>
        <v>Статия в списания и поредици</v>
      </c>
      <c r="C1645" s="10" t="str">
        <f ca="1">IFERROR(__xludf.DUMMYFUNCTION("""COMPUTED_VALUE"""),"Подход за използване на съпоставителен анализ за целите на недедуктивен извод")</f>
        <v>Подход за използване на съпоставителен анализ за целите на недедуктивен извод</v>
      </c>
      <c r="D1645" s="10">
        <f ca="1">IFERROR(__xludf.DUMMYFUNCTION("""COMPUTED_VALUE"""),1999)</f>
        <v>1999</v>
      </c>
      <c r="E1645" s="10" t="str">
        <f ca="1">IFERROR(__xludf.DUMMYFUNCTION("""COMPUTED_VALUE"""),"Сп. Проблеми на техническата кибернетика и роботика 49 (1999) с. 23-29 . ISSN: 0204-9848")</f>
        <v>Сп. Проблеми на техническата кибернетика и роботика 49 (1999) с. 23-29 . ISSN: 0204-9848</v>
      </c>
      <c r="F1645" s="10"/>
      <c r="G1645" s="10" t="str">
        <f ca="1">IFERROR(__xludf.DUMMYFUNCTION("""COMPUTED_VALUE"""),"Сгурев В")</f>
        <v>Сгурев В</v>
      </c>
      <c r="H1645" s="10"/>
      <c r="I1645" s="10"/>
      <c r="J1645" s="10"/>
      <c r="K1645" s="10"/>
      <c r="L1645" s="10"/>
      <c r="M1645" s="10"/>
      <c r="N1645" s="10"/>
      <c r="O1645" s="10"/>
      <c r="P1645" s="10"/>
      <c r="Q1645" s="10"/>
      <c r="R1645" s="10"/>
      <c r="S1645" s="10"/>
      <c r="T1645" s="10"/>
      <c r="U1645" s="10"/>
      <c r="V1645" s="10"/>
      <c r="W1645" s="10"/>
      <c r="X1645" s="10"/>
      <c r="Y1645" s="10"/>
      <c r="Z1645" s="10"/>
    </row>
    <row r="1646" spans="1:26" ht="12.75">
      <c r="A1646" s="10" t="str">
        <f ca="1">IFERROR(__xludf.DUMMYFUNCTION("""COMPUTED_VALUE"""),"Владимир Симов Йоцов")</f>
        <v>Владимир Симов Йоцов</v>
      </c>
      <c r="B1646" s="10" t="str">
        <f ca="1">IFERROR(__xludf.DUMMYFUNCTION("""COMPUTED_VALUE"""),"Доклад от конференция")</f>
        <v>Доклад от конференция</v>
      </c>
      <c r="C1646" s="10" t="str">
        <f ca="1">IFERROR(__xludf.DUMMYFUNCTION("""COMPUTED_VALUE"""),"Мрежовопотокови подходи чрез използване на различни видове извод")</f>
        <v>Мрежовопотокови подходи чрез използване на различни видове извод</v>
      </c>
      <c r="D1646" s="10">
        <f ca="1">IFERROR(__xludf.DUMMYFUNCTION("""COMPUTED_VALUE"""),1999)</f>
        <v>1999</v>
      </c>
      <c r="E1646" s="10" t="str">
        <f ca="1">IFERROR(__xludf.DUMMYFUNCTION("""COMPUTED_VALUE"""),"Тр. на национална конференция „Автоматика и информатика“, т. 2, София, Октомври 1998, с. 21-24")</f>
        <v>Тр. на национална конференция „Автоматика и информатика“, т. 2, София, Октомври 1998, с. 21-24</v>
      </c>
      <c r="F1646" s="10"/>
      <c r="G1646" s="10" t="str">
        <f ca="1">IFERROR(__xludf.DUMMYFUNCTION("""COMPUTED_VALUE"""),"Сгурев В.")</f>
        <v>Сгурев В.</v>
      </c>
      <c r="H1646" s="10"/>
      <c r="I1646" s="10"/>
      <c r="J1646" s="10"/>
      <c r="K1646" s="10"/>
      <c r="L1646" s="10"/>
      <c r="M1646" s="10"/>
      <c r="N1646" s="10"/>
      <c r="O1646" s="10"/>
      <c r="P1646" s="10"/>
      <c r="Q1646" s="10"/>
      <c r="R1646" s="10"/>
      <c r="S1646" s="10"/>
      <c r="T1646" s="10"/>
      <c r="U1646" s="10"/>
      <c r="V1646" s="10"/>
      <c r="W1646" s="10"/>
      <c r="X1646" s="10"/>
      <c r="Y1646" s="10"/>
      <c r="Z1646" s="10"/>
    </row>
    <row r="1647" spans="1:26" ht="12.75">
      <c r="A1647" s="10" t="str">
        <f ca="1">IFERROR(__xludf.DUMMYFUNCTION("""COMPUTED_VALUE"""),"Владимир Симов Йоцов")</f>
        <v>Владимир Симов Йоцов</v>
      </c>
      <c r="B1647" s="10" t="str">
        <f ca="1">IFERROR(__xludf.DUMMYFUNCTION("""COMPUTED_VALUE"""),"Статия в списания и поредици")</f>
        <v>Статия в списания и поредици</v>
      </c>
      <c r="C1647" s="10" t="str">
        <f ca="1">IFERROR(__xludf.DUMMYFUNCTION("""COMPUTED_VALUE"""),"Об одном подходе для улучшения поиска доказательств")</f>
        <v>Об одном подходе для улучшения поиска доказательств</v>
      </c>
      <c r="D1647" s="10">
        <f ca="1">IFERROR(__xludf.DUMMYFUNCTION("""COMPUTED_VALUE"""),1999)</f>
        <v>1999</v>
      </c>
      <c r="E1647" s="10" t="str">
        <f ca="1">IFERROR(__xludf.DUMMYFUNCTION("""COMPUTED_VALUE"""),"Ж. Искусственный интеллект, номер 2, 1999, с. 97-103")</f>
        <v>Ж. Искусственный интеллект, номер 2, 1999, с. 97-103</v>
      </c>
      <c r="F1647" s="10"/>
      <c r="G1647" s="10" t="str">
        <f ca="1">IFERROR(__xludf.DUMMYFUNCTION("""COMPUTED_VALUE"""),"Сгурев, В.")</f>
        <v>Сгурев, В.</v>
      </c>
      <c r="H1647" s="10"/>
      <c r="I1647" s="10"/>
      <c r="J1647" s="10"/>
      <c r="K1647" s="10"/>
      <c r="L1647" s="10"/>
      <c r="M1647" s="10"/>
      <c r="N1647" s="10"/>
      <c r="O1647" s="10"/>
      <c r="P1647" s="10"/>
      <c r="Q1647" s="10"/>
      <c r="R1647" s="10"/>
      <c r="S1647" s="10"/>
      <c r="T1647" s="10"/>
      <c r="U1647" s="10"/>
      <c r="V1647" s="10"/>
      <c r="W1647" s="10"/>
      <c r="X1647" s="10"/>
      <c r="Y1647" s="10"/>
      <c r="Z1647" s="10"/>
    </row>
    <row r="1648" spans="1:26" ht="12.75">
      <c r="A1648" s="10" t="str">
        <f ca="1">IFERROR(__xludf.DUMMYFUNCTION("""COMPUTED_VALUE"""),"Владимир Симов Йоцов")</f>
        <v>Владимир Симов Йоцов</v>
      </c>
      <c r="B1648" s="10" t="str">
        <f ca="1">IFERROR(__xludf.DUMMYFUNCTION("""COMPUTED_VALUE"""),"Доклад от конференция")</f>
        <v>Доклад от конференция</v>
      </c>
      <c r="C1648" s="10" t="str">
        <f ca="1">IFERROR(__xludf.DUMMYFUNCTION("""COMPUTED_VALUE"""),"Анулиращ мрежовопотоков извод")</f>
        <v>Анулиращ мрежовопотоков извод</v>
      </c>
      <c r="D1648" s="10">
        <f ca="1">IFERROR(__xludf.DUMMYFUNCTION("""COMPUTED_VALUE"""),1998)</f>
        <v>1998</v>
      </c>
      <c r="E1648" s="10" t="str">
        <f ca="1">IFERROR(__xludf.DUMMYFUNCTION("""COMPUTED_VALUE"""),"Тр. на национална конференция „Автоматика и информатика“, т. 1, София, Октомври 1998, с. 70-73")</f>
        <v>Тр. на национална конференция „Автоматика и информатика“, т. 1, София, Октомври 1998, с. 70-73</v>
      </c>
      <c r="F1648" s="10"/>
      <c r="G1648" s="10" t="str">
        <f ca="1">IFERROR(__xludf.DUMMYFUNCTION("""COMPUTED_VALUE"""),"Сгурев В.")</f>
        <v>Сгурев В.</v>
      </c>
      <c r="H1648" s="10"/>
      <c r="I1648" s="10"/>
      <c r="J1648" s="10"/>
      <c r="K1648" s="10"/>
      <c r="L1648" s="10"/>
      <c r="M1648" s="10"/>
      <c r="N1648" s="10"/>
      <c r="O1648" s="10"/>
      <c r="P1648" s="10"/>
      <c r="Q1648" s="10"/>
      <c r="R1648" s="10"/>
      <c r="S1648" s="10"/>
      <c r="T1648" s="10"/>
      <c r="U1648" s="10"/>
      <c r="V1648" s="10"/>
      <c r="W1648" s="10"/>
      <c r="X1648" s="10"/>
      <c r="Y1648" s="10"/>
      <c r="Z1648" s="10"/>
    </row>
    <row r="1649" spans="1:26" ht="12.75">
      <c r="A1649" s="10" t="str">
        <f ca="1">IFERROR(__xludf.DUMMYFUNCTION("""COMPUTED_VALUE"""),"Владимир Симов Йоцов")</f>
        <v>Владимир Симов Йоцов</v>
      </c>
      <c r="B1649" s="10" t="str">
        <f ca="1">IFERROR(__xludf.DUMMYFUNCTION("""COMPUTED_VALUE"""),"Статия в списания и поредици")</f>
        <v>Статия в списания и поредици</v>
      </c>
      <c r="C1649" s="10" t="str">
        <f ca="1">IFERROR(__xludf.DUMMYFUNCTION("""COMPUTED_VALUE"""),"Мрежовопотоков подход за индуктивен вероятностен извод")</f>
        <v>Мрежовопотоков подход за индуктивен вероятностен извод</v>
      </c>
      <c r="D1649" s="10">
        <f ca="1">IFERROR(__xludf.DUMMYFUNCTION("""COMPUTED_VALUE"""),1998)</f>
        <v>1998</v>
      </c>
      <c r="E1649" s="10" t="str">
        <f ca="1">IFERROR(__xludf.DUMMYFUNCTION("""COMPUTED_VALUE"""),"Сп. Автоматика и информатика, номер 3, с. 44-48")</f>
        <v>Сп. Автоматика и информатика, номер 3, с. 44-48</v>
      </c>
      <c r="F1649" s="10"/>
      <c r="G1649" s="10" t="str">
        <f ca="1">IFERROR(__xludf.DUMMYFUNCTION("""COMPUTED_VALUE"""),"Сгурев В.")</f>
        <v>Сгурев В.</v>
      </c>
      <c r="H1649" s="10"/>
      <c r="I1649" s="10"/>
      <c r="J1649" s="10"/>
      <c r="K1649" s="10"/>
      <c r="L1649" s="10"/>
      <c r="M1649" s="10"/>
      <c r="N1649" s="10"/>
      <c r="O1649" s="10"/>
      <c r="P1649" s="10"/>
      <c r="Q1649" s="10"/>
      <c r="R1649" s="10"/>
      <c r="S1649" s="10"/>
      <c r="T1649" s="10"/>
      <c r="U1649" s="10"/>
      <c r="V1649" s="10"/>
      <c r="W1649" s="10"/>
      <c r="X1649" s="10"/>
      <c r="Y1649" s="10"/>
      <c r="Z1649" s="10"/>
    </row>
    <row r="1650" spans="1:26" ht="12.75">
      <c r="A1650" s="10" t="str">
        <f ca="1">IFERROR(__xludf.DUMMYFUNCTION("""COMPUTED_VALUE"""),"Владимир Симов Йоцов")</f>
        <v>Владимир Симов Йоцов</v>
      </c>
      <c r="B1650" s="10" t="str">
        <f ca="1">IFERROR(__xludf.DUMMYFUNCTION("""COMPUTED_VALUE"""),"Статия в списания и поредици")</f>
        <v>Статия в списания и поредици</v>
      </c>
      <c r="C1650" s="10" t="str">
        <f ca="1">IFERROR(__xludf.DUMMYFUNCTION("""COMPUTED_VALUE"""),"Knowledge discovery and data representation approach with the usage of sieve method.")</f>
        <v>Knowledge discovery and data representation approach with the usage of sieve method.</v>
      </c>
      <c r="D1650" s="10">
        <f ca="1">IFERROR(__xludf.DUMMYFUNCTION("""COMPUTED_VALUE"""),1998)</f>
        <v>1998</v>
      </c>
      <c r="E1650" s="10" t="str">
        <f ca="1">IFERROR(__xludf.DUMMYFUNCTION("""COMPUTED_VALUE"""),"J. Information Theory and Applications Vol. 5, No. 1, 1998, p. 5-13, ISSN 1310-0513 (printed) ISSN 1313-0463 (online).")</f>
        <v>J. Information Theory and Applications Vol. 5, No. 1, 1998, p. 5-13, ISSN 1310-0513 (printed) ISSN 1313-0463 (online).</v>
      </c>
      <c r="F1650" s="10"/>
      <c r="G1650" s="10" t="str">
        <f ca="1">IFERROR(__xludf.DUMMYFUNCTION("""COMPUTED_VALUE"""),"Sgurev V.")</f>
        <v>Sgurev V.</v>
      </c>
      <c r="H1650" s="10"/>
      <c r="I1650" s="10"/>
      <c r="J1650" s="10"/>
      <c r="K1650" s="10"/>
      <c r="L1650" s="10"/>
      <c r="M1650" s="10"/>
      <c r="N1650" s="10"/>
      <c r="O1650" s="10"/>
      <c r="P1650" s="10"/>
      <c r="Q1650" s="10"/>
      <c r="R1650" s="10"/>
      <c r="S1650" s="10"/>
      <c r="T1650" s="10"/>
      <c r="U1650" s="10"/>
      <c r="V1650" s="10"/>
      <c r="W1650" s="10"/>
      <c r="X1650" s="10"/>
      <c r="Y1650" s="10"/>
      <c r="Z1650" s="10"/>
    </row>
    <row r="1651" spans="1:26" ht="12.75">
      <c r="A1651" s="10" t="str">
        <f ca="1">IFERROR(__xludf.DUMMYFUNCTION("""COMPUTED_VALUE"""),"Владимир Симов Йоцов")</f>
        <v>Владимир Симов Йоцов</v>
      </c>
      <c r="B1651" s="10" t="str">
        <f ca="1">IFERROR(__xludf.DUMMYFUNCTION("""COMPUTED_VALUE"""),"Статия в списания и поредици")</f>
        <v>Статия в списания и поредици</v>
      </c>
      <c r="C1651" s="10" t="str">
        <f ca="1">IFERROR(__xludf.DUMMYFUNCTION("""COMPUTED_VALUE"""),"Knowledge representation approach in discovering systems.")</f>
        <v>Knowledge representation approach in discovering systems.</v>
      </c>
      <c r="D1651" s="10">
        <f ca="1">IFERROR(__xludf.DUMMYFUNCTION("""COMPUTED_VALUE"""),1998)</f>
        <v>1998</v>
      </c>
      <c r="E1651" s="10" t="str">
        <f ca="1">IFERROR(__xludf.DUMMYFUNCTION("""COMPUTED_VALUE"""),"J. Information Theory and Applications Vol. 5, No. 6, 1998, p. 203-210, ISSN 1310-0513 (printed) ISSN 1313-0463 (online).")</f>
        <v>J. Information Theory and Applications Vol. 5, No. 6, 1998, p. 203-210, ISSN 1310-0513 (printed) ISSN 1313-0463 (online).</v>
      </c>
      <c r="F1651" s="10"/>
      <c r="G1651" s="10" t="str">
        <f ca="1">IFERROR(__xludf.DUMMYFUNCTION("""COMPUTED_VALUE"""),"Sgurev V.")</f>
        <v>Sgurev V.</v>
      </c>
      <c r="H1651" s="10"/>
      <c r="I1651" s="10"/>
      <c r="J1651" s="10"/>
      <c r="K1651" s="10"/>
      <c r="L1651" s="10"/>
      <c r="M1651" s="10"/>
      <c r="N1651" s="10"/>
      <c r="O1651" s="10"/>
      <c r="P1651" s="10"/>
      <c r="Q1651" s="10"/>
      <c r="R1651" s="10"/>
      <c r="S1651" s="10"/>
      <c r="T1651" s="10"/>
      <c r="U1651" s="10"/>
      <c r="V1651" s="10"/>
      <c r="W1651" s="10"/>
      <c r="X1651" s="10"/>
      <c r="Y1651" s="10"/>
      <c r="Z1651" s="10"/>
    </row>
    <row r="1652" spans="1:26" ht="12.75">
      <c r="A1652" s="10" t="str">
        <f ca="1">IFERROR(__xludf.DUMMYFUNCTION("""COMPUTED_VALUE"""),"Владимир Симов Йоцов")</f>
        <v>Владимир Симов Йоцов</v>
      </c>
      <c r="B1652" s="10" t="str">
        <f ca="1">IFERROR(__xludf.DUMMYFUNCTION("""COMPUTED_VALUE"""),"Глава от колективна монография")</f>
        <v>Глава от колективна монография</v>
      </c>
      <c r="C1652" s="10" t="str">
        <f ca="1">IFERROR(__xludf.DUMMYFUNCTION("""COMPUTED_VALUE"""),"Some characteristic features of reasoning by analogy using network flows.")</f>
        <v>Some characteristic features of reasoning by analogy using network flows.</v>
      </c>
      <c r="D1652" s="10">
        <f ca="1">IFERROR(__xludf.DUMMYFUNCTION("""COMPUTED_VALUE"""),1998)</f>
        <v>1998</v>
      </c>
      <c r="E1652" s="10" t="str">
        <f ca="1">IFERROR(__xludf.DUMMYFUNCTION("""COMPUTED_VALUE"""),"Frontiers in Artificial Intelligence and Applications 48, P. Navrat and H. Ueno (Eds.) Knowledge-Based Software Engineering (IOS Press, 1998) 217-223. ISSN. 0922-6389")</f>
        <v>Frontiers in Artificial Intelligence and Applications 48, P. Navrat and H. Ueno (Eds.) Knowledge-Based Software Engineering (IOS Press, 1998) 217-223. ISSN. 0922-6389</v>
      </c>
      <c r="F1652" s="10"/>
      <c r="G1652" s="10" t="str">
        <f ca="1">IFERROR(__xludf.DUMMYFUNCTION("""COMPUTED_VALUE"""),"Sgurev V.")</f>
        <v>Sgurev V.</v>
      </c>
      <c r="H1652" s="10"/>
      <c r="I1652" s="10"/>
      <c r="J1652" s="10"/>
      <c r="K1652" s="10"/>
      <c r="L1652" s="10"/>
      <c r="M1652" s="10"/>
      <c r="N1652" s="10"/>
      <c r="O1652" s="10"/>
      <c r="P1652" s="10"/>
      <c r="Q1652" s="10"/>
      <c r="R1652" s="10"/>
      <c r="S1652" s="10"/>
      <c r="T1652" s="10"/>
      <c r="U1652" s="10"/>
      <c r="V1652" s="10"/>
      <c r="W1652" s="10"/>
      <c r="X1652" s="10"/>
      <c r="Y1652" s="10"/>
      <c r="Z1652" s="10"/>
    </row>
    <row r="1653" spans="1:26" ht="12.75">
      <c r="A1653" s="10" t="str">
        <f ca="1">IFERROR(__xludf.DUMMYFUNCTION("""COMPUTED_VALUE"""),"Владимир Симов Йоцов")</f>
        <v>Владимир Симов Йоцов</v>
      </c>
      <c r="B1653" s="10" t="str">
        <f ca="1">IFERROR(__xludf.DUMMYFUNCTION("""COMPUTED_VALUE"""),"Доклад от конференция")</f>
        <v>Доклад от конференция</v>
      </c>
      <c r="C1653" s="10" t="str">
        <f ca="1">IFERROR(__xludf.DUMMYFUNCTION("""COMPUTED_VALUE"""),"An approach for inference by analogy in formal systems")</f>
        <v>An approach for inference by analogy in formal systems</v>
      </c>
      <c r="D1653" s="10">
        <f ca="1">IFERROR(__xludf.DUMMYFUNCTION("""COMPUTED_VALUE"""),1997)</f>
        <v>1997</v>
      </c>
      <c r="E1653" s="10" t="str">
        <f ca="1">IFERROR(__xludf.DUMMYFUNCTION("""COMPUTED_VALUE"""),"Proc. Methods and Algorithms for Distributed Information Systems Design // (Institute for Information Transmission Problems RAS, Moscow, 1997) p. 104-121")</f>
        <v>Proc. Methods and Algorithms for Distributed Information Systems Design // (Institute for Information Transmission Problems RAS, Moscow, 1997) p. 104-121</v>
      </c>
      <c r="F1653" s="10"/>
      <c r="G1653" s="10" t="str">
        <f ca="1">IFERROR(__xludf.DUMMYFUNCTION("""COMPUTED_VALUE"""),"Sgurev V.")</f>
        <v>Sgurev V.</v>
      </c>
      <c r="H1653" s="10"/>
      <c r="I1653" s="10"/>
      <c r="J1653" s="10"/>
      <c r="K1653" s="10"/>
      <c r="L1653" s="10"/>
      <c r="M1653" s="10"/>
      <c r="N1653" s="10"/>
      <c r="O1653" s="10"/>
      <c r="P1653" s="10"/>
      <c r="Q1653" s="10"/>
      <c r="R1653" s="10"/>
      <c r="S1653" s="10"/>
      <c r="T1653" s="10"/>
      <c r="U1653" s="10"/>
      <c r="V1653" s="10"/>
      <c r="W1653" s="10"/>
      <c r="X1653" s="10"/>
      <c r="Y1653" s="10"/>
      <c r="Z1653" s="10"/>
    </row>
    <row r="1654" spans="1:26" ht="12.75">
      <c r="A1654" s="10" t="str">
        <f ca="1">IFERROR(__xludf.DUMMYFUNCTION("""COMPUTED_VALUE"""),"Владимир Симов Йоцов")</f>
        <v>Владимир Симов Йоцов</v>
      </c>
      <c r="B1654" s="10" t="str">
        <f ca="1">IFERROR(__xludf.DUMMYFUNCTION("""COMPUTED_VALUE"""),"Глава от колективна монография")</f>
        <v>Глава от колективна монография</v>
      </c>
      <c r="C1654" s="10" t="str">
        <f ca="1">IFERROR(__xludf.DUMMYFUNCTION("""COMPUTED_VALUE"""),"Applied artificial intelligence method for control of robot assembling")</f>
        <v>Applied artificial intelligence method for control of robot assembling</v>
      </c>
      <c r="D1654" s="10">
        <f ca="1">IFERROR(__xludf.DUMMYFUNCTION("""COMPUTED_VALUE"""),1997)</f>
        <v>1997</v>
      </c>
      <c r="E1654" s="10" t="str">
        <f ca="1">IFERROR(__xludf.DUMMYFUNCTION("""COMPUTED_VALUE"""),"Proc. Seventh Intern. Conf. AIICSR'97, I. Plander (ed.) (Smolenice Castle, Slovakia // World Scientific, 1997) 311-322. ISBN 9789814529334")</f>
        <v>Proc. Seventh Intern. Conf. AIICSR'97, I. Plander (ed.) (Smolenice Castle, Slovakia // World Scientific, 1997) 311-322. ISBN 9789814529334</v>
      </c>
      <c r="F1654" s="10" t="str">
        <f ca="1">IFERROR(__xludf.DUMMYFUNCTION("""COMPUTED_VALUE"""),"Scopus")</f>
        <v>Scopus</v>
      </c>
      <c r="G1654" s="10" t="str">
        <f ca="1">IFERROR(__xludf.DUMMYFUNCTION("""COMPUTED_VALUE"""),"Sgurev V.")</f>
        <v>Sgurev V.</v>
      </c>
      <c r="H1654" s="10"/>
      <c r="I1654" s="10"/>
      <c r="J1654" s="10"/>
      <c r="K1654" s="10"/>
      <c r="L1654" s="10"/>
      <c r="M1654" s="10"/>
      <c r="N1654" s="10"/>
      <c r="O1654" s="10"/>
      <c r="P1654" s="10"/>
      <c r="Q1654" s="10"/>
      <c r="R1654" s="10"/>
      <c r="S1654" s="10"/>
      <c r="T1654" s="10"/>
      <c r="U1654" s="10"/>
      <c r="V1654" s="10"/>
      <c r="W1654" s="10"/>
      <c r="X1654" s="10"/>
      <c r="Y1654" s="10"/>
      <c r="Z1654" s="10"/>
    </row>
    <row r="1655" spans="1:26" ht="12.75">
      <c r="A1655" s="10" t="str">
        <f ca="1">IFERROR(__xludf.DUMMYFUNCTION("""COMPUTED_VALUE"""),"Владимир Симов Йоцов")</f>
        <v>Владимир Симов Йоцов</v>
      </c>
      <c r="B1655" s="10" t="str">
        <f ca="1">IFERROR(__xludf.DUMMYFUNCTION("""COMPUTED_VALUE"""),"Доклад от конференция")</f>
        <v>Доклад от конференция</v>
      </c>
      <c r="C1655" s="10" t="str">
        <f ca="1">IFERROR(__xludf.DUMMYFUNCTION("""COMPUTED_VALUE"""),"Възможности за подобряване на банкови информационни технологии")</f>
        <v>Възможности за подобряване на банкови информационни технологии</v>
      </c>
      <c r="D1655" s="10">
        <f ca="1">IFERROR(__xludf.DUMMYFUNCTION("""COMPUTED_VALUE"""),1997)</f>
        <v>1997</v>
      </c>
      <c r="E1655" s="10" t="str">
        <f ca="1">IFERROR(__xludf.DUMMYFUNCTION("""COMPUTED_VALUE"""),"Тр. на национална конференция „Автоматика и информатика“, т. 6, София, Октомври 1997, с. 97-100")</f>
        <v>Тр. на национална конференция „Автоматика и информатика“, т. 6, София, Октомври 1997, с. 97-100</v>
      </c>
      <c r="F1655" s="10"/>
      <c r="G1655" s="10"/>
      <c r="H1655" s="10"/>
      <c r="I1655" s="10"/>
      <c r="J1655" s="10"/>
      <c r="K1655" s="10"/>
      <c r="L1655" s="10"/>
      <c r="M1655" s="10"/>
      <c r="N1655" s="10"/>
      <c r="O1655" s="10"/>
      <c r="P1655" s="10"/>
      <c r="Q1655" s="10"/>
      <c r="R1655" s="10"/>
      <c r="S1655" s="10"/>
      <c r="T1655" s="10"/>
      <c r="U1655" s="10"/>
      <c r="V1655" s="10"/>
      <c r="W1655" s="10"/>
      <c r="X1655" s="10"/>
      <c r="Y1655" s="10"/>
      <c r="Z1655" s="10"/>
    </row>
    <row r="1656" spans="1:26" ht="12.75">
      <c r="A1656" s="10" t="str">
        <f ca="1">IFERROR(__xludf.DUMMYFUNCTION("""COMPUTED_VALUE"""),"Владимир Симов Йоцов")</f>
        <v>Владимир Симов Йоцов</v>
      </c>
      <c r="B1656" s="10" t="str">
        <f ca="1">IFERROR(__xludf.DUMMYFUNCTION("""COMPUTED_VALUE"""),"Статия в списания и поредици")</f>
        <v>Статия в списания и поредици</v>
      </c>
      <c r="C1656" s="10" t="str">
        <f ca="1">IFERROR(__xludf.DUMMYFUNCTION("""COMPUTED_VALUE"""),"Изчислителна аналогия: резултати и перспективи")</f>
        <v>Изчислителна аналогия: резултати и перспективи</v>
      </c>
      <c r="D1656" s="10">
        <f ca="1">IFERROR(__xludf.DUMMYFUNCTION("""COMPUTED_VALUE"""),1997)</f>
        <v>1997</v>
      </c>
      <c r="E1656" s="10" t="str">
        <f ca="1">IFERROR(__xludf.DUMMYFUNCTION("""COMPUTED_VALUE"""),"Сп. Проблеми на техническата кибернетика и роботика 46 (1997) с. 11-20 . ISSN: 0204-9848")</f>
        <v>Сп. Проблеми на техническата кибернетика и роботика 46 (1997) с. 11-20 . ISSN: 0204-9848</v>
      </c>
      <c r="F1656" s="10"/>
      <c r="G1656" s="10"/>
      <c r="H1656" s="10"/>
      <c r="I1656" s="10"/>
      <c r="J1656" s="10"/>
      <c r="K1656" s="10"/>
      <c r="L1656" s="10"/>
      <c r="M1656" s="10"/>
      <c r="N1656" s="10"/>
      <c r="O1656" s="10"/>
      <c r="P1656" s="10"/>
      <c r="Q1656" s="10"/>
      <c r="R1656" s="10"/>
      <c r="S1656" s="10"/>
      <c r="T1656" s="10"/>
      <c r="U1656" s="10"/>
      <c r="V1656" s="10"/>
      <c r="W1656" s="10"/>
      <c r="X1656" s="10"/>
      <c r="Y1656" s="10"/>
      <c r="Z1656" s="10"/>
    </row>
    <row r="1657" spans="1:26" ht="12.75">
      <c r="A1657" s="10" t="str">
        <f ca="1">IFERROR(__xludf.DUMMYFUNCTION("""COMPUTED_VALUE"""),"Владимир Симов Йоцов")</f>
        <v>Владимир Симов Йоцов</v>
      </c>
      <c r="B1657" s="10" t="str">
        <f ca="1">IFERROR(__xludf.DUMMYFUNCTION("""COMPUTED_VALUE"""),"Доклад от конференция")</f>
        <v>Доклад от конференция</v>
      </c>
      <c r="C1657" s="10" t="str">
        <f ca="1">IFERROR(__xludf.DUMMYFUNCTION("""COMPUTED_VALUE"""),"Knowledge discovery and data mining in number theory: some models and proofs")</f>
        <v>Knowledge discovery and data mining in number theory: some models and proofs</v>
      </c>
      <c r="D1657" s="10">
        <f ca="1">IFERROR(__xludf.DUMMYFUNCTION("""COMPUTED_VALUE"""),1997)</f>
        <v>1997</v>
      </c>
      <c r="E1657" s="10" t="str">
        <f ca="1">IFERROR(__xludf.DUMMYFUNCTION("""COMPUTED_VALUE"""),"Proc. Methods and Algorithms for Distributed Information Systems Design // (Institute for Information Transmission Problems RAS, Moscow, 1997) p. 197-218")</f>
        <v>Proc. Methods and Algorithms for Distributed Information Systems Design // (Institute for Information Transmission Problems RAS, Moscow, 1997) p. 197-218</v>
      </c>
      <c r="F1657" s="10"/>
      <c r="G1657" s="10"/>
      <c r="H1657" s="10"/>
      <c r="I1657" s="10"/>
      <c r="J1657" s="10"/>
      <c r="K1657" s="10"/>
      <c r="L1657" s="10"/>
      <c r="M1657" s="10"/>
      <c r="N1657" s="10"/>
      <c r="O1657" s="10"/>
      <c r="P1657" s="10"/>
      <c r="Q1657" s="10"/>
      <c r="R1657" s="10"/>
      <c r="S1657" s="10"/>
      <c r="T1657" s="10"/>
      <c r="U1657" s="10"/>
      <c r="V1657" s="10"/>
      <c r="W1657" s="10"/>
      <c r="X1657" s="10"/>
      <c r="Y1657" s="10"/>
      <c r="Z1657" s="10"/>
    </row>
    <row r="1658" spans="1:26" ht="12.75">
      <c r="A1658" s="10" t="str">
        <f ca="1">IFERROR(__xludf.DUMMYFUNCTION("""COMPUTED_VALUE"""),"Владимир Симов Йоцов")</f>
        <v>Владимир Симов Йоцов</v>
      </c>
      <c r="B1658" s="10" t="str">
        <f ca="1">IFERROR(__xludf.DUMMYFUNCTION("""COMPUTED_VALUE"""),"Статия в списания и поредици")</f>
        <v>Статия в списания и поредици</v>
      </c>
      <c r="C1658" s="10" t="str">
        <f ca="1">IFERROR(__xludf.DUMMYFUNCTION("""COMPUTED_VALUE"""),"Comparative analysis of inference by analogy methods and contemporary realizations in KBS")</f>
        <v>Comparative analysis of inference by analogy methods and contemporary realizations in KBS</v>
      </c>
      <c r="D1658" s="10">
        <f ca="1">IFERROR(__xludf.DUMMYFUNCTION("""COMPUTED_VALUE"""),1994)</f>
        <v>1994</v>
      </c>
      <c r="E1658" s="10" t="str">
        <f ca="1">IFERROR(__xludf.DUMMYFUNCTION("""COMPUTED_VALUE"""),"J. Information Theory and Applications Vol. 2, No. , 1994, p. 2-15, ISSN 1310-0513 (printed) ISSN 1313-0463 (online).")</f>
        <v>J. Information Theory and Applications Vol. 2, No. , 1994, p. 2-15, ISSN 1310-0513 (printed) ISSN 1313-0463 (online).</v>
      </c>
      <c r="F1658" s="10"/>
      <c r="G1658" s="10" t="str">
        <f ca="1">IFERROR(__xludf.DUMMYFUNCTION("""COMPUTED_VALUE"""),"Sgurev V.")</f>
        <v>Sgurev V.</v>
      </c>
      <c r="H1658" s="10"/>
      <c r="I1658" s="10"/>
      <c r="J1658" s="10"/>
      <c r="K1658" s="10"/>
      <c r="L1658" s="10"/>
      <c r="M1658" s="10"/>
      <c r="N1658" s="10"/>
      <c r="O1658" s="10"/>
      <c r="P1658" s="10"/>
      <c r="Q1658" s="10"/>
      <c r="R1658" s="10"/>
      <c r="S1658" s="10"/>
      <c r="T1658" s="10"/>
      <c r="U1658" s="10"/>
      <c r="V1658" s="10"/>
      <c r="W1658" s="10"/>
      <c r="X1658" s="10"/>
      <c r="Y1658" s="10"/>
      <c r="Z1658" s="10"/>
    </row>
    <row r="1659" spans="1:26" ht="12.75">
      <c r="A1659" s="10" t="str">
        <f ca="1">IFERROR(__xludf.DUMMYFUNCTION("""COMPUTED_VALUE"""),"Владимир Симов Йоцов")</f>
        <v>Владимир Симов Йоцов</v>
      </c>
      <c r="B1659" s="10" t="str">
        <f ca="1">IFERROR(__xludf.DUMMYFUNCTION("""COMPUTED_VALUE"""),"Статия в списания и поредици")</f>
        <v>Статия в списания и поредици</v>
      </c>
      <c r="C1659" s="10" t="str">
        <f ca="1">IFERROR(__xludf.DUMMYFUNCTION("""COMPUTED_VALUE"""),"Dynamic Ontologies in Information Security Systems")</f>
        <v>Dynamic Ontologies in Information Security Systems</v>
      </c>
      <c r="D1659" s="10">
        <f ca="1">IFERROR(__xludf.DUMMYFUNCTION("""COMPUTED_VALUE"""),1993)</f>
        <v>1993</v>
      </c>
      <c r="E1659" s="10" t="str">
        <f ca="1">IFERROR(__xludf.DUMMYFUNCTION("""COMPUTED_VALUE"""),"J. Information Theory and Applications Vol. 1, No. , 1993, p. 42-53, ISSN 1310-0513 (printed) ISSN 1313-0463 (online).")</f>
        <v>J. Information Theory and Applications Vol. 1, No. , 1993, p. 42-53, ISSN 1310-0513 (printed) ISSN 1313-0463 (online).</v>
      </c>
      <c r="F1659" s="10"/>
      <c r="G1659" s="10"/>
      <c r="H1659" s="10"/>
      <c r="I1659" s="10"/>
      <c r="J1659" s="10"/>
      <c r="K1659" s="10"/>
      <c r="L1659" s="10"/>
      <c r="M1659" s="10"/>
      <c r="N1659" s="10"/>
      <c r="O1659" s="10"/>
      <c r="P1659" s="10"/>
      <c r="Q1659" s="10"/>
      <c r="R1659" s="10"/>
      <c r="S1659" s="10"/>
      <c r="T1659" s="10"/>
      <c r="U1659" s="10"/>
      <c r="V1659" s="10"/>
      <c r="W1659" s="10"/>
      <c r="X1659" s="10"/>
      <c r="Y1659" s="10"/>
      <c r="Z1659" s="10"/>
    </row>
    <row r="1660" spans="1:26" ht="12.75">
      <c r="A1660" s="10" t="str">
        <f ca="1">IFERROR(__xludf.DUMMYFUNCTION("""COMPUTED_VALUE"""),"Владимир Симов Йоцов")</f>
        <v>Владимир Симов Йоцов</v>
      </c>
      <c r="B1660" s="10" t="str">
        <f ca="1">IFERROR(__xludf.DUMMYFUNCTION("""COMPUTED_VALUE"""),"Статия в списания и поредици")</f>
        <v>Статия в списания и поредици</v>
      </c>
      <c r="C1660" s="10" t="str">
        <f ca="1">IFERROR(__xludf.DUMMYFUNCTION("""COMPUTED_VALUE"""),"Reasoning on the basis of an inconsistent knowledge.")</f>
        <v>Reasoning on the basis of an inconsistent knowledge.</v>
      </c>
      <c r="D1660" s="10">
        <f ca="1">IFERROR(__xludf.DUMMYFUNCTION("""COMPUTED_VALUE"""),1992)</f>
        <v>1992</v>
      </c>
      <c r="E1660" s="10" t="str">
        <f ca="1">IFERROR(__xludf.DUMMYFUNCTION("""COMPUTED_VALUE"""),"ASL (Association on Symbolic Logic) Logic Colloquim (West Berlin, July 23-29, 1989) // J. of Symbolic Logic, USA, v. 57, no. 1 (March 1992) p. 305 (U.S.A.). DOI: 10.2307/2275203")</f>
        <v>ASL (Association on Symbolic Logic) Logic Colloquim (West Berlin, July 23-29, 1989) // J. of Symbolic Logic, USA, v. 57, no. 1 (March 1992) p. 305 (U.S.A.). DOI: 10.2307/2275203</v>
      </c>
      <c r="F1660" s="10"/>
      <c r="G1660" s="10"/>
      <c r="H1660" s="10"/>
      <c r="I1660" s="10"/>
      <c r="J1660" s="10"/>
      <c r="K1660" s="10"/>
      <c r="L1660" s="10"/>
      <c r="M1660" s="10"/>
      <c r="N1660" s="10"/>
      <c r="O1660" s="10"/>
      <c r="P1660" s="10"/>
      <c r="Q1660" s="10"/>
      <c r="R1660" s="10"/>
      <c r="S1660" s="10"/>
      <c r="T1660" s="10"/>
      <c r="U1660" s="10"/>
      <c r="V1660" s="10"/>
      <c r="W1660" s="10"/>
      <c r="X1660" s="10"/>
      <c r="Y1660" s="10"/>
      <c r="Z1660" s="10"/>
    </row>
    <row r="1661" spans="1:26" ht="12.75">
      <c r="A1661" s="10" t="str">
        <f ca="1">IFERROR(__xludf.DUMMYFUNCTION("""COMPUTED_VALUE"""),"Владимир Симов Йоцов")</f>
        <v>Владимир Симов Йоцов</v>
      </c>
      <c r="B1661" s="10" t="str">
        <f ca="1">IFERROR(__xludf.DUMMYFUNCTION("""COMPUTED_VALUE"""),"Статия в списания и поредици")</f>
        <v>Статия в списания и поредици</v>
      </c>
      <c r="C1661" s="10" t="str">
        <f ca="1">IFERROR(__xludf.DUMMYFUNCTION("""COMPUTED_VALUE"""),"LSC - a logic for solving contradictions")</f>
        <v>LSC - a logic for solving contradictions</v>
      </c>
      <c r="D1661" s="10">
        <f ca="1">IFERROR(__xludf.DUMMYFUNCTION("""COMPUTED_VALUE"""),1992)</f>
        <v>1992</v>
      </c>
      <c r="E1661" s="10" t="str">
        <f ca="1">IFERROR(__xludf.DUMMYFUNCTION("""COMPUTED_VALUE"""),"VIII Latin American Seminar on Math. Logic, Joao Pessoa, Paraiba, Brazil // J. of Symbolic Logic, USA, v. 57, no. 1 (March 1992), p. 376-377 (U.S.A.). DOI: 10.2307/2275207")</f>
        <v>VIII Latin American Seminar on Math. Logic, Joao Pessoa, Paraiba, Brazil // J. of Symbolic Logic, USA, v. 57, no. 1 (March 1992), p. 376-377 (U.S.A.). DOI: 10.2307/2275207</v>
      </c>
      <c r="F1661" s="10" t="str">
        <f ca="1">IFERROR(__xludf.DUMMYFUNCTION("""COMPUTED_VALUE"""),"Scopus, Web of Science")</f>
        <v>Scopus, Web of Science</v>
      </c>
      <c r="G1661" s="10" t="str">
        <f ca="1">IFERROR(__xludf.DUMMYFUNCTION("""COMPUTED_VALUE"""),"Sgurev V.")</f>
        <v>Sgurev V.</v>
      </c>
      <c r="H1661" s="10"/>
      <c r="I1661" s="10"/>
      <c r="J1661" s="10"/>
      <c r="K1661" s="10"/>
      <c r="L1661" s="10"/>
      <c r="M1661" s="10"/>
      <c r="N1661" s="10"/>
      <c r="O1661" s="10"/>
      <c r="P1661" s="10"/>
      <c r="Q1661" s="10"/>
      <c r="R1661" s="10"/>
      <c r="S1661" s="10"/>
      <c r="T1661" s="10"/>
      <c r="U1661" s="10"/>
      <c r="V1661" s="10"/>
      <c r="W1661" s="10"/>
      <c r="X1661" s="10"/>
      <c r="Y1661" s="10"/>
      <c r="Z1661" s="10"/>
    </row>
    <row r="1662" spans="1:26" ht="12.75">
      <c r="A1662" s="10" t="str">
        <f ca="1">IFERROR(__xludf.DUMMYFUNCTION("""COMPUTED_VALUE"""),"Владимир Симов Йоцов")</f>
        <v>Владимир Симов Йоцов</v>
      </c>
      <c r="B1662" s="10" t="str">
        <f ca="1">IFERROR(__xludf.DUMMYFUNCTION("""COMPUTED_VALUE"""),"Глава от колективна монография")</f>
        <v>Глава от колективна монография</v>
      </c>
      <c r="C1662" s="10" t="str">
        <f ca="1">IFERROR(__xludf.DUMMYFUNCTION("""COMPUTED_VALUE"""),"Inference by analogy in knowledge based systems")</f>
        <v>Inference by analogy in knowledge based systems</v>
      </c>
      <c r="D1662" s="10">
        <f ca="1">IFERROR(__xludf.DUMMYFUNCTION("""COMPUTED_VALUE"""),1992)</f>
        <v>1992</v>
      </c>
      <c r="E1662" s="10" t="str">
        <f ca="1">IFERROR(__xludf.DUMMYFUNCTION("""COMPUTED_VALUE"""),"Modeling Creative Processes, V. Gladun, R. Kirkova and K. Markov (eds.) (FOI Commerce, Sofia, 1992) p. 34-45")</f>
        <v>Modeling Creative Processes, V. Gladun, R. Kirkova and K. Markov (eds.) (FOI Commerce, Sofia, 1992) p. 34-45</v>
      </c>
      <c r="F1662" s="10"/>
      <c r="G1662" s="10"/>
      <c r="H1662" s="10"/>
      <c r="I1662" s="10"/>
      <c r="J1662" s="10"/>
      <c r="K1662" s="10"/>
      <c r="L1662" s="10"/>
      <c r="M1662" s="10"/>
      <c r="N1662" s="10"/>
      <c r="O1662" s="10"/>
      <c r="P1662" s="10"/>
      <c r="Q1662" s="10"/>
      <c r="R1662" s="10"/>
      <c r="S1662" s="10"/>
      <c r="T1662" s="10"/>
      <c r="U1662" s="10"/>
      <c r="V1662" s="10"/>
      <c r="W1662" s="10"/>
      <c r="X1662" s="10"/>
      <c r="Y1662" s="10"/>
      <c r="Z1662" s="10"/>
    </row>
    <row r="1663" spans="1:26" ht="12.75">
      <c r="A1663" s="10" t="str">
        <f ca="1">IFERROR(__xludf.DUMMYFUNCTION("""COMPUTED_VALUE"""),"Владимир Симов Йоцов")</f>
        <v>Владимир Симов Йоцов</v>
      </c>
      <c r="B1663" s="10" t="str">
        <f ca="1">IFERROR(__xludf.DUMMYFUNCTION("""COMPUTED_VALUE"""),"Статия в списания и поредици")</f>
        <v>Статия в списания и поредици</v>
      </c>
      <c r="C1663" s="10" t="str">
        <f ca="1">IFERROR(__xludf.DUMMYFUNCTION("""COMPUTED_VALUE"""),"ДАРЗ-П – експертна система с паранепротиворечив извод")</f>
        <v>ДАРЗ-П – експертна система с паранепротиворечив извод</v>
      </c>
      <c r="D1663" s="10">
        <f ca="1">IFERROR(__xludf.DUMMYFUNCTION("""COMPUTED_VALUE"""),1991)</f>
        <v>1991</v>
      </c>
      <c r="E1663" s="10" t="str">
        <f ca="1">IFERROR(__xludf.DUMMYFUNCTION("""COMPUTED_VALUE"""),"Сп. Проблеми на техническата кибернетика и роботика 33 (1991) с. 15-23 . ISSN: 0204-9848")</f>
        <v>Сп. Проблеми на техническата кибернетика и роботика 33 (1991) с. 15-23 . ISSN: 0204-9848</v>
      </c>
      <c r="F1663" s="10"/>
      <c r="G1663" s="10"/>
      <c r="H1663" s="10"/>
      <c r="I1663" s="10"/>
      <c r="J1663" s="10"/>
      <c r="K1663" s="10"/>
      <c r="L1663" s="10"/>
      <c r="M1663" s="10"/>
      <c r="N1663" s="10"/>
      <c r="O1663" s="10"/>
      <c r="P1663" s="10"/>
      <c r="Q1663" s="10"/>
      <c r="R1663" s="10"/>
      <c r="S1663" s="10"/>
      <c r="T1663" s="10"/>
      <c r="U1663" s="10"/>
      <c r="V1663" s="10"/>
      <c r="W1663" s="10"/>
      <c r="X1663" s="10"/>
      <c r="Y1663" s="10"/>
      <c r="Z1663" s="10"/>
    </row>
    <row r="1664" spans="1:26" ht="12.75">
      <c r="A1664" s="10" t="str">
        <f ca="1">IFERROR(__xludf.DUMMYFUNCTION("""COMPUTED_VALUE"""),"Владимир Симов Йоцов")</f>
        <v>Владимир Симов Йоцов</v>
      </c>
      <c r="B1664" s="10" t="str">
        <f ca="1">IFERROR(__xludf.DUMMYFUNCTION("""COMPUTED_VALUE"""),"Доклад от конференция")</f>
        <v>Доклад от конференция</v>
      </c>
      <c r="C1664" s="10" t="str">
        <f ca="1">IFERROR(__xludf.DUMMYFUNCTION("""COMPUTED_VALUE"""),"Defeasible reasoning by using analogies")</f>
        <v>Defeasible reasoning by using analogies</v>
      </c>
      <c r="D1664" s="10">
        <f ca="1">IFERROR(__xludf.DUMMYFUNCTION("""COMPUTED_VALUE"""),1990)</f>
        <v>1990</v>
      </c>
      <c r="E1664" s="10" t="str">
        <f ca="1">IFERROR(__xludf.DUMMYFUNCTION("""COMPUTED_VALUE"""),"Proc. IV Int. Conf. Artificial Intelligence: Methodology, Systems, Applications AIMSA'90, P. Jorrand and V. Sgurev (eds.) // North-Holland, 1990, p. 285-292. ISBN 0-444-88771-7")</f>
        <v>Proc. IV Int. Conf. Artificial Intelligence: Methodology, Systems, Applications AIMSA'90, P. Jorrand and V. Sgurev (eds.) // North-Holland, 1990, p. 285-292. ISBN 0-444-88771-7</v>
      </c>
      <c r="F1664" s="10" t="str">
        <f ca="1">IFERROR(__xludf.DUMMYFUNCTION("""COMPUTED_VALUE"""),"Scopus, Web of Science")</f>
        <v>Scopus, Web of Science</v>
      </c>
      <c r="G1664" s="10"/>
      <c r="H1664" s="10"/>
      <c r="I1664" s="10"/>
      <c r="J1664" s="10"/>
      <c r="K1664" s="10"/>
      <c r="L1664" s="10"/>
      <c r="M1664" s="10"/>
      <c r="N1664" s="10"/>
      <c r="O1664" s="10"/>
      <c r="P1664" s="10"/>
      <c r="Q1664" s="10"/>
      <c r="R1664" s="10"/>
      <c r="S1664" s="10"/>
      <c r="T1664" s="10"/>
      <c r="U1664" s="10"/>
      <c r="V1664" s="10"/>
      <c r="W1664" s="10"/>
      <c r="X1664" s="10"/>
      <c r="Y1664" s="10"/>
      <c r="Z1664" s="10"/>
    </row>
    <row r="1665" spans="1:26" ht="12.75">
      <c r="A1665" s="10" t="str">
        <f ca="1">IFERROR(__xludf.DUMMYFUNCTION("""COMPUTED_VALUE"""),"Владимир Симов Йоцов")</f>
        <v>Владимир Симов Йоцов</v>
      </c>
      <c r="B1665" s="10" t="str">
        <f ca="1">IFERROR(__xludf.DUMMYFUNCTION("""COMPUTED_VALUE"""),"Доклад от конференция")</f>
        <v>Доклад от конференция</v>
      </c>
      <c r="C1665" s="10" t="str">
        <f ca="1">IFERROR(__xludf.DUMMYFUNCTION("""COMPUTED_VALUE"""),"Knowledge processing approach in second generation expert systems")</f>
        <v>Knowledge processing approach in second generation expert systems</v>
      </c>
      <c r="D1665" s="10">
        <f ca="1">IFERROR(__xludf.DUMMYFUNCTION("""COMPUTED_VALUE"""),1989)</f>
        <v>1989</v>
      </c>
      <c r="E1665" s="10" t="str">
        <f ca="1">IFERROR(__xludf.DUMMYFUNCTION("""COMPUTED_VALUE"""),"Proc. Second Intern. Conf. ""Problems and Applications of Artificial Intelligence"" (Varna, May 29 - June 2 1989), Vol. II, p. 175-179")</f>
        <v>Proc. Second Intern. Conf. "Problems and Applications of Artificial Intelligence" (Varna, May 29 - June 2 1989), Vol. II, p. 175-179</v>
      </c>
      <c r="F1665" s="10"/>
      <c r="G1665" s="10"/>
      <c r="H1665" s="10"/>
      <c r="I1665" s="10"/>
      <c r="J1665" s="10"/>
      <c r="K1665" s="10"/>
      <c r="L1665" s="10"/>
      <c r="M1665" s="10"/>
      <c r="N1665" s="10"/>
      <c r="O1665" s="10"/>
      <c r="P1665" s="10"/>
      <c r="Q1665" s="10"/>
      <c r="R1665" s="10"/>
      <c r="S1665" s="10"/>
      <c r="T1665" s="10"/>
      <c r="U1665" s="10"/>
      <c r="V1665" s="10"/>
      <c r="W1665" s="10"/>
      <c r="X1665" s="10"/>
      <c r="Y1665" s="10"/>
      <c r="Z1665" s="10"/>
    </row>
    <row r="1666" spans="1:26" ht="12.75">
      <c r="A1666" s="10" t="str">
        <f ca="1">IFERROR(__xludf.DUMMYFUNCTION("""COMPUTED_VALUE"""),"Владимир Симов Йоцов")</f>
        <v>Владимир Симов Йоцов</v>
      </c>
      <c r="B1666" s="10" t="str">
        <f ca="1">IFERROR(__xludf.DUMMYFUNCTION("""COMPUTED_VALUE"""),"Доклад от конференция")</f>
        <v>Доклад от конференция</v>
      </c>
      <c r="C1666" s="10" t="str">
        <f ca="1">IFERROR(__xludf.DUMMYFUNCTION("""COMPUTED_VALUE"""),"Application of the principle of paraconsistency in truth maintenance systems.")</f>
        <v>Application of the principle of paraconsistency in truth maintenance systems.</v>
      </c>
      <c r="D1666" s="10">
        <f ca="1">IFERROR(__xludf.DUMMYFUNCTION("""COMPUTED_VALUE"""),1989)</f>
        <v>1989</v>
      </c>
      <c r="E1666" s="10" t="str">
        <f ca="1">IFERROR(__xludf.DUMMYFUNCTION("""COMPUTED_VALUE"""),"Proc. I Int. Symp. ""Logic and Applications"" (Varna May 29-June 2 1990) p. 96-98")</f>
        <v>Proc. I Int. Symp. "Logic and Applications" (Varna May 29-June 2 1990) p. 96-98</v>
      </c>
      <c r="F1666" s="10"/>
      <c r="G1666" s="10" t="str">
        <f ca="1">IFERROR(__xludf.DUMMYFUNCTION("""COMPUTED_VALUE"""),"Sgurev V.")</f>
        <v>Sgurev V.</v>
      </c>
      <c r="H1666" s="10"/>
      <c r="I1666" s="10"/>
      <c r="J1666" s="10"/>
      <c r="K1666" s="10"/>
      <c r="L1666" s="10"/>
      <c r="M1666" s="10"/>
      <c r="N1666" s="10"/>
      <c r="O1666" s="10"/>
      <c r="P1666" s="10"/>
      <c r="Q1666" s="10"/>
      <c r="R1666" s="10"/>
      <c r="S1666" s="10"/>
      <c r="T1666" s="10"/>
      <c r="U1666" s="10"/>
      <c r="V1666" s="10"/>
      <c r="W1666" s="10"/>
      <c r="X1666" s="10"/>
      <c r="Y1666" s="10"/>
      <c r="Z1666" s="10"/>
    </row>
    <row r="1667" spans="1:26" ht="12.75">
      <c r="A1667" s="10" t="str">
        <f ca="1">IFERROR(__xludf.DUMMYFUNCTION("""COMPUTED_VALUE"""),"Владимир Симов Йоцов")</f>
        <v>Владимир Симов Йоцов</v>
      </c>
      <c r="B1667" s="10" t="str">
        <f ca="1">IFERROR(__xludf.DUMMYFUNCTION("""COMPUTED_VALUE"""),"Статия в списания и поредици")</f>
        <v>Статия в списания и поредици</v>
      </c>
      <c r="C1667" s="10" t="str">
        <f ca="1">IFERROR(__xludf.DUMMYFUNCTION("""COMPUTED_VALUE"""),"Автоматизированная система для технологической подготовки роботизированным сборочным производством")</f>
        <v>Автоматизированная система для технологической подготовки роботизированным сборочным производством</v>
      </c>
      <c r="D1667" s="10">
        <f ca="1">IFERROR(__xludf.DUMMYFUNCTION("""COMPUTED_VALUE"""),1985)</f>
        <v>1985</v>
      </c>
      <c r="E1667" s="10" t="str">
        <f ca="1">IFERROR(__xludf.DUMMYFUNCTION("""COMPUTED_VALUE"""),"Журнал ‚Технология и механизация машиностроения‘ Вып. 36 (1985), номер 5, с. 103-107, Киев, Техника (USSR)")</f>
        <v>Журнал ‚Технология и механизация машиностроения‘ Вып. 36 (1985), номер 5, с. 103-107, Киев, Техника (USSR)</v>
      </c>
      <c r="F1667" s="10" t="str">
        <f ca="1">IFERROR(__xludf.DUMMYFUNCTION("""COMPUTED_VALUE"""),"Национални бази на СССР")</f>
        <v>Национални бази на СССР</v>
      </c>
      <c r="G1667" s="10" t="str">
        <f ca="1">IFERROR(__xludf.DUMMYFUNCTION("""COMPUTED_VALUE"""),"Ткач М.")</f>
        <v>Ткач М.</v>
      </c>
      <c r="H1667" s="10"/>
      <c r="I1667" s="10"/>
      <c r="J1667" s="10"/>
      <c r="K1667" s="10"/>
      <c r="L1667" s="10"/>
      <c r="M1667" s="10"/>
      <c r="N1667" s="10"/>
      <c r="O1667" s="10"/>
      <c r="P1667" s="10"/>
      <c r="Q1667" s="10"/>
      <c r="R1667" s="10"/>
      <c r="S1667" s="10"/>
      <c r="T1667" s="10"/>
      <c r="U1667" s="10"/>
      <c r="V1667" s="10"/>
      <c r="W1667" s="10"/>
      <c r="X1667" s="10"/>
      <c r="Y1667" s="10"/>
      <c r="Z1667" s="10"/>
    </row>
    <row r="1668" spans="1:26" ht="12.75">
      <c r="A1668" s="10" t="str">
        <f ca="1">IFERROR(__xludf.DUMMYFUNCTION("""COMPUTED_VALUE"""),"Вяра Василева Николова")</f>
        <v>Вяра Василева Николова</v>
      </c>
      <c r="B1668" s="10" t="str">
        <f ca="1">IFERROR(__xludf.DUMMYFUNCTION("""COMPUTED_VALUE"""),"Монография")</f>
        <v>Монография</v>
      </c>
      <c r="C1668" s="10" t="str">
        <f ca="1">IFERROR(__xludf.DUMMYFUNCTION("""COMPUTED_VALUE"""),"Рецепция русской драматургии в болгарском книгоиздании. Часть Первая: 1890-1940-е годы.")</f>
        <v>Рецепция русской драматургии в болгарском книгоиздании. Часть Первая: 1890-1940-е годы.</v>
      </c>
      <c r="D1668" s="10">
        <f ca="1">IFERROR(__xludf.DUMMYFUNCTION("""COMPUTED_VALUE"""),2020)</f>
        <v>2020</v>
      </c>
      <c r="E1668" s="10" t="str">
        <f ca="1">IFERROR(__xludf.DUMMYFUNCTION("""COMPUTED_VALUE"""),"ISBN:978-5-902899-47-1, Академия медиаиндустрии, Москва, Русия")</f>
        <v>ISBN:978-5-902899-47-1, Академия медиаиндустрии, Москва, Русия</v>
      </c>
      <c r="F1668" s="10" t="str">
        <f ca="1">IFERROR(__xludf.DUMMYFUNCTION("""COMPUTED_VALUE"""),"Вяра Николова, Рецепция русской драматургии в болгарском книгоиздании. Часть Первая: 1890-1940-е годы., ISBN:978-5-902899-47-1, Академия медиаиндустрии, Москва, Русия")</f>
        <v>Вяра Николова, Рецепция русской драматургии в болгарском книгоиздании. Часть Первая: 1890-1940-е годы., ISBN:978-5-902899-47-1, Академия медиаиндустрии, Москва, Русия</v>
      </c>
      <c r="G1668" s="10" t="str">
        <f ca="1">IFERROR(__xludf.DUMMYFUNCTION("""COMPUTED_VALUE"""),"Вяра Николова")</f>
        <v>Вяра Николова</v>
      </c>
      <c r="H1668" s="10"/>
      <c r="I1668" s="10"/>
      <c r="J1668" s="10"/>
      <c r="K1668" s="10"/>
      <c r="L1668" s="10"/>
      <c r="M1668" s="10"/>
      <c r="N1668" s="10"/>
      <c r="O1668" s="10"/>
      <c r="P1668" s="10"/>
      <c r="Q1668" s="10"/>
      <c r="R1668" s="10"/>
      <c r="S1668" s="10"/>
      <c r="T1668" s="10"/>
      <c r="U1668" s="10"/>
      <c r="V1668" s="10"/>
      <c r="W1668" s="10"/>
      <c r="X1668" s="10"/>
      <c r="Y1668" s="10"/>
      <c r="Z1668" s="10"/>
    </row>
    <row r="1669" spans="1:26" ht="12.75">
      <c r="A1669" s="10" t="str">
        <f ca="1">IFERROR(__xludf.DUMMYFUNCTION("""COMPUTED_VALUE"""),"Вяра Василева Николова")</f>
        <v>Вяра Василева Николова</v>
      </c>
      <c r="B1669" s="10" t="str">
        <f ca="1">IFERROR(__xludf.DUMMYFUNCTION("""COMPUTED_VALUE"""),"Статия в списания и поредици")</f>
        <v>Статия в списания и поредици</v>
      </c>
      <c r="C1669" s="10" t="str">
        <f ca="1">IFERROR(__xludf.DUMMYFUNCTION("""COMPUTED_VALUE"""),"Identifying Challenges to Foreign Language Education and Designing a Strategy for Future Development of Japanese Studies at Sofia University, Bulgaria")</f>
        <v>Identifying Challenges to Foreign Language Education and Designing a Strategy for Future Development of Japanese Studies at Sofia University, Bulgaria</v>
      </c>
      <c r="D1669" s="10">
        <f ca="1">IFERROR(__xludf.DUMMYFUNCTION("""COMPUTED_VALUE"""),2019)</f>
        <v>2019</v>
      </c>
      <c r="E1669" s="10" t="str">
        <f ca="1">IFERROR(__xludf.DUMMYFUNCTION("""COMPUTED_VALUE"""),"12th annual International Conference of Education, Research and Innovation Seville, Spain. 11-13 November,, 2019, pages:3636-3640, ISSN (online):2340-1095, ISBN:978-84-09-14755-7")</f>
        <v>12th annual International Conference of Education, Research and Innovation Seville, Spain. 11-13 November,, 2019, pages:3636-3640, ISSN (online):2340-1095, ISBN:978-84-09-14755-7</v>
      </c>
      <c r="F1669" s="10" t="str">
        <f ca="1">IFERROR(__xludf.DUMMYFUNCTION("""COMPUTED_VALUE"""),"Ref, Web of Science")</f>
        <v>Ref, Web of Science</v>
      </c>
      <c r="G1669" s="10" t="str">
        <f ca="1">IFERROR(__xludf.DUMMYFUNCTION("""COMPUTED_VALUE"""),"Gergana Petkova, Stela Zhivkova, Vyara Nikolova, Tsvetomira Ivanova")</f>
        <v>Gergana Petkova, Stela Zhivkova, Vyara Nikolova, Tsvetomira Ivanova</v>
      </c>
      <c r="H1669" s="10"/>
      <c r="I1669" s="10"/>
      <c r="J1669" s="10"/>
      <c r="K1669" s="10"/>
      <c r="L1669" s="10"/>
      <c r="M1669" s="10"/>
      <c r="N1669" s="10"/>
      <c r="O1669" s="10"/>
      <c r="P1669" s="10"/>
      <c r="Q1669" s="10"/>
      <c r="R1669" s="10"/>
      <c r="S1669" s="10"/>
      <c r="T1669" s="10"/>
      <c r="U1669" s="10"/>
      <c r="V1669" s="10"/>
      <c r="W1669" s="10"/>
      <c r="X1669" s="10"/>
      <c r="Y1669" s="10"/>
      <c r="Z1669" s="10"/>
    </row>
    <row r="1670" spans="1:26" ht="12.75">
      <c r="A1670" s="10" t="str">
        <f ca="1">IFERROR(__xludf.DUMMYFUNCTION("""COMPUTED_VALUE"""),"Вяра Василева Николова")</f>
        <v>Вяра Василева Николова</v>
      </c>
      <c r="B1670" s="10" t="str">
        <f ca="1">IFERROR(__xludf.DUMMYFUNCTION("""COMPUTED_VALUE"""),"Статия в списания и поредици")</f>
        <v>Статия в списания и поредици</v>
      </c>
      <c r="C1670" s="10" t="str">
        <f ca="1">IFERROR(__xludf.DUMMYFUNCTION("""COMPUTED_VALUE"""),"The experience of the University of Library studies and Information Technologies with the expansion of the University Education in the sphere of cultural heritage by studying local cultural policies")</f>
        <v>The experience of the University of Library studies and Information Technologies with the expansion of the University Education in the sphere of cultural heritage by studying local cultural policies</v>
      </c>
      <c r="D1670" s="10">
        <f ca="1">IFERROR(__xludf.DUMMYFUNCTION("""COMPUTED_VALUE"""),2019)</f>
        <v>2019</v>
      </c>
      <c r="E1670" s="10" t="str">
        <f ca="1">IFERROR(__xludf.DUMMYFUNCTION("""COMPUTED_VALUE"""),"EDULEARN19, 11th International Conference on Education and New Learning Technologies, 2019, pages:2346-2348, ISSN (online):2340-1117, ISBN:978-84-09-12031, doi:10.21125/edulearn.2019.0634")</f>
        <v>EDULEARN19, 11th International Conference on Education and New Learning Technologies, 2019, pages:2346-2348, ISSN (online):2340-1117, ISBN:978-84-09-12031, doi:10.21125/edulearn.2019.0634</v>
      </c>
      <c r="F1670" s="10" t="str">
        <f ca="1">IFERROR(__xludf.DUMMYFUNCTION("""COMPUTED_VALUE"""),"Ref, Web of Science")</f>
        <v>Ref, Web of Science</v>
      </c>
      <c r="G1670" s="10" t="str">
        <f ca="1">IFERROR(__xludf.DUMMYFUNCTION("""COMPUTED_VALUE"""),"M.S. Nikolova, V. Vasileva, S. Stancheva, Nikolova V.V.")</f>
        <v>M.S. Nikolova, V. Vasileva, S. Stancheva, Nikolova V.V.</v>
      </c>
      <c r="H1670" s="10"/>
      <c r="I1670" s="10"/>
      <c r="J1670" s="10"/>
      <c r="K1670" s="10"/>
      <c r="L1670" s="10"/>
      <c r="M1670" s="10"/>
      <c r="N1670" s="10"/>
      <c r="O1670" s="10"/>
      <c r="P1670" s="10"/>
      <c r="Q1670" s="10"/>
      <c r="R1670" s="10"/>
      <c r="S1670" s="10"/>
      <c r="T1670" s="10"/>
      <c r="U1670" s="10"/>
      <c r="V1670" s="10"/>
      <c r="W1670" s="10"/>
      <c r="X1670" s="10"/>
      <c r="Y1670" s="10"/>
      <c r="Z1670" s="10"/>
    </row>
    <row r="1671" spans="1:26" ht="12.75">
      <c r="A1671" s="10" t="str">
        <f ca="1">IFERROR(__xludf.DUMMYFUNCTION("""COMPUTED_VALUE"""),"Вяра Василева Николова")</f>
        <v>Вяра Василева Николова</v>
      </c>
      <c r="B1671" s="10" t="str">
        <f ca="1">IFERROR(__xludf.DUMMYFUNCTION("""COMPUTED_VALUE"""),"Статия в списания и поредици")</f>
        <v>Статия в списания и поредици</v>
      </c>
      <c r="C1671" s="10" t="str">
        <f ca="1">IFERROR(__xludf.DUMMYFUNCTION("""COMPUTED_VALUE"""),"THE UNIVERSITY EDUCATIONAL ENVIRONMENT AS A FACTOR FOR CREATING PROFESSIONAL PRACTICAL SKILLS IN THE SPHERE OF TOURISM")</f>
        <v>THE UNIVERSITY EDUCATIONAL ENVIRONMENT AS A FACTOR FOR CREATING PROFESSIONAL PRACTICAL SKILLS IN THE SPHERE OF TOURISM</v>
      </c>
      <c r="D1671" s="10">
        <f ca="1">IFERROR(__xludf.DUMMYFUNCTION("""COMPUTED_VALUE"""),2019)</f>
        <v>2019</v>
      </c>
      <c r="E1671" s="10" t="str">
        <f ca="1">IFERROR(__xludf.DUMMYFUNCTION("""COMPUTED_VALUE"""),"INTED2019: 13th International Technology, Education and Development Conference, 2019, стр.:2360-2363, ISSN (online):2340-1079, ISBN:978-84-09-08619-1, doi:10.21125/inted.2019.0649")</f>
        <v>INTED2019: 13th International Technology, Education and Development Conference, 2019, стр.:2360-2363, ISSN (online):2340-1079, ISBN:978-84-09-08619-1, doi:10.21125/inted.2019.0649</v>
      </c>
      <c r="F1671" s="10" t="str">
        <f ca="1">IFERROR(__xludf.DUMMYFUNCTION("""COMPUTED_VALUE"""),"Ref, Web of Science")</f>
        <v>Ref, Web of Science</v>
      </c>
      <c r="G1671" s="10" t="str">
        <f ca="1">IFERROR(__xludf.DUMMYFUNCTION("""COMPUTED_VALUE"""),"S. Denchev, M.S. Nikolova, Nikolova V.V.")</f>
        <v>S. Denchev, M.S. Nikolova, Nikolova V.V.</v>
      </c>
      <c r="H1671" s="10"/>
      <c r="I1671" s="10"/>
      <c r="J1671" s="10"/>
      <c r="K1671" s="10"/>
      <c r="L1671" s="10"/>
      <c r="M1671" s="10"/>
      <c r="N1671" s="10"/>
      <c r="O1671" s="10"/>
      <c r="P1671" s="10"/>
      <c r="Q1671" s="10"/>
      <c r="R1671" s="10"/>
      <c r="S1671" s="10"/>
      <c r="T1671" s="10"/>
      <c r="U1671" s="10"/>
      <c r="V1671" s="10"/>
      <c r="W1671" s="10"/>
      <c r="X1671" s="10"/>
      <c r="Y1671" s="10"/>
      <c r="Z1671" s="10"/>
    </row>
    <row r="1672" spans="1:26" ht="12.75">
      <c r="A1672" s="10" t="str">
        <f ca="1">IFERROR(__xludf.DUMMYFUNCTION("""COMPUTED_VALUE"""),"Вяра Василева Николова")</f>
        <v>Вяра Василева Николова</v>
      </c>
      <c r="B1672" s="10" t="str">
        <f ca="1">IFERROR(__xludf.DUMMYFUNCTION("""COMPUTED_VALUE"""),"Статия в списания и поредици")</f>
        <v>Статия в списания и поредици</v>
      </c>
      <c r="C1672" s="10" t="str">
        <f ca="1">IFERROR(__xludf.DUMMYFUNCTION("""COMPUTED_VALUE"""),"The foreigh impacts on Japanese culture Constructing Identity")</f>
        <v>The foreigh impacts on Japanese culture Constructing Identity</v>
      </c>
      <c r="D1672" s="10">
        <f ca="1">IFERROR(__xludf.DUMMYFUNCTION("""COMPUTED_VALUE"""),2019)</f>
        <v>2019</v>
      </c>
      <c r="E1672" s="10" t="str">
        <f ca="1">IFERROR(__xludf.DUMMYFUNCTION("""COMPUTED_VALUE"""),"Analecta Nipponica (Journal Of Polish For Japanese Studies), issue:9, 2019, ISSN (print):2084-2147")</f>
        <v>Analecta Nipponica (Journal Of Polish For Japanese Studies), issue:9, 2019, ISSN (print):2084-2147</v>
      </c>
      <c r="F1672" s="10" t="str">
        <f ca="1">IFERROR(__xludf.DUMMYFUNCTION("""COMPUTED_VALUE"""),"Ref")</f>
        <v>Ref</v>
      </c>
      <c r="G1672" s="10" t="str">
        <f ca="1">IFERROR(__xludf.DUMMYFUNCTION("""COMPUTED_VALUE"""),"Vyara Nikolova")</f>
        <v>Vyara Nikolova</v>
      </c>
      <c r="H1672" s="10"/>
      <c r="I1672" s="10"/>
      <c r="J1672" s="10"/>
      <c r="K1672" s="10"/>
      <c r="L1672" s="10"/>
      <c r="M1672" s="10"/>
      <c r="N1672" s="10"/>
      <c r="O1672" s="10"/>
      <c r="P1672" s="10"/>
      <c r="Q1672" s="10"/>
      <c r="R1672" s="10"/>
      <c r="S1672" s="10"/>
      <c r="T1672" s="10"/>
      <c r="U1672" s="10"/>
      <c r="V1672" s="10"/>
      <c r="W1672" s="10"/>
      <c r="X1672" s="10"/>
      <c r="Y1672" s="10"/>
      <c r="Z1672" s="10"/>
    </row>
    <row r="1673" spans="1:26" ht="12.75">
      <c r="A1673" s="10" t="str">
        <f ca="1">IFERROR(__xludf.DUMMYFUNCTION("""COMPUTED_VALUE"""),"Вяра Василева Николова")</f>
        <v>Вяра Василева Николова</v>
      </c>
      <c r="B1673" s="10" t="str">
        <f ca="1">IFERROR(__xludf.DUMMYFUNCTION("""COMPUTED_VALUE"""),"Статия в списания и поредици")</f>
        <v>Статия в списания и поредици</v>
      </c>
      <c r="C1673" s="10" t="str">
        <f ca="1">IFERROR(__xludf.DUMMYFUNCTION("""COMPUTED_VALUE"""),"Поливалентное образование в поликультурной взаимообусловленной среде")</f>
        <v>Поливалентное образование в поликультурной взаимообусловленной среде</v>
      </c>
      <c r="D1673" s="10">
        <f ca="1">IFERROR(__xludf.DUMMYFUNCTION("""COMPUTED_VALUE"""),2019)</f>
        <v>2019</v>
      </c>
      <c r="E1673" s="10" t="str">
        <f ca="1">IFERROR(__xludf.DUMMYFUNCTION("""COMPUTED_VALUE"""),"Японский язык в ВУЗЕ: Актуальные проблемы образования, vol:19, 2019, pages:158-168, ISSN (print):978-5-6042922-3-5")</f>
        <v>Японский язык в ВУЗЕ: Актуальные проблемы образования, vol:19, 2019, pages:158-168, ISSN (print):978-5-6042922-3-5</v>
      </c>
      <c r="F1673" s="10" t="str">
        <f ca="1">IFERROR(__xludf.DUMMYFUNCTION("""COMPUTED_VALUE"""),"Ref, др.(РИНЦ)")</f>
        <v>Ref, др.(РИНЦ)</v>
      </c>
      <c r="G1673" s="10" t="str">
        <f ca="1">IFERROR(__xludf.DUMMYFUNCTION("""COMPUTED_VALUE"""),"Гергана Петкова, Вяра Николова")</f>
        <v>Гергана Петкова, Вяра Николова</v>
      </c>
      <c r="H1673" s="10"/>
      <c r="I1673" s="10"/>
      <c r="J1673" s="10"/>
      <c r="K1673" s="10"/>
      <c r="L1673" s="10"/>
      <c r="M1673" s="10"/>
      <c r="N1673" s="10"/>
      <c r="O1673" s="10"/>
      <c r="P1673" s="10"/>
      <c r="Q1673" s="10"/>
      <c r="R1673" s="10"/>
      <c r="S1673" s="10"/>
      <c r="T1673" s="10"/>
      <c r="U1673" s="10"/>
      <c r="V1673" s="10"/>
      <c r="W1673" s="10"/>
      <c r="X1673" s="10"/>
      <c r="Y1673" s="10"/>
      <c r="Z1673" s="10"/>
    </row>
    <row r="1674" spans="1:26" ht="12.75">
      <c r="A1674" s="10" t="str">
        <f ca="1">IFERROR(__xludf.DUMMYFUNCTION("""COMPUTED_VALUE"""),"Вяра Василева Николова")</f>
        <v>Вяра Василева Николова</v>
      </c>
      <c r="B1674" s="10" t="str">
        <f ca="1">IFERROR(__xludf.DUMMYFUNCTION("""COMPUTED_VALUE"""),"Статия в списания и поредици")</f>
        <v>Статия в списания и поредици</v>
      </c>
      <c r="C1674" s="10" t="str">
        <f ca="1">IFERROR(__xludf.DUMMYFUNCTION("""COMPUTED_VALUE"""),"Трудности в процессе преподавания русского языка и русской литературы в нефилологическом вузе в Болгарии")</f>
        <v>Трудности в процессе преподавания русского языка и русской литературы в нефилологическом вузе в Болгарии</v>
      </c>
      <c r="D1674" s="10">
        <f ca="1">IFERROR(__xludf.DUMMYFUNCTION("""COMPUTED_VALUE"""),2018)</f>
        <v>2018</v>
      </c>
      <c r="E1674" s="10" t="str">
        <f ca="1">IFERROR(__xludf.DUMMYFUNCTION("""COMPUTED_VALUE"""),"Николова М.С., Николова В.В., Трудности в процессе преподавания русского языка и русской литературы в нефилологическом вузе в Болгарии, Русистика: вчера, сегодня, завтра, ISBN 978-619-91044-0-8, 2018, стр.738-746")</f>
        <v>Николова М.С., Николова В.В., Трудности в процессе преподавания русского языка и русской литературы в нефилологическом вузе в Болгарии, Русистика: вчера, сегодня, завтра, ISBN 978-619-91044-0-8, 2018, стр.738-746</v>
      </c>
      <c r="F1674" s="10"/>
      <c r="G1674" s="10" t="str">
        <f ca="1">IFERROR(__xludf.DUMMYFUNCTION("""COMPUTED_VALUE"""),"Николова М.С., Николова В.В.")</f>
        <v>Николова М.С., Николова В.В.</v>
      </c>
      <c r="H1674" s="10"/>
      <c r="I1674" s="10"/>
      <c r="J1674" s="10"/>
      <c r="K1674" s="10"/>
      <c r="L1674" s="10"/>
      <c r="M1674" s="10"/>
      <c r="N1674" s="10"/>
      <c r="O1674" s="10"/>
      <c r="P1674" s="10"/>
      <c r="Q1674" s="10"/>
      <c r="R1674" s="10"/>
      <c r="S1674" s="10"/>
      <c r="T1674" s="10"/>
      <c r="U1674" s="10"/>
      <c r="V1674" s="10"/>
      <c r="W1674" s="10"/>
      <c r="X1674" s="10"/>
      <c r="Y1674" s="10"/>
      <c r="Z1674" s="10"/>
    </row>
    <row r="1675" spans="1:26" ht="12.75">
      <c r="A1675" s="10" t="str">
        <f ca="1">IFERROR(__xludf.DUMMYFUNCTION("""COMPUTED_VALUE"""),"Вяра Василева Николова")</f>
        <v>Вяра Василева Николова</v>
      </c>
      <c r="B1675" s="10" t="str">
        <f ca="1">IFERROR(__xludf.DUMMYFUNCTION("""COMPUTED_VALUE"""),"Статия в списания и поредици")</f>
        <v>Статия в списания и поредици</v>
      </c>
      <c r="C1675" s="10" t="str">
        <f ca="1">IFERROR(__xludf.DUMMYFUNCTION("""COMPUTED_VALUE"""),"Актуальные практики сохранения христианских памятников и религиозных традиций в Болгарии")</f>
        <v>Актуальные практики сохранения христианских памятников и религиозных традиций в Болгарии</v>
      </c>
      <c r="D1675" s="10">
        <f ca="1">IFERROR(__xludf.DUMMYFUNCTION("""COMPUTED_VALUE"""),2018)</f>
        <v>2018</v>
      </c>
      <c r="E1675" s="10" t="str">
        <f ca="1">IFERROR(__xludf.DUMMYFUNCTION("""COMPUTED_VALUE"""),"Николова В.В., Николова М.С., Актуальные практики сохранения христианских памятников и религиозных традиций в Болгарии, Основные направления реализации программы действий по междунардоному десятилетию сближения культур, Материалы Международной научно-прак"&amp;"тической конференции, 15-16 ноября 2108, том 1, Алмати, Казахстан, 2018, стр.217-221, ISBN:978-601-298-727-0")</f>
        <v>Николова В.В., Николова М.С., Актуальные практики сохранения христианских памятников и религиозных традиций в Болгарии, Основные направления реализации программы действий по междунардоному десятилетию сближения культур, Материалы Международной научно-практической конференции, 15-16 ноября 2108, том 1, Алмати, Казахстан, 2018, стр.217-221, ISBN:978-601-298-727-0</v>
      </c>
      <c r="F1675" s="10"/>
      <c r="G1675" s="10" t="str">
        <f ca="1">IFERROR(__xludf.DUMMYFUNCTION("""COMPUTED_VALUE"""),"Николова В.В., Николова М.С.")</f>
        <v>Николова В.В., Николова М.С.</v>
      </c>
      <c r="H1675" s="10"/>
      <c r="I1675" s="10"/>
      <c r="J1675" s="10"/>
      <c r="K1675" s="10"/>
      <c r="L1675" s="10"/>
      <c r="M1675" s="10"/>
      <c r="N1675" s="10"/>
      <c r="O1675" s="10"/>
      <c r="P1675" s="10"/>
      <c r="Q1675" s="10"/>
      <c r="R1675" s="10"/>
      <c r="S1675" s="10"/>
      <c r="T1675" s="10"/>
      <c r="U1675" s="10"/>
      <c r="V1675" s="10"/>
      <c r="W1675" s="10"/>
      <c r="X1675" s="10"/>
      <c r="Y1675" s="10"/>
      <c r="Z1675" s="10"/>
    </row>
    <row r="1676" spans="1:26" ht="12.75">
      <c r="A1676" s="10" t="str">
        <f ca="1">IFERROR(__xludf.DUMMYFUNCTION("""COMPUTED_VALUE"""),"Вяра Василева Николова")</f>
        <v>Вяра Василева Николова</v>
      </c>
      <c r="B1676" s="10" t="str">
        <f ca="1">IFERROR(__xludf.DUMMYFUNCTION("""COMPUTED_VALUE"""),"Статия в списания и поредици")</f>
        <v>Статия в списания и поредици</v>
      </c>
      <c r="C1676" s="10" t="str">
        <f ca="1">IFERROR(__xludf.DUMMYFUNCTION("""COMPUTED_VALUE"""),"To the issue of protection and promotion of Orthodox churches in the border zones of Bulgaria (tourist routes and advertising)")</f>
        <v>To the issue of protection and promotion of Orthodox churches in the border zones of Bulgaria (tourist routes and advertising)</v>
      </c>
      <c r="D1676" s="10">
        <f ca="1">IFERROR(__xludf.DUMMYFUNCTION("""COMPUTED_VALUE"""),2018)</f>
        <v>2018</v>
      </c>
      <c r="E1676" s="10" t="str">
        <f ca="1">IFERROR(__xludf.DUMMYFUNCTION("""COMPUTED_VALUE"""),"Mariya Nikolova, Vyara Nikolova, Denitsa Dimitrova, To the issue of protection and promotion of Orthodox churches in the border zones of Bulgaria (tourist routes and advertising), Horizons International Scientific Journal, Series A, Social Sciences and Hu"&amp;"manities, Bitola, том:Year XII, брой:Volume 23, 2018, стр.493-501, ISSN (online):1857-9884, doi:10.20544/HORIZONS.A.23.2.18")</f>
        <v>Mariya Nikolova, Vyara Nikolova, Denitsa Dimitrova, To the issue of protection and promotion of Orthodox churches in the border zones of Bulgaria (tourist routes and advertising), Horizons International Scientific Journal, Series A, Social Sciences and Humanities, Bitola, том:Year XII, брой:Volume 23, 2018, стр.493-501, ISSN (online):1857-9884, doi:10.20544/HORIZONS.A.23.2.18</v>
      </c>
      <c r="F1676" s="10"/>
      <c r="G1676" s="10" t="str">
        <f ca="1">IFERROR(__xludf.DUMMYFUNCTION("""COMPUTED_VALUE"""),"Mariya Nikolova, Vyara Nikolova, Denitsa Dimitrova")</f>
        <v>Mariya Nikolova, Vyara Nikolova, Denitsa Dimitrova</v>
      </c>
      <c r="H1676" s="10"/>
      <c r="I1676" s="10"/>
      <c r="J1676" s="10"/>
      <c r="K1676" s="10"/>
      <c r="L1676" s="10"/>
      <c r="M1676" s="10"/>
      <c r="N1676" s="10"/>
      <c r="O1676" s="10"/>
      <c r="P1676" s="10"/>
      <c r="Q1676" s="10"/>
      <c r="R1676" s="10"/>
      <c r="S1676" s="10"/>
      <c r="T1676" s="10"/>
      <c r="U1676" s="10"/>
      <c r="V1676" s="10"/>
      <c r="W1676" s="10"/>
      <c r="X1676" s="10"/>
      <c r="Y1676" s="10"/>
      <c r="Z1676" s="10"/>
    </row>
    <row r="1677" spans="1:26" ht="12.75">
      <c r="A1677" s="10" t="str">
        <f ca="1">IFERROR(__xludf.DUMMYFUNCTION("""COMPUTED_VALUE"""),"Вяра Василева Николова")</f>
        <v>Вяра Василева Николова</v>
      </c>
      <c r="B1677" s="10" t="str">
        <f ca="1">IFERROR(__xludf.DUMMYFUNCTION("""COMPUTED_VALUE"""),"Глава от колективна монография")</f>
        <v>Глава от колективна монография</v>
      </c>
      <c r="C1677" s="10" t="str">
        <f ca="1">IFERROR(__xludf.DUMMYFUNCTION("""COMPUTED_VALUE"""),"Новая эпоха в развитии японского понимания языкового и культурного взаимодействия Японии с Западом (от Мэйдзи до наших дней)")</f>
        <v>Новая эпоха в развитии японского понимания языкового и культурного взаимодействия Японии с Западом (от Мэйдзи до наших дней)</v>
      </c>
      <c r="D1677" s="10">
        <f ca="1">IFERROR(__xludf.DUMMYFUNCTION("""COMPUTED_VALUE"""),2018)</f>
        <v>2018</v>
      </c>
      <c r="E1677" s="10" t="str">
        <f ca="1">IFERROR(__xludf.DUMMYFUNCTION("""COMPUTED_VALUE"""),"Стела Живкова, Вяра Николова, Новая эпоха в развитии японского понимания языкового и культурного взаимодействия Японии с Западом (от Мэйдзи до наших дней), ISSN (print):, СПб-Изд-во Art-xpress, Санкт Петербург, Рецензирано")</f>
        <v>Стела Живкова, Вяра Николова, Новая эпоха в развитии японского понимания языкового и культурного взаимодействия Японии с Западом (от Мэйдзи до наших дней), ISSN (print):, СПб-Изд-во Art-xpress, Санкт Петербург, Рецензирано</v>
      </c>
      <c r="F1677" s="10"/>
      <c r="G1677" s="10" t="str">
        <f ca="1">IFERROR(__xludf.DUMMYFUNCTION("""COMPUTED_VALUE"""),"Стела Живкова, Вяра Николова")</f>
        <v>Стела Живкова, Вяра Николова</v>
      </c>
      <c r="H1677" s="10"/>
      <c r="I1677" s="10"/>
      <c r="J1677" s="10"/>
      <c r="K1677" s="10"/>
      <c r="L1677" s="10"/>
      <c r="M1677" s="10"/>
      <c r="N1677" s="10"/>
      <c r="O1677" s="10"/>
      <c r="P1677" s="10"/>
      <c r="Q1677" s="10"/>
      <c r="R1677" s="10"/>
      <c r="S1677" s="10"/>
      <c r="T1677" s="10"/>
      <c r="U1677" s="10"/>
      <c r="V1677" s="10"/>
      <c r="W1677" s="10"/>
      <c r="X1677" s="10"/>
      <c r="Y1677" s="10"/>
      <c r="Z1677" s="10"/>
    </row>
    <row r="1678" spans="1:26" ht="12.75">
      <c r="A1678" s="10" t="str">
        <f ca="1">IFERROR(__xludf.DUMMYFUNCTION("""COMPUTED_VALUE"""),"Вяра Василева Николова")</f>
        <v>Вяра Василева Николова</v>
      </c>
      <c r="B1678" s="10" t="str">
        <f ca="1">IFERROR(__xludf.DUMMYFUNCTION("""COMPUTED_VALUE"""),"Доклад от конференция")</f>
        <v>Доклад от конференция</v>
      </c>
      <c r="C1678" s="10" t="str">
        <f ca="1">IFERROR(__xludf.DUMMYFUNCTION("""COMPUTED_VALUE"""),"To the issue of protection and promotion of Orthodox churches in the border zones of Bulgaria (tourist routes and advertising)")</f>
        <v>To the issue of protection and promotion of Orthodox churches in the border zones of Bulgaria (tourist routes and advertising)</v>
      </c>
      <c r="D1678" s="10">
        <f ca="1">IFERROR(__xludf.DUMMYFUNCTION("""COMPUTED_VALUE"""),2018)</f>
        <v>2018</v>
      </c>
      <c r="E1678" s="10" t="str">
        <f ca="1">IFERROR(__xludf.DUMMYFUNCTION("""COMPUTED_VALUE"""),"Nikolova Vyara, Mariya Nikolova, Denitsa Dimitrova, To the issue of protection and promotion of Orthodox churches in the border zones of Bulgaria (tourist routes and advertising), XIV International Scientific Conference on Service sector INCOSES 2018, Мак"&amp;"едония 2018")</f>
        <v>Nikolova Vyara, Mariya Nikolova, Denitsa Dimitrova, To the issue of protection and promotion of Orthodox churches in the border zones of Bulgaria (tourist routes and advertising), XIV International Scientific Conference on Service sector INCOSES 2018, Македония 2018</v>
      </c>
      <c r="F1678" s="10"/>
      <c r="G1678" s="10" t="str">
        <f ca="1">IFERROR(__xludf.DUMMYFUNCTION("""COMPUTED_VALUE"""),"Nikolova Vyara, Mariya Nikolova, Denitsa Dimitrova")</f>
        <v>Nikolova Vyara, Mariya Nikolova, Denitsa Dimitrova</v>
      </c>
      <c r="H1678" s="10"/>
      <c r="I1678" s="10"/>
      <c r="J1678" s="10"/>
      <c r="K1678" s="10"/>
      <c r="L1678" s="10"/>
      <c r="M1678" s="10"/>
      <c r="N1678" s="10"/>
      <c r="O1678" s="10"/>
      <c r="P1678" s="10"/>
      <c r="Q1678" s="10"/>
      <c r="R1678" s="10"/>
      <c r="S1678" s="10"/>
      <c r="T1678" s="10"/>
      <c r="U1678" s="10"/>
      <c r="V1678" s="10"/>
      <c r="W1678" s="10"/>
      <c r="X1678" s="10"/>
      <c r="Y1678" s="10"/>
      <c r="Z1678" s="10"/>
    </row>
    <row r="1679" spans="1:26" ht="12.75">
      <c r="A1679" s="10" t="str">
        <f ca="1">IFERROR(__xludf.DUMMYFUNCTION("""COMPUTED_VALUE"""),"Вяра Василева Николова")</f>
        <v>Вяра Василева Николова</v>
      </c>
      <c r="B1679" s="10" t="str">
        <f ca="1">IFERROR(__xludf.DUMMYFUNCTION("""COMPUTED_VALUE"""),"Статия в списания и поредици")</f>
        <v>Статия в списания и поредици</v>
      </c>
      <c r="C1679" s="10" t="str">
        <f ca="1">IFERROR(__xludf.DUMMYFUNCTION("""COMPUTED_VALUE"""),"WIDENING THE PROFESSIONAL COMPETENCES OF STUDENTS BY INCLUDING THEM IN ACADEMIC RESEARCH PROJECTS")</f>
        <v>WIDENING THE PROFESSIONAL COMPETENCES OF STUDENTS BY INCLUDING THEM IN ACADEMIC RESEARCH PROJECTS</v>
      </c>
      <c r="D1679" s="10">
        <f ca="1">IFERROR(__xludf.DUMMYFUNCTION("""COMPUTED_VALUE"""),2018)</f>
        <v>2018</v>
      </c>
      <c r="E1679" s="10" t="str">
        <f ca="1">IFERROR(__xludf.DUMMYFUNCTION("""COMPUTED_VALUE"""),"Nikolova V.V., Denchev S., Nikolova M., Vasileva S., WIDENING THE PROFESSIONAL COMPETENCES OF STUDENTS BY INCLUDING THEM IN ACADEMIC RESEARCH PROJECTS, 11th International Conference of Education, Research and Innovation, Seville (Spain), издателство:ICERI"&amp;"2018 Proceedings (browse) , 2018, стр.1757-1760, ISSN (print):2340-1095, ISBN:978-84-09-05948-5, doi:10.21125/iceri.2018.1391, Ref IF/IR Quartile:(2018)")</f>
        <v>Nikolova V.V., Denchev S., Nikolova M., Vasileva S., WIDENING THE PROFESSIONAL COMPETENCES OF STUDENTS BY INCLUDING THEM IN ACADEMIC RESEARCH PROJECTS, 11th International Conference of Education, Research and Innovation, Seville (Spain), издателство:ICERI2018 Proceedings (browse) , 2018, стр.1757-1760, ISSN (print):2340-1095, ISBN:978-84-09-05948-5, doi:10.21125/iceri.2018.1391, Ref IF/IR Quartile:(2018)</v>
      </c>
      <c r="F1679" s="10" t="str">
        <f ca="1">IFERROR(__xludf.DUMMYFUNCTION("""COMPUTED_VALUE"""),"WEB OF SCIENCE /JCR (Thomson Reuters); SCOPUS")</f>
        <v>WEB OF SCIENCE /JCR (Thomson Reuters); SCOPUS</v>
      </c>
      <c r="G1679" s="10" t="str">
        <f ca="1">IFERROR(__xludf.DUMMYFUNCTION("""COMPUTED_VALUE"""),"Nikolova V.V., Denchev S., Nikolova M., Vasileva S.")</f>
        <v>Nikolova V.V., Denchev S., Nikolova M., Vasileva S.</v>
      </c>
      <c r="H1679" s="10"/>
      <c r="I1679" s="10"/>
      <c r="J1679" s="10"/>
      <c r="K1679" s="10"/>
      <c r="L1679" s="10"/>
      <c r="M1679" s="10"/>
      <c r="N1679" s="10"/>
      <c r="O1679" s="10"/>
      <c r="P1679" s="10"/>
      <c r="Q1679" s="10"/>
      <c r="R1679" s="10"/>
      <c r="S1679" s="10"/>
      <c r="T1679" s="10"/>
      <c r="U1679" s="10"/>
      <c r="V1679" s="10"/>
      <c r="W1679" s="10"/>
      <c r="X1679" s="10"/>
      <c r="Y1679" s="10"/>
      <c r="Z1679" s="10"/>
    </row>
    <row r="1680" spans="1:26" ht="12.75">
      <c r="A1680" s="10" t="str">
        <f ca="1">IFERROR(__xludf.DUMMYFUNCTION("""COMPUTED_VALUE"""),"Вяра Василева Николова")</f>
        <v>Вяра Василева Николова</v>
      </c>
      <c r="B1680" s="10" t="str">
        <f ca="1">IFERROR(__xludf.DUMMYFUNCTION("""COMPUTED_VALUE"""),"Доклад от конференция")</f>
        <v>Доклад от конференция</v>
      </c>
      <c r="C1680" s="10" t="str">
        <f ca="1">IFERROR(__xludf.DUMMYFUNCTION("""COMPUTED_VALUE"""),"Widening the professional competences of students by including them in academic research projects")</f>
        <v>Widening the professional competences of students by including them in academic research projects</v>
      </c>
      <c r="D1680" s="10">
        <f ca="1">IFERROR(__xludf.DUMMYFUNCTION("""COMPUTED_VALUE"""),2018)</f>
        <v>2018</v>
      </c>
      <c r="E1680" s="10" t="str">
        <f ca="1">IFERROR(__xludf.DUMMYFUNCTION("""COMPUTED_VALUE"""),"Nikolova Vyara, Widening the professional competences of students by including them in academic research projects, 11th International Conference of Education, Research and Innovation, Seville (Spain), Испания 2018")</f>
        <v>Nikolova Vyara, Widening the professional competences of students by including them in academic research projects, 11th International Conference of Education, Research and Innovation, Seville (Spain), Испания 2018</v>
      </c>
      <c r="F1680" s="10"/>
      <c r="G1680" s="10" t="str">
        <f ca="1">IFERROR(__xludf.DUMMYFUNCTION("""COMPUTED_VALUE"""),"Nikolova Vyara")</f>
        <v>Nikolova Vyara</v>
      </c>
      <c r="H1680" s="10"/>
      <c r="I1680" s="10"/>
      <c r="J1680" s="10"/>
      <c r="K1680" s="10"/>
      <c r="L1680" s="10"/>
      <c r="M1680" s="10"/>
      <c r="N1680" s="10"/>
      <c r="O1680" s="10"/>
      <c r="P1680" s="10"/>
      <c r="Q1680" s="10"/>
      <c r="R1680" s="10"/>
      <c r="S1680" s="10"/>
      <c r="T1680" s="10"/>
      <c r="U1680" s="10"/>
      <c r="V1680" s="10"/>
      <c r="W1680" s="10"/>
      <c r="X1680" s="10"/>
      <c r="Y1680" s="10"/>
      <c r="Z1680" s="10"/>
    </row>
    <row r="1681" spans="1:26" ht="12.75">
      <c r="A1681" s="10" t="str">
        <f ca="1">IFERROR(__xludf.DUMMYFUNCTION("""COMPUTED_VALUE"""),"Вяра Василева Николова")</f>
        <v>Вяра Василева Николова</v>
      </c>
      <c r="B1681" s="10" t="str">
        <f ca="1">IFERROR(__xludf.DUMMYFUNCTION("""COMPUTED_VALUE"""),"Доклад от конференция")</f>
        <v>Доклад от конференция</v>
      </c>
      <c r="C1681" s="10" t="str">
        <f ca="1">IFERROR(__xludf.DUMMYFUNCTION("""COMPUTED_VALUE"""),"К вопросу иероглифического письма как социолингвистического феномена в процессе изучения японского языка")</f>
        <v>К вопросу иероглифического письма как социолингвистического феномена в процессе изучения японского языка</v>
      </c>
      <c r="D1681" s="10">
        <f ca="1">IFERROR(__xludf.DUMMYFUNCTION("""COMPUTED_VALUE"""),2018)</f>
        <v>2018</v>
      </c>
      <c r="E1681" s="10" t="str">
        <f ca="1">IFERROR(__xludf.DUMMYFUNCTION("""COMPUTED_VALUE"""),"Николова Вяра, К вопросу иероглифического письма как социолингвистического феномена в процессе изучения японского языка, LESEWA-XIII. Языки стран Дальнего Востока, Юго-восточной Азии и Западной Африки, Русия/Санкт Петербург 2018")</f>
        <v>Николова Вяра, К вопросу иероглифического письма как социолингвистического феномена в процессе изучения японского языка, LESEWA-XIII. Языки стран Дальнего Востока, Юго-восточной Азии и Западной Африки, Русия/Санкт Петербург 2018</v>
      </c>
      <c r="F1681" s="10"/>
      <c r="G1681" s="10" t="str">
        <f ca="1">IFERROR(__xludf.DUMMYFUNCTION("""COMPUTED_VALUE"""),"Николова Вяра")</f>
        <v>Николова Вяра</v>
      </c>
      <c r="H1681" s="10"/>
      <c r="I1681" s="10"/>
      <c r="J1681" s="10"/>
      <c r="K1681" s="10"/>
      <c r="L1681" s="10"/>
      <c r="M1681" s="10"/>
      <c r="N1681" s="10"/>
      <c r="O1681" s="10"/>
      <c r="P1681" s="10"/>
      <c r="Q1681" s="10"/>
      <c r="R1681" s="10"/>
      <c r="S1681" s="10"/>
      <c r="T1681" s="10"/>
      <c r="U1681" s="10"/>
      <c r="V1681" s="10"/>
      <c r="W1681" s="10"/>
      <c r="X1681" s="10"/>
      <c r="Y1681" s="10"/>
      <c r="Z1681" s="10"/>
    </row>
    <row r="1682" spans="1:26" ht="12.75">
      <c r="A1682" s="10" t="str">
        <f ca="1">IFERROR(__xludf.DUMMYFUNCTION("""COMPUTED_VALUE"""),"Вяра Василева Николова")</f>
        <v>Вяра Василева Николова</v>
      </c>
      <c r="B1682" s="10" t="str">
        <f ca="1">IFERROR(__xludf.DUMMYFUNCTION("""COMPUTED_VALUE"""),"Доклад от конференция")</f>
        <v>Доклад от конференция</v>
      </c>
      <c r="C1682" s="10" t="str">
        <f ca="1">IFERROR(__xludf.DUMMYFUNCTION("""COMPUTED_VALUE"""),"О преподавании японского языка в Софийском университете Святого Климента Охридского (Болгария)")</f>
        <v>О преподавании японского языка в Софийском университете Святого Климента Охридского (Болгария)</v>
      </c>
      <c r="D1682" s="10">
        <f ca="1">IFERROR(__xludf.DUMMYFUNCTION("""COMPUTED_VALUE"""),2018)</f>
        <v>2018</v>
      </c>
      <c r="E1682" s="10" t="str">
        <f ca="1">IFERROR(__xludf.DUMMYFUNCTION("""COMPUTED_VALUE"""),"Николова Вяра, О преподавании японского языка в Софийском университете Святого Климента Охридского (Болгария), Особенности преподавания японского языка в вузах, школах, на языковых курсах в России и за рубежом, Русия/Москва 2018")</f>
        <v>Николова Вяра, О преподавании японского языка в Софийском университете Святого Климента Охридского (Болгария), Особенности преподавания японского языка в вузах, школах, на языковых курсах в России и за рубежом, Русия/Москва 2018</v>
      </c>
      <c r="F1682" s="10"/>
      <c r="G1682" s="10" t="str">
        <f ca="1">IFERROR(__xludf.DUMMYFUNCTION("""COMPUTED_VALUE"""),"Николова Вяра")</f>
        <v>Николова Вяра</v>
      </c>
      <c r="H1682" s="10"/>
      <c r="I1682" s="10"/>
      <c r="J1682" s="10"/>
      <c r="K1682" s="10"/>
      <c r="L1682" s="10"/>
      <c r="M1682" s="10"/>
      <c r="N1682" s="10"/>
      <c r="O1682" s="10"/>
      <c r="P1682" s="10"/>
      <c r="Q1682" s="10"/>
      <c r="R1682" s="10"/>
      <c r="S1682" s="10"/>
      <c r="T1682" s="10"/>
      <c r="U1682" s="10"/>
      <c r="V1682" s="10"/>
      <c r="W1682" s="10"/>
      <c r="X1682" s="10"/>
      <c r="Y1682" s="10"/>
      <c r="Z1682" s="10"/>
    </row>
    <row r="1683" spans="1:26" ht="12.75">
      <c r="A1683" s="10" t="str">
        <f ca="1">IFERROR(__xludf.DUMMYFUNCTION("""COMPUTED_VALUE"""),"Вяра Василева Николова")</f>
        <v>Вяра Василева Николова</v>
      </c>
      <c r="B1683" s="10" t="str">
        <f ca="1">IFERROR(__xludf.DUMMYFUNCTION("""COMPUTED_VALUE"""),"Статия в списания и поредици")</f>
        <v>Статия в списания и поредици</v>
      </c>
      <c r="C1683" s="10" t="str">
        <f ca="1">IFERROR(__xludf.DUMMYFUNCTION("""COMPUTED_VALUE"""),"К вопросу иероглифического письма как социолингвистического феномена в процессе изучения японского языка.")</f>
        <v>К вопросу иероглифического письма как социолингвистического феномена в процессе изучения японского языка.</v>
      </c>
      <c r="D1683" s="10">
        <f ca="1">IFERROR(__xludf.DUMMYFUNCTION("""COMPUTED_VALUE"""),2018)</f>
        <v>2018</v>
      </c>
      <c r="E1683" s="10" t="str">
        <f ca="1">IFERROR(__xludf.DUMMYFUNCTION("""COMPUTED_VALUE"""),"Николова В.В., К вопросу иероглифического письма как социолингвистического феномена в процессе изучения японского языка., Языки стран Дальнего Востока, Юго-восточной Азии и Западной Африки, ISBN 978-5-906623-34-8, 2018, стр.243-248")</f>
        <v>Николова В.В., К вопросу иероглифического письма как социолингвистического феномена в процессе изучения японского языка., Языки стран Дальнего Востока, Юго-восточной Азии и Западной Африки, ISBN 978-5-906623-34-8, 2018, стр.243-248</v>
      </c>
      <c r="F1683" s="10"/>
      <c r="G1683" s="10" t="str">
        <f ca="1">IFERROR(__xludf.DUMMYFUNCTION("""COMPUTED_VALUE"""),"Николова В.В.")</f>
        <v>Николова В.В.</v>
      </c>
      <c r="H1683" s="10"/>
      <c r="I1683" s="10"/>
      <c r="J1683" s="10"/>
      <c r="K1683" s="10"/>
      <c r="L1683" s="10"/>
      <c r="M1683" s="10"/>
      <c r="N1683" s="10"/>
      <c r="O1683" s="10"/>
      <c r="P1683" s="10"/>
      <c r="Q1683" s="10"/>
      <c r="R1683" s="10"/>
      <c r="S1683" s="10"/>
      <c r="T1683" s="10"/>
      <c r="U1683" s="10"/>
      <c r="V1683" s="10"/>
      <c r="W1683" s="10"/>
      <c r="X1683" s="10"/>
      <c r="Y1683" s="10"/>
      <c r="Z1683" s="10"/>
    </row>
    <row r="1684" spans="1:26" ht="12.75">
      <c r="A1684" s="10" t="str">
        <f ca="1">IFERROR(__xludf.DUMMYFUNCTION("""COMPUTED_VALUE"""),"Вяра Василева Николова")</f>
        <v>Вяра Василева Николова</v>
      </c>
      <c r="B1684" s="10" t="str">
        <f ca="1">IFERROR(__xludf.DUMMYFUNCTION("""COMPUTED_VALUE"""),"Глава от колективна монография")</f>
        <v>Глава от колективна монография</v>
      </c>
      <c r="C1684" s="10" t="str">
        <f ca="1">IFERROR(__xludf.DUMMYFUNCTION("""COMPUTED_VALUE"""),"ЯПОНИЯ: 150 лет революции Мэйдзи.
 Исследования российских и зарубежных ученых, посвященные 150-ой годовщине революции Мэйдзи (Новая эпоха в развитии японского понимания языкового и культурного взаимодействия Японии с Западом (от Мэйдзи до наших дней), IS"&amp;"BN 978-5-4391-0369-0, с. 686-698).")</f>
        <v>ЯПОНИЯ: 150 лет революции Мэйдзи.
 Исследования российских и зарубежных ученых, посвященные 150-ой годовщине революции Мэйдзи (Новая эпоха в развитии японского понимания языкового и культурного взаимодействия Японии с Западом (от Мэйдзи до наших дней), ISBN 978-5-4391-0369-0, с. 686-698).</v>
      </c>
      <c r="D1684" s="10">
        <f ca="1">IFERROR(__xludf.DUMMYFUNCTION("""COMPUTED_VALUE"""),2018)</f>
        <v>2018</v>
      </c>
      <c r="E1684" s="10" t="str">
        <f ca="1">IFERROR(__xludf.DUMMYFUNCTION("""COMPUTED_VALUE"""),"Nikolova V.V., Zhivkova S.T., ЯПОНИЯ: 150 лет революции Мэйдзи.
 Исследования российских и зарубежных ученых, посвященные 150-ой годовщине революции Мэйдзи (Новая эпоха в развитии японского понимания языкового и культурного взаимодействия Японии с Западом"&amp;" (от Мэйдзи до наших дней), ISBN 978-5-4391-0369-0, с. 686-698)., Art-xpress, Санкт-Петербург, Ref, Рецензирано")</f>
        <v>Nikolova V.V., Zhivkova S.T., ЯПОНИЯ: 150 лет революции Мэйдзи.
 Исследования российских и зарубежных ученых, посвященные 150-ой годовщине революции Мэйдзи (Новая эпоха в развитии японского понимания языкового и культурного взаимодействия Японии с Западом (от Мэйдзи до наших дней), ISBN 978-5-4391-0369-0, с. 686-698)., Art-xpress, Санкт-Петербург, Ref, Рецензирано</v>
      </c>
      <c r="F1684" s="10" t="str">
        <f ca="1">IFERROR(__xludf.DUMMYFUNCTION("""COMPUTED_VALUE"""),"Zentralblatt, MathSciNet, DBLP, ERIC, ACM Digital Library, IEEE Xplore, AIS eLibrary")</f>
        <v>Zentralblatt, MathSciNet, DBLP, ERIC, ACM Digital Library, IEEE Xplore, AIS eLibrary</v>
      </c>
      <c r="G1684" s="10" t="str">
        <f ca="1">IFERROR(__xludf.DUMMYFUNCTION("""COMPUTED_VALUE"""),"Nikolova V.V., Zhivkova S.T.")</f>
        <v>Nikolova V.V., Zhivkova S.T.</v>
      </c>
      <c r="H1684" s="10"/>
      <c r="I1684" s="10"/>
      <c r="J1684" s="10"/>
      <c r="K1684" s="10"/>
      <c r="L1684" s="10"/>
      <c r="M1684" s="10"/>
      <c r="N1684" s="10"/>
      <c r="O1684" s="10"/>
      <c r="P1684" s="10"/>
      <c r="Q1684" s="10"/>
      <c r="R1684" s="10"/>
      <c r="S1684" s="10"/>
      <c r="T1684" s="10"/>
      <c r="U1684" s="10"/>
      <c r="V1684" s="10"/>
      <c r="W1684" s="10"/>
      <c r="X1684" s="10"/>
      <c r="Y1684" s="10"/>
      <c r="Z1684" s="10"/>
    </row>
    <row r="1685" spans="1:26" ht="12.75">
      <c r="A1685" s="10" t="str">
        <f ca="1">IFERROR(__xludf.DUMMYFUNCTION("""COMPUTED_VALUE"""),"Вяра Василева Николова")</f>
        <v>Вяра Василева Николова</v>
      </c>
      <c r="B1685" s="10" t="str">
        <f ca="1">IFERROR(__xludf.DUMMYFUNCTION("""COMPUTED_VALUE"""),"Доклад от конференция")</f>
        <v>Доклад от конференция</v>
      </c>
      <c r="C1685" s="10" t="str">
        <f ca="1">IFERROR(__xludf.DUMMYFUNCTION("""COMPUTED_VALUE"""),"Трудности в процессе преподавания русского языка и русской литературы в нефилологическом вузе в Болгарии")</f>
        <v>Трудности в процессе преподавания русского языка и русской литературы в нефилологическом вузе в Болгарии</v>
      </c>
      <c r="D1685" s="10">
        <f ca="1">IFERROR(__xludf.DUMMYFUNCTION("""COMPUTED_VALUE"""),2017)</f>
        <v>2017</v>
      </c>
      <c r="E1685" s="10" t="str">
        <f ca="1">IFERROR(__xludf.DUMMYFUNCTION("""COMPUTED_VALUE"""),"Николова Мария, Николова Вяра, Трудности в процессе преподавания русского языка и русской литературы в нефилологическом вузе в Болгарии, Русистика: вчера, сегодня, завтра, България/София 2017")</f>
        <v>Николова Мария, Николова Вяра, Трудности в процессе преподавания русского языка и русской литературы в нефилологическом вузе в Болгарии, Русистика: вчера, сегодня, завтра, България/София 2017</v>
      </c>
      <c r="F1685" s="10"/>
      <c r="G1685" s="10" t="str">
        <f ca="1">IFERROR(__xludf.DUMMYFUNCTION("""COMPUTED_VALUE"""),"Николова Мария, Николова Вяра")</f>
        <v>Николова Мария, Николова Вяра</v>
      </c>
      <c r="H1685" s="10"/>
      <c r="I1685" s="10"/>
      <c r="J1685" s="10"/>
      <c r="K1685" s="10"/>
      <c r="L1685" s="10"/>
      <c r="M1685" s="10"/>
      <c r="N1685" s="10"/>
      <c r="O1685" s="10"/>
      <c r="P1685" s="10"/>
      <c r="Q1685" s="10"/>
      <c r="R1685" s="10"/>
      <c r="S1685" s="10"/>
      <c r="T1685" s="10"/>
      <c r="U1685" s="10"/>
      <c r="V1685" s="10"/>
      <c r="W1685" s="10"/>
      <c r="X1685" s="10"/>
      <c r="Y1685" s="10"/>
      <c r="Z1685" s="10"/>
    </row>
    <row r="1686" spans="1:26" ht="12.75">
      <c r="A1686" s="10" t="str">
        <f ca="1">IFERROR(__xludf.DUMMYFUNCTION("""COMPUTED_VALUE"""),"Вяра Василева Николова")</f>
        <v>Вяра Василева Николова</v>
      </c>
      <c r="B1686" s="10" t="str">
        <f ca="1">IFERROR(__xludf.DUMMYFUNCTION("""COMPUTED_VALUE"""),"Доклад от конференция")</f>
        <v>Доклад от конференция</v>
      </c>
      <c r="C1686" s="10" t="str">
        <f ca="1">IFERROR(__xludf.DUMMYFUNCTION("""COMPUTED_VALUE"""),"Женщины-литераторы в Японии после 1868 года и в Болгарии после 1878 года")</f>
        <v>Женщины-литераторы в Японии после 1868 года и в Болгарии после 1878 года</v>
      </c>
      <c r="D1686" s="10">
        <f ca="1">IFERROR(__xludf.DUMMYFUNCTION("""COMPUTED_VALUE"""),2017)</f>
        <v>2017</v>
      </c>
      <c r="E1686" s="10" t="str">
        <f ca="1">IFERROR(__xludf.DUMMYFUNCTION("""COMPUTED_VALUE"""),"Николова В.В., Женщины-литераторы в Японии после 1868 года и в Болгарии после 1878 года, Вивчення та дослiдження японської мови i лiтератури – вплив та розумiння японських реалiй, Украйна/Киев 2017")</f>
        <v>Николова В.В., Женщины-литераторы в Японии после 1868 года и в Болгарии после 1878 года, Вивчення та дослiдження японської мови i лiтератури – вплив та розумiння японських реалiй, Украйна/Киев 2017</v>
      </c>
      <c r="F1686" s="10"/>
      <c r="G1686" s="10" t="str">
        <f ca="1">IFERROR(__xludf.DUMMYFUNCTION("""COMPUTED_VALUE"""),"Николова В.В.")</f>
        <v>Николова В.В.</v>
      </c>
      <c r="H1686" s="10"/>
      <c r="I1686" s="10"/>
      <c r="J1686" s="10"/>
      <c r="K1686" s="10"/>
      <c r="L1686" s="10"/>
      <c r="M1686" s="10"/>
      <c r="N1686" s="10"/>
      <c r="O1686" s="10"/>
      <c r="P1686" s="10"/>
      <c r="Q1686" s="10"/>
      <c r="R1686" s="10"/>
      <c r="S1686" s="10"/>
      <c r="T1686" s="10"/>
      <c r="U1686" s="10"/>
      <c r="V1686" s="10"/>
      <c r="W1686" s="10"/>
      <c r="X1686" s="10"/>
      <c r="Y1686" s="10"/>
      <c r="Z1686" s="10"/>
    </row>
    <row r="1687" spans="1:26" ht="12.75">
      <c r="A1687" s="10" t="str">
        <f ca="1">IFERROR(__xludf.DUMMYFUNCTION("""COMPUTED_VALUE"""),"Вяра Василева Николова")</f>
        <v>Вяра Василева Николова</v>
      </c>
      <c r="B1687" s="10" t="str">
        <f ca="1">IFERROR(__xludf.DUMMYFUNCTION("""COMPUTED_VALUE"""),"Доклад от конференция")</f>
        <v>Доклад от конференция</v>
      </c>
      <c r="C1687" s="10" t="str">
        <f ca="1">IFERROR(__xludf.DUMMYFUNCTION("""COMPUTED_VALUE"""),"The foreigh impacts on Japanese culture")</f>
        <v>The foreigh impacts on Japanese culture</v>
      </c>
      <c r="D1687" s="10">
        <f ca="1">IFERROR(__xludf.DUMMYFUNCTION("""COMPUTED_VALUE"""),2017)</f>
        <v>2017</v>
      </c>
      <c r="E1687" s="10" t="str">
        <f ca="1">IFERROR(__xludf.DUMMYFUNCTION("""COMPUTED_VALUE"""),"Nikolova Vyara, The foreigh impacts on Japanese culture, Constructing Identity. The Patterns of Japanese Culture, Полша 2017")</f>
        <v>Nikolova Vyara, The foreigh impacts on Japanese culture, Constructing Identity. The Patterns of Japanese Culture, Полша 2017</v>
      </c>
      <c r="F1687" s="10"/>
      <c r="G1687" s="10" t="str">
        <f ca="1">IFERROR(__xludf.DUMMYFUNCTION("""COMPUTED_VALUE"""),"Nikolova Vyara")</f>
        <v>Nikolova Vyara</v>
      </c>
      <c r="H1687" s="10"/>
      <c r="I1687" s="10"/>
      <c r="J1687" s="10"/>
      <c r="K1687" s="10"/>
      <c r="L1687" s="10"/>
      <c r="M1687" s="10"/>
      <c r="N1687" s="10"/>
      <c r="O1687" s="10"/>
      <c r="P1687" s="10"/>
      <c r="Q1687" s="10"/>
      <c r="R1687" s="10"/>
      <c r="S1687" s="10"/>
      <c r="T1687" s="10"/>
      <c r="U1687" s="10"/>
      <c r="V1687" s="10"/>
      <c r="W1687" s="10"/>
      <c r="X1687" s="10"/>
      <c r="Y1687" s="10"/>
      <c r="Z1687" s="10"/>
    </row>
    <row r="1688" spans="1:26" ht="12.75">
      <c r="A1688" s="10" t="str">
        <f ca="1">IFERROR(__xludf.DUMMYFUNCTION("""COMPUTED_VALUE"""),"Вяра Василева Николова")</f>
        <v>Вяра Василева Николова</v>
      </c>
      <c r="B1688" s="10" t="str">
        <f ca="1">IFERROR(__xludf.DUMMYFUNCTION("""COMPUTED_VALUE"""),"Доклад от конференция")</f>
        <v>Доклад от конференция</v>
      </c>
      <c r="C1688" s="10" t="str">
        <f ca="1">IFERROR(__xludf.DUMMYFUNCTION("""COMPUTED_VALUE"""),"Вклад пловдивских издателей и переводчиков в популяризации русской художественной литературы в Болгарии в первые десятилетия после Освобождения")</f>
        <v>Вклад пловдивских издателей и переводчиков в популяризации русской художественной литературы в Болгарии в первые десятилетия после Освобождения</v>
      </c>
      <c r="D1688" s="10">
        <f ca="1">IFERROR(__xludf.DUMMYFUNCTION("""COMPUTED_VALUE"""),2017)</f>
        <v>2017</v>
      </c>
      <c r="E1688" s="10" t="str">
        <f ca="1">IFERROR(__xludf.DUMMYFUNCTION("""COMPUTED_VALUE"""),"Николова Мария, Николова Вяра, Вклад пловдивских издателей и переводчиков в популяризации русской художественной литературы в Болгарии в первые десятилетия после Освобождения, ПАИСИЕВИ ЧЕТЕНИЯ 2017, Безпокойства на хуманизма: филологията - застрашена, нео"&amp;"бходима, неотстранима, България/Пловдив 2017")</f>
        <v>Николова Мария, Николова Вяра, Вклад пловдивских издателей и переводчиков в популяризации русской художественной литературы в Болгарии в первые десятилетия после Освобождения, ПАИСИЕВИ ЧЕТЕНИЯ 2017, Безпокойства на хуманизма: филологията - застрашена, необходима, неотстранима, България/Пловдив 2017</v>
      </c>
      <c r="F1688" s="10"/>
      <c r="G1688" s="10" t="str">
        <f ca="1">IFERROR(__xludf.DUMMYFUNCTION("""COMPUTED_VALUE"""),"Николова Мария, Николова Вяра")</f>
        <v>Николова Мария, Николова Вяра</v>
      </c>
      <c r="H1688" s="10"/>
      <c r="I1688" s="10"/>
      <c r="J1688" s="10"/>
      <c r="K1688" s="10"/>
      <c r="L1688" s="10"/>
      <c r="M1688" s="10"/>
      <c r="N1688" s="10"/>
      <c r="O1688" s="10"/>
      <c r="P1688" s="10"/>
      <c r="Q1688" s="10"/>
      <c r="R1688" s="10"/>
      <c r="S1688" s="10"/>
      <c r="T1688" s="10"/>
      <c r="U1688" s="10"/>
      <c r="V1688" s="10"/>
      <c r="W1688" s="10"/>
      <c r="X1688" s="10"/>
      <c r="Y1688" s="10"/>
      <c r="Z1688" s="10"/>
    </row>
    <row r="1689" spans="1:26" ht="12.75">
      <c r="A1689" s="10" t="str">
        <f ca="1">IFERROR(__xludf.DUMMYFUNCTION("""COMPUTED_VALUE"""),"Вяра Василева Николова")</f>
        <v>Вяра Василева Николова</v>
      </c>
      <c r="B1689" s="10" t="str">
        <f ca="1">IFERROR(__xludf.DUMMYFUNCTION("""COMPUTED_VALUE"""),"Статия в списания и поредици")</f>
        <v>Статия в списания и поредици</v>
      </c>
      <c r="C1689" s="10" t="str">
        <f ca="1">IFERROR(__xludf.DUMMYFUNCTION("""COMPUTED_VALUE"""),"Кратък преглед на изданията свързани с Япония през последните 25 години (общи тенденции и перспективи за развитие)")</f>
        <v>Кратък преглед на изданията свързани с Япония през последните 25 години (общи тенденции и перспективи за развитие)</v>
      </c>
      <c r="D1689" s="10">
        <f ca="1">IFERROR(__xludf.DUMMYFUNCTION("""COMPUTED_VALUE"""),2016)</f>
        <v>2016</v>
      </c>
      <c r="E1689" s="10" t="str">
        <f ca="1">IFERROR(__xludf.DUMMYFUNCTION("""COMPUTED_VALUE"""),"Николова В.В., Кратък преглед на изданията свързани с Япония през последните 25 години (общи тенденции и перспективи за развитие), Сб. доклади от научна конференция с международно участие посветена на 25-годишнината на специалност Японистика в СУ „Св. Кли"&amp;"мент Охридски“ на тема: „Бъдещи хоризонти”, 2016")</f>
        <v>Николова В.В., Кратък преглед на изданията свързани с Япония през последните 25 години (общи тенденции и перспективи за развитие), Сб. доклади от научна конференция с международно участие посветена на 25-годишнината на специалност Японистика в СУ „Св. Климент Охридски“ на тема: „Бъдещи хоризонти”, 2016</v>
      </c>
      <c r="F1689" s="10"/>
      <c r="G1689" s="10" t="str">
        <f ca="1">IFERROR(__xludf.DUMMYFUNCTION("""COMPUTED_VALUE"""),"Николова В.В.")</f>
        <v>Николова В.В.</v>
      </c>
      <c r="H1689" s="10"/>
      <c r="I1689" s="10"/>
      <c r="J1689" s="10"/>
      <c r="K1689" s="10"/>
      <c r="L1689" s="10"/>
      <c r="M1689" s="10"/>
      <c r="N1689" s="10"/>
      <c r="O1689" s="10"/>
      <c r="P1689" s="10"/>
      <c r="Q1689" s="10"/>
      <c r="R1689" s="10"/>
      <c r="S1689" s="10"/>
      <c r="T1689" s="10"/>
      <c r="U1689" s="10"/>
      <c r="V1689" s="10"/>
      <c r="W1689" s="10"/>
      <c r="X1689" s="10"/>
      <c r="Y1689" s="10"/>
      <c r="Z1689" s="10"/>
    </row>
    <row r="1690" spans="1:26" ht="12.75">
      <c r="A1690" s="10" t="str">
        <f ca="1">IFERROR(__xludf.DUMMYFUNCTION("""COMPUTED_VALUE"""),"Вяра Василева Николова")</f>
        <v>Вяра Василева Николова</v>
      </c>
      <c r="B1690" s="10" t="str">
        <f ca="1">IFERROR(__xludf.DUMMYFUNCTION("""COMPUTED_VALUE"""),"Доклад от конференция")</f>
        <v>Доклад от конференция</v>
      </c>
      <c r="C1690" s="10" t="str">
        <f ca="1">IFERROR(__xludf.DUMMYFUNCTION("""COMPUTED_VALUE"""),"ソフィア大学„聖クリメント・オフリドスキ“における日本学について")</f>
        <v>ソフィア大学„聖クリメント・オフリドスキ“における日本学について</v>
      </c>
      <c r="D1690" s="10">
        <f ca="1">IFERROR(__xludf.DUMMYFUNCTION("""COMPUTED_VALUE"""),2016)</f>
        <v>2016</v>
      </c>
      <c r="E1690" s="10" t="str">
        <f ca="1">IFERROR(__xludf.DUMMYFUNCTION("""COMPUTED_VALUE"""),"二コロヴァ・ビャラ, ソフィア大学„聖クリメント・オフリドスキ“における日本学について, 27th annual EAJRS conference, “International Cooperation Between Japanese Studies Libraries”, Румъния 2016")</f>
        <v>二コロヴァ・ビャラ, ソフィア大学„聖クリメント・オフリドスキ“における日本学について, 27th annual EAJRS conference, “International Cooperation Between Japanese Studies Libraries”, Румъния 2016</v>
      </c>
      <c r="F1690" s="10"/>
      <c r="G1690" s="10" t="str">
        <f ca="1">IFERROR(__xludf.DUMMYFUNCTION("""COMPUTED_VALUE"""),"二コロヴァ・ビャラ")</f>
        <v>二コロヴァ・ビャラ</v>
      </c>
      <c r="H1690" s="10"/>
      <c r="I1690" s="10"/>
      <c r="J1690" s="10"/>
      <c r="K1690" s="10"/>
      <c r="L1690" s="10"/>
      <c r="M1690" s="10"/>
      <c r="N1690" s="10"/>
      <c r="O1690" s="10"/>
      <c r="P1690" s="10"/>
      <c r="Q1690" s="10"/>
      <c r="R1690" s="10"/>
      <c r="S1690" s="10"/>
      <c r="T1690" s="10"/>
      <c r="U1690" s="10"/>
      <c r="V1690" s="10"/>
      <c r="W1690" s="10"/>
      <c r="X1690" s="10"/>
      <c r="Y1690" s="10"/>
      <c r="Z1690" s="10"/>
    </row>
    <row r="1691" spans="1:26" ht="12.75">
      <c r="A1691" s="10" t="str">
        <f ca="1">IFERROR(__xludf.DUMMYFUNCTION("""COMPUTED_VALUE"""),"Вяра Василева Николова")</f>
        <v>Вяра Василева Николова</v>
      </c>
      <c r="B1691" s="10" t="str">
        <f ca="1">IFERROR(__xludf.DUMMYFUNCTION("""COMPUTED_VALUE"""),"Доклад от конференция")</f>
        <v>Доклад от конференция</v>
      </c>
      <c r="C1691" s="10" t="str">
        <f ca="1">IFERROR(__xludf.DUMMYFUNCTION("""COMPUTED_VALUE"""),"Музейният и музейният фонд към читалище Алеко Константинов в с. Павелско – настоящо състояние и бъдещо развитие")</f>
        <v>Музейният и музейният фонд към читалище Алеко Константинов в с. Павелско – настоящо състояние и бъдещо развитие</v>
      </c>
      <c r="D1691" s="10">
        <f ca="1">IFERROR(__xludf.DUMMYFUNCTION("""COMPUTED_VALUE"""),2016)</f>
        <v>2016</v>
      </c>
      <c r="E1691" s="10" t="str">
        <f ca="1">IFERROR(__xludf.DUMMYFUNCTION("""COMPUTED_VALUE"""),"Сб. Общество на знанието и хуманизмът на ХХІ век. Тринадесета юбилейна национална научна конференция с международно участие (1.11.2015). , издателство:""За Буквите - О писменехь"", 2016, стр.348-353")</f>
        <v>Сб. Общество на знанието и хуманизмът на ХХІ век. Тринадесета юбилейна национална научна конференция с международно участие (1.11.2015). , издателство:"За Буквите - О писменехь", 2016, стр.348-353</v>
      </c>
      <c r="F1691" s="10"/>
      <c r="G1691" s="10" t="str">
        <f ca="1">IFERROR(__xludf.DUMMYFUNCTION("""COMPUTED_VALUE"""),"Минчева, К.К., Николова, В.В")</f>
        <v>Минчева, К.К., Николова, В.В</v>
      </c>
      <c r="H1691" s="10"/>
      <c r="I1691" s="10"/>
      <c r="J1691" s="10"/>
      <c r="K1691" s="10"/>
      <c r="L1691" s="10"/>
      <c r="M1691" s="10"/>
      <c r="N1691" s="10"/>
      <c r="O1691" s="10"/>
      <c r="P1691" s="10"/>
      <c r="Q1691" s="10"/>
      <c r="R1691" s="10"/>
      <c r="S1691" s="10"/>
      <c r="T1691" s="10"/>
      <c r="U1691" s="10"/>
      <c r="V1691" s="10"/>
      <c r="W1691" s="10"/>
      <c r="X1691" s="10"/>
      <c r="Y1691" s="10"/>
      <c r="Z1691" s="10"/>
    </row>
    <row r="1692" spans="1:26" ht="12.75">
      <c r="A1692" s="10" t="str">
        <f ca="1">IFERROR(__xludf.DUMMYFUNCTION("""COMPUTED_VALUE"""),"Вяра Василева Николова")</f>
        <v>Вяра Василева Николова</v>
      </c>
      <c r="B1692" s="10" t="str">
        <f ca="1">IFERROR(__xludf.DUMMYFUNCTION("""COMPUTED_VALUE"""),"Доклад от конференция")</f>
        <v>Доклад от конференция</v>
      </c>
      <c r="C1692" s="10" t="str">
        <f ca="1">IFERROR(__xludf.DUMMYFUNCTION("""COMPUTED_VALUE"""),"Кратък преглед на изданията свързани с Япония през последните 25 години (общи тенденции и перспективи за развитие)")</f>
        <v>Кратък преглед на изданията свързани с Япония през последните 25 години (общи тенденции и перспективи за развитие)</v>
      </c>
      <c r="D1692" s="10">
        <f ca="1">IFERROR(__xludf.DUMMYFUNCTION("""COMPUTED_VALUE"""),2016)</f>
        <v>2016</v>
      </c>
      <c r="E1692" s="10" t="str">
        <f ca="1">IFERROR(__xludf.DUMMYFUNCTION("""COMPUTED_VALUE"""),"Сб. доклади от научна конференция с международно участие посветена на 25-годишнината на специалност Японистика в СУ „Св. Климент")</f>
        <v>Сб. доклади от научна конференция с международно участие посветена на 25-годишнината на специалност Японистика в СУ „Св. Климент</v>
      </c>
      <c r="F1692" s="10"/>
      <c r="G1692" s="10"/>
      <c r="H1692" s="10"/>
      <c r="I1692" s="10"/>
      <c r="J1692" s="10"/>
      <c r="K1692" s="10"/>
      <c r="L1692" s="10"/>
      <c r="M1692" s="10"/>
      <c r="N1692" s="10"/>
      <c r="O1692" s="10"/>
      <c r="P1692" s="10"/>
      <c r="Q1692" s="10"/>
      <c r="R1692" s="10"/>
      <c r="S1692" s="10"/>
      <c r="T1692" s="10"/>
      <c r="U1692" s="10"/>
      <c r="V1692" s="10"/>
      <c r="W1692" s="10"/>
      <c r="X1692" s="10"/>
      <c r="Y1692" s="10"/>
      <c r="Z1692" s="10"/>
    </row>
    <row r="1693" spans="1:26" ht="12.75">
      <c r="A1693" s="10" t="str">
        <f ca="1">IFERROR(__xludf.DUMMYFUNCTION("""COMPUTED_VALUE"""),"Вяра Василева Николова")</f>
        <v>Вяра Василева Николова</v>
      </c>
      <c r="B1693" s="10" t="str">
        <f ca="1">IFERROR(__xludf.DUMMYFUNCTION("""COMPUTED_VALUE"""),"Статия в списания и поредици")</f>
        <v>Статия в списания и поредици</v>
      </c>
      <c r="C1693" s="10" t="str">
        <f ca="1">IFERROR(__xludf.DUMMYFUNCTION("""COMPUTED_VALUE"""),"Музеят и музейният фонд към читалище Алеко Константинов в с. Павелско – настоящо състояние и бъдещо развитие")</f>
        <v>Музеят и музейният фонд към читалище Алеко Константинов в с. Павелско – настоящо състояние и бъдещо развитие</v>
      </c>
      <c r="D1693" s="10">
        <f ca="1">IFERROR(__xludf.DUMMYFUNCTION("""COMPUTED_VALUE"""),2016)</f>
        <v>2016</v>
      </c>
      <c r="E1693" s="10" t="str">
        <f ca="1">IFERROR(__xludf.DUMMYFUNCTION("""COMPUTED_VALUE"""),"Николова В.В., Николова М.С., Минчева К.К., Музеят и музейният фонд към читалище Алеко Константинов в с. Павелско – настоящо състояние и бъдещо развитие, Сб. Общество на знанието и хуманизмът на ХХІ век. Тринадесета юбилейна национална научна конференция "&amp;"с международно участие (1.11.2015). , издателство:""За Буквите - О писменехь"", 2016, стр.348-353")</f>
        <v>Николова В.В., Николова М.С., Минчева К.К., Музеят и музейният фонд към читалище Алеко Константинов в с. Павелско – настоящо състояние и бъдещо развитие, Сб. Общество на знанието и хуманизмът на ХХІ век. Тринадесета юбилейна национална научна конференция с международно участие (1.11.2015). , издателство:"За Буквите - О писменехь", 2016, стр.348-353</v>
      </c>
      <c r="F1693" s="10"/>
      <c r="G1693" s="10" t="str">
        <f ca="1">IFERROR(__xludf.DUMMYFUNCTION("""COMPUTED_VALUE"""),"Николова В.В., Николова М.С., Минчева К.К.")</f>
        <v>Николова В.В., Николова М.С., Минчева К.К.</v>
      </c>
      <c r="H1693" s="10"/>
      <c r="I1693" s="10"/>
      <c r="J1693" s="10"/>
      <c r="K1693" s="10"/>
      <c r="L1693" s="10"/>
      <c r="M1693" s="10"/>
      <c r="N1693" s="10"/>
      <c r="O1693" s="10"/>
      <c r="P1693" s="10"/>
      <c r="Q1693" s="10"/>
      <c r="R1693" s="10"/>
      <c r="S1693" s="10"/>
      <c r="T1693" s="10"/>
      <c r="U1693" s="10"/>
      <c r="V1693" s="10"/>
      <c r="W1693" s="10"/>
      <c r="X1693" s="10"/>
      <c r="Y1693" s="10"/>
      <c r="Z1693" s="10"/>
    </row>
    <row r="1694" spans="1:26" ht="12.75">
      <c r="A1694" s="10" t="str">
        <f ca="1">IFERROR(__xludf.DUMMYFUNCTION("""COMPUTED_VALUE"""),"Вяра Василева Николова")</f>
        <v>Вяра Василева Николова</v>
      </c>
      <c r="B1694" s="10" t="str">
        <f ca="1">IFERROR(__xludf.DUMMYFUNCTION("""COMPUTED_VALUE"""),"Доклад от конференция")</f>
        <v>Доклад от конференция</v>
      </c>
      <c r="C1694" s="10" t="str">
        <f ca="1">IFERROR(__xludf.DUMMYFUNCTION("""COMPUTED_VALUE"""),"Глаголы ЛГАТЬ, ВРАТЬ, ОБМАНЫВАТЬ значение и сочетаемость – эквиваленты в болгарской лексике")</f>
        <v>Глаголы ЛГАТЬ, ВРАТЬ, ОБМАНЫВАТЬ значение и сочетаемость – эквиваленты в болгарской лексике</v>
      </c>
      <c r="D1694" s="10">
        <f ca="1">IFERROR(__xludf.DUMMYFUNCTION("""COMPUTED_VALUE"""),2016)</f>
        <v>2016</v>
      </c>
      <c r="E1694" s="10" t="str">
        <f ca="1">IFERROR(__xludf.DUMMYFUNCTION("""COMPUTED_VALUE"""),"Сб. Съпоставително езикознание")</f>
        <v>Сб. Съпоставително езикознание</v>
      </c>
      <c r="F1694" s="10"/>
      <c r="G1694" s="10"/>
      <c r="H1694" s="10"/>
      <c r="I1694" s="10"/>
      <c r="J1694" s="10"/>
      <c r="K1694" s="10"/>
      <c r="L1694" s="10"/>
      <c r="M1694" s="10"/>
      <c r="N1694" s="10"/>
      <c r="O1694" s="10"/>
      <c r="P1694" s="10"/>
      <c r="Q1694" s="10"/>
      <c r="R1694" s="10"/>
      <c r="S1694" s="10"/>
      <c r="T1694" s="10"/>
      <c r="U1694" s="10"/>
      <c r="V1694" s="10"/>
      <c r="W1694" s="10"/>
      <c r="X1694" s="10"/>
      <c r="Y1694" s="10"/>
      <c r="Z1694" s="10"/>
    </row>
    <row r="1695" spans="1:26" ht="12.75">
      <c r="A1695" s="10" t="str">
        <f ca="1">IFERROR(__xludf.DUMMYFUNCTION("""COMPUTED_VALUE"""),"Вяра Василева Николова")</f>
        <v>Вяра Василева Николова</v>
      </c>
      <c r="B1695" s="10" t="str">
        <f ca="1">IFERROR(__xludf.DUMMYFUNCTION("""COMPUTED_VALUE"""),"Книга")</f>
        <v>Книга</v>
      </c>
      <c r="C1695" s="10" t="str">
        <f ca="1">IFERROR(__xludf.DUMMYFUNCTION("""COMPUTED_VALUE"""),"Читалищният музей в село Павелско – пазител на културно-историческото наследство")</f>
        <v>Читалищният музей в село Павелско – пазител на културно-историческото наследство</v>
      </c>
      <c r="D1695" s="10">
        <f ca="1">IFERROR(__xludf.DUMMYFUNCTION("""COMPUTED_VALUE"""),2016)</f>
        <v>2016</v>
      </c>
      <c r="E1695" s="10"/>
      <c r="F1695" s="10"/>
      <c r="G1695" s="10" t="str">
        <f ca="1">IFERROR(__xludf.DUMMYFUNCTION("""COMPUTED_VALUE"""),"Мария Николова")</f>
        <v>Мария Николова</v>
      </c>
      <c r="H1695" s="10"/>
      <c r="I1695" s="10"/>
      <c r="J1695" s="10"/>
      <c r="K1695" s="10"/>
      <c r="L1695" s="10"/>
      <c r="M1695" s="10"/>
      <c r="N1695" s="10"/>
      <c r="O1695" s="10"/>
      <c r="P1695" s="10"/>
      <c r="Q1695" s="10"/>
      <c r="R1695" s="10"/>
      <c r="S1695" s="10"/>
      <c r="T1695" s="10"/>
      <c r="U1695" s="10"/>
      <c r="V1695" s="10"/>
      <c r="W1695" s="10"/>
      <c r="X1695" s="10"/>
      <c r="Y1695" s="10"/>
      <c r="Z1695" s="10"/>
    </row>
    <row r="1696" spans="1:26" ht="12.75">
      <c r="A1696" s="10" t="str">
        <f ca="1">IFERROR(__xludf.DUMMYFUNCTION("""COMPUTED_VALUE"""),"Вяра Василева Николова")</f>
        <v>Вяра Василева Николова</v>
      </c>
      <c r="B1696" s="10" t="str">
        <f ca="1">IFERROR(__xludf.DUMMYFUNCTION("""COMPUTED_VALUE"""),"Доклад от конференция")</f>
        <v>Доклад от конференция</v>
      </c>
      <c r="C1696" s="10" t="str">
        <f ca="1">IFERROR(__xludf.DUMMYFUNCTION("""COMPUTED_VALUE"""),"Процесс обучения иностранному языку и развитие мотивации в изучении РКИ")</f>
        <v>Процесс обучения иностранному языку и развитие мотивации в изучении РКИ</v>
      </c>
      <c r="D1696" s="10">
        <f ca="1">IFERROR(__xludf.DUMMYFUNCTION("""COMPUTED_VALUE"""),2015)</f>
        <v>2015</v>
      </c>
      <c r="E1696" s="10" t="str">
        <f ca="1">IFERROR(__xludf.DUMMYFUNCTION("""COMPUTED_VALUE"""),"Сб. Материалов XIII Конгресса МАПРЯЛ’2015 „Русский язык и литература в пространстве мировой культуры” (13-20 сентября 2015). – Гранада, 2015, стр.764-769")</f>
        <v>Сб. Материалов XIII Конгресса МАПРЯЛ’2015 „Русский язык и литература в пространстве мировой культуры” (13-20 сентября 2015). – Гранада, 2015, стр.764-769</v>
      </c>
      <c r="F1696" s="10"/>
      <c r="G1696" s="10"/>
      <c r="H1696" s="10"/>
      <c r="I1696" s="10"/>
      <c r="J1696" s="10"/>
      <c r="K1696" s="10"/>
      <c r="L1696" s="10"/>
      <c r="M1696" s="10"/>
      <c r="N1696" s="10"/>
      <c r="O1696" s="10"/>
      <c r="P1696" s="10"/>
      <c r="Q1696" s="10"/>
      <c r="R1696" s="10"/>
      <c r="S1696" s="10"/>
      <c r="T1696" s="10"/>
      <c r="U1696" s="10"/>
      <c r="V1696" s="10"/>
      <c r="W1696" s="10"/>
      <c r="X1696" s="10"/>
      <c r="Y1696" s="10"/>
      <c r="Z1696" s="10"/>
    </row>
    <row r="1697" spans="1:26" ht="12.75">
      <c r="A1697" s="10" t="str">
        <f ca="1">IFERROR(__xludf.DUMMYFUNCTION("""COMPUTED_VALUE"""),"Вяра Василева Николова")</f>
        <v>Вяра Василева Николова</v>
      </c>
      <c r="B1697" s="10" t="str">
        <f ca="1">IFERROR(__xludf.DUMMYFUNCTION("""COMPUTED_VALUE"""),"Статия в списания и поредици")</f>
        <v>Статия в списания и поредици</v>
      </c>
      <c r="C1697" s="10" t="str">
        <f ca="1">IFERROR(__xludf.DUMMYFUNCTION("""COMPUTED_VALUE"""),"Процесс обучения иностранному языку и развитие мотивации в изучении РКИ")</f>
        <v>Процесс обучения иностранному языку и развитие мотивации в изучении РКИ</v>
      </c>
      <c r="D1697" s="10">
        <f ca="1">IFERROR(__xludf.DUMMYFUNCTION("""COMPUTED_VALUE"""),2015)</f>
        <v>2015</v>
      </c>
      <c r="E1697" s="10" t="str">
        <f ca="1">IFERROR(__xludf.DUMMYFUNCTION("""COMPUTED_VALUE"""),"Николова В.В., Процесс обучения иностранному языку и развитие мотивации в изучении РКИ, Сб. Материалов XIII Конгресса МАПРЯЛ’2015 „Русский язык и литература в пространстве мировой культуры” (13-20 сентября 2015). – Гранада, 2015, стр.764-769")</f>
        <v>Николова В.В., Процесс обучения иностранному языку и развитие мотивации в изучении РКИ, Сб. Материалов XIII Конгресса МАПРЯЛ’2015 „Русский язык и литература в пространстве мировой культуры” (13-20 сентября 2015). – Гранада, 2015, стр.764-769</v>
      </c>
      <c r="F1697" s="10"/>
      <c r="G1697" s="10" t="str">
        <f ca="1">IFERROR(__xludf.DUMMYFUNCTION("""COMPUTED_VALUE"""),"Николова В.В.")</f>
        <v>Николова В.В.</v>
      </c>
      <c r="H1697" s="10"/>
      <c r="I1697" s="10"/>
      <c r="J1697" s="10"/>
      <c r="K1697" s="10"/>
      <c r="L1697" s="10"/>
      <c r="M1697" s="10"/>
      <c r="N1697" s="10"/>
      <c r="O1697" s="10"/>
      <c r="P1697" s="10"/>
      <c r="Q1697" s="10"/>
      <c r="R1697" s="10"/>
      <c r="S1697" s="10"/>
      <c r="T1697" s="10"/>
      <c r="U1697" s="10"/>
      <c r="V1697" s="10"/>
      <c r="W1697" s="10"/>
      <c r="X1697" s="10"/>
      <c r="Y1697" s="10"/>
      <c r="Z1697" s="10"/>
    </row>
    <row r="1698" spans="1:26" ht="12.75">
      <c r="A1698" s="10" t="str">
        <f ca="1">IFERROR(__xludf.DUMMYFUNCTION("""COMPUTED_VALUE"""),"Вяра Василева Николова")</f>
        <v>Вяра Василева Николова</v>
      </c>
      <c r="B1698" s="10" t="str">
        <f ca="1">IFERROR(__xludf.DUMMYFUNCTION("""COMPUTED_VALUE"""),"Доклад от конференция")</f>
        <v>Доклад от конференция</v>
      </c>
      <c r="C1698" s="10" t="str">
        <f ca="1">IFERROR(__xludf.DUMMYFUNCTION("""COMPUTED_VALUE"""),"Роль эмиграции и русской драматургии в историкокультурном наследии Болгарии")</f>
        <v>Роль эмиграции и русской драматургии в историкокультурном наследии Болгарии</v>
      </c>
      <c r="D1698" s="10">
        <f ca="1">IFERROR(__xludf.DUMMYFUNCTION("""COMPUTED_VALUE"""),2015)</f>
        <v>2015</v>
      </c>
      <c r="E1698" s="10" t="str">
        <f ca="1">IFERROR(__xludf.DUMMYFUNCTION("""COMPUTED_VALUE"""),"Сб. Материалов Международной научно-практической онлайн-конференции „Славянская культура в Европе (история, настоящее и будущее)” София-Москва, 2015, стр.153-158")</f>
        <v>Сб. Материалов Международной научно-практической онлайн-конференции „Славянская культура в Европе (история, настоящее и будущее)” София-Москва, 2015, стр.153-158</v>
      </c>
      <c r="F1698" s="10"/>
      <c r="G1698" s="10"/>
      <c r="H1698" s="10"/>
      <c r="I1698" s="10"/>
      <c r="J1698" s="10"/>
      <c r="K1698" s="10"/>
      <c r="L1698" s="10"/>
      <c r="M1698" s="10"/>
      <c r="N1698" s="10"/>
      <c r="O1698" s="10"/>
      <c r="P1698" s="10"/>
      <c r="Q1698" s="10"/>
      <c r="R1698" s="10"/>
      <c r="S1698" s="10"/>
      <c r="T1698" s="10"/>
      <c r="U1698" s="10"/>
      <c r="V1698" s="10"/>
      <c r="W1698" s="10"/>
      <c r="X1698" s="10"/>
      <c r="Y1698" s="10"/>
      <c r="Z1698" s="10"/>
    </row>
    <row r="1699" spans="1:26" ht="12.75">
      <c r="A1699" s="10" t="str">
        <f ca="1">IFERROR(__xludf.DUMMYFUNCTION("""COMPUTED_VALUE"""),"Вяра Василева Николова")</f>
        <v>Вяра Василева Николова</v>
      </c>
      <c r="B1699" s="10" t="str">
        <f ca="1">IFERROR(__xludf.DUMMYFUNCTION("""COMPUTED_VALUE"""),"Статия в списания и поредици")</f>
        <v>Статия в списания и поредици</v>
      </c>
      <c r="C1699" s="10" t="str">
        <f ca="1">IFERROR(__xludf.DUMMYFUNCTION("""COMPUTED_VALUE"""),"РКИ в подготовке специалистов в сфере культурно-исторического наследия: проблемы и перспективы")</f>
        <v>РКИ в подготовке специалистов в сфере культурно-исторического наследия: проблемы и перспективы</v>
      </c>
      <c r="D1699" s="10">
        <f ca="1">IFERROR(__xludf.DUMMYFUNCTION("""COMPUTED_VALUE"""),2015)</f>
        <v>2015</v>
      </c>
      <c r="E1699" s="10" t="str">
        <f ca="1">IFERROR(__xludf.DUMMYFUNCTION("""COMPUTED_VALUE"""),"Николова В.В., РКИ в подготовке специалистов в сфере культурно-исторического наследия: проблемы и перспективы, Сб. Научных статей международной научно-практической конференции „Психолого-методические аспекты обучения студентов иностранным языкам для специ"&amp;"альных целей” (18-20 марта 2015). , 2015, стр.285-289")</f>
        <v>Николова В.В., РКИ в подготовке специалистов в сфере культурно-исторического наследия: проблемы и перспективы, Сб. Научных статей международной научно-практической конференции „Психолого-методические аспекты обучения студентов иностранным языкам для специальных целей” (18-20 марта 2015). , 2015, стр.285-289</v>
      </c>
      <c r="F1699" s="10"/>
      <c r="G1699" s="10" t="str">
        <f ca="1">IFERROR(__xludf.DUMMYFUNCTION("""COMPUTED_VALUE"""),"Николова В.В.")</f>
        <v>Николова В.В.</v>
      </c>
      <c r="H1699" s="10"/>
      <c r="I1699" s="10"/>
      <c r="J1699" s="10"/>
      <c r="K1699" s="10"/>
      <c r="L1699" s="10"/>
      <c r="M1699" s="10"/>
      <c r="N1699" s="10"/>
      <c r="O1699" s="10"/>
      <c r="P1699" s="10"/>
      <c r="Q1699" s="10"/>
      <c r="R1699" s="10"/>
      <c r="S1699" s="10"/>
      <c r="T1699" s="10"/>
      <c r="U1699" s="10"/>
      <c r="V1699" s="10"/>
      <c r="W1699" s="10"/>
      <c r="X1699" s="10"/>
      <c r="Y1699" s="10"/>
      <c r="Z1699" s="10"/>
    </row>
    <row r="1700" spans="1:26" ht="12.75">
      <c r="A1700" s="10" t="str">
        <f ca="1">IFERROR(__xludf.DUMMYFUNCTION("""COMPUTED_VALUE"""),"Вяра Василева Николова")</f>
        <v>Вяра Василева Николова</v>
      </c>
      <c r="B1700" s="10" t="str">
        <f ca="1">IFERROR(__xludf.DUMMYFUNCTION("""COMPUTED_VALUE"""),"Статия в списания и поредици")</f>
        <v>Статия в списания и поредици</v>
      </c>
      <c r="C1700" s="10" t="str">
        <f ca="1">IFERROR(__xludf.DUMMYFUNCTION("""COMPUTED_VALUE"""),"Роль эмиграции и русской драматургии в историкокультурном наследии Болгарии")</f>
        <v>Роль эмиграции и русской драматургии в историкокультурном наследии Болгарии</v>
      </c>
      <c r="D1700" s="10">
        <f ca="1">IFERROR(__xludf.DUMMYFUNCTION("""COMPUTED_VALUE"""),2015)</f>
        <v>2015</v>
      </c>
      <c r="E1700" s="10" t="str">
        <f ca="1">IFERROR(__xludf.DUMMYFUNCTION("""COMPUTED_VALUE"""),"Николова В.В., Роль эмиграции и русской драматургии в историкокультурном наследии Болгарии, Сб. Материалов Международной научно-практической онлайн-конференции „Славянская культура в Европе (история, настоящее и будущее)” София-Москва, 2015, стр.153-158")</f>
        <v>Николова В.В., Роль эмиграции и русской драматургии в историкокультурном наследии Болгарии, Сб. Материалов Международной научно-практической онлайн-конференции „Славянская культура в Европе (история, настоящее и будущее)” София-Москва, 2015, стр.153-158</v>
      </c>
      <c r="F1700" s="10"/>
      <c r="G1700" s="10" t="str">
        <f ca="1">IFERROR(__xludf.DUMMYFUNCTION("""COMPUTED_VALUE"""),"Николова В.В.")</f>
        <v>Николова В.В.</v>
      </c>
      <c r="H1700" s="10"/>
      <c r="I1700" s="10"/>
      <c r="J1700" s="10"/>
      <c r="K1700" s="10"/>
      <c r="L1700" s="10"/>
      <c r="M1700" s="10"/>
      <c r="N1700" s="10"/>
      <c r="O1700" s="10"/>
      <c r="P1700" s="10"/>
      <c r="Q1700" s="10"/>
      <c r="R1700" s="10"/>
      <c r="S1700" s="10"/>
      <c r="T1700" s="10"/>
      <c r="U1700" s="10"/>
      <c r="V1700" s="10"/>
      <c r="W1700" s="10"/>
      <c r="X1700" s="10"/>
      <c r="Y1700" s="10"/>
      <c r="Z1700" s="10"/>
    </row>
    <row r="1701" spans="1:26" ht="12.75">
      <c r="A1701" s="10" t="str">
        <f ca="1">IFERROR(__xludf.DUMMYFUNCTION("""COMPUTED_VALUE"""),"Вяра Василева Николова")</f>
        <v>Вяра Василева Николова</v>
      </c>
      <c r="B1701" s="10" t="str">
        <f ca="1">IFERROR(__xludf.DUMMYFUNCTION("""COMPUTED_VALUE"""),"Доклад от конференция")</f>
        <v>Доклад от конференция</v>
      </c>
      <c r="C1701" s="10" t="str">
        <f ca="1">IFERROR(__xludf.DUMMYFUNCTION("""COMPUTED_VALUE"""),"РКИ в подготовке специалистов в сфере культурно-исторического наследия: проблемы и перспективы")</f>
        <v>РКИ в подготовке специалистов в сфере культурно-исторического наследия: проблемы и перспективы</v>
      </c>
      <c r="D1701" s="10">
        <f ca="1">IFERROR(__xludf.DUMMYFUNCTION("""COMPUTED_VALUE"""),2015)</f>
        <v>2015</v>
      </c>
      <c r="E1701" s="10" t="str">
        <f ca="1">IFERROR(__xludf.DUMMYFUNCTION("""COMPUTED_VALUE"""),"Сб. Научных статей международной научно-практической конференции „Психолого-методические аспекты обучения студентов иностранным языкам для специальных целей” (18-20 марта 2015). , 2015, стр.285-289")</f>
        <v>Сб. Научных статей международной научно-практической конференции „Психолого-методические аспекты обучения студентов иностранным языкам для специальных целей” (18-20 марта 2015). , 2015, стр.285-289</v>
      </c>
      <c r="F1701" s="10"/>
      <c r="G1701" s="10"/>
      <c r="H1701" s="10"/>
      <c r="I1701" s="10"/>
      <c r="J1701" s="10"/>
      <c r="K1701" s="10"/>
      <c r="L1701" s="10"/>
      <c r="M1701" s="10"/>
      <c r="N1701" s="10"/>
      <c r="O1701" s="10"/>
      <c r="P1701" s="10"/>
      <c r="Q1701" s="10"/>
      <c r="R1701" s="10"/>
      <c r="S1701" s="10"/>
      <c r="T1701" s="10"/>
      <c r="U1701" s="10"/>
      <c r="V1701" s="10"/>
      <c r="W1701" s="10"/>
      <c r="X1701" s="10"/>
      <c r="Y1701" s="10"/>
      <c r="Z1701" s="10"/>
    </row>
    <row r="1702" spans="1:26" ht="12.75">
      <c r="A1702" s="10" t="str">
        <f ca="1">IFERROR(__xludf.DUMMYFUNCTION("""COMPUTED_VALUE"""),"Вяра Василева Николова")</f>
        <v>Вяра Василева Николова</v>
      </c>
      <c r="B1702" s="10" t="str">
        <f ca="1">IFERROR(__xludf.DUMMYFUNCTION("""COMPUTED_VALUE"""),"Доклад от конференция")</f>
        <v>Доклад от конференция</v>
      </c>
      <c r="C1702" s="10" t="str">
        <f ca="1">IFERROR(__xludf.DUMMYFUNCTION("""COMPUTED_VALUE"""),"Езикът като средство за постигане на сътрудничество и културен обмен в студентската общност")</f>
        <v>Езикът като средство за постигане на сътрудничество и културен обмен в студентската общност</v>
      </c>
      <c r="D1702" s="10">
        <f ca="1">IFERROR(__xludf.DUMMYFUNCTION("""COMPUTED_VALUE"""),2015)</f>
        <v>2015</v>
      </c>
      <c r="E1702" s="10" t="str">
        <f ca="1">IFERROR(__xludf.DUMMYFUNCTION("""COMPUTED_VALUE"""),"Сб. Общество на знанието и хуманизмът на ХХІ век. Дванадесета юбилейна национална научна конференция с международно участие (1.11.2014). , издателство:""За Буквите - О писменехь"", 2015, стр.173-175")</f>
        <v>Сб. Общество на знанието и хуманизмът на ХХІ век. Дванадесета юбилейна национална научна конференция с международно участие (1.11.2014). , издателство:"За Буквите - О писменехь", 2015, стр.173-175</v>
      </c>
      <c r="F1702" s="10"/>
      <c r="G1702" s="10" t="str">
        <f ca="1">IFERROR(__xludf.DUMMYFUNCTION("""COMPUTED_VALUE"""),"Иванова К.")</f>
        <v>Иванова К.</v>
      </c>
      <c r="H1702" s="10"/>
      <c r="I1702" s="10"/>
      <c r="J1702" s="10"/>
      <c r="K1702" s="10"/>
      <c r="L1702" s="10"/>
      <c r="M1702" s="10"/>
      <c r="N1702" s="10"/>
      <c r="O1702" s="10"/>
      <c r="P1702" s="10"/>
      <c r="Q1702" s="10"/>
      <c r="R1702" s="10"/>
      <c r="S1702" s="10"/>
      <c r="T1702" s="10"/>
      <c r="U1702" s="10"/>
      <c r="V1702" s="10"/>
      <c r="W1702" s="10"/>
      <c r="X1702" s="10"/>
      <c r="Y1702" s="10"/>
      <c r="Z1702" s="10"/>
    </row>
    <row r="1703" spans="1:26" ht="12.75">
      <c r="A1703" s="10" t="str">
        <f ca="1">IFERROR(__xludf.DUMMYFUNCTION("""COMPUTED_VALUE"""),"Вяра Василева Николова")</f>
        <v>Вяра Василева Николова</v>
      </c>
      <c r="B1703" s="10" t="str">
        <f ca="1">IFERROR(__xludf.DUMMYFUNCTION("""COMPUTED_VALUE"""),"Доклад от конференция")</f>
        <v>Доклад от конференция</v>
      </c>
      <c r="C1703" s="10" t="str">
        <f ca="1">IFERROR(__xludf.DUMMYFUNCTION("""COMPUTED_VALUE"""),"Fairy tale and foreign language teaching")</f>
        <v>Fairy tale and foreign language teaching</v>
      </c>
      <c r="D1703" s="10">
        <f ca="1">IFERROR(__xludf.DUMMYFUNCTION("""COMPUTED_VALUE"""),2015)</f>
        <v>2015</v>
      </c>
      <c r="E1703" s="10" t="str">
        <f ca="1">IFERROR(__xludf.DUMMYFUNCTION("""COMPUTED_VALUE"""),"Nikolova V.V., Fairy tale and foreign language teaching, SIEF'2015 Utopia, Realities, Heritages: Ethnographies for the 21st Century, Хърватия 2015")</f>
        <v>Nikolova V.V., Fairy tale and foreign language teaching, SIEF'2015 Utopia, Realities, Heritages: Ethnographies for the 21st Century, Хърватия 2015</v>
      </c>
      <c r="F1703" s="10"/>
      <c r="G1703" s="10" t="str">
        <f ca="1">IFERROR(__xludf.DUMMYFUNCTION("""COMPUTED_VALUE"""),"Nikolova V.V.")</f>
        <v>Nikolova V.V.</v>
      </c>
      <c r="H1703" s="10"/>
      <c r="I1703" s="10"/>
      <c r="J1703" s="10"/>
      <c r="K1703" s="10"/>
      <c r="L1703" s="10"/>
      <c r="M1703" s="10"/>
      <c r="N1703" s="10"/>
      <c r="O1703" s="10"/>
      <c r="P1703" s="10"/>
      <c r="Q1703" s="10"/>
      <c r="R1703" s="10"/>
      <c r="S1703" s="10"/>
      <c r="T1703" s="10"/>
      <c r="U1703" s="10"/>
      <c r="V1703" s="10"/>
      <c r="W1703" s="10"/>
      <c r="X1703" s="10"/>
      <c r="Y1703" s="10"/>
      <c r="Z1703" s="10"/>
    </row>
    <row r="1704" spans="1:26" ht="12.75">
      <c r="A1704" s="10" t="str">
        <f ca="1">IFERROR(__xludf.DUMMYFUNCTION("""COMPUTED_VALUE"""),"Вяра Василева Николова")</f>
        <v>Вяра Василева Николова</v>
      </c>
      <c r="B1704" s="10" t="str">
        <f ca="1">IFERROR(__xludf.DUMMYFUNCTION("""COMPUTED_VALUE"""),"Статия в списания и поредици")</f>
        <v>Статия в списания и поредици</v>
      </c>
      <c r="C1704" s="10" t="str">
        <f ca="1">IFERROR(__xludf.DUMMYFUNCTION("""COMPUTED_VALUE"""),"Езикът като средство за постигане на сътрудничество и културен обмен в студентската общност")</f>
        <v>Езикът като средство за постигане на сътрудничество и културен обмен в студентската общност</v>
      </c>
      <c r="D1704" s="10">
        <f ca="1">IFERROR(__xludf.DUMMYFUNCTION("""COMPUTED_VALUE"""),2015)</f>
        <v>2015</v>
      </c>
      <c r="E1704" s="10" t="str">
        <f ca="1">IFERROR(__xludf.DUMMYFUNCTION("""COMPUTED_VALUE"""),"Николова В.В., Иванова К., Езикът като средство за постигане на сътрудничество и културен обмен в студентската общност, Сб. Общество на знанието и хуманизмът на ХХІ век. Дванадесета юбилейна национална научна конференция с международно участие (1.11.2014)"&amp;". , издателство:""За Буквите - О писменехь"", 2015, стр.173-175")</f>
        <v>Николова В.В., Иванова К., Езикът като средство за постигане на сътрудничество и културен обмен в студентската общност, Сб. Общество на знанието и хуманизмът на ХХІ век. Дванадесета юбилейна национална научна конференция с международно участие (1.11.2014). , издателство:"За Буквите - О писменехь", 2015, стр.173-175</v>
      </c>
      <c r="F1704" s="10"/>
      <c r="G1704" s="10" t="str">
        <f ca="1">IFERROR(__xludf.DUMMYFUNCTION("""COMPUTED_VALUE"""),"Николова В.В., Иванова К.")</f>
        <v>Николова В.В., Иванова К.</v>
      </c>
      <c r="H1704" s="10"/>
      <c r="I1704" s="10"/>
      <c r="J1704" s="10"/>
      <c r="K1704" s="10"/>
      <c r="L1704" s="10"/>
      <c r="M1704" s="10"/>
      <c r="N1704" s="10"/>
      <c r="O1704" s="10"/>
      <c r="P1704" s="10"/>
      <c r="Q1704" s="10"/>
      <c r="R1704" s="10"/>
      <c r="S1704" s="10"/>
      <c r="T1704" s="10"/>
      <c r="U1704" s="10"/>
      <c r="V1704" s="10"/>
      <c r="W1704" s="10"/>
      <c r="X1704" s="10"/>
      <c r="Y1704" s="10"/>
      <c r="Z1704" s="10"/>
    </row>
    <row r="1705" spans="1:26" ht="12.75">
      <c r="A1705" s="10" t="str">
        <f ca="1">IFERROR(__xludf.DUMMYFUNCTION("""COMPUTED_VALUE"""),"Вяра Василева Николова")</f>
        <v>Вяра Василева Николова</v>
      </c>
      <c r="B1705" s="10" t="str">
        <f ca="1">IFERROR(__xludf.DUMMYFUNCTION("""COMPUTED_VALUE"""),"Статия в списания и поредици")</f>
        <v>Статия в списания и поредици</v>
      </c>
      <c r="C1705" s="10" t="str">
        <f ca="1">IFERROR(__xludf.DUMMYFUNCTION("""COMPUTED_VALUE"""),"Продолжение духовных и культурных традиций в сфере изучения и популяризации русского языка и русской культуры в Болгарии в XXI веке")</f>
        <v>Продолжение духовных и культурных традиций в сфере изучения и популяризации русского языка и русской культуры в Болгарии в XXI веке</v>
      </c>
      <c r="D1705" s="10">
        <f ca="1">IFERROR(__xludf.DUMMYFUNCTION("""COMPUTED_VALUE"""),2014)</f>
        <v>2014</v>
      </c>
      <c r="E1705" s="10" t="str">
        <f ca="1">IFERROR(__xludf.DUMMYFUNCTION("""COMPUTED_VALUE"""),"Николова В.В., Продолжение духовных и культурных традиций в сфере изучения и популяризации русского языка и русской культуры в Болгарии в XXI веке, Сб. Материалов второй международной конференции „Развитие образовательных, культурных и научных связей с со"&amp;"отечественниками, проживающими за рубежом. Содействие сохранению российской духовной и культурной среды” (27-29 ноября 2014)., 2014, стр.85-88")</f>
        <v>Николова В.В., Продолжение духовных и культурных традиций в сфере изучения и популяризации русского языка и русской культуры в Болгарии в XXI веке, Сб. Материалов второй международной конференции „Развитие образовательных, культурных и научных связей с соотечественниками, проживающими за рубежом. Содействие сохранению российской духовной и культурной среды” (27-29 ноября 2014)., 2014, стр.85-88</v>
      </c>
      <c r="F1705" s="10"/>
      <c r="G1705" s="10" t="str">
        <f ca="1">IFERROR(__xludf.DUMMYFUNCTION("""COMPUTED_VALUE"""),"Николова В.В.")</f>
        <v>Николова В.В.</v>
      </c>
      <c r="H1705" s="10"/>
      <c r="I1705" s="10"/>
      <c r="J1705" s="10"/>
      <c r="K1705" s="10"/>
      <c r="L1705" s="10"/>
      <c r="M1705" s="10"/>
      <c r="N1705" s="10"/>
      <c r="O1705" s="10"/>
      <c r="P1705" s="10"/>
      <c r="Q1705" s="10"/>
      <c r="R1705" s="10"/>
      <c r="S1705" s="10"/>
      <c r="T1705" s="10"/>
      <c r="U1705" s="10"/>
      <c r="V1705" s="10"/>
      <c r="W1705" s="10"/>
      <c r="X1705" s="10"/>
      <c r="Y1705" s="10"/>
      <c r="Z1705" s="10"/>
    </row>
    <row r="1706" spans="1:26" ht="12.75">
      <c r="A1706" s="10" t="str">
        <f ca="1">IFERROR(__xludf.DUMMYFUNCTION("""COMPUTED_VALUE"""),"Вяра Василева Николова")</f>
        <v>Вяра Василева Николова</v>
      </c>
      <c r="B1706" s="10" t="str">
        <f ca="1">IFERROR(__xludf.DUMMYFUNCTION("""COMPUTED_VALUE"""),"Статия в списания и поредици")</f>
        <v>Статия в списания и поредици</v>
      </c>
      <c r="C1706" s="10" t="str">
        <f ca="1">IFERROR(__xludf.DUMMYFUNCTION("""COMPUTED_VALUE"""),"Стимулирование развития устной речи при изучении иностранного языка студентами нефилологического профиля (специалистами в сфере туризма)")</f>
        <v>Стимулирование развития устной речи при изучении иностранного языка студентами нефилологического профиля (специалистами в сфере туризма)</v>
      </c>
      <c r="D1706" s="10">
        <f ca="1">IFERROR(__xludf.DUMMYFUNCTION("""COMPUTED_VALUE"""),2014)</f>
        <v>2014</v>
      </c>
      <c r="E1706" s="10" t="str">
        <f ca="1">IFERROR(__xludf.DUMMYFUNCTION("""COMPUTED_VALUE"""),"Николова В.В., Стимулирование развития устной речи при изучении иностранного языка студентами нефилологического профиля (специалистами в сфере туризма), Сб. Теоретические и методические проблемы русского языка как иностранного в традиционной и корпусной л"&amp;"ингвистике. Х международный симпозиум. МАПРЯЛ 2010. – Велико Търново, 2014, стр.576-580")</f>
        <v>Николова В.В., Стимулирование развития устной речи при изучении иностранного языка студентами нефилологического профиля (специалистами в сфере туризма), Сб. Теоретические и методические проблемы русского языка как иностранного в традиционной и корпусной лингвистике. Х международный симпозиум. МАПРЯЛ 2010. – Велико Търново, 2014, стр.576-580</v>
      </c>
      <c r="F1706" s="10"/>
      <c r="G1706" s="10" t="str">
        <f ca="1">IFERROR(__xludf.DUMMYFUNCTION("""COMPUTED_VALUE"""),"Николова В.В.")</f>
        <v>Николова В.В.</v>
      </c>
      <c r="H1706" s="10"/>
      <c r="I1706" s="10"/>
      <c r="J1706" s="10"/>
      <c r="K1706" s="10"/>
      <c r="L1706" s="10"/>
      <c r="M1706" s="10"/>
      <c r="N1706" s="10"/>
      <c r="O1706" s="10"/>
      <c r="P1706" s="10"/>
      <c r="Q1706" s="10"/>
      <c r="R1706" s="10"/>
      <c r="S1706" s="10"/>
      <c r="T1706" s="10"/>
      <c r="U1706" s="10"/>
      <c r="V1706" s="10"/>
      <c r="W1706" s="10"/>
      <c r="X1706" s="10"/>
      <c r="Y1706" s="10"/>
      <c r="Z1706" s="10"/>
    </row>
    <row r="1707" spans="1:26" ht="12.75">
      <c r="A1707" s="10" t="str">
        <f ca="1">IFERROR(__xludf.DUMMYFUNCTION("""COMPUTED_VALUE"""),"Вяра Василева Николова")</f>
        <v>Вяра Василева Николова</v>
      </c>
      <c r="B1707" s="10" t="str">
        <f ca="1">IFERROR(__xludf.DUMMYFUNCTION("""COMPUTED_VALUE"""),"Статия в списания и поредици")</f>
        <v>Статия в списания и поредици</v>
      </c>
      <c r="C1707" s="10" t="str">
        <f ca="1">IFERROR(__xludf.DUMMYFUNCTION("""COMPUTED_VALUE"""),"Глобализация, европейская языковая рамка и новые тенденции в обучении иностранным языкам (на примере изучения японского языка и культуры)")</f>
        <v>Глобализация, европейская языковая рамка и новые тенденции в обучении иностранным языкам (на примере изучения японского языка и культуры)</v>
      </c>
      <c r="D1707" s="10">
        <f ca="1">IFERROR(__xludf.DUMMYFUNCTION("""COMPUTED_VALUE"""),2014)</f>
        <v>2014</v>
      </c>
      <c r="E1707" s="10" t="str">
        <f ca="1">IFERROR(__xludf.DUMMYFUNCTION("""COMPUTED_VALUE"""),"Николова В.В., Петкова Г.Р., Глобализация, европейская языковая рамка и новые тенденции в обучении иностранным языкам (на примере изучения японского языка и культуры), Сб. Докладов Первого международного виртуального форума в Японии по русистике, культуре"&amp;", педагогике „Социокультурные и филологические аспекты в образовательном и научном контексте” (25-29 сентября 2014). , 2014, стр.466-470")</f>
        <v>Николова В.В., Петкова Г.Р., Глобализация, европейская языковая рамка и новые тенденции в обучении иностранным языкам (на примере изучения японского языка и культуры), Сб. Докладов Первого международного виртуального форума в Японии по русистике, культуре, педагогике „Социокультурные и филологические аспекты в образовательном и научном контексте” (25-29 сентября 2014). , 2014, стр.466-470</v>
      </c>
      <c r="F1707" s="10"/>
      <c r="G1707" s="10" t="str">
        <f ca="1">IFERROR(__xludf.DUMMYFUNCTION("""COMPUTED_VALUE"""),"Николова В.В., Петкова Г.Р.")</f>
        <v>Николова В.В., Петкова Г.Р.</v>
      </c>
      <c r="H1707" s="10"/>
      <c r="I1707" s="10"/>
      <c r="J1707" s="10"/>
      <c r="K1707" s="10"/>
      <c r="L1707" s="10"/>
      <c r="M1707" s="10"/>
      <c r="N1707" s="10"/>
      <c r="O1707" s="10"/>
      <c r="P1707" s="10"/>
      <c r="Q1707" s="10"/>
      <c r="R1707" s="10"/>
      <c r="S1707" s="10"/>
      <c r="T1707" s="10"/>
      <c r="U1707" s="10"/>
      <c r="V1707" s="10"/>
      <c r="W1707" s="10"/>
      <c r="X1707" s="10"/>
      <c r="Y1707" s="10"/>
      <c r="Z1707" s="10"/>
    </row>
    <row r="1708" spans="1:26" ht="12.75">
      <c r="A1708" s="10" t="str">
        <f ca="1">IFERROR(__xludf.DUMMYFUNCTION("""COMPUTED_VALUE"""),"Вяра Василева Николова")</f>
        <v>Вяра Василева Николова</v>
      </c>
      <c r="B1708" s="10" t="str">
        <f ca="1">IFERROR(__xludf.DUMMYFUNCTION("""COMPUTED_VALUE"""),"Доклад от конференция")</f>
        <v>Доклад от конференция</v>
      </c>
      <c r="C1708" s="10" t="str">
        <f ca="1">IFERROR(__xludf.DUMMYFUNCTION("""COMPUTED_VALUE"""),"Продолжение духовных и культурных традиций в сфере изучения и популяризации русского языка и русской культуры в Болгарии в XXI веке")</f>
        <v>Продолжение духовных и культурных традиций в сфере изучения и популяризации русского языка и русской культуры в Болгарии в XXI веке</v>
      </c>
      <c r="D1708" s="10">
        <f ca="1">IFERROR(__xludf.DUMMYFUNCTION("""COMPUTED_VALUE"""),2014)</f>
        <v>2014</v>
      </c>
      <c r="E1708" s="10" t="str">
        <f ca="1">IFERROR(__xludf.DUMMYFUNCTION("""COMPUTED_VALUE"""),"Сб. Материалов второй международной конференции „Развитие образовательных, культурных и научных связей с соотечественниками, про")</f>
        <v>Сб. Материалов второй международной конференции „Развитие образовательных, культурных и научных связей с соотечественниками, про</v>
      </c>
      <c r="F1708" s="10"/>
      <c r="G1708" s="10"/>
      <c r="H1708" s="10"/>
      <c r="I1708" s="10"/>
      <c r="J1708" s="10"/>
      <c r="K1708" s="10"/>
      <c r="L1708" s="10"/>
      <c r="M1708" s="10"/>
      <c r="N1708" s="10"/>
      <c r="O1708" s="10"/>
      <c r="P1708" s="10"/>
      <c r="Q1708" s="10"/>
      <c r="R1708" s="10"/>
      <c r="S1708" s="10"/>
      <c r="T1708" s="10"/>
      <c r="U1708" s="10"/>
      <c r="V1708" s="10"/>
      <c r="W1708" s="10"/>
      <c r="X1708" s="10"/>
      <c r="Y1708" s="10"/>
      <c r="Z1708" s="10"/>
    </row>
    <row r="1709" spans="1:26" ht="12.75">
      <c r="A1709" s="10" t="str">
        <f ca="1">IFERROR(__xludf.DUMMYFUNCTION("""COMPUTED_VALUE"""),"Вяра Василева Николова")</f>
        <v>Вяра Василева Николова</v>
      </c>
      <c r="B1709" s="10" t="str">
        <f ca="1">IFERROR(__xludf.DUMMYFUNCTION("""COMPUTED_VALUE"""),"Доклад от конференция")</f>
        <v>Доклад от конференция</v>
      </c>
      <c r="C1709" s="10" t="str">
        <f ca="1">IFERROR(__xludf.DUMMYFUNCTION("""COMPUTED_VALUE"""),"Стимулирование развития устной речи при изучении иностранного языка студентами нефилологического профиля (специалистами в сфере туризма)")</f>
        <v>Стимулирование развития устной речи при изучении иностранного языка студентами нефилологического профиля (специалистами в сфере туризма)</v>
      </c>
      <c r="D1709" s="10">
        <f ca="1">IFERROR(__xludf.DUMMYFUNCTION("""COMPUTED_VALUE"""),2014)</f>
        <v>2014</v>
      </c>
      <c r="E1709" s="10" t="str">
        <f ca="1">IFERROR(__xludf.DUMMYFUNCTION("""COMPUTED_VALUE"""),"Сб. Теоретические и методические проблемы русского языка как иностранного в традиционной и корпусной лингвистике. Х международны")</f>
        <v>Сб. Теоретические и методические проблемы русского языка как иностранного в традиционной и корпусной лингвистике. Х международны</v>
      </c>
      <c r="F1709" s="10"/>
      <c r="G1709" s="10"/>
      <c r="H1709" s="10"/>
      <c r="I1709" s="10"/>
      <c r="J1709" s="10"/>
      <c r="K1709" s="10"/>
      <c r="L1709" s="10"/>
      <c r="M1709" s="10"/>
      <c r="N1709" s="10"/>
      <c r="O1709" s="10"/>
      <c r="P1709" s="10"/>
      <c r="Q1709" s="10"/>
      <c r="R1709" s="10"/>
      <c r="S1709" s="10"/>
      <c r="T1709" s="10"/>
      <c r="U1709" s="10"/>
      <c r="V1709" s="10"/>
      <c r="W1709" s="10"/>
      <c r="X1709" s="10"/>
      <c r="Y1709" s="10"/>
      <c r="Z1709" s="10"/>
    </row>
    <row r="1710" spans="1:26" ht="12.75">
      <c r="A1710" s="10" t="str">
        <f ca="1">IFERROR(__xludf.DUMMYFUNCTION("""COMPUTED_VALUE"""),"Вяра Василева Николова")</f>
        <v>Вяра Василева Николова</v>
      </c>
      <c r="B1710" s="10" t="str">
        <f ca="1">IFERROR(__xludf.DUMMYFUNCTION("""COMPUTED_VALUE"""),"Доклад от конференция")</f>
        <v>Доклад от конференция</v>
      </c>
      <c r="C1710" s="10" t="str">
        <f ca="1">IFERROR(__xludf.DUMMYFUNCTION("""COMPUTED_VALUE"""),"Глобализация, европейская языковая рамка и новые тенденции в обучении иностранным языкам (на примере изучения японского языка и культуры)")</f>
        <v>Глобализация, европейская языковая рамка и новые тенденции в обучении иностранным языкам (на примере изучения японского языка и культуры)</v>
      </c>
      <c r="D1710" s="10">
        <f ca="1">IFERROR(__xludf.DUMMYFUNCTION("""COMPUTED_VALUE"""),2014)</f>
        <v>2014</v>
      </c>
      <c r="E1710" s="10" t="str">
        <f ca="1">IFERROR(__xludf.DUMMYFUNCTION("""COMPUTED_VALUE"""),"Сб. Докладов Первого международного виртуального форума в Японии по русистике, культуре, педагогике „Социокультурные и филологич")</f>
        <v>Сб. Докладов Первого международного виртуального форума в Японии по русистике, культуре, педагогике „Социокультурные и филологич</v>
      </c>
      <c r="F1710" s="10"/>
      <c r="G1710" s="10" t="str">
        <f ca="1">IFERROR(__xludf.DUMMYFUNCTION("""COMPUTED_VALUE"""),"Петкова, Г.Р.")</f>
        <v>Петкова, Г.Р.</v>
      </c>
      <c r="H1710" s="10"/>
      <c r="I1710" s="10"/>
      <c r="J1710" s="10"/>
      <c r="K1710" s="10"/>
      <c r="L1710" s="10"/>
      <c r="M1710" s="10"/>
      <c r="N1710" s="10"/>
      <c r="O1710" s="10"/>
      <c r="P1710" s="10"/>
      <c r="Q1710" s="10"/>
      <c r="R1710" s="10"/>
      <c r="S1710" s="10"/>
      <c r="T1710" s="10"/>
      <c r="U1710" s="10"/>
      <c r="V1710" s="10"/>
      <c r="W1710" s="10"/>
      <c r="X1710" s="10"/>
      <c r="Y1710" s="10"/>
      <c r="Z1710" s="10"/>
    </row>
    <row r="1711" spans="1:26" ht="12.75">
      <c r="A1711" s="10" t="str">
        <f ca="1">IFERROR(__xludf.DUMMYFUNCTION("""COMPUTED_VALUE"""),"Вяра Василева Николова")</f>
        <v>Вяра Василева Николова</v>
      </c>
      <c r="B1711" s="10" t="str">
        <f ca="1">IFERROR(__xludf.DUMMYFUNCTION("""COMPUTED_VALUE"""),"Доклад от конференция")</f>
        <v>Доклад от конференция</v>
      </c>
      <c r="C1711" s="10" t="str">
        <f ca="1">IFERROR(__xludf.DUMMYFUNCTION("""COMPUTED_VALUE"""),"Переводные издания русской драматургии в репертуаре ведущих болгарских издательств первых десятилетий XX века")</f>
        <v>Переводные издания русской драматургии в репертуаре ведущих болгарских издательств первых десятилетий XX века</v>
      </c>
      <c r="D1711" s="10">
        <f ca="1">IFERROR(__xludf.DUMMYFUNCTION("""COMPUTED_VALUE"""),2013)</f>
        <v>2013</v>
      </c>
      <c r="E1711" s="10" t="str">
        <f ca="1">IFERROR(__xludf.DUMMYFUNCTION("""COMPUTED_VALUE"""),"// Известия высших учебных заведений. Проблемы полиграфии и издательского дела.")</f>
        <v>// Известия высших учебных заведений. Проблемы полиграфии и издательского дела.</v>
      </c>
      <c r="F1711" s="10"/>
      <c r="G1711" s="10"/>
      <c r="H1711" s="10"/>
      <c r="I1711" s="10"/>
      <c r="J1711" s="10"/>
      <c r="K1711" s="10"/>
      <c r="L1711" s="10"/>
      <c r="M1711" s="10"/>
      <c r="N1711" s="10"/>
      <c r="O1711" s="10"/>
      <c r="P1711" s="10"/>
      <c r="Q1711" s="10"/>
      <c r="R1711" s="10"/>
      <c r="S1711" s="10"/>
      <c r="T1711" s="10"/>
      <c r="U1711" s="10"/>
      <c r="V1711" s="10"/>
      <c r="W1711" s="10"/>
      <c r="X1711" s="10"/>
      <c r="Y1711" s="10"/>
      <c r="Z1711" s="10"/>
    </row>
    <row r="1712" spans="1:26" ht="12.75">
      <c r="A1712" s="10" t="str">
        <f ca="1">IFERROR(__xludf.DUMMYFUNCTION("""COMPUTED_VALUE"""),"Вяра Василева Николова")</f>
        <v>Вяра Василева Николова</v>
      </c>
      <c r="B1712" s="10" t="str">
        <f ca="1">IFERROR(__xludf.DUMMYFUNCTION("""COMPUTED_VALUE"""),"Статия в списания и поредици")</f>
        <v>Статия в списания и поредици</v>
      </c>
      <c r="C1712" s="10" t="str">
        <f ca="1">IFERROR(__xludf.DUMMYFUNCTION("""COMPUTED_VALUE"""),"Переводные издания русской драматургии в репертуаре ведущих болгарских издательств первых десятилетий XX века")</f>
        <v>Переводные издания русской драматургии в репертуаре ведущих болгарских издательств первых десятилетий XX века</v>
      </c>
      <c r="D1712" s="10">
        <f ca="1">IFERROR(__xludf.DUMMYFUNCTION("""COMPUTED_VALUE"""),2013)</f>
        <v>2013</v>
      </c>
      <c r="E1712" s="10" t="str">
        <f ca="1">IFERROR(__xludf.DUMMYFUNCTION("""COMPUTED_VALUE"""),"Николова В.В., Переводные издания русской драматургии в репертуаре ведущих болгарских издательств первых десятилетий XX века, Известия высших учебных заведений. Проблемы полиграфии и издательского дела. – М., брой:1, 2013, стр.116-123, Ref")</f>
        <v>Николова В.В., Переводные издания русской драматургии в репертуаре ведущих болгарских издательств первых десятилетий XX века, Известия высших учебных заведений. Проблемы полиграфии и издательского дела. – М., брой:1, 2013, стр.116-123, Ref</v>
      </c>
      <c r="F1712" s="10" t="str">
        <f ca="1">IFERROR(__xludf.DUMMYFUNCTION("""COMPUTED_VALUE"""),"Zentralblatt, MathSciNet, DBLP, ERIC, ACM Digital Library, IEEE Xplore, AIS eLibrary")</f>
        <v>Zentralblatt, MathSciNet, DBLP, ERIC, ACM Digital Library, IEEE Xplore, AIS eLibrary</v>
      </c>
      <c r="G1712" s="10" t="str">
        <f ca="1">IFERROR(__xludf.DUMMYFUNCTION("""COMPUTED_VALUE"""),"Николова В.В.")</f>
        <v>Николова В.В.</v>
      </c>
      <c r="H1712" s="10"/>
      <c r="I1712" s="10"/>
      <c r="J1712" s="10"/>
      <c r="K1712" s="10"/>
      <c r="L1712" s="10"/>
      <c r="M1712" s="10"/>
      <c r="N1712" s="10"/>
      <c r="O1712" s="10"/>
      <c r="P1712" s="10"/>
      <c r="Q1712" s="10"/>
      <c r="R1712" s="10"/>
      <c r="S1712" s="10"/>
      <c r="T1712" s="10"/>
      <c r="U1712" s="10"/>
      <c r="V1712" s="10"/>
      <c r="W1712" s="10"/>
      <c r="X1712" s="10"/>
      <c r="Y1712" s="10"/>
      <c r="Z1712" s="10"/>
    </row>
    <row r="1713" spans="1:26" ht="12.75">
      <c r="A1713" s="10" t="str">
        <f ca="1">IFERROR(__xludf.DUMMYFUNCTION("""COMPUTED_VALUE"""),"Вяра Василева Николова")</f>
        <v>Вяра Василева Николова</v>
      </c>
      <c r="B1713" s="10" t="str">
        <f ca="1">IFERROR(__xludf.DUMMYFUNCTION("""COMPUTED_VALUE"""),"Статия в списания и поредици")</f>
        <v>Статия в списания и поредици</v>
      </c>
      <c r="C1713" s="10" t="str">
        <f ca="1">IFERROR(__xludf.DUMMYFUNCTION("""COMPUTED_VALUE"""),"Русское слово и место русской культуры на занятиях РКИ для студентов нефилологического профиля")</f>
        <v>Русское слово и место русской культуры на занятиях РКИ для студентов нефилологического профиля</v>
      </c>
      <c r="D1713" s="10">
        <f ca="1">IFERROR(__xludf.DUMMYFUNCTION("""COMPUTED_VALUE"""),2013)</f>
        <v>2013</v>
      </c>
      <c r="E1713" s="10" t="str">
        <f ca="1">IFERROR(__xludf.DUMMYFUNCTION("""COMPUTED_VALUE"""),"Николова В.В., Русское слово и место русской культуры на занятиях РКИ для студентов нефилологического профиля, Сб. Докладов Международной научно-методической конференции „Русское слово и диалог культур в современном мире” (02-07.10.2013). 80 лет преподава"&amp;"ния русского языка и литературы. – Букурещ, 2013")</f>
        <v>Николова В.В., Русское слово и место русской культуры на занятиях РКИ для студентов нефилологического профиля, Сб. Докладов Международной научно-методической конференции „Русское слово и диалог культур в современном мире” (02-07.10.2013). 80 лет преподавания русского языка и литературы. – Букурещ, 2013</v>
      </c>
      <c r="F1713" s="10"/>
      <c r="G1713" s="10" t="str">
        <f ca="1">IFERROR(__xludf.DUMMYFUNCTION("""COMPUTED_VALUE"""),"Николова В.В.")</f>
        <v>Николова В.В.</v>
      </c>
      <c r="H1713" s="10"/>
      <c r="I1713" s="10"/>
      <c r="J1713" s="10"/>
      <c r="K1713" s="10"/>
      <c r="L1713" s="10"/>
      <c r="M1713" s="10"/>
      <c r="N1713" s="10"/>
      <c r="O1713" s="10"/>
      <c r="P1713" s="10"/>
      <c r="Q1713" s="10"/>
      <c r="R1713" s="10"/>
      <c r="S1713" s="10"/>
      <c r="T1713" s="10"/>
      <c r="U1713" s="10"/>
      <c r="V1713" s="10"/>
      <c r="W1713" s="10"/>
      <c r="X1713" s="10"/>
      <c r="Y1713" s="10"/>
      <c r="Z1713" s="10"/>
    </row>
    <row r="1714" spans="1:26" ht="12.75">
      <c r="A1714" s="10" t="str">
        <f ca="1">IFERROR(__xludf.DUMMYFUNCTION("""COMPUTED_VALUE"""),"Вяра Василева Николова")</f>
        <v>Вяра Василева Николова</v>
      </c>
      <c r="B1714" s="10" t="str">
        <f ca="1">IFERROR(__xludf.DUMMYFUNCTION("""COMPUTED_VALUE"""),"Доклад от конференция")</f>
        <v>Доклад от конференция</v>
      </c>
      <c r="C1714" s="10" t="str">
        <f ca="1">IFERROR(__xludf.DUMMYFUNCTION("""COMPUTED_VALUE"""),"Обучението по руски език и крилати фрази от руското и съветско кино")</f>
        <v>Обучението по руски език и крилати фрази от руското и съветско кино</v>
      </c>
      <c r="D1714" s="10">
        <f ca="1">IFERROR(__xludf.DUMMYFUNCTION("""COMPUTED_VALUE"""),2013)</f>
        <v>2013</v>
      </c>
      <c r="E1714" s="10" t="str">
        <f ca="1">IFERROR(__xludf.DUMMYFUNCTION("""COMPUTED_VALUE"""),"Николова В.В., Обучението по руски език и крилати фрази от руското и съветско кино, Нови информационни технологии в образователния процес, България 2013")</f>
        <v>Николова В.В., Обучението по руски език и крилати фрази от руското и съветско кино, Нови информационни технологии в образователния процес, България 2013</v>
      </c>
      <c r="F1714" s="10"/>
      <c r="G1714" s="10" t="str">
        <f ca="1">IFERROR(__xludf.DUMMYFUNCTION("""COMPUTED_VALUE"""),"Николова В.В.")</f>
        <v>Николова В.В.</v>
      </c>
      <c r="H1714" s="10"/>
      <c r="I1714" s="10"/>
      <c r="J1714" s="10"/>
      <c r="K1714" s="10"/>
      <c r="L1714" s="10"/>
      <c r="M1714" s="10"/>
      <c r="N1714" s="10"/>
      <c r="O1714" s="10"/>
      <c r="P1714" s="10"/>
      <c r="Q1714" s="10"/>
      <c r="R1714" s="10"/>
      <c r="S1714" s="10"/>
      <c r="T1714" s="10"/>
      <c r="U1714" s="10"/>
      <c r="V1714" s="10"/>
      <c r="W1714" s="10"/>
      <c r="X1714" s="10"/>
      <c r="Y1714" s="10"/>
      <c r="Z1714" s="10"/>
    </row>
    <row r="1715" spans="1:26" ht="12.75">
      <c r="A1715" s="10" t="str">
        <f ca="1">IFERROR(__xludf.DUMMYFUNCTION("""COMPUTED_VALUE"""),"Вяра Василева Николова")</f>
        <v>Вяра Василева Николова</v>
      </c>
      <c r="B1715" s="10" t="str">
        <f ca="1">IFERROR(__xludf.DUMMYFUNCTION("""COMPUTED_VALUE"""),"Статия в списания и поредици")</f>
        <v>Статия в списания и поредици</v>
      </c>
      <c r="C1715" s="10" t="str">
        <f ca="1">IFERROR(__xludf.DUMMYFUNCTION("""COMPUTED_VALUE"""),"Паремии в процессе изучения иностранного языка – необходимость или следование моде в методике обучения")</f>
        <v>Паремии в процессе изучения иностранного языка – необходимость или следование моде в методике обучения</v>
      </c>
      <c r="D1715" s="10">
        <f ca="1">IFERROR(__xludf.DUMMYFUNCTION("""COMPUTED_VALUE"""),2013)</f>
        <v>2013</v>
      </c>
      <c r="E1715" s="10" t="str">
        <f ca="1">IFERROR(__xludf.DUMMYFUNCTION("""COMPUTED_VALUE"""),"Николова В.В., Илиева Д., Паремии в процессе изучения иностранного языка – необходимость или следование моде в методике обучения, Сб. докладов Международной конференции и VII международном научно-практическом семинаре „Многоязычие и межкультурная коммуник"&amp;"ация: Вызовы XXI века” (11-13 октября 2013). – Прага, 2013 (сборник аннотаций, с. 39 и диск с текстами докладов)., 2013")</f>
        <v>Николова В.В., Илиева Д., Паремии в процессе изучения иностранного языка – необходимость или следование моде в методике обучения, Сб. докладов Международной конференции и VII международном научно-практическом семинаре „Многоязычие и межкультурная коммуникация: Вызовы XXI века” (11-13 октября 2013). – Прага, 2013 (сборник аннотаций, с. 39 и диск с текстами докладов)., 2013</v>
      </c>
      <c r="F1715" s="10"/>
      <c r="G1715" s="10" t="str">
        <f ca="1">IFERROR(__xludf.DUMMYFUNCTION("""COMPUTED_VALUE"""),"Николова В.В., Илиева Д.")</f>
        <v>Николова В.В., Илиева Д.</v>
      </c>
      <c r="H1715" s="10"/>
      <c r="I1715" s="10"/>
      <c r="J1715" s="10"/>
      <c r="K1715" s="10"/>
      <c r="L1715" s="10"/>
      <c r="M1715" s="10"/>
      <c r="N1715" s="10"/>
      <c r="O1715" s="10"/>
      <c r="P1715" s="10"/>
      <c r="Q1715" s="10"/>
      <c r="R1715" s="10"/>
      <c r="S1715" s="10"/>
      <c r="T1715" s="10"/>
      <c r="U1715" s="10"/>
      <c r="V1715" s="10"/>
      <c r="W1715" s="10"/>
      <c r="X1715" s="10"/>
      <c r="Y1715" s="10"/>
      <c r="Z1715" s="10"/>
    </row>
    <row r="1716" spans="1:26" ht="12.75">
      <c r="A1716" s="10" t="str">
        <f ca="1">IFERROR(__xludf.DUMMYFUNCTION("""COMPUTED_VALUE"""),"Вяра Василева Николова")</f>
        <v>Вяра Василева Николова</v>
      </c>
      <c r="B1716" s="10" t="str">
        <f ca="1">IFERROR(__xludf.DUMMYFUNCTION("""COMPUTED_VALUE"""),"Доклад от конференция")</f>
        <v>Доклад от конференция</v>
      </c>
      <c r="C1716" s="10" t="str">
        <f ca="1">IFERROR(__xludf.DUMMYFUNCTION("""COMPUTED_VALUE"""),"Русское слово и место русской культуры на занятиях РКИ для студентов нефилологического профиля")</f>
        <v>Русское слово и место русской культуры на занятиях РКИ для студентов нефилологического профиля</v>
      </c>
      <c r="D1716" s="10">
        <f ca="1">IFERROR(__xludf.DUMMYFUNCTION("""COMPUTED_VALUE"""),2013)</f>
        <v>2013</v>
      </c>
      <c r="E1716" s="10" t="str">
        <f ca="1">IFERROR(__xludf.DUMMYFUNCTION("""COMPUTED_VALUE"""),"Сб. Докладов Международной научно-методической конференции „Русское слово и диалог культур в современном мире”")</f>
        <v>Сб. Докладов Международной научно-методической конференции „Русское слово и диалог культур в современном мире”</v>
      </c>
      <c r="F1716" s="10"/>
      <c r="G1716" s="10"/>
      <c r="H1716" s="10"/>
      <c r="I1716" s="10"/>
      <c r="J1716" s="10"/>
      <c r="K1716" s="10"/>
      <c r="L1716" s="10"/>
      <c r="M1716" s="10"/>
      <c r="N1716" s="10"/>
      <c r="O1716" s="10"/>
      <c r="P1716" s="10"/>
      <c r="Q1716" s="10"/>
      <c r="R1716" s="10"/>
      <c r="S1716" s="10"/>
      <c r="T1716" s="10"/>
      <c r="U1716" s="10"/>
      <c r="V1716" s="10"/>
      <c r="W1716" s="10"/>
      <c r="X1716" s="10"/>
      <c r="Y1716" s="10"/>
      <c r="Z1716" s="10"/>
    </row>
    <row r="1717" spans="1:26" ht="12.75">
      <c r="A1717" s="10" t="str">
        <f ca="1">IFERROR(__xludf.DUMMYFUNCTION("""COMPUTED_VALUE"""),"Вяра Василева Николова")</f>
        <v>Вяра Василева Николова</v>
      </c>
      <c r="B1717" s="10" t="str">
        <f ca="1">IFERROR(__xludf.DUMMYFUNCTION("""COMPUTED_VALUE"""),"Статия в списания и поредици")</f>
        <v>Статия в списания и поредици</v>
      </c>
      <c r="C1717" s="10" t="str">
        <f ca="1">IFERROR(__xludf.DUMMYFUNCTION("""COMPUTED_VALUE"""),"Изучение русского языка как иностранного и современное развитие туризма")</f>
        <v>Изучение русского языка как иностранного и современное развитие туризма</v>
      </c>
      <c r="D1717" s="10">
        <f ca="1">IFERROR(__xludf.DUMMYFUNCTION("""COMPUTED_VALUE"""),2013)</f>
        <v>2013</v>
      </c>
      <c r="E1717" s="10" t="str">
        <f ca="1">IFERROR(__xludf.DUMMYFUNCTION("""COMPUTED_VALUE"""),"Николова В.В., Изучение русского языка как иностранного и современное развитие туризма, Сб. Иноязычное образование в современном мире. Т. 2. – М., 2013, стр.59-65")</f>
        <v>Николова В.В., Изучение русского языка как иностранного и современное развитие туризма, Сб. Иноязычное образование в современном мире. Т. 2. – М., 2013, стр.59-65</v>
      </c>
      <c r="F1717" s="10"/>
      <c r="G1717" s="10" t="str">
        <f ca="1">IFERROR(__xludf.DUMMYFUNCTION("""COMPUTED_VALUE"""),"Николова В.В.")</f>
        <v>Николова В.В.</v>
      </c>
      <c r="H1717" s="10"/>
      <c r="I1717" s="10"/>
      <c r="J1717" s="10"/>
      <c r="K1717" s="10"/>
      <c r="L1717" s="10"/>
      <c r="M1717" s="10"/>
      <c r="N1717" s="10"/>
      <c r="O1717" s="10"/>
      <c r="P1717" s="10"/>
      <c r="Q1717" s="10"/>
      <c r="R1717" s="10"/>
      <c r="S1717" s="10"/>
      <c r="T1717" s="10"/>
      <c r="U1717" s="10"/>
      <c r="V1717" s="10"/>
      <c r="W1717" s="10"/>
      <c r="X1717" s="10"/>
      <c r="Y1717" s="10"/>
      <c r="Z1717" s="10"/>
    </row>
    <row r="1718" spans="1:26" ht="12.75">
      <c r="A1718" s="10" t="str">
        <f ca="1">IFERROR(__xludf.DUMMYFUNCTION("""COMPUTED_VALUE"""),"Вяра Василева Николова")</f>
        <v>Вяра Василева Николова</v>
      </c>
      <c r="B1718" s="10" t="str">
        <f ca="1">IFERROR(__xludf.DUMMYFUNCTION("""COMPUTED_VALUE"""),"Доклад от конференция")</f>
        <v>Доклад от конференция</v>
      </c>
      <c r="C1718" s="10" t="str">
        <f ca="1">IFERROR(__xludf.DUMMYFUNCTION("""COMPUTED_VALUE"""),"Изучение РКИ через текст-оригинал и текст-перевод")</f>
        <v>Изучение РКИ через текст-оригинал и текст-перевод</v>
      </c>
      <c r="D1718" s="10">
        <f ca="1">IFERROR(__xludf.DUMMYFUNCTION("""COMPUTED_VALUE"""),2013)</f>
        <v>2013</v>
      </c>
      <c r="E1718" s="10" t="str">
        <f ca="1">IFERROR(__xludf.DUMMYFUNCTION("""COMPUTED_VALUE"""),"Николова В.В., Изучение РКИ через текст-оригинал и текст-перевод, XIV международная конференция молодых филологов, Естония 2013")</f>
        <v>Николова В.В., Изучение РКИ через текст-оригинал и текст-перевод, XIV международная конференция молодых филологов, Естония 2013</v>
      </c>
      <c r="F1718" s="10"/>
      <c r="G1718" s="10" t="str">
        <f ca="1">IFERROR(__xludf.DUMMYFUNCTION("""COMPUTED_VALUE"""),"Николова В.В.")</f>
        <v>Николова В.В.</v>
      </c>
      <c r="H1718" s="10"/>
      <c r="I1718" s="10"/>
      <c r="J1718" s="10"/>
      <c r="K1718" s="10"/>
      <c r="L1718" s="10"/>
      <c r="M1718" s="10"/>
      <c r="N1718" s="10"/>
      <c r="O1718" s="10"/>
      <c r="P1718" s="10"/>
      <c r="Q1718" s="10"/>
      <c r="R1718" s="10"/>
      <c r="S1718" s="10"/>
      <c r="T1718" s="10"/>
      <c r="U1718" s="10"/>
      <c r="V1718" s="10"/>
      <c r="W1718" s="10"/>
      <c r="X1718" s="10"/>
      <c r="Y1718" s="10"/>
      <c r="Z1718" s="10"/>
    </row>
    <row r="1719" spans="1:26" ht="12.75">
      <c r="A1719" s="10" t="str">
        <f ca="1">IFERROR(__xludf.DUMMYFUNCTION("""COMPUTED_VALUE"""),"Вяра Василева Николова")</f>
        <v>Вяра Василева Николова</v>
      </c>
      <c r="B1719" s="10" t="str">
        <f ca="1">IFERROR(__xludf.DUMMYFUNCTION("""COMPUTED_VALUE"""),"Доклад от конференция")</f>
        <v>Доклад от конференция</v>
      </c>
      <c r="C1719" s="10" t="str">
        <f ca="1">IFERROR(__xludf.DUMMYFUNCTION("""COMPUTED_VALUE"""),"Паремии в процессе изучения иностранного языка – необходимость или следование моде в методике обучения")</f>
        <v>Паремии в процессе изучения иностранного языка – необходимость или следование моде в методике обучения</v>
      </c>
      <c r="D1719" s="10">
        <f ca="1">IFERROR(__xludf.DUMMYFUNCTION("""COMPUTED_VALUE"""),2013)</f>
        <v>2013</v>
      </c>
      <c r="E1719" s="10" t="str">
        <f ca="1">IFERROR(__xludf.DUMMYFUNCTION("""COMPUTED_VALUE"""),"Сб. докладов Международной конференции и VII международном научно-практическом семинаре „Многоязычие и межкультурная коммуникаци")</f>
        <v>Сб. докладов Международной конференции и VII международном научно-практическом семинаре „Многоязычие и межкультурная коммуникаци</v>
      </c>
      <c r="F1719" s="10"/>
      <c r="G1719" s="10" t="str">
        <f ca="1">IFERROR(__xludf.DUMMYFUNCTION("""COMPUTED_VALUE"""),"Диана Илиева")</f>
        <v>Диана Илиева</v>
      </c>
      <c r="H1719" s="10"/>
      <c r="I1719" s="10"/>
      <c r="J1719" s="10"/>
      <c r="K1719" s="10"/>
      <c r="L1719" s="10"/>
      <c r="M1719" s="10"/>
      <c r="N1719" s="10"/>
      <c r="O1719" s="10"/>
      <c r="P1719" s="10"/>
      <c r="Q1719" s="10"/>
      <c r="R1719" s="10"/>
      <c r="S1719" s="10"/>
      <c r="T1719" s="10"/>
      <c r="U1719" s="10"/>
      <c r="V1719" s="10"/>
      <c r="W1719" s="10"/>
      <c r="X1719" s="10"/>
      <c r="Y1719" s="10"/>
      <c r="Z1719" s="10"/>
    </row>
    <row r="1720" spans="1:26" ht="12.75">
      <c r="A1720" s="10" t="str">
        <f ca="1">IFERROR(__xludf.DUMMYFUNCTION("""COMPUTED_VALUE"""),"Вяра Василева Николова")</f>
        <v>Вяра Василева Николова</v>
      </c>
      <c r="B1720" s="10" t="str">
        <f ca="1">IFERROR(__xludf.DUMMYFUNCTION("""COMPUTED_VALUE"""),"Статия в списания и поредици")</f>
        <v>Статия в списания и поредици</v>
      </c>
      <c r="C1720" s="10" t="str">
        <f ca="1">IFERROR(__xludf.DUMMYFUNCTION("""COMPUTED_VALUE"""),"Русская переводная литература в Болгарии и место драматургии в ней")</f>
        <v>Русская переводная литература в Болгарии и место драматургии в ней</v>
      </c>
      <c r="D1720" s="10">
        <f ca="1">IFERROR(__xludf.DUMMYFUNCTION("""COMPUTED_VALUE"""),2013)</f>
        <v>2013</v>
      </c>
      <c r="E1720" s="10" t="str">
        <f ca="1">IFERROR(__xludf.DUMMYFUNCTION("""COMPUTED_VALUE"""),"Николова В.В., Русская переводная литература в Болгарии и место драматургии в ней, Сб. Вестник МГУП. – М., брой:8, 2013, стр.82-88")</f>
        <v>Николова В.В., Русская переводная литература в Болгарии и место драматургии в ней, Сб. Вестник МГУП. – М., брой:8, 2013, стр.82-88</v>
      </c>
      <c r="F1720" s="10"/>
      <c r="G1720" s="10" t="str">
        <f ca="1">IFERROR(__xludf.DUMMYFUNCTION("""COMPUTED_VALUE"""),"Николова В.В.")</f>
        <v>Николова В.В.</v>
      </c>
      <c r="H1720" s="10"/>
      <c r="I1720" s="10"/>
      <c r="J1720" s="10"/>
      <c r="K1720" s="10"/>
      <c r="L1720" s="10"/>
      <c r="M1720" s="10"/>
      <c r="N1720" s="10"/>
      <c r="O1720" s="10"/>
      <c r="P1720" s="10"/>
      <c r="Q1720" s="10"/>
      <c r="R1720" s="10"/>
      <c r="S1720" s="10"/>
      <c r="T1720" s="10"/>
      <c r="U1720" s="10"/>
      <c r="V1720" s="10"/>
      <c r="W1720" s="10"/>
      <c r="X1720" s="10"/>
      <c r="Y1720" s="10"/>
      <c r="Z1720" s="10"/>
    </row>
    <row r="1721" spans="1:26" ht="12.75">
      <c r="A1721" s="10" t="str">
        <f ca="1">IFERROR(__xludf.DUMMYFUNCTION("""COMPUTED_VALUE"""),"Вяра Василева Николова")</f>
        <v>Вяра Василева Николова</v>
      </c>
      <c r="B1721" s="10" t="str">
        <f ca="1">IFERROR(__xludf.DUMMYFUNCTION("""COMPUTED_VALUE"""),"Доклад от конференция")</f>
        <v>Доклад от конференция</v>
      </c>
      <c r="C1721" s="10" t="str">
        <f ca="1">IFERROR(__xludf.DUMMYFUNCTION("""COMPUTED_VALUE"""),"Изучение русского языка как иностранного и современное развитие туризма")</f>
        <v>Изучение русского языка как иностранного и современное развитие туризма</v>
      </c>
      <c r="D1721" s="10">
        <f ca="1">IFERROR(__xludf.DUMMYFUNCTION("""COMPUTED_VALUE"""),2013)</f>
        <v>2013</v>
      </c>
      <c r="E1721" s="10" t="str">
        <f ca="1">IFERROR(__xludf.DUMMYFUNCTION("""COMPUTED_VALUE"""),"Сб. Иноязычное образование в современном мире. Т. 2")</f>
        <v>Сб. Иноязычное образование в современном мире. Т. 2</v>
      </c>
      <c r="F1721" s="10"/>
      <c r="G1721" s="10"/>
      <c r="H1721" s="10"/>
      <c r="I1721" s="10"/>
      <c r="J1721" s="10"/>
      <c r="K1721" s="10"/>
      <c r="L1721" s="10"/>
      <c r="M1721" s="10"/>
      <c r="N1721" s="10"/>
      <c r="O1721" s="10"/>
      <c r="P1721" s="10"/>
      <c r="Q1721" s="10"/>
      <c r="R1721" s="10"/>
      <c r="S1721" s="10"/>
      <c r="T1721" s="10"/>
      <c r="U1721" s="10"/>
      <c r="V1721" s="10"/>
      <c r="W1721" s="10"/>
      <c r="X1721" s="10"/>
      <c r="Y1721" s="10"/>
      <c r="Z1721" s="10"/>
    </row>
    <row r="1722" spans="1:26" ht="12.75">
      <c r="A1722" s="10" t="str">
        <f ca="1">IFERROR(__xludf.DUMMYFUNCTION("""COMPUTED_VALUE"""),"Вяра Василева Николова")</f>
        <v>Вяра Василева Николова</v>
      </c>
      <c r="B1722" s="10" t="str">
        <f ca="1">IFERROR(__xludf.DUMMYFUNCTION("""COMPUTED_VALUE"""),"Доклад от конференция")</f>
        <v>Доклад от конференция</v>
      </c>
      <c r="C1722" s="10" t="str">
        <f ca="1">IFERROR(__xludf.DUMMYFUNCTION("""COMPUTED_VALUE"""),"Културно-историческото наследство и изучаването на чужд език")</f>
        <v>Културно-историческото наследство и изучаването на чужд език</v>
      </c>
      <c r="D1722" s="10">
        <f ca="1">IFERROR(__xludf.DUMMYFUNCTION("""COMPUTED_VALUE"""),2013)</f>
        <v>2013</v>
      </c>
      <c r="E1722" s="10" t="str">
        <f ca="1">IFERROR(__xludf.DUMMYFUNCTION("""COMPUTED_VALUE"""),"Николова В.В., Културно-историческото наследство и изучаването на чужд език, Младите в науката – инвестиция в бъдещето, България/София 2013")</f>
        <v>Николова В.В., Културно-историческото наследство и изучаването на чужд език, Младите в науката – инвестиция в бъдещето, България/София 2013</v>
      </c>
      <c r="F1722" s="10"/>
      <c r="G1722" s="10" t="str">
        <f ca="1">IFERROR(__xludf.DUMMYFUNCTION("""COMPUTED_VALUE"""),"Николова В.В.")</f>
        <v>Николова В.В.</v>
      </c>
      <c r="H1722" s="10"/>
      <c r="I1722" s="10"/>
      <c r="J1722" s="10"/>
      <c r="K1722" s="10"/>
      <c r="L1722" s="10"/>
      <c r="M1722" s="10"/>
      <c r="N1722" s="10"/>
      <c r="O1722" s="10"/>
      <c r="P1722" s="10"/>
      <c r="Q1722" s="10"/>
      <c r="R1722" s="10"/>
      <c r="S1722" s="10"/>
      <c r="T1722" s="10"/>
      <c r="U1722" s="10"/>
      <c r="V1722" s="10"/>
      <c r="W1722" s="10"/>
      <c r="X1722" s="10"/>
      <c r="Y1722" s="10"/>
      <c r="Z1722" s="10"/>
    </row>
    <row r="1723" spans="1:26" ht="12.75">
      <c r="A1723" s="10" t="str">
        <f ca="1">IFERROR(__xludf.DUMMYFUNCTION("""COMPUTED_VALUE"""),"Вяра Василева Николова")</f>
        <v>Вяра Василева Николова</v>
      </c>
      <c r="B1723" s="10" t="str">
        <f ca="1">IFERROR(__xludf.DUMMYFUNCTION("""COMPUTED_VALUE"""),"Статия в списания и поредици")</f>
        <v>Статия в списания и поредици</v>
      </c>
      <c r="C1723" s="10" t="str">
        <f ca="1">IFERROR(__xludf.DUMMYFUNCTION("""COMPUTED_VALUE"""),"Русский язык – вчера, сегодня и завтра (РКИ для специалистов нефилологического профиля)")</f>
        <v>Русский язык – вчера, сегодня и завтра (РКИ для специалистов нефилологического профиля)</v>
      </c>
      <c r="D1723" s="10">
        <f ca="1">IFERROR(__xludf.DUMMYFUNCTION("""COMPUTED_VALUE"""),2012)</f>
        <v>2012</v>
      </c>
      <c r="E1723" s="10" t="str">
        <f ca="1">IFERROR(__xludf.DUMMYFUNCTION("""COMPUTED_VALUE"""),"Николова В.В., Русский язык – вчера, сегодня и завтра (РКИ для специалистов нефилологического профиля), Сб. Славистика в глобалния свят – предизвикателства и перспективи. (Сб. с доклади от конференцията, проведена на 05-06.10.2012). – Благоевград, 2012, с"&amp;"тр.320-324")</f>
        <v>Николова В.В., Русский язык – вчера, сегодня и завтра (РКИ для специалистов нефилологического профиля), Сб. Славистика в глобалния свят – предизвикателства и перспективи. (Сб. с доклади от конференцията, проведена на 05-06.10.2012). – Благоевград, 2012, стр.320-324</v>
      </c>
      <c r="F1723" s="10"/>
      <c r="G1723" s="10" t="str">
        <f ca="1">IFERROR(__xludf.DUMMYFUNCTION("""COMPUTED_VALUE"""),"Николова В.В.")</f>
        <v>Николова В.В.</v>
      </c>
      <c r="H1723" s="10"/>
      <c r="I1723" s="10"/>
      <c r="J1723" s="10"/>
      <c r="K1723" s="10"/>
      <c r="L1723" s="10"/>
      <c r="M1723" s="10"/>
      <c r="N1723" s="10"/>
      <c r="O1723" s="10"/>
      <c r="P1723" s="10"/>
      <c r="Q1723" s="10"/>
      <c r="R1723" s="10"/>
      <c r="S1723" s="10"/>
      <c r="T1723" s="10"/>
      <c r="U1723" s="10"/>
      <c r="V1723" s="10"/>
      <c r="W1723" s="10"/>
      <c r="X1723" s="10"/>
      <c r="Y1723" s="10"/>
      <c r="Z1723" s="10"/>
    </row>
    <row r="1724" spans="1:26" ht="12.75">
      <c r="A1724" s="10" t="str">
        <f ca="1">IFERROR(__xludf.DUMMYFUNCTION("""COMPUTED_VALUE"""),"Вяра Василева Николова")</f>
        <v>Вяра Василева Николова</v>
      </c>
      <c r="B1724" s="10" t="str">
        <f ca="1">IFERROR(__xludf.DUMMYFUNCTION("""COMPUTED_VALUE"""),"Статия в списания и поредици")</f>
        <v>Статия в списания и поредици</v>
      </c>
      <c r="C1724" s="10" t="str">
        <f ca="1">IFERROR(__xludf.DUMMYFUNCTION("""COMPUTED_VALUE"""),"Качество обучения русскому языку в неязыковом ВУЗе – русский язык в профессиональных целях (на примере изучения русского языка в Государственном университете библиотековедения и информационных технологий")</f>
        <v>Качество обучения русскому языку в неязыковом ВУЗе – русский язык в профессиональных целях (на примере изучения русского языка в Государственном университете библиотековедения и информационных технологий</v>
      </c>
      <c r="D1724" s="10">
        <f ca="1">IFERROR(__xludf.DUMMYFUNCTION("""COMPUTED_VALUE"""),2012)</f>
        <v>2012</v>
      </c>
      <c r="E1724" s="10" t="str">
        <f ca="1">IFERROR(__xludf.DUMMYFUNCTION("""COMPUTED_VALUE"""),"Николова В.В., Качество обучения русскому языку в неязыковом ВУЗе – русский язык в профессиональных целях (на примере изучения русского языка в Государственном университете библиотековедения и информационных технологий, Сб. Качество обучения русскому язык"&amp;"у. Материалы международного форума в Софии. , 2012, стр.80-84")</f>
        <v>Николова В.В., Качество обучения русскому языку в неязыковом ВУЗе – русский язык в профессиональных целях (на примере изучения русского языка в Государственном университете библиотековедения и информационных технологий, Сб. Качество обучения русскому языку. Материалы международного форума в Софии. , 2012, стр.80-84</v>
      </c>
      <c r="F1724" s="10"/>
      <c r="G1724" s="10" t="str">
        <f ca="1">IFERROR(__xludf.DUMMYFUNCTION("""COMPUTED_VALUE"""),"Николова В.В.")</f>
        <v>Николова В.В.</v>
      </c>
      <c r="H1724" s="10"/>
      <c r="I1724" s="10"/>
      <c r="J1724" s="10"/>
      <c r="K1724" s="10"/>
      <c r="L1724" s="10"/>
      <c r="M1724" s="10"/>
      <c r="N1724" s="10"/>
      <c r="O1724" s="10"/>
      <c r="P1724" s="10"/>
      <c r="Q1724" s="10"/>
      <c r="R1724" s="10"/>
      <c r="S1724" s="10"/>
      <c r="T1724" s="10"/>
      <c r="U1724" s="10"/>
      <c r="V1724" s="10"/>
      <c r="W1724" s="10"/>
      <c r="X1724" s="10"/>
      <c r="Y1724" s="10"/>
      <c r="Z1724" s="10"/>
    </row>
    <row r="1725" spans="1:26" ht="12.75">
      <c r="A1725" s="10" t="str">
        <f ca="1">IFERROR(__xludf.DUMMYFUNCTION("""COMPUTED_VALUE"""),"Вяра Василева Николова")</f>
        <v>Вяра Василева Николова</v>
      </c>
      <c r="B1725" s="10" t="str">
        <f ca="1">IFERROR(__xludf.DUMMYFUNCTION("""COMPUTED_VALUE"""),"Статия в списания и поредици")</f>
        <v>Статия в списания и поредици</v>
      </c>
      <c r="C1725" s="10" t="str">
        <f ca="1">IFERROR(__xludf.DUMMYFUNCTION("""COMPUTED_VALUE"""),"Реклама и рекламная деятельность при распространении и популяризации переводной (русской) драматургической литературы в Болгарии")</f>
        <v>Реклама и рекламная деятельность при распространении и популяризации переводной (русской) драматургической литературы в Болгарии</v>
      </c>
      <c r="D1725" s="10">
        <f ca="1">IFERROR(__xludf.DUMMYFUNCTION("""COMPUTED_VALUE"""),2012)</f>
        <v>2012</v>
      </c>
      <c r="E1725" s="10" t="str">
        <f ca="1">IFERROR(__xludf.DUMMYFUNCTION("""COMPUTED_VALUE"""),"Николова В.В., Реклама и рекламная деятельность при распространении и популяризации переводной (русской) драматургической литературы в Болгарии, Известия высших учебных заведений. Проблемы полиграфии и издательского дела. – М., брой:5, 2012, стр.207-215, "&amp;"Ref")</f>
        <v>Николова В.В., Реклама и рекламная деятельность при распространении и популяризации переводной (русской) драматургической литературы в Болгарии, Известия высших учебных заведений. Проблемы полиграфии и издательского дела. – М., брой:5, 2012, стр.207-215, Ref</v>
      </c>
      <c r="F1725" s="10" t="str">
        <f ca="1">IFERROR(__xludf.DUMMYFUNCTION("""COMPUTED_VALUE"""),"Zentralblatt, MathSciNet, DBLP, ERIC, ACM Digital Library, IEEE Xplore, AIS eLibrary")</f>
        <v>Zentralblatt, MathSciNet, DBLP, ERIC, ACM Digital Library, IEEE Xplore, AIS eLibrary</v>
      </c>
      <c r="G1725" s="10" t="str">
        <f ca="1">IFERROR(__xludf.DUMMYFUNCTION("""COMPUTED_VALUE"""),"Николова В.В.")</f>
        <v>Николова В.В.</v>
      </c>
      <c r="H1725" s="10"/>
      <c r="I1725" s="10"/>
      <c r="J1725" s="10"/>
      <c r="K1725" s="10"/>
      <c r="L1725" s="10"/>
      <c r="M1725" s="10"/>
      <c r="N1725" s="10"/>
      <c r="O1725" s="10"/>
      <c r="P1725" s="10"/>
      <c r="Q1725" s="10"/>
      <c r="R1725" s="10"/>
      <c r="S1725" s="10"/>
      <c r="T1725" s="10"/>
      <c r="U1725" s="10"/>
      <c r="V1725" s="10"/>
      <c r="W1725" s="10"/>
      <c r="X1725" s="10"/>
      <c r="Y1725" s="10"/>
      <c r="Z1725" s="10"/>
    </row>
    <row r="1726" spans="1:26" ht="12.75">
      <c r="A1726" s="10" t="str">
        <f ca="1">IFERROR(__xludf.DUMMYFUNCTION("""COMPUTED_VALUE"""),"Вяра Василева Николова")</f>
        <v>Вяра Василева Николова</v>
      </c>
      <c r="B1726" s="10" t="str">
        <f ca="1">IFERROR(__xludf.DUMMYFUNCTION("""COMPUTED_VALUE"""),"Статия в списания и поредици")</f>
        <v>Статия в списания и поредици</v>
      </c>
      <c r="C1726" s="10" t="str">
        <f ca="1">IFERROR(__xludf.DUMMYFUNCTION("""COMPUTED_VALUE"""),"Чеховская драматургия в Японии и Болгарии (распространение и влияние)")</f>
        <v>Чеховская драматургия в Японии и Болгарии (распространение и влияние)</v>
      </c>
      <c r="D1726" s="10">
        <f ca="1">IFERROR(__xludf.DUMMYFUNCTION("""COMPUTED_VALUE"""),2012)</f>
        <v>2012</v>
      </c>
      <c r="E1726" s="10" t="str">
        <f ca="1">IFERROR(__xludf.DUMMYFUNCTION("""COMPUTED_VALUE"""),"Николова В.В., Чеховская драматургия в Японии и Болгарии (распространение и влияние), . Проблемы литератур Дальнего Востока. Т. 3. – С.-П., 2012, стр.90-101")</f>
        <v>Николова В.В., Чеховская драматургия в Японии и Болгарии (распространение и влияние), . Проблемы литератур Дальнего Востока. Т. 3. – С.-П., 2012, стр.90-101</v>
      </c>
      <c r="F1726" s="10"/>
      <c r="G1726" s="10" t="str">
        <f ca="1">IFERROR(__xludf.DUMMYFUNCTION("""COMPUTED_VALUE"""),"Николова В.В.")</f>
        <v>Николова В.В.</v>
      </c>
      <c r="H1726" s="10"/>
      <c r="I1726" s="10"/>
      <c r="J1726" s="10"/>
      <c r="K1726" s="10"/>
      <c r="L1726" s="10"/>
      <c r="M1726" s="10"/>
      <c r="N1726" s="10"/>
      <c r="O1726" s="10"/>
      <c r="P1726" s="10"/>
      <c r="Q1726" s="10"/>
      <c r="R1726" s="10"/>
      <c r="S1726" s="10"/>
      <c r="T1726" s="10"/>
      <c r="U1726" s="10"/>
      <c r="V1726" s="10"/>
      <c r="W1726" s="10"/>
      <c r="X1726" s="10"/>
      <c r="Y1726" s="10"/>
      <c r="Z1726" s="10"/>
    </row>
    <row r="1727" spans="1:26" ht="12.75">
      <c r="A1727" s="10" t="str">
        <f ca="1">IFERROR(__xludf.DUMMYFUNCTION("""COMPUTED_VALUE"""),"Вяра Василева Николова")</f>
        <v>Вяра Василева Николова</v>
      </c>
      <c r="B1727" s="10" t="str">
        <f ca="1">IFERROR(__xludf.DUMMYFUNCTION("""COMPUTED_VALUE"""),"Статия в списания и поредици")</f>
        <v>Статия в списания и поредици</v>
      </c>
      <c r="C1727" s="10" t="str">
        <f ca="1">IFERROR(__xludf.DUMMYFUNCTION("""COMPUTED_VALUE"""),"Подобряване на междукултурните комуникации и стимулиране на учебно-изследователската дейност на студентите от УниБИТ чрез повишаване на знанията по чужд език.")</f>
        <v>Подобряване на междукултурните комуникации и стимулиране на учебно-изследователската дейност на студентите от УниБИТ чрез повишаване на знанията по чужд език.</v>
      </c>
      <c r="D1727" s="10">
        <f ca="1">IFERROR(__xludf.DUMMYFUNCTION("""COMPUTED_VALUE"""),2012)</f>
        <v>2012</v>
      </c>
      <c r="E1727" s="10" t="str">
        <f ca="1">IFERROR(__xludf.DUMMYFUNCTION("""COMPUTED_VALUE"""),"Николова В.В., Жаблянова Г., Подобряване на междукултурните комуникации и стимулиране на учебно-изследователската дейност на студентите от УниБИТ чрез повишаване на знанията по чужд език., Сб. Общество на знанието и хуманизмът на ХХІ век. Десета юбилейна "&amp;"национална научна конференция с международно участие (1.11.2011). , 2012, стр.271-274")</f>
        <v>Николова В.В., Жаблянова Г., Подобряване на междукултурните комуникации и стимулиране на учебно-изследователската дейност на студентите от УниБИТ чрез повишаване на знанията по чужд език., Сб. Общество на знанието и хуманизмът на ХХІ век. Десета юбилейна национална научна конференция с международно участие (1.11.2011). , 2012, стр.271-274</v>
      </c>
      <c r="F1727" s="10"/>
      <c r="G1727" s="10" t="str">
        <f ca="1">IFERROR(__xludf.DUMMYFUNCTION("""COMPUTED_VALUE"""),"Николова В.В., Жаблянова Г.")</f>
        <v>Николова В.В., Жаблянова Г.</v>
      </c>
      <c r="H1727" s="10"/>
      <c r="I1727" s="10"/>
      <c r="J1727" s="10"/>
      <c r="K1727" s="10"/>
      <c r="L1727" s="10"/>
      <c r="M1727" s="10"/>
      <c r="N1727" s="10"/>
      <c r="O1727" s="10"/>
      <c r="P1727" s="10"/>
      <c r="Q1727" s="10"/>
      <c r="R1727" s="10"/>
      <c r="S1727" s="10"/>
      <c r="T1727" s="10"/>
      <c r="U1727" s="10"/>
      <c r="V1727" s="10"/>
      <c r="W1727" s="10"/>
      <c r="X1727" s="10"/>
      <c r="Y1727" s="10"/>
      <c r="Z1727" s="10"/>
    </row>
    <row r="1728" spans="1:26" ht="12.75">
      <c r="A1728" s="10" t="str">
        <f ca="1">IFERROR(__xludf.DUMMYFUNCTION("""COMPUTED_VALUE"""),"Вяра Василева Николова")</f>
        <v>Вяра Василева Николова</v>
      </c>
      <c r="B1728" s="10" t="str">
        <f ca="1">IFERROR(__xludf.DUMMYFUNCTION("""COMPUTED_VALUE"""),"Статия в списания и поредици")</f>
        <v>Статия в списания и поредици</v>
      </c>
      <c r="C1728" s="10" t="str">
        <f ca="1">IFERROR(__xludf.DUMMYFUNCTION("""COMPUTED_VALUE"""),"Межкультурное взаимодействие Болгарии и России при распространении переводов русской драматургии в печати и на сцене (исторический аспект)")</f>
        <v>Межкультурное взаимодействие Болгарии и России при распространении переводов русской драматургии в печати и на сцене (исторический аспект)</v>
      </c>
      <c r="D1728" s="10">
        <f ca="1">IFERROR(__xludf.DUMMYFUNCTION("""COMPUTED_VALUE"""),2012)</f>
        <v>2012</v>
      </c>
      <c r="E1728" s="10" t="str">
        <f ca="1">IFERROR(__xludf.DUMMYFUNCTION("""COMPUTED_VALUE"""),"Николова В.В., Межкультурное взаимодействие Болгарии и России при распространении переводов русской драматургии в печати и на сцене (исторический аспект), Сб. Русистика: язык, культура, перевод. Юбилейная международная научная конференция. , 2012, стр.576"&amp;"-584")</f>
        <v>Николова В.В., Межкультурное взаимодействие Болгарии и России при распространении переводов русской драматургии в печати и на сцене (исторический аспект), Сб. Русистика: язык, культура, перевод. Юбилейная международная научная конференция. , 2012, стр.576-584</v>
      </c>
      <c r="F1728" s="10"/>
      <c r="G1728" s="10" t="str">
        <f ca="1">IFERROR(__xludf.DUMMYFUNCTION("""COMPUTED_VALUE"""),"Николова В.В.")</f>
        <v>Николова В.В.</v>
      </c>
      <c r="H1728" s="10"/>
      <c r="I1728" s="10"/>
      <c r="J1728" s="10"/>
      <c r="K1728" s="10"/>
      <c r="L1728" s="10"/>
      <c r="M1728" s="10"/>
      <c r="N1728" s="10"/>
      <c r="O1728" s="10"/>
      <c r="P1728" s="10"/>
      <c r="Q1728" s="10"/>
      <c r="R1728" s="10"/>
      <c r="S1728" s="10"/>
      <c r="T1728" s="10"/>
      <c r="U1728" s="10"/>
      <c r="V1728" s="10"/>
      <c r="W1728" s="10"/>
      <c r="X1728" s="10"/>
      <c r="Y1728" s="10"/>
      <c r="Z1728" s="10"/>
    </row>
    <row r="1729" spans="1:26" ht="12.75">
      <c r="A1729" s="10" t="str">
        <f ca="1">IFERROR(__xludf.DUMMYFUNCTION("""COMPUTED_VALUE"""),"Вяра Василева Николова")</f>
        <v>Вяра Василева Николова</v>
      </c>
      <c r="B1729" s="10" t="str">
        <f ca="1">IFERROR(__xludf.DUMMYFUNCTION("""COMPUTED_VALUE"""),"Статия в списания и поредици")</f>
        <v>Статия в списания и поредици</v>
      </c>
      <c r="C1729" s="10" t="str">
        <f ca="1">IFERROR(__xludf.DUMMYFUNCTION("""COMPUTED_VALUE"""),"Драматургия Максима Горького в болгарском книгоиздательском репертуаре и на театральной сцене начала XX века")</f>
        <v>Драматургия Максима Горького в болгарском книгоиздательском репертуаре и на театральной сцене начала XX века</v>
      </c>
      <c r="D1729" s="10">
        <f ca="1">IFERROR(__xludf.DUMMYFUNCTION("""COMPUTED_VALUE"""),2011)</f>
        <v>2011</v>
      </c>
      <c r="E1729" s="10" t="str">
        <f ca="1">IFERROR(__xludf.DUMMYFUNCTION("""COMPUTED_VALUE"""),"Николова В.В., Драматургия Максима Горького в болгарском книгоиздательском репертуаре и на театральной сцене начала XX века, Вестник МГУП, брой:8, 2011, стр.35-39")</f>
        <v>Николова В.В., Драматургия Максима Горького в болгарском книгоиздательском репертуаре и на театральной сцене начала XX века, Вестник МГУП, брой:8, 2011, стр.35-39</v>
      </c>
      <c r="F1729" s="10"/>
      <c r="G1729" s="10" t="str">
        <f ca="1">IFERROR(__xludf.DUMMYFUNCTION("""COMPUTED_VALUE"""),"Николова В.В.")</f>
        <v>Николова В.В.</v>
      </c>
      <c r="H1729" s="10"/>
      <c r="I1729" s="10"/>
      <c r="J1729" s="10"/>
      <c r="K1729" s="10"/>
      <c r="L1729" s="10"/>
      <c r="M1729" s="10"/>
      <c r="N1729" s="10"/>
      <c r="O1729" s="10"/>
      <c r="P1729" s="10"/>
      <c r="Q1729" s="10"/>
      <c r="R1729" s="10"/>
      <c r="S1729" s="10"/>
      <c r="T1729" s="10"/>
      <c r="U1729" s="10"/>
      <c r="V1729" s="10"/>
      <c r="W1729" s="10"/>
      <c r="X1729" s="10"/>
      <c r="Y1729" s="10"/>
      <c r="Z1729" s="10"/>
    </row>
    <row r="1730" spans="1:26" ht="12.75">
      <c r="A1730" s="10" t="str">
        <f ca="1">IFERROR(__xludf.DUMMYFUNCTION("""COMPUTED_VALUE"""),"Вяра Василева Николова")</f>
        <v>Вяра Василева Николова</v>
      </c>
      <c r="B1730" s="10" t="str">
        <f ca="1">IFERROR(__xludf.DUMMYFUNCTION("""COMPUTED_VALUE"""),"Статия в списания и поредици")</f>
        <v>Статия в списания и поредици</v>
      </c>
      <c r="C1730" s="10" t="str">
        <f ca="1">IFERROR(__xludf.DUMMYFUNCTION("""COMPUTED_VALUE"""),"Развитие издательского дела в Болгарии в начале XX века")</f>
        <v>Развитие издательского дела в Болгарии в начале XX века</v>
      </c>
      <c r="D1730" s="10">
        <f ca="1">IFERROR(__xludf.DUMMYFUNCTION("""COMPUTED_VALUE"""),2011)</f>
        <v>2011</v>
      </c>
      <c r="E1730" s="10" t="str">
        <f ca="1">IFERROR(__xludf.DUMMYFUNCTION("""COMPUTED_VALUE"""),"Николова В.В., Развитие издательского дела в Болгарии в начале XX века, Известия высших учебных заведений. Проблемы полиграфии и издательского дела. – М., брой:3, 2011, стр.120-125, Ref")</f>
        <v>Николова В.В., Развитие издательского дела в Болгарии в начале XX века, Известия высших учебных заведений. Проблемы полиграфии и издательского дела. – М., брой:3, 2011, стр.120-125, Ref</v>
      </c>
      <c r="F1730" s="10" t="str">
        <f ca="1">IFERROR(__xludf.DUMMYFUNCTION("""COMPUTED_VALUE"""),"Zentralblatt, MathSciNet, DBLP, ERIC, ACM Digital Library, IEEE Xplore, AIS eLibrary")</f>
        <v>Zentralblatt, MathSciNet, DBLP, ERIC, ACM Digital Library, IEEE Xplore, AIS eLibrary</v>
      </c>
      <c r="G1730" s="10" t="str">
        <f ca="1">IFERROR(__xludf.DUMMYFUNCTION("""COMPUTED_VALUE"""),"Николова В.В.")</f>
        <v>Николова В.В.</v>
      </c>
      <c r="H1730" s="10"/>
      <c r="I1730" s="10"/>
      <c r="J1730" s="10"/>
      <c r="K1730" s="10"/>
      <c r="L1730" s="10"/>
      <c r="M1730" s="10"/>
      <c r="N1730" s="10"/>
      <c r="O1730" s="10"/>
      <c r="P1730" s="10"/>
      <c r="Q1730" s="10"/>
      <c r="R1730" s="10"/>
      <c r="S1730" s="10"/>
      <c r="T1730" s="10"/>
      <c r="U1730" s="10"/>
      <c r="V1730" s="10"/>
      <c r="W1730" s="10"/>
      <c r="X1730" s="10"/>
      <c r="Y1730" s="10"/>
      <c r="Z1730" s="10"/>
    </row>
    <row r="1731" spans="1:26" ht="12.75">
      <c r="A1731" s="10" t="str">
        <f ca="1">IFERROR(__xludf.DUMMYFUNCTION("""COMPUTED_VALUE"""),"Вяра Василева Николова")</f>
        <v>Вяра Василева Николова</v>
      </c>
      <c r="B1731" s="10" t="str">
        <f ca="1">IFERROR(__xludf.DUMMYFUNCTION("""COMPUTED_VALUE"""),"Статия в списания и поредици")</f>
        <v>Статия в списания и поредици</v>
      </c>
      <c r="C1731" s="10" t="str">
        <f ca="1">IFERROR(__xludf.DUMMYFUNCTION("""COMPUTED_VALUE"""),"Роль переводчика в популяризации художественных произведений в Болгарии")</f>
        <v>Роль переводчика в популяризации художественных произведений в Болгарии</v>
      </c>
      <c r="D1731" s="10">
        <f ca="1">IFERROR(__xludf.DUMMYFUNCTION("""COMPUTED_VALUE"""),2011)</f>
        <v>2011</v>
      </c>
      <c r="E1731" s="10" t="str">
        <f ca="1">IFERROR(__xludf.DUMMYFUNCTION("""COMPUTED_VALUE"""),"Николова В.В., Роль переводчика в популяризации художественных произведений в Болгарии, Сб. Русистика и современность. XIII международная научная конференция. – Рига, 2011, стр.333-335")</f>
        <v>Николова В.В., Роль переводчика в популяризации художественных произведений в Болгарии, Сб. Русистика и современность. XIII международная научная конференция. – Рига, 2011, стр.333-335</v>
      </c>
      <c r="F1731" s="10"/>
      <c r="G1731" s="10" t="str">
        <f ca="1">IFERROR(__xludf.DUMMYFUNCTION("""COMPUTED_VALUE"""),"Николова В.В.")</f>
        <v>Николова В.В.</v>
      </c>
      <c r="H1731" s="10"/>
      <c r="I1731" s="10"/>
      <c r="J1731" s="10"/>
      <c r="K1731" s="10"/>
      <c r="L1731" s="10"/>
      <c r="M1731" s="10"/>
      <c r="N1731" s="10"/>
      <c r="O1731" s="10"/>
      <c r="P1731" s="10"/>
      <c r="Q1731" s="10"/>
      <c r="R1731" s="10"/>
      <c r="S1731" s="10"/>
      <c r="T1731" s="10"/>
      <c r="U1731" s="10"/>
      <c r="V1731" s="10"/>
      <c r="W1731" s="10"/>
      <c r="X1731" s="10"/>
      <c r="Y1731" s="10"/>
      <c r="Z1731" s="10"/>
    </row>
    <row r="1732" spans="1:26" ht="12.75">
      <c r="A1732" s="10" t="str">
        <f ca="1">IFERROR(__xludf.DUMMYFUNCTION("""COMPUTED_VALUE"""),"Вяра Василева Николова")</f>
        <v>Вяра Василева Николова</v>
      </c>
      <c r="B1732" s="10" t="str">
        <f ca="1">IFERROR(__xludf.DUMMYFUNCTION("""COMPUTED_VALUE"""),"Статия в списания и поредици")</f>
        <v>Статия в списания и поредици</v>
      </c>
      <c r="C1732" s="10" t="str">
        <f ca="1">IFERROR(__xludf.DUMMYFUNCTION("""COMPUTED_VALUE"""),"Кралят на хумора – А.Т. Аверченко")</f>
        <v>Кралят на хумора – А.Т. Аверченко</v>
      </c>
      <c r="D1732" s="10">
        <f ca="1">IFERROR(__xludf.DUMMYFUNCTION("""COMPUTED_VALUE"""),2010)</f>
        <v>2010</v>
      </c>
      <c r="E1732" s="10" t="str">
        <f ca="1">IFERROR(__xludf.DUMMYFUNCTION("""COMPUTED_VALUE"""),"Николова В.В., Кралят на хумора – А.Т. Аверченко, Сб. Нови информационни технологии в образователния процес. IV научен семинар на СВУБИТ, проведен в Хисаря на 27-29 март 2009, 2010, стр.279-285")</f>
        <v>Николова В.В., Кралят на хумора – А.Т. Аверченко, Сб. Нови информационни технологии в образователния процес. IV научен семинар на СВУБИТ, проведен в Хисаря на 27-29 март 2009, 2010, стр.279-285</v>
      </c>
      <c r="F1732" s="10"/>
      <c r="G1732" s="10" t="str">
        <f ca="1">IFERROR(__xludf.DUMMYFUNCTION("""COMPUTED_VALUE"""),"Николова В.В.")</f>
        <v>Николова В.В.</v>
      </c>
      <c r="H1732" s="10"/>
      <c r="I1732" s="10"/>
      <c r="J1732" s="10"/>
      <c r="K1732" s="10"/>
      <c r="L1732" s="10"/>
      <c r="M1732" s="10"/>
      <c r="N1732" s="10"/>
      <c r="O1732" s="10"/>
      <c r="P1732" s="10"/>
      <c r="Q1732" s="10"/>
      <c r="R1732" s="10"/>
      <c r="S1732" s="10"/>
      <c r="T1732" s="10"/>
      <c r="U1732" s="10"/>
      <c r="V1732" s="10"/>
      <c r="W1732" s="10"/>
      <c r="X1732" s="10"/>
      <c r="Y1732" s="10"/>
      <c r="Z1732" s="10"/>
    </row>
    <row r="1733" spans="1:26" ht="12.75">
      <c r="A1733" s="10" t="str">
        <f ca="1">IFERROR(__xludf.DUMMYFUNCTION("""COMPUTED_VALUE"""),"Вяра Василева Николова")</f>
        <v>Вяра Василева Николова</v>
      </c>
      <c r="B1733" s="10" t="str">
        <f ca="1">IFERROR(__xludf.DUMMYFUNCTION("""COMPUTED_VALUE"""),"Статия в списания и поредици")</f>
        <v>Статия в списания и поредици</v>
      </c>
      <c r="C1733" s="10" t="str">
        <f ca="1">IFERROR(__xludf.DUMMYFUNCTION("""COMPUTED_VALUE"""),"Н.В. Гоголь в болгарских переводах и на болгарской театральной сцене")</f>
        <v>Н.В. Гоголь в болгарских переводах и на болгарской театральной сцене</v>
      </c>
      <c r="D1733" s="10">
        <f ca="1">IFERROR(__xludf.DUMMYFUNCTION("""COMPUTED_VALUE"""),2010)</f>
        <v>2010</v>
      </c>
      <c r="E1733" s="10" t="str">
        <f ca="1">IFERROR(__xludf.DUMMYFUNCTION("""COMPUTED_VALUE"""),"Николова В.В., Николова М.С., Н.В. Гоголь в болгарских переводах и на болгарской театральной сцене, Сб. Интерпретация художественного текста в свете литератуведческих и лингвистических теорий. – Астана, 2010, стр.283-291")</f>
        <v>Николова В.В., Николова М.С., Н.В. Гоголь в болгарских переводах и на болгарской театральной сцене, Сб. Интерпретация художественного текста в свете литератуведческих и лингвистических теорий. – Астана, 2010, стр.283-291</v>
      </c>
      <c r="F1733" s="10"/>
      <c r="G1733" s="10" t="str">
        <f ca="1">IFERROR(__xludf.DUMMYFUNCTION("""COMPUTED_VALUE"""),"Николова В.В., Николова М.С.")</f>
        <v>Николова В.В., Николова М.С.</v>
      </c>
      <c r="H1733" s="10"/>
      <c r="I1733" s="10"/>
      <c r="J1733" s="10"/>
      <c r="K1733" s="10"/>
      <c r="L1733" s="10"/>
      <c r="M1733" s="10"/>
      <c r="N1733" s="10"/>
      <c r="O1733" s="10"/>
      <c r="P1733" s="10"/>
      <c r="Q1733" s="10"/>
      <c r="R1733" s="10"/>
      <c r="S1733" s="10"/>
      <c r="T1733" s="10"/>
      <c r="U1733" s="10"/>
      <c r="V1733" s="10"/>
      <c r="W1733" s="10"/>
      <c r="X1733" s="10"/>
      <c r="Y1733" s="10"/>
      <c r="Z1733" s="10"/>
    </row>
    <row r="1734" spans="1:26" ht="12.75">
      <c r="A1734" s="10" t="str">
        <f ca="1">IFERROR(__xludf.DUMMYFUNCTION("""COMPUTED_VALUE"""),"Вяра Василева Николова")</f>
        <v>Вяра Василева Николова</v>
      </c>
      <c r="B1734" s="10" t="str">
        <f ca="1">IFERROR(__xludf.DUMMYFUNCTION("""COMPUTED_VALUE"""),"Статия в списания и поредици")</f>
        <v>Статия в списания и поредици</v>
      </c>
      <c r="C1734" s="10" t="str">
        <f ca="1">IFERROR(__xludf.DUMMYFUNCTION("""COMPUTED_VALUE"""),"Николай Осипович Массалитинов и русская театральная школа на болгарской сцене")</f>
        <v>Николай Осипович Массалитинов и русская театральная школа на болгарской сцене</v>
      </c>
      <c r="D1734" s="10">
        <f ca="1">IFERROR(__xludf.DUMMYFUNCTION("""COMPUTED_VALUE"""),2010)</f>
        <v>2010</v>
      </c>
      <c r="E1734" s="10" t="str">
        <f ca="1">IFERROR(__xludf.DUMMYFUNCTION("""COMPUTED_VALUE"""),"Николова В.В., Николай Осипович Массалитинов и русская театральная школа на болгарской сцене, Сб. Slowianie wschodni na emigracji (literature, kultura, jezyk). – Ополе, 2010, стр.109-115")</f>
        <v>Николова В.В., Николай Осипович Массалитинов и русская театральная школа на болгарской сцене, Сб. Slowianie wschodni na emigracji (literature, kultura, jezyk). – Ополе, 2010, стр.109-115</v>
      </c>
      <c r="F1734" s="10"/>
      <c r="G1734" s="10" t="str">
        <f ca="1">IFERROR(__xludf.DUMMYFUNCTION("""COMPUTED_VALUE"""),"Николова В.В.")</f>
        <v>Николова В.В.</v>
      </c>
      <c r="H1734" s="10"/>
      <c r="I1734" s="10"/>
      <c r="J1734" s="10"/>
      <c r="K1734" s="10"/>
      <c r="L1734" s="10"/>
      <c r="M1734" s="10"/>
      <c r="N1734" s="10"/>
      <c r="O1734" s="10"/>
      <c r="P1734" s="10"/>
      <c r="Q1734" s="10"/>
      <c r="R1734" s="10"/>
      <c r="S1734" s="10"/>
      <c r="T1734" s="10"/>
      <c r="U1734" s="10"/>
      <c r="V1734" s="10"/>
      <c r="W1734" s="10"/>
      <c r="X1734" s="10"/>
      <c r="Y1734" s="10"/>
      <c r="Z1734" s="10"/>
    </row>
    <row r="1735" spans="1:26" ht="12.75">
      <c r="A1735" s="10" t="str">
        <f ca="1">IFERROR(__xludf.DUMMYFUNCTION("""COMPUTED_VALUE"""),"Вяра Василева Николова")</f>
        <v>Вяра Василева Николова</v>
      </c>
      <c r="B1735" s="10" t="str">
        <f ca="1">IFERROR(__xludf.DUMMYFUNCTION("""COMPUTED_VALUE"""),"Статия в списания и поредици")</f>
        <v>Статия в списания и поредици</v>
      </c>
      <c r="C1735" s="10" t="str">
        <f ca="1">IFERROR(__xludf.DUMMYFUNCTION("""COMPUTED_VALUE"""),"А.П. Чехов на болгарской театральной сцене: история и современность")</f>
        <v>А.П. Чехов на болгарской театральной сцене: история и современность</v>
      </c>
      <c r="D1735" s="10">
        <f ca="1">IFERROR(__xludf.DUMMYFUNCTION("""COMPUTED_VALUE"""),2010)</f>
        <v>2010</v>
      </c>
      <c r="E1735" s="10" t="str">
        <f ca="1">IFERROR(__xludf.DUMMYFUNCTION("""COMPUTED_VALUE"""),"Николова В.В., А.П. Чехов на болгарской театральной сцене: история и современность, Сб. Русский язык и культура в зеркале перевода. II научно-практической конференции. – Салоники, 2010, стр.398-402")</f>
        <v>Николова В.В., А.П. Чехов на болгарской театральной сцене: история и современность, Сб. Русский язык и культура в зеркале перевода. II научно-практической конференции. – Салоники, 2010, стр.398-402</v>
      </c>
      <c r="F1735" s="10"/>
      <c r="G1735" s="10" t="str">
        <f ca="1">IFERROR(__xludf.DUMMYFUNCTION("""COMPUTED_VALUE"""),"Николова В.В.")</f>
        <v>Николова В.В.</v>
      </c>
      <c r="H1735" s="10"/>
      <c r="I1735" s="10"/>
      <c r="J1735" s="10"/>
      <c r="K1735" s="10"/>
      <c r="L1735" s="10"/>
      <c r="M1735" s="10"/>
      <c r="N1735" s="10"/>
      <c r="O1735" s="10"/>
      <c r="P1735" s="10"/>
      <c r="Q1735" s="10"/>
      <c r="R1735" s="10"/>
      <c r="S1735" s="10"/>
      <c r="T1735" s="10"/>
      <c r="U1735" s="10"/>
      <c r="V1735" s="10"/>
      <c r="W1735" s="10"/>
      <c r="X1735" s="10"/>
      <c r="Y1735" s="10"/>
      <c r="Z1735" s="10"/>
    </row>
    <row r="1736" spans="1:26" ht="12.75">
      <c r="A1736" s="10" t="str">
        <f ca="1">IFERROR(__xludf.DUMMYFUNCTION("""COMPUTED_VALUE"""),"Вяра Василева Николова")</f>
        <v>Вяра Василева Николова</v>
      </c>
      <c r="B1736" s="10" t="str">
        <f ca="1">IFERROR(__xludf.DUMMYFUNCTION("""COMPUTED_VALUE"""),"Статия в списания и поредици")</f>
        <v>Статия в списания и поредици</v>
      </c>
      <c r="C1736" s="10" t="str">
        <f ca="1">IFERROR(__xludf.DUMMYFUNCTION("""COMPUTED_VALUE"""),"Русская драматургия и болгарский театр, обучение русскому языку через драматургические произведения")</f>
        <v>Русская драматургия и болгарский театр, обучение русскому языку через драматургические произведения</v>
      </c>
      <c r="D1736" s="10">
        <f ca="1">IFERROR(__xludf.DUMMYFUNCTION("""COMPUTED_VALUE"""),2010)</f>
        <v>2010</v>
      </c>
      <c r="E1736" s="10" t="str">
        <f ca="1">IFERROR(__xludf.DUMMYFUNCTION("""COMPUTED_VALUE"""),"Николова В.В., Русская драматургия и болгарский театр, обучение русскому языку через драматургические произведения, Сб. Теоретические и методические проблемы русского языка как иностранного в традиционной и корпусной лингвистике. Х международный симпозиум"&amp;". МАПРЯЛ 2010. – Велико Търново, 2010, стр.492-496")</f>
        <v>Николова В.В., Русская драматургия и болгарский театр, обучение русскому языку через драматургические произведения, Сб. Теоретические и методические проблемы русского языка как иностранного в традиционной и корпусной лингвистике. Х международный симпозиум. МАПРЯЛ 2010. – Велико Търново, 2010, стр.492-496</v>
      </c>
      <c r="F1736" s="10"/>
      <c r="G1736" s="10" t="str">
        <f ca="1">IFERROR(__xludf.DUMMYFUNCTION("""COMPUTED_VALUE"""),"Николова В.В.")</f>
        <v>Николова В.В.</v>
      </c>
      <c r="H1736" s="10"/>
      <c r="I1736" s="10"/>
      <c r="J1736" s="10"/>
      <c r="K1736" s="10"/>
      <c r="L1736" s="10"/>
      <c r="M1736" s="10"/>
      <c r="N1736" s="10"/>
      <c r="O1736" s="10"/>
      <c r="P1736" s="10"/>
      <c r="Q1736" s="10"/>
      <c r="R1736" s="10"/>
      <c r="S1736" s="10"/>
      <c r="T1736" s="10"/>
      <c r="U1736" s="10"/>
      <c r="V1736" s="10"/>
      <c r="W1736" s="10"/>
      <c r="X1736" s="10"/>
      <c r="Y1736" s="10"/>
      <c r="Z1736" s="10"/>
    </row>
    <row r="1737" spans="1:26" ht="12.75">
      <c r="A1737" s="10" t="str">
        <f ca="1">IFERROR(__xludf.DUMMYFUNCTION("""COMPUTED_VALUE"""),"Вяра Василева Николова")</f>
        <v>Вяра Василева Николова</v>
      </c>
      <c r="B1737" s="10" t="str">
        <f ca="1">IFERROR(__xludf.DUMMYFUNCTION("""COMPUTED_VALUE"""),"Статия в списания и поредици")</f>
        <v>Статия в списания и поредици</v>
      </c>
      <c r="C1737" s="10" t="str">
        <f ca="1">IFERROR(__xludf.DUMMYFUNCTION("""COMPUTED_VALUE"""),"Ана Карима – противоречива личност на своето време")</f>
        <v>Ана Карима – противоречива личност на своето време</v>
      </c>
      <c r="D1737" s="10">
        <f ca="1">IFERROR(__xludf.DUMMYFUNCTION("""COMPUTED_VALUE"""),2009)</f>
        <v>2009</v>
      </c>
      <c r="E1737" s="10" t="str">
        <f ca="1">IFERROR(__xludf.DUMMYFUNCTION("""COMPUTED_VALUE"""),"Николова В.В., Ана Карима – противоречива личност на своето време, Сб. България – кръстопът на култури и цивилизации. VII национална конференция с международно участие (1.11.2008)., 2009, стр.602-607")</f>
        <v>Николова В.В., Ана Карима – противоречива личност на своето време, Сб. България – кръстопът на култури и цивилизации. VII национална конференция с международно участие (1.11.2008)., 2009, стр.602-607</v>
      </c>
      <c r="F1737" s="10"/>
      <c r="G1737" s="10" t="str">
        <f ca="1">IFERROR(__xludf.DUMMYFUNCTION("""COMPUTED_VALUE"""),"Николова В.В.")</f>
        <v>Николова В.В.</v>
      </c>
      <c r="H1737" s="10"/>
      <c r="I1737" s="10"/>
      <c r="J1737" s="10"/>
      <c r="K1737" s="10"/>
      <c r="L1737" s="10"/>
      <c r="M1737" s="10"/>
      <c r="N1737" s="10"/>
      <c r="O1737" s="10"/>
      <c r="P1737" s="10"/>
      <c r="Q1737" s="10"/>
      <c r="R1737" s="10"/>
      <c r="S1737" s="10"/>
      <c r="T1737" s="10"/>
      <c r="U1737" s="10"/>
      <c r="V1737" s="10"/>
      <c r="W1737" s="10"/>
      <c r="X1737" s="10"/>
      <c r="Y1737" s="10"/>
      <c r="Z1737" s="10"/>
    </row>
    <row r="1738" spans="1:26" ht="12.75">
      <c r="A1738" s="10" t="str">
        <f ca="1">IFERROR(__xludf.DUMMYFUNCTION("""COMPUTED_VALUE"""),"Вяра Василева Николова")</f>
        <v>Вяра Василева Николова</v>
      </c>
      <c r="B1738" s="10" t="str">
        <f ca="1">IFERROR(__xludf.DUMMYFUNCTION("""COMPUTED_VALUE"""),"Статия в списания и поредици")</f>
        <v>Статия в списания и поредици</v>
      </c>
      <c r="C1738" s="10" t="str">
        <f ca="1">IFERROR(__xludf.DUMMYFUNCTION("""COMPUTED_VALUE"""),"Някои историко-политически и културно-езикови взаимодействия между България и Русия след Освобождението")</f>
        <v>Някои историко-политически и културно-езикови взаимодействия между България и Русия след Освобождението</v>
      </c>
      <c r="D1738" s="10">
        <f ca="1">IFERROR(__xludf.DUMMYFUNCTION("""COMPUTED_VALUE"""),2008)</f>
        <v>2008</v>
      </c>
      <c r="E1738" s="10" t="str">
        <f ca="1">IFERROR(__xludf.DUMMYFUNCTION("""COMPUTED_VALUE"""),"Николова В.В., Някои историко-политически и културно-езикови взаимодействия между България и Русия след Освобождението, Сб. България в културното многообразие на Европа. VI национална научна конференция с международно участие (1.11.2007). , 2008, стр.270-"&amp;"282")</f>
        <v>Николова В.В., Някои историко-политически и културно-езикови взаимодействия между България и Русия след Освобождението, Сб. България в културното многообразие на Европа. VI национална научна конференция с международно участие (1.11.2007). , 2008, стр.270-282</v>
      </c>
      <c r="F1738" s="10"/>
      <c r="G1738" s="10" t="str">
        <f ca="1">IFERROR(__xludf.DUMMYFUNCTION("""COMPUTED_VALUE"""),"Николова В.В.")</f>
        <v>Николова В.В.</v>
      </c>
      <c r="H1738" s="10"/>
      <c r="I1738" s="10"/>
      <c r="J1738" s="10"/>
      <c r="K1738" s="10"/>
      <c r="L1738" s="10"/>
      <c r="M1738" s="10"/>
      <c r="N1738" s="10"/>
      <c r="O1738" s="10"/>
      <c r="P1738" s="10"/>
      <c r="Q1738" s="10"/>
      <c r="R1738" s="10"/>
      <c r="S1738" s="10"/>
      <c r="T1738" s="10"/>
      <c r="U1738" s="10"/>
      <c r="V1738" s="10"/>
      <c r="W1738" s="10"/>
      <c r="X1738" s="10"/>
      <c r="Y1738" s="10"/>
      <c r="Z1738" s="10"/>
    </row>
    <row r="1739" spans="1:26" ht="12.75">
      <c r="A1739" s="10" t="str">
        <f ca="1">IFERROR(__xludf.DUMMYFUNCTION("""COMPUTED_VALUE"""),"Вяра Василева Николова")</f>
        <v>Вяра Василева Николова</v>
      </c>
      <c r="B1739" s="10" t="str">
        <f ca="1">IFERROR(__xludf.DUMMYFUNCTION("""COMPUTED_VALUE"""),"Статия в списания и поредици")</f>
        <v>Статия в списания и поредици</v>
      </c>
      <c r="C1739" s="10" t="str">
        <f ca="1">IFERROR(__xludf.DUMMYFUNCTION("""COMPUTED_VALUE"""),"Мястото на Радул Канели в прохождащия български ппрофесионален театър")</f>
        <v>Мястото на Радул Канели в прохождащия български ппрофесионален театър</v>
      </c>
      <c r="D1739" s="10">
        <f ca="1">IFERROR(__xludf.DUMMYFUNCTION("""COMPUTED_VALUE"""),2008)</f>
        <v>2008</v>
      </c>
      <c r="E1739" s="10" t="str">
        <f ca="1">IFERROR(__xludf.DUMMYFUNCTION("""COMPUTED_VALUE"""),"Николова В.В., Мястото на Радул Канели в прохождащия български ппрофесионален театър, Трудове на специализираното висше училище по библиотекознание и информационни технологии, том:7, 2008, стр.519-526")</f>
        <v>Николова В.В., Мястото на Радул Канели в прохождащия български ппрофесионален театър, Трудове на специализираното висше училище по библиотекознание и информационни технологии, том:7, 2008, стр.519-526</v>
      </c>
      <c r="F1739" s="10"/>
      <c r="G1739" s="10" t="str">
        <f ca="1">IFERROR(__xludf.DUMMYFUNCTION("""COMPUTED_VALUE"""),"Николова В.В.")</f>
        <v>Николова В.В.</v>
      </c>
      <c r="H1739" s="10"/>
      <c r="I1739" s="10"/>
      <c r="J1739" s="10"/>
      <c r="K1739" s="10"/>
      <c r="L1739" s="10"/>
      <c r="M1739" s="10"/>
      <c r="N1739" s="10"/>
      <c r="O1739" s="10"/>
      <c r="P1739" s="10"/>
      <c r="Q1739" s="10"/>
      <c r="R1739" s="10"/>
      <c r="S1739" s="10"/>
      <c r="T1739" s="10"/>
      <c r="U1739" s="10"/>
      <c r="V1739" s="10"/>
      <c r="W1739" s="10"/>
      <c r="X1739" s="10"/>
      <c r="Y1739" s="10"/>
      <c r="Z1739" s="10"/>
    </row>
    <row r="1740" spans="1:26" ht="12.75">
      <c r="A1740" s="10" t="str">
        <f ca="1">IFERROR(__xludf.DUMMYFUNCTION("""COMPUTED_VALUE"""),"Вяра Василева Николова")</f>
        <v>Вяра Василева Николова</v>
      </c>
      <c r="B1740" s="10" t="str">
        <f ca="1">IFERROR(__xludf.DUMMYFUNCTION("""COMPUTED_VALUE"""),"Статия в списания и поредици")</f>
        <v>Статия в списания и поредици</v>
      </c>
      <c r="C1740" s="10" t="str">
        <f ca="1">IFERROR(__xludf.DUMMYFUNCTION("""COMPUTED_VALUE"""),"К вопросу о сопоставительном анализе словосочетаний, выражающих сравнение")</f>
        <v>К вопросу о сопоставительном анализе словосочетаний, выражающих сравнение</v>
      </c>
      <c r="D1740" s="10">
        <f ca="1">IFERROR(__xludf.DUMMYFUNCTION("""COMPUTED_VALUE"""),2007)</f>
        <v>2007</v>
      </c>
      <c r="E1740" s="10" t="str">
        <f ca="1">IFERROR(__xludf.DUMMYFUNCTION("""COMPUTED_VALUE"""),"Николова В.В., К вопросу о сопоставительном анализе словосочетаний, выражающих сравнение, Болгарская русистика, брой:1-2, 2007, стр.126-132")</f>
        <v>Николова В.В., К вопросу о сопоставительном анализе словосочетаний, выражающих сравнение, Болгарская русистика, брой:1-2, 2007, стр.126-132</v>
      </c>
      <c r="F1740" s="10"/>
      <c r="G1740" s="10" t="str">
        <f ca="1">IFERROR(__xludf.DUMMYFUNCTION("""COMPUTED_VALUE"""),"Николова В.В.")</f>
        <v>Николова В.В.</v>
      </c>
      <c r="H1740" s="10"/>
      <c r="I1740" s="10"/>
      <c r="J1740" s="10"/>
      <c r="K1740" s="10"/>
      <c r="L1740" s="10"/>
      <c r="M1740" s="10"/>
      <c r="N1740" s="10"/>
      <c r="O1740" s="10"/>
      <c r="P1740" s="10"/>
      <c r="Q1740" s="10"/>
      <c r="R1740" s="10"/>
      <c r="S1740" s="10"/>
      <c r="T1740" s="10"/>
      <c r="U1740" s="10"/>
      <c r="V1740" s="10"/>
      <c r="W1740" s="10"/>
      <c r="X1740" s="10"/>
      <c r="Y1740" s="10"/>
      <c r="Z1740" s="10"/>
    </row>
    <row r="1741" spans="1:26" ht="12.75">
      <c r="A1741" s="10" t="str">
        <f ca="1">IFERROR(__xludf.DUMMYFUNCTION("""COMPUTED_VALUE"""),"Галина Стоянова Панайотова")</f>
        <v>Галина Стоянова Панайотова</v>
      </c>
      <c r="B1741" s="10" t="str">
        <f ca="1">IFERROR(__xludf.DUMMYFUNCTION("""COMPUTED_VALUE"""),"Доклад от конференция")</f>
        <v>Доклад от конференция</v>
      </c>
      <c r="C1741" s="10" t="str">
        <f ca="1">IFERROR(__xludf.DUMMYFUNCTION("""COMPUTED_VALUE"""),"Measuring the effectiveness of a radio-identification system")</f>
        <v>Measuring the effectiveness of a radio-identification system</v>
      </c>
      <c r="D1741" s="10">
        <f ca="1">IFERROR(__xludf.DUMMYFUNCTION("""COMPUTED_VALUE"""),2019)</f>
        <v>2019</v>
      </c>
      <c r="E1741" s="10" t="str">
        <f ca="1">IFERROR(__xludf.DUMMYFUNCTION("""COMPUTED_VALUE"""),"ICCSIT 2019, Barselona ,Spain 18-22.12")</f>
        <v>ICCSIT 2019, Barselona ,Spain 18-22.12</v>
      </c>
      <c r="F1741" s="10"/>
      <c r="G1741" s="10" t="str">
        <f ca="1">IFERROR(__xludf.DUMMYFUNCTION("""COMPUTED_VALUE"""),"Oleksi S. Bichkov, Volodymyr S. Nakonechnvi, Nataliia V. Lukova-Chuiko, Victoria V. Zhebka, Dimitar A. Dimitrov")</f>
        <v>Oleksi S. Bichkov, Volodymyr S. Nakonechnvi, Nataliia V. Lukova-Chuiko, Victoria V. Zhebka, Dimitar A. Dimitrov</v>
      </c>
      <c r="H1741" s="10"/>
      <c r="I1741" s="10"/>
      <c r="J1741" s="10"/>
      <c r="K1741" s="10"/>
      <c r="L1741" s="10"/>
      <c r="M1741" s="10"/>
      <c r="N1741" s="10"/>
      <c r="O1741" s="10"/>
      <c r="P1741" s="10"/>
      <c r="Q1741" s="10"/>
      <c r="R1741" s="10"/>
      <c r="S1741" s="10"/>
      <c r="T1741" s="10"/>
      <c r="U1741" s="10"/>
      <c r="V1741" s="10"/>
      <c r="W1741" s="10"/>
      <c r="X1741" s="10"/>
      <c r="Y1741" s="10"/>
      <c r="Z1741" s="10"/>
    </row>
    <row r="1742" spans="1:26" ht="12.75">
      <c r="A1742" s="10" t="str">
        <f ca="1">IFERROR(__xludf.DUMMYFUNCTION("""COMPUTED_VALUE"""),"Галина Стоянова Панайотова")</f>
        <v>Галина Стоянова Панайотова</v>
      </c>
      <c r="B1742" s="10" t="str">
        <f ca="1">IFERROR(__xludf.DUMMYFUNCTION("""COMPUTED_VALUE"""),"Доклад от конференция")</f>
        <v>Доклад от конференция</v>
      </c>
      <c r="C1742" s="10" t="str">
        <f ca="1">IFERROR(__xludf.DUMMYFUNCTION("""COMPUTED_VALUE"""),"Segmentations and models of statistical row data of BCI signals")</f>
        <v>Segmentations and models of statistical row data of BCI signals</v>
      </c>
      <c r="D1742" s="10">
        <f ca="1">IFERROR(__xludf.DUMMYFUNCTION("""COMPUTED_VALUE"""),2019)</f>
        <v>2019</v>
      </c>
      <c r="E1742" s="10" t="str">
        <f ca="1">IFERROR(__xludf.DUMMYFUNCTION("""COMPUTED_VALUE"""),"ICCSIT 2019, Barselona ,Spain 18-22.12")</f>
        <v>ICCSIT 2019, Barselona ,Spain 18-22.12</v>
      </c>
      <c r="F1742" s="10"/>
      <c r="G1742" s="10" t="str">
        <f ca="1">IFERROR(__xludf.DUMMYFUNCTION("""COMPUTED_VALUE"""),"D.A. Dimitrov")</f>
        <v>D.A. Dimitrov</v>
      </c>
      <c r="H1742" s="10"/>
      <c r="I1742" s="10"/>
      <c r="J1742" s="10"/>
      <c r="K1742" s="10"/>
      <c r="L1742" s="10"/>
      <c r="M1742" s="10"/>
      <c r="N1742" s="10"/>
      <c r="O1742" s="10"/>
      <c r="P1742" s="10"/>
      <c r="Q1742" s="10"/>
      <c r="R1742" s="10"/>
      <c r="S1742" s="10"/>
      <c r="T1742" s="10"/>
      <c r="U1742" s="10"/>
      <c r="V1742" s="10"/>
      <c r="W1742" s="10"/>
      <c r="X1742" s="10"/>
      <c r="Y1742" s="10"/>
      <c r="Z1742" s="10"/>
    </row>
    <row r="1743" spans="1:26" ht="12.75">
      <c r="A1743" s="10" t="str">
        <f ca="1">IFERROR(__xludf.DUMMYFUNCTION("""COMPUTED_VALUE"""),"Галина Стоянова Панайотова")</f>
        <v>Галина Стоянова Панайотова</v>
      </c>
      <c r="B1743" s="10" t="str">
        <f ca="1">IFERROR(__xludf.DUMMYFUNCTION("""COMPUTED_VALUE"""),"Статия в списания и поредици")</f>
        <v>Статия в списания и поредици</v>
      </c>
      <c r="C1743" s="10" t="str">
        <f ca="1">IFERROR(__xludf.DUMMYFUNCTION("""COMPUTED_VALUE"""),"Analysis and Processing of Brain Signals")</f>
        <v>Analysis and Processing of Brain Signals</v>
      </c>
      <c r="D1743" s="10">
        <f ca="1">IFERROR(__xludf.DUMMYFUNCTION("""COMPUTED_VALUE"""),2019)</f>
        <v>2019</v>
      </c>
      <c r="E1743" s="10" t="str">
        <f ca="1">IFERROR(__xludf.DUMMYFUNCTION("""COMPUTED_VALUE"""),"Journal of Signal Processing Systems Vol. 7 , No. 3, September 2019, pp 92-95, ISSN: 2315-4535 (Print), DOI: 10.18178/ijsps.")</f>
        <v>Journal of Signal Processing Systems Vol. 7 , No. 3, September 2019, pp 92-95, ISSN: 2315-4535 (Print), DOI: 10.18178/ijsps.</v>
      </c>
      <c r="F1743" s="10"/>
      <c r="G1743" s="10" t="str">
        <f ca="1">IFERROR(__xludf.DUMMYFUNCTION("""COMPUTED_VALUE"""),"G.P. Dimitrov")</f>
        <v>G.P. Dimitrov</v>
      </c>
      <c r="H1743" s="10"/>
      <c r="I1743" s="10"/>
      <c r="J1743" s="10"/>
      <c r="K1743" s="10"/>
      <c r="L1743" s="10"/>
      <c r="M1743" s="10"/>
      <c r="N1743" s="10"/>
      <c r="O1743" s="10"/>
      <c r="P1743" s="10"/>
      <c r="Q1743" s="10"/>
      <c r="R1743" s="10"/>
      <c r="S1743" s="10"/>
      <c r="T1743" s="10"/>
      <c r="U1743" s="10"/>
      <c r="V1743" s="10"/>
      <c r="W1743" s="10"/>
      <c r="X1743" s="10"/>
      <c r="Y1743" s="10"/>
      <c r="Z1743" s="10"/>
    </row>
    <row r="1744" spans="1:26" ht="12.75">
      <c r="A1744" s="10" t="str">
        <f ca="1">IFERROR(__xludf.DUMMYFUNCTION("""COMPUTED_VALUE"""),"Галина Стоянова Панайотова")</f>
        <v>Галина Стоянова Панайотова</v>
      </c>
      <c r="B1744" s="10" t="str">
        <f ca="1">IFERROR(__xludf.DUMMYFUNCTION("""COMPUTED_VALUE"""),"Статия в списания и поредици")</f>
        <v>Статия в списания и поредици</v>
      </c>
      <c r="C1744" s="10" t="str">
        <f ca="1">IFERROR(__xludf.DUMMYFUNCTION("""COMPUTED_VALUE"""),"One Approach for Identification of Brain Signals for Smart Devices Control")</f>
        <v>One Approach for Identification of Brain Signals for Smart Devices Control</v>
      </c>
      <c r="D1744" s="10">
        <f ca="1">IFERROR(__xludf.DUMMYFUNCTION("""COMPUTED_VALUE"""),2018)</f>
        <v>2018</v>
      </c>
      <c r="E1744" s="10" t="str">
        <f ca="1">IFERROR(__xludf.DUMMYFUNCTION("""COMPUTED_VALUE"""),"Journal of Software 13(7):407-413, DOI: 10.17706/jsw.13.7.407-413. ISSN: 1796-217X")</f>
        <v>Journal of Software 13(7):407-413, DOI: 10.17706/jsw.13.7.407-413. ISSN: 1796-217X</v>
      </c>
      <c r="F1744" s="10" t="str">
        <f ca="1">IFERROR(__xludf.DUMMYFUNCTION("""COMPUTED_VALUE"""),"DBLP, EBSCO, ProQuest, INSPEC, ULRICH's Periodicals Directory, WorldCat, CNKI,etc")</f>
        <v>DBLP, EBSCO, ProQuest, INSPEC, ULRICH's Periodicals Directory, WorldCat, CNKI,etc</v>
      </c>
      <c r="G1744" s="10" t="str">
        <f ca="1">IFERROR(__xludf.DUMMYFUNCTION("""COMPUTED_VALUE"""),"Georgi Petrov Dimitrov, Evgenia Kovacheva")</f>
        <v>Georgi Petrov Dimitrov, Evgenia Kovacheva</v>
      </c>
      <c r="H1744" s="10"/>
      <c r="I1744" s="10"/>
      <c r="J1744" s="10"/>
      <c r="K1744" s="10"/>
      <c r="L1744" s="10"/>
      <c r="M1744" s="10"/>
      <c r="N1744" s="10"/>
      <c r="O1744" s="10"/>
      <c r="P1744" s="10"/>
      <c r="Q1744" s="10"/>
      <c r="R1744" s="10"/>
      <c r="S1744" s="10"/>
      <c r="T1744" s="10"/>
      <c r="U1744" s="10"/>
      <c r="V1744" s="10"/>
      <c r="W1744" s="10"/>
      <c r="X1744" s="10"/>
      <c r="Y1744" s="10"/>
      <c r="Z1744" s="10"/>
    </row>
    <row r="1745" spans="1:26" ht="12.75">
      <c r="A1745" s="10" t="str">
        <f ca="1">IFERROR(__xludf.DUMMYFUNCTION("""COMPUTED_VALUE"""),"Галина Стоянова Панайотова")</f>
        <v>Галина Стоянова Панайотова</v>
      </c>
      <c r="B1745" s="10" t="str">
        <f ca="1">IFERROR(__xludf.DUMMYFUNCTION("""COMPUTED_VALUE"""),"Статия в списания и поредици")</f>
        <v>Статия в списания и поредици</v>
      </c>
      <c r="C1745" s="10" t="str">
        <f ca="1">IFERROR(__xludf.DUMMYFUNCTION("""COMPUTED_VALUE"""),"Wireless Sensors for analysis transport systems")</f>
        <v>Wireless Sensors for analysis transport systems</v>
      </c>
      <c r="D1745" s="10">
        <f ca="1">IFERROR(__xludf.DUMMYFUNCTION("""COMPUTED_VALUE"""),2018)</f>
        <v>2018</v>
      </c>
      <c r="E1745" s="10" t="str">
        <f ca="1">IFERROR(__xludf.DUMMYFUNCTION("""COMPUTED_VALUE"""),"Journal of Communications 13(1):40-44, DOI: 10.12720/jcm.13.1.40-44. ISSN: 1796-2021 (Online); 2374-4367 (Print)")</f>
        <v>Journal of Communications 13(1):40-44, DOI: 10.12720/jcm.13.1.40-44. ISSN: 1796-2021 (Online); 2374-4367 (Print)</v>
      </c>
      <c r="F1745" s="10" t="str">
        <f ca="1">IFERROR(__xludf.DUMMYFUNCTION("""COMPUTED_VALUE"""),"Scopus")</f>
        <v>Scopus</v>
      </c>
      <c r="G1745" s="10" t="str">
        <f ca="1">IFERROR(__xludf.DUMMYFUNCTION("""COMPUTED_VALUE"""),"Georgi Petrov Dimitrov, Dimitar Atanasov Dimitrov")</f>
        <v>Georgi Petrov Dimitrov, Dimitar Atanasov Dimitrov</v>
      </c>
      <c r="H1745" s="10"/>
      <c r="I1745" s="10"/>
      <c r="J1745" s="10"/>
      <c r="K1745" s="10"/>
      <c r="L1745" s="10"/>
      <c r="M1745" s="10"/>
      <c r="N1745" s="10"/>
      <c r="O1745" s="10"/>
      <c r="P1745" s="10"/>
      <c r="Q1745" s="10"/>
      <c r="R1745" s="10"/>
      <c r="S1745" s="10"/>
      <c r="T1745" s="10"/>
      <c r="U1745" s="10"/>
      <c r="V1745" s="10"/>
      <c r="W1745" s="10"/>
      <c r="X1745" s="10"/>
      <c r="Y1745" s="10"/>
      <c r="Z1745" s="10"/>
    </row>
    <row r="1746" spans="1:26" ht="12.75">
      <c r="A1746" s="10" t="str">
        <f ca="1">IFERROR(__xludf.DUMMYFUNCTION("""COMPUTED_VALUE"""),"Галина Стоянова Панайотова")</f>
        <v>Галина Стоянова Панайотова</v>
      </c>
      <c r="B1746" s="10" t="str">
        <f ca="1">IFERROR(__xludf.DUMMYFUNCTION("""COMPUTED_VALUE"""),"Статия в списания и поредици")</f>
        <v>Статия в списания и поредици</v>
      </c>
      <c r="C1746" s="10" t="str">
        <f ca="1">IFERROR(__xludf.DUMMYFUNCTION("""COMPUTED_VALUE"""),"Aspect of the Designing and Developed Integrated Information Systems in Large Organizations")</f>
        <v>Aspect of the Designing and Developed Integrated Information Systems in Large Organizations</v>
      </c>
      <c r="D1746" s="10">
        <f ca="1">IFERROR(__xludf.DUMMYFUNCTION("""COMPUTED_VALUE"""),2018)</f>
        <v>2018</v>
      </c>
      <c r="E1746" s="10" t="str">
        <f ca="1">IFERROR(__xludf.DUMMYFUNCTION("""COMPUTED_VALUE"""),"2018/2/1, Journal of Software, Volume 13; Issue 2; Pages 138-146. ISSN: 1796-217.")</f>
        <v>2018/2/1, Journal of Software, Volume 13; Issue 2; Pages 138-146. ISSN: 1796-217.</v>
      </c>
      <c r="F1746" s="10" t="str">
        <f ca="1">IFERROR(__xludf.DUMMYFUNCTION("""COMPUTED_VALUE"""),"DBLP, EBSCO, ProQuest, INSPEC, ULRICH's Periodicals Directory, WorldCat, CNKI")</f>
        <v>DBLP, EBSCO, ProQuest, INSPEC, ULRICH's Periodicals Directory, WorldCat, CNKI</v>
      </c>
      <c r="G1746" s="10" t="str">
        <f ca="1">IFERROR(__xludf.DUMMYFUNCTION("""COMPUTED_VALUE"""),"Georgi Petrov Dimitrov, Iva Kostadinova")</f>
        <v>Georgi Petrov Dimitrov, Iva Kostadinova</v>
      </c>
      <c r="H1746" s="10"/>
      <c r="I1746" s="10"/>
      <c r="J1746" s="10"/>
      <c r="K1746" s="10"/>
      <c r="L1746" s="10"/>
      <c r="M1746" s="10"/>
      <c r="N1746" s="10"/>
      <c r="O1746" s="10"/>
      <c r="P1746" s="10"/>
      <c r="Q1746" s="10"/>
      <c r="R1746" s="10"/>
      <c r="S1746" s="10"/>
      <c r="T1746" s="10"/>
      <c r="U1746" s="10"/>
      <c r="V1746" s="10"/>
      <c r="W1746" s="10"/>
      <c r="X1746" s="10"/>
      <c r="Y1746" s="10"/>
      <c r="Z1746" s="10"/>
    </row>
    <row r="1747" spans="1:26" ht="12.75">
      <c r="A1747" s="10" t="str">
        <f ca="1">IFERROR(__xludf.DUMMYFUNCTION("""COMPUTED_VALUE"""),"Галина Стоянова Панайотова")</f>
        <v>Галина Стоянова Панайотова</v>
      </c>
      <c r="B1747" s="10" t="str">
        <f ca="1">IFERROR(__xludf.DUMMYFUNCTION("""COMPUTED_VALUE"""),"Доклад от конференция")</f>
        <v>Доклад от конференция</v>
      </c>
      <c r="C1747" s="10" t="str">
        <f ca="1">IFERROR(__xludf.DUMMYFUNCTION("""COMPUTED_VALUE"""),"Approaches for optimization of WEB pages loading via analysis of the speed of requests to the database")</f>
        <v>Approaches for optimization of WEB pages loading via analysis of the speed of requests to the database</v>
      </c>
      <c r="D1747" s="10">
        <f ca="1">IFERROR(__xludf.DUMMYFUNCTION("""COMPUTED_VALUE"""),2017)</f>
        <v>2017</v>
      </c>
      <c r="E1747" s="10" t="str">
        <f ca="1">IFERROR(__xludf.DUMMYFUNCTION("""COMPUTED_VALUE"""),"The Fourth International Conference on Artificial Intelligence and Pattern Recognition (AIPR2017)")</f>
        <v>The Fourth International Conference on Artificial Intelligence and Pattern Recognition (AIPR2017)</v>
      </c>
      <c r="F1747" s="10" t="str">
        <f ca="1">IFERROR(__xludf.DUMMYFUNCTION("""COMPUTED_VALUE"""),"Google Scholar и др")</f>
        <v>Google Scholar и др</v>
      </c>
      <c r="G1747" s="10" t="str">
        <f ca="1">IFERROR(__xludf.DUMMYFUNCTION("""COMPUTED_VALUE"""),"Georgi Petrov Dimitrov Iva Kostadinova")</f>
        <v>Georgi Petrov Dimitrov Iva Kostadinova</v>
      </c>
      <c r="H1747" s="10"/>
      <c r="I1747" s="10"/>
      <c r="J1747" s="10"/>
      <c r="K1747" s="10"/>
      <c r="L1747" s="10"/>
      <c r="M1747" s="10"/>
      <c r="N1747" s="10"/>
      <c r="O1747" s="10"/>
      <c r="P1747" s="10"/>
      <c r="Q1747" s="10"/>
      <c r="R1747" s="10"/>
      <c r="S1747" s="10"/>
      <c r="T1747" s="10"/>
      <c r="U1747" s="10"/>
      <c r="V1747" s="10"/>
      <c r="W1747" s="10"/>
      <c r="X1747" s="10"/>
      <c r="Y1747" s="10"/>
      <c r="Z1747" s="10"/>
    </row>
    <row r="1748" spans="1:26" ht="12.75">
      <c r="A1748" s="10" t="str">
        <f ca="1">IFERROR(__xludf.DUMMYFUNCTION("""COMPUTED_VALUE"""),"Галина Стоянова Панайотова")</f>
        <v>Галина Стоянова Панайотова</v>
      </c>
      <c r="B1748" s="10" t="str">
        <f ca="1">IFERROR(__xludf.DUMMYFUNCTION("""COMPUTED_VALUE"""),"Доклад от конференция")</f>
        <v>Доклад от конференция</v>
      </c>
      <c r="C1748" s="10" t="str">
        <f ca="1">IFERROR(__xludf.DUMMYFUNCTION("""COMPUTED_VALUE"""),"Modeling and data processing of information systems")</f>
        <v>Modeling and data processing of information systems</v>
      </c>
      <c r="D1748" s="10">
        <f ca="1">IFERROR(__xludf.DUMMYFUNCTION("""COMPUTED_VALUE"""),2017)</f>
        <v>2017</v>
      </c>
      <c r="E1748" s="10" t="str">
        <f ca="1">IFERROR(__xludf.DUMMYFUNCTION("""COMPUTED_VALUE"""),"Artificial Intelligence and Pattern Recognition (AIPR), International Conference on, IEEE")</f>
        <v>Artificial Intelligence and Pattern Recognition (AIPR), International Conference on, IEEE</v>
      </c>
      <c r="F1748" s="10" t="str">
        <f ca="1">IFERROR(__xludf.DUMMYFUNCTION("""COMPUTED_VALUE"""),"SKOPUS, Google Scholar и др")</f>
        <v>SKOPUS, Google Scholar и др</v>
      </c>
      <c r="G1748" s="10" t="str">
        <f ca="1">IFERROR(__xludf.DUMMYFUNCTION("""COMPUTED_VALUE"""),"Georgi Petrov Dimitrov Bychkov Os")</f>
        <v>Georgi Petrov Dimitrov Bychkov Os</v>
      </c>
      <c r="H1748" s="10"/>
      <c r="I1748" s="10"/>
      <c r="J1748" s="10"/>
      <c r="K1748" s="10"/>
      <c r="L1748" s="10"/>
      <c r="M1748" s="10"/>
      <c r="N1748" s="10"/>
      <c r="O1748" s="10"/>
      <c r="P1748" s="10"/>
      <c r="Q1748" s="10"/>
      <c r="R1748" s="10"/>
      <c r="S1748" s="10"/>
      <c r="T1748" s="10"/>
      <c r="U1748" s="10"/>
      <c r="V1748" s="10"/>
      <c r="W1748" s="10"/>
      <c r="X1748" s="10"/>
      <c r="Y1748" s="10"/>
      <c r="Z1748" s="10"/>
    </row>
    <row r="1749" spans="1:26" ht="12.75">
      <c r="A1749" s="10" t="str">
        <f ca="1">IFERROR(__xludf.DUMMYFUNCTION("""COMPUTED_VALUE"""),"Галина Стоянова Панайотова")</f>
        <v>Галина Стоянова Панайотова</v>
      </c>
      <c r="B1749" s="10" t="str">
        <f ca="1">IFERROR(__xludf.DUMMYFUNCTION("""COMPUTED_VALUE"""),"Доклад от конференция")</f>
        <v>Доклад от конференция</v>
      </c>
      <c r="C1749" s="10" t="str">
        <f ca="1">IFERROR(__xludf.DUMMYFUNCTION("""COMPUTED_VALUE"""),"Wireless Sensors for analysis transport systems")</f>
        <v>Wireless Sensors for analysis transport systems</v>
      </c>
      <c r="D1749" s="10">
        <f ca="1">IFERROR(__xludf.DUMMYFUNCTION("""COMPUTED_VALUE"""),2017)</f>
        <v>2017</v>
      </c>
      <c r="E1749" s="10" t="str">
        <f ca="1">IFERROR(__xludf.DUMMYFUNCTION("""COMPUTED_VALUE"""),"Journal of Communications, 13(1):40-44, DOI:10.12720/jcm.13.1.40-44, IF 1.695")</f>
        <v>Journal of Communications, 13(1):40-44, DOI:10.12720/jcm.13.1.40-44, IF 1.695</v>
      </c>
      <c r="F1749" s="10" t="str">
        <f ca="1">IFERROR(__xludf.DUMMYFUNCTION("""COMPUTED_VALUE"""),"SKOPUS, Google Scholar и др")</f>
        <v>SKOPUS, Google Scholar и др</v>
      </c>
      <c r="G1749" s="10" t="str">
        <f ca="1">IFERROR(__xludf.DUMMYFUNCTION("""COMPUTED_VALUE"""),"Georgi Petrov Dimitrov")</f>
        <v>Georgi Petrov Dimitrov</v>
      </c>
      <c r="H1749" s="10"/>
      <c r="I1749" s="10"/>
      <c r="J1749" s="10"/>
      <c r="K1749" s="10"/>
      <c r="L1749" s="10"/>
      <c r="M1749" s="10"/>
      <c r="N1749" s="10"/>
      <c r="O1749" s="10"/>
      <c r="P1749" s="10"/>
      <c r="Q1749" s="10"/>
      <c r="R1749" s="10"/>
      <c r="S1749" s="10"/>
      <c r="T1749" s="10"/>
      <c r="U1749" s="10"/>
      <c r="V1749" s="10"/>
      <c r="W1749" s="10"/>
      <c r="X1749" s="10"/>
      <c r="Y1749" s="10"/>
      <c r="Z1749" s="10"/>
    </row>
    <row r="1750" spans="1:26" ht="12.75">
      <c r="A1750" s="10" t="str">
        <f ca="1">IFERROR(__xludf.DUMMYFUNCTION("""COMPUTED_VALUE"""),"Галина Стоянова Панайотова")</f>
        <v>Галина Стоянова Панайотова</v>
      </c>
      <c r="B1750" s="10" t="str">
        <f ca="1">IFERROR(__xludf.DUMMYFUNCTION("""COMPUTED_VALUE"""),"Доклад от конференция")</f>
        <v>Доклад от конференция</v>
      </c>
      <c r="C1750" s="10" t="str">
        <f ca="1">IFERROR(__xludf.DUMMYFUNCTION("""COMPUTED_VALUE"""),"Combined neural network model for real estate market range value estimation")</f>
        <v>Combined neural network model for real estate market range value estimation</v>
      </c>
      <c r="D1750" s="10">
        <f ca="1">IFERROR(__xludf.DUMMYFUNCTION("""COMPUTED_VALUE"""),2017)</f>
        <v>2017</v>
      </c>
      <c r="E1750" s="10" t="str">
        <f ca="1">IFERROR(__xludf.DUMMYFUNCTION("""COMPUTED_VALUE"""),"The Fourth International Conference on Artificial Intelligence and Proc. of The Fourth Internat. Conf. on Artificial Intell. A. Pattern Recognition (AIPR 2017 IEEE Xplore), SDIWC, рр. 1-16. ISBN: 978-1-941968-43-7 ©2017 SDIWC Lodz, Poland.")</f>
        <v>The Fourth International Conference on Artificial Intelligence and Proc. of The Fourth Internat. Conf. on Artificial Intell. A. Pattern Recognition (AIPR 2017 IEEE Xplore), SDIWC, рр. 1-16. ISBN: 978-1-941968-43-7 ©2017 SDIWC Lodz, Poland.</v>
      </c>
      <c r="F1750" s="10" t="str">
        <f ca="1">IFERROR(__xludf.DUMMYFUNCTION("""COMPUTED_VALUE"""),"IEEE, Google Scholar и др")</f>
        <v>IEEE, Google Scholar и др</v>
      </c>
      <c r="G1750" s="10" t="str">
        <f ca="1">IFERROR(__xludf.DUMMYFUNCTION("""COMPUTED_VALUE"""),"10. Yakubovskyi V., Dimitrov G.P., Bychkov O., Shevchenko T.")</f>
        <v>10. Yakubovskyi V., Dimitrov G.P., Bychkov O., Shevchenko T.</v>
      </c>
      <c r="H1750" s="10"/>
      <c r="I1750" s="10"/>
      <c r="J1750" s="10"/>
      <c r="K1750" s="10"/>
      <c r="L1750" s="10"/>
      <c r="M1750" s="10"/>
      <c r="N1750" s="10"/>
      <c r="O1750" s="10"/>
      <c r="P1750" s="10"/>
      <c r="Q1750" s="10"/>
      <c r="R1750" s="10"/>
      <c r="S1750" s="10"/>
      <c r="T1750" s="10"/>
      <c r="U1750" s="10"/>
      <c r="V1750" s="10"/>
      <c r="W1750" s="10"/>
      <c r="X1750" s="10"/>
      <c r="Y1750" s="10"/>
      <c r="Z1750" s="10"/>
    </row>
    <row r="1751" spans="1:26" ht="12.75">
      <c r="A1751" s="10" t="str">
        <f ca="1">IFERROR(__xludf.DUMMYFUNCTION("""COMPUTED_VALUE"""),"Галина Стоянова Панайотова")</f>
        <v>Галина Стоянова Панайотова</v>
      </c>
      <c r="B1751" s="10" t="str">
        <f ca="1">IFERROR(__xludf.DUMMYFUNCTION("""COMPUTED_VALUE"""),"Доклад от конференция")</f>
        <v>Доклад от конференция</v>
      </c>
      <c r="C1751" s="10" t="str">
        <f ca="1">IFERROR(__xludf.DUMMYFUNCTION("""COMPUTED_VALUE"""),"The possibility of using “video board” in the classroom")</f>
        <v>The possibility of using “video board” in the classroom</v>
      </c>
      <c r="D1751" s="10">
        <f ca="1">IFERROR(__xludf.DUMMYFUNCTION("""COMPUTED_VALUE"""),2017)</f>
        <v>2017</v>
      </c>
      <c r="E1751" s="10" t="str">
        <f ca="1">IFERROR(__xludf.DUMMYFUNCTION("""COMPUTED_VALUE"""),"Power and Electrical Engineering of Riga Technical University (RTUCON), 2017 IEEE 58th International Scientific Conference on, IEEE")</f>
        <v>Power and Electrical Engineering of Riga Technical University (RTUCON), 2017 IEEE 58th International Scientific Conference on, IEEE</v>
      </c>
      <c r="F1751" s="10" t="str">
        <f ca="1">IFERROR(__xludf.DUMMYFUNCTION("""COMPUTED_VALUE"""),"SKOPUS, Google Scholar и др")</f>
        <v>SKOPUS, Google Scholar и др</v>
      </c>
      <c r="G1751" s="10" t="str">
        <f ca="1">IFERROR(__xludf.DUMMYFUNCTION("""COMPUTED_VALUE"""),"Georgi Petrov Dimitrov Bychkov Os")</f>
        <v>Georgi Petrov Dimitrov Bychkov Os</v>
      </c>
      <c r="H1751" s="10"/>
      <c r="I1751" s="10"/>
      <c r="J1751" s="10"/>
      <c r="K1751" s="10"/>
      <c r="L1751" s="10"/>
      <c r="M1751" s="10"/>
      <c r="N1751" s="10"/>
      <c r="O1751" s="10"/>
      <c r="P1751" s="10"/>
      <c r="Q1751" s="10"/>
      <c r="R1751" s="10"/>
      <c r="S1751" s="10"/>
      <c r="T1751" s="10"/>
      <c r="U1751" s="10"/>
      <c r="V1751" s="10"/>
      <c r="W1751" s="10"/>
      <c r="X1751" s="10"/>
      <c r="Y1751" s="10"/>
      <c r="Z1751" s="10"/>
    </row>
    <row r="1752" spans="1:26" ht="12.75">
      <c r="A1752" s="10" t="str">
        <f ca="1">IFERROR(__xludf.DUMMYFUNCTION("""COMPUTED_VALUE"""),"Галина Стоянова Панайотова")</f>
        <v>Галина Стоянова Панайотова</v>
      </c>
      <c r="B1752" s="10" t="str">
        <f ca="1">IFERROR(__xludf.DUMMYFUNCTION("""COMPUTED_VALUE"""),"Статия в списания и поредици")</f>
        <v>Статия в списания и поредици</v>
      </c>
      <c r="C1752" s="10" t="str">
        <f ca="1">IFERROR(__xludf.DUMMYFUNCTION("""COMPUTED_VALUE"""),"Analysis of the Growth Perspectives of the Early Stages of Technological Innovation in the Case of the Augmented and Virtual Reality Application,")</f>
        <v>Analysis of the Growth Perspectives of the Early Stages of Technological Innovation in the Case of the Augmented and Virtual Reality Application,</v>
      </c>
      <c r="D1752" s="10">
        <f ca="1">IFERROR(__xludf.DUMMYFUNCTION("""COMPUTED_VALUE"""),2017)</f>
        <v>2017</v>
      </c>
      <c r="E1752" s="10" t="str">
        <f ca="1">IFERROR(__xludf.DUMMYFUNCTION("""COMPUTED_VALUE"""),"International Journal of Computer Theory and Engineering, Vol. 9, No. 6, December 2017, ISSN: 1793-8201 (Print), DOI: 10.7763/IJCTE.")</f>
        <v>International Journal of Computer Theory and Engineering, Vol. 9, No. 6, December 2017, ISSN: 1793-8201 (Print), DOI: 10.7763/IJCTE.</v>
      </c>
      <c r="F1752" s="10" t="str">
        <f ca="1">IFERROR(__xludf.DUMMYFUNCTION("""COMPUTED_VALUE"""),"DOI: 10.7763/IJCTE.")</f>
        <v>DOI: 10.7763/IJCTE.</v>
      </c>
      <c r="G1752" s="10" t="str">
        <f ca="1">IFERROR(__xludf.DUMMYFUNCTION("""COMPUTED_VALUE"""),"Georgi P. Dimitrov, Rosen P. Toshev, and Iva Kostadinova")</f>
        <v>Georgi P. Dimitrov, Rosen P. Toshev, and Iva Kostadinova</v>
      </c>
      <c r="H1752" s="10"/>
      <c r="I1752" s="10"/>
      <c r="J1752" s="10"/>
      <c r="K1752" s="10"/>
      <c r="L1752" s="10"/>
      <c r="M1752" s="10"/>
      <c r="N1752" s="10"/>
      <c r="O1752" s="10"/>
      <c r="P1752" s="10"/>
      <c r="Q1752" s="10"/>
      <c r="R1752" s="10"/>
      <c r="S1752" s="10"/>
      <c r="T1752" s="10"/>
      <c r="U1752" s="10"/>
      <c r="V1752" s="10"/>
      <c r="W1752" s="10"/>
      <c r="X1752" s="10"/>
      <c r="Y1752" s="10"/>
      <c r="Z1752" s="10"/>
    </row>
    <row r="1753" spans="1:26" ht="12.75">
      <c r="A1753" s="10" t="str">
        <f ca="1">IFERROR(__xludf.DUMMYFUNCTION("""COMPUTED_VALUE"""),"Галина Стоянова Панайотова")</f>
        <v>Галина Стоянова Панайотова</v>
      </c>
      <c r="B1753" s="10" t="str">
        <f ca="1">IFERROR(__xludf.DUMMYFUNCTION("""COMPUTED_VALUE"""),"Доклад от конференция")</f>
        <v>Доклад от конференция</v>
      </c>
      <c r="C1753" s="10" t="str">
        <f ca="1">IFERROR(__xludf.DUMMYFUNCTION("""COMPUTED_VALUE"""),"Performance analysis of the method for social search of information in university information systems")</f>
        <v>Performance analysis of the method for social search of information in university information systems</v>
      </c>
      <c r="D1753" s="10">
        <f ca="1">IFERROR(__xludf.DUMMYFUNCTION("""COMPUTED_VALUE"""),2016)</f>
        <v>2016</v>
      </c>
      <c r="E1753" s="10" t="str">
        <f ca="1">IFERROR(__xludf.DUMMYFUNCTION("""COMPUTED_VALUE"""),"Artificial Intelligence and Pattern Recognition (AIPR), International Conference on, Date of Conference: 19-21 Sept. 2016, Date Added to IEEE Xplore: 13 October 2016, ISBN Information: Electronic ISBN: 978-1-4673-9187-0; CD-ROM ISBN: 978-1-4673-9186-3, Pr"&amp;"int on Demand(PoD) ISBN: 978-1-4673-9188-7")</f>
        <v>Artificial Intelligence and Pattern Recognition (AIPR), International Conference on, Date of Conference: 19-21 Sept. 2016, Date Added to IEEE Xplore: 13 October 2016, ISBN Information: Electronic ISBN: 978-1-4673-9187-0; CD-ROM ISBN: 978-1-4673-9186-3, Print on Demand(PoD) ISBN: 978-1-4673-9188-7</v>
      </c>
      <c r="F1753" s="10" t="str">
        <f ca="1">IFERROR(__xludf.DUMMYFUNCTION("""COMPUTED_VALUE"""),"IEEE, SKOPUS, Google Scholar")</f>
        <v>IEEE, SKOPUS, Google Scholar</v>
      </c>
      <c r="G1753" s="10" t="str">
        <f ca="1">IFERROR(__xludf.DUMMYFUNCTION("""COMPUTED_VALUE"""),"Georgi Petrov Dimitrov")</f>
        <v>Georgi Petrov Dimitrov</v>
      </c>
      <c r="H1753" s="10"/>
      <c r="I1753" s="10"/>
      <c r="J1753" s="10"/>
      <c r="K1753" s="10"/>
      <c r="L1753" s="10"/>
      <c r="M1753" s="10"/>
      <c r="N1753" s="10"/>
      <c r="O1753" s="10"/>
      <c r="P1753" s="10"/>
      <c r="Q1753" s="10"/>
      <c r="R1753" s="10"/>
      <c r="S1753" s="10"/>
      <c r="T1753" s="10"/>
      <c r="U1753" s="10"/>
      <c r="V1753" s="10"/>
      <c r="W1753" s="10"/>
      <c r="X1753" s="10"/>
      <c r="Y1753" s="10"/>
      <c r="Z1753" s="10"/>
    </row>
    <row r="1754" spans="1:26" ht="12.75">
      <c r="A1754" s="10" t="str">
        <f ca="1">IFERROR(__xludf.DUMMYFUNCTION("""COMPUTED_VALUE"""),"Галина Стоянова Панайотова")</f>
        <v>Галина Стоянова Панайотова</v>
      </c>
      <c r="B1754" s="10" t="str">
        <f ca="1">IFERROR(__xludf.DUMMYFUNCTION("""COMPUTED_VALUE"""),"Статия в списания и поредици")</f>
        <v>Статия в списания и поредици</v>
      </c>
      <c r="C1754" s="10" t="str">
        <f ca="1">IFERROR(__xludf.DUMMYFUNCTION("""COMPUTED_VALUE"""),"ФОРМАЛНАТА ПРИРОДА НА МАТЕМАТИЧЕСКИТЕ ТЕОРИИ")</f>
        <v>ФОРМАЛНАТА ПРИРОДА НА МАТЕМАТИЧЕСКИТЕ ТЕОРИИ</v>
      </c>
      <c r="D1754" s="10">
        <f ca="1">IFERROR(__xludf.DUMMYFUNCTION("""COMPUTED_VALUE"""),2016)</f>
        <v>2016</v>
      </c>
      <c r="E1754" s="10" t="str">
        <f ca="1">IFERROR(__xludf.DUMMYFUNCTION("""COMPUTED_VALUE"""),"сп. Наука Образование Култура, ISSN: 1314-717X, 81-89 стр.")</f>
        <v>сп. Наука Образование Култура, ISSN: 1314-717X, 81-89 стр.</v>
      </c>
      <c r="F1754" s="10" t="str">
        <f ca="1">IFERROR(__xludf.DUMMYFUNCTION("""COMPUTED_VALUE"""),"Google Scholar и др")</f>
        <v>Google Scholar и др</v>
      </c>
      <c r="G1754" s="10"/>
      <c r="H1754" s="10"/>
      <c r="I1754" s="10"/>
      <c r="J1754" s="10"/>
      <c r="K1754" s="10"/>
      <c r="L1754" s="10"/>
      <c r="M1754" s="10"/>
      <c r="N1754" s="10"/>
      <c r="O1754" s="10"/>
      <c r="P1754" s="10"/>
      <c r="Q1754" s="10"/>
      <c r="R1754" s="10"/>
      <c r="S1754" s="10"/>
      <c r="T1754" s="10"/>
      <c r="U1754" s="10"/>
      <c r="V1754" s="10"/>
      <c r="W1754" s="10"/>
      <c r="X1754" s="10"/>
      <c r="Y1754" s="10"/>
      <c r="Z1754" s="10"/>
    </row>
    <row r="1755" spans="1:26" ht="12.75">
      <c r="A1755" s="10" t="str">
        <f ca="1">IFERROR(__xludf.DUMMYFUNCTION("""COMPUTED_VALUE"""),"Галина Стоянова Панайотова")</f>
        <v>Галина Стоянова Панайотова</v>
      </c>
      <c r="B1755" s="10" t="str">
        <f ca="1">IFERROR(__xludf.DUMMYFUNCTION("""COMPUTED_VALUE"""),"Статия в списания и поредици")</f>
        <v>Статия в списания и поредици</v>
      </c>
      <c r="C1755" s="10" t="str">
        <f ca="1">IFERROR(__xludf.DUMMYFUNCTION("""COMPUTED_VALUE"""),"МЕТОДИ ЗА ОБРАБОТКА НА ИНФОРМАЦИЯ")</f>
        <v>МЕТОДИ ЗА ОБРАБОТКА НА ИНФОРМАЦИЯ</v>
      </c>
      <c r="D1755" s="10">
        <f ca="1">IFERROR(__xludf.DUMMYFUNCTION("""COMPUTED_VALUE"""),2016)</f>
        <v>2016</v>
      </c>
      <c r="E1755" s="10" t="str">
        <f ca="1">IFERROR(__xludf.DUMMYFUNCTION("""COMPUTED_VALUE"""),"Издателство „За буквите – О писменехь")</f>
        <v>Издателство „За буквите – О писменехь</v>
      </c>
      <c r="F1755" s="10" t="str">
        <f ca="1">IFERROR(__xludf.DUMMYFUNCTION("""COMPUTED_VALUE"""),"Google Scholar и др")</f>
        <v>Google Scholar и др</v>
      </c>
      <c r="G1755" s="10"/>
      <c r="H1755" s="10"/>
      <c r="I1755" s="10"/>
      <c r="J1755" s="10"/>
      <c r="K1755" s="10"/>
      <c r="L1755" s="10"/>
      <c r="M1755" s="10"/>
      <c r="N1755" s="10"/>
      <c r="O1755" s="10"/>
      <c r="P1755" s="10"/>
      <c r="Q1755" s="10"/>
      <c r="R1755" s="10"/>
      <c r="S1755" s="10"/>
      <c r="T1755" s="10"/>
      <c r="U1755" s="10"/>
      <c r="V1755" s="10"/>
      <c r="W1755" s="10"/>
      <c r="X1755" s="10"/>
      <c r="Y1755" s="10"/>
      <c r="Z1755" s="10"/>
    </row>
    <row r="1756" spans="1:26" ht="12.75">
      <c r="A1756" s="10" t="str">
        <f ca="1">IFERROR(__xludf.DUMMYFUNCTION("""COMPUTED_VALUE"""),"Галина Стоянова Панайотова")</f>
        <v>Галина Стоянова Панайотова</v>
      </c>
      <c r="B1756" s="10" t="str">
        <f ca="1">IFERROR(__xludf.DUMMYFUNCTION("""COMPUTED_VALUE"""),"Доклад от конференция")</f>
        <v>Доклад от конференция</v>
      </c>
      <c r="C1756" s="10" t="str">
        <f ca="1">IFERROR(__xludf.DUMMYFUNCTION("""COMPUTED_VALUE"""),"Modern online resources - factor for development of the information competency of the students")</f>
        <v>Modern online resources - factor for development of the information competency of the students</v>
      </c>
      <c r="D1756" s="10">
        <f ca="1">IFERROR(__xludf.DUMMYFUNCTION("""COMPUTED_VALUE"""),2016)</f>
        <v>2016</v>
      </c>
      <c r="E1756" s="10" t="str">
        <f ca="1">IFERROR(__xludf.DUMMYFUNCTION("""COMPUTED_VALUE"""),"UNESCO International Workshop QED’16: Technology Advanced Quality Learning for ALL")</f>
        <v>UNESCO International Workshop QED’16: Technology Advanced Quality Learning for ALL</v>
      </c>
      <c r="F1756" s="10" t="str">
        <f ca="1">IFERROR(__xludf.DUMMYFUNCTION("""COMPUTED_VALUE"""),"SKOPUS, Google Scholar и др")</f>
        <v>SKOPUS, Google Scholar и др</v>
      </c>
      <c r="G1756" s="10" t="str">
        <f ca="1">IFERROR(__xludf.DUMMYFUNCTION("""COMPUTED_VALUE"""),"Georgi Petrov Dimitrov Sv. Tsankov")</f>
        <v>Georgi Petrov Dimitrov Sv. Tsankov</v>
      </c>
      <c r="H1756" s="10"/>
      <c r="I1756" s="10"/>
      <c r="J1756" s="10"/>
      <c r="K1756" s="10"/>
      <c r="L1756" s="10"/>
      <c r="M1756" s="10"/>
      <c r="N1756" s="10"/>
      <c r="O1756" s="10"/>
      <c r="P1756" s="10"/>
      <c r="Q1756" s="10"/>
      <c r="R1756" s="10"/>
      <c r="S1756" s="10"/>
      <c r="T1756" s="10"/>
      <c r="U1756" s="10"/>
      <c r="V1756" s="10"/>
      <c r="W1756" s="10"/>
      <c r="X1756" s="10"/>
      <c r="Y1756" s="10"/>
      <c r="Z1756" s="10"/>
    </row>
    <row r="1757" spans="1:26" ht="12.75">
      <c r="A1757" s="10" t="str">
        <f ca="1">IFERROR(__xludf.DUMMYFUNCTION("""COMPUTED_VALUE"""),"Галина Стоянова Панайотова")</f>
        <v>Галина Стоянова Панайотова</v>
      </c>
      <c r="B1757" s="10" t="str">
        <f ca="1">IFERROR(__xludf.DUMMYFUNCTION("""COMPUTED_VALUE"""),"Статия в списания и поредици")</f>
        <v>Статия в списания и поредици</v>
      </c>
      <c r="C1757" s="10" t="str">
        <f ca="1">IFERROR(__xludf.DUMMYFUNCTION("""COMPUTED_VALUE"""),"Aspects of Website optimization")</f>
        <v>Aspects of Website optimization</v>
      </c>
      <c r="D1757" s="10">
        <f ca="1">IFERROR(__xludf.DUMMYFUNCTION("""COMPUTED_VALUE"""),2015)</f>
        <v>2015</v>
      </c>
      <c r="E1757" s="10" t="str">
        <f ca="1">IFERROR(__xludf.DUMMYFUNCTION("""COMPUTED_VALUE"""),"Mathematics, Informatics and Physics, Vol. 12, 2015. ISSN 1314-30-77, pp. 106-114.")</f>
        <v>Mathematics, Informatics and Physics, Vol. 12, 2015. ISSN 1314-30-77, pp. 106-114.</v>
      </c>
      <c r="F1757" s="10"/>
      <c r="G1757" s="10" t="str">
        <f ca="1">IFERROR(__xludf.DUMMYFUNCTION("""COMPUTED_VALUE"""),"Г.П.Димитров")</f>
        <v>Г.П.Димитров</v>
      </c>
      <c r="H1757" s="10"/>
      <c r="I1757" s="10"/>
      <c r="J1757" s="10"/>
      <c r="K1757" s="10"/>
      <c r="L1757" s="10"/>
      <c r="M1757" s="10"/>
      <c r="N1757" s="10"/>
      <c r="O1757" s="10"/>
      <c r="P1757" s="10"/>
      <c r="Q1757" s="10"/>
      <c r="R1757" s="10"/>
      <c r="S1757" s="10"/>
      <c r="T1757" s="10"/>
      <c r="U1757" s="10"/>
      <c r="V1757" s="10"/>
      <c r="W1757" s="10"/>
      <c r="X1757" s="10"/>
      <c r="Y1757" s="10"/>
      <c r="Z1757" s="10"/>
    </row>
    <row r="1758" spans="1:26" ht="12.75">
      <c r="A1758" s="10" t="str">
        <f ca="1">IFERROR(__xludf.DUMMYFUNCTION("""COMPUTED_VALUE"""),"Галина Стоянова Панайотова")</f>
        <v>Галина Стоянова Панайотова</v>
      </c>
      <c r="B1758" s="10" t="str">
        <f ca="1">IFERROR(__xludf.DUMMYFUNCTION("""COMPUTED_VALUE"""),"Доклад от конференция")</f>
        <v>Доклад от конференция</v>
      </c>
      <c r="C1758" s="10" t="str">
        <f ca="1">IFERROR(__xludf.DUMMYFUNCTION("""COMPUTED_VALUE"""),"Management System for Quality of Education in ULSIT")</f>
        <v>Management System for Quality of Education in ULSIT</v>
      </c>
      <c r="D1758" s="10">
        <f ca="1">IFERROR(__xludf.DUMMYFUNCTION("""COMPUTED_VALUE"""),2015)</f>
        <v>2015</v>
      </c>
      <c r="E1758" s="10" t="str">
        <f ca="1">IFERROR(__xludf.DUMMYFUNCTION("""COMPUTED_VALUE"""),"Proceeding of UNESCO International Workshop Quality of Education and Challenges in a Digitally Networked World, ISBN 978-619-185")</f>
        <v>Proceeding of UNESCO International Workshop Quality of Education and Challenges in a Digitally Networked World, ISBN 978-619-185</v>
      </c>
      <c r="F1758" s="10"/>
      <c r="G1758" s="10" t="str">
        <f ca="1">IFERROR(__xludf.DUMMYFUNCTION("""COMPUTED_VALUE"""),"Г.П.Димитров, И. Иванов")</f>
        <v>Г.П.Димитров, И. Иванов</v>
      </c>
      <c r="H1758" s="10"/>
      <c r="I1758" s="10"/>
      <c r="J1758" s="10"/>
      <c r="K1758" s="10"/>
      <c r="L1758" s="10"/>
      <c r="M1758" s="10"/>
      <c r="N1758" s="10"/>
      <c r="O1758" s="10"/>
      <c r="P1758" s="10"/>
      <c r="Q1758" s="10"/>
      <c r="R1758" s="10"/>
      <c r="S1758" s="10"/>
      <c r="T1758" s="10"/>
      <c r="U1758" s="10"/>
      <c r="V1758" s="10"/>
      <c r="W1758" s="10"/>
      <c r="X1758" s="10"/>
      <c r="Y1758" s="10"/>
      <c r="Z1758" s="10"/>
    </row>
    <row r="1759" spans="1:26" ht="12.75">
      <c r="A1759" s="10" t="str">
        <f ca="1">IFERROR(__xludf.DUMMYFUNCTION("""COMPUTED_VALUE"""),"Галина Стоянова Панайотова")</f>
        <v>Галина Стоянова Панайотова</v>
      </c>
      <c r="B1759" s="10" t="str">
        <f ca="1">IFERROR(__xludf.DUMMYFUNCTION("""COMPUTED_VALUE"""),"Доклад от конференция")</f>
        <v>Доклад от конференция</v>
      </c>
      <c r="C1759" s="10" t="str">
        <f ca="1">IFERROR(__xludf.DUMMYFUNCTION("""COMPUTED_VALUE"""),"Balancing Automated and Manual Testing with Opportunity cost")</f>
        <v>Balancing Automated and Manual Testing with Opportunity cost</v>
      </c>
      <c r="D1759" s="10">
        <f ca="1">IFERROR(__xludf.DUMMYFUNCTION("""COMPUTED_VALUE"""),2015)</f>
        <v>2015</v>
      </c>
      <c r="E1759" s="10" t="str">
        <f ca="1">IFERROR(__xludf.DUMMYFUNCTION("""COMPUTED_VALUE"""),"Proceeding of the HASSACC 2015 – Virtual Conference- 18-22.11. 2015 Slovakia Republic, pp. 93-95, ISBN: 978-80-554-1002-9.")</f>
        <v>Proceeding of the HASSACC 2015 – Virtual Conference- 18-22.11. 2015 Slovakia Republic, pp. 93-95, ISBN: 978-80-554-1002-9.</v>
      </c>
      <c r="F1759" s="10"/>
      <c r="G1759" s="10" t="str">
        <f ca="1">IFERROR(__xludf.DUMMYFUNCTION("""COMPUTED_VALUE"""),"Г.П.Димитров")</f>
        <v>Г.П.Димитров</v>
      </c>
      <c r="H1759" s="10"/>
      <c r="I1759" s="10"/>
      <c r="J1759" s="10"/>
      <c r="K1759" s="10"/>
      <c r="L1759" s="10"/>
      <c r="M1759" s="10"/>
      <c r="N1759" s="10"/>
      <c r="O1759" s="10"/>
      <c r="P1759" s="10"/>
      <c r="Q1759" s="10"/>
      <c r="R1759" s="10"/>
      <c r="S1759" s="10"/>
      <c r="T1759" s="10"/>
      <c r="U1759" s="10"/>
      <c r="V1759" s="10"/>
      <c r="W1759" s="10"/>
      <c r="X1759" s="10"/>
      <c r="Y1759" s="10"/>
      <c r="Z1759" s="10"/>
    </row>
    <row r="1760" spans="1:26" ht="12.75">
      <c r="A1760" s="10" t="str">
        <f ca="1">IFERROR(__xludf.DUMMYFUNCTION("""COMPUTED_VALUE"""),"Галина Стоянова Панайотова")</f>
        <v>Галина Стоянова Панайотова</v>
      </c>
      <c r="B1760" s="10" t="str">
        <f ca="1">IFERROR(__xludf.DUMMYFUNCTION("""COMPUTED_VALUE"""),"Книга")</f>
        <v>Книга</v>
      </c>
      <c r="C1760" s="10" t="str">
        <f ca="1">IFERROR(__xludf.DUMMYFUNCTION("""COMPUTED_VALUE"""),"Математически анализ")</f>
        <v>Математически анализ</v>
      </c>
      <c r="D1760" s="10">
        <f ca="1">IFERROR(__xludf.DUMMYFUNCTION("""COMPUTED_VALUE"""),2014)</f>
        <v>2014</v>
      </c>
      <c r="E1760" s="10" t="str">
        <f ca="1">IFERROR(__xludf.DUMMYFUNCTION("""COMPUTED_VALUE"""),"Издателство “За буквите-О писменехь“, 2014, ISBN 978-619-185-104-1")</f>
        <v>Издателство “За буквите-О писменехь“, 2014, ISBN 978-619-185-104-1</v>
      </c>
      <c r="F1760" s="10"/>
      <c r="G1760" s="10"/>
      <c r="H1760" s="10"/>
      <c r="I1760" s="10"/>
      <c r="J1760" s="10"/>
      <c r="K1760" s="10"/>
      <c r="L1760" s="10"/>
      <c r="M1760" s="10"/>
      <c r="N1760" s="10"/>
      <c r="O1760" s="10"/>
      <c r="P1760" s="10"/>
      <c r="Q1760" s="10"/>
      <c r="R1760" s="10"/>
      <c r="S1760" s="10"/>
      <c r="T1760" s="10"/>
      <c r="U1760" s="10"/>
      <c r="V1760" s="10"/>
      <c r="W1760" s="10"/>
      <c r="X1760" s="10"/>
      <c r="Y1760" s="10"/>
      <c r="Z1760" s="10"/>
    </row>
    <row r="1761" spans="1:26" ht="12.75">
      <c r="A1761" s="10" t="str">
        <f ca="1">IFERROR(__xludf.DUMMYFUNCTION("""COMPUTED_VALUE"""),"Галина Стоянова Панайотова")</f>
        <v>Галина Стоянова Панайотова</v>
      </c>
      <c r="B1761" s="10" t="str">
        <f ca="1">IFERROR(__xludf.DUMMYFUNCTION("""COMPUTED_VALUE"""),"Книга")</f>
        <v>Книга</v>
      </c>
      <c r="C1761" s="10" t="str">
        <f ca="1">IFERROR(__xludf.DUMMYFUNCTION("""COMPUTED_VALUE"""),"Линейна алгебра и аналитична геометрия")</f>
        <v>Линейна алгебра и аналитична геометрия</v>
      </c>
      <c r="D1761" s="10">
        <f ca="1">IFERROR(__xludf.DUMMYFUNCTION("""COMPUTED_VALUE"""),2014)</f>
        <v>2014</v>
      </c>
      <c r="E1761" s="10" t="str">
        <f ca="1">IFERROR(__xludf.DUMMYFUNCTION("""COMPUTED_VALUE"""),"Издателство “За буквите-О писменехь“, 2014, ISBN 978-619-185-056-3")</f>
        <v>Издателство “За буквите-О писменехь“, 2014, ISBN 978-619-185-056-3</v>
      </c>
      <c r="F1761" s="10"/>
      <c r="G1761" s="10"/>
      <c r="H1761" s="10"/>
      <c r="I1761" s="10"/>
      <c r="J1761" s="10"/>
      <c r="K1761" s="10"/>
      <c r="L1761" s="10"/>
      <c r="M1761" s="10"/>
      <c r="N1761" s="10"/>
      <c r="O1761" s="10"/>
      <c r="P1761" s="10"/>
      <c r="Q1761" s="10"/>
      <c r="R1761" s="10"/>
      <c r="S1761" s="10"/>
      <c r="T1761" s="10"/>
      <c r="U1761" s="10"/>
      <c r="V1761" s="10"/>
      <c r="W1761" s="10"/>
      <c r="X1761" s="10"/>
      <c r="Y1761" s="10"/>
      <c r="Z1761" s="10"/>
    </row>
    <row r="1762" spans="1:26" ht="12.75">
      <c r="A1762" s="10" t="str">
        <f ca="1">IFERROR(__xludf.DUMMYFUNCTION("""COMPUTED_VALUE"""),"Галина Стоянова Панайотова")</f>
        <v>Галина Стоянова Панайотова</v>
      </c>
      <c r="B1762" s="10" t="str">
        <f ca="1">IFERROR(__xludf.DUMMYFUNCTION("""COMPUTED_VALUE"""),"Книга")</f>
        <v>Книга</v>
      </c>
      <c r="C1762" s="10" t="str">
        <f ca="1">IFERROR(__xludf.DUMMYFUNCTION("""COMPUTED_VALUE"""),"Математическо моделиране")</f>
        <v>Математическо моделиране</v>
      </c>
      <c r="D1762" s="10">
        <f ca="1">IFERROR(__xludf.DUMMYFUNCTION("""COMPUTED_VALUE"""),2014)</f>
        <v>2014</v>
      </c>
      <c r="E1762" s="10" t="str">
        <f ca="1">IFERROR(__xludf.DUMMYFUNCTION("""COMPUTED_VALUE"""),"Издателство “За буквите-О писменехь“, 2014, ISBN 978-619-185-037-2")</f>
        <v>Издателство “За буквите-О писменехь“, 2014, ISBN 978-619-185-037-2</v>
      </c>
      <c r="F1762" s="10"/>
      <c r="G1762" s="10"/>
      <c r="H1762" s="10"/>
      <c r="I1762" s="10"/>
      <c r="J1762" s="10"/>
      <c r="K1762" s="10"/>
      <c r="L1762" s="10"/>
      <c r="M1762" s="10"/>
      <c r="N1762" s="10"/>
      <c r="O1762" s="10"/>
      <c r="P1762" s="10"/>
      <c r="Q1762" s="10"/>
      <c r="R1762" s="10"/>
      <c r="S1762" s="10"/>
      <c r="T1762" s="10"/>
      <c r="U1762" s="10"/>
      <c r="V1762" s="10"/>
      <c r="W1762" s="10"/>
      <c r="X1762" s="10"/>
      <c r="Y1762" s="10"/>
      <c r="Z1762" s="10"/>
    </row>
    <row r="1763" spans="1:26" ht="12.75">
      <c r="A1763" s="10" t="str">
        <f ca="1">IFERROR(__xludf.DUMMYFUNCTION("""COMPUTED_VALUE"""),"Галина Стоянова Панайотова")</f>
        <v>Галина Стоянова Панайотова</v>
      </c>
      <c r="B1763" s="10" t="str">
        <f ca="1">IFERROR(__xludf.DUMMYFUNCTION("""COMPUTED_VALUE"""),"Статия в списания и поредици")</f>
        <v>Статия в списания и поредици</v>
      </c>
      <c r="C1763" s="10" t="str">
        <f ca="1">IFERROR(__xludf.DUMMYFUNCTION("""COMPUTED_VALUE"""),"Chronological modeling of the West – European information about the medieval maps of the Ottoman world 16th – 18th Centuries.")</f>
        <v>Chronological modeling of the West – European information about the medieval maps of the Ottoman world 16th – 18th Centuries.</v>
      </c>
      <c r="D1763" s="10">
        <f ca="1">IFERROR(__xludf.DUMMYFUNCTION("""COMPUTED_VALUE"""),2014)</f>
        <v>2014</v>
      </c>
      <c r="E1763" s="10" t="str">
        <f ca="1">IFERROR(__xludf.DUMMYFUNCTION("""COMPUTED_VALUE"""),"IJ Information Models &amp; Analyses, Vol. 3/ 2014, No. 3, 247-251. ISSN 1314-6416 (printed) ISSN 1314-6432 (Online) [www.foibg.com")</f>
        <v>IJ Information Models &amp; Analyses, Vol. 3/ 2014, No. 3, 247-251. ISSN 1314-6416 (printed) ISSN 1314-6432 (Online) [www.foibg.com</v>
      </c>
      <c r="F1763" s="10"/>
      <c r="G1763" s="10" t="str">
        <f ca="1">IFERROR(__xludf.DUMMYFUNCTION("""COMPUTED_VALUE"""),"Йордан Табов")</f>
        <v>Йордан Табов</v>
      </c>
      <c r="H1763" s="10"/>
      <c r="I1763" s="10"/>
      <c r="J1763" s="10"/>
      <c r="K1763" s="10"/>
      <c r="L1763" s="10"/>
      <c r="M1763" s="10"/>
      <c r="N1763" s="10"/>
      <c r="O1763" s="10"/>
      <c r="P1763" s="10"/>
      <c r="Q1763" s="10"/>
      <c r="R1763" s="10"/>
      <c r="S1763" s="10"/>
      <c r="T1763" s="10"/>
      <c r="U1763" s="10"/>
      <c r="V1763" s="10"/>
      <c r="W1763" s="10"/>
      <c r="X1763" s="10"/>
      <c r="Y1763" s="10"/>
      <c r="Z1763" s="10"/>
    </row>
    <row r="1764" spans="1:26" ht="12.75">
      <c r="A1764" s="10" t="str">
        <f ca="1">IFERROR(__xludf.DUMMYFUNCTION("""COMPUTED_VALUE"""),"Галина Стоянова Панайотова")</f>
        <v>Галина Стоянова Панайотова</v>
      </c>
      <c r="B1764" s="10" t="str">
        <f ca="1">IFERROR(__xludf.DUMMYFUNCTION("""COMPUTED_VALUE"""),"Доклад от конференция")</f>
        <v>Доклад от конференция</v>
      </c>
      <c r="C1764" s="10" t="str">
        <f ca="1">IFERROR(__xludf.DUMMYFUNCTION("""COMPUTED_VALUE"""),"Design of Web - Based Information System for Optimization of Portfolio")</f>
        <v>Design of Web - Based Information System for Optimization of Portfolio</v>
      </c>
      <c r="D1764" s="10">
        <f ca="1">IFERROR(__xludf.DUMMYFUNCTION("""COMPUTED_VALUE"""),2014)</f>
        <v>2014</v>
      </c>
      <c r="E1764" s="10" t="str">
        <f ca="1">IFERROR(__xludf.DUMMYFUNCTION("""COMPUTED_VALUE"""),"Proceeding of the 13th International Synposium on Operations Reseach in Slowenia, 23-25 September, 2015, Bled, Slowenia, pp 193")</f>
        <v>Proceeding of the 13th International Synposium on Operations Reseach in Slowenia, 23-25 September, 2015, Bled, Slowenia, pp 193</v>
      </c>
      <c r="F1764" s="10"/>
      <c r="G1764" s="10" t="str">
        <f ca="1">IFERROR(__xludf.DUMMYFUNCTION("""COMPUTED_VALUE"""),"Г.П.Димитров")</f>
        <v>Г.П.Димитров</v>
      </c>
      <c r="H1764" s="10"/>
      <c r="I1764" s="10"/>
      <c r="J1764" s="10"/>
      <c r="K1764" s="10"/>
      <c r="L1764" s="10"/>
      <c r="M1764" s="10"/>
      <c r="N1764" s="10"/>
      <c r="O1764" s="10"/>
      <c r="P1764" s="10"/>
      <c r="Q1764" s="10"/>
      <c r="R1764" s="10"/>
      <c r="S1764" s="10"/>
      <c r="T1764" s="10"/>
      <c r="U1764" s="10"/>
      <c r="V1764" s="10"/>
      <c r="W1764" s="10"/>
      <c r="X1764" s="10"/>
      <c r="Y1764" s="10"/>
      <c r="Z1764" s="10"/>
    </row>
    <row r="1765" spans="1:26" ht="12.75">
      <c r="A1765" s="10" t="str">
        <f ca="1">IFERROR(__xludf.DUMMYFUNCTION("""COMPUTED_VALUE"""),"Галина Стоянова Панайотова")</f>
        <v>Галина Стоянова Панайотова</v>
      </c>
      <c r="B1765" s="10" t="str">
        <f ca="1">IFERROR(__xludf.DUMMYFUNCTION("""COMPUTED_VALUE"""),"Доклад от конференция")</f>
        <v>Доклад от конференция</v>
      </c>
      <c r="C1765" s="10" t="str">
        <f ca="1">IFERROR(__xludf.DUMMYFUNCTION("""COMPUTED_VALUE"""),"""Queuing systems in insurance companies – analyzing incoming requests"" ,")</f>
        <v>"Queuing systems in insurance companies – analyzing incoming requests" ,</v>
      </c>
      <c r="D1765" s="10">
        <f ca="1">IFERROR(__xludf.DUMMYFUNCTION("""COMPUTED_VALUE"""),2013)</f>
        <v>2013</v>
      </c>
      <c r="E1765" s="10" t="str">
        <f ca="1">IFERROR(__xludf.DUMMYFUNCTION("""COMPUTED_VALUE"""),"Proceeding of the 2nd Electronic International Interdisciplinary Conference, EDIS - Publishing Institution of the University of")</f>
        <v>Proceeding of the 2nd Electronic International Interdisciplinary Conference, EDIS - Publishing Institution of the University of</v>
      </c>
      <c r="F1765" s="10"/>
      <c r="G1765" s="10" t="str">
        <f ca="1">IFERROR(__xludf.DUMMYFUNCTION("""COMPUTED_VALUE"""),"Г.П.Димитров")</f>
        <v>Г.П.Димитров</v>
      </c>
      <c r="H1765" s="10"/>
      <c r="I1765" s="10"/>
      <c r="J1765" s="10"/>
      <c r="K1765" s="10"/>
      <c r="L1765" s="10"/>
      <c r="M1765" s="10"/>
      <c r="N1765" s="10"/>
      <c r="O1765" s="10"/>
      <c r="P1765" s="10"/>
      <c r="Q1765" s="10"/>
      <c r="R1765" s="10"/>
      <c r="S1765" s="10"/>
      <c r="T1765" s="10"/>
      <c r="U1765" s="10"/>
      <c r="V1765" s="10"/>
      <c r="W1765" s="10"/>
      <c r="X1765" s="10"/>
      <c r="Y1765" s="10"/>
      <c r="Z1765" s="10"/>
    </row>
    <row r="1766" spans="1:26" ht="12.75">
      <c r="A1766" s="10" t="str">
        <f ca="1">IFERROR(__xludf.DUMMYFUNCTION("""COMPUTED_VALUE"""),"Галина Стоянова Панайотова")</f>
        <v>Галина Стоянова Панайотова</v>
      </c>
      <c r="B1766" s="10" t="str">
        <f ca="1">IFERROR(__xludf.DUMMYFUNCTION("""COMPUTED_VALUE"""),"Монография")</f>
        <v>Монография</v>
      </c>
      <c r="C1766" s="10" t="str">
        <f ca="1">IFERROR(__xludf.DUMMYFUNCTION("""COMPUTED_VALUE"""),"Приложение на количествените методи в историческите изследвания")</f>
        <v>Приложение на количествените методи в историческите изследвания</v>
      </c>
      <c r="D1766" s="10">
        <f ca="1">IFERROR(__xludf.DUMMYFUNCTION("""COMPUTED_VALUE"""),2012)</f>
        <v>2012</v>
      </c>
      <c r="E1766" s="10" t="str">
        <f ca="1">IFERROR(__xludf.DUMMYFUNCTION("""COMPUTED_VALUE"""),"STOVI, Group BULGARIA, ISBN 978-954-92904-3-1")</f>
        <v>STOVI, Group BULGARIA, ISBN 978-954-92904-3-1</v>
      </c>
      <c r="F1766" s="10" t="str">
        <f ca="1">IFERROR(__xludf.DUMMYFUNCTION("""COMPUTED_VALUE"""),"ISBN 978-954-92904-3-1
 http://www.booksinprint.bg/Publication/Details/0ade701b-1dc7-4731-a227-9ce46989cc47")</f>
        <v>ISBN 978-954-92904-3-1
 http://www.booksinprint.bg/Publication/Details/0ade701b-1dc7-4731-a227-9ce46989cc47</v>
      </c>
      <c r="G1766" s="10"/>
      <c r="H1766" s="10"/>
      <c r="I1766" s="10"/>
      <c r="J1766" s="10"/>
      <c r="K1766" s="10"/>
      <c r="L1766" s="10"/>
      <c r="M1766" s="10"/>
      <c r="N1766" s="10"/>
      <c r="O1766" s="10"/>
      <c r="P1766" s="10"/>
      <c r="Q1766" s="10"/>
      <c r="R1766" s="10"/>
      <c r="S1766" s="10"/>
      <c r="T1766" s="10"/>
      <c r="U1766" s="10"/>
      <c r="V1766" s="10"/>
      <c r="W1766" s="10"/>
      <c r="X1766" s="10"/>
      <c r="Y1766" s="10"/>
      <c r="Z1766" s="10"/>
    </row>
    <row r="1767" spans="1:26" ht="12.75">
      <c r="A1767" s="10" t="str">
        <f ca="1">IFERROR(__xludf.DUMMYFUNCTION("""COMPUTED_VALUE"""),"Галина Стоянова Панайотова")</f>
        <v>Галина Стоянова Панайотова</v>
      </c>
      <c r="B1767" s="10" t="str">
        <f ca="1">IFERROR(__xludf.DUMMYFUNCTION("""COMPUTED_VALUE"""),"Монография")</f>
        <v>Монография</v>
      </c>
      <c r="C1767" s="10" t="str">
        <f ca="1">IFERROR(__xludf.DUMMYFUNCTION("""COMPUTED_VALUE"""),"News in two Dimensional Finsler Space")</f>
        <v>News in two Dimensional Finsler Space</v>
      </c>
      <c r="D1767" s="10">
        <f ca="1">IFERROR(__xludf.DUMMYFUNCTION("""COMPUTED_VALUE"""),2012)</f>
        <v>2012</v>
      </c>
      <c r="E1767" s="10" t="str">
        <f ca="1">IFERROR(__xludf.DUMMYFUNCTION("""COMPUTED_VALUE"""),"STOVI, Group BULGARIA, ISBN 978-954-92904-2-4")</f>
        <v>STOVI, Group BULGARIA, ISBN 978-954-92904-2-4</v>
      </c>
      <c r="F1767" s="10" t="str">
        <f ca="1">IFERROR(__xludf.DUMMYFUNCTION("""COMPUTED_VALUE"""),"ISBN 978-954-92904-2-4
 http://www.booksinprint.bg/Publication/Details/b3d04a57-bf48-49cc-88f2-f8470f437d24")</f>
        <v>ISBN 978-954-92904-2-4
 http://www.booksinprint.bg/Publication/Details/b3d04a57-bf48-49cc-88f2-f8470f437d24</v>
      </c>
      <c r="G1767" s="10"/>
      <c r="H1767" s="10"/>
      <c r="I1767" s="10"/>
      <c r="J1767" s="10"/>
      <c r="K1767" s="10"/>
      <c r="L1767" s="10"/>
      <c r="M1767" s="10"/>
      <c r="N1767" s="10"/>
      <c r="O1767" s="10"/>
      <c r="P1767" s="10"/>
      <c r="Q1767" s="10"/>
      <c r="R1767" s="10"/>
      <c r="S1767" s="10"/>
      <c r="T1767" s="10"/>
      <c r="U1767" s="10"/>
      <c r="V1767" s="10"/>
      <c r="W1767" s="10"/>
      <c r="X1767" s="10"/>
      <c r="Y1767" s="10"/>
      <c r="Z1767" s="10"/>
    </row>
    <row r="1768" spans="1:26" ht="12.75">
      <c r="A1768" s="10" t="str">
        <f ca="1">IFERROR(__xludf.DUMMYFUNCTION("""COMPUTED_VALUE"""),"Галина Стоянова Панайотова")</f>
        <v>Галина Стоянова Панайотова</v>
      </c>
      <c r="B1768" s="10" t="str">
        <f ca="1">IFERROR(__xludf.DUMMYFUNCTION("""COMPUTED_VALUE"""),"Статия в списания и поредици")</f>
        <v>Статия в списания и поредици</v>
      </c>
      <c r="C1768" s="10" t="str">
        <f ca="1">IFERROR(__xludf.DUMMYFUNCTION("""COMPUTED_VALUE"""),"Modeling network flow by Excel Solver")</f>
        <v>Modeling network flow by Excel Solver</v>
      </c>
      <c r="D1768" s="10">
        <f ca="1">IFERROR(__xludf.DUMMYFUNCTION("""COMPUTED_VALUE"""),2010)</f>
        <v>2010</v>
      </c>
      <c r="E1768" s="10" t="str">
        <f ca="1">IFERROR(__xludf.DUMMYFUNCTION("""COMPUTED_VALUE"""),"Trakia journal of science, Vol.8, Suppl.3, 2010, pp.12-15. ISSN 1313-7069")</f>
        <v>Trakia journal of science, Vol.8, Suppl.3, 2010, pp.12-15. ISSN 1313-7069</v>
      </c>
      <c r="F1768" s="10" t="str">
        <f ca="1">IFERROR(__xludf.DUMMYFUNCTION("""COMPUTED_VALUE"""),"Web of Science")</f>
        <v>Web of Science</v>
      </c>
      <c r="G1768" s="10" t="str">
        <f ca="1">IFERROR(__xludf.DUMMYFUNCTION("""COMPUTED_VALUE"""),"S.Slavova")</f>
        <v>S.Slavova</v>
      </c>
      <c r="H1768" s="10"/>
      <c r="I1768" s="10"/>
      <c r="J1768" s="10"/>
      <c r="K1768" s="10"/>
      <c r="L1768" s="10"/>
      <c r="M1768" s="10"/>
      <c r="N1768" s="10"/>
      <c r="O1768" s="10"/>
      <c r="P1768" s="10"/>
      <c r="Q1768" s="10"/>
      <c r="R1768" s="10"/>
      <c r="S1768" s="10"/>
      <c r="T1768" s="10"/>
      <c r="U1768" s="10"/>
      <c r="V1768" s="10"/>
      <c r="W1768" s="10"/>
      <c r="X1768" s="10"/>
      <c r="Y1768" s="10"/>
      <c r="Z1768" s="10"/>
    </row>
    <row r="1769" spans="1:26" ht="12.75">
      <c r="A1769" s="10" t="str">
        <f ca="1">IFERROR(__xludf.DUMMYFUNCTION("""COMPUTED_VALUE"""),"Галина Стоянова Панайотова")</f>
        <v>Галина Стоянова Панайотова</v>
      </c>
      <c r="B1769" s="10" t="str">
        <f ca="1">IFERROR(__xludf.DUMMYFUNCTION("""COMPUTED_VALUE"""),"Статия в списания и поредици")</f>
        <v>Статия в списания и поредици</v>
      </c>
      <c r="C1769" s="10" t="str">
        <f ca="1">IFERROR(__xludf.DUMMYFUNCTION("""COMPUTED_VALUE"""),"Research for Distribution of Data From Risk Technical Systems")</f>
        <v>Research for Distribution of Data From Risk Technical Systems</v>
      </c>
      <c r="D1769" s="10">
        <f ca="1">IFERROR(__xludf.DUMMYFUNCTION("""COMPUTED_VALUE"""),2009)</f>
        <v>2009</v>
      </c>
      <c r="E1769" s="10" t="str">
        <f ca="1">IFERROR(__xludf.DUMMYFUNCTION("""COMPUTED_VALUE"""),"International Journal of Computing, 2009, Vol. 8, Issue 3, pp. 32-35, ISSN 1727-6209,")</f>
        <v>International Journal of Computing, 2009, Vol. 8, Issue 3, pp. 32-35, ISSN 1727-6209,</v>
      </c>
      <c r="F1769" s="10" t="str">
        <f ca="1">IFERROR(__xludf.DUMMYFUNCTION("""COMPUTED_VALUE"""),"SCOPUS, Q3")</f>
        <v>SCOPUS, Q3</v>
      </c>
      <c r="G1769" s="10" t="str">
        <f ca="1">IFERROR(__xludf.DUMMYFUNCTION("""COMPUTED_VALUE"""),"N. Petrov")</f>
        <v>N. Petrov</v>
      </c>
      <c r="H1769" s="10"/>
      <c r="I1769" s="10"/>
      <c r="J1769" s="10"/>
      <c r="K1769" s="10"/>
      <c r="L1769" s="10"/>
      <c r="M1769" s="10"/>
      <c r="N1769" s="10"/>
      <c r="O1769" s="10"/>
      <c r="P1769" s="10"/>
      <c r="Q1769" s="10"/>
      <c r="R1769" s="10"/>
      <c r="S1769" s="10"/>
      <c r="T1769" s="10"/>
      <c r="U1769" s="10"/>
      <c r="V1769" s="10"/>
      <c r="W1769" s="10"/>
      <c r="X1769" s="10"/>
      <c r="Y1769" s="10"/>
      <c r="Z1769" s="10"/>
    </row>
    <row r="1770" spans="1:26" ht="12.75">
      <c r="A1770" s="10" t="str">
        <f ca="1">IFERROR(__xludf.DUMMYFUNCTION("""COMPUTED_VALUE"""),"Галина Стоянова Панайотова")</f>
        <v>Галина Стоянова Панайотова</v>
      </c>
      <c r="B1770" s="10" t="str">
        <f ca="1">IFERROR(__xludf.DUMMYFUNCTION("""COMPUTED_VALUE"""),"Доклад от конференция")</f>
        <v>Доклад от конференция</v>
      </c>
      <c r="C1770" s="10" t="str">
        <f ca="1">IFERROR(__xludf.DUMMYFUNCTION("""COMPUTED_VALUE"""),"Wave type solution for the hyperbolic conservation laws with stiff diffusive relaxations")</f>
        <v>Wave type solution for the hyperbolic conservation laws with stiff diffusive relaxations</v>
      </c>
      <c r="D1770" s="10">
        <f ca="1">IFERROR(__xludf.DUMMYFUNCTION("""COMPUTED_VALUE"""),2008)</f>
        <v>2008</v>
      </c>
      <c r="E1770" s="10" t="str">
        <f ca="1">IFERROR(__xludf.DUMMYFUNCTION("""COMPUTED_VALUE"""),"International conference “Computer methods in science and education”, Varna, 12-14 09. 2008., стр. 60 – 64, University Press “Bishop Konstantin Preslavski” ISBN 978–954–577–569–7")</f>
        <v>International conference “Computer methods in science and education”, Varna, 12-14 09. 2008., стр. 60 – 64, University Press “Bishop Konstantin Preslavski” ISBN 978–954–577–569–7</v>
      </c>
      <c r="F1770" s="10"/>
      <c r="G1770" s="10"/>
      <c r="H1770" s="10"/>
      <c r="I1770" s="10"/>
      <c r="J1770" s="10"/>
      <c r="K1770" s="10"/>
      <c r="L1770" s="10"/>
      <c r="M1770" s="10"/>
      <c r="N1770" s="10"/>
      <c r="O1770" s="10"/>
      <c r="P1770" s="10"/>
      <c r="Q1770" s="10"/>
      <c r="R1770" s="10"/>
      <c r="S1770" s="10"/>
      <c r="T1770" s="10"/>
      <c r="U1770" s="10"/>
      <c r="V1770" s="10"/>
      <c r="W1770" s="10"/>
      <c r="X1770" s="10"/>
      <c r="Y1770" s="10"/>
      <c r="Z1770" s="10"/>
    </row>
    <row r="1771" spans="1:26" ht="12.75">
      <c r="A1771" s="10" t="str">
        <f ca="1">IFERROR(__xludf.DUMMYFUNCTION("""COMPUTED_VALUE"""),"Галина Стоянова Панайотова")</f>
        <v>Галина Стоянова Панайотова</v>
      </c>
      <c r="B1771" s="10" t="str">
        <f ca="1">IFERROR(__xludf.DUMMYFUNCTION("""COMPUTED_VALUE"""),"Статия в списания и поредици")</f>
        <v>Статия в списания и поредици</v>
      </c>
      <c r="C1771" s="10" t="str">
        <f ca="1">IFERROR(__xludf.DUMMYFUNCTION("""COMPUTED_VALUE"""),"RESEARCH OF DATA DISTRIBUTION")</f>
        <v>RESEARCH OF DATA DISTRIBUTION</v>
      </c>
      <c r="D1771" s="10">
        <f ca="1">IFERROR(__xludf.DUMMYFUNCTION("""COMPUTED_VALUE"""),2006)</f>
        <v>2006</v>
      </c>
      <c r="E1771" s="10" t="str">
        <f ca="1">IFERROR(__xludf.DUMMYFUNCTION("""COMPUTED_VALUE"""),"Trakia journal of sciences, Vol.4, pp.70-75,2006, ISSN 1312-1723 (print) 1313-3551 (online),")</f>
        <v>Trakia journal of sciences, Vol.4, pp.70-75,2006, ISSN 1312-1723 (print) 1313-3551 (online),</v>
      </c>
      <c r="F1771" s="10" t="str">
        <f ca="1">IFERROR(__xludf.DUMMYFUNCTION("""COMPUTED_VALUE"""),"Trakia journal of sciences, Vol.4, pp.70-75,2006, ISSN 1312-1723 (print) 1313-3551 (online), Web of Science 30 t.")</f>
        <v>Trakia journal of sciences, Vol.4, pp.70-75,2006, ISSN 1312-1723 (print) 1313-3551 (online), Web of Science 30 t.</v>
      </c>
      <c r="G1771" s="10" t="str">
        <f ca="1">IFERROR(__xludf.DUMMYFUNCTION("""COMPUTED_VALUE"""),"N Petrov, Y Hristova, Kr. Krastev")</f>
        <v>N Petrov, Y Hristova, Kr. Krastev</v>
      </c>
      <c r="H1771" s="10"/>
      <c r="I1771" s="10"/>
      <c r="J1771" s="10"/>
      <c r="K1771" s="10"/>
      <c r="L1771" s="10"/>
      <c r="M1771" s="10"/>
      <c r="N1771" s="10"/>
      <c r="O1771" s="10"/>
      <c r="P1771" s="10"/>
      <c r="Q1771" s="10"/>
      <c r="R1771" s="10"/>
      <c r="S1771" s="10"/>
      <c r="T1771" s="10"/>
      <c r="U1771" s="10"/>
      <c r="V1771" s="10"/>
      <c r="W1771" s="10"/>
      <c r="X1771" s="10"/>
      <c r="Y1771" s="10"/>
      <c r="Z1771" s="10"/>
    </row>
    <row r="1772" spans="1:26" ht="12.75">
      <c r="A1772" s="10" t="str">
        <f ca="1">IFERROR(__xludf.DUMMYFUNCTION("""COMPUTED_VALUE"""),"Галина Стоянова Панайотова")</f>
        <v>Галина Стоянова Панайотова</v>
      </c>
      <c r="B1772" s="10" t="str">
        <f ca="1">IFERROR(__xludf.DUMMYFUNCTION("""COMPUTED_VALUE"""),"Статия в списания и поредици")</f>
        <v>Статия в списания и поредици</v>
      </c>
      <c r="C1772" s="10" t="str">
        <f ca="1">IFERROR(__xludf.DUMMYFUNCTION("""COMPUTED_VALUE"""),"Suboptimal Filter for an Estimate of the State of a Dynamical System")</f>
        <v>Suboptimal Filter for an Estimate of the State of a Dynamical System</v>
      </c>
      <c r="D1772" s="10">
        <f ca="1">IFERROR(__xludf.DUMMYFUNCTION("""COMPUTED_VALUE"""),2005)</f>
        <v>2005</v>
      </c>
      <c r="E1772" s="10" t="str">
        <f ca="1">IFERROR(__xludf.DUMMYFUNCTION("""COMPUTED_VALUE"""),"IDAACS’2005, Sofia, 5-7 09. 2005 ,pp.551-554., ISBN Information: CD-ROM ISBN: 0-7803-9446-1; Print ISBN: 0-7803-9445-3 INSPEC Accession Number: 10185648; DOI: 10.1109/IDAACS.2005.283044; Publisher: IEEE")</f>
        <v>IDAACS’2005, Sofia, 5-7 09. 2005 ,pp.551-554., ISBN Information: CD-ROM ISBN: 0-7803-9446-1; Print ISBN: 0-7803-9445-3 INSPEC Accession Number: 10185648; DOI: 10.1109/IDAACS.2005.283044; Publisher: IEEE</v>
      </c>
      <c r="F1772" s="10"/>
      <c r="G1772" s="10" t="str">
        <f ca="1">IFERROR(__xludf.DUMMYFUNCTION("""COMPUTED_VALUE"""),"T.Ivanov,")</f>
        <v>T.Ivanov,</v>
      </c>
      <c r="H1772" s="10"/>
      <c r="I1772" s="10"/>
      <c r="J1772" s="10"/>
      <c r="K1772" s="10"/>
      <c r="L1772" s="10"/>
      <c r="M1772" s="10"/>
      <c r="N1772" s="10"/>
      <c r="O1772" s="10"/>
      <c r="P1772" s="10"/>
      <c r="Q1772" s="10"/>
      <c r="R1772" s="10"/>
      <c r="S1772" s="10"/>
      <c r="T1772" s="10"/>
      <c r="U1772" s="10"/>
      <c r="V1772" s="10"/>
      <c r="W1772" s="10"/>
      <c r="X1772" s="10"/>
      <c r="Y1772" s="10"/>
      <c r="Z1772" s="10"/>
    </row>
    <row r="1773" spans="1:26" ht="12.75">
      <c r="A1773" s="10" t="str">
        <f ca="1">IFERROR(__xludf.DUMMYFUNCTION("""COMPUTED_VALUE"""),"Галина Стоянова Панайотова")</f>
        <v>Галина Стоянова Панайотова</v>
      </c>
      <c r="B1773" s="10" t="str">
        <f ca="1">IFERROR(__xludf.DUMMYFUNCTION("""COMPUTED_VALUE"""),"Статия в списания и поредици")</f>
        <v>Статия в списания и поредици</v>
      </c>
      <c r="C1773" s="10" t="str">
        <f ca="1">IFERROR(__xludf.DUMMYFUNCTION("""COMPUTED_VALUE"""),"Wave type solutions for the systems of compressible adiabatic flow through porous media")</f>
        <v>Wave type solutions for the systems of compressible adiabatic flow through porous media</v>
      </c>
      <c r="D1773" s="10">
        <f ca="1">IFERROR(__xludf.DUMMYFUNCTION("""COMPUTED_VALUE"""),2004)</f>
        <v>2004</v>
      </c>
      <c r="E1773" s="10" t="str">
        <f ca="1">IFERROR(__xludf.DUMMYFUNCTION("""COMPUTED_VALUE"""),"Academic Open Internet Journal, Volume 12, 2004, ISSN 1311-4360, www.acadjournal.com")</f>
        <v>Academic Open Internet Journal, Volume 12, 2004, ISSN 1311-4360, www.acadjournal.com</v>
      </c>
      <c r="F1773" s="10"/>
      <c r="G1773" s="10"/>
      <c r="H1773" s="10"/>
      <c r="I1773" s="10"/>
      <c r="J1773" s="10"/>
      <c r="K1773" s="10"/>
      <c r="L1773" s="10"/>
      <c r="M1773" s="10"/>
      <c r="N1773" s="10"/>
      <c r="O1773" s="10"/>
      <c r="P1773" s="10"/>
      <c r="Q1773" s="10"/>
      <c r="R1773" s="10"/>
      <c r="S1773" s="10"/>
      <c r="T1773" s="10"/>
      <c r="U1773" s="10"/>
      <c r="V1773" s="10"/>
      <c r="W1773" s="10"/>
      <c r="X1773" s="10"/>
      <c r="Y1773" s="10"/>
      <c r="Z1773" s="10"/>
    </row>
    <row r="1774" spans="1:26" ht="12.75">
      <c r="A1774" s="10" t="str">
        <f ca="1">IFERROR(__xludf.DUMMYFUNCTION("""COMPUTED_VALUE"""),"Галина Стоянова Панайотова")</f>
        <v>Галина Стоянова Панайотова</v>
      </c>
      <c r="B1774" s="10" t="str">
        <f ca="1">IFERROR(__xludf.DUMMYFUNCTION("""COMPUTED_VALUE"""),"Статия в списания и поредици")</f>
        <v>Статия в списания и поредици</v>
      </c>
      <c r="C1774" s="10" t="str">
        <f ca="1">IFERROR(__xludf.DUMMYFUNCTION("""COMPUTED_VALUE"""),"Wave type solution for the hyperbolic systems of PDEs with dumping")</f>
        <v>Wave type solution for the hyperbolic systems of PDEs with dumping</v>
      </c>
      <c r="D1774" s="10">
        <f ca="1">IFERROR(__xludf.DUMMYFUNCTION("""COMPUTED_VALUE"""),2003)</f>
        <v>2003</v>
      </c>
      <c r="E1774" s="10" t="str">
        <f ca="1">IFERROR(__xludf.DUMMYFUNCTION("""COMPUTED_VALUE"""),"International Journal of Computational and Numerical Analysis and Applications'', Vol. 4, No. 3 (2003), 317-324. ISSN: 15211398, 15729206, Q4 https://www.scimagojr.com/journalsearch.php?q=23846&amp;tip=sid")</f>
        <v>International Journal of Computational and Numerical Analysis and Applications'', Vol. 4, No. 3 (2003), 317-324. ISSN: 15211398, 15729206, Q4 https://www.scimagojr.com/journalsearch.php?q=23846&amp;tip=sid</v>
      </c>
      <c r="F1774" s="10"/>
      <c r="G1774" s="10"/>
      <c r="H1774" s="10"/>
      <c r="I1774" s="10"/>
      <c r="J1774" s="10"/>
      <c r="K1774" s="10"/>
      <c r="L1774" s="10"/>
      <c r="M1774" s="10"/>
      <c r="N1774" s="10"/>
      <c r="O1774" s="10"/>
      <c r="P1774" s="10"/>
      <c r="Q1774" s="10"/>
      <c r="R1774" s="10"/>
      <c r="S1774" s="10"/>
      <c r="T1774" s="10"/>
      <c r="U1774" s="10"/>
      <c r="V1774" s="10"/>
      <c r="W1774" s="10"/>
      <c r="X1774" s="10"/>
      <c r="Y1774" s="10"/>
      <c r="Z1774" s="10"/>
    </row>
    <row r="1775" spans="1:26" ht="12.75">
      <c r="A1775" s="10" t="str">
        <f ca="1">IFERROR(__xludf.DUMMYFUNCTION("""COMPUTED_VALUE"""),"Галина Стоянова Панайотова")</f>
        <v>Галина Стоянова Панайотова</v>
      </c>
      <c r="B1775" s="10" t="str">
        <f ca="1">IFERROR(__xludf.DUMMYFUNCTION("""COMPUTED_VALUE"""),"Статия в списания и поредици")</f>
        <v>Статия в списания и поредици</v>
      </c>
      <c r="C1775" s="10" t="str">
        <f ca="1">IFERROR(__xludf.DUMMYFUNCTION("""COMPUTED_VALUE"""),"Wave type solutions of reaction-diffusion equations")</f>
        <v>Wave type solutions of reaction-diffusion equations</v>
      </c>
      <c r="D1775" s="10">
        <f ca="1">IFERROR(__xludf.DUMMYFUNCTION("""COMPUTED_VALUE"""),2003)</f>
        <v>2003</v>
      </c>
      <c r="E1775" s="10" t="str">
        <f ca="1">IFERROR(__xludf.DUMMYFUNCTION("""COMPUTED_VALUE"""),"Academic Open Internet Journal, 2003, Volume 9, ISSN 1311-4360, www.acadjournal.com")</f>
        <v>Academic Open Internet Journal, 2003, Volume 9, ISSN 1311-4360, www.acadjournal.com</v>
      </c>
      <c r="F1775" s="10"/>
      <c r="G1775" s="10"/>
      <c r="H1775" s="10"/>
      <c r="I1775" s="10"/>
      <c r="J1775" s="10"/>
      <c r="K1775" s="10"/>
      <c r="L1775" s="10"/>
      <c r="M1775" s="10"/>
      <c r="N1775" s="10"/>
      <c r="O1775" s="10"/>
      <c r="P1775" s="10"/>
      <c r="Q1775" s="10"/>
      <c r="R1775" s="10"/>
      <c r="S1775" s="10"/>
      <c r="T1775" s="10"/>
      <c r="U1775" s="10"/>
      <c r="V1775" s="10"/>
      <c r="W1775" s="10"/>
      <c r="X1775" s="10"/>
      <c r="Y1775" s="10"/>
      <c r="Z1775" s="10"/>
    </row>
    <row r="1776" spans="1:26" ht="12.75">
      <c r="A1776" s="10" t="str">
        <f ca="1">IFERROR(__xludf.DUMMYFUNCTION("""COMPUTED_VALUE"""),"Галина Стоянова Панайотова")</f>
        <v>Галина Стоянова Панайотова</v>
      </c>
      <c r="B1776" s="10" t="str">
        <f ca="1">IFERROR(__xludf.DUMMYFUNCTION("""COMPUTED_VALUE"""),"Доклад от конференция")</f>
        <v>Доклад от конференция</v>
      </c>
      <c r="C1776" s="10" t="str">
        <f ca="1">IFERROR(__xludf.DUMMYFUNCTION("""COMPUTED_VALUE"""),"Wave type solutions for hyperbolic conservation laws in a chromatography reactor")</f>
        <v>Wave type solutions for hyperbolic conservation laws in a chromatography reactor</v>
      </c>
      <c r="D1776" s="10">
        <f ca="1">IFERROR(__xludf.DUMMYFUNCTION("""COMPUTED_VALUE"""),2003)</f>
        <v>2003</v>
      </c>
      <c r="E1776" s="10" t="str">
        <f ca="1">IFERROR(__xludf.DUMMYFUNCTION("""COMPUTED_VALUE"""),"Second IEEE International Workshop on Intelligent Data Acquisition and Advanced Computing Systems: Technology and Applications, 2003 (IDAACS’2003), Proceedings, Pages 84-86, Lvov, Ukraine, Date Added to IEEE Xplore: 08 December 2003 Print ISBN: 0-7803-813"&amp;"8-6 INSPEC Accession Number: 8301863; DOI: 10.1109/IDAACS.2003.1249523; Publisher: IEEE")</f>
        <v>Second IEEE International Workshop on Intelligent Data Acquisition and Advanced Computing Systems: Technology and Applications, 2003 (IDAACS’2003), Proceedings, Pages 84-86, Lvov, Ukraine, Date Added to IEEE Xplore: 08 December 2003 Print ISBN: 0-7803-8138-6 INSPEC Accession Number: 8301863; DOI: 10.1109/IDAACS.2003.1249523; Publisher: IEEE</v>
      </c>
      <c r="F1776" s="10" t="str">
        <f ca="1">IFERROR(__xludf.DUMMYFUNCTION("""COMPUTED_VALUE"""),"IEEE")</f>
        <v>IEEE</v>
      </c>
      <c r="G1776" s="10" t="str">
        <f ca="1">IFERROR(__xludf.DUMMYFUNCTION("""COMPUTED_VALUE"""),"N. Petrov")</f>
        <v>N. Petrov</v>
      </c>
      <c r="H1776" s="10"/>
      <c r="I1776" s="10"/>
      <c r="J1776" s="10"/>
      <c r="K1776" s="10"/>
      <c r="L1776" s="10"/>
      <c r="M1776" s="10"/>
      <c r="N1776" s="10"/>
      <c r="O1776" s="10"/>
      <c r="P1776" s="10"/>
      <c r="Q1776" s="10"/>
      <c r="R1776" s="10"/>
      <c r="S1776" s="10"/>
      <c r="T1776" s="10"/>
      <c r="U1776" s="10"/>
      <c r="V1776" s="10"/>
      <c r="W1776" s="10"/>
      <c r="X1776" s="10"/>
      <c r="Y1776" s="10"/>
      <c r="Z1776" s="10"/>
    </row>
    <row r="1777" spans="1:26" ht="12.75">
      <c r="A1777" s="10" t="str">
        <f ca="1">IFERROR(__xludf.DUMMYFUNCTION("""COMPUTED_VALUE"""),"Галина Стоянова Панайотова")</f>
        <v>Галина Стоянова Панайотова</v>
      </c>
      <c r="B1777" s="10" t="str">
        <f ca="1">IFERROR(__xludf.DUMMYFUNCTION("""COMPUTED_VALUE"""),"Статия в списания и поредици")</f>
        <v>Статия в списания и поредици</v>
      </c>
      <c r="C1777" s="10" t="str">
        <f ca="1">IFERROR(__xludf.DUMMYFUNCTION("""COMPUTED_VALUE"""),"Wave type solution for the hyperbolic systems of PDEs with dumping")</f>
        <v>Wave type solution for the hyperbolic systems of PDEs with dumping</v>
      </c>
      <c r="D1777" s="10">
        <f ca="1">IFERROR(__xludf.DUMMYFUNCTION("""COMPUTED_VALUE"""),2003)</f>
        <v>2003</v>
      </c>
      <c r="E1777" s="10" t="str">
        <f ca="1">IFERROR(__xludf.DUMMYFUNCTION("""COMPUTED_VALUE"""),"International Journal of Computational and Numerical Analysis and Applications'', Vol. 4, No. 3 (2003), 317-324.")</f>
        <v>International Journal of Computational and Numerical Analysis and Applications'', Vol. 4, No. 3 (2003), 317-324.</v>
      </c>
      <c r="F1777" s="10"/>
      <c r="G1777" s="10"/>
      <c r="H1777" s="10"/>
      <c r="I1777" s="10"/>
      <c r="J1777" s="10"/>
      <c r="K1777" s="10"/>
      <c r="L1777" s="10"/>
      <c r="M1777" s="10"/>
      <c r="N1777" s="10"/>
      <c r="O1777" s="10"/>
      <c r="P1777" s="10"/>
      <c r="Q1777" s="10"/>
      <c r="R1777" s="10"/>
      <c r="S1777" s="10"/>
      <c r="T1777" s="10"/>
      <c r="U1777" s="10"/>
      <c r="V1777" s="10"/>
      <c r="W1777" s="10"/>
      <c r="X1777" s="10"/>
      <c r="Y1777" s="10"/>
      <c r="Z1777" s="10"/>
    </row>
    <row r="1778" spans="1:26" ht="12.75">
      <c r="A1778" s="10" t="str">
        <f ca="1">IFERROR(__xludf.DUMMYFUNCTION("""COMPUTED_VALUE"""),"Галина Стоянова Панайотова")</f>
        <v>Галина Стоянова Панайотова</v>
      </c>
      <c r="B1778" s="10" t="str">
        <f ca="1">IFERROR(__xludf.DUMMYFUNCTION("""COMPUTED_VALUE"""),"Доклад от конференция")</f>
        <v>Доклад от конференция</v>
      </c>
      <c r="C1778" s="10" t="str">
        <f ca="1">IFERROR(__xludf.DUMMYFUNCTION("""COMPUTED_VALUE"""),"Investigation of wave type solution of the quasilinear system, describing a nonlinear elektrodynamical model of tree conservation laws")</f>
        <v>Investigation of wave type solution of the quasilinear system, describing a nonlinear elektrodynamical model of tree conservation laws</v>
      </c>
      <c r="D1778" s="10">
        <f ca="1">IFERROR(__xludf.DUMMYFUNCTION("""COMPUTED_VALUE"""),2003)</f>
        <v>2003</v>
      </c>
      <c r="E1778" s="10" t="str">
        <f ca="1">IFERROR(__xludf.DUMMYFUNCTION("""COMPUTED_VALUE"""),"RU - International Conference 2003, Proceeding, pp.16-19, ISSN 1311-3321")</f>
        <v>RU - International Conference 2003, Proceeding, pp.16-19, ISSN 1311-3321</v>
      </c>
      <c r="F1778" s="10"/>
      <c r="G1778" s="10"/>
      <c r="H1778" s="10"/>
      <c r="I1778" s="10"/>
      <c r="J1778" s="10"/>
      <c r="K1778" s="10"/>
      <c r="L1778" s="10"/>
      <c r="M1778" s="10"/>
      <c r="N1778" s="10"/>
      <c r="O1778" s="10"/>
      <c r="P1778" s="10"/>
      <c r="Q1778" s="10"/>
      <c r="R1778" s="10"/>
      <c r="S1778" s="10"/>
      <c r="T1778" s="10"/>
      <c r="U1778" s="10"/>
      <c r="V1778" s="10"/>
      <c r="W1778" s="10"/>
      <c r="X1778" s="10"/>
      <c r="Y1778" s="10"/>
      <c r="Z1778" s="10"/>
    </row>
    <row r="1779" spans="1:26" ht="12.75">
      <c r="A1779" s="10" t="str">
        <f ca="1">IFERROR(__xludf.DUMMYFUNCTION("""COMPUTED_VALUE"""),"Галина Стоянова Панайотова")</f>
        <v>Галина Стоянова Панайотова</v>
      </c>
      <c r="B1779" s="10" t="str">
        <f ca="1">IFERROR(__xludf.DUMMYFUNCTION("""COMPUTED_VALUE"""),"Доклад от конференция")</f>
        <v>Доклад от конференция</v>
      </c>
      <c r="C1779" s="10" t="str">
        <f ca="1">IFERROR(__xludf.DUMMYFUNCTION("""COMPUTED_VALUE"""),"Wave type solutions for hyperbolic conservation laws in a chromatography reactor")</f>
        <v>Wave type solutions for hyperbolic conservation laws in a chromatography reactor</v>
      </c>
      <c r="D1779" s="10">
        <f ca="1">IFERROR(__xludf.DUMMYFUNCTION("""COMPUTED_VALUE"""),2003)</f>
        <v>2003</v>
      </c>
      <c r="E1779" s="10" t="str">
        <f ca="1">IFERROR(__xludf.DUMMYFUNCTION("""COMPUTED_VALUE"""),"Proceedings of the Second IEEE International Workshop on Intelligent Data Acquisition and Advanced Computing Systems: Technology and Applications. IDAACS’2003 (Cat. No.03EX742). IEEE Workshop, 0-7803-0446-1/05/$20.00")</f>
        <v>Proceedings of the Second IEEE International Workshop on Intelligent Data Acquisition and Advanced Computing Systems: Technology and Applications. IDAACS’2003 (Cat. No.03EX742). IEEE Workshop, 0-7803-0446-1/05/$20.00</v>
      </c>
      <c r="F1779" s="10" t="str">
        <f ca="1">IFERROR(__xludf.DUMMYFUNCTION("""COMPUTED_VALUE"""),"IEEE")</f>
        <v>IEEE</v>
      </c>
      <c r="G1779" s="10"/>
      <c r="H1779" s="10"/>
      <c r="I1779" s="10"/>
      <c r="J1779" s="10"/>
      <c r="K1779" s="10"/>
      <c r="L1779" s="10"/>
      <c r="M1779" s="10"/>
      <c r="N1779" s="10"/>
      <c r="O1779" s="10"/>
      <c r="P1779" s="10"/>
      <c r="Q1779" s="10"/>
      <c r="R1779" s="10"/>
      <c r="S1779" s="10"/>
      <c r="T1779" s="10"/>
      <c r="U1779" s="10"/>
      <c r="V1779" s="10"/>
      <c r="W1779" s="10"/>
      <c r="X1779" s="10"/>
      <c r="Y1779" s="10"/>
      <c r="Z1779" s="10"/>
    </row>
    <row r="1780" spans="1:26" ht="12.75">
      <c r="A1780" s="10" t="str">
        <f ca="1">IFERROR(__xludf.DUMMYFUNCTION("""COMPUTED_VALUE"""),"Галина Стоянова Панайотова")</f>
        <v>Галина Стоянова Панайотова</v>
      </c>
      <c r="B1780" s="10" t="str">
        <f ca="1">IFERROR(__xludf.DUMMYFUNCTION("""COMPUTED_VALUE"""),"Статия в списания и поредици")</f>
        <v>Статия в списания и поредици</v>
      </c>
      <c r="C1780" s="10" t="str">
        <f ca="1">IFERROR(__xludf.DUMMYFUNCTION("""COMPUTED_VALUE"""),"Simple waves for certain hyperbolic systems of PDEs")</f>
        <v>Simple waves for certain hyperbolic systems of PDEs</v>
      </c>
      <c r="D1780" s="10">
        <f ca="1">IFERROR(__xludf.DUMMYFUNCTION("""COMPUTED_VALUE"""),2002)</f>
        <v>2002</v>
      </c>
      <c r="E1780" s="10" t="str">
        <f ca="1">IFERROR(__xludf.DUMMYFUNCTION("""COMPUTED_VALUE"""),"International Journal of Differential Equations and Application, Volume 6, No.3 2002, pp1-7, ISSN 16879651, 16879643")</f>
        <v>International Journal of Differential Equations and Application, Volume 6, No.3 2002, pp1-7, ISSN 16879651, 16879643</v>
      </c>
      <c r="F1780" s="10" t="str">
        <f ca="1">IFERROR(__xludf.DUMMYFUNCTION("""COMPUTED_VALUE"""),"Web of Science - Q4
 https://www.scimagojr.com/journalsearch.php?q=21100241790&amp;tip=sid")</f>
        <v>Web of Science - Q4
 https://www.scimagojr.com/journalsearch.php?q=21100241790&amp;tip=sid</v>
      </c>
      <c r="G1780" s="10"/>
      <c r="H1780" s="10"/>
      <c r="I1780" s="10"/>
      <c r="J1780" s="10"/>
      <c r="K1780" s="10"/>
      <c r="L1780" s="10"/>
      <c r="M1780" s="10"/>
      <c r="N1780" s="10"/>
      <c r="O1780" s="10"/>
      <c r="P1780" s="10"/>
      <c r="Q1780" s="10"/>
      <c r="R1780" s="10"/>
      <c r="S1780" s="10"/>
      <c r="T1780" s="10"/>
      <c r="U1780" s="10"/>
      <c r="V1780" s="10"/>
      <c r="W1780" s="10"/>
      <c r="X1780" s="10"/>
      <c r="Y1780" s="10"/>
      <c r="Z1780" s="10"/>
    </row>
    <row r="1781" spans="1:26" ht="12.75">
      <c r="A1781" s="10" t="str">
        <f ca="1">IFERROR(__xludf.DUMMYFUNCTION("""COMPUTED_VALUE"""),"Галина Стоянова Панайотова")</f>
        <v>Галина Стоянова Панайотова</v>
      </c>
      <c r="B1781" s="10" t="str">
        <f ca="1">IFERROR(__xludf.DUMMYFUNCTION("""COMPUTED_VALUE"""),"Статия в списания и поредици")</f>
        <v>Статия в списания и поредици</v>
      </c>
      <c r="C1781" s="10" t="str">
        <f ca="1">IFERROR(__xludf.DUMMYFUNCTION("""COMPUTED_VALUE"""),"Специални мрежи в двумерно финслерово пространство")</f>
        <v>Специални мрежи в двумерно финслерово пространство</v>
      </c>
      <c r="D1781" s="10">
        <f ca="1">IFERROR(__xludf.DUMMYFUNCTION("""COMPUTED_VALUE"""),1995)</f>
        <v>1995</v>
      </c>
      <c r="E1781" s="10" t="str">
        <f ca="1">IFERROR(__xludf.DUMMYFUNCTION("""COMPUTED_VALUE"""),"Математика и математическо образование, 1987, ISBN 1313-3330")</f>
        <v>Математика и математическо образование, 1987, ISBN 1313-3330</v>
      </c>
      <c r="F1781" s="10"/>
      <c r="G1781" s="10"/>
      <c r="H1781" s="10"/>
      <c r="I1781" s="10"/>
      <c r="J1781" s="10"/>
      <c r="K1781" s="10"/>
      <c r="L1781" s="10"/>
      <c r="M1781" s="10"/>
      <c r="N1781" s="10"/>
      <c r="O1781" s="10"/>
      <c r="P1781" s="10"/>
      <c r="Q1781" s="10"/>
      <c r="R1781" s="10"/>
      <c r="S1781" s="10"/>
      <c r="T1781" s="10"/>
      <c r="U1781" s="10"/>
      <c r="V1781" s="10"/>
      <c r="W1781" s="10"/>
      <c r="X1781" s="10"/>
      <c r="Y1781" s="10"/>
      <c r="Z1781" s="10"/>
    </row>
    <row r="1782" spans="1:26" ht="12.75">
      <c r="A1782" s="10" t="str">
        <f ca="1">IFERROR(__xludf.DUMMYFUNCTION("""COMPUTED_VALUE"""),"Галина Стоянова Панайотова")</f>
        <v>Галина Стоянова Панайотова</v>
      </c>
      <c r="B1782" s="10" t="str">
        <f ca="1">IFERROR(__xludf.DUMMYFUNCTION("""COMPUTED_VALUE"""),"Статия в списания и поредици")</f>
        <v>Статия в списания и поредици</v>
      </c>
      <c r="C1782" s="10" t="str">
        <f ca="1">IFERROR(__xludf.DUMMYFUNCTION("""COMPUTED_VALUE"""),"Трансверзален вектор в двумерно финслерово пространство")</f>
        <v>Трансверзален вектор в двумерно финслерово пространство</v>
      </c>
      <c r="D1782" s="10">
        <f ca="1">IFERROR(__xludf.DUMMYFUNCTION("""COMPUTED_VALUE"""),1987)</f>
        <v>1987</v>
      </c>
      <c r="E1782" s="10" t="str">
        <f ca="1">IFERROR(__xludf.DUMMYFUNCTION("""COMPUTED_VALUE"""),"Математика и математическо образование, 1987, ISBN 1313-3330")</f>
        <v>Математика и математическо образование, 1987, ISBN 1313-3330</v>
      </c>
      <c r="F1782" s="10"/>
      <c r="G1782" s="10"/>
      <c r="H1782" s="10"/>
      <c r="I1782" s="10"/>
      <c r="J1782" s="10"/>
      <c r="K1782" s="10"/>
      <c r="L1782" s="10"/>
      <c r="M1782" s="10"/>
      <c r="N1782" s="10"/>
      <c r="O1782" s="10"/>
      <c r="P1782" s="10"/>
      <c r="Q1782" s="10"/>
      <c r="R1782" s="10"/>
      <c r="S1782" s="10"/>
      <c r="T1782" s="10"/>
      <c r="U1782" s="10"/>
      <c r="V1782" s="10"/>
      <c r="W1782" s="10"/>
      <c r="X1782" s="10"/>
      <c r="Y1782" s="10"/>
      <c r="Z1782" s="10"/>
    </row>
    <row r="1783" spans="1:26" ht="12.75">
      <c r="A1783" s="10" t="str">
        <f ca="1">IFERROR(__xludf.DUMMYFUNCTION("""COMPUTED_VALUE"""),"Георги Георгиев Димитров")</f>
        <v>Георги Георгиев Димитров</v>
      </c>
      <c r="B1783" s="10" t="str">
        <f ca="1">IFERROR(__xludf.DUMMYFUNCTION("""COMPUTED_VALUE"""),"Статия в списания и поредици")</f>
        <v>Статия в списания и поредици</v>
      </c>
      <c r="C1783" s="10" t="str">
        <f ca="1">IFERROR(__xludf.DUMMYFUNCTION("""COMPUTED_VALUE"""),"""What data protection rights do employees have in 2018""")</f>
        <v>"What data protection rights do employees have in 2018"</v>
      </c>
      <c r="D1783" s="10">
        <f ca="1">IFERROR(__xludf.DUMMYFUNCTION("""COMPUTED_VALUE"""),2019)</f>
        <v>2019</v>
      </c>
      <c r="E1783" s="10" t="str">
        <f ca="1">IFERROR(__xludf.DUMMYFUNCTION("""COMPUTED_VALUE"""),"сп. ""PinG Privacy in Germany"" 01/2019, стр. 26-29, ISSN: 2197-1862")</f>
        <v>сп. "PinG Privacy in Germany" 01/2019, стр. 26-29, ISSN: 2197-1862</v>
      </c>
      <c r="F1783" s="10"/>
      <c r="G1783" s="10" t="str">
        <f ca="1">IFERROR(__xludf.DUMMYFUNCTION("""COMPUTED_VALUE"""),"Димитров, Г., Илиева, Д., Макшутова, Р.")</f>
        <v>Димитров, Г., Илиева, Д., Макшутова, Р.</v>
      </c>
      <c r="H1783" s="10"/>
      <c r="I1783" s="10"/>
      <c r="J1783" s="10"/>
      <c r="K1783" s="10"/>
      <c r="L1783" s="10"/>
      <c r="M1783" s="10"/>
      <c r="N1783" s="10"/>
      <c r="O1783" s="10"/>
      <c r="P1783" s="10"/>
      <c r="Q1783" s="10"/>
      <c r="R1783" s="10"/>
      <c r="S1783" s="10"/>
      <c r="T1783" s="10"/>
      <c r="U1783" s="10"/>
      <c r="V1783" s="10"/>
      <c r="W1783" s="10"/>
      <c r="X1783" s="10"/>
      <c r="Y1783" s="10"/>
      <c r="Z1783" s="10"/>
    </row>
    <row r="1784" spans="1:26" ht="12.75">
      <c r="A1784" s="10" t="str">
        <f ca="1">IFERROR(__xludf.DUMMYFUNCTION("""COMPUTED_VALUE"""),"Георги Георгиев Димитров")</f>
        <v>Георги Георгиев Димитров</v>
      </c>
      <c r="B1784" s="10" t="str">
        <f ca="1">IFERROR(__xludf.DUMMYFUNCTION("""COMPUTED_VALUE"""),"Статия в списания и поредици")</f>
        <v>Статия в списания и поредици</v>
      </c>
      <c r="C1784" s="10" t="str">
        <f ca="1">IFERROR(__xludf.DUMMYFUNCTION("""COMPUTED_VALUE"""),"""Presenting the CITYCoP Project: Smart Surveillance in the Context of ICT Enhanced Community Policing""")</f>
        <v>"Presenting the CITYCoP Project: Smart Surveillance in the Context of ICT Enhanced Community Policing"</v>
      </c>
      <c r="D1784" s="10">
        <f ca="1">IFERROR(__xludf.DUMMYFUNCTION("""COMPUTED_VALUE"""),2018)</f>
        <v>2018</v>
      </c>
      <c r="E1784" s="10" t="str">
        <f ca="1">IFERROR(__xludf.DUMMYFUNCTION("""COMPUTED_VALUE"""),"сп. ""Legal Innovation in Polish Law"", изд. Wydawnictwo: C.H. Beck, Вършава, Полша, 2019г., стр. 149-160, ISBN: 978-83-8158-024-3, ISBN е-книга: 978-83-8158-025-0")</f>
        <v>сп. "Legal Innovation in Polish Law", изд. Wydawnictwo: C.H. Beck, Вършава, Полша, 2019г., стр. 149-160, ISBN: 978-83-8158-024-3, ISBN е-книга: 978-83-8158-025-0</v>
      </c>
      <c r="F1784" s="10"/>
      <c r="G1784" s="10" t="str">
        <f ca="1">IFERROR(__xludf.DUMMYFUNCTION("""COMPUTED_VALUE"""),"Димитров, Г., Кожухарова, Д.")</f>
        <v>Димитров, Г., Кожухарова, Д.</v>
      </c>
      <c r="H1784" s="10"/>
      <c r="I1784" s="10"/>
      <c r="J1784" s="10"/>
      <c r="K1784" s="10"/>
      <c r="L1784" s="10"/>
      <c r="M1784" s="10"/>
      <c r="N1784" s="10"/>
      <c r="O1784" s="10"/>
      <c r="P1784" s="10"/>
      <c r="Q1784" s="10"/>
      <c r="R1784" s="10"/>
      <c r="S1784" s="10"/>
      <c r="T1784" s="10"/>
      <c r="U1784" s="10"/>
      <c r="V1784" s="10"/>
      <c r="W1784" s="10"/>
      <c r="X1784" s="10"/>
      <c r="Y1784" s="10"/>
      <c r="Z1784" s="10"/>
    </row>
    <row r="1785" spans="1:26" ht="12.75">
      <c r="A1785" s="10" t="str">
        <f ca="1">IFERROR(__xludf.DUMMYFUNCTION("""COMPUTED_VALUE"""),"Георги Георгиев Димитров")</f>
        <v>Георги Георгиев Димитров</v>
      </c>
      <c r="B1785" s="10" t="str">
        <f ca="1">IFERROR(__xludf.DUMMYFUNCTION("""COMPUTED_VALUE"""),"Статия в списания и поредици")</f>
        <v>Статия в списания и поредици</v>
      </c>
      <c r="C1785" s="10" t="str">
        <f ca="1">IFERROR(__xludf.DUMMYFUNCTION("""COMPUTED_VALUE"""),"The EU Regulation on electronic identification and certification services: paving the way forward towards more secure internet transactions")</f>
        <v>The EU Regulation on electronic identification and certification services: paving the way forward towards more secure internet transactions</v>
      </c>
      <c r="D1785" s="10">
        <f ca="1">IFERROR(__xludf.DUMMYFUNCTION("""COMPUTED_VALUE"""),2016)</f>
        <v>2016</v>
      </c>
      <c r="E1785" s="10" t="str">
        <f ca="1">IFERROR(__xludf.DUMMYFUNCTION("""COMPUTED_VALUE"""),"IBA European Regional Forum Newsletter, April 2016")</f>
        <v>IBA European Regional Forum Newsletter, April 2016</v>
      </c>
      <c r="F1785" s="10"/>
      <c r="G1785" s="10" t="str">
        <f ca="1">IFERROR(__xludf.DUMMYFUNCTION("""COMPUTED_VALUE"""),"Димитрова, Св.")</f>
        <v>Димитрова, Св.</v>
      </c>
      <c r="H1785" s="10"/>
      <c r="I1785" s="10"/>
      <c r="J1785" s="10"/>
      <c r="K1785" s="10"/>
      <c r="L1785" s="10"/>
      <c r="M1785" s="10"/>
      <c r="N1785" s="10"/>
      <c r="O1785" s="10"/>
      <c r="P1785" s="10"/>
      <c r="Q1785" s="10"/>
      <c r="R1785" s="10"/>
      <c r="S1785" s="10"/>
      <c r="T1785" s="10"/>
      <c r="U1785" s="10"/>
      <c r="V1785" s="10"/>
      <c r="W1785" s="10"/>
      <c r="X1785" s="10"/>
      <c r="Y1785" s="10"/>
      <c r="Z1785" s="10"/>
    </row>
    <row r="1786" spans="1:26" ht="12.75">
      <c r="A1786" s="10" t="str">
        <f ca="1">IFERROR(__xludf.DUMMYFUNCTION("""COMPUTED_VALUE"""),"Георги Георгиев Димитров")</f>
        <v>Георги Георгиев Димитров</v>
      </c>
      <c r="B1786" s="10" t="str">
        <f ca="1">IFERROR(__xludf.DUMMYFUNCTION("""COMPUTED_VALUE"""),"Статия в списания и поредици")</f>
        <v>Статия в списания и поредици</v>
      </c>
      <c r="C1786" s="10" t="str">
        <f ca="1">IFERROR(__xludf.DUMMYFUNCTION("""COMPUTED_VALUE"""),"Електронна идентификация и електронни удостоверителни услуги")</f>
        <v>Електронна идентификация и електронни удостоверителни услуги</v>
      </c>
      <c r="D1786" s="10">
        <f ca="1">IFERROR(__xludf.DUMMYFUNCTION("""COMPUTED_VALUE"""),2016)</f>
        <v>2016</v>
      </c>
      <c r="E1786" s="10" t="str">
        <f ca="1">IFERROR(__xludf.DUMMYFUNCTION("""COMPUTED_VALUE"""),"Юридически сборник „Право и интернет“, изд.Бургаски свободен университет, том XXIII")</f>
        <v>Юридически сборник „Право и интернет“, изд.Бургаски свободен университет, том XXIII</v>
      </c>
      <c r="F1786" s="10"/>
      <c r="G1786" s="10" t="str">
        <f ca="1">IFERROR(__xludf.DUMMYFUNCTION("""COMPUTED_VALUE"""),"Ракшиева Св.")</f>
        <v>Ракшиева Св.</v>
      </c>
      <c r="H1786" s="10"/>
      <c r="I1786" s="10"/>
      <c r="J1786" s="10"/>
      <c r="K1786" s="10"/>
      <c r="L1786" s="10"/>
      <c r="M1786" s="10"/>
      <c r="N1786" s="10"/>
      <c r="O1786" s="10"/>
      <c r="P1786" s="10"/>
      <c r="Q1786" s="10"/>
      <c r="R1786" s="10"/>
      <c r="S1786" s="10"/>
      <c r="T1786" s="10"/>
      <c r="U1786" s="10"/>
      <c r="V1786" s="10"/>
      <c r="W1786" s="10"/>
      <c r="X1786" s="10"/>
      <c r="Y1786" s="10"/>
      <c r="Z1786" s="10"/>
    </row>
    <row r="1787" spans="1:26" ht="12.75">
      <c r="A1787" s="10" t="str">
        <f ca="1">IFERROR(__xludf.DUMMYFUNCTION("""COMPUTED_VALUE"""),"Георги Георгиев Димитров")</f>
        <v>Георги Георгиев Димитров</v>
      </c>
      <c r="B1787" s="10" t="str">
        <f ca="1">IFERROR(__xludf.DUMMYFUNCTION("""COMPUTED_VALUE"""),"Статия в списания и поредици")</f>
        <v>Статия в списания и поредици</v>
      </c>
      <c r="C1787" s="10" t="str">
        <f ca="1">IFERROR(__xludf.DUMMYFUNCTION("""COMPUTED_VALUE"""),"„Българският опит в е-управлението”")</f>
        <v>„Българският опит в е-управлението”</v>
      </c>
      <c r="D1787" s="10">
        <f ca="1">IFERROR(__xludf.DUMMYFUNCTION("""COMPUTED_VALUE"""),2016)</f>
        <v>2016</v>
      </c>
      <c r="E1787" s="10" t="str">
        <f ca="1">IFERROR(__xludf.DUMMYFUNCTION("""COMPUTED_VALUE"""),"сп. „Автоматика и информатика”, год. L, 3/2016 г.,")</f>
        <v>сп. „Автоматика и информатика”, год. L, 3/2016 г.,</v>
      </c>
      <c r="F1787" s="10"/>
      <c r="G1787" s="10" t="str">
        <f ca="1">IFERROR(__xludf.DUMMYFUNCTION("""COMPUTED_VALUE"""),"Новакова Г., Спасов К.")</f>
        <v>Новакова Г., Спасов К.</v>
      </c>
      <c r="H1787" s="10"/>
      <c r="I1787" s="10"/>
      <c r="J1787" s="10"/>
      <c r="K1787" s="10"/>
      <c r="L1787" s="10"/>
      <c r="M1787" s="10"/>
      <c r="N1787" s="10"/>
      <c r="O1787" s="10"/>
      <c r="P1787" s="10"/>
      <c r="Q1787" s="10"/>
      <c r="R1787" s="10"/>
      <c r="S1787" s="10"/>
      <c r="T1787" s="10"/>
      <c r="U1787" s="10"/>
      <c r="V1787" s="10"/>
      <c r="W1787" s="10"/>
      <c r="X1787" s="10"/>
      <c r="Y1787" s="10"/>
      <c r="Z1787" s="10"/>
    </row>
    <row r="1788" spans="1:26" ht="12.75">
      <c r="A1788" s="10" t="str">
        <f ca="1">IFERROR(__xludf.DUMMYFUNCTION("""COMPUTED_VALUE"""),"Георги Георгиев Димитров")</f>
        <v>Георги Георгиев Димитров</v>
      </c>
      <c r="B1788" s="10" t="str">
        <f ca="1">IFERROR(__xludf.DUMMYFUNCTION("""COMPUTED_VALUE"""),"Доклад от конференция")</f>
        <v>Доклад от конференция</v>
      </c>
      <c r="C1788" s="10" t="str">
        <f ca="1">IFERROR(__xludf.DUMMYFUNCTION("""COMPUTED_VALUE"""),"Artificial intelligence technologies for personnel learning management systems")</f>
        <v>Artificial intelligence technologies for personnel learning management systems</v>
      </c>
      <c r="D1788" s="10">
        <f ca="1">IFERROR(__xludf.DUMMYFUNCTION("""COMPUTED_VALUE"""),2016)</f>
        <v>2016</v>
      </c>
      <c r="E1788" s="10" t="str">
        <f ca="1">IFERROR(__xludf.DUMMYFUNCTION("""COMPUTED_VALUE"""),"2016 IEEE 8th International Conference on Intelligent Systems (IS), Sofia, 2016, pp. 189-195. doi: 10.1109/IS.2016.7737420")</f>
        <v>2016 IEEE 8th International Conference on Intelligent Systems (IS), Sofia, 2016, pp. 189-195. doi: 10.1109/IS.2016.7737420</v>
      </c>
      <c r="F1788" s="10" t="str">
        <f ca="1">IFERROR(__xludf.DUMMYFUNCTION("""COMPUTED_VALUE"""),"WoS")</f>
        <v>WoS</v>
      </c>
      <c r="G1788" s="10" t="str">
        <f ca="1">IFERROR(__xludf.DUMMYFUNCTION("""COMPUTED_VALUE"""),"Nenkov, N., Dimitrov, G., Dyachenko, Y., Koeva, K.")</f>
        <v>Nenkov, N., Dimitrov, G., Dyachenko, Y., Koeva, K.</v>
      </c>
      <c r="H1788" s="10"/>
      <c r="I1788" s="10"/>
      <c r="J1788" s="10"/>
      <c r="K1788" s="10"/>
      <c r="L1788" s="10"/>
      <c r="M1788" s="10"/>
      <c r="N1788" s="10"/>
      <c r="O1788" s="10"/>
      <c r="P1788" s="10"/>
      <c r="Q1788" s="10"/>
      <c r="R1788" s="10"/>
      <c r="S1788" s="10"/>
      <c r="T1788" s="10"/>
      <c r="U1788" s="10"/>
      <c r="V1788" s="10"/>
      <c r="W1788" s="10"/>
      <c r="X1788" s="10"/>
      <c r="Y1788" s="10"/>
      <c r="Z1788" s="10"/>
    </row>
    <row r="1789" spans="1:26" ht="12.75">
      <c r="A1789" s="10" t="str">
        <f ca="1">IFERROR(__xludf.DUMMYFUNCTION("""COMPUTED_VALUE"""),"Георги Георгиев Димитров")</f>
        <v>Георги Георгиев Димитров</v>
      </c>
      <c r="B1789" s="10" t="str">
        <f ca="1">IFERROR(__xludf.DUMMYFUNCTION("""COMPUTED_VALUE"""),"Доклад от конференция")</f>
        <v>Доклад от конференция</v>
      </c>
      <c r="C1789" s="10" t="str">
        <f ca="1">IFERROR(__xludf.DUMMYFUNCTION("""COMPUTED_VALUE"""),"""Are the lessons learned: Bulgarian experience in e-government?""")</f>
        <v>"Are the lessons learned: Bulgarian experience in e-government?"</v>
      </c>
      <c r="D1789" s="10">
        <f ca="1">IFERROR(__xludf.DUMMYFUNCTION("""COMPUTED_VALUE"""),2016)</f>
        <v>2016</v>
      </c>
      <c r="E1789" s="10" t="str">
        <f ca="1">IFERROR(__xludf.DUMMYFUNCTION("""COMPUTED_VALUE"""),"Международна конференция „Автоматика и информатика”, октомври 2016 г., стр 251 – 254")</f>
        <v>Международна конференция „Автоматика и информатика”, октомври 2016 г., стр 251 – 254</v>
      </c>
      <c r="F1789" s="10"/>
      <c r="G1789" s="10" t="str">
        <f ca="1">IFERROR(__xludf.DUMMYFUNCTION("""COMPUTED_VALUE"""),"Novakova G., Spassov K.")</f>
        <v>Novakova G., Spassov K.</v>
      </c>
      <c r="H1789" s="10"/>
      <c r="I1789" s="10"/>
      <c r="J1789" s="10"/>
      <c r="K1789" s="10"/>
      <c r="L1789" s="10"/>
      <c r="M1789" s="10"/>
      <c r="N1789" s="10"/>
      <c r="O1789" s="10"/>
      <c r="P1789" s="10"/>
      <c r="Q1789" s="10"/>
      <c r="R1789" s="10"/>
      <c r="S1789" s="10"/>
      <c r="T1789" s="10"/>
      <c r="U1789" s="10"/>
      <c r="V1789" s="10"/>
      <c r="W1789" s="10"/>
      <c r="X1789" s="10"/>
      <c r="Y1789" s="10"/>
      <c r="Z1789" s="10"/>
    </row>
    <row r="1790" spans="1:26" ht="12.75">
      <c r="A1790" s="10" t="str">
        <f ca="1">IFERROR(__xludf.DUMMYFUNCTION("""COMPUTED_VALUE"""),"Георги Георгиев Димитров")</f>
        <v>Георги Георгиев Димитров</v>
      </c>
      <c r="B1790" s="10" t="str">
        <f ca="1">IFERROR(__xludf.DUMMYFUNCTION("""COMPUTED_VALUE"""),"Статия в списания и поредици")</f>
        <v>Статия в списания и поредици</v>
      </c>
      <c r="C1790" s="10" t="str">
        <f ca="1">IFERROR(__xludf.DUMMYFUNCTION("""COMPUTED_VALUE"""),"Електронно правосъдие в България")</f>
        <v>Електронно правосъдие в България</v>
      </c>
      <c r="D1790" s="10">
        <f ca="1">IFERROR(__xludf.DUMMYFUNCTION("""COMPUTED_VALUE"""),2015)</f>
        <v>2015</v>
      </c>
      <c r="E1790" s="10" t="str">
        <f ca="1">IFERROR(__xludf.DUMMYFUNCTION("""COMPUTED_VALUE"""),"Юридически Барометър, Брой 12 Юли-Декември 2015 г., стр.6-10")</f>
        <v>Юридически Барометър, Брой 12 Юли-Декември 2015 г., стр.6-10</v>
      </c>
      <c r="F1790" s="10"/>
      <c r="G1790" s="10"/>
      <c r="H1790" s="10"/>
      <c r="I1790" s="10"/>
      <c r="J1790" s="10"/>
      <c r="K1790" s="10"/>
      <c r="L1790" s="10"/>
      <c r="M1790" s="10"/>
      <c r="N1790" s="10"/>
      <c r="O1790" s="10"/>
      <c r="P1790" s="10"/>
      <c r="Q1790" s="10"/>
      <c r="R1790" s="10"/>
      <c r="S1790" s="10"/>
      <c r="T1790" s="10"/>
      <c r="U1790" s="10"/>
      <c r="V1790" s="10"/>
      <c r="W1790" s="10"/>
      <c r="X1790" s="10"/>
      <c r="Y1790" s="10"/>
      <c r="Z1790" s="10"/>
    </row>
    <row r="1791" spans="1:26" ht="12.75">
      <c r="A1791" s="10" t="str">
        <f ca="1">IFERROR(__xludf.DUMMYFUNCTION("""COMPUTED_VALUE"""),"Георги Георгиев Димитров")</f>
        <v>Георги Георгиев Димитров</v>
      </c>
      <c r="B1791" s="10" t="str">
        <f ca="1">IFERROR(__xludf.DUMMYFUNCTION("""COMPUTED_VALUE"""),"Статия в списания и поредици")</f>
        <v>Статия в списания и поредици</v>
      </c>
      <c r="C1791" s="10" t="str">
        <f ca="1">IFERROR(__xludf.DUMMYFUNCTION("""COMPUTED_VALUE"""),"The Upcoming Regulation of Certification Services")</f>
        <v>The Upcoming Regulation of Certification Services</v>
      </c>
      <c r="D1791" s="10">
        <f ca="1">IFERROR(__xludf.DUMMYFUNCTION("""COMPUTED_VALUE"""),2015)</f>
        <v>2015</v>
      </c>
      <c r="E1791" s="10" t="str">
        <f ca="1">IFERROR(__xludf.DUMMYFUNCTION("""COMPUTED_VALUE"""),"Martindale-Hubbell®, ноември 2015 г")</f>
        <v>Martindale-Hubbell®, ноември 2015 г</v>
      </c>
      <c r="F1791" s="10"/>
      <c r="G1791" s="10" t="str">
        <f ca="1">IFERROR(__xludf.DUMMYFUNCTION("""COMPUTED_VALUE"""),"Димитрова, Св.")</f>
        <v>Димитрова, Св.</v>
      </c>
      <c r="H1791" s="10"/>
      <c r="I1791" s="10"/>
      <c r="J1791" s="10"/>
      <c r="K1791" s="10"/>
      <c r="L1791" s="10"/>
      <c r="M1791" s="10"/>
      <c r="N1791" s="10"/>
      <c r="O1791" s="10"/>
      <c r="P1791" s="10"/>
      <c r="Q1791" s="10"/>
      <c r="R1791" s="10"/>
      <c r="S1791" s="10"/>
      <c r="T1791" s="10"/>
      <c r="U1791" s="10"/>
      <c r="V1791" s="10"/>
      <c r="W1791" s="10"/>
      <c r="X1791" s="10"/>
      <c r="Y1791" s="10"/>
      <c r="Z1791" s="10"/>
    </row>
    <row r="1792" spans="1:26" ht="12.75">
      <c r="A1792" s="10" t="str">
        <f ca="1">IFERROR(__xludf.DUMMYFUNCTION("""COMPUTED_VALUE"""),"Георги Георгиев Димитров")</f>
        <v>Георги Георгиев Димитров</v>
      </c>
      <c r="B1792" s="10" t="str">
        <f ca="1">IFERROR(__xludf.DUMMYFUNCTION("""COMPUTED_VALUE"""),"Статия в списания и поредици")</f>
        <v>Статия в списания и поредици</v>
      </c>
      <c r="C1792" s="10" t="str">
        <f ca="1">IFERROR(__xludf.DUMMYFUNCTION("""COMPUTED_VALUE"""),"Електронно правосъдие – понятие и принципи на реформата")</f>
        <v>Електронно правосъдие – понятие и принципи на реформата</v>
      </c>
      <c r="D1792" s="10">
        <f ca="1">IFERROR(__xludf.DUMMYFUNCTION("""COMPUTED_VALUE"""),2015)</f>
        <v>2015</v>
      </c>
      <c r="E1792" s="10" t="str">
        <f ca="1">IFERROR(__xludf.DUMMYFUNCTION("""COMPUTED_VALUE"""),"Сп. Правен свят, юни 2015 г.")</f>
        <v>Сп. Правен свят, юни 2015 г.</v>
      </c>
      <c r="F1792" s="10"/>
      <c r="G1792" s="10"/>
      <c r="H1792" s="10"/>
      <c r="I1792" s="10"/>
      <c r="J1792" s="10"/>
      <c r="K1792" s="10"/>
      <c r="L1792" s="10"/>
      <c r="M1792" s="10"/>
      <c r="N1792" s="10"/>
      <c r="O1792" s="10"/>
      <c r="P1792" s="10"/>
      <c r="Q1792" s="10"/>
      <c r="R1792" s="10"/>
      <c r="S1792" s="10"/>
      <c r="T1792" s="10"/>
      <c r="U1792" s="10"/>
      <c r="V1792" s="10"/>
      <c r="W1792" s="10"/>
      <c r="X1792" s="10"/>
      <c r="Y1792" s="10"/>
      <c r="Z1792" s="10"/>
    </row>
    <row r="1793" spans="1:26" ht="12.75">
      <c r="A1793" s="10" t="str">
        <f ca="1">IFERROR(__xludf.DUMMYFUNCTION("""COMPUTED_VALUE"""),"Георги Георгиев Димитров")</f>
        <v>Георги Георгиев Димитров</v>
      </c>
      <c r="B1793" s="10" t="str">
        <f ca="1">IFERROR(__xludf.DUMMYFUNCTION("""COMPUTED_VALUE"""),"Книга")</f>
        <v>Книга</v>
      </c>
      <c r="C1793" s="10" t="str">
        <f ca="1">IFERROR(__xludf.DUMMYFUNCTION("""COMPUTED_VALUE"""),"Електронни съобщения. Глава V, Административно право, Специална част – Курс лекции")</f>
        <v>Електронни съобщения. Глава V, Административно право, Специална част – Курс лекции</v>
      </c>
      <c r="D1793" s="10">
        <f ca="1">IFERROR(__xludf.DUMMYFUNCTION("""COMPUTED_VALUE"""),2015)</f>
        <v>2015</v>
      </c>
      <c r="E1793" s="10" t="str">
        <f ca="1">IFERROR(__xludf.DUMMYFUNCTION("""COMPUTED_VALUE"""),"Изд. „Сиби”, София")</f>
        <v>Изд. „Сиби”, София</v>
      </c>
      <c r="F1793" s="10"/>
      <c r="G1793" s="10" t="str">
        <f ca="1">IFERROR(__xludf.DUMMYFUNCTION("""COMPUTED_VALUE"""),"Сивков, Ц., Зиновиева, Д., Панайотова, Е., Николова, Р., Янкулова, С., Чернева, Г., Милчева, К.")</f>
        <v>Сивков, Ц., Зиновиева, Д., Панайотова, Е., Николова, Р., Янкулова, С., Чернева, Г., Милчева, К.</v>
      </c>
      <c r="H1793" s="10"/>
      <c r="I1793" s="10"/>
      <c r="J1793" s="10"/>
      <c r="K1793" s="10"/>
      <c r="L1793" s="10"/>
      <c r="M1793" s="10"/>
      <c r="N1793" s="10"/>
      <c r="O1793" s="10"/>
      <c r="P1793" s="10"/>
      <c r="Q1793" s="10"/>
      <c r="R1793" s="10"/>
      <c r="S1793" s="10"/>
      <c r="T1793" s="10"/>
      <c r="U1793" s="10"/>
      <c r="V1793" s="10"/>
      <c r="W1793" s="10"/>
      <c r="X1793" s="10"/>
      <c r="Y1793" s="10"/>
      <c r="Z1793" s="10"/>
    </row>
    <row r="1794" spans="1:26" ht="12.75">
      <c r="A1794" s="10" t="str">
        <f ca="1">IFERROR(__xludf.DUMMYFUNCTION("""COMPUTED_VALUE"""),"Георги Георгиев Димитров")</f>
        <v>Георги Георгиев Димитров</v>
      </c>
      <c r="B1794" s="10" t="str">
        <f ca="1">IFERROR(__xludf.DUMMYFUNCTION("""COMPUTED_VALUE"""),"Монография")</f>
        <v>Монография</v>
      </c>
      <c r="C1794" s="10" t="str">
        <f ca="1">IFERROR(__xludf.DUMMYFUNCTION("""COMPUTED_VALUE"""),"Право на информационните и комуникационните технологии. Гражданскоправни аспекти")</f>
        <v>Право на информационните и комуникационните технологии. Гражданскоправни аспекти</v>
      </c>
      <c r="D1794" s="10">
        <f ca="1">IFERROR(__xludf.DUMMYFUNCTION("""COMPUTED_VALUE"""),2014)</f>
        <v>2014</v>
      </c>
      <c r="E1794" s="10" t="str">
        <f ca="1">IFERROR(__xludf.DUMMYFUNCTION("""COMPUTED_VALUE"""),"Фондация “Право и Интернет"", София, 2014 г. 446 стр. ISBN 978-619-7192-06-3")</f>
        <v>Фондация “Право и Интернет", София, 2014 г. 446 стр. ISBN 978-619-7192-06-3</v>
      </c>
      <c r="F1794" s="10"/>
      <c r="G1794" s="10"/>
      <c r="H1794" s="10"/>
      <c r="I1794" s="10"/>
      <c r="J1794" s="10"/>
      <c r="K1794" s="10"/>
      <c r="L1794" s="10"/>
      <c r="M1794" s="10"/>
      <c r="N1794" s="10"/>
      <c r="O1794" s="10"/>
      <c r="P1794" s="10"/>
      <c r="Q1794" s="10"/>
      <c r="R1794" s="10"/>
      <c r="S1794" s="10"/>
      <c r="T1794" s="10"/>
      <c r="U1794" s="10"/>
      <c r="V1794" s="10"/>
      <c r="W1794" s="10"/>
      <c r="X1794" s="10"/>
      <c r="Y1794" s="10"/>
      <c r="Z1794" s="10"/>
    </row>
    <row r="1795" spans="1:26" ht="12.75">
      <c r="A1795" s="10" t="str">
        <f ca="1">IFERROR(__xludf.DUMMYFUNCTION("""COMPUTED_VALUE"""),"Георги Георгиев Димитров")</f>
        <v>Георги Георгиев Димитров</v>
      </c>
      <c r="B1795" s="10" t="str">
        <f ca="1">IFERROR(__xludf.DUMMYFUNCTION("""COMPUTED_VALUE"""),"Статия в списания и поредици")</f>
        <v>Статия в списания и поредици</v>
      </c>
      <c r="C1795" s="10" t="str">
        <f ca="1">IFERROR(__xludf.DUMMYFUNCTION("""COMPUTED_VALUE"""),"Legality of Spam Filters and Black Lists")</f>
        <v>Legality of Spam Filters and Black Lists</v>
      </c>
      <c r="D1795" s="10">
        <f ca="1">IFERROR(__xludf.DUMMYFUNCTION("""COMPUTED_VALUE"""),2014)</f>
        <v>2014</v>
      </c>
      <c r="E1795" s="10" t="str">
        <f ca="1">IFERROR(__xludf.DUMMYFUNCTION("""COMPUTED_VALUE"""),"Erich Schmidt Verlag, May 2014, Issue 03.14, p.108-111")</f>
        <v>Erich Schmidt Verlag, May 2014, Issue 03.14, p.108-111</v>
      </c>
      <c r="F1795" s="10"/>
      <c r="G1795" s="10"/>
      <c r="H1795" s="10"/>
      <c r="I1795" s="10"/>
      <c r="J1795" s="10"/>
      <c r="K1795" s="10"/>
      <c r="L1795" s="10"/>
      <c r="M1795" s="10"/>
      <c r="N1795" s="10"/>
      <c r="O1795" s="10"/>
      <c r="P1795" s="10"/>
      <c r="Q1795" s="10"/>
      <c r="R1795" s="10"/>
      <c r="S1795" s="10"/>
      <c r="T1795" s="10"/>
      <c r="U1795" s="10"/>
      <c r="V1795" s="10"/>
      <c r="W1795" s="10"/>
      <c r="X1795" s="10"/>
      <c r="Y1795" s="10"/>
      <c r="Z1795" s="10"/>
    </row>
    <row r="1796" spans="1:26" ht="12.75">
      <c r="A1796" s="10" t="str">
        <f ca="1">IFERROR(__xludf.DUMMYFUNCTION("""COMPUTED_VALUE"""),"Георги Георгиев Димитров")</f>
        <v>Георги Георгиев Димитров</v>
      </c>
      <c r="B1796" s="10" t="str">
        <f ca="1">IFERROR(__xludf.DUMMYFUNCTION("""COMPUTED_VALUE"""),"Книга")</f>
        <v>Книга</v>
      </c>
      <c r="C1796" s="10" t="str">
        <f ca="1">IFERROR(__xludf.DUMMYFUNCTION("""COMPUTED_VALUE"""),"Интелектуалната собственост в университетите – Творчество: следващото поколение. Глава I, Интелектуалната собственост в XXI век: Българският опит в творческите и информационни индустрии")</f>
        <v>Интелектуалната собственост в университетите – Творчество: следващото поколение. Глава I, Интелектуалната собственост в XXI век: Българският опит в творческите и информационни индустрии</v>
      </c>
      <c r="D1796" s="10">
        <f ca="1">IFERROR(__xludf.DUMMYFUNCTION("""COMPUTED_VALUE"""),2014)</f>
        <v>2014</v>
      </c>
      <c r="E1796" s="10" t="str">
        <f ca="1">IFERROR(__xludf.DUMMYFUNCTION("""COMPUTED_VALUE"""),"За буквите – О писменехь")</f>
        <v>За буквите – О писменехь</v>
      </c>
      <c r="F1796" s="10"/>
      <c r="G1796" s="10" t="str">
        <f ca="1">IFERROR(__xludf.DUMMYFUNCTION("""COMPUTED_VALUE"""),"Тренчева, Т., Ефтимова, С.")</f>
        <v>Тренчева, Т., Ефтимова, С.</v>
      </c>
      <c r="H1796" s="10"/>
      <c r="I1796" s="10"/>
      <c r="J1796" s="10"/>
      <c r="K1796" s="10"/>
      <c r="L1796" s="10"/>
      <c r="M1796" s="10"/>
      <c r="N1796" s="10"/>
      <c r="O1796" s="10"/>
      <c r="P1796" s="10"/>
      <c r="Q1796" s="10"/>
      <c r="R1796" s="10"/>
      <c r="S1796" s="10"/>
      <c r="T1796" s="10"/>
      <c r="U1796" s="10"/>
      <c r="V1796" s="10"/>
      <c r="W1796" s="10"/>
      <c r="X1796" s="10"/>
      <c r="Y1796" s="10"/>
      <c r="Z1796" s="10"/>
    </row>
    <row r="1797" spans="1:26" ht="12.75">
      <c r="A1797" s="10" t="str">
        <f ca="1">IFERROR(__xludf.DUMMYFUNCTION("""COMPUTED_VALUE"""),"Георги Георгиев Димитров")</f>
        <v>Георги Георгиев Димитров</v>
      </c>
      <c r="B1797" s="10" t="str">
        <f ca="1">IFERROR(__xludf.DUMMYFUNCTION("""COMPUTED_VALUE"""),"Статия в списания и поредици")</f>
        <v>Статия в списания и поредици</v>
      </c>
      <c r="C1797" s="10" t="str">
        <f ca="1">IFERROR(__xludf.DUMMYFUNCTION("""COMPUTED_VALUE"""),"Recent developments in Bulgarian Media Law")</f>
        <v>Recent developments in Bulgarian Media Law</v>
      </c>
      <c r="D1797" s="10">
        <f ca="1">IFERROR(__xludf.DUMMYFUNCTION("""COMPUTED_VALUE"""),2014)</f>
        <v>2014</v>
      </c>
      <c r="E1797" s="10" t="str">
        <f ca="1">IFERROR(__xludf.DUMMYFUNCTION("""COMPUTED_VALUE"""),"Media Law International, May 2014")</f>
        <v>Media Law International, May 2014</v>
      </c>
      <c r="F1797" s="10"/>
      <c r="G1797" s="10" t="str">
        <f ca="1">IFERROR(__xludf.DUMMYFUNCTION("""COMPUTED_VALUE"""),"Донова, В.")</f>
        <v>Донова, В.</v>
      </c>
      <c r="H1797" s="10"/>
      <c r="I1797" s="10"/>
      <c r="J1797" s="10"/>
      <c r="K1797" s="10"/>
      <c r="L1797" s="10"/>
      <c r="M1797" s="10"/>
      <c r="N1797" s="10"/>
      <c r="O1797" s="10"/>
      <c r="P1797" s="10"/>
      <c r="Q1797" s="10"/>
      <c r="R1797" s="10"/>
      <c r="S1797" s="10"/>
      <c r="T1797" s="10"/>
      <c r="U1797" s="10"/>
      <c r="V1797" s="10"/>
      <c r="W1797" s="10"/>
      <c r="X1797" s="10"/>
      <c r="Y1797" s="10"/>
      <c r="Z1797" s="10"/>
    </row>
    <row r="1798" spans="1:26" ht="12.75">
      <c r="A1798" s="10" t="str">
        <f ca="1">IFERROR(__xludf.DUMMYFUNCTION("""COMPUTED_VALUE"""),"Георги Георгиев Димитров")</f>
        <v>Георги Георгиев Димитров</v>
      </c>
      <c r="B1798" s="10" t="str">
        <f ca="1">IFERROR(__xludf.DUMMYFUNCTION("""COMPUTED_VALUE"""),"Монография")</f>
        <v>Монография</v>
      </c>
      <c r="C1798" s="10" t="str">
        <f ca="1">IFERROR(__xludf.DUMMYFUNCTION("""COMPUTED_VALUE"""),"Право на информационните и комуникационните технологии. Административноправни и технологични аспекти")</f>
        <v>Право на информационните и комуникационните технологии. Административноправни и технологични аспекти</v>
      </c>
      <c r="D1798" s="10">
        <f ca="1">IFERROR(__xludf.DUMMYFUNCTION("""COMPUTED_VALUE"""),2014)</f>
        <v>2014</v>
      </c>
      <c r="E1798" s="10" t="str">
        <f ca="1">IFERROR(__xludf.DUMMYFUNCTION("""COMPUTED_VALUE"""),"Фондация “Право и Интернет"", София, 2014 г. 413 стр. ISBN ISBN 978-619-7192-12-4")</f>
        <v>Фондация “Право и Интернет", София, 2014 г. 413 стр. ISBN ISBN 978-619-7192-12-4</v>
      </c>
      <c r="F1798" s="10"/>
      <c r="G1798" s="10"/>
      <c r="H1798" s="10"/>
      <c r="I1798" s="10"/>
      <c r="J1798" s="10"/>
      <c r="K1798" s="10"/>
      <c r="L1798" s="10"/>
      <c r="M1798" s="10"/>
      <c r="N1798" s="10"/>
      <c r="O1798" s="10"/>
      <c r="P1798" s="10"/>
      <c r="Q1798" s="10"/>
      <c r="R1798" s="10"/>
      <c r="S1798" s="10"/>
      <c r="T1798" s="10"/>
      <c r="U1798" s="10"/>
      <c r="V1798" s="10"/>
      <c r="W1798" s="10"/>
      <c r="X1798" s="10"/>
      <c r="Y1798" s="10"/>
      <c r="Z1798" s="10"/>
    </row>
    <row r="1799" spans="1:26" ht="12.75">
      <c r="A1799" s="10" t="str">
        <f ca="1">IFERROR(__xludf.DUMMYFUNCTION("""COMPUTED_VALUE"""),"Георги Георгиев Димитров")</f>
        <v>Георги Георгиев Димитров</v>
      </c>
      <c r="B1799" s="10" t="str">
        <f ca="1">IFERROR(__xludf.DUMMYFUNCTION("""COMPUTED_VALUE"""),"Учебник")</f>
        <v>Учебник</v>
      </c>
      <c r="C1799" s="10" t="str">
        <f ca="1">IFERROR(__xludf.DUMMYFUNCTION("""COMPUTED_VALUE"""),"Авторско право и е-контент")</f>
        <v>Авторско право и е-контент</v>
      </c>
      <c r="D1799" s="10">
        <f ca="1">IFERROR(__xludf.DUMMYFUNCTION("""COMPUTED_VALUE"""),2014)</f>
        <v>2014</v>
      </c>
      <c r="E1799" s="10" t="str">
        <f ca="1">IFERROR(__xludf.DUMMYFUNCTION("""COMPUTED_VALUE"""),"Изд. „За буквите – о, писменехь” София, 2014 г. 94 стр. ISBN 978-619-185")</f>
        <v>Изд. „За буквите – о, писменехь” София, 2014 г. 94 стр. ISBN 978-619-185</v>
      </c>
      <c r="F1799" s="10"/>
      <c r="G1799" s="10"/>
      <c r="H1799" s="10"/>
      <c r="I1799" s="10"/>
      <c r="J1799" s="10"/>
      <c r="K1799" s="10"/>
      <c r="L1799" s="10"/>
      <c r="M1799" s="10"/>
      <c r="N1799" s="10"/>
      <c r="O1799" s="10"/>
      <c r="P1799" s="10"/>
      <c r="Q1799" s="10"/>
      <c r="R1799" s="10"/>
      <c r="S1799" s="10"/>
      <c r="T1799" s="10"/>
      <c r="U1799" s="10"/>
      <c r="V1799" s="10"/>
      <c r="W1799" s="10"/>
      <c r="X1799" s="10"/>
      <c r="Y1799" s="10"/>
      <c r="Z1799" s="10"/>
    </row>
    <row r="1800" spans="1:26" ht="12.75">
      <c r="A1800" s="10" t="str">
        <f ca="1">IFERROR(__xludf.DUMMYFUNCTION("""COMPUTED_VALUE"""),"Георги Георгиев Димитров")</f>
        <v>Георги Георгиев Димитров</v>
      </c>
      <c r="B1800" s="10" t="str">
        <f ca="1">IFERROR(__xludf.DUMMYFUNCTION("""COMPUTED_VALUE"""),"Статия в списания и поредици")</f>
        <v>Статия в списания и поредици</v>
      </c>
      <c r="C1800" s="10" t="str">
        <f ca="1">IFERROR(__xludf.DUMMYFUNCTION("""COMPUTED_VALUE"""),"Съхранение, защита и управление на данни в облака и Големи данни: правни и лицензионни аспекти")</f>
        <v>Съхранение, защита и управление на данни в облака и Големи данни: правни и лицензионни аспекти</v>
      </c>
      <c r="D1800" s="10">
        <f ca="1">IFERROR(__xludf.DUMMYFUNCTION("""COMPUTED_VALUE"""),2014)</f>
        <v>2014</v>
      </c>
      <c r="E1800" s="10" t="str">
        <f ca="1">IFERROR(__xludf.DUMMYFUNCTION("""COMPUTED_VALUE"""),"Computerworld, март 2014, стр.3-5")</f>
        <v>Computerworld, март 2014, стр.3-5</v>
      </c>
      <c r="F1800" s="10"/>
      <c r="G1800" s="10" t="str">
        <f ca="1">IFERROR(__xludf.DUMMYFUNCTION("""COMPUTED_VALUE"""),"Кръстева, Д.")</f>
        <v>Кръстева, Д.</v>
      </c>
      <c r="H1800" s="10"/>
      <c r="I1800" s="10"/>
      <c r="J1800" s="10"/>
      <c r="K1800" s="10"/>
      <c r="L1800" s="10"/>
      <c r="M1800" s="10"/>
      <c r="N1800" s="10"/>
      <c r="O1800" s="10"/>
      <c r="P1800" s="10"/>
      <c r="Q1800" s="10"/>
      <c r="R1800" s="10"/>
      <c r="S1800" s="10"/>
      <c r="T1800" s="10"/>
      <c r="U1800" s="10"/>
      <c r="V1800" s="10"/>
      <c r="W1800" s="10"/>
      <c r="X1800" s="10"/>
      <c r="Y1800" s="10"/>
      <c r="Z1800" s="10"/>
    </row>
    <row r="1801" spans="1:26" ht="12.75">
      <c r="A1801" s="10" t="str">
        <f ca="1">IFERROR(__xludf.DUMMYFUNCTION("""COMPUTED_VALUE"""),"Георги Георгиев Димитров")</f>
        <v>Георги Георгиев Димитров</v>
      </c>
      <c r="B1801" s="10" t="str">
        <f ca="1">IFERROR(__xludf.DUMMYFUNCTION("""COMPUTED_VALUE"""),"Доклад от конференция")</f>
        <v>Доклад от конференция</v>
      </c>
      <c r="C1801" s="10" t="str">
        <f ca="1">IFERROR(__xludf.DUMMYFUNCTION("""COMPUTED_VALUE"""),"E-правосудие – гарантия эффективной судебной системы. Инициативы в Болгарии")</f>
        <v>E-правосудие – гарантия эффективной судебной системы. Инициативы в Болгарии</v>
      </c>
      <c r="D1801" s="10">
        <f ca="1">IFERROR(__xludf.DUMMYFUNCTION("""COMPUTED_VALUE"""),2011)</f>
        <v>2011</v>
      </c>
      <c r="E1801" s="10" t="str">
        <f ca="1">IFERROR(__xludf.DUMMYFUNCTION("""COMPUTED_VALUE"""),"In: Revista Naţională de Drept. 2011, nr. 10-11(134), pp. 169-172. ISSN 1811-0770. https://ibn.idsi.md/ro/vizualizare_articol/10731")</f>
        <v>In: Revista Naţională de Drept. 2011, nr. 10-11(134), pp. 169-172. ISSN 1811-0770. https://ibn.idsi.md/ro/vizualizare_articol/10731</v>
      </c>
      <c r="F1801" s="10"/>
      <c r="G1801" s="10" t="str">
        <f ca="1">IFERROR(__xludf.DUMMYFUNCTION("""COMPUTED_VALUE"""),"PETROVA, Mariana; DIMITROV, Gheorghii")</f>
        <v>PETROVA, Mariana; DIMITROV, Gheorghii</v>
      </c>
      <c r="H1801" s="10"/>
      <c r="I1801" s="10"/>
      <c r="J1801" s="10"/>
      <c r="K1801" s="10"/>
      <c r="L1801" s="10"/>
      <c r="M1801" s="10"/>
      <c r="N1801" s="10"/>
      <c r="O1801" s="10"/>
      <c r="P1801" s="10"/>
      <c r="Q1801" s="10"/>
      <c r="R1801" s="10"/>
      <c r="S1801" s="10"/>
      <c r="T1801" s="10"/>
      <c r="U1801" s="10"/>
      <c r="V1801" s="10"/>
      <c r="W1801" s="10"/>
      <c r="X1801" s="10"/>
      <c r="Y1801" s="10"/>
      <c r="Z1801" s="10"/>
    </row>
    <row r="1802" spans="1:26" ht="12.75">
      <c r="A1802" s="10" t="str">
        <f ca="1">IFERROR(__xludf.DUMMYFUNCTION("""COMPUTED_VALUE"""),"Георги Георгиев Димитров")</f>
        <v>Георги Георгиев Димитров</v>
      </c>
      <c r="B1802" s="10" t="str">
        <f ca="1">IFERROR(__xludf.DUMMYFUNCTION("""COMPUTED_VALUE"""),"Монография")</f>
        <v>Монография</v>
      </c>
      <c r="C1802" s="10" t="str">
        <f ca="1">IFERROR(__xludf.DUMMYFUNCTION("""COMPUTED_VALUE"""),"Енциклопедия по право – Кибер право")</f>
        <v>Енциклопедия по право – Кибер право</v>
      </c>
      <c r="D1802" s="10">
        <f ca="1">IFERROR(__xludf.DUMMYFUNCTION("""COMPUTED_VALUE"""),2010)</f>
        <v>2010</v>
      </c>
      <c r="E1802" s="10" t="str">
        <f ca="1">IFERROR(__xludf.DUMMYFUNCTION("""COMPUTED_VALUE"""),"България, Белгия, Kluwer Law International, Алфен на Рейн, 268 стр. (английски език).ISBN 978-90-411-2188-2")</f>
        <v>България, Белгия, Kluwer Law International, Алфен на Рейн, 268 стр. (английски език).ISBN 978-90-411-2188-2</v>
      </c>
      <c r="F1802" s="10"/>
      <c r="G1802" s="10"/>
      <c r="H1802" s="10"/>
      <c r="I1802" s="10"/>
      <c r="J1802" s="10"/>
      <c r="K1802" s="10"/>
      <c r="L1802" s="10"/>
      <c r="M1802" s="10"/>
      <c r="N1802" s="10"/>
      <c r="O1802" s="10"/>
      <c r="P1802" s="10"/>
      <c r="Q1802" s="10"/>
      <c r="R1802" s="10"/>
      <c r="S1802" s="10"/>
      <c r="T1802" s="10"/>
      <c r="U1802" s="10"/>
      <c r="V1802" s="10"/>
      <c r="W1802" s="10"/>
      <c r="X1802" s="10"/>
      <c r="Y1802" s="10"/>
      <c r="Z1802" s="10"/>
    </row>
    <row r="1803" spans="1:26" ht="12.75">
      <c r="A1803" s="10" t="str">
        <f ca="1">IFERROR(__xludf.DUMMYFUNCTION("""COMPUTED_VALUE"""),"Георги Георгиев Димитров")</f>
        <v>Георги Георгиев Димитров</v>
      </c>
      <c r="B1803" s="10" t="str">
        <f ca="1">IFERROR(__xludf.DUMMYFUNCTION("""COMPUTED_VALUE"""),"Книга")</f>
        <v>Книга</v>
      </c>
      <c r="C1803" s="10" t="str">
        <f ca="1">IFERROR(__xludf.DUMMYFUNCTION("""COMPUTED_VALUE"""),"Телекомуникации, радио- и телевизионно разпространение и интернет – конкурентно право и нормативна уредба на ЕС")</f>
        <v>Телекомуникации, радио- и телевизионно разпространение и интернет – конкурентно право и нормативна уредба на ЕС</v>
      </c>
      <c r="D1803" s="10">
        <f ca="1">IFERROR(__xludf.DUMMYFUNCTION("""COMPUTED_VALUE"""),2010)</f>
        <v>2010</v>
      </c>
      <c r="E1803" s="10" t="str">
        <f ca="1">IFERROR(__xludf.DUMMYFUNCTION("""COMPUTED_VALUE"""),"Ред. Лорен Гарзанити, Матю О'Риган, Трето издание, Суит &amp; Максуел, Лондон, 2010 г., 1100 стр. (английски език) ISBN 978-1-84703-415-1")</f>
        <v>Ред. Лорен Гарзанити, Матю О'Риган, Трето издание, Суит &amp; Максуел, Лондон, 2010 г., 1100 стр. (английски език) ISBN 978-1-84703-415-1</v>
      </c>
      <c r="F1803" s="10"/>
      <c r="G1803" s="10" t="str">
        <f ca="1">IFERROR(__xludf.DUMMYFUNCTION("""COMPUTED_VALUE"""),"Димитров, Г., Стрийл, А., Гойдер, Дж., Хобелен, Х., Ху, Л., Иглесиас, М. Х. и авт. кол-в")</f>
        <v>Димитров, Г., Стрийл, А., Гойдер, Дж., Хобелен, Х., Ху, Л., Иглесиас, М. Х. и авт. кол-в</v>
      </c>
      <c r="H1803" s="10"/>
      <c r="I1803" s="10"/>
      <c r="J1803" s="10"/>
      <c r="K1803" s="10"/>
      <c r="L1803" s="10"/>
      <c r="M1803" s="10"/>
      <c r="N1803" s="10"/>
      <c r="O1803" s="10"/>
      <c r="P1803" s="10"/>
      <c r="Q1803" s="10"/>
      <c r="R1803" s="10"/>
      <c r="S1803" s="10"/>
      <c r="T1803" s="10"/>
      <c r="U1803" s="10"/>
      <c r="V1803" s="10"/>
      <c r="W1803" s="10"/>
      <c r="X1803" s="10"/>
      <c r="Y1803" s="10"/>
      <c r="Z1803" s="10"/>
    </row>
    <row r="1804" spans="1:26" ht="12.75">
      <c r="A1804" s="10" t="str">
        <f ca="1">IFERROR(__xludf.DUMMYFUNCTION("""COMPUTED_VALUE"""),"Георги Георгиев Димитров")</f>
        <v>Георги Георгиев Димитров</v>
      </c>
      <c r="B1804" s="10" t="str">
        <f ca="1">IFERROR(__xludf.DUMMYFUNCTION("""COMPUTED_VALUE"""),"Монография")</f>
        <v>Монография</v>
      </c>
      <c r="C1804" s="10" t="str">
        <f ca="1">IFERROR(__xludf.DUMMYFUNCTION("""COMPUTED_VALUE"""),"Отговорност на доставчиците на удостоверителни услуги")</f>
        <v>Отговорност на доставчиците на удостоверителни услуги</v>
      </c>
      <c r="D1804" s="10">
        <f ca="1">IFERROR(__xludf.DUMMYFUNCTION("""COMPUTED_VALUE"""),2008)</f>
        <v>2008</v>
      </c>
      <c r="E1804" s="10" t="str">
        <f ca="1">IFERROR(__xludf.DUMMYFUNCTION("""COMPUTED_VALUE"""),"VDM Verfag Dr. Műller, 330 стр. (английски език).ISBN 978-3-639-00824-1")</f>
        <v>VDM Verfag Dr. Műller, 330 стр. (английски език).ISBN 978-3-639-00824-1</v>
      </c>
      <c r="F1804" s="10"/>
      <c r="G1804" s="10"/>
      <c r="H1804" s="10"/>
      <c r="I1804" s="10"/>
      <c r="J1804" s="10"/>
      <c r="K1804" s="10"/>
      <c r="L1804" s="10"/>
      <c r="M1804" s="10"/>
      <c r="N1804" s="10"/>
      <c r="O1804" s="10"/>
      <c r="P1804" s="10"/>
      <c r="Q1804" s="10"/>
      <c r="R1804" s="10"/>
      <c r="S1804" s="10"/>
      <c r="T1804" s="10"/>
      <c r="U1804" s="10"/>
      <c r="V1804" s="10"/>
      <c r="W1804" s="10"/>
      <c r="X1804" s="10"/>
      <c r="Y1804" s="10"/>
      <c r="Z1804" s="10"/>
    </row>
    <row r="1805" spans="1:26" ht="12.75">
      <c r="A1805" s="10" t="str">
        <f ca="1">IFERROR(__xludf.DUMMYFUNCTION("""COMPUTED_VALUE"""),"Георги Георгиев Димитров")</f>
        <v>Георги Георгиев Димитров</v>
      </c>
      <c r="B1805" s="10" t="str">
        <f ca="1">IFERROR(__xludf.DUMMYFUNCTION("""COMPUTED_VALUE"""),"Книга")</f>
        <v>Книга</v>
      </c>
      <c r="C1805" s="10" t="str">
        <f ca="1">IFERROR(__xludf.DUMMYFUNCTION("""COMPUTED_VALUE"""),"Електронни доказателствени средства в България, Глава VI, Международни доказателствени средства")</f>
        <v>Електронни доказателствени средства в България, Глава VI, Международни доказателствени средства</v>
      </c>
      <c r="D1805" s="10">
        <f ca="1">IFERROR(__xludf.DUMMYFUNCTION("""COMPUTED_VALUE"""),2008)</f>
        <v>2008</v>
      </c>
      <c r="E1805" s="10" t="str">
        <f ca="1">IFERROR(__xludf.DUMMYFUNCTION("""COMPUTED_VALUE"""),"Ред. Стивън Мейсън, Британски институт за международно сравнително право, Лондон, 2008 г., 1002 стр. (английски език) ISBN 978-1-905221-29-5")</f>
        <v>Ред. Стивън Мейсън, Британски институт за международно сравнително право, Лондон, 2008 г., 1002 стр. (английски език) ISBN 978-1-905221-29-5</v>
      </c>
      <c r="F1805" s="10"/>
      <c r="G1805" s="10" t="str">
        <f ca="1">IFERROR(__xludf.DUMMYFUNCTION("""COMPUTED_VALUE"""),"Димитров, Г., Кръстева, Д.")</f>
        <v>Димитров, Г., Кръстева, Д.</v>
      </c>
      <c r="H1805" s="10"/>
      <c r="I1805" s="10"/>
      <c r="J1805" s="10"/>
      <c r="K1805" s="10"/>
      <c r="L1805" s="10"/>
      <c r="M1805" s="10"/>
      <c r="N1805" s="10"/>
      <c r="O1805" s="10"/>
      <c r="P1805" s="10"/>
      <c r="Q1805" s="10"/>
      <c r="R1805" s="10"/>
      <c r="S1805" s="10"/>
      <c r="T1805" s="10"/>
      <c r="U1805" s="10"/>
      <c r="V1805" s="10"/>
      <c r="W1805" s="10"/>
      <c r="X1805" s="10"/>
      <c r="Y1805" s="10"/>
      <c r="Z1805" s="10"/>
    </row>
    <row r="1806" spans="1:26" ht="12.75">
      <c r="A1806" s="10" t="str">
        <f ca="1">IFERROR(__xludf.DUMMYFUNCTION("""COMPUTED_VALUE"""),"Георги Георгиев Димитров")</f>
        <v>Георги Георгиев Димитров</v>
      </c>
      <c r="B1806" s="10" t="str">
        <f ca="1">IFERROR(__xludf.DUMMYFUNCTION("""COMPUTED_VALUE"""),"Книга")</f>
        <v>Книга</v>
      </c>
      <c r="C1806" s="10" t="str">
        <f ca="1">IFERROR(__xludf.DUMMYFUNCTION("""COMPUTED_VALUE"""),"Коментар на закона за търговския регистър")</f>
        <v>Коментар на закона за търговския регистър</v>
      </c>
      <c r="D1806" s="10">
        <f ca="1">IFERROR(__xludf.DUMMYFUNCTION("""COMPUTED_VALUE"""),2007)</f>
        <v>2007</v>
      </c>
      <c r="E1806" s="10" t="str">
        <f ca="1">IFERROR(__xludf.DUMMYFUNCTION("""COMPUTED_VALUE"""),"София, ЦИД 377 стр. 978-954-477-156-0")</f>
        <v>София, ЦИД 377 стр. 978-954-477-156-0</v>
      </c>
      <c r="F1806" s="10"/>
      <c r="G1806" s="10" t="str">
        <f ca="1">IFERROR(__xludf.DUMMYFUNCTION("""COMPUTED_VALUE"""),"Димитров, Г., Калайджиев, А., Белазелков, Б., Йорданова, М., Марков, Д.,")</f>
        <v>Димитров, Г., Калайджиев, А., Белазелков, Б., Йорданова, М., Марков, Д.,</v>
      </c>
      <c r="H1806" s="10"/>
      <c r="I1806" s="10"/>
      <c r="J1806" s="10"/>
      <c r="K1806" s="10"/>
      <c r="L1806" s="10"/>
      <c r="M1806" s="10"/>
      <c r="N1806" s="10"/>
      <c r="O1806" s="10"/>
      <c r="P1806" s="10"/>
      <c r="Q1806" s="10"/>
      <c r="R1806" s="10"/>
      <c r="S1806" s="10"/>
      <c r="T1806" s="10"/>
      <c r="U1806" s="10"/>
      <c r="V1806" s="10"/>
      <c r="W1806" s="10"/>
      <c r="X1806" s="10"/>
      <c r="Y1806" s="10"/>
      <c r="Z1806" s="10"/>
    </row>
    <row r="1807" spans="1:26" ht="12.75">
      <c r="A1807" s="10" t="str">
        <f ca="1">IFERROR(__xludf.DUMMYFUNCTION("""COMPUTED_VALUE"""),"Георги Георгиев Димитров")</f>
        <v>Георги Георгиев Димитров</v>
      </c>
      <c r="B1807" s="10" t="str">
        <f ca="1">IFERROR(__xludf.DUMMYFUNCTION("""COMPUTED_VALUE"""),"Книга")</f>
        <v>Книга</v>
      </c>
      <c r="C1807" s="10" t="str">
        <f ca="1">IFERROR(__xludf.DUMMYFUNCTION("""COMPUTED_VALUE"""),"Методики за разследване на престъпления")</f>
        <v>Методики за разследване на престъпления</v>
      </c>
      <c r="D1807" s="10">
        <f ca="1">IFERROR(__xludf.DUMMYFUNCTION("""COMPUTED_VALUE"""),2005)</f>
        <v>2005</v>
      </c>
      <c r="E1807" s="10" t="str">
        <f ca="1">IFERROR(__xludf.DUMMYFUNCTION("""COMPUTED_VALUE"""),"Том II, Глава II, Електронни подписи. Съставители: Суичмезова, Т., Трухчев, К., Гаврилов, К., Карчева, М., София, Национална следствена служба. 670 стр. ISBN 954-9769-27-5")</f>
        <v>Том II, Глава II, Електронни подписи. Съставители: Суичмезова, Т., Трухчев, К., Гаврилов, К., Карчева, М., София, Национална следствена служба. 670 стр. ISBN 954-9769-27-5</v>
      </c>
      <c r="F1807" s="10"/>
      <c r="G1807" s="10" t="str">
        <f ca="1">IFERROR(__xludf.DUMMYFUNCTION("""COMPUTED_VALUE"""),"Димитров, Г., и авт. кол-в")</f>
        <v>Димитров, Г., и авт. кол-в</v>
      </c>
      <c r="H1807" s="10"/>
      <c r="I1807" s="10"/>
      <c r="J1807" s="10"/>
      <c r="K1807" s="10"/>
      <c r="L1807" s="10"/>
      <c r="M1807" s="10"/>
      <c r="N1807" s="10"/>
      <c r="O1807" s="10"/>
      <c r="P1807" s="10"/>
      <c r="Q1807" s="10"/>
      <c r="R1807" s="10"/>
      <c r="S1807" s="10"/>
      <c r="T1807" s="10"/>
      <c r="U1807" s="10"/>
      <c r="V1807" s="10"/>
      <c r="W1807" s="10"/>
      <c r="X1807" s="10"/>
      <c r="Y1807" s="10"/>
      <c r="Z1807" s="10"/>
    </row>
    <row r="1808" spans="1:26" ht="12.75">
      <c r="A1808" s="10" t="str">
        <f ca="1">IFERROR(__xludf.DUMMYFUNCTION("""COMPUTED_VALUE"""),"Георги Георгиев Димитров")</f>
        <v>Георги Георгиев Димитров</v>
      </c>
      <c r="B1808" s="10" t="str">
        <f ca="1">IFERROR(__xludf.DUMMYFUNCTION("""COMPUTED_VALUE"""),"Книга")</f>
        <v>Книга</v>
      </c>
      <c r="C1808" s="10" t="str">
        <f ca="1">IFERROR(__xludf.DUMMYFUNCTION("""COMPUTED_VALUE"""),"Електронният документ и електронният подпис")</f>
        <v>Електронният документ и електронният подпис</v>
      </c>
      <c r="D1808" s="10">
        <f ca="1">IFERROR(__xludf.DUMMYFUNCTION("""COMPUTED_VALUE"""),2004)</f>
        <v>2004</v>
      </c>
      <c r="E1808" s="10" t="str">
        <f ca="1">IFERROR(__xludf.DUMMYFUNCTION("""COMPUTED_VALUE"""),"Правен режим, София, Сиела / ЦИД, 789 стр. ISBN 954-649-676-6")</f>
        <v>Правен режим, София, Сиела / ЦИД, 789 стр. ISBN 954-649-676-6</v>
      </c>
      <c r="F1808" s="10"/>
      <c r="G1808" s="10" t="str">
        <f ca="1">IFERROR(__xludf.DUMMYFUNCTION("""COMPUTED_VALUE"""),"Димитров, Г., Калайджиев, А., Белазелков, Б., Йорданова, М., Станева, В., Марков, Д.")</f>
        <v>Димитров, Г., Калайджиев, А., Белазелков, Б., Йорданова, М., Станева, В., Марков, Д.</v>
      </c>
      <c r="H1808" s="10"/>
      <c r="I1808" s="10"/>
      <c r="J1808" s="10"/>
      <c r="K1808" s="10"/>
      <c r="L1808" s="10"/>
      <c r="M1808" s="10"/>
      <c r="N1808" s="10"/>
      <c r="O1808" s="10"/>
      <c r="P1808" s="10"/>
      <c r="Q1808" s="10"/>
      <c r="R1808" s="10"/>
      <c r="S1808" s="10"/>
      <c r="T1808" s="10"/>
      <c r="U1808" s="10"/>
      <c r="V1808" s="10"/>
      <c r="W1808" s="10"/>
      <c r="X1808" s="10"/>
      <c r="Y1808" s="10"/>
      <c r="Z1808" s="10"/>
    </row>
    <row r="1809" spans="1:26" ht="12.75">
      <c r="A1809" s="10" t="str">
        <f ca="1">IFERROR(__xludf.DUMMYFUNCTION("""COMPUTED_VALUE"""),"Георги Георгиев Димитров")</f>
        <v>Георги Георгиев Димитров</v>
      </c>
      <c r="B1809" s="10" t="str">
        <f ca="1">IFERROR(__xludf.DUMMYFUNCTION("""COMPUTED_VALUE"""),"Книга")</f>
        <v>Книга</v>
      </c>
      <c r="C1809" s="10" t="str">
        <f ca="1">IFERROR(__xludf.DUMMYFUNCTION("""COMPUTED_VALUE"""),"Електронните подписи в правото")</f>
        <v>Електронните подписи в правото</v>
      </c>
      <c r="D1809" s="10">
        <f ca="1">IFERROR(__xludf.DUMMYFUNCTION("""COMPUTED_VALUE"""),2003)</f>
        <v>2003</v>
      </c>
      <c r="E1809" s="10" t="str">
        <f ca="1">IFERROR(__xludf.DUMMYFUNCTION("""COMPUTED_VALUE"""),"Глава 15.22, 44 стр., Лексис Нексис Бътъруъртс, Великобритания, 2003 г., 593 стр. (английски език) ISBN 978-040-697-006-0")</f>
        <v>Глава 15.22, 44 стр., Лексис Нексис Бътъруъртс, Великобритания, 2003 г., 593 стр. (английски език) ISBN 978-040-697-006-0</v>
      </c>
      <c r="F1809" s="10"/>
      <c r="G1809" s="10" t="str">
        <f ca="1">IFERROR(__xludf.DUMMYFUNCTION("""COMPUTED_VALUE"""),"Димитров, Г., Стивън Мейсън и авт. кол-в")</f>
        <v>Димитров, Г., Стивън Мейсън и авт. кол-в</v>
      </c>
      <c r="H1809" s="10"/>
      <c r="I1809" s="10"/>
      <c r="J1809" s="10"/>
      <c r="K1809" s="10"/>
      <c r="L1809" s="10"/>
      <c r="M1809" s="10"/>
      <c r="N1809" s="10"/>
      <c r="O1809" s="10"/>
      <c r="P1809" s="10"/>
      <c r="Q1809" s="10"/>
      <c r="R1809" s="10"/>
      <c r="S1809" s="10"/>
      <c r="T1809" s="10"/>
      <c r="U1809" s="10"/>
      <c r="V1809" s="10"/>
      <c r="W1809" s="10"/>
      <c r="X1809" s="10"/>
      <c r="Y1809" s="10"/>
      <c r="Z1809" s="10"/>
    </row>
    <row r="1810" spans="1:26" ht="12.75">
      <c r="A1810" s="10" t="str">
        <f ca="1">IFERROR(__xludf.DUMMYFUNCTION("""COMPUTED_VALUE"""),"Георги Дончев Рачев")</f>
        <v>Георги Дончев Рачев</v>
      </c>
      <c r="B1810" s="10" t="str">
        <f ca="1">IFERROR(__xludf.DUMMYFUNCTION("""COMPUTED_VALUE"""),"Статия в списания и поредици")</f>
        <v>Статия в списания и поредици</v>
      </c>
      <c r="C1810" s="10" t="str">
        <f ca="1">IFERROR(__xludf.DUMMYFUNCTION("""COMPUTED_VALUE"""),"Микроклиматични и Геоморфоложки изследвания във водосбора на река Синанишка за периода 2012-2018")</f>
        <v>Микроклиматични и Геоморфоложки изследвания във водосбора на река Синанишка за периода 2012-2018</v>
      </c>
      <c r="D1810" s="10">
        <f ca="1">IFERROR(__xludf.DUMMYFUNCTION("""COMPUTED_VALUE"""),2019)</f>
        <v>2019</v>
      </c>
      <c r="E1810" s="10" t="str">
        <f ca="1">IFERROR(__xludf.DUMMYFUNCTION("""COMPUTED_VALUE"""),"Год. на СУ ""Св. Климент Охридски"" кн.2 География, том:112, 2019, ISSN (print):0324-2579, ISSN (online):2235-0579")</f>
        <v>Год. на СУ "Св. Климент Охридски" кн.2 География, том:112, 2019, ISSN (print):0324-2579, ISSN (online):2235-0579</v>
      </c>
      <c r="F1810" s="10" t="str">
        <f ca="1">IFERROR(__xludf.DUMMYFUNCTION("""COMPUTED_VALUE"""),"Ref")</f>
        <v>Ref</v>
      </c>
      <c r="G1810" s="10" t="str">
        <f ca="1">IFERROR(__xludf.DUMMYFUNCTION("""COMPUTED_VALUE"""),"Соня Стоянова, Росица Кендерова, Георги Рачев, Димитър Кренчев, Ахинора Балтакова, Нина Николова, Петко Божков")</f>
        <v>Соня Стоянова, Росица Кендерова, Георги Рачев, Димитър Кренчев, Ахинора Балтакова, Нина Николова, Петко Божков</v>
      </c>
      <c r="H1810" s="10"/>
      <c r="I1810" s="10"/>
      <c r="J1810" s="10"/>
      <c r="K1810" s="10"/>
      <c r="L1810" s="10"/>
      <c r="M1810" s="10"/>
      <c r="N1810" s="10"/>
      <c r="O1810" s="10"/>
      <c r="P1810" s="10"/>
      <c r="Q1810" s="10"/>
      <c r="R1810" s="10"/>
      <c r="S1810" s="10"/>
      <c r="T1810" s="10"/>
      <c r="U1810" s="10"/>
      <c r="V1810" s="10"/>
      <c r="W1810" s="10"/>
      <c r="X1810" s="10"/>
      <c r="Y1810" s="10"/>
      <c r="Z1810" s="10"/>
    </row>
    <row r="1811" spans="1:26" ht="12.75">
      <c r="A1811" s="10" t="str">
        <f ca="1">IFERROR(__xludf.DUMMYFUNCTION("""COMPUTED_VALUE"""),"Георги Дончев Рачев")</f>
        <v>Георги Дончев Рачев</v>
      </c>
      <c r="B1811" s="10" t="str">
        <f ca="1">IFERROR(__xludf.DUMMYFUNCTION("""COMPUTED_VALUE"""),"Статия в списания и поредици")</f>
        <v>Статия в списания и поредици</v>
      </c>
      <c r="C1811" s="10" t="str">
        <f ca="1">IFERROR(__xludf.DUMMYFUNCTION("""COMPUTED_VALUE"""),"Изследване на физическо изветряне в района на Българската Антарктическа база (БАБ) чрез чук на Шмид.")</f>
        <v>Изследване на физическо изветряне в района на Българската Антарктическа база (БАБ) чрез чук на Шмид.</v>
      </c>
      <c r="D1811" s="10">
        <f ca="1">IFERROR(__xludf.DUMMYFUNCTION("""COMPUTED_VALUE"""),2019)</f>
        <v>2019</v>
      </c>
      <c r="E1811" s="10" t="str">
        <f ca="1">IFERROR(__xludf.DUMMYFUNCTION("""COMPUTED_VALUE"""),"Списание на Българското геологическо дружество,, vol:80, issue:3, 2019, pages:209-211, ISSN (online):ISSN - 0007-3938")</f>
        <v>Списание на Българското геологическо дружество,, vol:80, issue:3, 2019, pages:209-211, ISSN (online):ISSN - 0007-3938</v>
      </c>
      <c r="F1811" s="10" t="str">
        <f ca="1">IFERROR(__xludf.DUMMYFUNCTION("""COMPUTED_VALUE"""),"Ref, IF ( - 2019), др.(COBISS.BG-ID - 1119676388 )")</f>
        <v>Ref, IF ( - 2019), др.(COBISS.BG-ID - 1119676388 )</v>
      </c>
      <c r="G1811" s="10" t="str">
        <f ca="1">IFERROR(__xludf.DUMMYFUNCTION("""COMPUTED_VALUE"""),"Петко Божков, Александър Сарафов, Ахинора Балтакова, Георги Рачев")</f>
        <v>Петко Божков, Александър Сарафов, Ахинора Балтакова, Георги Рачев</v>
      </c>
      <c r="H1811" s="10"/>
      <c r="I1811" s="10"/>
      <c r="J1811" s="10"/>
      <c r="K1811" s="10"/>
      <c r="L1811" s="10"/>
      <c r="M1811" s="10"/>
      <c r="N1811" s="10"/>
      <c r="O1811" s="10"/>
      <c r="P1811" s="10"/>
      <c r="Q1811" s="10"/>
      <c r="R1811" s="10"/>
      <c r="S1811" s="10"/>
      <c r="T1811" s="10"/>
      <c r="U1811" s="10"/>
      <c r="V1811" s="10"/>
      <c r="W1811" s="10"/>
      <c r="X1811" s="10"/>
      <c r="Y1811" s="10"/>
      <c r="Z1811" s="10"/>
    </row>
    <row r="1812" spans="1:26" ht="12.75">
      <c r="A1812" s="10" t="str">
        <f ca="1">IFERROR(__xludf.DUMMYFUNCTION("""COMPUTED_VALUE"""),"Георги Дончев Рачев")</f>
        <v>Георги Дончев Рачев</v>
      </c>
      <c r="B1812" s="10" t="str">
        <f ca="1">IFERROR(__xludf.DUMMYFUNCTION("""COMPUTED_VALUE"""),"Статия в списания и поредици")</f>
        <v>Статия в списания и поредици</v>
      </c>
      <c r="C1812" s="10" t="str">
        <f ca="1">IFERROR(__xludf.DUMMYFUNCTION("""COMPUTED_VALUE"""),"Freeze-thaw activity in the high mountain area of Pirin Mountains, SW Bulgaria")</f>
        <v>Freeze-thaw activity in the high mountain area of Pirin Mountains, SW Bulgaria</v>
      </c>
      <c r="D1812" s="10">
        <f ca="1">IFERROR(__xludf.DUMMYFUNCTION("""COMPUTED_VALUE"""),2019)</f>
        <v>2019</v>
      </c>
      <c r="E1812" s="10" t="str">
        <f ca="1">IFERROR(__xludf.DUMMYFUNCTION("""COMPUTED_VALUE"""),"Second Workshop of the IAG Working Group on Denudation and Environmental Changes in Different Morphoclimatic Zones (DENUCHANGE), editor/s:Achim Beylich, Katja Laute, Publisher:Geomorphological Field Laboratory (GFL), 2019, ISBN:978-82-691768-0-3")</f>
        <v>Second Workshop of the IAG Working Group on Denudation and Environmental Changes in Different Morphoclimatic Zones (DENUCHANGE), editor/s:Achim Beylich, Katja Laute, Publisher:Geomorphological Field Laboratory (GFL), 2019, ISBN:978-82-691768-0-3</v>
      </c>
      <c r="F1812" s="10"/>
      <c r="G1812" s="10" t="str">
        <f ca="1">IFERROR(__xludf.DUMMYFUNCTION("""COMPUTED_VALUE"""),"Sonya Stoyanova, Georgi Rachev, Rossitza Kenderova, Ahinora Baltakova, Dimitar Krenchev, Petko Bozhkov")</f>
        <v>Sonya Stoyanova, Georgi Rachev, Rossitza Kenderova, Ahinora Baltakova, Dimitar Krenchev, Petko Bozhkov</v>
      </c>
      <c r="H1812" s="10"/>
      <c r="I1812" s="10"/>
      <c r="J1812" s="10"/>
      <c r="K1812" s="10"/>
      <c r="L1812" s="10"/>
      <c r="M1812" s="10"/>
      <c r="N1812" s="10"/>
      <c r="O1812" s="10"/>
      <c r="P1812" s="10"/>
      <c r="Q1812" s="10"/>
      <c r="R1812" s="10"/>
      <c r="S1812" s="10"/>
      <c r="T1812" s="10"/>
      <c r="U1812" s="10"/>
      <c r="V1812" s="10"/>
      <c r="W1812" s="10"/>
      <c r="X1812" s="10"/>
      <c r="Y1812" s="10"/>
      <c r="Z1812" s="10"/>
    </row>
    <row r="1813" spans="1:26" ht="12.75">
      <c r="A1813" s="10" t="str">
        <f ca="1">IFERROR(__xludf.DUMMYFUNCTION("""COMPUTED_VALUE"""),"Георги Дончев Рачев")</f>
        <v>Георги Дончев Рачев</v>
      </c>
      <c r="B1813" s="10" t="str">
        <f ca="1">IFERROR(__xludf.DUMMYFUNCTION("""COMPUTED_VALUE"""),"Статия в списания и поредици")</f>
        <v>Статия в списания и поредици</v>
      </c>
      <c r="C1813" s="10" t="str">
        <f ca="1">IFERROR(__xludf.DUMMYFUNCTION("""COMPUTED_VALUE"""),"Creep process in the Pirin Mountains")</f>
        <v>Creep process in the Pirin Mountains</v>
      </c>
      <c r="D1813" s="10">
        <f ca="1">IFERROR(__xludf.DUMMYFUNCTION("""COMPUTED_VALUE"""),2018)</f>
        <v>2018</v>
      </c>
      <c r="E1813" s="10" t="str">
        <f ca="1">IFERROR(__xludf.DUMMYFUNCTION("""COMPUTED_VALUE"""),"R. Kenderova, A. Baltakova, D. Krenchev, G. Rachev, Creep process in the Pirin Mountains, Доклади на БАН, том:71, брой:2, 2018, стр.236-242, ISSN (print):1310-1331, ISSN (online):2367-5535, Ref IF (12 - ) Quartile:(2018)")</f>
        <v>R. Kenderova, A. Baltakova, D. Krenchev, G. Rachev, Creep process in the Pirin Mountains, Доклади на БАН, том:71, брой:2, 2018, стр.236-242, ISSN (print):1310-1331, ISSN (online):2367-5535, Ref IF (12 - ) Quartile:(2018)</v>
      </c>
      <c r="F1813" s="10" t="str">
        <f ca="1">IFERROR(__xludf.DUMMYFUNCTION("""COMPUTED_VALUE"""),"WEB OF SCIENCE /JCR (Thomson Reuters); SCOPUS")</f>
        <v>WEB OF SCIENCE /JCR (Thomson Reuters); SCOPUS</v>
      </c>
      <c r="G1813" s="10" t="str">
        <f ca="1">IFERROR(__xludf.DUMMYFUNCTION("""COMPUTED_VALUE"""),"R. Kenderova, A. Baltakova, D. Krenchev, G. Rachev")</f>
        <v>R. Kenderova, A. Baltakova, D. Krenchev, G. Rachev</v>
      </c>
      <c r="H1813" s="10"/>
      <c r="I1813" s="10"/>
      <c r="J1813" s="10"/>
      <c r="K1813" s="10"/>
      <c r="L1813" s="10"/>
      <c r="M1813" s="10"/>
      <c r="N1813" s="10"/>
      <c r="O1813" s="10"/>
      <c r="P1813" s="10"/>
      <c r="Q1813" s="10"/>
      <c r="R1813" s="10"/>
      <c r="S1813" s="10"/>
      <c r="T1813" s="10"/>
      <c r="U1813" s="10"/>
      <c r="V1813" s="10"/>
      <c r="W1813" s="10"/>
      <c r="X1813" s="10"/>
      <c r="Y1813" s="10"/>
      <c r="Z1813" s="10"/>
    </row>
    <row r="1814" spans="1:26" ht="12.75">
      <c r="A1814" s="10" t="str">
        <f ca="1">IFERROR(__xludf.DUMMYFUNCTION("""COMPUTED_VALUE"""),"Георги Дончев Рачев")</f>
        <v>Георги Дончев Рачев</v>
      </c>
      <c r="B1814" s="10" t="str">
        <f ca="1">IFERROR(__xludf.DUMMYFUNCTION("""COMPUTED_VALUE"""),"Статия в списания и поредици")</f>
        <v>Статия в списания и поредици</v>
      </c>
      <c r="C1814" s="10" t="str">
        <f ca="1">IFERROR(__xludf.DUMMYFUNCTION("""COMPUTED_VALUE"""),"Метеорологични, хидроложки и геоморфоложки изследвания във водосбора на река Бъндерица за периода 2011-2017 г.")</f>
        <v>Метеорологични, хидроложки и геоморфоложки изследвания във водосбора на река Бъндерица за периода 2011-2017 г.</v>
      </c>
      <c r="D1814" s="10">
        <f ca="1">IFERROR(__xludf.DUMMYFUNCTION("""COMPUTED_VALUE"""),2018)</f>
        <v>2018</v>
      </c>
      <c r="E1814" s="10" t="str">
        <f ca="1">IFERROR(__xludf.DUMMYFUNCTION("""COMPUTED_VALUE"""),"Кренчев, Д., Балтакова, А., Николова, Н., Божков, П., Кендерова, Р., Рачев, Г., Христова, Н., Пенков, И., Метеорологични, хидроложки и геоморфоложки изследвания във водосбора на река Бъндерица за периода 2011-2017 г., Год. на СУ, ГГФ, кн.2, том:111, 2018,"&amp;" ISSN (print):0324-2579, ISSN (online):2535-0579, Ref , PhD")</f>
        <v>Кренчев, Д., Балтакова, А., Николова, Н., Божков, П., Кендерова, Р., Рачев, Г., Христова, Н., Пенков, И., Метеорологични, хидроложки и геоморфоложки изследвания във водосбора на река Бъндерица за периода 2011-2017 г., Год. на СУ, ГГФ, кн.2, том:111, 2018, ISSN (print):0324-2579, ISSN (online):2535-0579, Ref , PhD</v>
      </c>
      <c r="F1814" s="10" t="str">
        <f ca="1">IFERROR(__xludf.DUMMYFUNCTION("""COMPUTED_VALUE"""),"Zentralblatt, MathSciNet, DBLP, ERIC, ACM Digital Library, IEEE Xplore, AIS eLibrary")</f>
        <v>Zentralblatt, MathSciNet, DBLP, ERIC, ACM Digital Library, IEEE Xplore, AIS eLibrary</v>
      </c>
      <c r="G1814" s="10" t="str">
        <f ca="1">IFERROR(__xludf.DUMMYFUNCTION("""COMPUTED_VALUE"""),"Кренчев, Д., Балтакова, А., Николова, Н., Божков, П., Кендерова, Р., Рачев, Г., Христова, Н., Пенков, И.")</f>
        <v>Кренчев, Д., Балтакова, А., Николова, Н., Божков, П., Кендерова, Р., Рачев, Г., Христова, Н., Пенков, И.</v>
      </c>
      <c r="H1814" s="10"/>
      <c r="I1814" s="10"/>
      <c r="J1814" s="10"/>
      <c r="K1814" s="10"/>
      <c r="L1814" s="10"/>
      <c r="M1814" s="10"/>
      <c r="N1814" s="10"/>
      <c r="O1814" s="10"/>
      <c r="P1814" s="10"/>
      <c r="Q1814" s="10"/>
      <c r="R1814" s="10"/>
      <c r="S1814" s="10"/>
      <c r="T1814" s="10"/>
      <c r="U1814" s="10"/>
      <c r="V1814" s="10"/>
      <c r="W1814" s="10"/>
      <c r="X1814" s="10"/>
      <c r="Y1814" s="10"/>
      <c r="Z1814" s="10"/>
    </row>
    <row r="1815" spans="1:26" ht="12.75">
      <c r="A1815" s="10" t="str">
        <f ca="1">IFERROR(__xludf.DUMMYFUNCTION("""COMPUTED_VALUE"""),"Георги Дончев Рачев")</f>
        <v>Георги Дончев Рачев</v>
      </c>
      <c r="B1815" s="10" t="str">
        <f ca="1">IFERROR(__xludf.DUMMYFUNCTION("""COMPUTED_VALUE"""),"Доклад от конференция")</f>
        <v>Доклад от конференция</v>
      </c>
      <c r="C1815" s="10" t="str">
        <f ca="1">IFERROR(__xludf.DUMMYFUNCTION("""COMPUTED_VALUE"""),"Possible impact of climate and weather condition on debris flows occurrence (on the example of Kresna gorge, Bulgaria)")</f>
        <v>Possible impact of climate and weather condition on debris flows occurrence (on the example of Kresna gorge, Bulgaria)</v>
      </c>
      <c r="D1815" s="10">
        <f ca="1">IFERROR(__xludf.DUMMYFUNCTION("""COMPUTED_VALUE"""),2018)</f>
        <v>2018</v>
      </c>
      <c r="E1815" s="10" t="str">
        <f ca="1">IFERROR(__xludf.DUMMYFUNCTION("""COMPUTED_VALUE"""),"Nikolova, N., G. Rachev, R. Kenderova, Possible impact of climate and weather condition on debris flows occurrence (on the example of Kresna gorge, Bulgaria), 5th International Conference DEBRIS FLOWS: disasters, risk, forecast, protection., Грузия 2018")</f>
        <v>Nikolova, N., G. Rachev, R. Kenderova, Possible impact of climate and weather condition on debris flows occurrence (on the example of Kresna gorge, Bulgaria), 5th International Conference DEBRIS FLOWS: disasters, risk, forecast, protection., Грузия 2018</v>
      </c>
      <c r="F1815" s="10"/>
      <c r="G1815" s="10" t="str">
        <f ca="1">IFERROR(__xludf.DUMMYFUNCTION("""COMPUTED_VALUE"""),"Nikolova, N., G. Rachev, R. Kenderova")</f>
        <v>Nikolova, N., G. Rachev, R. Kenderova</v>
      </c>
      <c r="H1815" s="10"/>
      <c r="I1815" s="10"/>
      <c r="J1815" s="10"/>
      <c r="K1815" s="10"/>
      <c r="L1815" s="10"/>
      <c r="M1815" s="10"/>
      <c r="N1815" s="10"/>
      <c r="O1815" s="10"/>
      <c r="P1815" s="10"/>
      <c r="Q1815" s="10"/>
      <c r="R1815" s="10"/>
      <c r="S1815" s="10"/>
      <c r="T1815" s="10"/>
      <c r="U1815" s="10"/>
      <c r="V1815" s="10"/>
      <c r="W1815" s="10"/>
      <c r="X1815" s="10"/>
      <c r="Y1815" s="10"/>
      <c r="Z1815" s="10"/>
    </row>
    <row r="1816" spans="1:26" ht="12.75">
      <c r="A1816" s="10" t="str">
        <f ca="1">IFERROR(__xludf.DUMMYFUNCTION("""COMPUTED_VALUE"""),"Георги Дончев Рачев")</f>
        <v>Георги Дончев Рачев</v>
      </c>
      <c r="B1816" s="10" t="str">
        <f ca="1">IFERROR(__xludf.DUMMYFUNCTION("""COMPUTED_VALUE"""),"Статия в списания и поредици")</f>
        <v>Статия в списания и поредици</v>
      </c>
      <c r="C1816" s="10" t="str">
        <f ca="1">IFERROR(__xludf.DUMMYFUNCTION("""COMPUTED_VALUE"""),"Possible impact of climate and weather conditions on debris flows occurrence (on the example of Kresna Gorge, Bulgaria).")</f>
        <v>Possible impact of climate and weather conditions on debris flows occurrence (on the example of Kresna Gorge, Bulgaria).</v>
      </c>
      <c r="D1816" s="10">
        <f ca="1">IFERROR(__xludf.DUMMYFUNCTION("""COMPUTED_VALUE"""),2018)</f>
        <v>2018</v>
      </c>
      <c r="E1816" s="10" t="str">
        <f ca="1">IFERROR(__xludf.DUMMYFUNCTION("""COMPUTED_VALUE"""),"Nikolova, N., G. Rachev, R. Kenderova, Possible impact of climate and weather conditions on debris flows occurrence (on the example of Kresna Gorge, Bulgaria). , 5th International Conference on Debris Flows: Disasters, Risk, Forecast, Protection (Tbilisi,"&amp;" Georgia, October 1-5, 2018, 2018, ISBN:978-9941-26-283-8")</f>
        <v>Nikolova, N., G. Rachev, R. Kenderova, Possible impact of climate and weather conditions on debris flows occurrence (on the example of Kresna Gorge, Bulgaria). , 5th International Conference on Debris Flows: Disasters, Risk, Forecast, Protection (Tbilisi, Georgia, October 1-5, 2018, 2018, ISBN:978-9941-26-283-8</v>
      </c>
      <c r="F1816" s="10"/>
      <c r="G1816" s="10" t="str">
        <f ca="1">IFERROR(__xludf.DUMMYFUNCTION("""COMPUTED_VALUE"""),"Nikolova, N., G. Rachev, R. Kenderova")</f>
        <v>Nikolova, N., G. Rachev, R. Kenderova</v>
      </c>
      <c r="H1816" s="10"/>
      <c r="I1816" s="10"/>
      <c r="J1816" s="10"/>
      <c r="K1816" s="10"/>
      <c r="L1816" s="10"/>
      <c r="M1816" s="10"/>
      <c r="N1816" s="10"/>
      <c r="O1816" s="10"/>
      <c r="P1816" s="10"/>
      <c r="Q1816" s="10"/>
      <c r="R1816" s="10"/>
      <c r="S1816" s="10"/>
      <c r="T1816" s="10"/>
      <c r="U1816" s="10"/>
      <c r="V1816" s="10"/>
      <c r="W1816" s="10"/>
      <c r="X1816" s="10"/>
      <c r="Y1816" s="10"/>
      <c r="Z1816" s="10"/>
    </row>
    <row r="1817" spans="1:26" ht="12.75">
      <c r="A1817" s="10" t="str">
        <f ca="1">IFERROR(__xludf.DUMMYFUNCTION("""COMPUTED_VALUE"""),"Георги Дончев Рачев")</f>
        <v>Георги Дончев Рачев</v>
      </c>
      <c r="B1817" s="10" t="str">
        <f ca="1">IFERROR(__xludf.DUMMYFUNCTION("""COMPUTED_VALUE"""),"Статия в списания и поредици")</f>
        <v>Статия в списания и поредици</v>
      </c>
      <c r="C1817" s="10" t="str">
        <f ca="1">IFERROR(__xludf.DUMMYFUNCTION("""COMPUTED_VALUE"""),"Possible impact of climate and weather conditions on debris flows occurrence (on the example of Kresna Gorge, Bulgaria)")</f>
        <v>Possible impact of climate and weather conditions on debris flows occurrence (on the example of Kresna Gorge, Bulgaria)</v>
      </c>
      <c r="D1817" s="10">
        <f ca="1">IFERROR(__xludf.DUMMYFUNCTION("""COMPUTED_VALUE"""),2018)</f>
        <v>2018</v>
      </c>
      <c r="E1817" s="10" t="str">
        <f ca="1">IFERROR(__xludf.DUMMYFUNCTION("""COMPUTED_VALUE"""),"Nikolova N., G. Rachev, R. Kenderova, Possible impact of climate and weather conditions on debris flows occurrence (on the example of Kresna Gorge, Bulgaria), 5th International Conference Debris Flows: disasters, risk, forecast, protection, Tbilisi, Georg"&amp;"ia, 1-5 October 2018, редактор/и:S.S. Chernomorets, G.V.Gavardashvili, издателство:Publishing House “Universal” Tbilisi, 2018, стр.166-175, ISBN: 978-9941-26-283-8, Ref")</f>
        <v>Nikolova N., G. Rachev, R. Kenderova, Possible impact of climate and weather conditions on debris flows occurrence (on the example of Kresna Gorge, Bulgaria), 5th International Conference Debris Flows: disasters, risk, forecast, protection, Tbilisi, Georgia, 1-5 October 2018, редактор/и:S.S. Chernomorets, G.V.Gavardashvili, издателство:Publishing House “Universal” Tbilisi, 2018, стр.166-175, ISBN: 978-9941-26-283-8, Ref</v>
      </c>
      <c r="F1817" s="10" t="str">
        <f ca="1">IFERROR(__xludf.DUMMYFUNCTION("""COMPUTED_VALUE"""),"Zentralblatt, MathSciNet, DBLP, ERIC, ACM Digital Library, IEEE Xplore, AIS eLibrary")</f>
        <v>Zentralblatt, MathSciNet, DBLP, ERIC, ACM Digital Library, IEEE Xplore, AIS eLibrary</v>
      </c>
      <c r="G1817" s="10" t="str">
        <f ca="1">IFERROR(__xludf.DUMMYFUNCTION("""COMPUTED_VALUE"""),"Nikolova N., G. Rachev, R. Kenderova")</f>
        <v>Nikolova N., G. Rachev, R. Kenderova</v>
      </c>
      <c r="H1817" s="10"/>
      <c r="I1817" s="10"/>
      <c r="J1817" s="10"/>
      <c r="K1817" s="10"/>
      <c r="L1817" s="10"/>
      <c r="M1817" s="10"/>
      <c r="N1817" s="10"/>
      <c r="O1817" s="10"/>
      <c r="P1817" s="10"/>
      <c r="Q1817" s="10"/>
      <c r="R1817" s="10"/>
      <c r="S1817" s="10"/>
      <c r="T1817" s="10"/>
      <c r="U1817" s="10"/>
      <c r="V1817" s="10"/>
      <c r="W1817" s="10"/>
      <c r="X1817" s="10"/>
      <c r="Y1817" s="10"/>
      <c r="Z1817" s="10"/>
    </row>
    <row r="1818" spans="1:26" ht="12.75">
      <c r="A1818" s="10" t="str">
        <f ca="1">IFERROR(__xludf.DUMMYFUNCTION("""COMPUTED_VALUE"""),"Георги Дончев Рачев")</f>
        <v>Георги Дончев Рачев</v>
      </c>
      <c r="B1818" s="10" t="str">
        <f ca="1">IFERROR(__xludf.DUMMYFUNCTION("""COMPUTED_VALUE"""),"Книга")</f>
        <v>Книга</v>
      </c>
      <c r="C1818" s="10" t="str">
        <f ca="1">IFERROR(__xludf.DUMMYFUNCTION("""COMPUTED_VALUE"""),"Климатология- въпроси и отговори.")</f>
        <v>Климатология- въпроси и отговори.</v>
      </c>
      <c r="D1818" s="10">
        <f ca="1">IFERROR(__xludf.DUMMYFUNCTION("""COMPUTED_VALUE"""),2018)</f>
        <v>2018</v>
      </c>
      <c r="E1818" s="10" t="str">
        <f ca="1">IFERROR(__xludf.DUMMYFUNCTION("""COMPUTED_VALUE"""),"Рачев, Г., Климатология- въпроси и отговори., Парадигма, Рецензирано")</f>
        <v>Рачев, Г., Климатология- въпроси и отговори., Парадигма, Рецензирано</v>
      </c>
      <c r="F1818" s="10"/>
      <c r="G1818" s="10" t="str">
        <f ca="1">IFERROR(__xludf.DUMMYFUNCTION("""COMPUTED_VALUE"""),"Рачев, Г.")</f>
        <v>Рачев, Г.</v>
      </c>
      <c r="H1818" s="10"/>
      <c r="I1818" s="10"/>
      <c r="J1818" s="10"/>
      <c r="K1818" s="10"/>
      <c r="L1818" s="10"/>
      <c r="M1818" s="10"/>
      <c r="N1818" s="10"/>
      <c r="O1818" s="10"/>
      <c r="P1818" s="10"/>
      <c r="Q1818" s="10"/>
      <c r="R1818" s="10"/>
      <c r="S1818" s="10"/>
      <c r="T1818" s="10"/>
      <c r="U1818" s="10"/>
      <c r="V1818" s="10"/>
      <c r="W1818" s="10"/>
      <c r="X1818" s="10"/>
      <c r="Y1818" s="10"/>
      <c r="Z1818" s="10"/>
    </row>
    <row r="1819" spans="1:26" ht="12.75">
      <c r="A1819" s="10" t="str">
        <f ca="1">IFERROR(__xludf.DUMMYFUNCTION("""COMPUTED_VALUE"""),"Георги Дончев Рачев")</f>
        <v>Георги Дончев Рачев</v>
      </c>
      <c r="B1819" s="10" t="str">
        <f ca="1">IFERROR(__xludf.DUMMYFUNCTION("""COMPUTED_VALUE"""),"Книга")</f>
        <v>Книга</v>
      </c>
      <c r="C1819" s="10" t="str">
        <f ca="1">IFERROR(__xludf.DUMMYFUNCTION("""COMPUTED_VALUE"""),"Климатология- въпроси и отговори")</f>
        <v>Климатология- въпроси и отговори</v>
      </c>
      <c r="D1819" s="10">
        <f ca="1">IFERROR(__xludf.DUMMYFUNCTION("""COMPUTED_VALUE"""),2018)</f>
        <v>2018</v>
      </c>
      <c r="E1819" s="10" t="str">
        <f ca="1">IFERROR(__xludf.DUMMYFUNCTION("""COMPUTED_VALUE"""),"Парадигма, Рецензирано")</f>
        <v>Парадигма, Рецензирано</v>
      </c>
      <c r="F1819" s="10"/>
      <c r="G1819" s="10"/>
      <c r="H1819" s="10"/>
      <c r="I1819" s="10"/>
      <c r="J1819" s="10"/>
      <c r="K1819" s="10"/>
      <c r="L1819" s="10"/>
      <c r="M1819" s="10"/>
      <c r="N1819" s="10"/>
      <c r="O1819" s="10"/>
      <c r="P1819" s="10"/>
      <c r="Q1819" s="10"/>
      <c r="R1819" s="10"/>
      <c r="S1819" s="10"/>
      <c r="T1819" s="10"/>
      <c r="U1819" s="10"/>
      <c r="V1819" s="10"/>
      <c r="W1819" s="10"/>
      <c r="X1819" s="10"/>
      <c r="Y1819" s="10"/>
      <c r="Z1819" s="10"/>
    </row>
    <row r="1820" spans="1:26" ht="12.75">
      <c r="A1820" s="10" t="str">
        <f ca="1">IFERROR(__xludf.DUMMYFUNCTION("""COMPUTED_VALUE"""),"Георги Дончев Рачев")</f>
        <v>Георги Дончев Рачев</v>
      </c>
      <c r="B1820" s="10" t="str">
        <f ca="1">IFERROR(__xludf.DUMMYFUNCTION("""COMPUTED_VALUE"""),"Статия в списания и поредици")</f>
        <v>Статия в списания и поредици</v>
      </c>
      <c r="C1820" s="10" t="str">
        <f ca="1">IFERROR(__xludf.DUMMYFUNCTION("""COMPUTED_VALUE"""),"Possible impact of climate and weather condition on debris flows occurrence (on the example of Kresna gorge, Bulgaria)")</f>
        <v>Possible impact of climate and weather condition on debris flows occurrence (on the example of Kresna gorge, Bulgaria)</v>
      </c>
      <c r="D1820" s="10">
        <f ca="1">IFERROR(__xludf.DUMMYFUNCTION("""COMPUTED_VALUE"""),2018)</f>
        <v>2018</v>
      </c>
      <c r="E1820" s="10" t="str">
        <f ca="1">IFERROR(__xludf.DUMMYFUNCTION("""COMPUTED_VALUE"""),"DEBRIS FLOWS: Disasters, Risk, Forecast, Protection , editor/s:S.S. Chernomorets, G.V. Gavardashvili, Publisher:Publishing House “Universal” Tbilisi 2018, 2018, pages:166-175, ISBN:978-9941-26-283-8")</f>
        <v>DEBRIS FLOWS: Disasters, Risk, Forecast, Protection , editor/s:S.S. Chernomorets, G.V. Gavardashvili, Publisher:Publishing House “Universal” Tbilisi 2018, 2018, pages:166-175, ISBN:978-9941-26-283-8</v>
      </c>
      <c r="F1820" s="10" t="str">
        <f ca="1">IFERROR(__xludf.DUMMYFUNCTION("""COMPUTED_VALUE"""),"Ref")</f>
        <v>Ref</v>
      </c>
      <c r="G1820" s="10" t="str">
        <f ca="1">IFERROR(__xludf.DUMMYFUNCTION("""COMPUTED_VALUE"""),"Nikolova N., G. Rachev, R. Kenderova")</f>
        <v>Nikolova N., G. Rachev, R. Kenderova</v>
      </c>
      <c r="H1820" s="10"/>
      <c r="I1820" s="10"/>
      <c r="J1820" s="10"/>
      <c r="K1820" s="10"/>
      <c r="L1820" s="10"/>
      <c r="M1820" s="10"/>
      <c r="N1820" s="10"/>
      <c r="O1820" s="10"/>
      <c r="P1820" s="10"/>
      <c r="Q1820" s="10"/>
      <c r="R1820" s="10"/>
      <c r="S1820" s="10"/>
      <c r="T1820" s="10"/>
      <c r="U1820" s="10"/>
      <c r="V1820" s="10"/>
      <c r="W1820" s="10"/>
      <c r="X1820" s="10"/>
      <c r="Y1820" s="10"/>
      <c r="Z1820" s="10"/>
    </row>
    <row r="1821" spans="1:26" ht="12.75">
      <c r="A1821" s="10" t="str">
        <f ca="1">IFERROR(__xludf.DUMMYFUNCTION("""COMPUTED_VALUE"""),"Георги Дончев Рачев")</f>
        <v>Георги Дончев Рачев</v>
      </c>
      <c r="B1821" s="10" t="str">
        <f ca="1">IFERROR(__xludf.DUMMYFUNCTION("""COMPUTED_VALUE"""),"Статия в списания и поредици")</f>
        <v>Статия в списания и поредици</v>
      </c>
      <c r="C1821" s="10" t="str">
        <f ca="1">IFERROR(__xludf.DUMMYFUNCTION("""COMPUTED_VALUE"""),"Results from ground surface temperature measurements used as indication of possible permafrost occurrence in the Pirin Mountains")</f>
        <v>Results from ground surface temperature measurements used as indication of possible permafrost occurrence in the Pirin Mountains</v>
      </c>
      <c r="D1821" s="10">
        <f ca="1">IFERROR(__xludf.DUMMYFUNCTION("""COMPUTED_VALUE"""),2017)</f>
        <v>2017</v>
      </c>
      <c r="E1821" s="10" t="str">
        <f ca="1">IFERROR(__xludf.DUMMYFUNCTION("""COMPUTED_VALUE"""),"Ahinora Baltakova, Rossitza Kenderova, Georgi Rachev, Dimitar Krenchev, Sonya Stoyanova, Petko Bozhkov, Results from ground surface temperature measurements used as indication of possible permafrost occurrence in the Pirin Mountains, Proceedings of the 11"&amp;"th I.A.G./A.I.G. SEDIBUD Workshop – Baru, Romania, September 5-8, 2017, 2017, стр.7-7, PhD")</f>
        <v>Ahinora Baltakova, Rossitza Kenderova, Georgi Rachev, Dimitar Krenchev, Sonya Stoyanova, Petko Bozhkov, Results from ground surface temperature measurements used as indication of possible permafrost occurrence in the Pirin Mountains, Proceedings of the 11th I.A.G./A.I.G. SEDIBUD Workshop – Baru, Romania, September 5-8, 2017, 2017, стр.7-7, PhD</v>
      </c>
      <c r="F1821" s="10"/>
      <c r="G1821" s="10" t="str">
        <f ca="1">IFERROR(__xludf.DUMMYFUNCTION("""COMPUTED_VALUE"""),"Ahinora Baltakova, Rossitza Kenderova, Georgi Rachev, Dimitar Krenchev, Sonya Stoyanova, Petko Bozhkov")</f>
        <v>Ahinora Baltakova, Rossitza Kenderova, Georgi Rachev, Dimitar Krenchev, Sonya Stoyanova, Petko Bozhkov</v>
      </c>
      <c r="H1821" s="10"/>
      <c r="I1821" s="10"/>
      <c r="J1821" s="10"/>
      <c r="K1821" s="10"/>
      <c r="L1821" s="10"/>
      <c r="M1821" s="10"/>
      <c r="N1821" s="10"/>
      <c r="O1821" s="10"/>
      <c r="P1821" s="10"/>
      <c r="Q1821" s="10"/>
      <c r="R1821" s="10"/>
      <c r="S1821" s="10"/>
      <c r="T1821" s="10"/>
      <c r="U1821" s="10"/>
      <c r="V1821" s="10"/>
      <c r="W1821" s="10"/>
      <c r="X1821" s="10"/>
      <c r="Y1821" s="10"/>
      <c r="Z1821" s="10"/>
    </row>
    <row r="1822" spans="1:26" ht="12.75">
      <c r="A1822" s="10" t="str">
        <f ca="1">IFERROR(__xludf.DUMMYFUNCTION("""COMPUTED_VALUE"""),"Георги Дончев Рачев")</f>
        <v>Георги Дончев Рачев</v>
      </c>
      <c r="B1822" s="10" t="str">
        <f ca="1">IFERROR(__xludf.DUMMYFUNCTION("""COMPUTED_VALUE"""),"Статия в списания и поредици")</f>
        <v>Статия в списания и поредици</v>
      </c>
      <c r="C1822" s="10" t="str">
        <f ca="1">IFERROR(__xludf.DUMMYFUNCTION("""COMPUTED_VALUE"""),"Съвременни изменения на температурата на въздуха и валежите в България.")</f>
        <v>Съвременни изменения на температурата на въздуха и валежите в България.</v>
      </c>
      <c r="D1822" s="10">
        <f ca="1">IFERROR(__xludf.DUMMYFUNCTION("""COMPUTED_VALUE"""),2017)</f>
        <v>2017</v>
      </c>
      <c r="E1822" s="10" t="str">
        <f ca="1">IFERROR(__xludf.DUMMYFUNCTION("""COMPUTED_VALUE"""),"Рачев, Г., Н. Асенова, Съвременни изменения на температурата на въздуха и валежите в България., Год.на СУ ""Климент Охридски"", Геолого-географски факултет, том:110, брой:кн. 2 - География, 2017, Ref")</f>
        <v>Рачев, Г., Н. Асенова, Съвременни изменения на температурата на въздуха и валежите в България., Год.на СУ "Климент Охридски", Геолого-географски факултет, том:110, брой:кн. 2 - География, 2017, Ref</v>
      </c>
      <c r="F1822" s="10" t="str">
        <f ca="1">IFERROR(__xludf.DUMMYFUNCTION("""COMPUTED_VALUE"""),"Zentralblatt, MathSciNet, DBLP, ERIC, ACM Digital Library, IEEE Xplore, AIS eLibrary")</f>
        <v>Zentralblatt, MathSciNet, DBLP, ERIC, ACM Digital Library, IEEE Xplore, AIS eLibrary</v>
      </c>
      <c r="G1822" s="10" t="str">
        <f ca="1">IFERROR(__xludf.DUMMYFUNCTION("""COMPUTED_VALUE"""),"Рачев, Г., Н. Асенова")</f>
        <v>Рачев, Г., Н. Асенова</v>
      </c>
      <c r="H1822" s="10"/>
      <c r="I1822" s="10"/>
      <c r="J1822" s="10"/>
      <c r="K1822" s="10"/>
      <c r="L1822" s="10"/>
      <c r="M1822" s="10"/>
      <c r="N1822" s="10"/>
      <c r="O1822" s="10"/>
      <c r="P1822" s="10"/>
      <c r="Q1822" s="10"/>
      <c r="R1822" s="10"/>
      <c r="S1822" s="10"/>
      <c r="T1822" s="10"/>
      <c r="U1822" s="10"/>
      <c r="V1822" s="10"/>
      <c r="W1822" s="10"/>
      <c r="X1822" s="10"/>
      <c r="Y1822" s="10"/>
      <c r="Z1822" s="10"/>
    </row>
    <row r="1823" spans="1:26" ht="12.75">
      <c r="A1823" s="10" t="str">
        <f ca="1">IFERROR(__xludf.DUMMYFUNCTION("""COMPUTED_VALUE"""),"Георги Дончев Рачев")</f>
        <v>Георги Дончев Рачев</v>
      </c>
      <c r="B1823" s="10" t="str">
        <f ca="1">IFERROR(__xludf.DUMMYFUNCTION("""COMPUTED_VALUE"""),"Доклад от конференция")</f>
        <v>Доклад от конференция</v>
      </c>
      <c r="C1823" s="10" t="str">
        <f ca="1">IFERROR(__xludf.DUMMYFUNCTION("""COMPUTED_VALUE"""),"Въздействие на климата и опасните явления свързани с времето върху зърнопроизводството.")</f>
        <v>Въздействие на климата и опасните явления свързани с времето върху зърнопроизводството.</v>
      </c>
      <c r="D1823" s="10">
        <f ca="1">IFERROR(__xludf.DUMMYFUNCTION("""COMPUTED_VALUE"""),2017)</f>
        <v>2017</v>
      </c>
      <c r="E1823" s="10" t="str">
        <f ca="1">IFERROR(__xludf.DUMMYFUNCTION("""COMPUTED_VALUE"""),"Георги Рачев, Нина Николова, Въздействие на климата и опасните явления свързани с времето върху зърнопроизводството.
 , Зърнена академия 2017, България/Варна 2017")</f>
        <v>Георги Рачев, Нина Николова, Въздействие на климата и опасните явления свързани с времето върху зърнопроизводството.
 , Зърнена академия 2017, България/Варна 2017</v>
      </c>
      <c r="F1823" s="10"/>
      <c r="G1823" s="10" t="str">
        <f ca="1">IFERROR(__xludf.DUMMYFUNCTION("""COMPUTED_VALUE"""),"Георги Рачев, Нина Николова")</f>
        <v>Георги Рачев, Нина Николова</v>
      </c>
      <c r="H1823" s="10"/>
      <c r="I1823" s="10"/>
      <c r="J1823" s="10"/>
      <c r="K1823" s="10"/>
      <c r="L1823" s="10"/>
      <c r="M1823" s="10"/>
      <c r="N1823" s="10"/>
      <c r="O1823" s="10"/>
      <c r="P1823" s="10"/>
      <c r="Q1823" s="10"/>
      <c r="R1823" s="10"/>
      <c r="S1823" s="10"/>
      <c r="T1823" s="10"/>
      <c r="U1823" s="10"/>
      <c r="V1823" s="10"/>
      <c r="W1823" s="10"/>
      <c r="X1823" s="10"/>
      <c r="Y1823" s="10"/>
      <c r="Z1823" s="10"/>
    </row>
    <row r="1824" spans="1:26" ht="12.75">
      <c r="A1824" s="10" t="str">
        <f ca="1">IFERROR(__xludf.DUMMYFUNCTION("""COMPUTED_VALUE"""),"Георги Дончев Рачев")</f>
        <v>Георги Дончев Рачев</v>
      </c>
      <c r="B1824" s="10" t="str">
        <f ca="1">IFERROR(__xludf.DUMMYFUNCTION("""COMPUTED_VALUE"""),"Статия в списания и поредици")</f>
        <v>Статия в списания и поредици</v>
      </c>
      <c r="C1824" s="10" t="str">
        <f ca="1">IFERROR(__xludf.DUMMYFUNCTION("""COMPUTED_VALUE"""),"Резултати от метеорологични, хидроложки и геоморфоложки наблюдения във водосбора на река Беговица за периода 2012-2015 г.")</f>
        <v>Резултати от метеорологични, хидроложки и геоморфоложки наблюдения във водосбора на река Беговица за периода 2012-2015 г.</v>
      </c>
      <c r="D1824" s="10">
        <f ca="1">IFERROR(__xludf.DUMMYFUNCTION("""COMPUTED_VALUE"""),2017)</f>
        <v>2017</v>
      </c>
      <c r="E1824" s="10" t="str">
        <f ca="1">IFERROR(__xludf.DUMMYFUNCTION("""COMPUTED_VALUE"""),"Г. Рачев, Р. Кендерова, Н. Николова, Н. Христова, И. Пенков, А. Балтакова, Д. Кренчев, С. Стоянова, Резултати от метеорологични, хидроложки и геоморфоложки наблюдения във водосбора на река Беговица за периода 2012-2015 г. , Год. СУ, ГГФ, 2, том:109, 2017,"&amp;" Ref")</f>
        <v>Г. Рачев, Р. Кендерова, Н. Николова, Н. Христова, И. Пенков, А. Балтакова, Д. Кренчев, С. Стоянова, Резултати от метеорологични, хидроложки и геоморфоложки наблюдения във водосбора на река Беговица за периода 2012-2015 г. , Год. СУ, ГГФ, 2, том:109, 2017, Ref</v>
      </c>
      <c r="F1824" s="10" t="str">
        <f ca="1">IFERROR(__xludf.DUMMYFUNCTION("""COMPUTED_VALUE"""),"Zentralblatt, MathSciNet, DBLP, ERIC, ACM Digital Library, IEEE Xplore, AIS eLibrary")</f>
        <v>Zentralblatt, MathSciNet, DBLP, ERIC, ACM Digital Library, IEEE Xplore, AIS eLibrary</v>
      </c>
      <c r="G1824" s="10" t="str">
        <f ca="1">IFERROR(__xludf.DUMMYFUNCTION("""COMPUTED_VALUE"""),"Г. Рачев, Р. Кендерова, Н. Николова, Н. Христова, И. Пенков, А. Балтакова, Д. Кренчев, С. Стоянова")</f>
        <v>Г. Рачев, Р. Кендерова, Н. Николова, Н. Христова, И. Пенков, А. Балтакова, Д. Кренчев, С. Стоянова</v>
      </c>
      <c r="H1824" s="10"/>
      <c r="I1824" s="10"/>
      <c r="J1824" s="10"/>
      <c r="K1824" s="10"/>
      <c r="L1824" s="10"/>
      <c r="M1824" s="10"/>
      <c r="N1824" s="10"/>
      <c r="O1824" s="10"/>
      <c r="P1824" s="10"/>
      <c r="Q1824" s="10"/>
      <c r="R1824" s="10"/>
      <c r="S1824" s="10"/>
      <c r="T1824" s="10"/>
      <c r="U1824" s="10"/>
      <c r="V1824" s="10"/>
      <c r="W1824" s="10"/>
      <c r="X1824" s="10"/>
      <c r="Y1824" s="10"/>
      <c r="Z1824" s="10"/>
    </row>
    <row r="1825" spans="1:26" ht="12.75">
      <c r="A1825" s="10" t="str">
        <f ca="1">IFERROR(__xludf.DUMMYFUNCTION("""COMPUTED_VALUE"""),"Георги Дончев Рачев")</f>
        <v>Георги Дончев Рачев</v>
      </c>
      <c r="B1825" s="10" t="str">
        <f ca="1">IFERROR(__xludf.DUMMYFUNCTION("""COMPUTED_VALUE"""),"Статия в списания и поредици")</f>
        <v>Статия в списания и поредици</v>
      </c>
      <c r="C1825" s="10" t="str">
        <f ca="1">IFERROR(__xludf.DUMMYFUNCTION("""COMPUTED_VALUE"""),"Results from ground surfeses temperature measurements used as indication of possible permafrost occurrence in the Pirin Mountain; Proccedings of the 11-th IAG/AIG SEDIBUD work shop – Baru, Romania; September 5-8 2017;")</f>
        <v>Results from ground surfeses temperature measurements used as indication of possible permafrost occurrence in the Pirin Mountain; Proccedings of the 11-th IAG/AIG SEDIBUD work shop – Baru, Romania; September 5-8 2017;</v>
      </c>
      <c r="D1825" s="10">
        <f ca="1">IFERROR(__xludf.DUMMYFUNCTION("""COMPUTED_VALUE"""),2017)</f>
        <v>2017</v>
      </c>
      <c r="E1825" s="10" t="str">
        <f ca="1">IFERROR(__xludf.DUMMYFUNCTION("""COMPUTED_VALUE"""),"Baltakova A., R. Kenderova, G. Rachev, D. Krenchev, S. Stoyanova, P. Bozhkov, Results from ground surfeses temperature measurements used as indication of possible permafrost occurrence in the Pirin Mountain; Proccedings of the 11-th IAG/AIG SEDIBUD work s"&amp;"hop – Baru, Romania; September 5-8 2017;, Proccedings of the 11-th IAG/AIG SEDIBUD work shop – Baru, Romania; September 5-8 2017;, 2017")</f>
        <v>Baltakova A., R. Kenderova, G. Rachev, D. Krenchev, S. Stoyanova, P. Bozhkov, Results from ground surfeses temperature measurements used as indication of possible permafrost occurrence in the Pirin Mountain; Proccedings of the 11-th IAG/AIG SEDIBUD work shop – Baru, Romania; September 5-8 2017;, Proccedings of the 11-th IAG/AIG SEDIBUD work shop – Baru, Romania; September 5-8 2017;, 2017</v>
      </c>
      <c r="F1825" s="10"/>
      <c r="G1825" s="10" t="str">
        <f ca="1">IFERROR(__xludf.DUMMYFUNCTION("""COMPUTED_VALUE"""),"Baltakova A., R. Kenderova, G. Rachev, D. Krenchev, S. Stoyanova, P. Bozhkov")</f>
        <v>Baltakova A., R. Kenderova, G. Rachev, D. Krenchev, S. Stoyanova, P. Bozhkov</v>
      </c>
      <c r="H1825" s="10"/>
      <c r="I1825" s="10"/>
      <c r="J1825" s="10"/>
      <c r="K1825" s="10"/>
      <c r="L1825" s="10"/>
      <c r="M1825" s="10"/>
      <c r="N1825" s="10"/>
      <c r="O1825" s="10"/>
      <c r="P1825" s="10"/>
      <c r="Q1825" s="10"/>
      <c r="R1825" s="10"/>
      <c r="S1825" s="10"/>
      <c r="T1825" s="10"/>
      <c r="U1825" s="10"/>
      <c r="V1825" s="10"/>
      <c r="W1825" s="10"/>
      <c r="X1825" s="10"/>
      <c r="Y1825" s="10"/>
      <c r="Z1825" s="10"/>
    </row>
    <row r="1826" spans="1:26" ht="12.75">
      <c r="A1826" s="10" t="str">
        <f ca="1">IFERROR(__xludf.DUMMYFUNCTION("""COMPUTED_VALUE"""),"Георги Дончев Рачев")</f>
        <v>Георги Дончев Рачев</v>
      </c>
      <c r="B1826" s="10" t="str">
        <f ca="1">IFERROR(__xludf.DUMMYFUNCTION("""COMPUTED_VALUE"""),"Доклад от конференция")</f>
        <v>Доклад от конференция</v>
      </c>
      <c r="C1826" s="10" t="str">
        <f ca="1">IFERROR(__xludf.DUMMYFUNCTION("""COMPUTED_VALUE"""),"Results from ground surfeses temperature measurement used as indication of possible permafrost occurrence in the Pirin Mountain")</f>
        <v>Results from ground surfeses temperature measurement used as indication of possible permafrost occurrence in the Pirin Mountain</v>
      </c>
      <c r="D1826" s="10">
        <f ca="1">IFERROR(__xludf.DUMMYFUNCTION("""COMPUTED_VALUE"""),2017)</f>
        <v>2017</v>
      </c>
      <c r="E1826" s="10" t="str">
        <f ca="1">IFERROR(__xludf.DUMMYFUNCTION("""COMPUTED_VALUE"""),"Baltakova, A., R. Kenderova, G. Rachev, D. Krenchev, S. Stoyanova, P. Bozhkov, Results from ground surfeses temperature measurement used as indication of possible permafrost occurrence in the Pirin Mountain, Proccedings 11-th I.A.G/A.I.G. SEDIBUD work sho"&amp;"p , Румъния 2017")</f>
        <v>Baltakova, A., R. Kenderova, G. Rachev, D. Krenchev, S. Stoyanova, P. Bozhkov, Results from ground surfeses temperature measurement used as indication of possible permafrost occurrence in the Pirin Mountain, Proccedings 11-th I.A.G/A.I.G. SEDIBUD work shop , Румъния 2017</v>
      </c>
      <c r="F1826" s="10"/>
      <c r="G1826" s="10" t="str">
        <f ca="1">IFERROR(__xludf.DUMMYFUNCTION("""COMPUTED_VALUE"""),"Baltakova, A., R. Kenderova, G. Rachev, D. Krenchev, S. Stoyanova, P. Bozhkov")</f>
        <v>Baltakova, A., R. Kenderova, G. Rachev, D. Krenchev, S. Stoyanova, P. Bozhkov</v>
      </c>
      <c r="H1826" s="10"/>
      <c r="I1826" s="10"/>
      <c r="J1826" s="10"/>
      <c r="K1826" s="10"/>
      <c r="L1826" s="10"/>
      <c r="M1826" s="10"/>
      <c r="N1826" s="10"/>
      <c r="O1826" s="10"/>
      <c r="P1826" s="10"/>
      <c r="Q1826" s="10"/>
      <c r="R1826" s="10"/>
      <c r="S1826" s="10"/>
      <c r="T1826" s="10"/>
      <c r="U1826" s="10"/>
      <c r="V1826" s="10"/>
      <c r="W1826" s="10"/>
      <c r="X1826" s="10"/>
      <c r="Y1826" s="10"/>
      <c r="Z1826" s="10"/>
    </row>
    <row r="1827" spans="1:26" ht="12.75">
      <c r="A1827" s="10" t="str">
        <f ca="1">IFERROR(__xludf.DUMMYFUNCTION("""COMPUTED_VALUE"""),"Георги Дончев Рачев")</f>
        <v>Георги Дончев Рачев</v>
      </c>
      <c r="B1827" s="10" t="str">
        <f ca="1">IFERROR(__xludf.DUMMYFUNCTION("""COMPUTED_VALUE"""),"Статия в списания и поредици")</f>
        <v>Статия в списания и поредици</v>
      </c>
      <c r="C1827" s="10" t="str">
        <f ca="1">IFERROR(__xludf.DUMMYFUNCTION("""COMPUTED_VALUE"""),"Exogenous Processes at the Upper Part of Pirin Mountain and their Relation with Observed Changes in the Temperatures of Air and Soils")</f>
        <v>Exogenous Processes at the Upper Part of Pirin Mountain and their Relation with Observed Changes in the Temperatures of Air and Soils</v>
      </c>
      <c r="D1827" s="10">
        <f ca="1">IFERROR(__xludf.DUMMYFUNCTION("""COMPUTED_VALUE"""),2016)</f>
        <v>2016</v>
      </c>
      <c r="E1827" s="10" t="str">
        <f ca="1">IFERROR(__xludf.DUMMYFUNCTION("""COMPUTED_VALUE"""),"R. Kenderova, A. Baltakova, N. Nikolova, G. Rachev, Exogenous Processes at the Upper Part of Pirin Mountain and their Relation with Observed Changes in the Temperatures of Air and Soils, Proceeding of the 4-th Congress of Serbian Geographers, 2016")</f>
        <v>R. Kenderova, A. Baltakova, N. Nikolova, G. Rachev, Exogenous Processes at the Upper Part of Pirin Mountain and their Relation with Observed Changes in the Temperatures of Air and Soils, Proceeding of the 4-th Congress of Serbian Geographers, 2016</v>
      </c>
      <c r="F1827" s="10"/>
      <c r="G1827" s="10" t="str">
        <f ca="1">IFERROR(__xludf.DUMMYFUNCTION("""COMPUTED_VALUE"""),"R. Kenderova, A. Baltakova, N. Nikolova, G. Rachev")</f>
        <v>R. Kenderova, A. Baltakova, N. Nikolova, G. Rachev</v>
      </c>
      <c r="H1827" s="10"/>
      <c r="I1827" s="10"/>
      <c r="J1827" s="10"/>
      <c r="K1827" s="10"/>
      <c r="L1827" s="10"/>
      <c r="M1827" s="10"/>
      <c r="N1827" s="10"/>
      <c r="O1827" s="10"/>
      <c r="P1827" s="10"/>
      <c r="Q1827" s="10"/>
      <c r="R1827" s="10"/>
      <c r="S1827" s="10"/>
      <c r="T1827" s="10"/>
      <c r="U1827" s="10"/>
      <c r="V1827" s="10"/>
      <c r="W1827" s="10"/>
      <c r="X1827" s="10"/>
      <c r="Y1827" s="10"/>
      <c r="Z1827" s="10"/>
    </row>
    <row r="1828" spans="1:26" ht="12.75">
      <c r="A1828" s="10" t="str">
        <f ca="1">IFERROR(__xludf.DUMMYFUNCTION("""COMPUTED_VALUE"""),"Георги Дончев Рачев")</f>
        <v>Георги Дончев Рачев</v>
      </c>
      <c r="B1828" s="10" t="str">
        <f ca="1">IFERROR(__xludf.DUMMYFUNCTION("""COMPUTED_VALUE"""),"Доклад от конференция")</f>
        <v>Доклад от конференция</v>
      </c>
      <c r="C1828" s="10" t="str">
        <f ca="1">IFERROR(__xludf.DUMMYFUNCTION("""COMPUTED_VALUE"""),"Geomorphological processes under climate change in the high mountain area of Pirin.")</f>
        <v>Geomorphological processes under climate change in the high mountain area of Pirin.</v>
      </c>
      <c r="D1828" s="10">
        <f ca="1">IFERROR(__xludf.DUMMYFUNCTION("""COMPUTED_VALUE"""),2016)</f>
        <v>2016</v>
      </c>
      <c r="E1828" s="10" t="str">
        <f ca="1">IFERROR(__xludf.DUMMYFUNCTION("""COMPUTED_VALUE"""),"Baltakova. A., R. Kenderova, G. Rachev, D. Krenchev, S. Stoyanova, Geomorphological processes under climate change in the high mountain area of Pirin., Proceedings of the 10-th I.A.G./A.I.G. work group SEDIBUD, България/Банско 2016")</f>
        <v>Baltakova. A., R. Kenderova, G. Rachev, D. Krenchev, S. Stoyanova, Geomorphological processes under climate change in the high mountain area of Pirin., Proceedings of the 10-th I.A.G./A.I.G. work group SEDIBUD, България/Банско 2016</v>
      </c>
      <c r="F1828" s="10"/>
      <c r="G1828" s="10" t="str">
        <f ca="1">IFERROR(__xludf.DUMMYFUNCTION("""COMPUTED_VALUE"""),"Baltakova. A., R. Kenderova, G. Rachev, D. Krenchev, S. Stoyanova")</f>
        <v>Baltakova. A., R. Kenderova, G. Rachev, D. Krenchev, S. Stoyanova</v>
      </c>
      <c r="H1828" s="10"/>
      <c r="I1828" s="10"/>
      <c r="J1828" s="10"/>
      <c r="K1828" s="10"/>
      <c r="L1828" s="10"/>
      <c r="M1828" s="10"/>
      <c r="N1828" s="10"/>
      <c r="O1828" s="10"/>
      <c r="P1828" s="10"/>
      <c r="Q1828" s="10"/>
      <c r="R1828" s="10"/>
      <c r="S1828" s="10"/>
      <c r="T1828" s="10"/>
      <c r="U1828" s="10"/>
      <c r="V1828" s="10"/>
      <c r="W1828" s="10"/>
      <c r="X1828" s="10"/>
      <c r="Y1828" s="10"/>
      <c r="Z1828" s="10"/>
    </row>
    <row r="1829" spans="1:26" ht="12.75">
      <c r="A1829" s="10" t="str">
        <f ca="1">IFERROR(__xludf.DUMMYFUNCTION("""COMPUTED_VALUE"""),"Георги Дончев Рачев")</f>
        <v>Георги Дончев Рачев</v>
      </c>
      <c r="B1829" s="10" t="str">
        <f ca="1">IFERROR(__xludf.DUMMYFUNCTION("""COMPUTED_VALUE"""),"Статия в списания и поредици")</f>
        <v>Статия в списания и поредици</v>
      </c>
      <c r="C1829" s="10" t="str">
        <f ca="1">IFERROR(__xludf.DUMMYFUNCTION("""COMPUTED_VALUE"""),"Хронологични изменения на валежите при станция Мусала, Ботев и Черни връх")</f>
        <v>Хронологични изменения на валежите при станция Мусала, Ботев и Черни връх</v>
      </c>
      <c r="D1829" s="10">
        <f ca="1">IFERROR(__xludf.DUMMYFUNCTION("""COMPUTED_VALUE"""),2016)</f>
        <v>2016</v>
      </c>
      <c r="E1829" s="10" t="str">
        <f ca="1">IFERROR(__xludf.DUMMYFUNCTION("""COMPUTED_VALUE"""),"Филипов, Д., Г. Рачев, Хронологични изменения на валежите при станция Мусала, Ботев и Черни връх, Год.на СУ ""Климент Охридски"", Геолого-географски факултет, том:109, брой:кн. 2 - География, 2016, Ref")</f>
        <v>Филипов, Д., Г. Рачев, Хронологични изменения на валежите при станция Мусала, Ботев и Черни връх, Год.на СУ "Климент Охридски", Геолого-географски факултет, том:109, брой:кн. 2 - География, 2016, Ref</v>
      </c>
      <c r="F1829" s="10" t="str">
        <f ca="1">IFERROR(__xludf.DUMMYFUNCTION("""COMPUTED_VALUE"""),"Zentralblatt, MathSciNet, DBLP, ERIC, ACM Digital Library, IEEE Xplore, AIS eLibrary")</f>
        <v>Zentralblatt, MathSciNet, DBLP, ERIC, ACM Digital Library, IEEE Xplore, AIS eLibrary</v>
      </c>
      <c r="G1829" s="10" t="str">
        <f ca="1">IFERROR(__xludf.DUMMYFUNCTION("""COMPUTED_VALUE"""),"Филипов, Д., Г. Рачев")</f>
        <v>Филипов, Д., Г. Рачев</v>
      </c>
      <c r="H1829" s="10"/>
      <c r="I1829" s="10"/>
      <c r="J1829" s="10"/>
      <c r="K1829" s="10"/>
      <c r="L1829" s="10"/>
      <c r="M1829" s="10"/>
      <c r="N1829" s="10"/>
      <c r="O1829" s="10"/>
      <c r="P1829" s="10"/>
      <c r="Q1829" s="10"/>
      <c r="R1829" s="10"/>
      <c r="S1829" s="10"/>
      <c r="T1829" s="10"/>
      <c r="U1829" s="10"/>
      <c r="V1829" s="10"/>
      <c r="W1829" s="10"/>
      <c r="X1829" s="10"/>
      <c r="Y1829" s="10"/>
      <c r="Z1829" s="10"/>
    </row>
    <row r="1830" spans="1:26" ht="12.75">
      <c r="A1830" s="10" t="str">
        <f ca="1">IFERROR(__xludf.DUMMYFUNCTION("""COMPUTED_VALUE"""),"Георги Дончев Рачев")</f>
        <v>Георги Дончев Рачев</v>
      </c>
      <c r="B1830" s="10" t="str">
        <f ca="1">IFERROR(__xludf.DUMMYFUNCTION("""COMPUTED_VALUE"""),"Статия в списания и поредици")</f>
        <v>Статия в списания и поредици</v>
      </c>
      <c r="C1830" s="10" t="str">
        <f ca="1">IFERROR(__xludf.DUMMYFUNCTION("""COMPUTED_VALUE"""),"Geomorphological processes under climate change in the high mountain area of Pirin")</f>
        <v>Geomorphological processes under climate change in the high mountain area of Pirin</v>
      </c>
      <c r="D1830" s="10">
        <f ca="1">IFERROR(__xludf.DUMMYFUNCTION("""COMPUTED_VALUE"""),2016)</f>
        <v>2016</v>
      </c>
      <c r="E1830" s="10" t="str">
        <f ca="1">IFERROR(__xludf.DUMMYFUNCTION("""COMPUTED_VALUE"""),"Ahinora Baltakova, Rossitza Kenderova, Georgi Rachev, Dimitar Krenchev, Sonya Stoyanova, Geomorphological processes under climate change in the high mountain area of Pirin , Proceedings of the 10 th I.A.G./A.I.G. working group SEDIBUD (Sediment Budgets in"&amp;" Cold Environments) Workshop Bansko, Bulgaria 7-10.09.2016, 2016, стр.4-0, PhD")</f>
        <v>Ahinora Baltakova, Rossitza Kenderova, Georgi Rachev, Dimitar Krenchev, Sonya Stoyanova, Geomorphological processes under climate change in the high mountain area of Pirin , Proceedings of the 10 th I.A.G./A.I.G. working group SEDIBUD (Sediment Budgets in Cold Environments) Workshop Bansko, Bulgaria 7-10.09.2016, 2016, стр.4-0, PhD</v>
      </c>
      <c r="F1830" s="10"/>
      <c r="G1830" s="10" t="str">
        <f ca="1">IFERROR(__xludf.DUMMYFUNCTION("""COMPUTED_VALUE"""),"Ahinora Baltakova, Rossitza Kenderova, Georgi Rachev, Dimitar Krenchev, Sonya Stoyanova")</f>
        <v>Ahinora Baltakova, Rossitza Kenderova, Georgi Rachev, Dimitar Krenchev, Sonya Stoyanova</v>
      </c>
      <c r="H1830" s="10"/>
      <c r="I1830" s="10"/>
      <c r="J1830" s="10"/>
      <c r="K1830" s="10"/>
      <c r="L1830" s="10"/>
      <c r="M1830" s="10"/>
      <c r="N1830" s="10"/>
      <c r="O1830" s="10"/>
      <c r="P1830" s="10"/>
      <c r="Q1830" s="10"/>
      <c r="R1830" s="10"/>
      <c r="S1830" s="10"/>
      <c r="T1830" s="10"/>
      <c r="U1830" s="10"/>
      <c r="V1830" s="10"/>
      <c r="W1830" s="10"/>
      <c r="X1830" s="10"/>
      <c r="Y1830" s="10"/>
      <c r="Z1830" s="10"/>
    </row>
    <row r="1831" spans="1:26" ht="12.75">
      <c r="A1831" s="10" t="str">
        <f ca="1">IFERROR(__xludf.DUMMYFUNCTION("""COMPUTED_VALUE"""),"Георги Дончев Рачев")</f>
        <v>Георги Дончев Рачев</v>
      </c>
      <c r="B1831" s="10" t="str">
        <f ca="1">IFERROR(__xludf.DUMMYFUNCTION("""COMPUTED_VALUE"""),"Доклад от конференция")</f>
        <v>Доклад от конференция</v>
      </c>
      <c r="C1831" s="10" t="str">
        <f ca="1">IFERROR(__xludf.DUMMYFUNCTION("""COMPUTED_VALUE"""),"Slope processes monitoring in key site Begovitsa, the Pirin Mountains, Southwest Bulgaria; 9th I.A.G./A.I.G. SEDIBUD, Workshop; “Sediment Dynamics in Cold Climate Environments” Kaunertal, Tyrol/Austria; September 7-10, 2015; pp. 9-10;")</f>
        <v>Slope processes monitoring in key site Begovitsa, the Pirin Mountains, Southwest Bulgaria; 9th I.A.G./A.I.G. SEDIBUD, Workshop; “Sediment Dynamics in Cold Climate Environments” Kaunertal, Tyrol/Austria; September 7-10, 2015; pp. 9-10;</v>
      </c>
      <c r="D1831" s="10">
        <f ca="1">IFERROR(__xludf.DUMMYFUNCTION("""COMPUTED_VALUE"""),2015)</f>
        <v>2015</v>
      </c>
      <c r="E1831" s="10" t="str">
        <f ca="1">IFERROR(__xludf.DUMMYFUNCTION("""COMPUTED_VALUE"""),"Rossitza Kenderova, Ahinora Baltakova, Sonya Stoyanova, Georgi Rachev, Dimitar Krenchev, Slope processes monitoring in key site Begovitsa, the Pirin Mountains, Southwest Bulgaria; 9th I.A.G./A.I.G. SEDIBUD, Workshop; “Sediment Dynamics in Cold Climate Env"&amp;"ironments” Kaunertal, Tyrol/Austria; September 7-10, 2015; pp. 9-10;, 9th I.A.G./A.I.G. SEDIBUD, Австрия/Kaunetral 2015")</f>
        <v>Rossitza Kenderova, Ahinora Baltakova, Sonya Stoyanova, Georgi Rachev, Dimitar Krenchev, Slope processes monitoring in key site Begovitsa, the Pirin Mountains, Southwest Bulgaria; 9th I.A.G./A.I.G. SEDIBUD, Workshop; “Sediment Dynamics in Cold Climate Environments” Kaunertal, Tyrol/Austria; September 7-10, 2015; pp. 9-10;, 9th I.A.G./A.I.G. SEDIBUD, Австрия/Kaunetral 2015</v>
      </c>
      <c r="F1831" s="10"/>
      <c r="G1831" s="10" t="str">
        <f ca="1">IFERROR(__xludf.DUMMYFUNCTION("""COMPUTED_VALUE"""),"Rossitza Kenderova, Ahinora Baltakova, Sonya Stoyanova, Georgi Rachev, Dimitar Krenchev")</f>
        <v>Rossitza Kenderova, Ahinora Baltakova, Sonya Stoyanova, Georgi Rachev, Dimitar Krenchev</v>
      </c>
      <c r="H1831" s="10"/>
      <c r="I1831" s="10"/>
      <c r="J1831" s="10"/>
      <c r="K1831" s="10"/>
      <c r="L1831" s="10"/>
      <c r="M1831" s="10"/>
      <c r="N1831" s="10"/>
      <c r="O1831" s="10"/>
      <c r="P1831" s="10"/>
      <c r="Q1831" s="10"/>
      <c r="R1831" s="10"/>
      <c r="S1831" s="10"/>
      <c r="T1831" s="10"/>
      <c r="U1831" s="10"/>
      <c r="V1831" s="10"/>
      <c r="W1831" s="10"/>
      <c r="X1831" s="10"/>
      <c r="Y1831" s="10"/>
      <c r="Z1831" s="10"/>
    </row>
    <row r="1832" spans="1:26" ht="12.75">
      <c r="A1832" s="10" t="str">
        <f ca="1">IFERROR(__xludf.DUMMYFUNCTION("""COMPUTED_VALUE"""),"Георги Дончев Рачев")</f>
        <v>Георги Дончев Рачев</v>
      </c>
      <c r="B1832" s="10" t="str">
        <f ca="1">IFERROR(__xludf.DUMMYFUNCTION("""COMPUTED_VALUE"""),"Статия в списания и поредици")</f>
        <v>Статия в списания и поредици</v>
      </c>
      <c r="C1832" s="10" t="str">
        <f ca="1">IFERROR(__xludf.DUMMYFUNCTION("""COMPUTED_VALUE"""),"Slope processes monitoring in key site Begovitsa, the Pirin Mountains, Southwest Bulgaria;")</f>
        <v>Slope processes monitoring in key site Begovitsa, the Pirin Mountains, Southwest Bulgaria;</v>
      </c>
      <c r="D1832" s="10">
        <f ca="1">IFERROR(__xludf.DUMMYFUNCTION("""COMPUTED_VALUE"""),2015)</f>
        <v>2015</v>
      </c>
      <c r="E1832" s="10" t="str">
        <f ca="1">IFERROR(__xludf.DUMMYFUNCTION("""COMPUTED_VALUE"""),"Kenderova, R., A. Baltakova, S. Stoyanova, P. Bozhkov, G. Rachev, D. Krenchev, Slope processes monitoring in key site Begovitsa, the Pirin Mountains, Southwest Bulgaria; , 9th I.A.G./A.I.G. SEDIBUD, Workshop; “Sediment Dynamics in Cold Climate Environment"&amp;"s” Kaunertal, Tyrol/Austria; September 7-10, 2015; pp. 9-10; , 2015")</f>
        <v>Kenderova, R., A. Baltakova, S. Stoyanova, P. Bozhkov, G. Rachev, D. Krenchev, Slope processes monitoring in key site Begovitsa, the Pirin Mountains, Southwest Bulgaria; , 9th I.A.G./A.I.G. SEDIBUD, Workshop; “Sediment Dynamics in Cold Climate Environments” Kaunertal, Tyrol/Austria; September 7-10, 2015; pp. 9-10; , 2015</v>
      </c>
      <c r="F1832" s="10"/>
      <c r="G1832" s="10" t="str">
        <f ca="1">IFERROR(__xludf.DUMMYFUNCTION("""COMPUTED_VALUE"""),"Kenderova, R., A. Baltakova, S. Stoyanova, P. Bozhkov, G. Rachev, D. Krenchev")</f>
        <v>Kenderova, R., A. Baltakova, S. Stoyanova, P. Bozhkov, G. Rachev, D. Krenchev</v>
      </c>
      <c r="H1832" s="10"/>
      <c r="I1832" s="10"/>
      <c r="J1832" s="10"/>
      <c r="K1832" s="10"/>
      <c r="L1832" s="10"/>
      <c r="M1832" s="10"/>
      <c r="N1832" s="10"/>
      <c r="O1832" s="10"/>
      <c r="P1832" s="10"/>
      <c r="Q1832" s="10"/>
      <c r="R1832" s="10"/>
      <c r="S1832" s="10"/>
      <c r="T1832" s="10"/>
      <c r="U1832" s="10"/>
      <c r="V1832" s="10"/>
      <c r="W1832" s="10"/>
      <c r="X1832" s="10"/>
      <c r="Y1832" s="10"/>
      <c r="Z1832" s="10"/>
    </row>
    <row r="1833" spans="1:26" ht="12.75">
      <c r="A1833" s="10" t="str">
        <f ca="1">IFERROR(__xludf.DUMMYFUNCTION("""COMPUTED_VALUE"""),"Георги Дончев Рачев")</f>
        <v>Георги Дончев Рачев</v>
      </c>
      <c r="B1833" s="10" t="str">
        <f ca="1">IFERROR(__xludf.DUMMYFUNCTION("""COMPUTED_VALUE"""),"Статия в списания и поредици")</f>
        <v>Статия в списания и поредици</v>
      </c>
      <c r="C1833" s="10" t="str">
        <f ca="1">IFERROR(__xludf.DUMMYFUNCTION("""COMPUTED_VALUE"""),"Exogenous Processes at the Upper Part of the Pirin Mountains and Their Relation with Observed Changes in the Temperatures of Air and Soils")</f>
        <v>Exogenous Processes at the Upper Part of the Pirin Mountains and Their Relation with Observed Changes in the Temperatures of Air and Soils</v>
      </c>
      <c r="D1833" s="10">
        <f ca="1">IFERROR(__xludf.DUMMYFUNCTION("""COMPUTED_VALUE"""),2015)</f>
        <v>2015</v>
      </c>
      <c r="E1833" s="10" t="str">
        <f ca="1">IFERROR(__xludf.DUMMYFUNCTION("""COMPUTED_VALUE"""),"Rossitza Kenderova, Ahinora Baltakova, Nina Nikolova, Georgi Rachev, Exogenous Processes at the Upper Part of the Pirin Mountains and Their Relation with Observed Changes in the Temperatures of Air and Soils, Proceedings of the 4th SERBIAN CONGRESS OF GEO"&amp;"GRAPHERS with international participation“ACHIEVEMENTS, CURRENT TOPICS AND CHALLENGES OF GEOGRAPHICAL SCIENCE AND PRACTICE”, Kopaonik mountain, 7 – 9 Oct 2015, 2015, стр.87-92")</f>
        <v>Rossitza Kenderova, Ahinora Baltakova, Nina Nikolova, Georgi Rachev, Exogenous Processes at the Upper Part of the Pirin Mountains and Their Relation with Observed Changes in the Temperatures of Air and Soils, Proceedings of the 4th SERBIAN CONGRESS OF GEOGRAPHERS with international participation“ACHIEVEMENTS, CURRENT TOPICS AND CHALLENGES OF GEOGRAPHICAL SCIENCE AND PRACTICE”, Kopaonik mountain, 7 – 9 Oct 2015, 2015, стр.87-92</v>
      </c>
      <c r="F1833" s="10"/>
      <c r="G1833" s="10" t="str">
        <f ca="1">IFERROR(__xludf.DUMMYFUNCTION("""COMPUTED_VALUE"""),"Rossitza Kenderova, Ahinora Baltakova, Nina Nikolova, Georgi Rachev")</f>
        <v>Rossitza Kenderova, Ahinora Baltakova, Nina Nikolova, Georgi Rachev</v>
      </c>
      <c r="H1833" s="10"/>
      <c r="I1833" s="10"/>
      <c r="J1833" s="10"/>
      <c r="K1833" s="10"/>
      <c r="L1833" s="10"/>
      <c r="M1833" s="10"/>
      <c r="N1833" s="10"/>
      <c r="O1833" s="10"/>
      <c r="P1833" s="10"/>
      <c r="Q1833" s="10"/>
      <c r="R1833" s="10"/>
      <c r="S1833" s="10"/>
      <c r="T1833" s="10"/>
      <c r="U1833" s="10"/>
      <c r="V1833" s="10"/>
      <c r="W1833" s="10"/>
      <c r="X1833" s="10"/>
      <c r="Y1833" s="10"/>
      <c r="Z1833" s="10"/>
    </row>
    <row r="1834" spans="1:26" ht="12.75">
      <c r="A1834" s="10" t="str">
        <f ca="1">IFERROR(__xludf.DUMMYFUNCTION("""COMPUTED_VALUE"""),"Георги Дончев Рачев")</f>
        <v>Георги Дончев Рачев</v>
      </c>
      <c r="B1834" s="10" t="str">
        <f ca="1">IFERROR(__xludf.DUMMYFUNCTION("""COMPUTED_VALUE"""),"Статия в списания и поредици")</f>
        <v>Статия в списания и поредици</v>
      </c>
      <c r="C1834" s="10" t="str">
        <f ca="1">IFERROR(__xludf.DUMMYFUNCTION("""COMPUTED_VALUE"""),"Variations in Soil Surface Temperature in the Pirin High Mountain Area and Their Relation with Slope Processes Activity")</f>
        <v>Variations in Soil Surface Temperature in the Pirin High Mountain Area and Their Relation with Slope Processes Activity</v>
      </c>
      <c r="D1834" s="10">
        <f ca="1">IFERROR(__xludf.DUMMYFUNCTION("""COMPUTED_VALUE"""),2015)</f>
        <v>2015</v>
      </c>
      <c r="E1834" s="10" t="str">
        <f ca="1">IFERROR(__xludf.DUMMYFUNCTION("""COMPUTED_VALUE"""),"Kenderova, R., G. Rachev, A. Baltakova, N. Nikolova, D. Krenchev, Variations in Soil Surface Temperature in the Pirin High Mountain Area and Their Relation with Slope Processes Activity, Comptes rendus de l’Acad´emie bulgare des Sciences, том:68, брой:8, "&amp;"2015, ISSN (print):1310–1331 , ISSN (online):2367–5535, Ref IF/IR")</f>
        <v>Kenderova, R., G. Rachev, A. Baltakova, N. Nikolova, D. Krenchev, Variations in Soil Surface Temperature in the Pirin High Mountain Area and Their Relation with Slope Processes Activity, Comptes rendus de l’Acad´emie bulgare des Sciences, том:68, брой:8, 2015, ISSN (print):1310–1331 , ISSN (online):2367–5535, Ref IF/IR</v>
      </c>
      <c r="F1834" s="10" t="str">
        <f ca="1">IFERROR(__xludf.DUMMYFUNCTION("""COMPUTED_VALUE"""),"Zentralblatt, MathSciNet, DBLP, ERIC, ACM Digital Library, IEEE Xplore, AIS eLibrary")</f>
        <v>Zentralblatt, MathSciNet, DBLP, ERIC, ACM Digital Library, IEEE Xplore, AIS eLibrary</v>
      </c>
      <c r="G1834" s="10" t="str">
        <f ca="1">IFERROR(__xludf.DUMMYFUNCTION("""COMPUTED_VALUE"""),"Kenderova, R., G. Rachev, A. Baltakova, N. Nikolova, D. Krenchev")</f>
        <v>Kenderova, R., G. Rachev, A. Baltakova, N. Nikolova, D. Krenchev</v>
      </c>
      <c r="H1834" s="10"/>
      <c r="I1834" s="10"/>
      <c r="J1834" s="10"/>
      <c r="K1834" s="10"/>
      <c r="L1834" s="10"/>
      <c r="M1834" s="10"/>
      <c r="N1834" s="10"/>
      <c r="O1834" s="10"/>
      <c r="P1834" s="10"/>
      <c r="Q1834" s="10"/>
      <c r="R1834" s="10"/>
      <c r="S1834" s="10"/>
      <c r="T1834" s="10"/>
      <c r="U1834" s="10"/>
      <c r="V1834" s="10"/>
      <c r="W1834" s="10"/>
      <c r="X1834" s="10"/>
      <c r="Y1834" s="10"/>
      <c r="Z1834" s="10"/>
    </row>
    <row r="1835" spans="1:26" ht="12.75">
      <c r="A1835" s="10" t="str">
        <f ca="1">IFERROR(__xludf.DUMMYFUNCTION("""COMPUTED_VALUE"""),"Георги Дончев Рачев")</f>
        <v>Георги Дончев Рачев</v>
      </c>
      <c r="B1835" s="10" t="str">
        <f ca="1">IFERROR(__xludf.DUMMYFUNCTION("""COMPUTED_VALUE"""),"Статия в списания и поредици")</f>
        <v>Статия в списания и поредици</v>
      </c>
      <c r="C1835" s="10" t="str">
        <f ca="1">IFERROR(__xludf.DUMMYFUNCTION("""COMPUTED_VALUE"""),"Slope processes monitoring in key site Begovitsa, the Pirin Mountains,Southwest Bulgaria")</f>
        <v>Slope processes monitoring in key site Begovitsa, the Pirin Mountains,Southwest Bulgaria</v>
      </c>
      <c r="D1835" s="10">
        <f ca="1">IFERROR(__xludf.DUMMYFUNCTION("""COMPUTED_VALUE"""),2015)</f>
        <v>2015</v>
      </c>
      <c r="E1835" s="10" t="str">
        <f ca="1">IFERROR(__xludf.DUMMYFUNCTION("""COMPUTED_VALUE"""),"Rossitza Kenderova, Ahinora Baltakova, Sonya Stoyanova, Georgi Rachev, Dimitar Krenchev, Slope processes monitoring in key site Begovitsa, the Pirin Mountains,Southwest Bulgaria, Proceedings of the 9 th I.A.G./A.I.G. working group SEDIBUD (Sediment Budget"&amp;"s in Cold Environments) Workshop Kaunertal, Tyrol/Austria 7-10.09.2015, 2015, стр.9-0, PhD , MSc")</f>
        <v>Rossitza Kenderova, Ahinora Baltakova, Sonya Stoyanova, Georgi Rachev, Dimitar Krenchev, Slope processes monitoring in key site Begovitsa, the Pirin Mountains,Southwest Bulgaria, Proceedings of the 9 th I.A.G./A.I.G. working group SEDIBUD (Sediment Budgets in Cold Environments) Workshop Kaunertal, Tyrol/Austria 7-10.09.2015, 2015, стр.9-0, PhD , MSc</v>
      </c>
      <c r="F1835" s="10"/>
      <c r="G1835" s="10" t="str">
        <f ca="1">IFERROR(__xludf.DUMMYFUNCTION("""COMPUTED_VALUE"""),"Rossitza Kenderova, Ahinora Baltakova, Sonya Stoyanova, Georgi Rachev, Dimitar Krenchev")</f>
        <v>Rossitza Kenderova, Ahinora Baltakova, Sonya Stoyanova, Georgi Rachev, Dimitar Krenchev</v>
      </c>
      <c r="H1835" s="10"/>
      <c r="I1835" s="10"/>
      <c r="J1835" s="10"/>
      <c r="K1835" s="10"/>
      <c r="L1835" s="10"/>
      <c r="M1835" s="10"/>
      <c r="N1835" s="10"/>
      <c r="O1835" s="10"/>
      <c r="P1835" s="10"/>
      <c r="Q1835" s="10"/>
      <c r="R1835" s="10"/>
      <c r="S1835" s="10"/>
      <c r="T1835" s="10"/>
      <c r="U1835" s="10"/>
      <c r="V1835" s="10"/>
      <c r="W1835" s="10"/>
      <c r="X1835" s="10"/>
      <c r="Y1835" s="10"/>
      <c r="Z1835" s="10"/>
    </row>
    <row r="1836" spans="1:26" ht="12.75">
      <c r="A1836" s="10" t="str">
        <f ca="1">IFERROR(__xludf.DUMMYFUNCTION("""COMPUTED_VALUE"""),"Георги Дончев Рачев")</f>
        <v>Георги Дончев Рачев</v>
      </c>
      <c r="B1836" s="10" t="str">
        <f ca="1">IFERROR(__xludf.DUMMYFUNCTION("""COMPUTED_VALUE"""),"Статия в списания и поредици")</f>
        <v>Статия в списания и поредици</v>
      </c>
      <c r="C1836" s="10" t="str">
        <f ca="1">IFERROR(__xludf.DUMMYFUNCTION("""COMPUTED_VALUE"""),"Establishment of monitoring sites of seasonally frozen ground in the Pirin Mountain")</f>
        <v>Establishment of monitoring sites of seasonally frozen ground in the Pirin Mountain</v>
      </c>
      <c r="D1836" s="10">
        <f ca="1">IFERROR(__xludf.DUMMYFUNCTION("""COMPUTED_VALUE"""),2014)</f>
        <v>2014</v>
      </c>
      <c r="E1836" s="10" t="str">
        <f ca="1">IFERROR(__xludf.DUMMYFUNCTION("""COMPUTED_VALUE"""),"Rossitza Kenderova, Georgi Rachev, Nina Nikolova, Ahinora Baltakova, Dimitar Krenchev, Tsvetelina Moneva, Establishment of monitoring sites of seasonally frozen ground in the Pirin Mountain, Proceedings of 8 th I.A.G./A.I.G. working group SEDIBUD (Sedimen"&amp;"t Budgets in Cold Environments) Workshop Zugspitze /Reintal, Bavaria/Germany 1-4.09.2014, 2014, стр.7-0, PhD , MSc")</f>
        <v>Rossitza Kenderova, Georgi Rachev, Nina Nikolova, Ahinora Baltakova, Dimitar Krenchev, Tsvetelina Moneva, Establishment of monitoring sites of seasonally frozen ground in the Pirin Mountain, Proceedings of 8 th I.A.G./A.I.G. working group SEDIBUD (Sediment Budgets in Cold Environments) Workshop Zugspitze /Reintal, Bavaria/Germany 1-4.09.2014, 2014, стр.7-0, PhD , MSc</v>
      </c>
      <c r="F1836" s="10"/>
      <c r="G1836" s="10" t="str">
        <f ca="1">IFERROR(__xludf.DUMMYFUNCTION("""COMPUTED_VALUE"""),"Rossitza Kenderova, Georgi Rachev, Nina Nikolova, Ahinora Baltakova, Dimitar Krenchev, Tsvetelina Moneva")</f>
        <v>Rossitza Kenderova, Georgi Rachev, Nina Nikolova, Ahinora Baltakova, Dimitar Krenchev, Tsvetelina Moneva</v>
      </c>
      <c r="H1836" s="10"/>
      <c r="I1836" s="10"/>
      <c r="J1836" s="10"/>
      <c r="K1836" s="10"/>
      <c r="L1836" s="10"/>
      <c r="M1836" s="10"/>
      <c r="N1836" s="10"/>
      <c r="O1836" s="10"/>
      <c r="P1836" s="10"/>
      <c r="Q1836" s="10"/>
      <c r="R1836" s="10"/>
      <c r="S1836" s="10"/>
      <c r="T1836" s="10"/>
      <c r="U1836" s="10"/>
      <c r="V1836" s="10"/>
      <c r="W1836" s="10"/>
      <c r="X1836" s="10"/>
      <c r="Y1836" s="10"/>
      <c r="Z1836" s="10"/>
    </row>
    <row r="1837" spans="1:26" ht="12.75">
      <c r="A1837" s="10" t="str">
        <f ca="1">IFERROR(__xludf.DUMMYFUNCTION("""COMPUTED_VALUE"""),"Георги Дончев Рачев")</f>
        <v>Георги Дончев Рачев</v>
      </c>
      <c r="B1837" s="10" t="str">
        <f ca="1">IFERROR(__xludf.DUMMYFUNCTION("""COMPUTED_VALUE"""),"Статия в списания и поредици")</f>
        <v>Статия в списания и поредици</v>
      </c>
      <c r="C1837" s="10" t="str">
        <f ca="1">IFERROR(__xludf.DUMMYFUNCTION("""COMPUTED_VALUE"""),"Температурата на почвата в циркуса Голям Казан (Пирин) и ролята и за геоморфоложките комплекси")</f>
        <v>Температурата на почвата в циркуса Голям Казан (Пирин) и ролята и за геоморфоложките комплекси</v>
      </c>
      <c r="D1837" s="10">
        <f ca="1">IFERROR(__xludf.DUMMYFUNCTION("""COMPUTED_VALUE"""),2014)</f>
        <v>2014</v>
      </c>
      <c r="E1837" s="10" t="str">
        <f ca="1">IFERROR(__xludf.DUMMYFUNCTION("""COMPUTED_VALUE"""),"Георги Рачев, Росица Кендерова, Нина Николова, Димитър Кренчев, Ахинора Балтакова, Температурата на почвата в циркуса Голям Казан (Пирин) и ролята и за геоморфоложките комплекси, Годишник на СУ, ГГФ, кн. 2, География, том:106, 2014, стр.41-48, Ref , PhD")</f>
        <v>Георги Рачев, Росица Кендерова, Нина Николова, Димитър Кренчев, Ахинора Балтакова, Температурата на почвата в циркуса Голям Казан (Пирин) и ролята и за геоморфоложките комплекси, Годишник на СУ, ГГФ, кн. 2, География, том:106, 2014, стр.41-48, Ref , PhD</v>
      </c>
      <c r="F1837" s="10" t="str">
        <f ca="1">IFERROR(__xludf.DUMMYFUNCTION("""COMPUTED_VALUE"""),"Zentralblatt, MathSciNet, DBLP, ERIC, ACM Digital Library, IEEE Xplore, AIS eLibrary")</f>
        <v>Zentralblatt, MathSciNet, DBLP, ERIC, ACM Digital Library, IEEE Xplore, AIS eLibrary</v>
      </c>
      <c r="G1837" s="10" t="str">
        <f ca="1">IFERROR(__xludf.DUMMYFUNCTION("""COMPUTED_VALUE"""),"Георги Рачев, Росица Кендерова, Нина Николова, Димитър Кренчев, Ахинора Балтакова")</f>
        <v>Георги Рачев, Росица Кендерова, Нина Николова, Димитър Кренчев, Ахинора Балтакова</v>
      </c>
      <c r="H1837" s="10"/>
      <c r="I1837" s="10"/>
      <c r="J1837" s="10"/>
      <c r="K1837" s="10"/>
      <c r="L1837" s="10"/>
      <c r="M1837" s="10"/>
      <c r="N1837" s="10"/>
      <c r="O1837" s="10"/>
      <c r="P1837" s="10"/>
      <c r="Q1837" s="10"/>
      <c r="R1837" s="10"/>
      <c r="S1837" s="10"/>
      <c r="T1837" s="10"/>
      <c r="U1837" s="10"/>
      <c r="V1837" s="10"/>
      <c r="W1837" s="10"/>
      <c r="X1837" s="10"/>
      <c r="Y1837" s="10"/>
      <c r="Z1837" s="10"/>
    </row>
    <row r="1838" spans="1:26" ht="12.75">
      <c r="A1838" s="10" t="str">
        <f ca="1">IFERROR(__xludf.DUMMYFUNCTION("""COMPUTED_VALUE"""),"Георги Дончев Рачев")</f>
        <v>Георги Дончев Рачев</v>
      </c>
      <c r="B1838" s="10" t="str">
        <f ca="1">IFERROR(__xludf.DUMMYFUNCTION("""COMPUTED_VALUE"""),"Доклад от конференция")</f>
        <v>Доклад от конференция</v>
      </c>
      <c r="C1838" s="10" t="str">
        <f ca="1">IFERROR(__xludf.DUMMYFUNCTION("""COMPUTED_VALUE"""),"Establishment of monitoring sites of seasonally frozen ground in the Pirin Mountain")</f>
        <v>Establishment of monitoring sites of seasonally frozen ground in the Pirin Mountain</v>
      </c>
      <c r="D1838" s="10">
        <f ca="1">IFERROR(__xludf.DUMMYFUNCTION("""COMPUTED_VALUE"""),2014)</f>
        <v>2014</v>
      </c>
      <c r="E1838" s="10" t="str">
        <f ca="1">IFERROR(__xludf.DUMMYFUNCTION("""COMPUTED_VALUE"""),"Rossitza Kenderova, Georgi Rachev, Nina Nikolova, Ahinora Baltakova, Dimitar Krenchev, Tsvetelina Moneva, Establishment of monitoring sites of seasonally frozen ground in the Pirin Mountain, 8th I.A.G./A.I.G. SEDIBUD, Германия/Garmisch-Partenkirchen 2014")</f>
        <v>Rossitza Kenderova, Georgi Rachev, Nina Nikolova, Ahinora Baltakova, Dimitar Krenchev, Tsvetelina Moneva, Establishment of monitoring sites of seasonally frozen ground in the Pirin Mountain, 8th I.A.G./A.I.G. SEDIBUD, Германия/Garmisch-Partenkirchen 2014</v>
      </c>
      <c r="F1838" s="10"/>
      <c r="G1838" s="10" t="str">
        <f ca="1">IFERROR(__xludf.DUMMYFUNCTION("""COMPUTED_VALUE"""),"Rossitza Kenderova, Georgi Rachev, Nina Nikolova, Ahinora Baltakova, Dimitar Krenchev, Tsvetelina Moneva")</f>
        <v>Rossitza Kenderova, Georgi Rachev, Nina Nikolova, Ahinora Baltakova, Dimitar Krenchev, Tsvetelina Moneva</v>
      </c>
      <c r="H1838" s="10"/>
      <c r="I1838" s="10"/>
      <c r="J1838" s="10"/>
      <c r="K1838" s="10"/>
      <c r="L1838" s="10"/>
      <c r="M1838" s="10"/>
      <c r="N1838" s="10"/>
      <c r="O1838" s="10"/>
      <c r="P1838" s="10"/>
      <c r="Q1838" s="10"/>
      <c r="R1838" s="10"/>
      <c r="S1838" s="10"/>
      <c r="T1838" s="10"/>
      <c r="U1838" s="10"/>
      <c r="V1838" s="10"/>
      <c r="W1838" s="10"/>
      <c r="X1838" s="10"/>
      <c r="Y1838" s="10"/>
      <c r="Z1838" s="10"/>
    </row>
    <row r="1839" spans="1:26" ht="12.75">
      <c r="A1839" s="10" t="str">
        <f ca="1">IFERROR(__xludf.DUMMYFUNCTION("""COMPUTED_VALUE"""),"Георги Дончев Рачев")</f>
        <v>Георги Дончев Рачев</v>
      </c>
      <c r="B1839" s="10" t="str">
        <f ca="1">IFERROR(__xludf.DUMMYFUNCTION("""COMPUTED_VALUE"""),"Статия в списания и поредици")</f>
        <v>Статия в списания и поредици</v>
      </c>
      <c r="C1839" s="10" t="str">
        <f ca="1">IFERROR(__xludf.DUMMYFUNCTION("""COMPUTED_VALUE"""),"Seasonaly Frozen Ground in the Pirin Mountain.")</f>
        <v>Seasonaly Frozen Ground in the Pirin Mountain.</v>
      </c>
      <c r="D1839" s="10">
        <f ca="1">IFERROR(__xludf.DUMMYFUNCTION("""COMPUTED_VALUE"""),2014)</f>
        <v>2014</v>
      </c>
      <c r="E1839" s="10" t="str">
        <f ca="1">IFERROR(__xludf.DUMMYFUNCTION("""COMPUTED_VALUE"""),"Ratchev, G., R. Kenderova, N. Nikolova, A. Baltakova, D. Krenchev, Seasonaly Frozen Ground in the Pirin Mountain., Comptes rendus de l Academie bulgarie des Sciences, 2014")</f>
        <v>Ratchev, G., R. Kenderova, N. Nikolova, A. Baltakova, D. Krenchev, Seasonaly Frozen Ground in the Pirin Mountain., Comptes rendus de l Academie bulgarie des Sciences, 2014</v>
      </c>
      <c r="F1839" s="10"/>
      <c r="G1839" s="10" t="str">
        <f ca="1">IFERROR(__xludf.DUMMYFUNCTION("""COMPUTED_VALUE"""),"Ratchev, G., R. Kenderova, N. Nikolova, A. Baltakova, D. Krenchev")</f>
        <v>Ratchev, G., R. Kenderova, N. Nikolova, A. Baltakova, D. Krenchev</v>
      </c>
      <c r="H1839" s="10"/>
      <c r="I1839" s="10"/>
      <c r="J1839" s="10"/>
      <c r="K1839" s="10"/>
      <c r="L1839" s="10"/>
      <c r="M1839" s="10"/>
      <c r="N1839" s="10"/>
      <c r="O1839" s="10"/>
      <c r="P1839" s="10"/>
      <c r="Q1839" s="10"/>
      <c r="R1839" s="10"/>
      <c r="S1839" s="10"/>
      <c r="T1839" s="10"/>
      <c r="U1839" s="10"/>
      <c r="V1839" s="10"/>
      <c r="W1839" s="10"/>
      <c r="X1839" s="10"/>
      <c r="Y1839" s="10"/>
      <c r="Z1839" s="10"/>
    </row>
    <row r="1840" spans="1:26" ht="12.75">
      <c r="A1840" s="10" t="str">
        <f ca="1">IFERROR(__xludf.DUMMYFUNCTION("""COMPUTED_VALUE"""),"Георги Дончев Рачев")</f>
        <v>Георги Дончев Рачев</v>
      </c>
      <c r="B1840" s="10" t="str">
        <f ca="1">IFERROR(__xludf.DUMMYFUNCTION("""COMPUTED_VALUE"""),"Статия в списания и поредици")</f>
        <v>Статия в списания и поредици</v>
      </c>
      <c r="C1840" s="10" t="str">
        <f ca="1">IFERROR(__xludf.DUMMYFUNCTION("""COMPUTED_VALUE"""),"Сели в долината на Средна Струма")</f>
        <v>Сели в долината на Средна Струма</v>
      </c>
      <c r="D1840" s="10">
        <f ca="1">IFERROR(__xludf.DUMMYFUNCTION("""COMPUTED_VALUE"""),2014)</f>
        <v>2014</v>
      </c>
      <c r="E1840" s="10" t="str">
        <f ca="1">IFERROR(__xludf.DUMMYFUNCTION("""COMPUTED_VALUE"""),"Росица Кендерова, Георги Рачев, Ахинора Балтакова, Сели в долината на Средна Струма, Годишник на СУ, ГГФ, кн. 2, География, том:106, 2014, стр.13-40, Ref")</f>
        <v>Росица Кендерова, Георги Рачев, Ахинора Балтакова, Сели в долината на Средна Струма, Годишник на СУ, ГГФ, кн. 2, География, том:106, 2014, стр.13-40, Ref</v>
      </c>
      <c r="F1840" s="10" t="str">
        <f ca="1">IFERROR(__xludf.DUMMYFUNCTION("""COMPUTED_VALUE"""),"Zentralblatt, MathSciNet, DBLP, ERIC, ACM Digital Library, IEEE Xplore, AIS eLibrary")</f>
        <v>Zentralblatt, MathSciNet, DBLP, ERIC, ACM Digital Library, IEEE Xplore, AIS eLibrary</v>
      </c>
      <c r="G1840" s="10" t="str">
        <f ca="1">IFERROR(__xludf.DUMMYFUNCTION("""COMPUTED_VALUE"""),"Росица Кендерова, Георги Рачев, Ахинора Балтакова")</f>
        <v>Росица Кендерова, Георги Рачев, Ахинора Балтакова</v>
      </c>
      <c r="H1840" s="10"/>
      <c r="I1840" s="10"/>
      <c r="J1840" s="10"/>
      <c r="K1840" s="10"/>
      <c r="L1840" s="10"/>
      <c r="M1840" s="10"/>
      <c r="N1840" s="10"/>
      <c r="O1840" s="10"/>
      <c r="P1840" s="10"/>
      <c r="Q1840" s="10"/>
      <c r="R1840" s="10"/>
      <c r="S1840" s="10"/>
      <c r="T1840" s="10"/>
      <c r="U1840" s="10"/>
      <c r="V1840" s="10"/>
      <c r="W1840" s="10"/>
      <c r="X1840" s="10"/>
      <c r="Y1840" s="10"/>
      <c r="Z1840" s="10"/>
    </row>
    <row r="1841" spans="1:26" ht="12.75">
      <c r="A1841" s="10" t="str">
        <f ca="1">IFERROR(__xludf.DUMMYFUNCTION("""COMPUTED_VALUE"""),"Георги Дончев Рачев")</f>
        <v>Георги Дончев Рачев</v>
      </c>
      <c r="B1841" s="10" t="str">
        <f ca="1">IFERROR(__xludf.DUMMYFUNCTION("""COMPUTED_VALUE"""),"Глава от колективна монография")</f>
        <v>Глава от колективна монография</v>
      </c>
      <c r="C1841" s="10" t="str">
        <f ca="1">IFERROR(__xludf.DUMMYFUNCTION("""COMPUTED_VALUE"""),"Debris Flows in the Middle Struma Valley, Southwest-Bulgaria")</f>
        <v>Debris Flows in the Middle Struma Valley, Southwest-Bulgaria</v>
      </c>
      <c r="D1841" s="10">
        <f ca="1">IFERROR(__xludf.DUMMYFUNCTION("""COMPUTED_VALUE"""),2013)</f>
        <v>2013</v>
      </c>
      <c r="E1841" s="10" t="str">
        <f ca="1">IFERROR(__xludf.DUMMYFUNCTION("""COMPUTED_VALUE"""),"Rossitza Kenderova, Georgi Rachev, Ahinora Baltakova, Debris Flows in the Middle Struma Valley, Southwest-Bulgaria, Springer Geography, Рецензирано")</f>
        <v>Rossitza Kenderova, Georgi Rachev, Ahinora Baltakova, Debris Flows in the Middle Struma Valley, Southwest-Bulgaria, Springer Geography, Рецензирано</v>
      </c>
      <c r="F1841" s="10"/>
      <c r="G1841" s="10" t="str">
        <f ca="1">IFERROR(__xludf.DUMMYFUNCTION("""COMPUTED_VALUE"""),"Rossitza Kenderova, Georgi Rachev, Ahinora Baltakova")</f>
        <v>Rossitza Kenderova, Georgi Rachev, Ahinora Baltakova</v>
      </c>
      <c r="H1841" s="10"/>
      <c r="I1841" s="10"/>
      <c r="J1841" s="10"/>
      <c r="K1841" s="10"/>
      <c r="L1841" s="10"/>
      <c r="M1841" s="10"/>
      <c r="N1841" s="10"/>
      <c r="O1841" s="10"/>
      <c r="P1841" s="10"/>
      <c r="Q1841" s="10"/>
      <c r="R1841" s="10"/>
      <c r="S1841" s="10"/>
      <c r="T1841" s="10"/>
      <c r="U1841" s="10"/>
      <c r="V1841" s="10"/>
      <c r="W1841" s="10"/>
      <c r="X1841" s="10"/>
      <c r="Y1841" s="10"/>
      <c r="Z1841" s="10"/>
    </row>
    <row r="1842" spans="1:26" ht="12.75">
      <c r="A1842" s="10" t="str">
        <f ca="1">IFERROR(__xludf.DUMMYFUNCTION("""COMPUTED_VALUE"""),"Георги Дончев Рачев")</f>
        <v>Георги Дончев Рачев</v>
      </c>
      <c r="B1842" s="10" t="str">
        <f ca="1">IFERROR(__xludf.DUMMYFUNCTION("""COMPUTED_VALUE"""),"Статия в списания и поредици")</f>
        <v>Статия в списания и поредици</v>
      </c>
      <c r="C1842" s="10" t="str">
        <f ca="1">IFERROR(__xludf.DUMMYFUNCTION("""COMPUTED_VALUE"""),"Формиране и проява на селеви потоци в долината на Средна Струма (3 – 5 Декември 2010 г.)")</f>
        <v>Формиране и проява на селеви потоци в долината на Средна Струма (3 – 5 Декември 2010 г.)</v>
      </c>
      <c r="D1842" s="10">
        <f ca="1">IFERROR(__xludf.DUMMYFUNCTION("""COMPUTED_VALUE"""),2013)</f>
        <v>2013</v>
      </c>
      <c r="E1842" s="10" t="str">
        <f ca="1">IFERROR(__xludf.DUMMYFUNCTION("""COMPUTED_VALUE"""),"Росица Кендерова, Георги Рачев, Ахинора Балтакова, Формиране и проява на селеви потоци в долината на Средна Струма (3 – 5 Декември 2010 г.), Годишник на СУ ""Св. Кл. Охридски"", том:105, брой:2 - География, 2013, стр.15-31, Ref")</f>
        <v>Росица Кендерова, Георги Рачев, Ахинора Балтакова, Формиране и проява на селеви потоци в долината на Средна Струма (3 – 5 Декември 2010 г.), Годишник на СУ "Св. Кл. Охридски", том:105, брой:2 - География, 2013, стр.15-31, Ref</v>
      </c>
      <c r="F1842" s="10" t="str">
        <f ca="1">IFERROR(__xludf.DUMMYFUNCTION("""COMPUTED_VALUE"""),"Zentralblatt, MathSciNet, DBLP, ERIC, ACM Digital Library, IEEE Xplore, AIS eLibrary")</f>
        <v>Zentralblatt, MathSciNet, DBLP, ERIC, ACM Digital Library, IEEE Xplore, AIS eLibrary</v>
      </c>
      <c r="G1842" s="10" t="str">
        <f ca="1">IFERROR(__xludf.DUMMYFUNCTION("""COMPUTED_VALUE"""),"Росица Кендерова, Георги Рачев, Ахинора Балтакова")</f>
        <v>Росица Кендерова, Георги Рачев, Ахинора Балтакова</v>
      </c>
      <c r="H1842" s="10"/>
      <c r="I1842" s="10"/>
      <c r="J1842" s="10"/>
      <c r="K1842" s="10"/>
      <c r="L1842" s="10"/>
      <c r="M1842" s="10"/>
      <c r="N1842" s="10"/>
      <c r="O1842" s="10"/>
      <c r="P1842" s="10"/>
      <c r="Q1842" s="10"/>
      <c r="R1842" s="10"/>
      <c r="S1842" s="10"/>
      <c r="T1842" s="10"/>
      <c r="U1842" s="10"/>
      <c r="V1842" s="10"/>
      <c r="W1842" s="10"/>
      <c r="X1842" s="10"/>
      <c r="Y1842" s="10"/>
      <c r="Z1842" s="10"/>
    </row>
    <row r="1843" spans="1:26" ht="12.75">
      <c r="A1843" s="10" t="str">
        <f ca="1">IFERROR(__xludf.DUMMYFUNCTION("""COMPUTED_VALUE"""),"Георги Дончев Рачев")</f>
        <v>Георги Дончев Рачев</v>
      </c>
      <c r="B1843" s="10" t="str">
        <f ca="1">IFERROR(__xludf.DUMMYFUNCTION("""COMPUTED_VALUE"""),"Статия в списания и поредици")</f>
        <v>Статия в списания и поредици</v>
      </c>
      <c r="C1843" s="10" t="str">
        <f ca="1">IFERROR(__xludf.DUMMYFUNCTION("""COMPUTED_VALUE"""),"Съвременни екзогенни процеси в Милевска планина и Кървав Камък (фактори, условия, характеристика)")</f>
        <v>Съвременни екзогенни процеси в Милевска планина и Кървав Камък (фактори, условия, характеристика)</v>
      </c>
      <c r="D1843" s="10">
        <f ca="1">IFERROR(__xludf.DUMMYFUNCTION("""COMPUTED_VALUE"""),2012)</f>
        <v>2012</v>
      </c>
      <c r="E1843" s="10" t="str">
        <f ca="1">IFERROR(__xludf.DUMMYFUNCTION("""COMPUTED_VALUE"""),"Росица Кендерова, Георги Рачев, Ахинора Балтакова, Съвременни екзогенни процеси в Милевска планина и Кървав Камък (фактори, условия, характеристика), Годишник на СУ ""Св. Кл. Охридски"", том:104, брой:2 - География, 2012, стр.55-71")</f>
        <v>Росица Кендерова, Георги Рачев, Ахинора Балтакова, Съвременни екзогенни процеси в Милевска планина и Кървав Камък (фактори, условия, характеристика), Годишник на СУ "Св. Кл. Охридски", том:104, брой:2 - География, 2012, стр.55-71</v>
      </c>
      <c r="F1843" s="10"/>
      <c r="G1843" s="10" t="str">
        <f ca="1">IFERROR(__xludf.DUMMYFUNCTION("""COMPUTED_VALUE"""),"Росица Кендерова, Георги Рачев, Ахинора Балтакова")</f>
        <v>Росица Кендерова, Георги Рачев, Ахинора Балтакова</v>
      </c>
      <c r="H1843" s="10"/>
      <c r="I1843" s="10"/>
      <c r="J1843" s="10"/>
      <c r="K1843" s="10"/>
      <c r="L1843" s="10"/>
      <c r="M1843" s="10"/>
      <c r="N1843" s="10"/>
      <c r="O1843" s="10"/>
      <c r="P1843" s="10"/>
      <c r="Q1843" s="10"/>
      <c r="R1843" s="10"/>
      <c r="S1843" s="10"/>
      <c r="T1843" s="10"/>
      <c r="U1843" s="10"/>
      <c r="V1843" s="10"/>
      <c r="W1843" s="10"/>
      <c r="X1843" s="10"/>
      <c r="Y1843" s="10"/>
      <c r="Z1843" s="10"/>
    </row>
    <row r="1844" spans="1:26" ht="12.75">
      <c r="A1844" s="10" t="str">
        <f ca="1">IFERROR(__xludf.DUMMYFUNCTION("""COMPUTED_VALUE"""),"Георги Дончев Рачев")</f>
        <v>Георги Дончев Рачев</v>
      </c>
      <c r="B1844" s="10" t="str">
        <f ca="1">IFERROR(__xludf.DUMMYFUNCTION("""COMPUTED_VALUE"""),"Статия в списания и поредици")</f>
        <v>Статия в списания и поредици</v>
      </c>
      <c r="C1844" s="10" t="str">
        <f ca="1">IFERROR(__xludf.DUMMYFUNCTION("""COMPUTED_VALUE"""),"Климатичната революция като предпоставка за нисковъглеродна икономика")</f>
        <v>Климатичната революция като предпоставка за нисковъглеродна икономика</v>
      </c>
      <c r="D1844" s="10">
        <f ca="1">IFERROR(__xludf.DUMMYFUNCTION("""COMPUTED_VALUE"""),2012)</f>
        <v>2012</v>
      </c>
      <c r="E1844" s="10" t="str">
        <f ca="1">IFERROR(__xludf.DUMMYFUNCTION("""COMPUTED_VALUE"""),"Рачев, Г., Климатичната революция като предпоставка за нисковъглеродна икономика, Годишник на СУ ""Св. Кл. Охридски"", том:103, брой:2 - География, 2012, стр.45-64")</f>
        <v>Рачев, Г., Климатичната революция като предпоставка за нисковъглеродна икономика, Годишник на СУ "Св. Кл. Охридски", том:103, брой:2 - География, 2012, стр.45-64</v>
      </c>
      <c r="F1844" s="10"/>
      <c r="G1844" s="10" t="str">
        <f ca="1">IFERROR(__xludf.DUMMYFUNCTION("""COMPUTED_VALUE"""),"Рачев, Г.")</f>
        <v>Рачев, Г.</v>
      </c>
      <c r="H1844" s="10"/>
      <c r="I1844" s="10"/>
      <c r="J1844" s="10"/>
      <c r="K1844" s="10"/>
      <c r="L1844" s="10"/>
      <c r="M1844" s="10"/>
      <c r="N1844" s="10"/>
      <c r="O1844" s="10"/>
      <c r="P1844" s="10"/>
      <c r="Q1844" s="10"/>
      <c r="R1844" s="10"/>
      <c r="S1844" s="10"/>
      <c r="T1844" s="10"/>
      <c r="U1844" s="10"/>
      <c r="V1844" s="10"/>
      <c r="W1844" s="10"/>
      <c r="X1844" s="10"/>
      <c r="Y1844" s="10"/>
      <c r="Z1844" s="10"/>
    </row>
    <row r="1845" spans="1:26" ht="12.75">
      <c r="A1845" s="10" t="str">
        <f ca="1">IFERROR(__xludf.DUMMYFUNCTION("""COMPUTED_VALUE"""),"Георги Дончев Рачев")</f>
        <v>Георги Дончев Рачев</v>
      </c>
      <c r="B1845" s="10" t="str">
        <f ca="1">IFERROR(__xludf.DUMMYFUNCTION("""COMPUTED_VALUE"""),"Статия в списания и поредици")</f>
        <v>Статия в списания и поредици</v>
      </c>
      <c r="C1845" s="10" t="str">
        <f ca="1">IFERROR(__xludf.DUMMYFUNCTION("""COMPUTED_VALUE"""),"Географски терминологичен речник")</f>
        <v>Географски терминологичен речник</v>
      </c>
      <c r="D1845" s="10">
        <f ca="1">IFERROR(__xludf.DUMMYFUNCTION("""COMPUTED_VALUE"""),2011)</f>
        <v>2011</v>
      </c>
      <c r="E1845" s="10" t="str">
        <f ca="1">IFERROR(__xludf.DUMMYFUNCTION("""COMPUTED_VALUE"""),"Георги Рачев, и др., Географски терминологичен речник, Географски терминологичен речник, 2011, Ref")</f>
        <v>Георги Рачев, и др., Географски терминологичен речник, Географски терминологичен речник, 2011, Ref</v>
      </c>
      <c r="F1845" s="10" t="str">
        <f ca="1">IFERROR(__xludf.DUMMYFUNCTION("""COMPUTED_VALUE"""),"Zentralblatt, MathSciNet, DBLP, ERIC, ACM Digital Library, IEEE Xplore, AIS eLibrary")</f>
        <v>Zentralblatt, MathSciNet, DBLP, ERIC, ACM Digital Library, IEEE Xplore, AIS eLibrary</v>
      </c>
      <c r="G1845" s="10" t="str">
        <f ca="1">IFERROR(__xludf.DUMMYFUNCTION("""COMPUTED_VALUE"""),"Георги Рачев, и др.")</f>
        <v>Георги Рачев, и др.</v>
      </c>
      <c r="H1845" s="10"/>
      <c r="I1845" s="10"/>
      <c r="J1845" s="10"/>
      <c r="K1845" s="10"/>
      <c r="L1845" s="10"/>
      <c r="M1845" s="10"/>
      <c r="N1845" s="10"/>
      <c r="O1845" s="10"/>
      <c r="P1845" s="10"/>
      <c r="Q1845" s="10"/>
      <c r="R1845" s="10"/>
      <c r="S1845" s="10"/>
      <c r="T1845" s="10"/>
      <c r="U1845" s="10"/>
      <c r="V1845" s="10"/>
      <c r="W1845" s="10"/>
      <c r="X1845" s="10"/>
      <c r="Y1845" s="10"/>
      <c r="Z1845" s="10"/>
    </row>
    <row r="1846" spans="1:26" ht="12.75">
      <c r="A1846" s="10" t="str">
        <f ca="1">IFERROR(__xludf.DUMMYFUNCTION("""COMPUTED_VALUE"""),"Георги Дончев Рачев")</f>
        <v>Георги Дончев Рачев</v>
      </c>
      <c r="B1846" s="10" t="str">
        <f ca="1">IFERROR(__xludf.DUMMYFUNCTION("""COMPUTED_VALUE"""),"Статия в списания и поредици")</f>
        <v>Статия в списания и поредици</v>
      </c>
      <c r="C1846" s="10" t="str">
        <f ca="1">IFERROR(__xludf.DUMMYFUNCTION("""COMPUTED_VALUE"""),"Климатът на България")</f>
        <v>Климатът на България</v>
      </c>
      <c r="D1846" s="10">
        <f ca="1">IFERROR(__xludf.DUMMYFUNCTION("""COMPUTED_VALUE"""),2009)</f>
        <v>2009</v>
      </c>
      <c r="E1846" s="10" t="str">
        <f ca="1">IFERROR(__xludf.DUMMYFUNCTION("""COMPUTED_VALUE"""),"Рачев, Г., Н. Николова, Климатът на България, Годишник на СУ ""Св. Кл. Охридски"", том:101, брой:2 - География, 2009, стр.17-30")</f>
        <v>Рачев, Г., Н. Николова, Климатът на България, Годишник на СУ "Св. Кл. Охридски", том:101, брой:2 - География, 2009, стр.17-30</v>
      </c>
      <c r="F1846" s="10"/>
      <c r="G1846" s="10" t="str">
        <f ca="1">IFERROR(__xludf.DUMMYFUNCTION("""COMPUTED_VALUE"""),"Рачев, Г., Н. Николова")</f>
        <v>Рачев, Г., Н. Николова</v>
      </c>
      <c r="H1846" s="10"/>
      <c r="I1846" s="10"/>
      <c r="J1846" s="10"/>
      <c r="K1846" s="10"/>
      <c r="L1846" s="10"/>
      <c r="M1846" s="10"/>
      <c r="N1846" s="10"/>
      <c r="O1846" s="10"/>
      <c r="P1846" s="10"/>
      <c r="Q1846" s="10"/>
      <c r="R1846" s="10"/>
      <c r="S1846" s="10"/>
      <c r="T1846" s="10"/>
      <c r="U1846" s="10"/>
      <c r="V1846" s="10"/>
      <c r="W1846" s="10"/>
      <c r="X1846" s="10"/>
      <c r="Y1846" s="10"/>
      <c r="Z1846" s="10"/>
    </row>
    <row r="1847" spans="1:26" ht="12.75">
      <c r="A1847" s="10" t="str">
        <f ca="1">IFERROR(__xludf.DUMMYFUNCTION("""COMPUTED_VALUE"""),"Георги Дончев Рачев")</f>
        <v>Георги Дончев Рачев</v>
      </c>
      <c r="B1847" s="10" t="str">
        <f ca="1">IFERROR(__xludf.DUMMYFUNCTION("""COMPUTED_VALUE"""),"Статия в списания и поредици")</f>
        <v>Статия в списания и поредици</v>
      </c>
      <c r="C1847" s="10" t="str">
        <f ca="1">IFERROR(__xludf.DUMMYFUNCTION("""COMPUTED_VALUE"""),"Conditions for production and consumption of biofuels in Bulgaria.""Global changes Vulnerability, Mitigation and adaptation"".")</f>
        <v>Conditions for production and consumption of biofuels in Bulgaria."Global changes Vulnerability, Mitigation and adaptation".</v>
      </c>
      <c r="D1847" s="10">
        <f ca="1">IFERROR(__xludf.DUMMYFUNCTION("""COMPUTED_VALUE"""),2008)</f>
        <v>2008</v>
      </c>
      <c r="E1847" s="10" t="str">
        <f ca="1">IFERROR(__xludf.DUMMYFUNCTION("""COMPUTED_VALUE"""),"Ratchev, G., Conditions for production and consumption of biofuels in Bulgaria.""Global changes Vulnerability, Mitigation and adaptation""., Fifth International Conference. 17-18 April, Sofia, Univercity of Sofia, University press., 2008")</f>
        <v>Ratchev, G., Conditions for production and consumption of biofuels in Bulgaria."Global changes Vulnerability, Mitigation and adaptation"., Fifth International Conference. 17-18 April, Sofia, Univercity of Sofia, University press., 2008</v>
      </c>
      <c r="F1847" s="10"/>
      <c r="G1847" s="10" t="str">
        <f ca="1">IFERROR(__xludf.DUMMYFUNCTION("""COMPUTED_VALUE"""),"Ratchev, G.")</f>
        <v>Ratchev, G.</v>
      </c>
      <c r="H1847" s="10"/>
      <c r="I1847" s="10"/>
      <c r="J1847" s="10"/>
      <c r="K1847" s="10"/>
      <c r="L1847" s="10"/>
      <c r="M1847" s="10"/>
      <c r="N1847" s="10"/>
      <c r="O1847" s="10"/>
      <c r="P1847" s="10"/>
      <c r="Q1847" s="10"/>
      <c r="R1847" s="10"/>
      <c r="S1847" s="10"/>
      <c r="T1847" s="10"/>
      <c r="U1847" s="10"/>
      <c r="V1847" s="10"/>
      <c r="W1847" s="10"/>
      <c r="X1847" s="10"/>
      <c r="Y1847" s="10"/>
      <c r="Z1847" s="10"/>
    </row>
    <row r="1848" spans="1:26" ht="12.75">
      <c r="A1848" s="10" t="str">
        <f ca="1">IFERROR(__xludf.DUMMYFUNCTION("""COMPUTED_VALUE"""),"Георги Дончев Рачев")</f>
        <v>Георги Дончев Рачев</v>
      </c>
      <c r="B1848" s="10" t="str">
        <f ca="1">IFERROR(__xludf.DUMMYFUNCTION("""COMPUTED_VALUE"""),"Статия в списания и поредици")</f>
        <v>Статия в списания и поредици</v>
      </c>
      <c r="C1848" s="10" t="str">
        <f ca="1">IFERROR(__xludf.DUMMYFUNCTION("""COMPUTED_VALUE"""),"Предпоставки за поскъпването на земеделските имоти в България")</f>
        <v>Предпоставки за поскъпването на земеделските имоти в България</v>
      </c>
      <c r="D1848" s="10">
        <f ca="1">IFERROR(__xludf.DUMMYFUNCTION("""COMPUTED_VALUE"""),2008)</f>
        <v>2008</v>
      </c>
      <c r="E1848" s="10" t="str">
        <f ca="1">IFERROR(__xludf.DUMMYFUNCTION("""COMPUTED_VALUE"""),"Рачев, Г., Предпоставки за поскъпването на земеделските имоти в България, Годишник на СУ ""Св. Кл. Охридски"", том:100, брой:2 - География, 2008, стр.177-192")</f>
        <v>Рачев, Г., Предпоставки за поскъпването на земеделските имоти в България, Годишник на СУ "Св. Кл. Охридски", том:100, брой:2 - География, 2008, стр.177-192</v>
      </c>
      <c r="F1848" s="10"/>
      <c r="G1848" s="10" t="str">
        <f ca="1">IFERROR(__xludf.DUMMYFUNCTION("""COMPUTED_VALUE"""),"Рачев, Г.")</f>
        <v>Рачев, Г.</v>
      </c>
      <c r="H1848" s="10"/>
      <c r="I1848" s="10"/>
      <c r="J1848" s="10"/>
      <c r="K1848" s="10"/>
      <c r="L1848" s="10"/>
      <c r="M1848" s="10"/>
      <c r="N1848" s="10"/>
      <c r="O1848" s="10"/>
      <c r="P1848" s="10"/>
      <c r="Q1848" s="10"/>
      <c r="R1848" s="10"/>
      <c r="S1848" s="10"/>
      <c r="T1848" s="10"/>
      <c r="U1848" s="10"/>
      <c r="V1848" s="10"/>
      <c r="W1848" s="10"/>
      <c r="X1848" s="10"/>
      <c r="Y1848" s="10"/>
      <c r="Z1848" s="10"/>
    </row>
    <row r="1849" spans="1:26" ht="12.75">
      <c r="A1849" s="10" t="str">
        <f ca="1">IFERROR(__xludf.DUMMYFUNCTION("""COMPUTED_VALUE"""),"Георги Дончев Рачев")</f>
        <v>Георги Дончев Рачев</v>
      </c>
      <c r="B1849" s="10" t="str">
        <f ca="1">IFERROR(__xludf.DUMMYFUNCTION("""COMPUTED_VALUE"""),"Статия в списания и поредици")</f>
        <v>Статия в списания и поредици</v>
      </c>
      <c r="C1849" s="10" t="str">
        <f ca="1">IFERROR(__xludf.DUMMYFUNCTION("""COMPUTED_VALUE"""),"Особености в чуждестранните инвестиции на пазара на недвижимости в България.")</f>
        <v>Особености в чуждестранните инвестиции на пазара на недвижимости в България.</v>
      </c>
      <c r="D1849" s="10">
        <f ca="1">IFERROR(__xludf.DUMMYFUNCTION("""COMPUTED_VALUE"""),2007)</f>
        <v>2007</v>
      </c>
      <c r="E1849" s="10" t="str">
        <f ca="1">IFERROR(__xludf.DUMMYFUNCTION("""COMPUTED_VALUE"""),"Рачев, Г., Особености в чуждестранните инвестиции на пазара на недвижимости в България., VI научна конференция. ""География и регионално развитие"", Созопол., 2007")</f>
        <v>Рачев, Г., Особености в чуждестранните инвестиции на пазара на недвижимости в България., VI научна конференция. "География и регионално развитие", Созопол., 2007</v>
      </c>
      <c r="F1849" s="10"/>
      <c r="G1849" s="10" t="str">
        <f ca="1">IFERROR(__xludf.DUMMYFUNCTION("""COMPUTED_VALUE"""),"Рачев, Г.")</f>
        <v>Рачев, Г.</v>
      </c>
      <c r="H1849" s="10"/>
      <c r="I1849" s="10"/>
      <c r="J1849" s="10"/>
      <c r="K1849" s="10"/>
      <c r="L1849" s="10"/>
      <c r="M1849" s="10"/>
      <c r="N1849" s="10"/>
      <c r="O1849" s="10"/>
      <c r="P1849" s="10"/>
      <c r="Q1849" s="10"/>
      <c r="R1849" s="10"/>
      <c r="S1849" s="10"/>
      <c r="T1849" s="10"/>
      <c r="U1849" s="10"/>
      <c r="V1849" s="10"/>
      <c r="W1849" s="10"/>
      <c r="X1849" s="10"/>
      <c r="Y1849" s="10"/>
      <c r="Z1849" s="10"/>
    </row>
    <row r="1850" spans="1:26" ht="12.75">
      <c r="A1850" s="10" t="str">
        <f ca="1">IFERROR(__xludf.DUMMYFUNCTION("""COMPUTED_VALUE"""),"Георги Дончев Рачев")</f>
        <v>Георги Дончев Рачев</v>
      </c>
      <c r="B1850" s="10" t="str">
        <f ca="1">IFERROR(__xludf.DUMMYFUNCTION("""COMPUTED_VALUE"""),"Статия в списания и поредици")</f>
        <v>Статия в списания и поредици</v>
      </c>
      <c r="C1850" s="10" t="str">
        <f ca="1">IFERROR(__xludf.DUMMYFUNCTION("""COMPUTED_VALUE"""),"Climate change as a pretext for economic impact. ""Global changes and regional challenges"".")</f>
        <v>Climate change as a pretext for economic impact. "Global changes and regional challenges".</v>
      </c>
      <c r="D1850" s="10">
        <f ca="1">IFERROR(__xludf.DUMMYFUNCTION("""COMPUTED_VALUE"""),2007)</f>
        <v>2007</v>
      </c>
      <c r="E1850" s="10" t="str">
        <f ca="1">IFERROR(__xludf.DUMMYFUNCTION("""COMPUTED_VALUE"""),"Ratchev, G., Climate change as a pretext for economic impact. ""Global changes and regional challenges""., International Scientific Conference dedicated to the international Earth Day. Sofia, University of Sofia., 2007")</f>
        <v>Ratchev, G., Climate change as a pretext for economic impact. "Global changes and regional challenges"., International Scientific Conference dedicated to the international Earth Day. Sofia, University of Sofia., 2007</v>
      </c>
      <c r="F1850" s="10"/>
      <c r="G1850" s="10" t="str">
        <f ca="1">IFERROR(__xludf.DUMMYFUNCTION("""COMPUTED_VALUE"""),"Ratchev, G.")</f>
        <v>Ratchev, G.</v>
      </c>
      <c r="H1850" s="10"/>
      <c r="I1850" s="10"/>
      <c r="J1850" s="10"/>
      <c r="K1850" s="10"/>
      <c r="L1850" s="10"/>
      <c r="M1850" s="10"/>
      <c r="N1850" s="10"/>
      <c r="O1850" s="10"/>
      <c r="P1850" s="10"/>
      <c r="Q1850" s="10"/>
      <c r="R1850" s="10"/>
      <c r="S1850" s="10"/>
      <c r="T1850" s="10"/>
      <c r="U1850" s="10"/>
      <c r="V1850" s="10"/>
      <c r="W1850" s="10"/>
      <c r="X1850" s="10"/>
      <c r="Y1850" s="10"/>
      <c r="Z1850" s="10"/>
    </row>
    <row r="1851" spans="1:26" ht="12.75">
      <c r="A1851" s="10" t="str">
        <f ca="1">IFERROR(__xludf.DUMMYFUNCTION("""COMPUTED_VALUE"""),"Георги Дончев Рачев")</f>
        <v>Георги Дончев Рачев</v>
      </c>
      <c r="B1851" s="10" t="str">
        <f ca="1">IFERROR(__xludf.DUMMYFUNCTION("""COMPUTED_VALUE"""),"Статия в списания и поредици")</f>
        <v>Статия в списания и поредици</v>
      </c>
      <c r="C1851" s="10" t="str">
        <f ca="1">IFERROR(__xludf.DUMMYFUNCTION("""COMPUTED_VALUE"""),"Алтернативи на Протокола от Киото")</f>
        <v>Алтернативи на Протокола от Киото</v>
      </c>
      <c r="D1851" s="10">
        <f ca="1">IFERROR(__xludf.DUMMYFUNCTION("""COMPUTED_VALUE"""),2007)</f>
        <v>2007</v>
      </c>
      <c r="E1851" s="10" t="str">
        <f ca="1">IFERROR(__xludf.DUMMYFUNCTION("""COMPUTED_VALUE"""),"Рачев, Г., Алтернативи на Протокола от Киото, Годишник на СУ ""Св. Кл. Охридски"", том:99, брой:2 - География, 2007, стр.41-52")</f>
        <v>Рачев, Г., Алтернативи на Протокола от Киото, Годишник на СУ "Св. Кл. Охридски", том:99, брой:2 - География, 2007, стр.41-52</v>
      </c>
      <c r="F1851" s="10"/>
      <c r="G1851" s="10" t="str">
        <f ca="1">IFERROR(__xludf.DUMMYFUNCTION("""COMPUTED_VALUE"""),"Рачев, Г.")</f>
        <v>Рачев, Г.</v>
      </c>
      <c r="H1851" s="10"/>
      <c r="I1851" s="10"/>
      <c r="J1851" s="10"/>
      <c r="K1851" s="10"/>
      <c r="L1851" s="10"/>
      <c r="M1851" s="10"/>
      <c r="N1851" s="10"/>
      <c r="O1851" s="10"/>
      <c r="P1851" s="10"/>
      <c r="Q1851" s="10"/>
      <c r="R1851" s="10"/>
      <c r="S1851" s="10"/>
      <c r="T1851" s="10"/>
      <c r="U1851" s="10"/>
      <c r="V1851" s="10"/>
      <c r="W1851" s="10"/>
      <c r="X1851" s="10"/>
      <c r="Y1851" s="10"/>
      <c r="Z1851" s="10"/>
    </row>
    <row r="1852" spans="1:26" ht="12.75">
      <c r="A1852" s="10" t="str">
        <f ca="1">IFERROR(__xludf.DUMMYFUNCTION("""COMPUTED_VALUE"""),"Георги Дончев Рачев")</f>
        <v>Георги Дончев Рачев</v>
      </c>
      <c r="B1852" s="10" t="str">
        <f ca="1">IFERROR(__xludf.DUMMYFUNCTION("""COMPUTED_VALUE"""),"Статия в списания и поредици")</f>
        <v>Статия в списания и поредици</v>
      </c>
      <c r="C1852" s="10" t="str">
        <f ca="1">IFERROR(__xludf.DUMMYFUNCTION("""COMPUTED_VALUE"""),"The air transport as a source of pollution in the troposphere.")</f>
        <v>The air transport as a source of pollution in the troposphere.</v>
      </c>
      <c r="D1852" s="10">
        <f ca="1">IFERROR(__xludf.DUMMYFUNCTION("""COMPUTED_VALUE"""),2006)</f>
        <v>2006</v>
      </c>
      <c r="E1852" s="10" t="str">
        <f ca="1">IFERROR(__xludf.DUMMYFUNCTION("""COMPUTED_VALUE"""),"Ratchev, G., The air transport as a source of pollution in the troposphere., Global changes and regional challenges. - International Scientific Conference dedicated to the international Earth day. Sofia, University of Sofia., 2006")</f>
        <v>Ratchev, G., The air transport as a source of pollution in the troposphere., Global changes and regional challenges. - International Scientific Conference dedicated to the international Earth day. Sofia, University of Sofia., 2006</v>
      </c>
      <c r="F1852" s="10"/>
      <c r="G1852" s="10" t="str">
        <f ca="1">IFERROR(__xludf.DUMMYFUNCTION("""COMPUTED_VALUE"""),"Ratchev, G.")</f>
        <v>Ratchev, G.</v>
      </c>
      <c r="H1852" s="10"/>
      <c r="I1852" s="10"/>
      <c r="J1852" s="10"/>
      <c r="K1852" s="10"/>
      <c r="L1852" s="10"/>
      <c r="M1852" s="10"/>
      <c r="N1852" s="10"/>
      <c r="O1852" s="10"/>
      <c r="P1852" s="10"/>
      <c r="Q1852" s="10"/>
      <c r="R1852" s="10"/>
      <c r="S1852" s="10"/>
      <c r="T1852" s="10"/>
      <c r="U1852" s="10"/>
      <c r="V1852" s="10"/>
      <c r="W1852" s="10"/>
      <c r="X1852" s="10"/>
      <c r="Y1852" s="10"/>
      <c r="Z1852" s="10"/>
    </row>
    <row r="1853" spans="1:26" ht="12.75">
      <c r="A1853" s="10" t="str">
        <f ca="1">IFERROR(__xludf.DUMMYFUNCTION("""COMPUTED_VALUE"""),"Георги Дончев Рачев")</f>
        <v>Георги Дончев Рачев</v>
      </c>
      <c r="B1853" s="10" t="str">
        <f ca="1">IFERROR(__xludf.DUMMYFUNCTION("""COMPUTED_VALUE"""),"Статия в списания и поредици")</f>
        <v>Статия в списания и поредици</v>
      </c>
      <c r="C1853" s="10" t="str">
        <f ca="1">IFERROR(__xludf.DUMMYFUNCTION("""COMPUTED_VALUE"""),"The fundamental prerequisites of the process of rising in prices of the rural properties in Bulgaria.")</f>
        <v>The fundamental prerequisites of the process of rising in prices of the rural properties in Bulgaria.</v>
      </c>
      <c r="D1853" s="10">
        <f ca="1">IFERROR(__xludf.DUMMYFUNCTION("""COMPUTED_VALUE"""),2006)</f>
        <v>2006</v>
      </c>
      <c r="E1853" s="10" t="str">
        <f ca="1">IFERROR(__xludf.DUMMYFUNCTION("""COMPUTED_VALUE"""),"Ratchev, G., The fundamental prerequisites of the process of rising in prices of the rural properties in Bulgaria., Rural areas in the new development conditions. Ohrid, Macedonia., 2006")</f>
        <v>Ratchev, G., The fundamental prerequisites of the process of rising in prices of the rural properties in Bulgaria., Rural areas in the new development conditions. Ohrid, Macedonia., 2006</v>
      </c>
      <c r="F1853" s="10"/>
      <c r="G1853" s="10" t="str">
        <f ca="1">IFERROR(__xludf.DUMMYFUNCTION("""COMPUTED_VALUE"""),"Ratchev, G.")</f>
        <v>Ratchev, G.</v>
      </c>
      <c r="H1853" s="10"/>
      <c r="I1853" s="10"/>
      <c r="J1853" s="10"/>
      <c r="K1853" s="10"/>
      <c r="L1853" s="10"/>
      <c r="M1853" s="10"/>
      <c r="N1853" s="10"/>
      <c r="O1853" s="10"/>
      <c r="P1853" s="10"/>
      <c r="Q1853" s="10"/>
      <c r="R1853" s="10"/>
      <c r="S1853" s="10"/>
      <c r="T1853" s="10"/>
      <c r="U1853" s="10"/>
      <c r="V1853" s="10"/>
      <c r="W1853" s="10"/>
      <c r="X1853" s="10"/>
      <c r="Y1853" s="10"/>
      <c r="Z1853" s="10"/>
    </row>
    <row r="1854" spans="1:26" ht="12.75">
      <c r="A1854" s="10" t="str">
        <f ca="1">IFERROR(__xludf.DUMMYFUNCTION("""COMPUTED_VALUE"""),"Георги Дончев Рачев")</f>
        <v>Георги Дончев Рачев</v>
      </c>
      <c r="B1854" s="10" t="str">
        <f ca="1">IFERROR(__xludf.DUMMYFUNCTION("""COMPUTED_VALUE"""),"Статия в списания и поредици")</f>
        <v>Статия в списания и поредици</v>
      </c>
      <c r="C1854" s="10" t="str">
        <f ca="1">IFERROR(__xludf.DUMMYFUNCTION("""COMPUTED_VALUE"""),"Средиземноморски черти на климата на Санданско-Петричкия район")</f>
        <v>Средиземноморски черти на климата на Санданско-Петричкия район</v>
      </c>
      <c r="D1854" s="10">
        <f ca="1">IFERROR(__xludf.DUMMYFUNCTION("""COMPUTED_VALUE"""),2003)</f>
        <v>2003</v>
      </c>
      <c r="E1854" s="10" t="str">
        <f ca="1">IFERROR(__xludf.DUMMYFUNCTION("""COMPUTED_VALUE"""),"Рачев, Г., Кр. Динков, Средиземноморски черти на климата на Санданско-Петричкия район, Годишник на СУ ""Св. Кл. Охридски"", том:95, брой:2 - География, 2003, стр.69-84, MSc")</f>
        <v>Рачев, Г., Кр. Динков, Средиземноморски черти на климата на Санданско-Петричкия район, Годишник на СУ "Св. Кл. Охридски", том:95, брой:2 - География, 2003, стр.69-84, MSc</v>
      </c>
      <c r="F1854" s="10"/>
      <c r="G1854" s="10" t="str">
        <f ca="1">IFERROR(__xludf.DUMMYFUNCTION("""COMPUTED_VALUE"""),"Рачев, Г., Кр. Динков")</f>
        <v>Рачев, Г., Кр. Динков</v>
      </c>
      <c r="H1854" s="10"/>
      <c r="I1854" s="10"/>
      <c r="J1854" s="10"/>
      <c r="K1854" s="10"/>
      <c r="L1854" s="10"/>
      <c r="M1854" s="10"/>
      <c r="N1854" s="10"/>
      <c r="O1854" s="10"/>
      <c r="P1854" s="10"/>
      <c r="Q1854" s="10"/>
      <c r="R1854" s="10"/>
      <c r="S1854" s="10"/>
      <c r="T1854" s="10"/>
      <c r="U1854" s="10"/>
      <c r="V1854" s="10"/>
      <c r="W1854" s="10"/>
      <c r="X1854" s="10"/>
      <c r="Y1854" s="10"/>
      <c r="Z1854" s="10"/>
    </row>
    <row r="1855" spans="1:26" ht="12.75">
      <c r="A1855" s="10" t="str">
        <f ca="1">IFERROR(__xludf.DUMMYFUNCTION("""COMPUTED_VALUE"""),"Георги Дончев Рачев")</f>
        <v>Георги Дончев Рачев</v>
      </c>
      <c r="B1855" s="10" t="str">
        <f ca="1">IFERROR(__xludf.DUMMYFUNCTION("""COMPUTED_VALUE"""),"Статия в списания и поредици")</f>
        <v>Статия в списания и поредици</v>
      </c>
      <c r="C1855" s="10" t="str">
        <f ca="1">IFERROR(__xludf.DUMMYFUNCTION("""COMPUTED_VALUE"""),"Възможност за приложение на някои особености на речния отток за цели на горското стопанство.")</f>
        <v>Възможност за приложение на някои особености на речния отток за цели на горското стопанство.</v>
      </c>
      <c r="D1855" s="10">
        <f ca="1">IFERROR(__xludf.DUMMYFUNCTION("""COMPUTED_VALUE"""),2000)</f>
        <v>2000</v>
      </c>
      <c r="E1855" s="10" t="str">
        <f ca="1">IFERROR(__xludf.DUMMYFUNCTION("""COMPUTED_VALUE"""),"Стоянова, Н., Д. Златунова, Г. Рачев, Възможност за приложение на някои особености на речния отток за цели на горското стопанство., Сборник доклади , ""75 години висше лесотехническо образование в България"". София, 2000")</f>
        <v>Стоянова, Н., Д. Златунова, Г. Рачев, Възможност за приложение на някои особености на речния отток за цели на горското стопанство., Сборник доклади , "75 години висше лесотехническо образование в България". София, 2000</v>
      </c>
      <c r="F1855" s="10"/>
      <c r="G1855" s="10" t="str">
        <f ca="1">IFERROR(__xludf.DUMMYFUNCTION("""COMPUTED_VALUE"""),"Стоянова, Н., Д. Златунова, Г. Рачев")</f>
        <v>Стоянова, Н., Д. Златунова, Г. Рачев</v>
      </c>
      <c r="H1855" s="10"/>
      <c r="I1855" s="10"/>
      <c r="J1855" s="10"/>
      <c r="K1855" s="10"/>
      <c r="L1855" s="10"/>
      <c r="M1855" s="10"/>
      <c r="N1855" s="10"/>
      <c r="O1855" s="10"/>
      <c r="P1855" s="10"/>
      <c r="Q1855" s="10"/>
      <c r="R1855" s="10"/>
      <c r="S1855" s="10"/>
      <c r="T1855" s="10"/>
      <c r="U1855" s="10"/>
      <c r="V1855" s="10"/>
      <c r="W1855" s="10"/>
      <c r="X1855" s="10"/>
      <c r="Y1855" s="10"/>
      <c r="Z1855" s="10"/>
    </row>
    <row r="1856" spans="1:26" ht="12.75">
      <c r="A1856" s="10" t="str">
        <f ca="1">IFERROR(__xludf.DUMMYFUNCTION("""COMPUTED_VALUE"""),"Георги Дончев Рачев")</f>
        <v>Георги Дончев Рачев</v>
      </c>
      <c r="B1856" s="10" t="str">
        <f ca="1">IFERROR(__xludf.DUMMYFUNCTION("""COMPUTED_VALUE"""),"Статия в списания и поредици")</f>
        <v>Статия в списания и поредици</v>
      </c>
      <c r="C1856" s="10" t="str">
        <f ca="1">IFERROR(__xludf.DUMMYFUNCTION("""COMPUTED_VALUE"""),"Екологични аспекти на горските екосистеми от средна Стара Планина, във връзка с речния воден отток.")</f>
        <v>Екологични аспекти на горските екосистеми от средна Стара Планина, във връзка с речния воден отток.</v>
      </c>
      <c r="D1856" s="10">
        <f ca="1">IFERROR(__xludf.DUMMYFUNCTION("""COMPUTED_VALUE"""),1998)</f>
        <v>1998</v>
      </c>
      <c r="E1856" s="10" t="str">
        <f ca="1">IFERROR(__xludf.DUMMYFUNCTION("""COMPUTED_VALUE"""),"Стоянова, Н., Ал. Денков, Д.Лазарова, Д. Златунова, Г. Рачев, Б. Димитров, Екологични аспекти на горските екосистеми от средна Стара Планина, във връзка с речния воден отток., Институт на гората БАН., том:Сборник научни доклади- Юбилейна научна конференци"&amp;"я с международно участие ""70 години институт за гората""., 1998")</f>
        <v>Стоянова, Н., Ал. Денков, Д.Лазарова, Д. Златунова, Г. Рачев, Б. Димитров, Екологични аспекти на горските екосистеми от средна Стара Планина, във връзка с речния воден отток., Институт на гората БАН., том:Сборник научни доклади- Юбилейна научна конференция с международно участие "70 години институт за гората"., 1998</v>
      </c>
      <c r="F1856" s="10"/>
      <c r="G1856" s="10" t="str">
        <f ca="1">IFERROR(__xludf.DUMMYFUNCTION("""COMPUTED_VALUE"""),"Стоянова, Н., Ал. Денков, Д.Лазарова, Д. Златунова, Г. Рачев, Б. Димитров")</f>
        <v>Стоянова, Н., Ал. Денков, Д.Лазарова, Д. Златунова, Г. Рачев, Б. Димитров</v>
      </c>
      <c r="H1856" s="10"/>
      <c r="I1856" s="10"/>
      <c r="J1856" s="10"/>
      <c r="K1856" s="10"/>
      <c r="L1856" s="10"/>
      <c r="M1856" s="10"/>
      <c r="N1856" s="10"/>
      <c r="O1856" s="10"/>
      <c r="P1856" s="10"/>
      <c r="Q1856" s="10"/>
      <c r="R1856" s="10"/>
      <c r="S1856" s="10"/>
      <c r="T1856" s="10"/>
      <c r="U1856" s="10"/>
      <c r="V1856" s="10"/>
      <c r="W1856" s="10"/>
      <c r="X1856" s="10"/>
      <c r="Y1856" s="10"/>
      <c r="Z1856" s="10"/>
    </row>
    <row r="1857" spans="1:26" ht="12.75">
      <c r="A1857" s="10" t="str">
        <f ca="1">IFERROR(__xludf.DUMMYFUNCTION("""COMPUTED_VALUE"""),"Георги Дончев Рачев")</f>
        <v>Георги Дончев Рачев</v>
      </c>
      <c r="B1857" s="10" t="str">
        <f ca="1">IFERROR(__xludf.DUMMYFUNCTION("""COMPUTED_VALUE"""),"Статия в списания и поредици")</f>
        <v>Статия в списания и поредици</v>
      </c>
      <c r="C1857" s="10" t="str">
        <f ca="1">IFERROR(__xludf.DUMMYFUNCTION("""COMPUTED_VALUE"""),"Фактори определящи икономическия просперитет на туристическите проекти.")</f>
        <v>Фактори определящи икономическия просперитет на туристическите проекти.</v>
      </c>
      <c r="D1857" s="10">
        <f ca="1">IFERROR(__xludf.DUMMYFUNCTION("""COMPUTED_VALUE"""),1998)</f>
        <v>1998</v>
      </c>
      <c r="E1857" s="10" t="str">
        <f ca="1">IFERROR(__xludf.DUMMYFUNCTION("""COMPUTED_VALUE"""),"Крумова, Я., Г. Рачев, Фактори определящи икономическия просперитет на туристическите проекти., Университетско издателство ""Св. Климент Охридски, том:Сборник доклади 100- години география в СУ ""Св. Климент Охридски, 1998")</f>
        <v>Крумова, Я., Г. Рачев, Фактори определящи икономическия просперитет на туристическите проекти., Университетско издателство "Св. Климент Охридски, том:Сборник доклади 100- години география в СУ "Св. Климент Охридски, 1998</v>
      </c>
      <c r="F1857" s="10"/>
      <c r="G1857" s="10" t="str">
        <f ca="1">IFERROR(__xludf.DUMMYFUNCTION("""COMPUTED_VALUE"""),"Крумова, Я., Г. Рачев")</f>
        <v>Крумова, Я., Г. Рачев</v>
      </c>
      <c r="H1857" s="10"/>
      <c r="I1857" s="10"/>
      <c r="J1857" s="10"/>
      <c r="K1857" s="10"/>
      <c r="L1857" s="10"/>
      <c r="M1857" s="10"/>
      <c r="N1857" s="10"/>
      <c r="O1857" s="10"/>
      <c r="P1857" s="10"/>
      <c r="Q1857" s="10"/>
      <c r="R1857" s="10"/>
      <c r="S1857" s="10"/>
      <c r="T1857" s="10"/>
      <c r="U1857" s="10"/>
      <c r="V1857" s="10"/>
      <c r="W1857" s="10"/>
      <c r="X1857" s="10"/>
      <c r="Y1857" s="10"/>
      <c r="Z1857" s="10"/>
    </row>
    <row r="1858" spans="1:26" ht="12.75">
      <c r="A1858" s="10" t="str">
        <f ca="1">IFERROR(__xludf.DUMMYFUNCTION("""COMPUTED_VALUE"""),"Георги Дончев Рачев")</f>
        <v>Георги Дончев Рачев</v>
      </c>
      <c r="B1858" s="10" t="str">
        <f ca="1">IFERROR(__xludf.DUMMYFUNCTION("""COMPUTED_VALUE"""),"Статия в списания и поредици")</f>
        <v>Статия в списания и поредици</v>
      </c>
      <c r="C1858" s="10" t="str">
        <f ca="1">IFERROR(__xludf.DUMMYFUNCTION("""COMPUTED_VALUE"""),"Мерните единици в географията.")</f>
        <v>Мерните единици в географията.</v>
      </c>
      <c r="D1858" s="10">
        <f ca="1">IFERROR(__xludf.DUMMYFUNCTION("""COMPUTED_VALUE"""),1998)</f>
        <v>1998</v>
      </c>
      <c r="E1858" s="10" t="str">
        <f ca="1">IFERROR(__xludf.DUMMYFUNCTION("""COMPUTED_VALUE"""),"Рачев, Г., Мерните единици в географията., Год.на СУ ""Климент Охридски"", Геолого-географски факултет, том:89, брой:кн. 2 - География, 1998, Ref")</f>
        <v>Рачев, Г., Мерните единици в географията., Год.на СУ "Климент Охридски", Геолого-географски факултет, том:89, брой:кн. 2 - География, 1998, Ref</v>
      </c>
      <c r="F1858" s="10" t="str">
        <f ca="1">IFERROR(__xludf.DUMMYFUNCTION("""COMPUTED_VALUE"""),"Zentralblatt, MathSciNet, DBLP, ERIC, ACM Digital Library, IEEE Xplore, AIS eLibrary")</f>
        <v>Zentralblatt, MathSciNet, DBLP, ERIC, ACM Digital Library, IEEE Xplore, AIS eLibrary</v>
      </c>
      <c r="G1858" s="10" t="str">
        <f ca="1">IFERROR(__xludf.DUMMYFUNCTION("""COMPUTED_VALUE"""),"Рачев, Г.")</f>
        <v>Рачев, Г.</v>
      </c>
      <c r="H1858" s="10"/>
      <c r="I1858" s="10"/>
      <c r="J1858" s="10"/>
      <c r="K1858" s="10"/>
      <c r="L1858" s="10"/>
      <c r="M1858" s="10"/>
      <c r="N1858" s="10"/>
      <c r="O1858" s="10"/>
      <c r="P1858" s="10"/>
      <c r="Q1858" s="10"/>
      <c r="R1858" s="10"/>
      <c r="S1858" s="10"/>
      <c r="T1858" s="10"/>
      <c r="U1858" s="10"/>
      <c r="V1858" s="10"/>
      <c r="W1858" s="10"/>
      <c r="X1858" s="10"/>
      <c r="Y1858" s="10"/>
      <c r="Z1858" s="10"/>
    </row>
    <row r="1859" spans="1:26" ht="12.75">
      <c r="A1859" s="10" t="str">
        <f ca="1">IFERROR(__xludf.DUMMYFUNCTION("""COMPUTED_VALUE"""),"Георги Дончев Рачев")</f>
        <v>Георги Дончев Рачев</v>
      </c>
      <c r="B1859" s="10" t="str">
        <f ca="1">IFERROR(__xludf.DUMMYFUNCTION("""COMPUTED_VALUE"""),"Статия в списания и поредици")</f>
        <v>Статия в списания и поредици</v>
      </c>
      <c r="C1859" s="10" t="str">
        <f ca="1">IFERROR(__xludf.DUMMYFUNCTION("""COMPUTED_VALUE"""),"Общ климатичен характер на близката зона на АЕЦ ""Козлодуй"" и на проектната АЕЦ край Белене.")</f>
        <v>Общ климатичен характер на близката зона на АЕЦ "Козлодуй" и на проектната АЕЦ край Белене.</v>
      </c>
      <c r="D1859" s="10">
        <f ca="1">IFERROR(__xludf.DUMMYFUNCTION("""COMPUTED_VALUE"""),1998)</f>
        <v>1998</v>
      </c>
      <c r="E1859" s="10" t="str">
        <f ca="1">IFERROR(__xludf.DUMMYFUNCTION("""COMPUTED_VALUE"""),"Василев. Ив., Г. Рачев, Общ климатичен характер на близката зона на АЕЦ ""Козлодуй"" и на проектната АЕЦ край Белене., Год.на СУ ""Климент Охридски"", Геолого-географски факултет, том:89, брой:кн. 2 - География, 1998, Ref")</f>
        <v>Василев. Ив., Г. Рачев, Общ климатичен характер на близката зона на АЕЦ "Козлодуй" и на проектната АЕЦ край Белене., Год.на СУ "Климент Охридски", Геолого-географски факултет, том:89, брой:кн. 2 - География, 1998, Ref</v>
      </c>
      <c r="F1859" s="10" t="str">
        <f ca="1">IFERROR(__xludf.DUMMYFUNCTION("""COMPUTED_VALUE"""),"Zentralblatt, MathSciNet, DBLP, ERIC, ACM Digital Library, IEEE Xplore, AIS eLibrary")</f>
        <v>Zentralblatt, MathSciNet, DBLP, ERIC, ACM Digital Library, IEEE Xplore, AIS eLibrary</v>
      </c>
      <c r="G1859" s="10" t="str">
        <f ca="1">IFERROR(__xludf.DUMMYFUNCTION("""COMPUTED_VALUE"""),"Василев. Ив., Г. Рачев")</f>
        <v>Василев. Ив., Г. Рачев</v>
      </c>
      <c r="H1859" s="10"/>
      <c r="I1859" s="10"/>
      <c r="J1859" s="10"/>
      <c r="K1859" s="10"/>
      <c r="L1859" s="10"/>
      <c r="M1859" s="10"/>
      <c r="N1859" s="10"/>
      <c r="O1859" s="10"/>
      <c r="P1859" s="10"/>
      <c r="Q1859" s="10"/>
      <c r="R1859" s="10"/>
      <c r="S1859" s="10"/>
      <c r="T1859" s="10"/>
      <c r="U1859" s="10"/>
      <c r="V1859" s="10"/>
      <c r="W1859" s="10"/>
      <c r="X1859" s="10"/>
      <c r="Y1859" s="10"/>
      <c r="Z1859" s="10"/>
    </row>
    <row r="1860" spans="1:26" ht="12.75">
      <c r="A1860" s="10" t="str">
        <f ca="1">IFERROR(__xludf.DUMMYFUNCTION("""COMPUTED_VALUE"""),"Георги Дончев Рачев")</f>
        <v>Георги Дончев Рачев</v>
      </c>
      <c r="B1860" s="10" t="str">
        <f ca="1">IFERROR(__xludf.DUMMYFUNCTION("""COMPUTED_VALUE"""),"Статия в списания и поредици")</f>
        <v>Статия в списания и поредици</v>
      </c>
      <c r="C1860" s="10" t="str">
        <f ca="1">IFERROR(__xludf.DUMMYFUNCTION("""COMPUTED_VALUE"""),"Геоекологични аспекти на минната дейност на енергийния комплекс „Марица-Изток”")</f>
        <v>Геоекологични аспекти на минната дейност на енергийния комплекс „Марица-Изток”</v>
      </c>
      <c r="D1860" s="10">
        <f ca="1">IFERROR(__xludf.DUMMYFUNCTION("""COMPUTED_VALUE"""),1997)</f>
        <v>1997</v>
      </c>
      <c r="E1860" s="10" t="str">
        <f ca="1">IFERROR(__xludf.DUMMYFUNCTION("""COMPUTED_VALUE"""),"С. Вълчева, П. В. Петров, Ел Джурова, П. Петров, Л. Алексиева, А. Асенов, Г. Рачев, А. Попов, Геоекологични аспекти на минната дейност на енергийния комплекс „Марица-Изток”, Юбилеен сборник „50 години специалност геология”, 1997, стр.39-42, Ref")</f>
        <v>С. Вълчева, П. В. Петров, Ел Джурова, П. Петров, Л. Алексиева, А. Асенов, Г. Рачев, А. Попов, Геоекологични аспекти на минната дейност на енергийния комплекс „Марица-Изток”, Юбилеен сборник „50 години специалност геология”, 1997, стр.39-42, Ref</v>
      </c>
      <c r="F1860" s="10" t="str">
        <f ca="1">IFERROR(__xludf.DUMMYFUNCTION("""COMPUTED_VALUE"""),"Zentralblatt, MathSciNet, DBLP, ERIC, ACM Digital Library, IEEE Xplore, AIS eLibrary")</f>
        <v>Zentralblatt, MathSciNet, DBLP, ERIC, ACM Digital Library, IEEE Xplore, AIS eLibrary</v>
      </c>
      <c r="G1860" s="10" t="str">
        <f ca="1">IFERROR(__xludf.DUMMYFUNCTION("""COMPUTED_VALUE"""),"С. Вълчева, П. В. Петров, Ел Джурова, П. Петров, Л. Алексиева, А. Асенов, Г. Рачев, А. Попов")</f>
        <v>С. Вълчева, П. В. Петров, Ел Джурова, П. Петров, Л. Алексиева, А. Асенов, Г. Рачев, А. Попов</v>
      </c>
      <c r="H1860" s="10"/>
      <c r="I1860" s="10"/>
      <c r="J1860" s="10"/>
      <c r="K1860" s="10"/>
      <c r="L1860" s="10"/>
      <c r="M1860" s="10"/>
      <c r="N1860" s="10"/>
      <c r="O1860" s="10"/>
      <c r="P1860" s="10"/>
      <c r="Q1860" s="10"/>
      <c r="R1860" s="10"/>
      <c r="S1860" s="10"/>
      <c r="T1860" s="10"/>
      <c r="U1860" s="10"/>
      <c r="V1860" s="10"/>
      <c r="W1860" s="10"/>
      <c r="X1860" s="10"/>
      <c r="Y1860" s="10"/>
      <c r="Z1860" s="10"/>
    </row>
    <row r="1861" spans="1:26" ht="12.75">
      <c r="A1861" s="10" t="str">
        <f ca="1">IFERROR(__xludf.DUMMYFUNCTION("""COMPUTED_VALUE"""),"Георги Дончев Рачев")</f>
        <v>Георги Дончев Рачев</v>
      </c>
      <c r="B1861" s="10" t="str">
        <f ca="1">IFERROR(__xludf.DUMMYFUNCTION("""COMPUTED_VALUE"""),"Статия в списания и поредици")</f>
        <v>Статия в списания и поредици</v>
      </c>
      <c r="C1861" s="10" t="str">
        <f ca="1">IFERROR(__xludf.DUMMYFUNCTION("""COMPUTED_VALUE"""),"Current changes in the precipitations in Bulgaria")</f>
        <v>Current changes in the precipitations in Bulgaria</v>
      </c>
      <c r="D1861" s="10">
        <f ca="1">IFERROR(__xludf.DUMMYFUNCTION("""COMPUTED_VALUE"""),1997)</f>
        <v>1997</v>
      </c>
      <c r="E1861" s="10" t="str">
        <f ca="1">IFERROR(__xludf.DUMMYFUNCTION("""COMPUTED_VALUE"""),"Vekilska.B., G. Ratchev, Current changes in the precipitations in Bulgaria, Annuaire de l universite de Sofia ""St. Kliment Ohridski, том:livre 2 Geographie, брой:90, 1997")</f>
        <v>Vekilska.B., G. Ratchev, Current changes in the precipitations in Bulgaria, Annuaire de l universite de Sofia "St. Kliment Ohridski, том:livre 2 Geographie, брой:90, 1997</v>
      </c>
      <c r="F1861" s="10"/>
      <c r="G1861" s="10" t="str">
        <f ca="1">IFERROR(__xludf.DUMMYFUNCTION("""COMPUTED_VALUE"""),"Vekilska.B., G. Ratchev")</f>
        <v>Vekilska.B., G. Ratchev</v>
      </c>
      <c r="H1861" s="10"/>
      <c r="I1861" s="10"/>
      <c r="J1861" s="10"/>
      <c r="K1861" s="10"/>
      <c r="L1861" s="10"/>
      <c r="M1861" s="10"/>
      <c r="N1861" s="10"/>
      <c r="O1861" s="10"/>
      <c r="P1861" s="10"/>
      <c r="Q1861" s="10"/>
      <c r="R1861" s="10"/>
      <c r="S1861" s="10"/>
      <c r="T1861" s="10"/>
      <c r="U1861" s="10"/>
      <c r="V1861" s="10"/>
      <c r="W1861" s="10"/>
      <c r="X1861" s="10"/>
      <c r="Y1861" s="10"/>
      <c r="Z1861" s="10"/>
    </row>
    <row r="1862" spans="1:26" ht="12.75">
      <c r="A1862" s="10" t="str">
        <f ca="1">IFERROR(__xludf.DUMMYFUNCTION("""COMPUTED_VALUE"""),"Георги Дончев Рачев")</f>
        <v>Георги Дончев Рачев</v>
      </c>
      <c r="B1862" s="10" t="str">
        <f ca="1">IFERROR(__xludf.DUMMYFUNCTION("""COMPUTED_VALUE"""),"Статия в списания и поредици")</f>
        <v>Статия в списания и поредици</v>
      </c>
      <c r="C1862" s="10" t="str">
        <f ca="1">IFERROR(__xludf.DUMMYFUNCTION("""COMPUTED_VALUE"""),"Проблеми на метеорологичната мрежа и на набирането на метеорологична информация у нас.")</f>
        <v>Проблеми на метеорологичната мрежа и на набирането на метеорологична информация у нас.</v>
      </c>
      <c r="D1862" s="10">
        <f ca="1">IFERROR(__xludf.DUMMYFUNCTION("""COMPUTED_VALUE"""),1995)</f>
        <v>1995</v>
      </c>
      <c r="E1862" s="10" t="str">
        <f ca="1">IFERROR(__xludf.DUMMYFUNCTION("""COMPUTED_VALUE"""),"Рачев, Г., Проблеми на метеорологичната мрежа и на набирането на метеорологична информация у нас., Научна конференция ""Проблеми на регионалното развитие на България. Несебър., 1995")</f>
        <v>Рачев, Г., Проблеми на метеорологичната мрежа и на набирането на метеорологична информация у нас., Научна конференция "Проблеми на регионалното развитие на България. Несебър., 1995</v>
      </c>
      <c r="F1862" s="10"/>
      <c r="G1862" s="10" t="str">
        <f ca="1">IFERROR(__xludf.DUMMYFUNCTION("""COMPUTED_VALUE"""),"Рачев, Г.")</f>
        <v>Рачев, Г.</v>
      </c>
      <c r="H1862" s="10"/>
      <c r="I1862" s="10"/>
      <c r="J1862" s="10"/>
      <c r="K1862" s="10"/>
      <c r="L1862" s="10"/>
      <c r="M1862" s="10"/>
      <c r="N1862" s="10"/>
      <c r="O1862" s="10"/>
      <c r="P1862" s="10"/>
      <c r="Q1862" s="10"/>
      <c r="R1862" s="10"/>
      <c r="S1862" s="10"/>
      <c r="T1862" s="10"/>
      <c r="U1862" s="10"/>
      <c r="V1862" s="10"/>
      <c r="W1862" s="10"/>
      <c r="X1862" s="10"/>
      <c r="Y1862" s="10"/>
      <c r="Z1862" s="10"/>
    </row>
    <row r="1863" spans="1:26" ht="12.75">
      <c r="A1863" s="10" t="str">
        <f ca="1">IFERROR(__xludf.DUMMYFUNCTION("""COMPUTED_VALUE"""),"Георги Дончев Рачев")</f>
        <v>Георги Дончев Рачев</v>
      </c>
      <c r="B1863" s="10" t="str">
        <f ca="1">IFERROR(__xludf.DUMMYFUNCTION("""COMPUTED_VALUE"""),"Статия в списания и поредици")</f>
        <v>Статия в списания и поредици</v>
      </c>
      <c r="C1863" s="10" t="str">
        <f ca="1">IFERROR(__xludf.DUMMYFUNCTION("""COMPUTED_VALUE"""),"Разпределение на случаите и типизацията на синоптичните обстановки, обусловили обилни снеговалежи в Югозападна България.")</f>
        <v>Разпределение на случаите и типизацията на синоптичните обстановки, обусловили обилни снеговалежи в Югозападна България.</v>
      </c>
      <c r="D1863" s="10">
        <f ca="1">IFERROR(__xludf.DUMMYFUNCTION("""COMPUTED_VALUE"""),1995)</f>
        <v>1995</v>
      </c>
      <c r="E1863" s="10" t="str">
        <f ca="1">IFERROR(__xludf.DUMMYFUNCTION("""COMPUTED_VALUE"""),"Рачев, Г., Разпределение на случаите и типизацията на синоптичните обстановки, обусловили обилни снеговалежи в Югозападна България., Год.на СУ ""Климент Охридски"", Геолого-географски факултет, том:86, брой:кн. 2 - География, 1995, Ref")</f>
        <v>Рачев, Г., Разпределение на случаите и типизацията на синоптичните обстановки, обусловили обилни снеговалежи в Югозападна България., Год.на СУ "Климент Охридски", Геолого-географски факултет, том:86, брой:кн. 2 - География, 1995, Ref</v>
      </c>
      <c r="F1863" s="10" t="str">
        <f ca="1">IFERROR(__xludf.DUMMYFUNCTION("""COMPUTED_VALUE"""),"Zentralblatt, MathSciNet, DBLP, ERIC, ACM Digital Library, IEEE Xplore, AIS eLibrary")</f>
        <v>Zentralblatt, MathSciNet, DBLP, ERIC, ACM Digital Library, IEEE Xplore, AIS eLibrary</v>
      </c>
      <c r="G1863" s="10" t="str">
        <f ca="1">IFERROR(__xludf.DUMMYFUNCTION("""COMPUTED_VALUE"""),"Рачев, Г.")</f>
        <v>Рачев, Г.</v>
      </c>
      <c r="H1863" s="10"/>
      <c r="I1863" s="10"/>
      <c r="J1863" s="10"/>
      <c r="K1863" s="10"/>
      <c r="L1863" s="10"/>
      <c r="M1863" s="10"/>
      <c r="N1863" s="10"/>
      <c r="O1863" s="10"/>
      <c r="P1863" s="10"/>
      <c r="Q1863" s="10"/>
      <c r="R1863" s="10"/>
      <c r="S1863" s="10"/>
      <c r="T1863" s="10"/>
      <c r="U1863" s="10"/>
      <c r="V1863" s="10"/>
      <c r="W1863" s="10"/>
      <c r="X1863" s="10"/>
      <c r="Y1863" s="10"/>
      <c r="Z1863" s="10"/>
    </row>
    <row r="1864" spans="1:26" ht="12.75">
      <c r="A1864" s="10" t="str">
        <f ca="1">IFERROR(__xludf.DUMMYFUNCTION("""COMPUTED_VALUE"""),"Георги Дончев Рачев")</f>
        <v>Георги Дончев Рачев</v>
      </c>
      <c r="B1864" s="10" t="str">
        <f ca="1">IFERROR(__xludf.DUMMYFUNCTION("""COMPUTED_VALUE"""),"Статия в списания и поредици")</f>
        <v>Статия в списания и поредици</v>
      </c>
      <c r="C1864" s="10" t="str">
        <f ca="1">IFERROR(__xludf.DUMMYFUNCTION("""COMPUTED_VALUE"""),"Климат на планетите от Слънчевата система. теоретични проблеми на географското познание.")</f>
        <v>Климат на планетите от Слънчевата система. теоретични проблеми на географското познание.</v>
      </c>
      <c r="D1864" s="10">
        <f ca="1">IFERROR(__xludf.DUMMYFUNCTION("""COMPUTED_VALUE"""),1994)</f>
        <v>1994</v>
      </c>
      <c r="E1864" s="10" t="str">
        <f ca="1">IFERROR(__xludf.DUMMYFUNCTION("""COMPUTED_VALUE"""),"Рачев, Г., Климат на планетите от Слънчевата система. теоретични проблеми на географското познание. , Университетско издателство""Св. Св. Кирил и Методи"" Велико Търново, 1994, Ref")</f>
        <v>Рачев, Г., Климат на планетите от Слънчевата система. теоретични проблеми на географското познание. , Университетско издателство"Св. Св. Кирил и Методи" Велико Търново, 1994, Ref</v>
      </c>
      <c r="F1864" s="10" t="str">
        <f ca="1">IFERROR(__xludf.DUMMYFUNCTION("""COMPUTED_VALUE"""),"Zentralblatt, MathSciNet, DBLP, ERIC, ACM Digital Library, IEEE Xplore, AIS eLibrary")</f>
        <v>Zentralblatt, MathSciNet, DBLP, ERIC, ACM Digital Library, IEEE Xplore, AIS eLibrary</v>
      </c>
      <c r="G1864" s="10" t="str">
        <f ca="1">IFERROR(__xludf.DUMMYFUNCTION("""COMPUTED_VALUE"""),"Рачев, Г.")</f>
        <v>Рачев, Г.</v>
      </c>
      <c r="H1864" s="10"/>
      <c r="I1864" s="10"/>
      <c r="J1864" s="10"/>
      <c r="K1864" s="10"/>
      <c r="L1864" s="10"/>
      <c r="M1864" s="10"/>
      <c r="N1864" s="10"/>
      <c r="O1864" s="10"/>
      <c r="P1864" s="10"/>
      <c r="Q1864" s="10"/>
      <c r="R1864" s="10"/>
      <c r="S1864" s="10"/>
      <c r="T1864" s="10"/>
      <c r="U1864" s="10"/>
      <c r="V1864" s="10"/>
      <c r="W1864" s="10"/>
      <c r="X1864" s="10"/>
      <c r="Y1864" s="10"/>
      <c r="Z1864" s="10"/>
    </row>
    <row r="1865" spans="1:26" ht="12.75">
      <c r="A1865" s="10" t="str">
        <f ca="1">IFERROR(__xludf.DUMMYFUNCTION("""COMPUTED_VALUE"""),"Георги Дончев Рачев")</f>
        <v>Георги Дончев Рачев</v>
      </c>
      <c r="B1865" s="10" t="str">
        <f ca="1">IFERROR(__xludf.DUMMYFUNCTION("""COMPUTED_VALUE"""),"Статия в списания и поредици")</f>
        <v>Статия в списания и поредици</v>
      </c>
      <c r="C1865" s="10" t="str">
        <f ca="1">IFERROR(__xludf.DUMMYFUNCTION("""COMPUTED_VALUE"""),"Географски и икономически предпоставки за развитието на ветроенергетиката в България.")</f>
        <v>Географски и икономически предпоставки за развитието на ветроенергетиката в България.</v>
      </c>
      <c r="D1865" s="10">
        <f ca="1">IFERROR(__xludf.DUMMYFUNCTION("""COMPUTED_VALUE"""),1994)</f>
        <v>1994</v>
      </c>
      <c r="E1865" s="10" t="str">
        <f ca="1">IFERROR(__xludf.DUMMYFUNCTION("""COMPUTED_VALUE"""),"Рачев, Г., Географски и икономически предпоставки за развитието на ветроенергетиката в България., Първа национална конференция по възобновяеми източници на енергия. София., 1994")</f>
        <v>Рачев, Г., Географски и икономически предпоставки за развитието на ветроенергетиката в България., Първа национална конференция по възобновяеми източници на енергия. София., 1994</v>
      </c>
      <c r="F1865" s="10"/>
      <c r="G1865" s="10" t="str">
        <f ca="1">IFERROR(__xludf.DUMMYFUNCTION("""COMPUTED_VALUE"""),"Рачев, Г.")</f>
        <v>Рачев, Г.</v>
      </c>
      <c r="H1865" s="10"/>
      <c r="I1865" s="10"/>
      <c r="J1865" s="10"/>
      <c r="K1865" s="10"/>
      <c r="L1865" s="10"/>
      <c r="M1865" s="10"/>
      <c r="N1865" s="10"/>
      <c r="O1865" s="10"/>
      <c r="P1865" s="10"/>
      <c r="Q1865" s="10"/>
      <c r="R1865" s="10"/>
      <c r="S1865" s="10"/>
      <c r="T1865" s="10"/>
      <c r="U1865" s="10"/>
      <c r="V1865" s="10"/>
      <c r="W1865" s="10"/>
      <c r="X1865" s="10"/>
      <c r="Y1865" s="10"/>
      <c r="Z1865" s="10"/>
    </row>
    <row r="1866" spans="1:26" ht="12.75">
      <c r="A1866" s="10" t="str">
        <f ca="1">IFERROR(__xludf.DUMMYFUNCTION("""COMPUTED_VALUE"""),"Георги Дончев Рачев")</f>
        <v>Георги Дончев Рачев</v>
      </c>
      <c r="B1866" s="10" t="str">
        <f ca="1">IFERROR(__xludf.DUMMYFUNCTION("""COMPUTED_VALUE"""),"Статия в списания и поредици")</f>
        <v>Статия в списания и поредици</v>
      </c>
      <c r="C1866" s="10" t="str">
        <f ca="1">IFERROR(__xludf.DUMMYFUNCTION("""COMPUTED_VALUE"""),"Criteres de l influence climatique mediterranee en Bulgarie.")</f>
        <v>Criteres de l influence climatique mediterranee en Bulgarie.</v>
      </c>
      <c r="D1866" s="10">
        <f ca="1">IFERROR(__xludf.DUMMYFUNCTION("""COMPUTED_VALUE"""),1993)</f>
        <v>1993</v>
      </c>
      <c r="E1866" s="10" t="str">
        <f ca="1">IFERROR(__xludf.DUMMYFUNCTION("""COMPUTED_VALUE"""),"Vekilska.B., D.Topliiski, G. Ratchev, G. Gajdarova, Criteres de l influence climatique mediterranee en Bulgarie., Association Internacionale de Climatologie, том:6st Collogue Internacional de Climatologue, 1993")</f>
        <v>Vekilska.B., D.Topliiski, G. Ratchev, G. Gajdarova, Criteres de l influence climatique mediterranee en Bulgarie., Association Internacionale de Climatologie, том:6st Collogue Internacional de Climatologue, 1993</v>
      </c>
      <c r="F1866" s="10"/>
      <c r="G1866" s="10" t="str">
        <f ca="1">IFERROR(__xludf.DUMMYFUNCTION("""COMPUTED_VALUE"""),"Vekilska.B., D.Topliiski, G. Ratchev, G. Gajdarova")</f>
        <v>Vekilska.B., D.Topliiski, G. Ratchev, G. Gajdarova</v>
      </c>
      <c r="H1866" s="10"/>
      <c r="I1866" s="10"/>
      <c r="J1866" s="10"/>
      <c r="K1866" s="10"/>
      <c r="L1866" s="10"/>
      <c r="M1866" s="10"/>
      <c r="N1866" s="10"/>
      <c r="O1866" s="10"/>
      <c r="P1866" s="10"/>
      <c r="Q1866" s="10"/>
      <c r="R1866" s="10"/>
      <c r="S1866" s="10"/>
      <c r="T1866" s="10"/>
      <c r="U1866" s="10"/>
      <c r="V1866" s="10"/>
      <c r="W1866" s="10"/>
      <c r="X1866" s="10"/>
      <c r="Y1866" s="10"/>
      <c r="Z1866" s="10"/>
    </row>
    <row r="1867" spans="1:26" ht="12.75">
      <c r="A1867" s="10" t="str">
        <f ca="1">IFERROR(__xludf.DUMMYFUNCTION("""COMPUTED_VALUE"""),"Георги Дончев Рачев")</f>
        <v>Георги Дончев Рачев</v>
      </c>
      <c r="B1867" s="10" t="str">
        <f ca="1">IFERROR(__xludf.DUMMYFUNCTION("""COMPUTED_VALUE"""),"Статия в списания и поредици")</f>
        <v>Статия в списания и поредици</v>
      </c>
      <c r="C1867" s="10" t="str">
        <f ca="1">IFERROR(__xludf.DUMMYFUNCTION("""COMPUTED_VALUE"""),"Des chutes de neige abondantes dans la plaine Petrich- Sandanski. Association internationale de Climatologie.")</f>
        <v>Des chutes de neige abondantes dans la plaine Petrich- Sandanski. Association internationale de Climatologie.</v>
      </c>
      <c r="D1867" s="10">
        <f ca="1">IFERROR(__xludf.DUMMYFUNCTION("""COMPUTED_VALUE"""),1993)</f>
        <v>1993</v>
      </c>
      <c r="E1867" s="10" t="str">
        <f ca="1">IFERROR(__xludf.DUMMYFUNCTION("""COMPUTED_VALUE"""),"Ratchev, G., G. Gaidrova, Des chutes de neige abondantes dans la plaine Petrich- Sandanski. Association internationale de Climatologie. , Association Internationale de Climatologie, том:6st Collogue Internale de Climatologie. Thessaloniki., 1993, Ref")</f>
        <v>Ratchev, G., G. Gaidrova, Des chutes de neige abondantes dans la plaine Petrich- Sandanski. Association internationale de Climatologie. , Association Internationale de Climatologie, том:6st Collogue Internale de Climatologie. Thessaloniki., 1993, Ref</v>
      </c>
      <c r="F1867" s="10" t="str">
        <f ca="1">IFERROR(__xludf.DUMMYFUNCTION("""COMPUTED_VALUE"""),"Zentralblatt, MathSciNet, DBLP, ERIC, ACM Digital Library, IEEE Xplore, AIS eLibrary")</f>
        <v>Zentralblatt, MathSciNet, DBLP, ERIC, ACM Digital Library, IEEE Xplore, AIS eLibrary</v>
      </c>
      <c r="G1867" s="10" t="str">
        <f ca="1">IFERROR(__xludf.DUMMYFUNCTION("""COMPUTED_VALUE"""),"Ratchev, G., G. Gaidrova")</f>
        <v>Ratchev, G., G. Gaidrova</v>
      </c>
      <c r="H1867" s="10"/>
      <c r="I1867" s="10"/>
      <c r="J1867" s="10"/>
      <c r="K1867" s="10"/>
      <c r="L1867" s="10"/>
      <c r="M1867" s="10"/>
      <c r="N1867" s="10"/>
      <c r="O1867" s="10"/>
      <c r="P1867" s="10"/>
      <c r="Q1867" s="10"/>
      <c r="R1867" s="10"/>
      <c r="S1867" s="10"/>
      <c r="T1867" s="10"/>
      <c r="U1867" s="10"/>
      <c r="V1867" s="10"/>
      <c r="W1867" s="10"/>
      <c r="X1867" s="10"/>
      <c r="Y1867" s="10"/>
      <c r="Z1867" s="10"/>
    </row>
    <row r="1868" spans="1:26" ht="12.75">
      <c r="A1868" s="10" t="str">
        <f ca="1">IFERROR(__xludf.DUMMYFUNCTION("""COMPUTED_VALUE"""),"Георги Дончев Рачев")</f>
        <v>Георги Дончев Рачев</v>
      </c>
      <c r="B1868" s="10" t="str">
        <f ca="1">IFERROR(__xludf.DUMMYFUNCTION("""COMPUTED_VALUE"""),"Статия в списания и поредици")</f>
        <v>Статия в списания и поредици</v>
      </c>
      <c r="C1868" s="10" t="str">
        <f ca="1">IFERROR(__xludf.DUMMYFUNCTION("""COMPUTED_VALUE"""),"Обилни снеговалежи на територията на град София.")</f>
        <v>Обилни снеговалежи на територията на град София.</v>
      </c>
      <c r="D1868" s="10">
        <f ca="1">IFERROR(__xludf.DUMMYFUNCTION("""COMPUTED_VALUE"""),1992)</f>
        <v>1992</v>
      </c>
      <c r="E1868" s="10" t="str">
        <f ca="1">IFERROR(__xludf.DUMMYFUNCTION("""COMPUTED_VALUE"""),"Рачев, Г., Обилни снеговалежи на територията на град София., Год.на СУ ""Климент Охридски"", Геолого-географски факултет, том:84, брой:кн. 2 - География, 1992, Ref")</f>
        <v>Рачев, Г., Обилни снеговалежи на територията на град София., Год.на СУ "Климент Охридски", Геолого-географски факултет, том:84, брой:кн. 2 - География, 1992, Ref</v>
      </c>
      <c r="F1868" s="10" t="str">
        <f ca="1">IFERROR(__xludf.DUMMYFUNCTION("""COMPUTED_VALUE"""),"Zentralblatt, MathSciNet, DBLP, ERIC, ACM Digital Library, IEEE Xplore, AIS eLibrary")</f>
        <v>Zentralblatt, MathSciNet, DBLP, ERIC, ACM Digital Library, IEEE Xplore, AIS eLibrary</v>
      </c>
      <c r="G1868" s="10" t="str">
        <f ca="1">IFERROR(__xludf.DUMMYFUNCTION("""COMPUTED_VALUE"""),"Рачев, Г.")</f>
        <v>Рачев, Г.</v>
      </c>
      <c r="H1868" s="10"/>
      <c r="I1868" s="10"/>
      <c r="J1868" s="10"/>
      <c r="K1868" s="10"/>
      <c r="L1868" s="10"/>
      <c r="M1868" s="10"/>
      <c r="N1868" s="10"/>
      <c r="O1868" s="10"/>
      <c r="P1868" s="10"/>
      <c r="Q1868" s="10"/>
      <c r="R1868" s="10"/>
      <c r="S1868" s="10"/>
      <c r="T1868" s="10"/>
      <c r="U1868" s="10"/>
      <c r="V1868" s="10"/>
      <c r="W1868" s="10"/>
      <c r="X1868" s="10"/>
      <c r="Y1868" s="10"/>
      <c r="Z1868" s="10"/>
    </row>
    <row r="1869" spans="1:26" ht="12.75">
      <c r="A1869" s="10" t="str">
        <f ca="1">IFERROR(__xludf.DUMMYFUNCTION("""COMPUTED_VALUE"""),"Георги Дончев Рачев")</f>
        <v>Георги Дончев Рачев</v>
      </c>
      <c r="B1869" s="10" t="str">
        <f ca="1">IFERROR(__xludf.DUMMYFUNCTION("""COMPUTED_VALUE"""),"Книга")</f>
        <v>Книга</v>
      </c>
      <c r="C1869" s="10" t="str">
        <f ca="1">IFERROR(__xludf.DUMMYFUNCTION("""COMPUTED_VALUE"""),"Ръководство по климатология.")</f>
        <v>Ръководство по климатология.</v>
      </c>
      <c r="D1869" s="10">
        <f ca="1">IFERROR(__xludf.DUMMYFUNCTION("""COMPUTED_VALUE"""),1992)</f>
        <v>1992</v>
      </c>
      <c r="E1869" s="10" t="str">
        <f ca="1">IFERROR(__xludf.DUMMYFUNCTION("""COMPUTED_VALUE"""),"Векилска, Б., Д. Топлийски, Г. Рачев, Г. Гайдарова, И. Пенков, Ръководство по климатология., Университетско издателство ""Св. Климент Охридски"". София., Рецензирано")</f>
        <v>Векилска, Б., Д. Топлийски, Г. Рачев, Г. Гайдарова, И. Пенков, Ръководство по климатология., Университетско издателство "Св. Климент Охридски". София., Рецензирано</v>
      </c>
      <c r="F1869" s="10"/>
      <c r="G1869" s="10" t="str">
        <f ca="1">IFERROR(__xludf.DUMMYFUNCTION("""COMPUTED_VALUE"""),"Векилска, Б., Д. Топлийски, Г. Рачев, Г. Гайдарова, И. Пенков")</f>
        <v>Векилска, Б., Д. Топлийски, Г. Рачев, Г. Гайдарова, И. Пенков</v>
      </c>
      <c r="H1869" s="10"/>
      <c r="I1869" s="10"/>
      <c r="J1869" s="10"/>
      <c r="K1869" s="10"/>
      <c r="L1869" s="10"/>
      <c r="M1869" s="10"/>
      <c r="N1869" s="10"/>
      <c r="O1869" s="10"/>
      <c r="P1869" s="10"/>
      <c r="Q1869" s="10"/>
      <c r="R1869" s="10"/>
      <c r="S1869" s="10"/>
      <c r="T1869" s="10"/>
      <c r="U1869" s="10"/>
      <c r="V1869" s="10"/>
      <c r="W1869" s="10"/>
      <c r="X1869" s="10"/>
      <c r="Y1869" s="10"/>
      <c r="Z1869" s="10"/>
    </row>
    <row r="1870" spans="1:26" ht="12.75">
      <c r="A1870" s="10" t="str">
        <f ca="1">IFERROR(__xludf.DUMMYFUNCTION("""COMPUTED_VALUE"""),"Георги Дончев Рачев")</f>
        <v>Георги Дончев Рачев</v>
      </c>
      <c r="B1870" s="10" t="str">
        <f ca="1">IFERROR(__xludf.DUMMYFUNCTION("""COMPUTED_VALUE"""),"Статия в списания и поредици")</f>
        <v>Статия в списания и поредици</v>
      </c>
      <c r="C1870" s="10" t="str">
        <f ca="1">IFERROR(__xludf.DUMMYFUNCTION("""COMPUTED_VALUE"""),"Особености в развитието на карста в Северен Виетнам.")</f>
        <v>Особености в развитието на карста в Северен Виетнам.</v>
      </c>
      <c r="D1870" s="10">
        <f ca="1">IFERROR(__xludf.DUMMYFUNCTION("""COMPUTED_VALUE"""),1992)</f>
        <v>1992</v>
      </c>
      <c r="E1870" s="10" t="str">
        <f ca="1">IFERROR(__xludf.DUMMYFUNCTION("""COMPUTED_VALUE"""),"Луканов, А., Г. Рачев, Особености в развитието на карста в Северен Виетнам., Год.на СУ ""Климент Охридски"", Геолого-географски факултет, том:83, брой:кн. 2 - География, 1992, Ref")</f>
        <v>Луканов, А., Г. Рачев, Особености в развитието на карста в Северен Виетнам., Год.на СУ "Климент Охридски", Геолого-географски факултет, том:83, брой:кн. 2 - География, 1992, Ref</v>
      </c>
      <c r="F1870" s="10" t="str">
        <f ca="1">IFERROR(__xludf.DUMMYFUNCTION("""COMPUTED_VALUE"""),"Zentralblatt, MathSciNet, DBLP, ERIC, ACM Digital Library, IEEE Xplore, AIS eLibrary")</f>
        <v>Zentralblatt, MathSciNet, DBLP, ERIC, ACM Digital Library, IEEE Xplore, AIS eLibrary</v>
      </c>
      <c r="G1870" s="10" t="str">
        <f ca="1">IFERROR(__xludf.DUMMYFUNCTION("""COMPUTED_VALUE"""),"Луканов, А., Г. Рачев")</f>
        <v>Луканов, А., Г. Рачев</v>
      </c>
      <c r="H1870" s="10"/>
      <c r="I1870" s="10"/>
      <c r="J1870" s="10"/>
      <c r="K1870" s="10"/>
      <c r="L1870" s="10"/>
      <c r="M1870" s="10"/>
      <c r="N1870" s="10"/>
      <c r="O1870" s="10"/>
      <c r="P1870" s="10"/>
      <c r="Q1870" s="10"/>
      <c r="R1870" s="10"/>
      <c r="S1870" s="10"/>
      <c r="T1870" s="10"/>
      <c r="U1870" s="10"/>
      <c r="V1870" s="10"/>
      <c r="W1870" s="10"/>
      <c r="X1870" s="10"/>
      <c r="Y1870" s="10"/>
      <c r="Z1870" s="10"/>
    </row>
    <row r="1871" spans="1:26" ht="12.75">
      <c r="A1871" s="10" t="str">
        <f ca="1">IFERROR(__xludf.DUMMYFUNCTION("""COMPUTED_VALUE"""),"Георги Дончев Рачев")</f>
        <v>Георги Дончев Рачев</v>
      </c>
      <c r="B1871" s="10" t="str">
        <f ca="1">IFERROR(__xludf.DUMMYFUNCTION("""COMPUTED_VALUE"""),"Статия в списания и поредици")</f>
        <v>Статия в списания и поредици</v>
      </c>
      <c r="C1871" s="10" t="str">
        <f ca="1">IFERROR(__xludf.DUMMYFUNCTION("""COMPUTED_VALUE"""),"Особености в режима на атмосферното налягане в извън планинската част на България.")</f>
        <v>Особености в режима на атмосферното налягане в извън планинската част на България.</v>
      </c>
      <c r="D1871" s="10">
        <f ca="1">IFERROR(__xludf.DUMMYFUNCTION("""COMPUTED_VALUE"""),1992)</f>
        <v>1992</v>
      </c>
      <c r="E1871" s="10" t="str">
        <f ca="1">IFERROR(__xludf.DUMMYFUNCTION("""COMPUTED_VALUE"""),"Рачев, Г., Др. Жечев, Особености в режима на атмосферното налягане в извън планинската част на България., Год.на СУ ""Климент Охридски"", Геолого-географски факултет, том:84, брой:кн. 2 - География, 1992, Ref")</f>
        <v>Рачев, Г., Др. Жечев, Особености в режима на атмосферното налягане в извън планинската част на България., Год.на СУ "Климент Охридски", Геолого-географски факултет, том:84, брой:кн. 2 - География, 1992, Ref</v>
      </c>
      <c r="F1871" s="10" t="str">
        <f ca="1">IFERROR(__xludf.DUMMYFUNCTION("""COMPUTED_VALUE"""),"Zentralblatt, MathSciNet, DBLP, ERIC, ACM Digital Library, IEEE Xplore, AIS eLibrary")</f>
        <v>Zentralblatt, MathSciNet, DBLP, ERIC, ACM Digital Library, IEEE Xplore, AIS eLibrary</v>
      </c>
      <c r="G1871" s="10" t="str">
        <f ca="1">IFERROR(__xludf.DUMMYFUNCTION("""COMPUTED_VALUE"""),"Рачев, Г., Др. Жечев")</f>
        <v>Рачев, Г., Др. Жечев</v>
      </c>
      <c r="H1871" s="10"/>
      <c r="I1871" s="10"/>
      <c r="J1871" s="10"/>
      <c r="K1871" s="10"/>
      <c r="L1871" s="10"/>
      <c r="M1871" s="10"/>
      <c r="N1871" s="10"/>
      <c r="O1871" s="10"/>
      <c r="P1871" s="10"/>
      <c r="Q1871" s="10"/>
      <c r="R1871" s="10"/>
      <c r="S1871" s="10"/>
      <c r="T1871" s="10"/>
      <c r="U1871" s="10"/>
      <c r="V1871" s="10"/>
      <c r="W1871" s="10"/>
      <c r="X1871" s="10"/>
      <c r="Y1871" s="10"/>
      <c r="Z1871" s="10"/>
    </row>
    <row r="1872" spans="1:26" ht="12.75">
      <c r="A1872" s="10" t="str">
        <f ca="1">IFERROR(__xludf.DUMMYFUNCTION("""COMPUTED_VALUE"""),"Георги Дончев Рачев")</f>
        <v>Георги Дончев Рачев</v>
      </c>
      <c r="B1872" s="10" t="str">
        <f ca="1">IFERROR(__xludf.DUMMYFUNCTION("""COMPUTED_VALUE"""),"Статия в списания и поредици")</f>
        <v>Статия в списания и поредици</v>
      </c>
      <c r="C1872" s="10" t="str">
        <f ca="1">IFERROR(__xludf.DUMMYFUNCTION("""COMPUTED_VALUE"""),"Regime and teritorial distribution of precipitation in the Dospat and Chepinska dranage basins.")</f>
        <v>Regime and teritorial distribution of precipitation in the Dospat and Chepinska dranage basins.</v>
      </c>
      <c r="D1872" s="10">
        <f ca="1">IFERROR(__xludf.DUMMYFUNCTION("""COMPUTED_VALUE"""),1990)</f>
        <v>1990</v>
      </c>
      <c r="E1872" s="10" t="str">
        <f ca="1">IFERROR(__xludf.DUMMYFUNCTION("""COMPUTED_VALUE"""),"Ratchev, G., Regime and teritorial distribution of precipitation in the Dospat and Chepinska dranage basins., Geographika Rhodopica, volume 2, Bulgarian-Greek Sympozium. Thessaloniki 1990., издателство:Aristotel University press. Thessaloniki, 1990, Ref")</f>
        <v>Ratchev, G., Regime and teritorial distribution of precipitation in the Dospat and Chepinska dranage basins., Geographika Rhodopica, volume 2, Bulgarian-Greek Sympozium. Thessaloniki 1990., издателство:Aristotel University press. Thessaloniki, 1990, Ref</v>
      </c>
      <c r="F1872" s="10" t="str">
        <f ca="1">IFERROR(__xludf.DUMMYFUNCTION("""COMPUTED_VALUE"""),"Zentralblatt, MathSciNet, DBLP, ERIC, ACM Digital Library, IEEE Xplore, AIS eLibrary")</f>
        <v>Zentralblatt, MathSciNet, DBLP, ERIC, ACM Digital Library, IEEE Xplore, AIS eLibrary</v>
      </c>
      <c r="G1872" s="10" t="str">
        <f ca="1">IFERROR(__xludf.DUMMYFUNCTION("""COMPUTED_VALUE"""),"Ratchev, G.")</f>
        <v>Ratchev, G.</v>
      </c>
      <c r="H1872" s="10"/>
      <c r="I1872" s="10"/>
      <c r="J1872" s="10"/>
      <c r="K1872" s="10"/>
      <c r="L1872" s="10"/>
      <c r="M1872" s="10"/>
      <c r="N1872" s="10"/>
      <c r="O1872" s="10"/>
      <c r="P1872" s="10"/>
      <c r="Q1872" s="10"/>
      <c r="R1872" s="10"/>
      <c r="S1872" s="10"/>
      <c r="T1872" s="10"/>
      <c r="U1872" s="10"/>
      <c r="V1872" s="10"/>
      <c r="W1872" s="10"/>
      <c r="X1872" s="10"/>
      <c r="Y1872" s="10"/>
      <c r="Z1872" s="10"/>
    </row>
    <row r="1873" spans="1:26" ht="12.75">
      <c r="A1873" s="10" t="str">
        <f ca="1">IFERROR(__xludf.DUMMYFUNCTION("""COMPUTED_VALUE"""),"Георги Дончев Рачев")</f>
        <v>Георги Дончев Рачев</v>
      </c>
      <c r="B1873" s="10" t="str">
        <f ca="1">IFERROR(__xludf.DUMMYFUNCTION("""COMPUTED_VALUE"""),"Статия в списания и поредици")</f>
        <v>Статия в списания и поредици</v>
      </c>
      <c r="C1873" s="10" t="str">
        <f ca="1">IFERROR(__xludf.DUMMYFUNCTION("""COMPUTED_VALUE"""),"Оценка на ветроенергийните ресурси в района на град Варна")</f>
        <v>Оценка на ветроенергийните ресурси в района на град Варна</v>
      </c>
      <c r="D1873" s="10">
        <f ca="1">IFERROR(__xludf.DUMMYFUNCTION("""COMPUTED_VALUE"""),1990)</f>
        <v>1990</v>
      </c>
      <c r="E1873" s="10" t="str">
        <f ca="1">IFERROR(__xludf.DUMMYFUNCTION("""COMPUTED_VALUE"""),"Рачев, Г., Оценка на ветроенергийните ресурси в района на град Варна, Год.на СУ ""Климент Охридски"", Геолого-географски факултет, том:78, брой:кн. 2 - География, 1990, Ref")</f>
        <v>Рачев, Г., Оценка на ветроенергийните ресурси в района на град Варна, Год.на СУ "Климент Охридски", Геолого-географски факултет, том:78, брой:кн. 2 - География, 1990, Ref</v>
      </c>
      <c r="F1873" s="10" t="str">
        <f ca="1">IFERROR(__xludf.DUMMYFUNCTION("""COMPUTED_VALUE"""),"Zentralblatt, MathSciNet, DBLP, ERIC, ACM Digital Library, IEEE Xplore, AIS eLibrary")</f>
        <v>Zentralblatt, MathSciNet, DBLP, ERIC, ACM Digital Library, IEEE Xplore, AIS eLibrary</v>
      </c>
      <c r="G1873" s="10" t="str">
        <f ca="1">IFERROR(__xludf.DUMMYFUNCTION("""COMPUTED_VALUE"""),"Рачев, Г.")</f>
        <v>Рачев, Г.</v>
      </c>
      <c r="H1873" s="10"/>
      <c r="I1873" s="10"/>
      <c r="J1873" s="10"/>
      <c r="K1873" s="10"/>
      <c r="L1873" s="10"/>
      <c r="M1873" s="10"/>
      <c r="N1873" s="10"/>
      <c r="O1873" s="10"/>
      <c r="P1873" s="10"/>
      <c r="Q1873" s="10"/>
      <c r="R1873" s="10"/>
      <c r="S1873" s="10"/>
      <c r="T1873" s="10"/>
      <c r="U1873" s="10"/>
      <c r="V1873" s="10"/>
      <c r="W1873" s="10"/>
      <c r="X1873" s="10"/>
      <c r="Y1873" s="10"/>
      <c r="Z1873" s="10"/>
    </row>
    <row r="1874" spans="1:26" ht="12.75">
      <c r="A1874" s="10" t="str">
        <f ca="1">IFERROR(__xludf.DUMMYFUNCTION("""COMPUTED_VALUE"""),"Георги Дончев Рачев")</f>
        <v>Георги Дончев Рачев</v>
      </c>
      <c r="B1874" s="10" t="str">
        <f ca="1">IFERROR(__xludf.DUMMYFUNCTION("""COMPUTED_VALUE"""),"Статия в списания и поредици")</f>
        <v>Статия в списания и поредици</v>
      </c>
      <c r="C1874" s="10" t="str">
        <f ca="1">IFERROR(__xludf.DUMMYFUNCTION("""COMPUTED_VALUE"""),"Климатични условия на територията на бившия Сливенски окръг и стопанското им значение.")</f>
        <v>Климатични условия на територията на бившия Сливенски окръг и стопанското им значение.</v>
      </c>
      <c r="D1874" s="10">
        <f ca="1">IFERROR(__xludf.DUMMYFUNCTION("""COMPUTED_VALUE"""),1990)</f>
        <v>1990</v>
      </c>
      <c r="E1874" s="10" t="str">
        <f ca="1">IFERROR(__xludf.DUMMYFUNCTION("""COMPUTED_VALUE"""),"Векилска, Б., Г. Рачев, Б.Байков, Климатични условия на територията на бившия Сливенски окръг и стопанското им значение., Год.на СУ ""Климент Охридски"", Геолого-географски факултет, том:79, брой:кн. 2 - География, 1990, Ref")</f>
        <v>Векилска, Б., Г. Рачев, Б.Байков, Климатични условия на територията на бившия Сливенски окръг и стопанското им значение., Год.на СУ "Климент Охридски", Геолого-географски факултет, том:79, брой:кн. 2 - География, 1990, Ref</v>
      </c>
      <c r="F1874" s="10" t="str">
        <f ca="1">IFERROR(__xludf.DUMMYFUNCTION("""COMPUTED_VALUE"""),"Zentralblatt, MathSciNet, DBLP, ERIC, ACM Digital Library, IEEE Xplore, AIS eLibrary")</f>
        <v>Zentralblatt, MathSciNet, DBLP, ERIC, ACM Digital Library, IEEE Xplore, AIS eLibrary</v>
      </c>
      <c r="G1874" s="10" t="str">
        <f ca="1">IFERROR(__xludf.DUMMYFUNCTION("""COMPUTED_VALUE"""),"Векилска, Б., Г. Рачев, Б.Байков")</f>
        <v>Векилска, Б., Г. Рачев, Б.Байков</v>
      </c>
      <c r="H1874" s="10"/>
      <c r="I1874" s="10"/>
      <c r="J1874" s="10"/>
      <c r="K1874" s="10"/>
      <c r="L1874" s="10"/>
      <c r="M1874" s="10"/>
      <c r="N1874" s="10"/>
      <c r="O1874" s="10"/>
      <c r="P1874" s="10"/>
      <c r="Q1874" s="10"/>
      <c r="R1874" s="10"/>
      <c r="S1874" s="10"/>
      <c r="T1874" s="10"/>
      <c r="U1874" s="10"/>
      <c r="V1874" s="10"/>
      <c r="W1874" s="10"/>
      <c r="X1874" s="10"/>
      <c r="Y1874" s="10"/>
      <c r="Z1874" s="10"/>
    </row>
    <row r="1875" spans="1:26" ht="12.75">
      <c r="A1875" s="10" t="str">
        <f ca="1">IFERROR(__xludf.DUMMYFUNCTION("""COMPUTED_VALUE"""),"Георги Дончев Рачев")</f>
        <v>Георги Дончев Рачев</v>
      </c>
      <c r="B1875" s="10" t="str">
        <f ca="1">IFERROR(__xludf.DUMMYFUNCTION("""COMPUTED_VALUE"""),"Учебник")</f>
        <v>Учебник</v>
      </c>
      <c r="C1875" s="10" t="str">
        <f ca="1">IFERROR(__xludf.DUMMYFUNCTION("""COMPUTED_VALUE"""),"222 въпроса за климата")</f>
        <v>222 въпроса за климата</v>
      </c>
      <c r="D1875" s="10">
        <f ca="1">IFERROR(__xludf.DUMMYFUNCTION("""COMPUTED_VALUE"""),1990)</f>
        <v>1990</v>
      </c>
      <c r="E1875" s="10" t="str">
        <f ca="1">IFERROR(__xludf.DUMMYFUNCTION("""COMPUTED_VALUE"""),"Рачев, Г., 222 въпроса за климата, Университетско издателство “Св. Климент Охридски”, София, Рецензирано")</f>
        <v>Рачев, Г., 222 въпроса за климата, Университетско издателство “Св. Климент Охридски”, София, Рецензирано</v>
      </c>
      <c r="F1875" s="10"/>
      <c r="G1875" s="10" t="str">
        <f ca="1">IFERROR(__xludf.DUMMYFUNCTION("""COMPUTED_VALUE"""),"Рачев, Г.")</f>
        <v>Рачев, Г.</v>
      </c>
      <c r="H1875" s="10"/>
      <c r="I1875" s="10"/>
      <c r="J1875" s="10"/>
      <c r="K1875" s="10"/>
      <c r="L1875" s="10"/>
      <c r="M1875" s="10"/>
      <c r="N1875" s="10"/>
      <c r="O1875" s="10"/>
      <c r="P1875" s="10"/>
      <c r="Q1875" s="10"/>
      <c r="R1875" s="10"/>
      <c r="S1875" s="10"/>
      <c r="T1875" s="10"/>
      <c r="U1875" s="10"/>
      <c r="V1875" s="10"/>
      <c r="W1875" s="10"/>
      <c r="X1875" s="10"/>
      <c r="Y1875" s="10"/>
      <c r="Z1875" s="10"/>
    </row>
    <row r="1876" spans="1:26" ht="12.75">
      <c r="A1876" s="10" t="str">
        <f ca="1">IFERROR(__xludf.DUMMYFUNCTION("""COMPUTED_VALUE"""),"Георги Дончев Рачев")</f>
        <v>Георги Дончев Рачев</v>
      </c>
      <c r="B1876" s="10" t="str">
        <f ca="1">IFERROR(__xludf.DUMMYFUNCTION("""COMPUTED_VALUE"""),"Статия в списания и поредици")</f>
        <v>Статия в списания и поредици</v>
      </c>
      <c r="C1876" s="10" t="str">
        <f ca="1">IFERROR(__xludf.DUMMYFUNCTION("""COMPUTED_VALUE"""),"Precipitation regim and spatial distribution within the Varbitza and Krumovitza drainage basins.")</f>
        <v>Precipitation regim and spatial distribution within the Varbitza and Krumovitza drainage basins.</v>
      </c>
      <c r="D1876" s="10">
        <f ca="1">IFERROR(__xludf.DUMMYFUNCTION("""COMPUTED_VALUE"""),1989)</f>
        <v>1989</v>
      </c>
      <c r="E1876" s="10" t="str">
        <f ca="1">IFERROR(__xludf.DUMMYFUNCTION("""COMPUTED_VALUE"""),"Ratchev, G., Precipitation regim and spatial distribution within the Varbitza and Krumovitza drainage basins., Geographika Rhodopica, volume 1, 1st Bulgarian-Greek Sympozium. Smolyan 1987., издателство:Kliment Ohridski University press, Sofia., 1989, Ref")</f>
        <v>Ratchev, G., Precipitation regim and spatial distribution within the Varbitza and Krumovitza drainage basins., Geographika Rhodopica, volume 1, 1st Bulgarian-Greek Sympozium. Smolyan 1987., издателство:Kliment Ohridski University press, Sofia., 1989, Ref</v>
      </c>
      <c r="F1876" s="10" t="str">
        <f ca="1">IFERROR(__xludf.DUMMYFUNCTION("""COMPUTED_VALUE"""),"Zentralblatt, MathSciNet, DBLP, ERIC, ACM Digital Library, IEEE Xplore, AIS eLibrary")</f>
        <v>Zentralblatt, MathSciNet, DBLP, ERIC, ACM Digital Library, IEEE Xplore, AIS eLibrary</v>
      </c>
      <c r="G1876" s="10" t="str">
        <f ca="1">IFERROR(__xludf.DUMMYFUNCTION("""COMPUTED_VALUE"""),"Ratchev, G.")</f>
        <v>Ratchev, G.</v>
      </c>
      <c r="H1876" s="10"/>
      <c r="I1876" s="10"/>
      <c r="J1876" s="10"/>
      <c r="K1876" s="10"/>
      <c r="L1876" s="10"/>
      <c r="M1876" s="10"/>
      <c r="N1876" s="10"/>
      <c r="O1876" s="10"/>
      <c r="P1876" s="10"/>
      <c r="Q1876" s="10"/>
      <c r="R1876" s="10"/>
      <c r="S1876" s="10"/>
      <c r="T1876" s="10"/>
      <c r="U1876" s="10"/>
      <c r="V1876" s="10"/>
      <c r="W1876" s="10"/>
      <c r="X1876" s="10"/>
      <c r="Y1876" s="10"/>
      <c r="Z1876" s="10"/>
    </row>
    <row r="1877" spans="1:26" ht="12.75">
      <c r="A1877" s="10" t="str">
        <f ca="1">IFERROR(__xludf.DUMMYFUNCTION("""COMPUTED_VALUE"""),"Георги Дончев Рачев")</f>
        <v>Георги Дончев Рачев</v>
      </c>
      <c r="B1877" s="10" t="str">
        <f ca="1">IFERROR(__xludf.DUMMYFUNCTION("""COMPUTED_VALUE"""),"Статия в списания и поредици")</f>
        <v>Статия в списания и поредици</v>
      </c>
      <c r="C1877" s="10" t="str">
        <f ca="1">IFERROR(__xludf.DUMMYFUNCTION("""COMPUTED_VALUE"""),"Методични проблеми при определянето на ветроенергийните ресурси в България.")</f>
        <v>Методични проблеми при определянето на ветроенергийните ресурси в България.</v>
      </c>
      <c r="D1877" s="10">
        <f ca="1">IFERROR(__xludf.DUMMYFUNCTION("""COMPUTED_VALUE"""),1987)</f>
        <v>1987</v>
      </c>
      <c r="E1877" s="10" t="str">
        <f ca="1">IFERROR(__xludf.DUMMYFUNCTION("""COMPUTED_VALUE"""),"Рачев, Г., Методични проблеми при определянето на ветроенергийните ресурси в България., Първа национална конференция по Климатология, Главно управление по Хидрология и Климатология., 1987")</f>
        <v>Рачев, Г., Методични проблеми при определянето на ветроенергийните ресурси в България., Първа национална конференция по Климатология, Главно управление по Хидрология и Климатология., 1987</v>
      </c>
      <c r="F1877" s="10"/>
      <c r="G1877" s="10" t="str">
        <f ca="1">IFERROR(__xludf.DUMMYFUNCTION("""COMPUTED_VALUE"""),"Рачев, Г.")</f>
        <v>Рачев, Г.</v>
      </c>
      <c r="H1877" s="10"/>
      <c r="I1877" s="10"/>
      <c r="J1877" s="10"/>
      <c r="K1877" s="10"/>
      <c r="L1877" s="10"/>
      <c r="M1877" s="10"/>
      <c r="N1877" s="10"/>
      <c r="O1877" s="10"/>
      <c r="P1877" s="10"/>
      <c r="Q1877" s="10"/>
      <c r="R1877" s="10"/>
      <c r="S1877" s="10"/>
      <c r="T1877" s="10"/>
      <c r="U1877" s="10"/>
      <c r="V1877" s="10"/>
      <c r="W1877" s="10"/>
      <c r="X1877" s="10"/>
      <c r="Y1877" s="10"/>
      <c r="Z1877" s="10"/>
    </row>
    <row r="1878" spans="1:26" ht="12.75">
      <c r="A1878" s="10" t="str">
        <f ca="1">IFERROR(__xludf.DUMMYFUNCTION("""COMPUTED_VALUE"""),"Георги Дончев Рачев")</f>
        <v>Георги Дончев Рачев</v>
      </c>
      <c r="B1878" s="10" t="str">
        <f ca="1">IFERROR(__xludf.DUMMYFUNCTION("""COMPUTED_VALUE"""),"Статия в списания и поредици")</f>
        <v>Статия в списания и поредици</v>
      </c>
      <c r="C1878" s="10" t="str">
        <f ca="1">IFERROR(__xludf.DUMMYFUNCTION("""COMPUTED_VALUE"""),"Характеристика на силните ветрове в страница БАН-Витоша.")</f>
        <v>Характеристика на силните ветрове в страница БАН-Витоша.</v>
      </c>
      <c r="D1878" s="10">
        <f ca="1">IFERROR(__xludf.DUMMYFUNCTION("""COMPUTED_VALUE"""),1984)</f>
        <v>1984</v>
      </c>
      <c r="E1878" s="10" t="str">
        <f ca="1">IFERROR(__xludf.DUMMYFUNCTION("""COMPUTED_VALUE"""),"Рачев, Г., Характеристика на силните ветрове в страница БАН-Витоша., Геолого - географски факултет, том:78, брой:кн. 2 - География, 1984, Ref")</f>
        <v>Рачев, Г., Характеристика на силните ветрове в страница БАН-Витоша., Геолого - географски факултет, том:78, брой:кн. 2 - География, 1984, Ref</v>
      </c>
      <c r="F1878" s="10" t="str">
        <f ca="1">IFERROR(__xludf.DUMMYFUNCTION("""COMPUTED_VALUE"""),"Zentralblatt, MathSciNet, DBLP, ERIC, ACM Digital Library, IEEE Xplore, AIS eLibrary")</f>
        <v>Zentralblatt, MathSciNet, DBLP, ERIC, ACM Digital Library, IEEE Xplore, AIS eLibrary</v>
      </c>
      <c r="G1878" s="10" t="str">
        <f ca="1">IFERROR(__xludf.DUMMYFUNCTION("""COMPUTED_VALUE"""),"Рачев, Г.")</f>
        <v>Рачев, Г.</v>
      </c>
      <c r="H1878" s="10"/>
      <c r="I1878" s="10"/>
      <c r="J1878" s="10"/>
      <c r="K1878" s="10"/>
      <c r="L1878" s="10"/>
      <c r="M1878" s="10"/>
      <c r="N1878" s="10"/>
      <c r="O1878" s="10"/>
      <c r="P1878" s="10"/>
      <c r="Q1878" s="10"/>
      <c r="R1878" s="10"/>
      <c r="S1878" s="10"/>
      <c r="T1878" s="10"/>
      <c r="U1878" s="10"/>
      <c r="V1878" s="10"/>
      <c r="W1878" s="10"/>
      <c r="X1878" s="10"/>
      <c r="Y1878" s="10"/>
      <c r="Z1878" s="10"/>
    </row>
    <row r="1879" spans="1:26" ht="12.75">
      <c r="A1879" s="10" t="str">
        <f ca="1">IFERROR(__xludf.DUMMYFUNCTION("""COMPUTED_VALUE"""),"Георги Дончев Рачев")</f>
        <v>Георги Дончев Рачев</v>
      </c>
      <c r="B1879" s="10" t="str">
        <f ca="1">IFERROR(__xludf.DUMMYFUNCTION("""COMPUTED_VALUE"""),"Статия в списания и поредици")</f>
        <v>Статия в списания и поредици</v>
      </c>
      <c r="C1879" s="10" t="str">
        <f ca="1">IFERROR(__xludf.DUMMYFUNCTION("""COMPUTED_VALUE"""),"Определяне на средната , непрекъснатата и сумарна продължителност на вятъра в зависимост от броя на наблюденията.")</f>
        <v>Определяне на средната , непрекъснатата и сумарна продължителност на вятъра в зависимост от броя на наблюденията.</v>
      </c>
      <c r="D1879" s="10">
        <f ca="1">IFERROR(__xludf.DUMMYFUNCTION("""COMPUTED_VALUE"""),1984)</f>
        <v>1984</v>
      </c>
      <c r="E1879" s="10" t="str">
        <f ca="1">IFERROR(__xludf.DUMMYFUNCTION("""COMPUTED_VALUE"""),"Рачев, Г., Определяне на средната , непрекъснатата и сумарна продължителност на вятъра в зависимост от броя на наблюденията., Проблеми на географията, том:кн.3, 1984, Ref")</f>
        <v>Рачев, Г., Определяне на средната , непрекъснатата и сумарна продължителност на вятъра в зависимост от броя на наблюденията., Проблеми на географията, том:кн.3, 1984, Ref</v>
      </c>
      <c r="F1879" s="10" t="str">
        <f ca="1">IFERROR(__xludf.DUMMYFUNCTION("""COMPUTED_VALUE"""),"Zentralblatt, MathSciNet, DBLP, ERIC, ACM Digital Library, IEEE Xplore, AIS eLibrary")</f>
        <v>Zentralblatt, MathSciNet, DBLP, ERIC, ACM Digital Library, IEEE Xplore, AIS eLibrary</v>
      </c>
      <c r="G1879" s="10" t="str">
        <f ca="1">IFERROR(__xludf.DUMMYFUNCTION("""COMPUTED_VALUE"""),"Рачев, Г.")</f>
        <v>Рачев, Г.</v>
      </c>
      <c r="H1879" s="10"/>
      <c r="I1879" s="10"/>
      <c r="J1879" s="10"/>
      <c r="K1879" s="10"/>
      <c r="L1879" s="10"/>
      <c r="M1879" s="10"/>
      <c r="N1879" s="10"/>
      <c r="O1879" s="10"/>
      <c r="P1879" s="10"/>
      <c r="Q1879" s="10"/>
      <c r="R1879" s="10"/>
      <c r="S1879" s="10"/>
      <c r="T1879" s="10"/>
      <c r="U1879" s="10"/>
      <c r="V1879" s="10"/>
      <c r="W1879" s="10"/>
      <c r="X1879" s="10"/>
      <c r="Y1879" s="10"/>
      <c r="Z1879" s="10"/>
    </row>
    <row r="1880" spans="1:26" ht="12.75">
      <c r="A1880" s="10" t="str">
        <f ca="1">IFERROR(__xludf.DUMMYFUNCTION("""COMPUTED_VALUE"""),"Георги Дончев Рачев")</f>
        <v>Георги Дончев Рачев</v>
      </c>
      <c r="B1880" s="10" t="str">
        <f ca="1">IFERROR(__xludf.DUMMYFUNCTION("""COMPUTED_VALUE"""),"Статия в списания и поредици")</f>
        <v>Статия в списания и поредици</v>
      </c>
      <c r="C1880" s="10" t="str">
        <f ca="1">IFERROR(__xludf.DUMMYFUNCTION("""COMPUTED_VALUE"""),"Синоптични обстановки и влиянието им върху формирането на високи вълни по поречието на реките Янтра и Върбица.")</f>
        <v>Синоптични обстановки и влиянието им върху формирането на високи вълни по поречието на реките Янтра и Върбица.</v>
      </c>
      <c r="D1880" s="10">
        <f ca="1">IFERROR(__xludf.DUMMYFUNCTION("""COMPUTED_VALUE"""),1983)</f>
        <v>1983</v>
      </c>
      <c r="E1880" s="10" t="str">
        <f ca="1">IFERROR(__xludf.DUMMYFUNCTION("""COMPUTED_VALUE"""),"Пенков,И., Г. Рачев, Синоптични обстановки и влиянието им върху формирането на високи вълни по поречието на реките Янтра и Върбица. , Год.на СУ ""Климент Охридски"", Геолого-географски факултет, том:77, брой:кн. 2 - География, 1983, Ref")</f>
        <v>Пенков,И., Г. Рачев, Синоптични обстановки и влиянието им върху формирането на високи вълни по поречието на реките Янтра и Върбица. , Год.на СУ "Климент Охридски", Геолого-географски факултет, том:77, брой:кн. 2 - География, 1983, Ref</v>
      </c>
      <c r="F1880" s="10" t="str">
        <f ca="1">IFERROR(__xludf.DUMMYFUNCTION("""COMPUTED_VALUE"""),"Zentralblatt, MathSciNet, DBLP, ERIC, ACM Digital Library, IEEE Xplore, AIS eLibrary")</f>
        <v>Zentralblatt, MathSciNet, DBLP, ERIC, ACM Digital Library, IEEE Xplore, AIS eLibrary</v>
      </c>
      <c r="G1880" s="10" t="str">
        <f ca="1">IFERROR(__xludf.DUMMYFUNCTION("""COMPUTED_VALUE"""),"Пенков,И., Г. Рачев")</f>
        <v>Пенков,И., Г. Рачев</v>
      </c>
      <c r="H1880" s="10"/>
      <c r="I1880" s="10"/>
      <c r="J1880" s="10"/>
      <c r="K1880" s="10"/>
      <c r="L1880" s="10"/>
      <c r="M1880" s="10"/>
      <c r="N1880" s="10"/>
      <c r="O1880" s="10"/>
      <c r="P1880" s="10"/>
      <c r="Q1880" s="10"/>
      <c r="R1880" s="10"/>
      <c r="S1880" s="10"/>
      <c r="T1880" s="10"/>
      <c r="U1880" s="10"/>
      <c r="V1880" s="10"/>
      <c r="W1880" s="10"/>
      <c r="X1880" s="10"/>
      <c r="Y1880" s="10"/>
      <c r="Z1880" s="10"/>
    </row>
    <row r="1881" spans="1:26" ht="12.75">
      <c r="A1881" s="10" t="str">
        <f ca="1">IFERROR(__xludf.DUMMYFUNCTION("""COMPUTED_VALUE"""),"Георги Дончев Рачев")</f>
        <v>Георги Дончев Рачев</v>
      </c>
      <c r="B1881" s="10" t="str">
        <f ca="1">IFERROR(__xludf.DUMMYFUNCTION("""COMPUTED_VALUE"""),"Статия в списания и поредици")</f>
        <v>Статия в списания и поредици</v>
      </c>
      <c r="C1881" s="10" t="str">
        <f ca="1">IFERROR(__xludf.DUMMYFUNCTION("""COMPUTED_VALUE"""),"Микроклиматични изследвания по Българското Черноморско крайбрежие през лятото на 1980 г.")</f>
        <v>Микроклиматични изследвания по Българското Черноморско крайбрежие през лятото на 1980 г.</v>
      </c>
      <c r="D1881" s="10">
        <f ca="1">IFERROR(__xludf.DUMMYFUNCTION("""COMPUTED_VALUE"""),1981)</f>
        <v>1981</v>
      </c>
      <c r="E1881" s="10" t="str">
        <f ca="1">IFERROR(__xludf.DUMMYFUNCTION("""COMPUTED_VALUE"""),"Тишков, Х., Велев, Ст., Г. Рачев, Микроклиматични изследвания по Българското Черноморско крайбрежие през лятото на 1980 г., Проблеми на географията, том:кн.4, 1981, Ref")</f>
        <v>Тишков, Х., Велев, Ст., Г. Рачев, Микроклиматични изследвания по Българското Черноморско крайбрежие през лятото на 1980 г., Проблеми на географията, том:кн.4, 1981, Ref</v>
      </c>
      <c r="F1881" s="10" t="str">
        <f ca="1">IFERROR(__xludf.DUMMYFUNCTION("""COMPUTED_VALUE"""),"Zentralblatt, MathSciNet, DBLP, ERIC, ACM Digital Library, IEEE Xplore, AIS eLibrary")</f>
        <v>Zentralblatt, MathSciNet, DBLP, ERIC, ACM Digital Library, IEEE Xplore, AIS eLibrary</v>
      </c>
      <c r="G1881" s="10" t="str">
        <f ca="1">IFERROR(__xludf.DUMMYFUNCTION("""COMPUTED_VALUE"""),"Тишков, Х., Велев, Ст., Г. Рачев")</f>
        <v>Тишков, Х., Велев, Ст., Г. Рачев</v>
      </c>
      <c r="H1881" s="10"/>
      <c r="I1881" s="10"/>
      <c r="J1881" s="10"/>
      <c r="K1881" s="10"/>
      <c r="L1881" s="10"/>
      <c r="M1881" s="10"/>
      <c r="N1881" s="10"/>
      <c r="O1881" s="10"/>
      <c r="P1881" s="10"/>
      <c r="Q1881" s="10"/>
      <c r="R1881" s="10"/>
      <c r="S1881" s="10"/>
      <c r="T1881" s="10"/>
      <c r="U1881" s="10"/>
      <c r="V1881" s="10"/>
      <c r="W1881" s="10"/>
      <c r="X1881" s="10"/>
      <c r="Y1881" s="10"/>
      <c r="Z1881" s="10"/>
    </row>
    <row r="1882" spans="1:26" ht="12.75">
      <c r="A1882" s="10" t="str">
        <f ca="1">IFERROR(__xludf.DUMMYFUNCTION("""COMPUTED_VALUE"""),"Георги Петров Димитров")</f>
        <v>Георги Петров Димитров</v>
      </c>
      <c r="B1882" s="10" t="str">
        <f ca="1">IFERROR(__xludf.DUMMYFUNCTION("""COMPUTED_VALUE"""),"Статия в списания и поредици")</f>
        <v>Статия в списания и поредици</v>
      </c>
      <c r="C1882" s="10" t="str">
        <f ca="1">IFERROR(__xludf.DUMMYFUNCTION("""COMPUTED_VALUE"""),"Measuring the effectiveness of a radio-identification system")</f>
        <v>Measuring the effectiveness of a radio-identification system</v>
      </c>
      <c r="D1882" s="10">
        <f ca="1">IFERROR(__xludf.DUMMYFUNCTION("""COMPUTED_VALUE"""),2019)</f>
        <v>2019</v>
      </c>
      <c r="E1882" s="10" t="str">
        <f ca="1">IFERROR(__xludf.DUMMYFUNCTION("""COMPUTED_VALUE"""),"Journal of Communications (JCM, ISSN: 1796-2021 Online; 2374-4367 Print)")</f>
        <v>Journal of Communications (JCM, ISSN: 1796-2021 Online; 2374-4367 Print)</v>
      </c>
      <c r="F1882" s="10"/>
      <c r="G1882" s="10" t="str">
        <f ca="1">IFERROR(__xludf.DUMMYFUNCTION("""COMPUTED_VALUE"""),"Bichkov О., V. Nakonechnvi, N. Lukova-Chuiko, V. Zhebka, G. Panayotova")</f>
        <v>Bichkov О., V. Nakonechnvi, N. Lukova-Chuiko, V. Zhebka, G. Panayotova</v>
      </c>
      <c r="H1882" s="10"/>
      <c r="I1882" s="10"/>
      <c r="J1882" s="10"/>
      <c r="K1882" s="10"/>
      <c r="L1882" s="10"/>
      <c r="M1882" s="10"/>
      <c r="N1882" s="10"/>
      <c r="O1882" s="10"/>
      <c r="P1882" s="10"/>
      <c r="Q1882" s="10"/>
      <c r="R1882" s="10"/>
      <c r="S1882" s="10"/>
      <c r="T1882" s="10"/>
      <c r="U1882" s="10"/>
      <c r="V1882" s="10"/>
      <c r="W1882" s="10"/>
      <c r="X1882" s="10"/>
      <c r="Y1882" s="10"/>
      <c r="Z1882" s="10"/>
    </row>
    <row r="1883" spans="1:26" ht="12.75">
      <c r="A1883" s="10" t="str">
        <f ca="1">IFERROR(__xludf.DUMMYFUNCTION("""COMPUTED_VALUE"""),"Георги Петров Димитров")</f>
        <v>Георги Петров Димитров</v>
      </c>
      <c r="B1883" s="10" t="str">
        <f ca="1">IFERROR(__xludf.DUMMYFUNCTION("""COMPUTED_VALUE"""),"Статия в списания и поредици")</f>
        <v>Статия в списания и поредици</v>
      </c>
      <c r="C1883" s="10" t="str">
        <f ca="1">IFERROR(__xludf.DUMMYFUNCTION("""COMPUTED_VALUE"""),"Security Certificates Used in Public Web Sites of Banks in Czech Republic, Slovakia and Hungary")</f>
        <v>Security Certificates Used in Public Web Sites of Banks in Czech Republic, Slovakia and Hungary</v>
      </c>
      <c r="D1883" s="10">
        <f ca="1">IFERROR(__xludf.DUMMYFUNCTION("""COMPUTED_VALUE"""),2019)</f>
        <v>2019</v>
      </c>
      <c r="E1883" s="10" t="str">
        <f ca="1">IFERROR(__xludf.DUMMYFUNCTION("""COMPUTED_VALUE"""),"TEM Journal. Volume 8, Issue 4, Pages 1224-1231, ISSN 2217-8309, DOI: 10.18421/TEM84-17, November 2019.")</f>
        <v>TEM Journal. Volume 8, Issue 4, Pages 1224-1231, ISSN 2217-8309, DOI: 10.18421/TEM84-17, November 2019.</v>
      </c>
      <c r="F1883" s="10"/>
      <c r="G1883" s="10"/>
      <c r="H1883" s="10"/>
      <c r="I1883" s="10"/>
      <c r="J1883" s="10"/>
      <c r="K1883" s="10"/>
      <c r="L1883" s="10"/>
      <c r="M1883" s="10"/>
      <c r="N1883" s="10"/>
      <c r="O1883" s="10"/>
      <c r="P1883" s="10"/>
      <c r="Q1883" s="10"/>
      <c r="R1883" s="10"/>
      <c r="S1883" s="10"/>
      <c r="T1883" s="10"/>
      <c r="U1883" s="10"/>
      <c r="V1883" s="10"/>
      <c r="W1883" s="10"/>
      <c r="X1883" s="10"/>
      <c r="Y1883" s="10"/>
      <c r="Z1883" s="10"/>
    </row>
    <row r="1884" spans="1:26" ht="12.75">
      <c r="A1884" s="10" t="str">
        <f ca="1">IFERROR(__xludf.DUMMYFUNCTION("""COMPUTED_VALUE"""),"Георги Петров Димитров")</f>
        <v>Георги Петров Димитров</v>
      </c>
      <c r="B1884" s="10" t="str">
        <f ca="1">IFERROR(__xludf.DUMMYFUNCTION("""COMPUTED_VALUE"""),"Доклад от конференция")</f>
        <v>Доклад от конференция</v>
      </c>
      <c r="C1884" s="10" t="str">
        <f ca="1">IFERROR(__xludf.DUMMYFUNCTION("""COMPUTED_VALUE"""),"Using Mixed Linear Programming to Classify BCI Signals Submission")</f>
        <v>Using Mixed Linear Programming to Classify BCI Signals Submission</v>
      </c>
      <c r="D1884" s="10">
        <f ca="1">IFERROR(__xludf.DUMMYFUNCTION("""COMPUTED_VALUE"""),2019)</f>
        <v>2019</v>
      </c>
      <c r="E1884" s="10" t="str">
        <f ca="1">IFERROR(__xludf.DUMMYFUNCTION("""COMPUTED_VALUE"""),"RTUCON2019. Riga, Latvia")</f>
        <v>RTUCON2019. Riga, Latvia</v>
      </c>
      <c r="F1884" s="10" t="str">
        <f ca="1">IFERROR(__xludf.DUMMYFUNCTION("""COMPUTED_VALUE"""),"Scopus")</f>
        <v>Scopus</v>
      </c>
      <c r="G1884" s="10" t="str">
        <f ca="1">IFERROR(__xludf.DUMMYFUNCTION("""COMPUTED_VALUE"""),"Galina Panayotova, Kristiyan Aleksiev, Iva Kostadinova, Pepa Petrova, Oleksii Bychkov and Viktor Shevchenko")</f>
        <v>Galina Panayotova, Kristiyan Aleksiev, Iva Kostadinova, Pepa Petrova, Oleksii Bychkov and Viktor Shevchenko</v>
      </c>
      <c r="H1884" s="10"/>
      <c r="I1884" s="10"/>
      <c r="J1884" s="10"/>
      <c r="K1884" s="10"/>
      <c r="L1884" s="10"/>
      <c r="M1884" s="10"/>
      <c r="N1884" s="10"/>
      <c r="O1884" s="10"/>
      <c r="P1884" s="10"/>
      <c r="Q1884" s="10"/>
      <c r="R1884" s="10"/>
      <c r="S1884" s="10"/>
      <c r="T1884" s="10"/>
      <c r="U1884" s="10"/>
      <c r="V1884" s="10"/>
      <c r="W1884" s="10"/>
      <c r="X1884" s="10"/>
      <c r="Y1884" s="10"/>
      <c r="Z1884" s="10"/>
    </row>
    <row r="1885" spans="1:26" ht="12.75">
      <c r="A1885" s="10" t="str">
        <f ca="1">IFERROR(__xludf.DUMMYFUNCTION("""COMPUTED_VALUE"""),"Георги Петров Димитров")</f>
        <v>Георги Петров Димитров</v>
      </c>
      <c r="B1885" s="10" t="str">
        <f ca="1">IFERROR(__xludf.DUMMYFUNCTION("""COMPUTED_VALUE"""),"Доклад от конференция")</f>
        <v>Доклад от конференция</v>
      </c>
      <c r="C1885" s="10" t="str">
        <f ca="1">IFERROR(__xludf.DUMMYFUNCTION("""COMPUTED_VALUE"""),"Challenges in teaching "" digital "" generation in Bulgaria")</f>
        <v>Challenges in teaching " digital " generation in Bulgaria</v>
      </c>
      <c r="D1885" s="10">
        <f ca="1">IFERROR(__xludf.DUMMYFUNCTION("""COMPUTED_VALUE"""),2019)</f>
        <v>2019</v>
      </c>
      <c r="E1885" s="10" t="str">
        <f ca="1">IFERROR(__xludf.DUMMYFUNCTION("""COMPUTED_VALUE"""),"ISBN: 978-80-554-1284-9 ISSN: 2453-6962 CDROM ISSN: 1338-9831; DOI: 10.18638/arsa.2016.5.1.827")</f>
        <v>ISBN: 978-80-554-1284-9 ISSN: 2453-6962 CDROM ISSN: 1338-9831; DOI: 10.18638/arsa.2016.5.1.827</v>
      </c>
      <c r="F1885" s="10"/>
      <c r="G1885" s="10" t="str">
        <f ca="1">IFERROR(__xludf.DUMMYFUNCTION("""COMPUTED_VALUE"""),"Iva Kostadinova,Georgi P.Dimitrov, Bychkov OS Taras Shevchenko")</f>
        <v>Iva Kostadinova,Georgi P.Dimitrov, Bychkov OS Taras Shevchenko</v>
      </c>
      <c r="H1885" s="10"/>
      <c r="I1885" s="10"/>
      <c r="J1885" s="10"/>
      <c r="K1885" s="10"/>
      <c r="L1885" s="10"/>
      <c r="M1885" s="10"/>
      <c r="N1885" s="10"/>
      <c r="O1885" s="10"/>
      <c r="P1885" s="10"/>
      <c r="Q1885" s="10"/>
      <c r="R1885" s="10"/>
      <c r="S1885" s="10"/>
      <c r="T1885" s="10"/>
      <c r="U1885" s="10"/>
      <c r="V1885" s="10"/>
      <c r="W1885" s="10"/>
      <c r="X1885" s="10"/>
      <c r="Y1885" s="10"/>
      <c r="Z1885" s="10"/>
    </row>
    <row r="1886" spans="1:26" ht="12.75">
      <c r="A1886" s="10" t="str">
        <f ca="1">IFERROR(__xludf.DUMMYFUNCTION("""COMPUTED_VALUE"""),"Георги Петров Димитров")</f>
        <v>Георги Петров Димитров</v>
      </c>
      <c r="B1886" s="10" t="str">
        <f ca="1">IFERROR(__xludf.DUMMYFUNCTION("""COMPUTED_VALUE"""),"Доклад от конференция")</f>
        <v>Доклад от конференция</v>
      </c>
      <c r="C1886" s="10" t="str">
        <f ca="1">IFERROR(__xludf.DUMMYFUNCTION("""COMPUTED_VALUE"""),"Analysis of Cryptocurrencies as Part of the Processing of Incoming Information")</f>
        <v>Analysis of Cryptocurrencies as Part of the Processing of Incoming Information</v>
      </c>
      <c r="D1886" s="10">
        <f ca="1">IFERROR(__xludf.DUMMYFUNCTION("""COMPUTED_VALUE"""),2019)</f>
        <v>2019</v>
      </c>
      <c r="E1886" s="10" t="str">
        <f ca="1">IFERROR(__xludf.DUMMYFUNCTION("""COMPUTED_VALUE"""),"International Academic Conference on Management, Economics, Business and Marketing")</f>
        <v>International Academic Conference on Management, Economics, Business and Marketing</v>
      </c>
      <c r="F1886" s="10"/>
      <c r="G1886" s="10" t="str">
        <f ca="1">IFERROR(__xludf.DUMMYFUNCTION("""COMPUTED_VALUE"""),"Galina S. Panayotova, Pepa Petrova, Kristian V. Aleksiev, Svetlozar S. Tsankov")</f>
        <v>Galina S. Panayotova, Pepa Petrova, Kristian V. Aleksiev, Svetlozar S. Tsankov</v>
      </c>
      <c r="H1886" s="10"/>
      <c r="I1886" s="10"/>
      <c r="J1886" s="10"/>
      <c r="K1886" s="10"/>
      <c r="L1886" s="10"/>
      <c r="M1886" s="10"/>
      <c r="N1886" s="10"/>
      <c r="O1886" s="10"/>
      <c r="P1886" s="10"/>
      <c r="Q1886" s="10"/>
      <c r="R1886" s="10"/>
      <c r="S1886" s="10"/>
      <c r="T1886" s="10"/>
      <c r="U1886" s="10"/>
      <c r="V1886" s="10"/>
      <c r="W1886" s="10"/>
      <c r="X1886" s="10"/>
      <c r="Y1886" s="10"/>
      <c r="Z1886" s="10"/>
    </row>
    <row r="1887" spans="1:26" ht="12.75">
      <c r="A1887" s="10" t="str">
        <f ca="1">IFERROR(__xludf.DUMMYFUNCTION("""COMPUTED_VALUE"""),"Георги Петров Димитров")</f>
        <v>Георги Петров Димитров</v>
      </c>
      <c r="B1887" s="10" t="str">
        <f ca="1">IFERROR(__xludf.DUMMYFUNCTION("""COMPUTED_VALUE"""),"Статия в списания и поредици")</f>
        <v>Статия в списания и поредици</v>
      </c>
      <c r="C1887" s="10" t="str">
        <f ca="1">IFERROR(__xludf.DUMMYFUNCTION("""COMPUTED_VALUE"""),"A COMPARATIVE STUDY ON WEB SECURITY TECHNOLOGIES USED IN BULGARIAN AND SERBIAN BANKS")</f>
        <v>A COMPARATIVE STUDY ON WEB SECURITY TECHNOLOGIES USED IN BULGARIAN AND SERBIAN BANKS</v>
      </c>
      <c r="D1887" s="10">
        <f ca="1">IFERROR(__xludf.DUMMYFUNCTION("""COMPUTED_VALUE"""),2019)</f>
        <v>2019</v>
      </c>
      <c r="E1887" s="10" t="str">
        <f ca="1">IFERROR(__xludf.DUMMYFUNCTION("""COMPUTED_VALUE"""),"INTERNATIONAL Multidisciplinary Scientific Geoconference SGEM' – Sofia: STEF92 Technology, 2001, vol19, book number 2.1, ISBN: 978-619-7408-79-9 ISSN:1314-2704, Pp 3-10")</f>
        <v>INTERNATIONAL Multidisciplinary Scientific Geoconference SGEM' – Sofia: STEF92 Technology, 2001, vol19, book number 2.1, ISBN: 978-619-7408-79-9 ISSN:1314-2704, Pp 3-10</v>
      </c>
      <c r="F1887" s="10"/>
      <c r="G1887" s="10" t="str">
        <f ca="1">IFERROR(__xludf.DUMMYFUNCTION("""COMPUTED_VALUE"""),"Petrov, P.; Buevich, A.; Dimitrov, G.; Kostadinova, I.; Dimitrov, P.")</f>
        <v>Petrov, P.; Buevich, A.; Dimitrov, G.; Kostadinova, I.; Dimitrov, P.</v>
      </c>
      <c r="H1887" s="10"/>
      <c r="I1887" s="10"/>
      <c r="J1887" s="10"/>
      <c r="K1887" s="10"/>
      <c r="L1887" s="10"/>
      <c r="M1887" s="10"/>
      <c r="N1887" s="10"/>
      <c r="O1887" s="10"/>
      <c r="P1887" s="10"/>
      <c r="Q1887" s="10"/>
      <c r="R1887" s="10"/>
      <c r="S1887" s="10"/>
      <c r="T1887" s="10"/>
      <c r="U1887" s="10"/>
      <c r="V1887" s="10"/>
      <c r="W1887" s="10"/>
      <c r="X1887" s="10"/>
      <c r="Y1887" s="10"/>
      <c r="Z1887" s="10"/>
    </row>
    <row r="1888" spans="1:26" ht="12.75">
      <c r="A1888" s="10" t="str">
        <f ca="1">IFERROR(__xludf.DUMMYFUNCTION("""COMPUTED_VALUE"""),"Георги Петров Димитров")</f>
        <v>Георги Петров Димитров</v>
      </c>
      <c r="B1888" s="10" t="str">
        <f ca="1">IFERROR(__xludf.DUMMYFUNCTION("""COMPUTED_VALUE"""),"Доклад от конференция")</f>
        <v>Доклад от конференция</v>
      </c>
      <c r="C1888" s="10" t="str">
        <f ca="1">IFERROR(__xludf.DUMMYFUNCTION("""COMPUTED_VALUE"""),"Influence of the Length of the Epochs for the Correct Classification of Brain Waves in the OpenVibe Platform")</f>
        <v>Influence of the Length of the Epochs for the Correct Classification of Brain Waves in the OpenVibe Platform</v>
      </c>
      <c r="D1888" s="10">
        <f ca="1">IFERROR(__xludf.DUMMYFUNCTION("""COMPUTED_VALUE"""),2019)</f>
        <v>2019</v>
      </c>
      <c r="E1888" s="10" t="str">
        <f ca="1">IFERROR(__xludf.DUMMYFUNCTION("""COMPUTED_VALUE"""),"International Academic Conference on Global Education, Teaching and Learning in Vienna 2019 (IAC-GETL 2019)")</f>
        <v>International Academic Conference on Global Education, Teaching and Learning in Vienna 2019 (IAC-GETL 2019)</v>
      </c>
      <c r="F1888" s="10"/>
      <c r="G1888" s="10" t="str">
        <f ca="1">IFERROR(__xludf.DUMMYFUNCTION("""COMPUTED_VALUE"""),"Galina Panayotova , Eugenia Kovatcheva, Pepa Petrova, Kristian V. Aleksiev, Inna Dimitrova, Pavel Petrov")</f>
        <v>Galina Panayotova , Eugenia Kovatcheva, Pepa Petrova, Kristian V. Aleksiev, Inna Dimitrova, Pavel Petrov</v>
      </c>
      <c r="H1888" s="10"/>
      <c r="I1888" s="10"/>
      <c r="J1888" s="10"/>
      <c r="K1888" s="10"/>
      <c r="L1888" s="10"/>
      <c r="M1888" s="10"/>
      <c r="N1888" s="10"/>
      <c r="O1888" s="10"/>
      <c r="P1888" s="10"/>
      <c r="Q1888" s="10"/>
      <c r="R1888" s="10"/>
      <c r="S1888" s="10"/>
      <c r="T1888" s="10"/>
      <c r="U1888" s="10"/>
      <c r="V1888" s="10"/>
      <c r="W1888" s="10"/>
      <c r="X1888" s="10"/>
      <c r="Y1888" s="10"/>
      <c r="Z1888" s="10"/>
    </row>
    <row r="1889" spans="1:26" ht="12.75">
      <c r="A1889" s="10" t="str">
        <f ca="1">IFERROR(__xludf.DUMMYFUNCTION("""COMPUTED_VALUE"""),"Георги Петров Димитров")</f>
        <v>Георги Петров Димитров</v>
      </c>
      <c r="B1889" s="10" t="str">
        <f ca="1">IFERROR(__xludf.DUMMYFUNCTION("""COMPUTED_VALUE"""),"Статия в списания и поредици")</f>
        <v>Статия в списания и поредици</v>
      </c>
      <c r="C1889" s="10" t="str">
        <f ca="1">IFERROR(__xludf.DUMMYFUNCTION("""COMPUTED_VALUE"""),"Security Certificates Used in Public Web Sites of Banks in Czech Republic, Slovakia and Hungary")</f>
        <v>Security Certificates Used in Public Web Sites of Banks in Czech Republic, Slovakia and Hungary</v>
      </c>
      <c r="D1889" s="10">
        <f ca="1">IFERROR(__xludf.DUMMYFUNCTION("""COMPUTED_VALUE"""),2019)</f>
        <v>2019</v>
      </c>
      <c r="E1889" s="10" t="str">
        <f ca="1">IFERROR(__xludf.DUMMYFUNCTION("""COMPUTED_VALUE"""),"TEM Journal. Volume 8, Issue 4, Pages 1224-1231, ISSN 2217-8309, DOI: 10.18421/TEM84-17, November 2019., ISSN 2217-8309, DOI: 10.18421")</f>
        <v>TEM Journal. Volume 8, Issue 4, Pages 1224-1231, ISSN 2217-8309, DOI: 10.18421/TEM84-17, November 2019., ISSN 2217-8309, DOI: 10.18421</v>
      </c>
      <c r="F1889" s="10"/>
      <c r="G1889" s="10"/>
      <c r="H1889" s="10"/>
      <c r="I1889" s="10"/>
      <c r="J1889" s="10"/>
      <c r="K1889" s="10"/>
      <c r="L1889" s="10"/>
      <c r="M1889" s="10"/>
      <c r="N1889" s="10"/>
      <c r="O1889" s="10"/>
      <c r="P1889" s="10"/>
      <c r="Q1889" s="10"/>
      <c r="R1889" s="10"/>
      <c r="S1889" s="10"/>
      <c r="T1889" s="10"/>
      <c r="U1889" s="10"/>
      <c r="V1889" s="10"/>
      <c r="W1889" s="10"/>
      <c r="X1889" s="10"/>
      <c r="Y1889" s="10"/>
      <c r="Z1889" s="10"/>
    </row>
    <row r="1890" spans="1:26" ht="12.75">
      <c r="A1890" s="10" t="str">
        <f ca="1">IFERROR(__xludf.DUMMYFUNCTION("""COMPUTED_VALUE"""),"Георги Петров Димитров")</f>
        <v>Георги Петров Димитров</v>
      </c>
      <c r="B1890" s="10" t="str">
        <f ca="1">IFERROR(__xludf.DUMMYFUNCTION("""COMPUTED_VALUE"""),"Доклад от конференция")</f>
        <v>Доклад от конференция</v>
      </c>
      <c r="C1890" s="10" t="str">
        <f ca="1">IFERROR(__xludf.DUMMYFUNCTION("""COMPUTED_VALUE"""),"Identification of EEG Brain Waves obtained by Emotive device")</f>
        <v>Identification of EEG Brain Waves obtained by Emotive device</v>
      </c>
      <c r="D1890" s="10">
        <f ca="1">IFERROR(__xludf.DUMMYFUNCTION("""COMPUTED_VALUE"""),2019)</f>
        <v>2019</v>
      </c>
      <c r="E1890" s="10" t="str">
        <f ca="1">IFERROR(__xludf.DUMMYFUNCTION("""COMPUTED_VALUE"""),"9th International Conference on Advanced Computer Information Technologies (ACIT)")</f>
        <v>9th International Conference on Advanced Computer Information Technologies (ACIT)</v>
      </c>
      <c r="F1890" s="10" t="str">
        <f ca="1">IFERROR(__xludf.DUMMYFUNCTION("""COMPUTED_VALUE"""),"Web of Science и Scopus")</f>
        <v>Web of Science и Scopus</v>
      </c>
      <c r="G1890" s="10" t="str">
        <f ca="1">IFERROR(__xludf.DUMMYFUNCTION("""COMPUTED_VALUE"""),"Magdalena Garvanova, Eugenia Kovatcheva , Kristian V. Aleksiev, Inna Dimitrova")</f>
        <v>Magdalena Garvanova, Eugenia Kovatcheva , Kristian V. Aleksiev, Inna Dimitrova</v>
      </c>
      <c r="H1890" s="10"/>
      <c r="I1890" s="10"/>
      <c r="J1890" s="10"/>
      <c r="K1890" s="10"/>
      <c r="L1890" s="10"/>
      <c r="M1890" s="10"/>
      <c r="N1890" s="10"/>
      <c r="O1890" s="10"/>
      <c r="P1890" s="10"/>
      <c r="Q1890" s="10"/>
      <c r="R1890" s="10"/>
      <c r="S1890" s="10"/>
      <c r="T1890" s="10"/>
      <c r="U1890" s="10"/>
      <c r="V1890" s="10"/>
      <c r="W1890" s="10"/>
      <c r="X1890" s="10"/>
      <c r="Y1890" s="10"/>
      <c r="Z1890" s="10"/>
    </row>
    <row r="1891" spans="1:26" ht="12.75">
      <c r="A1891" s="10" t="str">
        <f ca="1">IFERROR(__xludf.DUMMYFUNCTION("""COMPUTED_VALUE"""),"Георги Петров Димитров")</f>
        <v>Георги Петров Димитров</v>
      </c>
      <c r="B1891" s="10" t="str">
        <f ca="1">IFERROR(__xludf.DUMMYFUNCTION("""COMPUTED_VALUE"""),"Доклад от конференция")</f>
        <v>Доклад от конференция</v>
      </c>
      <c r="C1891" s="10" t="str">
        <f ca="1">IFERROR(__xludf.DUMMYFUNCTION("""COMPUTED_VALUE"""),"CLOUD TRAINING PLATFORMS TO CREATE NEW COMPETENCES FOR IT SERVICE MANAGEMENT")</f>
        <v>CLOUD TRAINING PLATFORMS TO CREATE NEW COMPETENCES FOR IT SERVICE MANAGEMENT</v>
      </c>
      <c r="D1891" s="10">
        <f ca="1">IFERROR(__xludf.DUMMYFUNCTION("""COMPUTED_VALUE"""),2019)</f>
        <v>2019</v>
      </c>
      <c r="E1891" s="10" t="str">
        <f ca="1">IFERROR(__xludf.DUMMYFUNCTION("""COMPUTED_VALUE"""),"11th International Conference on Education and New Learning Technologies, 1-3 July, 2019, Palma, Spain. EDULEARN19 Proceedings, pp. 7012-7018")</f>
        <v>11th International Conference on Education and New Learning Technologies, 1-3 July, 2019, Palma, Spain. EDULEARN19 Proceedings, pp. 7012-7018</v>
      </c>
      <c r="F1891" s="10" t="str">
        <f ca="1">IFERROR(__xludf.DUMMYFUNCTION("""COMPUTED_VALUE"""),"Web of Science")</f>
        <v>Web of Science</v>
      </c>
      <c r="G1891" s="10" t="str">
        <f ca="1">IFERROR(__xludf.DUMMYFUNCTION("""COMPUTED_VALUE"""),"G.P. Dimitrov, Z. Petrov")</f>
        <v>G.P. Dimitrov, Z. Petrov</v>
      </c>
      <c r="H1891" s="10"/>
      <c r="I1891" s="10"/>
      <c r="J1891" s="10"/>
      <c r="K1891" s="10"/>
      <c r="L1891" s="10"/>
      <c r="M1891" s="10"/>
      <c r="N1891" s="10"/>
      <c r="O1891" s="10"/>
      <c r="P1891" s="10"/>
      <c r="Q1891" s="10"/>
      <c r="R1891" s="10"/>
      <c r="S1891" s="10"/>
      <c r="T1891" s="10"/>
      <c r="U1891" s="10"/>
      <c r="V1891" s="10"/>
      <c r="W1891" s="10"/>
      <c r="X1891" s="10"/>
      <c r="Y1891" s="10"/>
      <c r="Z1891" s="10"/>
    </row>
    <row r="1892" spans="1:26" ht="12.75">
      <c r="A1892" s="10" t="str">
        <f ca="1">IFERROR(__xludf.DUMMYFUNCTION("""COMPUTED_VALUE"""),"Георги Петров Димитров")</f>
        <v>Георги Петров Димитров</v>
      </c>
      <c r="B1892" s="10" t="str">
        <f ca="1">IFERROR(__xludf.DUMMYFUNCTION("""COMPUTED_VALUE"""),"Доклад от конференция")</f>
        <v>Доклад от конференция</v>
      </c>
      <c r="C1892" s="10" t="str">
        <f ca="1">IFERROR(__xludf.DUMMYFUNCTION("""COMPUTED_VALUE"""),"Analysis of the BCI signals")</f>
        <v>Analysis of the BCI signals</v>
      </c>
      <c r="D1892" s="10">
        <f ca="1">IFERROR(__xludf.DUMMYFUNCTION("""COMPUTED_VALUE"""),2018)</f>
        <v>2018</v>
      </c>
      <c r="E1892" s="10" t="str">
        <f ca="1">IFERROR(__xludf.DUMMYFUNCTION("""COMPUTED_VALUE"""),"5th International Conference on Communications and Engineering (ICCNE2018), December 21-23, 2018, Paris, France.")</f>
        <v>5th International Conference on Communications and Engineering (ICCNE2018), December 21-23, 2018, Paris, France.</v>
      </c>
      <c r="F1892" s="10"/>
      <c r="G1892" s="10" t="str">
        <f ca="1">IFERROR(__xludf.DUMMYFUNCTION("""COMPUTED_VALUE"""),"Galina S. Panayotova")</f>
        <v>Galina S. Panayotova</v>
      </c>
      <c r="H1892" s="10"/>
      <c r="I1892" s="10"/>
      <c r="J1892" s="10"/>
      <c r="K1892" s="10"/>
      <c r="L1892" s="10"/>
      <c r="M1892" s="10"/>
      <c r="N1892" s="10"/>
      <c r="O1892" s="10"/>
      <c r="P1892" s="10"/>
      <c r="Q1892" s="10"/>
      <c r="R1892" s="10"/>
      <c r="S1892" s="10"/>
      <c r="T1892" s="10"/>
      <c r="U1892" s="10"/>
      <c r="V1892" s="10"/>
      <c r="W1892" s="10"/>
      <c r="X1892" s="10"/>
      <c r="Y1892" s="10"/>
      <c r="Z1892" s="10"/>
    </row>
    <row r="1893" spans="1:26" ht="12.75">
      <c r="A1893" s="10" t="str">
        <f ca="1">IFERROR(__xludf.DUMMYFUNCTION("""COMPUTED_VALUE"""),"Георги Петров Димитров")</f>
        <v>Георги Петров Димитров</v>
      </c>
      <c r="B1893" s="10" t="str">
        <f ca="1">IFERROR(__xludf.DUMMYFUNCTION("""COMPUTED_VALUE"""),"Доклад от конференция")</f>
        <v>Доклад от конференция</v>
      </c>
      <c r="C1893" s="10" t="str">
        <f ca="1">IFERROR(__xludf.DUMMYFUNCTION("""COMPUTED_VALUE"""),"One Approach for Analysis of Fuzzy Linear Hybrid Automata")</f>
        <v>One Approach for Analysis of Fuzzy Linear Hybrid Automata</v>
      </c>
      <c r="D1893" s="10">
        <f ca="1">IFERROR(__xludf.DUMMYFUNCTION("""COMPUTED_VALUE"""),2018)</f>
        <v>2018</v>
      </c>
      <c r="E1893" s="10" t="str">
        <f ca="1">IFERROR(__xludf.DUMMYFUNCTION("""COMPUTED_VALUE"""),"Izvestia Journal of the Union of Scientists-Varna. Economic Sciences Series, t. 7, p. 234-240,Union of Scientists-Varna, Economic Sciences Section Print ISSN: 1314-7390 Online-ISSN: 2603-4085")</f>
        <v>Izvestia Journal of the Union of Scientists-Varna. Economic Sciences Series, t. 7, p. 234-240,Union of Scientists-Varna, Economic Sciences Section Print ISSN: 1314-7390 Online-ISSN: 2603-4085</v>
      </c>
      <c r="F1893" s="10"/>
      <c r="G1893" s="10" t="str">
        <f ca="1">IFERROR(__xludf.DUMMYFUNCTION("""COMPUTED_VALUE"""),"Oleksiy Bychkov Pavel Petrov")</f>
        <v>Oleksiy Bychkov Pavel Petrov</v>
      </c>
      <c r="H1893" s="10"/>
      <c r="I1893" s="10"/>
      <c r="J1893" s="10"/>
      <c r="K1893" s="10"/>
      <c r="L1893" s="10"/>
      <c r="M1893" s="10"/>
      <c r="N1893" s="10"/>
      <c r="O1893" s="10"/>
      <c r="P1893" s="10"/>
      <c r="Q1893" s="10"/>
      <c r="R1893" s="10"/>
      <c r="S1893" s="10"/>
      <c r="T1893" s="10"/>
      <c r="U1893" s="10"/>
      <c r="V1893" s="10"/>
      <c r="W1893" s="10"/>
      <c r="X1893" s="10"/>
      <c r="Y1893" s="10"/>
      <c r="Z1893" s="10"/>
    </row>
    <row r="1894" spans="1:26" ht="12.75">
      <c r="A1894" s="10" t="str">
        <f ca="1">IFERROR(__xludf.DUMMYFUNCTION("""COMPUTED_VALUE"""),"Георги Петров Димитров")</f>
        <v>Георги Петров Димитров</v>
      </c>
      <c r="B1894" s="10" t="str">
        <f ca="1">IFERROR(__xludf.DUMMYFUNCTION("""COMPUTED_VALUE"""),"Доклад от конференция")</f>
        <v>Доклад от конференция</v>
      </c>
      <c r="C1894" s="10" t="str">
        <f ca="1">IFERROR(__xludf.DUMMYFUNCTION("""COMPUTED_VALUE"""),"Web Technologies Used in the Commercial Banks in Finland")</f>
        <v>Web Technologies Used in the Commercial Banks in Finland</v>
      </c>
      <c r="D1894" s="10">
        <f ca="1">IFERROR(__xludf.DUMMYFUNCTION("""COMPUTED_VALUE"""),2018)</f>
        <v>2018</v>
      </c>
      <c r="E1894" s="10" t="str">
        <f ca="1">IFERROR(__xludf.DUMMYFUNCTION("""COMPUTED_VALUE"""),"CompSysTech'18 Proceedings of the 19th International Conference on Computer Systems and Technologies, pages 94-98, Ruse, Bulgaria — September 13 - 14, 2018, ACM New York, NY, USA ©2018; ISBN: 978-1-4503-6425-6 doi&gt;10.1145/3274005.3274018")</f>
        <v>CompSysTech'18 Proceedings of the 19th International Conference on Computer Systems and Technologies, pages 94-98, Ruse, Bulgaria — September 13 - 14, 2018, ACM New York, NY, USA ©2018; ISBN: 978-1-4503-6425-6 doi&gt;10.1145/3274005.3274018</v>
      </c>
      <c r="F1894" s="10" t="str">
        <f ca="1">IFERROR(__xludf.DUMMYFUNCTION("""COMPUTED_VALUE"""),"Scopus")</f>
        <v>Scopus</v>
      </c>
      <c r="G1894" s="10" t="str">
        <f ca="1">IFERROR(__xludf.DUMMYFUNCTION("""COMPUTED_VALUE"""),"Pavel Petrov, Stefan Krumovich, Nikola Nikolov, Vladimir Sulov")</f>
        <v>Pavel Petrov, Stefan Krumovich, Nikola Nikolov, Vladimir Sulov</v>
      </c>
      <c r="H1894" s="10"/>
      <c r="I1894" s="10"/>
      <c r="J1894" s="10"/>
      <c r="K1894" s="10"/>
      <c r="L1894" s="10"/>
      <c r="M1894" s="10"/>
      <c r="N1894" s="10"/>
      <c r="O1894" s="10"/>
      <c r="P1894" s="10"/>
      <c r="Q1894" s="10"/>
      <c r="R1894" s="10"/>
      <c r="S1894" s="10"/>
      <c r="T1894" s="10"/>
      <c r="U1894" s="10"/>
      <c r="V1894" s="10"/>
      <c r="W1894" s="10"/>
      <c r="X1894" s="10"/>
      <c r="Y1894" s="10"/>
      <c r="Z1894" s="10"/>
    </row>
    <row r="1895" spans="1:26" ht="12.75">
      <c r="A1895" s="10" t="str">
        <f ca="1">IFERROR(__xludf.DUMMYFUNCTION("""COMPUTED_VALUE"""),"Георги Петров Димитров")</f>
        <v>Георги Петров Димитров</v>
      </c>
      <c r="B1895" s="10" t="str">
        <f ca="1">IFERROR(__xludf.DUMMYFUNCTION("""COMPUTED_VALUE"""),"Доклад от конференция")</f>
        <v>Доклад от конференция</v>
      </c>
      <c r="C1895" s="10" t="str">
        <f ca="1">IFERROR(__xludf.DUMMYFUNCTION("""COMPUTED_VALUE"""),"Infographics as a stage of statistical analysis of big data")</f>
        <v>Infographics as a stage of statistical analysis of big data</v>
      </c>
      <c r="D1895" s="10">
        <f ca="1">IFERROR(__xludf.DUMMYFUNCTION("""COMPUTED_VALUE"""),2018)</f>
        <v>2018</v>
      </c>
      <c r="E1895" s="10" t="str">
        <f ca="1">IFERROR(__xludf.DUMMYFUNCTION("""COMPUTED_VALUE"""),"Eurasia Research, Budapest, Hungary Conference September (STRA), 29-Sep- 2018 to 30-Sep- 2018")</f>
        <v>Eurasia Research, Budapest, Hungary Conference September (STRA), 29-Sep- 2018 to 30-Sep- 2018</v>
      </c>
      <c r="F1895" s="10"/>
      <c r="G1895" s="10" t="str">
        <f ca="1">IFERROR(__xludf.DUMMYFUNCTION("""COMPUTED_VALUE"""),"G. Panayotova, G.P. Dimitrov")</f>
        <v>G. Panayotova, G.P. Dimitrov</v>
      </c>
      <c r="H1895" s="10"/>
      <c r="I1895" s="10"/>
      <c r="J1895" s="10"/>
      <c r="K1895" s="10"/>
      <c r="L1895" s="10"/>
      <c r="M1895" s="10"/>
      <c r="N1895" s="10"/>
      <c r="O1895" s="10"/>
      <c r="P1895" s="10"/>
      <c r="Q1895" s="10"/>
      <c r="R1895" s="10"/>
      <c r="S1895" s="10"/>
      <c r="T1895" s="10"/>
      <c r="U1895" s="10"/>
      <c r="V1895" s="10"/>
      <c r="W1895" s="10"/>
      <c r="X1895" s="10"/>
      <c r="Y1895" s="10"/>
      <c r="Z1895" s="10"/>
    </row>
    <row r="1896" spans="1:26" ht="12.75">
      <c r="A1896" s="10" t="str">
        <f ca="1">IFERROR(__xludf.DUMMYFUNCTION("""COMPUTED_VALUE"""),"Георги Петров Димитров")</f>
        <v>Георги Петров Димитров</v>
      </c>
      <c r="B1896" s="10" t="str">
        <f ca="1">IFERROR(__xludf.DUMMYFUNCTION("""COMPUTED_VALUE"""),"Доклад от конференция")</f>
        <v>Доклад от конференция</v>
      </c>
      <c r="C1896" s="10" t="str">
        <f ca="1">IFERROR(__xludf.DUMMYFUNCTION("""COMPUTED_VALUE"""),"One approach for identification of Brain Signals for smart devices control")</f>
        <v>One approach for identification of Brain Signals for smart devices control</v>
      </c>
      <c r="D1896" s="10">
        <f ca="1">IFERROR(__xludf.DUMMYFUNCTION("""COMPUTED_VALUE"""),2018)</f>
        <v>2018</v>
      </c>
      <c r="E1896" s="10" t="str">
        <f ca="1">IFERROR(__xludf.DUMMYFUNCTION("""COMPUTED_VALUE"""),"2nd International Conference on Computer, Software and Modeling (ICCSM 2018) July 17-19, 2018, Nice, France, SW 2018 Vol.13(7): 407-413 ISSN: 1796-217X doi: 10.17706/jsw.13.7.407-413 Journal of Software (JSW) - Volume 13 Number 7 (Jul. 2018)")</f>
        <v>2nd International Conference on Computer, Software and Modeling (ICCSM 2018) July 17-19, 2018, Nice, France, SW 2018 Vol.13(7): 407-413 ISSN: 1796-217X doi: 10.17706/jsw.13.7.407-413 Journal of Software (JSW) - Volume 13 Number 7 (Jul. 2018)</v>
      </c>
      <c r="F1896" s="10" t="str">
        <f ca="1">IFERROR(__xludf.DUMMYFUNCTION("""COMPUTED_VALUE"""),"DBLP
 EBSCO
 ProQuest
 INSPEC
 ULRICH's Periodicals Directory
 WorldCat
 CNKI")</f>
        <v>DBLP
 EBSCO
 ProQuest
 INSPEC
 ULRICH's Periodicals Directory
 WorldCat
 CNKI</v>
      </c>
      <c r="G1896" s="10" t="str">
        <f ca="1">IFERROR(__xludf.DUMMYFUNCTION("""COMPUTED_VALUE"""),"Galina S. Panayotova Eugenia Kovatcheva Daniela Borissova Pavel Petrov")</f>
        <v>Galina S. Panayotova Eugenia Kovatcheva Daniela Borissova Pavel Petrov</v>
      </c>
      <c r="H1896" s="10"/>
      <c r="I1896" s="10"/>
      <c r="J1896" s="10"/>
      <c r="K1896" s="10"/>
      <c r="L1896" s="10"/>
      <c r="M1896" s="10"/>
      <c r="N1896" s="10"/>
      <c r="O1896" s="10"/>
      <c r="P1896" s="10"/>
      <c r="Q1896" s="10"/>
      <c r="R1896" s="10"/>
      <c r="S1896" s="10"/>
      <c r="T1896" s="10"/>
      <c r="U1896" s="10"/>
      <c r="V1896" s="10"/>
      <c r="W1896" s="10"/>
      <c r="X1896" s="10"/>
      <c r="Y1896" s="10"/>
      <c r="Z1896" s="10"/>
    </row>
    <row r="1897" spans="1:26" ht="12.75">
      <c r="A1897" s="10" t="str">
        <f ca="1">IFERROR(__xludf.DUMMYFUNCTION("""COMPUTED_VALUE"""),"Георги Петров Димитров")</f>
        <v>Георги Петров Димитров</v>
      </c>
      <c r="B1897" s="10" t="str">
        <f ca="1">IFERROR(__xludf.DUMMYFUNCTION("""COMPUTED_VALUE"""),"Доклад от конференция")</f>
        <v>Доклад от конференция</v>
      </c>
      <c r="C1897" s="10" t="str">
        <f ca="1">IFERROR(__xludf.DUMMYFUNCTION("""COMPUTED_VALUE"""),"Design Thinking in the light of Computer Science Programmes")</f>
        <v>Design Thinking in the light of Computer Science Programmes</v>
      </c>
      <c r="D1897" s="10">
        <f ca="1">IFERROR(__xludf.DUMMYFUNCTION("""COMPUTED_VALUE"""),2018)</f>
        <v>2018</v>
      </c>
      <c r="E1897" s="10" t="str">
        <f ca="1">IFERROR(__xludf.DUMMYFUNCTION("""COMPUTED_VALUE"""),"Design Thinking in the light of Computer Science Programmes , 2018 International Conference on Education and Social Development (ICESD '18), The Woodlands, Texas, USA, April 6-7, 2018, p. 54")</f>
        <v>Design Thinking in the light of Computer Science Programmes , 2018 International Conference on Education and Social Development (ICESD '18), The Woodlands, Texas, USA, April 6-7, 2018, p. 54</v>
      </c>
      <c r="F1897" s="10"/>
      <c r="G1897" s="10" t="str">
        <f ca="1">IFERROR(__xludf.DUMMYFUNCTION("""COMPUTED_VALUE"""),"Eugenia Kovatcheva Stoyan Denchev Elena Shoikova Vladimir Jotsov Milena Koleva Marionela Simova")</f>
        <v>Eugenia Kovatcheva Stoyan Denchev Elena Shoikova Vladimir Jotsov Milena Koleva Marionela Simova</v>
      </c>
      <c r="H1897" s="10"/>
      <c r="I1897" s="10"/>
      <c r="J1897" s="10"/>
      <c r="K1897" s="10"/>
      <c r="L1897" s="10"/>
      <c r="M1897" s="10"/>
      <c r="N1897" s="10"/>
      <c r="O1897" s="10"/>
      <c r="P1897" s="10"/>
      <c r="Q1897" s="10"/>
      <c r="R1897" s="10"/>
      <c r="S1897" s="10"/>
      <c r="T1897" s="10"/>
      <c r="U1897" s="10"/>
      <c r="V1897" s="10"/>
      <c r="W1897" s="10"/>
      <c r="X1897" s="10"/>
      <c r="Y1897" s="10"/>
      <c r="Z1897" s="10"/>
    </row>
    <row r="1898" spans="1:26" ht="12.75">
      <c r="A1898" s="10" t="str">
        <f ca="1">IFERROR(__xludf.DUMMYFUNCTION("""COMPUTED_VALUE"""),"Георги Петров Димитров")</f>
        <v>Георги Петров Димитров</v>
      </c>
      <c r="B1898" s="10" t="str">
        <f ca="1">IFERROR(__xludf.DUMMYFUNCTION("""COMPUTED_VALUE"""),"Доклад от конференция")</f>
        <v>Доклад от конференция</v>
      </c>
      <c r="C1898" s="10" t="str">
        <f ca="1">IFERROR(__xludf.DUMMYFUNCTION("""COMPUTED_VALUE"""),"A Comparative Study on Web Security Technologies Used in Irish and Finnish Banks")</f>
        <v>A Comparative Study on Web Security Technologies Used in Irish and Finnish Banks</v>
      </c>
      <c r="D1898" s="10">
        <f ca="1">IFERROR(__xludf.DUMMYFUNCTION("""COMPUTED_VALUE"""),2018)</f>
        <v>2018</v>
      </c>
      <c r="E1898" s="10" t="str">
        <f ca="1">IFERROR(__xludf.DUMMYFUNCTION("""COMPUTED_VALUE"""),"18 International Multidisciplinary Scientific Geoconference SGEM 2018 : Conference Proceedings, 2 - 8 July 2018, Albena, Bulgaria : Vol. 18. Informatics, Geoinformatics a. Remote Sensing. Iss. 2.1. Informatics, Sofia : STEF92 Technology Ltd., Vol. 18, 201"&amp;"8, Iss. 2.1, 3 - 10,")</f>
        <v>18 International Multidisciplinary Scientific Geoconference SGEM 2018 : Conference Proceedings, 2 - 8 July 2018, Albena, Bulgaria : Vol. 18. Informatics, Geoinformatics a. Remote Sensing. Iss. 2.1. Informatics, Sofia : STEF92 Technology Ltd., Vol. 18, 2018, Iss. 2.1, 3 - 10,</v>
      </c>
      <c r="F1898" s="10"/>
      <c r="G1898" s="10" t="str">
        <f ca="1">IFERROR(__xludf.DUMMYFUNCTION("""COMPUTED_VALUE"""),"Petrov, P., Ivanov, S.")</f>
        <v>Petrov, P., Ivanov, S.</v>
      </c>
      <c r="H1898" s="10"/>
      <c r="I1898" s="10"/>
      <c r="J1898" s="10"/>
      <c r="K1898" s="10"/>
      <c r="L1898" s="10"/>
      <c r="M1898" s="10"/>
      <c r="N1898" s="10"/>
      <c r="O1898" s="10"/>
      <c r="P1898" s="10"/>
      <c r="Q1898" s="10"/>
      <c r="R1898" s="10"/>
      <c r="S1898" s="10"/>
      <c r="T1898" s="10"/>
      <c r="U1898" s="10"/>
      <c r="V1898" s="10"/>
      <c r="W1898" s="10"/>
      <c r="X1898" s="10"/>
      <c r="Y1898" s="10"/>
      <c r="Z1898" s="10"/>
    </row>
    <row r="1899" spans="1:26" ht="12.75">
      <c r="A1899" s="10" t="str">
        <f ca="1">IFERROR(__xludf.DUMMYFUNCTION("""COMPUTED_VALUE"""),"Георги Петров Димитров")</f>
        <v>Георги Петров Димитров</v>
      </c>
      <c r="B1899" s="10" t="str">
        <f ca="1">IFERROR(__xludf.DUMMYFUNCTION("""COMPUTED_VALUE"""),"Доклад от конференция")</f>
        <v>Доклад от конференция</v>
      </c>
      <c r="C1899" s="10" t="str">
        <f ca="1">IFERROR(__xludf.DUMMYFUNCTION("""COMPUTED_VALUE"""),"IMPROVING THE PERFORMANCE OF SOCIAL ASSISTED SEARCH IN LIBRARY INFORMATION SYSTEMS")</f>
        <v>IMPROVING THE PERFORMANCE OF SOCIAL ASSISTED SEARCH IN LIBRARY INFORMATION SYSTEMS</v>
      </c>
      <c r="D1899" s="10">
        <f ca="1">IFERROR(__xludf.DUMMYFUNCTION("""COMPUTED_VALUE"""),2017)</f>
        <v>2017</v>
      </c>
      <c r="E1899" s="10" t="str">
        <f ca="1">IFERROR(__xludf.DUMMYFUNCTION("""COMPUTED_VALUE"""),", 4th INTERNATIONAL MULTIDISCIPLINARY SCIENTIFIC CONFERENCE ON SOCIAL SCIENCES AND ARTS S G E M 2 0 1 7, 24 – 30 August, 2017 Albena Co., Bulgaria, Volume 1, p. 311 ISBN 978-619-7408-24-9 ISSN 2367-5659 DOI: 10.5593/sgemsocial2017/62")</f>
        <v>, 4th INTERNATIONAL MULTIDISCIPLINARY SCIENTIFIC CONFERENCE ON SOCIAL SCIENCES AND ARTS S G E M 2 0 1 7, 24 – 30 August, 2017 Albena Co., Bulgaria, Volume 1, p. 311 ISBN 978-619-7408-24-9 ISSN 2367-5659 DOI: 10.5593/sgemsocial2017/62</v>
      </c>
      <c r="F1899" s="10"/>
      <c r="G1899" s="10" t="str">
        <f ca="1">IFERROR(__xludf.DUMMYFUNCTION("""COMPUTED_VALUE"""),"Pavel S. Petrov Silvia S. Parusheva Nikola S. Nikolov Stefka D. Petrova")</f>
        <v>Pavel S. Petrov Silvia S. Parusheva Nikola S. Nikolov Stefka D. Petrova</v>
      </c>
      <c r="H1899" s="10"/>
      <c r="I1899" s="10"/>
      <c r="J1899" s="10"/>
      <c r="K1899" s="10"/>
      <c r="L1899" s="10"/>
      <c r="M1899" s="10"/>
      <c r="N1899" s="10"/>
      <c r="O1899" s="10"/>
      <c r="P1899" s="10"/>
      <c r="Q1899" s="10"/>
      <c r="R1899" s="10"/>
      <c r="S1899" s="10"/>
      <c r="T1899" s="10"/>
      <c r="U1899" s="10"/>
      <c r="V1899" s="10"/>
      <c r="W1899" s="10"/>
      <c r="X1899" s="10"/>
      <c r="Y1899" s="10"/>
      <c r="Z1899" s="10"/>
    </row>
    <row r="1900" spans="1:26" ht="12.75">
      <c r="A1900" s="10" t="str">
        <f ca="1">IFERROR(__xludf.DUMMYFUNCTION("""COMPUTED_VALUE"""),"Георги Петров Димитров")</f>
        <v>Георги Петров Димитров</v>
      </c>
      <c r="B1900" s="10" t="str">
        <f ca="1">IFERROR(__xludf.DUMMYFUNCTION("""COMPUTED_VALUE"""),"Доклад от конференция")</f>
        <v>Доклад от конференция</v>
      </c>
      <c r="C1900" s="10" t="str">
        <f ca="1">IFERROR(__xludf.DUMMYFUNCTION("""COMPUTED_VALUE"""),"Aspect of the designing and developed integrated information systems in large organizations")</f>
        <v>Aspect of the designing and developed integrated information systems in large organizations</v>
      </c>
      <c r="D1900" s="10">
        <f ca="1">IFERROR(__xludf.DUMMYFUNCTION("""COMPUTED_VALUE"""),2017)</f>
        <v>2017</v>
      </c>
      <c r="E1900" s="10" t="str">
        <f ca="1">IFERROR(__xludf.DUMMYFUNCTION("""COMPUTED_VALUE"""),"10th International Conference on Computer Science and Information Technology(ICCSIT 2017), ICCSIT 2017 in Florence Italy during October 23-25, DOI 10.7763/ IJCTE. 2017. V9.1183")</f>
        <v>10th International Conference on Computer Science and Information Technology(ICCSIT 2017), ICCSIT 2017 in Florence Italy during October 23-25, DOI 10.7763/ IJCTE. 2017. V9.1183</v>
      </c>
      <c r="F1900" s="10"/>
      <c r="G1900" s="10" t="str">
        <f ca="1">IFERROR(__xludf.DUMMYFUNCTION("""COMPUTED_VALUE"""),"Galina Panayotova Iva Kostadinova")</f>
        <v>Galina Panayotova Iva Kostadinova</v>
      </c>
      <c r="H1900" s="10"/>
      <c r="I1900" s="10"/>
      <c r="J1900" s="10"/>
      <c r="K1900" s="10"/>
      <c r="L1900" s="10"/>
      <c r="M1900" s="10"/>
      <c r="N1900" s="10"/>
      <c r="O1900" s="10"/>
      <c r="P1900" s="10"/>
      <c r="Q1900" s="10"/>
      <c r="R1900" s="10"/>
      <c r="S1900" s="10"/>
      <c r="T1900" s="10"/>
      <c r="U1900" s="10"/>
      <c r="V1900" s="10"/>
      <c r="W1900" s="10"/>
      <c r="X1900" s="10"/>
      <c r="Y1900" s="10"/>
      <c r="Z1900" s="10"/>
    </row>
    <row r="1901" spans="1:26" ht="12.75">
      <c r="A1901" s="10" t="str">
        <f ca="1">IFERROR(__xludf.DUMMYFUNCTION("""COMPUTED_VALUE"""),"Георги Петров Димитров")</f>
        <v>Георги Петров Димитров</v>
      </c>
      <c r="B1901" s="10" t="str">
        <f ca="1">IFERROR(__xludf.DUMMYFUNCTION("""COMPUTED_VALUE"""),"Доклад от конференция")</f>
        <v>Доклад от конференция</v>
      </c>
      <c r="C1901" s="10" t="str">
        <f ca="1">IFERROR(__xludf.DUMMYFUNCTION("""COMPUTED_VALUE"""),"Analysis of the Growth Perspectives of the Early Stages of Technological Innovation in the Case of the Augmented and Virtual Reality Application")</f>
        <v>Analysis of the Growth Perspectives of the Early Stages of Technological Innovation in the Case of the Augmented and Virtual Reality Application</v>
      </c>
      <c r="D1901" s="10">
        <f ca="1">IFERROR(__xludf.DUMMYFUNCTION("""COMPUTED_VALUE"""),2017)</f>
        <v>2017</v>
      </c>
      <c r="E1901" s="10" t="str">
        <f ca="1">IFERROR(__xludf.DUMMYFUNCTION("""COMPUTED_VALUE"""),"10th International Conference on Computer Science and Information Technology(ICCSIT 2017), ICCSIT 2017 in Florence Italy during October 23-25, DOI 10.7763/ IJCTE. 2017. V9.1183")</f>
        <v>10th International Conference on Computer Science and Information Technology(ICCSIT 2017), ICCSIT 2017 in Florence Italy during October 23-25, DOI 10.7763/ IJCTE. 2017. V9.1183</v>
      </c>
      <c r="F1901" s="10"/>
      <c r="G1901" s="10" t="str">
        <f ca="1">IFERROR(__xludf.DUMMYFUNCTION("""COMPUTED_VALUE"""),"Galina Panayotova Rosen P. Toshev Iva Kostadinova")</f>
        <v>Galina Panayotova Rosen P. Toshev Iva Kostadinova</v>
      </c>
      <c r="H1901" s="10"/>
      <c r="I1901" s="10"/>
      <c r="J1901" s="10"/>
      <c r="K1901" s="10"/>
      <c r="L1901" s="10"/>
      <c r="M1901" s="10"/>
      <c r="N1901" s="10"/>
      <c r="O1901" s="10"/>
      <c r="P1901" s="10"/>
      <c r="Q1901" s="10"/>
      <c r="R1901" s="10"/>
      <c r="S1901" s="10"/>
      <c r="T1901" s="10"/>
      <c r="U1901" s="10"/>
      <c r="V1901" s="10"/>
      <c r="W1901" s="10"/>
      <c r="X1901" s="10"/>
      <c r="Y1901" s="10"/>
      <c r="Z1901" s="10"/>
    </row>
    <row r="1902" spans="1:26" ht="12.75">
      <c r="A1902" s="10" t="str">
        <f ca="1">IFERROR(__xludf.DUMMYFUNCTION("""COMPUTED_VALUE"""),"Георги Петров Димитров")</f>
        <v>Георги Петров Димитров</v>
      </c>
      <c r="B1902" s="10" t="str">
        <f ca="1">IFERROR(__xludf.DUMMYFUNCTION("""COMPUTED_VALUE"""),"Доклад от конференция")</f>
        <v>Доклад от конференция</v>
      </c>
      <c r="C1902" s="10" t="str">
        <f ca="1">IFERROR(__xludf.DUMMYFUNCTION("""COMPUTED_VALUE"""),"Wireless Sensors for analysis transport systems")</f>
        <v>Wireless Sensors for analysis transport systems</v>
      </c>
      <c r="D1902" s="10">
        <f ca="1">IFERROR(__xludf.DUMMYFUNCTION("""COMPUTED_VALUE"""),2017)</f>
        <v>2017</v>
      </c>
      <c r="E1902" s="10" t="str">
        <f ca="1">IFERROR(__xludf.DUMMYFUNCTION("""COMPUTED_VALUE"""),"10th International Conference on Computer Science and Information Technology(ICCSIT 2017), ICCSIT 2017 in Florence Italy during October 23-25, DOI 10.7763/ IJCTE. 2017. V9.1183, ISSN:1796-2021")</f>
        <v>10th International Conference on Computer Science and Information Technology(ICCSIT 2017), ICCSIT 2017 in Florence Italy during October 23-25, DOI 10.7763/ IJCTE. 2017. V9.1183, ISSN:1796-2021</v>
      </c>
      <c r="F1902" s="10" t="str">
        <f ca="1">IFERROR(__xludf.DUMMYFUNCTION("""COMPUTED_VALUE"""),"Scopus
 Web of Sciense")</f>
        <v>Scopus
 Web of Sciense</v>
      </c>
      <c r="G1902" s="10" t="str">
        <f ca="1">IFERROR(__xludf.DUMMYFUNCTION("""COMPUTED_VALUE"""),"Galina S. Panayotova Dimitar A. Dimitrov")</f>
        <v>Galina S. Panayotova Dimitar A. Dimitrov</v>
      </c>
      <c r="H1902" s="10"/>
      <c r="I1902" s="10"/>
      <c r="J1902" s="10"/>
      <c r="K1902" s="10"/>
      <c r="L1902" s="10"/>
      <c r="M1902" s="10"/>
      <c r="N1902" s="10"/>
      <c r="O1902" s="10"/>
      <c r="P1902" s="10"/>
      <c r="Q1902" s="10"/>
      <c r="R1902" s="10"/>
      <c r="S1902" s="10"/>
      <c r="T1902" s="10"/>
      <c r="U1902" s="10"/>
      <c r="V1902" s="10"/>
      <c r="W1902" s="10"/>
      <c r="X1902" s="10"/>
      <c r="Y1902" s="10"/>
      <c r="Z1902" s="10"/>
    </row>
    <row r="1903" spans="1:26" ht="12.75">
      <c r="A1903" s="10" t="str">
        <f ca="1">IFERROR(__xludf.DUMMYFUNCTION("""COMPUTED_VALUE"""),"Георги Петров Димитров")</f>
        <v>Георги Петров Димитров</v>
      </c>
      <c r="B1903" s="10" t="str">
        <f ca="1">IFERROR(__xludf.DUMMYFUNCTION("""COMPUTED_VALUE"""),"Доклад от конференция")</f>
        <v>Доклад от конференция</v>
      </c>
      <c r="C1903" s="10" t="str">
        <f ca="1">IFERROR(__xludf.DUMMYFUNCTION("""COMPUTED_VALUE"""),"ВИРТУАЛНАТА РЕАЛНОСТ: НОВАТА ДОПИРНА ТОЧКА ВЪВ ВЗАИМОДЕЙСТВИЕТО ЧОВЕК–КОМПЮТЪР")</f>
        <v>ВИРТУАЛНАТА РЕАЛНОСТ: НОВАТА ДОПИРНА ТОЧКА ВЪВ ВЗАИМОДЕЙСТВИЕТО ЧОВЕК–КОМПЮТЪР</v>
      </c>
      <c r="D1903" s="10">
        <f ca="1">IFERROR(__xludf.DUMMYFUNCTION("""COMPUTED_VALUE"""),2017)</f>
        <v>2017</v>
      </c>
      <c r="E1903" s="10" t="str">
        <f ca="1">IFERROR(__xludf.DUMMYFUNCTION("""COMPUTED_VALUE"""),"Единадесет изнесен пътуващ семинар на УниБИТ - Гърция, 29.05-05.06.2017, стр.121-124 ISSN : 2367-7988")</f>
        <v>Единадесет изнесен пътуващ семинар на УниБИТ - Гърция, 29.05-05.06.2017, стр.121-124 ISSN : 2367-7988</v>
      </c>
      <c r="F1903" s="10"/>
      <c r="G1903" s="10" t="str">
        <f ca="1">IFERROR(__xludf.DUMMYFUNCTION("""COMPUTED_VALUE"""),"Росен П. Тошев")</f>
        <v>Росен П. Тошев</v>
      </c>
      <c r="H1903" s="10"/>
      <c r="I1903" s="10"/>
      <c r="J1903" s="10"/>
      <c r="K1903" s="10"/>
      <c r="L1903" s="10"/>
      <c r="M1903" s="10"/>
      <c r="N1903" s="10"/>
      <c r="O1903" s="10"/>
      <c r="P1903" s="10"/>
      <c r="Q1903" s="10"/>
      <c r="R1903" s="10"/>
      <c r="S1903" s="10"/>
      <c r="T1903" s="10"/>
      <c r="U1903" s="10"/>
      <c r="V1903" s="10"/>
      <c r="W1903" s="10"/>
      <c r="X1903" s="10"/>
      <c r="Y1903" s="10"/>
      <c r="Z1903" s="10"/>
    </row>
    <row r="1904" spans="1:26" ht="12.75">
      <c r="A1904" s="10" t="str">
        <f ca="1">IFERROR(__xludf.DUMMYFUNCTION("""COMPUTED_VALUE"""),"Георги Петров Димитров")</f>
        <v>Георги Петров Димитров</v>
      </c>
      <c r="B1904" s="10" t="str">
        <f ca="1">IFERROR(__xludf.DUMMYFUNCTION("""COMPUTED_VALUE"""),"Доклад от конференция")</f>
        <v>Доклад от конференция</v>
      </c>
      <c r="C1904" s="10" t="str">
        <f ca="1">IFERROR(__xludf.DUMMYFUNCTION("""COMPUTED_VALUE"""),"The Possibility of Using ""Video Board"" in the Classroom")</f>
        <v>The Possibility of Using "Video Board" in the Classroom</v>
      </c>
      <c r="D1904" s="10">
        <f ca="1">IFERROR(__xludf.DUMMYFUNCTION("""COMPUTED_VALUE"""),2017)</f>
        <v>2017</v>
      </c>
      <c r="E1904" s="10" t="str">
        <f ca="1">IFERROR(__xludf.DUMMYFUNCTION("""COMPUTED_VALUE"""),"Proceedings of the 58th Annual Scientific, IЕЕЕ 58th International Scientific Conference of Riga Technical University on Power and Electrical Engineering RTUCON2017 11-13.10.2017 , Рига, Латвия Electronic ISBN: 978-1-5386-3846-0 USB ISBN: 978-1-5386-3844-"&amp;"6 Print on Demand(PoD) ISBN: 978-1-5386-3847-7")</f>
        <v>Proceedings of the 58th Annual Scientific, IЕЕЕ 58th International Scientific Conference of Riga Technical University on Power and Electrical Engineering RTUCON2017 11-13.10.2017 , Рига, Латвия Electronic ISBN: 978-1-5386-3846-0 USB ISBN: 978-1-5386-3844-6 Print on Demand(PoD) ISBN: 978-1-5386-3847-7</v>
      </c>
      <c r="F1904" s="10" t="str">
        <f ca="1">IFERROR(__xludf.DUMMYFUNCTION("""COMPUTED_VALUE"""),"WEB of Science")</f>
        <v>WEB of Science</v>
      </c>
      <c r="G1904" s="10" t="str">
        <f ca="1">IFERROR(__xludf.DUMMYFUNCTION("""COMPUTED_VALUE"""),"Viktor Shevchenko Oleksiy Bychkov Galina Panayotova")</f>
        <v>Viktor Shevchenko Oleksiy Bychkov Galina Panayotova</v>
      </c>
      <c r="H1904" s="10"/>
      <c r="I1904" s="10"/>
      <c r="J1904" s="10"/>
      <c r="K1904" s="10"/>
      <c r="L1904" s="10"/>
      <c r="M1904" s="10"/>
      <c r="N1904" s="10"/>
      <c r="O1904" s="10"/>
      <c r="P1904" s="10"/>
      <c r="Q1904" s="10"/>
      <c r="R1904" s="10"/>
      <c r="S1904" s="10"/>
      <c r="T1904" s="10"/>
      <c r="U1904" s="10"/>
      <c r="V1904" s="10"/>
      <c r="W1904" s="10"/>
      <c r="X1904" s="10"/>
      <c r="Y1904" s="10"/>
      <c r="Z1904" s="10"/>
    </row>
    <row r="1905" spans="1:26" ht="12.75">
      <c r="A1905" s="10" t="str">
        <f ca="1">IFERROR(__xludf.DUMMYFUNCTION("""COMPUTED_VALUE"""),"Георги Петров Димитров")</f>
        <v>Георги Петров Димитров</v>
      </c>
      <c r="B1905" s="10" t="str">
        <f ca="1">IFERROR(__xludf.DUMMYFUNCTION("""COMPUTED_VALUE"""),"Доклад от конференция")</f>
        <v>Доклад от конференция</v>
      </c>
      <c r="C1905" s="10" t="str">
        <f ca="1">IFERROR(__xludf.DUMMYFUNCTION("""COMPUTED_VALUE"""),"Approaches for optimization of WEB pages loading via analysis of the speed of requests to the database")</f>
        <v>Approaches for optimization of WEB pages loading via analysis of the speed of requests to the database</v>
      </c>
      <c r="D1905" s="10">
        <f ca="1">IFERROR(__xludf.DUMMYFUNCTION("""COMPUTED_VALUE"""),2017)</f>
        <v>2017</v>
      </c>
      <c r="E1905" s="10" t="str">
        <f ca="1">IFERROR(__xludf.DUMMYFUNCTION("""COMPUTED_VALUE"""),"Proceedings of The Fourth International Conference on Artificial Intelligence and Pattern Recognition (AIPR2017), Lodz, Poland, 2017, ISBN: 978-1-941968-43-7©2017 SDIWC, p. 57 - 63")</f>
        <v>Proceedings of The Fourth International Conference on Artificial Intelligence and Pattern Recognition (AIPR2017), Lodz, Poland, 2017, ISBN: 978-1-941968-43-7©2017 SDIWC, p. 57 - 63</v>
      </c>
      <c r="F1905" s="10"/>
      <c r="G1905" s="10" t="str">
        <f ca="1">IFERROR(__xludf.DUMMYFUNCTION("""COMPUTED_VALUE"""),"Galina Panayotova Iva Kostadinova")</f>
        <v>Galina Panayotova Iva Kostadinova</v>
      </c>
      <c r="H1905" s="10"/>
      <c r="I1905" s="10"/>
      <c r="J1905" s="10"/>
      <c r="K1905" s="10"/>
      <c r="L1905" s="10"/>
      <c r="M1905" s="10"/>
      <c r="N1905" s="10"/>
      <c r="O1905" s="10"/>
      <c r="P1905" s="10"/>
      <c r="Q1905" s="10"/>
      <c r="R1905" s="10"/>
      <c r="S1905" s="10"/>
      <c r="T1905" s="10"/>
      <c r="U1905" s="10"/>
      <c r="V1905" s="10"/>
      <c r="W1905" s="10"/>
      <c r="X1905" s="10"/>
      <c r="Y1905" s="10"/>
      <c r="Z1905" s="10"/>
    </row>
    <row r="1906" spans="1:26" ht="12.75">
      <c r="A1906" s="10" t="str">
        <f ca="1">IFERROR(__xludf.DUMMYFUNCTION("""COMPUTED_VALUE"""),"Георги Петров Димитров")</f>
        <v>Георги Петров Димитров</v>
      </c>
      <c r="B1906" s="10" t="str">
        <f ca="1">IFERROR(__xludf.DUMMYFUNCTION("""COMPUTED_VALUE"""),"Доклад от конференция")</f>
        <v>Доклад от конференция</v>
      </c>
      <c r="C1906" s="10" t="str">
        <f ca="1">IFERROR(__xludf.DUMMYFUNCTION("""COMPUTED_VALUE"""),"Combined neural network model for real estate market range value estimation")</f>
        <v>Combined neural network model for real estate market range value estimation</v>
      </c>
      <c r="D1906" s="10">
        <f ca="1">IFERROR(__xludf.DUMMYFUNCTION("""COMPUTED_VALUE"""),2017)</f>
        <v>2017</v>
      </c>
      <c r="E1906" s="10" t="str">
        <f ca="1">IFERROR(__xludf.DUMMYFUNCTION("""COMPUTED_VALUE"""),"Proceedings of The Fourth International Conference on Artificial Intelligence and Pattern Recognition (AIPR2017), Lodz, Poland, 2017, ISBN:978-1-941968-43-7")</f>
        <v>Proceedings of The Fourth International Conference on Artificial Intelligence and Pattern Recognition (AIPR2017), Lodz, Poland, 2017, ISBN:978-1-941968-43-7</v>
      </c>
      <c r="F1906" s="10" t="str">
        <f ca="1">IFERROR(__xludf.DUMMYFUNCTION("""COMPUTED_VALUE"""),"IEEE")</f>
        <v>IEEE</v>
      </c>
      <c r="G1906" s="10" t="str">
        <f ca="1">IFERROR(__xludf.DUMMYFUNCTION("""COMPUTED_VALUE"""),"V.Yakubovskyi Oleksiy Bychkov Galina Panayotova")</f>
        <v>V.Yakubovskyi Oleksiy Bychkov Galina Panayotova</v>
      </c>
      <c r="H1906" s="10"/>
      <c r="I1906" s="10"/>
      <c r="J1906" s="10"/>
      <c r="K1906" s="10"/>
      <c r="L1906" s="10"/>
      <c r="M1906" s="10"/>
      <c r="N1906" s="10"/>
      <c r="O1906" s="10"/>
      <c r="P1906" s="10"/>
      <c r="Q1906" s="10"/>
      <c r="R1906" s="10"/>
      <c r="S1906" s="10"/>
      <c r="T1906" s="10"/>
      <c r="U1906" s="10"/>
      <c r="V1906" s="10"/>
      <c r="W1906" s="10"/>
      <c r="X1906" s="10"/>
      <c r="Y1906" s="10"/>
      <c r="Z1906" s="10"/>
    </row>
    <row r="1907" spans="1:26" ht="12.75">
      <c r="A1907" s="10" t="str">
        <f ca="1">IFERROR(__xludf.DUMMYFUNCTION("""COMPUTED_VALUE"""),"Георги Петров Димитров")</f>
        <v>Георги Петров Димитров</v>
      </c>
      <c r="B1907" s="10" t="str">
        <f ca="1">IFERROR(__xludf.DUMMYFUNCTION("""COMPUTED_VALUE"""),"Доклад от конференция")</f>
        <v>Доклад от конференция</v>
      </c>
      <c r="C1907" s="10" t="str">
        <f ca="1">IFERROR(__xludf.DUMMYFUNCTION("""COMPUTED_VALUE"""),"Challenges in teaching "" digital "" generation in Bulgaria")</f>
        <v>Challenges in teaching " digital " generation in Bulgaria</v>
      </c>
      <c r="D1907" s="10">
        <f ca="1">IFERROR(__xludf.DUMMYFUNCTION("""COMPUTED_VALUE"""),2016)</f>
        <v>2016</v>
      </c>
      <c r="E1907" s="10" t="str">
        <f ca="1">IFERROR(__xludf.DUMMYFUNCTION("""COMPUTED_VALUE"""),"PROCEEDINGS of the The 5th Virtual International Conference on Advanced Research in Scientific Areas (ARSA-2016) Slovakia, November 7 - 11, 2016, pp.144-147, eISSN: 2453-6962, cdISSN: 1338-9831, ISBN: 978-80-554-1284-9")</f>
        <v>PROCEEDINGS of the The 5th Virtual International Conference on Advanced Research in Scientific Areas (ARSA-2016) Slovakia, November 7 - 11, 2016, pp.144-147, eISSN: 2453-6962, cdISSN: 1338-9831, ISBN: 978-80-554-1284-9</v>
      </c>
      <c r="F1907" s="10"/>
      <c r="G1907" s="10" t="str">
        <f ca="1">IFERROR(__xludf.DUMMYFUNCTION("""COMPUTED_VALUE"""),"Iva Kostadinova, Bychkov OS")</f>
        <v>Iva Kostadinova, Bychkov OS</v>
      </c>
      <c r="H1907" s="10"/>
      <c r="I1907" s="10"/>
      <c r="J1907" s="10"/>
      <c r="K1907" s="10"/>
      <c r="L1907" s="10"/>
      <c r="M1907" s="10"/>
      <c r="N1907" s="10"/>
      <c r="O1907" s="10"/>
      <c r="P1907" s="10"/>
      <c r="Q1907" s="10"/>
      <c r="R1907" s="10"/>
      <c r="S1907" s="10"/>
      <c r="T1907" s="10"/>
      <c r="U1907" s="10"/>
      <c r="V1907" s="10"/>
      <c r="W1907" s="10"/>
      <c r="X1907" s="10"/>
      <c r="Y1907" s="10"/>
      <c r="Z1907" s="10"/>
    </row>
    <row r="1908" spans="1:26" ht="12.75">
      <c r="A1908" s="10" t="str">
        <f ca="1">IFERROR(__xludf.DUMMYFUNCTION("""COMPUTED_VALUE"""),"Георги Петров Димитров")</f>
        <v>Георги Петров Димитров</v>
      </c>
      <c r="B1908" s="10" t="str">
        <f ca="1">IFERROR(__xludf.DUMMYFUNCTION("""COMPUTED_VALUE"""),"Доклад от конференция")</f>
        <v>Доклад от конференция</v>
      </c>
      <c r="C1908" s="10" t="str">
        <f ca="1">IFERROR(__xludf.DUMMYFUNCTION("""COMPUTED_VALUE"""),"General neural network model for comparative approach to tangible and intangible assets valuation")</f>
        <v>General neural network model for comparative approach to tangible and intangible assets valuation</v>
      </c>
      <c r="D1908" s="10">
        <f ca="1">IFERROR(__xludf.DUMMYFUNCTION("""COMPUTED_VALUE"""),2016)</f>
        <v>2016</v>
      </c>
      <c r="E1908" s="10" t="str">
        <f ca="1">IFERROR(__xludf.DUMMYFUNCTION("""COMPUTED_VALUE"""),"ATTENTIS 2016, EDIS - Publishing Institution of the University of Zilina, Univerzitna 101026 Zilina, Slovak Republic,www.conference-gate.com, I SBN: 978-80-554-1302-0 , p. 47")</f>
        <v>ATTENTIS 2016, EDIS - Publishing Institution of the University of Zilina, Univerzitna 101026 Zilina, Slovak Republic,www.conference-gate.com, I SBN: 978-80-554-1302-0 , p. 47</v>
      </c>
      <c r="F1908" s="10"/>
      <c r="G1908" s="10" t="str">
        <f ca="1">IFERROR(__xludf.DUMMYFUNCTION("""COMPUTED_VALUE"""),"Yakubovskyi V.V., Bychkov O.S., P. Petrov, S. S. Tsankov Shcherba A.O.")</f>
        <v>Yakubovskyi V.V., Bychkov O.S., P. Petrov, S. S. Tsankov Shcherba A.O.</v>
      </c>
      <c r="H1908" s="10"/>
      <c r="I1908" s="10"/>
      <c r="J1908" s="10"/>
      <c r="K1908" s="10"/>
      <c r="L1908" s="10"/>
      <c r="M1908" s="10"/>
      <c r="N1908" s="10"/>
      <c r="O1908" s="10"/>
      <c r="P1908" s="10"/>
      <c r="Q1908" s="10"/>
      <c r="R1908" s="10"/>
      <c r="S1908" s="10"/>
      <c r="T1908" s="10"/>
      <c r="U1908" s="10"/>
      <c r="V1908" s="10"/>
      <c r="W1908" s="10"/>
      <c r="X1908" s="10"/>
      <c r="Y1908" s="10"/>
      <c r="Z1908" s="10"/>
    </row>
    <row r="1909" spans="1:26" ht="12.75">
      <c r="A1909" s="10" t="str">
        <f ca="1">IFERROR(__xludf.DUMMYFUNCTION("""COMPUTED_VALUE"""),"Георги Петров Димитров")</f>
        <v>Георги Петров Димитров</v>
      </c>
      <c r="B1909" s="10" t="str">
        <f ca="1">IFERROR(__xludf.DUMMYFUNCTION("""COMPUTED_VALUE"""),"Статия в списания и поредици")</f>
        <v>Статия в списания и поредици</v>
      </c>
      <c r="C1909" s="10" t="str">
        <f ca="1">IFERROR(__xludf.DUMMYFUNCTION("""COMPUTED_VALUE"""),"ONE APPROACH FOR DETERMINING THE FINAL EVALUATION CRITERIA FOR INSTITUTIONAL ACCREDITATION OF A HIGHER SCHOOL THROUGH INTELLIGENT DATA PROCESSING")</f>
        <v>ONE APPROACH FOR DETERMINING THE FINAL EVALUATION CRITERIA FOR INSTITUTIONAL ACCREDITATION OF A HIGHER SCHOOL THROUGH INTELLIGENT DATA PROCESSING</v>
      </c>
      <c r="D1909" s="10">
        <f ca="1">IFERROR(__xludf.DUMMYFUNCTION("""COMPUTED_VALUE"""),2016)</f>
        <v>2016</v>
      </c>
      <c r="E1909" s="10" t="str">
        <f ca="1">IFERROR(__xludf.DUMMYFUNCTION("""COMPUTED_VALUE"""),"PROCEEDINGS of the Union of Scientists – Ruse. Book 5 Mathematics, Informatics and Physics, Volume 13, 2016 - ISSN 1314-3077, с. 112-117")</f>
        <v>PROCEEDINGS of the Union of Scientists – Ruse. Book 5 Mathematics, Informatics and Physics, Volume 13, 2016 - ISSN 1314-3077, с. 112-117</v>
      </c>
      <c r="F1909" s="10"/>
      <c r="G1909" s="10" t="str">
        <f ca="1">IFERROR(__xludf.DUMMYFUNCTION("""COMPUTED_VALUE"""),"As. Yoana Ilieva Hadzhiyska, Prof. Ivan Tomov Ivanov, PhD, Prof. Georgi Petrov Dimitrov, PhD, Assoc. prof Bychkov")</f>
        <v>As. Yoana Ilieva Hadzhiyska, Prof. Ivan Tomov Ivanov, PhD, Prof. Georgi Petrov Dimitrov, PhD, Assoc. prof Bychkov</v>
      </c>
      <c r="H1909" s="10"/>
      <c r="I1909" s="10"/>
      <c r="J1909" s="10"/>
      <c r="K1909" s="10"/>
      <c r="L1909" s="10"/>
      <c r="M1909" s="10"/>
      <c r="N1909" s="10"/>
      <c r="O1909" s="10"/>
      <c r="P1909" s="10"/>
      <c r="Q1909" s="10"/>
      <c r="R1909" s="10"/>
      <c r="S1909" s="10"/>
      <c r="T1909" s="10"/>
      <c r="U1909" s="10"/>
      <c r="V1909" s="10"/>
      <c r="W1909" s="10"/>
      <c r="X1909" s="10"/>
      <c r="Y1909" s="10"/>
      <c r="Z1909" s="10"/>
    </row>
    <row r="1910" spans="1:26" ht="12.75">
      <c r="A1910" s="10" t="str">
        <f ca="1">IFERROR(__xludf.DUMMYFUNCTION("""COMPUTED_VALUE"""),"Георги Петров Димитров")</f>
        <v>Георги Петров Димитров</v>
      </c>
      <c r="B1910" s="10" t="str">
        <f ca="1">IFERROR(__xludf.DUMMYFUNCTION("""COMPUTED_VALUE"""),"Доклад от конференция")</f>
        <v>Доклад от конференция</v>
      </c>
      <c r="C1910" s="10" t="str">
        <f ca="1">IFERROR(__xludf.DUMMYFUNCTION("""COMPUTED_VALUE"""),"MODEL FOR BUILDING COMPETENCIES THROUGH AN ELECTRONIC SYSTEM FOR ASSESSMENT OF KNOWLEDGE")</f>
        <v>MODEL FOR BUILDING COMPETENCIES THROUGH AN ELECTRONIC SYSTEM FOR ASSESSMENT OF KNOWLEDGE</v>
      </c>
      <c r="D1910" s="10">
        <f ca="1">IFERROR(__xludf.DUMMYFUNCTION("""COMPUTED_VALUE"""),2016)</f>
        <v>2016</v>
      </c>
      <c r="E1910" s="10" t="str">
        <f ca="1">IFERROR(__xludf.DUMMYFUNCTION("""COMPUTED_VALUE"""),"10TH INTERNATIONAL CONFERENCE OF EDUCATION, RESEARCH AND INNOVATION (ICERI2017), Edited by:Chova, LG; Martinez, AL; Torres, IC, Book Series: ICERI Proceedings, Pages: 430-436, Published:2017, Document Type:Proceedings Paper, Conference: 10th Annual Intern"&amp;"ational Conference of Education, Research and Innovation (ICERI), Seville, SPAIN, NOV 16-18, 2017 ISBN: 978-84-697-6957-7 / ISSN: 2340-1095")</f>
        <v>10TH INTERNATIONAL CONFERENCE OF EDUCATION, RESEARCH AND INNOVATION (ICERI2017), Edited by:Chova, LG; Martinez, AL; Torres, IC, Book Series: ICERI Proceedings, Pages: 430-436, Published:2017, Document Type:Proceedings Paper, Conference: 10th Annual International Conference of Education, Research and Innovation (ICERI), Seville, SPAIN, NOV 16-18, 2017 ISBN: 978-84-697-6957-7 / ISSN: 2340-1095</v>
      </c>
      <c r="F1910" s="10" t="str">
        <f ca="1">IFERROR(__xludf.DUMMYFUNCTION("""COMPUTED_VALUE"""),"WEB of Sciense")</f>
        <v>WEB of Sciense</v>
      </c>
      <c r="G1910" s="10" t="str">
        <f ca="1">IFERROR(__xludf.DUMMYFUNCTION("""COMPUTED_VALUE"""),"Kostadinova, I Getova, I Nikolova, B")</f>
        <v>Kostadinova, I Getova, I Nikolova, B</v>
      </c>
      <c r="H1910" s="10"/>
      <c r="I1910" s="10"/>
      <c r="J1910" s="10"/>
      <c r="K1910" s="10"/>
      <c r="L1910" s="10"/>
      <c r="M1910" s="10"/>
      <c r="N1910" s="10"/>
      <c r="O1910" s="10"/>
      <c r="P1910" s="10"/>
      <c r="Q1910" s="10"/>
      <c r="R1910" s="10"/>
      <c r="S1910" s="10"/>
      <c r="T1910" s="10"/>
      <c r="U1910" s="10"/>
      <c r="V1910" s="10"/>
      <c r="W1910" s="10"/>
      <c r="X1910" s="10"/>
      <c r="Y1910" s="10"/>
      <c r="Z1910" s="10"/>
    </row>
    <row r="1911" spans="1:26" ht="12.75">
      <c r="A1911" s="10" t="str">
        <f ca="1">IFERROR(__xludf.DUMMYFUNCTION("""COMPUTED_VALUE"""),"Георги Петров Димитров")</f>
        <v>Георги Петров Димитров</v>
      </c>
      <c r="B1911" s="10" t="str">
        <f ca="1">IFERROR(__xludf.DUMMYFUNCTION("""COMPUTED_VALUE"""),"Доклад от конференция")</f>
        <v>Доклад от конференция</v>
      </c>
      <c r="C1911" s="10" t="str">
        <f ca="1">IFERROR(__xludf.DUMMYFUNCTION("""COMPUTED_VALUE"""),"Modern online resources - factor for development of the information competency of the students")</f>
        <v>Modern online resources - factor for development of the information competency of the students</v>
      </c>
      <c r="D1911" s="10">
        <f ca="1">IFERROR(__xludf.DUMMYFUNCTION("""COMPUTED_VALUE"""),2016)</f>
        <v>2016</v>
      </c>
      <c r="E1911" s="10" t="str">
        <f ca="1">IFERROR(__xludf.DUMMYFUNCTION("""COMPUTED_VALUE"""),"UNESCO International Workshop QED’16: Technology Advanced Quality Learning for ALL, 13-15 June, 2016, Sofia, Bulgaria")</f>
        <v>UNESCO International Workshop QED’16: Technology Advanced Quality Learning for ALL, 13-15 June, 2016, Sofia, Bulgaria</v>
      </c>
      <c r="F1911" s="10"/>
      <c r="G1911" s="10" t="str">
        <f ca="1">IFERROR(__xludf.DUMMYFUNCTION("""COMPUTED_VALUE"""),"Svetlozar Stefanov Tsankov Galina Panayotova")</f>
        <v>Svetlozar Stefanov Tsankov Galina Panayotova</v>
      </c>
      <c r="H1911" s="10"/>
      <c r="I1911" s="10"/>
      <c r="J1911" s="10"/>
      <c r="K1911" s="10"/>
      <c r="L1911" s="10"/>
      <c r="M1911" s="10"/>
      <c r="N1911" s="10"/>
      <c r="O1911" s="10"/>
      <c r="P1911" s="10"/>
      <c r="Q1911" s="10"/>
      <c r="R1911" s="10"/>
      <c r="S1911" s="10"/>
      <c r="T1911" s="10"/>
      <c r="U1911" s="10"/>
      <c r="V1911" s="10"/>
      <c r="W1911" s="10"/>
      <c r="X1911" s="10"/>
      <c r="Y1911" s="10"/>
      <c r="Z1911" s="10"/>
    </row>
    <row r="1912" spans="1:26" ht="12.75">
      <c r="A1912" s="10" t="str">
        <f ca="1">IFERROR(__xludf.DUMMYFUNCTION("""COMPUTED_VALUE"""),"Георги Петров Димитров")</f>
        <v>Георги Петров Димитров</v>
      </c>
      <c r="B1912" s="10" t="str">
        <f ca="1">IFERROR(__xludf.DUMMYFUNCTION("""COMPUTED_VALUE"""),"Доклад от конференция")</f>
        <v>Доклад от конференция</v>
      </c>
      <c r="C1912" s="10" t="str">
        <f ca="1">IFERROR(__xludf.DUMMYFUNCTION("""COMPUTED_VALUE"""),"Didactic Bases for Using E-learning Resources for Raising the Quality of Training")</f>
        <v>Didactic Bases for Using E-learning Resources for Raising the Quality of Training</v>
      </c>
      <c r="D1912" s="10">
        <f ca="1">IFERROR(__xludf.DUMMYFUNCTION("""COMPUTED_VALUE"""),2016)</f>
        <v>2016</v>
      </c>
      <c r="E1912" s="10" t="str">
        <f ca="1">IFERROR(__xludf.DUMMYFUNCTION("""COMPUTED_VALUE"""),"UNESCO International Workshop QED’16: Technology Advanced Quality Learning for ALL, 13-15 June, 2016, Sofia, Bulgaria")</f>
        <v>UNESCO International Workshop QED’16: Technology Advanced Quality Learning for ALL, 13-15 June, 2016, Sofia, Bulgaria</v>
      </c>
      <c r="F1912" s="10"/>
      <c r="G1912" s="10" t="str">
        <f ca="1">IFERROR(__xludf.DUMMYFUNCTION("""COMPUTED_VALUE"""),"Svetlozar Stefanov Tsankov Galina Panayotova")</f>
        <v>Svetlozar Stefanov Tsankov Galina Panayotova</v>
      </c>
      <c r="H1912" s="10"/>
      <c r="I1912" s="10"/>
      <c r="J1912" s="10"/>
      <c r="K1912" s="10"/>
      <c r="L1912" s="10"/>
      <c r="M1912" s="10"/>
      <c r="N1912" s="10"/>
      <c r="O1912" s="10"/>
      <c r="P1912" s="10"/>
      <c r="Q1912" s="10"/>
      <c r="R1912" s="10"/>
      <c r="S1912" s="10"/>
      <c r="T1912" s="10"/>
      <c r="U1912" s="10"/>
      <c r="V1912" s="10"/>
      <c r="W1912" s="10"/>
      <c r="X1912" s="10"/>
      <c r="Y1912" s="10"/>
      <c r="Z1912" s="10"/>
    </row>
    <row r="1913" spans="1:26" ht="12.75">
      <c r="A1913" s="10" t="str">
        <f ca="1">IFERROR(__xludf.DUMMYFUNCTION("""COMPUTED_VALUE"""),"Георги Петров Димитров")</f>
        <v>Георги Петров Димитров</v>
      </c>
      <c r="B1913" s="10" t="str">
        <f ca="1">IFERROR(__xludf.DUMMYFUNCTION("""COMPUTED_VALUE"""),"Доклад от конференция")</f>
        <v>Доклад от конференция</v>
      </c>
      <c r="C1913" s="10" t="str">
        <f ca="1">IFERROR(__xludf.DUMMYFUNCTION("""COMPUTED_VALUE"""),"RESIDENCE AND THE SOCIAL ENVIRONMENT AS A FACTOR AFFECTING DIGITAL SKILLS AND COMPETENCE IN BULGARIA. STEPS AND METHODS TO OVERCOME THE PROBLEM")</f>
        <v>RESIDENCE AND THE SOCIAL ENVIRONMENT AS A FACTOR AFFECTING DIGITAL SKILLS AND COMPETENCE IN BULGARIA. STEPS AND METHODS TO OVERCOME THE PROBLEM</v>
      </c>
      <c r="D1913" s="10">
        <f ca="1">IFERROR(__xludf.DUMMYFUNCTION("""COMPUTED_VALUE"""),2016)</f>
        <v>2016</v>
      </c>
      <c r="E1913" s="10" t="str">
        <f ca="1">IFERROR(__xludf.DUMMYFUNCTION("""COMPUTED_VALUE"""),"October 2016, DOI: 0.21125/iceri.2016.1378, Conference: ICERI 2016 ISBN: 978-84-617-5895-1 ISSN: 2340-1095")</f>
        <v>October 2016, DOI: 0.21125/iceri.2016.1378, Conference: ICERI 2016 ISBN: 978-84-617-5895-1 ISSN: 2340-1095</v>
      </c>
      <c r="F1913" s="10" t="str">
        <f ca="1">IFERROR(__xludf.DUMMYFUNCTION("""COMPUTED_VALUE"""),"WEB of Sciense")</f>
        <v>WEB of Sciense</v>
      </c>
      <c r="G1913" s="10" t="str">
        <f ca="1">IFERROR(__xludf.DUMMYFUNCTION("""COMPUTED_VALUE"""),"Iva Kostadinova Katia Rasheva-Yordanova")</f>
        <v>Iva Kostadinova Katia Rasheva-Yordanova</v>
      </c>
      <c r="H1913" s="10"/>
      <c r="I1913" s="10"/>
      <c r="J1913" s="10"/>
      <c r="K1913" s="10"/>
      <c r="L1913" s="10"/>
      <c r="M1913" s="10"/>
      <c r="N1913" s="10"/>
      <c r="O1913" s="10"/>
      <c r="P1913" s="10"/>
      <c r="Q1913" s="10"/>
      <c r="R1913" s="10"/>
      <c r="S1913" s="10"/>
      <c r="T1913" s="10"/>
      <c r="U1913" s="10"/>
      <c r="V1913" s="10"/>
      <c r="W1913" s="10"/>
      <c r="X1913" s="10"/>
      <c r="Y1913" s="10"/>
      <c r="Z1913" s="10"/>
    </row>
    <row r="1914" spans="1:26" ht="12.75">
      <c r="A1914" s="10" t="str">
        <f ca="1">IFERROR(__xludf.DUMMYFUNCTION("""COMPUTED_VALUE"""),"Георги Петров Димитров")</f>
        <v>Георги Петров Димитров</v>
      </c>
      <c r="B1914" s="10" t="str">
        <f ca="1">IFERROR(__xludf.DUMMYFUNCTION("""COMPUTED_VALUE"""),"Доклад от конференция")</f>
        <v>Доклад от конференция</v>
      </c>
      <c r="C1914" s="10" t="str">
        <f ca="1">IFERROR(__xludf.DUMMYFUNCTION("""COMPUTED_VALUE"""),"Development of mathematical methods and software complex forecasting difference of the lengths of the lower limbs and the effect of treatment for diseases of the constant growth retardation")</f>
        <v>Development of mathematical methods and software complex forecasting difference of the lengths of the lower limbs and the effect of treatment for diseases of the constant growth retardation</v>
      </c>
      <c r="D1914" s="10">
        <f ca="1">IFERROR(__xludf.DUMMYFUNCTION("""COMPUTED_VALUE"""),2016)</f>
        <v>2016</v>
      </c>
      <c r="E1914" s="10"/>
      <c r="F1914" s="10"/>
      <c r="G1914" s="10" t="str">
        <f ca="1">IFERROR(__xludf.DUMMYFUNCTION("""COMPUTED_VALUE"""),"Доц. Бичко, Ал Проф. д-р Г. П. Димитров Панайотова Г.")</f>
        <v>Доц. Бичко, Ал Проф. д-р Г. П. Димитров Панайотова Г.</v>
      </c>
      <c r="H1914" s="10"/>
      <c r="I1914" s="10"/>
      <c r="J1914" s="10"/>
      <c r="K1914" s="10"/>
      <c r="L1914" s="10"/>
      <c r="M1914" s="10"/>
      <c r="N1914" s="10"/>
      <c r="O1914" s="10"/>
      <c r="P1914" s="10"/>
      <c r="Q1914" s="10"/>
      <c r="R1914" s="10"/>
      <c r="S1914" s="10"/>
      <c r="T1914" s="10"/>
      <c r="U1914" s="10"/>
      <c r="V1914" s="10"/>
      <c r="W1914" s="10"/>
      <c r="X1914" s="10"/>
      <c r="Y1914" s="10"/>
      <c r="Z1914" s="10"/>
    </row>
    <row r="1915" spans="1:26" ht="12.75">
      <c r="A1915" s="10" t="str">
        <f ca="1">IFERROR(__xludf.DUMMYFUNCTION("""COMPUTED_VALUE"""),"Георги Петров Димитров")</f>
        <v>Георги Петров Димитров</v>
      </c>
      <c r="B1915" s="10" t="str">
        <f ca="1">IFERROR(__xludf.DUMMYFUNCTION("""COMPUTED_VALUE"""),"Статия в списания и поредици")</f>
        <v>Статия в списания и поредици</v>
      </c>
      <c r="C1915" s="10" t="str">
        <f ca="1">IFERROR(__xludf.DUMMYFUNCTION("""COMPUTED_VALUE"""),"Good practices in the learning process of ""digital"" generation in Bulgaria")</f>
        <v>Good practices in the learning process of "digital" generation in Bulgaria</v>
      </c>
      <c r="D1915" s="10">
        <f ca="1">IFERROR(__xludf.DUMMYFUNCTION("""COMPUTED_VALUE"""),2016)</f>
        <v>2016</v>
      </c>
      <c r="E1915" s="10" t="str">
        <f ca="1">IFERROR(__xludf.DUMMYFUNCTION("""COMPUTED_VALUE"""),", PROCEEDINGS of the Union of Scientists – Ruse. Book 5 Mathematics, Informatics and Physics, Volume 13, 2016 – ISSN 1314-3077, с. 99-105")</f>
        <v>, PROCEEDINGS of the Union of Scientists – Ruse. Book 5 Mathematics, Informatics and Physics, Volume 13, 2016 – ISSN 1314-3077, с. 99-105</v>
      </c>
      <c r="F1915" s="10"/>
      <c r="G1915" s="10" t="str">
        <f ca="1">IFERROR(__xludf.DUMMYFUNCTION("""COMPUTED_VALUE"""),"Iva Kostadinova")</f>
        <v>Iva Kostadinova</v>
      </c>
      <c r="H1915" s="10"/>
      <c r="I1915" s="10"/>
      <c r="J1915" s="10"/>
      <c r="K1915" s="10"/>
      <c r="L1915" s="10"/>
      <c r="M1915" s="10"/>
      <c r="N1915" s="10"/>
      <c r="O1915" s="10"/>
      <c r="P1915" s="10"/>
      <c r="Q1915" s="10"/>
      <c r="R1915" s="10"/>
      <c r="S1915" s="10"/>
      <c r="T1915" s="10"/>
      <c r="U1915" s="10"/>
      <c r="V1915" s="10"/>
      <c r="W1915" s="10"/>
      <c r="X1915" s="10"/>
      <c r="Y1915" s="10"/>
      <c r="Z1915" s="10"/>
    </row>
    <row r="1916" spans="1:26" ht="12.75">
      <c r="A1916" s="10" t="str">
        <f ca="1">IFERROR(__xludf.DUMMYFUNCTION("""COMPUTED_VALUE"""),"Георги Петров Димитров")</f>
        <v>Георги Петров Димитров</v>
      </c>
      <c r="B1916" s="10" t="str">
        <f ca="1">IFERROR(__xludf.DUMMYFUNCTION("""COMPUTED_VALUE"""),"Доклад от конференция")</f>
        <v>Доклад от конференция</v>
      </c>
      <c r="C1916" s="10" t="str">
        <f ca="1">IFERROR(__xludf.DUMMYFUNCTION("""COMPUTED_VALUE"""),"Performance analysis of the method for social search of information in university information systems")</f>
        <v>Performance analysis of the method for social search of information in university information systems</v>
      </c>
      <c r="D1916" s="10">
        <f ca="1">IFERROR(__xludf.DUMMYFUNCTION("""COMPUTED_VALUE"""),2016)</f>
        <v>2016</v>
      </c>
      <c r="E1916" s="10" t="str">
        <f ca="1">IFERROR(__xludf.DUMMYFUNCTION("""COMPUTED_VALUE"""),"Artificial Intelligence and Pattern Recognition (AIPR), International Conference on, Date of Conference: 19-21 Sept. 2016, Date Added to IEEE Xplore: 13 October 2016, ISBN Information: Electronic ISBN: 978-1-4673-9187-0; CD-ROM ISBN: 978-1-4673-9186-3, Pr"&amp;"int on Demand(PoD) ISBN: 978-1-4673-9188-7")</f>
        <v>Artificial Intelligence and Pattern Recognition (AIPR), International Conference on, Date of Conference: 19-21 Sept. 2016, Date Added to IEEE Xplore: 13 October 2016, ISBN Information: Electronic ISBN: 978-1-4673-9187-0; CD-ROM ISBN: 978-1-4673-9186-3, Print on Demand(PoD) ISBN: 978-1-4673-9188-7</v>
      </c>
      <c r="F1916" s="10" t="str">
        <f ca="1">IFERROR(__xludf.DUMMYFUNCTION("""COMPUTED_VALUE"""),"WEB of Sciense
 IEEE")</f>
        <v>WEB of Sciense
 IEEE</v>
      </c>
      <c r="G1916" s="10" t="str">
        <f ca="1">IFERROR(__xludf.DUMMYFUNCTION("""COMPUTED_VALUE"""),"Panayotova, G Garvanov, I Bychkov, OS Petrov, P Angelov, A")</f>
        <v>Panayotova, G Garvanov, I Bychkov, OS Petrov, P Angelov, A</v>
      </c>
      <c r="H1916" s="10"/>
      <c r="I1916" s="10"/>
      <c r="J1916" s="10"/>
      <c r="K1916" s="10"/>
      <c r="L1916" s="10"/>
      <c r="M1916" s="10"/>
      <c r="N1916" s="10"/>
      <c r="O1916" s="10"/>
      <c r="P1916" s="10"/>
      <c r="Q1916" s="10"/>
      <c r="R1916" s="10"/>
      <c r="S1916" s="10"/>
      <c r="T1916" s="10"/>
      <c r="U1916" s="10"/>
      <c r="V1916" s="10"/>
      <c r="W1916" s="10"/>
      <c r="X1916" s="10"/>
      <c r="Y1916" s="10"/>
      <c r="Z1916" s="10"/>
    </row>
    <row r="1917" spans="1:26" ht="12.75">
      <c r="A1917" s="10" t="str">
        <f ca="1">IFERROR(__xludf.DUMMYFUNCTION("""COMPUTED_VALUE"""),"Георги Петров Димитров")</f>
        <v>Георги Петров Димитров</v>
      </c>
      <c r="B1917" s="10" t="str">
        <f ca="1">IFERROR(__xludf.DUMMYFUNCTION("""COMPUTED_VALUE"""),"Доклад от конференция")</f>
        <v>Доклад от конференция</v>
      </c>
      <c r="C1917" s="10" t="str">
        <f ca="1">IFERROR(__xludf.DUMMYFUNCTION("""COMPUTED_VALUE"""),"RESEARCH OF THE IMPACT OF INTERACTIVE EDUCATIONAL MULTIMEDIA ON STUDENT’S MOTIVATION TO STUDY DIFFERENT INFORMATICS DISCIPLINES,")</f>
        <v>RESEARCH OF THE IMPACT OF INTERACTIVE EDUCATIONAL MULTIMEDIA ON STUDENT’S MOTIVATION TO STUDY DIFFERENT INFORMATICS DISCIPLINES,</v>
      </c>
      <c r="D1917" s="10">
        <f ca="1">IFERROR(__xludf.DUMMYFUNCTION("""COMPUTED_VALUE"""),2016)</f>
        <v>2016</v>
      </c>
      <c r="E1917" s="10" t="str">
        <f ca="1">IFERROR(__xludf.DUMMYFUNCTION("""COMPUTED_VALUE"""),": 10th International Technology, Education and Development Conference, Dates: 7-9 March, 2016, Location: Valencia, Spain ISBN: 978-84-608-5617-7 ISSN: 2340-1079 doi: 10.21125/inted.2016.0384")</f>
        <v>: 10th International Technology, Education and Development Conference, Dates: 7-9 March, 2016, Location: Valencia, Spain ISBN: 978-84-608-5617-7 ISSN: 2340-1079 doi: 10.21125/inted.2016.0384</v>
      </c>
      <c r="F1917" s="10" t="str">
        <f ca="1">IFERROR(__xludf.DUMMYFUNCTION("""COMPUTED_VALUE"""),"WEB of Sciense")</f>
        <v>WEB of Sciense</v>
      </c>
      <c r="G1917" s="10" t="str">
        <f ca="1">IFERROR(__xludf.DUMMYFUNCTION("""COMPUTED_VALUE"""),"S. Tsankov, V. Voinohovska")</f>
        <v>S. Tsankov, V. Voinohovska</v>
      </c>
      <c r="H1917" s="10"/>
      <c r="I1917" s="10"/>
      <c r="J1917" s="10"/>
      <c r="K1917" s="10"/>
      <c r="L1917" s="10"/>
      <c r="M1917" s="10"/>
      <c r="N1917" s="10"/>
      <c r="O1917" s="10"/>
      <c r="P1917" s="10"/>
      <c r="Q1917" s="10"/>
      <c r="R1917" s="10"/>
      <c r="S1917" s="10"/>
      <c r="T1917" s="10"/>
      <c r="U1917" s="10"/>
      <c r="V1917" s="10"/>
      <c r="W1917" s="10"/>
      <c r="X1917" s="10"/>
      <c r="Y1917" s="10"/>
      <c r="Z1917" s="10"/>
    </row>
    <row r="1918" spans="1:26" ht="12.75">
      <c r="A1918" s="10" t="str">
        <f ca="1">IFERROR(__xludf.DUMMYFUNCTION("""COMPUTED_VALUE"""),"Георги Петров Димитров")</f>
        <v>Георги Петров Димитров</v>
      </c>
      <c r="B1918" s="10" t="str">
        <f ca="1">IFERROR(__xludf.DUMMYFUNCTION("""COMPUTED_VALUE"""),"Статия в списания и поредици")</f>
        <v>Статия в списания и поредици</v>
      </c>
      <c r="C1918" s="10" t="str">
        <f ca="1">IFERROR(__xludf.DUMMYFUNCTION("""COMPUTED_VALUE"""),"Mathematical modeling human spinal. Conditions and treatment of osteoporosis")</f>
        <v>Mathematical modeling human spinal. Conditions and treatment of osteoporosis</v>
      </c>
      <c r="D1918" s="10">
        <f ca="1">IFERROR(__xludf.DUMMYFUNCTION("""COMPUTED_VALUE"""),2016)</f>
        <v>2016</v>
      </c>
      <c r="E1918" s="10"/>
      <c r="F1918" s="10"/>
      <c r="G1918" s="10" t="str">
        <f ca="1">IFERROR(__xludf.DUMMYFUNCTION("""COMPUTED_VALUE"""),"Доц. Бичко, Ал Проф. д-р Г. П. Димитров Панайотова Г.")</f>
        <v>Доц. Бичко, Ал Проф. д-р Г. П. Димитров Панайотова Г.</v>
      </c>
      <c r="H1918" s="10"/>
      <c r="I1918" s="10"/>
      <c r="J1918" s="10"/>
      <c r="K1918" s="10"/>
      <c r="L1918" s="10"/>
      <c r="M1918" s="10"/>
      <c r="N1918" s="10"/>
      <c r="O1918" s="10"/>
      <c r="P1918" s="10"/>
      <c r="Q1918" s="10"/>
      <c r="R1918" s="10"/>
      <c r="S1918" s="10"/>
      <c r="T1918" s="10"/>
      <c r="U1918" s="10"/>
      <c r="V1918" s="10"/>
      <c r="W1918" s="10"/>
      <c r="X1918" s="10"/>
      <c r="Y1918" s="10"/>
      <c r="Z1918" s="10"/>
    </row>
    <row r="1919" spans="1:26" ht="12.75">
      <c r="A1919" s="10" t="str">
        <f ca="1">IFERROR(__xludf.DUMMYFUNCTION("""COMPUTED_VALUE"""),"Георги Петров Димитров")</f>
        <v>Георги Петров Димитров</v>
      </c>
      <c r="B1919" s="10" t="str">
        <f ca="1">IFERROR(__xludf.DUMMYFUNCTION("""COMPUTED_VALUE"""),"Доклад от конференция")</f>
        <v>Доклад от конференция</v>
      </c>
      <c r="C1919" s="10" t="str">
        <f ca="1">IFERROR(__xludf.DUMMYFUNCTION("""COMPUTED_VALUE"""),"Modeling and data processing of information systems")</f>
        <v>Modeling and data processing of information systems</v>
      </c>
      <c r="D1919" s="10">
        <f ca="1">IFERROR(__xludf.DUMMYFUNCTION("""COMPUTED_VALUE"""),2016)</f>
        <v>2016</v>
      </c>
      <c r="E1919" s="10" t="str">
        <f ca="1">IFERROR(__xludf.DUMMYFUNCTION("""COMPUTED_VALUE"""),"Artificial Intelligence and Pattern Recognition (AIPR), International Conference on, Date of Conference: 19-21 Sept. 2016, Date Added to IEEE Xplore: 13 October 2016, ISBN Information: Electronic ISBN: 978-1-4673-9187-0; CD-ROM ISBN: 978-1-4673-9186-3, Pr"&amp;"int on Demand(PoD) ISBN: 978-1-4673-9188-7")</f>
        <v>Artificial Intelligence and Pattern Recognition (AIPR), International Conference on, Date of Conference: 19-21 Sept. 2016, Date Added to IEEE Xplore: 13 October 2016, ISBN Information: Electronic ISBN: 978-1-4673-9187-0; CD-ROM ISBN: 978-1-4673-9186-3, Print on Demand(PoD) ISBN: 978-1-4673-9188-7</v>
      </c>
      <c r="F1919" s="10" t="str">
        <f ca="1">IFERROR(__xludf.DUMMYFUNCTION("""COMPUTED_VALUE"""),"WEB of Sciense
 IEEE Xplore")</f>
        <v>WEB of Sciense
 IEEE Xplore</v>
      </c>
      <c r="G1919" s="10" t="str">
        <f ca="1">IFERROR(__xludf.DUMMYFUNCTION("""COMPUTED_VALUE"""),"G. Panayotova")</f>
        <v>G. Panayotova</v>
      </c>
      <c r="H1919" s="10"/>
      <c r="I1919" s="10"/>
      <c r="J1919" s="10"/>
      <c r="K1919" s="10"/>
      <c r="L1919" s="10"/>
      <c r="M1919" s="10"/>
      <c r="N1919" s="10"/>
      <c r="O1919" s="10"/>
      <c r="P1919" s="10"/>
      <c r="Q1919" s="10"/>
      <c r="R1919" s="10"/>
      <c r="S1919" s="10"/>
      <c r="T1919" s="10"/>
      <c r="U1919" s="10"/>
      <c r="V1919" s="10"/>
      <c r="W1919" s="10"/>
      <c r="X1919" s="10"/>
      <c r="Y1919" s="10"/>
      <c r="Z1919" s="10"/>
    </row>
    <row r="1920" spans="1:26" ht="12.75">
      <c r="A1920" s="10" t="str">
        <f ca="1">IFERROR(__xludf.DUMMYFUNCTION("""COMPUTED_VALUE"""),"Георги Петров Димитров")</f>
        <v>Георги Петров Димитров</v>
      </c>
      <c r="B1920" s="10" t="str">
        <f ca="1">IFERROR(__xludf.DUMMYFUNCTION("""COMPUTED_VALUE"""),"Учебно пособие")</f>
        <v>Учебно пособие</v>
      </c>
      <c r="C1920" s="10" t="str">
        <f ca="1">IFERROR(__xludf.DUMMYFUNCTION("""COMPUTED_VALUE"""),"Приложение на ASP C#, Част III")</f>
        <v>Приложение на ASP C#, Част III</v>
      </c>
      <c r="D1920" s="10">
        <f ca="1">IFERROR(__xludf.DUMMYFUNCTION("""COMPUTED_VALUE"""),2015)</f>
        <v>2015</v>
      </c>
      <c r="E1920" s="10" t="str">
        <f ca="1">IFERROR(__xludf.DUMMYFUNCTION("""COMPUTED_VALUE"""),"124 стр., 2015, Практическо ръководство, Издателство ""Про Лангс"", ISBN 978-954-2995-24-1")</f>
        <v>124 стр., 2015, Практическо ръководство, Издателство "Про Лангс", ISBN 978-954-2995-24-1</v>
      </c>
      <c r="F1920" s="10"/>
      <c r="G1920" s="10"/>
      <c r="H1920" s="10"/>
      <c r="I1920" s="10"/>
      <c r="J1920" s="10"/>
      <c r="K1920" s="10"/>
      <c r="L1920" s="10"/>
      <c r="M1920" s="10"/>
      <c r="N1920" s="10"/>
      <c r="O1920" s="10"/>
      <c r="P1920" s="10"/>
      <c r="Q1920" s="10"/>
      <c r="R1920" s="10"/>
      <c r="S1920" s="10"/>
      <c r="T1920" s="10"/>
      <c r="U1920" s="10"/>
      <c r="V1920" s="10"/>
      <c r="W1920" s="10"/>
      <c r="X1920" s="10"/>
      <c r="Y1920" s="10"/>
      <c r="Z1920" s="10"/>
    </row>
    <row r="1921" spans="1:26" ht="12.75">
      <c r="A1921" s="10" t="str">
        <f ca="1">IFERROR(__xludf.DUMMYFUNCTION("""COMPUTED_VALUE"""),"Георги Петров Димитров")</f>
        <v>Георги Петров Димитров</v>
      </c>
      <c r="B1921" s="10" t="str">
        <f ca="1">IFERROR(__xludf.DUMMYFUNCTION("""COMPUTED_VALUE"""),"Доклад от конференция")</f>
        <v>Доклад от конференция</v>
      </c>
      <c r="C1921" s="10" t="str">
        <f ca="1">IFERROR(__xludf.DUMMYFUNCTION("""COMPUTED_VALUE"""),"Одринската операция 1913 – статистически критерии и модели")</f>
        <v>Одринската операция 1913 – статистически критерии и модели</v>
      </c>
      <c r="D1921" s="10">
        <f ca="1">IFERROR(__xludf.DUMMYFUNCTION("""COMPUTED_VALUE"""),2015)</f>
        <v>2015</v>
      </c>
      <c r="E1921" s="10" t="str">
        <f ca="1">IFERROR(__xludf.DUMMYFUNCTION("""COMPUTED_VALUE"""),"Сборник доклади, „Съвременни измерения на европейското и научно пространство – Българо-малтийски културни отношения“, България – Малта , 1-6 юни 2015г,стр 131-134 ISSN : 2367-7988")</f>
        <v>Сборник доклади, „Съвременни измерения на европейското и научно пространство – Българо-малтийски културни отношения“, България – Малта , 1-6 юни 2015г,стр 131-134 ISSN : 2367-7988</v>
      </c>
      <c r="F1921" s="10"/>
      <c r="G1921" s="10" t="str">
        <f ca="1">IFERROR(__xludf.DUMMYFUNCTION("""COMPUTED_VALUE"""),"Г. Панайотова")</f>
        <v>Г. Панайотова</v>
      </c>
      <c r="H1921" s="10"/>
      <c r="I1921" s="10"/>
      <c r="J1921" s="10"/>
      <c r="K1921" s="10"/>
      <c r="L1921" s="10"/>
      <c r="M1921" s="10"/>
      <c r="N1921" s="10"/>
      <c r="O1921" s="10"/>
      <c r="P1921" s="10"/>
      <c r="Q1921" s="10"/>
      <c r="R1921" s="10"/>
      <c r="S1921" s="10"/>
      <c r="T1921" s="10"/>
      <c r="U1921" s="10"/>
      <c r="V1921" s="10"/>
      <c r="W1921" s="10"/>
      <c r="X1921" s="10"/>
      <c r="Y1921" s="10"/>
      <c r="Z1921" s="10"/>
    </row>
    <row r="1922" spans="1:26" ht="12.75">
      <c r="A1922" s="10" t="str">
        <f ca="1">IFERROR(__xludf.DUMMYFUNCTION("""COMPUTED_VALUE"""),"Георги Петров Димитров")</f>
        <v>Георги Петров Димитров</v>
      </c>
      <c r="B1922" s="10" t="str">
        <f ca="1">IFERROR(__xludf.DUMMYFUNCTION("""COMPUTED_VALUE"""),"Доклад от конференция")</f>
        <v>Доклад от конференция</v>
      </c>
      <c r="C1922" s="10" t="str">
        <f ca="1">IFERROR(__xludf.DUMMYFUNCTION("""COMPUTED_VALUE"""),"Универсален алгоритъм за пълнотекстово търсене, базиран на съхранена процедура в бази от данни")</f>
        <v>Универсален алгоритъм за пълнотекстово търсене, базиран на съхранена процедура в бази от данни</v>
      </c>
      <c r="D1922" s="10">
        <f ca="1">IFERROR(__xludf.DUMMYFUNCTION("""COMPUTED_VALUE"""),2015)</f>
        <v>2015</v>
      </c>
      <c r="E1922" s="10" t="str">
        <f ca="1">IFERROR(__xludf.DUMMYFUNCTION("""COMPUTED_VALUE"""),"Издателство „За буквите – о писменех“, 2015, стр 345-353 ISSN : 2367-7988")</f>
        <v>Издателство „За буквите – о писменех“, 2015, стр 345-353 ISSN : 2367-7988</v>
      </c>
      <c r="F1922" s="10"/>
      <c r="G1922" s="10" t="str">
        <f ca="1">IFERROR(__xludf.DUMMYFUNCTION("""COMPUTED_VALUE"""),"Анатолий Лолов Рена Димитрова")</f>
        <v>Анатолий Лолов Рена Димитрова</v>
      </c>
      <c r="H1922" s="10"/>
      <c r="I1922" s="10"/>
      <c r="J1922" s="10"/>
      <c r="K1922" s="10"/>
      <c r="L1922" s="10"/>
      <c r="M1922" s="10"/>
      <c r="N1922" s="10"/>
      <c r="O1922" s="10"/>
      <c r="P1922" s="10"/>
      <c r="Q1922" s="10"/>
      <c r="R1922" s="10"/>
      <c r="S1922" s="10"/>
      <c r="T1922" s="10"/>
      <c r="U1922" s="10"/>
      <c r="V1922" s="10"/>
      <c r="W1922" s="10"/>
      <c r="X1922" s="10"/>
      <c r="Y1922" s="10"/>
      <c r="Z1922" s="10"/>
    </row>
    <row r="1923" spans="1:26" ht="12.75">
      <c r="A1923" s="10" t="str">
        <f ca="1">IFERROR(__xludf.DUMMYFUNCTION("""COMPUTED_VALUE"""),"Георги Петров Димитров")</f>
        <v>Георги Петров Димитров</v>
      </c>
      <c r="B1923" s="10" t="str">
        <f ca="1">IFERROR(__xludf.DUMMYFUNCTION("""COMPUTED_VALUE"""),"Учебно пособие")</f>
        <v>Учебно пособие</v>
      </c>
      <c r="C1923" s="10" t="str">
        <f ca="1">IFERROR(__xludf.DUMMYFUNCTION("""COMPUTED_VALUE"""),"Основи на SQL, Част II")</f>
        <v>Основи на SQL, Част II</v>
      </c>
      <c r="D1923" s="10">
        <f ca="1">IFERROR(__xludf.DUMMYFUNCTION("""COMPUTED_VALUE"""),2015)</f>
        <v>2015</v>
      </c>
      <c r="E1923" s="10" t="str">
        <f ca="1">IFERROR(__xludf.DUMMYFUNCTION("""COMPUTED_VALUE"""),"Георги Петров Димитров, Основи на SQL, Част II, Практическо ръководство, 2015, Издателство ""Про Лангс"", ISBN 978-954-2995-23-4")</f>
        <v>Георги Петров Димитров, Основи на SQL, Част II, Практическо ръководство, 2015, Издателство "Про Лангс", ISBN 978-954-2995-23-4</v>
      </c>
      <c r="F1923" s="10"/>
      <c r="G1923" s="10"/>
      <c r="H1923" s="10"/>
      <c r="I1923" s="10"/>
      <c r="J1923" s="10"/>
      <c r="K1923" s="10"/>
      <c r="L1923" s="10"/>
      <c r="M1923" s="10"/>
      <c r="N1923" s="10"/>
      <c r="O1923" s="10"/>
      <c r="P1923" s="10"/>
      <c r="Q1923" s="10"/>
      <c r="R1923" s="10"/>
      <c r="S1923" s="10"/>
      <c r="T1923" s="10"/>
      <c r="U1923" s="10"/>
      <c r="V1923" s="10"/>
      <c r="W1923" s="10"/>
      <c r="X1923" s="10"/>
      <c r="Y1923" s="10"/>
      <c r="Z1923" s="10"/>
    </row>
    <row r="1924" spans="1:26" ht="12.75">
      <c r="A1924" s="10" t="str">
        <f ca="1">IFERROR(__xludf.DUMMYFUNCTION("""COMPUTED_VALUE"""),"Георги Петров Димитров")</f>
        <v>Георги Петров Димитров</v>
      </c>
      <c r="B1924" s="10" t="str">
        <f ca="1">IFERROR(__xludf.DUMMYFUNCTION("""COMPUTED_VALUE"""),"Доклад от конференция")</f>
        <v>Доклад от конференция</v>
      </c>
      <c r="C1924" s="10" t="str">
        <f ca="1">IFERROR(__xludf.DUMMYFUNCTION("""COMPUTED_VALUE"""),"Аспекти на сигурността в Oracle – Често срещани учзвимости и начини за тяхното преодоляване")</f>
        <v>Аспекти на сигурността в Oracle – Често срещани учзвимости и начини за тяхното преодоляване</v>
      </c>
      <c r="D1924" s="10">
        <f ca="1">IFERROR(__xludf.DUMMYFUNCTION("""COMPUTED_VALUE"""),2015)</f>
        <v>2015</v>
      </c>
      <c r="E1924" s="10" t="str">
        <f ca="1">IFERROR(__xludf.DUMMYFUNCTION("""COMPUTED_VALUE"""),"“, Издателство „За буквите – о писменех“, 2015, стр 20-26 ISSN : 2367-7988")</f>
        <v>“, Издателство „За буквите – о писменех“, 2015, стр 20-26 ISSN : 2367-7988</v>
      </c>
      <c r="F1924" s="10"/>
      <c r="G1924" s="10"/>
      <c r="H1924" s="10"/>
      <c r="I1924" s="10"/>
      <c r="J1924" s="10"/>
      <c r="K1924" s="10"/>
      <c r="L1924" s="10"/>
      <c r="M1924" s="10"/>
      <c r="N1924" s="10"/>
      <c r="O1924" s="10"/>
      <c r="P1924" s="10"/>
      <c r="Q1924" s="10"/>
      <c r="R1924" s="10"/>
      <c r="S1924" s="10"/>
      <c r="T1924" s="10"/>
      <c r="U1924" s="10"/>
      <c r="V1924" s="10"/>
      <c r="W1924" s="10"/>
      <c r="X1924" s="10"/>
      <c r="Y1924" s="10"/>
      <c r="Z1924" s="10"/>
    </row>
    <row r="1925" spans="1:26" ht="12.75">
      <c r="A1925" s="10" t="str">
        <f ca="1">IFERROR(__xludf.DUMMYFUNCTION("""COMPUTED_VALUE"""),"Георги Петров Димитров")</f>
        <v>Георги Петров Димитров</v>
      </c>
      <c r="B1925" s="10" t="str">
        <f ca="1">IFERROR(__xludf.DUMMYFUNCTION("""COMPUTED_VALUE"""),"Доклад от конференция")</f>
        <v>Доклад от конференция</v>
      </c>
      <c r="C1925" s="10" t="str">
        <f ca="1">IFERROR(__xludf.DUMMYFUNCTION("""COMPUTED_VALUE"""),"Аспекти на оптимизацията на WEB страниците в браузерите")</f>
        <v>Аспекти на оптимизацията на WEB страниците в браузерите</v>
      </c>
      <c r="D1925" s="10">
        <f ca="1">IFERROR(__xludf.DUMMYFUNCTION("""COMPUTED_VALUE"""),2015)</f>
        <v>2015</v>
      </c>
      <c r="E1925" s="10" t="str">
        <f ca="1">IFERROR(__xludf.DUMMYFUNCTION("""COMPUTED_VALUE"""),"Десетия научен семинар на УниБИТ, проведен в Истанбул на 04-08 април 2015г, стр. 61-69 ISSN : 1313-2768")</f>
        <v>Десетия научен семинар на УниБИТ, проведен в Истанбул на 04-08 април 2015г, стр. 61-69 ISSN : 1313-2768</v>
      </c>
      <c r="F1925" s="10"/>
      <c r="G1925" s="10"/>
      <c r="H1925" s="10"/>
      <c r="I1925" s="10"/>
      <c r="J1925" s="10"/>
      <c r="K1925" s="10"/>
      <c r="L1925" s="10"/>
      <c r="M1925" s="10"/>
      <c r="N1925" s="10"/>
      <c r="O1925" s="10"/>
      <c r="P1925" s="10"/>
      <c r="Q1925" s="10"/>
      <c r="R1925" s="10"/>
      <c r="S1925" s="10"/>
      <c r="T1925" s="10"/>
      <c r="U1925" s="10"/>
      <c r="V1925" s="10"/>
      <c r="W1925" s="10"/>
      <c r="X1925" s="10"/>
      <c r="Y1925" s="10"/>
      <c r="Z1925" s="10"/>
    </row>
    <row r="1926" spans="1:26" ht="12.75">
      <c r="A1926" s="10" t="str">
        <f ca="1">IFERROR(__xludf.DUMMYFUNCTION("""COMPUTED_VALUE"""),"Георги Петров Димитров")</f>
        <v>Георги Петров Димитров</v>
      </c>
      <c r="B1926" s="10" t="str">
        <f ca="1">IFERROR(__xludf.DUMMYFUNCTION("""COMPUTED_VALUE"""),"Доклад от конференция")</f>
        <v>Доклад от конференция</v>
      </c>
      <c r="C1926" s="10" t="str">
        <f ca="1">IFERROR(__xludf.DUMMYFUNCTION("""COMPUTED_VALUE"""),"ANALYSIS OF THE QUERING OF DATABASES IN SYSTEMS FOR QUALITY MANAGEMENT OF EDUCATION")</f>
        <v>ANALYSIS OF THE QUERING OF DATABASES IN SYSTEMS FOR QUALITY MANAGEMENT OF EDUCATION</v>
      </c>
      <c r="D1926" s="10">
        <f ca="1">IFERROR(__xludf.DUMMYFUNCTION("""COMPUTED_VALUE"""),2015)</f>
        <v>2015</v>
      </c>
      <c r="E1926" s="10" t="str">
        <f ca="1">IFERROR(__xludf.DUMMYFUNCTION("""COMPUTED_VALUE"""),"12th International Conference on Informatics and Information Technologies, 04.2015, Bitola, Macedonia, 23-26 април 2015г.")</f>
        <v>12th International Conference on Informatics and Information Technologies, 04.2015, Bitola, Macedonia, 23-26 април 2015г.</v>
      </c>
      <c r="F1926" s="10"/>
      <c r="G1926" s="10" t="str">
        <f ca="1">IFERROR(__xludf.DUMMYFUNCTION("""COMPUTED_VALUE"""),"Galina Panayotova")</f>
        <v>Galina Panayotova</v>
      </c>
      <c r="H1926" s="10"/>
      <c r="I1926" s="10"/>
      <c r="J1926" s="10"/>
      <c r="K1926" s="10"/>
      <c r="L1926" s="10"/>
      <c r="M1926" s="10"/>
      <c r="N1926" s="10"/>
      <c r="O1926" s="10"/>
      <c r="P1926" s="10"/>
      <c r="Q1926" s="10"/>
      <c r="R1926" s="10"/>
      <c r="S1926" s="10"/>
      <c r="T1926" s="10"/>
      <c r="U1926" s="10"/>
      <c r="V1926" s="10"/>
      <c r="W1926" s="10"/>
      <c r="X1926" s="10"/>
      <c r="Y1926" s="10"/>
      <c r="Z1926" s="10"/>
    </row>
    <row r="1927" spans="1:26" ht="12.75">
      <c r="A1927" s="10" t="str">
        <f ca="1">IFERROR(__xludf.DUMMYFUNCTION("""COMPUTED_VALUE"""),"Георги Петров Димитров")</f>
        <v>Георги Петров Димитров</v>
      </c>
      <c r="B1927" s="10" t="str">
        <f ca="1">IFERROR(__xludf.DUMMYFUNCTION("""COMPUTED_VALUE"""),"Учебно пособие")</f>
        <v>Учебно пособие</v>
      </c>
      <c r="C1927" s="10" t="str">
        <f ca="1">IFERROR(__xludf.DUMMYFUNCTION("""COMPUTED_VALUE"""),"Основи на SQL, Част I")</f>
        <v>Основи на SQL, Част I</v>
      </c>
      <c r="D1927" s="10">
        <f ca="1">IFERROR(__xludf.DUMMYFUNCTION("""COMPUTED_VALUE"""),2015)</f>
        <v>2015</v>
      </c>
      <c r="E1927" s="10" t="str">
        <f ca="1">IFERROR(__xludf.DUMMYFUNCTION("""COMPUTED_VALUE"""),"Георги Петров Димитров, Основи на SQL, Част I, Практическо ръководство, 3. прераб. и доп., 2015, Издателство ""Про Лангс"", ISBN 978-954-2995-19-7")</f>
        <v>Георги Петров Димитров, Основи на SQL, Част I, Практическо ръководство, 3. прераб. и доп., 2015, Издателство "Про Лангс", ISBN 978-954-2995-19-7</v>
      </c>
      <c r="F1927" s="10"/>
      <c r="G1927" s="10"/>
      <c r="H1927" s="10"/>
      <c r="I1927" s="10"/>
      <c r="J1927" s="10"/>
      <c r="K1927" s="10"/>
      <c r="L1927" s="10"/>
      <c r="M1927" s="10"/>
      <c r="N1927" s="10"/>
      <c r="O1927" s="10"/>
      <c r="P1927" s="10"/>
      <c r="Q1927" s="10"/>
      <c r="R1927" s="10"/>
      <c r="S1927" s="10"/>
      <c r="T1927" s="10"/>
      <c r="U1927" s="10"/>
      <c r="V1927" s="10"/>
      <c r="W1927" s="10"/>
      <c r="X1927" s="10"/>
      <c r="Y1927" s="10"/>
      <c r="Z1927" s="10"/>
    </row>
    <row r="1928" spans="1:26" ht="12.75">
      <c r="A1928" s="10" t="str">
        <f ca="1">IFERROR(__xludf.DUMMYFUNCTION("""COMPUTED_VALUE"""),"Георги Петров Димитров")</f>
        <v>Георги Петров Димитров</v>
      </c>
      <c r="B1928" s="10" t="str">
        <f ca="1">IFERROR(__xludf.DUMMYFUNCTION("""COMPUTED_VALUE"""),"Доклад от конференция")</f>
        <v>Доклад от конференция</v>
      </c>
      <c r="C1928" s="10" t="str">
        <f ca="1">IFERROR(__xludf.DUMMYFUNCTION("""COMPUTED_VALUE"""),"ПОВИШАВАНЕ НА ПОТРЕБИТЕЛСКОТО ПРЕЖИВЯВАНЕ ПРИ СЪЗДАВАНЕ НА WEB САЙТОВЕ С УЧЕБНО СЪДЪРЖАНИЕ")</f>
        <v>ПОВИШАВАНЕ НА ПОТРЕБИТЕЛСКОТО ПРЕЖИВЯВАНЕ ПРИ СЪЗДАВАНЕ НА WEB САЙТОВЕ С УЧЕБНО СЪДЪРЖАНИЕ</v>
      </c>
      <c r="D1928" s="10">
        <f ca="1">IFERROR(__xludf.DUMMYFUNCTION("""COMPUTED_VALUE"""),2015)</f>
        <v>2015</v>
      </c>
      <c r="E1928" s="10" t="str">
        <f ca="1">IFERROR(__xludf.DUMMYFUNCTION("""COMPUTED_VALUE"""),"Сборник доклади, „Съвременни измерения на европейското и научно пространство – Българо-албански културни отношения“, България – Албания , 22-28 юни 2014г,стр 417-424 ISSN : 2367-7988")</f>
        <v>Сборник доклади, „Съвременни измерения на европейското и научно пространство – Българо-албански културни отношения“, България – Албания , 22-28 юни 2014г,стр 417-424 ISSN : 2367-7988</v>
      </c>
      <c r="F1928" s="10"/>
      <c r="G1928" s="10" t="str">
        <f ca="1">IFERROR(__xludf.DUMMYFUNCTION("""COMPUTED_VALUE"""),"Г. Панайотова, И. Т. Иванов, Й. Хаджийска, С. С. Цанков, И. Динева")</f>
        <v>Г. Панайотова, И. Т. Иванов, Й. Хаджийска, С. С. Цанков, И. Динева</v>
      </c>
      <c r="H1928" s="10"/>
      <c r="I1928" s="10"/>
      <c r="J1928" s="10"/>
      <c r="K1928" s="10"/>
      <c r="L1928" s="10"/>
      <c r="M1928" s="10"/>
      <c r="N1928" s="10"/>
      <c r="O1928" s="10"/>
      <c r="P1928" s="10"/>
      <c r="Q1928" s="10"/>
      <c r="R1928" s="10"/>
      <c r="S1928" s="10"/>
      <c r="T1928" s="10"/>
      <c r="U1928" s="10"/>
      <c r="V1928" s="10"/>
      <c r="W1928" s="10"/>
      <c r="X1928" s="10"/>
      <c r="Y1928" s="10"/>
      <c r="Z1928" s="10"/>
    </row>
    <row r="1929" spans="1:26" ht="12.75">
      <c r="A1929" s="10" t="str">
        <f ca="1">IFERROR(__xludf.DUMMYFUNCTION("""COMPUTED_VALUE"""),"Георги Петров Димитров")</f>
        <v>Георги Петров Димитров</v>
      </c>
      <c r="B1929" s="10" t="str">
        <f ca="1">IFERROR(__xludf.DUMMYFUNCTION("""COMPUTED_VALUE"""),"Доклад от конференция")</f>
        <v>Доклад от конференция</v>
      </c>
      <c r="C1929" s="10" t="str">
        <f ca="1">IFERROR(__xludf.DUMMYFUNCTION("""COMPUTED_VALUE"""),"Геометрични трансформации в компютърната геометрия")</f>
        <v>Геометрични трансформации в компютърната геометрия</v>
      </c>
      <c r="D1929" s="10">
        <f ca="1">IFERROR(__xludf.DUMMYFUNCTION("""COMPUTED_VALUE"""),2015)</f>
        <v>2015</v>
      </c>
      <c r="E1929" s="10" t="str">
        <f ca="1">IFERROR(__xludf.DUMMYFUNCTION("""COMPUTED_VALUE"""),"„Съвременни измерения на европейското и научно пространство“, Сборник доклади, „Съвременни измерения на европейското и научно пространство – Българо-албански културни отношения“, България – Албания , 22-28 юни 2014г,стр 234-238 ISSN : 2367-7988")</f>
        <v>„Съвременни измерения на европейското и научно пространство“, Сборник доклади, „Съвременни измерения на европейското и научно пространство – Българо-албански културни отношения“, България – Албания , 22-28 юни 2014г,стр 234-238 ISSN : 2367-7988</v>
      </c>
      <c r="F1929" s="10"/>
      <c r="G1929" s="10" t="str">
        <f ca="1">IFERROR(__xludf.DUMMYFUNCTION("""COMPUTED_VALUE"""),"Галина Панайотова")</f>
        <v>Галина Панайотова</v>
      </c>
      <c r="H1929" s="10"/>
      <c r="I1929" s="10"/>
      <c r="J1929" s="10"/>
      <c r="K1929" s="10"/>
      <c r="L1929" s="10"/>
      <c r="M1929" s="10"/>
      <c r="N1929" s="10"/>
      <c r="O1929" s="10"/>
      <c r="P1929" s="10"/>
      <c r="Q1929" s="10"/>
      <c r="R1929" s="10"/>
      <c r="S1929" s="10"/>
      <c r="T1929" s="10"/>
      <c r="U1929" s="10"/>
      <c r="V1929" s="10"/>
      <c r="W1929" s="10"/>
      <c r="X1929" s="10"/>
      <c r="Y1929" s="10"/>
      <c r="Z1929" s="10"/>
    </row>
    <row r="1930" spans="1:26" ht="12.75">
      <c r="A1930" s="10" t="str">
        <f ca="1">IFERROR(__xludf.DUMMYFUNCTION("""COMPUTED_VALUE"""),"Георги Петров Димитров")</f>
        <v>Георги Петров Димитров</v>
      </c>
      <c r="B1930" s="10" t="str">
        <f ca="1">IFERROR(__xludf.DUMMYFUNCTION("""COMPUTED_VALUE"""),"Учебник")</f>
        <v>Учебник</v>
      </c>
      <c r="C1930" s="10" t="str">
        <f ca="1">IFERROR(__xludf.DUMMYFUNCTION("""COMPUTED_VALUE"""),"Програмиране в СУБД (PL/SQL), Част I")</f>
        <v>Програмиране в СУБД (PL/SQL), Част I</v>
      </c>
      <c r="D1930" s="10">
        <f ca="1">IFERROR(__xludf.DUMMYFUNCTION("""COMPUTED_VALUE"""),2015)</f>
        <v>2015</v>
      </c>
      <c r="E1930" s="10" t="str">
        <f ca="1">IFERROR(__xludf.DUMMYFUNCTION("""COMPUTED_VALUE"""),"Учебник, 136 стр., 2015, Издателство: ""Про Лангс"", ISBN 978-954-2995-26-5")</f>
        <v>Учебник, 136 стр., 2015, Издателство: "Про Лангс", ISBN 978-954-2995-26-5</v>
      </c>
      <c r="F1930" s="10"/>
      <c r="G1930" s="10"/>
      <c r="H1930" s="10"/>
      <c r="I1930" s="10"/>
      <c r="J1930" s="10"/>
      <c r="K1930" s="10"/>
      <c r="L1930" s="10"/>
      <c r="M1930" s="10"/>
      <c r="N1930" s="10"/>
      <c r="O1930" s="10"/>
      <c r="P1930" s="10"/>
      <c r="Q1930" s="10"/>
      <c r="R1930" s="10"/>
      <c r="S1930" s="10"/>
      <c r="T1930" s="10"/>
      <c r="U1930" s="10"/>
      <c r="V1930" s="10"/>
      <c r="W1930" s="10"/>
      <c r="X1930" s="10"/>
      <c r="Y1930" s="10"/>
      <c r="Z1930" s="10"/>
    </row>
    <row r="1931" spans="1:26" ht="12.75">
      <c r="A1931" s="10" t="str">
        <f ca="1">IFERROR(__xludf.DUMMYFUNCTION("""COMPUTED_VALUE"""),"Георги Петров Димитров")</f>
        <v>Георги Петров Димитров</v>
      </c>
      <c r="B1931" s="10" t="str">
        <f ca="1">IFERROR(__xludf.DUMMYFUNCTION("""COMPUTED_VALUE"""),"Статия в списания и поредици")</f>
        <v>Статия в списания и поредици</v>
      </c>
      <c r="C1931" s="10" t="str">
        <f ca="1">IFERROR(__xludf.DUMMYFUNCTION("""COMPUTED_VALUE"""),"Изследване на информационното осигуряване на иконофизиката в глобалната научна база от данни SCIENCEDIRECT")</f>
        <v>Изследване на информационното осигуряване на иконофизиката в глобалната научна база от данни SCIENCEDIRECT</v>
      </c>
      <c r="D1931" s="10">
        <f ca="1">IFERROR(__xludf.DUMMYFUNCTION("""COMPUTED_VALUE"""),2015)</f>
        <v>2015</v>
      </c>
      <c r="E1931" s="10" t="str">
        <f ca="1">IFERROR(__xludf.DUMMYFUNCTION("""COMPUTED_VALUE"""),"Икономика и компютърни науки [онлайн издание], 2015, N 1, с. 86-96 &lt; http://eknigibg.net/spisanie-1broy.pdf &gt;.")</f>
        <v>Икономика и компютърни науки [онлайн издание], 2015, N 1, с. 86-96 &lt; http://eknigibg.net/spisanie-1broy.pdf &gt;.</v>
      </c>
      <c r="F1931" s="10"/>
      <c r="G1931" s="10" t="str">
        <f ca="1">IFERROR(__xludf.DUMMYFUNCTION("""COMPUTED_VALUE"""),"Стефка Добрева")</f>
        <v>Стефка Добрева</v>
      </c>
      <c r="H1931" s="10"/>
      <c r="I1931" s="10"/>
      <c r="J1931" s="10"/>
      <c r="K1931" s="10"/>
      <c r="L1931" s="10"/>
      <c r="M1931" s="10"/>
      <c r="N1931" s="10"/>
      <c r="O1931" s="10"/>
      <c r="P1931" s="10"/>
      <c r="Q1931" s="10"/>
      <c r="R1931" s="10"/>
      <c r="S1931" s="10"/>
      <c r="T1931" s="10"/>
      <c r="U1931" s="10"/>
      <c r="V1931" s="10"/>
      <c r="W1931" s="10"/>
      <c r="X1931" s="10"/>
      <c r="Y1931" s="10"/>
      <c r="Z1931" s="10"/>
    </row>
    <row r="1932" spans="1:26" ht="12.75">
      <c r="A1932" s="10" t="str">
        <f ca="1">IFERROR(__xludf.DUMMYFUNCTION("""COMPUTED_VALUE"""),"Георги Петров Димитров")</f>
        <v>Георги Петров Димитров</v>
      </c>
      <c r="B1932" s="10" t="str">
        <f ca="1">IFERROR(__xludf.DUMMYFUNCTION("""COMPUTED_VALUE"""),"Книга")</f>
        <v>Книга</v>
      </c>
      <c r="C1932" s="10" t="str">
        <f ca="1">IFERROR(__xludf.DUMMYFUNCTION("""COMPUTED_VALUE"""),"БАЗИ ОТ ДАННИ")</f>
        <v>БАЗИ ОТ ДАННИ</v>
      </c>
      <c r="D1932" s="10">
        <f ca="1">IFERROR(__xludf.DUMMYFUNCTION("""COMPUTED_VALUE"""),2015)</f>
        <v>2015</v>
      </c>
      <c r="E1932" s="10" t="str">
        <f ca="1">IFERROR(__xludf.DUMMYFUNCTION("""COMPUTED_VALUE"""),"Георги Петров Димитров, Бази от данни, 2. прераб. и доп., 160 стр, Практическо ръководство, Част I, Проектиране на бази от данни, Издателство ""Про Лангс"", ISBN 978-954-2995-13-5")</f>
        <v>Георги Петров Димитров, Бази от данни, 2. прераб. и доп., 160 стр, Практическо ръководство, Част I, Проектиране на бази от данни, Издателство "Про Лангс", ISBN 978-954-2995-13-5</v>
      </c>
      <c r="F1932" s="10"/>
      <c r="G1932" s="10"/>
      <c r="H1932" s="10"/>
      <c r="I1932" s="10"/>
      <c r="J1932" s="10"/>
      <c r="K1932" s="10"/>
      <c r="L1932" s="10"/>
      <c r="M1932" s="10"/>
      <c r="N1932" s="10"/>
      <c r="O1932" s="10"/>
      <c r="P1932" s="10"/>
      <c r="Q1932" s="10"/>
      <c r="R1932" s="10"/>
      <c r="S1932" s="10"/>
      <c r="T1932" s="10"/>
      <c r="U1932" s="10"/>
      <c r="V1932" s="10"/>
      <c r="W1932" s="10"/>
      <c r="X1932" s="10"/>
      <c r="Y1932" s="10"/>
      <c r="Z1932" s="10"/>
    </row>
    <row r="1933" spans="1:26" ht="12.75">
      <c r="A1933" s="10" t="str">
        <f ca="1">IFERROR(__xludf.DUMMYFUNCTION("""COMPUTED_VALUE"""),"Георги Петров Димитров")</f>
        <v>Георги Петров Димитров</v>
      </c>
      <c r="B1933" s="10" t="str">
        <f ca="1">IFERROR(__xludf.DUMMYFUNCTION("""COMPUTED_VALUE"""),"Доклад от конференция")</f>
        <v>Доклад от конференция</v>
      </c>
      <c r="C1933" s="10" t="str">
        <f ca="1">IFERROR(__xludf.DUMMYFUNCTION("""COMPUTED_VALUE"""),"Стратегии за представяне на понятия чрез електронни образователни ресурси")</f>
        <v>Стратегии за представяне на понятия чрез електронни образователни ресурси</v>
      </c>
      <c r="D1933" s="10">
        <f ca="1">IFERROR(__xludf.DUMMYFUNCTION("""COMPUTED_VALUE"""),2015)</f>
        <v>2015</v>
      </c>
      <c r="E1933" s="10" t="str">
        <f ca="1">IFERROR(__xludf.DUMMYFUNCTION("""COMPUTED_VALUE"""),"ХІІІ национална научна конференция с международно участие „Обществото на знанието и хуманизмът на ХХІ век“, 31 октомври - 1 ноември 2015 г.")</f>
        <v>ХІІІ национална научна конференция с международно участие „Обществото на знанието и хуманизмът на ХХІ век“, 31 октомври - 1 ноември 2015 г.</v>
      </c>
      <c r="F1933" s="10"/>
      <c r="G1933" s="10" t="str">
        <f ca="1">IFERROR(__xludf.DUMMYFUNCTION("""COMPUTED_VALUE"""),"С. С. Цанков")</f>
        <v>С. С. Цанков</v>
      </c>
      <c r="H1933" s="10"/>
      <c r="I1933" s="10"/>
      <c r="J1933" s="10"/>
      <c r="K1933" s="10"/>
      <c r="L1933" s="10"/>
      <c r="M1933" s="10"/>
      <c r="N1933" s="10"/>
      <c r="O1933" s="10"/>
      <c r="P1933" s="10"/>
      <c r="Q1933" s="10"/>
      <c r="R1933" s="10"/>
      <c r="S1933" s="10"/>
      <c r="T1933" s="10"/>
      <c r="U1933" s="10"/>
      <c r="V1933" s="10"/>
      <c r="W1933" s="10"/>
      <c r="X1933" s="10"/>
      <c r="Y1933" s="10"/>
      <c r="Z1933" s="10"/>
    </row>
    <row r="1934" spans="1:26" ht="12.75">
      <c r="A1934" s="10" t="str">
        <f ca="1">IFERROR(__xludf.DUMMYFUNCTION("""COMPUTED_VALUE"""),"Георги Петров Димитров")</f>
        <v>Георги Петров Димитров</v>
      </c>
      <c r="B1934" s="10" t="str">
        <f ca="1">IFERROR(__xludf.DUMMYFUNCTION("""COMPUTED_VALUE"""),"Доклад от конференция")</f>
        <v>Доклад от конференция</v>
      </c>
      <c r="C1934" s="10" t="str">
        <f ca="1">IFERROR(__xludf.DUMMYFUNCTION("""COMPUTED_VALUE"""),"Comparison of methods for optimization of websites,")</f>
        <v>Comparison of methods for optimization of websites,</v>
      </c>
      <c r="D1934" s="10">
        <f ca="1">IFERROR(__xludf.DUMMYFUNCTION("""COMPUTED_VALUE"""),2015)</f>
        <v>2015</v>
      </c>
      <c r="E1934" s="10" t="str">
        <f ca="1">IFERROR(__xludf.DUMMYFUNCTION("""COMPUTED_VALUE"""),"Международен симпозиум по Изследване на Операциите в град Блед, Словения от 22 до 25 септември 2015г.")</f>
        <v>Международен симпозиум по Изследване на Операциите в град Блед, Словения от 22 до 25 септември 2015г.</v>
      </c>
      <c r="F1934" s="10"/>
      <c r="G1934" s="10" t="str">
        <f ca="1">IFERROR(__xludf.DUMMYFUNCTION("""COMPUTED_VALUE"""),"Проф. Д-р Г. Панайотова")</f>
        <v>Проф. Д-р Г. Панайотова</v>
      </c>
      <c r="H1934" s="10"/>
      <c r="I1934" s="10"/>
      <c r="J1934" s="10"/>
      <c r="K1934" s="10"/>
      <c r="L1934" s="10"/>
      <c r="M1934" s="10"/>
      <c r="N1934" s="10"/>
      <c r="O1934" s="10"/>
      <c r="P1934" s="10"/>
      <c r="Q1934" s="10"/>
      <c r="R1934" s="10"/>
      <c r="S1934" s="10"/>
      <c r="T1934" s="10"/>
      <c r="U1934" s="10"/>
      <c r="V1934" s="10"/>
      <c r="W1934" s="10"/>
      <c r="X1934" s="10"/>
      <c r="Y1934" s="10"/>
      <c r="Z1934" s="10"/>
    </row>
    <row r="1935" spans="1:26" ht="12.75">
      <c r="A1935" s="10" t="str">
        <f ca="1">IFERROR(__xludf.DUMMYFUNCTION("""COMPUTED_VALUE"""),"Георги Петров Димитров")</f>
        <v>Георги Петров Димитров</v>
      </c>
      <c r="B1935" s="10" t="str">
        <f ca="1">IFERROR(__xludf.DUMMYFUNCTION("""COMPUTED_VALUE"""),"Доклад от конференция")</f>
        <v>Доклад от конференция</v>
      </c>
      <c r="C1935" s="10" t="str">
        <f ca="1">IFERROR(__xludf.DUMMYFUNCTION("""COMPUTED_VALUE"""),"Balancing Automated and Manual Testing with Opportunity Cost")</f>
        <v>Balancing Automated and Manual Testing with Opportunity Cost</v>
      </c>
      <c r="D1935" s="10">
        <f ca="1">IFERROR(__xludf.DUMMYFUNCTION("""COMPUTED_VALUE"""),2015)</f>
        <v>2015</v>
      </c>
      <c r="E1935" s="10" t="str">
        <f ca="1">IFERROR(__xludf.DUMMYFUNCTION("""COMPUTED_VALUE"""),"The 4th International virtual conference, Slovakia, 23-27, 2015 – p.93-95. ISBN: 978-80-554-1002-9")</f>
        <v>The 4th International virtual conference, Slovakia, 23-27, 2015 – p.93-95. ISBN: 978-80-554-1002-9</v>
      </c>
      <c r="F1935" s="10" t="str">
        <f ca="1">IFERROR(__xludf.DUMMYFUNCTION("""COMPUTED_VALUE"""),"Tompson")</f>
        <v>Tompson</v>
      </c>
      <c r="G1935" s="10" t="str">
        <f ca="1">IFERROR(__xludf.DUMMYFUNCTION("""COMPUTED_VALUE"""),"Galina Panayotova")</f>
        <v>Galina Panayotova</v>
      </c>
      <c r="H1935" s="10"/>
      <c r="I1935" s="10"/>
      <c r="J1935" s="10"/>
      <c r="K1935" s="10"/>
      <c r="L1935" s="10"/>
      <c r="M1935" s="10"/>
      <c r="N1935" s="10"/>
      <c r="O1935" s="10"/>
      <c r="P1935" s="10"/>
      <c r="Q1935" s="10"/>
      <c r="R1935" s="10"/>
      <c r="S1935" s="10"/>
      <c r="T1935" s="10"/>
      <c r="U1935" s="10"/>
      <c r="V1935" s="10"/>
      <c r="W1935" s="10"/>
      <c r="X1935" s="10"/>
      <c r="Y1935" s="10"/>
      <c r="Z1935" s="10"/>
    </row>
    <row r="1936" spans="1:26" ht="12.75">
      <c r="A1936" s="10" t="str">
        <f ca="1">IFERROR(__xludf.DUMMYFUNCTION("""COMPUTED_VALUE"""),"Георги Петров Димитров")</f>
        <v>Георги Петров Димитров</v>
      </c>
      <c r="B1936" s="10" t="str">
        <f ca="1">IFERROR(__xludf.DUMMYFUNCTION("""COMPUTED_VALUE"""),"Доклад от конференция")</f>
        <v>Доклад от конференция</v>
      </c>
      <c r="C1936" s="10" t="str">
        <f ca="1">IFERROR(__xludf.DUMMYFUNCTION("""COMPUTED_VALUE"""),"ASPECTS OF WEBSITE OPTIMIZATION")</f>
        <v>ASPECTS OF WEBSITE OPTIMIZATION</v>
      </c>
      <c r="D1936" s="10">
        <f ca="1">IFERROR(__xludf.DUMMYFUNCTION("""COMPUTED_VALUE"""),2015)</f>
        <v>2015</v>
      </c>
      <c r="E1936" s="10" t="str">
        <f ca="1">IFERROR(__xludf.DUMMYFUNCTION("""COMPUTED_VALUE"""),"PROCEEDINGS OF THE UNION OF SCIENTISTS – RUSE VOL . 12 / 2015, 106-113, ISSN 1314-3077")</f>
        <v>PROCEEDINGS OF THE UNION OF SCIENTISTS – RUSE VOL . 12 / 2015, 106-113, ISSN 1314-3077</v>
      </c>
      <c r="F1936" s="10"/>
      <c r="G1936" s="10" t="str">
        <f ca="1">IFERROR(__xludf.DUMMYFUNCTION("""COMPUTED_VALUE"""),"Galina Panayotova")</f>
        <v>Galina Panayotova</v>
      </c>
      <c r="H1936" s="10"/>
      <c r="I1936" s="10"/>
      <c r="J1936" s="10"/>
      <c r="K1936" s="10"/>
      <c r="L1936" s="10"/>
      <c r="M1936" s="10"/>
      <c r="N1936" s="10"/>
      <c r="O1936" s="10"/>
      <c r="P1936" s="10"/>
      <c r="Q1936" s="10"/>
      <c r="R1936" s="10"/>
      <c r="S1936" s="10"/>
      <c r="T1936" s="10"/>
      <c r="U1936" s="10"/>
      <c r="V1936" s="10"/>
      <c r="W1936" s="10"/>
      <c r="X1936" s="10"/>
      <c r="Y1936" s="10"/>
      <c r="Z1936" s="10"/>
    </row>
    <row r="1937" spans="1:26" ht="12.75">
      <c r="A1937" s="10" t="str">
        <f ca="1">IFERROR(__xludf.DUMMYFUNCTION("""COMPUTED_VALUE"""),"Георги Петров Димитров")</f>
        <v>Георги Петров Димитров</v>
      </c>
      <c r="B1937" s="10" t="str">
        <f ca="1">IFERROR(__xludf.DUMMYFUNCTION("""COMPUTED_VALUE"""),"Доклад от конференция")</f>
        <v>Доклад от конференция</v>
      </c>
      <c r="C1937" s="10" t="str">
        <f ca="1">IFERROR(__xludf.DUMMYFUNCTION("""COMPUTED_VALUE"""),"ТЕНДЕНЦИИ В ИЗПОЛЗВАНЕТО НА БИБЛИОТЕЧНИ ОНЛАЙН СИСТЕМИ ВЪВ ВИСШЕТО ОБРАЗОВАНИЕ НА БЪЛГАРИЯ")</f>
        <v>ТЕНДЕНЦИИ В ИЗПОЛЗВАНЕТО НА БИБЛИОТЕЧНИ ОНЛАЙН СИСТЕМИ ВЪВ ВИСШЕТО ОБРАЗОВАНИЕ НА БЪЛГАРИЯ</v>
      </c>
      <c r="D1937" s="10">
        <f ca="1">IFERROR(__xludf.DUMMYFUNCTION("""COMPUTED_VALUE"""),2015)</f>
        <v>2015</v>
      </c>
      <c r="E1937" s="10" t="str">
        <f ca="1">IFERROR(__xludf.DUMMYFUNCTION("""COMPUTED_VALUE"""),"Сборник доклади, „Съвременни измерения на европейското и научно пространство – Българо-малтийски културни отношения“, България – Малта , 1-6 юни 2015г ISSN : 2367-7988")</f>
        <v>Сборник доклади, „Съвременни измерения на европейското и научно пространство – Българо-малтийски културни отношения“, България – Малта , 1-6 юни 2015г ISSN : 2367-7988</v>
      </c>
      <c r="F1937" s="10"/>
      <c r="G1937" s="10" t="str">
        <f ca="1">IFERROR(__xludf.DUMMYFUNCTION("""COMPUTED_VALUE"""),"Г. Панайотова, И. Т. Иванов, Й. Хаджийска, С. С. Цанков, И. Динева,")</f>
        <v>Г. Панайотова, И. Т. Иванов, Й. Хаджийска, С. С. Цанков, И. Динева,</v>
      </c>
      <c r="H1937" s="10"/>
      <c r="I1937" s="10"/>
      <c r="J1937" s="10"/>
      <c r="K1937" s="10"/>
      <c r="L1937" s="10"/>
      <c r="M1937" s="10"/>
      <c r="N1937" s="10"/>
      <c r="O1937" s="10"/>
      <c r="P1937" s="10"/>
      <c r="Q1937" s="10"/>
      <c r="R1937" s="10"/>
      <c r="S1937" s="10"/>
      <c r="T1937" s="10"/>
      <c r="U1937" s="10"/>
      <c r="V1937" s="10"/>
      <c r="W1937" s="10"/>
      <c r="X1937" s="10"/>
      <c r="Y1937" s="10"/>
      <c r="Z1937" s="10"/>
    </row>
    <row r="1938" spans="1:26" ht="12.75">
      <c r="A1938" s="10" t="str">
        <f ca="1">IFERROR(__xludf.DUMMYFUNCTION("""COMPUTED_VALUE"""),"Георги Петров Димитров")</f>
        <v>Георги Петров Димитров</v>
      </c>
      <c r="B1938" s="10" t="str">
        <f ca="1">IFERROR(__xludf.DUMMYFUNCTION("""COMPUTED_VALUE"""),"Учебно пособие")</f>
        <v>Учебно пособие</v>
      </c>
      <c r="C1938" s="10" t="str">
        <f ca="1">IFERROR(__xludf.DUMMYFUNCTION("""COMPUTED_VALUE"""),"Приложение на ASP C#, Част I")</f>
        <v>Приложение на ASP C#, Част I</v>
      </c>
      <c r="D1938" s="10">
        <f ca="1">IFERROR(__xludf.DUMMYFUNCTION("""COMPUTED_VALUE"""),2015)</f>
        <v>2015</v>
      </c>
      <c r="E1938" s="10" t="str">
        <f ca="1">IFERROR(__xludf.DUMMYFUNCTION("""COMPUTED_VALUE"""),"Практическо ръководство, 147 стр. Издателство ""Про Лангс"", ISBN 978-954-2995-20-3")</f>
        <v>Практическо ръководство, 147 стр. Издателство "Про Лангс", ISBN 978-954-2995-20-3</v>
      </c>
      <c r="F1938" s="10"/>
      <c r="G1938" s="10"/>
      <c r="H1938" s="10"/>
      <c r="I1938" s="10"/>
      <c r="J1938" s="10"/>
      <c r="K1938" s="10"/>
      <c r="L1938" s="10"/>
      <c r="M1938" s="10"/>
      <c r="N1938" s="10"/>
      <c r="O1938" s="10"/>
      <c r="P1938" s="10"/>
      <c r="Q1938" s="10"/>
      <c r="R1938" s="10"/>
      <c r="S1938" s="10"/>
      <c r="T1938" s="10"/>
      <c r="U1938" s="10"/>
      <c r="V1938" s="10"/>
      <c r="W1938" s="10"/>
      <c r="X1938" s="10"/>
      <c r="Y1938" s="10"/>
      <c r="Z1938" s="10"/>
    </row>
    <row r="1939" spans="1:26" ht="12.75">
      <c r="A1939" s="10" t="str">
        <f ca="1">IFERROR(__xludf.DUMMYFUNCTION("""COMPUTED_VALUE"""),"Георги Петров Димитров")</f>
        <v>Георги Петров Димитров</v>
      </c>
      <c r="B1939" s="10" t="str">
        <f ca="1">IFERROR(__xludf.DUMMYFUNCTION("""COMPUTED_VALUE"""),"Учебно пособие")</f>
        <v>Учебно пособие</v>
      </c>
      <c r="C1939" s="10" t="str">
        <f ca="1">IFERROR(__xludf.DUMMYFUNCTION("""COMPUTED_VALUE"""),"Приложение на ASP C#, Част II")</f>
        <v>Приложение на ASP C#, Част II</v>
      </c>
      <c r="D1939" s="10">
        <f ca="1">IFERROR(__xludf.DUMMYFUNCTION("""COMPUTED_VALUE"""),2015)</f>
        <v>2015</v>
      </c>
      <c r="E1939" s="10" t="str">
        <f ca="1">IFERROR(__xludf.DUMMYFUNCTION("""COMPUTED_VALUE"""),"123 стр., 2015, Практическо ръководство, Издателство ""Про Лангс"", ISBN 978-954-2995-21-0")</f>
        <v>123 стр., 2015, Практическо ръководство, Издателство "Про Лангс", ISBN 978-954-2995-21-0</v>
      </c>
      <c r="F1939" s="10"/>
      <c r="G1939" s="10"/>
      <c r="H1939" s="10"/>
      <c r="I1939" s="10"/>
      <c r="J1939" s="10"/>
      <c r="K1939" s="10"/>
      <c r="L1939" s="10"/>
      <c r="M1939" s="10"/>
      <c r="N1939" s="10"/>
      <c r="O1939" s="10"/>
      <c r="P1939" s="10"/>
      <c r="Q1939" s="10"/>
      <c r="R1939" s="10"/>
      <c r="S1939" s="10"/>
      <c r="T1939" s="10"/>
      <c r="U1939" s="10"/>
      <c r="V1939" s="10"/>
      <c r="W1939" s="10"/>
      <c r="X1939" s="10"/>
      <c r="Y1939" s="10"/>
      <c r="Z1939" s="10"/>
    </row>
    <row r="1940" spans="1:26" ht="12.75">
      <c r="A1940" s="10" t="str">
        <f ca="1">IFERROR(__xludf.DUMMYFUNCTION("""COMPUTED_VALUE"""),"Георги Петров Димитров")</f>
        <v>Георги Петров Димитров</v>
      </c>
      <c r="B1940" s="10" t="str">
        <f ca="1">IFERROR(__xludf.DUMMYFUNCTION("""COMPUTED_VALUE"""),"Учебно пособие")</f>
        <v>Учебно пособие</v>
      </c>
      <c r="C1940" s="10" t="str">
        <f ca="1">IFERROR(__xludf.DUMMYFUNCTION("""COMPUTED_VALUE"""),"Приложение на ASP C#, Част IV")</f>
        <v>Приложение на ASP C#, Част IV</v>
      </c>
      <c r="D1940" s="10">
        <f ca="1">IFERROR(__xludf.DUMMYFUNCTION("""COMPUTED_VALUE"""),2015)</f>
        <v>2015</v>
      </c>
      <c r="E1940" s="10" t="str">
        <f ca="1">IFERROR(__xludf.DUMMYFUNCTION("""COMPUTED_VALUE"""),"2015, 110 стр., Практическо ръководство,Издателство ""Про Лангс"",ISBN 978-954-2995-25-8")</f>
        <v>2015, 110 стр., Практическо ръководство,Издателство "Про Лангс",ISBN 978-954-2995-25-8</v>
      </c>
      <c r="F1940" s="10"/>
      <c r="G1940" s="10"/>
      <c r="H1940" s="10"/>
      <c r="I1940" s="10"/>
      <c r="J1940" s="10"/>
      <c r="K1940" s="10"/>
      <c r="L1940" s="10"/>
      <c r="M1940" s="10"/>
      <c r="N1940" s="10"/>
      <c r="O1940" s="10"/>
      <c r="P1940" s="10"/>
      <c r="Q1940" s="10"/>
      <c r="R1940" s="10"/>
      <c r="S1940" s="10"/>
      <c r="T1940" s="10"/>
      <c r="U1940" s="10"/>
      <c r="V1940" s="10"/>
      <c r="W1940" s="10"/>
      <c r="X1940" s="10"/>
      <c r="Y1940" s="10"/>
      <c r="Z1940" s="10"/>
    </row>
    <row r="1941" spans="1:26" ht="12.75">
      <c r="A1941" s="10" t="str">
        <f ca="1">IFERROR(__xludf.DUMMYFUNCTION("""COMPUTED_VALUE"""),"Георги Петров Димитров")</f>
        <v>Георги Петров Димитров</v>
      </c>
      <c r="B1941" s="10" t="str">
        <f ca="1">IFERROR(__xludf.DUMMYFUNCTION("""COMPUTED_VALUE"""),"Доклад от конференция")</f>
        <v>Доклад от конференция</v>
      </c>
      <c r="C1941" s="10" t="str">
        <f ca="1">IFERROR(__xludf.DUMMYFUNCTION("""COMPUTED_VALUE"""),"Система за управление качеството на обучението в УниБИТ")</f>
        <v>Система за управление качеството на обучението в УниБИТ</v>
      </c>
      <c r="D1941" s="10">
        <f ca="1">IFERROR(__xludf.DUMMYFUNCTION("""COMPUTED_VALUE"""),2015)</f>
        <v>2015</v>
      </c>
      <c r="E1941" s="10" t="str">
        <f ca="1">IFERROR(__xludf.DUMMYFUNCTION("""COMPUTED_VALUE"""),"За Буквите О'писменех, София, страници 192 - 197, ISBN 978-619-185-163-8 - online, http://unesco.unibit.bg/,ISBN ISBN 978-619-185-162-1 – paper version")</f>
        <v>За Буквите О'писменех, София, страници 192 - 197, ISBN 978-619-185-163-8 - online, http://unesco.unibit.bg/,ISBN ISBN 978-619-185-162-1 – paper version</v>
      </c>
      <c r="F1941" s="10"/>
      <c r="G1941" s="10" t="str">
        <f ca="1">IFERROR(__xludf.DUMMYFUNCTION("""COMPUTED_VALUE"""),"Иван Т. Иванов, Галина Панайотова, Добри Бояджиев")</f>
        <v>Иван Т. Иванов, Галина Панайотова, Добри Бояджиев</v>
      </c>
      <c r="H1941" s="10"/>
      <c r="I1941" s="10"/>
      <c r="J1941" s="10"/>
      <c r="K1941" s="10"/>
      <c r="L1941" s="10"/>
      <c r="M1941" s="10"/>
      <c r="N1941" s="10"/>
      <c r="O1941" s="10"/>
      <c r="P1941" s="10"/>
      <c r="Q1941" s="10"/>
      <c r="R1941" s="10"/>
      <c r="S1941" s="10"/>
      <c r="T1941" s="10"/>
      <c r="U1941" s="10"/>
      <c r="V1941" s="10"/>
      <c r="W1941" s="10"/>
      <c r="X1941" s="10"/>
      <c r="Y1941" s="10"/>
      <c r="Z1941" s="10"/>
    </row>
    <row r="1942" spans="1:26" ht="12.75">
      <c r="A1942" s="10" t="str">
        <f ca="1">IFERROR(__xludf.DUMMYFUNCTION("""COMPUTED_VALUE"""),"Георги Петров Димитров")</f>
        <v>Георги Петров Димитров</v>
      </c>
      <c r="B1942" s="10" t="str">
        <f ca="1">IFERROR(__xludf.DUMMYFUNCTION("""COMPUTED_VALUE"""),"Доклад от конференция")</f>
        <v>Доклад от конференция</v>
      </c>
      <c r="C1942" s="10" t="str">
        <f ca="1">IFERROR(__xludf.DUMMYFUNCTION("""COMPUTED_VALUE"""),"ПРИНЦИПИ ПРИ АКРЕДИТАЦИЯ НА СЪВМЕСТНИ ПРОГРАМИ")</f>
        <v>ПРИНЦИПИ ПРИ АКРЕДИТАЦИЯ НА СЪВМЕСТНИ ПРОГРАМИ</v>
      </c>
      <c r="D1942" s="10">
        <f ca="1">IFERROR(__xludf.DUMMYFUNCTION("""COMPUTED_VALUE"""),2015)</f>
        <v>2015</v>
      </c>
      <c r="E1942" s="10" t="str">
        <f ca="1">IFERROR(__xludf.DUMMYFUNCTION("""COMPUTED_VALUE"""),"Сборник доклади, „Съвременни измерения на европейското и научно пространство – Българо-албански културни отношения“, България – Албания , 22-28 юни 2014г,стр 445-451 ISSN : 2367-7988")</f>
        <v>Сборник доклади, „Съвременни измерения на европейското и научно пространство – Българо-албански културни отношения“, България – Албания , 22-28 юни 2014г,стр 445-451 ISSN : 2367-7988</v>
      </c>
      <c r="F1942" s="10"/>
      <c r="G1942" s="10" t="str">
        <f ca="1">IFERROR(__xludf.DUMMYFUNCTION("""COMPUTED_VALUE"""),"Г. Панайотова Й. Хаджийска")</f>
        <v>Г. Панайотова Й. Хаджийска</v>
      </c>
      <c r="H1942" s="10"/>
      <c r="I1942" s="10"/>
      <c r="J1942" s="10"/>
      <c r="K1942" s="10"/>
      <c r="L1942" s="10"/>
      <c r="M1942" s="10"/>
      <c r="N1942" s="10"/>
      <c r="O1942" s="10"/>
      <c r="P1942" s="10"/>
      <c r="Q1942" s="10"/>
      <c r="R1942" s="10"/>
      <c r="S1942" s="10"/>
      <c r="T1942" s="10"/>
      <c r="U1942" s="10"/>
      <c r="V1942" s="10"/>
      <c r="W1942" s="10"/>
      <c r="X1942" s="10"/>
      <c r="Y1942" s="10"/>
      <c r="Z1942" s="10"/>
    </row>
    <row r="1943" spans="1:26" ht="12.75">
      <c r="A1943" s="10" t="str">
        <f ca="1">IFERROR(__xludf.DUMMYFUNCTION("""COMPUTED_VALUE"""),"Георги Петров Димитров")</f>
        <v>Георги Петров Димитров</v>
      </c>
      <c r="B1943" s="10" t="str">
        <f ca="1">IFERROR(__xludf.DUMMYFUNCTION("""COMPUTED_VALUE"""),"Учебно пособие")</f>
        <v>Учебно пособие</v>
      </c>
      <c r="C1943" s="10" t="str">
        <f ca="1">IFERROR(__xludf.DUMMYFUNCTION("""COMPUTED_VALUE"""),"Бази от данни")</f>
        <v>Бази от данни</v>
      </c>
      <c r="D1943" s="10">
        <f ca="1">IFERROR(__xludf.DUMMYFUNCTION("""COMPUTED_VALUE"""),2015)</f>
        <v>2015</v>
      </c>
      <c r="E1943" s="10" t="str">
        <f ca="1">IFERROR(__xludf.DUMMYFUNCTION("""COMPUTED_VALUE"""),"Издателство ""Про Лангс"", ISBN 978-954-2995-13-5. 160 стр.")</f>
        <v>Издателство "Про Лангс", ISBN 978-954-2995-13-5. 160 стр.</v>
      </c>
      <c r="F1943" s="10"/>
      <c r="G1943" s="10"/>
      <c r="H1943" s="10"/>
      <c r="I1943" s="10"/>
      <c r="J1943" s="10"/>
      <c r="K1943" s="10"/>
      <c r="L1943" s="10"/>
      <c r="M1943" s="10"/>
      <c r="N1943" s="10"/>
      <c r="O1943" s="10"/>
      <c r="P1943" s="10"/>
      <c r="Q1943" s="10"/>
      <c r="R1943" s="10"/>
      <c r="S1943" s="10"/>
      <c r="T1943" s="10"/>
      <c r="U1943" s="10"/>
      <c r="V1943" s="10"/>
      <c r="W1943" s="10"/>
      <c r="X1943" s="10"/>
      <c r="Y1943" s="10"/>
      <c r="Z1943" s="10"/>
    </row>
    <row r="1944" spans="1:26" ht="12.75">
      <c r="A1944" s="10" t="str">
        <f ca="1">IFERROR(__xludf.DUMMYFUNCTION("""COMPUTED_VALUE"""),"Георги Петров Димитров")</f>
        <v>Георги Петров Димитров</v>
      </c>
      <c r="B1944" s="10" t="str">
        <f ca="1">IFERROR(__xludf.DUMMYFUNCTION("""COMPUTED_VALUE"""),"Статия в списания и поредици")</f>
        <v>Статия в списания и поредици</v>
      </c>
      <c r="C1944" s="10" t="str">
        <f ca="1">IFERROR(__xludf.DUMMYFUNCTION("""COMPUTED_VALUE"""),"Оптимизация на SQL заявки")</f>
        <v>Оптимизация на SQL заявки</v>
      </c>
      <c r="D1944" s="10">
        <f ca="1">IFERROR(__xludf.DUMMYFUNCTION("""COMPUTED_VALUE"""),2015)</f>
        <v>2015</v>
      </c>
      <c r="E1944" s="10" t="str">
        <f ca="1">IFERROR(__xludf.DUMMYFUNCTION("""COMPUTED_VALUE"""),"ХІІІ национална научна конференция с международно участие „Обществото на знанието и хуманизмът на ХХІ век“")</f>
        <v>ХІІІ национална научна конференция с международно участие „Обществото на знанието и хуманизмът на ХХІ век“</v>
      </c>
      <c r="F1944" s="10"/>
      <c r="G1944" s="10" t="str">
        <f ca="1">IFERROR(__xludf.DUMMYFUNCTION("""COMPUTED_VALUE"""),"Ирена Динева")</f>
        <v>Ирена Динева</v>
      </c>
      <c r="H1944" s="10"/>
      <c r="I1944" s="10"/>
      <c r="J1944" s="10"/>
      <c r="K1944" s="10"/>
      <c r="L1944" s="10"/>
      <c r="M1944" s="10"/>
      <c r="N1944" s="10"/>
      <c r="O1944" s="10"/>
      <c r="P1944" s="10"/>
      <c r="Q1944" s="10"/>
      <c r="R1944" s="10"/>
      <c r="S1944" s="10"/>
      <c r="T1944" s="10"/>
      <c r="U1944" s="10"/>
      <c r="V1944" s="10"/>
      <c r="W1944" s="10"/>
      <c r="X1944" s="10"/>
      <c r="Y1944" s="10"/>
      <c r="Z1944" s="10"/>
    </row>
    <row r="1945" spans="1:26" ht="12.75">
      <c r="A1945" s="10" t="str">
        <f ca="1">IFERROR(__xludf.DUMMYFUNCTION("""COMPUTED_VALUE"""),"Георги Петров Димитров")</f>
        <v>Георги Петров Димитров</v>
      </c>
      <c r="B1945" s="10" t="str">
        <f ca="1">IFERROR(__xludf.DUMMYFUNCTION("""COMPUTED_VALUE"""),"Учебник")</f>
        <v>Учебник</v>
      </c>
      <c r="C1945" s="10" t="str">
        <f ca="1">IFERROR(__xludf.DUMMYFUNCTION("""COMPUTED_VALUE"""),"Програмиране в СУБД (PL/SQL), Част II")</f>
        <v>Програмиране в СУБД (PL/SQL), Част II</v>
      </c>
      <c r="D1945" s="10">
        <f ca="1">IFERROR(__xludf.DUMMYFUNCTION("""COMPUTED_VALUE"""),2015)</f>
        <v>2015</v>
      </c>
      <c r="E1945" s="10" t="str">
        <f ca="1">IFERROR(__xludf.DUMMYFUNCTION("""COMPUTED_VALUE"""),"Учебник, 180 стр., 2015, Издателство ""Про Лангс"", ISBN 978-954-2995-27-2")</f>
        <v>Учебник, 180 стр., 2015, Издателство "Про Лангс", ISBN 978-954-2995-27-2</v>
      </c>
      <c r="F1945" s="10"/>
      <c r="G1945" s="10"/>
      <c r="H1945" s="10"/>
      <c r="I1945" s="10"/>
      <c r="J1945" s="10"/>
      <c r="K1945" s="10"/>
      <c r="L1945" s="10"/>
      <c r="M1945" s="10"/>
      <c r="N1945" s="10"/>
      <c r="O1945" s="10"/>
      <c r="P1945" s="10"/>
      <c r="Q1945" s="10"/>
      <c r="R1945" s="10"/>
      <c r="S1945" s="10"/>
      <c r="T1945" s="10"/>
      <c r="U1945" s="10"/>
      <c r="V1945" s="10"/>
      <c r="W1945" s="10"/>
      <c r="X1945" s="10"/>
      <c r="Y1945" s="10"/>
      <c r="Z1945" s="10"/>
    </row>
    <row r="1946" spans="1:26" ht="12.75">
      <c r="A1946" s="10" t="str">
        <f ca="1">IFERROR(__xludf.DUMMYFUNCTION("""COMPUTED_VALUE"""),"Георги Петров Димитров")</f>
        <v>Георги Петров Димитров</v>
      </c>
      <c r="B1946" s="10" t="str">
        <f ca="1">IFERROR(__xludf.DUMMYFUNCTION("""COMPUTED_VALUE"""),"Доклад от конференция")</f>
        <v>Доклад от конференция</v>
      </c>
      <c r="C1946" s="10" t="str">
        <f ca="1">IFERROR(__xludf.DUMMYFUNCTION("""COMPUTED_VALUE"""),"Сравнение на често използвани методи за оптимизация на производителността в браузъра")</f>
        <v>Сравнение на често използвани методи за оптимизация на производителността в браузъра</v>
      </c>
      <c r="D1946" s="10">
        <f ca="1">IFERROR(__xludf.DUMMYFUNCTION("""COMPUTED_VALUE"""),2015)</f>
        <v>2015</v>
      </c>
      <c r="E1946" s="10" t="str">
        <f ca="1">IFERROR(__xludf.DUMMYFUNCTION("""COMPUTED_VALUE"""),"Научна конференция, ""70 години традиции и иновации"", 09-10.10.2015 г ISSN : 1311-3321")</f>
        <v>Научна конференция, "70 години традиции и иновации", 09-10.10.2015 г ISSN : 1311-3321</v>
      </c>
      <c r="F1946" s="10"/>
      <c r="G1946" s="10" t="str">
        <f ca="1">IFERROR(__xludf.DUMMYFUNCTION("""COMPUTED_VALUE"""),"Г. Панайотова, С. Цанков,")</f>
        <v>Г. Панайотова, С. Цанков,</v>
      </c>
      <c r="H1946" s="10"/>
      <c r="I1946" s="10"/>
      <c r="J1946" s="10"/>
      <c r="K1946" s="10"/>
      <c r="L1946" s="10"/>
      <c r="M1946" s="10"/>
      <c r="N1946" s="10"/>
      <c r="O1946" s="10"/>
      <c r="P1946" s="10"/>
      <c r="Q1946" s="10"/>
      <c r="R1946" s="10"/>
      <c r="S1946" s="10"/>
      <c r="T1946" s="10"/>
      <c r="U1946" s="10"/>
      <c r="V1946" s="10"/>
      <c r="W1946" s="10"/>
      <c r="X1946" s="10"/>
      <c r="Y1946" s="10"/>
      <c r="Z1946" s="10"/>
    </row>
    <row r="1947" spans="1:26" ht="12.75">
      <c r="A1947" s="10" t="str">
        <f ca="1">IFERROR(__xludf.DUMMYFUNCTION("""COMPUTED_VALUE"""),"Георги Петров Димитров")</f>
        <v>Георги Петров Димитров</v>
      </c>
      <c r="B1947" s="10" t="str">
        <f ca="1">IFERROR(__xludf.DUMMYFUNCTION("""COMPUTED_VALUE"""),"Статия в списания и поредици")</f>
        <v>Статия в списания и поредици</v>
      </c>
      <c r="C1947" s="10" t="str">
        <f ca="1">IFERROR(__xludf.DUMMYFUNCTION("""COMPUTED_VALUE"""),"Усъвършенстване на съществуваща система за дигитализация в Университетската библиотека на ИУ-Варна")</f>
        <v>Усъвършенстване на съществуваща система за дигитализация в Университетската библиотека на ИУ-Варна</v>
      </c>
      <c r="D1947" s="10">
        <f ca="1">IFERROR(__xludf.DUMMYFUNCTION("""COMPUTED_VALUE"""),2015)</f>
        <v>2015</v>
      </c>
      <c r="E1947" s="10" t="str">
        <f ca="1">IFERROR(__xludf.DUMMYFUNCTION("""COMPUTED_VALUE"""),"ХІІІ национална научна конференция с международно участие „Обществото на знанието и хуманизмът на ХХІ век")</f>
        <v>ХІІІ национална научна конференция с международно участие „Обществото на знанието и хуманизмът на ХХІ век</v>
      </c>
      <c r="F1947" s="10"/>
      <c r="G1947" s="10" t="str">
        <f ca="1">IFERROR(__xludf.DUMMYFUNCTION("""COMPUTED_VALUE"""),"Стефка Добрева")</f>
        <v>Стефка Добрева</v>
      </c>
      <c r="H1947" s="10"/>
      <c r="I1947" s="10"/>
      <c r="J1947" s="10"/>
      <c r="K1947" s="10"/>
      <c r="L1947" s="10"/>
      <c r="M1947" s="10"/>
      <c r="N1947" s="10"/>
      <c r="O1947" s="10"/>
      <c r="P1947" s="10"/>
      <c r="Q1947" s="10"/>
      <c r="R1947" s="10"/>
      <c r="S1947" s="10"/>
      <c r="T1947" s="10"/>
      <c r="U1947" s="10"/>
      <c r="V1947" s="10"/>
      <c r="W1947" s="10"/>
      <c r="X1947" s="10"/>
      <c r="Y1947" s="10"/>
      <c r="Z1947" s="10"/>
    </row>
    <row r="1948" spans="1:26" ht="12.75">
      <c r="A1948" s="10" t="str">
        <f ca="1">IFERROR(__xludf.DUMMYFUNCTION("""COMPUTED_VALUE"""),"Георги Петров Димитров")</f>
        <v>Георги Петров Димитров</v>
      </c>
      <c r="B1948" s="10" t="str">
        <f ca="1">IFERROR(__xludf.DUMMYFUNCTION("""COMPUTED_VALUE"""),"Доклад от конференция")</f>
        <v>Доклад от конференция</v>
      </c>
      <c r="C1948" s="10" t="str">
        <f ca="1">IFERROR(__xludf.DUMMYFUNCTION("""COMPUTED_VALUE"""),"Design of Web - Based Information System for Optimization of Portfolio")</f>
        <v>Design of Web - Based Information System for Optimization of Portfolio</v>
      </c>
      <c r="D1948" s="10">
        <f ca="1">IFERROR(__xludf.DUMMYFUNCTION("""COMPUTED_VALUE"""),2015)</f>
        <v>2015</v>
      </c>
      <c r="E1948" s="10" t="str">
        <f ca="1">IFERROR(__xludf.DUMMYFUNCTION("""COMPUTED_VALUE"""),"The 13th International Synposium on Operations Reseach in Slowenia, 23-25 September, 2015, Bled, Slowenia, pp. 193-198, ISBN : 978-961-6165-45-7")</f>
        <v>The 13th International Synposium on Operations Reseach in Slowenia, 23-25 September, 2015, Bled, Slowenia, pp. 193-198, ISBN : 978-961-6165-45-7</v>
      </c>
      <c r="F1948" s="10" t="str">
        <f ca="1">IFERROR(__xludf.DUMMYFUNCTION("""COMPUTED_VALUE"""),"Tompson Roiters")</f>
        <v>Tompson Roiters</v>
      </c>
      <c r="G1948" s="10" t="str">
        <f ca="1">IFERROR(__xludf.DUMMYFUNCTION("""COMPUTED_VALUE"""),"Galina Panayotova")</f>
        <v>Galina Panayotova</v>
      </c>
      <c r="H1948" s="10"/>
      <c r="I1948" s="10"/>
      <c r="J1948" s="10"/>
      <c r="K1948" s="10"/>
      <c r="L1948" s="10"/>
      <c r="M1948" s="10"/>
      <c r="N1948" s="10"/>
      <c r="O1948" s="10"/>
      <c r="P1948" s="10"/>
      <c r="Q1948" s="10"/>
      <c r="R1948" s="10"/>
      <c r="S1948" s="10"/>
      <c r="T1948" s="10"/>
      <c r="U1948" s="10"/>
      <c r="V1948" s="10"/>
      <c r="W1948" s="10"/>
      <c r="X1948" s="10"/>
      <c r="Y1948" s="10"/>
      <c r="Z1948" s="10"/>
    </row>
    <row r="1949" spans="1:26" ht="12.75">
      <c r="A1949" s="10" t="str">
        <f ca="1">IFERROR(__xludf.DUMMYFUNCTION("""COMPUTED_VALUE"""),"Георги Петров Димитров")</f>
        <v>Георги Петров Димитров</v>
      </c>
      <c r="B1949" s="10" t="str">
        <f ca="1">IFERROR(__xludf.DUMMYFUNCTION("""COMPUTED_VALUE"""),"Доклад от конференция")</f>
        <v>Доклад от конференция</v>
      </c>
      <c r="C1949" s="10" t="str">
        <f ca="1">IFERROR(__xludf.DUMMYFUNCTION("""COMPUTED_VALUE"""),"Структура на ИИС на УниБИТ")</f>
        <v>Структура на ИИС на УниБИТ</v>
      </c>
      <c r="D1949" s="10">
        <f ca="1">IFERROR(__xludf.DUMMYFUNCTION("""COMPUTED_VALUE"""),2014)</f>
        <v>2014</v>
      </c>
      <c r="E1949" s="10" t="str">
        <f ca="1">IFERROR(__xludf.DUMMYFUNCTION("""COMPUTED_VALUE"""),"Деветия научен семинар на УниБИТ, проведен в Камчия на 26-30 май 2014г, стр. 184-193 ISSN : 1313-2768")</f>
        <v>Деветия научен семинар на УниБИТ, проведен в Камчия на 26-30 май 2014г, стр. 184-193 ISSN : 1313-2768</v>
      </c>
      <c r="F1949" s="10"/>
      <c r="G1949" s="10" t="str">
        <f ca="1">IFERROR(__xludf.DUMMYFUNCTION("""COMPUTED_VALUE"""),"Димова А., Димитров Г., Иванов И., Димитрова Т., Хаджийска Й.,")</f>
        <v>Димова А., Димитров Г., Иванов И., Димитрова Т., Хаджийска Й.,</v>
      </c>
      <c r="H1949" s="10"/>
      <c r="I1949" s="10"/>
      <c r="J1949" s="10"/>
      <c r="K1949" s="10"/>
      <c r="L1949" s="10"/>
      <c r="M1949" s="10"/>
      <c r="N1949" s="10"/>
      <c r="O1949" s="10"/>
      <c r="P1949" s="10"/>
      <c r="Q1949" s="10"/>
      <c r="R1949" s="10"/>
      <c r="S1949" s="10"/>
      <c r="T1949" s="10"/>
      <c r="U1949" s="10"/>
      <c r="V1949" s="10"/>
      <c r="W1949" s="10"/>
      <c r="X1949" s="10"/>
      <c r="Y1949" s="10"/>
      <c r="Z1949" s="10"/>
    </row>
    <row r="1950" spans="1:26" ht="12.75">
      <c r="A1950" s="10" t="str">
        <f ca="1">IFERROR(__xludf.DUMMYFUNCTION("""COMPUTED_VALUE"""),"Георги Петров Димитров")</f>
        <v>Георги Петров Димитров</v>
      </c>
      <c r="B1950" s="10" t="str">
        <f ca="1">IFERROR(__xludf.DUMMYFUNCTION("""COMPUTED_VALUE"""),"Книга")</f>
        <v>Книга</v>
      </c>
      <c r="C1950" s="10" t="str">
        <f ca="1">IFERROR(__xludf.DUMMYFUNCTION("""COMPUTED_VALUE"""),"ASP Част I")</f>
        <v>ASP Част I</v>
      </c>
      <c r="D1950" s="10">
        <f ca="1">IFERROR(__xludf.DUMMYFUNCTION("""COMPUTED_VALUE"""),2014)</f>
        <v>2014</v>
      </c>
      <c r="E1950" s="10" t="str">
        <f ca="1">IFERROR(__xludf.DUMMYFUNCTION("""COMPUTED_VALUE"""),"Георги Димитров, Таня Димитрова, ASP Част I, Учебник, 211 стр., София, 2014, Издателство „За буквите – О писменехь“,ISBN 978-619")</f>
        <v>Георги Димитров, Таня Димитрова, ASP Част I, Учебник, 211 стр., София, 2014, Издателство „За буквите – О писменехь“,ISBN 978-619</v>
      </c>
      <c r="F1950" s="10"/>
      <c r="G1950" s="10" t="str">
        <f ca="1">IFERROR(__xludf.DUMMYFUNCTION("""COMPUTED_VALUE"""),"Таня Димитрова")</f>
        <v>Таня Димитрова</v>
      </c>
      <c r="H1950" s="10"/>
      <c r="I1950" s="10"/>
      <c r="J1950" s="10"/>
      <c r="K1950" s="10"/>
      <c r="L1950" s="10"/>
      <c r="M1950" s="10"/>
      <c r="N1950" s="10"/>
      <c r="O1950" s="10"/>
      <c r="P1950" s="10"/>
      <c r="Q1950" s="10"/>
      <c r="R1950" s="10"/>
      <c r="S1950" s="10"/>
      <c r="T1950" s="10"/>
      <c r="U1950" s="10"/>
      <c r="V1950" s="10"/>
      <c r="W1950" s="10"/>
      <c r="X1950" s="10"/>
      <c r="Y1950" s="10"/>
      <c r="Z1950" s="10"/>
    </row>
    <row r="1951" spans="1:26" ht="12.75">
      <c r="A1951" s="10" t="str">
        <f ca="1">IFERROR(__xludf.DUMMYFUNCTION("""COMPUTED_VALUE"""),"Георги Петров Димитров")</f>
        <v>Георги Петров Димитров</v>
      </c>
      <c r="B1951" s="10" t="str">
        <f ca="1">IFERROR(__xludf.DUMMYFUNCTION("""COMPUTED_VALUE"""),"Доклад от конференция")</f>
        <v>Доклад от конференция</v>
      </c>
      <c r="C1951" s="10" t="str">
        <f ca="1">IFERROR(__xludf.DUMMYFUNCTION("""COMPUTED_VALUE"""),"Front-end optimization methods and their effect")</f>
        <v>Front-end optimization methods and their effect</v>
      </c>
      <c r="D1951" s="10">
        <f ca="1">IFERROR(__xludf.DUMMYFUNCTION("""COMPUTED_VALUE"""),2014)</f>
        <v>2014</v>
      </c>
      <c r="E1951" s="10" t="str">
        <f ca="1">IFERROR(__xludf.DUMMYFUNCTION("""COMPUTED_VALUE"""),"37th International Convention on Information and Communication Technology, Electronics and Microelectronics (MIPRO) Electronic ISBN: 978-953-233-077-9 CD-ROM ISBN: 978-953-233-081-6 doi 10.1109/MIPRO.2014.6859613")</f>
        <v>37th International Convention on Information and Communication Technology, Electronics and Microelectronics (MIPRO) Electronic ISBN: 978-953-233-077-9 CD-ROM ISBN: 978-953-233-081-6 doi 10.1109/MIPRO.2014.6859613</v>
      </c>
      <c r="F1951" s="10" t="str">
        <f ca="1">IFERROR(__xludf.DUMMYFUNCTION("""COMPUTED_VALUE"""),"Web of Sciense
 Scopus")</f>
        <v>Web of Sciense
 Scopus</v>
      </c>
      <c r="G1951" s="10" t="str">
        <f ca="1">IFERROR(__xludf.DUMMYFUNCTION("""COMPUTED_VALUE"""),"Ilian Iliev")</f>
        <v>Ilian Iliev</v>
      </c>
      <c r="H1951" s="10"/>
      <c r="I1951" s="10"/>
      <c r="J1951" s="10"/>
      <c r="K1951" s="10"/>
      <c r="L1951" s="10"/>
      <c r="M1951" s="10"/>
      <c r="N1951" s="10"/>
      <c r="O1951" s="10"/>
      <c r="P1951" s="10"/>
      <c r="Q1951" s="10"/>
      <c r="R1951" s="10"/>
      <c r="S1951" s="10"/>
      <c r="T1951" s="10"/>
      <c r="U1951" s="10"/>
      <c r="V1951" s="10"/>
      <c r="W1951" s="10"/>
      <c r="X1951" s="10"/>
      <c r="Y1951" s="10"/>
      <c r="Z1951" s="10"/>
    </row>
    <row r="1952" spans="1:26" ht="12.75">
      <c r="A1952" s="10" t="str">
        <f ca="1">IFERROR(__xludf.DUMMYFUNCTION("""COMPUTED_VALUE"""),"Георги Петров Димитров")</f>
        <v>Георги Петров Димитров</v>
      </c>
      <c r="B1952" s="10" t="str">
        <f ca="1">IFERROR(__xludf.DUMMYFUNCTION("""COMPUTED_VALUE"""),"Доклад от конференция")</f>
        <v>Доклад от конференция</v>
      </c>
      <c r="C1952" s="10" t="str">
        <f ca="1">IFERROR(__xludf.DUMMYFUNCTION("""COMPUTED_VALUE"""),"Study of methods for front-end webpage optimisation")</f>
        <v>Study of methods for front-end webpage optimisation</v>
      </c>
      <c r="D1952" s="10">
        <f ca="1">IFERROR(__xludf.DUMMYFUNCTION("""COMPUTED_VALUE"""),2014)</f>
        <v>2014</v>
      </c>
      <c r="E1952" s="10" t="str">
        <f ca="1">IFERROR(__xludf.DUMMYFUNCTION("""COMPUTED_VALUE"""),"The 3rd International Virtual Conference 2014 (ICTIC 2014) Slovakia, March 24 - 28, 2014. ISSN: 1339-9144 CD ROM ISSN: 1339-231X ISBN: 978-80-554-0865-1")</f>
        <v>The 3rd International Virtual Conference 2014 (ICTIC 2014) Slovakia, March 24 - 28, 2014. ISSN: 1339-9144 CD ROM ISSN: 1339-231X ISBN: 978-80-554-0865-1</v>
      </c>
      <c r="F1952" s="10"/>
      <c r="G1952" s="10" t="str">
        <f ca="1">IFERROR(__xludf.DUMMYFUNCTION("""COMPUTED_VALUE"""),"Ilian Iliev")</f>
        <v>Ilian Iliev</v>
      </c>
      <c r="H1952" s="10"/>
      <c r="I1952" s="10"/>
      <c r="J1952" s="10"/>
      <c r="K1952" s="10"/>
      <c r="L1952" s="10"/>
      <c r="M1952" s="10"/>
      <c r="N1952" s="10"/>
      <c r="O1952" s="10"/>
      <c r="P1952" s="10"/>
      <c r="Q1952" s="10"/>
      <c r="R1952" s="10"/>
      <c r="S1952" s="10"/>
      <c r="T1952" s="10"/>
      <c r="U1952" s="10"/>
      <c r="V1952" s="10"/>
      <c r="W1952" s="10"/>
      <c r="X1952" s="10"/>
      <c r="Y1952" s="10"/>
      <c r="Z1952" s="10"/>
    </row>
    <row r="1953" spans="1:26" ht="12.75">
      <c r="A1953" s="10" t="str">
        <f ca="1">IFERROR(__xludf.DUMMYFUNCTION("""COMPUTED_VALUE"""),"Георги Петров Димитров")</f>
        <v>Георги Петров Димитров</v>
      </c>
      <c r="B1953" s="10" t="str">
        <f ca="1">IFERROR(__xludf.DUMMYFUNCTION("""COMPUTED_VALUE"""),"Монография")</f>
        <v>Монография</v>
      </c>
      <c r="C1953" s="10" t="str">
        <f ca="1">IFERROR(__xludf.DUMMYFUNCTION("""COMPUTED_VALUE"""),"Бази от данни и приложения за работа с тях")</f>
        <v>Бази от данни и приложения за работа с тях</v>
      </c>
      <c r="D1953" s="10">
        <f ca="1">IFERROR(__xludf.DUMMYFUNCTION("""COMPUTED_VALUE"""),2014)</f>
        <v>2014</v>
      </c>
      <c r="E1953" s="10" t="str">
        <f ca="1">IFERROR(__xludf.DUMMYFUNCTION("""COMPUTED_VALUE"""),"Монография, 228 стр, Издателство ""Про Лангс"", ISBN 978-954-2995-12-8")</f>
        <v>Монография, 228 стр, Издателство "Про Лангс", ISBN 978-954-2995-12-8</v>
      </c>
      <c r="F1953" s="10"/>
      <c r="G1953" s="10"/>
      <c r="H1953" s="10"/>
      <c r="I1953" s="10"/>
      <c r="J1953" s="10"/>
      <c r="K1953" s="10"/>
      <c r="L1953" s="10"/>
      <c r="M1953" s="10"/>
      <c r="N1953" s="10"/>
      <c r="O1953" s="10"/>
      <c r="P1953" s="10"/>
      <c r="Q1953" s="10"/>
      <c r="R1953" s="10"/>
      <c r="S1953" s="10"/>
      <c r="T1953" s="10"/>
      <c r="U1953" s="10"/>
      <c r="V1953" s="10"/>
      <c r="W1953" s="10"/>
      <c r="X1953" s="10"/>
      <c r="Y1953" s="10"/>
      <c r="Z1953" s="10"/>
    </row>
    <row r="1954" spans="1:26" ht="12.75">
      <c r="A1954" s="10" t="str">
        <f ca="1">IFERROR(__xludf.DUMMYFUNCTION("""COMPUTED_VALUE"""),"Георги Петров Димитров")</f>
        <v>Георги Петров Димитров</v>
      </c>
      <c r="B1954" s="10" t="str">
        <f ca="1">IFERROR(__xludf.DUMMYFUNCTION("""COMPUTED_VALUE"""),"Доклад от конференция")</f>
        <v>Доклад от конференция</v>
      </c>
      <c r="C1954" s="10" t="str">
        <f ca="1">IFERROR(__xludf.DUMMYFUNCTION("""COMPUTED_VALUE"""),"Механизъм за създаване на формализирани страници в СУЗ")</f>
        <v>Механизъм за създаване на формализирани страници в СУЗ</v>
      </c>
      <c r="D1954" s="10">
        <f ca="1">IFERROR(__xludf.DUMMYFUNCTION("""COMPUTED_VALUE"""),2014)</f>
        <v>2014</v>
      </c>
      <c r="E1954" s="10" t="str">
        <f ca="1">IFERROR(__xludf.DUMMYFUNCTION("""COMPUTED_VALUE"""),"Деветия научен семинар на УниБИТ, проведен в Камчия на 26-30 май 2014г, стр. 175-204 ISSN : 1313-2768")</f>
        <v>Деветия научен семинар на УниБИТ, проведен в Камчия на 26-30 май 2014г, стр. 175-204 ISSN : 1313-2768</v>
      </c>
      <c r="F1954" s="10"/>
      <c r="G1954" s="10" t="str">
        <f ca="1">IFERROR(__xludf.DUMMYFUNCTION("""COMPUTED_VALUE"""),"Димитрова Т., Димитров К., Димитров Г., Иванов И., Димова А., Хаджийска Й.,")</f>
        <v>Димитрова Т., Димитров К., Димитров Г., Иванов И., Димова А., Хаджийска Й.,</v>
      </c>
      <c r="H1954" s="10"/>
      <c r="I1954" s="10"/>
      <c r="J1954" s="10"/>
      <c r="K1954" s="10"/>
      <c r="L1954" s="10"/>
      <c r="M1954" s="10"/>
      <c r="N1954" s="10"/>
      <c r="O1954" s="10"/>
      <c r="P1954" s="10"/>
      <c r="Q1954" s="10"/>
      <c r="R1954" s="10"/>
      <c r="S1954" s="10"/>
      <c r="T1954" s="10"/>
      <c r="U1954" s="10"/>
      <c r="V1954" s="10"/>
      <c r="W1954" s="10"/>
      <c r="X1954" s="10"/>
      <c r="Y1954" s="10"/>
      <c r="Z1954" s="10"/>
    </row>
    <row r="1955" spans="1:26" ht="12.75">
      <c r="A1955" s="10" t="str">
        <f ca="1">IFERROR(__xludf.DUMMYFUNCTION("""COMPUTED_VALUE"""),"Георги Петров Димитров")</f>
        <v>Георги Петров Димитров</v>
      </c>
      <c r="B1955" s="10" t="str">
        <f ca="1">IFERROR(__xludf.DUMMYFUNCTION("""COMPUTED_VALUE"""),"Доклад от конференция")</f>
        <v>Доклад от конференция</v>
      </c>
      <c r="C1955" s="10" t="str">
        <f ca="1">IFERROR(__xludf.DUMMYFUNCTION("""COMPUTED_VALUE"""),"Analysis of the Probabilities for Processing Incoming Requests in Public Libraries")</f>
        <v>Analysis of the Probabilities for Processing Incoming Requests in Public Libraries</v>
      </c>
      <c r="D1955" s="10">
        <f ca="1">IFERROR(__xludf.DUMMYFUNCTION("""COMPUTED_VALUE"""),2014)</f>
        <v>2014</v>
      </c>
      <c r="E1955" s="10" t="str">
        <f ca="1">IFERROR(__xludf.DUMMYFUNCTION("""COMPUTED_VALUE"""),"2 nd Global Virtual Conference 2014 (GV-CONF 2014) Goce Delchev University Macedonia &amp; THOMSON Ltd. Slovakia, April 7 - 11, 2014 ISSN: 1339-2778")</f>
        <v>2 nd Global Virtual Conference 2014 (GV-CONF 2014) Goce Delchev University Macedonia &amp; THOMSON Ltd. Slovakia, April 7 - 11, 2014 ISSN: 1339-2778</v>
      </c>
      <c r="F1955" s="10" t="str">
        <f ca="1">IFERROR(__xludf.DUMMYFUNCTION("""COMPUTED_VALUE"""),"Tompson Roiters LTD")</f>
        <v>Tompson Roiters LTD</v>
      </c>
      <c r="G1955" s="10" t="str">
        <f ca="1">IFERROR(__xludf.DUMMYFUNCTION("""COMPUTED_VALUE"""),"Galina Panayotova Stefkka Petrova")</f>
        <v>Galina Panayotova Stefkka Petrova</v>
      </c>
      <c r="H1955" s="10"/>
      <c r="I1955" s="10"/>
      <c r="J1955" s="10"/>
      <c r="K1955" s="10"/>
      <c r="L1955" s="10"/>
      <c r="M1955" s="10"/>
      <c r="N1955" s="10"/>
      <c r="O1955" s="10"/>
      <c r="P1955" s="10"/>
      <c r="Q1955" s="10"/>
      <c r="R1955" s="10"/>
      <c r="S1955" s="10"/>
      <c r="T1955" s="10"/>
      <c r="U1955" s="10"/>
      <c r="V1955" s="10"/>
      <c r="W1955" s="10"/>
      <c r="X1955" s="10"/>
      <c r="Y1955" s="10"/>
      <c r="Z1955" s="10"/>
    </row>
    <row r="1956" spans="1:26" ht="12.75">
      <c r="A1956" s="10" t="str">
        <f ca="1">IFERROR(__xludf.DUMMYFUNCTION("""COMPUTED_VALUE"""),"Георги Петров Димитров")</f>
        <v>Георги Петров Димитров</v>
      </c>
      <c r="B1956" s="10" t="str">
        <f ca="1">IFERROR(__xludf.DUMMYFUNCTION("""COMPUTED_VALUE"""),"Доклад от конференция")</f>
        <v>Доклад от конференция</v>
      </c>
      <c r="C1956" s="10" t="str">
        <f ca="1">IFERROR(__xludf.DUMMYFUNCTION("""COMPUTED_VALUE"""),"Входящи информационни потоци в информационната система на университетските библиотеки")</f>
        <v>Входящи информационни потоци в информационната система на университетските библиотеки</v>
      </c>
      <c r="D1956" s="10">
        <f ca="1">IFERROR(__xludf.DUMMYFUNCTION("""COMPUTED_VALUE"""),2014)</f>
        <v>2014</v>
      </c>
      <c r="E1956" s="10" t="str">
        <f ca="1">IFERROR(__xludf.DUMMYFUNCTION("""COMPUTED_VALUE"""),"Деветия научен семинар на УниБИТ, проведен в Камчия на 26-30 май 2014г, стр. 193-1205 ISSN : 1313-2768")</f>
        <v>Деветия научен семинар на УниБИТ, проведен в Камчия на 26-30 май 2014г, стр. 193-1205 ISSN : 1313-2768</v>
      </c>
      <c r="F1956" s="10"/>
      <c r="G1956" s="10" t="str">
        <f ca="1">IFERROR(__xludf.DUMMYFUNCTION("""COMPUTED_VALUE"""),"Стефка Добрева, Галина Панайотова")</f>
        <v>Стефка Добрева, Галина Панайотова</v>
      </c>
      <c r="H1956" s="10"/>
      <c r="I1956" s="10"/>
      <c r="J1956" s="10"/>
      <c r="K1956" s="10"/>
      <c r="L1956" s="10"/>
      <c r="M1956" s="10"/>
      <c r="N1956" s="10"/>
      <c r="O1956" s="10"/>
      <c r="P1956" s="10"/>
      <c r="Q1956" s="10"/>
      <c r="R1956" s="10"/>
      <c r="S1956" s="10"/>
      <c r="T1956" s="10"/>
      <c r="U1956" s="10"/>
      <c r="V1956" s="10"/>
      <c r="W1956" s="10"/>
      <c r="X1956" s="10"/>
      <c r="Y1956" s="10"/>
      <c r="Z1956" s="10"/>
    </row>
    <row r="1957" spans="1:26" ht="12.75">
      <c r="A1957" s="10" t="str">
        <f ca="1">IFERROR(__xludf.DUMMYFUNCTION("""COMPUTED_VALUE"""),"Георги Петров Димитров")</f>
        <v>Георги Петров Димитров</v>
      </c>
      <c r="B1957" s="10" t="str">
        <f ca="1">IFERROR(__xludf.DUMMYFUNCTION("""COMPUTED_VALUE"""),"Доклад от конференция")</f>
        <v>Доклад от конференция</v>
      </c>
      <c r="C1957" s="10" t="str">
        <f ca="1">IFERROR(__xludf.DUMMYFUNCTION("""COMPUTED_VALUE"""),"Структура на система за управление на знанията")</f>
        <v>Структура на система за управление на знанията</v>
      </c>
      <c r="D1957" s="10">
        <f ca="1">IFERROR(__xludf.DUMMYFUNCTION("""COMPUTED_VALUE"""),2014)</f>
        <v>2014</v>
      </c>
      <c r="E1957" s="10" t="str">
        <f ca="1">IFERROR(__xludf.DUMMYFUNCTION("""COMPUTED_VALUE"""),"Деветия научен семинар на УниБИТ, проведен в Камчия на 26-30 май 2014г, стр. 87-96 ISSN : 1313-2768")</f>
        <v>Деветия научен семинар на УниБИТ, проведен в Камчия на 26-30 май 2014г, стр. 87-96 ISSN : 1313-2768</v>
      </c>
      <c r="F1957" s="10"/>
      <c r="G1957" s="10" t="str">
        <f ca="1">IFERROR(__xludf.DUMMYFUNCTION("""COMPUTED_VALUE"""),"Хаджийска Й., Димитров Г., Иванов И., Димитрова Т., Димова А.,")</f>
        <v>Хаджийска Й., Димитров Г., Иванов И., Димитрова Т., Димова А.,</v>
      </c>
      <c r="H1957" s="10"/>
      <c r="I1957" s="10"/>
      <c r="J1957" s="10"/>
      <c r="K1957" s="10"/>
      <c r="L1957" s="10"/>
      <c r="M1957" s="10"/>
      <c r="N1957" s="10"/>
      <c r="O1957" s="10"/>
      <c r="P1957" s="10"/>
      <c r="Q1957" s="10"/>
      <c r="R1957" s="10"/>
      <c r="S1957" s="10"/>
      <c r="T1957" s="10"/>
      <c r="U1957" s="10"/>
      <c r="V1957" s="10"/>
      <c r="W1957" s="10"/>
      <c r="X1957" s="10"/>
      <c r="Y1957" s="10"/>
      <c r="Z1957" s="10"/>
    </row>
    <row r="1958" spans="1:26" ht="12.75">
      <c r="A1958" s="10" t="str">
        <f ca="1">IFERROR(__xludf.DUMMYFUNCTION("""COMPUTED_VALUE"""),"Георги Петров Димитров")</f>
        <v>Георги Петров Димитров</v>
      </c>
      <c r="B1958" s="10" t="str">
        <f ca="1">IFERROR(__xludf.DUMMYFUNCTION("""COMPUTED_VALUE"""),"Доклад от конференция")</f>
        <v>Доклад от конференция</v>
      </c>
      <c r="C1958" s="10" t="str">
        <f ca="1">IFERROR(__xludf.DUMMYFUNCTION("""COMPUTED_VALUE"""),"Структурна система за управление качеството на обучение")</f>
        <v>Структурна система за управление качеството на обучение</v>
      </c>
      <c r="D1958" s="10">
        <f ca="1">IFERROR(__xludf.DUMMYFUNCTION("""COMPUTED_VALUE"""),2014)</f>
        <v>2014</v>
      </c>
      <c r="E1958" s="10" t="str">
        <f ca="1">IFERROR(__xludf.DUMMYFUNCTION("""COMPUTED_VALUE"""),"Деветия научен семинар на УниБИТ, проведен в Камчия на 26-30 май 2014г, стр. 104-112 ISSN : 1313-2768")</f>
        <v>Деветия научен семинар на УниБИТ, проведен в Камчия на 26-30 май 2014г, стр. 104-112 ISSN : 1313-2768</v>
      </c>
      <c r="F1958" s="10"/>
      <c r="G1958" s="10" t="str">
        <f ca="1">IFERROR(__xludf.DUMMYFUNCTION("""COMPUTED_VALUE"""),"Хаджийска Й Димитров Г. Иванов И. Димова А. Димитрова Т.")</f>
        <v>Хаджийска Й Димитров Г. Иванов И. Димова А. Димитрова Т.</v>
      </c>
      <c r="H1958" s="10"/>
      <c r="I1958" s="10"/>
      <c r="J1958" s="10"/>
      <c r="K1958" s="10"/>
      <c r="L1958" s="10"/>
      <c r="M1958" s="10"/>
      <c r="N1958" s="10"/>
      <c r="O1958" s="10"/>
      <c r="P1958" s="10"/>
      <c r="Q1958" s="10"/>
      <c r="R1958" s="10"/>
      <c r="S1958" s="10"/>
      <c r="T1958" s="10"/>
      <c r="U1958" s="10"/>
      <c r="V1958" s="10"/>
      <c r="W1958" s="10"/>
      <c r="X1958" s="10"/>
      <c r="Y1958" s="10"/>
      <c r="Z1958" s="10"/>
    </row>
    <row r="1959" spans="1:26" ht="12.75">
      <c r="A1959" s="10" t="str">
        <f ca="1">IFERROR(__xludf.DUMMYFUNCTION("""COMPUTED_VALUE"""),"Георги Петров Димитров")</f>
        <v>Георги Петров Димитров</v>
      </c>
      <c r="B1959" s="10" t="str">
        <f ca="1">IFERROR(__xludf.DUMMYFUNCTION("""COMPUTED_VALUE"""),"Доклад от конференция")</f>
        <v>Доклад от конференция</v>
      </c>
      <c r="C1959" s="10" t="str">
        <f ca="1">IFERROR(__xludf.DUMMYFUNCTION("""COMPUTED_VALUE"""),"Използването на XML DB за работа с репозиторито в ORACLE 12c")</f>
        <v>Използването на XML DB за работа с репозиторито в ORACLE 12c</v>
      </c>
      <c r="D1959" s="10">
        <f ca="1">IFERROR(__xludf.DUMMYFUNCTION("""COMPUTED_VALUE"""),2014)</f>
        <v>2014</v>
      </c>
      <c r="E1959" s="10" t="str">
        <f ca="1">IFERROR(__xludf.DUMMYFUNCTION("""COMPUTED_VALUE"""),"Деветия научен семинар на УниБИТ, проведен в Камчия на 26-30 май 2014г, стр. 163-175 ISSN : 1313-2768")</f>
        <v>Деветия научен семинар на УниБИТ, проведен в Камчия на 26-30 май 2014г, стр. 163-175 ISSN : 1313-2768</v>
      </c>
      <c r="F1959" s="10"/>
      <c r="G1959" s="10" t="str">
        <f ca="1">IFERROR(__xludf.DUMMYFUNCTION("""COMPUTED_VALUE"""),"Галина Панайотова")</f>
        <v>Галина Панайотова</v>
      </c>
      <c r="H1959" s="10"/>
      <c r="I1959" s="10"/>
      <c r="J1959" s="10"/>
      <c r="K1959" s="10"/>
      <c r="L1959" s="10"/>
      <c r="M1959" s="10"/>
      <c r="N1959" s="10"/>
      <c r="O1959" s="10"/>
      <c r="P1959" s="10"/>
      <c r="Q1959" s="10"/>
      <c r="R1959" s="10"/>
      <c r="S1959" s="10"/>
      <c r="T1959" s="10"/>
      <c r="U1959" s="10"/>
      <c r="V1959" s="10"/>
      <c r="W1959" s="10"/>
      <c r="X1959" s="10"/>
      <c r="Y1959" s="10"/>
      <c r="Z1959" s="10"/>
    </row>
    <row r="1960" spans="1:26" ht="12.75">
      <c r="A1960" s="10" t="str">
        <f ca="1">IFERROR(__xludf.DUMMYFUNCTION("""COMPUTED_VALUE"""),"Георги Петров Димитров")</f>
        <v>Георги Петров Димитров</v>
      </c>
      <c r="B1960" s="10" t="str">
        <f ca="1">IFERROR(__xludf.DUMMYFUNCTION("""COMPUTED_VALUE"""),"Книга")</f>
        <v>Книга</v>
      </c>
      <c r="C1960" s="10" t="str">
        <f ca="1">IFERROR(__xludf.DUMMYFUNCTION("""COMPUTED_VALUE"""),"SQL Fundamentals")</f>
        <v>SQL Fundamentals</v>
      </c>
      <c r="D1960" s="10">
        <f ca="1">IFERROR(__xludf.DUMMYFUNCTION("""COMPUTED_VALUE"""),2014)</f>
        <v>2014</v>
      </c>
      <c r="E1960" s="10" t="str">
        <f ca="1">IFERROR(__xludf.DUMMYFUNCTION("""COMPUTED_VALUE"""),"Георги Петров Димитров, SQL Fundamentals, Практическо ръководство, 2014, Издателство „Про Лангс“, ISBN 978-954-2995-14-2")</f>
        <v>Георги Петров Димитров, SQL Fundamentals, Практическо ръководство, 2014, Издателство „Про Лангс“, ISBN 978-954-2995-14-2</v>
      </c>
      <c r="F1960" s="10"/>
      <c r="G1960" s="10"/>
      <c r="H1960" s="10"/>
      <c r="I1960" s="10"/>
      <c r="J1960" s="10"/>
      <c r="K1960" s="10"/>
      <c r="L1960" s="10"/>
      <c r="M1960" s="10"/>
      <c r="N1960" s="10"/>
      <c r="O1960" s="10"/>
      <c r="P1960" s="10"/>
      <c r="Q1960" s="10"/>
      <c r="R1960" s="10"/>
      <c r="S1960" s="10"/>
      <c r="T1960" s="10"/>
      <c r="U1960" s="10"/>
      <c r="V1960" s="10"/>
      <c r="W1960" s="10"/>
      <c r="X1960" s="10"/>
      <c r="Y1960" s="10"/>
      <c r="Z1960" s="10"/>
    </row>
    <row r="1961" spans="1:26" ht="12.75">
      <c r="A1961" s="10" t="str">
        <f ca="1">IFERROR(__xludf.DUMMYFUNCTION("""COMPUTED_VALUE"""),"Георги Петров Димитров")</f>
        <v>Георги Петров Димитров</v>
      </c>
      <c r="B1961" s="10" t="str">
        <f ca="1">IFERROR(__xludf.DUMMYFUNCTION("""COMPUTED_VALUE"""),"Книга")</f>
        <v>Книга</v>
      </c>
      <c r="C1961" s="10" t="str">
        <f ca="1">IFERROR(__xludf.DUMMYFUNCTION("""COMPUTED_VALUE"""),"БАЗИ OT ДАННИ, Част I")</f>
        <v>БАЗИ OT ДАННИ, Част I</v>
      </c>
      <c r="D1961" s="10">
        <f ca="1">IFERROR(__xludf.DUMMYFUNCTION("""COMPUTED_VALUE"""),2014)</f>
        <v>2014</v>
      </c>
      <c r="E1961" s="10" t="str">
        <f ca="1">IFERROR(__xludf.DUMMYFUNCTION("""COMPUTED_VALUE"""),"Георги Петров Димитров, БАЗИ OT ДАННИ, Част I, Практическо ръководство, 2014, Издателство „Про Лангс“, ISBN 978-954-2995-13-5")</f>
        <v>Георги Петров Димитров, БАЗИ OT ДАННИ, Част I, Практическо ръководство, 2014, Издателство „Про Лангс“, ISBN 978-954-2995-13-5</v>
      </c>
      <c r="F1961" s="10"/>
      <c r="G1961" s="10"/>
      <c r="H1961" s="10"/>
      <c r="I1961" s="10"/>
      <c r="J1961" s="10"/>
      <c r="K1961" s="10"/>
      <c r="L1961" s="10"/>
      <c r="M1961" s="10"/>
      <c r="N1961" s="10"/>
      <c r="O1961" s="10"/>
      <c r="P1961" s="10"/>
      <c r="Q1961" s="10"/>
      <c r="R1961" s="10"/>
      <c r="S1961" s="10"/>
      <c r="T1961" s="10"/>
      <c r="U1961" s="10"/>
      <c r="V1961" s="10"/>
      <c r="W1961" s="10"/>
      <c r="X1961" s="10"/>
      <c r="Y1961" s="10"/>
      <c r="Z1961" s="10"/>
    </row>
    <row r="1962" spans="1:26" ht="12.75">
      <c r="A1962" s="10" t="str">
        <f ca="1">IFERROR(__xludf.DUMMYFUNCTION("""COMPUTED_VALUE"""),"Георги Петров Димитров")</f>
        <v>Георги Петров Димитров</v>
      </c>
      <c r="B1962" s="10" t="str">
        <f ca="1">IFERROR(__xludf.DUMMYFUNCTION("""COMPUTED_VALUE"""),"Книга")</f>
        <v>Книга</v>
      </c>
      <c r="C1962" s="10" t="str">
        <f ca="1">IFERROR(__xludf.DUMMYFUNCTION("""COMPUTED_VALUE"""),"SQL (Structured Query Language)")</f>
        <v>SQL (Structured Query Language)</v>
      </c>
      <c r="D1962" s="10">
        <f ca="1">IFERROR(__xludf.DUMMYFUNCTION("""COMPUTED_VALUE"""),2014)</f>
        <v>2014</v>
      </c>
      <c r="E1962" s="10" t="str">
        <f ca="1">IFERROR(__xludf.DUMMYFUNCTION("""COMPUTED_VALUE"""),"Георги Димитров, Александра Димова, SQL (Structured Query Language), 167 стр., София, Учебник, 2014, Издателство „За буквите –")</f>
        <v>Георги Димитров, Александра Димова, SQL (Structured Query Language), 167 стр., София, Учебник, 2014, Издателство „За буквите –</v>
      </c>
      <c r="F1962" s="10"/>
      <c r="G1962" s="10" t="str">
        <f ca="1">IFERROR(__xludf.DUMMYFUNCTION("""COMPUTED_VALUE"""),"Александра Димова")</f>
        <v>Александра Димова</v>
      </c>
      <c r="H1962" s="10"/>
      <c r="I1962" s="10"/>
      <c r="J1962" s="10"/>
      <c r="K1962" s="10"/>
      <c r="L1962" s="10"/>
      <c r="M1962" s="10"/>
      <c r="N1962" s="10"/>
      <c r="O1962" s="10"/>
      <c r="P1962" s="10"/>
      <c r="Q1962" s="10"/>
      <c r="R1962" s="10"/>
      <c r="S1962" s="10"/>
      <c r="T1962" s="10"/>
      <c r="U1962" s="10"/>
      <c r="V1962" s="10"/>
      <c r="W1962" s="10"/>
      <c r="X1962" s="10"/>
      <c r="Y1962" s="10"/>
      <c r="Z1962" s="10"/>
    </row>
    <row r="1963" spans="1:26" ht="12.75">
      <c r="A1963" s="10" t="str">
        <f ca="1">IFERROR(__xludf.DUMMYFUNCTION("""COMPUTED_VALUE"""),"Георги Петров Димитров")</f>
        <v>Георги Петров Димитров</v>
      </c>
      <c r="B1963" s="10" t="str">
        <f ca="1">IFERROR(__xludf.DUMMYFUNCTION("""COMPUTED_VALUE"""),"Книга")</f>
        <v>Книга</v>
      </c>
      <c r="C1963" s="10" t="str">
        <f ca="1">IFERROR(__xludf.DUMMYFUNCTION("""COMPUTED_VALUE"""),"ASP Част II")</f>
        <v>ASP Част II</v>
      </c>
      <c r="D1963" s="10">
        <f ca="1">IFERROR(__xludf.DUMMYFUNCTION("""COMPUTED_VALUE"""),2014)</f>
        <v>2014</v>
      </c>
      <c r="E1963" s="10" t="str">
        <f ca="1">IFERROR(__xludf.DUMMYFUNCTION("""COMPUTED_VALUE"""),"Георги Димитров, Таня Димитрова, ASP Част II, Учебник, 217 стр., София, 2014, Издателство „За буквите – О писменехь“,ISBN 978-6")</f>
        <v>Георги Димитров, Таня Димитрова, ASP Част II, Учебник, 217 стр., София, 2014, Издателство „За буквите – О писменехь“,ISBN 978-6</v>
      </c>
      <c r="F1963" s="10"/>
      <c r="G1963" s="10" t="str">
        <f ca="1">IFERROR(__xludf.DUMMYFUNCTION("""COMPUTED_VALUE"""),"Таня Димитрова")</f>
        <v>Таня Димитрова</v>
      </c>
      <c r="H1963" s="10"/>
      <c r="I1963" s="10"/>
      <c r="J1963" s="10"/>
      <c r="K1963" s="10"/>
      <c r="L1963" s="10"/>
      <c r="M1963" s="10"/>
      <c r="N1963" s="10"/>
      <c r="O1963" s="10"/>
      <c r="P1963" s="10"/>
      <c r="Q1963" s="10"/>
      <c r="R1963" s="10"/>
      <c r="S1963" s="10"/>
      <c r="T1963" s="10"/>
      <c r="U1963" s="10"/>
      <c r="V1963" s="10"/>
      <c r="W1963" s="10"/>
      <c r="X1963" s="10"/>
      <c r="Y1963" s="10"/>
      <c r="Z1963" s="10"/>
    </row>
    <row r="1964" spans="1:26" ht="12.75">
      <c r="A1964" s="10" t="str">
        <f ca="1">IFERROR(__xludf.DUMMYFUNCTION("""COMPUTED_VALUE"""),"Георги Петров Димитров")</f>
        <v>Георги Петров Димитров</v>
      </c>
      <c r="B1964" s="10" t="str">
        <f ca="1">IFERROR(__xludf.DUMMYFUNCTION("""COMPUTED_VALUE"""),"Доклад от конференция")</f>
        <v>Доклад от конференция</v>
      </c>
      <c r="C1964" s="10" t="str">
        <f ca="1">IFERROR(__xludf.DUMMYFUNCTION("""COMPUTED_VALUE"""),"Интегрирана информационна система на УниБИТ осигурява контрол и управление качеството на обучение")</f>
        <v>Интегрирана информационна система на УниБИТ осигурява контрол и управление качеството на обучение</v>
      </c>
      <c r="D1964" s="10">
        <f ca="1">IFERROR(__xludf.DUMMYFUNCTION("""COMPUTED_VALUE"""),2013)</f>
        <v>2013</v>
      </c>
      <c r="E1964" s="10" t="str">
        <f ca="1">IFERROR(__xludf.DUMMYFUNCTION("""COMPUTED_VALUE"""),"списание CIO BG, бр.10")</f>
        <v>списание CIO BG, бр.10</v>
      </c>
      <c r="F1964" s="10"/>
      <c r="G1964" s="10"/>
      <c r="H1964" s="10"/>
      <c r="I1964" s="10"/>
      <c r="J1964" s="10"/>
      <c r="K1964" s="10"/>
      <c r="L1964" s="10"/>
      <c r="M1964" s="10"/>
      <c r="N1964" s="10"/>
      <c r="O1964" s="10"/>
      <c r="P1964" s="10"/>
      <c r="Q1964" s="10"/>
      <c r="R1964" s="10"/>
      <c r="S1964" s="10"/>
      <c r="T1964" s="10"/>
      <c r="U1964" s="10"/>
      <c r="V1964" s="10"/>
      <c r="W1964" s="10"/>
      <c r="X1964" s="10"/>
      <c r="Y1964" s="10"/>
      <c r="Z1964" s="10"/>
    </row>
    <row r="1965" spans="1:26" ht="12.75">
      <c r="A1965" s="10" t="str">
        <f ca="1">IFERROR(__xludf.DUMMYFUNCTION("""COMPUTED_VALUE"""),"Георги Петров Димитров")</f>
        <v>Георги Петров Димитров</v>
      </c>
      <c r="B1965" s="10" t="str">
        <f ca="1">IFERROR(__xludf.DUMMYFUNCTION("""COMPUTED_VALUE"""),"Доклад от конференция")</f>
        <v>Доклад от конференция</v>
      </c>
      <c r="C1965" s="10" t="str">
        <f ca="1">IFERROR(__xludf.DUMMYFUNCTION("""COMPUTED_VALUE"""),"Researching and Modeling of Queuing Systems of the Insurance Company")</f>
        <v>Researching and Modeling of Queuing Systems of the Insurance Company</v>
      </c>
      <c r="D1965" s="10">
        <f ca="1">IFERROR(__xludf.DUMMYFUNCTION("""COMPUTED_VALUE"""),2013)</f>
        <v>2013</v>
      </c>
      <c r="E1965" s="10" t="str">
        <f ca="1">IFERROR(__xludf.DUMMYFUNCTION("""COMPUTED_VALUE"""),"HASSACC-HASSACC-HUMAN AND SOCIAL SCIENCES AT THE COMMON CONFERENCE")</f>
        <v>HASSACC-HASSACC-HUMAN AND SOCIAL SCIENCES AT THE COMMON CONFERENCE</v>
      </c>
      <c r="F1965" s="10"/>
      <c r="G1965" s="10"/>
      <c r="H1965" s="10"/>
      <c r="I1965" s="10"/>
      <c r="J1965" s="10"/>
      <c r="K1965" s="10"/>
      <c r="L1965" s="10"/>
      <c r="M1965" s="10"/>
      <c r="N1965" s="10"/>
      <c r="O1965" s="10"/>
      <c r="P1965" s="10"/>
      <c r="Q1965" s="10"/>
      <c r="R1965" s="10"/>
      <c r="S1965" s="10"/>
      <c r="T1965" s="10"/>
      <c r="U1965" s="10"/>
      <c r="V1965" s="10"/>
      <c r="W1965" s="10"/>
      <c r="X1965" s="10"/>
      <c r="Y1965" s="10"/>
      <c r="Z1965" s="10"/>
    </row>
    <row r="1966" spans="1:26" ht="12.75">
      <c r="A1966" s="10" t="str">
        <f ca="1">IFERROR(__xludf.DUMMYFUNCTION("""COMPUTED_VALUE"""),"Георги Петров Димитров")</f>
        <v>Георги Петров Димитров</v>
      </c>
      <c r="B1966" s="10" t="str">
        <f ca="1">IFERROR(__xludf.DUMMYFUNCTION("""COMPUTED_VALUE"""),"Доклад от конференция")</f>
        <v>Доклад от конференция</v>
      </c>
      <c r="C1966" s="10" t="str">
        <f ca="1">IFERROR(__xludf.DUMMYFUNCTION("""COMPUTED_VALUE"""),"Queuing systems in insurance companies-analyzing incoming requests")</f>
        <v>Queuing systems in insurance companies-analyzing incoming requests</v>
      </c>
      <c r="D1966" s="10">
        <f ca="1">IFERROR(__xludf.DUMMYFUNCTION("""COMPUTED_VALUE"""),2013)</f>
        <v>2013</v>
      </c>
      <c r="E1966" s="10" t="str">
        <f ca="1">IFERROR(__xludf.DUMMYFUNCTION("""COMPUTED_VALUE"""),"Volume: 2, Issue: 1, September 2013, Publisher: EDIS-Publishing Institution of the University of Zilina, Powered by: Thomson Ltd, Slovakia, ISSN: 1339-9977 CD ROM ISSN: 1338-7871 ISBN: 978-80-554-0762-3")</f>
        <v>Volume: 2, Issue: 1, September 2013, Publisher: EDIS-Publishing Institution of the University of Zilina, Powered by: Thomson Ltd, Slovakia, ISSN: 1339-9977 CD ROM ISSN: 1338-7871 ISBN: 978-80-554-0762-3</v>
      </c>
      <c r="F1966" s="10" t="str">
        <f ca="1">IFERROR(__xludf.DUMMYFUNCTION("""COMPUTED_VALUE"""),"Thomson Ltd")</f>
        <v>Thomson Ltd</v>
      </c>
      <c r="G1966" s="10" t="str">
        <f ca="1">IFERROR(__xludf.DUMMYFUNCTION("""COMPUTED_VALUE"""),"Galina Panayotova")</f>
        <v>Galina Panayotova</v>
      </c>
      <c r="H1966" s="10"/>
      <c r="I1966" s="10"/>
      <c r="J1966" s="10"/>
      <c r="K1966" s="10"/>
      <c r="L1966" s="10"/>
      <c r="M1966" s="10"/>
      <c r="N1966" s="10"/>
      <c r="O1966" s="10"/>
      <c r="P1966" s="10"/>
      <c r="Q1966" s="10"/>
      <c r="R1966" s="10"/>
      <c r="S1966" s="10"/>
      <c r="T1966" s="10"/>
      <c r="U1966" s="10"/>
      <c r="V1966" s="10"/>
      <c r="W1966" s="10"/>
      <c r="X1966" s="10"/>
      <c r="Y1966" s="10"/>
      <c r="Z1966" s="10"/>
    </row>
    <row r="1967" spans="1:26" ht="12.75">
      <c r="A1967" s="10" t="str">
        <f ca="1">IFERROR(__xludf.DUMMYFUNCTION("""COMPUTED_VALUE"""),"Георги Петров Димитров")</f>
        <v>Георги Петров Димитров</v>
      </c>
      <c r="B1967" s="10" t="str">
        <f ca="1">IFERROR(__xludf.DUMMYFUNCTION("""COMPUTED_VALUE"""),"Доклад от конференция")</f>
        <v>Доклад от конференция</v>
      </c>
      <c r="C1967" s="10" t="str">
        <f ca="1">IFERROR(__xludf.DUMMYFUNCTION("""COMPUTED_VALUE"""),"Анализ на възможностите на CBS/Corps Battle Simulation/ за моделиране бойните действия на артилерията в операцията")</f>
        <v>Анализ на възможностите на CBS/Corps Battle Simulation/ за моделиране бойните действия на артилерията в операцията</v>
      </c>
      <c r="D1967" s="10">
        <f ca="1">IFERROR(__xludf.DUMMYFUNCTION("""COMPUTED_VALUE"""),1999)</f>
        <v>1999</v>
      </c>
      <c r="E1967" s="10" t="str">
        <f ca="1">IFERROR(__xludf.DUMMYFUNCTION("""COMPUTED_VALUE"""),"Научна конференция, Трудове на академията кн.4/1999г.")</f>
        <v>Научна конференция, Трудове на академията кн.4/1999г.</v>
      </c>
      <c r="F1967" s="10"/>
      <c r="G1967" s="10"/>
      <c r="H1967" s="10"/>
      <c r="I1967" s="10"/>
      <c r="J1967" s="10"/>
      <c r="K1967" s="10"/>
      <c r="L1967" s="10"/>
      <c r="M1967" s="10"/>
      <c r="N1967" s="10"/>
      <c r="O1967" s="10"/>
      <c r="P1967" s="10"/>
      <c r="Q1967" s="10"/>
      <c r="R1967" s="10"/>
      <c r="S1967" s="10"/>
      <c r="T1967" s="10"/>
      <c r="U1967" s="10"/>
      <c r="V1967" s="10"/>
      <c r="W1967" s="10"/>
      <c r="X1967" s="10"/>
      <c r="Y1967" s="10"/>
      <c r="Z1967" s="10"/>
    </row>
    <row r="1968" spans="1:26" ht="12.75">
      <c r="A1968" s="10" t="str">
        <f ca="1">IFERROR(__xludf.DUMMYFUNCTION("""COMPUTED_VALUE"""),"Георги Петров Димитров")</f>
        <v>Георги Петров Димитров</v>
      </c>
      <c r="B1968" s="10" t="str">
        <f ca="1">IFERROR(__xludf.DUMMYFUNCTION("""COMPUTED_VALUE"""),"Доклад от конференция")</f>
        <v>Доклад от конференция</v>
      </c>
      <c r="C1968" s="10" t="str">
        <f ca="1">IFERROR(__xludf.DUMMYFUNCTION("""COMPUTED_VALUE"""),"Подход за изграждане на подмодела на РВиА в подсистемата за моделиране на бойните действия")</f>
        <v>Подход за изграждане на подмодела на РВиА в подсистемата за моделиране на бойните действия</v>
      </c>
      <c r="D1968" s="10">
        <f ca="1">IFERROR(__xludf.DUMMYFUNCTION("""COMPUTED_VALUE"""),1998)</f>
        <v>1998</v>
      </c>
      <c r="E1968" s="10" t="str">
        <f ca="1">IFERROR(__xludf.DUMMYFUNCTION("""COMPUTED_VALUE"""),"Сборник научни трудове, ВВУАПВО”П.Волов”, Шумен, 1998г.")</f>
        <v>Сборник научни трудове, ВВУАПВО”П.Волов”, Шумен, 1998г.</v>
      </c>
      <c r="F1968" s="10"/>
      <c r="G1968" s="10"/>
      <c r="H1968" s="10"/>
      <c r="I1968" s="10"/>
      <c r="J1968" s="10"/>
      <c r="K1968" s="10"/>
      <c r="L1968" s="10"/>
      <c r="M1968" s="10"/>
      <c r="N1968" s="10"/>
      <c r="O1968" s="10"/>
      <c r="P1968" s="10"/>
      <c r="Q1968" s="10"/>
      <c r="R1968" s="10"/>
      <c r="S1968" s="10"/>
      <c r="T1968" s="10"/>
      <c r="U1968" s="10"/>
      <c r="V1968" s="10"/>
      <c r="W1968" s="10"/>
      <c r="X1968" s="10"/>
      <c r="Y1968" s="10"/>
      <c r="Z1968" s="10"/>
    </row>
    <row r="1969" spans="1:26" ht="12.75">
      <c r="A1969" s="10" t="str">
        <f ca="1">IFERROR(__xludf.DUMMYFUNCTION("""COMPUTED_VALUE"""),"Георги Петров Димитров")</f>
        <v>Георги Петров Димитров</v>
      </c>
      <c r="B1969" s="10" t="str">
        <f ca="1">IFERROR(__xludf.DUMMYFUNCTION("""COMPUTED_VALUE"""),"Доклад от конференция")</f>
        <v>Доклад от конференция</v>
      </c>
      <c r="C1969" s="10" t="str">
        <f ca="1">IFERROR(__xludf.DUMMYFUNCTION("""COMPUTED_VALUE"""),"Моделиране бойните действия на артилерията в корпусната отбранителна операция")</f>
        <v>Моделиране бойните действия на артилерията в корпусната отбранителна операция</v>
      </c>
      <c r="D1969" s="10">
        <f ca="1">IFERROR(__xludf.DUMMYFUNCTION("""COMPUTED_VALUE"""),1997)</f>
        <v>1997</v>
      </c>
      <c r="E1969" s="10" t="str">
        <f ca="1">IFERROR(__xludf.DUMMYFUNCTION("""COMPUTED_VALUE"""),"Научна конференция, ВА “Г.С.Раковски”.Трудове на академията кн.4.1997г.")</f>
        <v>Научна конференция, ВА “Г.С.Раковски”.Трудове на академията кн.4.1997г.</v>
      </c>
      <c r="F1969" s="10"/>
      <c r="G1969" s="10" t="str">
        <f ca="1">IFERROR(__xludf.DUMMYFUNCTION("""COMPUTED_VALUE"""),"Жеков Ж.")</f>
        <v>Жеков Ж.</v>
      </c>
      <c r="H1969" s="10"/>
      <c r="I1969" s="10"/>
      <c r="J1969" s="10"/>
      <c r="K1969" s="10"/>
      <c r="L1969" s="10"/>
      <c r="M1969" s="10"/>
      <c r="N1969" s="10"/>
      <c r="O1969" s="10"/>
      <c r="P1969" s="10"/>
      <c r="Q1969" s="10"/>
      <c r="R1969" s="10"/>
      <c r="S1969" s="10"/>
      <c r="T1969" s="10"/>
      <c r="U1969" s="10"/>
      <c r="V1969" s="10"/>
      <c r="W1969" s="10"/>
      <c r="X1969" s="10"/>
      <c r="Y1969" s="10"/>
      <c r="Z1969" s="10"/>
    </row>
    <row r="1970" spans="1:26" ht="12.75">
      <c r="A1970" s="10" t="str">
        <f ca="1">IFERROR(__xludf.DUMMYFUNCTION("""COMPUTED_VALUE"""),"Гергина Бориславова Жаблянова")</f>
        <v>Гергина Бориславова Жаблянова</v>
      </c>
      <c r="B1970" s="10" t="str">
        <f ca="1">IFERROR(__xludf.DUMMYFUNCTION("""COMPUTED_VALUE"""),"Статия в списания и поредици")</f>
        <v>Статия в списания и поредици</v>
      </c>
      <c r="C1970" s="10" t="str">
        <f ca="1">IFERROR(__xludf.DUMMYFUNCTION("""COMPUTED_VALUE"""),"CYBER CULTURE - MYTH OR REALITY. BUILDING CYBER SPACE SURVIVAL COMPETENCIES")</f>
        <v>CYBER CULTURE - MYTH OR REALITY. BUILDING CYBER SPACE SURVIVAL COMPETENCIES</v>
      </c>
      <c r="D1970" s="10">
        <f ca="1">IFERROR(__xludf.DUMMYFUNCTION("""COMPUTED_VALUE"""),2019)</f>
        <v>2019</v>
      </c>
      <c r="E1970" s="10" t="str">
        <f ca="1">IFERROR(__xludf.DUMMYFUNCTION("""COMPUTED_VALUE"""),"EDULEARN19 Proceedings. // 11th International Conference on Education and New Learning Technologies 1-3 July, 2019, Palma, Spain, pp. 2480-2485. , ISBN: 978-84-09-12031-4, ISSN: 2340-1117")</f>
        <v>EDULEARN19 Proceedings. // 11th International Conference on Education and New Learning Technologies 1-3 July, 2019, Palma, Spain, pp. 2480-2485. , ISBN: 978-84-09-12031-4, ISSN: 2340-1117</v>
      </c>
      <c r="F1970" s="10"/>
      <c r="G1970" s="10" t="str">
        <f ca="1">IFERROR(__xludf.DUMMYFUNCTION("""COMPUTED_VALUE"""),"Zhablyanova, G., Pavlova, M., Tetevenska, B., Bosakova K.")</f>
        <v>Zhablyanova, G., Pavlova, M., Tetevenska, B., Bosakova K.</v>
      </c>
      <c r="H1970" s="10"/>
      <c r="I1970" s="10"/>
      <c r="J1970" s="10"/>
      <c r="K1970" s="10"/>
      <c r="L1970" s="10"/>
      <c r="M1970" s="10"/>
      <c r="N1970" s="10"/>
      <c r="O1970" s="10"/>
      <c r="P1970" s="10"/>
      <c r="Q1970" s="10"/>
      <c r="R1970" s="10"/>
      <c r="S1970" s="10"/>
      <c r="T1970" s="10"/>
      <c r="U1970" s="10"/>
      <c r="V1970" s="10"/>
      <c r="W1970" s="10"/>
      <c r="X1970" s="10"/>
      <c r="Y1970" s="10"/>
      <c r="Z1970" s="10"/>
    </row>
    <row r="1971" spans="1:26" ht="12.75">
      <c r="A1971" s="10" t="str">
        <f ca="1">IFERROR(__xludf.DUMMYFUNCTION("""COMPUTED_VALUE"""),"Гергина Бориславова Жаблянова")</f>
        <v>Гергина Бориславова Жаблянова</v>
      </c>
      <c r="B1971" s="10" t="str">
        <f ca="1">IFERROR(__xludf.DUMMYFUNCTION("""COMPUTED_VALUE"""),"Статия в списания и поредици")</f>
        <v>Статия в списания и поредици</v>
      </c>
      <c r="C1971" s="10" t="str">
        <f ca="1">IFERROR(__xludf.DUMMYFUNCTION("""COMPUTED_VALUE"""),"THE ROLE OF THE UNIVERSITIES IN CREATING INFORMATION LITERACY OF THE STUDENTS")</f>
        <v>THE ROLE OF THE UNIVERSITIES IN CREATING INFORMATION LITERACY OF THE STUDENTS</v>
      </c>
      <c r="D1971" s="10">
        <f ca="1">IFERROR(__xludf.DUMMYFUNCTION("""COMPUTED_VALUE"""),2019)</f>
        <v>2019</v>
      </c>
      <c r="E1971" s="10" t="str">
        <f ca="1">IFERROR(__xludf.DUMMYFUNCTION("""COMPUTED_VALUE"""),"EDULEARN19 Proceedings. // 11th International Conference on Education and New Learning Technologies 1-3 July, 2019, Palma, Spain, pp. 4866-4869. EDULEARN19 Proceedings. // 11th International Conference on Education and New Learning Technologies 1-3 July, "&amp;"2019, Palma, Spain, pp. 4866-4869. ISBN: 978-84-09-12031-4, ISBN: 978-84-09-12031-4, ISSN: 2340-1117")</f>
        <v>EDULEARN19 Proceedings. // 11th International Conference on Education and New Learning Technologies 1-3 July, 2019, Palma, Spain, pp. 4866-4869. EDULEARN19 Proceedings. // 11th International Conference on Education and New Learning Technologies 1-3 July, 2019, Palma, Spain, pp. 4866-4869. ISBN: 978-84-09-12031-4, ISBN: 978-84-09-12031-4, ISSN: 2340-1117</v>
      </c>
      <c r="F1971" s="10"/>
      <c r="G1971" s="10" t="str">
        <f ca="1">IFERROR(__xludf.DUMMYFUNCTION("""COMPUTED_VALUE"""),"Zhablyanova, G., Bosakova K., Pavlova M., Petrova T.")</f>
        <v>Zhablyanova, G., Bosakova K., Pavlova M., Petrova T.</v>
      </c>
      <c r="H1971" s="10"/>
      <c r="I1971" s="10"/>
      <c r="J1971" s="10"/>
      <c r="K1971" s="10"/>
      <c r="L1971" s="10"/>
      <c r="M1971" s="10"/>
      <c r="N1971" s="10"/>
      <c r="O1971" s="10"/>
      <c r="P1971" s="10"/>
      <c r="Q1971" s="10"/>
      <c r="R1971" s="10"/>
      <c r="S1971" s="10"/>
      <c r="T1971" s="10"/>
      <c r="U1971" s="10"/>
      <c r="V1971" s="10"/>
      <c r="W1971" s="10"/>
      <c r="X1971" s="10"/>
      <c r="Y1971" s="10"/>
      <c r="Z1971" s="10"/>
    </row>
    <row r="1972" spans="1:26" ht="12.75">
      <c r="A1972" s="10" t="str">
        <f ca="1">IFERROR(__xludf.DUMMYFUNCTION("""COMPUTED_VALUE"""),"Гергина Бориславова Жаблянова")</f>
        <v>Гергина Бориславова Жаблянова</v>
      </c>
      <c r="B1972" s="10" t="str">
        <f ca="1">IFERROR(__xludf.DUMMYFUNCTION("""COMPUTED_VALUE"""),"Статия в списания и поредици")</f>
        <v>Статия в списания и поредици</v>
      </c>
      <c r="C1972" s="10" t="str">
        <f ca="1">IFERROR(__xludf.DUMMYFUNCTION("""COMPUTED_VALUE"""),"INFORMING SCIENCE-BASED MODEL FOR THE FORMATION AND DEVELOPMENT OF SKILLS AND COMPETENCES IN THE USE OF INFORMATION RESOURCES")</f>
        <v>INFORMING SCIENCE-BASED MODEL FOR THE FORMATION AND DEVELOPMENT OF SKILLS AND COMPETENCES IN THE USE OF INFORMATION RESOURCES</v>
      </c>
      <c r="D1972" s="10">
        <f ca="1">IFERROR(__xludf.DUMMYFUNCTION("""COMPUTED_VALUE"""),2018)</f>
        <v>2018</v>
      </c>
      <c r="E1972" s="10" t="str">
        <f ca="1">IFERROR(__xludf.DUMMYFUNCTION("""COMPUTED_VALUE"""),"EDULEARN18 Proceedings. // 10th International Conference on Education and New Learning Technologies, 2-4 July, 2018, Palma, Spain, pp. 1867-1871, ISBN: 978-84-09-02709-5, ISSN: 2340-1117")</f>
        <v>EDULEARN18 Proceedings. // 10th International Conference on Education and New Learning Technologies, 2-4 July, 2018, Palma, Spain, pp. 1867-1871, ISBN: 978-84-09-02709-5, ISSN: 2340-1117</v>
      </c>
      <c r="F1972" s="10"/>
      <c r="G1972" s="10" t="str">
        <f ca="1">IFERROR(__xludf.DUMMYFUNCTION("""COMPUTED_VALUE"""),"Zhablyanova, G., Bosakova K., Pavlova M.")</f>
        <v>Zhablyanova, G., Bosakova K., Pavlova M.</v>
      </c>
      <c r="H1972" s="10"/>
      <c r="I1972" s="10"/>
      <c r="J1972" s="10"/>
      <c r="K1972" s="10"/>
      <c r="L1972" s="10"/>
      <c r="M1972" s="10"/>
      <c r="N1972" s="10"/>
      <c r="O1972" s="10"/>
      <c r="P1972" s="10"/>
      <c r="Q1972" s="10"/>
      <c r="R1972" s="10"/>
      <c r="S1972" s="10"/>
      <c r="T1972" s="10"/>
      <c r="U1972" s="10"/>
      <c r="V1972" s="10"/>
      <c r="W1972" s="10"/>
      <c r="X1972" s="10"/>
      <c r="Y1972" s="10"/>
      <c r="Z1972" s="10"/>
    </row>
    <row r="1973" spans="1:26" ht="12.75">
      <c r="A1973" s="10" t="str">
        <f ca="1">IFERROR(__xludf.DUMMYFUNCTION("""COMPUTED_VALUE"""),"Гергина Бориславова Жаблянова")</f>
        <v>Гергина Бориславова Жаблянова</v>
      </c>
      <c r="B1973" s="10" t="str">
        <f ca="1">IFERROR(__xludf.DUMMYFUNCTION("""COMPUTED_VALUE"""),"Статия в списания и поредици")</f>
        <v>Статия в списания и поредици</v>
      </c>
      <c r="C1973" s="10" t="str">
        <f ca="1">IFERROR(__xludf.DUMMYFUNCTION("""COMPUTED_VALUE"""),"CHALLENGES FOR THE HIGHER EDUCATION IN THE ERA OF FAKE CONTENT")</f>
        <v>CHALLENGES FOR THE HIGHER EDUCATION IN THE ERA OF FAKE CONTENT</v>
      </c>
      <c r="D1973" s="10">
        <f ca="1">IFERROR(__xludf.DUMMYFUNCTION("""COMPUTED_VALUE"""),2018)</f>
        <v>2018</v>
      </c>
      <c r="E1973" s="10" t="str">
        <f ca="1">IFERROR(__xludf.DUMMYFUNCTION("""COMPUTED_VALUE"""),"EDULEARN18 Proceedings. // 10th International Conference on Education and New Learning Technologies, 2-4 July, 2018, Palma, Spain, pp. 6558-6561. , ISBN: 978-84-09-02709-5, ISSN: 2340-1117")</f>
        <v>EDULEARN18 Proceedings. // 10th International Conference on Education and New Learning Technologies, 2-4 July, 2018, Palma, Spain, pp. 6558-6561. , ISBN: 978-84-09-02709-5, ISSN: 2340-1117</v>
      </c>
      <c r="F1973" s="10"/>
      <c r="G1973" s="10" t="str">
        <f ca="1">IFERROR(__xludf.DUMMYFUNCTION("""COMPUTED_VALUE"""),"Zhablyanova, G., Tetevenska, B., Velkova, T., Lulov Y.")</f>
        <v>Zhablyanova, G., Tetevenska, B., Velkova, T., Lulov Y.</v>
      </c>
      <c r="H1973" s="10"/>
      <c r="I1973" s="10"/>
      <c r="J1973" s="10"/>
      <c r="K1973" s="10"/>
      <c r="L1973" s="10"/>
      <c r="M1973" s="10"/>
      <c r="N1973" s="10"/>
      <c r="O1973" s="10"/>
      <c r="P1973" s="10"/>
      <c r="Q1973" s="10"/>
      <c r="R1973" s="10"/>
      <c r="S1973" s="10"/>
      <c r="T1973" s="10"/>
      <c r="U1973" s="10"/>
      <c r="V1973" s="10"/>
      <c r="W1973" s="10"/>
      <c r="X1973" s="10"/>
      <c r="Y1973" s="10"/>
      <c r="Z1973" s="10"/>
    </row>
    <row r="1974" spans="1:26" ht="12.75">
      <c r="A1974" s="10" t="str">
        <f ca="1">IFERROR(__xludf.DUMMYFUNCTION("""COMPUTED_VALUE"""),"Гергина Бориславова Жаблянова")</f>
        <v>Гергина Бориславова Жаблянова</v>
      </c>
      <c r="B1974" s="10" t="str">
        <f ca="1">IFERROR(__xludf.DUMMYFUNCTION("""COMPUTED_VALUE"""),"Доклад от конференция")</f>
        <v>Доклад от конференция</v>
      </c>
      <c r="C1974" s="10" t="str">
        <f ca="1">IFERROR(__xludf.DUMMYFUNCTION("""COMPUTED_VALUE"""),"Informing science-based model for the formation and development of skills and competences in the use of information resources")</f>
        <v>Informing science-based model for the formation and development of skills and competences in the use of information resources</v>
      </c>
      <c r="D1974" s="10">
        <f ca="1">IFERROR(__xludf.DUMMYFUNCTION("""COMPUTED_VALUE"""),2018)</f>
        <v>2018</v>
      </c>
      <c r="E1974" s="10" t="str">
        <f ca="1">IFERROR(__xludf.DUMMYFUNCTION("""COMPUTED_VALUE"""),"Proceedings of EDULEARN18 Conference 2nd-4th July 2018, Palma, Mallorca, Spain, ISBN: 978-84-09-02709-5, pp-1300-1303")</f>
        <v>Proceedings of EDULEARN18 Conference 2nd-4th July 2018, Palma, Mallorca, Spain, ISBN: 978-84-09-02709-5, pp-1300-1303</v>
      </c>
      <c r="F1974" s="10" t="str">
        <f ca="1">IFERROR(__xludf.DUMMYFUNCTION("""COMPUTED_VALUE"""),"Web of science, Crossref")</f>
        <v>Web of science, Crossref</v>
      </c>
      <c r="G1974" s="10" t="str">
        <f ca="1">IFERROR(__xludf.DUMMYFUNCTION("""COMPUTED_VALUE"""),"Kristina Bosakova, Miriyana Pavlova")</f>
        <v>Kristina Bosakova, Miriyana Pavlova</v>
      </c>
      <c r="H1974" s="10"/>
      <c r="I1974" s="10"/>
      <c r="J1974" s="10"/>
      <c r="K1974" s="10"/>
      <c r="L1974" s="10"/>
      <c r="M1974" s="10"/>
      <c r="N1974" s="10"/>
      <c r="O1974" s="10"/>
      <c r="P1974" s="10"/>
      <c r="Q1974" s="10"/>
      <c r="R1974" s="10"/>
      <c r="S1974" s="10"/>
      <c r="T1974" s="10"/>
      <c r="U1974" s="10"/>
      <c r="V1974" s="10"/>
      <c r="W1974" s="10"/>
      <c r="X1974" s="10"/>
      <c r="Y1974" s="10"/>
      <c r="Z1974" s="10"/>
    </row>
    <row r="1975" spans="1:26" ht="12.75">
      <c r="A1975" s="10" t="str">
        <f ca="1">IFERROR(__xludf.DUMMYFUNCTION("""COMPUTED_VALUE"""),"Гергина Бориславова Жаблянова")</f>
        <v>Гергина Бориславова Жаблянова</v>
      </c>
      <c r="B1975" s="10" t="str">
        <f ca="1">IFERROR(__xludf.DUMMYFUNCTION("""COMPUTED_VALUE"""),"Статия в списания и поредици")</f>
        <v>Статия в списания и поредици</v>
      </c>
      <c r="C1975" s="10" t="str">
        <f ca="1">IFERROR(__xludf.DUMMYFUNCTION("""COMPUTED_VALUE"""),"ACADEMIC RESEARCH PROJECT FOR FORMATION AND DEVELOPMENT OF SKILLS AND COMPETENCES IN THE USE OF INFORMATION RESOURCES")</f>
        <v>ACADEMIC RESEARCH PROJECT FOR FORMATION AND DEVELOPMENT OF SKILLS AND COMPETENCES IN THE USE OF INFORMATION RESOURCES</v>
      </c>
      <c r="D1975" s="10">
        <f ca="1">IFERROR(__xludf.DUMMYFUNCTION("""COMPUTED_VALUE"""),2018)</f>
        <v>2018</v>
      </c>
      <c r="E1975" s="10" t="str">
        <f ca="1">IFERROR(__xludf.DUMMYFUNCTION("""COMPUTED_VALUE"""),"ICERI2018 Proceedings. // 11th annual International Conference of Education, Research and Innovation 12-14 November, 2018, Seville, Spain, pp. 969-973. , ISBN: 978-84-09-05948-5, ISSN: 2340-1095")</f>
        <v>ICERI2018 Proceedings. // 11th annual International Conference of Education, Research and Innovation 12-14 November, 2018, Seville, Spain, pp. 969-973. , ISBN: 978-84-09-05948-5, ISSN: 2340-1095</v>
      </c>
      <c r="F1975" s="10"/>
      <c r="G1975" s="10" t="str">
        <f ca="1">IFERROR(__xludf.DUMMYFUNCTION("""COMPUTED_VALUE"""),"Bosakova K., Pavlova M.,Zhablyanova, G.")</f>
        <v>Bosakova K., Pavlova M.,Zhablyanova, G.</v>
      </c>
      <c r="H1975" s="10"/>
      <c r="I1975" s="10"/>
      <c r="J1975" s="10"/>
      <c r="K1975" s="10"/>
      <c r="L1975" s="10"/>
      <c r="M1975" s="10"/>
      <c r="N1975" s="10"/>
      <c r="O1975" s="10"/>
      <c r="P1975" s="10"/>
      <c r="Q1975" s="10"/>
      <c r="R1975" s="10"/>
      <c r="S1975" s="10"/>
      <c r="T1975" s="10"/>
      <c r="U1975" s="10"/>
      <c r="V1975" s="10"/>
      <c r="W1975" s="10"/>
      <c r="X1975" s="10"/>
      <c r="Y1975" s="10"/>
      <c r="Z1975" s="10"/>
    </row>
    <row r="1976" spans="1:26" ht="12.75">
      <c r="A1976" s="10" t="str">
        <f ca="1">IFERROR(__xludf.DUMMYFUNCTION("""COMPUTED_VALUE"""),"Гергина Бориславова Жаблянова")</f>
        <v>Гергина Бориславова Жаблянова</v>
      </c>
      <c r="B1976" s="10" t="str">
        <f ca="1">IFERROR(__xludf.DUMMYFUNCTION("""COMPUTED_VALUE"""),"Статия в списания и поредици")</f>
        <v>Статия в списания и поредици</v>
      </c>
      <c r="C1976" s="10" t="str">
        <f ca="1">IFERROR(__xludf.DUMMYFUNCTION("""COMPUTED_VALUE"""),"Висшето образование във времето на фалшивите новини")</f>
        <v>Висшето образование във времето на фалшивите новини</v>
      </c>
      <c r="D1976" s="10">
        <f ca="1">IFERROR(__xludf.DUMMYFUNCTION("""COMPUTED_VALUE"""),2018)</f>
        <v>2018</v>
      </c>
      <c r="E1976" s="10" t="str">
        <f ca="1">IFERROR(__xludf.DUMMYFUNCTION("""COMPUTED_VALUE"""),"Edu&amp;Teach: Образование и технологии, 2018/9 c. 85 – 88")</f>
        <v>Edu&amp;Teach: Образование и технологии, 2018/9 c. 85 – 88</v>
      </c>
      <c r="F1976" s="10"/>
      <c r="G1976" s="10" t="str">
        <f ca="1">IFERROR(__xludf.DUMMYFUNCTION("""COMPUTED_VALUE"""),"Жаблянова, Г., Павлова, M., Босаков, K., Тетевенска, Б.,")</f>
        <v>Жаблянова, Г., Павлова, M., Босаков, K., Тетевенска, Б.,</v>
      </c>
      <c r="H1976" s="10"/>
      <c r="I1976" s="10"/>
      <c r="J1976" s="10"/>
      <c r="K1976" s="10"/>
      <c r="L1976" s="10"/>
      <c r="M1976" s="10"/>
      <c r="N1976" s="10"/>
      <c r="O1976" s="10"/>
      <c r="P1976" s="10"/>
      <c r="Q1976" s="10"/>
      <c r="R1976" s="10"/>
      <c r="S1976" s="10"/>
      <c r="T1976" s="10"/>
      <c r="U1976" s="10"/>
      <c r="V1976" s="10"/>
      <c r="W1976" s="10"/>
      <c r="X1976" s="10"/>
      <c r="Y1976" s="10"/>
      <c r="Z1976" s="10"/>
    </row>
    <row r="1977" spans="1:26" ht="12.75">
      <c r="A1977" s="10" t="str">
        <f ca="1">IFERROR(__xludf.DUMMYFUNCTION("""COMPUTED_VALUE"""),"Гергина Бориславова Жаблянова")</f>
        <v>Гергина Бориславова Жаблянова</v>
      </c>
      <c r="B1977" s="10" t="str">
        <f ca="1">IFERROR(__xludf.DUMMYFUNCTION("""COMPUTED_VALUE"""),"Доклад от конференция")</f>
        <v>Доклад от конференция</v>
      </c>
      <c r="C1977" s="10" t="str">
        <f ca="1">IFERROR(__xludf.DUMMYFUNCTION("""COMPUTED_VALUE"""),"Challenges for the Higher Education in the Era of Fake Content")</f>
        <v>Challenges for the Higher Education in the Era of Fake Content</v>
      </c>
      <c r="D1977" s="10">
        <f ca="1">IFERROR(__xludf.DUMMYFUNCTION("""COMPUTED_VALUE"""),2018)</f>
        <v>2018</v>
      </c>
      <c r="E1977" s="10" t="str">
        <f ca="1">IFERROR(__xludf.DUMMYFUNCTION("""COMPUTED_VALUE"""),"Proceedings of EDULEARN18 Conference 2nd-4th July 2018, Palma, Mallorca, Spain, ISBN: 978-84-09-02709-5")</f>
        <v>Proceedings of EDULEARN18 Conference 2nd-4th July 2018, Palma, Mallorca, Spain, ISBN: 978-84-09-02709-5</v>
      </c>
      <c r="F1977" s="10" t="str">
        <f ca="1">IFERROR(__xludf.DUMMYFUNCTION("""COMPUTED_VALUE"""),"Web of science, Crossref")</f>
        <v>Web of science, Crossref</v>
      </c>
      <c r="G1977" s="10" t="str">
        <f ca="1">IFERROR(__xludf.DUMMYFUNCTION("""COMPUTED_VALUE"""),"Bella Tetevenska, Trayana Velkova, Yovi Lulov")</f>
        <v>Bella Tetevenska, Trayana Velkova, Yovi Lulov</v>
      </c>
      <c r="H1977" s="10"/>
      <c r="I1977" s="10"/>
      <c r="J1977" s="10"/>
      <c r="K1977" s="10"/>
      <c r="L1977" s="10"/>
      <c r="M1977" s="10"/>
      <c r="N1977" s="10"/>
      <c r="O1977" s="10"/>
      <c r="P1977" s="10"/>
      <c r="Q1977" s="10"/>
      <c r="R1977" s="10"/>
      <c r="S1977" s="10"/>
      <c r="T1977" s="10"/>
      <c r="U1977" s="10"/>
      <c r="V1977" s="10"/>
      <c r="W1977" s="10"/>
      <c r="X1977" s="10"/>
      <c r="Y1977" s="10"/>
      <c r="Z1977" s="10"/>
    </row>
    <row r="1978" spans="1:26" ht="12.75">
      <c r="A1978" s="10" t="str">
        <f ca="1">IFERROR(__xludf.DUMMYFUNCTION("""COMPUTED_VALUE"""),"Гергина Бориславова Жаблянова")</f>
        <v>Гергина Бориславова Жаблянова</v>
      </c>
      <c r="B1978" s="10" t="str">
        <f ca="1">IFERROR(__xludf.DUMMYFUNCTION("""COMPUTED_VALUE"""),"Доклад от конференция")</f>
        <v>Доклад от конференция</v>
      </c>
      <c r="C1978" s="10" t="str">
        <f ca="1">IFERROR(__xludf.DUMMYFUNCTION("""COMPUTED_VALUE"""),"INNOVATIVE MODEL FOR PRACTICAL TRAINING OF STUDENTS IN A REAL WORKING ENVIRONMENT")</f>
        <v>INNOVATIVE MODEL FOR PRACTICAL TRAINING OF STUDENTS IN A REAL WORKING ENVIRONMENT</v>
      </c>
      <c r="D1978" s="10">
        <f ca="1">IFERROR(__xludf.DUMMYFUNCTION("""COMPUTED_VALUE"""),2017)</f>
        <v>2017</v>
      </c>
      <c r="E1978" s="10" t="str">
        <f ca="1">IFERROR(__xludf.DUMMYFUNCTION("""COMPUTED_VALUE"""),"Proceedings of EDULEARN17 Conference 3nd-5th July 2017, Barcelona, Spain, ISBN: 978-84-697-3777-4, pp- 9006-9013")</f>
        <v>Proceedings of EDULEARN17 Conference 3nd-5th July 2017, Barcelona, Spain, ISBN: 978-84-697-3777-4, pp- 9006-9013</v>
      </c>
      <c r="F1978" s="10" t="str">
        <f ca="1">IFERROR(__xludf.DUMMYFUNCTION("""COMPUTED_VALUE"""),"Web of science, Crossref")</f>
        <v>Web of science, Crossref</v>
      </c>
      <c r="G1978" s="10" t="str">
        <f ca="1">IFERROR(__xludf.DUMMYFUNCTION("""COMPUTED_VALUE"""),"Stoyan Dentchev, Irena Peteva, Kristina Bosakova")</f>
        <v>Stoyan Dentchev, Irena Peteva, Kristina Bosakova</v>
      </c>
      <c r="H1978" s="10"/>
      <c r="I1978" s="10"/>
      <c r="J1978" s="10"/>
      <c r="K1978" s="10"/>
      <c r="L1978" s="10"/>
      <c r="M1978" s="10"/>
      <c r="N1978" s="10"/>
      <c r="O1978" s="10"/>
      <c r="P1978" s="10"/>
      <c r="Q1978" s="10"/>
      <c r="R1978" s="10"/>
      <c r="S1978" s="10"/>
      <c r="T1978" s="10"/>
      <c r="U1978" s="10"/>
      <c r="V1978" s="10"/>
      <c r="W1978" s="10"/>
      <c r="X1978" s="10"/>
      <c r="Y1978" s="10"/>
      <c r="Z1978" s="10"/>
    </row>
    <row r="1979" spans="1:26" ht="12.75">
      <c r="A1979" s="10" t="str">
        <f ca="1">IFERROR(__xludf.DUMMYFUNCTION("""COMPUTED_VALUE"""),"Гергина Бориславова Жаблянова")</f>
        <v>Гергина Бориславова Жаблянова</v>
      </c>
      <c r="B1979" s="10" t="str">
        <f ca="1">IFERROR(__xludf.DUMMYFUNCTION("""COMPUTED_VALUE"""),"Доклад от конференция")</f>
        <v>Доклад от конференция</v>
      </c>
      <c r="C1979" s="10" t="str">
        <f ca="1">IFERROR(__xludf.DUMMYFUNCTION("""COMPUTED_VALUE"""),"Problems and perspectives of university education in national security in the era of globalization")</f>
        <v>Problems and perspectives of university education in national security in the era of globalization</v>
      </c>
      <c r="D1979" s="10">
        <f ca="1">IFERROR(__xludf.DUMMYFUNCTION("""COMPUTED_VALUE"""),2017)</f>
        <v>2017</v>
      </c>
      <c r="E1979" s="10" t="str">
        <f ca="1">IFERROR(__xludf.DUMMYFUNCTION("""COMPUTED_VALUE"""),"Proceedings of EDULEARN17 Conference 3rd-5th July 2017, Barcelona, Spain, ISBN: 978-84-697-3777-4. pp-9224-9226.")</f>
        <v>Proceedings of EDULEARN17 Conference 3rd-5th July 2017, Barcelona, Spain, ISBN: 978-84-697-3777-4. pp-9224-9226.</v>
      </c>
      <c r="F1979" s="10" t="str">
        <f ca="1">IFERROR(__xludf.DUMMYFUNCTION("""COMPUTED_VALUE"""),"Web of science, Crossref")</f>
        <v>Web of science, Crossref</v>
      </c>
      <c r="G1979" s="10" t="str">
        <f ca="1">IFERROR(__xludf.DUMMYFUNCTION("""COMPUTED_VALUE"""),"Ivanka Pavlova, Snejana Tsekova, Miriyana Pavlova")</f>
        <v>Ivanka Pavlova, Snejana Tsekova, Miriyana Pavlova</v>
      </c>
      <c r="H1979" s="10"/>
      <c r="I1979" s="10"/>
      <c r="J1979" s="10"/>
      <c r="K1979" s="10"/>
      <c r="L1979" s="10"/>
      <c r="M1979" s="10"/>
      <c r="N1979" s="10"/>
      <c r="O1979" s="10"/>
      <c r="P1979" s="10"/>
      <c r="Q1979" s="10"/>
      <c r="R1979" s="10"/>
      <c r="S1979" s="10"/>
      <c r="T1979" s="10"/>
      <c r="U1979" s="10"/>
      <c r="V1979" s="10"/>
      <c r="W1979" s="10"/>
      <c r="X1979" s="10"/>
      <c r="Y1979" s="10"/>
      <c r="Z1979" s="10"/>
    </row>
    <row r="1980" spans="1:26" ht="12.75">
      <c r="A1980" s="10" t="str">
        <f ca="1">IFERROR(__xludf.DUMMYFUNCTION("""COMPUTED_VALUE"""),"Гергина Бориславова Жаблянова")</f>
        <v>Гергина Бориславова Жаблянова</v>
      </c>
      <c r="B1980" s="10" t="str">
        <f ca="1">IFERROR(__xludf.DUMMYFUNCTION("""COMPUTED_VALUE"""),"Доклад от конференция")</f>
        <v>Доклад от конференция</v>
      </c>
      <c r="C1980" s="10" t="str">
        <f ca="1">IFERROR(__xludf.DUMMYFUNCTION("""COMPUTED_VALUE"""),"Киберзаплахи към информационните платформи на държавните институции на Република България")</f>
        <v>Киберзаплахи към информационните платформи на държавните институции на Република България</v>
      </c>
      <c r="D1980" s="10">
        <f ca="1">IFERROR(__xludf.DUMMYFUNCTION("""COMPUTED_VALUE"""),2017)</f>
        <v>2017</v>
      </c>
      <c r="E1980" s="10" t="str">
        <f ca="1">IFERROR(__xludf.DUMMYFUNCTION("""COMPUTED_VALUE"""),"Съвременни стратегии и иновации в управлението на знанието. АИ ""За буквите - О Писменехъ"". София. 2017")</f>
        <v>Съвременни стратегии и иновации в управлението на знанието. АИ "За буквите - О Писменехъ". София. 2017</v>
      </c>
      <c r="F1980" s="10"/>
      <c r="G1980" s="10" t="str">
        <f ca="1">IFERROR(__xludf.DUMMYFUNCTION("""COMPUTED_VALUE"""),"Кристина Босакова")</f>
        <v>Кристина Босакова</v>
      </c>
      <c r="H1980" s="10"/>
      <c r="I1980" s="10"/>
      <c r="J1980" s="10"/>
      <c r="K1980" s="10"/>
      <c r="L1980" s="10"/>
      <c r="M1980" s="10"/>
      <c r="N1980" s="10"/>
      <c r="O1980" s="10"/>
      <c r="P1980" s="10"/>
      <c r="Q1980" s="10"/>
      <c r="R1980" s="10"/>
      <c r="S1980" s="10"/>
      <c r="T1980" s="10"/>
      <c r="U1980" s="10"/>
      <c r="V1980" s="10"/>
      <c r="W1980" s="10"/>
      <c r="X1980" s="10"/>
      <c r="Y1980" s="10"/>
      <c r="Z1980" s="10"/>
    </row>
    <row r="1981" spans="1:26" ht="12.75">
      <c r="A1981" s="10" t="str">
        <f ca="1">IFERROR(__xludf.DUMMYFUNCTION("""COMPUTED_VALUE"""),"Гергина Бориславова Жаблянова")</f>
        <v>Гергина Бориславова Жаблянова</v>
      </c>
      <c r="B1981" s="10" t="str">
        <f ca="1">IFERROR(__xludf.DUMMYFUNCTION("""COMPUTED_VALUE"""),"Доклад от конференция")</f>
        <v>Доклад от конференция</v>
      </c>
      <c r="C1981" s="10" t="str">
        <f ca="1">IFERROR(__xludf.DUMMYFUNCTION("""COMPUTED_VALUE"""),"Студентите и информационната сигурност - проблеми и предизвикателства")</f>
        <v>Студентите и информационната сигурност - проблеми и предизвикателства</v>
      </c>
      <c r="D1981" s="10">
        <f ca="1">IFERROR(__xludf.DUMMYFUNCTION("""COMPUTED_VALUE"""),2016)</f>
        <v>2016</v>
      </c>
      <c r="E1981" s="10"/>
      <c r="F1981" s="10"/>
      <c r="G1981" s="10"/>
      <c r="H1981" s="10"/>
      <c r="I1981" s="10"/>
      <c r="J1981" s="10"/>
      <c r="K1981" s="10"/>
      <c r="L1981" s="10"/>
      <c r="M1981" s="10"/>
      <c r="N1981" s="10"/>
      <c r="O1981" s="10"/>
      <c r="P1981" s="10"/>
      <c r="Q1981" s="10"/>
      <c r="R1981" s="10"/>
      <c r="S1981" s="10"/>
      <c r="T1981" s="10"/>
      <c r="U1981" s="10"/>
      <c r="V1981" s="10"/>
      <c r="W1981" s="10"/>
      <c r="X1981" s="10"/>
      <c r="Y1981" s="10"/>
      <c r="Z1981" s="10"/>
    </row>
    <row r="1982" spans="1:26" ht="12.75">
      <c r="A1982" s="10" t="str">
        <f ca="1">IFERROR(__xludf.DUMMYFUNCTION("""COMPUTED_VALUE"""),"Гергина Бориславова Жаблянова")</f>
        <v>Гергина Бориславова Жаблянова</v>
      </c>
      <c r="B1982" s="10" t="str">
        <f ca="1">IFERROR(__xludf.DUMMYFUNCTION("""COMPUTED_VALUE"""),"Доклад от конференция")</f>
        <v>Доклад от конференция</v>
      </c>
      <c r="C1982" s="10" t="str">
        <f ca="1">IFERROR(__xludf.DUMMYFUNCTION("""COMPUTED_VALUE"""),"Предизвикателства пред информационната сигурността в съвременната информационна среда")</f>
        <v>Предизвикателства пред информационната сигурността в съвременната информационна среда</v>
      </c>
      <c r="D1982" s="10">
        <f ca="1">IFERROR(__xludf.DUMMYFUNCTION("""COMPUTED_VALUE"""),2016)</f>
        <v>2016</v>
      </c>
      <c r="E1982" s="10"/>
      <c r="F1982" s="10"/>
      <c r="G1982" s="10"/>
      <c r="H1982" s="10"/>
      <c r="I1982" s="10"/>
      <c r="J1982" s="10"/>
      <c r="K1982" s="10"/>
      <c r="L1982" s="10"/>
      <c r="M1982" s="10"/>
      <c r="N1982" s="10"/>
      <c r="O1982" s="10"/>
      <c r="P1982" s="10"/>
      <c r="Q1982" s="10"/>
      <c r="R1982" s="10"/>
      <c r="S1982" s="10"/>
      <c r="T1982" s="10"/>
      <c r="U1982" s="10"/>
      <c r="V1982" s="10"/>
      <c r="W1982" s="10"/>
      <c r="X1982" s="10"/>
      <c r="Y1982" s="10"/>
      <c r="Z1982" s="10"/>
    </row>
    <row r="1983" spans="1:26" ht="12.75">
      <c r="A1983" s="10" t="str">
        <f ca="1">IFERROR(__xludf.DUMMYFUNCTION("""COMPUTED_VALUE"""),"Гергина Бориславова Жаблянова")</f>
        <v>Гергина Бориславова Жаблянова</v>
      </c>
      <c r="B1983" s="10" t="str">
        <f ca="1">IFERROR(__xludf.DUMMYFUNCTION("""COMPUTED_VALUE"""),"Доклад от конференция")</f>
        <v>Доклад от конференция</v>
      </c>
      <c r="C1983" s="10" t="str">
        <f ca="1">IFERROR(__xludf.DUMMYFUNCTION("""COMPUTED_VALUE"""),"Трудности за сигурността в съвременната университетска информационна среда")</f>
        <v>Трудности за сигурността в съвременната университетска информационна среда</v>
      </c>
      <c r="D1983" s="10">
        <f ca="1">IFERROR(__xludf.DUMMYFUNCTION("""COMPUTED_VALUE"""),2016)</f>
        <v>2016</v>
      </c>
      <c r="E1983" s="10"/>
      <c r="F1983" s="10"/>
      <c r="G1983" s="10"/>
      <c r="H1983" s="10"/>
      <c r="I1983" s="10"/>
      <c r="J1983" s="10"/>
      <c r="K1983" s="10"/>
      <c r="L1983" s="10"/>
      <c r="M1983" s="10"/>
      <c r="N1983" s="10"/>
      <c r="O1983" s="10"/>
      <c r="P1983" s="10"/>
      <c r="Q1983" s="10"/>
      <c r="R1983" s="10"/>
      <c r="S1983" s="10"/>
      <c r="T1983" s="10"/>
      <c r="U1983" s="10"/>
      <c r="V1983" s="10"/>
      <c r="W1983" s="10"/>
      <c r="X1983" s="10"/>
      <c r="Y1983" s="10"/>
      <c r="Z1983" s="10"/>
    </row>
    <row r="1984" spans="1:26" ht="12.75">
      <c r="A1984" s="10" t="str">
        <f ca="1">IFERROR(__xludf.DUMMYFUNCTION("""COMPUTED_VALUE"""),"Гергина Бориславова Жаблянова")</f>
        <v>Гергина Бориславова Жаблянова</v>
      </c>
      <c r="B1984" s="10" t="str">
        <f ca="1">IFERROR(__xludf.DUMMYFUNCTION("""COMPUTED_VALUE"""),"Доклад от конференция")</f>
        <v>Доклад от конференция</v>
      </c>
      <c r="C1984" s="10" t="str">
        <f ca="1">IFERROR(__xludf.DUMMYFUNCTION("""COMPUTED_VALUE"""),"Симетричната криптографията и нейната роля в съвременното информационно пространство")</f>
        <v>Симетричната криптографията и нейната роля в съвременното информационно пространство</v>
      </c>
      <c r="D1984" s="10">
        <f ca="1">IFERROR(__xludf.DUMMYFUNCTION("""COMPUTED_VALUE"""),2015)</f>
        <v>2015</v>
      </c>
      <c r="E1984" s="10" t="str">
        <f ca="1">IFERROR(__xludf.DUMMYFUNCTION("""COMPUTED_VALUE"""),"Съвременни измерения на европейското образователно и научно пространство, том 3, 2015, VІІ.")</f>
        <v>Съвременни измерения на европейското образователно и научно пространство, том 3, 2015, VІІ.</v>
      </c>
      <c r="F1984" s="10"/>
      <c r="G1984" s="10" t="str">
        <f ca="1">IFERROR(__xludf.DUMMYFUNCTION("""COMPUTED_VALUE"""),"Николай Стоянов")</f>
        <v>Николай Стоянов</v>
      </c>
      <c r="H1984" s="10"/>
      <c r="I1984" s="10"/>
      <c r="J1984" s="10"/>
      <c r="K1984" s="10"/>
      <c r="L1984" s="10"/>
      <c r="M1984" s="10"/>
      <c r="N1984" s="10"/>
      <c r="O1984" s="10"/>
      <c r="P1984" s="10"/>
      <c r="Q1984" s="10"/>
      <c r="R1984" s="10"/>
      <c r="S1984" s="10"/>
      <c r="T1984" s="10"/>
      <c r="U1984" s="10"/>
      <c r="V1984" s="10"/>
      <c r="W1984" s="10"/>
      <c r="X1984" s="10"/>
      <c r="Y1984" s="10"/>
      <c r="Z1984" s="10"/>
    </row>
    <row r="1985" spans="1:26" ht="12.75">
      <c r="A1985" s="10" t="str">
        <f ca="1">IFERROR(__xludf.DUMMYFUNCTION("""COMPUTED_VALUE"""),"Гергина Бориславова Жаблянова")</f>
        <v>Гергина Бориславова Жаблянова</v>
      </c>
      <c r="B1985" s="10" t="str">
        <f ca="1">IFERROR(__xludf.DUMMYFUNCTION("""COMPUTED_VALUE"""),"Доклад от конференция")</f>
        <v>Доклад от конференция</v>
      </c>
      <c r="C1985" s="10" t="str">
        <f ca="1">IFERROR(__xludf.DUMMYFUNCTION("""COMPUTED_VALUE"""),"Проектът e-Catalunya - Web 2.0 в държавната администрация")</f>
        <v>Проектът e-Catalunya - Web 2.0 в държавната администрация</v>
      </c>
      <c r="D1985" s="10">
        <f ca="1">IFERROR(__xludf.DUMMYFUNCTION("""COMPUTED_VALUE"""),2015)</f>
        <v>2015</v>
      </c>
      <c r="E1985" s="10" t="str">
        <f ca="1">IFERROR(__xludf.DUMMYFUNCTION("""COMPUTED_VALUE"""),"Съвременни измерения на европейското образователно и научно пространство. Сборник доклади. Т.2")</f>
        <v>Съвременни измерения на европейското образователно и научно пространство. Сборник доклади. Т.2</v>
      </c>
      <c r="F1985" s="10"/>
      <c r="G1985" s="10" t="str">
        <f ca="1">IFERROR(__xludf.DUMMYFUNCTION("""COMPUTED_VALUE"""),"Ирена Петева")</f>
        <v>Ирена Петева</v>
      </c>
      <c r="H1985" s="10"/>
      <c r="I1985" s="10"/>
      <c r="J1985" s="10"/>
      <c r="K1985" s="10"/>
      <c r="L1985" s="10"/>
      <c r="M1985" s="10"/>
      <c r="N1985" s="10"/>
      <c r="O1985" s="10"/>
      <c r="P1985" s="10"/>
      <c r="Q1985" s="10"/>
      <c r="R1985" s="10"/>
      <c r="S1985" s="10"/>
      <c r="T1985" s="10"/>
      <c r="U1985" s="10"/>
      <c r="V1985" s="10"/>
      <c r="W1985" s="10"/>
      <c r="X1985" s="10"/>
      <c r="Y1985" s="10"/>
      <c r="Z1985" s="10"/>
    </row>
    <row r="1986" spans="1:26" ht="12.75">
      <c r="A1986" s="10" t="str">
        <f ca="1">IFERROR(__xludf.DUMMYFUNCTION("""COMPUTED_VALUE"""),"Гергина Бориславова Жаблянова")</f>
        <v>Гергина Бориславова Жаблянова</v>
      </c>
      <c r="B1986" s="10" t="str">
        <f ca="1">IFERROR(__xludf.DUMMYFUNCTION("""COMPUTED_VALUE"""),"Доклад от конференция")</f>
        <v>Доклад от конференция</v>
      </c>
      <c r="C1986" s="10" t="str">
        <f ca="1">IFERROR(__xludf.DUMMYFUNCTION("""COMPUTED_VALUE"""),"Аналитичен модел на ефективността на система за защита на информацията")</f>
        <v>Аналитичен модел на ефективността на система за защита на информацията</v>
      </c>
      <c r="D1986" s="10">
        <f ca="1">IFERROR(__xludf.DUMMYFUNCTION("""COMPUTED_VALUE"""),2013)</f>
        <v>2013</v>
      </c>
      <c r="E1986" s="10" t="str">
        <f ca="1">IFERROR(__xludf.DUMMYFUNCTION("""COMPUTED_VALUE"""),"Научана конференция - ВОЕННИ ТЕХНОЛОГИИ И СИСТЕМИ ЗА ОСИГУРЯВАНЕ НА ОТБРАНАТА „MT&amp;S-2013”")</f>
        <v>Научана конференция - ВОЕННИ ТЕХНОЛОГИИ И СИСТЕМИ ЗА ОСИГУРЯВАНЕ НА ОТБРАНАТА „MT&amp;S-2013”</v>
      </c>
      <c r="F1986" s="10"/>
      <c r="G1986" s="10" t="str">
        <f ca="1">IFERROR(__xludf.DUMMYFUNCTION("""COMPUTED_VALUE"""),"Атанас Начев")</f>
        <v>Атанас Начев</v>
      </c>
      <c r="H1986" s="10"/>
      <c r="I1986" s="10"/>
      <c r="J1986" s="10"/>
      <c r="K1986" s="10"/>
      <c r="L1986" s="10"/>
      <c r="M1986" s="10"/>
      <c r="N1986" s="10"/>
      <c r="O1986" s="10"/>
      <c r="P1986" s="10"/>
      <c r="Q1986" s="10"/>
      <c r="R1986" s="10"/>
      <c r="S1986" s="10"/>
      <c r="T1986" s="10"/>
      <c r="U1986" s="10"/>
      <c r="V1986" s="10"/>
      <c r="W1986" s="10"/>
      <c r="X1986" s="10"/>
      <c r="Y1986" s="10"/>
      <c r="Z1986" s="10"/>
    </row>
    <row r="1987" spans="1:26" ht="12.75">
      <c r="A1987" s="10" t="str">
        <f ca="1">IFERROR(__xludf.DUMMYFUNCTION("""COMPUTED_VALUE"""),"Гергина Бориславова Жаблянова")</f>
        <v>Гергина Бориславова Жаблянова</v>
      </c>
      <c r="B1987" s="10" t="str">
        <f ca="1">IFERROR(__xludf.DUMMYFUNCTION("""COMPUTED_VALUE"""),"Доклад от конференция")</f>
        <v>Доклад от конференция</v>
      </c>
      <c r="C1987" s="10" t="str">
        <f ca="1">IFERROR(__xludf.DUMMYFUNCTION("""COMPUTED_VALUE"""),"НЕКОТОРЫЕ ПОДХОДЫ ДЛЯ БЛОКИРОВКИ ВРЕДИТЕЛЬСКИХ „КАПКАНОВ” В ПРОГРАММАХ")</f>
        <v>НЕКОТОРЫЕ ПОДХОДЫ ДЛЯ БЛОКИРОВКИ ВРЕДИТЕЛЬСКИХ „КАПКАНОВ” В ПРОГРАММАХ</v>
      </c>
      <c r="D1987" s="10">
        <f ca="1">IFERROR(__xludf.DUMMYFUNCTION("""COMPUTED_VALUE"""),2013)</f>
        <v>2013</v>
      </c>
      <c r="E1987" s="10" t="str">
        <f ca="1">IFERROR(__xludf.DUMMYFUNCTION("""COMPUTED_VALUE"""),"Сб. Доклади от международна научна конференция „Кибербеозопасност – 2013”, (13-17.11.2013), Ялта")</f>
        <v>Сб. Доклади от международна научна конференция „Кибербеозопасност – 2013”, (13-17.11.2013), Ялта</v>
      </c>
      <c r="F1987" s="10"/>
      <c r="G1987" s="10" t="str">
        <f ca="1">IFERROR(__xludf.DUMMYFUNCTION("""COMPUTED_VALUE"""),"Атанас Начев")</f>
        <v>Атанас Начев</v>
      </c>
      <c r="H1987" s="10"/>
      <c r="I1987" s="10"/>
      <c r="J1987" s="10"/>
      <c r="K1987" s="10"/>
      <c r="L1987" s="10"/>
      <c r="M1987" s="10"/>
      <c r="N1987" s="10"/>
      <c r="O1987" s="10"/>
      <c r="P1987" s="10"/>
      <c r="Q1987" s="10"/>
      <c r="R1987" s="10"/>
      <c r="S1987" s="10"/>
      <c r="T1987" s="10"/>
      <c r="U1987" s="10"/>
      <c r="V1987" s="10"/>
      <c r="W1987" s="10"/>
      <c r="X1987" s="10"/>
      <c r="Y1987" s="10"/>
      <c r="Z1987" s="10"/>
    </row>
    <row r="1988" spans="1:26" ht="12.75">
      <c r="A1988" s="10" t="str">
        <f ca="1">IFERROR(__xludf.DUMMYFUNCTION("""COMPUTED_VALUE"""),"Гергина Бориславова Жаблянова")</f>
        <v>Гергина Бориславова Жаблянова</v>
      </c>
      <c r="B1988" s="10" t="str">
        <f ca="1">IFERROR(__xludf.DUMMYFUNCTION("""COMPUTED_VALUE"""),"Доклад от конференция")</f>
        <v>Доклад от конференция</v>
      </c>
      <c r="C1988" s="10" t="str">
        <f ca="1">IFERROR(__xludf.DUMMYFUNCTION("""COMPUTED_VALUE"""),"Синтез на система за защита на информацията при зададено ниво на ефективност")</f>
        <v>Синтез на система за защита на информацията при зададено ниво на ефективност</v>
      </c>
      <c r="D1988" s="10">
        <f ca="1">IFERROR(__xludf.DUMMYFUNCTION("""COMPUTED_VALUE"""),2013)</f>
        <v>2013</v>
      </c>
      <c r="E1988" s="10" t="str">
        <f ca="1">IFERROR(__xludf.DUMMYFUNCTION("""COMPUTED_VALUE"""),"Научана конференция - ВОЕННИ ТЕХНОЛОГИИ И СИСТЕМИ ЗА ОСИГУРЯВАНЕ НА ОТБРАНАТА „MT&amp;S-2013”")</f>
        <v>Научана конференция - ВОЕННИ ТЕХНОЛОГИИ И СИСТЕМИ ЗА ОСИГУРЯВАНЕ НА ОТБРАНАТА „MT&amp;S-2013”</v>
      </c>
      <c r="F1988" s="10"/>
      <c r="G1988" s="10" t="str">
        <f ca="1">IFERROR(__xludf.DUMMYFUNCTION("""COMPUTED_VALUE"""),"Атанас Начев, С. Железов")</f>
        <v>Атанас Начев, С. Железов</v>
      </c>
      <c r="H1988" s="10"/>
      <c r="I1988" s="10"/>
      <c r="J1988" s="10"/>
      <c r="K1988" s="10"/>
      <c r="L1988" s="10"/>
      <c r="M1988" s="10"/>
      <c r="N1988" s="10"/>
      <c r="O1988" s="10"/>
      <c r="P1988" s="10"/>
      <c r="Q1988" s="10"/>
      <c r="R1988" s="10"/>
      <c r="S1988" s="10"/>
      <c r="T1988" s="10"/>
      <c r="U1988" s="10"/>
      <c r="V1988" s="10"/>
      <c r="W1988" s="10"/>
      <c r="X1988" s="10"/>
      <c r="Y1988" s="10"/>
      <c r="Z1988" s="10"/>
    </row>
    <row r="1989" spans="1:26" ht="12.75">
      <c r="A1989" s="10" t="str">
        <f ca="1">IFERROR(__xludf.DUMMYFUNCTION("""COMPUTED_VALUE"""),"Гергина Бориславова Жаблянова")</f>
        <v>Гергина Бориславова Жаблянова</v>
      </c>
      <c r="B1989" s="10" t="str">
        <f ca="1">IFERROR(__xludf.DUMMYFUNCTION("""COMPUTED_VALUE"""),"Доклад от конференция")</f>
        <v>Доклад от конференция</v>
      </c>
      <c r="C1989" s="10" t="str">
        <f ca="1">IFERROR(__xludf.DUMMYFUNCTION("""COMPUTED_VALUE"""),"Статистически модел за определяне на степента на ефективност на системи за защита на информацията")</f>
        <v>Статистически модел за определяне на степента на ефективност на системи за защита на информацията</v>
      </c>
      <c r="D1989" s="10">
        <f ca="1">IFERROR(__xludf.DUMMYFUNCTION("""COMPUTED_VALUE"""),2013)</f>
        <v>2013</v>
      </c>
      <c r="E1989" s="10" t="str">
        <f ca="1">IFERROR(__xludf.DUMMYFUNCTION("""COMPUTED_VALUE"""),"Научана конференция - ВОЕННИ ТЕХНОЛОГИИ И СИСТЕМИ ЗА ОСИГУРЯВАНЕ НА ОТБРАНАТА „MT&amp;S-2013”")</f>
        <v>Научана конференция - ВОЕННИ ТЕХНОЛОГИИ И СИСТЕМИ ЗА ОСИГУРЯВАНЕ НА ОТБРАНАТА „MT&amp;S-2013”</v>
      </c>
      <c r="F1989" s="10"/>
      <c r="G1989" s="10" t="str">
        <f ca="1">IFERROR(__xludf.DUMMYFUNCTION("""COMPUTED_VALUE"""),"Атанас Начев")</f>
        <v>Атанас Начев</v>
      </c>
      <c r="H1989" s="10"/>
      <c r="I1989" s="10"/>
      <c r="J1989" s="10"/>
      <c r="K1989" s="10"/>
      <c r="L1989" s="10"/>
      <c r="M1989" s="10"/>
      <c r="N1989" s="10"/>
      <c r="O1989" s="10"/>
      <c r="P1989" s="10"/>
      <c r="Q1989" s="10"/>
      <c r="R1989" s="10"/>
      <c r="S1989" s="10"/>
      <c r="T1989" s="10"/>
      <c r="U1989" s="10"/>
      <c r="V1989" s="10"/>
      <c r="W1989" s="10"/>
      <c r="X1989" s="10"/>
      <c r="Y1989" s="10"/>
      <c r="Z1989" s="10"/>
    </row>
    <row r="1990" spans="1:26" ht="12.75">
      <c r="A1990" s="10" t="str">
        <f ca="1">IFERROR(__xludf.DUMMYFUNCTION("""COMPUTED_VALUE"""),"Гергина Бориславова Жаблянова")</f>
        <v>Гергина Бориславова Жаблянова</v>
      </c>
      <c r="B1990" s="10" t="str">
        <f ca="1">IFERROR(__xludf.DUMMYFUNCTION("""COMPUTED_VALUE"""),"Доклад от конференция")</f>
        <v>Доклад от конференция</v>
      </c>
      <c r="C1990" s="10" t="str">
        <f ca="1">IFERROR(__xludf.DUMMYFUNCTION("""COMPUTED_VALUE"""),"АРХИТЕКТУРА НА ЗАЩИТЕНА УНИВЕРСИТЕТСКА ИНФОРМАЦИОННА СРЕДА")</f>
        <v>АРХИТЕКТУРА НА ЗАЩИТЕНА УНИВЕРСИТЕТСКА ИНФОРМАЦИОННА СРЕДА</v>
      </c>
      <c r="D1990" s="10">
        <f ca="1">IFERROR(__xludf.DUMMYFUNCTION("""COMPUTED_VALUE"""),2013)</f>
        <v>2013</v>
      </c>
      <c r="E1990" s="10" t="str">
        <f ca="1">IFERROR(__xludf.DUMMYFUNCTION("""COMPUTED_VALUE"""),"Сб. Доклади от „Научна сесия 2013”(30-31.11.2013), - Шумен")</f>
        <v>Сб. Доклади от „Научна сесия 2013”(30-31.11.2013), - Шумен</v>
      </c>
      <c r="F1990" s="10"/>
      <c r="G1990" s="10" t="str">
        <f ca="1">IFERROR(__xludf.DUMMYFUNCTION("""COMPUTED_VALUE"""),"Николай Стоянов")</f>
        <v>Николай Стоянов</v>
      </c>
      <c r="H1990" s="10"/>
      <c r="I1990" s="10"/>
      <c r="J1990" s="10"/>
      <c r="K1990" s="10"/>
      <c r="L1990" s="10"/>
      <c r="M1990" s="10"/>
      <c r="N1990" s="10"/>
      <c r="O1990" s="10"/>
      <c r="P1990" s="10"/>
      <c r="Q1990" s="10"/>
      <c r="R1990" s="10"/>
      <c r="S1990" s="10"/>
      <c r="T1990" s="10"/>
      <c r="U1990" s="10"/>
      <c r="V1990" s="10"/>
      <c r="W1990" s="10"/>
      <c r="X1990" s="10"/>
      <c r="Y1990" s="10"/>
      <c r="Z1990" s="10"/>
    </row>
    <row r="1991" spans="1:26" ht="12.75">
      <c r="A1991" s="10" t="str">
        <f ca="1">IFERROR(__xludf.DUMMYFUNCTION("""COMPUTED_VALUE"""),"Гергина Бориславова Жаблянова")</f>
        <v>Гергина Бориславова Жаблянова</v>
      </c>
      <c r="B1991" s="10" t="str">
        <f ca="1">IFERROR(__xludf.DUMMYFUNCTION("""COMPUTED_VALUE"""),"Доклад от конференция")</f>
        <v>Доклад от конференция</v>
      </c>
      <c r="C1991" s="10" t="str">
        <f ca="1">IFERROR(__xludf.DUMMYFUNCTION("""COMPUTED_VALUE"""),"МЕТОД СКРЫТОГО „КАПКАНА” ДЛЯ СТАРТА ВРЕДИТЕЛЬСКОГО КОДА")</f>
        <v>МЕТОД СКРЫТОГО „КАПКАНА” ДЛЯ СТАРТА ВРЕДИТЕЛЬСКОГО КОДА</v>
      </c>
      <c r="D1991" s="10">
        <f ca="1">IFERROR(__xludf.DUMMYFUNCTION("""COMPUTED_VALUE"""),2013)</f>
        <v>2013</v>
      </c>
      <c r="E1991" s="10" t="str">
        <f ca="1">IFERROR(__xludf.DUMMYFUNCTION("""COMPUTED_VALUE"""),"Сб. Доклади от международна научна конференция „Кибербеозопасност – 2013”, (13-17.11.2013), Ялта")</f>
        <v>Сб. Доклади от международна научна конференция „Кибербеозопасност – 2013”, (13-17.11.2013), Ялта</v>
      </c>
      <c r="F1991" s="10"/>
      <c r="G1991" s="10" t="str">
        <f ca="1">IFERROR(__xludf.DUMMYFUNCTION("""COMPUTED_VALUE"""),"Атанас Начев")</f>
        <v>Атанас Начев</v>
      </c>
      <c r="H1991" s="10"/>
      <c r="I1991" s="10"/>
      <c r="J1991" s="10"/>
      <c r="K1991" s="10"/>
      <c r="L1991" s="10"/>
      <c r="M1991" s="10"/>
      <c r="N1991" s="10"/>
      <c r="O1991" s="10"/>
      <c r="P1991" s="10"/>
      <c r="Q1991" s="10"/>
      <c r="R1991" s="10"/>
      <c r="S1991" s="10"/>
      <c r="T1991" s="10"/>
      <c r="U1991" s="10"/>
      <c r="V1991" s="10"/>
      <c r="W1991" s="10"/>
      <c r="X1991" s="10"/>
      <c r="Y1991" s="10"/>
      <c r="Z1991" s="10"/>
    </row>
    <row r="1992" spans="1:26" ht="12.75">
      <c r="A1992" s="10" t="str">
        <f ca="1">IFERROR(__xludf.DUMMYFUNCTION("""COMPUTED_VALUE"""),"Гошо Кирилов Петков")</f>
        <v>Гошо Кирилов Петков</v>
      </c>
      <c r="B1992" s="10" t="str">
        <f ca="1">IFERROR(__xludf.DUMMYFUNCTION("""COMPUTED_VALUE"""),"Статия в списания и поредици")</f>
        <v>Статия в списания и поредици</v>
      </c>
      <c r="C1992" s="10" t="str">
        <f ca="1">IFERROR(__xludf.DUMMYFUNCTION("""COMPUTED_VALUE"""),"Етническата толерантност на съвременния българин като фактор на сигурността,")</f>
        <v>Етническата толерантност на съвременния българин като фактор на сигурността,</v>
      </c>
      <c r="D1992" s="10">
        <f ca="1">IFERROR(__xludf.DUMMYFUNCTION("""COMPUTED_VALUE"""),2018)</f>
        <v>2018</v>
      </c>
      <c r="E1992" s="10" t="str">
        <f ca="1">IFERROR(__xludf.DUMMYFUNCTION("""COMPUTED_VALUE"""),"Национален военен университет. Сборник доклади от годишна университетска конференция. В. Търново 14 – 15 юни 2018, Т. 5, Научно направление „Сигурност и отбрана“, Изд. компл. на НВУ „В. Левски“, ISSN 1314-1937")</f>
        <v>Национален военен университет. Сборник доклади от годишна университетска конференция. В. Търново 14 – 15 юни 2018, Т. 5, Научно направление „Сигурност и отбрана“, Изд. компл. на НВУ „В. Левски“, ISSN 1314-1937</v>
      </c>
      <c r="F1992" s="28" t="str">
        <f ca="1">IFERROR(__xludf.DUMMYFUNCTION("""COMPUTED_VALUE"""),"http://unicat.nalis.bg/Search/Results?sort=relevance&amp;join=AND&amp;lookfor0%5B%5D=ISSN+1314-1937&amp;type0%5B%5D=AllFields&amp;bool0%5B%5D=AND&amp;illustration=-")</f>
        <v>http://unicat.nalis.bg/Search/Results?sort=relevance&amp;join=AND&amp;lookfor0%5B%5D=ISSN+1314-1937&amp;type0%5B%5D=AllFields&amp;bool0%5B%5D=AND&amp;illustration=-</v>
      </c>
      <c r="G1992" s="10" t="str">
        <f ca="1">IFERROR(__xludf.DUMMYFUNCTION("""COMPUTED_VALUE"""),"Майяна Митевска-Енчева, Владислав Лазаров")</f>
        <v>Майяна Митевска-Енчева, Владислав Лазаров</v>
      </c>
      <c r="H1992" s="10"/>
      <c r="I1992" s="10"/>
      <c r="J1992" s="10"/>
      <c r="K1992" s="10"/>
      <c r="L1992" s="10"/>
      <c r="M1992" s="10"/>
      <c r="N1992" s="10"/>
      <c r="O1992" s="10"/>
      <c r="P1992" s="10"/>
      <c r="Q1992" s="10"/>
      <c r="R1992" s="10"/>
      <c r="S1992" s="10"/>
      <c r="T1992" s="10"/>
      <c r="U1992" s="10"/>
      <c r="V1992" s="10"/>
      <c r="W1992" s="10"/>
      <c r="X1992" s="10"/>
      <c r="Y1992" s="10"/>
      <c r="Z1992" s="10"/>
    </row>
    <row r="1993" spans="1:26" ht="12.75">
      <c r="A1993" s="10" t="str">
        <f ca="1">IFERROR(__xludf.DUMMYFUNCTION("""COMPUTED_VALUE"""),"Гошо Кирилов Петков")</f>
        <v>Гошо Кирилов Петков</v>
      </c>
      <c r="B1993" s="10" t="str">
        <f ca="1">IFERROR(__xludf.DUMMYFUNCTION("""COMPUTED_VALUE"""),"Статия в списания и поредици")</f>
        <v>Статия в списания и поредици</v>
      </c>
      <c r="C1993" s="10" t="str">
        <f ca="1">IFERROR(__xludf.DUMMYFUNCTION("""COMPUTED_VALUE"""),"Assessment of the adaptive-innovative style in an educational environment")</f>
        <v>Assessment of the adaptive-innovative style in an educational environment</v>
      </c>
      <c r="D1993" s="10">
        <f ca="1">IFERROR(__xludf.DUMMYFUNCTION("""COMPUTED_VALUE"""),2018)</f>
        <v>2018</v>
      </c>
      <c r="E1993" s="10" t="str">
        <f ca="1">IFERROR(__xludf.DUMMYFUNCTION("""COMPUTED_VALUE"""),"The Macrotheme Review A multidisciplinary journal of global macro trends 2019. Issue 1, Е-ISSN 1848-4735 ISSN 2379-9765")</f>
        <v>The Macrotheme Review A multidisciplinary journal of global macro trends 2019. Issue 1, Е-ISSN 1848-4735 ISSN 2379-9765</v>
      </c>
      <c r="F1993" s="28" t="str">
        <f ca="1">IFERROR(__xludf.DUMMYFUNCTION("""COMPUTED_VALUE"""),"http://macrotheme.com/yahoo_site_admin/assets/docs/2MR74Ma.337233611.pdf")</f>
        <v>http://macrotheme.com/yahoo_site_admin/assets/docs/2MR74Ma.337233611.pdf</v>
      </c>
      <c r="G1993" s="10" t="str">
        <f ca="1">IFERROR(__xludf.DUMMYFUNCTION("""COMPUTED_VALUE"""),"Mayiana Mitevska-Encheva, Petia Radeva, Todor Rangelov")</f>
        <v>Mayiana Mitevska-Encheva, Petia Radeva, Todor Rangelov</v>
      </c>
      <c r="H1993" s="10"/>
      <c r="I1993" s="10"/>
      <c r="J1993" s="10"/>
      <c r="K1993" s="10"/>
      <c r="L1993" s="10"/>
      <c r="M1993" s="10"/>
      <c r="N1993" s="10"/>
      <c r="O1993" s="10"/>
      <c r="P1993" s="10"/>
      <c r="Q1993" s="10"/>
      <c r="R1993" s="10"/>
      <c r="S1993" s="10"/>
      <c r="T1993" s="10"/>
      <c r="U1993" s="10"/>
      <c r="V1993" s="10"/>
      <c r="W1993" s="10"/>
      <c r="X1993" s="10"/>
      <c r="Y1993" s="10"/>
      <c r="Z1993" s="10"/>
    </row>
    <row r="1994" spans="1:26" ht="12.75">
      <c r="A1994" s="10" t="str">
        <f ca="1">IFERROR(__xludf.DUMMYFUNCTION("""COMPUTED_VALUE"""),"Гошо Кирилов Петков")</f>
        <v>Гошо Кирилов Петков</v>
      </c>
      <c r="B1994" s="10" t="str">
        <f ca="1">IFERROR(__xludf.DUMMYFUNCTION("""COMPUTED_VALUE"""),"Статия в списания и поредици")</f>
        <v>Статия в списания и поредици</v>
      </c>
      <c r="C1994" s="10" t="str">
        <f ca="1">IFERROR(__xludf.DUMMYFUNCTION("""COMPUTED_VALUE"""),"Отражение на агресивните предиспозиции върху академичната мотивация, удовлетвореността от живота и чувството за щастие при студенти")</f>
        <v>Отражение на агресивните предиспозиции върху академичната мотивация, удовлетвореността от живота и чувството за щастие при студенти</v>
      </c>
      <c r="D1994" s="10">
        <f ca="1">IFERROR(__xludf.DUMMYFUNCTION("""COMPUTED_VALUE"""),2018)</f>
        <v>2018</v>
      </c>
      <c r="E1994" s="10" t="str">
        <f ca="1">IFERROR(__xludf.DUMMYFUNCTION("""COMPUTED_VALUE"""),"Научна конференция ""Психологията с лице към социалните проблеми"", която се проведе на 22-23 ноември 2018 г., в гр. София")</f>
        <v>Научна конференция "Психологията с лице към социалните проблеми", която се проведе на 22-23 ноември 2018 г., в гр. София</v>
      </c>
      <c r="F1994" s="28" t="str">
        <f ca="1">IFERROR(__xludf.DUMMYFUNCTION("""COMPUTED_VALUE"""),"https://www.facebook.com/InstituteforPopulationandHumanStudies/")</f>
        <v>https://www.facebook.com/InstituteforPopulationandHumanStudies/</v>
      </c>
      <c r="G1994" s="10" t="str">
        <f ca="1">IFERROR(__xludf.DUMMYFUNCTION("""COMPUTED_VALUE"""),"Майяна Митевска-Енчева, Петя Радева")</f>
        <v>Майяна Митевска-Енчева, Петя Радева</v>
      </c>
      <c r="H1994" s="10"/>
      <c r="I1994" s="10"/>
      <c r="J1994" s="10"/>
      <c r="K1994" s="10"/>
      <c r="L1994" s="10"/>
      <c r="M1994" s="10"/>
      <c r="N1994" s="10"/>
      <c r="O1994" s="10"/>
      <c r="P1994" s="10"/>
      <c r="Q1994" s="10"/>
      <c r="R1994" s="10"/>
      <c r="S1994" s="10"/>
      <c r="T1994" s="10"/>
      <c r="U1994" s="10"/>
      <c r="V1994" s="10"/>
      <c r="W1994" s="10"/>
      <c r="X1994" s="10"/>
      <c r="Y1994" s="10"/>
      <c r="Z1994" s="10"/>
    </row>
    <row r="1995" spans="1:26" ht="12.75">
      <c r="A1995" s="10" t="str">
        <f ca="1">IFERROR(__xludf.DUMMYFUNCTION("""COMPUTED_VALUE"""),"Гошо Кирилов Петков")</f>
        <v>Гошо Кирилов Петков</v>
      </c>
      <c r="B1995" s="10" t="str">
        <f ca="1">IFERROR(__xludf.DUMMYFUNCTION("""COMPUTED_VALUE"""),"Статия в списания и поредици")</f>
        <v>Статия в списания и поредици</v>
      </c>
      <c r="C1995" s="10" t="str">
        <f ca="1">IFERROR(__xludf.DUMMYFUNCTION("""COMPUTED_VALUE"""),"Културата като медиатор на взаимодействията в образователната среда")</f>
        <v>Културата като медиатор на взаимодействията в образователната среда</v>
      </c>
      <c r="D1995" s="10">
        <f ca="1">IFERROR(__xludf.DUMMYFUNCTION("""COMPUTED_VALUE"""),2018)</f>
        <v>2018</v>
      </c>
      <c r="E1995" s="10" t="str">
        <f ca="1">IFERROR(__xludf.DUMMYFUNCTION("""COMPUTED_VALUE"""),"17-та международна научна конференция на тема: „Приложната психология: възможности и перспективи”, Варна 29 юни – 2 юли 2018 г. ISSN 1314-0507")</f>
        <v>17-та международна научна конференция на тема: „Приложната психология: възможности и перспективи”, Варна 29 юни – 2 юли 2018 г. ISSN 1314-0507</v>
      </c>
      <c r="F1995" s="10"/>
      <c r="G1995" s="10" t="str">
        <f ca="1">IFERROR(__xludf.DUMMYFUNCTION("""COMPUTED_VALUE"""),"Майяна Митевска-Енчева, Емилия Лазарова, Петя Радева, Веселин Стефанов")</f>
        <v>Майяна Митевска-Енчева, Емилия Лазарова, Петя Радева, Веселин Стефанов</v>
      </c>
      <c r="H1995" s="10"/>
      <c r="I1995" s="10"/>
      <c r="J1995" s="10"/>
      <c r="K1995" s="10"/>
      <c r="L1995" s="10"/>
      <c r="M1995" s="10"/>
      <c r="N1995" s="10"/>
      <c r="O1995" s="10"/>
      <c r="P1995" s="10"/>
      <c r="Q1995" s="10"/>
      <c r="R1995" s="10"/>
      <c r="S1995" s="10"/>
      <c r="T1995" s="10"/>
      <c r="U1995" s="10"/>
      <c r="V1995" s="10"/>
      <c r="W1995" s="10"/>
      <c r="X1995" s="10"/>
      <c r="Y1995" s="10"/>
      <c r="Z1995" s="10"/>
    </row>
    <row r="1996" spans="1:26" ht="12.75">
      <c r="A1996" s="10" t="str">
        <f ca="1">IFERROR(__xludf.DUMMYFUNCTION("""COMPUTED_VALUE"""),"Гошо Кирилов Петков")</f>
        <v>Гошо Кирилов Петков</v>
      </c>
      <c r="B1996" s="10" t="str">
        <f ca="1">IFERROR(__xludf.DUMMYFUNCTION("""COMPUTED_VALUE"""),"Доклад от конференция")</f>
        <v>Доклад от конференция</v>
      </c>
      <c r="C1996" s="10" t="str">
        <f ca="1">IFERROR(__xludf.DUMMYFUNCTION("""COMPUTED_VALUE"""),"Междукултурни различия в лидерските стилове (България и Гърция)")</f>
        <v>Междукултурни различия в лидерските стилове (България и Гърция)</v>
      </c>
      <c r="D1996" s="10">
        <f ca="1">IFERROR(__xludf.DUMMYFUNCTION("""COMPUTED_VALUE"""),2018)</f>
        <v>2018</v>
      </c>
      <c r="E1996" s="10" t="str">
        <f ca="1">IFERROR(__xludf.DUMMYFUNCTION("""COMPUTED_VALUE"""),"Поредица за трансгранично сътрудничество „Нови предизвикателства пред сигурността и развитието на Балканите“, т. 5, с. 258 - 266. ISBN 978-619-205-080-1")</f>
        <v>Поредица за трансгранично сътрудничество „Нови предизвикателства пред сигурността и развитието на Балканите“, т. 5, с. 258 - 266. ISBN 978-619-205-080-1</v>
      </c>
      <c r="F1996" s="10"/>
      <c r="G1996" s="10" t="str">
        <f ca="1">IFERROR(__xludf.DUMMYFUNCTION("""COMPUTED_VALUE"""),"Майяна Милчева-Енчева, Бистра Атанасова")</f>
        <v>Майяна Милчева-Енчева, Бистра Атанасова</v>
      </c>
      <c r="H1996" s="10"/>
      <c r="I1996" s="10"/>
      <c r="J1996" s="10"/>
      <c r="K1996" s="10"/>
      <c r="L1996" s="10"/>
      <c r="M1996" s="10"/>
      <c r="N1996" s="10"/>
      <c r="O1996" s="10"/>
      <c r="P1996" s="10"/>
      <c r="Q1996" s="10"/>
      <c r="R1996" s="10"/>
      <c r="S1996" s="10"/>
      <c r="T1996" s="10"/>
      <c r="U1996" s="10"/>
      <c r="V1996" s="10"/>
      <c r="W1996" s="10"/>
      <c r="X1996" s="10"/>
      <c r="Y1996" s="10"/>
      <c r="Z1996" s="10"/>
    </row>
    <row r="1997" spans="1:26" ht="12.75">
      <c r="A1997" s="10" t="str">
        <f ca="1">IFERROR(__xludf.DUMMYFUNCTION("""COMPUTED_VALUE"""),"Гошо Кирилов Петков")</f>
        <v>Гошо Кирилов Петков</v>
      </c>
      <c r="B1997" s="10" t="str">
        <f ca="1">IFERROR(__xludf.DUMMYFUNCTION("""COMPUTED_VALUE"""),"Статия в списания и поредици")</f>
        <v>Статия в списания и поредици</v>
      </c>
      <c r="C1997" s="10" t="str">
        <f ca="1">IFERROR(__xludf.DUMMYFUNCTION("""COMPUTED_VALUE"""),"Влияние на агресивните предиспозиции върху академичната мотивация,")</f>
        <v>Влияние на агресивните предиспозиции върху академичната мотивация,</v>
      </c>
      <c r="D1997" s="10">
        <f ca="1">IFERROR(__xludf.DUMMYFUNCTION("""COMPUTED_VALUE"""),2018)</f>
        <v>2018</v>
      </c>
      <c r="E1997" s="10" t="str">
        <f ca="1">IFERROR(__xludf.DUMMYFUNCTION("""COMPUTED_VALUE"""),"Национален военен университет. Сборник доклади от годишна университетска конференция. В. Търново 14 – 15 юни 2018, Т. 7, Научно направление „Социални, стопански и правни науки“, Изд. компл. на НВУ „В. Левски“, с. 150-162, ISSN 1314-1937 ISBN 978-619-7246-"&amp;"20-9 (Online e-book)")</f>
        <v>Национален военен университет. Сборник доклади от годишна университетска конференция. В. Търново 14 – 15 юни 2018, Т. 7, Научно направление „Социални, стопански и правни науки“, Изд. компл. на НВУ „В. Левски“, с. 150-162, ISSN 1314-1937 ISBN 978-619-7246-20-9 (Online e-book)</v>
      </c>
      <c r="F1997" s="28" t="str">
        <f ca="1">IFERROR(__xludf.DUMMYFUNCTION("""COMPUTED_VALUE"""),"http://unicat.nalis.bg/Search/Results?sort=relevance&amp;join=AND&amp;lookfor0%5B%5D=ISSN+1314-1937&amp;type0%5B%5D=AllFields&amp;bool0%5B%5D=AND&amp;illustration=-1&amp;daterange%5B%5D=publishDate&amp;publishDatefrom=&amp;publishDateto=")</f>
        <v>http://unicat.nalis.bg/Search/Results?sort=relevance&amp;join=AND&amp;lookfor0%5B%5D=ISSN+1314-1937&amp;type0%5B%5D=AllFields&amp;bool0%5B%5D=AND&amp;illustration=-1&amp;daterange%5B%5D=publishDate&amp;publishDatefrom=&amp;publishDateto=</v>
      </c>
      <c r="G1997" s="10" t="str">
        <f ca="1">IFERROR(__xludf.DUMMYFUNCTION("""COMPUTED_VALUE"""),"Майяна Митевска, Петя Радева")</f>
        <v>Майяна Митевска, Петя Радева</v>
      </c>
      <c r="H1997" s="10"/>
      <c r="I1997" s="10"/>
      <c r="J1997" s="10"/>
      <c r="K1997" s="10"/>
      <c r="L1997" s="10"/>
      <c r="M1997" s="10"/>
      <c r="N1997" s="10"/>
      <c r="O1997" s="10"/>
      <c r="P1997" s="10"/>
      <c r="Q1997" s="10"/>
      <c r="R1997" s="10"/>
      <c r="S1997" s="10"/>
      <c r="T1997" s="10"/>
      <c r="U1997" s="10"/>
      <c r="V1997" s="10"/>
      <c r="W1997" s="10"/>
      <c r="X1997" s="10"/>
      <c r="Y1997" s="10"/>
      <c r="Z1997" s="10"/>
    </row>
    <row r="1998" spans="1:26" ht="12.75">
      <c r="A1998" s="10" t="str">
        <f ca="1">IFERROR(__xludf.DUMMYFUNCTION("""COMPUTED_VALUE"""),"Гошо Кирилов Петков")</f>
        <v>Гошо Кирилов Петков</v>
      </c>
      <c r="B1998" s="10" t="str">
        <f ca="1">IFERROR(__xludf.DUMMYFUNCTION("""COMPUTED_VALUE"""),"Статия в списания и поредици")</f>
        <v>Статия в списания и поредици</v>
      </c>
      <c r="C1998" s="10" t="str">
        <f ca="1">IFERROR(__xludf.DUMMYFUNCTION("""COMPUTED_VALUE"""),"Мотивация за учене – отражение на кариерните предпочитания")</f>
        <v>Мотивация за учене – отражение на кариерните предпочитания</v>
      </c>
      <c r="D1998" s="10">
        <f ca="1">IFERROR(__xludf.DUMMYFUNCTION("""COMPUTED_VALUE"""),2017)</f>
        <v>2017</v>
      </c>
      <c r="E1998" s="10" t="str">
        <f ca="1">IFERROR(__xludf.DUMMYFUNCTION("""COMPUTED_VALUE"""),"Юридически сборник, т. 24, ISSN 1311-3771, с. 238-246")</f>
        <v>Юридически сборник, т. 24, ISSN 1311-3771, с. 238-246</v>
      </c>
      <c r="F1998" s="10"/>
      <c r="G1998" s="10" t="str">
        <f ca="1">IFERROR(__xludf.DUMMYFUNCTION("""COMPUTED_VALUE"""),"Майяна Митевска-Енчева, Емилия Лазарова")</f>
        <v>Майяна Митевска-Енчева, Емилия Лазарова</v>
      </c>
      <c r="H1998" s="10"/>
      <c r="I1998" s="10"/>
      <c r="J1998" s="10"/>
      <c r="K1998" s="10"/>
      <c r="L1998" s="10"/>
      <c r="M1998" s="10"/>
      <c r="N1998" s="10"/>
      <c r="O1998" s="10"/>
      <c r="P1998" s="10"/>
      <c r="Q1998" s="10"/>
      <c r="R1998" s="10"/>
      <c r="S1998" s="10"/>
      <c r="T1998" s="10"/>
      <c r="U1998" s="10"/>
      <c r="V1998" s="10"/>
      <c r="W1998" s="10"/>
      <c r="X1998" s="10"/>
      <c r="Y1998" s="10"/>
      <c r="Z1998" s="10"/>
    </row>
    <row r="1999" spans="1:26" ht="12.75">
      <c r="A1999" s="10" t="str">
        <f ca="1">IFERROR(__xludf.DUMMYFUNCTION("""COMPUTED_VALUE"""),"Гошо Кирилов Петков")</f>
        <v>Гошо Кирилов Петков</v>
      </c>
      <c r="B1999" s="10" t="str">
        <f ca="1">IFERROR(__xludf.DUMMYFUNCTION("""COMPUTED_VALUE"""),"Доклад от конференция")</f>
        <v>Доклад от конференция</v>
      </c>
      <c r="C1999" s="10" t="str">
        <f ca="1">IFERROR(__xludf.DUMMYFUNCTION("""COMPUTED_VALUE"""),"Interrelations between personal qualities leadership styles and cultural practices in Bulgarian Universities")</f>
        <v>Interrelations between personal qualities leadership styles and cultural practices in Bulgarian Universities</v>
      </c>
      <c r="D1999" s="10">
        <f ca="1">IFERROR(__xludf.DUMMYFUNCTION("""COMPUTED_VALUE"""),2017)</f>
        <v>2017</v>
      </c>
      <c r="E1999" s="10" t="str">
        <f ca="1">IFERROR(__xludf.DUMMYFUNCTION("""COMPUTED_VALUE"""),"Tematski zbornik radova drustveno-poliicke I ekonomske implikacije procesa migracija, p. 101 - 111. ISBN 978-86-6113-047-2")</f>
        <v>Tematski zbornik radova drustveno-poliicke I ekonomske implikacije procesa migracija, p. 101 - 111. ISBN 978-86-6113-047-2</v>
      </c>
      <c r="F1999" s="10"/>
      <c r="G1999" s="10" t="str">
        <f ca="1">IFERROR(__xludf.DUMMYFUNCTION("""COMPUTED_VALUE"""),"Mayiana Mitevska-Encheva")</f>
        <v>Mayiana Mitevska-Encheva</v>
      </c>
      <c r="H1999" s="10"/>
      <c r="I1999" s="10"/>
      <c r="J1999" s="10"/>
      <c r="K1999" s="10"/>
      <c r="L1999" s="10"/>
      <c r="M1999" s="10"/>
      <c r="N1999" s="10"/>
      <c r="O1999" s="10"/>
      <c r="P1999" s="10"/>
      <c r="Q1999" s="10"/>
      <c r="R1999" s="10"/>
      <c r="S1999" s="10"/>
      <c r="T1999" s="10"/>
      <c r="U1999" s="10"/>
      <c r="V1999" s="10"/>
      <c r="W1999" s="10"/>
      <c r="X1999" s="10"/>
      <c r="Y1999" s="10"/>
      <c r="Z1999" s="10"/>
    </row>
    <row r="2000" spans="1:26" ht="12.75">
      <c r="A2000" s="10" t="str">
        <f ca="1">IFERROR(__xludf.DUMMYFUNCTION("""COMPUTED_VALUE"""),"Гошо Кирилов Петков")</f>
        <v>Гошо Кирилов Петков</v>
      </c>
      <c r="B2000" s="10" t="str">
        <f ca="1">IFERROR(__xludf.DUMMYFUNCTION("""COMPUTED_VALUE"""),"Доклад от конференция")</f>
        <v>Доклад от конференция</v>
      </c>
      <c r="C2000" s="10" t="str">
        <f ca="1">IFERROR(__xludf.DUMMYFUNCTION("""COMPUTED_VALUE"""),"Фактори за удовлетвореност от труда и емоционална стабилност")</f>
        <v>Фактори за удовлетвореност от труда и емоционална стабилност</v>
      </c>
      <c r="D2000" s="10">
        <f ca="1">IFERROR(__xludf.DUMMYFUNCTION("""COMPUTED_VALUE"""),2017)</f>
        <v>2017</v>
      </c>
      <c r="E2000" s="10" t="str">
        <f ca="1">IFERROR(__xludf.DUMMYFUNCTION("""COMPUTED_VALUE"""),"Психичното благополучие на човека – фактори на влияние” Институт за изследване на населението и човека – БАН, 27-29 май 2017 г.")</f>
        <v>Психичното благополучие на човека – фактори на влияние” Институт за изследване на населението и човека – БАН, 27-29 май 2017 г.</v>
      </c>
      <c r="F2000" s="10"/>
      <c r="G2000" s="10" t="str">
        <f ca="1">IFERROR(__xludf.DUMMYFUNCTION("""COMPUTED_VALUE"""),"Митевска-Енчева, М. Е. Лазарова")</f>
        <v>Митевска-Енчева, М. Е. Лазарова</v>
      </c>
      <c r="H2000" s="10"/>
      <c r="I2000" s="10"/>
      <c r="J2000" s="10"/>
      <c r="K2000" s="10"/>
      <c r="L2000" s="10"/>
      <c r="M2000" s="10"/>
      <c r="N2000" s="10"/>
      <c r="O2000" s="10"/>
      <c r="P2000" s="10"/>
      <c r="Q2000" s="10"/>
      <c r="R2000" s="10"/>
      <c r="S2000" s="10"/>
      <c r="T2000" s="10"/>
      <c r="U2000" s="10"/>
      <c r="V2000" s="10"/>
      <c r="W2000" s="10"/>
      <c r="X2000" s="10"/>
      <c r="Y2000" s="10"/>
      <c r="Z2000" s="10"/>
    </row>
    <row r="2001" spans="1:26" ht="12.75">
      <c r="A2001" s="10" t="str">
        <f ca="1">IFERROR(__xludf.DUMMYFUNCTION("""COMPUTED_VALUE"""),"Гошо Кирилов Петков")</f>
        <v>Гошо Кирилов Петков</v>
      </c>
      <c r="B2001" s="10" t="str">
        <f ca="1">IFERROR(__xludf.DUMMYFUNCTION("""COMPUTED_VALUE"""),"Учебник")</f>
        <v>Учебник</v>
      </c>
      <c r="C2001" s="10" t="str">
        <f ca="1">IFERROR(__xludf.DUMMYFUNCTION("""COMPUTED_VALUE"""),"Лидер и лидерство в системата за сигурност")</f>
        <v>Лидер и лидерство в системата за сигурност</v>
      </c>
      <c r="D2001" s="10">
        <f ca="1">IFERROR(__xludf.DUMMYFUNCTION("""COMPUTED_VALUE"""),2017)</f>
        <v>2017</v>
      </c>
      <c r="E2001" s="10" t="str">
        <f ca="1">IFERROR(__xludf.DUMMYFUNCTION("""COMPUTED_VALUE"""),"София, За буквите – О писменехь, 2017, 111 с. ISBN 978-619-185-284-0")</f>
        <v>София, За буквите – О писменехь, 2017, 111 с. ISBN 978-619-185-284-0</v>
      </c>
      <c r="F2001" s="10"/>
      <c r="G2001" s="10" t="str">
        <f ca="1">IFERROR(__xludf.DUMMYFUNCTION("""COMPUTED_VALUE"""),"Майяна Митевска-Енчева")</f>
        <v>Майяна Митевска-Енчева</v>
      </c>
      <c r="H2001" s="10"/>
      <c r="I2001" s="10"/>
      <c r="J2001" s="10"/>
      <c r="K2001" s="10"/>
      <c r="L2001" s="10"/>
      <c r="M2001" s="10"/>
      <c r="N2001" s="10"/>
      <c r="O2001" s="10"/>
      <c r="P2001" s="10"/>
      <c r="Q2001" s="10"/>
      <c r="R2001" s="10"/>
      <c r="S2001" s="10"/>
      <c r="T2001" s="10"/>
      <c r="U2001" s="10"/>
      <c r="V2001" s="10"/>
      <c r="W2001" s="10"/>
      <c r="X2001" s="10"/>
      <c r="Y2001" s="10"/>
      <c r="Z2001" s="10"/>
    </row>
    <row r="2002" spans="1:26" ht="12.75">
      <c r="A2002" s="10" t="str">
        <f ca="1">IFERROR(__xludf.DUMMYFUNCTION("""COMPUTED_VALUE"""),"Гошо Кирилов Петков")</f>
        <v>Гошо Кирилов Петков</v>
      </c>
      <c r="B2002" s="10" t="str">
        <f ca="1">IFERROR(__xludf.DUMMYFUNCTION("""COMPUTED_VALUE"""),"Статия в списания и поредици")</f>
        <v>Статия в списания и поредици</v>
      </c>
      <c r="C2002" s="10" t="str">
        <f ca="1">IFERROR(__xludf.DUMMYFUNCTION("""COMPUTED_VALUE"""),"Изборът на кариера като функция на личността")</f>
        <v>Изборът на кариера като функция на личността</v>
      </c>
      <c r="D2002" s="10">
        <f ca="1">IFERROR(__xludf.DUMMYFUNCTION("""COMPUTED_VALUE"""),2017)</f>
        <v>2017</v>
      </c>
      <c r="E2002" s="10" t="str">
        <f ca="1">IFERROR(__xludf.DUMMYFUNCTION("""COMPUTED_VALUE"""),"Годишна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f>
        <v>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v>
      </c>
      <c r="F2002" s="10"/>
      <c r="G2002" s="10" t="str">
        <f ca="1">IFERROR(__xludf.DUMMYFUNCTION("""COMPUTED_VALUE"""),"Майяна Митевска")</f>
        <v>Майяна Митевска</v>
      </c>
      <c r="H2002" s="10"/>
      <c r="I2002" s="10"/>
      <c r="J2002" s="10"/>
      <c r="K2002" s="10"/>
      <c r="L2002" s="10"/>
      <c r="M2002" s="10"/>
      <c r="N2002" s="10"/>
      <c r="O2002" s="10"/>
      <c r="P2002" s="10"/>
      <c r="Q2002" s="10"/>
      <c r="R2002" s="10"/>
      <c r="S2002" s="10"/>
      <c r="T2002" s="10"/>
      <c r="U2002" s="10"/>
      <c r="V2002" s="10"/>
      <c r="W2002" s="10"/>
      <c r="X2002" s="10"/>
      <c r="Y2002" s="10"/>
      <c r="Z2002" s="10"/>
    </row>
    <row r="2003" spans="1:26" ht="12.75">
      <c r="A2003" s="10" t="str">
        <f ca="1">IFERROR(__xludf.DUMMYFUNCTION("""COMPUTED_VALUE"""),"Гошо Кирилов Петков")</f>
        <v>Гошо Кирилов Петков</v>
      </c>
      <c r="B2003" s="10" t="str">
        <f ca="1">IFERROR(__xludf.DUMMYFUNCTION("""COMPUTED_VALUE"""),"Доклад от конференция")</f>
        <v>Доклад от конференция</v>
      </c>
      <c r="C2003" s="10" t="str">
        <f ca="1">IFERROR(__xludf.DUMMYFUNCTION("""COMPUTED_VALUE"""),"Личността като предиктор на избора на кариера и на мотивацията за учене")</f>
        <v>Личността като предиктор на избора на кариера и на мотивацията за учене</v>
      </c>
      <c r="D2003" s="10">
        <f ca="1">IFERROR(__xludf.DUMMYFUNCTION("""COMPUTED_VALUE"""),2017)</f>
        <v>2017</v>
      </c>
      <c r="E2003" s="10" t="str">
        <f ca="1">IFERROR(__xludf.DUMMYFUNCTION("""COMPUTED_VALUE"""),"НВУ Велико Търново, 26.10 – 28.10.2017")</f>
        <v>НВУ Велико Търново, 26.10 – 28.10.2017</v>
      </c>
      <c r="F2003" s="10"/>
      <c r="G2003" s="10" t="str">
        <f ca="1">IFERROR(__xludf.DUMMYFUNCTION("""COMPUTED_VALUE"""),"Майяна Митевска-Енчева")</f>
        <v>Майяна Митевска-Енчева</v>
      </c>
      <c r="H2003" s="10"/>
      <c r="I2003" s="10"/>
      <c r="J2003" s="10"/>
      <c r="K2003" s="10"/>
      <c r="L2003" s="10"/>
      <c r="M2003" s="10"/>
      <c r="N2003" s="10"/>
      <c r="O2003" s="10"/>
      <c r="P2003" s="10"/>
      <c r="Q2003" s="10"/>
      <c r="R2003" s="10"/>
      <c r="S2003" s="10"/>
      <c r="T2003" s="10"/>
      <c r="U2003" s="10"/>
      <c r="V2003" s="10"/>
      <c r="W2003" s="10"/>
      <c r="X2003" s="10"/>
      <c r="Y2003" s="10"/>
      <c r="Z2003" s="10"/>
    </row>
    <row r="2004" spans="1:26" ht="12.75">
      <c r="A2004" s="10" t="str">
        <f ca="1">IFERROR(__xludf.DUMMYFUNCTION("""COMPUTED_VALUE"""),"Гошо Кирилов Петков")</f>
        <v>Гошо Кирилов Петков</v>
      </c>
      <c r="B2004" s="10" t="str">
        <f ca="1">IFERROR(__xludf.DUMMYFUNCTION("""COMPUTED_VALUE"""),"Доклад от конференция")</f>
        <v>Доклад от конференция</v>
      </c>
      <c r="C2004" s="10" t="str">
        <f ca="1">IFERROR(__xludf.DUMMYFUNCTION("""COMPUTED_VALUE"""),"Личностна регулация на индивидуалното поведение в екстремална ситуация")</f>
        <v>Личностна регулация на индивидуалното поведение в екстремална ситуация</v>
      </c>
      <c r="D2004" s="10">
        <f ca="1">IFERROR(__xludf.DUMMYFUNCTION("""COMPUTED_VALUE"""),2017)</f>
        <v>2017</v>
      </c>
      <c r="E2004" s="10" t="str">
        <f ca="1">IFERROR(__xludf.DUMMYFUNCTION("""COMPUTED_VALUE"""),"Осма научна конференция с международно участие „Гражданска безопасност 2017, София, 6-7 април 2017 АМВР")</f>
        <v>Осма научна конференция с международно участие „Гражданска безопасност 2017, София, 6-7 април 2017 АМВР</v>
      </c>
      <c r="F2004" s="10"/>
      <c r="G2004" s="10" t="str">
        <f ca="1">IFERROR(__xludf.DUMMYFUNCTION("""COMPUTED_VALUE"""),"Митевска-Енчева, М.")</f>
        <v>Митевска-Енчева, М.</v>
      </c>
      <c r="H2004" s="10"/>
      <c r="I2004" s="10"/>
      <c r="J2004" s="10"/>
      <c r="K2004" s="10"/>
      <c r="L2004" s="10"/>
      <c r="M2004" s="10"/>
      <c r="N2004" s="10"/>
      <c r="O2004" s="10"/>
      <c r="P2004" s="10"/>
      <c r="Q2004" s="10"/>
      <c r="R2004" s="10"/>
      <c r="S2004" s="10"/>
      <c r="T2004" s="10"/>
      <c r="U2004" s="10"/>
      <c r="V2004" s="10"/>
      <c r="W2004" s="10"/>
      <c r="X2004" s="10"/>
      <c r="Y2004" s="10"/>
      <c r="Z2004" s="10"/>
    </row>
    <row r="2005" spans="1:26" ht="12.75">
      <c r="A2005" s="10" t="str">
        <f ca="1">IFERROR(__xludf.DUMMYFUNCTION("""COMPUTED_VALUE"""),"Гошо Кирилов Петков")</f>
        <v>Гошо Кирилов Петков</v>
      </c>
      <c r="B2005" s="10" t="str">
        <f ca="1">IFERROR(__xludf.DUMMYFUNCTION("""COMPUTED_VALUE"""),"Статия в списания и поредици")</f>
        <v>Статия в списания и поредици</v>
      </c>
      <c r="C2005" s="10" t="str">
        <f ca="1">IFERROR(__xludf.DUMMYFUNCTION("""COMPUTED_VALUE"""),"Effects of Career Orientation on Life and Happiness Satisfaction")</f>
        <v>Effects of Career Orientation on Life and Happiness Satisfaction</v>
      </c>
      <c r="D2005" s="10">
        <f ca="1">IFERROR(__xludf.DUMMYFUNCTION("""COMPUTED_VALUE"""),2017)</f>
        <v>2017</v>
      </c>
      <c r="E2005" s="10" t="str">
        <f ca="1">IFERROR(__xludf.DUMMYFUNCTION("""COMPUTED_VALUE"""),"“, 8th Congress of Psychology, Sofia / Bulgaria, November 2017. ISBN 978-619-90965-1-2")</f>
        <v>“, 8th Congress of Psychology, Sofia / Bulgaria, November 2017. ISBN 978-619-90965-1-2</v>
      </c>
      <c r="F2005" s="10"/>
      <c r="G2005" s="10" t="str">
        <f ca="1">IFERROR(__xludf.DUMMYFUNCTION("""COMPUTED_VALUE"""),"Mitevska-Encheva, M., P. Radeva")</f>
        <v>Mitevska-Encheva, M., P. Radeva</v>
      </c>
      <c r="H2005" s="10"/>
      <c r="I2005" s="10"/>
      <c r="J2005" s="10"/>
      <c r="K2005" s="10"/>
      <c r="L2005" s="10"/>
      <c r="M2005" s="10"/>
      <c r="N2005" s="10"/>
      <c r="O2005" s="10"/>
      <c r="P2005" s="10"/>
      <c r="Q2005" s="10"/>
      <c r="R2005" s="10"/>
      <c r="S2005" s="10"/>
      <c r="T2005" s="10"/>
      <c r="U2005" s="10"/>
      <c r="V2005" s="10"/>
      <c r="W2005" s="10"/>
      <c r="X2005" s="10"/>
      <c r="Y2005" s="10"/>
      <c r="Z2005" s="10"/>
    </row>
    <row r="2006" spans="1:26" ht="12.75">
      <c r="A2006" s="10" t="str">
        <f ca="1">IFERROR(__xludf.DUMMYFUNCTION("""COMPUTED_VALUE"""),"Гошо Кирилов Петков")</f>
        <v>Гошо Кирилов Петков</v>
      </c>
      <c r="B2006" s="10" t="str">
        <f ca="1">IFERROR(__xludf.DUMMYFUNCTION("""COMPUTED_VALUE"""),"Доклад от конференция")</f>
        <v>Доклад от конференция</v>
      </c>
      <c r="C2006" s="10" t="str">
        <f ca="1">IFERROR(__xludf.DUMMYFUNCTION("""COMPUTED_VALUE"""),"Академичната мотивация и избор на кариера")</f>
        <v>Академичната мотивация и избор на кариера</v>
      </c>
      <c r="D2006" s="10">
        <f ca="1">IFERROR(__xludf.DUMMYFUNCTION("""COMPUTED_VALUE"""),2017)</f>
        <v>2017</v>
      </c>
      <c r="E2006" s="10" t="str">
        <f ca="1">IFERROR(__xludf.DUMMYFUNCTION("""COMPUTED_VALUE"""),"16-та международна научна конференция на тема: „Приложната психология: възможности и перспективи”, Варна 23-25 юни 2017 г.")</f>
        <v>16-та международна научна конференция на тема: „Приложната психология: възможности и перспективи”, Варна 23-25 юни 2017 г.</v>
      </c>
      <c r="F2006" s="10"/>
      <c r="G2006" s="10" t="str">
        <f ca="1">IFERROR(__xludf.DUMMYFUNCTION("""COMPUTED_VALUE"""),"Митевска-Енчева, М.")</f>
        <v>Митевска-Енчева, М.</v>
      </c>
      <c r="H2006" s="10"/>
      <c r="I2006" s="10"/>
      <c r="J2006" s="10"/>
      <c r="K2006" s="10"/>
      <c r="L2006" s="10"/>
      <c r="M2006" s="10"/>
      <c r="N2006" s="10"/>
      <c r="O2006" s="10"/>
      <c r="P2006" s="10"/>
      <c r="Q2006" s="10"/>
      <c r="R2006" s="10"/>
      <c r="S2006" s="10"/>
      <c r="T2006" s="10"/>
      <c r="U2006" s="10"/>
      <c r="V2006" s="10"/>
      <c r="W2006" s="10"/>
      <c r="X2006" s="10"/>
      <c r="Y2006" s="10"/>
      <c r="Z2006" s="10"/>
    </row>
    <row r="2007" spans="1:26" ht="12.75">
      <c r="A2007" s="10" t="str">
        <f ca="1">IFERROR(__xludf.DUMMYFUNCTION("""COMPUTED_VALUE"""),"Гошо Кирилов Петков")</f>
        <v>Гошо Кирилов Петков</v>
      </c>
      <c r="B2007" s="10" t="str">
        <f ca="1">IFERROR(__xludf.DUMMYFUNCTION("""COMPUTED_VALUE"""),"Книга")</f>
        <v>Книга</v>
      </c>
      <c r="C2007" s="10" t="str">
        <f ca="1">IFERROR(__xludf.DUMMYFUNCTION("""COMPUTED_VALUE"""),"Психология на скритото присъствие")</f>
        <v>Психология на скритото присъствие</v>
      </c>
      <c r="D2007" s="10">
        <f ca="1">IFERROR(__xludf.DUMMYFUNCTION("""COMPUTED_VALUE"""),2017)</f>
        <v>2017</v>
      </c>
      <c r="E2007" s="10" t="str">
        <f ca="1">IFERROR(__xludf.DUMMYFUNCTION("""COMPUTED_VALUE"""),"София, За буквите 2017, 394 с. ISBN 978-619-185-290-1 О писменех – За буквите 2017")</f>
        <v>София, За буквите 2017, 394 с. ISBN 978-619-185-290-1 О писменех – За буквите 2017</v>
      </c>
      <c r="F2007" s="10"/>
      <c r="G2007" s="10" t="str">
        <f ca="1">IFERROR(__xludf.DUMMYFUNCTION("""COMPUTED_VALUE"""),"М. Митевска-Енчева")</f>
        <v>М. Митевска-Енчева</v>
      </c>
      <c r="H2007" s="10"/>
      <c r="I2007" s="10"/>
      <c r="J2007" s="10"/>
      <c r="K2007" s="10"/>
      <c r="L2007" s="10"/>
      <c r="M2007" s="10"/>
      <c r="N2007" s="10"/>
      <c r="O2007" s="10"/>
      <c r="P2007" s="10"/>
      <c r="Q2007" s="10"/>
      <c r="R2007" s="10"/>
      <c r="S2007" s="10"/>
      <c r="T2007" s="10"/>
      <c r="U2007" s="10"/>
      <c r="V2007" s="10"/>
      <c r="W2007" s="10"/>
      <c r="X2007" s="10"/>
      <c r="Y2007" s="10"/>
      <c r="Z2007" s="10"/>
    </row>
    <row r="2008" spans="1:26" ht="12.75">
      <c r="A2008" s="10" t="str">
        <f ca="1">IFERROR(__xludf.DUMMYFUNCTION("""COMPUTED_VALUE"""),"Гошо Кирилов Петков")</f>
        <v>Гошо Кирилов Петков</v>
      </c>
      <c r="B2008" s="10" t="str">
        <f ca="1">IFERROR(__xludf.DUMMYFUNCTION("""COMPUTED_VALUE"""),"Статия в списания и поредици")</f>
        <v>Статия в списания и поредици</v>
      </c>
      <c r="C2008" s="10" t="str">
        <f ca="1">IFERROR(__xludf.DUMMYFUNCTION("""COMPUTED_VALUE"""),"Дискриминиращите функции на демографските фактори при удовлетвореността от труда")</f>
        <v>Дискриминиращите функции на демографските фактори при удовлетвореността от труда</v>
      </c>
      <c r="D2008" s="10">
        <f ca="1">IFERROR(__xludf.DUMMYFUNCTION("""COMPUTED_VALUE"""),2017)</f>
        <v>2017</v>
      </c>
      <c r="E2008" s="10" t="str">
        <f ca="1">IFERROR(__xludf.DUMMYFUNCTION("""COMPUTED_VALUE"""),"Психологични изследвания. Научно списание по психология. Т. 20, Кн. 2, Септември 2017, с. 347-357, Изд. БАН ИИНЧ Департамент Психология, ISSN 0205-0617 (Print) ISSN 2367-9174 (Online)")</f>
        <v>Психологични изследвания. Научно списание по психология. Т. 20, Кн. 2, Септември 2017, с. 347-357, Изд. БАН ИИНЧ Департамент Психология, ISSN 0205-0617 (Print) ISSN 2367-9174 (Online)</v>
      </c>
      <c r="F2008" s="10"/>
      <c r="G2008" s="10" t="str">
        <f ca="1">IFERROR(__xludf.DUMMYFUNCTION("""COMPUTED_VALUE"""),"Майяна Митевска-Енчева, Емилия Лазарова")</f>
        <v>Майяна Митевска-Енчева, Емилия Лазарова</v>
      </c>
      <c r="H2008" s="10"/>
      <c r="I2008" s="10"/>
      <c r="J2008" s="10"/>
      <c r="K2008" s="10"/>
      <c r="L2008" s="10"/>
      <c r="M2008" s="10"/>
      <c r="N2008" s="10"/>
      <c r="O2008" s="10"/>
      <c r="P2008" s="10"/>
      <c r="Q2008" s="10"/>
      <c r="R2008" s="10"/>
      <c r="S2008" s="10"/>
      <c r="T2008" s="10"/>
      <c r="U2008" s="10"/>
      <c r="V2008" s="10"/>
      <c r="W2008" s="10"/>
      <c r="X2008" s="10"/>
      <c r="Y2008" s="10"/>
      <c r="Z2008" s="10"/>
    </row>
    <row r="2009" spans="1:26" ht="12.75">
      <c r="A2009" s="10" t="str">
        <f ca="1">IFERROR(__xludf.DUMMYFUNCTION("""COMPUTED_VALUE"""),"Гошо Кирилов Петков")</f>
        <v>Гошо Кирилов Петков</v>
      </c>
      <c r="B2009" s="10" t="str">
        <f ca="1">IFERROR(__xludf.DUMMYFUNCTION("""COMPUTED_VALUE"""),"Статия в списания и поредици")</f>
        <v>Статия в списания и поредици</v>
      </c>
      <c r="C2009" s="10" t="str">
        <f ca="1">IFERROR(__xludf.DUMMYFUNCTION("""COMPUTED_VALUE"""),"Влияние на емоционалния статус върху академичната мотивация при студентите")</f>
        <v>Влияние на емоционалния статус върху академичната мотивация при студентите</v>
      </c>
      <c r="D2009" s="10">
        <f ca="1">IFERROR(__xludf.DUMMYFUNCTION("""COMPUTED_VALUE"""),2017)</f>
        <v>2017</v>
      </c>
      <c r="E2009" s="10" t="str">
        <f ca="1">IFERROR(__xludf.DUMMYFUNCTION("""COMPUTED_VALUE"""),"XIV национална научна конференция с международно участие, Общество на знанието и хуманизмът на XXI век VI: България – кръстопът на култури и цивилизации, с. 468 – 478, С. 1 ноември 2016. Издателство „За буквите – О писменехь“ ISSN 1314-7099")</f>
        <v>XIV национална научна конференция с международно участие, Общество на знанието и хуманизмът на XXI век VI: България – кръстопът на култури и цивилизации, с. 468 – 478, С. 1 ноември 2016. Издателство „За буквите – О писменехь“ ISSN 1314-7099</v>
      </c>
      <c r="F2009" s="10"/>
      <c r="G2009" s="10" t="str">
        <f ca="1">IFERROR(__xludf.DUMMYFUNCTION("""COMPUTED_VALUE"""),"Майяна Митевска-Енчева, Цветелина Варадинова, Ралица Йотова")</f>
        <v>Майяна Митевска-Енчева, Цветелина Варадинова, Ралица Йотова</v>
      </c>
      <c r="H2009" s="10"/>
      <c r="I2009" s="10"/>
      <c r="J2009" s="10"/>
      <c r="K2009" s="10"/>
      <c r="L2009" s="10"/>
      <c r="M2009" s="10"/>
      <c r="N2009" s="10"/>
      <c r="O2009" s="10"/>
      <c r="P2009" s="10"/>
      <c r="Q2009" s="10"/>
      <c r="R2009" s="10"/>
      <c r="S2009" s="10"/>
      <c r="T2009" s="10"/>
      <c r="U2009" s="10"/>
      <c r="V2009" s="10"/>
      <c r="W2009" s="10"/>
      <c r="X2009" s="10"/>
      <c r="Y2009" s="10"/>
      <c r="Z2009" s="10"/>
    </row>
    <row r="2010" spans="1:26" ht="12.75">
      <c r="A2010" s="10" t="str">
        <f ca="1">IFERROR(__xludf.DUMMYFUNCTION("""COMPUTED_VALUE"""),"Гошо Кирилов Петков")</f>
        <v>Гошо Кирилов Петков</v>
      </c>
      <c r="B2010" s="10" t="str">
        <f ca="1">IFERROR(__xludf.DUMMYFUNCTION("""COMPUTED_VALUE"""),"Статия в списания и поредици")</f>
        <v>Статия в списания и поредици</v>
      </c>
      <c r="C2010" s="10" t="str">
        <f ca="1">IFERROR(__xludf.DUMMYFUNCTION("""COMPUTED_VALUE"""),"Empirical verification of model for academic motivation")</f>
        <v>Empirical verification of model for academic motivation</v>
      </c>
      <c r="D2010" s="10">
        <f ca="1">IFERROR(__xludf.DUMMYFUNCTION("""COMPUTED_VALUE"""),2017)</f>
        <v>2017</v>
      </c>
      <c r="E2010" s="10" t="str">
        <f ca="1">IFERROR(__xludf.DUMMYFUNCTION("""COMPUTED_VALUE"""),"Eighth Congress of Psychology, Sofia / Bulgaria, November 2017. ISBN 978-619-90965-1-2")</f>
        <v>Eighth Congress of Psychology, Sofia / Bulgaria, November 2017. ISBN 978-619-90965-1-2</v>
      </c>
      <c r="F2010" s="10"/>
      <c r="G2010" s="10" t="str">
        <f ca="1">IFERROR(__xludf.DUMMYFUNCTION("""COMPUTED_VALUE"""),"Mitevska-Encheva, M., P. Radeva")</f>
        <v>Mitevska-Encheva, M., P. Radeva</v>
      </c>
      <c r="H2010" s="10"/>
      <c r="I2010" s="10"/>
      <c r="J2010" s="10"/>
      <c r="K2010" s="10"/>
      <c r="L2010" s="10"/>
      <c r="M2010" s="10"/>
      <c r="N2010" s="10"/>
      <c r="O2010" s="10"/>
      <c r="P2010" s="10"/>
      <c r="Q2010" s="10"/>
      <c r="R2010" s="10"/>
      <c r="S2010" s="10"/>
      <c r="T2010" s="10"/>
      <c r="U2010" s="10"/>
      <c r="V2010" s="10"/>
      <c r="W2010" s="10"/>
      <c r="X2010" s="10"/>
      <c r="Y2010" s="10"/>
      <c r="Z2010" s="10"/>
    </row>
    <row r="2011" spans="1:26" ht="12.75">
      <c r="A2011" s="10" t="str">
        <f ca="1">IFERROR(__xludf.DUMMYFUNCTION("""COMPUTED_VALUE"""),"Гошо Кирилов Петков")</f>
        <v>Гошо Кирилов Петков</v>
      </c>
      <c r="B2011" s="10" t="str">
        <f ca="1">IFERROR(__xludf.DUMMYFUNCTION("""COMPUTED_VALUE"""),"Статия в списания и поредици")</f>
        <v>Статия в списания и поредици</v>
      </c>
      <c r="C2011" s="10" t="str">
        <f ca="1">IFERROR(__xludf.DUMMYFUNCTION("""COMPUTED_VALUE"""),"Effects of the career guidance by the model of „ the big six” over the academic motivation, the happiness and the satisfaction")</f>
        <v>Effects of the career guidance by the model of „ the big six” over the academic motivation, the happiness and the satisfaction</v>
      </c>
      <c r="D2011" s="10">
        <f ca="1">IFERROR(__xludf.DUMMYFUNCTION("""COMPUTED_VALUE"""),2017)</f>
        <v>2017</v>
      </c>
      <c r="E2011" s="10" t="str">
        <f ca="1">IFERROR(__xludf.DUMMYFUNCTION("""COMPUTED_VALUE"""),"The Macrotheme Review 6 (4), Winter 2017. Е-ISSN 1848-4735; ISSN 2379-9765")</f>
        <v>The Macrotheme Review 6 (4), Winter 2017. Е-ISSN 1848-4735; ISSN 2379-9765</v>
      </c>
      <c r="F2011" s="10"/>
      <c r="G2011" s="10" t="str">
        <f ca="1">IFERROR(__xludf.DUMMYFUNCTION("""COMPUTED_VALUE"""),"Mitevska-Encheva, M., P. Radeva")</f>
        <v>Mitevska-Encheva, M., P. Radeva</v>
      </c>
      <c r="H2011" s="10"/>
      <c r="I2011" s="10"/>
      <c r="J2011" s="10"/>
      <c r="K2011" s="10"/>
      <c r="L2011" s="10"/>
      <c r="M2011" s="10"/>
      <c r="N2011" s="10"/>
      <c r="O2011" s="10"/>
      <c r="P2011" s="10"/>
      <c r="Q2011" s="10"/>
      <c r="R2011" s="10"/>
      <c r="S2011" s="10"/>
      <c r="T2011" s="10"/>
      <c r="U2011" s="10"/>
      <c r="V2011" s="10"/>
      <c r="W2011" s="10"/>
      <c r="X2011" s="10"/>
      <c r="Y2011" s="10"/>
      <c r="Z2011" s="10"/>
    </row>
    <row r="2012" spans="1:26" ht="12.75">
      <c r="A2012" s="10" t="str">
        <f ca="1">IFERROR(__xludf.DUMMYFUNCTION("""COMPUTED_VALUE"""),"Гошо Кирилов Петков")</f>
        <v>Гошо Кирилов Петков</v>
      </c>
      <c r="B2012" s="10" t="str">
        <f ca="1">IFERROR(__xludf.DUMMYFUNCTION("""COMPUTED_VALUE"""),"Статия в списания и поредици")</f>
        <v>Статия в списания и поредици</v>
      </c>
      <c r="C2012" s="10" t="str">
        <f ca="1">IFERROR(__xludf.DUMMYFUNCTION("""COMPUTED_VALUE"""),"Влияние на перцепциите към учебната среда върху академичната мотивация")</f>
        <v>Влияние на перцепциите към учебната среда върху академичната мотивация</v>
      </c>
      <c r="D2012" s="10">
        <f ca="1">IFERROR(__xludf.DUMMYFUNCTION("""COMPUTED_VALUE"""),2017)</f>
        <v>2017</v>
      </c>
      <c r="E2012" s="10" t="str">
        <f ca="1">IFERROR(__xludf.DUMMYFUNCTION("""COMPUTED_VALUE"""),"Предизвикателства и перспективи пред съвременната психология”, организирана от СУ „Св. Кл. Охридски“, 2-4 юни 2017 г. ISBN 978-954-07-4277-9")</f>
        <v>Предизвикателства и перспективи пред съвременната психология”, организирана от СУ „Св. Кл. Охридски“, 2-4 юни 2017 г. ISBN 978-954-07-4277-9</v>
      </c>
      <c r="F2012" s="10"/>
      <c r="G2012" s="10" t="str">
        <f ca="1">IFERROR(__xludf.DUMMYFUNCTION("""COMPUTED_VALUE"""),"Майяна Митевска-Енчева, Емилия Лазарова")</f>
        <v>Майяна Митевска-Енчева, Емилия Лазарова</v>
      </c>
      <c r="H2012" s="10"/>
      <c r="I2012" s="10"/>
      <c r="J2012" s="10"/>
      <c r="K2012" s="10"/>
      <c r="L2012" s="10"/>
      <c r="M2012" s="10"/>
      <c r="N2012" s="10"/>
      <c r="O2012" s="10"/>
      <c r="P2012" s="10"/>
      <c r="Q2012" s="10"/>
      <c r="R2012" s="10"/>
      <c r="S2012" s="10"/>
      <c r="T2012" s="10"/>
      <c r="U2012" s="10"/>
      <c r="V2012" s="10"/>
      <c r="W2012" s="10"/>
      <c r="X2012" s="10"/>
      <c r="Y2012" s="10"/>
      <c r="Z2012" s="10"/>
    </row>
    <row r="2013" spans="1:26" ht="12.75">
      <c r="A2013" s="10" t="str">
        <f ca="1">IFERROR(__xludf.DUMMYFUNCTION("""COMPUTED_VALUE"""),"Гошо Кирилов Петков")</f>
        <v>Гошо Кирилов Петков</v>
      </c>
      <c r="B2013" s="10" t="str">
        <f ca="1">IFERROR(__xludf.DUMMYFUNCTION("""COMPUTED_VALUE"""),"Статия в списания и поредици")</f>
        <v>Статия в списания и поредици</v>
      </c>
      <c r="C2013" s="10" t="str">
        <f ca="1">IFERROR(__xludf.DUMMYFUNCTION("""COMPUTED_VALUE"""),"The reasons“ for leadership efficiency in Bulgarian universities")</f>
        <v>The reasons“ for leadership efficiency in Bulgarian universities</v>
      </c>
      <c r="D2013" s="10">
        <f ca="1">IFERROR(__xludf.DUMMYFUNCTION("""COMPUTED_VALUE"""),2017)</f>
        <v>2017</v>
      </c>
      <c r="E2013" s="10" t="str">
        <f ca="1">IFERROR(__xludf.DUMMYFUNCTION("""COMPUTED_VALUE"""),"The Macrotheme Review Vol 6 Issue 1, 2017. The Macrotheme Review Vol 6 Issue 1, 2017. E-ISSN 1848-4735 ISSN 2379-9765")</f>
        <v>The Macrotheme Review Vol 6 Issue 1, 2017. The Macrotheme Review Vol 6 Issue 1, 2017. E-ISSN 1848-4735 ISSN 2379-9765</v>
      </c>
      <c r="F2013" s="28" t="str">
        <f ca="1">IFERROR(__xludf.DUMMYFUNCTION("""COMPUTED_VALUE"""),"http://macrotheme.com/yahoo_site_admin/assets/docs/1MR61Pe.297130637.pdf")</f>
        <v>http://macrotheme.com/yahoo_site_admin/assets/docs/1MR61Pe.297130637.pdf</v>
      </c>
      <c r="G2013" s="10" t="str">
        <f ca="1">IFERROR(__xludf.DUMMYFUNCTION("""COMPUTED_VALUE"""),"Majana Mitevska-Encheva")</f>
        <v>Majana Mitevska-Encheva</v>
      </c>
      <c r="H2013" s="10"/>
      <c r="I2013" s="10"/>
      <c r="J2013" s="10"/>
      <c r="K2013" s="10"/>
      <c r="L2013" s="10"/>
      <c r="M2013" s="10"/>
      <c r="N2013" s="10"/>
      <c r="O2013" s="10"/>
      <c r="P2013" s="10"/>
      <c r="Q2013" s="10"/>
      <c r="R2013" s="10"/>
      <c r="S2013" s="10"/>
      <c r="T2013" s="10"/>
      <c r="U2013" s="10"/>
      <c r="V2013" s="10"/>
      <c r="W2013" s="10"/>
      <c r="X2013" s="10"/>
      <c r="Y2013" s="10"/>
      <c r="Z2013" s="10"/>
    </row>
    <row r="2014" spans="1:26" ht="12.75">
      <c r="A2014" s="10" t="str">
        <f ca="1">IFERROR(__xludf.DUMMYFUNCTION("""COMPUTED_VALUE"""),"Гошо Кирилов Петков")</f>
        <v>Гошо Кирилов Петков</v>
      </c>
      <c r="B2014" s="10" t="str">
        <f ca="1">IFERROR(__xludf.DUMMYFUNCTION("""COMPUTED_VALUE"""),"Доклад от конференция")</f>
        <v>Доклад от конференция</v>
      </c>
      <c r="C2014" s="10" t="str">
        <f ca="1">IFERROR(__xludf.DUMMYFUNCTION("""COMPUTED_VALUE"""),"Избор на кариера и академична мотивация – емпирични проекции")</f>
        <v>Избор на кариера и академична мотивация – емпирични проекции</v>
      </c>
      <c r="D2014" s="10">
        <f ca="1">IFERROR(__xludf.DUMMYFUNCTION("""COMPUTED_VALUE"""),2017)</f>
        <v>2017</v>
      </c>
      <c r="E2014" s="10" t="str">
        <f ca="1">IFERROR(__xludf.DUMMYFUNCTION("""COMPUTED_VALUE"""),"Научна конференция с международно участие, БСУ, Бургас септември 2017")</f>
        <v>Научна конференция с международно участие, БСУ, Бургас септември 2017</v>
      </c>
      <c r="F2014" s="10"/>
      <c r="G2014" s="10" t="str">
        <f ca="1">IFERROR(__xludf.DUMMYFUNCTION("""COMPUTED_VALUE"""),"Митевска-Енчева, М.")</f>
        <v>Митевска-Енчева, М.</v>
      </c>
      <c r="H2014" s="10"/>
      <c r="I2014" s="10"/>
      <c r="J2014" s="10"/>
      <c r="K2014" s="10"/>
      <c r="L2014" s="10"/>
      <c r="M2014" s="10"/>
      <c r="N2014" s="10"/>
      <c r="O2014" s="10"/>
      <c r="P2014" s="10"/>
      <c r="Q2014" s="10"/>
      <c r="R2014" s="10"/>
      <c r="S2014" s="10"/>
      <c r="T2014" s="10"/>
      <c r="U2014" s="10"/>
      <c r="V2014" s="10"/>
      <c r="W2014" s="10"/>
      <c r="X2014" s="10"/>
      <c r="Y2014" s="10"/>
      <c r="Z2014" s="10"/>
    </row>
    <row r="2015" spans="1:26" ht="12.75">
      <c r="A2015" s="10" t="str">
        <f ca="1">IFERROR(__xludf.DUMMYFUNCTION("""COMPUTED_VALUE"""),"Гошо Кирилов Петков")</f>
        <v>Гошо Кирилов Петков</v>
      </c>
      <c r="B2015" s="10" t="str">
        <f ca="1">IFERROR(__xludf.DUMMYFUNCTION("""COMPUTED_VALUE"""),"Книга")</f>
        <v>Книга</v>
      </c>
      <c r="C2015" s="10" t="str">
        <f ca="1">IFERROR(__xludf.DUMMYFUNCTION("""COMPUTED_VALUE"""),"Академична мотивация – съвременни измерения")</f>
        <v>Академична мотивация – съвременни измерения</v>
      </c>
      <c r="D2015" s="10">
        <f ca="1">IFERROR(__xludf.DUMMYFUNCTION("""COMPUTED_VALUE"""),2017)</f>
        <v>2017</v>
      </c>
      <c r="E2015" s="10" t="str">
        <f ca="1">IFERROR(__xludf.DUMMYFUNCTION("""COMPUTED_VALUE"""),"София, За буквите 2017, 203 с. ISBN 978-619-185-279-6")</f>
        <v>София, За буквите 2017, 203 с. ISBN 978-619-185-279-6</v>
      </c>
      <c r="F2015" s="10"/>
      <c r="G2015" s="10" t="str">
        <f ca="1">IFERROR(__xludf.DUMMYFUNCTION("""COMPUTED_VALUE"""),"М. Митевска-Енчева")</f>
        <v>М. Митевска-Енчева</v>
      </c>
      <c r="H2015" s="10"/>
      <c r="I2015" s="10"/>
      <c r="J2015" s="10"/>
      <c r="K2015" s="10"/>
      <c r="L2015" s="10"/>
      <c r="M2015" s="10"/>
      <c r="N2015" s="10"/>
      <c r="O2015" s="10"/>
      <c r="P2015" s="10"/>
      <c r="Q2015" s="10"/>
      <c r="R2015" s="10"/>
      <c r="S2015" s="10"/>
      <c r="T2015" s="10"/>
      <c r="U2015" s="10"/>
      <c r="V2015" s="10"/>
      <c r="W2015" s="10"/>
      <c r="X2015" s="10"/>
      <c r="Y2015" s="10"/>
      <c r="Z2015" s="10"/>
    </row>
    <row r="2016" spans="1:26" ht="12.75">
      <c r="A2016" s="10" t="str">
        <f ca="1">IFERROR(__xludf.DUMMYFUNCTION("""COMPUTED_VALUE"""),"Гошо Кирилов Петков")</f>
        <v>Гошо Кирилов Петков</v>
      </c>
      <c r="B2016" s="10" t="str">
        <f ca="1">IFERROR(__xludf.DUMMYFUNCTION("""COMPUTED_VALUE"""),"Доклад от конференция")</f>
        <v>Доклад от конференция</v>
      </c>
      <c r="C2016" s="10" t="str">
        <f ca="1">IFERROR(__xludf.DUMMYFUNCTION("""COMPUTED_VALUE"""),"Личностни проекции върху удовлетвореността от живота")</f>
        <v>Личностни проекции върху удовлетвореността от живота</v>
      </c>
      <c r="D2016" s="10">
        <f ca="1">IFERROR(__xludf.DUMMYFUNCTION("""COMPUTED_VALUE"""),2017)</f>
        <v>2017</v>
      </c>
      <c r="E2016" s="10" t="str">
        <f ca="1">IFERROR(__xludf.DUMMYFUNCTION("""COMPUTED_VALUE"""),"Годишна международна университетска научна конференция, Национален военен университет „В. Левски“, Шумен, 4 – 6 октомври 2017")</f>
        <v>Годишна международна университетска научна конференция, Национален военен университет „В. Левски“, Шумен, 4 – 6 октомври 2017</v>
      </c>
      <c r="F2016" s="10"/>
      <c r="G2016" s="10" t="str">
        <f ca="1">IFERROR(__xludf.DUMMYFUNCTION("""COMPUTED_VALUE"""),"Митевска-Енчева, М.")</f>
        <v>Митевска-Енчева, М.</v>
      </c>
      <c r="H2016" s="10"/>
      <c r="I2016" s="10"/>
      <c r="J2016" s="10"/>
      <c r="K2016" s="10"/>
      <c r="L2016" s="10"/>
      <c r="M2016" s="10"/>
      <c r="N2016" s="10"/>
      <c r="O2016" s="10"/>
      <c r="P2016" s="10"/>
      <c r="Q2016" s="10"/>
      <c r="R2016" s="10"/>
      <c r="S2016" s="10"/>
      <c r="T2016" s="10"/>
      <c r="U2016" s="10"/>
      <c r="V2016" s="10"/>
      <c r="W2016" s="10"/>
      <c r="X2016" s="10"/>
      <c r="Y2016" s="10"/>
      <c r="Z2016" s="10"/>
    </row>
    <row r="2017" spans="1:26" ht="12.75">
      <c r="A2017" s="10" t="str">
        <f ca="1">IFERROR(__xludf.DUMMYFUNCTION("""COMPUTED_VALUE"""),"Гошо Кирилов Петков")</f>
        <v>Гошо Кирилов Петков</v>
      </c>
      <c r="B2017" s="10" t="str">
        <f ca="1">IFERROR(__xludf.DUMMYFUNCTION("""COMPUTED_VALUE"""),"Статия в списания и поредици")</f>
        <v>Статия в списания и поредици</v>
      </c>
      <c r="C2017" s="10" t="str">
        <f ca="1">IFERROR(__xludf.DUMMYFUNCTION("""COMPUTED_VALUE"""),"Модериращата роля на пола при адаптиране на студентите към университетска среда")</f>
        <v>Модериращата роля на пола при адаптиране на студентите към университетска среда</v>
      </c>
      <c r="D2017" s="10">
        <f ca="1">IFERROR(__xludf.DUMMYFUNCTION("""COMPUTED_VALUE"""),2016)</f>
        <v>2016</v>
      </c>
      <c r="E2017" s="10" t="str">
        <f ca="1">IFERROR(__xludf.DUMMYFUNCTION("""COMPUTED_VALUE"""),"Годишна университетска научна конференция, Национален военен университет „В. Левски“, Велико Търново 20 – 21 октомври 2016, т. 7, с. 253-262, ISSN 1314-1937. Издателски комплекс на НВУ «В. Левски»")</f>
        <v>Годишна университетска научна конференция, Национален военен университет „В. Левски“, Велико Търново 20 – 21 октомври 2016, т. 7, с. 253-262, ISSN 1314-1937. Издателски комплекс на НВУ «В. Левски»</v>
      </c>
      <c r="F2017" s="10"/>
      <c r="G2017" s="10" t="str">
        <f ca="1">IFERROR(__xludf.DUMMYFUNCTION("""COMPUTED_VALUE"""),"Майяна Митевска-Енчева")</f>
        <v>Майяна Митевска-Енчева</v>
      </c>
      <c r="H2017" s="10"/>
      <c r="I2017" s="10"/>
      <c r="J2017" s="10"/>
      <c r="K2017" s="10"/>
      <c r="L2017" s="10"/>
      <c r="M2017" s="10"/>
      <c r="N2017" s="10"/>
      <c r="O2017" s="10"/>
      <c r="P2017" s="10"/>
      <c r="Q2017" s="10"/>
      <c r="R2017" s="10"/>
      <c r="S2017" s="10"/>
      <c r="T2017" s="10"/>
      <c r="U2017" s="10"/>
      <c r="V2017" s="10"/>
      <c r="W2017" s="10"/>
      <c r="X2017" s="10"/>
      <c r="Y2017" s="10"/>
      <c r="Z2017" s="10"/>
    </row>
    <row r="2018" spans="1:26" ht="12.75">
      <c r="A2018" s="10" t="str">
        <f ca="1">IFERROR(__xludf.DUMMYFUNCTION("""COMPUTED_VALUE"""),"Гошо Кирилов Петков")</f>
        <v>Гошо Кирилов Петков</v>
      </c>
      <c r="B2018" s="10" t="str">
        <f ca="1">IFERROR(__xludf.DUMMYFUNCTION("""COMPUTED_VALUE"""),"Доклад от конференция")</f>
        <v>Доклад от конференция</v>
      </c>
      <c r="C2018" s="10" t="str">
        <f ca="1">IFERROR(__xludf.DUMMYFUNCTION("""COMPUTED_VALUE"""),"Емоционалният статус като фактор за академичната мотивация")</f>
        <v>Емоционалният статус като фактор за академичната мотивация</v>
      </c>
      <c r="D2018" s="10">
        <f ca="1">IFERROR(__xludf.DUMMYFUNCTION("""COMPUTED_VALUE"""),2016)</f>
        <v>2016</v>
      </c>
      <c r="E2018" s="10" t="str">
        <f ca="1">IFERROR(__xludf.DUMMYFUNCTION("""COMPUTED_VALUE"""),"Национална научна конференция с международно участие, VI: България – кръстопът на култури и цивилизации, С., 1 ноември 2016. ISSN 1314-7099")</f>
        <v>Национална научна конференция с международно участие, VI: България – кръстопът на култури и цивилизации, С., 1 ноември 2016. ISSN 1314-7099</v>
      </c>
      <c r="F2018" s="10"/>
      <c r="G2018" s="10" t="str">
        <f ca="1">IFERROR(__xludf.DUMMYFUNCTION("""COMPUTED_VALUE"""),"Майяна Митевска-Енчева, Цветелина Варадинова, Ралица Йотова")</f>
        <v>Майяна Митевска-Енчева, Цветелина Варадинова, Ралица Йотова</v>
      </c>
      <c r="H2018" s="10"/>
      <c r="I2018" s="10"/>
      <c r="J2018" s="10"/>
      <c r="K2018" s="10"/>
      <c r="L2018" s="10"/>
      <c r="M2018" s="10"/>
      <c r="N2018" s="10"/>
      <c r="O2018" s="10"/>
      <c r="P2018" s="10"/>
      <c r="Q2018" s="10"/>
      <c r="R2018" s="10"/>
      <c r="S2018" s="10"/>
      <c r="T2018" s="10"/>
      <c r="U2018" s="10"/>
      <c r="V2018" s="10"/>
      <c r="W2018" s="10"/>
      <c r="X2018" s="10"/>
      <c r="Y2018" s="10"/>
      <c r="Z2018" s="10"/>
    </row>
    <row r="2019" spans="1:26" ht="12.75">
      <c r="A2019" s="10" t="str">
        <f ca="1">IFERROR(__xludf.DUMMYFUNCTION("""COMPUTED_VALUE"""),"Гошо Кирилов Петков")</f>
        <v>Гошо Кирилов Петков</v>
      </c>
      <c r="B2019" s="10" t="str">
        <f ca="1">IFERROR(__xludf.DUMMYFUNCTION("""COMPUTED_VALUE"""),"Доклад от конференция")</f>
        <v>Доклад от конференция</v>
      </c>
      <c r="C2019" s="10" t="str">
        <f ca="1">IFERROR(__xludf.DUMMYFUNCTION("""COMPUTED_VALUE"""),"Личността като предиктор на академичната мотивация")</f>
        <v>Личността като предиктор на академичната мотивация</v>
      </c>
      <c r="D2019" s="10">
        <f ca="1">IFERROR(__xludf.DUMMYFUNCTION("""COMPUTED_VALUE"""),2016)</f>
        <v>2016</v>
      </c>
      <c r="E2019" s="10" t="str">
        <f ca="1">IFERROR(__xludf.DUMMYFUNCTION("""COMPUTED_VALUE"""),"Общество на знанието и хуманизмът на XXI век. XIV Национална научна конференция с международно участие, София, 1 ноември 2016. ISSN 1314-7099")</f>
        <v>Общество на знанието и хуманизмът на XXI век. XIV Национална научна конференция с международно участие, София, 1 ноември 2016. ISSN 1314-7099</v>
      </c>
      <c r="F2019" s="10"/>
      <c r="G2019" s="10" t="str">
        <f ca="1">IFERROR(__xludf.DUMMYFUNCTION("""COMPUTED_VALUE"""),"Митевска-Енчева, М. Варадинова, Ц. Йотова, Р.")</f>
        <v>Митевска-Енчева, М. Варадинова, Ц. Йотова, Р.</v>
      </c>
      <c r="H2019" s="10"/>
      <c r="I2019" s="10"/>
      <c r="J2019" s="10"/>
      <c r="K2019" s="10"/>
      <c r="L2019" s="10"/>
      <c r="M2019" s="10"/>
      <c r="N2019" s="10"/>
      <c r="O2019" s="10"/>
      <c r="P2019" s="10"/>
      <c r="Q2019" s="10"/>
      <c r="R2019" s="10"/>
      <c r="S2019" s="10"/>
      <c r="T2019" s="10"/>
      <c r="U2019" s="10"/>
      <c r="V2019" s="10"/>
      <c r="W2019" s="10"/>
      <c r="X2019" s="10"/>
      <c r="Y2019" s="10"/>
      <c r="Z2019" s="10"/>
    </row>
    <row r="2020" spans="1:26" ht="12.75">
      <c r="A2020" s="10" t="str">
        <f ca="1">IFERROR(__xludf.DUMMYFUNCTION("""COMPUTED_VALUE"""),"Гошо Кирилов Петков")</f>
        <v>Гошо Кирилов Петков</v>
      </c>
      <c r="B2020" s="10" t="str">
        <f ca="1">IFERROR(__xludf.DUMMYFUNCTION("""COMPUTED_VALUE"""),"Статия в списания и поредици")</f>
        <v>Статия в списания и поредици</v>
      </c>
      <c r="C2020" s="10" t="str">
        <f ca="1">IFERROR(__xludf.DUMMYFUNCTION("""COMPUTED_VALUE"""),"Личностни корелати на лидерското поведение")</f>
        <v>Личностни корелати на лидерското поведение</v>
      </c>
      <c r="D2020" s="10">
        <f ca="1">IFERROR(__xludf.DUMMYFUNCTION("""COMPUTED_VALUE"""),2016)</f>
        <v>2016</v>
      </c>
      <c r="E2020" s="10" t="str">
        <f ca="1">IFERROR(__xludf.DUMMYFUNCTION("""COMPUTED_VALUE"""),"Бургаски свободен университет. Център по юридически науки, Юридически сборник, Т. 23 (2016), с. 275 - 281. ISSN 1311-3771; ISBN 978-619-7126-28-0")</f>
        <v>Бургаски свободен университет. Център по юридически науки, Юридически сборник, Т. 23 (2016), с. 275 - 281. ISSN 1311-3771; ISBN 978-619-7126-28-0</v>
      </c>
      <c r="F2020" s="10"/>
      <c r="G2020" s="10" t="str">
        <f ca="1">IFERROR(__xludf.DUMMYFUNCTION("""COMPUTED_VALUE"""),"Майяна Митевска-Енчева")</f>
        <v>Майяна Митевска-Енчева</v>
      </c>
      <c r="H2020" s="10"/>
      <c r="I2020" s="10"/>
      <c r="J2020" s="10"/>
      <c r="K2020" s="10"/>
      <c r="L2020" s="10"/>
      <c r="M2020" s="10"/>
      <c r="N2020" s="10"/>
      <c r="O2020" s="10"/>
      <c r="P2020" s="10"/>
      <c r="Q2020" s="10"/>
      <c r="R2020" s="10"/>
      <c r="S2020" s="10"/>
      <c r="T2020" s="10"/>
      <c r="U2020" s="10"/>
      <c r="V2020" s="10"/>
      <c r="W2020" s="10"/>
      <c r="X2020" s="10"/>
      <c r="Y2020" s="10"/>
      <c r="Z2020" s="10"/>
    </row>
    <row r="2021" spans="1:26" ht="12.75">
      <c r="A2021" s="10" t="str">
        <f ca="1">IFERROR(__xludf.DUMMYFUNCTION("""COMPUTED_VALUE"""),"Гошо Кирилов Петков")</f>
        <v>Гошо Кирилов Петков</v>
      </c>
      <c r="B2021" s="10" t="str">
        <f ca="1">IFERROR(__xludf.DUMMYFUNCTION("""COMPUTED_VALUE"""),"Доклад от конференция")</f>
        <v>Доклад от конференция</v>
      </c>
      <c r="C2021" s="10" t="str">
        <f ca="1">IFERROR(__xludf.DUMMYFUNCTION("""COMPUTED_VALUE"""),"Удовлетвореността от труда и чертите на личността – сложен възел от противоречия и съгласувани взаимовръзки")</f>
        <v>Удовлетвореността от труда и чертите на личността – сложен възел от противоречия и съгласувани взаимовръзки</v>
      </c>
      <c r="D2021" s="10">
        <f ca="1">IFERROR(__xludf.DUMMYFUNCTION("""COMPUTED_VALUE"""),2016)</f>
        <v>2016</v>
      </c>
      <c r="E2021" s="10" t="str">
        <f ca="1">IFERROR(__xludf.DUMMYFUNCTION("""COMPUTED_VALUE"""),"Тринадесета национална научна конференция с международно участие, София, 31 октомври – 1 ноември 2015, с. 465 - 472. ISSN 1314-7099")</f>
        <v>Тринадесета национална научна конференция с международно участие, София, 31 октомври – 1 ноември 2015, с. 465 - 472. ISSN 1314-7099</v>
      </c>
      <c r="F2021" s="10"/>
      <c r="G2021" s="10" t="str">
        <f ca="1">IFERROR(__xludf.DUMMYFUNCTION("""COMPUTED_VALUE"""),"Майяна Милчева-Енчева")</f>
        <v>Майяна Милчева-Енчева</v>
      </c>
      <c r="H2021" s="10"/>
      <c r="I2021" s="10"/>
      <c r="J2021" s="10"/>
      <c r="K2021" s="10"/>
      <c r="L2021" s="10"/>
      <c r="M2021" s="10"/>
      <c r="N2021" s="10"/>
      <c r="O2021" s="10"/>
      <c r="P2021" s="10"/>
      <c r="Q2021" s="10"/>
      <c r="R2021" s="10"/>
      <c r="S2021" s="10"/>
      <c r="T2021" s="10"/>
      <c r="U2021" s="10"/>
      <c r="V2021" s="10"/>
      <c r="W2021" s="10"/>
      <c r="X2021" s="10"/>
      <c r="Y2021" s="10"/>
      <c r="Z2021" s="10"/>
    </row>
    <row r="2022" spans="1:26" ht="12.75">
      <c r="A2022" s="10" t="str">
        <f ca="1">IFERROR(__xludf.DUMMYFUNCTION("""COMPUTED_VALUE"""),"Гошо Кирилов Петков")</f>
        <v>Гошо Кирилов Петков</v>
      </c>
      <c r="B2022" s="10" t="str">
        <f ca="1">IFERROR(__xludf.DUMMYFUNCTION("""COMPUTED_VALUE"""),"Доклад от конференция")</f>
        <v>Доклад от конференция</v>
      </c>
      <c r="C2022" s="10" t="str">
        <f ca="1">IFERROR(__xludf.DUMMYFUNCTION("""COMPUTED_VALUE"""),"Проекции на културата върху културните практики в академична среда")</f>
        <v>Проекции на културата върху културните практики в академична среда</v>
      </c>
      <c r="D2022" s="10">
        <f ca="1">IFERROR(__xludf.DUMMYFUNCTION("""COMPUTED_VALUE"""),2016)</f>
        <v>2016</v>
      </c>
      <c r="E2022" s="10" t="str">
        <f ca="1">IFERROR(__xludf.DUMMYFUNCTION("""COMPUTED_VALUE"""),"Първа международна научна конференция трансгранично сътрудни¬чество и политики на развитие в България и на Балканите, Велико Търново 17-18.11.2016,")</f>
        <v>Първа международна научна конференция трансгранично сътрудни¬чество и политики на развитие в България и на Балканите, Велико Търново 17-18.11.2016,</v>
      </c>
      <c r="F2022" s="10"/>
      <c r="G2022" s="10" t="str">
        <f ca="1">IFERROR(__xludf.DUMMYFUNCTION("""COMPUTED_VALUE"""),"Майяна Митевска-Енчева")</f>
        <v>Майяна Митевска-Енчева</v>
      </c>
      <c r="H2022" s="10"/>
      <c r="I2022" s="10"/>
      <c r="J2022" s="10"/>
      <c r="K2022" s="10"/>
      <c r="L2022" s="10"/>
      <c r="M2022" s="10"/>
      <c r="N2022" s="10"/>
      <c r="O2022" s="10"/>
      <c r="P2022" s="10"/>
      <c r="Q2022" s="10"/>
      <c r="R2022" s="10"/>
      <c r="S2022" s="10"/>
      <c r="T2022" s="10"/>
      <c r="U2022" s="10"/>
      <c r="V2022" s="10"/>
      <c r="W2022" s="10"/>
      <c r="X2022" s="10"/>
      <c r="Y2022" s="10"/>
      <c r="Z2022" s="10"/>
    </row>
    <row r="2023" spans="1:26" ht="12.75">
      <c r="A2023" s="10" t="str">
        <f ca="1">IFERROR(__xludf.DUMMYFUNCTION("""COMPUTED_VALUE"""),"Гошо Кирилов Петков")</f>
        <v>Гошо Кирилов Петков</v>
      </c>
      <c r="B2023" s="10" t="str">
        <f ca="1">IFERROR(__xludf.DUMMYFUNCTION("""COMPUTED_VALUE"""),"Статия в списания и поредици")</f>
        <v>Статия в списания и поредици</v>
      </c>
      <c r="C2023" s="10" t="str">
        <f ca="1">IFERROR(__xludf.DUMMYFUNCTION("""COMPUTED_VALUE"""),"Взаимовръзки между социокултурната среда и личностните перспективи в български университети")</f>
        <v>Взаимовръзки между социокултурната среда и личностните перспективи в български университети</v>
      </c>
      <c r="D2023" s="10">
        <f ca="1">IFERROR(__xludf.DUMMYFUNCTION("""COMPUTED_VALUE"""),2016)</f>
        <v>2016</v>
      </c>
      <c r="E2023" s="10" t="str">
        <f ca="1">IFERROR(__xludf.DUMMYFUNCTION("""COMPUTED_VALUE"""),"Новата идея в образованието. Бургаски свободен университет. Т. 2 (2016), с. 242 - 248. ISSN 1311-3771; ISBN 978-619-7126-28-0")</f>
        <v>Новата идея в образованието. Бургаски свободен университет. Т. 2 (2016), с. 242 - 248. ISSN 1311-3771; ISBN 978-619-7126-28-0</v>
      </c>
      <c r="F2023" s="10"/>
      <c r="G2023" s="10" t="str">
        <f ca="1">IFERROR(__xludf.DUMMYFUNCTION("""COMPUTED_VALUE"""),"Майяна Митевска-Енчева")</f>
        <v>Майяна Митевска-Енчева</v>
      </c>
      <c r="H2023" s="10"/>
      <c r="I2023" s="10"/>
      <c r="J2023" s="10"/>
      <c r="K2023" s="10"/>
      <c r="L2023" s="10"/>
      <c r="M2023" s="10"/>
      <c r="N2023" s="10"/>
      <c r="O2023" s="10"/>
      <c r="P2023" s="10"/>
      <c r="Q2023" s="10"/>
      <c r="R2023" s="10"/>
      <c r="S2023" s="10"/>
      <c r="T2023" s="10"/>
      <c r="U2023" s="10"/>
      <c r="V2023" s="10"/>
      <c r="W2023" s="10"/>
      <c r="X2023" s="10"/>
      <c r="Y2023" s="10"/>
      <c r="Z2023" s="10"/>
    </row>
    <row r="2024" spans="1:26" ht="12.75">
      <c r="A2024" s="10" t="str">
        <f ca="1">IFERROR(__xludf.DUMMYFUNCTION("""COMPUTED_VALUE"""),"Гошо Кирилов Петков")</f>
        <v>Гошо Кирилов Петков</v>
      </c>
      <c r="B2024" s="10" t="str">
        <f ca="1">IFERROR(__xludf.DUMMYFUNCTION("""COMPUTED_VALUE"""),"Статия в списания и поредици")</f>
        <v>Статия в списания и поредици</v>
      </c>
      <c r="C2024" s="10" t="str">
        <f ca="1">IFERROR(__xludf.DUMMYFUNCTION("""COMPUTED_VALUE"""),"Социалната среда като посредник между културните практики и адаптацията на обучаемите – медиаторен модел")</f>
        <v>Социалната среда като посредник между културните практики и адаптацията на обучаемите – медиаторен модел</v>
      </c>
      <c r="D2024" s="10">
        <f ca="1">IFERROR(__xludf.DUMMYFUNCTION("""COMPUTED_VALUE"""),2016)</f>
        <v>2016</v>
      </c>
      <c r="E2024" s="10" t="str">
        <f ca="1">IFERROR(__xludf.DUMMYFUNCTION("""COMPUTED_VALUE"""),"Общество на знанието и хуманизмът на XXI век: национална научна конференция с международно участие ISSN: 1314-7099. 2015 (2016), s. 503-512")</f>
        <v>Общество на знанието и хуманизмът на XXI век: национална научна конференция с международно участие ISSN: 1314-7099. 2015 (2016), s. 503-512</v>
      </c>
      <c r="F2024" s="10"/>
      <c r="G2024" s="10"/>
      <c r="H2024" s="10"/>
      <c r="I2024" s="10"/>
      <c r="J2024" s="10"/>
      <c r="K2024" s="10"/>
      <c r="L2024" s="10"/>
      <c r="M2024" s="10"/>
      <c r="N2024" s="10"/>
      <c r="O2024" s="10"/>
      <c r="P2024" s="10"/>
      <c r="Q2024" s="10"/>
      <c r="R2024" s="10"/>
      <c r="S2024" s="10"/>
      <c r="T2024" s="10"/>
      <c r="U2024" s="10"/>
      <c r="V2024" s="10"/>
      <c r="W2024" s="10"/>
      <c r="X2024" s="10"/>
      <c r="Y2024" s="10"/>
      <c r="Z2024" s="10"/>
    </row>
    <row r="2025" spans="1:26" ht="12.75">
      <c r="A2025" s="10" t="str">
        <f ca="1">IFERROR(__xludf.DUMMYFUNCTION("""COMPUTED_VALUE"""),"Гошо Кирилов Петков")</f>
        <v>Гошо Кирилов Петков</v>
      </c>
      <c r="B2025" s="10" t="str">
        <f ca="1">IFERROR(__xludf.DUMMYFUNCTION("""COMPUTED_VALUE"""),"Доклад от конференция")</f>
        <v>Доклад от конференция</v>
      </c>
      <c r="C2025" s="10" t="str">
        <f ca="1">IFERROR(__xludf.DUMMYFUNCTION("""COMPUTED_VALUE"""),"„Новата парадигма“ и „далечното“ харизматично лидерство")</f>
        <v>„Новата парадигма“ и „далечното“ харизматично лидерство</v>
      </c>
      <c r="D2025" s="10">
        <f ca="1">IFERROR(__xludf.DUMMYFUNCTION("""COMPUTED_VALUE"""),2016)</f>
        <v>2016</v>
      </c>
      <c r="E2025" s="10" t="str">
        <f ca="1">IFERROR(__xludf.DUMMYFUNCTION("""COMPUTED_VALUE"""),"Българо-унгарски културни общувания, Будапеща 4-10 юни 2016, Съвременни измерения на европейското образователно и научно пространство: сборник с доклади ISSN 2367-7988. – T. 4 (2016), s. 138-144")</f>
        <v>Българо-унгарски културни общувания, Будапеща 4-10 юни 2016, Съвременни измерения на европейското образователно и научно пространство: сборник с доклади ISSN 2367-7988. – T. 4 (2016), s. 138-144</v>
      </c>
      <c r="F2025" s="10"/>
      <c r="G2025" s="10" t="str">
        <f ca="1">IFERROR(__xludf.DUMMYFUNCTION("""COMPUTED_VALUE"""),"Майяна Митевска-Енчева")</f>
        <v>Майяна Митевска-Енчева</v>
      </c>
      <c r="H2025" s="10"/>
      <c r="I2025" s="10"/>
      <c r="J2025" s="10"/>
      <c r="K2025" s="10"/>
      <c r="L2025" s="10"/>
      <c r="M2025" s="10"/>
      <c r="N2025" s="10"/>
      <c r="O2025" s="10"/>
      <c r="P2025" s="10"/>
      <c r="Q2025" s="10"/>
      <c r="R2025" s="10"/>
      <c r="S2025" s="10"/>
      <c r="T2025" s="10"/>
      <c r="U2025" s="10"/>
      <c r="V2025" s="10"/>
      <c r="W2025" s="10"/>
      <c r="X2025" s="10"/>
      <c r="Y2025" s="10"/>
      <c r="Z2025" s="10"/>
    </row>
    <row r="2026" spans="1:26" ht="12.75">
      <c r="A2026" s="10" t="str">
        <f ca="1">IFERROR(__xludf.DUMMYFUNCTION("""COMPUTED_VALUE"""),"Гошо Кирилов Петков")</f>
        <v>Гошо Кирилов Петков</v>
      </c>
      <c r="B2026" s="10" t="str">
        <f ca="1">IFERROR(__xludf.DUMMYFUNCTION("""COMPUTED_VALUE"""),"Статия в списания и поредици")</f>
        <v>Статия в списания и поредици</v>
      </c>
      <c r="C2026" s="10" t="str">
        <f ca="1">IFERROR(__xludf.DUMMYFUNCTION("""COMPUTED_VALUE"""),"Moderator Personality Effects on Satisfaction Based on Gender Differences in Bulgarian universities")</f>
        <v>Moderator Personality Effects on Satisfaction Based on Gender Differences in Bulgarian universities</v>
      </c>
      <c r="D2026" s="10">
        <f ca="1">IFERROR(__xludf.DUMMYFUNCTION("""COMPUTED_VALUE"""),2016)</f>
        <v>2016</v>
      </c>
      <c r="E2026" s="10" t="str">
        <f ca="1">IFERROR(__xludf.DUMMYFUNCTION("""COMPUTED_VALUE"""),"// International Journal of Research in Social Sciences, volume 6, , Issue 11, November 2016, http://www.ijmra.us/project%20doc/Cover_Page/Cover_Page_IJRSS_November_2016.pdf")</f>
        <v>// International Journal of Research in Social Sciences, volume 6, , Issue 11, November 2016, http://www.ijmra.us/project%20doc/Cover_Page/Cover_Page_IJRSS_November_2016.pdf</v>
      </c>
      <c r="F2026" s="10" t="str">
        <f ca="1">IFERROR(__xludf.DUMMYFUNCTION("""COMPUTED_VALUE"""),"Index Copernicus")</f>
        <v>Index Copernicus</v>
      </c>
      <c r="G2026" s="10" t="str">
        <f ca="1">IFERROR(__xludf.DUMMYFUNCTION("""COMPUTED_VALUE"""),"Mayana Mitevska-Encheva")</f>
        <v>Mayana Mitevska-Encheva</v>
      </c>
      <c r="H2026" s="10"/>
      <c r="I2026" s="10"/>
      <c r="J2026" s="10"/>
      <c r="K2026" s="10"/>
      <c r="L2026" s="10"/>
      <c r="M2026" s="10"/>
      <c r="N2026" s="10"/>
      <c r="O2026" s="10"/>
      <c r="P2026" s="10"/>
      <c r="Q2026" s="10"/>
      <c r="R2026" s="10"/>
      <c r="S2026" s="10"/>
      <c r="T2026" s="10"/>
      <c r="U2026" s="10"/>
      <c r="V2026" s="10"/>
      <c r="W2026" s="10"/>
      <c r="X2026" s="10"/>
      <c r="Y2026" s="10"/>
      <c r="Z2026" s="10"/>
    </row>
    <row r="2027" spans="1:26" ht="12.75">
      <c r="A2027" s="10" t="str">
        <f ca="1">IFERROR(__xludf.DUMMYFUNCTION("""COMPUTED_VALUE"""),"Гошо Кирилов Петков")</f>
        <v>Гошо Кирилов Петков</v>
      </c>
      <c r="B2027" s="10" t="str">
        <f ca="1">IFERROR(__xludf.DUMMYFUNCTION("""COMPUTED_VALUE"""),"Статия в списания и поредици")</f>
        <v>Статия в списания и поредици</v>
      </c>
      <c r="C2027" s="10" t="str">
        <f ca="1">IFERROR(__xludf.DUMMYFUNCTION("""COMPUTED_VALUE"""),"Оптималното функциониране на обучаемите, ключов фактор за оптимизиране на учебния процес.")</f>
        <v>Оптималното функциониране на обучаемите, ключов фактор за оптимизиране на учебния процес.</v>
      </c>
      <c r="D2027" s="10">
        <f ca="1">IFERROR(__xludf.DUMMYFUNCTION("""COMPUTED_VALUE"""),2016)</f>
        <v>2016</v>
      </c>
      <c r="E2027" s="10" t="str">
        <f ca="1">IFERROR(__xludf.DUMMYFUNCTION("""COMPUTED_VALUE"""),"Военен журнал 3, 2015, София, Военна академия „Г.С.Раковски“, с. 127-134 ISSN 2534-8388")</f>
        <v>Военен журнал 3, 2015, София, Военна академия „Г.С.Раковски“, с. 127-134 ISSN 2534-8388</v>
      </c>
      <c r="F2027" s="10"/>
      <c r="G2027" s="10" t="str">
        <f ca="1">IFERROR(__xludf.DUMMYFUNCTION("""COMPUTED_VALUE"""),"Майяна Митевска-Енчева")</f>
        <v>Майяна Митевска-Енчева</v>
      </c>
      <c r="H2027" s="10"/>
      <c r="I2027" s="10"/>
      <c r="J2027" s="10"/>
      <c r="K2027" s="10"/>
      <c r="L2027" s="10"/>
      <c r="M2027" s="10"/>
      <c r="N2027" s="10"/>
      <c r="O2027" s="10"/>
      <c r="P2027" s="10"/>
      <c r="Q2027" s="10"/>
      <c r="R2027" s="10"/>
      <c r="S2027" s="10"/>
      <c r="T2027" s="10"/>
      <c r="U2027" s="10"/>
      <c r="V2027" s="10"/>
      <c r="W2027" s="10"/>
      <c r="X2027" s="10"/>
      <c r="Y2027" s="10"/>
      <c r="Z2027" s="10"/>
    </row>
    <row r="2028" spans="1:26" ht="12.75">
      <c r="A2028" s="10" t="str">
        <f ca="1">IFERROR(__xludf.DUMMYFUNCTION("""COMPUTED_VALUE"""),"Гошо Кирилов Петков")</f>
        <v>Гошо Кирилов Петков</v>
      </c>
      <c r="B2028" s="10" t="str">
        <f ca="1">IFERROR(__xludf.DUMMYFUNCTION("""COMPUTED_VALUE"""),"Статия в списания и поредици")</f>
        <v>Статия в списания и поредици</v>
      </c>
      <c r="C2028" s="10" t="str">
        <f ca="1">IFERROR(__xludf.DUMMYFUNCTION("""COMPUTED_VALUE"""),"«Новата парадигма» и «далечното» харизматично лидерство")</f>
        <v>«Новата парадигма» и «далечното» харизматично лидерство</v>
      </c>
      <c r="D2028" s="10">
        <f ca="1">IFERROR(__xludf.DUMMYFUNCTION("""COMPUTED_VALUE"""),2016)</f>
        <v>2016</v>
      </c>
      <c r="E2028" s="10" t="str">
        <f ca="1">IFERROR(__xludf.DUMMYFUNCTION("""COMPUTED_VALUE"""),"Съвременни измерения на европейското образование и научното пространство. Българо-унгарски културни общувания. Сборник с доклади. Десети юбилеен международен пътуващ семинар на УНИБИТ България – Унгария, 30 май – 5 юни 2016 г., с. 138 – 145. ISSN 2367-798"&amp;"8.")</f>
        <v>Съвременни измерения на европейското образование и научното пространство. Българо-унгарски културни общувания. Сборник с доклади. Десети юбилеен международен пътуващ семинар на УНИБИТ България – Унгария, 30 май – 5 юни 2016 г., с. 138 – 145. ISSN 2367-7988.</v>
      </c>
      <c r="F2028" s="10"/>
      <c r="G2028" s="10" t="str">
        <f ca="1">IFERROR(__xludf.DUMMYFUNCTION("""COMPUTED_VALUE"""),"Майяна Митевска-Енчева")</f>
        <v>Майяна Митевска-Енчева</v>
      </c>
      <c r="H2028" s="10"/>
      <c r="I2028" s="10"/>
      <c r="J2028" s="10"/>
      <c r="K2028" s="10"/>
      <c r="L2028" s="10"/>
      <c r="M2028" s="10"/>
      <c r="N2028" s="10"/>
      <c r="O2028" s="10"/>
      <c r="P2028" s="10"/>
      <c r="Q2028" s="10"/>
      <c r="R2028" s="10"/>
      <c r="S2028" s="10"/>
      <c r="T2028" s="10"/>
      <c r="U2028" s="10"/>
      <c r="V2028" s="10"/>
      <c r="W2028" s="10"/>
      <c r="X2028" s="10"/>
      <c r="Y2028" s="10"/>
      <c r="Z2028" s="10"/>
    </row>
    <row r="2029" spans="1:26" ht="12.75">
      <c r="A2029" s="10" t="str">
        <f ca="1">IFERROR(__xludf.DUMMYFUNCTION("""COMPUTED_VALUE"""),"Гошо Кирилов Петков")</f>
        <v>Гошо Кирилов Петков</v>
      </c>
      <c r="B2029" s="10" t="str">
        <f ca="1">IFERROR(__xludf.DUMMYFUNCTION("""COMPUTED_VALUE"""),"Статия в списания и поредици")</f>
        <v>Статия в списания и поредици</v>
      </c>
      <c r="C2029" s="10" t="str">
        <f ca="1">IFERROR(__xludf.DUMMYFUNCTION("""COMPUTED_VALUE"""),"Влияние на емоционални статус върху академичната мотивация на студентите")</f>
        <v>Влияние на емоционални статус върху академичната мотивация на студентите</v>
      </c>
      <c r="D2029" s="10">
        <f ca="1">IFERROR(__xludf.DUMMYFUNCTION("""COMPUTED_VALUE"""),2016)</f>
        <v>2016</v>
      </c>
      <c r="E2029" s="10" t="str">
        <f ca="1">IFERROR(__xludf.DUMMYFUNCTION("""COMPUTED_VALUE"""),"Национална научна конференция с международно участие, VI: България – кръстопът на култури и цивилизации, С., 1 ноември 2016, ISSN 1314-7099")</f>
        <v>Национална научна конференция с международно участие, VI: България – кръстопът на култури и цивилизации, С., 1 ноември 2016, ISSN 1314-7099</v>
      </c>
      <c r="F2029" s="10"/>
      <c r="G2029" s="10" t="str">
        <f ca="1">IFERROR(__xludf.DUMMYFUNCTION("""COMPUTED_VALUE"""),"Майяна Митевска-Енчева, Цветелина Варадинова, Ралица Йотова")</f>
        <v>Майяна Митевска-Енчева, Цветелина Варадинова, Ралица Йотова</v>
      </c>
      <c r="H2029" s="10"/>
      <c r="I2029" s="10"/>
      <c r="J2029" s="10"/>
      <c r="K2029" s="10"/>
      <c r="L2029" s="10"/>
      <c r="M2029" s="10"/>
      <c r="N2029" s="10"/>
      <c r="O2029" s="10"/>
      <c r="P2029" s="10"/>
      <c r="Q2029" s="10"/>
      <c r="R2029" s="10"/>
      <c r="S2029" s="10"/>
      <c r="T2029" s="10"/>
      <c r="U2029" s="10"/>
      <c r="V2029" s="10"/>
      <c r="W2029" s="10"/>
      <c r="X2029" s="10"/>
      <c r="Y2029" s="10"/>
      <c r="Z2029" s="10"/>
    </row>
    <row r="2030" spans="1:26" ht="12.75">
      <c r="A2030" s="10" t="str">
        <f ca="1">IFERROR(__xludf.DUMMYFUNCTION("""COMPUTED_VALUE"""),"Гошо Кирилов Петков")</f>
        <v>Гошо Кирилов Петков</v>
      </c>
      <c r="B2030" s="10" t="str">
        <f ca="1">IFERROR(__xludf.DUMMYFUNCTION("""COMPUTED_VALUE"""),"Статия в списания и поредици")</f>
        <v>Статия в списания и поредици</v>
      </c>
      <c r="C2030" s="10" t="str">
        <f ca="1">IFERROR(__xludf.DUMMYFUNCTION("""COMPUTED_VALUE"""),"Особености на перцепциите на университетска среда")</f>
        <v>Особености на перцепциите на университетска среда</v>
      </c>
      <c r="D2030" s="10">
        <f ca="1">IFERROR(__xludf.DUMMYFUNCTION("""COMPUTED_VALUE"""),2015)</f>
        <v>2015</v>
      </c>
      <c r="E2030" s="10" t="str">
        <f ca="1">IFERROR(__xludf.DUMMYFUNCTION("""COMPUTED_VALUE"""),"Лидерство и организационно развитие. Сборник доклади от Международна научна конференция, Китен, 19 – 21 юни 2015. ISBN 978-954-07-3946-5")</f>
        <v>Лидерство и организационно развитие. Сборник доклади от Международна научна конференция, Китен, 19 – 21 юни 2015. ISBN 978-954-07-3946-5</v>
      </c>
      <c r="F2030" s="10"/>
      <c r="G2030" s="10" t="str">
        <f ca="1">IFERROR(__xludf.DUMMYFUNCTION("""COMPUTED_VALUE"""),"Афердита Ахмети (Ремат)")</f>
        <v>Афердита Ахмети (Ремат)</v>
      </c>
      <c r="H2030" s="10"/>
      <c r="I2030" s="10"/>
      <c r="J2030" s="10"/>
      <c r="K2030" s="10"/>
      <c r="L2030" s="10"/>
      <c r="M2030" s="10"/>
      <c r="N2030" s="10"/>
      <c r="O2030" s="10"/>
      <c r="P2030" s="10"/>
      <c r="Q2030" s="10"/>
      <c r="R2030" s="10"/>
      <c r="S2030" s="10"/>
      <c r="T2030" s="10"/>
      <c r="U2030" s="10"/>
      <c r="V2030" s="10"/>
      <c r="W2030" s="10"/>
      <c r="X2030" s="10"/>
      <c r="Y2030" s="10"/>
      <c r="Z2030" s="10"/>
    </row>
    <row r="2031" spans="1:26" ht="12.75">
      <c r="A2031" s="10" t="str">
        <f ca="1">IFERROR(__xludf.DUMMYFUNCTION("""COMPUTED_VALUE"""),"Гошо Кирилов Петков")</f>
        <v>Гошо Кирилов Петков</v>
      </c>
      <c r="B2031" s="10" t="str">
        <f ca="1">IFERROR(__xludf.DUMMYFUNCTION("""COMPUTED_VALUE"""),"Статия в списания и поредици")</f>
        <v>Статия в списания и поредици</v>
      </c>
      <c r="C2031" s="10" t="str">
        <f ca="1">IFERROR(__xludf.DUMMYFUNCTION("""COMPUTED_VALUE"""),"Адаптация към университетската среда, ключов фактор за оптимизиране на учебния процес.")</f>
        <v>Адаптация към университетската среда, ключов фактор за оптимизиране на учебния процес.</v>
      </c>
      <c r="D2031" s="10">
        <f ca="1">IFERROR(__xludf.DUMMYFUNCTION("""COMPUTED_VALUE"""),2015)</f>
        <v>2015</v>
      </c>
      <c r="E2031" s="10" t="str">
        <f ca="1">IFERROR(__xludf.DUMMYFUNCTION("""COMPUTED_VALUE"""),"Доклади и съобщения от Десети научен семинар на УНИБИТ, проведен в Инстанбул на 4 – 8 април 2015 г. София. Нови информационни технологии в образователния процес. Издателство «За буквите – О писменехь» 2015 г., с. 299 – 309. ISSN 1313-2768.")</f>
        <v>Доклади и съобщения от Десети научен семинар на УНИБИТ, проведен в Инстанбул на 4 – 8 април 2015 г. София. Нови информационни технологии в образователния процес. Издателство «За буквите – О писменехь» 2015 г., с. 299 – 309. ISSN 1313-2768.</v>
      </c>
      <c r="F2031" s="10"/>
      <c r="G2031" s="10" t="str">
        <f ca="1">IFERROR(__xludf.DUMMYFUNCTION("""COMPUTED_VALUE"""),"Майяна Митевска-Енчева")</f>
        <v>Майяна Митевска-Енчева</v>
      </c>
      <c r="H2031" s="10"/>
      <c r="I2031" s="10"/>
      <c r="J2031" s="10"/>
      <c r="K2031" s="10"/>
      <c r="L2031" s="10"/>
      <c r="M2031" s="10"/>
      <c r="N2031" s="10"/>
      <c r="O2031" s="10"/>
      <c r="P2031" s="10"/>
      <c r="Q2031" s="10"/>
      <c r="R2031" s="10"/>
      <c r="S2031" s="10"/>
      <c r="T2031" s="10"/>
      <c r="U2031" s="10"/>
      <c r="V2031" s="10"/>
      <c r="W2031" s="10"/>
      <c r="X2031" s="10"/>
      <c r="Y2031" s="10"/>
      <c r="Z2031" s="10"/>
    </row>
    <row r="2032" spans="1:26" ht="12.75">
      <c r="A2032" s="10" t="str">
        <f ca="1">IFERROR(__xludf.DUMMYFUNCTION("""COMPUTED_VALUE"""),"Гошо Кирилов Петков")</f>
        <v>Гошо Кирилов Петков</v>
      </c>
      <c r="B2032" s="10" t="str">
        <f ca="1">IFERROR(__xludf.DUMMYFUNCTION("""COMPUTED_VALUE"""),"Статия в списания и поредици")</f>
        <v>Статия в списания и поредици</v>
      </c>
      <c r="C2032" s="10" t="str">
        <f ca="1">IFERROR(__xludf.DUMMYFUNCTION("""COMPUTED_VALUE"""),"Теоретични постановки на иновационната култура и практическото им приложение в италианските библиотеки")</f>
        <v>Теоретични постановки на иновационната култура и практическото им приложение в италианските библиотеки</v>
      </c>
      <c r="D2032" s="10">
        <f ca="1">IFERROR(__xludf.DUMMYFUNCTION("""COMPUTED_VALUE"""),2015)</f>
        <v>2015</v>
      </c>
      <c r="E2032" s="10" t="str">
        <f ca="1">IFERROR(__xludf.DUMMYFUNCTION("""COMPUTED_VALUE"""),"Съвременни измерения на европейското образователно и научно пространство, ISSN 2367-7988, T. 1 (2015), s. 138-145")</f>
        <v>Съвременни измерения на европейското образователно и научно пространство, ISSN 2367-7988, T. 1 (2015), s. 138-145</v>
      </c>
      <c r="F2032" s="10"/>
      <c r="G2032" s="10" t="str">
        <f ca="1">IFERROR(__xludf.DUMMYFUNCTION("""COMPUTED_VALUE"""),"Ирена Петева")</f>
        <v>Ирена Петева</v>
      </c>
      <c r="H2032" s="10"/>
      <c r="I2032" s="10"/>
      <c r="J2032" s="10"/>
      <c r="K2032" s="10"/>
      <c r="L2032" s="10"/>
      <c r="M2032" s="10"/>
      <c r="N2032" s="10"/>
      <c r="O2032" s="10"/>
      <c r="P2032" s="10"/>
      <c r="Q2032" s="10"/>
      <c r="R2032" s="10"/>
      <c r="S2032" s="10"/>
      <c r="T2032" s="10"/>
      <c r="U2032" s="10"/>
      <c r="V2032" s="10"/>
      <c r="W2032" s="10"/>
      <c r="X2032" s="10"/>
      <c r="Y2032" s="10"/>
      <c r="Z2032" s="10"/>
    </row>
    <row r="2033" spans="1:26" ht="12.75">
      <c r="A2033" s="10" t="str">
        <f ca="1">IFERROR(__xludf.DUMMYFUNCTION("""COMPUTED_VALUE"""),"Гошо Кирилов Петков")</f>
        <v>Гошо Кирилов Петков</v>
      </c>
      <c r="B2033" s="10" t="str">
        <f ca="1">IFERROR(__xludf.DUMMYFUNCTION("""COMPUTED_VALUE"""),"Статия в списания и поредици")</f>
        <v>Статия в списания и поредици</v>
      </c>
      <c r="C2033" s="10" t="str">
        <f ca="1">IFERROR(__xludf.DUMMYFUNCTION("""COMPUTED_VALUE"""),"Адаптацията към университетската среда, ключов фактор за оптимизиране на учебния процес")</f>
        <v>Адаптацията към университетската среда, ключов фактор за оптимизиране на учебния процес</v>
      </c>
      <c r="D2033" s="10">
        <f ca="1">IFERROR(__xludf.DUMMYFUNCTION("""COMPUTED_VALUE"""),2015)</f>
        <v>2015</v>
      </c>
      <c r="E2033" s="10" t="str">
        <f ca="1">IFERROR(__xludf.DUMMYFUNCTION("""COMPUTED_VALUE"""),".) В: Нови информационни технологии в образователния процес, София, Изд. За буквите – О писменехь“, 2015, ISSN 1313-2768, УДК 378.4.015.1(497.2); COBISS.BG-ID: 1276668388")</f>
        <v>.) В: Нови информационни технологии в образователния процес, София, Изд. За буквите – О писменехь“, 2015, ISSN 1313-2768, УДК 378.4.015.1(497.2); COBISS.BG-ID: 1276668388</v>
      </c>
      <c r="F2033" s="10"/>
      <c r="G2033" s="10" t="str">
        <f ca="1">IFERROR(__xludf.DUMMYFUNCTION("""COMPUTED_VALUE"""),"Майяна Милчева-Енчева")</f>
        <v>Майяна Милчева-Енчева</v>
      </c>
      <c r="H2033" s="10"/>
      <c r="I2033" s="10"/>
      <c r="J2033" s="10"/>
      <c r="K2033" s="10"/>
      <c r="L2033" s="10"/>
      <c r="M2033" s="10"/>
      <c r="N2033" s="10"/>
      <c r="O2033" s="10"/>
      <c r="P2033" s="10"/>
      <c r="Q2033" s="10"/>
      <c r="R2033" s="10"/>
      <c r="S2033" s="10"/>
      <c r="T2033" s="10"/>
      <c r="U2033" s="10"/>
      <c r="V2033" s="10"/>
      <c r="W2033" s="10"/>
      <c r="X2033" s="10"/>
      <c r="Y2033" s="10"/>
      <c r="Z2033" s="10"/>
    </row>
    <row r="2034" spans="1:26" ht="12.75">
      <c r="A2034" s="10" t="str">
        <f ca="1">IFERROR(__xludf.DUMMYFUNCTION("""COMPUTED_VALUE"""),"Гошо Кирилов Петков")</f>
        <v>Гошо Кирилов Петков</v>
      </c>
      <c r="B2034" s="10" t="str">
        <f ca="1">IFERROR(__xludf.DUMMYFUNCTION("""COMPUTED_VALUE"""),"Статия в списания и поредици")</f>
        <v>Статия в списания и поредици</v>
      </c>
      <c r="C2034" s="10" t="str">
        <f ca="1">IFERROR(__xludf.DUMMYFUNCTION("""COMPUTED_VALUE"""),"Климатът и конфликтите – психологически анализ")</f>
        <v>Климатът и конфликтите – психологически анализ</v>
      </c>
      <c r="D2034" s="10">
        <f ca="1">IFERROR(__xludf.DUMMYFUNCTION("""COMPUTED_VALUE"""),2015)</f>
        <v>2015</v>
      </c>
      <c r="E2034" s="10" t="str">
        <f ca="1">IFERROR(__xludf.DUMMYFUNCTION("""COMPUTED_VALUE"""),"Военен журнал: двумесечно издание на министерство на отбраната ISSN 0861-7392. God. 122, br. 1 (2015), s. 141-145")</f>
        <v>Военен журнал: двумесечно издание на министерство на отбраната ISSN 0861-7392. God. 122, br. 1 (2015), s. 141-145</v>
      </c>
      <c r="F2034" s="10"/>
      <c r="G2034" s="10"/>
      <c r="H2034" s="10"/>
      <c r="I2034" s="10"/>
      <c r="J2034" s="10"/>
      <c r="K2034" s="10"/>
      <c r="L2034" s="10"/>
      <c r="M2034" s="10"/>
      <c r="N2034" s="10"/>
      <c r="O2034" s="10"/>
      <c r="P2034" s="10"/>
      <c r="Q2034" s="10"/>
      <c r="R2034" s="10"/>
      <c r="S2034" s="10"/>
      <c r="T2034" s="10"/>
      <c r="U2034" s="10"/>
      <c r="V2034" s="10"/>
      <c r="W2034" s="10"/>
      <c r="X2034" s="10"/>
      <c r="Y2034" s="10"/>
      <c r="Z2034" s="10"/>
    </row>
    <row r="2035" spans="1:26" ht="12.75">
      <c r="A2035" s="10" t="str">
        <f ca="1">IFERROR(__xludf.DUMMYFUNCTION("""COMPUTED_VALUE"""),"Гошо Кирилов Петков")</f>
        <v>Гошо Кирилов Петков</v>
      </c>
      <c r="B2035" s="10" t="str">
        <f ca="1">IFERROR(__xludf.DUMMYFUNCTION("""COMPUTED_VALUE"""),"Статия в списания и поредици")</f>
        <v>Статия в списания и поредици</v>
      </c>
      <c r="C2035" s="10" t="str">
        <f ca="1">IFERROR(__xludf.DUMMYFUNCTION("""COMPUTED_VALUE"""),"Проверка и оценка на знанията – психологически аспекти")</f>
        <v>Проверка и оценка на знанията – психологически аспекти</v>
      </c>
      <c r="D2035" s="10">
        <f ca="1">IFERROR(__xludf.DUMMYFUNCTION("""COMPUTED_VALUE"""),2015)</f>
        <v>2015</v>
      </c>
      <c r="E2035" s="10" t="str">
        <f ca="1">IFERROR(__xludf.DUMMYFUNCTION("""COMPUTED_VALUE"""),"Съвременни измерения на европейското образователно и научно пространство: сборник, ISSN 2367-7988 – Т. 3 (2015), s. 374-378.")</f>
        <v>Съвременни измерения на европейското образователно и научно пространство: сборник, ISSN 2367-7988 – Т. 3 (2015), s. 374-378.</v>
      </c>
      <c r="F2035" s="10"/>
      <c r="G2035" s="10" t="str">
        <f ca="1">IFERROR(__xludf.DUMMYFUNCTION("""COMPUTED_VALUE"""),"Майяна Митевска-Енчева")</f>
        <v>Майяна Митевска-Енчева</v>
      </c>
      <c r="H2035" s="10"/>
      <c r="I2035" s="10"/>
      <c r="J2035" s="10"/>
      <c r="K2035" s="10"/>
      <c r="L2035" s="10"/>
      <c r="M2035" s="10"/>
      <c r="N2035" s="10"/>
      <c r="O2035" s="10"/>
      <c r="P2035" s="10"/>
      <c r="Q2035" s="10"/>
      <c r="R2035" s="10"/>
      <c r="S2035" s="10"/>
      <c r="T2035" s="10"/>
      <c r="U2035" s="10"/>
      <c r="V2035" s="10"/>
      <c r="W2035" s="10"/>
      <c r="X2035" s="10"/>
      <c r="Y2035" s="10"/>
      <c r="Z2035" s="10"/>
    </row>
    <row r="2036" spans="1:26" ht="12.75">
      <c r="A2036" s="10" t="str">
        <f ca="1">IFERROR(__xludf.DUMMYFUNCTION("""COMPUTED_VALUE"""),"Гошо Кирилов Петков")</f>
        <v>Гошо Кирилов Петков</v>
      </c>
      <c r="B2036" s="10" t="str">
        <f ca="1">IFERROR(__xludf.DUMMYFUNCTION("""COMPUTED_VALUE"""),"Статия в списания и поредици")</f>
        <v>Статия в списания и поредици</v>
      </c>
      <c r="C2036" s="10" t="str">
        <f ca="1">IFERROR(__xludf.DUMMYFUNCTION("""COMPUTED_VALUE"""),"Организационна култура и библиотека")</f>
        <v>Организационна култура и библиотека</v>
      </c>
      <c r="D2036" s="10">
        <f ca="1">IFERROR(__xludf.DUMMYFUNCTION("""COMPUTED_VALUE"""),2015)</f>
        <v>2015</v>
      </c>
      <c r="E2036" s="10" t="str">
        <f ca="1">IFERROR(__xludf.DUMMYFUNCTION("""COMPUTED_VALUE"""),"Съвременни измерения на европейската образователно и научно пространство: сборник с доклади, ISSN: 2367-7988. T. 2, 92015), s. 303-307")</f>
        <v>Съвременни измерения на европейската образователно и научно пространство: сборник с доклади, ISSN: 2367-7988. T. 2, 92015), s. 303-307</v>
      </c>
      <c r="F2036" s="10"/>
      <c r="G2036" s="10"/>
      <c r="H2036" s="10"/>
      <c r="I2036" s="10"/>
      <c r="J2036" s="10"/>
      <c r="K2036" s="10"/>
      <c r="L2036" s="10"/>
      <c r="M2036" s="10"/>
      <c r="N2036" s="10"/>
      <c r="O2036" s="10"/>
      <c r="P2036" s="10"/>
      <c r="Q2036" s="10"/>
      <c r="R2036" s="10"/>
      <c r="S2036" s="10"/>
      <c r="T2036" s="10"/>
      <c r="U2036" s="10"/>
      <c r="V2036" s="10"/>
      <c r="W2036" s="10"/>
      <c r="X2036" s="10"/>
      <c r="Y2036" s="10"/>
      <c r="Z2036" s="10"/>
    </row>
    <row r="2037" spans="1:26" ht="12.75">
      <c r="A2037" s="10" t="str">
        <f ca="1">IFERROR(__xludf.DUMMYFUNCTION("""COMPUTED_VALUE"""),"Гошо Кирилов Петков")</f>
        <v>Гошо Кирилов Петков</v>
      </c>
      <c r="B2037" s="10" t="str">
        <f ca="1">IFERROR(__xludf.DUMMYFUNCTION("""COMPUTED_VALUE"""),"Статия в списания и поредици")</f>
        <v>Статия в списания и поредици</v>
      </c>
      <c r="C2037" s="10" t="str">
        <f ca="1">IFERROR(__xludf.DUMMYFUNCTION("""COMPUTED_VALUE"""),"Оптималното функциониране на обучаемите, ключов фактор за оптимизиране на учебния процес")</f>
        <v>Оптималното функциониране на обучаемите, ключов фактор за оптимизиране на учебния процес</v>
      </c>
      <c r="D2037" s="10">
        <f ca="1">IFERROR(__xludf.DUMMYFUNCTION("""COMPUTED_VALUE"""),2015)</f>
        <v>2015</v>
      </c>
      <c r="E2037" s="10" t="str">
        <f ca="1">IFERROR(__xludf.DUMMYFUNCTION("""COMPUTED_VALUE"""),"сп. Военнен журнал 3/2015")</f>
        <v>сп. Военнен журнал 3/2015</v>
      </c>
      <c r="F2037" s="10"/>
      <c r="G2037" s="10" t="str">
        <f ca="1">IFERROR(__xludf.DUMMYFUNCTION("""COMPUTED_VALUE"""),"Майяна Митевска-Енчева")</f>
        <v>Майяна Митевска-Енчева</v>
      </c>
      <c r="H2037" s="10"/>
      <c r="I2037" s="10"/>
      <c r="J2037" s="10"/>
      <c r="K2037" s="10"/>
      <c r="L2037" s="10"/>
      <c r="M2037" s="10"/>
      <c r="N2037" s="10"/>
      <c r="O2037" s="10"/>
      <c r="P2037" s="10"/>
      <c r="Q2037" s="10"/>
      <c r="R2037" s="10"/>
      <c r="S2037" s="10"/>
      <c r="T2037" s="10"/>
      <c r="U2037" s="10"/>
      <c r="V2037" s="10"/>
      <c r="W2037" s="10"/>
      <c r="X2037" s="10"/>
      <c r="Y2037" s="10"/>
      <c r="Z2037" s="10"/>
    </row>
    <row r="2038" spans="1:26" ht="12.75">
      <c r="A2038" s="10" t="str">
        <f ca="1">IFERROR(__xludf.DUMMYFUNCTION("""COMPUTED_VALUE"""),"Гошо Кирилов Петков")</f>
        <v>Гошо Кирилов Петков</v>
      </c>
      <c r="B2038" s="10" t="str">
        <f ca="1">IFERROR(__xludf.DUMMYFUNCTION("""COMPUTED_VALUE"""),"Статия в списания и поредици")</f>
        <v>Статия в списания и поредици</v>
      </c>
      <c r="C2038" s="10" t="str">
        <f ca="1">IFERROR(__xludf.DUMMYFUNCTION("""COMPUTED_VALUE"""),"Оптимално функциониране на обучаемите, ключов фактор за оптимизиране на учебния процес")</f>
        <v>Оптимално функциониране на обучаемите, ключов фактор за оптимизиране на учебния процес</v>
      </c>
      <c r="D2038" s="10">
        <f ca="1">IFERROR(__xludf.DUMMYFUNCTION("""COMPUTED_VALUE"""),2015)</f>
        <v>2015</v>
      </c>
      <c r="E2038" s="10" t="str">
        <f ca="1">IFERROR(__xludf.DUMMYFUNCTION("""COMPUTED_VALUE"""),"Военен журнал, Брой 3, Изд. На Министерство на отбраната, ISSN 0861-7392, с. 127-133.")</f>
        <v>Военен журнал, Брой 3, Изд. На Министерство на отбраната, ISSN 0861-7392, с. 127-133.</v>
      </c>
      <c r="F2038" s="10"/>
      <c r="G2038" s="10" t="str">
        <f ca="1">IFERROR(__xludf.DUMMYFUNCTION("""COMPUTED_VALUE"""),"Майяна Митевска-Енчева")</f>
        <v>Майяна Митевска-Енчева</v>
      </c>
      <c r="H2038" s="10"/>
      <c r="I2038" s="10"/>
      <c r="J2038" s="10"/>
      <c r="K2038" s="10"/>
      <c r="L2038" s="10"/>
      <c r="M2038" s="10"/>
      <c r="N2038" s="10"/>
      <c r="O2038" s="10"/>
      <c r="P2038" s="10"/>
      <c r="Q2038" s="10"/>
      <c r="R2038" s="10"/>
      <c r="S2038" s="10"/>
      <c r="T2038" s="10"/>
      <c r="U2038" s="10"/>
      <c r="V2038" s="10"/>
      <c r="W2038" s="10"/>
      <c r="X2038" s="10"/>
      <c r="Y2038" s="10"/>
      <c r="Z2038" s="10"/>
    </row>
    <row r="2039" spans="1:26" ht="12.75">
      <c r="A2039" s="10" t="str">
        <f ca="1">IFERROR(__xludf.DUMMYFUNCTION("""COMPUTED_VALUE"""),"Гошо Кирилов Петков")</f>
        <v>Гошо Кирилов Петков</v>
      </c>
      <c r="B2039" s="10" t="str">
        <f ca="1">IFERROR(__xludf.DUMMYFUNCTION("""COMPUTED_VALUE"""),"Статия в списания и поредици")</f>
        <v>Статия в списания и поредици</v>
      </c>
      <c r="C2039" s="10" t="str">
        <f ca="1">IFERROR(__xludf.DUMMYFUNCTION("""COMPUTED_VALUE"""),"Емпирични проекции на комуникативните умения на служителите от сектора за сигурност")</f>
        <v>Емпирични проекции на комуникативните умения на служителите от сектора за сигурност</v>
      </c>
      <c r="D2039" s="10">
        <f ca="1">IFERROR(__xludf.DUMMYFUNCTION("""COMPUTED_VALUE"""),2015)</f>
        <v>2015</v>
      </c>
      <c r="E2039" s="10" t="str">
        <f ca="1">IFERROR(__xludf.DUMMYFUNCTION("""COMPUTED_VALUE"""),"Военен журнал, Брой 3, Изд. На Министерство на отбраната, ISSN 0861-7392")</f>
        <v>Военен журнал, Брой 3, Изд. На Министерство на отбраната, ISSN 0861-7392</v>
      </c>
      <c r="F2039" s="10"/>
      <c r="G2039" s="10" t="str">
        <f ca="1">IFERROR(__xludf.DUMMYFUNCTION("""COMPUTED_VALUE"""),"Галя Герчева")</f>
        <v>Галя Герчева</v>
      </c>
      <c r="H2039" s="10"/>
      <c r="I2039" s="10"/>
      <c r="J2039" s="10"/>
      <c r="K2039" s="10"/>
      <c r="L2039" s="10"/>
      <c r="M2039" s="10"/>
      <c r="N2039" s="10"/>
      <c r="O2039" s="10"/>
      <c r="P2039" s="10"/>
      <c r="Q2039" s="10"/>
      <c r="R2039" s="10"/>
      <c r="S2039" s="10"/>
      <c r="T2039" s="10"/>
      <c r="U2039" s="10"/>
      <c r="V2039" s="10"/>
      <c r="W2039" s="10"/>
      <c r="X2039" s="10"/>
      <c r="Y2039" s="10"/>
      <c r="Z2039" s="10"/>
    </row>
    <row r="2040" spans="1:26" ht="12.75">
      <c r="A2040" s="10" t="str">
        <f ca="1">IFERROR(__xludf.DUMMYFUNCTION("""COMPUTED_VALUE"""),"Гошо Кирилов Петков")</f>
        <v>Гошо Кирилов Петков</v>
      </c>
      <c r="B2040" s="10" t="str">
        <f ca="1">IFERROR(__xludf.DUMMYFUNCTION("""COMPUTED_VALUE"""),"Доклад от конференция")</f>
        <v>Доклад от конференция</v>
      </c>
      <c r="C2040" s="10" t="str">
        <f ca="1">IFERROR(__xludf.DUMMYFUNCTION("""COMPUTED_VALUE"""),"Динамика на стратегиите за разрешаване на конфликти на работното място: основни тенденции и перспективи")</f>
        <v>Динамика на стратегиите за разрешаване на конфликти на работното място: основни тенденции и перспективи</v>
      </c>
      <c r="D2040" s="10">
        <f ca="1">IFERROR(__xludf.DUMMYFUNCTION("""COMPUTED_VALUE"""),2014)</f>
        <v>2014</v>
      </c>
      <c r="E2040" s="10" t="str">
        <f ca="1">IFERROR(__xludf.DUMMYFUNCTION("""COMPUTED_VALUE"""),"Психологически изследвания, ИИНЧ – БАН, Департамент „Психология“, БАН 2/14 с. 546 - 554. ISSN 1311-4700;")</f>
        <v>Психологически изследвания, ИИНЧ – БАН, Департамент „Психология“, БАН 2/14 с. 546 - 554. ISSN 1311-4700;</v>
      </c>
      <c r="F2040" s="10"/>
      <c r="G2040" s="10"/>
      <c r="H2040" s="10"/>
      <c r="I2040" s="10"/>
      <c r="J2040" s="10"/>
      <c r="K2040" s="10"/>
      <c r="L2040" s="10"/>
      <c r="M2040" s="10"/>
      <c r="N2040" s="10"/>
      <c r="O2040" s="10"/>
      <c r="P2040" s="10"/>
      <c r="Q2040" s="10"/>
      <c r="R2040" s="10"/>
      <c r="S2040" s="10"/>
      <c r="T2040" s="10"/>
      <c r="U2040" s="10"/>
      <c r="V2040" s="10"/>
      <c r="W2040" s="10"/>
      <c r="X2040" s="10"/>
      <c r="Y2040" s="10"/>
      <c r="Z2040" s="10"/>
    </row>
    <row r="2041" spans="1:26" ht="12.75">
      <c r="A2041" s="10" t="str">
        <f ca="1">IFERROR(__xludf.DUMMYFUNCTION("""COMPUTED_VALUE"""),"Гошо Кирилов Петков")</f>
        <v>Гошо Кирилов Петков</v>
      </c>
      <c r="B2041" s="10" t="str">
        <f ca="1">IFERROR(__xludf.DUMMYFUNCTION("""COMPUTED_VALUE"""),"Статия в списания и поредици")</f>
        <v>Статия в списания и поредици</v>
      </c>
      <c r="C2041" s="10" t="str">
        <f ca="1">IFERROR(__xludf.DUMMYFUNCTION("""COMPUTED_VALUE"""),"Психологически анализ в сферата на бизнеса")</f>
        <v>Психологически анализ в сферата на бизнеса</v>
      </c>
      <c r="D2041" s="10">
        <f ca="1">IFERROR(__xludf.DUMMYFUNCTION("""COMPUTED_VALUE"""),2014)</f>
        <v>2014</v>
      </c>
      <c r="E2041" s="10" t="str">
        <f ca="1">IFERROR(__xludf.DUMMYFUNCTION("""COMPUTED_VALUE"""),"Международна научна конференция „Младите в науката – инвестиция в бъдещето“, Пловдив, 2013, 18 - 20 октомври 2013 ISВN 978-619-185-132-4")</f>
        <v>Международна научна конференция „Младите в науката – инвестиция в бъдещето“, Пловдив, 2013, 18 - 20 октомври 2013 ISВN 978-619-185-132-4</v>
      </c>
      <c r="F2041" s="10"/>
      <c r="G2041" s="10"/>
      <c r="H2041" s="10"/>
      <c r="I2041" s="10"/>
      <c r="J2041" s="10"/>
      <c r="K2041" s="10"/>
      <c r="L2041" s="10"/>
      <c r="M2041" s="10"/>
      <c r="N2041" s="10"/>
      <c r="O2041" s="10"/>
      <c r="P2041" s="10"/>
      <c r="Q2041" s="10"/>
      <c r="R2041" s="10"/>
      <c r="S2041" s="10"/>
      <c r="T2041" s="10"/>
      <c r="U2041" s="10"/>
      <c r="V2041" s="10"/>
      <c r="W2041" s="10"/>
      <c r="X2041" s="10"/>
      <c r="Y2041" s="10"/>
      <c r="Z2041" s="10"/>
    </row>
    <row r="2042" spans="1:26" ht="12.75">
      <c r="A2042" s="10" t="str">
        <f ca="1">IFERROR(__xludf.DUMMYFUNCTION("""COMPUTED_VALUE"""),"Гошо Кирилов Петков")</f>
        <v>Гошо Кирилов Петков</v>
      </c>
      <c r="B2042" s="10" t="str">
        <f ca="1">IFERROR(__xludf.DUMMYFUNCTION("""COMPUTED_VALUE"""),"Статия в списания и поредици")</f>
        <v>Статия в списания и поредици</v>
      </c>
      <c r="C2042" s="10" t="str">
        <f ca="1">IFERROR(__xludf.DUMMYFUNCTION("""COMPUTED_VALUE"""),"Отвъд психоанализата – идеи и възгледи на Вилхелм Райх")</f>
        <v>Отвъд психоанализата – идеи и възгледи на Вилхелм Райх</v>
      </c>
      <c r="D2042" s="10">
        <f ca="1">IFERROR(__xludf.DUMMYFUNCTION("""COMPUTED_VALUE"""),2014)</f>
        <v>2014</v>
      </c>
      <c r="E2042" s="10" t="str">
        <f ca="1">IFERROR(__xludf.DUMMYFUNCTION("""COMPUTED_VALUE"""),"Научни трудове на УНИБИТ. Т. 12, 2014, Издателство «За буквите – О писменехь» 2015 г., София. Стр. 359 – 371, ISSN 1314-2623")</f>
        <v>Научни трудове на УНИБИТ. Т. 12, 2014, Издателство «За буквите – О писменехь» 2015 г., София. Стр. 359 – 371, ISSN 1314-2623</v>
      </c>
      <c r="F2042" s="10"/>
      <c r="G2042" s="10"/>
      <c r="H2042" s="10"/>
      <c r="I2042" s="10"/>
      <c r="J2042" s="10"/>
      <c r="K2042" s="10"/>
      <c r="L2042" s="10"/>
      <c r="M2042" s="10"/>
      <c r="N2042" s="10"/>
      <c r="O2042" s="10"/>
      <c r="P2042" s="10"/>
      <c r="Q2042" s="10"/>
      <c r="R2042" s="10"/>
      <c r="S2042" s="10"/>
      <c r="T2042" s="10"/>
      <c r="U2042" s="10"/>
      <c r="V2042" s="10"/>
      <c r="W2042" s="10"/>
      <c r="X2042" s="10"/>
      <c r="Y2042" s="10"/>
      <c r="Z2042" s="10"/>
    </row>
    <row r="2043" spans="1:26" ht="12.75">
      <c r="A2043" s="10" t="str">
        <f ca="1">IFERROR(__xludf.DUMMYFUNCTION("""COMPUTED_VALUE"""),"Гошо Кирилов Петков")</f>
        <v>Гошо Кирилов Петков</v>
      </c>
      <c r="B2043" s="10" t="str">
        <f ca="1">IFERROR(__xludf.DUMMYFUNCTION("""COMPUTED_VALUE"""),"Книга")</f>
        <v>Книга</v>
      </c>
      <c r="C2043" s="10" t="str">
        <f ca="1">IFERROR(__xludf.DUMMYFUNCTION("""COMPUTED_VALUE"""),"Оценка на ефективността на обучението в „Докторантско училище” в университетски структури. Методика за оценка на удовлетвореността на обучаемите")</f>
        <v>Оценка на ефективността на обучението в „Докторантско училище” в университетски структури. Методика за оценка на удовлетвореността на обучаемите</v>
      </c>
      <c r="D2043" s="10">
        <f ca="1">IFERROR(__xludf.DUMMYFUNCTION("""COMPUTED_VALUE"""),2013)</f>
        <v>2013</v>
      </c>
      <c r="E2043" s="10" t="str">
        <f ca="1">IFERROR(__xludf.DUMMYFUNCTION("""COMPUTED_VALUE"""),"ISBN 978-954-334-153-5.")</f>
        <v>ISBN 978-954-334-153-5.</v>
      </c>
      <c r="F2043" s="10"/>
      <c r="G2043" s="10" t="str">
        <f ca="1">IFERROR(__xludf.DUMMYFUNCTION("""COMPUTED_VALUE"""),"Цветан Семерджиев")</f>
        <v>Цветан Семерджиев</v>
      </c>
      <c r="H2043" s="10"/>
      <c r="I2043" s="10"/>
      <c r="J2043" s="10"/>
      <c r="K2043" s="10"/>
      <c r="L2043" s="10"/>
      <c r="M2043" s="10"/>
      <c r="N2043" s="10"/>
      <c r="O2043" s="10"/>
      <c r="P2043" s="10"/>
      <c r="Q2043" s="10"/>
      <c r="R2043" s="10"/>
      <c r="S2043" s="10"/>
      <c r="T2043" s="10"/>
      <c r="U2043" s="10"/>
      <c r="V2043" s="10"/>
      <c r="W2043" s="10"/>
      <c r="X2043" s="10"/>
      <c r="Y2043" s="10"/>
      <c r="Z2043" s="10"/>
    </row>
    <row r="2044" spans="1:26" ht="12.75">
      <c r="A2044" s="10" t="str">
        <f ca="1">IFERROR(__xludf.DUMMYFUNCTION("""COMPUTED_VALUE"""),"Гошо Кирилов Петков")</f>
        <v>Гошо Кирилов Петков</v>
      </c>
      <c r="B2044" s="10" t="str">
        <f ca="1">IFERROR(__xludf.DUMMYFUNCTION("""COMPUTED_VALUE"""),"Доклад от конференция")</f>
        <v>Доклад от конференция</v>
      </c>
      <c r="C2044" s="10" t="str">
        <f ca="1">IFERROR(__xludf.DUMMYFUNCTION("""COMPUTED_VALUE"""),"Социалната среда - фактор за формиране на организационната култура")</f>
        <v>Социалната среда - фактор за формиране на организационната култура</v>
      </c>
      <c r="D2044" s="10">
        <f ca="1">IFERROR(__xludf.DUMMYFUNCTION("""COMPUTED_VALUE"""),2011)</f>
        <v>2011</v>
      </c>
      <c r="E2044" s="10" t="str">
        <f ca="1">IFERROR(__xludf.DUMMYFUNCTION("""COMPUTED_VALUE"""),"Научна конференция на НВУ ""Васил Левски"", 2011")</f>
        <v>Научна конференция на НВУ "Васил Левски", 2011</v>
      </c>
      <c r="F2044" s="10"/>
      <c r="G2044" s="10"/>
      <c r="H2044" s="10"/>
      <c r="I2044" s="10"/>
      <c r="J2044" s="10"/>
      <c r="K2044" s="10"/>
      <c r="L2044" s="10"/>
      <c r="M2044" s="10"/>
      <c r="N2044" s="10"/>
      <c r="O2044" s="10"/>
      <c r="P2044" s="10"/>
      <c r="Q2044" s="10"/>
      <c r="R2044" s="10"/>
      <c r="S2044" s="10"/>
      <c r="T2044" s="10"/>
      <c r="U2044" s="10"/>
      <c r="V2044" s="10"/>
      <c r="W2044" s="10"/>
      <c r="X2044" s="10"/>
      <c r="Y2044" s="10"/>
      <c r="Z2044" s="10"/>
    </row>
    <row r="2045" spans="1:26" ht="12.75">
      <c r="A2045" s="10" t="str">
        <f ca="1">IFERROR(__xludf.DUMMYFUNCTION("""COMPUTED_VALUE"""),"Гошо Кирилов Петков")</f>
        <v>Гошо Кирилов Петков</v>
      </c>
      <c r="B2045" s="10" t="str">
        <f ca="1">IFERROR(__xludf.DUMMYFUNCTION("""COMPUTED_VALUE"""),"Статия в списания и поредици")</f>
        <v>Статия в списания и поредици</v>
      </c>
      <c r="C2045" s="10" t="str">
        <f ca="1">IFERROR(__xludf.DUMMYFUNCTION("""COMPUTED_VALUE"""),"Различия в лидерския стил, повлияни от особеностите на социалните среди")</f>
        <v>Различия в лидерския стил, повлияни от особеностите на социалните среди</v>
      </c>
      <c r="D2045" s="10">
        <f ca="1">IFERROR(__xludf.DUMMYFUNCTION("""COMPUTED_VALUE"""),2011)</f>
        <v>2011</v>
      </c>
      <c r="E2045" s="10" t="str">
        <f ca="1">IFERROR(__xludf.DUMMYFUNCTION("""COMPUTED_VALUE"""),"Военна психология и лидерство. 2011.")</f>
        <v>Военна психология и лидерство. 2011.</v>
      </c>
      <c r="F2045" s="10"/>
      <c r="G2045" s="10"/>
      <c r="H2045" s="10"/>
      <c r="I2045" s="10"/>
      <c r="J2045" s="10"/>
      <c r="K2045" s="10"/>
      <c r="L2045" s="10"/>
      <c r="M2045" s="10"/>
      <c r="N2045" s="10"/>
      <c r="O2045" s="10"/>
      <c r="P2045" s="10"/>
      <c r="Q2045" s="10"/>
      <c r="R2045" s="10"/>
      <c r="S2045" s="10"/>
      <c r="T2045" s="10"/>
      <c r="U2045" s="10"/>
      <c r="V2045" s="10"/>
      <c r="W2045" s="10"/>
      <c r="X2045" s="10"/>
      <c r="Y2045" s="10"/>
      <c r="Z2045" s="10"/>
    </row>
    <row r="2046" spans="1:26" ht="12.75">
      <c r="A2046" s="10" t="str">
        <f ca="1">IFERROR(__xludf.DUMMYFUNCTION("""COMPUTED_VALUE"""),"Гошо Кирилов Петков")</f>
        <v>Гошо Кирилов Петков</v>
      </c>
      <c r="B2046" s="10" t="str">
        <f ca="1">IFERROR(__xludf.DUMMYFUNCTION("""COMPUTED_VALUE"""),"Книга")</f>
        <v>Книга</v>
      </c>
      <c r="C2046" s="10" t="str">
        <f ca="1">IFERROR(__xludf.DUMMYFUNCTION("""COMPUTED_VALUE"""),"Психология на лидерството")</f>
        <v>Психология на лидерството</v>
      </c>
      <c r="D2046" s="10">
        <f ca="1">IFERROR(__xludf.DUMMYFUNCTION("""COMPUTED_VALUE"""),2010)</f>
        <v>2010</v>
      </c>
      <c r="E2046" s="10"/>
      <c r="F2046" s="10"/>
      <c r="G2046" s="10"/>
      <c r="H2046" s="10"/>
      <c r="I2046" s="10"/>
      <c r="J2046" s="10"/>
      <c r="K2046" s="10"/>
      <c r="L2046" s="10"/>
      <c r="M2046" s="10"/>
      <c r="N2046" s="10"/>
      <c r="O2046" s="10"/>
      <c r="P2046" s="10"/>
      <c r="Q2046" s="10"/>
      <c r="R2046" s="10"/>
      <c r="S2046" s="10"/>
      <c r="T2046" s="10"/>
      <c r="U2046" s="10"/>
      <c r="V2046" s="10"/>
      <c r="W2046" s="10"/>
      <c r="X2046" s="10"/>
      <c r="Y2046" s="10"/>
      <c r="Z2046" s="10"/>
    </row>
    <row r="2047" spans="1:26" ht="12.75">
      <c r="A2047" s="10" t="str">
        <f ca="1">IFERROR(__xludf.DUMMYFUNCTION("""COMPUTED_VALUE"""),"Гошо Кирилов Петков")</f>
        <v>Гошо Кирилов Петков</v>
      </c>
      <c r="B2047" s="10" t="str">
        <f ca="1">IFERROR(__xludf.DUMMYFUNCTION("""COMPUTED_VALUE"""),"Книга")</f>
        <v>Книга</v>
      </c>
      <c r="C2047" s="10" t="str">
        <f ca="1">IFERROR(__xludf.DUMMYFUNCTION("""COMPUTED_VALUE"""),"Стратегическо ръководство и лидерство - Психологически аспекти")</f>
        <v>Стратегическо ръководство и лидерство - Психологически аспекти</v>
      </c>
      <c r="D2047" s="10">
        <f ca="1">IFERROR(__xludf.DUMMYFUNCTION("""COMPUTED_VALUE"""),2010)</f>
        <v>2010</v>
      </c>
      <c r="E2047" s="10"/>
      <c r="F2047" s="10"/>
      <c r="G2047" s="10" t="str">
        <f ca="1">IFERROR(__xludf.DUMMYFUNCTION("""COMPUTED_VALUE"""),"-")</f>
        <v>-</v>
      </c>
      <c r="H2047" s="10"/>
      <c r="I2047" s="10"/>
      <c r="J2047" s="10"/>
      <c r="K2047" s="10"/>
      <c r="L2047" s="10"/>
      <c r="M2047" s="10"/>
      <c r="N2047" s="10"/>
      <c r="O2047" s="10"/>
      <c r="P2047" s="10"/>
      <c r="Q2047" s="10"/>
      <c r="R2047" s="10"/>
      <c r="S2047" s="10"/>
      <c r="T2047" s="10"/>
      <c r="U2047" s="10"/>
      <c r="V2047" s="10"/>
      <c r="W2047" s="10"/>
      <c r="X2047" s="10"/>
      <c r="Y2047" s="10"/>
      <c r="Z2047" s="10"/>
    </row>
    <row r="2048" spans="1:26" ht="12.75">
      <c r="A2048" s="10" t="str">
        <f ca="1">IFERROR(__xludf.DUMMYFUNCTION("""COMPUTED_VALUE"""),"Гошо Кирилов Петков")</f>
        <v>Гошо Кирилов Петков</v>
      </c>
      <c r="B2048" s="10" t="str">
        <f ca="1">IFERROR(__xludf.DUMMYFUNCTION("""COMPUTED_VALUE"""),"Доклад от конференция")</f>
        <v>Доклад от конференция</v>
      </c>
      <c r="C2048" s="10" t="str">
        <f ca="1">IFERROR(__xludf.DUMMYFUNCTION("""COMPUTED_VALUE"""),"Личността като фактор за възприемане на социалната среда")</f>
        <v>Личността като фактор за възприемане на социалната среда</v>
      </c>
      <c r="D2048" s="10">
        <f ca="1">IFERROR(__xludf.DUMMYFUNCTION("""COMPUTED_VALUE"""),2010)</f>
        <v>2010</v>
      </c>
      <c r="E2048" s="10" t="str">
        <f ca="1">IFERROR(__xludf.DUMMYFUNCTION("""COMPUTED_VALUE"""),"Приложна психология и социална практика. Научна конференция на ВСУ „Черноризец Храбър”, Варна, май 2010. Университетско издателство ВСУ „Черноризец Храбър”.")</f>
        <v>Приложна психология и социална практика. Научна конференция на ВСУ „Черноризец Храбър”, Варна, май 2010. Университетско издателство ВСУ „Черноризец Храбър”.</v>
      </c>
      <c r="F2048" s="10"/>
      <c r="G2048" s="10"/>
      <c r="H2048" s="10"/>
      <c r="I2048" s="10"/>
      <c r="J2048" s="10"/>
      <c r="K2048" s="10"/>
      <c r="L2048" s="10"/>
      <c r="M2048" s="10"/>
      <c r="N2048" s="10"/>
      <c r="O2048" s="10"/>
      <c r="P2048" s="10"/>
      <c r="Q2048" s="10"/>
      <c r="R2048" s="10"/>
      <c r="S2048" s="10"/>
      <c r="T2048" s="10"/>
      <c r="U2048" s="10"/>
      <c r="V2048" s="10"/>
      <c r="W2048" s="10"/>
      <c r="X2048" s="10"/>
      <c r="Y2048" s="10"/>
      <c r="Z2048" s="10"/>
    </row>
    <row r="2049" spans="1:26" ht="12.75">
      <c r="A2049" s="10" t="str">
        <f ca="1">IFERROR(__xludf.DUMMYFUNCTION("""COMPUTED_VALUE"""),"Гошо Кирилов Петков")</f>
        <v>Гошо Кирилов Петков</v>
      </c>
      <c r="B2049" s="10" t="str">
        <f ca="1">IFERROR(__xludf.DUMMYFUNCTION("""COMPUTED_VALUE"""),"Монография")</f>
        <v>Монография</v>
      </c>
      <c r="C2049" s="10" t="str">
        <f ca="1">IFERROR(__xludf.DUMMYFUNCTION("""COMPUTED_VALUE"""),"Стратегическо ръководство и лидерство. Психологически аспекти.")</f>
        <v>Стратегическо ръководство и лидерство. Психологически аспекти.</v>
      </c>
      <c r="D2049" s="10">
        <f ca="1">IFERROR(__xludf.DUMMYFUNCTION("""COMPUTED_VALUE"""),2010)</f>
        <v>2010</v>
      </c>
      <c r="E2049" s="10" t="str">
        <f ca="1">IFERROR(__xludf.DUMMYFUNCTION("""COMPUTED_VALUE"""),"София : Софттрейд, стр. 264, ISBN 978-954-334-112-2")</f>
        <v>София : Софттрейд, стр. 264, ISBN 978-954-334-112-2</v>
      </c>
      <c r="F2049" s="10"/>
      <c r="G2049" s="10"/>
      <c r="H2049" s="10"/>
      <c r="I2049" s="10"/>
      <c r="J2049" s="10"/>
      <c r="K2049" s="10"/>
      <c r="L2049" s="10"/>
      <c r="M2049" s="10"/>
      <c r="N2049" s="10"/>
      <c r="O2049" s="10"/>
      <c r="P2049" s="10"/>
      <c r="Q2049" s="10"/>
      <c r="R2049" s="10"/>
      <c r="S2049" s="10"/>
      <c r="T2049" s="10"/>
      <c r="U2049" s="10"/>
      <c r="V2049" s="10"/>
      <c r="W2049" s="10"/>
      <c r="X2049" s="10"/>
      <c r="Y2049" s="10"/>
      <c r="Z2049" s="10"/>
    </row>
    <row r="2050" spans="1:26" ht="12.75">
      <c r="A2050" s="10" t="str">
        <f ca="1">IFERROR(__xludf.DUMMYFUNCTION("""COMPUTED_VALUE"""),"Гошо Кирилов Петков")</f>
        <v>Гошо Кирилов Петков</v>
      </c>
      <c r="B2050" s="10" t="str">
        <f ca="1">IFERROR(__xludf.DUMMYFUNCTION("""COMPUTED_VALUE"""),"Статия в списания и поредици")</f>
        <v>Статия в списания и поредици</v>
      </c>
      <c r="C2050" s="10" t="str">
        <f ca="1">IFERROR(__xludf.DUMMYFUNCTION("""COMPUTED_VALUE"""),"Асертивността – едно от качествата на воен¬нослужещите, необходимо за спра¬вяне при мисии зад граница")</f>
        <v>Асертивността – едно от качествата на воен¬нослужещите, необходимо за спра¬вяне при мисии зад граница</v>
      </c>
      <c r="D2050" s="10">
        <f ca="1">IFERROR(__xludf.DUMMYFUNCTION("""COMPUTED_VALUE"""),2009)</f>
        <v>2009</v>
      </c>
      <c r="E2050" s="10" t="str">
        <f ca="1">IFERROR(__xludf.DUMMYFUNCTION("""COMPUTED_VALUE"""),"Военен журнал, 2009, бр. 3, с. 149-156.")</f>
        <v>Военен журнал, 2009, бр. 3, с. 149-156.</v>
      </c>
      <c r="F2050" s="10"/>
      <c r="G2050" s="10" t="str">
        <f ca="1">IFERROR(__xludf.DUMMYFUNCTION("""COMPUTED_VALUE"""),"Г. Герчева")</f>
        <v>Г. Герчева</v>
      </c>
      <c r="H2050" s="10"/>
      <c r="I2050" s="10"/>
      <c r="J2050" s="10"/>
      <c r="K2050" s="10"/>
      <c r="L2050" s="10"/>
      <c r="M2050" s="10"/>
      <c r="N2050" s="10"/>
      <c r="O2050" s="10"/>
      <c r="P2050" s="10"/>
      <c r="Q2050" s="10"/>
      <c r="R2050" s="10"/>
      <c r="S2050" s="10"/>
      <c r="T2050" s="10"/>
      <c r="U2050" s="10"/>
      <c r="V2050" s="10"/>
      <c r="W2050" s="10"/>
      <c r="X2050" s="10"/>
      <c r="Y2050" s="10"/>
      <c r="Z2050" s="10"/>
    </row>
    <row r="2051" spans="1:26" ht="12.75">
      <c r="A2051" s="10" t="str">
        <f ca="1">IFERROR(__xludf.DUMMYFUNCTION("""COMPUTED_VALUE"""),"Гошо Кирилов Петков")</f>
        <v>Гошо Кирилов Петков</v>
      </c>
      <c r="B2051" s="10" t="str">
        <f ca="1">IFERROR(__xludf.DUMMYFUNCTION("""COMPUTED_VALUE"""),"Статия в списания и поредици")</f>
        <v>Статия в списания и поредици</v>
      </c>
      <c r="C2051" s="10" t="str">
        <f ca="1">IFERROR(__xludf.DUMMYFUNCTION("""COMPUTED_VALUE"""),"Асертивността – едно от качествата на воен¬нослужещите, необходимо за спра¬вяне при мисии зад границ")</f>
        <v>Асертивността – едно от качествата на воен¬нослужещите, необходимо за спра¬вяне при мисии зад границ</v>
      </c>
      <c r="D2051" s="10">
        <f ca="1">IFERROR(__xludf.DUMMYFUNCTION("""COMPUTED_VALUE"""),2009)</f>
        <v>2009</v>
      </c>
      <c r="E2051" s="10" t="str">
        <f ca="1">IFERROR(__xludf.DUMMYFUNCTION("""COMPUTED_VALUE"""),"Военен журнал, 2009, бр. 3, с. 149-156. , ISSN 0861-7392,")</f>
        <v>Военен журнал, 2009, бр. 3, с. 149-156. , ISSN 0861-7392,</v>
      </c>
      <c r="F2051" s="10"/>
      <c r="G2051" s="10" t="str">
        <f ca="1">IFERROR(__xludf.DUMMYFUNCTION("""COMPUTED_VALUE"""),"Г. Герчева")</f>
        <v>Г. Герчева</v>
      </c>
      <c r="H2051" s="10"/>
      <c r="I2051" s="10"/>
      <c r="J2051" s="10"/>
      <c r="K2051" s="10"/>
      <c r="L2051" s="10"/>
      <c r="M2051" s="10"/>
      <c r="N2051" s="10"/>
      <c r="O2051" s="10"/>
      <c r="P2051" s="10"/>
      <c r="Q2051" s="10"/>
      <c r="R2051" s="10"/>
      <c r="S2051" s="10"/>
      <c r="T2051" s="10"/>
      <c r="U2051" s="10"/>
      <c r="V2051" s="10"/>
      <c r="W2051" s="10"/>
      <c r="X2051" s="10"/>
      <c r="Y2051" s="10"/>
      <c r="Z2051" s="10"/>
    </row>
    <row r="2052" spans="1:26" ht="12.75">
      <c r="A2052" s="10" t="str">
        <f ca="1">IFERROR(__xludf.DUMMYFUNCTION("""COMPUTED_VALUE"""),"Гошо Кирилов Петков")</f>
        <v>Гошо Кирилов Петков</v>
      </c>
      <c r="B2052" s="10" t="str">
        <f ca="1">IFERROR(__xludf.DUMMYFUNCTION("""COMPUTED_VALUE"""),"Статия в списания и поредици")</f>
        <v>Статия в списания и поредици</v>
      </c>
      <c r="C2052" s="10" t="str">
        <f ca="1">IFERROR(__xludf.DUMMYFUNCTION("""COMPUTED_VALUE"""),"Етапи на изграждане на съвременни лидери")</f>
        <v>Етапи на изграждане на съвременни лидери</v>
      </c>
      <c r="D2052" s="10">
        <f ca="1">IFERROR(__xludf.DUMMYFUNCTION("""COMPUTED_VALUE"""),2008)</f>
        <v>2008</v>
      </c>
      <c r="E2052" s="10" t="str">
        <f ca="1">IFERROR(__xludf.DUMMYFUNCTION("""COMPUTED_VALUE"""),"НВУ”В. Левски“, Факултет „Артилерия, ПВО и КИС“, , Шумен, Научна сесия 09-10.10.2008 г., секция „Обществени науки“, ISBN 954-9681")</f>
        <v>НВУ”В. Левски“, Факултет „Артилерия, ПВО и КИС“, , Шумен, Научна сесия 09-10.10.2008 г., секция „Обществени науки“, ISBN 954-9681</v>
      </c>
      <c r="F2052" s="10"/>
      <c r="G2052" s="10" t="str">
        <f ca="1">IFERROR(__xludf.DUMMYFUNCTION("""COMPUTED_VALUE"""),"Евгени Петров Манев")</f>
        <v>Евгени Петров Манев</v>
      </c>
      <c r="H2052" s="10"/>
      <c r="I2052" s="10"/>
      <c r="J2052" s="10"/>
      <c r="K2052" s="10"/>
      <c r="L2052" s="10"/>
      <c r="M2052" s="10"/>
      <c r="N2052" s="10"/>
      <c r="O2052" s="10"/>
      <c r="P2052" s="10"/>
      <c r="Q2052" s="10"/>
      <c r="R2052" s="10"/>
      <c r="S2052" s="10"/>
      <c r="T2052" s="10"/>
      <c r="U2052" s="10"/>
      <c r="V2052" s="10"/>
      <c r="W2052" s="10"/>
      <c r="X2052" s="10"/>
      <c r="Y2052" s="10"/>
      <c r="Z2052" s="10"/>
    </row>
    <row r="2053" spans="1:26" ht="12.75">
      <c r="A2053" s="10" t="str">
        <f ca="1">IFERROR(__xludf.DUMMYFUNCTION("""COMPUTED_VALUE"""),"Гошо Кирилов Петков")</f>
        <v>Гошо Кирилов Петков</v>
      </c>
      <c r="B2053" s="10" t="str">
        <f ca="1">IFERROR(__xludf.DUMMYFUNCTION("""COMPUTED_VALUE"""),"Статия в списания и поредици")</f>
        <v>Статия в списания и поредици</v>
      </c>
      <c r="C2053" s="10" t="str">
        <f ca="1">IFERROR(__xludf.DUMMYFUNCTION("""COMPUTED_VALUE"""),"Психологически аспекти на стратегическото лидерство")</f>
        <v>Психологически аспекти на стратегическото лидерство</v>
      </c>
      <c r="D2053" s="10">
        <f ca="1">IFERROR(__xludf.DUMMYFUNCTION("""COMPUTED_VALUE"""),2008)</f>
        <v>2008</v>
      </c>
      <c r="E2053" s="10" t="str">
        <f ca="1">IFERROR(__xludf.DUMMYFUNCTION("""COMPUTED_VALUE"""),"Печатна база на ВА „Г. С. Раковски”, 20")</f>
        <v>Печатна база на ВА „Г. С. Раковски”, 20</v>
      </c>
      <c r="F2053" s="10"/>
      <c r="G2053" s="10"/>
      <c r="H2053" s="10"/>
      <c r="I2053" s="10"/>
      <c r="J2053" s="10"/>
      <c r="K2053" s="10"/>
      <c r="L2053" s="10"/>
      <c r="M2053" s="10"/>
      <c r="N2053" s="10"/>
      <c r="O2053" s="10"/>
      <c r="P2053" s="10"/>
      <c r="Q2053" s="10"/>
      <c r="R2053" s="10"/>
      <c r="S2053" s="10"/>
      <c r="T2053" s="10"/>
      <c r="U2053" s="10"/>
      <c r="V2053" s="10"/>
      <c r="W2053" s="10"/>
      <c r="X2053" s="10"/>
      <c r="Y2053" s="10"/>
      <c r="Z2053" s="10"/>
    </row>
    <row r="2054" spans="1:26" ht="12.75">
      <c r="A2054" s="10" t="str">
        <f ca="1">IFERROR(__xludf.DUMMYFUNCTION("""COMPUTED_VALUE"""),"Гошо Кирилов Петков")</f>
        <v>Гошо Кирилов Петков</v>
      </c>
      <c r="B2054" s="10" t="str">
        <f ca="1">IFERROR(__xludf.DUMMYFUNCTION("""COMPUTED_VALUE"""),"Статия в списания и поредици")</f>
        <v>Статия в списания и поредици</v>
      </c>
      <c r="C2054" s="10" t="str">
        <f ca="1">IFERROR(__xludf.DUMMYFUNCTION("""COMPUTED_VALUE"""),"Стратегическо ръководство и лидерство")</f>
        <v>Стратегическо ръководство и лидерство</v>
      </c>
      <c r="D2054" s="10">
        <f ca="1">IFERROR(__xludf.DUMMYFUNCTION("""COMPUTED_VALUE"""),2008)</f>
        <v>2008</v>
      </c>
      <c r="E2054" s="10" t="str">
        <f ca="1">IFERROR(__xludf.DUMMYFUNCTION("""COMPUTED_VALUE"""),"Психологически аспекти. СОФТТРЕЙД. С., 2008")</f>
        <v>Психологически аспекти. СОФТТРЕЙД. С., 2008</v>
      </c>
      <c r="F2054" s="10"/>
      <c r="G2054" s="10"/>
      <c r="H2054" s="10"/>
      <c r="I2054" s="10"/>
      <c r="J2054" s="10"/>
      <c r="K2054" s="10"/>
      <c r="L2054" s="10"/>
      <c r="M2054" s="10"/>
      <c r="N2054" s="10"/>
      <c r="O2054" s="10"/>
      <c r="P2054" s="10"/>
      <c r="Q2054" s="10"/>
      <c r="R2054" s="10"/>
      <c r="S2054" s="10"/>
      <c r="T2054" s="10"/>
      <c r="U2054" s="10"/>
      <c r="V2054" s="10"/>
      <c r="W2054" s="10"/>
      <c r="X2054" s="10"/>
      <c r="Y2054" s="10"/>
      <c r="Z2054" s="10"/>
    </row>
    <row r="2055" spans="1:26" ht="12.75">
      <c r="A2055" s="10" t="str">
        <f ca="1">IFERROR(__xludf.DUMMYFUNCTION("""COMPUTED_VALUE"""),"Гошо Кирилов Петков")</f>
        <v>Гошо Кирилов Петков</v>
      </c>
      <c r="B2055" s="10" t="str">
        <f ca="1">IFERROR(__xludf.DUMMYFUNCTION("""COMPUTED_VALUE"""),"Доклад от конференция")</f>
        <v>Доклад от конференция</v>
      </c>
      <c r="C2055" s="10" t="str">
        <f ca="1">IFERROR(__xludf.DUMMYFUNCTION("""COMPUTED_VALUE"""),"Етапи на изграждане на съвременните лидери")</f>
        <v>Етапи на изграждане на съвременните лидери</v>
      </c>
      <c r="D2055" s="10">
        <f ca="1">IFERROR(__xludf.DUMMYFUNCTION("""COMPUTED_VALUE"""),2008)</f>
        <v>2008</v>
      </c>
      <c r="E2055" s="10" t="str">
        <f ca="1">IFERROR(__xludf.DUMMYFUNCTION("""COMPUTED_VALUE"""),"Научна сесия на Националния военен университет, проведена на 9 и 10 октомври 2008 г.")</f>
        <v>Научна сесия на Националния военен университет, проведена на 9 и 10 октомври 2008 г.</v>
      </c>
      <c r="F2055" s="10"/>
      <c r="G2055" s="10"/>
      <c r="H2055" s="10"/>
      <c r="I2055" s="10"/>
      <c r="J2055" s="10"/>
      <c r="K2055" s="10"/>
      <c r="L2055" s="10"/>
      <c r="M2055" s="10"/>
      <c r="N2055" s="10"/>
      <c r="O2055" s="10"/>
      <c r="P2055" s="10"/>
      <c r="Q2055" s="10"/>
      <c r="R2055" s="10"/>
      <c r="S2055" s="10"/>
      <c r="T2055" s="10"/>
      <c r="U2055" s="10"/>
      <c r="V2055" s="10"/>
      <c r="W2055" s="10"/>
      <c r="X2055" s="10"/>
      <c r="Y2055" s="10"/>
      <c r="Z2055" s="10"/>
    </row>
    <row r="2056" spans="1:26" ht="12.75">
      <c r="A2056" s="10" t="str">
        <f ca="1">IFERROR(__xludf.DUMMYFUNCTION("""COMPUTED_VALUE"""),"Гошо Кирилов Петков")</f>
        <v>Гошо Кирилов Петков</v>
      </c>
      <c r="B2056" s="10" t="str">
        <f ca="1">IFERROR(__xludf.DUMMYFUNCTION("""COMPUTED_VALUE"""),"Статия в списания и поредици")</f>
        <v>Статия в списания и поредици</v>
      </c>
      <c r="C2056" s="10" t="str">
        <f ca="1">IFERROR(__xludf.DUMMYFUNCTION("""COMPUTED_VALUE"""),"Теорията на обмисленото действие в помощ на разузнавателната дейност")</f>
        <v>Теорията на обмисленото действие в помощ на разузнавателната дейност</v>
      </c>
      <c r="D2056" s="10">
        <f ca="1">IFERROR(__xludf.DUMMYFUNCTION("""COMPUTED_VALUE"""),2008)</f>
        <v>2008</v>
      </c>
      <c r="E2056" s="10" t="str">
        <f ca="1">IFERROR(__xludf.DUMMYFUNCTION("""COMPUTED_VALUE"""),"Военен журнал, 1, 2008")</f>
        <v>Военен журнал, 1, 2008</v>
      </c>
      <c r="F2056" s="10"/>
      <c r="G2056" s="10"/>
      <c r="H2056" s="10"/>
      <c r="I2056" s="10"/>
      <c r="J2056" s="10"/>
      <c r="K2056" s="10"/>
      <c r="L2056" s="10"/>
      <c r="M2056" s="10"/>
      <c r="N2056" s="10"/>
      <c r="O2056" s="10"/>
      <c r="P2056" s="10"/>
      <c r="Q2056" s="10"/>
      <c r="R2056" s="10"/>
      <c r="S2056" s="10"/>
      <c r="T2056" s="10"/>
      <c r="U2056" s="10"/>
      <c r="V2056" s="10"/>
      <c r="W2056" s="10"/>
      <c r="X2056" s="10"/>
      <c r="Y2056" s="10"/>
      <c r="Z2056" s="10"/>
    </row>
    <row r="2057" spans="1:26" ht="12.75">
      <c r="A2057" s="10" t="str">
        <f ca="1">IFERROR(__xludf.DUMMYFUNCTION("""COMPUTED_VALUE"""),"Гошо Кирилов Петков")</f>
        <v>Гошо Кирилов Петков</v>
      </c>
      <c r="B2057" s="10" t="str">
        <f ca="1">IFERROR(__xludf.DUMMYFUNCTION("""COMPUTED_VALUE"""),"Статия в списания и поредици")</f>
        <v>Статия в списания и поредици</v>
      </c>
      <c r="C2057" s="10" t="str">
        <f ca="1">IFERROR(__xludf.DUMMYFUNCTION("""COMPUTED_VALUE"""),"Теорията на обмисленото действие в помощ на разузнавателната дейност.")</f>
        <v>Теорията на обмисленото действие в помощ на разузнавателната дейност.</v>
      </c>
      <c r="D2057" s="10">
        <f ca="1">IFERROR(__xludf.DUMMYFUNCTION("""COMPUTED_VALUE"""),2008)</f>
        <v>2008</v>
      </c>
      <c r="E2057" s="10" t="str">
        <f ca="1">IFERROR(__xludf.DUMMYFUNCTION("""COMPUTED_VALUE"""),"Военен журнал: двумесечно издание на министерството на отбраната ISSN 0861-7392.-CXV, 1 (2008), s. 110-119")</f>
        <v>Военен журнал: двумесечно издание на министерството на отбраната ISSN 0861-7392.-CXV, 1 (2008), s. 110-119</v>
      </c>
      <c r="F2057" s="10"/>
      <c r="G2057" s="10"/>
      <c r="H2057" s="10"/>
      <c r="I2057" s="10"/>
      <c r="J2057" s="10"/>
      <c r="K2057" s="10"/>
      <c r="L2057" s="10"/>
      <c r="M2057" s="10"/>
      <c r="N2057" s="10"/>
      <c r="O2057" s="10"/>
      <c r="P2057" s="10"/>
      <c r="Q2057" s="10"/>
      <c r="R2057" s="10"/>
      <c r="S2057" s="10"/>
      <c r="T2057" s="10"/>
      <c r="U2057" s="10"/>
      <c r="V2057" s="10"/>
      <c r="W2057" s="10"/>
      <c r="X2057" s="10"/>
      <c r="Y2057" s="10"/>
      <c r="Z2057" s="10"/>
    </row>
    <row r="2058" spans="1:26" ht="12.75">
      <c r="A2058" s="10" t="str">
        <f ca="1">IFERROR(__xludf.DUMMYFUNCTION("""COMPUTED_VALUE"""),"Гошо Кирилов Петков")</f>
        <v>Гошо Кирилов Петков</v>
      </c>
      <c r="B2058" s="10" t="str">
        <f ca="1">IFERROR(__xludf.DUMMYFUNCTION("""COMPUTED_VALUE"""),"Статия в списания и поредици")</f>
        <v>Статия в списания и поредици</v>
      </c>
      <c r="C2058" s="10" t="str">
        <f ca="1">IFERROR(__xludf.DUMMYFUNCTION("""COMPUTED_VALUE"""),"За онтологичните основи на теорията на преднамереното пряко скрито разузнавателно присъствие.")</f>
        <v>За онтологичните основи на теорията на преднамереното пряко скрито разузнавателно присъствие.</v>
      </c>
      <c r="D2058" s="10">
        <f ca="1">IFERROR(__xludf.DUMMYFUNCTION("""COMPUTED_VALUE"""),2008)</f>
        <v>2008</v>
      </c>
      <c r="E2058" s="10" t="str">
        <f ca="1">IFERROR(__xludf.DUMMYFUNCTION("""COMPUTED_VALUE"""),"Военен журнал: двумесечно издание на Министерството на отбраната ISSN 0861-7392.-CXV, 2 (2008), s. 129-135")</f>
        <v>Военен журнал: двумесечно издание на Министерството на отбраната ISSN 0861-7392.-CXV, 2 (2008), s. 129-135</v>
      </c>
      <c r="F2058" s="10"/>
      <c r="G2058" s="10" t="str">
        <f ca="1">IFERROR(__xludf.DUMMYFUNCTION("""COMPUTED_VALUE"""),"Цветан Семерджиев")</f>
        <v>Цветан Семерджиев</v>
      </c>
      <c r="H2058" s="10"/>
      <c r="I2058" s="10"/>
      <c r="J2058" s="10"/>
      <c r="K2058" s="10"/>
      <c r="L2058" s="10"/>
      <c r="M2058" s="10"/>
      <c r="N2058" s="10"/>
      <c r="O2058" s="10"/>
      <c r="P2058" s="10"/>
      <c r="Q2058" s="10"/>
      <c r="R2058" s="10"/>
      <c r="S2058" s="10"/>
      <c r="T2058" s="10"/>
      <c r="U2058" s="10"/>
      <c r="V2058" s="10"/>
      <c r="W2058" s="10"/>
      <c r="X2058" s="10"/>
      <c r="Y2058" s="10"/>
      <c r="Z2058" s="10"/>
    </row>
    <row r="2059" spans="1:26" ht="12.75">
      <c r="A2059" s="10" t="str">
        <f ca="1">IFERROR(__xludf.DUMMYFUNCTION("""COMPUTED_VALUE"""),"Гошо Кирилов Петков")</f>
        <v>Гошо Кирилов Петков</v>
      </c>
      <c r="B2059" s="10" t="str">
        <f ca="1">IFERROR(__xludf.DUMMYFUNCTION("""COMPUTED_VALUE"""),"Доклад от конференция")</f>
        <v>Доклад от конференция</v>
      </c>
      <c r="C2059" s="10" t="str">
        <f ca="1">IFERROR(__xludf.DUMMYFUNCTION("""COMPUTED_VALUE"""),"Особености във възприемането на военнообразователните среди. (на основата на емпирично изследване)")</f>
        <v>Особености във възприемането на военнообразователните среди. (на основата на емпирично изследване)</v>
      </c>
      <c r="D2059" s="10">
        <f ca="1">IFERROR(__xludf.DUMMYFUNCTION("""COMPUTED_VALUE"""),2008)</f>
        <v>2008</v>
      </c>
      <c r="E2059" s="10" t="str">
        <f ca="1">IFERROR(__xludf.DUMMYFUNCTION("""COMPUTED_VALUE"""),"Научна сесия на Националния военен университет, проведена на 9 и 10 октомври 2008 г.")</f>
        <v>Научна сесия на Националния военен университет, проведена на 9 и 10 октомври 2008 г.</v>
      </c>
      <c r="F2059" s="10"/>
      <c r="G2059" s="10"/>
      <c r="H2059" s="10"/>
      <c r="I2059" s="10"/>
      <c r="J2059" s="10"/>
      <c r="K2059" s="10"/>
      <c r="L2059" s="10"/>
      <c r="M2059" s="10"/>
      <c r="N2059" s="10"/>
      <c r="O2059" s="10"/>
      <c r="P2059" s="10"/>
      <c r="Q2059" s="10"/>
      <c r="R2059" s="10"/>
      <c r="S2059" s="10"/>
      <c r="T2059" s="10"/>
      <c r="U2059" s="10"/>
      <c r="V2059" s="10"/>
      <c r="W2059" s="10"/>
      <c r="X2059" s="10"/>
      <c r="Y2059" s="10"/>
      <c r="Z2059" s="10"/>
    </row>
    <row r="2060" spans="1:26" ht="12.75">
      <c r="A2060" s="10" t="str">
        <f ca="1">IFERROR(__xludf.DUMMYFUNCTION("""COMPUTED_VALUE"""),"Гошо Кирилов Петков")</f>
        <v>Гошо Кирилов Петков</v>
      </c>
      <c r="B2060" s="10" t="str">
        <f ca="1">IFERROR(__xludf.DUMMYFUNCTION("""COMPUTED_VALUE"""),"Статия в списания и поредици")</f>
        <v>Статия в списания и поредици</v>
      </c>
      <c r="C2060" s="10" t="str">
        <f ca="1">IFERROR(__xludf.DUMMYFUNCTION("""COMPUTED_VALUE"""),"За онтологичните основи на теорията на преднамереното пряко скрито разузнавателно присъствие")</f>
        <v>За онтологичните основи на теорията на преднамереното пряко скрито разузнавателно присъствие</v>
      </c>
      <c r="D2060" s="10">
        <f ca="1">IFERROR(__xludf.DUMMYFUNCTION("""COMPUTED_VALUE"""),2008)</f>
        <v>2008</v>
      </c>
      <c r="E2060" s="10" t="str">
        <f ca="1">IFERROR(__xludf.DUMMYFUNCTION("""COMPUTED_VALUE"""),"Военен журнал, 1, 2008")</f>
        <v>Военен журнал, 1, 2008</v>
      </c>
      <c r="F2060" s="10"/>
      <c r="G2060" s="10"/>
      <c r="H2060" s="10"/>
      <c r="I2060" s="10"/>
      <c r="J2060" s="10"/>
      <c r="K2060" s="10"/>
      <c r="L2060" s="10"/>
      <c r="M2060" s="10"/>
      <c r="N2060" s="10"/>
      <c r="O2060" s="10"/>
      <c r="P2060" s="10"/>
      <c r="Q2060" s="10"/>
      <c r="R2060" s="10"/>
      <c r="S2060" s="10"/>
      <c r="T2060" s="10"/>
      <c r="U2060" s="10"/>
      <c r="V2060" s="10"/>
      <c r="W2060" s="10"/>
      <c r="X2060" s="10"/>
      <c r="Y2060" s="10"/>
      <c r="Z2060" s="10"/>
    </row>
    <row r="2061" spans="1:26" ht="12.75">
      <c r="A2061" s="10" t="str">
        <f ca="1">IFERROR(__xludf.DUMMYFUNCTION("""COMPUTED_VALUE"""),"Гошо Кирилов Петков")</f>
        <v>Гошо Кирилов Петков</v>
      </c>
      <c r="B2061" s="10" t="str">
        <f ca="1">IFERROR(__xludf.DUMMYFUNCTION("""COMPUTED_VALUE"""),"Доклад от конференция")</f>
        <v>Доклад от конференция</v>
      </c>
      <c r="C2061" s="10" t="str">
        <f ca="1">IFERROR(__xludf.DUMMYFUNCTION("""COMPUTED_VALUE"""),"Стратегическият военен лидер – психологически аспекти на подбора и обучението")</f>
        <v>Стратегическият военен лидер – психологически аспекти на подбора и обучението</v>
      </c>
      <c r="D2061" s="10">
        <f ca="1">IFERROR(__xludf.DUMMYFUNCTION("""COMPUTED_VALUE"""),2007)</f>
        <v>2007</v>
      </c>
      <c r="E2061" s="10" t="str">
        <f ca="1">IFERROR(__xludf.DUMMYFUNCTION("""COMPUTED_VALUE"""),"Лидерски практики. Сборник доклади, изнесени на Четвъртата международна изследователска работна среща „Военно лидерство и гражданско-военни отношения”, проведена на 22 и 23 ноември 2007 г.")</f>
        <v>Лидерски практики. Сборник доклади, изнесени на Четвъртата международна изследователска работна среща „Военно лидерство и гражданско-военни отношения”, проведена на 22 и 23 ноември 2007 г.</v>
      </c>
      <c r="F2061" s="10"/>
      <c r="G2061" s="10"/>
      <c r="H2061" s="10"/>
      <c r="I2061" s="10"/>
      <c r="J2061" s="10"/>
      <c r="K2061" s="10"/>
      <c r="L2061" s="10"/>
      <c r="M2061" s="10"/>
      <c r="N2061" s="10"/>
      <c r="O2061" s="10"/>
      <c r="P2061" s="10"/>
      <c r="Q2061" s="10"/>
      <c r="R2061" s="10"/>
      <c r="S2061" s="10"/>
      <c r="T2061" s="10"/>
      <c r="U2061" s="10"/>
      <c r="V2061" s="10"/>
      <c r="W2061" s="10"/>
      <c r="X2061" s="10"/>
      <c r="Y2061" s="10"/>
      <c r="Z2061" s="10"/>
    </row>
    <row r="2062" spans="1:26" ht="12.75">
      <c r="A2062" s="10" t="str">
        <f ca="1">IFERROR(__xludf.DUMMYFUNCTION("""COMPUTED_VALUE"""),"Гошо Кирилов Петков")</f>
        <v>Гошо Кирилов Петков</v>
      </c>
      <c r="B2062" s="10" t="str">
        <f ca="1">IFERROR(__xludf.DUMMYFUNCTION("""COMPUTED_VALUE"""),"Статия в списания и поредици")</f>
        <v>Статия в списания и поредици</v>
      </c>
      <c r="C2062" s="10" t="str">
        <f ca="1">IFERROR(__xludf.DUMMYFUNCTION("""COMPUTED_VALUE"""),"Различия в образователните среди, според перцепциите на преподавателите.")</f>
        <v>Различия в образователните среди, според перцепциите на преподавателите.</v>
      </c>
      <c r="D2062" s="10">
        <f ca="1">IFERROR(__xludf.DUMMYFUNCTION("""COMPUTED_VALUE"""),2007)</f>
        <v>2007</v>
      </c>
      <c r="E2062" s="10" t="str">
        <f ca="1">IFERROR(__xludf.DUMMYFUNCTION("""COMPUTED_VALUE"""),"ВСУ ”Черноризец храбър”, В., 22.05.2007, НК Приложна психология, с. 56-69, ISBN 978-954-715-391-2")</f>
        <v>ВСУ ”Черноризец храбър”, В., 22.05.2007, НК Приложна психология, с. 56-69, ISBN 978-954-715-391-2</v>
      </c>
      <c r="F2062" s="10"/>
      <c r="G2062" s="10" t="str">
        <f ca="1">IFERROR(__xludf.DUMMYFUNCTION("""COMPUTED_VALUE"""),"Евгени Петров Манев")</f>
        <v>Евгени Петров Манев</v>
      </c>
      <c r="H2062" s="10"/>
      <c r="I2062" s="10"/>
      <c r="J2062" s="10"/>
      <c r="K2062" s="10"/>
      <c r="L2062" s="10"/>
      <c r="M2062" s="10"/>
      <c r="N2062" s="10"/>
      <c r="O2062" s="10"/>
      <c r="P2062" s="10"/>
      <c r="Q2062" s="10"/>
      <c r="R2062" s="10"/>
      <c r="S2062" s="10"/>
      <c r="T2062" s="10"/>
      <c r="U2062" s="10"/>
      <c r="V2062" s="10"/>
      <c r="W2062" s="10"/>
      <c r="X2062" s="10"/>
      <c r="Y2062" s="10"/>
      <c r="Z2062" s="10"/>
    </row>
    <row r="2063" spans="1:26" ht="12.75">
      <c r="A2063" s="10" t="str">
        <f ca="1">IFERROR(__xludf.DUMMYFUNCTION("""COMPUTED_VALUE"""),"Гошо Кирилов Петков")</f>
        <v>Гошо Кирилов Петков</v>
      </c>
      <c r="B2063" s="10" t="str">
        <f ca="1">IFERROR(__xludf.DUMMYFUNCTION("""COMPUTED_VALUE"""),"Статия в списания и поредици")</f>
        <v>Статия в списания и поредици</v>
      </c>
      <c r="C2063" s="10" t="str">
        <f ca="1">IFERROR(__xludf.DUMMYFUNCTION("""COMPUTED_VALUE"""),"Различия в образователните среди според перцепциите на преподавателите")</f>
        <v>Различия в образователните среди според перцепциите на преподавателите</v>
      </c>
      <c r="D2063" s="10">
        <f ca="1">IFERROR(__xludf.DUMMYFUNCTION("""COMPUTED_VALUE"""),2007)</f>
        <v>2007</v>
      </c>
      <c r="E2063" s="10" t="str">
        <f ca="1">IFERROR(__xludf.DUMMYFUNCTION("""COMPUTED_VALUE"""),"Научна конференция на ВСУ „Черноризец Храбър”, Варна, май 2007. ISSN 1314-8397")</f>
        <v>Научна конференция на ВСУ „Черноризец Храбър”, Варна, май 2007. ISSN 1314-8397</v>
      </c>
      <c r="F2063" s="10"/>
      <c r="G2063" s="10"/>
      <c r="H2063" s="10"/>
      <c r="I2063" s="10"/>
      <c r="J2063" s="10"/>
      <c r="K2063" s="10"/>
      <c r="L2063" s="10"/>
      <c r="M2063" s="10"/>
      <c r="N2063" s="10"/>
      <c r="O2063" s="10"/>
      <c r="P2063" s="10"/>
      <c r="Q2063" s="10"/>
      <c r="R2063" s="10"/>
      <c r="S2063" s="10"/>
      <c r="T2063" s="10"/>
      <c r="U2063" s="10"/>
      <c r="V2063" s="10"/>
      <c r="W2063" s="10"/>
      <c r="X2063" s="10"/>
      <c r="Y2063" s="10"/>
      <c r="Z2063" s="10"/>
    </row>
    <row r="2064" spans="1:26" ht="12.75">
      <c r="A2064" s="10" t="str">
        <f ca="1">IFERROR(__xludf.DUMMYFUNCTION("""COMPUTED_VALUE"""),"Гошо Кирилов Петков")</f>
        <v>Гошо Кирилов Петков</v>
      </c>
      <c r="B2064" s="10" t="str">
        <f ca="1">IFERROR(__xludf.DUMMYFUNCTION("""COMPUTED_VALUE"""),"Статия в списания и поредици")</f>
        <v>Статия в списания и поредици</v>
      </c>
      <c r="C2064" s="10" t="str">
        <f ca="1">IFERROR(__xludf.DUMMYFUNCTION("""COMPUTED_VALUE"""),"Перцепциите на образователната среда – основа на индивидуалното поведение на обучаемите.")</f>
        <v>Перцепциите на образователната среда – основа на индивидуалното поведение на обучаемите.</v>
      </c>
      <c r="D2064" s="10">
        <f ca="1">IFERROR(__xludf.DUMMYFUNCTION("""COMPUTED_VALUE"""),2007)</f>
        <v>2007</v>
      </c>
      <c r="E2064" s="10" t="str">
        <f ca="1">IFERROR(__xludf.DUMMYFUNCTION("""COMPUTED_VALUE"""),"Военен журнал: двумесечно издание на Министерство на отбраната, 2 ISSN 2534-8388")</f>
        <v>Военен журнал: двумесечно издание на Министерство на отбраната, 2 ISSN 2534-8388</v>
      </c>
      <c r="F2064" s="10"/>
      <c r="G2064" s="10"/>
      <c r="H2064" s="10"/>
      <c r="I2064" s="10"/>
      <c r="J2064" s="10"/>
      <c r="K2064" s="10"/>
      <c r="L2064" s="10"/>
      <c r="M2064" s="10"/>
      <c r="N2064" s="10"/>
      <c r="O2064" s="10"/>
      <c r="P2064" s="10"/>
      <c r="Q2064" s="10"/>
      <c r="R2064" s="10"/>
      <c r="S2064" s="10"/>
      <c r="T2064" s="10"/>
      <c r="U2064" s="10"/>
      <c r="V2064" s="10"/>
      <c r="W2064" s="10"/>
      <c r="X2064" s="10"/>
      <c r="Y2064" s="10"/>
      <c r="Z2064" s="10"/>
    </row>
    <row r="2065" spans="1:26" ht="12.75">
      <c r="A2065" s="10" t="str">
        <f ca="1">IFERROR(__xludf.DUMMYFUNCTION("""COMPUTED_VALUE"""),"Гошо Кирилов Петков")</f>
        <v>Гошо Кирилов Петков</v>
      </c>
      <c r="B2065" s="10" t="str">
        <f ca="1">IFERROR(__xludf.DUMMYFUNCTION("""COMPUTED_VALUE"""),"Статия в списания и поредици")</f>
        <v>Статия в списания и поредици</v>
      </c>
      <c r="C2065" s="10" t="str">
        <f ca="1">IFERROR(__xludf.DUMMYFUNCTION("""COMPUTED_VALUE"""),"Цели, задачи и стандарти пред преднамереното пряко скрито разузнавателно присъствие.")</f>
        <v>Цели, задачи и стандарти пред преднамереното пряко скрито разузнавателно присъствие.</v>
      </c>
      <c r="D2065" s="10">
        <f ca="1">IFERROR(__xludf.DUMMYFUNCTION("""COMPUTED_VALUE"""),2007)</f>
        <v>2007</v>
      </c>
      <c r="E2065" s="10" t="str">
        <f ca="1">IFERROR(__xludf.DUMMYFUNCTION("""COMPUTED_VALUE"""),"Военен журнал, 2. ISSN 2534-8388")</f>
        <v>Военен журнал, 2. ISSN 2534-8388</v>
      </c>
      <c r="F2065" s="10"/>
      <c r="G2065" s="10"/>
      <c r="H2065" s="10"/>
      <c r="I2065" s="10"/>
      <c r="J2065" s="10"/>
      <c r="K2065" s="10"/>
      <c r="L2065" s="10"/>
      <c r="M2065" s="10"/>
      <c r="N2065" s="10"/>
      <c r="O2065" s="10"/>
      <c r="P2065" s="10"/>
      <c r="Q2065" s="10"/>
      <c r="R2065" s="10"/>
      <c r="S2065" s="10"/>
      <c r="T2065" s="10"/>
      <c r="U2065" s="10"/>
      <c r="V2065" s="10"/>
      <c r="W2065" s="10"/>
      <c r="X2065" s="10"/>
      <c r="Y2065" s="10"/>
      <c r="Z2065" s="10"/>
    </row>
    <row r="2066" spans="1:26" ht="12.75">
      <c r="A2066" s="10" t="str">
        <f ca="1">IFERROR(__xludf.DUMMYFUNCTION("""COMPUTED_VALUE"""),"Гошо Кирилов Петков")</f>
        <v>Гошо Кирилов Петков</v>
      </c>
      <c r="B2066" s="10" t="str">
        <f ca="1">IFERROR(__xludf.DUMMYFUNCTION("""COMPUTED_VALUE"""),"Статия в списания и поредици")</f>
        <v>Статия в списания и поредици</v>
      </c>
      <c r="C2066" s="10" t="str">
        <f ca="1">IFERROR(__xludf.DUMMYFUNCTION("""COMPUTED_VALUE"""),"Разпитът като форма за събиране на информация.")</f>
        <v>Разпитът като форма за събиране на информация.</v>
      </c>
      <c r="D2066" s="10">
        <f ca="1">IFERROR(__xludf.DUMMYFUNCTION("""COMPUTED_VALUE"""),2007)</f>
        <v>2007</v>
      </c>
      <c r="E2066" s="10" t="str">
        <f ca="1">IFERROR(__xludf.DUMMYFUNCTION("""COMPUTED_VALUE"""),"Военен журнал: двумесечно издание на Министерство на отбраната, ISSN 0861-7392.-CXIV, 6 (2007), s. 137-151")</f>
        <v>Военен журнал: двумесечно издание на Министерство на отбраната, ISSN 0861-7392.-CXIV, 6 (2007), s. 137-151</v>
      </c>
      <c r="F2066" s="10"/>
      <c r="G2066" s="10"/>
      <c r="H2066" s="10"/>
      <c r="I2066" s="10"/>
      <c r="J2066" s="10"/>
      <c r="K2066" s="10"/>
      <c r="L2066" s="10"/>
      <c r="M2066" s="10"/>
      <c r="N2066" s="10"/>
      <c r="O2066" s="10"/>
      <c r="P2066" s="10"/>
      <c r="Q2066" s="10"/>
      <c r="R2066" s="10"/>
      <c r="S2066" s="10"/>
      <c r="T2066" s="10"/>
      <c r="U2066" s="10"/>
      <c r="V2066" s="10"/>
      <c r="W2066" s="10"/>
      <c r="X2066" s="10"/>
      <c r="Y2066" s="10"/>
      <c r="Z2066" s="10"/>
    </row>
    <row r="2067" spans="1:26" ht="12.75">
      <c r="A2067" s="10" t="str">
        <f ca="1">IFERROR(__xludf.DUMMYFUNCTION("""COMPUTED_VALUE"""),"Гошо Кирилов Петков")</f>
        <v>Гошо Кирилов Петков</v>
      </c>
      <c r="B2067" s="10" t="str">
        <f ca="1">IFERROR(__xludf.DUMMYFUNCTION("""COMPUTED_VALUE"""),"Статия в списания и поредици")</f>
        <v>Статия в списания и поредици</v>
      </c>
      <c r="C2067" s="10" t="str">
        <f ca="1">IFERROR(__xludf.DUMMYFUNCTION("""COMPUTED_VALUE"""),"Влияние на перцепциите на образователната среда върху академичните резултати на студентите.")</f>
        <v>Влияние на перцепциите на образователната среда върху академичните резултати на студентите.</v>
      </c>
      <c r="D2067" s="10">
        <f ca="1">IFERROR(__xludf.DUMMYFUNCTION("""COMPUTED_VALUE"""),2007)</f>
        <v>2007</v>
      </c>
      <c r="E2067" s="10" t="str">
        <f ca="1">IFERROR(__xludf.DUMMYFUNCTION("""COMPUTED_VALUE"""),"Научна конференция на ВСУ „Черноризец Храбър”, Варна, май 2007.")</f>
        <v>Научна конференция на ВСУ „Черноризец Храбър”, Варна, май 2007.</v>
      </c>
      <c r="F2067" s="10"/>
      <c r="G2067" s="10"/>
      <c r="H2067" s="10"/>
      <c r="I2067" s="10"/>
      <c r="J2067" s="10"/>
      <c r="K2067" s="10"/>
      <c r="L2067" s="10"/>
      <c r="M2067" s="10"/>
      <c r="N2067" s="10"/>
      <c r="O2067" s="10"/>
      <c r="P2067" s="10"/>
      <c r="Q2067" s="10"/>
      <c r="R2067" s="10"/>
      <c r="S2067" s="10"/>
      <c r="T2067" s="10"/>
      <c r="U2067" s="10"/>
      <c r="V2067" s="10"/>
      <c r="W2067" s="10"/>
      <c r="X2067" s="10"/>
      <c r="Y2067" s="10"/>
      <c r="Z2067" s="10"/>
    </row>
    <row r="2068" spans="1:26" ht="12.75">
      <c r="A2068" s="10" t="str">
        <f ca="1">IFERROR(__xludf.DUMMYFUNCTION("""COMPUTED_VALUE"""),"Гошо Кирилов Петков")</f>
        <v>Гошо Кирилов Петков</v>
      </c>
      <c r="B2068" s="10" t="str">
        <f ca="1">IFERROR(__xludf.DUMMYFUNCTION("""COMPUTED_VALUE"""),"Статия в списания и поредици")</f>
        <v>Статия в списания и поредици</v>
      </c>
      <c r="C2068" s="10" t="str">
        <f ca="1">IFERROR(__xludf.DUMMYFUNCTION("""COMPUTED_VALUE"""),"Специфични особености във възприемането на две образователни среди.")</f>
        <v>Специфични особености във възприемането на две образователни среди.</v>
      </c>
      <c r="D2068" s="10">
        <f ca="1">IFERROR(__xludf.DUMMYFUNCTION("""COMPUTED_VALUE"""),2007)</f>
        <v>2007</v>
      </c>
      <c r="E2068" s="10" t="str">
        <f ca="1">IFERROR(__xludf.DUMMYFUNCTION("""COMPUTED_VALUE"""),"Военен журнал: двумесечно издание на Министерство на отбраната, ISSN 0861-7392.-CXIV, 4 (2007), s. 121-128")</f>
        <v>Военен журнал: двумесечно издание на Министерство на отбраната, ISSN 0861-7392.-CXIV, 4 (2007), s. 121-128</v>
      </c>
      <c r="F2068" s="10"/>
      <c r="G2068" s="10" t="str">
        <f ca="1">IFERROR(__xludf.DUMMYFUNCTION("""COMPUTED_VALUE"""),"Евгени Манев")</f>
        <v>Евгени Манев</v>
      </c>
      <c r="H2068" s="10"/>
      <c r="I2068" s="10"/>
      <c r="J2068" s="10"/>
      <c r="K2068" s="10"/>
      <c r="L2068" s="10"/>
      <c r="M2068" s="10"/>
      <c r="N2068" s="10"/>
      <c r="O2068" s="10"/>
      <c r="P2068" s="10"/>
      <c r="Q2068" s="10"/>
      <c r="R2068" s="10"/>
      <c r="S2068" s="10"/>
      <c r="T2068" s="10"/>
      <c r="U2068" s="10"/>
      <c r="V2068" s="10"/>
      <c r="W2068" s="10"/>
      <c r="X2068" s="10"/>
      <c r="Y2068" s="10"/>
      <c r="Z2068" s="10"/>
    </row>
    <row r="2069" spans="1:26" ht="12.75">
      <c r="A2069" s="10" t="str">
        <f ca="1">IFERROR(__xludf.DUMMYFUNCTION("""COMPUTED_VALUE"""),"Гошо Кирилов Петков")</f>
        <v>Гошо Кирилов Петков</v>
      </c>
      <c r="B2069" s="10" t="str">
        <f ca="1">IFERROR(__xludf.DUMMYFUNCTION("""COMPUTED_VALUE"""),"Статия в списания и поредици")</f>
        <v>Статия в списания и поредици</v>
      </c>
      <c r="C2069" s="10" t="str">
        <f ca="1">IFERROR(__xludf.DUMMYFUNCTION("""COMPUTED_VALUE"""),"Поведението на „дееца от чуждия суверенитет” в контекста на теорията за обмисленото действие.")</f>
        <v>Поведението на „дееца от чуждия суверенитет” в контекста на теорията за обмисленото действие.</v>
      </c>
      <c r="D2069" s="10">
        <f ca="1">IFERROR(__xludf.DUMMYFUNCTION("""COMPUTED_VALUE"""),2007)</f>
        <v>2007</v>
      </c>
      <c r="E2069" s="10" t="str">
        <f ca="1">IFERROR(__xludf.DUMMYFUNCTION("""COMPUTED_VALUE"""),"Военен журнал, двумесечно списание на Министерство на отбраната, ISSN 0861-7392.-CXIV, 4 (2007), s. 152-157")</f>
        <v>Военен журнал, двумесечно списание на Министерство на отбраната, ISSN 0861-7392.-CXIV, 4 (2007), s. 152-157</v>
      </c>
      <c r="F2069" s="10"/>
      <c r="G2069" s="10"/>
      <c r="H2069" s="10"/>
      <c r="I2069" s="10"/>
      <c r="J2069" s="10"/>
      <c r="K2069" s="10"/>
      <c r="L2069" s="10"/>
      <c r="M2069" s="10"/>
      <c r="N2069" s="10"/>
      <c r="O2069" s="10"/>
      <c r="P2069" s="10"/>
      <c r="Q2069" s="10"/>
      <c r="R2069" s="10"/>
      <c r="S2069" s="10"/>
      <c r="T2069" s="10"/>
      <c r="U2069" s="10"/>
      <c r="V2069" s="10"/>
      <c r="W2069" s="10"/>
      <c r="X2069" s="10"/>
      <c r="Y2069" s="10"/>
      <c r="Z2069" s="10"/>
    </row>
    <row r="2070" spans="1:26" ht="12.75">
      <c r="A2070" s="10" t="str">
        <f ca="1">IFERROR(__xludf.DUMMYFUNCTION("""COMPUTED_VALUE"""),"Гошо Кирилов Петков")</f>
        <v>Гошо Кирилов Петков</v>
      </c>
      <c r="B2070" s="10" t="str">
        <f ca="1">IFERROR(__xludf.DUMMYFUNCTION("""COMPUTED_VALUE"""),"Монография")</f>
        <v>Монография</v>
      </c>
      <c r="C2070" s="10" t="str">
        <f ca="1">IFERROR(__xludf.DUMMYFUNCTION("""COMPUTED_VALUE"""),"Стратегическо ръководство и лидерство. Тетрадка по лидерство.")</f>
        <v>Стратегическо ръководство и лидерство. Тетрадка по лидерство.</v>
      </c>
      <c r="D2070" s="10">
        <f ca="1">IFERROR(__xludf.DUMMYFUNCTION("""COMPUTED_VALUE"""),2007)</f>
        <v>2007</v>
      </c>
      <c r="E2070" s="10" t="str">
        <f ca="1">IFERROR(__xludf.DUMMYFUNCTION("""COMPUTED_VALUE"""),"СОФТТРЕЙД. С., 2007, ISBN 978-954-334-057-6")</f>
        <v>СОФТТРЕЙД. С., 2007, ISBN 978-954-334-057-6</v>
      </c>
      <c r="F2070" s="10"/>
      <c r="G2070" s="10"/>
      <c r="H2070" s="10"/>
      <c r="I2070" s="10"/>
      <c r="J2070" s="10"/>
      <c r="K2070" s="10"/>
      <c r="L2070" s="10"/>
      <c r="M2070" s="10"/>
      <c r="N2070" s="10"/>
      <c r="O2070" s="10"/>
      <c r="P2070" s="10"/>
      <c r="Q2070" s="10"/>
      <c r="R2070" s="10"/>
      <c r="S2070" s="10"/>
      <c r="T2070" s="10"/>
      <c r="U2070" s="10"/>
      <c r="V2070" s="10"/>
      <c r="W2070" s="10"/>
      <c r="X2070" s="10"/>
      <c r="Y2070" s="10"/>
      <c r="Z2070" s="10"/>
    </row>
    <row r="2071" spans="1:26" ht="12.75">
      <c r="A2071" s="10" t="str">
        <f ca="1">IFERROR(__xludf.DUMMYFUNCTION("""COMPUTED_VALUE"""),"Гошо Кирилов Петков")</f>
        <v>Гошо Кирилов Петков</v>
      </c>
      <c r="B2071" s="10" t="str">
        <f ca="1">IFERROR(__xludf.DUMMYFUNCTION("""COMPUTED_VALUE"""),"Статия в списания и поредици")</f>
        <v>Статия в списания и поредици</v>
      </c>
      <c r="C2071" s="10" t="str">
        <f ca="1">IFERROR(__xludf.DUMMYFUNCTION("""COMPUTED_VALUE"""),"Теорията на преднамереното пряко скрито присъствие – научна основа за осмисляне и усъвършенстване на разузнавателната практика")</f>
        <v>Теорията на преднамереното пряко скрито присъствие – научна основа за осмисляне и усъвършенстване на разузнавателната практика</v>
      </c>
      <c r="D2071" s="10">
        <f ca="1">IFERROR(__xludf.DUMMYFUNCTION("""COMPUTED_VALUE"""),2007)</f>
        <v>2007</v>
      </c>
      <c r="E2071" s="10" t="str">
        <f ca="1">IFERROR(__xludf.DUMMYFUNCTION("""COMPUTED_VALUE"""),"Военен журнал, 1, 2007.")</f>
        <v>Военен журнал, 1, 2007.</v>
      </c>
      <c r="F2071" s="10"/>
      <c r="G2071" s="10"/>
      <c r="H2071" s="10"/>
      <c r="I2071" s="10"/>
      <c r="J2071" s="10"/>
      <c r="K2071" s="10"/>
      <c r="L2071" s="10"/>
      <c r="M2071" s="10"/>
      <c r="N2071" s="10"/>
      <c r="O2071" s="10"/>
      <c r="P2071" s="10"/>
      <c r="Q2071" s="10"/>
      <c r="R2071" s="10"/>
      <c r="S2071" s="10"/>
      <c r="T2071" s="10"/>
      <c r="U2071" s="10"/>
      <c r="V2071" s="10"/>
      <c r="W2071" s="10"/>
      <c r="X2071" s="10"/>
      <c r="Y2071" s="10"/>
      <c r="Z2071" s="10"/>
    </row>
    <row r="2072" spans="1:26" ht="12.75">
      <c r="A2072" s="10" t="str">
        <f ca="1">IFERROR(__xludf.DUMMYFUNCTION("""COMPUTED_VALUE"""),"Гошо Кирилов Петков")</f>
        <v>Гошо Кирилов Петков</v>
      </c>
      <c r="B2072" s="10" t="str">
        <f ca="1">IFERROR(__xludf.DUMMYFUNCTION("""COMPUTED_VALUE"""),"Статия в списания и поредици")</f>
        <v>Статия в списания и поредици</v>
      </c>
      <c r="C2072" s="10" t="str">
        <f ca="1">IFERROR(__xludf.DUMMYFUNCTION("""COMPUTED_VALUE"""),"Цели, задачи и стандарти пред преднамереното пряко скрито разузнавателно присъствие")</f>
        <v>Цели, задачи и стандарти пред преднамереното пряко скрито разузнавателно присъствие</v>
      </c>
      <c r="D2072" s="10">
        <f ca="1">IFERROR(__xludf.DUMMYFUNCTION("""COMPUTED_VALUE"""),2007)</f>
        <v>2007</v>
      </c>
      <c r="E2072" s="10" t="str">
        <f ca="1">IFERROR(__xludf.DUMMYFUNCTION("""COMPUTED_VALUE"""),"Военен журнал, 2, 2007.")</f>
        <v>Военен журнал, 2, 2007.</v>
      </c>
      <c r="F2072" s="10"/>
      <c r="G2072" s="10"/>
      <c r="H2072" s="10"/>
      <c r="I2072" s="10"/>
      <c r="J2072" s="10"/>
      <c r="K2072" s="10"/>
      <c r="L2072" s="10"/>
      <c r="M2072" s="10"/>
      <c r="N2072" s="10"/>
      <c r="O2072" s="10"/>
      <c r="P2072" s="10"/>
      <c r="Q2072" s="10"/>
      <c r="R2072" s="10"/>
      <c r="S2072" s="10"/>
      <c r="T2072" s="10"/>
      <c r="U2072" s="10"/>
      <c r="V2072" s="10"/>
      <c r="W2072" s="10"/>
      <c r="X2072" s="10"/>
      <c r="Y2072" s="10"/>
      <c r="Z2072" s="10"/>
    </row>
    <row r="2073" spans="1:26" ht="12.75">
      <c r="A2073" s="10" t="str">
        <f ca="1">IFERROR(__xludf.DUMMYFUNCTION("""COMPUTED_VALUE"""),"Гошо Кирилов Петков")</f>
        <v>Гошо Кирилов Петков</v>
      </c>
      <c r="B2073" s="10" t="str">
        <f ca="1">IFERROR(__xludf.DUMMYFUNCTION("""COMPUTED_VALUE"""),"Статия в списания и поредици")</f>
        <v>Статия в списания и поредици</v>
      </c>
      <c r="C2073" s="10" t="str">
        <f ca="1">IFERROR(__xludf.DUMMYFUNCTION("""COMPUTED_VALUE"""),"Перцепциите на образователната среда – основа на индивидуалното поведение на обучаемите")</f>
        <v>Перцепциите на образователната среда – основа на индивидуалното поведение на обучаемите</v>
      </c>
      <c r="D2073" s="10">
        <f ca="1">IFERROR(__xludf.DUMMYFUNCTION("""COMPUTED_VALUE"""),2007)</f>
        <v>2007</v>
      </c>
      <c r="E2073" s="10" t="str">
        <f ca="1">IFERROR(__xludf.DUMMYFUNCTION("""COMPUTED_VALUE"""),"Военен журнал, 2, 2007.")</f>
        <v>Военен журнал, 2, 2007.</v>
      </c>
      <c r="F2073" s="10"/>
      <c r="G2073" s="10"/>
      <c r="H2073" s="10"/>
      <c r="I2073" s="10"/>
      <c r="J2073" s="10"/>
      <c r="K2073" s="10"/>
      <c r="L2073" s="10"/>
      <c r="M2073" s="10"/>
      <c r="N2073" s="10"/>
      <c r="O2073" s="10"/>
      <c r="P2073" s="10"/>
      <c r="Q2073" s="10"/>
      <c r="R2073" s="10"/>
      <c r="S2073" s="10"/>
      <c r="T2073" s="10"/>
      <c r="U2073" s="10"/>
      <c r="V2073" s="10"/>
      <c r="W2073" s="10"/>
      <c r="X2073" s="10"/>
      <c r="Y2073" s="10"/>
      <c r="Z2073" s="10"/>
    </row>
    <row r="2074" spans="1:26" ht="12.75">
      <c r="A2074" s="10" t="str">
        <f ca="1">IFERROR(__xludf.DUMMYFUNCTION("""COMPUTED_VALUE"""),"Гошо Кирилов Петков")</f>
        <v>Гошо Кирилов Петков</v>
      </c>
      <c r="B2074" s="10" t="str">
        <f ca="1">IFERROR(__xludf.DUMMYFUNCTION("""COMPUTED_VALUE"""),"Статия в списания и поредици")</f>
        <v>Статия в списания и поредици</v>
      </c>
      <c r="C2074" s="10" t="str">
        <f ca="1">IFERROR(__xludf.DUMMYFUNCTION("""COMPUTED_VALUE"""),"Поведението на „деца от чуждия суверенитет” в контекста на теорията за обмисленото действие")</f>
        <v>Поведението на „деца от чуждия суверенитет” в контекста на теорията за обмисленото действие</v>
      </c>
      <c r="D2074" s="10">
        <f ca="1">IFERROR(__xludf.DUMMYFUNCTION("""COMPUTED_VALUE"""),2007)</f>
        <v>2007</v>
      </c>
      <c r="E2074" s="10" t="str">
        <f ca="1">IFERROR(__xludf.DUMMYFUNCTION("""COMPUTED_VALUE"""),"Военен журнал, 4, 2007.")</f>
        <v>Военен журнал, 4, 2007.</v>
      </c>
      <c r="F2074" s="10"/>
      <c r="G2074" s="10"/>
      <c r="H2074" s="10"/>
      <c r="I2074" s="10"/>
      <c r="J2074" s="10"/>
      <c r="K2074" s="10"/>
      <c r="L2074" s="10"/>
      <c r="M2074" s="10"/>
      <c r="N2074" s="10"/>
      <c r="O2074" s="10"/>
      <c r="P2074" s="10"/>
      <c r="Q2074" s="10"/>
      <c r="R2074" s="10"/>
      <c r="S2074" s="10"/>
      <c r="T2074" s="10"/>
      <c r="U2074" s="10"/>
      <c r="V2074" s="10"/>
      <c r="W2074" s="10"/>
      <c r="X2074" s="10"/>
      <c r="Y2074" s="10"/>
      <c r="Z2074" s="10"/>
    </row>
    <row r="2075" spans="1:26" ht="12.75">
      <c r="A2075" s="10" t="str">
        <f ca="1">IFERROR(__xludf.DUMMYFUNCTION("""COMPUTED_VALUE"""),"Гошо Кирилов Петков")</f>
        <v>Гошо Кирилов Петков</v>
      </c>
      <c r="B2075" s="10" t="str">
        <f ca="1">IFERROR(__xludf.DUMMYFUNCTION("""COMPUTED_VALUE"""),"Статия в списания и поредици")</f>
        <v>Статия в списания и поредици</v>
      </c>
      <c r="C2075" s="10" t="str">
        <f ca="1">IFERROR(__xludf.DUMMYFUNCTION("""COMPUTED_VALUE"""),"Разпитът като форма за събиране на информация")</f>
        <v>Разпитът като форма за събиране на информация</v>
      </c>
      <c r="D2075" s="10">
        <f ca="1">IFERROR(__xludf.DUMMYFUNCTION("""COMPUTED_VALUE"""),2007)</f>
        <v>2007</v>
      </c>
      <c r="E2075" s="10" t="str">
        <f ca="1">IFERROR(__xludf.DUMMYFUNCTION("""COMPUTED_VALUE"""),"Военен журнал, 6, 2007")</f>
        <v>Военен журнал, 6, 2007</v>
      </c>
      <c r="F2075" s="10"/>
      <c r="G2075" s="10"/>
      <c r="H2075" s="10"/>
      <c r="I2075" s="10"/>
      <c r="J2075" s="10"/>
      <c r="K2075" s="10"/>
      <c r="L2075" s="10"/>
      <c r="M2075" s="10"/>
      <c r="N2075" s="10"/>
      <c r="O2075" s="10"/>
      <c r="P2075" s="10"/>
      <c r="Q2075" s="10"/>
      <c r="R2075" s="10"/>
      <c r="S2075" s="10"/>
      <c r="T2075" s="10"/>
      <c r="U2075" s="10"/>
      <c r="V2075" s="10"/>
      <c r="W2075" s="10"/>
      <c r="X2075" s="10"/>
      <c r="Y2075" s="10"/>
      <c r="Z2075" s="10"/>
    </row>
    <row r="2076" spans="1:26" ht="12.75">
      <c r="A2076" s="10" t="str">
        <f ca="1">IFERROR(__xludf.DUMMYFUNCTION("""COMPUTED_VALUE"""),"Гошо Кирилов Петков")</f>
        <v>Гошо Кирилов Петков</v>
      </c>
      <c r="B2076" s="10" t="str">
        <f ca="1">IFERROR(__xludf.DUMMYFUNCTION("""COMPUTED_VALUE"""),"Статия в списания и поредици")</f>
        <v>Статия в списания и поредици</v>
      </c>
      <c r="C2076" s="10" t="str">
        <f ca="1">IFERROR(__xludf.DUMMYFUNCTION("""COMPUTED_VALUE"""),"Теорията на преднамереното пряко скрито присъствие – науч-на основа за осмисляне и усъвършенстване на разузнава-телната практика.")</f>
        <v>Теорията на преднамереното пряко скрито присъствие – науч-на основа за осмисляне и усъвършенстване на разузнава-телната практика.</v>
      </c>
      <c r="D2076" s="10">
        <f ca="1">IFERROR(__xludf.DUMMYFUNCTION("""COMPUTED_VALUE"""),2007)</f>
        <v>2007</v>
      </c>
      <c r="E2076" s="10" t="str">
        <f ca="1">IFERROR(__xludf.DUMMYFUNCTION("""COMPUTED_VALUE"""),"Военен журнал, 1, 2007 ISSN 2534-8388")</f>
        <v>Военен журнал, 1, 2007 ISSN 2534-8388</v>
      </c>
      <c r="F2076" s="10"/>
      <c r="G2076" s="10"/>
      <c r="H2076" s="10"/>
      <c r="I2076" s="10"/>
      <c r="J2076" s="10"/>
      <c r="K2076" s="10"/>
      <c r="L2076" s="10"/>
      <c r="M2076" s="10"/>
      <c r="N2076" s="10"/>
      <c r="O2076" s="10"/>
      <c r="P2076" s="10"/>
      <c r="Q2076" s="10"/>
      <c r="R2076" s="10"/>
      <c r="S2076" s="10"/>
      <c r="T2076" s="10"/>
      <c r="U2076" s="10"/>
      <c r="V2076" s="10"/>
      <c r="W2076" s="10"/>
      <c r="X2076" s="10"/>
      <c r="Y2076" s="10"/>
      <c r="Z2076" s="10"/>
    </row>
    <row r="2077" spans="1:26" ht="12.75">
      <c r="A2077" s="10" t="str">
        <f ca="1">IFERROR(__xludf.DUMMYFUNCTION("""COMPUTED_VALUE"""),"Гошо Кирилов Петков")</f>
        <v>Гошо Кирилов Петков</v>
      </c>
      <c r="B2077" s="10" t="str">
        <f ca="1">IFERROR(__xludf.DUMMYFUNCTION("""COMPUTED_VALUE"""),"Доклад от конференция")</f>
        <v>Доклад от конференция</v>
      </c>
      <c r="C2077" s="10" t="str">
        <f ca="1">IFERROR(__xludf.DUMMYFUNCTION("""COMPUTED_VALUE"""),"Различия в образователните среди според перцепциите на преподавателите")</f>
        <v>Различия в образователните среди според перцепциите на преподавателите</v>
      </c>
      <c r="D2077" s="10">
        <f ca="1">IFERROR(__xludf.DUMMYFUNCTION("""COMPUTED_VALUE"""),2007)</f>
        <v>2007</v>
      </c>
      <c r="E2077" s="10" t="str">
        <f ca="1">IFERROR(__xludf.DUMMYFUNCTION("""COMPUTED_VALUE"""),"Научна конференция. ВСУ, Варна, 2007")</f>
        <v>Научна конференция. ВСУ, Варна, 2007</v>
      </c>
      <c r="F2077" s="10"/>
      <c r="G2077" s="10"/>
      <c r="H2077" s="10"/>
      <c r="I2077" s="10"/>
      <c r="J2077" s="10"/>
      <c r="K2077" s="10"/>
      <c r="L2077" s="10"/>
      <c r="M2077" s="10"/>
      <c r="N2077" s="10"/>
      <c r="O2077" s="10"/>
      <c r="P2077" s="10"/>
      <c r="Q2077" s="10"/>
      <c r="R2077" s="10"/>
      <c r="S2077" s="10"/>
      <c r="T2077" s="10"/>
      <c r="U2077" s="10"/>
      <c r="V2077" s="10"/>
      <c r="W2077" s="10"/>
      <c r="X2077" s="10"/>
      <c r="Y2077" s="10"/>
      <c r="Z2077" s="10"/>
    </row>
    <row r="2078" spans="1:26" ht="12.75">
      <c r="A2078" s="10" t="str">
        <f ca="1">IFERROR(__xludf.DUMMYFUNCTION("""COMPUTED_VALUE"""),"Гошо Кирилов Петков")</f>
        <v>Гошо Кирилов Петков</v>
      </c>
      <c r="B2078" s="10" t="str">
        <f ca="1">IFERROR(__xludf.DUMMYFUNCTION("""COMPUTED_VALUE"""),"Доклад от конференция")</f>
        <v>Доклад от конференция</v>
      </c>
      <c r="C2078" s="10" t="str">
        <f ca="1">IFERROR(__xludf.DUMMYFUNCTION("""COMPUTED_VALUE"""),"Подготовката на лидери – основна функция на преподавателите от висшите военни учебни заведения")</f>
        <v>Подготовката на лидери – основна функция на преподавателите от висшите военни учебни заведения</v>
      </c>
      <c r="D2078" s="10">
        <f ca="1">IFERROR(__xludf.DUMMYFUNCTION("""COMPUTED_VALUE"""),2007)</f>
        <v>2007</v>
      </c>
      <c r="E2078" s="10" t="str">
        <f ca="1">IFERROR(__xludf.DUMMYFUNCTION("""COMPUTED_VALUE"""),"Лидерски практики. Сборник доклади, изнесени на Четвъртата международна изследователска работна среща „Военно лидерство и гражданско-военни отношения”, проведена на 22 и 23 ноември 2007 г.")</f>
        <v>Лидерски практики. Сборник доклади, изнесени на Четвъртата международна изследователска работна среща „Военно лидерство и гражданско-военни отношения”, проведена на 22 и 23 ноември 2007 г.</v>
      </c>
      <c r="F2078" s="10"/>
      <c r="G2078" s="10"/>
      <c r="H2078" s="10"/>
      <c r="I2078" s="10"/>
      <c r="J2078" s="10"/>
      <c r="K2078" s="10"/>
      <c r="L2078" s="10"/>
      <c r="M2078" s="10"/>
      <c r="N2078" s="10"/>
      <c r="O2078" s="10"/>
      <c r="P2078" s="10"/>
      <c r="Q2078" s="10"/>
      <c r="R2078" s="10"/>
      <c r="S2078" s="10"/>
      <c r="T2078" s="10"/>
      <c r="U2078" s="10"/>
      <c r="V2078" s="10"/>
      <c r="W2078" s="10"/>
      <c r="X2078" s="10"/>
      <c r="Y2078" s="10"/>
      <c r="Z2078" s="10"/>
    </row>
    <row r="2079" spans="1:26" ht="12.75">
      <c r="A2079" s="10" t="str">
        <f ca="1">IFERROR(__xludf.DUMMYFUNCTION("""COMPUTED_VALUE"""),"Гошо Кирилов Петков")</f>
        <v>Гошо Кирилов Петков</v>
      </c>
      <c r="B2079" s="10" t="str">
        <f ca="1">IFERROR(__xludf.DUMMYFUNCTION("""COMPUTED_VALUE"""),"Статия в списания и поредици")</f>
        <v>Статия в списания и поредици</v>
      </c>
      <c r="C2079" s="10" t="str">
        <f ca="1">IFERROR(__xludf.DUMMYFUNCTION("""COMPUTED_VALUE"""),"Модусите на преднамереното пряко скрито разузнавателно присъствие")</f>
        <v>Модусите на преднамереното пряко скрито разузнавателно присъствие</v>
      </c>
      <c r="D2079" s="10">
        <f ca="1">IFERROR(__xludf.DUMMYFUNCTION("""COMPUTED_VALUE"""),2007)</f>
        <v>2007</v>
      </c>
      <c r="E2079" s="10" t="str">
        <f ca="1">IFERROR(__xludf.DUMMYFUNCTION("""COMPUTED_VALUE"""),"ВА „Г. С. Раковски”, 2007")</f>
        <v>ВА „Г. С. Раковски”, 2007</v>
      </c>
      <c r="F2079" s="10"/>
      <c r="G2079" s="10"/>
      <c r="H2079" s="10"/>
      <c r="I2079" s="10"/>
      <c r="J2079" s="10"/>
      <c r="K2079" s="10"/>
      <c r="L2079" s="10"/>
      <c r="M2079" s="10"/>
      <c r="N2079" s="10"/>
      <c r="O2079" s="10"/>
      <c r="P2079" s="10"/>
      <c r="Q2079" s="10"/>
      <c r="R2079" s="10"/>
      <c r="S2079" s="10"/>
      <c r="T2079" s="10"/>
      <c r="U2079" s="10"/>
      <c r="V2079" s="10"/>
      <c r="W2079" s="10"/>
      <c r="X2079" s="10"/>
      <c r="Y2079" s="10"/>
      <c r="Z2079" s="10"/>
    </row>
    <row r="2080" spans="1:26" ht="12.75">
      <c r="A2080" s="10" t="str">
        <f ca="1">IFERROR(__xludf.DUMMYFUNCTION("""COMPUTED_VALUE"""),"Гошо Кирилов Петков")</f>
        <v>Гошо Кирилов Петков</v>
      </c>
      <c r="B2080" s="10" t="str">
        <f ca="1">IFERROR(__xludf.DUMMYFUNCTION("""COMPUTED_VALUE"""),"Книга")</f>
        <v>Книга</v>
      </c>
      <c r="C2080" s="10" t="str">
        <f ca="1">IFERROR(__xludf.DUMMYFUNCTION("""COMPUTED_VALUE"""),"Стратегическо ръководство и лидерство - тетрадка по лидерство")</f>
        <v>Стратегическо ръководство и лидерство - тетрадка по лидерство</v>
      </c>
      <c r="D2080" s="10">
        <f ca="1">IFERROR(__xludf.DUMMYFUNCTION("""COMPUTED_VALUE"""),2007)</f>
        <v>2007</v>
      </c>
      <c r="E2080" s="10" t="str">
        <f ca="1">IFERROR(__xludf.DUMMYFUNCTION("""COMPUTED_VALUE"""),"Поредица ""Информация и сигурност"", ""Изд. Софттрейд")</f>
        <v>Поредица "Информация и сигурност", "Изд. Софттрейд</v>
      </c>
      <c r="F2080" s="10"/>
      <c r="G2080" s="10" t="str">
        <f ca="1">IFERROR(__xludf.DUMMYFUNCTION("""COMPUTED_VALUE"""),"-")</f>
        <v>-</v>
      </c>
      <c r="H2080" s="10"/>
      <c r="I2080" s="10"/>
      <c r="J2080" s="10"/>
      <c r="K2080" s="10"/>
      <c r="L2080" s="10"/>
      <c r="M2080" s="10"/>
      <c r="N2080" s="10"/>
      <c r="O2080" s="10"/>
      <c r="P2080" s="10"/>
      <c r="Q2080" s="10"/>
      <c r="R2080" s="10"/>
      <c r="S2080" s="10"/>
      <c r="T2080" s="10"/>
      <c r="U2080" s="10"/>
      <c r="V2080" s="10"/>
      <c r="W2080" s="10"/>
      <c r="X2080" s="10"/>
      <c r="Y2080" s="10"/>
      <c r="Z2080" s="10"/>
    </row>
    <row r="2081" spans="1:26" ht="12.75">
      <c r="A2081" s="10" t="str">
        <f ca="1">IFERROR(__xludf.DUMMYFUNCTION("""COMPUTED_VALUE"""),"Гошо Кирилов Петков")</f>
        <v>Гошо Кирилов Петков</v>
      </c>
      <c r="B2081" s="10" t="str">
        <f ca="1">IFERROR(__xludf.DUMMYFUNCTION("""COMPUTED_VALUE"""),"Доклад от конференция")</f>
        <v>Доклад от конференция</v>
      </c>
      <c r="C2081" s="10" t="str">
        <f ca="1">IFERROR(__xludf.DUMMYFUNCTION("""COMPUTED_VALUE"""),"Емоционалният статус на военнослужещите от българския военен контингент в Босна и Херцеговина.")</f>
        <v>Емоционалният статус на военнослужещите от българския военен контингент в Босна и Херцеговина.</v>
      </c>
      <c r="D2081" s="10">
        <f ca="1">IFERROR(__xludf.DUMMYFUNCTION("""COMPUTED_VALUE"""),2006)</f>
        <v>2006</v>
      </c>
      <c r="E2081" s="10" t="str">
        <f ca="1">IFERROR(__xludf.DUMMYFUNCTION("""COMPUTED_VALUE"""),"В: Приложна психология и социална практика. Научна конференция на ВСУ „Черноризец Храбър”, Варна, май 2006. Университетско издателство ВСУ „Черноризец Храбър”.")</f>
        <v>В: Приложна психология и социална практика. Научна конференция на ВСУ „Черноризец Храбър”, Варна, май 2006. Университетско издателство ВСУ „Черноризец Храбър”.</v>
      </c>
      <c r="F2081" s="10"/>
      <c r="G2081" s="10"/>
      <c r="H2081" s="10"/>
      <c r="I2081" s="10"/>
      <c r="J2081" s="10"/>
      <c r="K2081" s="10"/>
      <c r="L2081" s="10"/>
      <c r="M2081" s="10"/>
      <c r="N2081" s="10"/>
      <c r="O2081" s="10"/>
      <c r="P2081" s="10"/>
      <c r="Q2081" s="10"/>
      <c r="R2081" s="10"/>
      <c r="S2081" s="10"/>
      <c r="T2081" s="10"/>
      <c r="U2081" s="10"/>
      <c r="V2081" s="10"/>
      <c r="W2081" s="10"/>
      <c r="X2081" s="10"/>
      <c r="Y2081" s="10"/>
      <c r="Z2081" s="10"/>
    </row>
    <row r="2082" spans="1:26" ht="12.75">
      <c r="A2082" s="10" t="str">
        <f ca="1">IFERROR(__xludf.DUMMYFUNCTION("""COMPUTED_VALUE"""),"Гошо Кирилов Петков")</f>
        <v>Гошо Кирилов Петков</v>
      </c>
      <c r="B2082" s="10" t="str">
        <f ca="1">IFERROR(__xludf.DUMMYFUNCTION("""COMPUTED_VALUE"""),"Монография")</f>
        <v>Монография</v>
      </c>
      <c r="C2082" s="10" t="str">
        <f ca="1">IFERROR(__xludf.DUMMYFUNCTION("""COMPUTED_VALUE"""),"Методика за изследване на организационния климат, осигуряващ равни възможности в подразделението.")</f>
        <v>Методика за изследване на организационния климат, осигуряващ равни възможности в подразделението.</v>
      </c>
      <c r="D2082" s="10">
        <f ca="1">IFERROR(__xludf.DUMMYFUNCTION("""COMPUTED_VALUE"""),2005)</f>
        <v>2005</v>
      </c>
      <c r="E2082" s="10" t="str">
        <f ca="1">IFERROR(__xludf.DUMMYFUNCTION("""COMPUTED_VALUE"""),"В: Осигуряване на равни възможности за професионална реализация и недопускане на дискриминация в Българската армия.; ISBN 954-90993-5-0")</f>
        <v>В: Осигуряване на равни възможности за професионална реализация и недопускане на дискриминация в Българската армия.; ISBN 954-90993-5-0</v>
      </c>
      <c r="F2082" s="10"/>
      <c r="G2082" s="10" t="str">
        <f ca="1">IFERROR(__xludf.DUMMYFUNCTION("""COMPUTED_VALUE"""),"Енчо Герганов, Янцислав Янакиев")</f>
        <v>Енчо Герганов, Янцислав Янакиев</v>
      </c>
      <c r="H2082" s="10"/>
      <c r="I2082" s="10"/>
      <c r="J2082" s="10"/>
      <c r="K2082" s="10"/>
      <c r="L2082" s="10"/>
      <c r="M2082" s="10"/>
      <c r="N2082" s="10"/>
      <c r="O2082" s="10"/>
      <c r="P2082" s="10"/>
      <c r="Q2082" s="10"/>
      <c r="R2082" s="10"/>
      <c r="S2082" s="10"/>
      <c r="T2082" s="10"/>
      <c r="U2082" s="10"/>
      <c r="V2082" s="10"/>
      <c r="W2082" s="10"/>
      <c r="X2082" s="10"/>
      <c r="Y2082" s="10"/>
      <c r="Z2082" s="10"/>
    </row>
    <row r="2083" spans="1:26" ht="12.75">
      <c r="A2083" s="10" t="str">
        <f ca="1">IFERROR(__xludf.DUMMYFUNCTION("""COMPUTED_VALUE"""),"Гошо Кирилов Петков")</f>
        <v>Гошо Кирилов Петков</v>
      </c>
      <c r="B2083" s="10" t="str">
        <f ca="1">IFERROR(__xludf.DUMMYFUNCTION("""COMPUTED_VALUE"""),"Статия в списания и поредици")</f>
        <v>Статия в списания и поредици</v>
      </c>
      <c r="C2083" s="10" t="str">
        <f ca="1">IFERROR(__xludf.DUMMYFUNCTION("""COMPUTED_VALUE"""),"Българската армия в операциите по поддържане на мира през погледа на експертите”")</f>
        <v>Българската армия в операциите по поддържане на мира през погледа на експертите”</v>
      </c>
      <c r="D2083" s="10">
        <f ca="1">IFERROR(__xludf.DUMMYFUNCTION("""COMPUTED_VALUE"""),2004)</f>
        <v>2004</v>
      </c>
      <c r="E2083" s="10" t="str">
        <f ca="1">IFERROR(__xludf.DUMMYFUNCTION("""COMPUTED_VALUE"""),"В: Сборник с доклади от национална научно-практическа конференция. Участието на Българската армия в многонационални операции за поддържане на мира: уроци и предизвикателства”, 9 - 10 декември 2004 г. ISBN 954-509-313-7")</f>
        <v>В: Сборник с доклади от национална научно-практическа конференция. Участието на Българската армия в многонационални операции за поддържане на мира: уроци и предизвикателства”, 9 - 10 декември 2004 г. ISBN 954-509-313-7</v>
      </c>
      <c r="F2083" s="10" t="str">
        <f ca="1">IFERROR(__xludf.DUMMYFUNCTION("""COMPUTED_VALUE"""),"В: Национална академична библиотечно-информационна система
 http://unicat.nalis.bg/Record/BAS.000105371")</f>
        <v>В: Национална академична библиотечно-информационна система
 http://unicat.nalis.bg/Record/BAS.000105371</v>
      </c>
      <c r="G2083" s="10"/>
      <c r="H2083" s="10"/>
      <c r="I2083" s="10"/>
      <c r="J2083" s="10"/>
      <c r="K2083" s="10"/>
      <c r="L2083" s="10"/>
      <c r="M2083" s="10"/>
      <c r="N2083" s="10"/>
      <c r="O2083" s="10"/>
      <c r="P2083" s="10"/>
      <c r="Q2083" s="10"/>
      <c r="R2083" s="10"/>
      <c r="S2083" s="10"/>
      <c r="T2083" s="10"/>
      <c r="U2083" s="10"/>
      <c r="V2083" s="10"/>
      <c r="W2083" s="10"/>
      <c r="X2083" s="10"/>
      <c r="Y2083" s="10"/>
      <c r="Z2083" s="10"/>
    </row>
    <row r="2084" spans="1:26" ht="12.75">
      <c r="A2084" s="10" t="str">
        <f ca="1">IFERROR(__xludf.DUMMYFUNCTION("""COMPUTED_VALUE"""),"Гошо Кирилов Петков")</f>
        <v>Гошо Кирилов Петков</v>
      </c>
      <c r="B2084" s="10" t="str">
        <f ca="1">IFERROR(__xludf.DUMMYFUNCTION("""COMPUTED_VALUE"""),"Монография")</f>
        <v>Монография</v>
      </c>
      <c r="C2084" s="10" t="str">
        <f ca="1">IFERROR(__xludf.DUMMYFUNCTION("""COMPUTED_VALUE"""),"Методика за изследване на организационния климат, осигуряващ равни възможности в армията.")</f>
        <v>Методика за изследване на организационния климат, осигуряващ равни възможности в армията.</v>
      </c>
      <c r="D2084" s="10">
        <f ca="1">IFERROR(__xludf.DUMMYFUNCTION("""COMPUTED_VALUE"""),2004)</f>
        <v>2004</v>
      </c>
      <c r="E2084" s="10" t="str">
        <f ca="1">IFERROR(__xludf.DUMMYFUNCTION("""COMPUTED_VALUE"""),"Осигуряване на равни възможности за професионална реализация и недопускане на дискриминация в Българската армия. С., 2004. ISBN 954-9323-13-7")</f>
        <v>Осигуряване на равни възможности за професионална реализация и недопускане на дискриминация в Българската армия. С., 2004. ISBN 954-9323-13-7</v>
      </c>
      <c r="F2084" s="10"/>
      <c r="G2084" s="10" t="str">
        <f ca="1">IFERROR(__xludf.DUMMYFUNCTION("""COMPUTED_VALUE"""),"Янцислав Янакиев, Енчо Герганов")</f>
        <v>Янцислав Янакиев, Енчо Герганов</v>
      </c>
      <c r="H2084" s="10"/>
      <c r="I2084" s="10"/>
      <c r="J2084" s="10"/>
      <c r="K2084" s="10"/>
      <c r="L2084" s="10"/>
      <c r="M2084" s="10"/>
      <c r="N2084" s="10"/>
      <c r="O2084" s="10"/>
      <c r="P2084" s="10"/>
      <c r="Q2084" s="10"/>
      <c r="R2084" s="10"/>
      <c r="S2084" s="10"/>
      <c r="T2084" s="10"/>
      <c r="U2084" s="10"/>
      <c r="V2084" s="10"/>
      <c r="W2084" s="10"/>
      <c r="X2084" s="10"/>
      <c r="Y2084" s="10"/>
      <c r="Z2084" s="10"/>
    </row>
    <row r="2085" spans="1:26" ht="12.75">
      <c r="A2085" s="10" t="str">
        <f ca="1">IFERROR(__xludf.DUMMYFUNCTION("""COMPUTED_VALUE"""),"Гошо Кирилов Петков")</f>
        <v>Гошо Кирилов Петков</v>
      </c>
      <c r="B2085" s="10" t="str">
        <f ca="1">IFERROR(__xludf.DUMMYFUNCTION("""COMPUTED_VALUE"""),"Монография")</f>
        <v>Монография</v>
      </c>
      <c r="C2085" s="10" t="str">
        <f ca="1">IFERROR(__xludf.DUMMYFUNCTION("""COMPUTED_VALUE"""),"Оптимално функциониране на личността в социалната среда.")</f>
        <v>Оптимално функциониране на личността в социалната среда.</v>
      </c>
      <c r="D2085" s="10">
        <f ca="1">IFERROR(__xludf.DUMMYFUNCTION("""COMPUTED_VALUE"""),2002)</f>
        <v>2002</v>
      </c>
      <c r="E2085" s="10" t="str">
        <f ca="1">IFERROR(__xludf.DUMMYFUNCTION("""COMPUTED_VALUE"""),"В: Национална академична библиотечно-информационна система. Печатна база на МВР, 2002. 302 С. ISBN 954-8792-54-0; http://unicat.nalis.bg/Record/BAS.000105371")</f>
        <v>В: Национална академична библиотечно-информационна система. Печатна база на МВР, 2002. 302 С. ISBN 954-8792-54-0; http://unicat.nalis.bg/Record/BAS.000105371</v>
      </c>
      <c r="F2085" s="28" t="str">
        <f ca="1">IFERROR(__xludf.DUMMYFUNCTION("""COMPUTED_VALUE"""),"http://unicat.nalis.bg/Record/BAS.000105371")</f>
        <v>http://unicat.nalis.bg/Record/BAS.000105371</v>
      </c>
      <c r="G2085" s="10" t="str">
        <f ca="1">IFERROR(__xludf.DUMMYFUNCTION("""COMPUTED_VALUE"""),"Ангел Величков, Мария Радославова")</f>
        <v>Ангел Величков, Мария Радославова</v>
      </c>
      <c r="H2085" s="10"/>
      <c r="I2085" s="10"/>
      <c r="J2085" s="10"/>
      <c r="K2085" s="10"/>
      <c r="L2085" s="10"/>
      <c r="M2085" s="10"/>
      <c r="N2085" s="10"/>
      <c r="O2085" s="10"/>
      <c r="P2085" s="10"/>
      <c r="Q2085" s="10"/>
      <c r="R2085" s="10"/>
      <c r="S2085" s="10"/>
      <c r="T2085" s="10"/>
      <c r="U2085" s="10"/>
      <c r="V2085" s="10"/>
      <c r="W2085" s="10"/>
      <c r="X2085" s="10"/>
      <c r="Y2085" s="10"/>
      <c r="Z2085" s="10"/>
    </row>
    <row r="2086" spans="1:26" ht="12.75">
      <c r="A2086" s="10" t="str">
        <f ca="1">IFERROR(__xludf.DUMMYFUNCTION("""COMPUTED_VALUE"""),"Гошо Кирилов Петков")</f>
        <v>Гошо Кирилов Петков</v>
      </c>
      <c r="B2086" s="10" t="str">
        <f ca="1">IFERROR(__xludf.DUMMYFUNCTION("""COMPUTED_VALUE"""),"Статия в списания и поредици")</f>
        <v>Статия в списания и поредици</v>
      </c>
      <c r="C2086" s="10" t="str">
        <f ca="1">IFERROR(__xludf.DUMMYFUNCTION("""COMPUTED_VALUE"""),"Армейската среда и ефективната дейност на военнослужещите.")</f>
        <v>Армейската среда и ефективната дейност на военнослужещите.</v>
      </c>
      <c r="D2086" s="10">
        <f ca="1">IFERROR(__xludf.DUMMYFUNCTION("""COMPUTED_VALUE"""),2001)</f>
        <v>2001</v>
      </c>
      <c r="E2086" s="10" t="str">
        <f ca="1">IFERROR(__xludf.DUMMYFUNCTION("""COMPUTED_VALUE"""),"Военен журнал: двумесечно издание на Министерство на отбраната, ISSN 0861-7392.-CVIII, 1 (2001), s. 122-130")</f>
        <v>Военен журнал: двумесечно издание на Министерство на отбраната, ISSN 0861-7392.-CVIII, 1 (2001), s. 122-130</v>
      </c>
      <c r="F2086" s="10"/>
      <c r="G2086" s="10"/>
      <c r="H2086" s="10"/>
      <c r="I2086" s="10"/>
      <c r="J2086" s="10"/>
      <c r="K2086" s="10"/>
      <c r="L2086" s="10"/>
      <c r="M2086" s="10"/>
      <c r="N2086" s="10"/>
      <c r="O2086" s="10"/>
      <c r="P2086" s="10"/>
      <c r="Q2086" s="10"/>
      <c r="R2086" s="10"/>
      <c r="S2086" s="10"/>
      <c r="T2086" s="10"/>
      <c r="U2086" s="10"/>
      <c r="V2086" s="10"/>
      <c r="W2086" s="10"/>
      <c r="X2086" s="10"/>
      <c r="Y2086" s="10"/>
      <c r="Z2086" s="10"/>
    </row>
    <row r="2087" spans="1:26" ht="12.75">
      <c r="A2087" s="10" t="str">
        <f ca="1">IFERROR(__xludf.DUMMYFUNCTION("""COMPUTED_VALUE"""),"Гошо Кирилов Петков")</f>
        <v>Гошо Кирилов Петков</v>
      </c>
      <c r="B2087" s="10" t="str">
        <f ca="1">IFERROR(__xludf.DUMMYFUNCTION("""COMPUTED_VALUE"""),"Статия в списания и поредици")</f>
        <v>Статия в списания и поредици</v>
      </c>
      <c r="C2087" s="10" t="str">
        <f ca="1">IFERROR(__xludf.DUMMYFUNCTION("""COMPUTED_VALUE"""),"Мотивацията на военнослужещите – източник на ресурси за армейската реформа.")</f>
        <v>Мотивацията на военнослужещите – източник на ресурси за армейската реформа.</v>
      </c>
      <c r="D2087" s="10">
        <f ca="1">IFERROR(__xludf.DUMMYFUNCTION("""COMPUTED_VALUE"""),2001)</f>
        <v>2001</v>
      </c>
      <c r="E2087" s="10" t="str">
        <f ca="1">IFERROR(__xludf.DUMMYFUNCTION("""COMPUTED_VALUE"""),"Военен журнал: двумесечно издание на министерство на отбраната, ISSN 0861-7392.-CVIII, 4 (2001), s. 86-96")</f>
        <v>Военен журнал: двумесечно издание на министерство на отбраната, ISSN 0861-7392.-CVIII, 4 (2001), s. 86-96</v>
      </c>
      <c r="F2087" s="10"/>
      <c r="G2087" s="10" t="str">
        <f ca="1">IFERROR(__xludf.DUMMYFUNCTION("""COMPUTED_VALUE"""),"Надя Прашкова")</f>
        <v>Надя Прашкова</v>
      </c>
      <c r="H2087" s="10"/>
      <c r="I2087" s="10"/>
      <c r="J2087" s="10"/>
      <c r="K2087" s="10"/>
      <c r="L2087" s="10"/>
      <c r="M2087" s="10"/>
      <c r="N2087" s="10"/>
      <c r="O2087" s="10"/>
      <c r="P2087" s="10"/>
      <c r="Q2087" s="10"/>
      <c r="R2087" s="10"/>
      <c r="S2087" s="10"/>
      <c r="T2087" s="10"/>
      <c r="U2087" s="10"/>
      <c r="V2087" s="10"/>
      <c r="W2087" s="10"/>
      <c r="X2087" s="10"/>
      <c r="Y2087" s="10"/>
      <c r="Z2087" s="10"/>
    </row>
    <row r="2088" spans="1:26" ht="12.75">
      <c r="A2088" s="10" t="str">
        <f ca="1">IFERROR(__xludf.DUMMYFUNCTION("""COMPUTED_VALUE"""),"Гошо Кирилов Петков")</f>
        <v>Гошо Кирилов Петков</v>
      </c>
      <c r="B2088" s="10" t="str">
        <f ca="1">IFERROR(__xludf.DUMMYFUNCTION("""COMPUTED_VALUE"""),"Статия в списания и поредици")</f>
        <v>Статия в списания и поредици</v>
      </c>
      <c r="C2088" s="10" t="str">
        <f ca="1">IFERROR(__xludf.DUMMYFUNCTION("""COMPUTED_VALUE"""),"Висшите офицери – лидери на своите подчинени.")</f>
        <v>Висшите офицери – лидери на своите подчинени.</v>
      </c>
      <c r="D2088" s="10">
        <f ca="1">IFERROR(__xludf.DUMMYFUNCTION("""COMPUTED_VALUE"""),2000)</f>
        <v>2000</v>
      </c>
      <c r="E2088" s="10" t="str">
        <f ca="1">IFERROR(__xludf.DUMMYFUNCTION("""COMPUTED_VALUE"""),"Военен журнал: двумесечно издание на Министерство на отбраната, 5, 2000 ISSN 0861-7392.-CVII, 5 (2000), s. 20-27")</f>
        <v>Военен журнал: двумесечно издание на Министерство на отбраната, 5, 2000 ISSN 0861-7392.-CVII, 5 (2000), s. 20-27</v>
      </c>
      <c r="F2088" s="10"/>
      <c r="G2088" s="10" t="str">
        <f ca="1">IFERROR(__xludf.DUMMYFUNCTION("""COMPUTED_VALUE"""),"Надя Прашкова")</f>
        <v>Надя Прашкова</v>
      </c>
      <c r="H2088" s="10"/>
      <c r="I2088" s="10"/>
      <c r="J2088" s="10"/>
      <c r="K2088" s="10"/>
      <c r="L2088" s="10"/>
      <c r="M2088" s="10"/>
      <c r="N2088" s="10"/>
      <c r="O2088" s="10"/>
      <c r="P2088" s="10"/>
      <c r="Q2088" s="10"/>
      <c r="R2088" s="10"/>
      <c r="S2088" s="10"/>
      <c r="T2088" s="10"/>
      <c r="U2088" s="10"/>
      <c r="V2088" s="10"/>
      <c r="W2088" s="10"/>
      <c r="X2088" s="10"/>
      <c r="Y2088" s="10"/>
      <c r="Z2088" s="10"/>
    </row>
    <row r="2089" spans="1:26" ht="12.75">
      <c r="A2089" s="10" t="str">
        <f ca="1">IFERROR(__xludf.DUMMYFUNCTION("""COMPUTED_VALUE"""),"Гошо Кирилов Петков")</f>
        <v>Гошо Кирилов Петков</v>
      </c>
      <c r="B2089" s="10" t="str">
        <f ca="1">IFERROR(__xludf.DUMMYFUNCTION("""COMPUTED_VALUE"""),"Статия в списания и поредици")</f>
        <v>Статия в списания и поредици</v>
      </c>
      <c r="C2089" s="10" t="str">
        <f ca="1">IFERROR(__xludf.DUMMYFUNCTION("""COMPUTED_VALUE"""),"Емоционалната устойчивост на военнослужещите от българския военен контингент в Босна и Херцеговина - проблеми и решения.")</f>
        <v>Емоционалната устойчивост на военнослужещите от българския военен контингент в Босна и Херцеговина - проблеми и решения.</v>
      </c>
      <c r="D2089" s="10">
        <f ca="1">IFERROR(__xludf.DUMMYFUNCTION("""COMPUTED_VALUE"""),1999)</f>
        <v>1999</v>
      </c>
      <c r="E2089" s="10" t="str">
        <f ca="1">IFERROR(__xludf.DUMMYFUNCTION("""COMPUTED_VALUE"""),"Военен журнал: двумесечно издание на Министерство на отбраната ISSN 0861-7392.-SVI, 2 (1999), s. 104-109")</f>
        <v>Военен журнал: двумесечно издание на Министерство на отбраната ISSN 0861-7392.-SVI, 2 (1999), s. 104-109</v>
      </c>
      <c r="F2089" s="10"/>
      <c r="G2089" s="10" t="str">
        <f ca="1">IFERROR(__xludf.DUMMYFUNCTION("""COMPUTED_VALUE"""),"Янцислав Янакиев")</f>
        <v>Янцислав Янакиев</v>
      </c>
      <c r="H2089" s="10"/>
      <c r="I2089" s="10"/>
      <c r="J2089" s="10"/>
      <c r="K2089" s="10"/>
      <c r="L2089" s="10"/>
      <c r="M2089" s="10"/>
      <c r="N2089" s="10"/>
      <c r="O2089" s="10"/>
      <c r="P2089" s="10"/>
      <c r="Q2089" s="10"/>
      <c r="R2089" s="10"/>
      <c r="S2089" s="10"/>
      <c r="T2089" s="10"/>
      <c r="U2089" s="10"/>
      <c r="V2089" s="10"/>
      <c r="W2089" s="10"/>
      <c r="X2089" s="10"/>
      <c r="Y2089" s="10"/>
      <c r="Z2089" s="10"/>
    </row>
    <row r="2090" spans="1:26" ht="12.75">
      <c r="A2090" s="10" t="str">
        <f ca="1">IFERROR(__xludf.DUMMYFUNCTION("""COMPUTED_VALUE"""),"Гошо Кирилов Петков")</f>
        <v>Гошо Кирилов Петков</v>
      </c>
      <c r="B2090" s="10" t="str">
        <f ca="1">IFERROR(__xludf.DUMMYFUNCTION("""COMPUTED_VALUE"""),"Статия в списания и поредици")</f>
        <v>Статия в списания и поредици</v>
      </c>
      <c r="C2090" s="10" t="str">
        <f ca="1">IFERROR(__xludf.DUMMYFUNCTION("""COMPUTED_VALUE"""),"Подборът и квалификацията на военните служители – какви да бъдат?")</f>
        <v>Подборът и квалификацията на военните служители – какви да бъдат?</v>
      </c>
      <c r="D2090" s="10">
        <f ca="1">IFERROR(__xludf.DUMMYFUNCTION("""COMPUTED_VALUE"""),1999)</f>
        <v>1999</v>
      </c>
      <c r="E2090" s="10" t="str">
        <f ca="1">IFERROR(__xludf.DUMMYFUNCTION("""COMPUTED_VALUE"""),"Българска армия: вестник за национална сигурност и отбрана ISSN 0861-4407.-LV, 14736 (17 mai 1999), s. 8")</f>
        <v>Българска армия: вестник за национална сигурност и отбрана ISSN 0861-4407.-LV, 14736 (17 mai 1999), s. 8</v>
      </c>
      <c r="F2090" s="10"/>
      <c r="G2090" s="10" t="str">
        <f ca="1">IFERROR(__xludf.DUMMYFUNCTION("""COMPUTED_VALUE"""),"Надя Прашкова")</f>
        <v>Надя Прашкова</v>
      </c>
      <c r="H2090" s="10"/>
      <c r="I2090" s="10"/>
      <c r="J2090" s="10"/>
      <c r="K2090" s="10"/>
      <c r="L2090" s="10"/>
      <c r="M2090" s="10"/>
      <c r="N2090" s="10"/>
      <c r="O2090" s="10"/>
      <c r="P2090" s="10"/>
      <c r="Q2090" s="10"/>
      <c r="R2090" s="10"/>
      <c r="S2090" s="10"/>
      <c r="T2090" s="10"/>
      <c r="U2090" s="10"/>
      <c r="V2090" s="10"/>
      <c r="W2090" s="10"/>
      <c r="X2090" s="10"/>
      <c r="Y2090" s="10"/>
      <c r="Z2090" s="10"/>
    </row>
    <row r="2091" spans="1:26" ht="12.75">
      <c r="A2091" s="10" t="str">
        <f ca="1">IFERROR(__xludf.DUMMYFUNCTION("""COMPUTED_VALUE"""),"Гошо Кирилов Петков")</f>
        <v>Гошо Кирилов Петков</v>
      </c>
      <c r="B2091" s="10" t="str">
        <f ca="1">IFERROR(__xludf.DUMMYFUNCTION("""COMPUTED_VALUE"""),"Статия в списания и поредици")</f>
        <v>Статия в списания и поредици</v>
      </c>
      <c r="C2091" s="10" t="str">
        <f ca="1">IFERROR(__xludf.DUMMYFUNCTION("""COMPUTED_VALUE"""),"Българската армия в операциите за поддържане на мира.")</f>
        <v>Българската армия в операциите за поддържане на мира.</v>
      </c>
      <c r="D2091" s="10">
        <f ca="1">IFERROR(__xludf.DUMMYFUNCTION("""COMPUTED_VALUE"""),1999)</f>
        <v>1999</v>
      </c>
      <c r="E2091" s="10" t="str">
        <f ca="1">IFERROR(__xludf.DUMMYFUNCTION("""COMPUTED_VALUE"""),"Военен журнал: двумесечно издание на Министерство на отбраната ISSN 0861-7392.-CVIII, 1 (2001), s. 122-130")</f>
        <v>Военен журнал: двумесечно издание на Министерство на отбраната ISSN 0861-7392.-CVIII, 1 (2001), s. 122-130</v>
      </c>
      <c r="F2091" s="10"/>
      <c r="G2091" s="10" t="str">
        <f ca="1">IFERROR(__xludf.DUMMYFUNCTION("""COMPUTED_VALUE"""),"Янцислав Янакиев")</f>
        <v>Янцислав Янакиев</v>
      </c>
      <c r="H2091" s="10"/>
      <c r="I2091" s="10"/>
      <c r="J2091" s="10"/>
      <c r="K2091" s="10"/>
      <c r="L2091" s="10"/>
      <c r="M2091" s="10"/>
      <c r="N2091" s="10"/>
      <c r="O2091" s="10"/>
      <c r="P2091" s="10"/>
      <c r="Q2091" s="10"/>
      <c r="R2091" s="10"/>
      <c r="S2091" s="10"/>
      <c r="T2091" s="10"/>
      <c r="U2091" s="10"/>
      <c r="V2091" s="10"/>
      <c r="W2091" s="10"/>
      <c r="X2091" s="10"/>
      <c r="Y2091" s="10"/>
      <c r="Z2091" s="10"/>
    </row>
    <row r="2092" spans="1:26" ht="12.75">
      <c r="A2092" s="10" t="str">
        <f ca="1">IFERROR(__xludf.DUMMYFUNCTION("""COMPUTED_VALUE"""),"Гошо Кирилов Петков")</f>
        <v>Гошо Кирилов Петков</v>
      </c>
      <c r="B2092" s="10" t="str">
        <f ca="1">IFERROR(__xludf.DUMMYFUNCTION("""COMPUTED_VALUE"""),"Статия в списания и поредици")</f>
        <v>Статия в списания и поредици</v>
      </c>
      <c r="C2092" s="10" t="str">
        <f ca="1">IFERROR(__xludf.DUMMYFUNCTION("""COMPUTED_VALUE"""),"Проверка и оценка на знанията на обучаваните - проблеми и решения")</f>
        <v>Проверка и оценка на знанията на обучаваните - проблеми и решения</v>
      </c>
      <c r="D2092" s="10">
        <f ca="1">IFERROR(__xludf.DUMMYFUNCTION("""COMPUTED_VALUE"""),1998)</f>
        <v>1998</v>
      </c>
      <c r="E2092" s="10" t="str">
        <f ca="1">IFERROR(__xludf.DUMMYFUNCTION("""COMPUTED_VALUE"""),"Военен журнал: двумесечно издание на Министерството на отбраната ISSN 0861-7392.-SV, 1 (1998), s. 93-100")</f>
        <v>Военен журнал: двумесечно издание на Министерството на отбраната ISSN 0861-7392.-SV, 1 (1998), s. 93-100</v>
      </c>
      <c r="F2092" s="10"/>
      <c r="G2092" s="10"/>
      <c r="H2092" s="10"/>
      <c r="I2092" s="10"/>
      <c r="J2092" s="10"/>
      <c r="K2092" s="10"/>
      <c r="L2092" s="10"/>
      <c r="M2092" s="10"/>
      <c r="N2092" s="10"/>
      <c r="O2092" s="10"/>
      <c r="P2092" s="10"/>
      <c r="Q2092" s="10"/>
      <c r="R2092" s="10"/>
      <c r="S2092" s="10"/>
      <c r="T2092" s="10"/>
      <c r="U2092" s="10"/>
      <c r="V2092" s="10"/>
      <c r="W2092" s="10"/>
      <c r="X2092" s="10"/>
      <c r="Y2092" s="10"/>
      <c r="Z2092" s="10"/>
    </row>
    <row r="2093" spans="1:26" ht="12.75">
      <c r="A2093" s="10" t="str">
        <f ca="1">IFERROR(__xludf.DUMMYFUNCTION("""COMPUTED_VALUE"""),"Гошо Кирилов Петков")</f>
        <v>Гошо Кирилов Петков</v>
      </c>
      <c r="B2093" s="10" t="str">
        <f ca="1">IFERROR(__xludf.DUMMYFUNCTION("""COMPUTED_VALUE"""),"Статия в списания и поредици")</f>
        <v>Статия в списания и поредици</v>
      </c>
      <c r="C2093" s="10" t="str">
        <f ca="1">IFERROR(__xludf.DUMMYFUNCTION("""COMPUTED_VALUE"""),"Същност на дисциплинарните нарушения и фактори за тяхното преодоляване")</f>
        <v>Същност на дисциплинарните нарушения и фактори за тяхното преодоляване</v>
      </c>
      <c r="D2093" s="10">
        <f ca="1">IFERROR(__xludf.DUMMYFUNCTION("""COMPUTED_VALUE"""),1998)</f>
        <v>1998</v>
      </c>
      <c r="E2093" s="10" t="str">
        <f ca="1">IFERROR(__xludf.DUMMYFUNCTION("""COMPUTED_VALUE"""),"Трудове на академията, 1, ISSN 1312-2983")</f>
        <v>Трудове на академията, 1, ISSN 1312-2983</v>
      </c>
      <c r="F2093" s="10"/>
      <c r="G2093" s="10"/>
      <c r="H2093" s="10"/>
      <c r="I2093" s="10"/>
      <c r="J2093" s="10"/>
      <c r="K2093" s="10"/>
      <c r="L2093" s="10"/>
      <c r="M2093" s="10"/>
      <c r="N2093" s="10"/>
      <c r="O2093" s="10"/>
      <c r="P2093" s="10"/>
      <c r="Q2093" s="10"/>
      <c r="R2093" s="10"/>
      <c r="S2093" s="10"/>
      <c r="T2093" s="10"/>
      <c r="U2093" s="10"/>
      <c r="V2093" s="10"/>
      <c r="W2093" s="10"/>
      <c r="X2093" s="10"/>
      <c r="Y2093" s="10"/>
      <c r="Z2093" s="10"/>
    </row>
    <row r="2094" spans="1:26" ht="12.75">
      <c r="A2094" s="10" t="str">
        <f ca="1">IFERROR(__xludf.DUMMYFUNCTION("""COMPUTED_VALUE"""),"Гошо Кирилов Петков")</f>
        <v>Гошо Кирилов Петков</v>
      </c>
      <c r="B2094" s="10" t="str">
        <f ca="1">IFERROR(__xludf.DUMMYFUNCTION("""COMPUTED_VALUE"""),"Статия в списания и поредици")</f>
        <v>Статия в списания и поредици</v>
      </c>
      <c r="C2094" s="10" t="str">
        <f ca="1">IFERROR(__xludf.DUMMYFUNCTION("""COMPUTED_VALUE"""),"Професионална или наборна армия?")</f>
        <v>Професионална или наборна армия?</v>
      </c>
      <c r="D2094" s="10">
        <f ca="1">IFERROR(__xludf.DUMMYFUNCTION("""COMPUTED_VALUE"""),1997)</f>
        <v>1997</v>
      </c>
      <c r="E2094" s="10" t="str">
        <f ca="1">IFERROR(__xludf.DUMMYFUNCTION("""COMPUTED_VALUE"""),"Военен журнал: двумесечно издание на Министерство на отбраната ISSN 0861-7392.-SIV, 5 (1997), s. 15-23")</f>
        <v>Военен журнал: двумесечно издание на Министерство на отбраната ISSN 0861-7392.-SIV, 5 (1997), s. 15-23</v>
      </c>
      <c r="F2094" s="10"/>
      <c r="G2094" s="10" t="str">
        <f ca="1">IFERROR(__xludf.DUMMYFUNCTION("""COMPUTED_VALUE"""),"Ангел Величков")</f>
        <v>Ангел Величков</v>
      </c>
      <c r="H2094" s="10"/>
      <c r="I2094" s="10"/>
      <c r="J2094" s="10"/>
      <c r="K2094" s="10"/>
      <c r="L2094" s="10"/>
      <c r="M2094" s="10"/>
      <c r="N2094" s="10"/>
      <c r="O2094" s="10"/>
      <c r="P2094" s="10"/>
      <c r="Q2094" s="10"/>
      <c r="R2094" s="10"/>
      <c r="S2094" s="10"/>
      <c r="T2094" s="10"/>
      <c r="U2094" s="10"/>
      <c r="V2094" s="10"/>
      <c r="W2094" s="10"/>
      <c r="X2094" s="10"/>
      <c r="Y2094" s="10"/>
      <c r="Z2094" s="10"/>
    </row>
    <row r="2095" spans="1:26" ht="12.75">
      <c r="A2095" s="10" t="str">
        <f ca="1">IFERROR(__xludf.DUMMYFUNCTION("""COMPUTED_VALUE"""),"Гошо Кирилов Петков")</f>
        <v>Гошо Кирилов Петков</v>
      </c>
      <c r="B2095" s="10" t="str">
        <f ca="1">IFERROR(__xludf.DUMMYFUNCTION("""COMPUTED_VALUE"""),"Статия в списания и поредици")</f>
        <v>Статия в списания и поредици</v>
      </c>
      <c r="C2095" s="10" t="str">
        <f ca="1">IFERROR(__xludf.DUMMYFUNCTION("""COMPUTED_VALUE"""),"Проверка и оценка на знанията на слушателите. Проблеми и решения")</f>
        <v>Проверка и оценка на знанията на слушателите. Проблеми и решения</v>
      </c>
      <c r="D2095" s="10">
        <f ca="1">IFERROR(__xludf.DUMMYFUNCTION("""COMPUTED_VALUE"""),1997)</f>
        <v>1997</v>
      </c>
      <c r="E2095" s="10" t="str">
        <f ca="1">IFERROR(__xludf.DUMMYFUNCTION("""COMPUTED_VALUE"""),"Трудове на академията ISSN 0861-3451.- 4 (1997), s. 219-232")</f>
        <v>Трудове на академията ISSN 0861-3451.- 4 (1997), s. 219-232</v>
      </c>
      <c r="F2095" s="10"/>
      <c r="G2095" s="10"/>
      <c r="H2095" s="10"/>
      <c r="I2095" s="10"/>
      <c r="J2095" s="10"/>
      <c r="K2095" s="10"/>
      <c r="L2095" s="10"/>
      <c r="M2095" s="10"/>
      <c r="N2095" s="10"/>
      <c r="O2095" s="10"/>
      <c r="P2095" s="10"/>
      <c r="Q2095" s="10"/>
      <c r="R2095" s="10"/>
      <c r="S2095" s="10"/>
      <c r="T2095" s="10"/>
      <c r="U2095" s="10"/>
      <c r="V2095" s="10"/>
      <c r="W2095" s="10"/>
      <c r="X2095" s="10"/>
      <c r="Y2095" s="10"/>
      <c r="Z2095" s="10"/>
    </row>
    <row r="2096" spans="1:26" ht="12.75">
      <c r="A2096" s="10" t="str">
        <f ca="1">IFERROR(__xludf.DUMMYFUNCTION("""COMPUTED_VALUE"""),"Гошо Кирилов Петков")</f>
        <v>Гошо Кирилов Петков</v>
      </c>
      <c r="B2096" s="10" t="str">
        <f ca="1">IFERROR(__xludf.DUMMYFUNCTION("""COMPUTED_VALUE"""),"Статия в списания и поредици")</f>
        <v>Статия в списания и поредици</v>
      </c>
      <c r="C2096" s="10" t="str">
        <f ca="1">IFERROR(__xludf.DUMMYFUNCTION("""COMPUTED_VALUE"""),"Адаптацията на младите офицери.")</f>
        <v>Адаптацията на младите офицери.</v>
      </c>
      <c r="D2096" s="10">
        <f ca="1">IFERROR(__xludf.DUMMYFUNCTION("""COMPUTED_VALUE"""),1996)</f>
        <v>1996</v>
      </c>
      <c r="E2096" s="10" t="str">
        <f ca="1">IFERROR(__xludf.DUMMYFUNCTION("""COMPUTED_VALUE"""),"Военен журнал: двумесечно издание на Министерство на отбраната ISSN 0861-7392.-LIX, 6 (1996), s. 92-95")</f>
        <v>Военен журнал: двумесечно издание на Министерство на отбраната ISSN 0861-7392.-LIX, 6 (1996), s. 92-95</v>
      </c>
      <c r="F2096" s="10"/>
      <c r="G2096" s="10"/>
      <c r="H2096" s="10"/>
      <c r="I2096" s="10"/>
      <c r="J2096" s="10"/>
      <c r="K2096" s="10"/>
      <c r="L2096" s="10"/>
      <c r="M2096" s="10"/>
      <c r="N2096" s="10"/>
      <c r="O2096" s="10"/>
      <c r="P2096" s="10"/>
      <c r="Q2096" s="10"/>
      <c r="R2096" s="10"/>
      <c r="S2096" s="10"/>
      <c r="T2096" s="10"/>
      <c r="U2096" s="10"/>
      <c r="V2096" s="10"/>
      <c r="W2096" s="10"/>
      <c r="X2096" s="10"/>
      <c r="Y2096" s="10"/>
      <c r="Z2096" s="10"/>
    </row>
    <row r="2097" spans="1:26" ht="12.75">
      <c r="A2097" s="10" t="str">
        <f ca="1">IFERROR(__xludf.DUMMYFUNCTION("""COMPUTED_VALUE"""),"Гошо Кирилов Петков")</f>
        <v>Гошо Кирилов Петков</v>
      </c>
      <c r="B2097" s="10" t="str">
        <f ca="1">IFERROR(__xludf.DUMMYFUNCTION("""COMPUTED_VALUE"""),"Учебно пособие")</f>
        <v>Учебно пособие</v>
      </c>
      <c r="C2097" s="10" t="str">
        <f ca="1">IFERROR(__xludf.DUMMYFUNCTION("""COMPUTED_VALUE"""),"Воинската адаптация. Същност, форми на протичане и методи за измерването и. Пособие за кандидат-слушатели.")</f>
        <v>Воинската адаптация. Същност, форми на протичане и методи за измерването и. Пособие за кандидат-слушатели.</v>
      </c>
      <c r="D2097" s="10">
        <f ca="1">IFERROR(__xludf.DUMMYFUNCTION("""COMPUTED_VALUE"""),1996)</f>
        <v>1996</v>
      </c>
      <c r="E2097" s="10" t="str">
        <f ca="1">IFERROR(__xludf.DUMMYFUNCTION("""COMPUTED_VALUE"""),"ВИК „Св. Георги Победоносец”, 1996")</f>
        <v>ВИК „Св. Георги Победоносец”, 1996</v>
      </c>
      <c r="F2097" s="10"/>
      <c r="G2097" s="10"/>
      <c r="H2097" s="10"/>
      <c r="I2097" s="10"/>
      <c r="J2097" s="10"/>
      <c r="K2097" s="10"/>
      <c r="L2097" s="10"/>
      <c r="M2097" s="10"/>
      <c r="N2097" s="10"/>
      <c r="O2097" s="10"/>
      <c r="P2097" s="10"/>
      <c r="Q2097" s="10"/>
      <c r="R2097" s="10"/>
      <c r="S2097" s="10"/>
      <c r="T2097" s="10"/>
      <c r="U2097" s="10"/>
      <c r="V2097" s="10"/>
      <c r="W2097" s="10"/>
      <c r="X2097" s="10"/>
      <c r="Y2097" s="10"/>
      <c r="Z2097" s="10"/>
    </row>
    <row r="2098" spans="1:26" ht="12.75">
      <c r="A2098" s="10" t="str">
        <f ca="1">IFERROR(__xludf.DUMMYFUNCTION("""COMPUTED_VALUE"""),"Гошо Кирилов Петков")</f>
        <v>Гошо Кирилов Петков</v>
      </c>
      <c r="B2098" s="10" t="str">
        <f ca="1">IFERROR(__xludf.DUMMYFUNCTION("""COMPUTED_VALUE"""),"Книга")</f>
        <v>Книга</v>
      </c>
      <c r="C2098" s="10" t="str">
        <f ca="1">IFERROR(__xludf.DUMMYFUNCTION("""COMPUTED_VALUE"""),"Войнската адаптация")</f>
        <v>Войнската адаптация</v>
      </c>
      <c r="D2098" s="10">
        <f ca="1">IFERROR(__xludf.DUMMYFUNCTION("""COMPUTED_VALUE"""),1996)</f>
        <v>1996</v>
      </c>
      <c r="E2098" s="10"/>
      <c r="F2098" s="10"/>
      <c r="G2098" s="10"/>
      <c r="H2098" s="10"/>
      <c r="I2098" s="10"/>
      <c r="J2098" s="10"/>
      <c r="K2098" s="10"/>
      <c r="L2098" s="10"/>
      <c r="M2098" s="10"/>
      <c r="N2098" s="10"/>
      <c r="O2098" s="10"/>
      <c r="P2098" s="10"/>
      <c r="Q2098" s="10"/>
      <c r="R2098" s="10"/>
      <c r="S2098" s="10"/>
      <c r="T2098" s="10"/>
      <c r="U2098" s="10"/>
      <c r="V2098" s="10"/>
      <c r="W2098" s="10"/>
      <c r="X2098" s="10"/>
      <c r="Y2098" s="10"/>
      <c r="Z2098" s="10"/>
    </row>
    <row r="2099" spans="1:26" ht="12.75">
      <c r="A2099" s="10" t="str">
        <f ca="1">IFERROR(__xludf.DUMMYFUNCTION("""COMPUTED_VALUE"""),"Гошо Кирилов Петков")</f>
        <v>Гошо Кирилов Петков</v>
      </c>
      <c r="B2099" s="10" t="str">
        <f ca="1">IFERROR(__xludf.DUMMYFUNCTION("""COMPUTED_VALUE"""),"Статия в списания и поредици")</f>
        <v>Статия в списания и поредици</v>
      </c>
      <c r="C2099" s="10" t="str">
        <f ca="1">IFERROR(__xludf.DUMMYFUNCTION("""COMPUTED_VALUE"""),"Изменения в Аз-образа и влиянието му върху емоционалния статус на военнослужещия.")</f>
        <v>Изменения в Аз-образа и влиянието му върху емоционалния статус на военнослужещия.</v>
      </c>
      <c r="D2099" s="10">
        <f ca="1">IFERROR(__xludf.DUMMYFUNCTION("""COMPUTED_VALUE"""),1996)</f>
        <v>1996</v>
      </c>
      <c r="E2099" s="10" t="str">
        <f ca="1">IFERROR(__xludf.DUMMYFUNCTION("""COMPUTED_VALUE"""),"Военен журнал: двумесечно издание на Министерство на отбраната ISSN 0861-7392.-LIX, 2 (1996), s. 122-128")</f>
        <v>Военен журнал: двумесечно издание на Министерство на отбраната ISSN 0861-7392.-LIX, 2 (1996), s. 122-128</v>
      </c>
      <c r="F2099" s="10"/>
      <c r="G2099" s="10"/>
      <c r="H2099" s="10"/>
      <c r="I2099" s="10"/>
      <c r="J2099" s="10"/>
      <c r="K2099" s="10"/>
      <c r="L2099" s="10"/>
      <c r="M2099" s="10"/>
      <c r="N2099" s="10"/>
      <c r="O2099" s="10"/>
      <c r="P2099" s="10"/>
      <c r="Q2099" s="10"/>
      <c r="R2099" s="10"/>
      <c r="S2099" s="10"/>
      <c r="T2099" s="10"/>
      <c r="U2099" s="10"/>
      <c r="V2099" s="10"/>
      <c r="W2099" s="10"/>
      <c r="X2099" s="10"/>
      <c r="Y2099" s="10"/>
      <c r="Z2099" s="10"/>
    </row>
    <row r="2100" spans="1:26" ht="12.75">
      <c r="A2100" s="10" t="str">
        <f ca="1">IFERROR(__xludf.DUMMYFUNCTION("""COMPUTED_VALUE"""),"Гошо Кирилов Петков")</f>
        <v>Гошо Кирилов Петков</v>
      </c>
      <c r="B2100" s="10" t="str">
        <f ca="1">IFERROR(__xludf.DUMMYFUNCTION("""COMPUTED_VALUE"""),"Статия в списания и поредици")</f>
        <v>Статия в списания и поредици</v>
      </c>
      <c r="C2100" s="10" t="str">
        <f ca="1">IFERROR(__xludf.DUMMYFUNCTION("""COMPUTED_VALUE"""),"Влияние на физическото състояние на военнослужещия върху психическия му статус.")</f>
        <v>Влияние на физическото състояние на военнослужещия върху психическия му статус.</v>
      </c>
      <c r="D2100" s="10">
        <f ca="1">IFERROR(__xludf.DUMMYFUNCTION("""COMPUTED_VALUE"""),1996)</f>
        <v>1996</v>
      </c>
      <c r="E2100" s="10" t="str">
        <f ca="1">IFERROR(__xludf.DUMMYFUNCTION("""COMPUTED_VALUE"""),"Военен журнал: двумесечно издание на Министерство на отбраната ISSN 0861-7392.-LIX, 3 (1996), s. 107-110")</f>
        <v>Военен журнал: двумесечно издание на Министерство на отбраната ISSN 0861-7392.-LIX, 3 (1996), s. 107-110</v>
      </c>
      <c r="F2100" s="10"/>
      <c r="G2100" s="10" t="str">
        <f ca="1">IFERROR(__xludf.DUMMYFUNCTION("""COMPUTED_VALUE"""),"Ангел Величков")</f>
        <v>Ангел Величков</v>
      </c>
      <c r="H2100" s="10"/>
      <c r="I2100" s="10"/>
      <c r="J2100" s="10"/>
      <c r="K2100" s="10"/>
      <c r="L2100" s="10"/>
      <c r="M2100" s="10"/>
      <c r="N2100" s="10"/>
      <c r="O2100" s="10"/>
      <c r="P2100" s="10"/>
      <c r="Q2100" s="10"/>
      <c r="R2100" s="10"/>
      <c r="S2100" s="10"/>
      <c r="T2100" s="10"/>
      <c r="U2100" s="10"/>
      <c r="V2100" s="10"/>
      <c r="W2100" s="10"/>
      <c r="X2100" s="10"/>
      <c r="Y2100" s="10"/>
      <c r="Z2100" s="10"/>
    </row>
    <row r="2101" spans="1:26" ht="12.75">
      <c r="A2101" s="10" t="str">
        <f ca="1">IFERROR(__xludf.DUMMYFUNCTION("""COMPUTED_VALUE"""),"Гошо Кирилов Петков")</f>
        <v>Гошо Кирилов Петков</v>
      </c>
      <c r="B2101" s="10" t="str">
        <f ca="1">IFERROR(__xludf.DUMMYFUNCTION("""COMPUTED_VALUE"""),"Статия в списания и поредици")</f>
        <v>Статия в списания и поредици</v>
      </c>
      <c r="C2101" s="10" t="str">
        <f ca="1">IFERROR(__xludf.DUMMYFUNCTION("""COMPUTED_VALUE"""),"Describing social environment - in search of common and specific morphological features of five behavioral settings.")</f>
        <v>Describing social environment - in search of common and specific morphological features of five behavioral settings.</v>
      </c>
      <c r="D2101" s="10">
        <f ca="1">IFERROR(__xludf.DUMMYFUNCTION("""COMPUTED_VALUE"""),1996)</f>
        <v>1996</v>
      </c>
      <c r="E2101" s="10" t="str">
        <f ca="1">IFERROR(__xludf.DUMMYFUNCTION("""COMPUTED_VALUE"""),"Bulgarian Journal of Psychology, ISSN 0861-7813, 4, 1996")</f>
        <v>Bulgarian Journal of Psychology, ISSN 0861-7813, 4, 1996</v>
      </c>
      <c r="F2101" s="10"/>
      <c r="G2101" s="10" t="str">
        <f ca="1">IFERROR(__xludf.DUMMYFUNCTION("""COMPUTED_VALUE"""),"Radoslavova, Marija; Velickov, Angel")</f>
        <v>Radoslavova, Marija; Velickov, Angel</v>
      </c>
      <c r="H2101" s="10"/>
      <c r="I2101" s="10"/>
      <c r="J2101" s="10"/>
      <c r="K2101" s="10"/>
      <c r="L2101" s="10"/>
      <c r="M2101" s="10"/>
      <c r="N2101" s="10"/>
      <c r="O2101" s="10"/>
      <c r="P2101" s="10"/>
      <c r="Q2101" s="10"/>
      <c r="R2101" s="10"/>
      <c r="S2101" s="10"/>
      <c r="T2101" s="10"/>
      <c r="U2101" s="10"/>
      <c r="V2101" s="10"/>
      <c r="W2101" s="10"/>
      <c r="X2101" s="10"/>
      <c r="Y2101" s="10"/>
      <c r="Z2101" s="10"/>
    </row>
    <row r="2102" spans="1:26" ht="12.75">
      <c r="A2102" s="10" t="str">
        <f ca="1">IFERROR(__xludf.DUMMYFUNCTION("""COMPUTED_VALUE"""),"Гошо Кирилов Петков")</f>
        <v>Гошо Кирилов Петков</v>
      </c>
      <c r="B2102" s="10" t="str">
        <f ca="1">IFERROR(__xludf.DUMMYFUNCTION("""COMPUTED_VALUE"""),"Статия в списания и поредици")</f>
        <v>Статия в списания и поредици</v>
      </c>
      <c r="C2102" s="10" t="str">
        <f ca="1">IFERROR(__xludf.DUMMYFUNCTION("""COMPUTED_VALUE"""),"Влияние на някои фактори на средата върху адаптацията на военнослужещите")</f>
        <v>Влияние на някои фактори на средата върху адаптацията на военнослужещите</v>
      </c>
      <c r="D2102" s="10">
        <f ca="1">IFERROR(__xludf.DUMMYFUNCTION("""COMPUTED_VALUE"""),1995)</f>
        <v>1995</v>
      </c>
      <c r="E2102" s="10" t="str">
        <f ca="1">IFERROR(__xludf.DUMMYFUNCTION("""COMPUTED_VALUE"""),"Военен журнал: двумесечно издание на Министерство на отбраната ISSN 0861-7392.-LVIII, 6 (1995), s. 94-101")</f>
        <v>Военен журнал: двумесечно издание на Министерство на отбраната ISSN 0861-7392.-LVIII, 6 (1995), s. 94-101</v>
      </c>
      <c r="F2102" s="10"/>
      <c r="G2102" s="10"/>
      <c r="H2102" s="10"/>
      <c r="I2102" s="10"/>
      <c r="J2102" s="10"/>
      <c r="K2102" s="10"/>
      <c r="L2102" s="10"/>
      <c r="M2102" s="10"/>
      <c r="N2102" s="10"/>
      <c r="O2102" s="10"/>
      <c r="P2102" s="10"/>
      <c r="Q2102" s="10"/>
      <c r="R2102" s="10"/>
      <c r="S2102" s="10"/>
      <c r="T2102" s="10"/>
      <c r="U2102" s="10"/>
      <c r="V2102" s="10"/>
      <c r="W2102" s="10"/>
      <c r="X2102" s="10"/>
      <c r="Y2102" s="10"/>
      <c r="Z2102" s="10"/>
    </row>
    <row r="2103" spans="1:26" ht="12.75">
      <c r="A2103" s="10" t="str">
        <f ca="1">IFERROR(__xludf.DUMMYFUNCTION("""COMPUTED_VALUE"""),"Гошо Кирилов Петков")</f>
        <v>Гошо Кирилов Петков</v>
      </c>
      <c r="B2103" s="10" t="str">
        <f ca="1">IFERROR(__xludf.DUMMYFUNCTION("""COMPUTED_VALUE"""),"Статия в списания и поредици")</f>
        <v>Статия в списания и поредици</v>
      </c>
      <c r="C2103" s="10" t="str">
        <f ca="1">IFERROR(__xludf.DUMMYFUNCTION("""COMPUTED_VALUE"""),"Volunteer or concept army? Certain observations in connection with the U. N. Peacekeeping mission of the Bulgarian military contingent in Cambodia.")</f>
        <v>Volunteer or concept army? Certain observations in connection with the U. N. Peacekeeping mission of the Bulgarian military contingent in Cambodia.</v>
      </c>
      <c r="D2103" s="10">
        <f ca="1">IFERROR(__xludf.DUMMYFUNCTION("""COMPUTED_VALUE"""),1995)</f>
        <v>1995</v>
      </c>
      <c r="E2103" s="10" t="str">
        <f ca="1">IFERROR(__xludf.DUMMYFUNCTION("""COMPUTED_VALUE"""),"Bulgarian military review")</f>
        <v>Bulgarian military review</v>
      </c>
      <c r="F2103" s="10"/>
      <c r="G2103" s="10"/>
      <c r="H2103" s="10"/>
      <c r="I2103" s="10"/>
      <c r="J2103" s="10"/>
      <c r="K2103" s="10"/>
      <c r="L2103" s="10"/>
      <c r="M2103" s="10"/>
      <c r="N2103" s="10"/>
      <c r="O2103" s="10"/>
      <c r="P2103" s="10"/>
      <c r="Q2103" s="10"/>
      <c r="R2103" s="10"/>
      <c r="S2103" s="10"/>
      <c r="T2103" s="10"/>
      <c r="U2103" s="10"/>
      <c r="V2103" s="10"/>
      <c r="W2103" s="10"/>
      <c r="X2103" s="10"/>
      <c r="Y2103" s="10"/>
      <c r="Z2103" s="10"/>
    </row>
    <row r="2104" spans="1:26" ht="12.75">
      <c r="A2104" s="10" t="str">
        <f ca="1">IFERROR(__xludf.DUMMYFUNCTION("""COMPUTED_VALUE"""),"Гошо Кирилов Петков")</f>
        <v>Гошо Кирилов Петков</v>
      </c>
      <c r="B2104" s="10" t="str">
        <f ca="1">IFERROR(__xludf.DUMMYFUNCTION("""COMPUTED_VALUE"""),"Доклад от конференция")</f>
        <v>Доклад от конференция</v>
      </c>
      <c r="C2104" s="10" t="str">
        <f ca="1">IFERROR(__xludf.DUMMYFUNCTION("""COMPUTED_VALUE"""),"Personality characteristics and attitude to authority of Officers, NCO’S and Soldiers as predictors of their adaptation to new conditions in the Bulgarian Armed Forces.")</f>
        <v>Personality characteristics and attitude to authority of Officers, NCO’S and Soldiers as predictors of their adaptation to new conditions in the Bulgarian Armed Forces.</v>
      </c>
      <c r="D2104" s="10">
        <f ca="1">IFERROR(__xludf.DUMMYFUNCTION("""COMPUTED_VALUE"""),1994)</f>
        <v>1994</v>
      </c>
      <c r="E2104" s="10" t="str">
        <f ca="1">IFERROR(__xludf.DUMMYFUNCTION("""COMPUTED_VALUE"""),"NATO Research Fellowships Program")</f>
        <v>NATO Research Fellowships Program</v>
      </c>
      <c r="F2104" s="10"/>
      <c r="G2104" s="10"/>
      <c r="H2104" s="10"/>
      <c r="I2104" s="10"/>
      <c r="J2104" s="10"/>
      <c r="K2104" s="10"/>
      <c r="L2104" s="10"/>
      <c r="M2104" s="10"/>
      <c r="N2104" s="10"/>
      <c r="O2104" s="10"/>
      <c r="P2104" s="10"/>
      <c r="Q2104" s="10"/>
      <c r="R2104" s="10"/>
      <c r="S2104" s="10"/>
      <c r="T2104" s="10"/>
      <c r="U2104" s="10"/>
      <c r="V2104" s="10"/>
      <c r="W2104" s="10"/>
      <c r="X2104" s="10"/>
      <c r="Y2104" s="10"/>
      <c r="Z2104" s="10"/>
    </row>
    <row r="2105" spans="1:26" ht="12.75">
      <c r="A2105" s="10" t="str">
        <f ca="1">IFERROR(__xludf.DUMMYFUNCTION("""COMPUTED_VALUE"""),"Гошо Кирилов Петков")</f>
        <v>Гошо Кирилов Петков</v>
      </c>
      <c r="B2105" s="10" t="str">
        <f ca="1">IFERROR(__xludf.DUMMYFUNCTION("""COMPUTED_VALUE"""),"Статия в списания и поредици")</f>
        <v>Статия в списания и поредици</v>
      </c>
      <c r="C2105" s="10" t="str">
        <f ca="1">IFERROR(__xludf.DUMMYFUNCTION("""COMPUTED_VALUE"""),"Офицерското семейство – източник на мотивационен потенциал за службата на военнослужещия")</f>
        <v>Офицерското семейство – източник на мотивационен потенциал за службата на военнослужещия</v>
      </c>
      <c r="D2105" s="10">
        <f ca="1">IFERROR(__xludf.DUMMYFUNCTION("""COMPUTED_VALUE"""),1994)</f>
        <v>1994</v>
      </c>
      <c r="E2105" s="10" t="str">
        <f ca="1">IFERROR(__xludf.DUMMYFUNCTION("""COMPUTED_VALUE"""),"Трудове на академията, 6, ISSN 1312-2983")</f>
        <v>Трудове на академията, 6, ISSN 1312-2983</v>
      </c>
      <c r="F2105" s="10"/>
      <c r="G2105" s="10"/>
      <c r="H2105" s="10"/>
      <c r="I2105" s="10"/>
      <c r="J2105" s="10"/>
      <c r="K2105" s="10"/>
      <c r="L2105" s="10"/>
      <c r="M2105" s="10"/>
      <c r="N2105" s="10"/>
      <c r="O2105" s="10"/>
      <c r="P2105" s="10"/>
      <c r="Q2105" s="10"/>
      <c r="R2105" s="10"/>
      <c r="S2105" s="10"/>
      <c r="T2105" s="10"/>
      <c r="U2105" s="10"/>
      <c r="V2105" s="10"/>
      <c r="W2105" s="10"/>
      <c r="X2105" s="10"/>
      <c r="Y2105" s="10"/>
      <c r="Z2105" s="10"/>
    </row>
    <row r="2106" spans="1:26" ht="12.75">
      <c r="A2106" s="10" t="str">
        <f ca="1">IFERROR(__xludf.DUMMYFUNCTION("""COMPUTED_VALUE"""),"Гошо Кирилов Петков")</f>
        <v>Гошо Кирилов Петков</v>
      </c>
      <c r="B2106" s="10" t="str">
        <f ca="1">IFERROR(__xludf.DUMMYFUNCTION("""COMPUTED_VALUE"""),"Монография")</f>
        <v>Монография</v>
      </c>
      <c r="C2106" s="10" t="str">
        <f ca="1">IFERROR(__xludf.DUMMYFUNCTION("""COMPUTED_VALUE"""),"Воинската адаптация")</f>
        <v>Воинската адаптация</v>
      </c>
      <c r="D2106" s="10">
        <f ca="1">IFERROR(__xludf.DUMMYFUNCTION("""COMPUTED_VALUE"""),1994)</f>
        <v>1994</v>
      </c>
      <c r="E2106" s="10" t="str">
        <f ca="1">IFERROR(__xludf.DUMMYFUNCTION("""COMPUTED_VALUE"""),"Издателство на МО «Св. Георги Победоносец», 1994, COBISS.BG-ID 1028161764")</f>
        <v>Издателство на МО «Св. Георги Победоносец», 1994, COBISS.BG-ID 1028161764</v>
      </c>
      <c r="F2106" s="10" t="str">
        <f ca="1">IFERROR(__xludf.DUMMYFUNCTION("""COMPUTED_VALUE"""),"COBISS.BG-ID 1028161764")</f>
        <v>COBISS.BG-ID 1028161764</v>
      </c>
      <c r="G2106" s="10"/>
      <c r="H2106" s="10"/>
      <c r="I2106" s="10"/>
      <c r="J2106" s="10"/>
      <c r="K2106" s="10"/>
      <c r="L2106" s="10"/>
      <c r="M2106" s="10"/>
      <c r="N2106" s="10"/>
      <c r="O2106" s="10"/>
      <c r="P2106" s="10"/>
      <c r="Q2106" s="10"/>
      <c r="R2106" s="10"/>
      <c r="S2106" s="10"/>
      <c r="T2106" s="10"/>
      <c r="U2106" s="10"/>
      <c r="V2106" s="10"/>
      <c r="W2106" s="10"/>
      <c r="X2106" s="10"/>
      <c r="Y2106" s="10"/>
      <c r="Z2106" s="10"/>
    </row>
    <row r="2107" spans="1:26" ht="12.75">
      <c r="A2107" s="10" t="str">
        <f ca="1">IFERROR(__xludf.DUMMYFUNCTION("""COMPUTED_VALUE"""),"Гошо Кирилов Петков")</f>
        <v>Гошо Кирилов Петков</v>
      </c>
      <c r="B2107" s="10" t="str">
        <f ca="1">IFERROR(__xludf.DUMMYFUNCTION("""COMPUTED_VALUE"""),"Статия в списания и поредици")</f>
        <v>Статия в списания и поредици</v>
      </c>
      <c r="C2107" s="10" t="str">
        <f ca="1">IFERROR(__xludf.DUMMYFUNCTION("""COMPUTED_VALUE"""),"Управление и динамика на воинските групи")</f>
        <v>Управление и динамика на воинските групи</v>
      </c>
      <c r="D2107" s="10">
        <f ca="1">IFERROR(__xludf.DUMMYFUNCTION("""COMPUTED_VALUE"""),1993)</f>
        <v>1993</v>
      </c>
      <c r="E2107" s="10" t="str">
        <f ca="1">IFERROR(__xludf.DUMMYFUNCTION("""COMPUTED_VALUE"""),"В: Информационно осигуряване, София, Св. Георги Победоносец, Свитък 1, 1993, с. 15-17.")</f>
        <v>В: Информационно осигуряване, София, Св. Георги Победоносец, Свитък 1, 1993, с. 15-17.</v>
      </c>
      <c r="F2107" s="10"/>
      <c r="G2107" s="10"/>
      <c r="H2107" s="10"/>
      <c r="I2107" s="10"/>
      <c r="J2107" s="10"/>
      <c r="K2107" s="10"/>
      <c r="L2107" s="10"/>
      <c r="M2107" s="10"/>
      <c r="N2107" s="10"/>
      <c r="O2107" s="10"/>
      <c r="P2107" s="10"/>
      <c r="Q2107" s="10"/>
      <c r="R2107" s="10"/>
      <c r="S2107" s="10"/>
      <c r="T2107" s="10"/>
      <c r="U2107" s="10"/>
      <c r="V2107" s="10"/>
      <c r="W2107" s="10"/>
      <c r="X2107" s="10"/>
      <c r="Y2107" s="10"/>
      <c r="Z2107" s="10"/>
    </row>
    <row r="2108" spans="1:26" ht="12.75">
      <c r="A2108" s="10" t="str">
        <f ca="1">IFERROR(__xludf.DUMMYFUNCTION("""COMPUTED_VALUE"""),"Гошо Кирилов Петков")</f>
        <v>Гошо Кирилов Петков</v>
      </c>
      <c r="B2108" s="10" t="str">
        <f ca="1">IFERROR(__xludf.DUMMYFUNCTION("""COMPUTED_VALUE"""),"Статия в списания и поредици")</f>
        <v>Статия в списания и поредици</v>
      </c>
      <c r="C2108" s="10" t="str">
        <f ca="1">IFERROR(__xludf.DUMMYFUNCTION("""COMPUTED_VALUE"""),"Психологически аспекти на мотивацията за военна служба")</f>
        <v>Психологически аспекти на мотивацията за военна служба</v>
      </c>
      <c r="D2108" s="10">
        <f ca="1">IFERROR(__xludf.DUMMYFUNCTION("""COMPUTED_VALUE"""),1993)</f>
        <v>1993</v>
      </c>
      <c r="E2108" s="10" t="str">
        <f ca="1">IFERROR(__xludf.DUMMYFUNCTION("""COMPUTED_VALUE"""),"Информационен бюлетин на МО, 3")</f>
        <v>Информационен бюлетин на МО, 3</v>
      </c>
      <c r="F2108" s="10"/>
      <c r="G2108" s="10"/>
      <c r="H2108" s="10"/>
      <c r="I2108" s="10"/>
      <c r="J2108" s="10"/>
      <c r="K2108" s="10"/>
      <c r="L2108" s="10"/>
      <c r="M2108" s="10"/>
      <c r="N2108" s="10"/>
      <c r="O2108" s="10"/>
      <c r="P2108" s="10"/>
      <c r="Q2108" s="10"/>
      <c r="R2108" s="10"/>
      <c r="S2108" s="10"/>
      <c r="T2108" s="10"/>
      <c r="U2108" s="10"/>
      <c r="V2108" s="10"/>
      <c r="W2108" s="10"/>
      <c r="X2108" s="10"/>
      <c r="Y2108" s="10"/>
      <c r="Z2108" s="10"/>
    </row>
    <row r="2109" spans="1:26" ht="12.75">
      <c r="A2109" s="10" t="str">
        <f ca="1">IFERROR(__xludf.DUMMYFUNCTION("""COMPUTED_VALUE"""),"Гошо Кирилов Петков")</f>
        <v>Гошо Кирилов Петков</v>
      </c>
      <c r="B2109" s="10" t="str">
        <f ca="1">IFERROR(__xludf.DUMMYFUNCTION("""COMPUTED_VALUE"""),"Статия в списания и поредици")</f>
        <v>Статия в списания и поредици</v>
      </c>
      <c r="C2109" s="10" t="str">
        <f ca="1">IFERROR(__xludf.DUMMYFUNCTION("""COMPUTED_VALUE"""),"Военната дисциплина – разумен баланс на личностни и социални интереси при изпълнение на задълженията по военната защита на страната")</f>
        <v>Военната дисциплина – разумен баланс на личностни и социални интереси при изпълнение на задълженията по военната защита на страната</v>
      </c>
      <c r="D2109" s="10">
        <f ca="1">IFERROR(__xludf.DUMMYFUNCTION("""COMPUTED_VALUE"""),1993)</f>
        <v>1993</v>
      </c>
      <c r="E2109" s="10" t="str">
        <f ca="1">IFERROR(__xludf.DUMMYFUNCTION("""COMPUTED_VALUE"""),"Информационен бюлетин на МО, 3")</f>
        <v>Информационен бюлетин на МО, 3</v>
      </c>
      <c r="F2109" s="10"/>
      <c r="G2109" s="10"/>
      <c r="H2109" s="10"/>
      <c r="I2109" s="10"/>
      <c r="J2109" s="10"/>
      <c r="K2109" s="10"/>
      <c r="L2109" s="10"/>
      <c r="M2109" s="10"/>
      <c r="N2109" s="10"/>
      <c r="O2109" s="10"/>
      <c r="P2109" s="10"/>
      <c r="Q2109" s="10"/>
      <c r="R2109" s="10"/>
      <c r="S2109" s="10"/>
      <c r="T2109" s="10"/>
      <c r="U2109" s="10"/>
      <c r="V2109" s="10"/>
      <c r="W2109" s="10"/>
      <c r="X2109" s="10"/>
      <c r="Y2109" s="10"/>
      <c r="Z2109" s="10"/>
    </row>
    <row r="2110" spans="1:26" ht="12.75">
      <c r="A2110" s="10" t="str">
        <f ca="1">IFERROR(__xludf.DUMMYFUNCTION("""COMPUTED_VALUE"""),"Гошо Кирилов Петков")</f>
        <v>Гошо Кирилов Петков</v>
      </c>
      <c r="B2110" s="10" t="str">
        <f ca="1">IFERROR(__xludf.DUMMYFUNCTION("""COMPUTED_VALUE"""),"Статия в списания и поредици")</f>
        <v>Статия в списания и поредици</v>
      </c>
      <c r="C2110" s="10" t="str">
        <f ca="1">IFERROR(__xludf.DUMMYFUNCTION("""COMPUTED_VALUE"""),"Нарушенията на воинската дисциплина. Гледната точка на психолога")</f>
        <v>Нарушенията на воинската дисциплина. Гледната точка на психолога</v>
      </c>
      <c r="D2110" s="10">
        <f ca="1">IFERROR(__xludf.DUMMYFUNCTION("""COMPUTED_VALUE"""),1991)</f>
        <v>1991</v>
      </c>
      <c r="E2110" s="10" t="str">
        <f ca="1">IFERROR(__xludf.DUMMYFUNCTION("""COMPUTED_VALUE"""),"Общество и армия, 4, ISSN 0861-1289 УДК 355.1/.3")</f>
        <v>Общество и армия, 4, ISSN 0861-1289 УДК 355.1/.3</v>
      </c>
      <c r="F2110" s="10"/>
      <c r="G2110" s="10"/>
      <c r="H2110" s="10"/>
      <c r="I2110" s="10"/>
      <c r="J2110" s="10"/>
      <c r="K2110" s="10"/>
      <c r="L2110" s="10"/>
      <c r="M2110" s="10"/>
      <c r="N2110" s="10"/>
      <c r="O2110" s="10"/>
      <c r="P2110" s="10"/>
      <c r="Q2110" s="10"/>
      <c r="R2110" s="10"/>
      <c r="S2110" s="10"/>
      <c r="T2110" s="10"/>
      <c r="U2110" s="10"/>
      <c r="V2110" s="10"/>
      <c r="W2110" s="10"/>
      <c r="X2110" s="10"/>
      <c r="Y2110" s="10"/>
      <c r="Z2110" s="10"/>
    </row>
    <row r="2111" spans="1:26" ht="12.75">
      <c r="A2111" s="10" t="str">
        <f ca="1">IFERROR(__xludf.DUMMYFUNCTION("""COMPUTED_VALUE"""),"Гошо Кирилов Петков")</f>
        <v>Гошо Кирилов Петков</v>
      </c>
      <c r="B2111" s="10" t="str">
        <f ca="1">IFERROR(__xludf.DUMMYFUNCTION("""COMPUTED_VALUE"""),"Статия в списания и поредици")</f>
        <v>Статия в списания и поредици</v>
      </c>
      <c r="C2111" s="10" t="str">
        <f ca="1">IFERROR(__xludf.DUMMYFUNCTION("""COMPUTED_VALUE"""),"Психологически анализ на взаимоотношенията във воинските колективи")</f>
        <v>Психологически анализ на взаимоотношенията във воинските колективи</v>
      </c>
      <c r="D2111" s="10">
        <f ca="1">IFERROR(__xludf.DUMMYFUNCTION("""COMPUTED_VALUE"""),1991)</f>
        <v>1991</v>
      </c>
      <c r="E2111" s="10" t="str">
        <f ca="1">IFERROR(__xludf.DUMMYFUNCTION("""COMPUTED_VALUE"""),"Информационен бюлетин на МО, 3")</f>
        <v>Информационен бюлетин на МО, 3</v>
      </c>
      <c r="F2111" s="10"/>
      <c r="G2111" s="10"/>
      <c r="H2111" s="10"/>
      <c r="I2111" s="10"/>
      <c r="J2111" s="10"/>
      <c r="K2111" s="10"/>
      <c r="L2111" s="10"/>
      <c r="M2111" s="10"/>
      <c r="N2111" s="10"/>
      <c r="O2111" s="10"/>
      <c r="P2111" s="10"/>
      <c r="Q2111" s="10"/>
      <c r="R2111" s="10"/>
      <c r="S2111" s="10"/>
      <c r="T2111" s="10"/>
      <c r="U2111" s="10"/>
      <c r="V2111" s="10"/>
      <c r="W2111" s="10"/>
      <c r="X2111" s="10"/>
      <c r="Y2111" s="10"/>
      <c r="Z2111" s="10"/>
    </row>
    <row r="2112" spans="1:26" ht="12.75">
      <c r="A2112" s="10" t="str">
        <f ca="1">IFERROR(__xludf.DUMMYFUNCTION("""COMPUTED_VALUE"""),"Гошо Кирилов Петков")</f>
        <v>Гошо Кирилов Петков</v>
      </c>
      <c r="B2112" s="10" t="str">
        <f ca="1">IFERROR(__xludf.DUMMYFUNCTION("""COMPUTED_VALUE"""),"Статия в списания и поредици")</f>
        <v>Статия в списания и поредици</v>
      </c>
      <c r="C2112" s="10" t="str">
        <f ca="1">IFERROR(__xludf.DUMMYFUNCTION("""COMPUTED_VALUE"""),"Мотивацията за военна служба")</f>
        <v>Мотивацията за военна служба</v>
      </c>
      <c r="D2112" s="10">
        <f ca="1">IFERROR(__xludf.DUMMYFUNCTION("""COMPUTED_VALUE"""),1991)</f>
        <v>1991</v>
      </c>
      <c r="E2112" s="10" t="str">
        <f ca="1">IFERROR(__xludf.DUMMYFUNCTION("""COMPUTED_VALUE"""),"Военна мисъл, 1 ISSN: 0861-7392 (print); 2534-8388 (online) УДК 355/359")</f>
        <v>Военна мисъл, 1 ISSN: 0861-7392 (print); 2534-8388 (online) УДК 355/359</v>
      </c>
      <c r="F2112" s="10"/>
      <c r="G2112" s="10"/>
      <c r="H2112" s="10"/>
      <c r="I2112" s="10"/>
      <c r="J2112" s="10"/>
      <c r="K2112" s="10"/>
      <c r="L2112" s="10"/>
      <c r="M2112" s="10"/>
      <c r="N2112" s="10"/>
      <c r="O2112" s="10"/>
      <c r="P2112" s="10"/>
      <c r="Q2112" s="10"/>
      <c r="R2112" s="10"/>
      <c r="S2112" s="10"/>
      <c r="T2112" s="10"/>
      <c r="U2112" s="10"/>
      <c r="V2112" s="10"/>
      <c r="W2112" s="10"/>
      <c r="X2112" s="10"/>
      <c r="Y2112" s="10"/>
      <c r="Z2112" s="10"/>
    </row>
    <row r="2113" spans="1:26" ht="12.75">
      <c r="A2113" s="10" t="str">
        <f ca="1">IFERROR(__xludf.DUMMYFUNCTION("""COMPUTED_VALUE"""),"Гошо Кирилов Петков")</f>
        <v>Гошо Кирилов Петков</v>
      </c>
      <c r="B2113" s="10" t="str">
        <f ca="1">IFERROR(__xludf.DUMMYFUNCTION("""COMPUTED_VALUE"""),"Статия в списания и поредици")</f>
        <v>Статия в списания и поредици</v>
      </c>
      <c r="C2113" s="10" t="str">
        <f ca="1">IFERROR(__xludf.DUMMYFUNCTION("""COMPUTED_VALUE"""),"Морално-етични и психологически качества на войните")</f>
        <v>Морално-етични и психологически качества на войните</v>
      </c>
      <c r="D2113" s="10">
        <f ca="1">IFERROR(__xludf.DUMMYFUNCTION("""COMPUTED_VALUE"""),1991)</f>
        <v>1991</v>
      </c>
      <c r="E2113" s="10" t="str">
        <f ca="1">IFERROR(__xludf.DUMMYFUNCTION("""COMPUTED_VALUE"""),"Информационен бюлетин на МО, 7")</f>
        <v>Информационен бюлетин на МО, 7</v>
      </c>
      <c r="F2113" s="10"/>
      <c r="G2113" s="10"/>
      <c r="H2113" s="10"/>
      <c r="I2113" s="10"/>
      <c r="J2113" s="10"/>
      <c r="K2113" s="10"/>
      <c r="L2113" s="10"/>
      <c r="M2113" s="10"/>
      <c r="N2113" s="10"/>
      <c r="O2113" s="10"/>
      <c r="P2113" s="10"/>
      <c r="Q2113" s="10"/>
      <c r="R2113" s="10"/>
      <c r="S2113" s="10"/>
      <c r="T2113" s="10"/>
      <c r="U2113" s="10"/>
      <c r="V2113" s="10"/>
      <c r="W2113" s="10"/>
      <c r="X2113" s="10"/>
      <c r="Y2113" s="10"/>
      <c r="Z2113" s="10"/>
    </row>
    <row r="2114" spans="1:26" ht="12.75">
      <c r="A2114" s="10" t="str">
        <f ca="1">IFERROR(__xludf.DUMMYFUNCTION("""COMPUTED_VALUE"""),"Гошо Кирилов Петков")</f>
        <v>Гошо Кирилов Петков</v>
      </c>
      <c r="B2114" s="10" t="str">
        <f ca="1">IFERROR(__xludf.DUMMYFUNCTION("""COMPUTED_VALUE"""),"Монография")</f>
        <v>Монография</v>
      </c>
      <c r="C2114" s="10" t="str">
        <f ca="1">IFERROR(__xludf.DUMMYFUNCTION("""COMPUTED_VALUE"""),"Психологически анализ на дисциплинарните нарушения")</f>
        <v>Психологически анализ на дисциплинарните нарушения</v>
      </c>
      <c r="D2114" s="10">
        <f ca="1">IFERROR(__xludf.DUMMYFUNCTION("""COMPUTED_VALUE"""),1991)</f>
        <v>1991</v>
      </c>
      <c r="E2114" s="10" t="str">
        <f ca="1">IFERROR(__xludf.DUMMYFUNCTION("""COMPUTED_VALUE"""),"Военно издателство „Св. Георги Победоносец“, УДК 355.13.000.159.9")</f>
        <v>Военно издателство „Св. Георги Победоносец“, УДК 355.13.000.159.9</v>
      </c>
      <c r="F2114" s="10" t="str">
        <f ca="1">IFERROR(__xludf.DUMMYFUNCTION("""COMPUTED_VALUE"""),"COBISS.BG-ID 1024214500")</f>
        <v>COBISS.BG-ID 1024214500</v>
      </c>
      <c r="G2114" s="10"/>
      <c r="H2114" s="10"/>
      <c r="I2114" s="10"/>
      <c r="J2114" s="10"/>
      <c r="K2114" s="10"/>
      <c r="L2114" s="10"/>
      <c r="M2114" s="10"/>
      <c r="N2114" s="10"/>
      <c r="O2114" s="10"/>
      <c r="P2114" s="10"/>
      <c r="Q2114" s="10"/>
      <c r="R2114" s="10"/>
      <c r="S2114" s="10"/>
      <c r="T2114" s="10"/>
      <c r="U2114" s="10"/>
      <c r="V2114" s="10"/>
      <c r="W2114" s="10"/>
      <c r="X2114" s="10"/>
      <c r="Y2114" s="10"/>
      <c r="Z2114" s="10"/>
    </row>
    <row r="2115" spans="1:26" ht="12.75">
      <c r="A2115" s="10" t="str">
        <f ca="1">IFERROR(__xludf.DUMMYFUNCTION("""COMPUTED_VALUE"""),"Гошо Кирилов Петков")</f>
        <v>Гошо Кирилов Петков</v>
      </c>
      <c r="B2115" s="10" t="str">
        <f ca="1">IFERROR(__xludf.DUMMYFUNCTION("""COMPUTED_VALUE"""),"Монография")</f>
        <v>Монография</v>
      </c>
      <c r="C2115" s="10" t="str">
        <f ca="1">IFERROR(__xludf.DUMMYFUNCTION("""COMPUTED_VALUE"""),"Самоубийствата на срочнослужещите")</f>
        <v>Самоубийствата на срочнослужещите</v>
      </c>
      <c r="D2115" s="10">
        <f ca="1">IFERROR(__xludf.DUMMYFUNCTION("""COMPUTED_VALUE"""),1991)</f>
        <v>1991</v>
      </c>
      <c r="E2115" s="10" t="str">
        <f ca="1">IFERROR(__xludf.DUMMYFUNCTION("""COMPUTED_VALUE"""),"Военно издателство „Св. Георги Победоносец“; (секретно)")</f>
        <v>Военно издателство „Св. Георги Победоносец“; (секретно)</v>
      </c>
      <c r="F2115" s="10"/>
      <c r="G2115" s="10" t="str">
        <f ca="1">IFERROR(__xludf.DUMMYFUNCTION("""COMPUTED_VALUE"""),"Галина Джеджева")</f>
        <v>Галина Джеджева</v>
      </c>
      <c r="H2115" s="10"/>
      <c r="I2115" s="10"/>
      <c r="J2115" s="10"/>
      <c r="K2115" s="10"/>
      <c r="L2115" s="10"/>
      <c r="M2115" s="10"/>
      <c r="N2115" s="10"/>
      <c r="O2115" s="10"/>
      <c r="P2115" s="10"/>
      <c r="Q2115" s="10"/>
      <c r="R2115" s="10"/>
      <c r="S2115" s="10"/>
      <c r="T2115" s="10"/>
      <c r="U2115" s="10"/>
      <c r="V2115" s="10"/>
      <c r="W2115" s="10"/>
      <c r="X2115" s="10"/>
      <c r="Y2115" s="10"/>
      <c r="Z2115" s="10"/>
    </row>
    <row r="2116" spans="1:26" ht="12.75">
      <c r="A2116" s="10" t="str">
        <f ca="1">IFERROR(__xludf.DUMMYFUNCTION("""COMPUTED_VALUE"""),"Гошо Кирилов Петков")</f>
        <v>Гошо Кирилов Петков</v>
      </c>
      <c r="B2116" s="10" t="str">
        <f ca="1">IFERROR(__xludf.DUMMYFUNCTION("""COMPUTED_VALUE"""),"Статия в списания и поредици")</f>
        <v>Статия в списания и поредици</v>
      </c>
      <c r="C2116" s="10" t="str">
        <f ca="1">IFERROR(__xludf.DUMMYFUNCTION("""COMPUTED_VALUE"""),"Самоубийството през погледа на психолога")</f>
        <v>Самоубийството през погледа на психолога</v>
      </c>
      <c r="D2116" s="10">
        <f ca="1">IFERROR(__xludf.DUMMYFUNCTION("""COMPUTED_VALUE"""),1991)</f>
        <v>1991</v>
      </c>
      <c r="E2116" s="10" t="str">
        <f ca="1">IFERROR(__xludf.DUMMYFUNCTION("""COMPUTED_VALUE"""),"Психология, 1-2, ISSN 0861-7813")</f>
        <v>Психология, 1-2, ISSN 0861-7813</v>
      </c>
      <c r="F2116" s="10"/>
      <c r="G2116" s="10"/>
      <c r="H2116" s="10"/>
      <c r="I2116" s="10"/>
      <c r="J2116" s="10"/>
      <c r="K2116" s="10"/>
      <c r="L2116" s="10"/>
      <c r="M2116" s="10"/>
      <c r="N2116" s="10"/>
      <c r="O2116" s="10"/>
      <c r="P2116" s="10"/>
      <c r="Q2116" s="10"/>
      <c r="R2116" s="10"/>
      <c r="S2116" s="10"/>
      <c r="T2116" s="10"/>
      <c r="U2116" s="10"/>
      <c r="V2116" s="10"/>
      <c r="W2116" s="10"/>
      <c r="X2116" s="10"/>
      <c r="Y2116" s="10"/>
      <c r="Z2116" s="10"/>
    </row>
    <row r="2117" spans="1:26" ht="12.75">
      <c r="A2117" s="10" t="str">
        <f ca="1">IFERROR(__xludf.DUMMYFUNCTION("""COMPUTED_VALUE"""),"Гошо Кирилов Петков")</f>
        <v>Гошо Кирилов Петков</v>
      </c>
      <c r="B2117" s="10" t="str">
        <f ca="1">IFERROR(__xludf.DUMMYFUNCTION("""COMPUTED_VALUE"""),"Статия в списания и поредици")</f>
        <v>Статия в списания и поредици</v>
      </c>
      <c r="C2117" s="10" t="str">
        <f ca="1">IFERROR(__xludf.DUMMYFUNCTION("""COMPUTED_VALUE"""),"Психологическа характеристика на личността на война")</f>
        <v>Психологическа характеристика на личността на война</v>
      </c>
      <c r="D2117" s="10">
        <f ca="1">IFERROR(__xludf.DUMMYFUNCTION("""COMPUTED_VALUE"""),1991)</f>
        <v>1991</v>
      </c>
      <c r="E2117" s="10" t="str">
        <f ca="1">IFERROR(__xludf.DUMMYFUNCTION("""COMPUTED_VALUE"""),"Трудове на академията, 1, ISSN 1312-2983")</f>
        <v>Трудове на академията, 1, ISSN 1312-2983</v>
      </c>
      <c r="F2117" s="10"/>
      <c r="G2117" s="10"/>
      <c r="H2117" s="10"/>
      <c r="I2117" s="10"/>
      <c r="J2117" s="10"/>
      <c r="K2117" s="10"/>
      <c r="L2117" s="10"/>
      <c r="M2117" s="10"/>
      <c r="N2117" s="10"/>
      <c r="O2117" s="10"/>
      <c r="P2117" s="10"/>
      <c r="Q2117" s="10"/>
      <c r="R2117" s="10"/>
      <c r="S2117" s="10"/>
      <c r="T2117" s="10"/>
      <c r="U2117" s="10"/>
      <c r="V2117" s="10"/>
      <c r="W2117" s="10"/>
      <c r="X2117" s="10"/>
      <c r="Y2117" s="10"/>
      <c r="Z2117" s="10"/>
    </row>
    <row r="2118" spans="1:26" ht="12.75">
      <c r="A2118" s="10" t="str">
        <f ca="1">IFERROR(__xludf.DUMMYFUNCTION("""COMPUTED_VALUE"""),"Гошо Кирилов Петков")</f>
        <v>Гошо Кирилов Петков</v>
      </c>
      <c r="B2118" s="10" t="str">
        <f ca="1">IFERROR(__xludf.DUMMYFUNCTION("""COMPUTED_VALUE"""),"Статия в списания и поредици")</f>
        <v>Статия в списания и поредици</v>
      </c>
      <c r="C2118" s="10" t="str">
        <f ca="1">IFERROR(__xludf.DUMMYFUNCTION("""COMPUTED_VALUE"""),"Службата в армията и дълговете на психологията")</f>
        <v>Службата в армията и дълговете на психологията</v>
      </c>
      <c r="D2118" s="10">
        <f ca="1">IFERROR(__xludf.DUMMYFUNCTION("""COMPUTED_VALUE"""),1990)</f>
        <v>1990</v>
      </c>
      <c r="E2118" s="10" t="str">
        <f ca="1">IFERROR(__xludf.DUMMYFUNCTION("""COMPUTED_VALUE"""),"Общество и армия, 10")</f>
        <v>Общество и армия, 10</v>
      </c>
      <c r="F2118" s="10"/>
      <c r="G2118" s="10"/>
      <c r="H2118" s="10"/>
      <c r="I2118" s="10"/>
      <c r="J2118" s="10"/>
      <c r="K2118" s="10"/>
      <c r="L2118" s="10"/>
      <c r="M2118" s="10"/>
      <c r="N2118" s="10"/>
      <c r="O2118" s="10"/>
      <c r="P2118" s="10"/>
      <c r="Q2118" s="10"/>
      <c r="R2118" s="10"/>
      <c r="S2118" s="10"/>
      <c r="T2118" s="10"/>
      <c r="U2118" s="10"/>
      <c r="V2118" s="10"/>
      <c r="W2118" s="10"/>
      <c r="X2118" s="10"/>
      <c r="Y2118" s="10"/>
      <c r="Z2118" s="10"/>
    </row>
    <row r="2119" spans="1:26" ht="12.75">
      <c r="A2119" s="10" t="str">
        <f ca="1">IFERROR(__xludf.DUMMYFUNCTION("""COMPUTED_VALUE"""),"Гошо Кирилов Петков")</f>
        <v>Гошо Кирилов Петков</v>
      </c>
      <c r="B2119" s="10" t="str">
        <f ca="1">IFERROR(__xludf.DUMMYFUNCTION("""COMPUTED_VALUE"""),"Книга")</f>
        <v>Книга</v>
      </c>
      <c r="C2119" s="10" t="str">
        <f ca="1">IFERROR(__xludf.DUMMYFUNCTION("""COMPUTED_VALUE"""),"Психология на самоубийствата")</f>
        <v>Психология на самоубийствата</v>
      </c>
      <c r="D2119" s="10">
        <f ca="1">IFERROR(__xludf.DUMMYFUNCTION("""COMPUTED_VALUE"""),1989)</f>
        <v>1989</v>
      </c>
      <c r="E2119" s="10"/>
      <c r="F2119" s="10"/>
      <c r="G2119" s="10" t="str">
        <f ca="1">IFERROR(__xludf.DUMMYFUNCTION("""COMPUTED_VALUE"""),"-")</f>
        <v>-</v>
      </c>
      <c r="H2119" s="10"/>
      <c r="I2119" s="10"/>
      <c r="J2119" s="10"/>
      <c r="K2119" s="10"/>
      <c r="L2119" s="10"/>
      <c r="M2119" s="10"/>
      <c r="N2119" s="10"/>
      <c r="O2119" s="10"/>
      <c r="P2119" s="10"/>
      <c r="Q2119" s="10"/>
      <c r="R2119" s="10"/>
      <c r="S2119" s="10"/>
      <c r="T2119" s="10"/>
      <c r="U2119" s="10"/>
      <c r="V2119" s="10"/>
      <c r="W2119" s="10"/>
      <c r="X2119" s="10"/>
      <c r="Y2119" s="10"/>
      <c r="Z2119" s="10"/>
    </row>
    <row r="2120" spans="1:26" ht="12.75">
      <c r="A2120" s="10" t="str">
        <f ca="1">IFERROR(__xludf.DUMMYFUNCTION("""COMPUTED_VALUE"""),"Гошо Кирилов Петков")</f>
        <v>Гошо Кирилов Петков</v>
      </c>
      <c r="B2120" s="10" t="str">
        <f ca="1">IFERROR(__xludf.DUMMYFUNCTION("""COMPUTED_VALUE"""),"Статия в списания и поредици")</f>
        <v>Статия в списания и поредици</v>
      </c>
      <c r="C2120" s="10" t="str">
        <f ca="1">IFERROR(__xludf.DUMMYFUNCTION("""COMPUTED_VALUE"""),"Психология на взаимоотношенията")</f>
        <v>Психология на взаимоотношенията</v>
      </c>
      <c r="D2120" s="10">
        <f ca="1">IFERROR(__xludf.DUMMYFUNCTION("""COMPUTED_VALUE"""),1989)</f>
        <v>1989</v>
      </c>
      <c r="E2120" s="10" t="str">
        <f ca="1">IFERROR(__xludf.DUMMYFUNCTION("""COMPUTED_VALUE"""),"Пропаганда и агитация, 5")</f>
        <v>Пропаганда и агитация, 5</v>
      </c>
      <c r="F2120" s="10"/>
      <c r="G2120" s="10"/>
      <c r="H2120" s="10"/>
      <c r="I2120" s="10"/>
      <c r="J2120" s="10"/>
      <c r="K2120" s="10"/>
      <c r="L2120" s="10"/>
      <c r="M2120" s="10"/>
      <c r="N2120" s="10"/>
      <c r="O2120" s="10"/>
      <c r="P2120" s="10"/>
      <c r="Q2120" s="10"/>
      <c r="R2120" s="10"/>
      <c r="S2120" s="10"/>
      <c r="T2120" s="10"/>
      <c r="U2120" s="10"/>
      <c r="V2120" s="10"/>
      <c r="W2120" s="10"/>
      <c r="X2120" s="10"/>
      <c r="Y2120" s="10"/>
      <c r="Z2120" s="10"/>
    </row>
    <row r="2121" spans="1:26" ht="12.75">
      <c r="A2121" s="10" t="str">
        <f ca="1">IFERROR(__xludf.DUMMYFUNCTION("""COMPUTED_VALUE"""),"Даниела Георгиева Павлова")</f>
        <v>Даниела Георгиева Павлова</v>
      </c>
      <c r="B2121" s="10" t="str">
        <f ca="1">IFERROR(__xludf.DUMMYFUNCTION("""COMPUTED_VALUE"""),"Доклад от конференция")</f>
        <v>Доклад от конференция</v>
      </c>
      <c r="C2121" s="10" t="str">
        <f ca="1">IFERROR(__xludf.DUMMYFUNCTION("""COMPUTED_VALUE"""),"Ефективност на защитата на информацията в компютърните системите за управление на обекти и процеси")</f>
        <v>Ефективност на защитата на информацията в компютърните системите за управление на обекти и процеси</v>
      </c>
      <c r="D2121" s="10">
        <f ca="1">IFERROR(__xludf.DUMMYFUNCTION("""COMPUTED_VALUE"""),2019)</f>
        <v>2019</v>
      </c>
      <c r="E2121" s="10" t="str">
        <f ca="1">IFERROR(__xludf.DUMMYFUNCTION("""COMPUTED_VALUE"""),"Сб. доклади от VII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241-2"&amp;"49, ISSN 2367-7988")</f>
        <v>Сб. доклади от VII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241-249, ISSN 2367-7988</v>
      </c>
      <c r="F2121" s="10"/>
      <c r="G2121" s="10" t="str">
        <f ca="1">IFERROR(__xludf.DUMMYFUNCTION("""COMPUTED_VALUE"""),"Павлова, Даниела;Джелепов, Виктор; Гиндев, Панайот")</f>
        <v>Павлова, Даниела;Джелепов, Виктор; Гиндев, Панайот</v>
      </c>
      <c r="H2121" s="10"/>
      <c r="I2121" s="10"/>
      <c r="J2121" s="10"/>
      <c r="K2121" s="10"/>
      <c r="L2121" s="10"/>
      <c r="M2121" s="10"/>
      <c r="N2121" s="10"/>
      <c r="O2121" s="10"/>
      <c r="P2121" s="10"/>
      <c r="Q2121" s="10"/>
      <c r="R2121" s="10"/>
      <c r="S2121" s="10"/>
      <c r="T2121" s="10"/>
      <c r="U2121" s="10"/>
      <c r="V2121" s="10"/>
      <c r="W2121" s="10"/>
      <c r="X2121" s="10"/>
      <c r="Y2121" s="10"/>
      <c r="Z2121" s="10"/>
    </row>
    <row r="2122" spans="1:26" ht="12.75">
      <c r="A2122" s="10" t="str">
        <f ca="1">IFERROR(__xludf.DUMMYFUNCTION("""COMPUTED_VALUE"""),"Даниела Георгиева Павлова")</f>
        <v>Даниела Георгиева Павлова</v>
      </c>
      <c r="B2122" s="10" t="str">
        <f ca="1">IFERROR(__xludf.DUMMYFUNCTION("""COMPUTED_VALUE"""),"Доклад от конференция")</f>
        <v>Доклад от конференция</v>
      </c>
      <c r="C2122" s="10" t="str">
        <f ca="1">IFERROR(__xludf.DUMMYFUNCTION("""COMPUTED_VALUE"""),"Exploration of a distance learning toolkit through integration the capabilities of public and private clouds in a heterogeneous environment")</f>
        <v>Exploration of a distance learning toolkit through integration the capabilities of public and private clouds in a heterogeneous environment</v>
      </c>
      <c r="D2122" s="10">
        <f ca="1">IFERROR(__xludf.DUMMYFUNCTION("""COMPUTED_VALUE"""),2019)</f>
        <v>2019</v>
      </c>
      <c r="E2122" s="10" t="str">
        <f ca="1">IFERROR(__xludf.DUMMYFUNCTION("""COMPUTED_VALUE"""),"INTED2019 Proceedings. 13th International Technology, Education and Development Conference, Valencia, Spain, 11th-13th March 2019, pp. 8061-8066. ISBN: 978-84-09-08619-1 / ISSN: 2340-1079, doi: 10.21125/inted.2019.")</f>
        <v>INTED2019 Proceedings. 13th International Technology, Education and Development Conference, Valencia, Spain, 11th-13th March 2019, pp. 8061-8066. ISBN: 978-84-09-08619-1 / ISSN: 2340-1079, doi: 10.21125/inted.2019.</v>
      </c>
      <c r="F2122" s="10" t="str">
        <f ca="1">IFERROR(__xludf.DUMMYFUNCTION("""COMPUTED_VALUE"""),"WoS")</f>
        <v>WoS</v>
      </c>
      <c r="G2122" s="10"/>
      <c r="H2122" s="10"/>
      <c r="I2122" s="10"/>
      <c r="J2122" s="10"/>
      <c r="K2122" s="10"/>
      <c r="L2122" s="10"/>
      <c r="M2122" s="10"/>
      <c r="N2122" s="10"/>
      <c r="O2122" s="10"/>
      <c r="P2122" s="10"/>
      <c r="Q2122" s="10"/>
      <c r="R2122" s="10"/>
      <c r="S2122" s="10"/>
      <c r="T2122" s="10"/>
      <c r="U2122" s="10"/>
      <c r="V2122" s="10"/>
      <c r="W2122" s="10"/>
      <c r="X2122" s="10"/>
      <c r="Y2122" s="10"/>
      <c r="Z2122" s="10"/>
    </row>
    <row r="2123" spans="1:26" ht="12.75">
      <c r="A2123" s="10" t="str">
        <f ca="1">IFERROR(__xludf.DUMMYFUNCTION("""COMPUTED_VALUE"""),"Даниела Георгиева Павлова")</f>
        <v>Даниела Георгиева Павлова</v>
      </c>
      <c r="B2123" s="10" t="str">
        <f ca="1">IFERROR(__xludf.DUMMYFUNCTION("""COMPUTED_VALUE"""),"Доклад от конференция")</f>
        <v>Доклад от конференция</v>
      </c>
      <c r="C2123" s="10" t="str">
        <f ca="1">IFERROR(__xludf.DUMMYFUNCTION("""COMPUTED_VALUE"""),"Уеб-сайтът – предизвикателство или прозорец към модерното университетско образование")</f>
        <v>Уеб-сайтът – предизвикателство или прозорец към модерното университетско образование</v>
      </c>
      <c r="D2123" s="10">
        <f ca="1">IFERROR(__xludf.DUMMYFUNCTION("""COMPUTED_VALUE"""),2019)</f>
        <v>2019</v>
      </c>
      <c r="E2123" s="10" t="str">
        <f ca="1">IFERROR(__xludf.DUMMYFUNCTION("""COMPUTED_VALUE"""),"ХVI национална научна конференция с международно участие „Обществото на знанието и хуманизмът на XXI век”, София, 1 ноември 2018, „За буквите. О Писменехь“, 2019, с. 637-647. ISSN 1314-7099")</f>
        <v>ХVI национална научна конференция с международно участие „Обществото на знанието и хуманизмът на XXI век”, София, 1 ноември 2018, „За буквите. О Писменехь“, 2019, с. 637-647. ISSN 1314-7099</v>
      </c>
      <c r="F2123" s="10"/>
      <c r="G2123" s="10" t="str">
        <f ca="1">IFERROR(__xludf.DUMMYFUNCTION("""COMPUTED_VALUE"""),"Панайот Гиндев, Ива Костадинова")</f>
        <v>Панайот Гиндев, Ива Костадинова</v>
      </c>
      <c r="H2123" s="10"/>
      <c r="I2123" s="10"/>
      <c r="J2123" s="10"/>
      <c r="K2123" s="10"/>
      <c r="L2123" s="10"/>
      <c r="M2123" s="10"/>
      <c r="N2123" s="10"/>
      <c r="O2123" s="10"/>
      <c r="P2123" s="10"/>
      <c r="Q2123" s="10"/>
      <c r="R2123" s="10"/>
      <c r="S2123" s="10"/>
      <c r="T2123" s="10"/>
      <c r="U2123" s="10"/>
      <c r="V2123" s="10"/>
      <c r="W2123" s="10"/>
      <c r="X2123" s="10"/>
      <c r="Y2123" s="10"/>
      <c r="Z2123" s="10"/>
    </row>
    <row r="2124" spans="1:26" ht="12.75">
      <c r="A2124" s="10" t="str">
        <f ca="1">IFERROR(__xludf.DUMMYFUNCTION("""COMPUTED_VALUE"""),"Даниела Георгиева Павлова")</f>
        <v>Даниела Георгиева Павлова</v>
      </c>
      <c r="B2124" s="10" t="str">
        <f ca="1">IFERROR(__xludf.DUMMYFUNCTION("""COMPUTED_VALUE"""),"Доклад от конференция")</f>
        <v>Доклад от конференция</v>
      </c>
      <c r="C2124" s="10" t="str">
        <f ca="1">IFERROR(__xludf.DUMMYFUNCTION("""COMPUTED_VALUE"""),"Подход за синтез на система за интелигентно управление на знания")</f>
        <v>Подход за синтез на система за интелигентно управление на знания</v>
      </c>
      <c r="D2124" s="10">
        <f ca="1">IFERROR(__xludf.DUMMYFUNCTION("""COMPUTED_VALUE"""),2019)</f>
        <v>2019</v>
      </c>
      <c r="E2124" s="10" t="str">
        <f ca="1">IFERROR(__xludf.DUMMYFUNCTION("""COMPUTED_VALUE"""),"В: Сб. доклади от XIII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2"&amp;"50-257, ISSN 2367-7988")</f>
        <v>В: Сб. доклади от XIII международен пътуващ семинар „Съвременни измерения на европейското образователно и научно пространство. Българо - австрийски културни общувания”, Т.7, България – Австрия, 26-31 май 2019, София, „За буквите – О писменехь”, 2019, с. 250-257, ISSN 2367-7988</v>
      </c>
      <c r="F2124" s="10"/>
      <c r="G2124" s="10" t="str">
        <f ca="1">IFERROR(__xludf.DUMMYFUNCTION("""COMPUTED_VALUE"""),"Павлова, Даниела;Гиндев, Панайот")</f>
        <v>Павлова, Даниела;Гиндев, Панайот</v>
      </c>
      <c r="H2124" s="10"/>
      <c r="I2124" s="10"/>
      <c r="J2124" s="10"/>
      <c r="K2124" s="10"/>
      <c r="L2124" s="10"/>
      <c r="M2124" s="10"/>
      <c r="N2124" s="10"/>
      <c r="O2124" s="10"/>
      <c r="P2124" s="10"/>
      <c r="Q2124" s="10"/>
      <c r="R2124" s="10"/>
      <c r="S2124" s="10"/>
      <c r="T2124" s="10"/>
      <c r="U2124" s="10"/>
      <c r="V2124" s="10"/>
      <c r="W2124" s="10"/>
      <c r="X2124" s="10"/>
      <c r="Y2124" s="10"/>
      <c r="Z2124" s="10"/>
    </row>
    <row r="2125" spans="1:26" ht="12.75">
      <c r="A2125" s="10" t="str">
        <f ca="1">IFERROR(__xludf.DUMMYFUNCTION("""COMPUTED_VALUE"""),"Даниела Георгиева Павлова")</f>
        <v>Даниела Георгиева Павлова</v>
      </c>
      <c r="B2125" s="10" t="str">
        <f ca="1">IFERROR(__xludf.DUMMYFUNCTION("""COMPUTED_VALUE"""),"Доклад от конференция")</f>
        <v>Доклад от конференция</v>
      </c>
      <c r="C2125" s="10" t="str">
        <f ca="1">IFERROR(__xludf.DUMMYFUNCTION("""COMPUTED_VALUE"""),"Conceptual Model of a Mobile Application for Educational Purposes to Help Preserve the Country's Historical Heritage and Promote the Cultural Identity of the Nation")</f>
        <v>Conceptual Model of a Mobile Application for Educational Purposes to Help Preserve the Country's Historical Heritage and Promote the Cultural Identity of the Nation</v>
      </c>
      <c r="D2125" s="10">
        <f ca="1">IFERROR(__xludf.DUMMYFUNCTION("""COMPUTED_VALUE"""),2019)</f>
        <v>2019</v>
      </c>
      <c r="E2125" s="10" t="str">
        <f ca="1">IFERROR(__xludf.DUMMYFUNCTION("""COMPUTED_VALUE"""),"Proceedings of the International Conference on Digital Presentation and Preservation of Cultural and Scientific Heritage, DiPP2019, 26-28 September, 2019, Burgas, Bulgaria, 9, Institute of Mathematics and Informatics, 2019, 295-302 ISSN:1314-4006")</f>
        <v>Proceedings of the International Conference on Digital Presentation and Preservation of Cultural and Scientific Heritage, DiPP2019, 26-28 September, 2019, Burgas, Bulgaria, 9, Institute of Mathematics and Informatics, 2019, 295-302 ISSN:1314-4006</v>
      </c>
      <c r="F2125" s="10" t="str">
        <f ca="1">IFERROR(__xludf.DUMMYFUNCTION("""COMPUTED_VALUE"""),"Scopus and WoS")</f>
        <v>Scopus and WoS</v>
      </c>
      <c r="G2125" s="10"/>
      <c r="H2125" s="10"/>
      <c r="I2125" s="10"/>
      <c r="J2125" s="10"/>
      <c r="K2125" s="10"/>
      <c r="L2125" s="10"/>
      <c r="M2125" s="10"/>
      <c r="N2125" s="10"/>
      <c r="O2125" s="10"/>
      <c r="P2125" s="10"/>
      <c r="Q2125" s="10"/>
      <c r="R2125" s="10"/>
      <c r="S2125" s="10"/>
      <c r="T2125" s="10"/>
      <c r="U2125" s="10"/>
      <c r="V2125" s="10"/>
      <c r="W2125" s="10"/>
      <c r="X2125" s="10"/>
      <c r="Y2125" s="10"/>
      <c r="Z2125" s="10"/>
    </row>
    <row r="2126" spans="1:26" ht="12.75">
      <c r="A2126" s="10" t="str">
        <f ca="1">IFERROR(__xludf.DUMMYFUNCTION("""COMPUTED_VALUE"""),"Даниела Георгиева Павлова")</f>
        <v>Даниела Георгиева Павлова</v>
      </c>
      <c r="B2126" s="10" t="str">
        <f ca="1">IFERROR(__xludf.DUMMYFUNCTION("""COMPUTED_VALUE"""),"Доклад от конференция")</f>
        <v>Доклад от конференция</v>
      </c>
      <c r="C2126" s="10" t="str">
        <f ca="1">IFERROR(__xludf.DUMMYFUNCTION("""COMPUTED_VALUE"""),"Opportunities of continuing education in the implementation of Standards in the library-community centers of Bulgaria")</f>
        <v>Opportunities of continuing education in the implementation of Standards in the library-community centers of Bulgaria</v>
      </c>
      <c r="D2126" s="10">
        <f ca="1">IFERROR(__xludf.DUMMYFUNCTION("""COMPUTED_VALUE"""),2018)</f>
        <v>2018</v>
      </c>
      <c r="E2126" s="10" t="str">
        <f ca="1">IFERROR(__xludf.DUMMYFUNCTION("""COMPUTED_VALUE"""),"The Future of Education in Information Science: Proceedings from FEIS – International EINFOSE Symposium 10–11 September 2018, Pisa, Italy, Osijek, 2018, pp. 129 – 134. ISBN 978-953-314-120-6 &lt; http://einfose.ffos.hr/feis-2018/proceedings &gt;")</f>
        <v>The Future of Education in Information Science: Proceedings from FEIS – International EINFOSE Symposium 10–11 September 2018, Pisa, Italy, Osijek, 2018, pp. 129 – 134. ISBN 978-953-314-120-6 &lt; http://einfose.ffos.hr/feis-2018/proceedings &gt;</v>
      </c>
      <c r="F2126" s="10"/>
      <c r="G2126" s="10" t="str">
        <f ca="1">IFERROR(__xludf.DUMMYFUNCTION("""COMPUTED_VALUE"""),"Rositsa Krasteva, Tsvetelina Nakova")</f>
        <v>Rositsa Krasteva, Tsvetelina Nakova</v>
      </c>
      <c r="H2126" s="10"/>
      <c r="I2126" s="10"/>
      <c r="J2126" s="10"/>
      <c r="K2126" s="10"/>
      <c r="L2126" s="10"/>
      <c r="M2126" s="10"/>
      <c r="N2126" s="10"/>
      <c r="O2126" s="10"/>
      <c r="P2126" s="10"/>
      <c r="Q2126" s="10"/>
      <c r="R2126" s="10"/>
      <c r="S2126" s="10"/>
      <c r="T2126" s="10"/>
      <c r="U2126" s="10"/>
      <c r="V2126" s="10"/>
      <c r="W2126" s="10"/>
      <c r="X2126" s="10"/>
      <c r="Y2126" s="10"/>
      <c r="Z2126" s="10"/>
    </row>
    <row r="2127" spans="1:26" ht="12.75">
      <c r="A2127" s="10" t="str">
        <f ca="1">IFERROR(__xludf.DUMMYFUNCTION("""COMPUTED_VALUE"""),"Даниела Георгиева Павлова")</f>
        <v>Даниела Георгиева Павлова</v>
      </c>
      <c r="B2127" s="10" t="str">
        <f ca="1">IFERROR(__xludf.DUMMYFUNCTION("""COMPUTED_VALUE"""),"Доклад от конференция")</f>
        <v>Доклад от конференция</v>
      </c>
      <c r="C2127" s="10" t="str">
        <f ca="1">IFERROR(__xludf.DUMMYFUNCTION("""COMPUTED_VALUE"""),"Роля на е-управлението върху възможностите за участие на гражданите в социалните процеси")</f>
        <v>Роля на е-управлението върху възможностите за участие на гражданите в социалните процеси</v>
      </c>
      <c r="D2127" s="10">
        <f ca="1">IFERROR(__xludf.DUMMYFUNCTION("""COMPUTED_VALUE"""),2018)</f>
        <v>2018</v>
      </c>
      <c r="E2127" s="10" t="str">
        <f ca="1">IFERROR(__xludf.DUMMYFUNCTION("""COMPUTED_VALUE"""),"В: Европейските граждани и интелектуалната собственост, възприятие, осъзнатост, поведение: Сборник от Шести национален с международно участие. 25-26 април 2018, София, „За буквите – О писменехь“, 2018. с. 335-342. ISBN: 978-619-185-350-2")</f>
        <v>В: Европейските граждани и интелектуалната собственост, възприятие, осъзнатост, поведение: Сборник от Шести национален с международно участие. 25-26 април 2018, София, „За буквите – О писменехь“, 2018. с. 335-342. ISBN: 978-619-185-350-2</v>
      </c>
      <c r="F2127" s="10"/>
      <c r="G2127" s="10"/>
      <c r="H2127" s="10"/>
      <c r="I2127" s="10"/>
      <c r="J2127" s="10"/>
      <c r="K2127" s="10"/>
      <c r="L2127" s="10"/>
      <c r="M2127" s="10"/>
      <c r="N2127" s="10"/>
      <c r="O2127" s="10"/>
      <c r="P2127" s="10"/>
      <c r="Q2127" s="10"/>
      <c r="R2127" s="10"/>
      <c r="S2127" s="10"/>
      <c r="T2127" s="10"/>
      <c r="U2127" s="10"/>
      <c r="V2127" s="10"/>
      <c r="W2127" s="10"/>
      <c r="X2127" s="10"/>
      <c r="Y2127" s="10"/>
      <c r="Z2127" s="10"/>
    </row>
    <row r="2128" spans="1:26" ht="12.75">
      <c r="A2128" s="10" t="str">
        <f ca="1">IFERROR(__xludf.DUMMYFUNCTION("""COMPUTED_VALUE"""),"Даниела Георгиева Павлова")</f>
        <v>Даниела Георгиева Павлова</v>
      </c>
      <c r="B2128" s="10" t="str">
        <f ca="1">IFERROR(__xludf.DUMMYFUNCTION("""COMPUTED_VALUE"""),"Доклад от конференция")</f>
        <v>Доклад от конференция</v>
      </c>
      <c r="C2128" s="10" t="str">
        <f ca="1">IFERROR(__xludf.DUMMYFUNCTION("""COMPUTED_VALUE"""),"Contemporary state of education in Standardization – an important factor for the development of the information society")</f>
        <v>Contemporary state of education in Standardization – an important factor for the development of the information society</v>
      </c>
      <c r="D2128" s="10">
        <f ca="1">IFERROR(__xludf.DUMMYFUNCTION("""COMPUTED_VALUE"""),2018)</f>
        <v>2018</v>
      </c>
      <c r="E2128" s="10" t="str">
        <f ca="1">IFERROR(__xludf.DUMMYFUNCTION("""COMPUTED_VALUE"""),"""Educational Alternatives, Volume 16, 2018, p. 303-308 ISSN 1314-7277 (online) https://www.scientific-publications.net/en/article/1001810/ """)</f>
        <v>"Educational Alternatives, Volume 16, 2018, p. 303-308 ISSN 1314-7277 (online) https://www.scientific-publications.net/en/article/1001810/ "</v>
      </c>
      <c r="F2128" s="10"/>
      <c r="G2128" s="10" t="str">
        <f ca="1">IFERROR(__xludf.DUMMYFUNCTION("""COMPUTED_VALUE"""),"Tsvetelina Nakova, Rositsa Krasteva")</f>
        <v>Tsvetelina Nakova, Rositsa Krasteva</v>
      </c>
      <c r="H2128" s="10"/>
      <c r="I2128" s="10"/>
      <c r="J2128" s="10"/>
      <c r="K2128" s="10"/>
      <c r="L2128" s="10"/>
      <c r="M2128" s="10"/>
      <c r="N2128" s="10"/>
      <c r="O2128" s="10"/>
      <c r="P2128" s="10"/>
      <c r="Q2128" s="10"/>
      <c r="R2128" s="10"/>
      <c r="S2128" s="10"/>
      <c r="T2128" s="10"/>
      <c r="U2128" s="10"/>
      <c r="V2128" s="10"/>
      <c r="W2128" s="10"/>
      <c r="X2128" s="10"/>
      <c r="Y2128" s="10"/>
      <c r="Z2128" s="10"/>
    </row>
    <row r="2129" spans="1:26" ht="12.75">
      <c r="A2129" s="10" t="str">
        <f ca="1">IFERROR(__xludf.DUMMYFUNCTION("""COMPUTED_VALUE"""),"Даниела Георгиева Павлова")</f>
        <v>Даниела Георгиева Павлова</v>
      </c>
      <c r="B2129" s="10" t="str">
        <f ca="1">IFERROR(__xludf.DUMMYFUNCTION("""COMPUTED_VALUE"""),"Доклад от конференция")</f>
        <v>Доклад от конференция</v>
      </c>
      <c r="C2129" s="10" t="str">
        <f ca="1">IFERROR(__xludf.DUMMYFUNCTION("""COMPUTED_VALUE"""),"Education in standardization at the University of Library Studies and Information Technologies – Sofia")</f>
        <v>Education in standardization at the University of Library Studies and Information Technologies – Sofia</v>
      </c>
      <c r="D2129" s="10">
        <f ca="1">IFERROR(__xludf.DUMMYFUNCTION("""COMPUTED_VALUE"""),2018)</f>
        <v>2018</v>
      </c>
      <c r="E2129" s="10" t="str">
        <f ca="1">IFERROR(__xludf.DUMMYFUNCTION("""COMPUTED_VALUE"""),"The Future of Education in Information Science: Proceedings from FEIS – International EINFOSE Symposium 10–11 September 2018, Pisa, Italy, Osijek, 2018, pp. 229 – 232. ISBN 978-953-314-120-6 &lt; http://einfose.ffos.hr/feis-2018/proceedings &gt;")</f>
        <v>The Future of Education in Information Science: Proceedings from FEIS – International EINFOSE Symposium 10–11 September 2018, Pisa, Italy, Osijek, 2018, pp. 229 – 232. ISBN 978-953-314-120-6 &lt; http://einfose.ffos.hr/feis-2018/proceedings &gt;</v>
      </c>
      <c r="F2129" s="10"/>
      <c r="G2129" s="10" t="str">
        <f ca="1">IFERROR(__xludf.DUMMYFUNCTION("""COMPUTED_VALUE"""),"Tsvetelina Nakova, Rositsa Krasteva")</f>
        <v>Tsvetelina Nakova, Rositsa Krasteva</v>
      </c>
      <c r="H2129" s="10"/>
      <c r="I2129" s="10"/>
      <c r="J2129" s="10"/>
      <c r="K2129" s="10"/>
      <c r="L2129" s="10"/>
      <c r="M2129" s="10"/>
      <c r="N2129" s="10"/>
      <c r="O2129" s="10"/>
      <c r="P2129" s="10"/>
      <c r="Q2129" s="10"/>
      <c r="R2129" s="10"/>
      <c r="S2129" s="10"/>
      <c r="T2129" s="10"/>
      <c r="U2129" s="10"/>
      <c r="V2129" s="10"/>
      <c r="W2129" s="10"/>
      <c r="X2129" s="10"/>
      <c r="Y2129" s="10"/>
      <c r="Z2129" s="10"/>
    </row>
    <row r="2130" spans="1:26" ht="12.75">
      <c r="A2130" s="10" t="str">
        <f ca="1">IFERROR(__xludf.DUMMYFUNCTION("""COMPUTED_VALUE"""),"Даниела Георгиева Павлова")</f>
        <v>Даниела Георгиева Павлова</v>
      </c>
      <c r="B2130" s="10" t="str">
        <f ca="1">IFERROR(__xludf.DUMMYFUNCTION("""COMPUTED_VALUE"""),"Доклад от конференция")</f>
        <v>Доклад от конференция</v>
      </c>
      <c r="C2130" s="10" t="str">
        <f ca="1">IFERROR(__xludf.DUMMYFUNCTION("""COMPUTED_VALUE"""),"Integrating the capabilities of the public and private clouds for the purposes of innovative learning")</f>
        <v>Integrating the capabilities of the public and private clouds for the purposes of innovative learning</v>
      </c>
      <c r="D2130" s="10">
        <f ca="1">IFERROR(__xludf.DUMMYFUNCTION("""COMPUTED_VALUE"""),2018)</f>
        <v>2018</v>
      </c>
      <c r="E2130" s="10" t="str">
        <f ca="1">IFERROR(__xludf.DUMMYFUNCTION("""COMPUTED_VALUE"""),"Educational Alternatives, Volume 16, 2018, p. 336-341. ISSN 1314-7277 (online) - https://www.scientific-publications.net/en/article/1001821/")</f>
        <v>Educational Alternatives, Volume 16, 2018, p. 336-341. ISSN 1314-7277 (online) - https://www.scientific-publications.net/en/article/1001821/</v>
      </c>
      <c r="F2130" s="10"/>
      <c r="G2130" s="10"/>
      <c r="H2130" s="10"/>
      <c r="I2130" s="10"/>
      <c r="J2130" s="10"/>
      <c r="K2130" s="10"/>
      <c r="L2130" s="10"/>
      <c r="M2130" s="10"/>
      <c r="N2130" s="10"/>
      <c r="O2130" s="10"/>
      <c r="P2130" s="10"/>
      <c r="Q2130" s="10"/>
      <c r="R2130" s="10"/>
      <c r="S2130" s="10"/>
      <c r="T2130" s="10"/>
      <c r="U2130" s="10"/>
      <c r="V2130" s="10"/>
      <c r="W2130" s="10"/>
      <c r="X2130" s="10"/>
      <c r="Y2130" s="10"/>
      <c r="Z2130" s="10"/>
    </row>
    <row r="2131" spans="1:26" ht="12.75">
      <c r="A2131" s="10" t="str">
        <f ca="1">IFERROR(__xludf.DUMMYFUNCTION("""COMPUTED_VALUE"""),"Даниела Георгиева Павлова")</f>
        <v>Даниела Георгиева Павлова</v>
      </c>
      <c r="B2131" s="10" t="str">
        <f ca="1">IFERROR(__xludf.DUMMYFUNCTION("""COMPUTED_VALUE"""),"Доклад от конференция")</f>
        <v>Доклад от конференция</v>
      </c>
      <c r="C2131" s="10" t="str">
        <f ca="1">IFERROR(__xludf.DUMMYFUNCTION("""COMPUTED_VALUE"""),"Проучване на професионалната реализация на дипломираните студенти в УниБИТ, обучавани в дистанционна форма")</f>
        <v>Проучване на професионалната реализация на дипломираните студенти в УниБИТ, обучавани в дистанционна форма</v>
      </c>
      <c r="D2131" s="10">
        <f ca="1">IFERROR(__xludf.DUMMYFUNCTION("""COMPUTED_VALUE"""),2017)</f>
        <v>2017</v>
      </c>
      <c r="E2131" s="10" t="str">
        <f ca="1">IFERROR(__xludf.DUMMYFUNCTION("""COMPUTED_VALUE"""),"II научна конференция “Съвременни стратегии и иновации в управление на знанието”, 02 - 04 ноември, Костенец, 2015. „За буквите – О писменехь“, 2017. pp. 177-186. ISSN 2535-0250")</f>
        <v>II научна конференция “Съвременни стратегии и иновации в управление на знанието”, 02 - 04 ноември, Костенец, 2015. „За буквите – О писменехь“, 2017. pp. 177-186. ISSN 2535-0250</v>
      </c>
      <c r="F2131" s="10"/>
      <c r="G2131" s="10"/>
      <c r="H2131" s="10"/>
      <c r="I2131" s="10"/>
      <c r="J2131" s="10"/>
      <c r="K2131" s="10"/>
      <c r="L2131" s="10"/>
      <c r="M2131" s="10"/>
      <c r="N2131" s="10"/>
      <c r="O2131" s="10"/>
      <c r="P2131" s="10"/>
      <c r="Q2131" s="10"/>
      <c r="R2131" s="10"/>
      <c r="S2131" s="10"/>
      <c r="T2131" s="10"/>
      <c r="U2131" s="10"/>
      <c r="V2131" s="10"/>
      <c r="W2131" s="10"/>
      <c r="X2131" s="10"/>
      <c r="Y2131" s="10"/>
      <c r="Z2131" s="10"/>
    </row>
    <row r="2132" spans="1:26" ht="12.75">
      <c r="A2132" s="10" t="str">
        <f ca="1">IFERROR(__xludf.DUMMYFUNCTION("""COMPUTED_VALUE"""),"Даниела Георгиева Павлова")</f>
        <v>Даниела Георгиева Павлова</v>
      </c>
      <c r="B2132" s="10" t="str">
        <f ca="1">IFERROR(__xludf.DUMMYFUNCTION("""COMPUTED_VALUE"""),"Доклад от конференция")</f>
        <v>Доклад от конференция</v>
      </c>
      <c r="C2132" s="10" t="str">
        <f ca="1">IFERROR(__xludf.DUMMYFUNCTION("""COMPUTED_VALUE"""),"Бъдещето на държавната администрация в условията на електронно управление")</f>
        <v>Бъдещето на държавната администрация в условията на електронно управление</v>
      </c>
      <c r="D2132" s="10">
        <f ca="1">IFERROR(__xludf.DUMMYFUNCTION("""COMPUTED_VALUE"""),2017)</f>
        <v>2017</v>
      </c>
      <c r="E2132" s="10" t="str">
        <f ca="1">IFERROR(__xludf.DUMMYFUNCTION("""COMPUTED_VALUE"""),"XV национална научна конференция с международно участие „Обществото на знанието и хуманизмът на XXI век”, София, 1 ноември 2017, „За буквите. О Писменехь”, 2018. с. 679-685. ISSN 1314-7099")</f>
        <v>XV национална научна конференция с международно участие „Обществото на знанието и хуманизмът на XXI век”, София, 1 ноември 2017, „За буквите. О Писменехь”, 2018. с. 679-685. ISSN 1314-7099</v>
      </c>
      <c r="F2132" s="10"/>
      <c r="G2132" s="10"/>
      <c r="H2132" s="10"/>
      <c r="I2132" s="10"/>
      <c r="J2132" s="10"/>
      <c r="K2132" s="10"/>
      <c r="L2132" s="10"/>
      <c r="M2132" s="10"/>
      <c r="N2132" s="10"/>
      <c r="O2132" s="10"/>
      <c r="P2132" s="10"/>
      <c r="Q2132" s="10"/>
      <c r="R2132" s="10"/>
      <c r="S2132" s="10"/>
      <c r="T2132" s="10"/>
      <c r="U2132" s="10"/>
      <c r="V2132" s="10"/>
      <c r="W2132" s="10"/>
      <c r="X2132" s="10"/>
      <c r="Y2132" s="10"/>
      <c r="Z2132" s="10"/>
    </row>
    <row r="2133" spans="1:26" ht="12.75">
      <c r="A2133" s="10" t="str">
        <f ca="1">IFERROR(__xludf.DUMMYFUNCTION("""COMPUTED_VALUE"""),"Даниела Георгиева Павлова")</f>
        <v>Даниела Георгиева Павлова</v>
      </c>
      <c r="B2133" s="10" t="str">
        <f ca="1">IFERROR(__xludf.DUMMYFUNCTION("""COMPUTED_VALUE"""),"Доклад от конференция")</f>
        <v>Доклад от конференция</v>
      </c>
      <c r="C2133" s="10" t="str">
        <f ca="1">IFERROR(__xludf.DUMMYFUNCTION("""COMPUTED_VALUE"""),"Дигитална съпричастност към развитието на електронното правителство")</f>
        <v>Дигитална съпричастност към развитието на електронното правителство</v>
      </c>
      <c r="D2133" s="10">
        <f ca="1">IFERROR(__xludf.DUMMYFUNCTION("""COMPUTED_VALUE"""),2017)</f>
        <v>2017</v>
      </c>
      <c r="E2133" s="10" t="str">
        <f ca="1">IFERROR(__xludf.DUMMYFUNCTION("""COMPUTED_VALUE"""),"Интелектуална собственост, иновации и научна дейност в глобална среда: Сборник от Пети национален с международно участие. 26 април 2017, София, „За буквите – О писменехь“, ISBN: 978-619-185-272-7")</f>
        <v>Интелектуална собственост, иновации и научна дейност в глобална среда: Сборник от Пети национален с международно участие. 26 април 2017, София, „За буквите – О писменехь“, ISBN: 978-619-185-272-7</v>
      </c>
      <c r="F2133" s="10"/>
      <c r="G2133" s="10"/>
      <c r="H2133" s="10"/>
      <c r="I2133" s="10"/>
      <c r="J2133" s="10"/>
      <c r="K2133" s="10"/>
      <c r="L2133" s="10"/>
      <c r="M2133" s="10"/>
      <c r="N2133" s="10"/>
      <c r="O2133" s="10"/>
      <c r="P2133" s="10"/>
      <c r="Q2133" s="10"/>
      <c r="R2133" s="10"/>
      <c r="S2133" s="10"/>
      <c r="T2133" s="10"/>
      <c r="U2133" s="10"/>
      <c r="V2133" s="10"/>
      <c r="W2133" s="10"/>
      <c r="X2133" s="10"/>
      <c r="Y2133" s="10"/>
      <c r="Z2133" s="10"/>
    </row>
    <row r="2134" spans="1:26" ht="12.75">
      <c r="A2134" s="10" t="str">
        <f ca="1">IFERROR(__xludf.DUMMYFUNCTION("""COMPUTED_VALUE"""),"Даниела Георгиева Павлова")</f>
        <v>Даниела Георгиева Павлова</v>
      </c>
      <c r="B2134" s="10" t="str">
        <f ca="1">IFERROR(__xludf.DUMMYFUNCTION("""COMPUTED_VALUE"""),"Доклад от конференция")</f>
        <v>Доклад от конференция</v>
      </c>
      <c r="C2134" s="10" t="str">
        <f ca="1">IFERROR(__xludf.DUMMYFUNCTION("""COMPUTED_VALUE"""),"Psychological aspects of e-training and conduct change of the modern students in knowledge economy")</f>
        <v>Psychological aspects of e-training and conduct change of the modern students in knowledge economy</v>
      </c>
      <c r="D2134" s="10">
        <f ca="1">IFERROR(__xludf.DUMMYFUNCTION("""COMPUTED_VALUE"""),2017)</f>
        <v>2017</v>
      </c>
      <c r="E2134" s="10" t="str">
        <f ca="1">IFERROR(__xludf.DUMMYFUNCTION("""COMPUTED_VALUE"""),"Теоретические и методологические проблемы современного образования: Материалы XXXIV Международной научно-практической конференции 4-5 октября 2017 г. г. / Науч.- инф. издат. центр «Институт стратегических исследований». – Москва: Изд-во «Институт стратеги"&amp;"ческих исследований»: Изд-во «Перо», 2017. – pp. 5-7. ISBN 978-5-906997-71-5")</f>
        <v>Теоретические и методологические проблемы современного образования: Материалы XXXIV Международной научно-практической конференции 4-5 октября 2017 г. г. / Науч.- инф. издат. центр «Институт стратегических исследований». – Москва: Изд-во «Институт стратегических исследований»: Изд-во «Перо», 2017. – pp. 5-7. ISBN 978-5-906997-71-5</v>
      </c>
      <c r="F2134" s="10"/>
      <c r="G2134" s="10"/>
      <c r="H2134" s="10"/>
      <c r="I2134" s="10"/>
      <c r="J2134" s="10"/>
      <c r="K2134" s="10"/>
      <c r="L2134" s="10"/>
      <c r="M2134" s="10"/>
      <c r="N2134" s="10"/>
      <c r="O2134" s="10"/>
      <c r="P2134" s="10"/>
      <c r="Q2134" s="10"/>
      <c r="R2134" s="10"/>
      <c r="S2134" s="10"/>
      <c r="T2134" s="10"/>
      <c r="U2134" s="10"/>
      <c r="V2134" s="10"/>
      <c r="W2134" s="10"/>
      <c r="X2134" s="10"/>
      <c r="Y2134" s="10"/>
      <c r="Z2134" s="10"/>
    </row>
    <row r="2135" spans="1:26" ht="12.75">
      <c r="A2135" s="10" t="str">
        <f ca="1">IFERROR(__xludf.DUMMYFUNCTION("""COMPUTED_VALUE"""),"Даниела Георгиева Павлова")</f>
        <v>Даниела Георгиева Павлова</v>
      </c>
      <c r="B2135" s="10" t="str">
        <f ca="1">IFERROR(__xludf.DUMMYFUNCTION("""COMPUTED_VALUE"""),"Доклад от конференция")</f>
        <v>Доклад от конференция</v>
      </c>
      <c r="C2135" s="10" t="str">
        <f ca="1">IFERROR(__xludf.DUMMYFUNCTION("""COMPUTED_VALUE"""),"Electronic training in the context of the modernization of the educational process")</f>
        <v>Electronic training in the context of the modernization of the educational process</v>
      </c>
      <c r="D2135" s="10">
        <f ca="1">IFERROR(__xludf.DUMMYFUNCTION("""COMPUTED_VALUE"""),2017)</f>
        <v>2017</v>
      </c>
      <c r="E2135" s="10" t="str">
        <f ca="1">IFERROR(__xludf.DUMMYFUNCTION("""COMPUTED_VALUE"""),"Теоретические и методологические проблемы современного образования: Материалы XXXIV Международной научно-практической конференции 4-5 октября 2017 г. г. / Науч.- инф. издат. центр «Институт стратегических исследований». – Москва: Изд-во «Институт стратеги"&amp;"ческих исследований»: Изд-во «Перо», 2017. pp. 8-10. ISBN 978-5-906997-71-5")</f>
        <v>Теоретические и методологические проблемы современного образования: Материалы XXXIV Международной научно-практической конференции 4-5 октября 2017 г. г. / Науч.- инф. издат. центр «Институт стратегических исследований». – Москва: Изд-во «Институт стратегических исследований»: Изд-во «Перо», 2017. pp. 8-10. ISBN 978-5-906997-71-5</v>
      </c>
      <c r="F2135" s="10"/>
      <c r="G2135" s="10"/>
      <c r="H2135" s="10"/>
      <c r="I2135" s="10"/>
      <c r="J2135" s="10"/>
      <c r="K2135" s="10"/>
      <c r="L2135" s="10"/>
      <c r="M2135" s="10"/>
      <c r="N2135" s="10"/>
      <c r="O2135" s="10"/>
      <c r="P2135" s="10"/>
      <c r="Q2135" s="10"/>
      <c r="R2135" s="10"/>
      <c r="S2135" s="10"/>
      <c r="T2135" s="10"/>
      <c r="U2135" s="10"/>
      <c r="V2135" s="10"/>
      <c r="W2135" s="10"/>
      <c r="X2135" s="10"/>
      <c r="Y2135" s="10"/>
      <c r="Z2135" s="10"/>
    </row>
    <row r="2136" spans="1:26" ht="12.75">
      <c r="A2136" s="10" t="str">
        <f ca="1">IFERROR(__xludf.DUMMYFUNCTION("""COMPUTED_VALUE"""),"Даниела Георгиева Павлова")</f>
        <v>Даниела Георгиева Павлова</v>
      </c>
      <c r="B2136" s="10" t="str">
        <f ca="1">IFERROR(__xludf.DUMMYFUNCTION("""COMPUTED_VALUE"""),"Доклад от конференция")</f>
        <v>Доклад от конференция</v>
      </c>
      <c r="C2136" s="10" t="str">
        <f ca="1">IFERROR(__xludf.DUMMYFUNCTION("""COMPUTED_VALUE"""),"Electronic governance - major benefits and advantages in globalized environment")</f>
        <v>Electronic governance - major benefits and advantages in globalized environment</v>
      </c>
      <c r="D2136" s="10">
        <f ca="1">IFERROR(__xludf.DUMMYFUNCTION("""COMPUTED_VALUE"""),2017)</f>
        <v>2017</v>
      </c>
      <c r="E2136" s="10" t="str">
        <f ca="1">IFERROR(__xludf.DUMMYFUNCTION("""COMPUTED_VALUE"""),"Современные проблемы гуманитарных и естественных наук: материалы XXXVI международной научно-практической конференции 11-12 октября 2017г. / Науч.- инф. издат. центр «Институт стратегических исследований». – Москва: Изд-во «Институт стратегических исследов"&amp;"аний»: Изд-во «Перо», 2017. pp. 27-30. ISBN 978-5-906997-69-2")</f>
        <v>Современные проблемы гуманитарных и естественных наук: материалы XXXVI международной научно-практической конференции 11-12 октября 2017г. / Науч.- инф. издат. центр «Институт стратегических исследований». – Москва: Изд-во «Институт стратегических исследований»: Изд-во «Перо», 2017. pp. 27-30. ISBN 978-5-906997-69-2</v>
      </c>
      <c r="F2136" s="10"/>
      <c r="G2136" s="10"/>
      <c r="H2136" s="10"/>
      <c r="I2136" s="10"/>
      <c r="J2136" s="10"/>
      <c r="K2136" s="10"/>
      <c r="L2136" s="10"/>
      <c r="M2136" s="10"/>
      <c r="N2136" s="10"/>
      <c r="O2136" s="10"/>
      <c r="P2136" s="10"/>
      <c r="Q2136" s="10"/>
      <c r="R2136" s="10"/>
      <c r="S2136" s="10"/>
      <c r="T2136" s="10"/>
      <c r="U2136" s="10"/>
      <c r="V2136" s="10"/>
      <c r="W2136" s="10"/>
      <c r="X2136" s="10"/>
      <c r="Y2136" s="10"/>
      <c r="Z2136" s="10"/>
    </row>
    <row r="2137" spans="1:26" ht="12.75">
      <c r="A2137" s="10" t="str">
        <f ca="1">IFERROR(__xludf.DUMMYFUNCTION("""COMPUTED_VALUE"""),"Даниела Георгиева Павлова")</f>
        <v>Даниела Георгиева Павлова</v>
      </c>
      <c r="B2137" s="10" t="str">
        <f ca="1">IFERROR(__xludf.DUMMYFUNCTION("""COMPUTED_VALUE"""),"Доклад от конференция")</f>
        <v>Доклад от конференция</v>
      </c>
      <c r="C2137" s="10" t="str">
        <f ca="1">IFERROR(__xludf.DUMMYFUNCTION("""COMPUTED_VALUE"""),"Change of the labor market trends under the effects of electronic governance")</f>
        <v>Change of the labor market trends under the effects of electronic governance</v>
      </c>
      <c r="D2137" s="10">
        <f ca="1">IFERROR(__xludf.DUMMYFUNCTION("""COMPUTED_VALUE"""),2017)</f>
        <v>2017</v>
      </c>
      <c r="E2137" s="10" t="str">
        <f ca="1">IFERROR(__xludf.DUMMYFUNCTION("""COMPUTED_VALUE"""),"Современные проблемы гуманитарных и естественных наук: материалы XXXVI международной научно-практической конференции 11-12 октября 2017г. / Науч.- инф. издат. центр «Институт стратегических исследований». – Москва: Изд-во «Институт стратегических исследов"&amp;"аний»: Изд-во «Перо», 2017. pp. 22-26. ISBN 978-5-906997-69-2")</f>
        <v>Современные проблемы гуманитарных и естественных наук: материалы XXXVI международной научно-практической конференции 11-12 октября 2017г. / Науч.- инф. издат. центр «Институт стратегических исследований». – Москва: Изд-во «Институт стратегических исследований»: Изд-во «Перо», 2017. pp. 22-26. ISBN 978-5-906997-69-2</v>
      </c>
      <c r="F2137" s="10"/>
      <c r="G2137" s="10"/>
      <c r="H2137" s="10"/>
      <c r="I2137" s="10"/>
      <c r="J2137" s="10"/>
      <c r="K2137" s="10"/>
      <c r="L2137" s="10"/>
      <c r="M2137" s="10"/>
      <c r="N2137" s="10"/>
      <c r="O2137" s="10"/>
      <c r="P2137" s="10"/>
      <c r="Q2137" s="10"/>
      <c r="R2137" s="10"/>
      <c r="S2137" s="10"/>
      <c r="T2137" s="10"/>
      <c r="U2137" s="10"/>
      <c r="V2137" s="10"/>
      <c r="W2137" s="10"/>
      <c r="X2137" s="10"/>
      <c r="Y2137" s="10"/>
      <c r="Z2137" s="10"/>
    </row>
    <row r="2138" spans="1:26" ht="12.75">
      <c r="A2138" s="10" t="str">
        <f ca="1">IFERROR(__xludf.DUMMYFUNCTION("""COMPUTED_VALUE"""),"Даниела Георгиева Павлова")</f>
        <v>Даниела Георгиева Павлова</v>
      </c>
      <c r="B2138" s="10" t="str">
        <f ca="1">IFERROR(__xludf.DUMMYFUNCTION("""COMPUTED_VALUE"""),"Доклад от конференция")</f>
        <v>Доклад от конференция</v>
      </c>
      <c r="C2138" s="10" t="str">
        <f ca="1">IFERROR(__xludf.DUMMYFUNCTION("""COMPUTED_VALUE"""),"Electronic learning as a key element of the introduction of electronic governance in the global world")</f>
        <v>Electronic learning as a key element of the introduction of electronic governance in the global world</v>
      </c>
      <c r="D2138" s="10">
        <f ca="1">IFERROR(__xludf.DUMMYFUNCTION("""COMPUTED_VALUE"""),2017)</f>
        <v>2017</v>
      </c>
      <c r="E2138" s="10" t="str">
        <f ca="1">IFERROR(__xludf.DUMMYFUNCTION("""COMPUTED_VALUE"""),"European Science and Technology: materials of the XVIII international research and practice conference, Munich, October 4th – 5th, 2017 / publishing office Vela Verlag Waldkraiburg – Munich – Germany, 2017. pp. 100-105. ISBN 978-3-946227-17-5")</f>
        <v>European Science and Technology: materials of the XVIII international research and practice conference, Munich, October 4th – 5th, 2017 / publishing office Vela Verlag Waldkraiburg – Munich – Germany, 2017. pp. 100-105. ISBN 978-3-946227-17-5</v>
      </c>
      <c r="F2138" s="10"/>
      <c r="G2138" s="10"/>
      <c r="H2138" s="10"/>
      <c r="I2138" s="10"/>
      <c r="J2138" s="10"/>
      <c r="K2138" s="10"/>
      <c r="L2138" s="10"/>
      <c r="M2138" s="10"/>
      <c r="N2138" s="10"/>
      <c r="O2138" s="10"/>
      <c r="P2138" s="10"/>
      <c r="Q2138" s="10"/>
      <c r="R2138" s="10"/>
      <c r="S2138" s="10"/>
      <c r="T2138" s="10"/>
      <c r="U2138" s="10"/>
      <c r="V2138" s="10"/>
      <c r="W2138" s="10"/>
      <c r="X2138" s="10"/>
      <c r="Y2138" s="10"/>
      <c r="Z2138" s="10"/>
    </row>
    <row r="2139" spans="1:26" ht="12.75">
      <c r="A2139" s="10" t="str">
        <f ca="1">IFERROR(__xludf.DUMMYFUNCTION("""COMPUTED_VALUE"""),"Даниела Георгиева Павлова")</f>
        <v>Даниела Георгиева Павлова</v>
      </c>
      <c r="B2139" s="10" t="str">
        <f ca="1">IFERROR(__xludf.DUMMYFUNCTION("""COMPUTED_VALUE"""),"Учебно пособие")</f>
        <v>Учебно пособие</v>
      </c>
      <c r="C2139" s="10" t="str">
        <f ca="1">IFERROR(__xludf.DUMMYFUNCTION("""COMPUTED_VALUE"""),"Schools Study Earthquakes: Guides for Teachers")</f>
        <v>Schools Study Earthquakes: Guides for Teachers</v>
      </c>
      <c r="D2139" s="10">
        <f ca="1">IFERROR(__xludf.DUMMYFUNCTION("""COMPUTED_VALUE"""),2017)</f>
        <v>2017</v>
      </c>
      <c r="E2139" s="10" t="str">
        <f ca="1">IFERROR(__xludf.DUMMYFUNCTION("""COMPUTED_VALUE"""),"Epinoia Publishing, Pallini, Greece, ISBN: 978-960-473-886-1 (2017) &lt; http://sse-project.eu/uploads/SSE_Book_Guides_for_Teachers_lowres.pdf&gt;")</f>
        <v>Epinoia Publishing, Pallini, Greece, ISBN: 978-960-473-886-1 (2017) &lt; http://sse-project.eu/uploads/SSE_Book_Guides_for_Teachers_lowres.pdf&gt;</v>
      </c>
      <c r="F2139" s="10"/>
      <c r="G2139" s="10" t="str">
        <f ca="1">IFERROR(__xludf.DUMMYFUNCTION("""COMPUTED_VALUE"""),"Gerasimos Chouliaras, Georgios Drakatos, Maria Staviani, Georgios Mavromanolakis, Marianna Potsidi, Manolis Chaniotakis,Sofoklis Sotiriou, Ilias Stouraitis, Giannis Alexopoulos, Marios Papaevripidou, Ivoni Pavlou, Zacharias Zacharia, Nikoletta Xenofontos,"&amp;" Maria Irakleous, Anna Fiakkou, Bulent Cavas, Elif Dönertaş Yavas, Zeynep Hulagu, Zeynep Ozben, Ismail Aras, Sedriye Guler, Philip Ivanov, Orlin Kouzov, Radoslav Yoshinov, Stefan Hadjitodorov, Luigi Cerri, Flora Di Martino")</f>
        <v>Gerasimos Chouliaras, Georgios Drakatos, Maria Staviani, Georgios Mavromanolakis, Marianna Potsidi, Manolis Chaniotakis,Sofoklis Sotiriou, Ilias Stouraitis, Giannis Alexopoulos, Marios Papaevripidou, Ivoni Pavlou, Zacharias Zacharia, Nikoletta Xenofontos, Maria Irakleous, Anna Fiakkou, Bulent Cavas, Elif Dönertaş Yavas, Zeynep Hulagu, Zeynep Ozben, Ismail Aras, Sedriye Guler, Philip Ivanov, Orlin Kouzov, Radoslav Yoshinov, Stefan Hadjitodorov, Luigi Cerri, Flora Di Martino</v>
      </c>
      <c r="H2139" s="10"/>
      <c r="I2139" s="10"/>
      <c r="J2139" s="10"/>
      <c r="K2139" s="10"/>
      <c r="L2139" s="10"/>
      <c r="M2139" s="10"/>
      <c r="N2139" s="10"/>
      <c r="O2139" s="10"/>
      <c r="P2139" s="10"/>
      <c r="Q2139" s="10"/>
      <c r="R2139" s="10"/>
      <c r="S2139" s="10"/>
      <c r="T2139" s="10"/>
      <c r="U2139" s="10"/>
      <c r="V2139" s="10"/>
      <c r="W2139" s="10"/>
      <c r="X2139" s="10"/>
      <c r="Y2139" s="10"/>
      <c r="Z2139" s="10"/>
    </row>
    <row r="2140" spans="1:26" ht="12.75">
      <c r="A2140" s="10" t="str">
        <f ca="1">IFERROR(__xludf.DUMMYFUNCTION("""COMPUTED_VALUE"""),"Даниела Георгиева Павлова")</f>
        <v>Даниела Георгиева Павлова</v>
      </c>
      <c r="B2140" s="10" t="str">
        <f ca="1">IFERROR(__xludf.DUMMYFUNCTION("""COMPUTED_VALUE"""),"Учебно пособие")</f>
        <v>Учебно пособие</v>
      </c>
      <c r="C2140" s="10" t="str">
        <f ca="1">IFERROR(__xludf.DUMMYFUNCTION("""COMPUTED_VALUE"""),"Schools Study Earthquakes: Guide of Good Practice")</f>
        <v>Schools Study Earthquakes: Guide of Good Practice</v>
      </c>
      <c r="D2140" s="10">
        <f ca="1">IFERROR(__xludf.DUMMYFUNCTION("""COMPUTED_VALUE"""),2017)</f>
        <v>2017</v>
      </c>
      <c r="E2140" s="10" t="str">
        <f ca="1">IFERROR(__xludf.DUMMYFUNCTION("""COMPUTED_VALUE"""),"Epinoia Publishing, Pallini, Greece, ISBN: 978-960-473-885-4 (2017) &lt; http://sse-project.eu/uploads/SSE_Book_Guide_of_Good_Practice_lowres.pdf&gt;")</f>
        <v>Epinoia Publishing, Pallini, Greece, ISBN: 978-960-473-885-4 (2017) &lt; http://sse-project.eu/uploads/SSE_Book_Guide_of_Good_Practice_lowres.pdf&gt;</v>
      </c>
      <c r="F2140" s="10"/>
      <c r="G2140" s="10" t="str">
        <f ca="1">IFERROR(__xludf.DUMMYFUNCTION("""COMPUTED_VALUE"""),"Gerasimos Chouliaras, Georgios Drakatos, Maria Staviani, Georgios Mavromanolakis, Marianna Potsidi, Manolis Chaniotakis, Sofoklis Sotiriou, Ilias Stouraitis, Giannis Alexopoulos, Marios Papaevripidou, Ivoni Pavlou, Zacharias Zacharia,Nikoletta Xenofontos,"&amp;" Maria Irakleous, Anna Fiakkou, Bulent Cavas, Elif Dönertaş Yavas, Zeynep Hulagu, Zeynep Ozben, Ismail Aras, Sedriye Guler, Philip Ivanov, Orlin Kouzov, Radoslav Yoshinov, Stefan Hadjitodorov, Luigi Cerri, Flora Di Martino")</f>
        <v>Gerasimos Chouliaras, Georgios Drakatos, Maria Staviani, Georgios Mavromanolakis, Marianna Potsidi, Manolis Chaniotakis, Sofoklis Sotiriou, Ilias Stouraitis, Giannis Alexopoulos, Marios Papaevripidou, Ivoni Pavlou, Zacharias Zacharia,Nikoletta Xenofontos, Maria Irakleous, Anna Fiakkou, Bulent Cavas, Elif Dönertaş Yavas, Zeynep Hulagu, Zeynep Ozben, Ismail Aras, Sedriye Guler, Philip Ivanov, Orlin Kouzov, Radoslav Yoshinov, Stefan Hadjitodorov, Luigi Cerri, Flora Di Martino</v>
      </c>
      <c r="H2140" s="10"/>
      <c r="I2140" s="10"/>
      <c r="J2140" s="10"/>
      <c r="K2140" s="10"/>
      <c r="L2140" s="10"/>
      <c r="M2140" s="10"/>
      <c r="N2140" s="10"/>
      <c r="O2140" s="10"/>
      <c r="P2140" s="10"/>
      <c r="Q2140" s="10"/>
      <c r="R2140" s="10"/>
      <c r="S2140" s="10"/>
      <c r="T2140" s="10"/>
      <c r="U2140" s="10"/>
      <c r="V2140" s="10"/>
      <c r="W2140" s="10"/>
      <c r="X2140" s="10"/>
      <c r="Y2140" s="10"/>
      <c r="Z2140" s="10"/>
    </row>
    <row r="2141" spans="1:26" ht="12.75">
      <c r="A2141" s="10" t="str">
        <f ca="1">IFERROR(__xludf.DUMMYFUNCTION("""COMPUTED_VALUE"""),"Даниела Георгиева Павлова")</f>
        <v>Даниела Георгиева Павлова</v>
      </c>
      <c r="B2141" s="10" t="str">
        <f ca="1">IFERROR(__xludf.DUMMYFUNCTION("""COMPUTED_VALUE"""),"Доклад от конференция")</f>
        <v>Доклад от конференция</v>
      </c>
      <c r="C2141" s="10" t="str">
        <f ca="1">IFERROR(__xludf.DUMMYFUNCTION("""COMPUTED_VALUE"""),"Methods of evaluation of digital educational content and relation with the quality of the educational process")</f>
        <v>Methods of evaluation of digital educational content and relation with the quality of the educational process</v>
      </c>
      <c r="D2141" s="10">
        <f ca="1">IFERROR(__xludf.DUMMYFUNCTION("""COMPUTED_VALUE"""),2017)</f>
        <v>2017</v>
      </c>
      <c r="E2141" s="10" t="str">
        <f ca="1">IFERROR(__xludf.DUMMYFUNCTION("""COMPUTED_VALUE"""),"European Science and Technology: materials of the XVIII international research and practice conference, Munich, October 4th – 5th, 2017 / publishing office Vela Verlag Waldkraiburg – Munich – Germany, 2017. pp. 106-111. ISBN 978-3-946227-17-5")</f>
        <v>European Science and Technology: materials of the XVIII international research and practice conference, Munich, October 4th – 5th, 2017 / publishing office Vela Verlag Waldkraiburg – Munich – Germany, 2017. pp. 106-111. ISBN 978-3-946227-17-5</v>
      </c>
      <c r="F2141" s="10"/>
      <c r="G2141" s="10"/>
      <c r="H2141" s="10"/>
      <c r="I2141" s="10"/>
      <c r="J2141" s="10"/>
      <c r="K2141" s="10"/>
      <c r="L2141" s="10"/>
      <c r="M2141" s="10"/>
      <c r="N2141" s="10"/>
      <c r="O2141" s="10"/>
      <c r="P2141" s="10"/>
      <c r="Q2141" s="10"/>
      <c r="R2141" s="10"/>
      <c r="S2141" s="10"/>
      <c r="T2141" s="10"/>
      <c r="U2141" s="10"/>
      <c r="V2141" s="10"/>
      <c r="W2141" s="10"/>
      <c r="X2141" s="10"/>
      <c r="Y2141" s="10"/>
      <c r="Z2141" s="10"/>
    </row>
    <row r="2142" spans="1:26" ht="12.75">
      <c r="A2142" s="10" t="str">
        <f ca="1">IFERROR(__xludf.DUMMYFUNCTION("""COMPUTED_VALUE"""),"Даниела Георгиева Павлова")</f>
        <v>Даниела Георгиева Павлова</v>
      </c>
      <c r="B2142" s="10" t="str">
        <f ca="1">IFERROR(__xludf.DUMMYFUNCTION("""COMPUTED_VALUE"""),"Доклад от конференция")</f>
        <v>Доклад от конференция</v>
      </c>
      <c r="C2142" s="10" t="str">
        <f ca="1">IFERROR(__xludf.DUMMYFUNCTION("""COMPUTED_VALUE"""),"Възможни решения за въвеждане на електронно управление пречупени през призмата на националните ни особености")</f>
        <v>Възможни решения за въвеждане на електронно управление пречупени през призмата на националните ни особености</v>
      </c>
      <c r="D2142" s="10">
        <f ca="1">IFERROR(__xludf.DUMMYFUNCTION("""COMPUTED_VALUE"""),2016)</f>
        <v>2016</v>
      </c>
      <c r="E2142" s="10" t="str">
        <f ca="1">IFERROR(__xludf.DUMMYFUNCTION("""COMPUTED_VALUE"""),"Интернет либерализацията – предизвикателства и добри практики пред интелектуалната собственост: Сборник от Четвърти национален семинар с международно участие, 26 - 27 април 2016 г., „За буквите – О писменехь“, София, 2016. pp. 165-173. ISBN: 978-619-185-2"&amp;"31-4")</f>
        <v>Интернет либерализацията – предизвикателства и добри практики пред интелектуалната собственост: Сборник от Четвърти национален семинар с международно участие, 26 - 27 април 2016 г., „За буквите – О писменехь“, София, 2016. pp. 165-173. ISBN: 978-619-185-231-4</v>
      </c>
      <c r="F2142" s="10"/>
      <c r="G2142" s="10"/>
      <c r="H2142" s="10"/>
      <c r="I2142" s="10"/>
      <c r="J2142" s="10"/>
      <c r="K2142" s="10"/>
      <c r="L2142" s="10"/>
      <c r="M2142" s="10"/>
      <c r="N2142" s="10"/>
      <c r="O2142" s="10"/>
      <c r="P2142" s="10"/>
      <c r="Q2142" s="10"/>
      <c r="R2142" s="10"/>
      <c r="S2142" s="10"/>
      <c r="T2142" s="10"/>
      <c r="U2142" s="10"/>
      <c r="V2142" s="10"/>
      <c r="W2142" s="10"/>
      <c r="X2142" s="10"/>
      <c r="Y2142" s="10"/>
      <c r="Z2142" s="10"/>
    </row>
    <row r="2143" spans="1:26" ht="12.75">
      <c r="A2143" s="10" t="str">
        <f ca="1">IFERROR(__xludf.DUMMYFUNCTION("""COMPUTED_VALUE"""),"Даниела Георгиева Павлова")</f>
        <v>Даниела Георгиева Павлова</v>
      </c>
      <c r="B2143" s="10" t="str">
        <f ca="1">IFERROR(__xludf.DUMMYFUNCTION("""COMPUTED_VALUE"""),"Доклад от конференция")</f>
        <v>Доклад от конференция</v>
      </c>
      <c r="C2143" s="10" t="str">
        <f ca="1">IFERROR(__xludf.DUMMYFUNCTION("""COMPUTED_VALUE"""),"Unchain the education through mobility")</f>
        <v>Unchain the education through mobility</v>
      </c>
      <c r="D2143" s="10">
        <f ca="1">IFERROR(__xludf.DUMMYFUNCTION("""COMPUTED_VALUE"""),2016)</f>
        <v>2016</v>
      </c>
      <c r="E2143" s="10" t="str">
        <f ca="1">IFERROR(__xludf.DUMMYFUNCTION("""COMPUTED_VALUE"""),"UNESCO International Workshop: QED’16: Technology Advanced Quality Learning for ALL, June 13-15, 2016, Za Bukvite, O’Pismeneh Sofia. 2016. pp. 29-36. ISBN 978-619-185-261-1 &lt; http://unesco.unibit.bg/sites/default/files/QED-16-book-selected-papers.pdf &gt;")</f>
        <v>UNESCO International Workshop: QED’16: Technology Advanced Quality Learning for ALL, June 13-15, 2016, Za Bukvite, O’Pismeneh Sofia. 2016. pp. 29-36. ISBN 978-619-185-261-1 &lt; http://unesco.unibit.bg/sites/default/files/QED-16-book-selected-papers.pdf &gt;</v>
      </c>
      <c r="F2143" s="10" t="str">
        <f ca="1">IFERROR(__xludf.DUMMYFUNCTION("""COMPUTED_VALUE"""),"&lt; http://unesco.unibit.bg/sites/default/files/QED-16-book-selected-papers.pdf &gt;")</f>
        <v>&lt; http://unesco.unibit.bg/sites/default/files/QED-16-book-selected-papers.pdf &gt;</v>
      </c>
      <c r="G2143" s="10"/>
      <c r="H2143" s="10"/>
      <c r="I2143" s="10"/>
      <c r="J2143" s="10"/>
      <c r="K2143" s="10"/>
      <c r="L2143" s="10"/>
      <c r="M2143" s="10"/>
      <c r="N2143" s="10"/>
      <c r="O2143" s="10"/>
      <c r="P2143" s="10"/>
      <c r="Q2143" s="10"/>
      <c r="R2143" s="10"/>
      <c r="S2143" s="10"/>
      <c r="T2143" s="10"/>
      <c r="U2143" s="10"/>
      <c r="V2143" s="10"/>
      <c r="W2143" s="10"/>
      <c r="X2143" s="10"/>
      <c r="Y2143" s="10"/>
      <c r="Z2143" s="10"/>
    </row>
    <row r="2144" spans="1:26" ht="12.75">
      <c r="A2144" s="10" t="str">
        <f ca="1">IFERROR(__xludf.DUMMYFUNCTION("""COMPUTED_VALUE"""),"Даниела Георгиева Павлова")</f>
        <v>Даниела Георгиева Павлова</v>
      </c>
      <c r="B2144" s="10" t="str">
        <f ca="1">IFERROR(__xludf.DUMMYFUNCTION("""COMPUTED_VALUE"""),"Доклад от конференция")</f>
        <v>Доклад от конференция</v>
      </c>
      <c r="C2144" s="10" t="str">
        <f ca="1">IFERROR(__xludf.DUMMYFUNCTION("""COMPUTED_VALUE"""),"Developing National Policies for Encouraging Teachers’ Creativity and Education of the Future")</f>
        <v>Developing National Policies for Encouraging Teachers’ Creativity and Education of the Future</v>
      </c>
      <c r="D2144" s="10">
        <f ca="1">IFERROR(__xludf.DUMMYFUNCTION("""COMPUTED_VALUE"""),2016)</f>
        <v>2016</v>
      </c>
      <c r="E2144" s="10" t="str">
        <f ca="1">IFERROR(__xludf.DUMMYFUNCTION("""COMPUTED_VALUE"""),"International Conference The Future of Education, 6 th Edition, 30 June - 1 July 2016, Florence, Italy, p. 151-155. ISBN 978-88-6292-743-7 (PRINT). LibreriaUniversitaria, Padova, Italy ISSN: 2384-9509")</f>
        <v>International Conference The Future of Education, 6 th Edition, 30 June - 1 July 2016, Florence, Italy, p. 151-155. ISBN 978-88-6292-743-7 (PRINT). LibreriaUniversitaria, Padova, Italy ISSN: 2384-9509</v>
      </c>
      <c r="F2144" s="10"/>
      <c r="G2144" s="10"/>
      <c r="H2144" s="10"/>
      <c r="I2144" s="10"/>
      <c r="J2144" s="10"/>
      <c r="K2144" s="10"/>
      <c r="L2144" s="10"/>
      <c r="M2144" s="10"/>
      <c r="N2144" s="10"/>
      <c r="O2144" s="10"/>
      <c r="P2144" s="10"/>
      <c r="Q2144" s="10"/>
      <c r="R2144" s="10"/>
      <c r="S2144" s="10"/>
      <c r="T2144" s="10"/>
      <c r="U2144" s="10"/>
      <c r="V2144" s="10"/>
      <c r="W2144" s="10"/>
      <c r="X2144" s="10"/>
      <c r="Y2144" s="10"/>
      <c r="Z2144" s="10"/>
    </row>
    <row r="2145" spans="1:26" ht="12.75">
      <c r="A2145" s="10" t="str">
        <f ca="1">IFERROR(__xludf.DUMMYFUNCTION("""COMPUTED_VALUE"""),"Даниела Георгиева Павлова")</f>
        <v>Даниела Георгиева Павлова</v>
      </c>
      <c r="B2145" s="10" t="str">
        <f ca="1">IFERROR(__xludf.DUMMYFUNCTION("""COMPUTED_VALUE"""),"Доклад от конференция")</f>
        <v>Доклад от конференция</v>
      </c>
      <c r="C2145" s="10" t="str">
        <f ca="1">IFERROR(__xludf.DUMMYFUNCTION("""COMPUTED_VALUE"""),"Reflection of ISE idea for linking school education and scientific research in the National Strategy for effective implementation of ICT in education and science in the Republic of Bulgaria")</f>
        <v>Reflection of ISE idea for linking school education and scientific research in the National Strategy for effective implementation of ICT in education and science in the Republic of Bulgaria</v>
      </c>
      <c r="D2145" s="10">
        <f ca="1">IFERROR(__xludf.DUMMYFUNCTION("""COMPUTED_VALUE"""),2016)</f>
        <v>2016</v>
      </c>
      <c r="E2145" s="10" t="str">
        <f ca="1">IFERROR(__xludf.DUMMYFUNCTION("""COMPUTED_VALUE"""),"Inspiring Science Education conference, april 22-24, Pallini, Greece, p. 129-133. ISBN 978-960-473-696-6")</f>
        <v>Inspiring Science Education conference, april 22-24, Pallini, Greece, p. 129-133. ISBN 978-960-473-696-6</v>
      </c>
      <c r="F2145" s="10"/>
      <c r="G2145" s="10"/>
      <c r="H2145" s="10"/>
      <c r="I2145" s="10"/>
      <c r="J2145" s="10"/>
      <c r="K2145" s="10"/>
      <c r="L2145" s="10"/>
      <c r="M2145" s="10"/>
      <c r="N2145" s="10"/>
      <c r="O2145" s="10"/>
      <c r="P2145" s="10"/>
      <c r="Q2145" s="10"/>
      <c r="R2145" s="10"/>
      <c r="S2145" s="10"/>
      <c r="T2145" s="10"/>
      <c r="U2145" s="10"/>
      <c r="V2145" s="10"/>
      <c r="W2145" s="10"/>
      <c r="X2145" s="10"/>
      <c r="Y2145" s="10"/>
      <c r="Z2145" s="10"/>
    </row>
    <row r="2146" spans="1:26" ht="12.75">
      <c r="A2146" s="10" t="str">
        <f ca="1">IFERROR(__xludf.DUMMYFUNCTION("""COMPUTED_VALUE"""),"Даниела Георгиева Павлова")</f>
        <v>Даниела Георгиева Павлова</v>
      </c>
      <c r="B2146" s="10" t="str">
        <f ca="1">IFERROR(__xludf.DUMMYFUNCTION("""COMPUTED_VALUE"""),"Доклад от конференция")</f>
        <v>Доклад от конференция</v>
      </c>
      <c r="C2146" s="10" t="str">
        <f ca="1">IFERROR(__xludf.DUMMYFUNCTION("""COMPUTED_VALUE"""),"Електронното правителство на република Чехия – пример за добро администриране на услугите за гражданите и бизнеса.")</f>
        <v>Електронното правителство на република Чехия – пример за добро администриране на услугите за гражданите и бизнеса.</v>
      </c>
      <c r="D2146" s="10">
        <f ca="1">IFERROR(__xludf.DUMMYFUNCTION("""COMPUTED_VALUE"""),2015)</f>
        <v>2015</v>
      </c>
      <c r="E2146" s="10" t="str">
        <f ca="1">IFERROR(__xludf.DUMMYFUNCTION("""COMPUTED_VALUE"""),"Сб. доклади от VI Международен пътуващ семинар „Съвременни измерения на европейското образователно и научно пространство. Българо-чешки културни общувания”, Т.2, България – Чехия, 17-22 април 2012, София, „За буквите – О писменехь”, 2015, с. 312 – 318. IS"&amp;"SN 2367-7988")</f>
        <v>Сб. доклади от VI Международен пътуващ семинар „Съвременни измерения на европейското образователно и научно пространство. Българо-чешки културни общувания”, Т.2, България – Чехия, 17-22 април 2012, София, „За буквите – О писменехь”, 2015, с. 312 – 318. ISSN 2367-7988</v>
      </c>
      <c r="F2146" s="10"/>
      <c r="G2146" s="10" t="str">
        <f ca="1">IFERROR(__xludf.DUMMYFUNCTION("""COMPUTED_VALUE"""),"Ирена Петева")</f>
        <v>Ирена Петева</v>
      </c>
      <c r="H2146" s="10"/>
      <c r="I2146" s="10"/>
      <c r="J2146" s="10"/>
      <c r="K2146" s="10"/>
      <c r="L2146" s="10"/>
      <c r="M2146" s="10"/>
      <c r="N2146" s="10"/>
      <c r="O2146" s="10"/>
      <c r="P2146" s="10"/>
      <c r="Q2146" s="10"/>
      <c r="R2146" s="10"/>
      <c r="S2146" s="10"/>
      <c r="T2146" s="10"/>
      <c r="U2146" s="10"/>
      <c r="V2146" s="10"/>
      <c r="W2146" s="10"/>
      <c r="X2146" s="10"/>
      <c r="Y2146" s="10"/>
      <c r="Z2146" s="10"/>
    </row>
    <row r="2147" spans="1:26" ht="12.75">
      <c r="A2147" s="10" t="str">
        <f ca="1">IFERROR(__xludf.DUMMYFUNCTION("""COMPUTED_VALUE"""),"Даниела Георгиева Павлова")</f>
        <v>Даниела Георгиева Павлова</v>
      </c>
      <c r="B2147" s="10" t="str">
        <f ca="1">IFERROR(__xludf.DUMMYFUNCTION("""COMPUTED_VALUE"""),"Статия в списания и поредици")</f>
        <v>Статия в списания и поредици</v>
      </c>
      <c r="C2147" s="10" t="str">
        <f ca="1">IFERROR(__xludf.DUMMYFUNCTION("""COMPUTED_VALUE"""),"Илюзиите за ИКТ в образованието")</f>
        <v>Илюзиите за ИКТ в образованието</v>
      </c>
      <c r="D2147" s="10">
        <f ca="1">IFERROR(__xludf.DUMMYFUNCTION("""COMPUTED_VALUE"""),2015)</f>
        <v>2015</v>
      </c>
      <c r="E2147" s="10" t="str">
        <f ca="1">IFERROR(__xludf.DUMMYFUNCTION("""COMPUTED_VALUE"""),"Образование и технологии: Иновации в обучението и познавателното развитие, бр. 6, 2015, с. 307-310 ISSN 1314–1791. [Онлайн издание] http://www.itlearning-bg.com/magazines/Spisanie2015/resources/spisanie_e_book_2015.pdf")</f>
        <v>Образование и технологии: Иновации в обучението и познавателното развитие, бр. 6, 2015, с. 307-310 ISSN 1314–1791. [Онлайн издание] http://www.itlearning-bg.com/magazines/Spisanie2015/resources/spisanie_e_book_2015.pdf</v>
      </c>
      <c r="F2147" s="10"/>
      <c r="G2147" s="10"/>
      <c r="H2147" s="10"/>
      <c r="I2147" s="10"/>
      <c r="J2147" s="10"/>
      <c r="K2147" s="10"/>
      <c r="L2147" s="10"/>
      <c r="M2147" s="10"/>
      <c r="N2147" s="10"/>
      <c r="O2147" s="10"/>
      <c r="P2147" s="10"/>
      <c r="Q2147" s="10"/>
      <c r="R2147" s="10"/>
      <c r="S2147" s="10"/>
      <c r="T2147" s="10"/>
      <c r="U2147" s="10"/>
      <c r="V2147" s="10"/>
      <c r="W2147" s="10"/>
      <c r="X2147" s="10"/>
      <c r="Y2147" s="10"/>
      <c r="Z2147" s="10"/>
    </row>
    <row r="2148" spans="1:26" ht="12.75">
      <c r="A2148" s="10" t="str">
        <f ca="1">IFERROR(__xludf.DUMMYFUNCTION("""COMPUTED_VALUE"""),"Даниела Георгиева Павлова")</f>
        <v>Даниела Георгиева Павлова</v>
      </c>
      <c r="B2148" s="10" t="str">
        <f ca="1">IFERROR(__xludf.DUMMYFUNCTION("""COMPUTED_VALUE"""),"Доклад от конференция")</f>
        <v>Доклад от конференция</v>
      </c>
      <c r="C2148" s="10" t="str">
        <f ca="1">IFERROR(__xludf.DUMMYFUNCTION("""COMPUTED_VALUE"""),"Електронното обучение в Стратегията за ефективно прилагане на информационни и комуникационни технологии в образованието и науката на Република България (2014 - 2020 г.)")</f>
        <v>Електронното обучение в Стратегията за ефективно прилагане на информационни и комуникационни технологии в образованието и науката на Република България (2014 - 2020 г.)</v>
      </c>
      <c r="D2148" s="10">
        <f ca="1">IFERROR(__xludf.DUMMYFUNCTION("""COMPUTED_VALUE"""),2015)</f>
        <v>2015</v>
      </c>
      <c r="E2148" s="10" t="str">
        <f ca="1">IFERROR(__xludf.DUMMYFUNCTION("""COMPUTED_VALUE"""),"Сборник с научни доклади и съобщения от Национална научна конференция в чест на 70 години от създаването на ЮНЕСКО и 65-та годишнина на УниБИТ „ИКТ в библиотечно-информационните науки, образованието и културното наследство“, 29 май 2015, София, „За буквит"&amp;"е. О Писменехь“, 2015, с. 14 – 23. [Онлайн издание] http://unesco.unibit.bg/sites/default/files/National_Conference-all-f2.pdf ISBN 978-619-185-164-5")</f>
        <v>Сборник с научни доклади и съобщения от Национална научна конференция в чест на 70 години от създаването на ЮНЕСКО и 65-та годишнина на УниБИТ „ИКТ в библиотечно-информационните науки, образованието и културното наследство“, 29 май 2015, София, „За буквите. О Писменехь“, 2015, с. 14 – 23. [Онлайн издание] http://unesco.unibit.bg/sites/default/files/National_Conference-all-f2.pdf ISBN 978-619-185-164-5</v>
      </c>
      <c r="F2148" s="10"/>
      <c r="G2148" s="10" t="str">
        <f ca="1">IFERROR(__xludf.DUMMYFUNCTION("""COMPUTED_VALUE"""),"Орлин Кузов, Румен Николов")</f>
        <v>Орлин Кузов, Румен Николов</v>
      </c>
      <c r="H2148" s="10"/>
      <c r="I2148" s="10"/>
      <c r="J2148" s="10"/>
      <c r="K2148" s="10"/>
      <c r="L2148" s="10"/>
      <c r="M2148" s="10"/>
      <c r="N2148" s="10"/>
      <c r="O2148" s="10"/>
      <c r="P2148" s="10"/>
      <c r="Q2148" s="10"/>
      <c r="R2148" s="10"/>
      <c r="S2148" s="10"/>
      <c r="T2148" s="10"/>
      <c r="U2148" s="10"/>
      <c r="V2148" s="10"/>
      <c r="W2148" s="10"/>
      <c r="X2148" s="10"/>
      <c r="Y2148" s="10"/>
      <c r="Z2148" s="10"/>
    </row>
    <row r="2149" spans="1:26" ht="12.75">
      <c r="A2149" s="10" t="str">
        <f ca="1">IFERROR(__xludf.DUMMYFUNCTION("""COMPUTED_VALUE"""),"Даниела Георгиева Павлова")</f>
        <v>Даниела Георгиева Павлова</v>
      </c>
      <c r="B2149" s="10" t="str">
        <f ca="1">IFERROR(__xludf.DUMMYFUNCTION("""COMPUTED_VALUE"""),"Доклад от конференция")</f>
        <v>Доклад от конференция</v>
      </c>
      <c r="C2149" s="10" t="str">
        <f ca="1">IFERROR(__xludf.DUMMYFUNCTION("""COMPUTED_VALUE"""),"Облачна образователна архитектура - поглед в бъдещето")</f>
        <v>Облачна образователна архитектура - поглед в бъдещето</v>
      </c>
      <c r="D2149" s="10">
        <f ca="1">IFERROR(__xludf.DUMMYFUNCTION("""COMPUTED_VALUE"""),2015)</f>
        <v>2015</v>
      </c>
      <c r="E2149" s="10" t="str">
        <f ca="1">IFERROR(__xludf.DUMMYFUNCTION("""COMPUTED_VALUE"""),"Сборник с научни доклади и съобщения от Национална научна конференция в чест на 70 години от създаването на ЮНЕСКО и 65-та годишнина на УниБИТ „ИКТ в библиотечно-информационните науки, образованието и културното наследство“, 29 май 2015, София, „За буквит"&amp;"е. О Писменехь“, 2015, с. 198 – 206. [Онлайн издание] http://unesco.unibit.bg/sites/default/files/National_Conference-all-f2.pdf ISBN 978-619-185-164-5")</f>
        <v>Сборник с научни доклади и съобщения от Национална научна конференция в чест на 70 години от създаването на ЮНЕСКО и 65-та годишнина на УниБИТ „ИКТ в библиотечно-информационните науки, образованието и културното наследство“, 29 май 2015, София, „За буквите. О Писменехь“, 2015, с. 198 – 206. [Онлайн издание] http://unesco.unibit.bg/sites/default/files/National_Conference-all-f2.pdf ISBN 978-619-185-164-5</v>
      </c>
      <c r="F2149" s="10"/>
      <c r="G2149" s="10" t="str">
        <f ca="1">IFERROR(__xludf.DUMMYFUNCTION("""COMPUTED_VALUE"""),"Орлин Кузов, Румен Николов")</f>
        <v>Орлин Кузов, Румен Николов</v>
      </c>
      <c r="H2149" s="10"/>
      <c r="I2149" s="10"/>
      <c r="J2149" s="10"/>
      <c r="K2149" s="10"/>
      <c r="L2149" s="10"/>
      <c r="M2149" s="10"/>
      <c r="N2149" s="10"/>
      <c r="O2149" s="10"/>
      <c r="P2149" s="10"/>
      <c r="Q2149" s="10"/>
      <c r="R2149" s="10"/>
      <c r="S2149" s="10"/>
      <c r="T2149" s="10"/>
      <c r="U2149" s="10"/>
      <c r="V2149" s="10"/>
      <c r="W2149" s="10"/>
      <c r="X2149" s="10"/>
      <c r="Y2149" s="10"/>
      <c r="Z2149" s="10"/>
    </row>
    <row r="2150" spans="1:26" ht="12.75">
      <c r="A2150" s="10" t="str">
        <f ca="1">IFERROR(__xludf.DUMMYFUNCTION("""COMPUTED_VALUE"""),"Даниела Георгиева Павлова")</f>
        <v>Даниела Георгиева Павлова</v>
      </c>
      <c r="B2150" s="10" t="str">
        <f ca="1">IFERROR(__xludf.DUMMYFUNCTION("""COMPUTED_VALUE"""),"Доклад от конференция")</f>
        <v>Доклад от конференция</v>
      </c>
      <c r="C2150" s="10" t="str">
        <f ca="1">IFERROR(__xludf.DUMMYFUNCTION("""COMPUTED_VALUE"""),"Правителство в „облаците“")</f>
        <v>Правителство в „облаците“</v>
      </c>
      <c r="D2150" s="10">
        <f ca="1">IFERROR(__xludf.DUMMYFUNCTION("""COMPUTED_VALUE"""),2015)</f>
        <v>2015</v>
      </c>
      <c r="E2150" s="10" t="str">
        <f ca="1">IFERROR(__xludf.DUMMYFUNCTION("""COMPUTED_VALUE"""),"Сб. доклади от VII международен пътуващ семинар „Съвременни измерения на европейското образователно и научно пространство. Българо - английски културни общувания”, Т.3, България – Великобритания, 25-31 май 2013, София, „За буквите – О писменехь”, 2015, с."&amp;" 29 – 34, ISSN 2367-7988")</f>
        <v>Сб. доклади от VII международен пътуващ семинар „Съвременни измерения на европейското образователно и научно пространство. Българо - английски културни общувания”, Т.3, България – Великобритания, 25-31 май 2013, София, „За буквите – О писменехь”, 2015, с. 29 – 34, ISSN 2367-7988</v>
      </c>
      <c r="F2150" s="10"/>
      <c r="G2150" s="10"/>
      <c r="H2150" s="10"/>
      <c r="I2150" s="10"/>
      <c r="J2150" s="10"/>
      <c r="K2150" s="10"/>
      <c r="L2150" s="10"/>
      <c r="M2150" s="10"/>
      <c r="N2150" s="10"/>
      <c r="O2150" s="10"/>
      <c r="P2150" s="10"/>
      <c r="Q2150" s="10"/>
      <c r="R2150" s="10"/>
      <c r="S2150" s="10"/>
      <c r="T2150" s="10"/>
      <c r="U2150" s="10"/>
      <c r="V2150" s="10"/>
      <c r="W2150" s="10"/>
      <c r="X2150" s="10"/>
      <c r="Y2150" s="10"/>
      <c r="Z2150" s="10"/>
    </row>
    <row r="2151" spans="1:26" ht="12.75">
      <c r="A2151" s="10" t="str">
        <f ca="1">IFERROR(__xludf.DUMMYFUNCTION("""COMPUTED_VALUE"""),"Даниела Георгиева Павлова")</f>
        <v>Даниела Георгиева Павлова</v>
      </c>
      <c r="B2151" s="10" t="str">
        <f ca="1">IFERROR(__xludf.DUMMYFUNCTION("""COMPUTED_VALUE"""),"Доклад от конференция")</f>
        <v>Доклад от конференция</v>
      </c>
      <c r="C2151" s="10" t="str">
        <f ca="1">IFERROR(__xludf.DUMMYFUNCTION("""COMPUTED_VALUE"""),"Дигитално приобщаване в контекста на електронното управление")</f>
        <v>Дигитално приобщаване в контекста на електронното управление</v>
      </c>
      <c r="D2151" s="10">
        <f ca="1">IFERROR(__xludf.DUMMYFUNCTION("""COMPUTED_VALUE"""),2015)</f>
        <v>2015</v>
      </c>
      <c r="E2151" s="10" t="str">
        <f ca="1">IFERROR(__xludf.DUMMYFUNCTION("""COMPUTED_VALUE"""),"Интелектуалната собственост – формула за успех, творчество и иновации: Сборник от Трети национален семинар с международно участие, 27-28 апр., София, „За буквите. О Писменехь“, 2015, с. 257-270. ISBN 978-619-185-160-7")</f>
        <v>Интелектуалната собственост – формула за успех, творчество и иновации: Сборник от Трети национален семинар с международно участие, 27-28 апр., София, „За буквите. О Писменехь“, 2015, с. 257-270. ISBN 978-619-185-160-7</v>
      </c>
      <c r="F2151" s="10"/>
      <c r="G2151" s="10"/>
      <c r="H2151" s="10"/>
      <c r="I2151" s="10"/>
      <c r="J2151" s="10"/>
      <c r="K2151" s="10"/>
      <c r="L2151" s="10"/>
      <c r="M2151" s="10"/>
      <c r="N2151" s="10"/>
      <c r="O2151" s="10"/>
      <c r="P2151" s="10"/>
      <c r="Q2151" s="10"/>
      <c r="R2151" s="10"/>
      <c r="S2151" s="10"/>
      <c r="T2151" s="10"/>
      <c r="U2151" s="10"/>
      <c r="V2151" s="10"/>
      <c r="W2151" s="10"/>
      <c r="X2151" s="10"/>
      <c r="Y2151" s="10"/>
      <c r="Z2151" s="10"/>
    </row>
    <row r="2152" spans="1:26" ht="12.75">
      <c r="A2152" s="10" t="str">
        <f ca="1">IFERROR(__xludf.DUMMYFUNCTION("""COMPUTED_VALUE"""),"Даниела Георгиева Павлова")</f>
        <v>Даниела Георгиева Павлова</v>
      </c>
      <c r="B2152" s="10" t="str">
        <f ca="1">IFERROR(__xludf.DUMMYFUNCTION("""COMPUTED_VALUE"""),"Доклад от конференция")</f>
        <v>Доклад от конференция</v>
      </c>
      <c r="C2152" s="10" t="str">
        <f ca="1">IFERROR(__xludf.DUMMYFUNCTION("""COMPUTED_VALUE"""),"Една стратегия за развитие на електронното управление „DIGITAL BRITAIN 2: PUTTING USERS AT THE HEART OF GOVERNMENT’S DIGITAL SERVICE“")</f>
        <v>Една стратегия за развитие на електронното управление „DIGITAL BRITAIN 2: PUTTING USERS AT THE HEART OF GOVERNMENT’S DIGITAL SERVICE“</v>
      </c>
      <c r="D2152" s="10">
        <f ca="1">IFERROR(__xludf.DUMMYFUNCTION("""COMPUTED_VALUE"""),2015)</f>
        <v>2015</v>
      </c>
      <c r="E2152" s="10" t="str">
        <f ca="1">IFERROR(__xludf.DUMMYFUNCTION("""COMPUTED_VALUE"""),"Сб. доклади от VII международен пътуващ семинар „Съвременни измерения на европейското образователно и научно пространство. Българо - английски културни общувания”, Т.3, България – Великобритания, 25-31 май 2013, София, „За буквите – О писменехь”, 2015, с."&amp;" 122-125. ISSN 2367-7988")</f>
        <v>Сб. доклади от VII международен пътуващ семинар „Съвременни измерения на европейското образователно и научно пространство. Българо - английски културни общувания”, Т.3, България – Великобритания, 25-31 май 2013, София, „За буквите – О писменехь”, 2015, с. 122-125. ISSN 2367-7988</v>
      </c>
      <c r="F2152" s="10"/>
      <c r="G2152" s="10" t="str">
        <f ca="1">IFERROR(__xludf.DUMMYFUNCTION("""COMPUTED_VALUE"""),"Ирена Петева")</f>
        <v>Ирена Петева</v>
      </c>
      <c r="H2152" s="10"/>
      <c r="I2152" s="10"/>
      <c r="J2152" s="10"/>
      <c r="K2152" s="10"/>
      <c r="L2152" s="10"/>
      <c r="M2152" s="10"/>
      <c r="N2152" s="10"/>
      <c r="O2152" s="10"/>
      <c r="P2152" s="10"/>
      <c r="Q2152" s="10"/>
      <c r="R2152" s="10"/>
      <c r="S2152" s="10"/>
      <c r="T2152" s="10"/>
      <c r="U2152" s="10"/>
      <c r="V2152" s="10"/>
      <c r="W2152" s="10"/>
      <c r="X2152" s="10"/>
      <c r="Y2152" s="10"/>
      <c r="Z2152" s="10"/>
    </row>
    <row r="2153" spans="1:26" ht="12.75">
      <c r="A2153" s="10" t="str">
        <f ca="1">IFERROR(__xludf.DUMMYFUNCTION("""COMPUTED_VALUE"""),"Даниела Георгиева Павлова")</f>
        <v>Даниела Георгиева Павлова</v>
      </c>
      <c r="B2153" s="10" t="str">
        <f ca="1">IFERROR(__xludf.DUMMYFUNCTION("""COMPUTED_VALUE"""),"Доклад от конференция")</f>
        <v>Доклад от конференция</v>
      </c>
      <c r="C2153" s="10" t="str">
        <f ca="1">IFERROR(__xludf.DUMMYFUNCTION("""COMPUTED_VALUE"""),"Specifications for centralized datacenter serving the educational cloud for Bulgaria")</f>
        <v>Specifications for centralized datacenter serving the educational cloud for Bulgaria</v>
      </c>
      <c r="D2153" s="10">
        <f ca="1">IFERROR(__xludf.DUMMYFUNCTION("""COMPUTED_VALUE"""),2015)</f>
        <v>2015</v>
      </c>
      <c r="E2153" s="10" t="str">
        <f ca="1">IFERROR(__xludf.DUMMYFUNCTION("""COMPUTED_VALUE"""),"International conference ETAI, 1, 12, Ss. Cyril and Methodius University ""Faculty of electrical engineering and information technologies"", 2015, ISBN:978-9989630-77-4 , Paper 10-2, pp. 1-6")</f>
        <v>International conference ETAI, 1, 12, Ss. Cyril and Methodius University "Faculty of electrical engineering and information technologies", 2015, ISBN:978-9989630-77-4 , Paper 10-2, pp. 1-6</v>
      </c>
      <c r="F2153" s="10"/>
      <c r="G2153" s="10"/>
      <c r="H2153" s="10"/>
      <c r="I2153" s="10"/>
      <c r="J2153" s="10"/>
      <c r="K2153" s="10"/>
      <c r="L2153" s="10"/>
      <c r="M2153" s="10"/>
      <c r="N2153" s="10"/>
      <c r="O2153" s="10"/>
      <c r="P2153" s="10"/>
      <c r="Q2153" s="10"/>
      <c r="R2153" s="10"/>
      <c r="S2153" s="10"/>
      <c r="T2153" s="10"/>
      <c r="U2153" s="10"/>
      <c r="V2153" s="10"/>
      <c r="W2153" s="10"/>
      <c r="X2153" s="10"/>
      <c r="Y2153" s="10"/>
      <c r="Z2153" s="10"/>
    </row>
    <row r="2154" spans="1:26" ht="12.75">
      <c r="A2154" s="10" t="str">
        <f ca="1">IFERROR(__xludf.DUMMYFUNCTION("""COMPUTED_VALUE"""),"Даниела Георгиева Павлова")</f>
        <v>Даниела Георгиева Павлова</v>
      </c>
      <c r="B2154" s="10" t="str">
        <f ca="1">IFERROR(__xludf.DUMMYFUNCTION("""COMPUTED_VALUE"""),"Доклад от конференция")</f>
        <v>Доклад от конференция</v>
      </c>
      <c r="C2154" s="10" t="str">
        <f ca="1">IFERROR(__xludf.DUMMYFUNCTION("""COMPUTED_VALUE"""),"Академичните институции като среда за реализация на електронното правителство")</f>
        <v>Академичните институции като среда за реализация на електронното правителство</v>
      </c>
      <c r="D2154" s="10">
        <f ca="1">IFERROR(__xludf.DUMMYFUNCTION("""COMPUTED_VALUE"""),2014)</f>
        <v>2014</v>
      </c>
      <c r="E2154" s="10" t="str">
        <f ca="1">IFERROR(__xludf.DUMMYFUNCTION("""COMPUTED_VALUE"""),"Сб. доклади от Международна научна конференция „Младите в науката – инвестиция в бъдещето”, София-Пловдив, 18-20 октомври 2013, София, „За буквите. О Писменехь“, 2014, с. 123 - 130. ISBN 978-619-185-132-4")</f>
        <v>Сб. доклади от Международна научна конференция „Младите в науката – инвестиция в бъдещето”, София-Пловдив, 18-20 октомври 2013, София, „За буквите. О Писменехь“, 2014, с. 123 - 130. ISBN 978-619-185-132-4</v>
      </c>
      <c r="F2154" s="10"/>
      <c r="G2154" s="10"/>
      <c r="H2154" s="10"/>
      <c r="I2154" s="10"/>
      <c r="J2154" s="10"/>
      <c r="K2154" s="10"/>
      <c r="L2154" s="10"/>
      <c r="M2154" s="10"/>
      <c r="N2154" s="10"/>
      <c r="O2154" s="10"/>
      <c r="P2154" s="10"/>
      <c r="Q2154" s="10"/>
      <c r="R2154" s="10"/>
      <c r="S2154" s="10"/>
      <c r="T2154" s="10"/>
      <c r="U2154" s="10"/>
      <c r="V2154" s="10"/>
      <c r="W2154" s="10"/>
      <c r="X2154" s="10"/>
      <c r="Y2154" s="10"/>
      <c r="Z2154" s="10"/>
    </row>
    <row r="2155" spans="1:26" ht="12.75">
      <c r="A2155" s="10" t="str">
        <f ca="1">IFERROR(__xludf.DUMMYFUNCTION("""COMPUTED_VALUE"""),"Даниела Георгиева Павлова")</f>
        <v>Даниела Георгиева Павлова</v>
      </c>
      <c r="B2155" s="10" t="str">
        <f ca="1">IFERROR(__xludf.DUMMYFUNCTION("""COMPUTED_VALUE"""),"Доклад от конференция")</f>
        <v>Доклад от конференция</v>
      </c>
      <c r="C2155" s="10" t="str">
        <f ca="1">IFERROR(__xludf.DUMMYFUNCTION("""COMPUTED_VALUE"""),"Правителствен облак? - възможност за икономичен достъп на граждани и бизнес до съвременни е-услуги и приложения")</f>
        <v>Правителствен облак? - възможност за икономичен достъп на граждани и бизнес до съвременни е-услуги и приложения</v>
      </c>
      <c r="D2155" s="10">
        <f ca="1">IFERROR(__xludf.DUMMYFUNCTION("""COMPUTED_VALUE"""),2014)</f>
        <v>2014</v>
      </c>
      <c r="E2155" s="10" t="str">
        <f ca="1">IFERROR(__xludf.DUMMYFUNCTION("""COMPUTED_VALUE"""),"Доклади и съобщения от Осми научен семинар на УниБИТ „Нови информационни технологии в образователния процес“, Камчия, 15-18 юни 2013 г., София, „За буквите. О Писменехь“, 2014, с. 186 – 194. ISSN 1313-2768")</f>
        <v>Доклади и съобщения от Осми научен семинар на УниБИТ „Нови информационни технологии в образователния процес“, Камчия, 15-18 юни 2013 г., София, „За буквите. О Писменехь“, 2014, с. 186 – 194. ISSN 1313-2768</v>
      </c>
      <c r="F2155" s="10"/>
      <c r="G2155" s="10" t="str">
        <f ca="1">IFERROR(__xludf.DUMMYFUNCTION("""COMPUTED_VALUE"""),"Иванка Павлова, Елеонора Вълева")</f>
        <v>Иванка Павлова, Елеонора Вълева</v>
      </c>
      <c r="H2155" s="10"/>
      <c r="I2155" s="10"/>
      <c r="J2155" s="10"/>
      <c r="K2155" s="10"/>
      <c r="L2155" s="10"/>
      <c r="M2155" s="10"/>
      <c r="N2155" s="10"/>
      <c r="O2155" s="10"/>
      <c r="P2155" s="10"/>
      <c r="Q2155" s="10"/>
      <c r="R2155" s="10"/>
      <c r="S2155" s="10"/>
      <c r="T2155" s="10"/>
      <c r="U2155" s="10"/>
      <c r="V2155" s="10"/>
      <c r="W2155" s="10"/>
      <c r="X2155" s="10"/>
      <c r="Y2155" s="10"/>
      <c r="Z2155" s="10"/>
    </row>
    <row r="2156" spans="1:26" ht="12.75">
      <c r="A2156" s="10" t="str">
        <f ca="1">IFERROR(__xludf.DUMMYFUNCTION("""COMPUTED_VALUE"""),"Даниела Георгиева Павлова")</f>
        <v>Даниела Георгиева Павлова</v>
      </c>
      <c r="B2156" s="10" t="str">
        <f ca="1">IFERROR(__xludf.DUMMYFUNCTION("""COMPUTED_VALUE"""),"Доклад от конференция")</f>
        <v>Доклад от конференция</v>
      </c>
      <c r="C2156" s="10" t="str">
        <f ca="1">IFERROR(__xludf.DUMMYFUNCTION("""COMPUTED_VALUE"""),"Управление на риска за сигурността в cloud-базираните системи")</f>
        <v>Управление на риска за сигурността в cloud-базираните системи</v>
      </c>
      <c r="D2156" s="10">
        <f ca="1">IFERROR(__xludf.DUMMYFUNCTION("""COMPUTED_VALUE"""),2014)</f>
        <v>2014</v>
      </c>
      <c r="E2156" s="10" t="str">
        <f ca="1">IFERROR(__xludf.DUMMYFUNCTION("""COMPUTED_VALUE"""),"Научни Тр. на УниБИТ, Т. 11, София, „За буквите. О Писменехь“, 2014, с. 233 – 238. ISSN 1314-2623")</f>
        <v>Научни Тр. на УниБИТ, Т. 11, София, „За буквите. О Писменехь“, 2014, с. 233 – 238. ISSN 1314-2623</v>
      </c>
      <c r="F2156" s="10"/>
      <c r="G2156" s="10" t="str">
        <f ca="1">IFERROR(__xludf.DUMMYFUNCTION("""COMPUTED_VALUE"""),"Иванка Павлова, Елеонора Вълева")</f>
        <v>Иванка Павлова, Елеонора Вълева</v>
      </c>
      <c r="H2156" s="10"/>
      <c r="I2156" s="10"/>
      <c r="J2156" s="10"/>
      <c r="K2156" s="10"/>
      <c r="L2156" s="10"/>
      <c r="M2156" s="10"/>
      <c r="N2156" s="10"/>
      <c r="O2156" s="10"/>
      <c r="P2156" s="10"/>
      <c r="Q2156" s="10"/>
      <c r="R2156" s="10"/>
      <c r="S2156" s="10"/>
      <c r="T2156" s="10"/>
      <c r="U2156" s="10"/>
      <c r="V2156" s="10"/>
      <c r="W2156" s="10"/>
      <c r="X2156" s="10"/>
      <c r="Y2156" s="10"/>
      <c r="Z2156" s="10"/>
    </row>
    <row r="2157" spans="1:26" ht="12.75">
      <c r="A2157" s="10" t="str">
        <f ca="1">IFERROR(__xludf.DUMMYFUNCTION("""COMPUTED_VALUE"""),"Даниела Георгиева Павлова")</f>
        <v>Даниела Георгиева Павлова</v>
      </c>
      <c r="B2157" s="10" t="str">
        <f ca="1">IFERROR(__xludf.DUMMYFUNCTION("""COMPUTED_VALUE"""),"Доклад от конференция")</f>
        <v>Доклад от конференция</v>
      </c>
      <c r="C2157" s="10" t="str">
        <f ca="1">IFERROR(__xludf.DUMMYFUNCTION("""COMPUTED_VALUE"""),"Развитие на концепцията за G-cloud и мястото й в европейската облачна стратегия")</f>
        <v>Развитие на концепцията за G-cloud и мястото й в европейската облачна стратегия</v>
      </c>
      <c r="D2157" s="10">
        <f ca="1">IFERROR(__xludf.DUMMYFUNCTION("""COMPUTED_VALUE"""),2013)</f>
        <v>2013</v>
      </c>
      <c r="E2157" s="10" t="str">
        <f ca="1">IFERROR(__xludf.DUMMYFUNCTION("""COMPUTED_VALUE"""),"X юбилейна национална научна конференция с международно участие „Обществото на знанието и хуманизмът на XXI век”, София, 1-2 ноември 2012, „За буквите. О Писменехь“, 2013 с. 320 – 327. ISSN 1314-7099")</f>
        <v>X юбилейна национална научна конференция с международно участие „Обществото на знанието и хуманизмът на XXI век”, София, 1-2 ноември 2012, „За буквите. О Писменехь“, 2013 с. 320 – 327. ISSN 1314-7099</v>
      </c>
      <c r="F2157" s="10"/>
      <c r="G2157" s="10" t="str">
        <f ca="1">IFERROR(__xludf.DUMMYFUNCTION("""COMPUTED_VALUE"""),"Иванка Павлова, Ирена Петева")</f>
        <v>Иванка Павлова, Ирена Петева</v>
      </c>
      <c r="H2157" s="10"/>
      <c r="I2157" s="10"/>
      <c r="J2157" s="10"/>
      <c r="K2157" s="10"/>
      <c r="L2157" s="10"/>
      <c r="M2157" s="10"/>
      <c r="N2157" s="10"/>
      <c r="O2157" s="10"/>
      <c r="P2157" s="10"/>
      <c r="Q2157" s="10"/>
      <c r="R2157" s="10"/>
      <c r="S2157" s="10"/>
      <c r="T2157" s="10"/>
      <c r="U2157" s="10"/>
      <c r="V2157" s="10"/>
      <c r="W2157" s="10"/>
      <c r="X2157" s="10"/>
      <c r="Y2157" s="10"/>
      <c r="Z2157" s="10"/>
    </row>
    <row r="2158" spans="1:26" ht="12.75">
      <c r="A2158" s="10" t="str">
        <f ca="1">IFERROR(__xludf.DUMMYFUNCTION("""COMPUTED_VALUE"""),"Даниела Георгиева Павлова")</f>
        <v>Даниела Георгиева Павлова</v>
      </c>
      <c r="B2158" s="10" t="str">
        <f ca="1">IFERROR(__xludf.DUMMYFUNCTION("""COMPUTED_VALUE"""),"Книга")</f>
        <v>Книга</v>
      </c>
      <c r="C2158" s="10" t="str">
        <f ca="1">IFERROR(__xludf.DUMMYFUNCTION("""COMPUTED_VALUE"""),"Структурно-функционален анализ и синтез на архитектура на система за оценка на ефективността на обучение на докторанти в университетски структури")</f>
        <v>Структурно-функционален анализ и синтез на архитектура на система за оценка на ефективността на обучение на докторанти в университетски структури</v>
      </c>
      <c r="D2158" s="10">
        <f ca="1">IFERROR(__xludf.DUMMYFUNCTION("""COMPUTED_VALUE"""),2013)</f>
        <v>2013</v>
      </c>
      <c r="E2158" s="10" t="str">
        <f ca="1">IFERROR(__xludf.DUMMYFUNCTION("""COMPUTED_VALUE"""),"София, Софттрейд, 2013, 153 с. ISBN 978-954-334-155-9")</f>
        <v>София, Софттрейд, 2013, 153 с. ISBN 978-954-334-155-9</v>
      </c>
      <c r="F2158" s="10"/>
      <c r="G2158" s="10" t="str">
        <f ca="1">IFERROR(__xludf.DUMMYFUNCTION("""COMPUTED_VALUE"""),"Атанас Митев, Силвия Калчева, Димитър Димитров")</f>
        <v>Атанас Митев, Силвия Калчева, Димитър Димитров</v>
      </c>
      <c r="H2158" s="10"/>
      <c r="I2158" s="10"/>
      <c r="J2158" s="10"/>
      <c r="K2158" s="10"/>
      <c r="L2158" s="10"/>
      <c r="M2158" s="10"/>
      <c r="N2158" s="10"/>
      <c r="O2158" s="10"/>
      <c r="P2158" s="10"/>
      <c r="Q2158" s="10"/>
      <c r="R2158" s="10"/>
      <c r="S2158" s="10"/>
      <c r="T2158" s="10"/>
      <c r="U2158" s="10"/>
      <c r="V2158" s="10"/>
      <c r="W2158" s="10"/>
      <c r="X2158" s="10"/>
      <c r="Y2158" s="10"/>
      <c r="Z2158" s="10"/>
    </row>
    <row r="2159" spans="1:26" ht="12.75">
      <c r="A2159" s="10" t="str">
        <f ca="1">IFERROR(__xludf.DUMMYFUNCTION("""COMPUTED_VALUE"""),"Даниела Георгиева Павлова")</f>
        <v>Даниела Георгиева Павлова</v>
      </c>
      <c r="B2159" s="10" t="str">
        <f ca="1">IFERROR(__xludf.DUMMYFUNCTION("""COMPUTED_VALUE"""),"Доклад от конференция")</f>
        <v>Доклад от конференция</v>
      </c>
      <c r="C2159" s="10" t="str">
        <f ca="1">IFERROR(__xludf.DUMMYFUNCTION("""COMPUTED_VALUE"""),"Аспекти на реализацията на Cloud Computing в УниБИТ")</f>
        <v>Аспекти на реализацията на Cloud Computing в УниБИТ</v>
      </c>
      <c r="D2159" s="10">
        <f ca="1">IFERROR(__xludf.DUMMYFUNCTION("""COMPUTED_VALUE"""),2012)</f>
        <v>2012</v>
      </c>
      <c r="E2159" s="10" t="str">
        <f ca="1">IFERROR(__xludf.DUMMYFUNCTION("""COMPUTED_VALUE"""),"IX национална научна конференция с международно участие „Обществото на знанието и хуманизмът на XXI век”, София, 1 ноември 2011, „За буквите. О Писменехь“, 2012 с. 382 – 388. ISSN 1314-7099")</f>
        <v>IX национална научна конференция с международно участие „Обществото на знанието и хуманизмът на XXI век”, София, 1 ноември 2011, „За буквите. О Писменехь“, 2012 с. 382 – 388. ISSN 1314-7099</v>
      </c>
      <c r="F2159" s="10"/>
      <c r="G2159" s="10" t="str">
        <f ca="1">IFERROR(__xludf.DUMMYFUNCTION("""COMPUTED_VALUE"""),"Георги Димитров, Добри Бояджиев")</f>
        <v>Георги Димитров, Добри Бояджиев</v>
      </c>
      <c r="H2159" s="10"/>
      <c r="I2159" s="10"/>
      <c r="J2159" s="10"/>
      <c r="K2159" s="10"/>
      <c r="L2159" s="10"/>
      <c r="M2159" s="10"/>
      <c r="N2159" s="10"/>
      <c r="O2159" s="10"/>
      <c r="P2159" s="10"/>
      <c r="Q2159" s="10"/>
      <c r="R2159" s="10"/>
      <c r="S2159" s="10"/>
      <c r="T2159" s="10"/>
      <c r="U2159" s="10"/>
      <c r="V2159" s="10"/>
      <c r="W2159" s="10"/>
      <c r="X2159" s="10"/>
      <c r="Y2159" s="10"/>
      <c r="Z2159" s="10"/>
    </row>
    <row r="2160" spans="1:26" ht="12.75">
      <c r="A2160" s="10" t="str">
        <f ca="1">IFERROR(__xludf.DUMMYFUNCTION("""COMPUTED_VALUE"""),"Даниела Иванова Борисова")</f>
        <v>Даниела Иванова Борисова</v>
      </c>
      <c r="B2160" s="10" t="str">
        <f ca="1">IFERROR(__xludf.DUMMYFUNCTION("""COMPUTED_VALUE"""),"Статия в списания и поредици")</f>
        <v>Статия в списания и поредици</v>
      </c>
      <c r="C2160" s="10" t="str">
        <f ca="1">IFERROR(__xludf.DUMMYFUNCTION("""COMPUTED_VALUE"""),"Product configuration design via group decision making and combinatorial optimization")</f>
        <v>Product configuration design via group decision making and combinatorial optimization</v>
      </c>
      <c r="D2160" s="10">
        <f ca="1">IFERROR(__xludf.DUMMYFUNCTION("""COMPUTED_VALUE"""),2019)</f>
        <v>2019</v>
      </c>
      <c r="E2160" s="10" t="str">
        <f ca="1">IFERROR(__xludf.DUMMYFUNCTION("""COMPUTED_VALUE"""),"Comptes rendus de l’Academie Bulgare des Sciences, Tome 72(9), 2019, pp. 1251-1261. 1310-1331")</f>
        <v>Comptes rendus de l’Academie Bulgare des Sciences, Tome 72(9), 2019, pp. 1251-1261. 1310-1331</v>
      </c>
      <c r="F2160" s="10" t="str">
        <f ca="1">IFERROR(__xludf.DUMMYFUNCTION("""COMPUTED_VALUE"""),"Web of Science")</f>
        <v>Web of Science</v>
      </c>
      <c r="G2160" s="10" t="str">
        <f ca="1">IFERROR(__xludf.DUMMYFUNCTION("""COMPUTED_VALUE"""),"D. Keremedchiev")</f>
        <v>D. Keremedchiev</v>
      </c>
      <c r="H2160" s="10"/>
      <c r="I2160" s="10"/>
      <c r="J2160" s="10"/>
      <c r="K2160" s="10"/>
      <c r="L2160" s="10"/>
      <c r="M2160" s="10"/>
      <c r="N2160" s="10"/>
      <c r="O2160" s="10"/>
      <c r="P2160" s="10"/>
      <c r="Q2160" s="10"/>
      <c r="R2160" s="10"/>
      <c r="S2160" s="10"/>
      <c r="T2160" s="10"/>
      <c r="U2160" s="10"/>
      <c r="V2160" s="10"/>
      <c r="W2160" s="10"/>
      <c r="X2160" s="10"/>
      <c r="Y2160" s="10"/>
      <c r="Z2160" s="10"/>
    </row>
    <row r="2161" spans="1:26" ht="12.75">
      <c r="A2161" s="10" t="str">
        <f ca="1">IFERROR(__xludf.DUMMYFUNCTION("""COMPUTED_VALUE"""),"Даниела Иванова Борисова")</f>
        <v>Даниела Иванова Борисова</v>
      </c>
      <c r="B2161" s="10" t="str">
        <f ca="1">IFERROR(__xludf.DUMMYFUNCTION("""COMPUTED_VALUE"""),"Доклад от конференция")</f>
        <v>Доклад от конференция</v>
      </c>
      <c r="C2161" s="10" t="str">
        <f ca="1">IFERROR(__xludf.DUMMYFUNCTION("""COMPUTED_VALUE"""),"Multi-criteria Decision Making Problem for Doing Business: Comparison between Approaches of Individual and Group Decision Making")</f>
        <v>Multi-criteria Decision Making Problem for Doing Business: Comparison between Approaches of Individual and Group Decision Making</v>
      </c>
      <c r="D2161" s="10">
        <f ca="1">IFERROR(__xludf.DUMMYFUNCTION("""COMPUTED_VALUE"""),2019)</f>
        <v>2019</v>
      </c>
      <c r="E2161" s="10" t="str">
        <f ca="1">IFERROR(__xludf.DUMMYFUNCTION("""COMPUTED_VALUE"""),"In: Saeed K., Chaki R., Janev V. (eds) Computer Information Systems and Industrial Management. CISIM 2019. Lecture Notes in Computer Science, vol 11703. Springer, Cham, https://doi.org/10.1007/978-3-030-28957-7_32, 2019, pp 385-396. 978-3-030-28956-0")</f>
        <v>In: Saeed K., Chaki R., Janev V. (eds) Computer Information Systems and Industrial Management. CISIM 2019. Lecture Notes in Computer Science, vol 11703. Springer, Cham, https://doi.org/10.1007/978-3-030-28957-7_32, 2019, pp 385-396. 978-3-030-28956-0</v>
      </c>
      <c r="F2161" s="10" t="str">
        <f ca="1">IFERROR(__xludf.DUMMYFUNCTION("""COMPUTED_VALUE"""),"Scopus")</f>
        <v>Scopus</v>
      </c>
      <c r="G2161" s="10" t="str">
        <f ca="1">IFERROR(__xludf.DUMMYFUNCTION("""COMPUTED_VALUE"""),"D. Korsemov, I. Mustakerov")</f>
        <v>D. Korsemov, I. Mustakerov</v>
      </c>
      <c r="H2161" s="10"/>
      <c r="I2161" s="10"/>
      <c r="J2161" s="10"/>
      <c r="K2161" s="10"/>
      <c r="L2161" s="10"/>
      <c r="M2161" s="10"/>
      <c r="N2161" s="10"/>
      <c r="O2161" s="10"/>
      <c r="P2161" s="10"/>
      <c r="Q2161" s="10"/>
      <c r="R2161" s="10"/>
      <c r="S2161" s="10"/>
      <c r="T2161" s="10"/>
      <c r="U2161" s="10"/>
      <c r="V2161" s="10"/>
      <c r="W2161" s="10"/>
      <c r="X2161" s="10"/>
      <c r="Y2161" s="10"/>
      <c r="Z2161" s="10"/>
    </row>
    <row r="2162" spans="1:26" ht="12.75">
      <c r="A2162" s="10" t="str">
        <f ca="1">IFERROR(__xludf.DUMMYFUNCTION("""COMPUTED_VALUE"""),"Даниела Иванова Борисова")</f>
        <v>Даниела Иванова Борисова</v>
      </c>
      <c r="B2162" s="10" t="str">
        <f ca="1">IFERROR(__xludf.DUMMYFUNCTION("""COMPUTED_VALUE"""),"Статия в списания и поредици")</f>
        <v>Статия в списания и поредици</v>
      </c>
      <c r="C2162" s="10" t="str">
        <f ca="1">IFERROR(__xludf.DUMMYFUNCTION("""COMPUTED_VALUE"""),"Group Decision Making in Evaluation and Ranking of Students by Extended Simple Multi-Attribute Rating Technique")</f>
        <v>Group Decision Making in Evaluation and Ranking of Students by Extended Simple Multi-Attribute Rating Technique</v>
      </c>
      <c r="D2162" s="10">
        <f ca="1">IFERROR(__xludf.DUMMYFUNCTION("""COMPUTED_VALUE"""),2019)</f>
        <v>2019</v>
      </c>
      <c r="E2162" s="10" t="str">
        <f ca="1">IFERROR(__xludf.DUMMYFUNCTION("""COMPUTED_VALUE"""),"Cybernetics and Information Technologies, Vol. 18(3), 2019, pp. 45-56. 1311-9702")</f>
        <v>Cybernetics and Information Technologies, Vol. 18(3), 2019, pp. 45-56. 1311-9702</v>
      </c>
      <c r="F2162" s="10" t="str">
        <f ca="1">IFERROR(__xludf.DUMMYFUNCTION("""COMPUTED_VALUE"""),"Scopus")</f>
        <v>Scopus</v>
      </c>
      <c r="G2162" s="10" t="str">
        <f ca="1">IFERROR(__xludf.DUMMYFUNCTION("""COMPUTED_VALUE"""),"D. Keremedchiev")</f>
        <v>D. Keremedchiev</v>
      </c>
      <c r="H2162" s="10"/>
      <c r="I2162" s="10"/>
      <c r="J2162" s="10"/>
      <c r="K2162" s="10"/>
      <c r="L2162" s="10"/>
      <c r="M2162" s="10"/>
      <c r="N2162" s="10"/>
      <c r="O2162" s="10"/>
      <c r="P2162" s="10"/>
      <c r="Q2162" s="10"/>
      <c r="R2162" s="10"/>
      <c r="S2162" s="10"/>
      <c r="T2162" s="10"/>
      <c r="U2162" s="10"/>
      <c r="V2162" s="10"/>
      <c r="W2162" s="10"/>
      <c r="X2162" s="10"/>
      <c r="Y2162" s="10"/>
      <c r="Z2162" s="10"/>
    </row>
    <row r="2163" spans="1:26" ht="12.75">
      <c r="A2163" s="10" t="str">
        <f ca="1">IFERROR(__xludf.DUMMYFUNCTION("""COMPUTED_VALUE"""),"Даниела Иванова Борисова")</f>
        <v>Даниела Иванова Борисова</v>
      </c>
      <c r="B2163" s="10" t="str">
        <f ca="1">IFERROR(__xludf.DUMMYFUNCTION("""COMPUTED_VALUE"""),"Доклад от конференция")</f>
        <v>Доклад от конференция</v>
      </c>
      <c r="C2163" s="10" t="str">
        <f ca="1">IFERROR(__xludf.DUMMYFUNCTION("""COMPUTED_VALUE"""),"Group decision making for selection of supplier under public procurement")</f>
        <v>Group decision making for selection of supplier under public procurement</v>
      </c>
      <c r="D2163" s="10">
        <f ca="1">IFERROR(__xludf.DUMMYFUNCTION("""COMPUTED_VALUE"""),2018)</f>
        <v>2018</v>
      </c>
      <c r="E2163" s="10" t="str">
        <f ca="1">IFERROR(__xludf.DUMMYFUNCTION("""COMPUTED_VALUE"""),"Korsemov, D., Borissova, D., I. Mustakerov. Group decision making for selection of supplier under public procurement. Communications in Computer and Information Science, S. Kalajdziski and N. Ackovska (Eds.): ICT 2018, CCIS 940, ISBN: 978-3-030-00824-6, 2"&amp;"018, pp. 51-58, https://doi.org/10.1007/978-3-030-00825-3_5")</f>
        <v>Korsemov, D., Borissova, D., I. Mustakerov. Group decision making for selection of supplier under public procurement. Communications in Computer and Information Science, S. Kalajdziski and N. Ackovska (Eds.): ICT 2018, CCIS 940, ISBN: 978-3-030-00824-6, 2018, pp. 51-58, https://doi.org/10.1007/978-3-030-00825-3_5</v>
      </c>
      <c r="F2163" s="10" t="str">
        <f ca="1">IFERROR(__xludf.DUMMYFUNCTION("""COMPUTED_VALUE"""),"Scopus")</f>
        <v>Scopus</v>
      </c>
      <c r="G2163" s="10" t="str">
        <f ca="1">IFERROR(__xludf.DUMMYFUNCTION("""COMPUTED_VALUE"""),"Korsemov, D.; I. Mustakerov")</f>
        <v>Korsemov, D.; I. Mustakerov</v>
      </c>
      <c r="H2163" s="10"/>
      <c r="I2163" s="10"/>
      <c r="J2163" s="10"/>
      <c r="K2163" s="10"/>
      <c r="L2163" s="10"/>
      <c r="M2163" s="10"/>
      <c r="N2163" s="10"/>
      <c r="O2163" s="10"/>
      <c r="P2163" s="10"/>
      <c r="Q2163" s="10"/>
      <c r="R2163" s="10"/>
      <c r="S2163" s="10"/>
      <c r="T2163" s="10"/>
      <c r="U2163" s="10"/>
      <c r="V2163" s="10"/>
      <c r="W2163" s="10"/>
      <c r="X2163" s="10"/>
      <c r="Y2163" s="10"/>
      <c r="Z2163" s="10"/>
    </row>
    <row r="2164" spans="1:26" ht="12.75">
      <c r="A2164" s="10" t="str">
        <f ca="1">IFERROR(__xludf.DUMMYFUNCTION("""COMPUTED_VALUE"""),"Даниела Иванова Борисова")</f>
        <v>Даниела Иванова Борисова</v>
      </c>
      <c r="B2164" s="10" t="str">
        <f ca="1">IFERROR(__xludf.DUMMYFUNCTION("""COMPUTED_VALUE"""),"Статия в списания и поредици")</f>
        <v>Статия в списания и поредици</v>
      </c>
      <c r="C2164" s="10" t="str">
        <f ca="1">IFERROR(__xludf.DUMMYFUNCTION("""COMPUTED_VALUE"""),"A group decision making model considering experts competency: An Application in personnel selections")</f>
        <v>A group decision making model considering experts competency: An Application in personnel selections</v>
      </c>
      <c r="D2164" s="10">
        <f ca="1">IFERROR(__xludf.DUMMYFUNCTION("""COMPUTED_VALUE"""),2018)</f>
        <v>2018</v>
      </c>
      <c r="E2164" s="10" t="str">
        <f ca="1">IFERROR(__xludf.DUMMYFUNCTION("""COMPUTED_VALUE"""),"Borissova, D. A group decision making model considering experts competency: An Application in personnel selections. Comptes rendus de l’Academie Bulgare des Sciences, ISSN: 1310-1331, Tome 71, No 11, 2018, pp. 1520-1527")</f>
        <v>Borissova, D. A group decision making model considering experts competency: An Application in personnel selections. Comptes rendus de l’Academie Bulgare des Sciences, ISSN: 1310-1331, Tome 71, No 11, 2018, pp. 1520-1527</v>
      </c>
      <c r="F2164" s="10" t="str">
        <f ca="1">IFERROR(__xludf.DUMMYFUNCTION("""COMPUTED_VALUE"""),"Web of Science")</f>
        <v>Web of Science</v>
      </c>
      <c r="G2164" s="10"/>
      <c r="H2164" s="10"/>
      <c r="I2164" s="10"/>
      <c r="J2164" s="10"/>
      <c r="K2164" s="10"/>
      <c r="L2164" s="10"/>
      <c r="M2164" s="10"/>
      <c r="N2164" s="10"/>
      <c r="O2164" s="10"/>
      <c r="P2164" s="10"/>
      <c r="Q2164" s="10"/>
      <c r="R2164" s="10"/>
      <c r="S2164" s="10"/>
      <c r="T2164" s="10"/>
      <c r="U2164" s="10"/>
      <c r="V2164" s="10"/>
      <c r="W2164" s="10"/>
      <c r="X2164" s="10"/>
      <c r="Y2164" s="10"/>
      <c r="Z2164" s="10"/>
    </row>
    <row r="2165" spans="1:26" ht="12.75">
      <c r="A2165" s="10" t="str">
        <f ca="1">IFERROR(__xludf.DUMMYFUNCTION("""COMPUTED_VALUE"""),"Даниела Иванова Борисова")</f>
        <v>Даниела Иванова Борисова</v>
      </c>
      <c r="B2165" s="10" t="str">
        <f ca="1">IFERROR(__xludf.DUMMYFUNCTION("""COMPUTED_VALUE"""),"Статия в списания и поредици")</f>
        <v>Статия в списания и поредици</v>
      </c>
      <c r="C2165" s="10" t="str">
        <f ca="1">IFERROR(__xludf.DUMMYFUNCTION("""COMPUTED_VALUE"""),"One approach for identification of brain signals for smart devices control")</f>
        <v>One approach for identification of brain signals for smart devices control</v>
      </c>
      <c r="D2165" s="10">
        <f ca="1">IFERROR(__xludf.DUMMYFUNCTION("""COMPUTED_VALUE"""),2018)</f>
        <v>2018</v>
      </c>
      <c r="E2165" s="10" t="str">
        <f ca="1">IFERROR(__xludf.DUMMYFUNCTION("""COMPUTED_VALUE"""),"Dimitrov, G.P., G.S. Panayotova, E. Kovatcheva, D. Borissova, P. Petrov. One approach for identification of brain signals for smart devices control. Journal of Software, ISSN: 1796-217X, Vol. 13(7), 2018, pp. 407-413, doi: 10.17706/jsw.13.7.407-413")</f>
        <v>Dimitrov, G.P., G.S. Panayotova, E. Kovatcheva, D. Borissova, P. Petrov. One approach for identification of brain signals for smart devices control. Journal of Software, ISSN: 1796-217X, Vol. 13(7), 2018, pp. 407-413, doi: 10.17706/jsw.13.7.407-413</v>
      </c>
      <c r="F2165" s="10" t="str">
        <f ca="1">IFERROR(__xludf.DUMMYFUNCTION("""COMPUTED_VALUE"""),"Inspec, Pro Quest, EBSCO, Google scholar")</f>
        <v>Inspec, Pro Quest, EBSCO, Google scholar</v>
      </c>
      <c r="G2165" s="10" t="str">
        <f ca="1">IFERROR(__xludf.DUMMYFUNCTION("""COMPUTED_VALUE"""),"Dimitrov, G.P; G.S. Panayotova; E. Kovatcheva; P. Petrov")</f>
        <v>Dimitrov, G.P; G.S. Panayotova; E. Kovatcheva; P. Petrov</v>
      </c>
      <c r="H2165" s="10"/>
      <c r="I2165" s="10"/>
      <c r="J2165" s="10"/>
      <c r="K2165" s="10"/>
      <c r="L2165" s="10"/>
      <c r="M2165" s="10"/>
      <c r="N2165" s="10"/>
      <c r="O2165" s="10"/>
      <c r="P2165" s="10"/>
      <c r="Q2165" s="10"/>
      <c r="R2165" s="10"/>
      <c r="S2165" s="10"/>
      <c r="T2165" s="10"/>
      <c r="U2165" s="10"/>
      <c r="V2165" s="10"/>
      <c r="W2165" s="10"/>
      <c r="X2165" s="10"/>
      <c r="Y2165" s="10"/>
      <c r="Z2165" s="10"/>
    </row>
    <row r="2166" spans="1:26" ht="12.75">
      <c r="A2166" s="10" t="str">
        <f ca="1">IFERROR(__xludf.DUMMYFUNCTION("""COMPUTED_VALUE"""),"Даниела Иванова Борисова")</f>
        <v>Даниела Иванова Борисова</v>
      </c>
      <c r="B2166" s="10" t="str">
        <f ca="1">IFERROR(__xludf.DUMMYFUNCTION("""COMPUTED_VALUE"""),"Статия в списания и поредици")</f>
        <v>Статия в списания и поредици</v>
      </c>
      <c r="C2166" s="10" t="str">
        <f ca="1">IFERROR(__xludf.DUMMYFUNCTION("""COMPUTED_VALUE"""),"Combinatorial optimization model for group decision-making")</f>
        <v>Combinatorial optimization model for group decision-making</v>
      </c>
      <c r="D2166" s="10">
        <f ca="1">IFERROR(__xludf.DUMMYFUNCTION("""COMPUTED_VALUE"""),2018)</f>
        <v>2018</v>
      </c>
      <c r="E2166" s="10" t="str">
        <f ca="1">IFERROR(__xludf.DUMMYFUNCTION("""COMPUTED_VALUE"""),"Korsemov, D., D. Borissova, I. Mustakerov. Combinatorial optimization model for group decision-making. Cybernetics and Information Technologies, ISSN: 1311-9702, Vol. 18(2), 2018, pp. 65-73")</f>
        <v>Korsemov, D., D. Borissova, I. Mustakerov. Combinatorial optimization model for group decision-making. Cybernetics and Information Technologies, ISSN: 1311-9702, Vol. 18(2), 2018, pp. 65-73</v>
      </c>
      <c r="F2166" s="10" t="str">
        <f ca="1">IFERROR(__xludf.DUMMYFUNCTION("""COMPUTED_VALUE"""),"Web of Science, Scopus")</f>
        <v>Web of Science, Scopus</v>
      </c>
      <c r="G2166" s="10" t="str">
        <f ca="1">IFERROR(__xludf.DUMMYFUNCTION("""COMPUTED_VALUE"""),"Korsemov, D., D. Borissova, I. Mustakerov")</f>
        <v>Korsemov, D., D. Borissova, I. Mustakerov</v>
      </c>
      <c r="H2166" s="10"/>
      <c r="I2166" s="10"/>
      <c r="J2166" s="10"/>
      <c r="K2166" s="10"/>
      <c r="L2166" s="10"/>
      <c r="M2166" s="10"/>
      <c r="N2166" s="10"/>
      <c r="O2166" s="10"/>
      <c r="P2166" s="10"/>
      <c r="Q2166" s="10"/>
      <c r="R2166" s="10"/>
      <c r="S2166" s="10"/>
      <c r="T2166" s="10"/>
      <c r="U2166" s="10"/>
      <c r="V2166" s="10"/>
      <c r="W2166" s="10"/>
      <c r="X2166" s="10"/>
      <c r="Y2166" s="10"/>
      <c r="Z2166" s="10"/>
    </row>
    <row r="2167" spans="1:26" ht="12.75">
      <c r="A2167" s="10" t="str">
        <f ca="1">IFERROR(__xludf.DUMMYFUNCTION("""COMPUTED_VALUE"""),"Даниела Иванова Борисова")</f>
        <v>Даниела Иванова Борисова</v>
      </c>
      <c r="B2167" s="10" t="str">
        <f ca="1">IFERROR(__xludf.DUMMYFUNCTION("""COMPUTED_VALUE"""),"Статия в списания и поредици")</f>
        <v>Статия в списания и поредици</v>
      </c>
      <c r="C2167" s="10" t="str">
        <f ca="1">IFERROR(__xludf.DUMMYFUNCTION("""COMPUTED_VALUE"""),"Multi-criteria decision methodology for supplier selection in building industry")</f>
        <v>Multi-criteria decision methodology for supplier selection in building industry</v>
      </c>
      <c r="D2167" s="10">
        <f ca="1">IFERROR(__xludf.DUMMYFUNCTION("""COMPUTED_VALUE"""),2018)</f>
        <v>2018</v>
      </c>
      <c r="E2167" s="10" t="str">
        <f ca="1">IFERROR(__xludf.DUMMYFUNCTION("""COMPUTED_VALUE"""),"International Journal of 3-D Information Modeling, Vol. 7(4), 2018, pp. 49-58. DOI: 10.4018/IJ3DIM.2018100103. 2156-1710")</f>
        <v>International Journal of 3-D Information Modeling, Vol. 7(4), 2018, pp. 49-58. DOI: 10.4018/IJ3DIM.2018100103. 2156-1710</v>
      </c>
      <c r="F2167" s="10" t="str">
        <f ca="1">IFERROR(__xludf.DUMMYFUNCTION("""COMPUTED_VALUE"""),"ACM Digital Library")</f>
        <v>ACM Digital Library</v>
      </c>
      <c r="G2167" s="10" t="str">
        <f ca="1">IFERROR(__xludf.DUMMYFUNCTION("""COMPUTED_VALUE"""),"Z. Atanassova")</f>
        <v>Z. Atanassova</v>
      </c>
      <c r="H2167" s="10"/>
      <c r="I2167" s="10"/>
      <c r="J2167" s="10"/>
      <c r="K2167" s="10"/>
      <c r="L2167" s="10"/>
      <c r="M2167" s="10"/>
      <c r="N2167" s="10"/>
      <c r="O2167" s="10"/>
      <c r="P2167" s="10"/>
      <c r="Q2167" s="10"/>
      <c r="R2167" s="10"/>
      <c r="S2167" s="10"/>
      <c r="T2167" s="10"/>
      <c r="U2167" s="10"/>
      <c r="V2167" s="10"/>
      <c r="W2167" s="10"/>
      <c r="X2167" s="10"/>
      <c r="Y2167" s="10"/>
      <c r="Z2167" s="10"/>
    </row>
    <row r="2168" spans="1:26" ht="12.75">
      <c r="A2168" s="10" t="str">
        <f ca="1">IFERROR(__xludf.DUMMYFUNCTION("""COMPUTED_VALUE"""),"Даниела Иванова Борисова")</f>
        <v>Даниела Иванова Борисова</v>
      </c>
      <c r="B2168" s="10" t="str">
        <f ca="1">IFERROR(__xludf.DUMMYFUNCTION("""COMPUTED_VALUE"""),"Доклад от конференция")</f>
        <v>Доклад от конференция</v>
      </c>
      <c r="C2168" s="10" t="str">
        <f ca="1">IFERROR(__xludf.DUMMYFUNCTION("""COMPUTED_VALUE"""),"Multi-attribute group decision making considering difference in experts knowledge: An Excel application")</f>
        <v>Multi-attribute group decision making considering difference in experts knowledge: An Excel application</v>
      </c>
      <c r="D2168" s="10">
        <f ca="1">IFERROR(__xludf.DUMMYFUNCTION("""COMPUTED_VALUE"""),2018)</f>
        <v>2018</v>
      </c>
      <c r="E2168" s="10" t="str">
        <f ca="1">IFERROR(__xludf.DUMMYFUNCTION("""COMPUTED_VALUE"""),"In: Proc. of 12th Int. Management Conference – Management Perspectives in the Digital Era, 1-2 Nov. 2018, Bucharest, Romania, pp. 387-395. 2286-1440")</f>
        <v>In: Proc. of 12th Int. Management Conference – Management Perspectives in the Digital Era, 1-2 Nov. 2018, Bucharest, Romania, pp. 387-395. 2286-1440</v>
      </c>
      <c r="F2168" s="10" t="str">
        <f ca="1">IFERROR(__xludf.DUMMYFUNCTION("""COMPUTED_VALUE"""),"Web of Science")</f>
        <v>Web of Science</v>
      </c>
      <c r="G2168" s="10" t="str">
        <f ca="1">IFERROR(__xludf.DUMMYFUNCTION("""COMPUTED_VALUE"""),"D. Korsemov, I. Mustakerov")</f>
        <v>D. Korsemov, I. Mustakerov</v>
      </c>
      <c r="H2168" s="10"/>
      <c r="I2168" s="10"/>
      <c r="J2168" s="10"/>
      <c r="K2168" s="10"/>
      <c r="L2168" s="10"/>
      <c r="M2168" s="10"/>
      <c r="N2168" s="10"/>
      <c r="O2168" s="10"/>
      <c r="P2168" s="10"/>
      <c r="Q2168" s="10"/>
      <c r="R2168" s="10"/>
      <c r="S2168" s="10"/>
      <c r="T2168" s="10"/>
      <c r="U2168" s="10"/>
      <c r="V2168" s="10"/>
      <c r="W2168" s="10"/>
      <c r="X2168" s="10"/>
      <c r="Y2168" s="10"/>
      <c r="Z2168" s="10"/>
    </row>
    <row r="2169" spans="1:26" ht="12.75">
      <c r="A2169" s="10" t="str">
        <f ca="1">IFERROR(__xludf.DUMMYFUNCTION("""COMPUTED_VALUE"""),"Даниела Иванова Борисова")</f>
        <v>Даниела Иванова Борисова</v>
      </c>
      <c r="B2169" s="10" t="str">
        <f ca="1">IFERROR(__xludf.DUMMYFUNCTION("""COMPUTED_VALUE"""),"Статия в списания и поредици")</f>
        <v>Статия в списания и поредици</v>
      </c>
      <c r="C2169" s="10" t="str">
        <f ca="1">IFERROR(__xludf.DUMMYFUNCTION("""COMPUTED_VALUE"""),"A two-stage placement algorithm with multi-objective optimization and group decision making")</f>
        <v>A two-stage placement algorithm with multi-objective optimization and group decision making</v>
      </c>
      <c r="D2169" s="10">
        <f ca="1">IFERROR(__xludf.DUMMYFUNCTION("""COMPUTED_VALUE"""),2017)</f>
        <v>2017</v>
      </c>
      <c r="E2169" s="10" t="str">
        <f ca="1">IFERROR(__xludf.DUMMYFUNCTION("""COMPUTED_VALUE"""),"Borissova, D., I. Mustakerov. A two-stage placement algorithm with multi-objective optimization and group decision making. Cybernetics and Information Technologies, ISSN: 1311-9702, Vol. 17(1), 2017, pp. 87-103")</f>
        <v>Borissova, D., I. Mustakerov. A two-stage placement algorithm with multi-objective optimization and group decision making. Cybernetics and Information Technologies, ISSN: 1311-9702, Vol. 17(1), 2017, pp. 87-103</v>
      </c>
      <c r="F2169" s="10" t="str">
        <f ca="1">IFERROR(__xludf.DUMMYFUNCTION("""COMPUTED_VALUE"""),"Web of Science, Scopus")</f>
        <v>Web of Science, Scopus</v>
      </c>
      <c r="G2169" s="10" t="str">
        <f ca="1">IFERROR(__xludf.DUMMYFUNCTION("""COMPUTED_VALUE"""),"Borissova, D., I. Mustakerov")</f>
        <v>Borissova, D., I. Mustakerov</v>
      </c>
      <c r="H2169" s="10"/>
      <c r="I2169" s="10"/>
      <c r="J2169" s="10"/>
      <c r="K2169" s="10"/>
      <c r="L2169" s="10"/>
      <c r="M2169" s="10"/>
      <c r="N2169" s="10"/>
      <c r="O2169" s="10"/>
      <c r="P2169" s="10"/>
      <c r="Q2169" s="10"/>
      <c r="R2169" s="10"/>
      <c r="S2169" s="10"/>
      <c r="T2169" s="10"/>
      <c r="U2169" s="10"/>
      <c r="V2169" s="10"/>
      <c r="W2169" s="10"/>
      <c r="X2169" s="10"/>
      <c r="Y2169" s="10"/>
      <c r="Z2169" s="10"/>
    </row>
    <row r="2170" spans="1:26" ht="12.75">
      <c r="A2170" s="10" t="str">
        <f ca="1">IFERROR(__xludf.DUMMYFUNCTION("""COMPUTED_VALUE"""),"Даниела Иванова Борисова")</f>
        <v>Даниела Иванова Борисова</v>
      </c>
      <c r="B2170" s="10" t="str">
        <f ca="1">IFERROR(__xludf.DUMMYFUNCTION("""COMPUTED_VALUE"""),"Статия в списания и поредици")</f>
        <v>Статия в списания и поредици</v>
      </c>
      <c r="C2170" s="10" t="str">
        <f ca="1">IFERROR(__xludf.DUMMYFUNCTION("""COMPUTED_VALUE"""),"Mixed-integer model for placement of objects avoiding forbidden zones")</f>
        <v>Mixed-integer model for placement of objects avoiding forbidden zones</v>
      </c>
      <c r="D2170" s="10">
        <f ca="1">IFERROR(__xludf.DUMMYFUNCTION("""COMPUTED_VALUE"""),2017)</f>
        <v>2017</v>
      </c>
      <c r="E2170" s="10" t="str">
        <f ca="1">IFERROR(__xludf.DUMMYFUNCTION("""COMPUTED_VALUE"""),"Borissova D., Mustakerov, I. Mixed-integer model for placement of objects avoiding forbidden zones. Comptes rendus de l’Academie Bulgare des Sciences, ISSN 1310-1331, 2017, Tome 70(9), pp. 1297-1304")</f>
        <v>Borissova D., Mustakerov, I. Mixed-integer model for placement of objects avoiding forbidden zones. Comptes rendus de l’Academie Bulgare des Sciences, ISSN 1310-1331, 2017, Tome 70(9), pp. 1297-1304</v>
      </c>
      <c r="F2170" s="10" t="str">
        <f ca="1">IFERROR(__xludf.DUMMYFUNCTION("""COMPUTED_VALUE"""),"Web of Science, Scopus")</f>
        <v>Web of Science, Scopus</v>
      </c>
      <c r="G2170" s="10" t="str">
        <f ca="1">IFERROR(__xludf.DUMMYFUNCTION("""COMPUTED_VALUE"""),"Borissova D., Mustakerov, I.")</f>
        <v>Borissova D., Mustakerov, I.</v>
      </c>
      <c r="H2170" s="10"/>
      <c r="I2170" s="10"/>
      <c r="J2170" s="10"/>
      <c r="K2170" s="10"/>
      <c r="L2170" s="10"/>
      <c r="M2170" s="10"/>
      <c r="N2170" s="10"/>
      <c r="O2170" s="10"/>
      <c r="P2170" s="10"/>
      <c r="Q2170" s="10"/>
      <c r="R2170" s="10"/>
      <c r="S2170" s="10"/>
      <c r="T2170" s="10"/>
      <c r="U2170" s="10"/>
      <c r="V2170" s="10"/>
      <c r="W2170" s="10"/>
      <c r="X2170" s="10"/>
      <c r="Y2170" s="10"/>
      <c r="Z2170" s="10"/>
    </row>
    <row r="2171" spans="1:26" ht="12.75">
      <c r="A2171" s="10" t="str">
        <f ca="1">IFERROR(__xludf.DUMMYFUNCTION("""COMPUTED_VALUE"""),"Даниела Иванова Борисова")</f>
        <v>Даниела Иванова Борисова</v>
      </c>
      <c r="B2171" s="10" t="str">
        <f ca="1">IFERROR(__xludf.DUMMYFUNCTION("""COMPUTED_VALUE"""),"Статия в списания и поредици")</f>
        <v>Статия в списания и поредици</v>
      </c>
      <c r="C2171" s="10" t="str">
        <f ca="1">IFERROR(__xludf.DUMMYFUNCTION("""COMPUTED_VALUE"""),"Optimal planning of wind farm layout and integration to electric grid infrastructure")</f>
        <v>Optimal planning of wind farm layout and integration to electric grid infrastructure</v>
      </c>
      <c r="D2171" s="10">
        <f ca="1">IFERROR(__xludf.DUMMYFUNCTION("""COMPUTED_VALUE"""),2017)</f>
        <v>2017</v>
      </c>
      <c r="E2171" s="10" t="str">
        <f ca="1">IFERROR(__xludf.DUMMYFUNCTION("""COMPUTED_VALUE"""),"Borissova, D., I. Mustakerov. Optimal planning of wind farm layout and integration to electric grid infrastructure. MAJLESI Journal of Electrical Engineering. p-ISSN: 2345-377X, e-ISSN: 2345-3796, Vol. 11(3), 2017, pp. 1-5")</f>
        <v>Borissova, D., I. Mustakerov. Optimal planning of wind farm layout and integration to electric grid infrastructure. MAJLESI Journal of Electrical Engineering. p-ISSN: 2345-377X, e-ISSN: 2345-3796, Vol. 11(3), 2017, pp. 1-5</v>
      </c>
      <c r="F2171" s="10" t="str">
        <f ca="1">IFERROR(__xludf.DUMMYFUNCTION("""COMPUTED_VALUE"""),"Scopus")</f>
        <v>Scopus</v>
      </c>
      <c r="G2171" s="10" t="str">
        <f ca="1">IFERROR(__xludf.DUMMYFUNCTION("""COMPUTED_VALUE"""),"Borissova, D., I. Mustakerov")</f>
        <v>Borissova, D., I. Mustakerov</v>
      </c>
      <c r="H2171" s="10"/>
      <c r="I2171" s="10"/>
      <c r="J2171" s="10"/>
      <c r="K2171" s="10"/>
      <c r="L2171" s="10"/>
      <c r="M2171" s="10"/>
      <c r="N2171" s="10"/>
      <c r="O2171" s="10"/>
      <c r="P2171" s="10"/>
      <c r="Q2171" s="10"/>
      <c r="R2171" s="10"/>
      <c r="S2171" s="10"/>
      <c r="T2171" s="10"/>
      <c r="U2171" s="10"/>
      <c r="V2171" s="10"/>
      <c r="W2171" s="10"/>
      <c r="X2171" s="10"/>
      <c r="Y2171" s="10"/>
      <c r="Z2171" s="10"/>
    </row>
    <row r="2172" spans="1:26" ht="12.75">
      <c r="A2172" s="10" t="str">
        <f ca="1">IFERROR(__xludf.DUMMYFUNCTION("""COMPUTED_VALUE"""),"Даниела Иванова Борисова")</f>
        <v>Даниела Иванова Борисова</v>
      </c>
      <c r="B2172" s="10" t="str">
        <f ca="1">IFERROR(__xludf.DUMMYFUNCTION("""COMPUTED_VALUE"""),"Статия в списания и поредици")</f>
        <v>Статия в списания и поредици</v>
      </c>
      <c r="C2172" s="10" t="str">
        <f ca="1">IFERROR(__xludf.DUMMYFUNCTION("""COMPUTED_VALUE"""),"A framework for development of e-learning system for computer programming: Application in the C programming language")</f>
        <v>A framework for development of e-learning system for computer programming: Application in the C programming language</v>
      </c>
      <c r="D2172" s="10">
        <f ca="1">IFERROR(__xludf.DUMMYFUNCTION("""COMPUTED_VALUE"""),2017)</f>
        <v>2017</v>
      </c>
      <c r="E2172" s="10" t="str">
        <f ca="1">IFERROR(__xludf.DUMMYFUNCTION("""COMPUTED_VALUE"""),"Mustakerov I., Borissova D. A framework for development of e-learning system for computer programming: Application in the C programming language. Journal of e-Learning and Knowledge Society, ISSN: 1826-6223, Vol. 13(2), 2017, pp. 89-101")</f>
        <v>Mustakerov I., Borissova D. A framework for development of e-learning system for computer programming: Application in the C programming language. Journal of e-Learning and Knowledge Society, ISSN: 1826-6223, Vol. 13(2), 2017, pp. 89-101</v>
      </c>
      <c r="F2172" s="10" t="str">
        <f ca="1">IFERROR(__xludf.DUMMYFUNCTION("""COMPUTED_VALUE"""),"Web of Science, Scopus")</f>
        <v>Web of Science, Scopus</v>
      </c>
      <c r="G2172" s="10" t="str">
        <f ca="1">IFERROR(__xludf.DUMMYFUNCTION("""COMPUTED_VALUE"""),"Mustakerov I., Borissova D.")</f>
        <v>Mustakerov I., Borissova D.</v>
      </c>
      <c r="H2172" s="10"/>
      <c r="I2172" s="10"/>
      <c r="J2172" s="10"/>
      <c r="K2172" s="10"/>
      <c r="L2172" s="10"/>
      <c r="M2172" s="10"/>
      <c r="N2172" s="10"/>
      <c r="O2172" s="10"/>
      <c r="P2172" s="10"/>
      <c r="Q2172" s="10"/>
      <c r="R2172" s="10"/>
      <c r="S2172" s="10"/>
      <c r="T2172" s="10"/>
      <c r="U2172" s="10"/>
      <c r="V2172" s="10"/>
      <c r="W2172" s="10"/>
      <c r="X2172" s="10"/>
      <c r="Y2172" s="10"/>
      <c r="Z2172" s="10"/>
    </row>
    <row r="2173" spans="1:26" ht="12.75">
      <c r="A2173" s="10" t="str">
        <f ca="1">IFERROR(__xludf.DUMMYFUNCTION("""COMPUTED_VALUE"""),"Даниела Иванова Борисова")</f>
        <v>Даниела Иванова Борисова</v>
      </c>
      <c r="B2173" s="10" t="str">
        <f ca="1">IFERROR(__xludf.DUMMYFUNCTION("""COMPUTED_VALUE"""),"Глава от колективна монография")</f>
        <v>Глава от колективна монография</v>
      </c>
      <c r="C2173" s="10" t="str">
        <f ca="1">IFERROR(__xludf.DUMMYFUNCTION("""COMPUTED_VALUE"""),"Information Systems and Management in Media and Entertainment Industries")</f>
        <v>Information Systems and Management in Media and Entertainment Industries</v>
      </c>
      <c r="D2173" s="10">
        <f ca="1">IFERROR(__xludf.DUMMYFUNCTION("""COMPUTED_VALUE"""),2016)</f>
        <v>2016</v>
      </c>
      <c r="E2173" s="10" t="str">
        <f ca="1">IFERROR(__xludf.DUMMYFUNCTION("""COMPUTED_VALUE"""),"Andreev R., D. Borissova, A. Shikalanov, T. Yorgova. Chapter Title: Model-driven design of eMedia: Virtual technology transfer office. Book Title: Information Systems and Management in Media and Entertainment Industries, ISBN: 978-3-319-49405-0, Springer,"&amp;" 2016, pp. 279-298, Chapter DOI: 10.1007/978-3-319-49407-4_14")</f>
        <v>Andreev R., D. Borissova, A. Shikalanov, T. Yorgova. Chapter Title: Model-driven design of eMedia: Virtual technology transfer office. Book Title: Information Systems and Management in Media and Entertainment Industries, ISBN: 978-3-319-49405-0, Springer, 2016, pp. 279-298, Chapter DOI: 10.1007/978-3-319-49407-4_14</v>
      </c>
      <c r="F2173" s="10" t="str">
        <f ca="1">IFERROR(__xludf.DUMMYFUNCTION("""COMPUTED_VALUE"""),"Web of Science")</f>
        <v>Web of Science</v>
      </c>
      <c r="G2173" s="10" t="str">
        <f ca="1">IFERROR(__xludf.DUMMYFUNCTION("""COMPUTED_VALUE"""),"Andreev R., D. Borissova, A. Shikalanov, T. Yorgova")</f>
        <v>Andreev R., D. Borissova, A. Shikalanov, T. Yorgova</v>
      </c>
      <c r="H2173" s="10"/>
      <c r="I2173" s="10"/>
      <c r="J2173" s="10"/>
      <c r="K2173" s="10"/>
      <c r="L2173" s="10"/>
      <c r="M2173" s="10"/>
      <c r="N2173" s="10"/>
      <c r="O2173" s="10"/>
      <c r="P2173" s="10"/>
      <c r="Q2173" s="10"/>
      <c r="R2173" s="10"/>
      <c r="S2173" s="10"/>
      <c r="T2173" s="10"/>
      <c r="U2173" s="10"/>
      <c r="V2173" s="10"/>
      <c r="W2173" s="10"/>
      <c r="X2173" s="10"/>
      <c r="Y2173" s="10"/>
      <c r="Z2173" s="10"/>
    </row>
    <row r="2174" spans="1:26" ht="12.75">
      <c r="A2174" s="10" t="str">
        <f ca="1">IFERROR(__xludf.DUMMYFUNCTION("""COMPUTED_VALUE"""),"Даниела Иванова Борисова")</f>
        <v>Даниела Иванова Борисова</v>
      </c>
      <c r="B2174" s="10" t="str">
        <f ca="1">IFERROR(__xludf.DUMMYFUNCTION("""COMPUTED_VALUE"""),"Статия в списания и поредици")</f>
        <v>Статия в списания и поредици</v>
      </c>
      <c r="C2174" s="10" t="str">
        <f ca="1">IFERROR(__xludf.DUMMYFUNCTION("""COMPUTED_VALUE"""),"Group decision making for selection of k-best alternatives")</f>
        <v>Group decision making for selection of k-best alternatives</v>
      </c>
      <c r="D2174" s="10">
        <f ca="1">IFERROR(__xludf.DUMMYFUNCTION("""COMPUTED_VALUE"""),2016)</f>
        <v>2016</v>
      </c>
      <c r="E2174" s="10" t="str">
        <f ca="1">IFERROR(__xludf.DUMMYFUNCTION("""COMPUTED_VALUE"""),"Borissova, D. Group decision making for selection of k-best alternatives. Comptes rendus de l’Academie bulgare des Sciences, ISSN: 1310-1331, Tome 69(2), 2016, pp. 183-190")</f>
        <v>Borissova, D. Group decision making for selection of k-best alternatives. Comptes rendus de l’Academie bulgare des Sciences, ISSN: 1310-1331, Tome 69(2), 2016, pp. 183-190</v>
      </c>
      <c r="F2174" s="10" t="str">
        <f ca="1">IFERROR(__xludf.DUMMYFUNCTION("""COMPUTED_VALUE"""),"Web of Science, Scopus")</f>
        <v>Web of Science, Scopus</v>
      </c>
      <c r="G2174" s="10"/>
      <c r="H2174" s="10"/>
      <c r="I2174" s="10"/>
      <c r="J2174" s="10"/>
      <c r="K2174" s="10"/>
      <c r="L2174" s="10"/>
      <c r="M2174" s="10"/>
      <c r="N2174" s="10"/>
      <c r="O2174" s="10"/>
      <c r="P2174" s="10"/>
      <c r="Q2174" s="10"/>
      <c r="R2174" s="10"/>
      <c r="S2174" s="10"/>
      <c r="T2174" s="10"/>
      <c r="U2174" s="10"/>
      <c r="V2174" s="10"/>
      <c r="W2174" s="10"/>
      <c r="X2174" s="10"/>
      <c r="Y2174" s="10"/>
      <c r="Z2174" s="10"/>
    </row>
    <row r="2175" spans="1:26" ht="12.75">
      <c r="A2175" s="10" t="str">
        <f ca="1">IFERROR(__xludf.DUMMYFUNCTION("""COMPUTED_VALUE"""),"Даниела Иванова Борисова")</f>
        <v>Даниела Иванова Борисова</v>
      </c>
      <c r="B2175" s="10" t="str">
        <f ca="1">IFERROR(__xludf.DUMMYFUNCTION("""COMPUTED_VALUE"""),"Статия в списания и поредици")</f>
        <v>Статия в списания и поредици</v>
      </c>
      <c r="C2175" s="10" t="str">
        <f ca="1">IFERROR(__xludf.DUMMYFUNCTION("""COMPUTED_VALUE"""),"Business intelligence system via group decision making")</f>
        <v>Business intelligence system via group decision making</v>
      </c>
      <c r="D2175" s="10">
        <f ca="1">IFERROR(__xludf.DUMMYFUNCTION("""COMPUTED_VALUE"""),2016)</f>
        <v>2016</v>
      </c>
      <c r="E2175" s="10" t="str">
        <f ca="1">IFERROR(__xludf.DUMMYFUNCTION("""COMPUTED_VALUE"""),"Borissova D., I. Mustakerov, D. Korsemov. Business intelligence system via group decision making. Cybernetics and Information Technologies, ISSN: 1311-9702, Vol. 16(3), 2016, pp. 219-229")</f>
        <v>Borissova D., I. Mustakerov, D. Korsemov. Business intelligence system via group decision making. Cybernetics and Information Technologies, ISSN: 1311-9702, Vol. 16(3), 2016, pp. 219-229</v>
      </c>
      <c r="F2175" s="10" t="str">
        <f ca="1">IFERROR(__xludf.DUMMYFUNCTION("""COMPUTED_VALUE"""),"Web of Science, Scopus")</f>
        <v>Web of Science, Scopus</v>
      </c>
      <c r="G2175" s="10" t="str">
        <f ca="1">IFERROR(__xludf.DUMMYFUNCTION("""COMPUTED_VALUE"""),"Borissova D., I. Mustakerov, D. Korsemov")</f>
        <v>Borissova D., I. Mustakerov, D. Korsemov</v>
      </c>
      <c r="H2175" s="10"/>
      <c r="I2175" s="10"/>
      <c r="J2175" s="10"/>
      <c r="K2175" s="10"/>
      <c r="L2175" s="10"/>
      <c r="M2175" s="10"/>
      <c r="N2175" s="10"/>
      <c r="O2175" s="10"/>
      <c r="P2175" s="10"/>
      <c r="Q2175" s="10"/>
      <c r="R2175" s="10"/>
      <c r="S2175" s="10"/>
      <c r="T2175" s="10"/>
      <c r="U2175" s="10"/>
      <c r="V2175" s="10"/>
      <c r="W2175" s="10"/>
      <c r="X2175" s="10"/>
      <c r="Y2175" s="10"/>
      <c r="Z2175" s="10"/>
    </row>
    <row r="2176" spans="1:26" ht="12.75">
      <c r="A2176" s="10" t="str">
        <f ca="1">IFERROR(__xludf.DUMMYFUNCTION("""COMPUTED_VALUE"""),"Даниела Иванова Борисова")</f>
        <v>Даниела Иванова Борисова</v>
      </c>
      <c r="B2176" s="10" t="str">
        <f ca="1">IFERROR(__xludf.DUMMYFUNCTION("""COMPUTED_VALUE"""),"Монография")</f>
        <v>Монография</v>
      </c>
      <c r="C2176" s="10" t="str">
        <f ca="1">IFERROR(__xludf.DUMMYFUNCTION("""COMPUTED_VALUE"""),"Уреди за нощно виждане – моделиране и оптимално проектиране")</f>
        <v>Уреди за нощно виждане – моделиране и оптимално проектиране</v>
      </c>
      <c r="D2176" s="10">
        <f ca="1">IFERROR(__xludf.DUMMYFUNCTION("""COMPUTED_VALUE"""),2015)</f>
        <v>2015</v>
      </c>
      <c r="E2176" s="10" t="str">
        <f ca="1">IFERROR(__xludf.DUMMYFUNCTION("""COMPUTED_VALUE"""),"Д. Борисова. Уреди за нощно виждане – моделиране и оптимално проектиране. Изд. на БАН ""Проф. Марин Дринов"", ISBN: 978-954-322-821-8, София 2015, 202 стр.")</f>
        <v>Д. Борисова. Уреди за нощно виждане – моделиране и оптимално проектиране. Изд. на БАН "Проф. Марин Дринов", ISBN: 978-954-322-821-8, София 2015, 202 стр.</v>
      </c>
      <c r="F2176" s="10"/>
      <c r="G2176" s="10"/>
      <c r="H2176" s="10"/>
      <c r="I2176" s="10"/>
      <c r="J2176" s="10"/>
      <c r="K2176" s="10"/>
      <c r="L2176" s="10"/>
      <c r="M2176" s="10"/>
      <c r="N2176" s="10"/>
      <c r="O2176" s="10"/>
      <c r="P2176" s="10"/>
      <c r="Q2176" s="10"/>
      <c r="R2176" s="10"/>
      <c r="S2176" s="10"/>
      <c r="T2176" s="10"/>
      <c r="U2176" s="10"/>
      <c r="V2176" s="10"/>
      <c r="W2176" s="10"/>
      <c r="X2176" s="10"/>
      <c r="Y2176" s="10"/>
      <c r="Z2176" s="10"/>
    </row>
    <row r="2177" spans="1:26" ht="12.75">
      <c r="A2177" s="10" t="str">
        <f ca="1">IFERROR(__xludf.DUMMYFUNCTION("""COMPUTED_VALUE"""),"Даниела Иванова Борисова")</f>
        <v>Даниела Иванова Борисова</v>
      </c>
      <c r="B2177" s="10" t="str">
        <f ca="1">IFERROR(__xludf.DUMMYFUNCTION("""COMPUTED_VALUE"""),"Статия в списания и поредици")</f>
        <v>Статия в списания и поредици</v>
      </c>
      <c r="C2177" s="10" t="str">
        <f ca="1">IFERROR(__xludf.DUMMYFUNCTION("""COMPUTED_VALUE"""),"Open job shop scheduling via enumerative combinatorics")</f>
        <v>Open job shop scheduling via enumerative combinatorics</v>
      </c>
      <c r="D2177" s="10">
        <f ca="1">IFERROR(__xludf.DUMMYFUNCTION("""COMPUTED_VALUE"""),2015)</f>
        <v>2015</v>
      </c>
      <c r="E2177" s="10" t="str">
        <f ca="1">IFERROR(__xludf.DUMMYFUNCTION("""COMPUTED_VALUE"""),"Borissova D., I. Mustakerov. Open job shop scheduling via enumerative combinatorics. Int. Journal of Mathematical Models and Methods in Applied Sciences, ISSN: 1998-0140, Vol. 9, 2015, pp. 120-127")</f>
        <v>Borissova D., I. Mustakerov. Open job shop scheduling via enumerative combinatorics. Int. Journal of Mathematical Models and Methods in Applied Sciences, ISSN: 1998-0140, Vol. 9, 2015, pp. 120-127</v>
      </c>
      <c r="F2177" s="10" t="str">
        <f ca="1">IFERROR(__xludf.DUMMYFUNCTION("""COMPUTED_VALUE"""),"Scopus")</f>
        <v>Scopus</v>
      </c>
      <c r="G2177" s="10" t="str">
        <f ca="1">IFERROR(__xludf.DUMMYFUNCTION("""COMPUTED_VALUE"""),"Borissova D., I. Mustakerov")</f>
        <v>Borissova D., I. Mustakerov</v>
      </c>
      <c r="H2177" s="10"/>
      <c r="I2177" s="10"/>
      <c r="J2177" s="10"/>
      <c r="K2177" s="10"/>
      <c r="L2177" s="10"/>
      <c r="M2177" s="10"/>
      <c r="N2177" s="10"/>
      <c r="O2177" s="10"/>
      <c r="P2177" s="10"/>
      <c r="Q2177" s="10"/>
      <c r="R2177" s="10"/>
      <c r="S2177" s="10"/>
      <c r="T2177" s="10"/>
      <c r="U2177" s="10"/>
      <c r="V2177" s="10"/>
      <c r="W2177" s="10"/>
      <c r="X2177" s="10"/>
      <c r="Y2177" s="10"/>
      <c r="Z2177" s="10"/>
    </row>
    <row r="2178" spans="1:26" ht="12.75">
      <c r="A2178" s="10" t="str">
        <f ca="1">IFERROR(__xludf.DUMMYFUNCTION("""COMPUTED_VALUE"""),"Даниела Иванова Борисова")</f>
        <v>Даниела Иванова Борисова</v>
      </c>
      <c r="B2178" s="10" t="str">
        <f ca="1">IFERROR(__xludf.DUMMYFUNCTION("""COMPUTED_VALUE"""),"Статия в списания и поредици")</f>
        <v>Статия в списания и поредици</v>
      </c>
      <c r="C2178" s="10" t="str">
        <f ca="1">IFERROR(__xludf.DUMMYFUNCTION("""COMPUTED_VALUE"""),"An optimal staffing and scheduling approach in open shop environment")</f>
        <v>An optimal staffing and scheduling approach in open shop environment</v>
      </c>
      <c r="D2178" s="10">
        <f ca="1">IFERROR(__xludf.DUMMYFUNCTION("""COMPUTED_VALUE"""),2015)</f>
        <v>2015</v>
      </c>
      <c r="E2178" s="10" t="str">
        <f ca="1">IFERROR(__xludf.DUMMYFUNCTION("""COMPUTED_VALUE"""),"Borissova, D. An optimal staffing and scheduling approach in open shop environment. Comptes rendus de l’Academie bulgare des Sciences, ISSN 1310-1331, Tome 68(10), 2015, pp. 1295-1300")</f>
        <v>Borissova, D. An optimal staffing and scheduling approach in open shop environment. Comptes rendus de l’Academie bulgare des Sciences, ISSN 1310-1331, Tome 68(10), 2015, pp. 1295-1300</v>
      </c>
      <c r="F2178" s="10" t="str">
        <f ca="1">IFERROR(__xludf.DUMMYFUNCTION("""COMPUTED_VALUE"""),"Web of Science, Scopus")</f>
        <v>Web of Science, Scopus</v>
      </c>
      <c r="G2178" s="10"/>
      <c r="H2178" s="10"/>
      <c r="I2178" s="10"/>
      <c r="J2178" s="10"/>
      <c r="K2178" s="10"/>
      <c r="L2178" s="10"/>
      <c r="M2178" s="10"/>
      <c r="N2178" s="10"/>
      <c r="O2178" s="10"/>
      <c r="P2178" s="10"/>
      <c r="Q2178" s="10"/>
      <c r="R2178" s="10"/>
      <c r="S2178" s="10"/>
      <c r="T2178" s="10"/>
      <c r="U2178" s="10"/>
      <c r="V2178" s="10"/>
      <c r="W2178" s="10"/>
      <c r="X2178" s="10"/>
      <c r="Y2178" s="10"/>
      <c r="Z2178" s="10"/>
    </row>
    <row r="2179" spans="1:26" ht="12.75">
      <c r="A2179" s="10" t="str">
        <f ca="1">IFERROR(__xludf.DUMMYFUNCTION("""COMPUTED_VALUE"""),"Даниела Иванова Борисова")</f>
        <v>Даниела Иванова Борисова</v>
      </c>
      <c r="B2179" s="10" t="str">
        <f ca="1">IFERROR(__xludf.DUMMYFUNCTION("""COMPUTED_VALUE"""),"Учебник")</f>
        <v>Учебник</v>
      </c>
      <c r="C2179" s="10" t="str">
        <f ca="1">IFERROR(__xludf.DUMMYFUNCTION("""COMPUTED_VALUE"""),"Основи на уеб програмирането")</f>
        <v>Основи на уеб програмирането</v>
      </c>
      <c r="D2179" s="10">
        <f ca="1">IFERROR(__xludf.DUMMYFUNCTION("""COMPUTED_VALUE"""),2014)</f>
        <v>2014</v>
      </c>
      <c r="E2179" s="10" t="str">
        <f ca="1">IFERROR(__xludf.DUMMYFUNCTION("""COMPUTED_VALUE"""),"Д. Борисова. Основи на уеб програмирането. Изд. ""За Буквите - О писменахь"", ISBN: 978-619-185-052-5, София 2014, 255 стр")</f>
        <v>Д. Борисова. Основи на уеб програмирането. Изд. "За Буквите - О писменахь", ISBN: 978-619-185-052-5, София 2014, 255 стр</v>
      </c>
      <c r="F2179" s="10"/>
      <c r="G2179" s="10"/>
      <c r="H2179" s="10"/>
      <c r="I2179" s="10"/>
      <c r="J2179" s="10"/>
      <c r="K2179" s="10"/>
      <c r="L2179" s="10"/>
      <c r="M2179" s="10"/>
      <c r="N2179" s="10"/>
      <c r="O2179" s="10"/>
      <c r="P2179" s="10"/>
      <c r="Q2179" s="10"/>
      <c r="R2179" s="10"/>
      <c r="S2179" s="10"/>
      <c r="T2179" s="10"/>
      <c r="U2179" s="10"/>
      <c r="V2179" s="10"/>
      <c r="W2179" s="10"/>
      <c r="X2179" s="10"/>
      <c r="Y2179" s="10"/>
      <c r="Z2179" s="10"/>
    </row>
    <row r="2180" spans="1:26" ht="12.75">
      <c r="A2180" s="10" t="str">
        <f ca="1">IFERROR(__xludf.DUMMYFUNCTION("""COMPUTED_VALUE"""),"Даниела Иванова Борисова")</f>
        <v>Даниела Иванова Борисова</v>
      </c>
      <c r="B2180" s="10" t="str">
        <f ca="1">IFERROR(__xludf.DUMMYFUNCTION("""COMPUTED_VALUE"""),"Доклад от конференция")</f>
        <v>Доклад от конференция</v>
      </c>
      <c r="C2180" s="10" t="str">
        <f ca="1">IFERROR(__xludf.DUMMYFUNCTION("""COMPUTED_VALUE"""),"An intelligent approach for optimum maintenance strategy defining")</f>
        <v>An intelligent approach for optimum maintenance strategy defining</v>
      </c>
      <c r="D2180" s="10">
        <f ca="1">IFERROR(__xludf.DUMMYFUNCTION("""COMPUTED_VALUE"""),2013)</f>
        <v>2013</v>
      </c>
      <c r="E2180" s="10" t="str">
        <f ca="1">IFERROR(__xludf.DUMMYFUNCTION("""COMPUTED_VALUE"""),"Mustakerov, I., D. Borissova. An intelligent approach for optimum maintenance strategy defining. In Proc. Innovations in Intelligent Systems and Applications (INISTA), 2013 IEEE International Symposium on. 19-21 June 2013, Print ISBN: 978-1-4799-0659-8, D"&amp;"OI: 10.1109/INISTA.2013.6577666")</f>
        <v>Mustakerov, I., D. Borissova. An intelligent approach for optimum maintenance strategy defining. In Proc. Innovations in Intelligent Systems and Applications (INISTA), 2013 IEEE International Symposium on. 19-21 June 2013, Print ISBN: 978-1-4799-0659-8, DOI: 10.1109/INISTA.2013.6577666</v>
      </c>
      <c r="F2180" s="10" t="str">
        <f ca="1">IFERROR(__xludf.DUMMYFUNCTION("""COMPUTED_VALUE"""),"Web of Science, Scopus")</f>
        <v>Web of Science, Scopus</v>
      </c>
      <c r="G2180" s="10" t="str">
        <f ca="1">IFERROR(__xludf.DUMMYFUNCTION("""COMPUTED_VALUE"""),"Mustakerov, I., D. Borissova")</f>
        <v>Mustakerov, I., D. Borissova</v>
      </c>
      <c r="H2180" s="10"/>
      <c r="I2180" s="10"/>
      <c r="J2180" s="10"/>
      <c r="K2180" s="10"/>
      <c r="L2180" s="10"/>
      <c r="M2180" s="10"/>
      <c r="N2180" s="10"/>
      <c r="O2180" s="10"/>
      <c r="P2180" s="10"/>
      <c r="Q2180" s="10"/>
      <c r="R2180" s="10"/>
      <c r="S2180" s="10"/>
      <c r="T2180" s="10"/>
      <c r="U2180" s="10"/>
      <c r="V2180" s="10"/>
      <c r="W2180" s="10"/>
      <c r="X2180" s="10"/>
      <c r="Y2180" s="10"/>
      <c r="Z2180" s="10"/>
    </row>
    <row r="2181" spans="1:26" ht="12.75">
      <c r="A2181" s="10" t="str">
        <f ca="1">IFERROR(__xludf.DUMMYFUNCTION("""COMPUTED_VALUE"""),"Даниела Иванова Борисова")</f>
        <v>Даниела Иванова Борисова</v>
      </c>
      <c r="B2181" s="10" t="str">
        <f ca="1">IFERROR(__xludf.DUMMYFUNCTION("""COMPUTED_VALUE"""),"Статия в списания и поредици")</f>
        <v>Статия в списания и поредици</v>
      </c>
      <c r="C2181" s="10" t="str">
        <f ca="1">IFERROR(__xludf.DUMMYFUNCTION("""COMPUTED_VALUE"""),"Modular systems design via multi-objective optimization")</f>
        <v>Modular systems design via multi-objective optimization</v>
      </c>
      <c r="D2181" s="10">
        <f ca="1">IFERROR(__xludf.DUMMYFUNCTION("""COMPUTED_VALUE"""),2013)</f>
        <v>2013</v>
      </c>
      <c r="E2181" s="10" t="str">
        <f ca="1">IFERROR(__xludf.DUMMYFUNCTION("""COMPUTED_VALUE"""),"Mustakerov, I., D. Borissova. Modular systems design via multi-objective optimization. Int. J. Advanced Modeling and Optimization, ISSN: 1841-4311, Vol. 15(2), 2013, pp. 421-430")</f>
        <v>Mustakerov, I., D. Borissova. Modular systems design via multi-objective optimization. Int. J. Advanced Modeling and Optimization, ISSN: 1841-4311, Vol. 15(2), 2013, pp. 421-430</v>
      </c>
      <c r="F2181" s="10" t="str">
        <f ca="1">IFERROR(__xludf.DUMMYFUNCTION("""COMPUTED_VALUE"""),"Zentralblatt MATH")</f>
        <v>Zentralblatt MATH</v>
      </c>
      <c r="G2181" s="10" t="str">
        <f ca="1">IFERROR(__xludf.DUMMYFUNCTION("""COMPUTED_VALUE"""),"Mustakerov, I., D. Borissova")</f>
        <v>Mustakerov, I., D. Borissova</v>
      </c>
      <c r="H2181" s="10"/>
      <c r="I2181" s="10"/>
      <c r="J2181" s="10"/>
      <c r="K2181" s="10"/>
      <c r="L2181" s="10"/>
      <c r="M2181" s="10"/>
      <c r="N2181" s="10"/>
      <c r="O2181" s="10"/>
      <c r="P2181" s="10"/>
      <c r="Q2181" s="10"/>
      <c r="R2181" s="10"/>
      <c r="S2181" s="10"/>
      <c r="T2181" s="10"/>
      <c r="U2181" s="10"/>
      <c r="V2181" s="10"/>
      <c r="W2181" s="10"/>
      <c r="X2181" s="10"/>
      <c r="Y2181" s="10"/>
      <c r="Z2181" s="10"/>
    </row>
    <row r="2182" spans="1:26" ht="12.75">
      <c r="A2182" s="10" t="str">
        <f ca="1">IFERROR(__xludf.DUMMYFUNCTION("""COMPUTED_VALUE"""),"Даниела Иванова Борисова")</f>
        <v>Даниела Иванова Борисова</v>
      </c>
      <c r="B2182" s="10" t="str">
        <f ca="1">IFERROR(__xludf.DUMMYFUNCTION("""COMPUTED_VALUE"""),"Статия в списания и поредици")</f>
        <v>Статия в списания и поредици</v>
      </c>
      <c r="C2182" s="10" t="str">
        <f ca="1">IFERROR(__xludf.DUMMYFUNCTION("""COMPUTED_VALUE"""),"A combinatorial optimization ranking algorithm for reasonable decision making.")</f>
        <v>A combinatorial optimization ranking algorithm for reasonable decision making.</v>
      </c>
      <c r="D2182" s="10">
        <f ca="1">IFERROR(__xludf.DUMMYFUNCTION("""COMPUTED_VALUE"""),2013)</f>
        <v>2013</v>
      </c>
      <c r="E2182" s="10" t="str">
        <f ca="1">IFERROR(__xludf.DUMMYFUNCTION("""COMPUTED_VALUE"""),"Mustakerov, I., D. Borissova. A combinatorial optimization ranking algorithm for reasonable decision making. Comptes rendus de l’Academie bulgare des Sciences, ISSN 0366-8681 0861-1459, Tom 66(1) 2013, pp. 101-110")</f>
        <v>Mustakerov, I., D. Borissova. A combinatorial optimization ranking algorithm for reasonable decision making. Comptes rendus de l’Academie bulgare des Sciences, ISSN 0366-8681 0861-1459, Tom 66(1) 2013, pp. 101-110</v>
      </c>
      <c r="F2182" s="10" t="str">
        <f ca="1">IFERROR(__xludf.DUMMYFUNCTION("""COMPUTED_VALUE"""),"Web of Science, Scopus")</f>
        <v>Web of Science, Scopus</v>
      </c>
      <c r="G2182" s="10" t="str">
        <f ca="1">IFERROR(__xludf.DUMMYFUNCTION("""COMPUTED_VALUE"""),"Mustakerov, I., D. Borissova")</f>
        <v>Mustakerov, I., D. Borissova</v>
      </c>
      <c r="H2182" s="10"/>
      <c r="I2182" s="10"/>
      <c r="J2182" s="10"/>
      <c r="K2182" s="10"/>
      <c r="L2182" s="10"/>
      <c r="M2182" s="10"/>
      <c r="N2182" s="10"/>
      <c r="O2182" s="10"/>
      <c r="P2182" s="10"/>
      <c r="Q2182" s="10"/>
      <c r="R2182" s="10"/>
      <c r="S2182" s="10"/>
      <c r="T2182" s="10"/>
      <c r="U2182" s="10"/>
      <c r="V2182" s="10"/>
      <c r="W2182" s="10"/>
      <c r="X2182" s="10"/>
      <c r="Y2182" s="10"/>
      <c r="Z2182" s="10"/>
    </row>
    <row r="2183" spans="1:26" ht="12.75">
      <c r="A2183" s="10" t="str">
        <f ca="1">IFERROR(__xludf.DUMMYFUNCTION("""COMPUTED_VALUE"""),"Даниела Иванова Борисова")</f>
        <v>Даниела Иванова Борисова</v>
      </c>
      <c r="B2183" s="10" t="str">
        <f ca="1">IFERROR(__xludf.DUMMYFUNCTION("""COMPUTED_VALUE"""),"Доклад от конференция")</f>
        <v>Доклад от конференция</v>
      </c>
      <c r="C2183" s="10" t="str">
        <f ca="1">IFERROR(__xludf.DUMMYFUNCTION("""COMPUTED_VALUE"""),"A concept of intelligent e-maintenance decision making system")</f>
        <v>A concept of intelligent e-maintenance decision making system</v>
      </c>
      <c r="D2183" s="10">
        <f ca="1">IFERROR(__xludf.DUMMYFUNCTION("""COMPUTED_VALUE"""),2013)</f>
        <v>2013</v>
      </c>
      <c r="E2183" s="10" t="str">
        <f ca="1">IFERROR(__xludf.DUMMYFUNCTION("""COMPUTED_VALUE"""),"Borissova, D., I. Mustakerov. A concept of intelligent e-maintenance decision making system. In Proc. Innovations in Intelligent Systems and Applications (INISTA), 2013 IEEE International Symposium on. 19-21 June 2013, Print ISBN: 978-1-4799-0659-8, DOI: "&amp;"10.1109/INISTA.2013.6577668")</f>
        <v>Borissova, D., I. Mustakerov. A concept of intelligent e-maintenance decision making system. In Proc. Innovations in Intelligent Systems and Applications (INISTA), 2013 IEEE International Symposium on. 19-21 June 2013, Print ISBN: 978-1-4799-0659-8, DOI: 10.1109/INISTA.2013.6577668</v>
      </c>
      <c r="F2183" s="10" t="str">
        <f ca="1">IFERROR(__xludf.DUMMYFUNCTION("""COMPUTED_VALUE"""),"Web of Science, Scopus")</f>
        <v>Web of Science, Scopus</v>
      </c>
      <c r="G2183" s="10" t="str">
        <f ca="1">IFERROR(__xludf.DUMMYFUNCTION("""COMPUTED_VALUE"""),"Borissova, D., I. Mustakerov")</f>
        <v>Borissova, D., I. Mustakerov</v>
      </c>
      <c r="H2183" s="10"/>
      <c r="I2183" s="10"/>
      <c r="J2183" s="10"/>
      <c r="K2183" s="10"/>
      <c r="L2183" s="10"/>
      <c r="M2183" s="10"/>
      <c r="N2183" s="10"/>
      <c r="O2183" s="10"/>
      <c r="P2183" s="10"/>
      <c r="Q2183" s="10"/>
      <c r="R2183" s="10"/>
      <c r="S2183" s="10"/>
      <c r="T2183" s="10"/>
      <c r="U2183" s="10"/>
      <c r="V2183" s="10"/>
      <c r="W2183" s="10"/>
      <c r="X2183" s="10"/>
      <c r="Y2183" s="10"/>
      <c r="Z2183" s="10"/>
    </row>
    <row r="2184" spans="1:26" ht="12.75">
      <c r="A2184" s="10" t="str">
        <f ca="1">IFERROR(__xludf.DUMMYFUNCTION("""COMPUTED_VALUE"""),"Даниела Иванова Борисова")</f>
        <v>Даниела Иванова Борисова</v>
      </c>
      <c r="B2184" s="10" t="str">
        <f ca="1">IFERROR(__xludf.DUMMYFUNCTION("""COMPUTED_VALUE"""),"Статия в списания и поредици")</f>
        <v>Статия в списания и поредици</v>
      </c>
      <c r="C2184" s="10" t="str">
        <f ca="1">IFERROR(__xludf.DUMMYFUNCTION("""COMPUTED_VALUE"""),"Predictive maintenance sensors placement by combinatorial optimization")</f>
        <v>Predictive maintenance sensors placement by combinatorial optimization</v>
      </c>
      <c r="D2184" s="10">
        <f ca="1">IFERROR(__xludf.DUMMYFUNCTION("""COMPUTED_VALUE"""),2012)</f>
        <v>2012</v>
      </c>
      <c r="E2184" s="10" t="str">
        <f ca="1">IFERROR(__xludf.DUMMYFUNCTION("""COMPUTED_VALUE"""),"Borissova, D., I. Mustakerov, L. Doukovska. Predictive maintenance sensors placement by combinatorial optimization. Int. J. of Electronics and Telecommunications. ISSN 0867-6747, Vol. 58(2), 2012, pp. 153-158")</f>
        <v>Borissova, D., I. Mustakerov, L. Doukovska. Predictive maintenance sensors placement by combinatorial optimization. Int. J. of Electronics and Telecommunications. ISSN 0867-6747, Vol. 58(2), 2012, pp. 153-158</v>
      </c>
      <c r="F2184" s="10" t="str">
        <f ca="1">IFERROR(__xludf.DUMMYFUNCTION("""COMPUTED_VALUE"""),"Scopus")</f>
        <v>Scopus</v>
      </c>
      <c r="G2184" s="10" t="str">
        <f ca="1">IFERROR(__xludf.DUMMYFUNCTION("""COMPUTED_VALUE"""),"Borissova, D., I. Mustakerov, L. Doukovska")</f>
        <v>Borissova, D., I. Mustakerov, L. Doukovska</v>
      </c>
      <c r="H2184" s="10"/>
      <c r="I2184" s="10"/>
      <c r="J2184" s="10"/>
      <c r="K2184" s="10"/>
      <c r="L2184" s="10"/>
      <c r="M2184" s="10"/>
      <c r="N2184" s="10"/>
      <c r="O2184" s="10"/>
      <c r="P2184" s="10"/>
      <c r="Q2184" s="10"/>
      <c r="R2184" s="10"/>
      <c r="S2184" s="10"/>
      <c r="T2184" s="10"/>
      <c r="U2184" s="10"/>
      <c r="V2184" s="10"/>
      <c r="W2184" s="10"/>
      <c r="X2184" s="10"/>
      <c r="Y2184" s="10"/>
      <c r="Z2184" s="10"/>
    </row>
    <row r="2185" spans="1:26" ht="12.75">
      <c r="A2185" s="10" t="str">
        <f ca="1">IFERROR(__xludf.DUMMYFUNCTION("""COMPUTED_VALUE"""),"Даниела Иванова Борисова")</f>
        <v>Даниела Иванова Борисова</v>
      </c>
      <c r="B2185" s="10" t="str">
        <f ca="1">IFERROR(__xludf.DUMMYFUNCTION("""COMPUTED_VALUE"""),"Статия в списания и поредици")</f>
        <v>Статия в списания и поредици</v>
      </c>
      <c r="C2185" s="10" t="str">
        <f ca="1">IFERROR(__xludf.DUMMYFUNCTION("""COMPUTED_VALUE"""),"Engineering Systems Maintenance by Optimal Decision Making Strategies under Uncertainty Conditions")</f>
        <v>Engineering Systems Maintenance by Optimal Decision Making Strategies under Uncertainty Conditions</v>
      </c>
      <c r="D2185" s="10">
        <f ca="1">IFERROR(__xludf.DUMMYFUNCTION("""COMPUTED_VALUE"""),2011)</f>
        <v>2011</v>
      </c>
      <c r="E2185" s="10"/>
      <c r="F2185" s="10"/>
      <c r="G2185" s="10" t="str">
        <f ca="1">IFERROR(__xludf.DUMMYFUNCTION("""COMPUTED_VALUE"""),"Да")</f>
        <v>Да</v>
      </c>
      <c r="H2185" s="10"/>
      <c r="I2185" s="10"/>
      <c r="J2185" s="10"/>
      <c r="K2185" s="10"/>
      <c r="L2185" s="10"/>
      <c r="M2185" s="10"/>
      <c r="N2185" s="10"/>
      <c r="O2185" s="10"/>
      <c r="P2185" s="10"/>
      <c r="Q2185" s="10"/>
      <c r="R2185" s="10"/>
      <c r="S2185" s="10"/>
      <c r="T2185" s="10"/>
      <c r="U2185" s="10"/>
      <c r="V2185" s="10"/>
      <c r="W2185" s="10"/>
      <c r="X2185" s="10"/>
      <c r="Y2185" s="10"/>
      <c r="Z2185" s="10"/>
    </row>
    <row r="2186" spans="1:26" ht="12.75">
      <c r="A2186" s="10" t="str">
        <f ca="1">IFERROR(__xludf.DUMMYFUNCTION("""COMPUTED_VALUE"""),"Даниела Иванова Борисова")</f>
        <v>Даниела Иванова Борисова</v>
      </c>
      <c r="B2186" s="10" t="str">
        <f ca="1">IFERROR(__xludf.DUMMYFUNCTION("""COMPUTED_VALUE"""),"Доклад от конференция")</f>
        <v>Доклад от конференция</v>
      </c>
      <c r="C2186" s="10" t="str">
        <f ca="1">IFERROR(__xludf.DUMMYFUNCTION("""COMPUTED_VALUE"""),"Approaches for Diagnostic and Predictive Maintenance")</f>
        <v>Approaches for Diagnostic and Predictive Maintenance</v>
      </c>
      <c r="D2186" s="10">
        <f ca="1">IFERROR(__xludf.DUMMYFUNCTION("""COMPUTED_VALUE"""),2011)</f>
        <v>2011</v>
      </c>
      <c r="E2186" s="10" t="str">
        <f ca="1">IFERROR(__xludf.DUMMYFUNCTION("""COMPUTED_VALUE"""),"Boshnakov K., V. Petkov, L. Doukovska, D. Borissova, S. Kojnov. Approaches for Diagnostic and Predictive Maintenance. Proceedings of SPIE, Vol. 8008, ISSN 0277-786X, ISBN 9780819485823, 80081Z, 2011")</f>
        <v>Boshnakov K., V. Petkov, L. Doukovska, D. Borissova, S. Kojnov. Approaches for Diagnostic and Predictive Maintenance. Proceedings of SPIE, Vol. 8008, ISSN 0277-786X, ISBN 9780819485823, 80081Z, 2011</v>
      </c>
      <c r="F2186" s="10" t="str">
        <f ca="1">IFERROR(__xludf.DUMMYFUNCTION("""COMPUTED_VALUE"""),"Web of Science, Scopus")</f>
        <v>Web of Science, Scopus</v>
      </c>
      <c r="G2186" s="10" t="str">
        <f ca="1">IFERROR(__xludf.DUMMYFUNCTION("""COMPUTED_VALUE"""),"Boshnakov K., V. Petkov, L. Doukovska, D. Borissova, S. Kojnov")</f>
        <v>Boshnakov K., V. Petkov, L. Doukovska, D. Borissova, S. Kojnov</v>
      </c>
      <c r="H2186" s="10"/>
      <c r="I2186" s="10"/>
      <c r="J2186" s="10"/>
      <c r="K2186" s="10"/>
      <c r="L2186" s="10"/>
      <c r="M2186" s="10"/>
      <c r="N2186" s="10"/>
      <c r="O2186" s="10"/>
      <c r="P2186" s="10"/>
      <c r="Q2186" s="10"/>
      <c r="R2186" s="10"/>
      <c r="S2186" s="10"/>
      <c r="T2186" s="10"/>
      <c r="U2186" s="10"/>
      <c r="V2186" s="10"/>
      <c r="W2186" s="10"/>
      <c r="X2186" s="10"/>
      <c r="Y2186" s="10"/>
      <c r="Z2186" s="10"/>
    </row>
    <row r="2187" spans="1:26" ht="12.75">
      <c r="A2187" s="10" t="str">
        <f ca="1">IFERROR(__xludf.DUMMYFUNCTION("""COMPUTED_VALUE"""),"Даниела Иванова Борисова")</f>
        <v>Даниела Иванова Борисова</v>
      </c>
      <c r="B2187" s="10" t="str">
        <f ca="1">IFERROR(__xludf.DUMMYFUNCTION("""COMPUTED_VALUE"""),"Статия в списания и поредици")</f>
        <v>Статия в списания и поредици</v>
      </c>
      <c r="C2187" s="10" t="str">
        <f ca="1">IFERROR(__xludf.DUMMYFUNCTION("""COMPUTED_VALUE"""),"A Conceptual Approach for Development of Educational Web-based e-Testing System")</f>
        <v>A Conceptual Approach for Development of Educational Web-based e-Testing System</v>
      </c>
      <c r="D2187" s="10">
        <f ca="1">IFERROR(__xludf.DUMMYFUNCTION("""COMPUTED_VALUE"""),2011)</f>
        <v>2011</v>
      </c>
      <c r="E2187" s="10" t="str">
        <f ca="1">IFERROR(__xludf.DUMMYFUNCTION("""COMPUTED_VALUE"""),"Mustakerov I., D. Borissova. A conceptual approach for development of educational Web-based e-testing system. Expert Systems with Applications. ISSN: 0957-4174, 38(11), 2011, pp.14060-14064")</f>
        <v>Mustakerov I., D. Borissova. A conceptual approach for development of educational Web-based e-testing system. Expert Systems with Applications. ISSN: 0957-4174, 38(11), 2011, pp.14060-14064</v>
      </c>
      <c r="F2187" s="10" t="str">
        <f ca="1">IFERROR(__xludf.DUMMYFUNCTION("""COMPUTED_VALUE"""),"Web of Science, Scopus")</f>
        <v>Web of Science, Scopus</v>
      </c>
      <c r="G2187" s="10" t="str">
        <f ca="1">IFERROR(__xludf.DUMMYFUNCTION("""COMPUTED_VALUE"""),"Mustakerov I., D. Borissova")</f>
        <v>Mustakerov I., D. Borissova</v>
      </c>
      <c r="H2187" s="10"/>
      <c r="I2187" s="10"/>
      <c r="J2187" s="10"/>
      <c r="K2187" s="10"/>
      <c r="L2187" s="10"/>
      <c r="M2187" s="10"/>
      <c r="N2187" s="10"/>
      <c r="O2187" s="10"/>
      <c r="P2187" s="10"/>
      <c r="Q2187" s="10"/>
      <c r="R2187" s="10"/>
      <c r="S2187" s="10"/>
      <c r="T2187" s="10"/>
      <c r="U2187" s="10"/>
      <c r="V2187" s="10"/>
      <c r="W2187" s="10"/>
      <c r="X2187" s="10"/>
      <c r="Y2187" s="10"/>
      <c r="Z2187" s="10"/>
    </row>
    <row r="2188" spans="1:26" ht="12.75">
      <c r="A2188" s="10" t="str">
        <f ca="1">IFERROR(__xludf.DUMMYFUNCTION("""COMPUTED_VALUE"""),"Даниела Иванова Борисова")</f>
        <v>Даниела Иванова Борисова</v>
      </c>
      <c r="B2188" s="10" t="str">
        <f ca="1">IFERROR(__xludf.DUMMYFUNCTION("""COMPUTED_VALUE"""),"Статия в списания и поредици")</f>
        <v>Статия в списания и поредици</v>
      </c>
      <c r="C2188" s="10" t="str">
        <f ca="1">IFERROR(__xludf.DUMMYFUNCTION("""COMPUTED_VALUE"""),"Methodology for Design of Web-based Laparoscopy e-Training System")</f>
        <v>Methodology for Design of Web-based Laparoscopy e-Training System</v>
      </c>
      <c r="D2188" s="10">
        <f ca="1">IFERROR(__xludf.DUMMYFUNCTION("""COMPUTED_VALUE"""),2011)</f>
        <v>2011</v>
      </c>
      <c r="E2188" s="10"/>
      <c r="F2188" s="10"/>
      <c r="G2188" s="10" t="str">
        <f ca="1">IFERROR(__xludf.DUMMYFUNCTION("""COMPUTED_VALUE"""),"Да")</f>
        <v>Да</v>
      </c>
      <c r="H2188" s="10"/>
      <c r="I2188" s="10"/>
      <c r="J2188" s="10"/>
      <c r="K2188" s="10"/>
      <c r="L2188" s="10"/>
      <c r="M2188" s="10"/>
      <c r="N2188" s="10"/>
      <c r="O2188" s="10"/>
      <c r="P2188" s="10"/>
      <c r="Q2188" s="10"/>
      <c r="R2188" s="10"/>
      <c r="S2188" s="10"/>
      <c r="T2188" s="10"/>
      <c r="U2188" s="10"/>
      <c r="V2188" s="10"/>
      <c r="W2188" s="10"/>
      <c r="X2188" s="10"/>
      <c r="Y2188" s="10"/>
      <c r="Z2188" s="10"/>
    </row>
    <row r="2189" spans="1:26" ht="12.75">
      <c r="A2189" s="10" t="str">
        <f ca="1">IFERROR(__xludf.DUMMYFUNCTION("""COMPUTED_VALUE"""),"Даниела Иванова Борисова")</f>
        <v>Даниела Иванова Борисова</v>
      </c>
      <c r="B2189" s="10" t="str">
        <f ca="1">IFERROR(__xludf.DUMMYFUNCTION("""COMPUTED_VALUE"""),"Книга")</f>
        <v>Книга</v>
      </c>
      <c r="C2189" s="10" t="str">
        <f ca="1">IFERROR(__xludf.DUMMYFUNCTION("""COMPUTED_VALUE"""),"Wind park layout design using combinatorial optimization, Wind Turbines")</f>
        <v>Wind park layout design using combinatorial optimization, Wind Turbines</v>
      </c>
      <c r="D2189" s="10">
        <f ca="1">IFERROR(__xludf.DUMMYFUNCTION("""COMPUTED_VALUE"""),2011)</f>
        <v>2011</v>
      </c>
      <c r="E2189" s="10" t="str">
        <f ca="1">IFERROR(__xludf.DUMMYFUNCTION("""COMPUTED_VALUE"""),"Mustakerov I., D. Borissova. Wind park layout design using combinatorial optimization, Wind Turbines. Ed. I. Al-Bahadly, ISBN 978-953-307-221-0, Publisher: InTech, 2011, DOI: 10.5772/15029, pp. 403-424")</f>
        <v>Mustakerov I., D. Borissova. Wind park layout design using combinatorial optimization, Wind Turbines. Ed. I. Al-Bahadly, ISBN 978-953-307-221-0, Publisher: InTech, 2011, DOI: 10.5772/15029, pp. 403-424</v>
      </c>
      <c r="F2189" s="10" t="str">
        <f ca="1">IFERROR(__xludf.DUMMYFUNCTION("""COMPUTED_VALUE"""),"Web of Science")</f>
        <v>Web of Science</v>
      </c>
      <c r="G2189" s="10" t="str">
        <f ca="1">IFERROR(__xludf.DUMMYFUNCTION("""COMPUTED_VALUE"""),"Mustakerov I., D. Borissova")</f>
        <v>Mustakerov I., D. Borissova</v>
      </c>
      <c r="H2189" s="10"/>
      <c r="I2189" s="10"/>
      <c r="J2189" s="10"/>
      <c r="K2189" s="10"/>
      <c r="L2189" s="10"/>
      <c r="M2189" s="10"/>
      <c r="N2189" s="10"/>
      <c r="O2189" s="10"/>
      <c r="P2189" s="10"/>
      <c r="Q2189" s="10"/>
      <c r="R2189" s="10"/>
      <c r="S2189" s="10"/>
      <c r="T2189" s="10"/>
      <c r="U2189" s="10"/>
      <c r="V2189" s="10"/>
      <c r="W2189" s="10"/>
      <c r="X2189" s="10"/>
      <c r="Y2189" s="10"/>
      <c r="Z2189" s="10"/>
    </row>
    <row r="2190" spans="1:26" ht="12.75">
      <c r="A2190" s="10" t="str">
        <f ca="1">IFERROR(__xludf.DUMMYFUNCTION("""COMPUTED_VALUE"""),"Даниела Иванова Борисова")</f>
        <v>Даниела Иванова Борисова</v>
      </c>
      <c r="B2190" s="10" t="str">
        <f ca="1">IFERROR(__xludf.DUMMYFUNCTION("""COMPUTED_VALUE"""),"Статия в списания и поредици")</f>
        <v>Статия в списания и поредици</v>
      </c>
      <c r="C2190" s="10" t="str">
        <f ca="1">IFERROR(__xludf.DUMMYFUNCTION("""COMPUTED_VALUE"""),"A Generalized Combinatorial Optimization Approach to Wind Power Plant Design")</f>
        <v>A Generalized Combinatorial Optimization Approach to Wind Power Plant Design</v>
      </c>
      <c r="D2190" s="10">
        <f ca="1">IFERROR(__xludf.DUMMYFUNCTION("""COMPUTED_VALUE"""),2010)</f>
        <v>2010</v>
      </c>
      <c r="E2190" s="10"/>
      <c r="F2190" s="10"/>
      <c r="G2190" s="10" t="str">
        <f ca="1">IFERROR(__xludf.DUMMYFUNCTION("""COMPUTED_VALUE"""),"Да")</f>
        <v>Да</v>
      </c>
      <c r="H2190" s="10"/>
      <c r="I2190" s="10"/>
      <c r="J2190" s="10"/>
      <c r="K2190" s="10"/>
      <c r="L2190" s="10"/>
      <c r="M2190" s="10"/>
      <c r="N2190" s="10"/>
      <c r="O2190" s="10"/>
      <c r="P2190" s="10"/>
      <c r="Q2190" s="10"/>
      <c r="R2190" s="10"/>
      <c r="S2190" s="10"/>
      <c r="T2190" s="10"/>
      <c r="U2190" s="10"/>
      <c r="V2190" s="10"/>
      <c r="W2190" s="10"/>
      <c r="X2190" s="10"/>
      <c r="Y2190" s="10"/>
      <c r="Z2190" s="10"/>
    </row>
    <row r="2191" spans="1:26" ht="12.75">
      <c r="A2191" s="10" t="str">
        <f ca="1">IFERROR(__xludf.DUMMYFUNCTION("""COMPUTED_VALUE"""),"Даниела Иванова Борисова")</f>
        <v>Даниела Иванова Борисова</v>
      </c>
      <c r="B2191" s="10" t="str">
        <f ca="1">IFERROR(__xludf.DUMMYFUNCTION("""COMPUTED_VALUE"""),"Статия в списания и поредици")</f>
        <v>Статия в списания и поредици</v>
      </c>
      <c r="C2191" s="10" t="str">
        <f ca="1">IFERROR(__xludf.DUMMYFUNCTION("""COMPUTED_VALUE"""),"Wind turbines type and number choice using combinatorial optimization")</f>
        <v>Wind turbines type and number choice using combinatorial optimization</v>
      </c>
      <c r="D2191" s="10">
        <f ca="1">IFERROR(__xludf.DUMMYFUNCTION("""COMPUTED_VALUE"""),2010)</f>
        <v>2010</v>
      </c>
      <c r="E2191" s="10" t="str">
        <f ca="1">IFERROR(__xludf.DUMMYFUNCTION("""COMPUTED_VALUE"""),"Mustakerov, I., D. Borissova. Wind turbines type and number choice using combinatorial optimization. Renewable Energy. ISSN: 0960-1481, Vol. 35(9), 2010, pp. 1887-1894.")</f>
        <v>Mustakerov, I., D. Borissova. Wind turbines type and number choice using combinatorial optimization. Renewable Energy. ISSN: 0960-1481, Vol. 35(9), 2010, pp. 1887-1894.</v>
      </c>
      <c r="F2191" s="10" t="str">
        <f ca="1">IFERROR(__xludf.DUMMYFUNCTION("""COMPUTED_VALUE"""),"Web of Science, Scopus")</f>
        <v>Web of Science, Scopus</v>
      </c>
      <c r="G2191" s="10" t="str">
        <f ca="1">IFERROR(__xludf.DUMMYFUNCTION("""COMPUTED_VALUE"""),"Mustakerov, I., D. Borissova")</f>
        <v>Mustakerov, I., D. Borissova</v>
      </c>
      <c r="H2191" s="10"/>
      <c r="I2191" s="10"/>
      <c r="J2191" s="10"/>
      <c r="K2191" s="10"/>
      <c r="L2191" s="10"/>
      <c r="M2191" s="10"/>
      <c r="N2191" s="10"/>
      <c r="O2191" s="10"/>
      <c r="P2191" s="10"/>
      <c r="Q2191" s="10"/>
      <c r="R2191" s="10"/>
      <c r="S2191" s="10"/>
      <c r="T2191" s="10"/>
      <c r="U2191" s="10"/>
      <c r="V2191" s="10"/>
      <c r="W2191" s="10"/>
      <c r="X2191" s="10"/>
      <c r="Y2191" s="10"/>
      <c r="Z2191" s="10"/>
    </row>
    <row r="2192" spans="1:26" ht="12.75">
      <c r="A2192" s="10" t="str">
        <f ca="1">IFERROR(__xludf.DUMMYFUNCTION("""COMPUTED_VALUE"""),"Даниела Иванова Борисова")</f>
        <v>Даниела Иванова Борисова</v>
      </c>
      <c r="B2192" s="10" t="str">
        <f ca="1">IFERROR(__xludf.DUMMYFUNCTION("""COMPUTED_VALUE"""),"Статия в списания и поредици")</f>
        <v>Статия в списания и поредици</v>
      </c>
      <c r="C2192" s="10" t="str">
        <f ca="1">IFERROR(__xludf.DUMMYFUNCTION("""COMPUTED_VALUE"""),"A generalized optimization method for night vision devices design considering stochastic external surveillance conditions")</f>
        <v>A generalized optimization method for night vision devices design considering stochastic external surveillance conditions</v>
      </c>
      <c r="D2192" s="10">
        <f ca="1">IFERROR(__xludf.DUMMYFUNCTION("""COMPUTED_VALUE"""),2009)</f>
        <v>2009</v>
      </c>
      <c r="E2192" s="10" t="str">
        <f ca="1">IFERROR(__xludf.DUMMYFUNCTION("""COMPUTED_VALUE"""),"Borissova, D., I. Mustakerov. A generalized optimization method for night vision devices design considering stochastic external surveillance conditions. Applied Mathematical Modelling, ISSN: 0307-904X, Vol. 33, 2009, pp. 4078-4085")</f>
        <v>Borissova, D., I. Mustakerov. A generalized optimization method for night vision devices design considering stochastic external surveillance conditions. Applied Mathematical Modelling, ISSN: 0307-904X, Vol. 33, 2009, pp. 4078-4085</v>
      </c>
      <c r="F2192" s="10" t="str">
        <f ca="1">IFERROR(__xludf.DUMMYFUNCTION("""COMPUTED_VALUE"""),"Web of Science, Scopus")</f>
        <v>Web of Science, Scopus</v>
      </c>
      <c r="G2192" s="10" t="str">
        <f ca="1">IFERROR(__xludf.DUMMYFUNCTION("""COMPUTED_VALUE"""),"Borissova, D., I. Mustakerov")</f>
        <v>Borissova, D., I. Mustakerov</v>
      </c>
      <c r="H2192" s="10"/>
      <c r="I2192" s="10"/>
      <c r="J2192" s="10"/>
      <c r="K2192" s="10"/>
      <c r="L2192" s="10"/>
      <c r="M2192" s="10"/>
      <c r="N2192" s="10"/>
      <c r="O2192" s="10"/>
      <c r="P2192" s="10"/>
      <c r="Q2192" s="10"/>
      <c r="R2192" s="10"/>
      <c r="S2192" s="10"/>
      <c r="T2192" s="10"/>
      <c r="U2192" s="10"/>
      <c r="V2192" s="10"/>
      <c r="W2192" s="10"/>
      <c r="X2192" s="10"/>
      <c r="Y2192" s="10"/>
      <c r="Z2192" s="10"/>
    </row>
    <row r="2193" spans="1:26" ht="12.75">
      <c r="A2193" s="10" t="str">
        <f ca="1">IFERROR(__xludf.DUMMYFUNCTION("""COMPUTED_VALUE"""),"Даниела Иванова Борисова")</f>
        <v>Даниела Иванова Борисова</v>
      </c>
      <c r="B2193" s="10" t="str">
        <f ca="1">IFERROR(__xludf.DUMMYFUNCTION("""COMPUTED_VALUE"""),"Доклад от конференция")</f>
        <v>Доклад от конференция</v>
      </c>
      <c r="C2193" s="10" t="str">
        <f ca="1">IFERROR(__xludf.DUMMYFUNCTION("""COMPUTED_VALUE"""),"A framework of multimedia e-learning design for engineering training")</f>
        <v>A framework of multimedia e-learning design for engineering training</v>
      </c>
      <c r="D2193" s="10">
        <f ca="1">IFERROR(__xludf.DUMMYFUNCTION("""COMPUTED_VALUE"""),2009)</f>
        <v>2009</v>
      </c>
      <c r="E2193" s="10" t="str">
        <f ca="1">IFERROR(__xludf.DUMMYFUNCTION("""COMPUTED_VALUE"""),"Borissova D., I. Mustakerov. A framework of multimedia e-learning design for engineering training. In Proc. of 8th International Conference – Advances in Web Based Learning, ICWL 2009, Aachen, Germany, Aug.'2009, Marc Spaniol, Qing Li, Ralf Klamma, Rynson"&amp;" W.H. Lau (Eds.), Springer, Lecture Notes in Computer Science (LNCS), ISBN: 978-3-642-03425-1, Vol. 5686, 2009, pp. 88-97")</f>
        <v>Borissova D., I. Mustakerov. A framework of multimedia e-learning design for engineering training. In Proc. of 8th International Conference – Advances in Web Based Learning, ICWL 2009, Aachen, Germany, Aug.'2009, Marc Spaniol, Qing Li, Ralf Klamma, Rynson W.H. Lau (Eds.), Springer, Lecture Notes in Computer Science (LNCS), ISBN: 978-3-642-03425-1, Vol. 5686, 2009, pp. 88-97</v>
      </c>
      <c r="F2193" s="10" t="str">
        <f ca="1">IFERROR(__xludf.DUMMYFUNCTION("""COMPUTED_VALUE"""),"Web of Science, Scopus")</f>
        <v>Web of Science, Scopus</v>
      </c>
      <c r="G2193" s="10" t="str">
        <f ca="1">IFERROR(__xludf.DUMMYFUNCTION("""COMPUTED_VALUE"""),"Borissova D., I. Mustakerov")</f>
        <v>Borissova D., I. Mustakerov</v>
      </c>
      <c r="H2193" s="10"/>
      <c r="I2193" s="10"/>
      <c r="J2193" s="10"/>
      <c r="K2193" s="10"/>
      <c r="L2193" s="10"/>
      <c r="M2193" s="10"/>
      <c r="N2193" s="10"/>
      <c r="O2193" s="10"/>
      <c r="P2193" s="10"/>
      <c r="Q2193" s="10"/>
      <c r="R2193" s="10"/>
      <c r="S2193" s="10"/>
      <c r="T2193" s="10"/>
      <c r="U2193" s="10"/>
      <c r="V2193" s="10"/>
      <c r="W2193" s="10"/>
      <c r="X2193" s="10"/>
      <c r="Y2193" s="10"/>
      <c r="Z2193" s="10"/>
    </row>
    <row r="2194" spans="1:26" ht="12.75">
      <c r="A2194" s="10" t="str">
        <f ca="1">IFERROR(__xludf.DUMMYFUNCTION("""COMPUTED_VALUE"""),"Даниела Иванова Борисова")</f>
        <v>Даниела Иванова Борисова</v>
      </c>
      <c r="B2194" s="10" t="str">
        <f ca="1">IFERROR(__xludf.DUMMYFUNCTION("""COMPUTED_VALUE"""),"Статия в списания и поредици")</f>
        <v>Статия в списания и поредици</v>
      </c>
      <c r="C2194" s="10" t="str">
        <f ca="1">IFERROR(__xludf.DUMMYFUNCTION("""COMPUTED_VALUE"""),"Night Vision Devices Choice Taking into Account the External Surveillance Conditions")</f>
        <v>Night Vision Devices Choice Taking into Account the External Surveillance Conditions</v>
      </c>
      <c r="D2194" s="10">
        <f ca="1">IFERROR(__xludf.DUMMYFUNCTION("""COMPUTED_VALUE"""),2008)</f>
        <v>2008</v>
      </c>
      <c r="E2194" s="10" t="str">
        <f ca="1">IFERROR(__xludf.DUMMYFUNCTION("""COMPUTED_VALUE"""),"Borissova D. Night Vision Devices Choice Taking into Account the External Surveillance Conditions. Int. J. Advanced Modeling and Optimization, ISSN: 1841-4311, Vol. 10(2), 2008, pp. 213-220")</f>
        <v>Borissova D. Night Vision Devices Choice Taking into Account the External Surveillance Conditions. Int. J. Advanced Modeling and Optimization, ISSN: 1841-4311, Vol. 10(2), 2008, pp. 213-220</v>
      </c>
      <c r="F2194" s="10" t="str">
        <f ca="1">IFERROR(__xludf.DUMMYFUNCTION("""COMPUTED_VALUE"""),"Zentralblatt MATH")</f>
        <v>Zentralblatt MATH</v>
      </c>
      <c r="G2194" s="10"/>
      <c r="H2194" s="10"/>
      <c r="I2194" s="10"/>
      <c r="J2194" s="10"/>
      <c r="K2194" s="10"/>
      <c r="L2194" s="10"/>
      <c r="M2194" s="10"/>
      <c r="N2194" s="10"/>
      <c r="O2194" s="10"/>
      <c r="P2194" s="10"/>
      <c r="Q2194" s="10"/>
      <c r="R2194" s="10"/>
      <c r="S2194" s="10"/>
      <c r="T2194" s="10"/>
      <c r="U2194" s="10"/>
      <c r="V2194" s="10"/>
      <c r="W2194" s="10"/>
      <c r="X2194" s="10"/>
      <c r="Y2194" s="10"/>
      <c r="Z2194" s="10"/>
    </row>
    <row r="2195" spans="1:26" ht="12.75">
      <c r="A2195" s="10" t="str">
        <f ca="1">IFERROR(__xludf.DUMMYFUNCTION("""COMPUTED_VALUE"""),"Даниела Иванова Борисова")</f>
        <v>Даниела Иванова Борисова</v>
      </c>
      <c r="B2195" s="10" t="str">
        <f ca="1">IFERROR(__xludf.DUMMYFUNCTION("""COMPUTED_VALUE"""),"Статия в списания и поредици")</f>
        <v>Статия в списания и поредици</v>
      </c>
      <c r="C2195" s="10" t="str">
        <f ca="1">IFERROR(__xludf.DUMMYFUNCTION("""COMPUTED_VALUE"""),"Multicriteria choice of night vision devices considering the impact of their performance parameters")</f>
        <v>Multicriteria choice of night vision devices considering the impact of their performance parameters</v>
      </c>
      <c r="D2195" s="10">
        <f ca="1">IFERROR(__xludf.DUMMYFUNCTION("""COMPUTED_VALUE"""),2008)</f>
        <v>2008</v>
      </c>
      <c r="E2195" s="10" t="str">
        <f ca="1">IFERROR(__xludf.DUMMYFUNCTION("""COMPUTED_VALUE"""),"Borissova D., I. Mustakerov. Multicriteria choice of night vision devices considering the impact of their performance parameters. Int. J. Advanced Modeling and Optimization, ISSN: 1841-4311, Vol. 10(1), 2008, pp. 81-93")</f>
        <v>Borissova D., I. Mustakerov. Multicriteria choice of night vision devices considering the impact of their performance parameters. Int. J. Advanced Modeling and Optimization, ISSN: 1841-4311, Vol. 10(1), 2008, pp. 81-93</v>
      </c>
      <c r="F2195" s="10" t="str">
        <f ca="1">IFERROR(__xludf.DUMMYFUNCTION("""COMPUTED_VALUE"""),"Zentralblatt MATH")</f>
        <v>Zentralblatt MATH</v>
      </c>
      <c r="G2195" s="10" t="str">
        <f ca="1">IFERROR(__xludf.DUMMYFUNCTION("""COMPUTED_VALUE"""),"Borissova D., I. Mustakerov")</f>
        <v>Borissova D., I. Mustakerov</v>
      </c>
      <c r="H2195" s="10"/>
      <c r="I2195" s="10"/>
      <c r="J2195" s="10"/>
      <c r="K2195" s="10"/>
      <c r="L2195" s="10"/>
      <c r="M2195" s="10"/>
      <c r="N2195" s="10"/>
      <c r="O2195" s="10"/>
      <c r="P2195" s="10"/>
      <c r="Q2195" s="10"/>
      <c r="R2195" s="10"/>
      <c r="S2195" s="10"/>
      <c r="T2195" s="10"/>
      <c r="U2195" s="10"/>
      <c r="V2195" s="10"/>
      <c r="W2195" s="10"/>
      <c r="X2195" s="10"/>
      <c r="Y2195" s="10"/>
      <c r="Z2195" s="10"/>
    </row>
    <row r="2196" spans="1:26" ht="12.75">
      <c r="A2196" s="10" t="str">
        <f ca="1">IFERROR(__xludf.DUMMYFUNCTION("""COMPUTED_VALUE"""),"Даниела Иванова Борисова")</f>
        <v>Даниела Иванова Борисова</v>
      </c>
      <c r="B2196" s="10" t="str">
        <f ca="1">IFERROR(__xludf.DUMMYFUNCTION("""COMPUTED_VALUE"""),"Статия в списания и поредици")</f>
        <v>Статия в списания и поредици</v>
      </c>
      <c r="C2196" s="10" t="str">
        <f ca="1">IFERROR(__xludf.DUMMYFUNCTION("""COMPUTED_VALUE"""),"Technical systems design by combinatorial optimization choice of elements on the example of night vision devices design")</f>
        <v>Technical systems design by combinatorial optimization choice of elements on the example of night vision devices design</v>
      </c>
      <c r="D2196" s="10">
        <f ca="1">IFERROR(__xludf.DUMMYFUNCTION("""COMPUTED_VALUE"""),2007)</f>
        <v>2007</v>
      </c>
      <c r="E2196" s="10" t="str">
        <f ca="1">IFERROR(__xludf.DUMMYFUNCTION("""COMPUTED_VALUE"""),"Mustakerov, I., D. Borissova. Technical systems design by combinatorial optimization choice of elements on the example of night vision devices design. Comptes rendus de l’Academie bulgare des Sciences, ISSN 0366-8681 0861-1459, Tom 60(4), 2007, pp. 373-38"&amp;"0")</f>
        <v>Mustakerov, I., D. Borissova. Technical systems design by combinatorial optimization choice of elements on the example of night vision devices design. Comptes rendus de l’Academie bulgare des Sciences, ISSN 0366-8681 0861-1459, Tom 60(4), 2007, pp. 373-380</v>
      </c>
      <c r="F2196" s="10" t="str">
        <f ca="1">IFERROR(__xludf.DUMMYFUNCTION("""COMPUTED_VALUE"""),"Web of Science, Scopus")</f>
        <v>Web of Science, Scopus</v>
      </c>
      <c r="G2196" s="10" t="str">
        <f ca="1">IFERROR(__xludf.DUMMYFUNCTION("""COMPUTED_VALUE"""),"Mustakerov, I., D. Borissova")</f>
        <v>Mustakerov, I., D. Borissova</v>
      </c>
      <c r="H2196" s="10"/>
      <c r="I2196" s="10"/>
      <c r="J2196" s="10"/>
      <c r="K2196" s="10"/>
      <c r="L2196" s="10"/>
      <c r="M2196" s="10"/>
      <c r="N2196" s="10"/>
      <c r="O2196" s="10"/>
      <c r="P2196" s="10"/>
      <c r="Q2196" s="10"/>
      <c r="R2196" s="10"/>
      <c r="S2196" s="10"/>
      <c r="T2196" s="10"/>
      <c r="U2196" s="10"/>
      <c r="V2196" s="10"/>
      <c r="W2196" s="10"/>
      <c r="X2196" s="10"/>
      <c r="Y2196" s="10"/>
      <c r="Z2196" s="10"/>
    </row>
    <row r="2197" spans="1:26" ht="12.75">
      <c r="A2197" s="10" t="str">
        <f ca="1">IFERROR(__xludf.DUMMYFUNCTION("""COMPUTED_VALUE"""),"Даниела Иванова Борисова")</f>
        <v>Даниела Иванова Борисова</v>
      </c>
      <c r="B2197" s="10" t="str">
        <f ca="1">IFERROR(__xludf.DUMMYFUNCTION("""COMPUTED_VALUE"""),"Доклад от конференция")</f>
        <v>Доклад от конференция</v>
      </c>
      <c r="C2197" s="10" t="str">
        <f ca="1">IFERROR(__xludf.DUMMYFUNCTION("""COMPUTED_VALUE"""),"Night vision devices design process modeling")</f>
        <v>Night vision devices design process modeling</v>
      </c>
      <c r="D2197" s="10">
        <f ca="1">IFERROR(__xludf.DUMMYFUNCTION("""COMPUTED_VALUE"""),2007)</f>
        <v>2007</v>
      </c>
      <c r="E2197" s="10" t="str">
        <f ca="1">IFERROR(__xludf.DUMMYFUNCTION("""COMPUTED_VALUE"""),"Borissova, D., I. Mustakerov. Night vision devices design process modeling. In Proc. of Int. Conf. on Theory and Applications in Mathematics and Informatics, ICTAMI 2007, Alba Iulia, Romania (Eds. D. Breaz, N. Breaz, D. Wainberg), ISBN 978-973-1890-01-2, "&amp;"30 August - 02 September 2007, Alba Iulia, Romania, pp. 55-66")</f>
        <v>Borissova, D., I. Mustakerov. Night vision devices design process modeling. In Proc. of Int. Conf. on Theory and Applications in Mathematics and Informatics, ICTAMI 2007, Alba Iulia, Romania (Eds. D. Breaz, N. Breaz, D. Wainberg), ISBN 978-973-1890-01-2, 30 August - 02 September 2007, Alba Iulia, Romania, pp. 55-66</v>
      </c>
      <c r="F2197" s="10" t="str">
        <f ca="1">IFERROR(__xludf.DUMMYFUNCTION("""COMPUTED_VALUE"""),"Zentralblatt MATH")</f>
        <v>Zentralblatt MATH</v>
      </c>
      <c r="G2197" s="10" t="str">
        <f ca="1">IFERROR(__xludf.DUMMYFUNCTION("""COMPUTED_VALUE"""),"Borissova, D., I. Mustakerov")</f>
        <v>Borissova, D., I. Mustakerov</v>
      </c>
      <c r="H2197" s="10"/>
      <c r="I2197" s="10"/>
      <c r="J2197" s="10"/>
      <c r="K2197" s="10"/>
      <c r="L2197" s="10"/>
      <c r="M2197" s="10"/>
      <c r="N2197" s="10"/>
      <c r="O2197" s="10"/>
      <c r="P2197" s="10"/>
      <c r="Q2197" s="10"/>
      <c r="R2197" s="10"/>
      <c r="S2197" s="10"/>
      <c r="T2197" s="10"/>
      <c r="U2197" s="10"/>
      <c r="V2197" s="10"/>
      <c r="W2197" s="10"/>
      <c r="X2197" s="10"/>
      <c r="Y2197" s="10"/>
      <c r="Z2197" s="10"/>
    </row>
    <row r="2198" spans="1:26" ht="12.75">
      <c r="A2198" s="10" t="str">
        <f ca="1">IFERROR(__xludf.DUMMYFUNCTION("""COMPUTED_VALUE"""),"Даниела Иванова Борисова")</f>
        <v>Даниела Иванова Борисова</v>
      </c>
      <c r="B2198" s="10" t="str">
        <f ca="1">IFERROR(__xludf.DUMMYFUNCTION("""COMPUTED_VALUE"""),"Доклад от конференция")</f>
        <v>Доклад от конференция</v>
      </c>
      <c r="C2198" s="10" t="str">
        <f ca="1">IFERROR(__xludf.DUMMYFUNCTION("""COMPUTED_VALUE"""),"Software system for night vision devices design by reasonable combinatorial choice")</f>
        <v>Software system for night vision devices design by reasonable combinatorial choice</v>
      </c>
      <c r="D2198" s="10">
        <f ca="1">IFERROR(__xludf.DUMMYFUNCTION("""COMPUTED_VALUE"""),2007)</f>
        <v>2007</v>
      </c>
      <c r="E2198" s="10" t="str">
        <f ca="1">IFERROR(__xludf.DUMMYFUNCTION("""COMPUTED_VALUE"""),"Mustakerov, I., D. Borissova. Software system for night vision devices design by reasonable combinatorial choice. In Proc. of Int. Conf. on Theory and Applications in Mathematics and Informatics, ICTAMI 2007, Alba Iulia, Romania (Eds. D. Breaz, N. Breaz, "&amp;"D. Wainberg), ISBN 978-973-1890-01-2, 30 August - 02 September 2007, Alba Iulia, Romania, pp. 43-53")</f>
        <v>Mustakerov, I., D. Borissova. Software system for night vision devices design by reasonable combinatorial choice. In Proc. of Int. Conf. on Theory and Applications in Mathematics and Informatics, ICTAMI 2007, Alba Iulia, Romania (Eds. D. Breaz, N. Breaz, D. Wainberg), ISBN 978-973-1890-01-2, 30 August - 02 September 2007, Alba Iulia, Romania, pp. 43-53</v>
      </c>
      <c r="F2198" s="10" t="str">
        <f ca="1">IFERROR(__xludf.DUMMYFUNCTION("""COMPUTED_VALUE"""),"Zentralblatt MATH")</f>
        <v>Zentralblatt MATH</v>
      </c>
      <c r="G2198" s="10" t="str">
        <f ca="1">IFERROR(__xludf.DUMMYFUNCTION("""COMPUTED_VALUE"""),"Mustakerov, I., D. Borissova")</f>
        <v>Mustakerov, I., D. Borissova</v>
      </c>
      <c r="H2198" s="10"/>
      <c r="I2198" s="10"/>
      <c r="J2198" s="10"/>
      <c r="K2198" s="10"/>
      <c r="L2198" s="10"/>
      <c r="M2198" s="10"/>
      <c r="N2198" s="10"/>
      <c r="O2198" s="10"/>
      <c r="P2198" s="10"/>
      <c r="Q2198" s="10"/>
      <c r="R2198" s="10"/>
      <c r="S2198" s="10"/>
      <c r="T2198" s="10"/>
      <c r="U2198" s="10"/>
      <c r="V2198" s="10"/>
      <c r="W2198" s="10"/>
      <c r="X2198" s="10"/>
      <c r="Y2198" s="10"/>
      <c r="Z2198" s="10"/>
    </row>
    <row r="2199" spans="1:26" ht="12.75">
      <c r="A2199" s="10" t="str">
        <f ca="1">IFERROR(__xludf.DUMMYFUNCTION("""COMPUTED_VALUE"""),"Десислава Панчева Стоева")</f>
        <v>Десислава Панчева Стоева</v>
      </c>
      <c r="B2199" s="10" t="str">
        <f ca="1">IFERROR(__xludf.DUMMYFUNCTION("""COMPUTED_VALUE"""),"Доклад от конференция")</f>
        <v>Доклад от конференция</v>
      </c>
      <c r="C2199" s="10" t="str">
        <f ca="1">IFERROR(__xludf.DUMMYFUNCTION("""COMPUTED_VALUE"""),"Съвременни предизвикателства пред критичната инфраструктура")</f>
        <v>Съвременни предизвикателства пред критичната инфраструктура</v>
      </c>
      <c r="D2199" s="10">
        <f ca="1">IFERROR(__xludf.DUMMYFUNCTION("""COMPUTED_VALUE"""),2017)</f>
        <v>2017</v>
      </c>
      <c r="E2199" s="10" t="str">
        <f ca="1">IFERROR(__xludf.DUMMYFUNCTION("""COMPUTED_VALUE"""),"Годишна научна конференция с международно участие ""Съвременни предизвикателства пред сигурността и отбраната“ Военна Академия „Г.С.Раковски“ гр.София")</f>
        <v>Годишна научна конференция с международно участие "Съвременни предизвикателства пред сигурността и отбраната“ Военна Академия „Г.С.Раковски“ гр.София</v>
      </c>
      <c r="F2199" s="10"/>
      <c r="G2199" s="10"/>
      <c r="H2199" s="10"/>
      <c r="I2199" s="10"/>
      <c r="J2199" s="10"/>
      <c r="K2199" s="10"/>
      <c r="L2199" s="10"/>
      <c r="M2199" s="10"/>
      <c r="N2199" s="10"/>
      <c r="O2199" s="10"/>
      <c r="P2199" s="10"/>
      <c r="Q2199" s="10"/>
      <c r="R2199" s="10"/>
      <c r="S2199" s="10"/>
      <c r="T2199" s="10"/>
      <c r="U2199" s="10"/>
      <c r="V2199" s="10"/>
      <c r="W2199" s="10"/>
      <c r="X2199" s="10"/>
      <c r="Y2199" s="10"/>
      <c r="Z2199" s="10"/>
    </row>
    <row r="2200" spans="1:26" ht="12.75">
      <c r="A2200" s="10" t="str">
        <f ca="1">IFERROR(__xludf.DUMMYFUNCTION("""COMPUTED_VALUE"""),"Десислава Панчева Стоева")</f>
        <v>Десислава Панчева Стоева</v>
      </c>
      <c r="B2200" s="10" t="str">
        <f ca="1">IFERROR(__xludf.DUMMYFUNCTION("""COMPUTED_VALUE"""),"Доклад от конференция")</f>
        <v>Доклад от конференция</v>
      </c>
      <c r="C2200" s="10" t="str">
        <f ca="1">IFERROR(__xludf.DUMMYFUNCTION("""COMPUTED_VALUE"""),"Защита на критичната инфраструктура от неоторизиран достъп")</f>
        <v>Защита на критичната инфраструктура от неоторизиран достъп</v>
      </c>
      <c r="D2200" s="10">
        <f ca="1">IFERROR(__xludf.DUMMYFUNCTION("""COMPUTED_VALUE"""),2017)</f>
        <v>2017</v>
      </c>
      <c r="E2200" s="10" t="str">
        <f ca="1">IFERROR(__xludf.DUMMYFUNCTION("""COMPUTED_VALUE"""),"УНИВЕРСИТЕТСКАТА МЛАДЕЖКА АКАДЕМИЯ ЗА УПРАВЛЕНИЕ НА ЗНАНИЯ")</f>
        <v>УНИВЕРСИТЕТСКАТА МЛАДЕЖКА АКАДЕМИЯ ЗА УПРАВЛЕНИЕ НА ЗНАНИЯ</v>
      </c>
      <c r="F2200" s="10"/>
      <c r="G2200" s="10"/>
      <c r="H2200" s="10"/>
      <c r="I2200" s="10"/>
      <c r="J2200" s="10"/>
      <c r="K2200" s="10"/>
      <c r="L2200" s="10"/>
      <c r="M2200" s="10"/>
      <c r="N2200" s="10"/>
      <c r="O2200" s="10"/>
      <c r="P2200" s="10"/>
      <c r="Q2200" s="10"/>
      <c r="R2200" s="10"/>
      <c r="S2200" s="10"/>
      <c r="T2200" s="10"/>
      <c r="U2200" s="10"/>
      <c r="V2200" s="10"/>
      <c r="W2200" s="10"/>
      <c r="X2200" s="10"/>
      <c r="Y2200" s="10"/>
      <c r="Z2200" s="10"/>
    </row>
    <row r="2201" spans="1:26" ht="12.75">
      <c r="A2201" s="10" t="str">
        <f ca="1">IFERROR(__xludf.DUMMYFUNCTION("""COMPUTED_VALUE"""),"Десислава Панчева Стоева")</f>
        <v>Десислава Панчева Стоева</v>
      </c>
      <c r="B2201" s="10" t="str">
        <f ca="1">IFERROR(__xludf.DUMMYFUNCTION("""COMPUTED_VALUE"""),"Доклад от конференция")</f>
        <v>Доклад от конференция</v>
      </c>
      <c r="C2201" s="10" t="str">
        <f ca="1">IFERROR(__xludf.DUMMYFUNCTION("""COMPUTED_VALUE"""),"Дроновете- технологично предимство за събиране на информация")</f>
        <v>Дроновете- технологично предимство за събиране на информация</v>
      </c>
      <c r="D2201" s="10">
        <f ca="1">IFERROR(__xludf.DUMMYFUNCTION("""COMPUTED_VALUE"""),2017)</f>
        <v>2017</v>
      </c>
      <c r="E2201" s="10" t="str">
        <f ca="1">IFERROR(__xludf.DUMMYFUNCTION("""COMPUTED_VALUE"""),"ISSN 2535-0250 „За буквите – О писмнехь“")</f>
        <v>ISSN 2535-0250 „За буквите – О писмнехь“</v>
      </c>
      <c r="F2201" s="10"/>
      <c r="G2201" s="10" t="str">
        <f ca="1">IFERROR(__xludf.DUMMYFUNCTION("""COMPUTED_VALUE"""),"Йотова Р.")</f>
        <v>Йотова Р.</v>
      </c>
      <c r="H2201" s="10"/>
      <c r="I2201" s="10"/>
      <c r="J2201" s="10"/>
      <c r="K2201" s="10"/>
      <c r="L2201" s="10"/>
      <c r="M2201" s="10"/>
      <c r="N2201" s="10"/>
      <c r="O2201" s="10"/>
      <c r="P2201" s="10"/>
      <c r="Q2201" s="10"/>
      <c r="R2201" s="10"/>
      <c r="S2201" s="10"/>
      <c r="T2201" s="10"/>
      <c r="U2201" s="10"/>
      <c r="V2201" s="10"/>
      <c r="W2201" s="10"/>
      <c r="X2201" s="10"/>
      <c r="Y2201" s="10"/>
      <c r="Z2201" s="10"/>
    </row>
    <row r="2202" spans="1:26" ht="12.75">
      <c r="A2202" s="10" t="str">
        <f ca="1">IFERROR(__xludf.DUMMYFUNCTION("""COMPUTED_VALUE"""),"Десислава Панчева Стоева")</f>
        <v>Десислава Панчева Стоева</v>
      </c>
      <c r="B2202" s="10" t="str">
        <f ca="1">IFERROR(__xludf.DUMMYFUNCTION("""COMPUTED_VALUE"""),"Доклад от конференция")</f>
        <v>Доклад от конференция</v>
      </c>
      <c r="C2202" s="10" t="str">
        <f ca="1">IFERROR(__xludf.DUMMYFUNCTION("""COMPUTED_VALUE"""),"Предизвикателства при изграждане на политики за защита на критичната инфраструктура при усложнена кибер среда")</f>
        <v>Предизвикателства при изграждане на политики за защита на критичната инфраструктура при усложнена кибер среда</v>
      </c>
      <c r="D2202" s="10">
        <f ca="1">IFERROR(__xludf.DUMMYFUNCTION("""COMPUTED_VALUE"""),2016)</f>
        <v>2016</v>
      </c>
      <c r="E2202" s="10" t="str">
        <f ca="1">IFERROR(__xludf.DUMMYFUNCTION("""COMPUTED_VALUE"""),"Международна научна конференция , ВСУ")</f>
        <v>Международна научна конференция , ВСУ</v>
      </c>
      <c r="F2202" s="10"/>
      <c r="G2202" s="10"/>
      <c r="H2202" s="10"/>
      <c r="I2202" s="10"/>
      <c r="J2202" s="10"/>
      <c r="K2202" s="10"/>
      <c r="L2202" s="10"/>
      <c r="M2202" s="10"/>
      <c r="N2202" s="10"/>
      <c r="O2202" s="10"/>
      <c r="P2202" s="10"/>
      <c r="Q2202" s="10"/>
      <c r="R2202" s="10"/>
      <c r="S2202" s="10"/>
      <c r="T2202" s="10"/>
      <c r="U2202" s="10"/>
      <c r="V2202" s="10"/>
      <c r="W2202" s="10"/>
      <c r="X2202" s="10"/>
      <c r="Y2202" s="10"/>
      <c r="Z2202" s="10"/>
    </row>
    <row r="2203" spans="1:26" ht="12.75">
      <c r="A2203" s="10" t="str">
        <f ca="1">IFERROR(__xludf.DUMMYFUNCTION("""COMPUTED_VALUE"""),"Десислава Панчева Стоева")</f>
        <v>Десислава Панчева Стоева</v>
      </c>
      <c r="B2203" s="10" t="str">
        <f ca="1">IFERROR(__xludf.DUMMYFUNCTION("""COMPUTED_VALUE"""),"Доклад от конференция")</f>
        <v>Доклад от конференция</v>
      </c>
      <c r="C2203" s="10" t="str">
        <f ca="1">IFERROR(__xludf.DUMMYFUNCTION("""COMPUTED_VALUE"""),"Challenges to Building Critical Infrastructure Policies in a Complicated Cyber Environment")</f>
        <v>Challenges to Building Critical Infrastructure Policies in a Complicated Cyber Environment</v>
      </c>
      <c r="D2203" s="10">
        <f ca="1">IFERROR(__xludf.DUMMYFUNCTION("""COMPUTED_VALUE"""),2016)</f>
        <v>2016</v>
      </c>
      <c r="E2203" s="10" t="str">
        <f ca="1">IFERROR(__xludf.DUMMYFUNCTION("""COMPUTED_VALUE"""),"МАНВО, Лондон, Великобритания стр. 95")</f>
        <v>МАНВО, Лондон, Великобритания стр. 95</v>
      </c>
      <c r="F2203" s="10" t="str">
        <f ca="1">IFERROR(__xludf.DUMMYFUNCTION("""COMPUTED_VALUE"""),"Socrates impuls")</f>
        <v>Socrates impuls</v>
      </c>
      <c r="G2203" s="10"/>
      <c r="H2203" s="10"/>
      <c r="I2203" s="10"/>
      <c r="J2203" s="10"/>
      <c r="K2203" s="10"/>
      <c r="L2203" s="10"/>
      <c r="M2203" s="10"/>
      <c r="N2203" s="10"/>
      <c r="O2203" s="10"/>
      <c r="P2203" s="10"/>
      <c r="Q2203" s="10"/>
      <c r="R2203" s="10"/>
      <c r="S2203" s="10"/>
      <c r="T2203" s="10"/>
      <c r="U2203" s="10"/>
      <c r="V2203" s="10"/>
      <c r="W2203" s="10"/>
      <c r="X2203" s="10"/>
      <c r="Y2203" s="10"/>
      <c r="Z2203" s="10"/>
    </row>
    <row r="2204" spans="1:26" ht="12.75">
      <c r="A2204" s="10" t="str">
        <f ca="1">IFERROR(__xludf.DUMMYFUNCTION("""COMPUTED_VALUE"""),"Десислава Панчева Стоева")</f>
        <v>Десислава Панчева Стоева</v>
      </c>
      <c r="B2204" s="10" t="str">
        <f ca="1">IFERROR(__xludf.DUMMYFUNCTION("""COMPUTED_VALUE"""),"Доклад от конференция")</f>
        <v>Доклад от конференция</v>
      </c>
      <c r="C2204" s="10" t="str">
        <f ca="1">IFERROR(__xludf.DUMMYFUNCTION("""COMPUTED_VALUE"""),"The New Illusions Of Security")</f>
        <v>The New Illusions Of Security</v>
      </c>
      <c r="D2204" s="10">
        <f ca="1">IFERROR(__xludf.DUMMYFUNCTION("""COMPUTED_VALUE"""),2016)</f>
        <v>2016</v>
      </c>
      <c r="E2204" s="10" t="str">
        <f ca="1">IFERROR(__xludf.DUMMYFUNCTION("""COMPUTED_VALUE"""),"Международната академия на науките и висшето образование (МАНВО), Лондон, Великобритания.")</f>
        <v>Международната академия на науките и висшето образование (МАНВО), Лондон, Великобритания.</v>
      </c>
      <c r="F2204" s="10" t="str">
        <f ca="1">IFERROR(__xludf.DUMMYFUNCTION("""COMPUTED_VALUE"""),"Socrates impuls")</f>
        <v>Socrates impuls</v>
      </c>
      <c r="G2204" s="10" t="str">
        <f ca="1">IFERROR(__xludf.DUMMYFUNCTION("""COMPUTED_VALUE"""),"Michev, Stefan Ivanov")</f>
        <v>Michev, Stefan Ivanov</v>
      </c>
      <c r="H2204" s="10"/>
      <c r="I2204" s="10"/>
      <c r="J2204" s="10"/>
      <c r="K2204" s="10"/>
      <c r="L2204" s="10"/>
      <c r="M2204" s="10"/>
      <c r="N2204" s="10"/>
      <c r="O2204" s="10"/>
      <c r="P2204" s="10"/>
      <c r="Q2204" s="10"/>
      <c r="R2204" s="10"/>
      <c r="S2204" s="10"/>
      <c r="T2204" s="10"/>
      <c r="U2204" s="10"/>
      <c r="V2204" s="10"/>
      <c r="W2204" s="10"/>
      <c r="X2204" s="10"/>
      <c r="Y2204" s="10"/>
      <c r="Z2204" s="10"/>
    </row>
    <row r="2205" spans="1:26" ht="12.75">
      <c r="A2205" s="10" t="str">
        <f ca="1">IFERROR(__xludf.DUMMYFUNCTION("""COMPUTED_VALUE"""),"Диана Манолова Стоянова")</f>
        <v>Диана Манолова Стоянова</v>
      </c>
      <c r="B2205" s="10" t="str">
        <f ca="1">IFERROR(__xludf.DUMMYFUNCTION("""COMPUTED_VALUE"""),"Студия")</f>
        <v>Студия</v>
      </c>
      <c r="C2205" s="10" t="str">
        <f ca="1">IFERROR(__xludf.DUMMYFUNCTION("""COMPUTED_VALUE"""),"The Value of European University Education in the Context of COVID-19")</f>
        <v>The Value of European University Education in the Context of COVID-19</v>
      </c>
      <c r="D2205" s="10">
        <f ca="1">IFERROR(__xludf.DUMMYFUNCTION("""COMPUTED_VALUE"""),2020)</f>
        <v>2020</v>
      </c>
      <c r="E2205" s="10" t="str">
        <f ca="1">IFERROR(__xludf.DUMMYFUNCTION("""COMPUTED_VALUE"""),"Sofia: Za bukvite – O pismeneh, 2020. 68 p.
 ISBN 978-619-185-422-6")</f>
        <v>Sofia: Za bukvite – O pismeneh, 2020. 68 p.
 ISBN 978-619-185-422-6</v>
      </c>
      <c r="F2205" s="10"/>
      <c r="G2205" s="10" t="str">
        <f ca="1">IFERROR(__xludf.DUMMYFUNCTION("""COMPUTED_VALUE"""),"S. Denchev, D. Stoyanova")</f>
        <v>S. Denchev, D. Stoyanova</v>
      </c>
      <c r="H2205" s="10"/>
      <c r="I2205" s="10"/>
      <c r="J2205" s="10"/>
      <c r="K2205" s="10"/>
      <c r="L2205" s="10"/>
      <c r="M2205" s="10"/>
      <c r="N2205" s="10"/>
      <c r="O2205" s="10"/>
      <c r="P2205" s="10"/>
      <c r="Q2205" s="10"/>
      <c r="R2205" s="10"/>
      <c r="S2205" s="10"/>
      <c r="T2205" s="10"/>
      <c r="U2205" s="10"/>
      <c r="V2205" s="10"/>
      <c r="W2205" s="10"/>
      <c r="X2205" s="10"/>
      <c r="Y2205" s="10"/>
      <c r="Z2205" s="10"/>
    </row>
    <row r="2206" spans="1:26" ht="12.75">
      <c r="A2206" s="10" t="str">
        <f ca="1">IFERROR(__xludf.DUMMYFUNCTION("""COMPUTED_VALUE"""),"Диана Манолова Стоянова")</f>
        <v>Диана Манолова Стоянова</v>
      </c>
      <c r="B2206" s="10" t="str">
        <f ca="1">IFERROR(__xludf.DUMMYFUNCTION("""COMPUTED_VALUE"""),"Доклад от конференция")</f>
        <v>Доклад от конференция</v>
      </c>
      <c r="C2206" s="10" t="str">
        <f ca="1">IFERROR(__xludf.DUMMYFUNCTION("""COMPUTED_VALUE"""),"Formation of leadership positions and trust in higher education")</f>
        <v>Formation of leadership positions and trust in higher education</v>
      </c>
      <c r="D2206" s="10">
        <f ca="1">IFERROR(__xludf.DUMMYFUNCTION("""COMPUTED_VALUE"""),2020)</f>
        <v>2020</v>
      </c>
      <c r="E2206" s="10" t="str">
        <f ca="1">IFERROR(__xludf.DUMMYFUNCTION("""COMPUTED_VALUE"""),"EDULEARN20 Proceedings, pp. 706-709.ISBN: 978-84-09-17979-4, ISSN: 2340-1117, doi: 10.21125/edulearn.2020.0266")</f>
        <v>EDULEARN20 Proceedings, pp. 706-709.ISBN: 978-84-09-17979-4, ISSN: 2340-1117, doi: 10.21125/edulearn.2020.0266</v>
      </c>
      <c r="F2206" s="10" t="str">
        <f ca="1">IFERROR(__xludf.DUMMYFUNCTION("""COMPUTED_VALUE"""),"Web of Science")</f>
        <v>Web of Science</v>
      </c>
      <c r="G2206" s="10" t="str">
        <f ca="1">IFERROR(__xludf.DUMMYFUNCTION("""COMPUTED_VALUE"""),"I. Pavlova, M. Pavlova, R. Yotova")</f>
        <v>I. Pavlova, M. Pavlova, R. Yotova</v>
      </c>
      <c r="H2206" s="10"/>
      <c r="I2206" s="10"/>
      <c r="J2206" s="10"/>
      <c r="K2206" s="10"/>
      <c r="L2206" s="10"/>
      <c r="M2206" s="10"/>
      <c r="N2206" s="10"/>
      <c r="O2206" s="10"/>
      <c r="P2206" s="10"/>
      <c r="Q2206" s="10"/>
      <c r="R2206" s="10"/>
      <c r="S2206" s="10"/>
      <c r="T2206" s="10"/>
      <c r="U2206" s="10"/>
      <c r="V2206" s="10"/>
      <c r="W2206" s="10"/>
      <c r="X2206" s="10"/>
      <c r="Y2206" s="10"/>
      <c r="Z2206" s="10"/>
    </row>
    <row r="2207" spans="1:26" ht="12.75">
      <c r="A2207" s="10" t="str">
        <f ca="1">IFERROR(__xludf.DUMMYFUNCTION("""COMPUTED_VALUE"""),"Диана Манолова Стоянова")</f>
        <v>Диана Манолова Стоянова</v>
      </c>
      <c r="B2207" s="10" t="str">
        <f ca="1">IFERROR(__xludf.DUMMYFUNCTION("""COMPUTED_VALUE"""),"Доклад от конференция")</f>
        <v>Доклад от конференция</v>
      </c>
      <c r="C2207" s="10" t="str">
        <f ca="1">IFERROR(__xludf.DUMMYFUNCTION("""COMPUTED_VALUE"""),"Modern educational approaches – Integrating the new educational paradigm for students, PhD students and young scientists support and realization")</f>
        <v>Modern educational approaches – Integrating the new educational paradigm for students, PhD students and young scientists support and realization</v>
      </c>
      <c r="D2207" s="10">
        <f ca="1">IFERROR(__xludf.DUMMYFUNCTION("""COMPUTED_VALUE"""),2020)</f>
        <v>2020</v>
      </c>
      <c r="E2207" s="10" t="str">
        <f ca="1">IFERROR(__xludf.DUMMYFUNCTION("""COMPUTED_VALUE"""),"EDULEARN20 Proceedings: 12th International Conference on Education and New Learning Technologies. [Online Conference] 2020, pp. 7947 – 7950.ISBN: 978-84-09-17979-4 ISSN: 2340-1117")</f>
        <v>EDULEARN20 Proceedings: 12th International Conference on Education and New Learning Technologies. [Online Conference] 2020, pp. 7947 – 7950.ISBN: 978-84-09-17979-4 ISSN: 2340-1117</v>
      </c>
      <c r="F2207" s="10" t="str">
        <f ca="1">IFERROR(__xludf.DUMMYFUNCTION("""COMPUTED_VALUE"""),"Web of Science")</f>
        <v>Web of Science</v>
      </c>
      <c r="G2207" s="10" t="str">
        <f ca="1">IFERROR(__xludf.DUMMYFUNCTION("""COMPUTED_VALUE"""),"S. Denchev, D. Stoyanova, R. Yotova, S. Yordanova")</f>
        <v>S. Denchev, D. Stoyanova, R. Yotova, S. Yordanova</v>
      </c>
      <c r="H2207" s="10"/>
      <c r="I2207" s="10"/>
      <c r="J2207" s="10"/>
      <c r="K2207" s="10"/>
      <c r="L2207" s="10"/>
      <c r="M2207" s="10"/>
      <c r="N2207" s="10"/>
      <c r="O2207" s="10"/>
      <c r="P2207" s="10"/>
      <c r="Q2207" s="10"/>
      <c r="R2207" s="10"/>
      <c r="S2207" s="10"/>
      <c r="T2207" s="10"/>
      <c r="U2207" s="10"/>
      <c r="V2207" s="10"/>
      <c r="W2207" s="10"/>
      <c r="X2207" s="10"/>
      <c r="Y2207" s="10"/>
      <c r="Z2207" s="10"/>
    </row>
    <row r="2208" spans="1:26" ht="12.75">
      <c r="A2208" s="10" t="str">
        <f ca="1">IFERROR(__xludf.DUMMYFUNCTION("""COMPUTED_VALUE"""),"Диана Манолова Стоянова")</f>
        <v>Диана Манолова Стоянова</v>
      </c>
      <c r="B2208" s="10" t="str">
        <f ca="1">IFERROR(__xludf.DUMMYFUNCTION("""COMPUTED_VALUE"""),"Доклад от конференция")</f>
        <v>Доклад от конференция</v>
      </c>
      <c r="C2208" s="10" t="str">
        <f ca="1">IFERROR(__xludf.DUMMYFUNCTION("""COMPUTED_VALUE"""),"New Learning Models and Modern Educational Trends for the Future of Education")</f>
        <v>New Learning Models and Modern Educational Trends for the Future of Education</v>
      </c>
      <c r="D2208" s="10">
        <f ca="1">IFERROR(__xludf.DUMMYFUNCTION("""COMPUTED_VALUE"""),2020)</f>
        <v>2020</v>
      </c>
      <c r="E2208" s="10" t="str">
        <f ca="1">IFERROR(__xludf.DUMMYFUNCTION("""COMPUTED_VALUE"""),"Proceedings of 10th The Future of Education. [Online Conference] Florence, Italy, 18-19 June 2020. pp 437-442. ISBN: 978-88-85813-87-8")</f>
        <v>Proceedings of 10th The Future of Education. [Online Conference] Florence, Italy, 18-19 June 2020. pp 437-442. ISBN: 978-88-85813-87-8</v>
      </c>
      <c r="F2208" s="10" t="str">
        <f ca="1">IFERROR(__xludf.DUMMYFUNCTION("""COMPUTED_VALUE"""),"Web of Science")</f>
        <v>Web of Science</v>
      </c>
      <c r="G2208" s="10" t="str">
        <f ca="1">IFERROR(__xludf.DUMMYFUNCTION("""COMPUTED_VALUE"""),"Irena Peteva, D. Stoyanova, Todor Valchev")</f>
        <v>Irena Peteva, D. Stoyanova, Todor Valchev</v>
      </c>
      <c r="H2208" s="10"/>
      <c r="I2208" s="10"/>
      <c r="J2208" s="10"/>
      <c r="K2208" s="10"/>
      <c r="L2208" s="10"/>
      <c r="M2208" s="10"/>
      <c r="N2208" s="10"/>
      <c r="O2208" s="10"/>
      <c r="P2208" s="10"/>
      <c r="Q2208" s="10"/>
      <c r="R2208" s="10"/>
      <c r="S2208" s="10"/>
      <c r="T2208" s="10"/>
      <c r="U2208" s="10"/>
      <c r="V2208" s="10"/>
      <c r="W2208" s="10"/>
      <c r="X2208" s="10"/>
      <c r="Y2208" s="10"/>
      <c r="Z2208" s="10"/>
    </row>
    <row r="2209" spans="1:26" ht="12.75">
      <c r="A2209" s="10" t="str">
        <f ca="1">IFERROR(__xludf.DUMMYFUNCTION("""COMPUTED_VALUE"""),"Диана Манолова Стоянова")</f>
        <v>Диана Манолова Стоянова</v>
      </c>
      <c r="B2209" s="10" t="str">
        <f ca="1">IFERROR(__xludf.DUMMYFUNCTION("""COMPUTED_VALUE"""),"Доклад от конференция")</f>
        <v>Доклад от конференция</v>
      </c>
      <c r="C2209" s="10" t="str">
        <f ca="1">IFERROR(__xludf.DUMMYFUNCTION("""COMPUTED_VALUE"""),"Universal Innovative Model for Cultural and Historical Heritage Management")</f>
        <v>Universal Innovative Model for Cultural and Historical Heritage Management</v>
      </c>
      <c r="D2209" s="10">
        <f ca="1">IFERROR(__xludf.DUMMYFUNCTION("""COMPUTED_VALUE"""),2020)</f>
        <v>2020</v>
      </c>
      <c r="E2209" s="10" t="str">
        <f ca="1">IFERROR(__xludf.DUMMYFUNCTION("""COMPUTED_VALUE"""),"In Conference Proceedings: International Conference - The New Perspectives in Science Education, 19-20 March 2020, Florence, Italy, Simonelli Ed., Vol. 9, Libreriauniversitaria, Italy, 2020, pp. 191-195. ISBN 978-88-85813-90-8; ISSN 2384-9509; DOI 10.2635"&amp;"2/E319_2384-9509")</f>
        <v>In Conference Proceedings: International Conference - The New Perspectives in Science Education, 19-20 March 2020, Florence, Italy, Simonelli Ed., Vol. 9, Libreriauniversitaria, Italy, 2020, pp. 191-195. ISBN 978-88-85813-90-8; ISSN 2384-9509; DOI 10.26352/E319_2384-9509</v>
      </c>
      <c r="F2209" s="10"/>
      <c r="G2209" s="10" t="str">
        <f ca="1">IFERROR(__xludf.DUMMYFUNCTION("""COMPUTED_VALUE"""),"109. S. Denchev, T. Trencheva")</f>
        <v>109. S. Denchev, T. Trencheva</v>
      </c>
      <c r="H2209" s="10"/>
      <c r="I2209" s="10"/>
      <c r="J2209" s="10"/>
      <c r="K2209" s="10"/>
      <c r="L2209" s="10"/>
      <c r="M2209" s="10"/>
      <c r="N2209" s="10"/>
      <c r="O2209" s="10"/>
      <c r="P2209" s="10"/>
      <c r="Q2209" s="10"/>
      <c r="R2209" s="10"/>
      <c r="S2209" s="10"/>
      <c r="T2209" s="10"/>
      <c r="U2209" s="10"/>
      <c r="V2209" s="10"/>
      <c r="W2209" s="10"/>
      <c r="X2209" s="10"/>
      <c r="Y2209" s="10"/>
      <c r="Z2209" s="10"/>
    </row>
    <row r="2210" spans="1:26" ht="12.75">
      <c r="A2210" s="10" t="str">
        <f ca="1">IFERROR(__xludf.DUMMYFUNCTION("""COMPUTED_VALUE"""),"Диана Манолова Стоянова")</f>
        <v>Диана Манолова Стоянова</v>
      </c>
      <c r="B2210" s="10" t="str">
        <f ca="1">IFERROR(__xludf.DUMMYFUNCTION("""COMPUTED_VALUE"""),"Доклад от конференция")</f>
        <v>Доклад от конференция</v>
      </c>
      <c r="C2210" s="10" t="str">
        <f ca="1">IFERROR(__xludf.DUMMYFUNCTION("""COMPUTED_VALUE"""),"Новини от Одринско или „Черната хорника“ на вестник „Странджа“")</f>
        <v>Новини от Одринско или „Черната хорника“ на вестник „Странджа“</v>
      </c>
      <c r="D2210" s="10">
        <f ca="1">IFERROR(__xludf.DUMMYFUNCTION("""COMPUTED_VALUE"""),2020)</f>
        <v>2020</v>
      </c>
      <c r="E2210" s="10" t="str">
        <f ca="1">IFERROR(__xludf.DUMMYFUNCTION("""COMPUTED_VALUE"""),"В: Българската общност в Турция. Исторически аспекти и съвременно състояние. – София: За буквите – О писменехь, 2020, с. 179 – 188. ISBN: 978-619-185-415-8")</f>
        <v>В: Българската общност в Турция. Исторически аспекти и съвременно състояние. – София: За буквите – О писменехь, 2020, с. 179 – 188. ISBN: 978-619-185-415-8</v>
      </c>
      <c r="F2210" s="10"/>
      <c r="G2210" s="10"/>
      <c r="H2210" s="10"/>
      <c r="I2210" s="10"/>
      <c r="J2210" s="10"/>
      <c r="K2210" s="10"/>
      <c r="L2210" s="10"/>
      <c r="M2210" s="10"/>
      <c r="N2210" s="10"/>
      <c r="O2210" s="10"/>
      <c r="P2210" s="10"/>
      <c r="Q2210" s="10"/>
      <c r="R2210" s="10"/>
      <c r="S2210" s="10"/>
      <c r="T2210" s="10"/>
      <c r="U2210" s="10"/>
      <c r="V2210" s="10"/>
      <c r="W2210" s="10"/>
      <c r="X2210" s="10"/>
      <c r="Y2210" s="10"/>
      <c r="Z2210" s="10"/>
    </row>
    <row r="2211" spans="1:26" ht="12.75">
      <c r="A2211" s="10" t="str">
        <f ca="1">IFERROR(__xludf.DUMMYFUNCTION("""COMPUTED_VALUE"""),"Диана Манолова Стоянова")</f>
        <v>Диана Манолова Стоянова</v>
      </c>
      <c r="B2211" s="10" t="str">
        <f ca="1">IFERROR(__xludf.DUMMYFUNCTION("""COMPUTED_VALUE"""),"Студия")</f>
        <v>Студия</v>
      </c>
      <c r="C2211" s="10" t="str">
        <f ca="1">IFERROR(__xludf.DUMMYFUNCTION("""COMPUTED_VALUE"""),"COVID-19 и визия 2030 за бъдещето на европейските университети")</f>
        <v>COVID-19 и визия 2030 за бъдещето на европейските университети</v>
      </c>
      <c r="D2211" s="10">
        <f ca="1">IFERROR(__xludf.DUMMYFUNCTION("""COMPUTED_VALUE"""),2020)</f>
        <v>2020</v>
      </c>
      <c r="E2211" s="10" t="str">
        <f ca="1">IFERROR(__xludf.DUMMYFUNCTION("""COMPUTED_VALUE"""),"София: За буквите – О писменехь, 2020. 60 с.
 ISBN 978-619-185-408-0")</f>
        <v>София: За буквите – О писменехь, 2020. 60 с.
 ISBN 978-619-185-408-0</v>
      </c>
      <c r="F2211" s="10"/>
      <c r="G2211" s="10" t="str">
        <f ca="1">IFERROR(__xludf.DUMMYFUNCTION("""COMPUTED_VALUE"""),"Стоян Денчев, Диана Стоянова")</f>
        <v>Стоян Денчев, Диана Стоянова</v>
      </c>
      <c r="H2211" s="10"/>
      <c r="I2211" s="10"/>
      <c r="J2211" s="10"/>
      <c r="K2211" s="10"/>
      <c r="L2211" s="10"/>
      <c r="M2211" s="10"/>
      <c r="N2211" s="10"/>
      <c r="O2211" s="10"/>
      <c r="P2211" s="10"/>
      <c r="Q2211" s="10"/>
      <c r="R2211" s="10"/>
      <c r="S2211" s="10"/>
      <c r="T2211" s="10"/>
      <c r="U2211" s="10"/>
      <c r="V2211" s="10"/>
      <c r="W2211" s="10"/>
      <c r="X2211" s="10"/>
      <c r="Y2211" s="10"/>
      <c r="Z2211" s="10"/>
    </row>
    <row r="2212" spans="1:26" ht="12.75">
      <c r="A2212" s="10" t="str">
        <f ca="1">IFERROR(__xludf.DUMMYFUNCTION("""COMPUTED_VALUE"""),"Диана Манолова Стоянова")</f>
        <v>Диана Манолова Стоянова</v>
      </c>
      <c r="B2212" s="10" t="str">
        <f ca="1">IFERROR(__xludf.DUMMYFUNCTION("""COMPUTED_VALUE"""),"Доклад от конференция")</f>
        <v>Доклад от конференция</v>
      </c>
      <c r="C2212" s="10" t="str">
        <f ca="1">IFERROR(__xludf.DUMMYFUNCTION("""COMPUTED_VALUE"""),"Research work and practical training of students – opportunities and reality.")</f>
        <v>Research work and practical training of students – opportunities and reality.</v>
      </c>
      <c r="D2212" s="10">
        <f ca="1">IFERROR(__xludf.DUMMYFUNCTION("""COMPUTED_VALUE"""),2019)</f>
        <v>2019</v>
      </c>
      <c r="E2212" s="10" t="str">
        <f ca="1">IFERROR(__xludf.DUMMYFUNCTION("""COMPUTED_VALUE"""),"ICERI2019 Proceedings: 12 th annual International Conference of Education, Research and Innovation. Seville, Spain, 2019, pp. 4832-4836. ISBN: 978-84-09-14755-7 ISSN: 2340-1095")</f>
        <v>ICERI2019 Proceedings: 12 th annual International Conference of Education, Research and Innovation. Seville, Spain, 2019, pp. 4832-4836. ISBN: 978-84-09-14755-7 ISSN: 2340-1095</v>
      </c>
      <c r="F2212" s="10" t="str">
        <f ca="1">IFERROR(__xludf.DUMMYFUNCTION("""COMPUTED_VALUE"""),"Web of Science")</f>
        <v>Web of Science</v>
      </c>
      <c r="G2212" s="10" t="str">
        <f ca="1">IFERROR(__xludf.DUMMYFUNCTION("""COMPUTED_VALUE"""),"Sabina Eftimova, Elisaveta Tsvetkova")</f>
        <v>Sabina Eftimova, Elisaveta Tsvetkova</v>
      </c>
      <c r="H2212" s="10"/>
      <c r="I2212" s="10"/>
      <c r="J2212" s="10"/>
      <c r="K2212" s="10"/>
      <c r="L2212" s="10"/>
      <c r="M2212" s="10"/>
      <c r="N2212" s="10"/>
      <c r="O2212" s="10"/>
      <c r="P2212" s="10"/>
      <c r="Q2212" s="10"/>
      <c r="R2212" s="10"/>
      <c r="S2212" s="10"/>
      <c r="T2212" s="10"/>
      <c r="U2212" s="10"/>
      <c r="V2212" s="10"/>
      <c r="W2212" s="10"/>
      <c r="X2212" s="10"/>
      <c r="Y2212" s="10"/>
      <c r="Z2212" s="10"/>
    </row>
    <row r="2213" spans="1:26" ht="12.75">
      <c r="A2213" s="10" t="str">
        <f ca="1">IFERROR(__xludf.DUMMYFUNCTION("""COMPUTED_VALUE"""),"Диана Манолова Стоянова")</f>
        <v>Диана Манолова Стоянова</v>
      </c>
      <c r="B2213" s="10" t="str">
        <f ca="1">IFERROR(__xludf.DUMMYFUNCTION("""COMPUTED_VALUE"""),"Доклад от конференция")</f>
        <v>Доклад от конференция</v>
      </c>
      <c r="C2213" s="10" t="str">
        <f ca="1">IFERROR(__xludf.DUMMYFUNCTION("""COMPUTED_VALUE"""),"“Learning By Doing”, или как бързо и лесно да мотивираме младите хора да станат част от научното изследване")</f>
        <v>“Learning By Doing”, или как бързо и лесно да мотивираме младите хора да станат част от научното изследване</v>
      </c>
      <c r="D2213" s="10">
        <f ca="1">IFERROR(__xludf.DUMMYFUNCTION("""COMPUTED_VALUE"""),2019)</f>
        <v>2019</v>
      </c>
      <c r="E2213" s="10" t="str">
        <f ca="1">IFERROR(__xludf.DUMMYFUNCTION("""COMPUTED_VALUE"""),"В: Обществото на знанието и хуманизмът на ХХI век: Шестнадесета национална научна конфенция с международно участие, София, 1 ноември 2018 г. – София : За буквите – О писменехь, 2019, с. 1087 – 1091. ISSN 1314-7099")</f>
        <v>В: Обществото на знанието и хуманизмът на ХХI век: Шестнадесета национална научна конфенция с международно участие, София, 1 ноември 2018 г. – София : За буквите – О писменехь, 2019, с. 1087 – 1091. ISSN 1314-7099</v>
      </c>
      <c r="F2213" s="10"/>
      <c r="G2213" s="10"/>
      <c r="H2213" s="10"/>
      <c r="I2213" s="10"/>
      <c r="J2213" s="10"/>
      <c r="K2213" s="10"/>
      <c r="L2213" s="10"/>
      <c r="M2213" s="10"/>
      <c r="N2213" s="10"/>
      <c r="O2213" s="10"/>
      <c r="P2213" s="10"/>
      <c r="Q2213" s="10"/>
      <c r="R2213" s="10"/>
      <c r="S2213" s="10"/>
      <c r="T2213" s="10"/>
      <c r="U2213" s="10"/>
      <c r="V2213" s="10"/>
      <c r="W2213" s="10"/>
      <c r="X2213" s="10"/>
      <c r="Y2213" s="10"/>
      <c r="Z2213" s="10"/>
    </row>
    <row r="2214" spans="1:26" ht="12.75">
      <c r="A2214" s="10" t="str">
        <f ca="1">IFERROR(__xludf.DUMMYFUNCTION("""COMPUTED_VALUE"""),"Диана Манолова Стоянова")</f>
        <v>Диана Манолова Стоянова</v>
      </c>
      <c r="B2214" s="10" t="str">
        <f ca="1">IFERROR(__xludf.DUMMYFUNCTION("""COMPUTED_VALUE"""),"Доклад от конференция")</f>
        <v>Доклад от конференция</v>
      </c>
      <c r="C2214" s="10" t="str">
        <f ca="1">IFERROR(__xludf.DUMMYFUNCTION("""COMPUTED_VALUE"""),"The role of science leaders in the contemporary knowledge society")</f>
        <v>The role of science leaders in the contemporary knowledge society</v>
      </c>
      <c r="D2214" s="10">
        <f ca="1">IFERROR(__xludf.DUMMYFUNCTION("""COMPUTED_VALUE"""),2019)</f>
        <v>2019</v>
      </c>
      <c r="E2214" s="10" t="str">
        <f ca="1">IFERROR(__xludf.DUMMYFUNCTION("""COMPUTED_VALUE"""),"EDULEARN19 Proceedings: 11 th International Conference on Education and New Learning Technologies. Palma, Spain, 2019, pp. 2865-2868. ISBN:978-84-09-12031-4.
 ISSN: 2340-1117")</f>
        <v>EDULEARN19 Proceedings: 11 th International Conference on Education and New Learning Technologies. Palma, Spain, 2019, pp. 2865-2868. ISBN:978-84-09-12031-4.
 ISSN: 2340-1117</v>
      </c>
      <c r="F2214" s="10" t="str">
        <f ca="1">IFERROR(__xludf.DUMMYFUNCTION("""COMPUTED_VALUE"""),"Web of Science")</f>
        <v>Web of Science</v>
      </c>
      <c r="G2214" s="10" t="str">
        <f ca="1">IFERROR(__xludf.DUMMYFUNCTION("""COMPUTED_VALUE"""),"S. Denchev, K. Bosakova")</f>
        <v>S. Denchev, K. Bosakova</v>
      </c>
      <c r="H2214" s="10"/>
      <c r="I2214" s="10"/>
      <c r="J2214" s="10"/>
      <c r="K2214" s="10"/>
      <c r="L2214" s="10"/>
      <c r="M2214" s="10"/>
      <c r="N2214" s="10"/>
      <c r="O2214" s="10"/>
      <c r="P2214" s="10"/>
      <c r="Q2214" s="10"/>
      <c r="R2214" s="10"/>
      <c r="S2214" s="10"/>
      <c r="T2214" s="10"/>
      <c r="U2214" s="10"/>
      <c r="V2214" s="10"/>
      <c r="W2214" s="10"/>
      <c r="X2214" s="10"/>
      <c r="Y2214" s="10"/>
      <c r="Z2214" s="10"/>
    </row>
    <row r="2215" spans="1:26" ht="12.75">
      <c r="A2215" s="10" t="str">
        <f ca="1">IFERROR(__xludf.DUMMYFUNCTION("""COMPUTED_VALUE"""),"Диана Манолова Стоянова")</f>
        <v>Диана Манолова Стоянова</v>
      </c>
      <c r="B2215" s="10" t="str">
        <f ca="1">IFERROR(__xludf.DUMMYFUNCTION("""COMPUTED_VALUE"""),"Доклад от конференция")</f>
        <v>Доклад от конференция</v>
      </c>
      <c r="C2215" s="10" t="str">
        <f ca="1">IFERROR(__xludf.DUMMYFUNCTION("""COMPUTED_VALUE"""),"Ролята на университетските издателства за издигане на престижа на университетите")</f>
        <v>Ролята на университетските издателства за издигане на престижа на университетите</v>
      </c>
      <c r="D2215" s="10">
        <f ca="1">IFERROR(__xludf.DUMMYFUNCTION("""COMPUTED_VALUE"""),2019)</f>
        <v>2019</v>
      </c>
      <c r="E2215" s="10" t="str">
        <f ca="1">IFERROR(__xludf.DUMMYFUNCTION("""COMPUTED_VALUE"""),"В: Формиране на имидж и стратегическо управление в университетска информационна среда. – София: За буквите – О писменехь, 2019, с. 91 – 99. ISBN 978-619-185-373-1")</f>
        <v>В: Формиране на имидж и стратегическо управление в университетска информационна среда. – София: За буквите – О писменехь, 2019, с. 91 – 99. ISBN 978-619-185-373-1</v>
      </c>
      <c r="F2215" s="10"/>
      <c r="G2215" s="10" t="str">
        <f ca="1">IFERROR(__xludf.DUMMYFUNCTION("""COMPUTED_VALUE"""),"Василева, Е.")</f>
        <v>Василева, Е.</v>
      </c>
      <c r="H2215" s="10"/>
      <c r="I2215" s="10"/>
      <c r="J2215" s="10"/>
      <c r="K2215" s="10"/>
      <c r="L2215" s="10"/>
      <c r="M2215" s="10"/>
      <c r="N2215" s="10"/>
      <c r="O2215" s="10"/>
      <c r="P2215" s="10"/>
      <c r="Q2215" s="10"/>
      <c r="R2215" s="10"/>
      <c r="S2215" s="10"/>
      <c r="T2215" s="10"/>
      <c r="U2215" s="10"/>
      <c r="V2215" s="10"/>
      <c r="W2215" s="10"/>
      <c r="X2215" s="10"/>
      <c r="Y2215" s="10"/>
      <c r="Z2215" s="10"/>
    </row>
    <row r="2216" spans="1:26" ht="12.75">
      <c r="A2216" s="10" t="str">
        <f ca="1">IFERROR(__xludf.DUMMYFUNCTION("""COMPUTED_VALUE"""),"Диана Манолова Стоянова")</f>
        <v>Диана Манолова Стоянова</v>
      </c>
      <c r="B2216" s="10" t="str">
        <f ca="1">IFERROR(__xludf.DUMMYFUNCTION("""COMPUTED_VALUE"""),"Монография")</f>
        <v>Монография</v>
      </c>
      <c r="C2216" s="10" t="str">
        <f ca="1">IFERROR(__xludf.DUMMYFUNCTION("""COMPUTED_VALUE"""),"Завръщане към корените. Дифузия на знанията в изследването на българското културно наследство в Тракия")</f>
        <v>Завръщане към корените. Дифузия на знанията в изследването на българското културно наследство в Тракия</v>
      </c>
      <c r="D2216" s="10">
        <f ca="1">IFERROR(__xludf.DUMMYFUNCTION("""COMPUTED_VALUE"""),2019)</f>
        <v>2019</v>
      </c>
      <c r="E2216" s="10" t="str">
        <f ca="1">IFERROR(__xludf.DUMMYFUNCTION("""COMPUTED_VALUE"""),"София: За буквите – О писменехь, 2019, 290 с. ISBN: 978-619-185-377-9")</f>
        <v>София: За буквите – О писменехь, 2019, 290 с. ISBN: 978-619-185-377-9</v>
      </c>
      <c r="F2216" s="10"/>
      <c r="G2216" s="10"/>
      <c r="H2216" s="10"/>
      <c r="I2216" s="10"/>
      <c r="J2216" s="10"/>
      <c r="K2216" s="10"/>
      <c r="L2216" s="10"/>
      <c r="M2216" s="10"/>
      <c r="N2216" s="10"/>
      <c r="O2216" s="10"/>
      <c r="P2216" s="10"/>
      <c r="Q2216" s="10"/>
      <c r="R2216" s="10"/>
      <c r="S2216" s="10"/>
      <c r="T2216" s="10"/>
      <c r="U2216" s="10"/>
      <c r="V2216" s="10"/>
      <c r="W2216" s="10"/>
      <c r="X2216" s="10"/>
      <c r="Y2216" s="10"/>
      <c r="Z2216" s="10"/>
    </row>
    <row r="2217" spans="1:26" ht="12.75">
      <c r="A2217" s="10" t="str">
        <f ca="1">IFERROR(__xludf.DUMMYFUNCTION("""COMPUTED_VALUE"""),"Диана Манолова Стоянова")</f>
        <v>Диана Манолова Стоянова</v>
      </c>
      <c r="B2217" s="10" t="str">
        <f ca="1">IFERROR(__xludf.DUMMYFUNCTION("""COMPUTED_VALUE"""),"Доклад от конференция")</f>
        <v>Доклад от конференция</v>
      </c>
      <c r="C2217" s="10" t="str">
        <f ca="1">IFERROR(__xludf.DUMMYFUNCTION("""COMPUTED_VALUE"""),"The Role of Science Leaders in The Contemporary Knowledge Society")</f>
        <v>The Role of Science Leaders in The Contemporary Knowledge Society</v>
      </c>
      <c r="D2217" s="10">
        <f ca="1">IFERROR(__xludf.DUMMYFUNCTION("""COMPUTED_VALUE"""),2019)</f>
        <v>2019</v>
      </c>
      <c r="E2217" s="10" t="str">
        <f ca="1">IFERROR(__xludf.DUMMYFUNCTION("""COMPUTED_VALUE"""),"In Proceedings of 11th International Conference on Education and New Learning Technologies, 1-3 July, 2019, Palma, Spain, pp. 2865-2868, ISBN: 978-84-09-12031-4, ISSN: 2340-1117")</f>
        <v>In Proceedings of 11th International Conference on Education and New Learning Technologies, 1-3 July, 2019, Palma, Spain, pp. 2865-2868, ISBN: 978-84-09-12031-4, ISSN: 2340-1117</v>
      </c>
      <c r="F2217" s="10" t="str">
        <f ca="1">IFERROR(__xludf.DUMMYFUNCTION("""COMPUTED_VALUE"""),"WEB OF SCIENCE")</f>
        <v>WEB OF SCIENCE</v>
      </c>
      <c r="G2217" s="10" t="str">
        <f ca="1">IFERROR(__xludf.DUMMYFUNCTION("""COMPUTED_VALUE"""),"S. Denchev, K. Bosakova")</f>
        <v>S. Denchev, K. Bosakova</v>
      </c>
      <c r="H2217" s="10"/>
      <c r="I2217" s="10"/>
      <c r="J2217" s="10"/>
      <c r="K2217" s="10"/>
      <c r="L2217" s="10"/>
      <c r="M2217" s="10"/>
      <c r="N2217" s="10"/>
      <c r="O2217" s="10"/>
      <c r="P2217" s="10"/>
      <c r="Q2217" s="10"/>
      <c r="R2217" s="10"/>
      <c r="S2217" s="10"/>
      <c r="T2217" s="10"/>
      <c r="U2217" s="10"/>
      <c r="V2217" s="10"/>
      <c r="W2217" s="10"/>
      <c r="X2217" s="10"/>
      <c r="Y2217" s="10"/>
      <c r="Z2217" s="10"/>
    </row>
    <row r="2218" spans="1:26" ht="12.75">
      <c r="A2218" s="10" t="str">
        <f ca="1">IFERROR(__xludf.DUMMYFUNCTION("""COMPUTED_VALUE"""),"Диана Манолова Стоянова")</f>
        <v>Диана Манолова Стоянова</v>
      </c>
      <c r="B2218" s="10" t="str">
        <f ca="1">IFERROR(__xludf.DUMMYFUNCTION("""COMPUTED_VALUE"""),"Доклад от конференция")</f>
        <v>Доклад от конференция</v>
      </c>
      <c r="C2218" s="10" t="str">
        <f ca="1">IFERROR(__xludf.DUMMYFUNCTION("""COMPUTED_VALUE"""),"Източна Тракия в представата на пътешествениците – бит и култура на тракийските българи в периода XV – XIX век")</f>
        <v>Източна Тракия в представата на пътешествениците – бит и култура на тракийските българи в периода XV – XIX век</v>
      </c>
      <c r="D2218" s="10">
        <f ca="1">IFERROR(__xludf.DUMMYFUNCTION("""COMPUTED_VALUE"""),2019)</f>
        <v>2019</v>
      </c>
      <c r="E2218" s="10" t="str">
        <f ca="1">IFERROR(__xludf.DUMMYFUNCTION("""COMPUTED_VALUE"""),"Обществото на знанието и хуманизмът на XXI век. – София: За буквите – О писменехь, Том XVII, 2019, с. 324-333. 
 ISSN 2683-0094")</f>
        <v>Обществото на знанието и хуманизмът на XXI век. – София: За буквите – О писменехь, Том XVII, 2019, с. 324-333. 
 ISSN 2683-0094</v>
      </c>
      <c r="F2218" s="10"/>
      <c r="G2218" s="10"/>
      <c r="H2218" s="10"/>
      <c r="I2218" s="10"/>
      <c r="J2218" s="10"/>
      <c r="K2218" s="10"/>
      <c r="L2218" s="10"/>
      <c r="M2218" s="10"/>
      <c r="N2218" s="10"/>
      <c r="O2218" s="10"/>
      <c r="P2218" s="10"/>
      <c r="Q2218" s="10"/>
      <c r="R2218" s="10"/>
      <c r="S2218" s="10"/>
      <c r="T2218" s="10"/>
      <c r="U2218" s="10"/>
      <c r="V2218" s="10"/>
      <c r="W2218" s="10"/>
      <c r="X2218" s="10"/>
      <c r="Y2218" s="10"/>
      <c r="Z2218" s="10"/>
    </row>
    <row r="2219" spans="1:26" ht="12.75">
      <c r="A2219" s="10" t="str">
        <f ca="1">IFERROR(__xludf.DUMMYFUNCTION("""COMPUTED_VALUE"""),"Диана Манолова Стоянова")</f>
        <v>Диана Манолова Стоянова</v>
      </c>
      <c r="B2219" s="10" t="str">
        <f ca="1">IFERROR(__xludf.DUMMYFUNCTION("""COMPUTED_VALUE"""),"Доклад от конференция")</f>
        <v>Доклад от конференция</v>
      </c>
      <c r="C2219" s="10" t="str">
        <f ca="1">IFERROR(__xludf.DUMMYFUNCTION("""COMPUTED_VALUE"""),"Българското културно наследство на страниците на вестник „Странджа“.")</f>
        <v>Българското културно наследство на страниците на вестник „Странджа“.</v>
      </c>
      <c r="D2219" s="10">
        <f ca="1">IFERROR(__xludf.DUMMYFUNCTION("""COMPUTED_VALUE"""),2019)</f>
        <v>2019</v>
      </c>
      <c r="E2219" s="10" t="str">
        <f ca="1">IFERROR(__xludf.DUMMYFUNCTION("""COMPUTED_VALUE"""),"Съвременни измерения на европейското образователно и научно пространство. – София: За буквите – О писменехь, Том. 7, 2019, с. 76-83. ISSN 2367-7988")</f>
        <v>Съвременни измерения на европейското образователно и научно пространство. – София: За буквите – О писменехь, Том. 7, 2019, с. 76-83. ISSN 2367-7988</v>
      </c>
      <c r="F2219" s="10"/>
      <c r="G2219" s="10"/>
      <c r="H2219" s="10"/>
      <c r="I2219" s="10"/>
      <c r="J2219" s="10"/>
      <c r="K2219" s="10"/>
      <c r="L2219" s="10"/>
      <c r="M2219" s="10"/>
      <c r="N2219" s="10"/>
      <c r="O2219" s="10"/>
      <c r="P2219" s="10"/>
      <c r="Q2219" s="10"/>
      <c r="R2219" s="10"/>
      <c r="S2219" s="10"/>
      <c r="T2219" s="10"/>
      <c r="U2219" s="10"/>
      <c r="V2219" s="10"/>
      <c r="W2219" s="10"/>
      <c r="X2219" s="10"/>
      <c r="Y2219" s="10"/>
      <c r="Z2219" s="10"/>
    </row>
    <row r="2220" spans="1:26" ht="12.75">
      <c r="A2220" s="10" t="str">
        <f ca="1">IFERROR(__xludf.DUMMYFUNCTION("""COMPUTED_VALUE"""),"Диана Манолова Стоянова")</f>
        <v>Диана Манолова Стоянова</v>
      </c>
      <c r="B2220" s="10" t="str">
        <f ca="1">IFERROR(__xludf.DUMMYFUNCTION("""COMPUTED_VALUE"""),"Доклад от конференция")</f>
        <v>Доклад от конференция</v>
      </c>
      <c r="C2220" s="10" t="str">
        <f ca="1">IFERROR(__xludf.DUMMYFUNCTION("""COMPUTED_VALUE"""),"Ролята на университетските издателства за издигане престижа на университетите")</f>
        <v>Ролята на университетските издателства за издигане престижа на университетите</v>
      </c>
      <c r="D2220" s="10">
        <f ca="1">IFERROR(__xludf.DUMMYFUNCTION("""COMPUTED_VALUE"""),2019)</f>
        <v>2019</v>
      </c>
      <c r="E2220" s="10" t="str">
        <f ca="1">IFERROR(__xludf.DUMMYFUNCTION("""COMPUTED_VALUE"""),"Формиране на имидж и стратегическо управлление в университетска информационна среда. – София: За
 буквите – О писменехь, 2019, с. 91-99. ISBN 978-619-185-373-1")</f>
        <v>Формиране на имидж и стратегическо управлление в университетска информационна среда. – София: За
 буквите – О писменехь, 2019, с. 91-99. ISBN 978-619-185-373-1</v>
      </c>
      <c r="F2220" s="10"/>
      <c r="G2220" s="10" t="str">
        <f ca="1">IFERROR(__xludf.DUMMYFUNCTION("""COMPUTED_VALUE"""),"Евгения Василева")</f>
        <v>Евгения Василева</v>
      </c>
      <c r="H2220" s="10"/>
      <c r="I2220" s="10"/>
      <c r="J2220" s="10"/>
      <c r="K2220" s="10"/>
      <c r="L2220" s="10"/>
      <c r="M2220" s="10"/>
      <c r="N2220" s="10"/>
      <c r="O2220" s="10"/>
      <c r="P2220" s="10"/>
      <c r="Q2220" s="10"/>
      <c r="R2220" s="10"/>
      <c r="S2220" s="10"/>
      <c r="T2220" s="10"/>
      <c r="U2220" s="10"/>
      <c r="V2220" s="10"/>
      <c r="W2220" s="10"/>
      <c r="X2220" s="10"/>
      <c r="Y2220" s="10"/>
      <c r="Z2220" s="10"/>
    </row>
    <row r="2221" spans="1:26" ht="12.75">
      <c r="A2221" s="10" t="str">
        <f ca="1">IFERROR(__xludf.DUMMYFUNCTION("""COMPUTED_VALUE"""),"Диана Манолова Стоянова")</f>
        <v>Диана Манолова Стоянова</v>
      </c>
      <c r="B2221" s="10" t="str">
        <f ca="1">IFERROR(__xludf.DUMMYFUNCTION("""COMPUTED_VALUE"""),"Доклад от конференция")</f>
        <v>Доклад от конференция</v>
      </c>
      <c r="C2221" s="10" t="str">
        <f ca="1">IFERROR(__xludf.DUMMYFUNCTION("""COMPUTED_VALUE"""),"Strandzha newspaper – ethnodemographic characteristics for the region of Eastern Trakia")</f>
        <v>Strandzha newspaper – ethnodemographic characteristics for the region of Eastern Trakia</v>
      </c>
      <c r="D2221" s="10">
        <f ca="1">IFERROR(__xludf.DUMMYFUNCTION("""COMPUTED_VALUE"""),2019)</f>
        <v>2019</v>
      </c>
      <c r="E2221" s="10" t="str">
        <f ca="1">IFERROR(__xludf.DUMMYFUNCTION("""COMPUTED_VALUE"""),"Contemporary strategies and innovations in the knowledge management. Sofia: Za bukvite – O pismeneh, Vol. 5, 2019, pp. 87-93. ISSN 2535-0250")</f>
        <v>Contemporary strategies and innovations in the knowledge management. Sofia: Za bukvite – O pismeneh, Vol. 5, 2019, pp. 87-93. ISSN 2535-0250</v>
      </c>
      <c r="F2221" s="10"/>
      <c r="G2221" s="10"/>
      <c r="H2221" s="10"/>
      <c r="I2221" s="10"/>
      <c r="J2221" s="10"/>
      <c r="K2221" s="10"/>
      <c r="L2221" s="10"/>
      <c r="M2221" s="10"/>
      <c r="N2221" s="10"/>
      <c r="O2221" s="10"/>
      <c r="P2221" s="10"/>
      <c r="Q2221" s="10"/>
      <c r="R2221" s="10"/>
      <c r="S2221" s="10"/>
      <c r="T2221" s="10"/>
      <c r="U2221" s="10"/>
      <c r="V2221" s="10"/>
      <c r="W2221" s="10"/>
      <c r="X2221" s="10"/>
      <c r="Y2221" s="10"/>
      <c r="Z2221" s="10"/>
    </row>
    <row r="2222" spans="1:26" ht="12.75">
      <c r="A2222" s="10" t="str">
        <f ca="1">IFERROR(__xludf.DUMMYFUNCTION("""COMPUTED_VALUE"""),"Диана Манолова Стоянова")</f>
        <v>Диана Манолова Стоянова</v>
      </c>
      <c r="B2222" s="10" t="str">
        <f ca="1">IFERROR(__xludf.DUMMYFUNCTION("""COMPUTED_VALUE"""),"Доклад от конференция")</f>
        <v>Доклад от конференция</v>
      </c>
      <c r="C2222" s="10" t="str">
        <f ca="1">IFERROR(__xludf.DUMMYFUNCTION("""COMPUTED_VALUE"""),"The role of young people in the process of implementation of new knowledge in practice")</f>
        <v>The role of young people in the process of implementation of new knowledge in practice</v>
      </c>
      <c r="D2222" s="10">
        <f ca="1">IFERROR(__xludf.DUMMYFUNCTION("""COMPUTED_VALUE"""),2019)</f>
        <v>2019</v>
      </c>
      <c r="E2222" s="10" t="str">
        <f ca="1">IFERROR(__xludf.DUMMYFUNCTION("""COMPUTED_VALUE"""),"EDULEARN19 Proceedings: 11 th International Conference on Education and New Learning Technologies. Palma, Spain, 2019, pp. 9456-9459. ISBN:978-84-09-12031-4
 ISSN: 2340-1117")</f>
        <v>EDULEARN19 Proceedings: 11 th International Conference on Education and New Learning Technologies. Palma, Spain, 2019, pp. 9456-9459. ISBN:978-84-09-12031-4
 ISSN: 2340-1117</v>
      </c>
      <c r="F2222" s="10" t="str">
        <f ca="1">IFERROR(__xludf.DUMMYFUNCTION("""COMPUTED_VALUE"""),"Web of Science")</f>
        <v>Web of Science</v>
      </c>
      <c r="G2222" s="10"/>
      <c r="H2222" s="10"/>
      <c r="I2222" s="10"/>
      <c r="J2222" s="10"/>
      <c r="K2222" s="10"/>
      <c r="L2222" s="10"/>
      <c r="M2222" s="10"/>
      <c r="N2222" s="10"/>
      <c r="O2222" s="10"/>
      <c r="P2222" s="10"/>
      <c r="Q2222" s="10"/>
      <c r="R2222" s="10"/>
      <c r="S2222" s="10"/>
      <c r="T2222" s="10"/>
      <c r="U2222" s="10"/>
      <c r="V2222" s="10"/>
      <c r="W2222" s="10"/>
      <c r="X2222" s="10"/>
      <c r="Y2222" s="10"/>
      <c r="Z2222" s="10"/>
    </row>
    <row r="2223" spans="1:26" ht="12.75">
      <c r="A2223" s="10" t="str">
        <f ca="1">IFERROR(__xludf.DUMMYFUNCTION("""COMPUTED_VALUE"""),"Диана Манолова Стоянова")</f>
        <v>Диана Манолова Стоянова</v>
      </c>
      <c r="B2223" s="10" t="str">
        <f ca="1">IFERROR(__xludf.DUMMYFUNCTION("""COMPUTED_VALUE"""),"Доклад от конференция")</f>
        <v>Доклад от конференция</v>
      </c>
      <c r="C2223" s="10" t="str">
        <f ca="1">IFERROR(__xludf.DUMMYFUNCTION("""COMPUTED_VALUE"""),"Academic Research Projects For Students Support And Motivation In University Information Environment.")</f>
        <v>Academic Research Projects For Students Support And Motivation In University Information Environment.</v>
      </c>
      <c r="D2223" s="10">
        <f ca="1">IFERROR(__xludf.DUMMYFUNCTION("""COMPUTED_VALUE"""),2018)</f>
        <v>2018</v>
      </c>
      <c r="E2223" s="10" t="str">
        <f ca="1">IFERROR(__xludf.DUMMYFUNCTION("""COMPUTED_VALUE"""),"In: Proceedings of 11th Annual International Conference of Education, Research and Innovation Conference, held in Sevilla, Spain, on 12-14th November 2018., pp. 9706-9709. ISBN: 978-84-09-05948-5 / ISSN: 2340-1095")</f>
        <v>In: Proceedings of 11th Annual International Conference of Education, Research and Innovation Conference, held in Sevilla, Spain, on 12-14th November 2018., pp. 9706-9709. ISBN: 978-84-09-05948-5 / ISSN: 2340-1095</v>
      </c>
      <c r="F2223" s="10"/>
      <c r="G2223" s="10" t="str">
        <f ca="1">IFERROR(__xludf.DUMMYFUNCTION("""COMPUTED_VALUE"""),"Elena Savova, Irena Peteva, Ralitsa Yotova")</f>
        <v>Elena Savova, Irena Peteva, Ralitsa Yotova</v>
      </c>
      <c r="H2223" s="10"/>
      <c r="I2223" s="10"/>
      <c r="J2223" s="10"/>
      <c r="K2223" s="10"/>
      <c r="L2223" s="10"/>
      <c r="M2223" s="10"/>
      <c r="N2223" s="10"/>
      <c r="O2223" s="10"/>
      <c r="P2223" s="10"/>
      <c r="Q2223" s="10"/>
      <c r="R2223" s="10"/>
      <c r="S2223" s="10"/>
      <c r="T2223" s="10"/>
      <c r="U2223" s="10"/>
      <c r="V2223" s="10"/>
      <c r="W2223" s="10"/>
      <c r="X2223" s="10"/>
      <c r="Y2223" s="10"/>
      <c r="Z2223" s="10"/>
    </row>
    <row r="2224" spans="1:26" ht="12.75">
      <c r="A2224" s="10" t="str">
        <f ca="1">IFERROR(__xludf.DUMMYFUNCTION("""COMPUTED_VALUE"""),"Диана Манолова Стоянова")</f>
        <v>Диана Манолова Стоянова</v>
      </c>
      <c r="B2224" s="10" t="str">
        <f ca="1">IFERROR(__xludf.DUMMYFUNCTION("""COMPUTED_VALUE"""),"Книга")</f>
        <v>Книга</v>
      </c>
      <c r="C2224" s="10" t="str">
        <f ca="1">IFERROR(__xludf.DUMMYFUNCTION("""COMPUTED_VALUE"""),"""Горовци по стъпките на един обикновен род в Странджа.""")</f>
        <v>"Горовци по стъпките на един обикновен род в Странджа."</v>
      </c>
      <c r="D2224" s="10">
        <f ca="1">IFERROR(__xludf.DUMMYFUNCTION("""COMPUTED_VALUE"""),2018)</f>
        <v>2018</v>
      </c>
      <c r="E2224" s="10" t="str">
        <f ca="1">IFERROR(__xludf.DUMMYFUNCTION("""COMPUTED_VALUE"""),"""С.: За буквите – О писменехъ, 2018. 148 с. ""ISBN 978-619-185-330-4")</f>
        <v>"С.: За буквите – О писменехъ, 2018. 148 с. "ISBN 978-619-185-330-4</v>
      </c>
      <c r="F2224" s="10"/>
      <c r="G2224" s="10" t="str">
        <f ca="1">IFERROR(__xludf.DUMMYFUNCTION("""COMPUTED_VALUE"""),"Д. Стоянова, Е. Савова")</f>
        <v>Д. Стоянова, Е. Савова</v>
      </c>
      <c r="H2224" s="10"/>
      <c r="I2224" s="10"/>
      <c r="J2224" s="10"/>
      <c r="K2224" s="10"/>
      <c r="L2224" s="10"/>
      <c r="M2224" s="10"/>
      <c r="N2224" s="10"/>
      <c r="O2224" s="10"/>
      <c r="P2224" s="10"/>
      <c r="Q2224" s="10"/>
      <c r="R2224" s="10"/>
      <c r="S2224" s="10"/>
      <c r="T2224" s="10"/>
      <c r="U2224" s="10"/>
      <c r="V2224" s="10"/>
      <c r="W2224" s="10"/>
      <c r="X2224" s="10"/>
      <c r="Y2224" s="10"/>
      <c r="Z2224" s="10"/>
    </row>
    <row r="2225" spans="1:26" ht="12.75">
      <c r="A2225" s="10" t="str">
        <f ca="1">IFERROR(__xludf.DUMMYFUNCTION("""COMPUTED_VALUE"""),"Диана Манолова Стоянова")</f>
        <v>Диана Манолова Стоянова</v>
      </c>
      <c r="B2225" s="10" t="str">
        <f ca="1">IFERROR(__xludf.DUMMYFUNCTION("""COMPUTED_VALUE"""),"Доклад от конференция")</f>
        <v>Доклад от конференция</v>
      </c>
      <c r="C2225" s="10" t="str">
        <f ca="1">IFERROR(__xludf.DUMMYFUNCTION("""COMPUTED_VALUE"""),"Новата образователна парадигма – от акредитирана квалификация към сертифицирани умения –ценен инструмент на мотивацията на младите хора")</f>
        <v>Новата образователна парадигма – от акредитирана квалификация към сертифицирани умения –ценен инструмент на мотивацията на младите хора</v>
      </c>
      <c r="D2225" s="10">
        <f ca="1">IFERROR(__xludf.DUMMYFUNCTION("""COMPUTED_VALUE"""),2018)</f>
        <v>2018</v>
      </c>
      <c r="E2225" s="10" t="str">
        <f ca="1">IFERROR(__xludf.DUMMYFUNCTION("""COMPUTED_VALUE"""),"В: Бъдещето има минало – отбелязване на 150 години от смъртта на Стефан Караджа по време на българското председателство на Съвета на ЕС 2018. – София: За буквите – О писменехь, 2018, с. 95-102. ISBN 978-619-185-328-1")</f>
        <v>В: Бъдещето има минало – отбелязване на 150 години от смъртта на Стефан Караджа по време на българското председателство на Съвета на ЕС 2018. – София: За буквите – О писменехь, 2018, с. 95-102. ISBN 978-619-185-328-1</v>
      </c>
      <c r="F2225" s="10"/>
      <c r="G2225" s="10" t="str">
        <f ca="1">IFERROR(__xludf.DUMMYFUNCTION("""COMPUTED_VALUE"""),"Стоян Денчев")</f>
        <v>Стоян Денчев</v>
      </c>
      <c r="H2225" s="10"/>
      <c r="I2225" s="10"/>
      <c r="J2225" s="10"/>
      <c r="K2225" s="10"/>
      <c r="L2225" s="10"/>
      <c r="M2225" s="10"/>
      <c r="N2225" s="10"/>
      <c r="O2225" s="10"/>
      <c r="P2225" s="10"/>
      <c r="Q2225" s="10"/>
      <c r="R2225" s="10"/>
      <c r="S2225" s="10"/>
      <c r="T2225" s="10"/>
      <c r="U2225" s="10"/>
      <c r="V2225" s="10"/>
      <c r="W2225" s="10"/>
      <c r="X2225" s="10"/>
      <c r="Y2225" s="10"/>
      <c r="Z2225" s="10"/>
    </row>
    <row r="2226" spans="1:26" ht="12.75">
      <c r="A2226" s="10" t="str">
        <f ca="1">IFERROR(__xludf.DUMMYFUNCTION("""COMPUTED_VALUE"""),"Диана Манолова Стоянова")</f>
        <v>Диана Манолова Стоянова</v>
      </c>
      <c r="B2226" s="10" t="str">
        <f ca="1">IFERROR(__xludf.DUMMYFUNCTION("""COMPUTED_VALUE"""),"Доклад от конференция")</f>
        <v>Доклад от конференция</v>
      </c>
      <c r="C2226" s="10" t="str">
        <f ca="1">IFERROR(__xludf.DUMMYFUNCTION("""COMPUTED_VALUE"""),"Contemporary approaches for diffusion of information, knowledge and hypotheses – an innovative model for motivating university students, PhD students, post-doctoral students and young scientists.")</f>
        <v>Contemporary approaches for diffusion of information, knowledge and hypotheses – an innovative model for motivating university students, PhD students, post-doctoral students and young scientists.</v>
      </c>
      <c r="D2226" s="10">
        <f ca="1">IFERROR(__xludf.DUMMYFUNCTION("""COMPUTED_VALUE"""),2018)</f>
        <v>2018</v>
      </c>
      <c r="E2226" s="10" t="str">
        <f ca="1">IFERROR(__xludf.DUMMYFUNCTION("""COMPUTED_VALUE"""),"In: Proceedings of 11th Annual International Conference of Education, Research and Innovation Conference, held in Sevilla, Spain, on 12-14th November 2018. pp. 9702- 9705. ISBN: 978-84-09-05948-5 / ISSN: 2340-1095")</f>
        <v>In: Proceedings of 11th Annual International Conference of Education, Research and Innovation Conference, held in Sevilla, Spain, on 12-14th November 2018. pp. 9702- 9705. ISBN: 978-84-09-05948-5 / ISSN: 2340-1095</v>
      </c>
      <c r="F2226" s="10"/>
      <c r="G2226" s="10"/>
      <c r="H2226" s="10"/>
      <c r="I2226" s="10"/>
      <c r="J2226" s="10"/>
      <c r="K2226" s="10"/>
      <c r="L2226" s="10"/>
      <c r="M2226" s="10"/>
      <c r="N2226" s="10"/>
      <c r="O2226" s="10"/>
      <c r="P2226" s="10"/>
      <c r="Q2226" s="10"/>
      <c r="R2226" s="10"/>
      <c r="S2226" s="10"/>
      <c r="T2226" s="10"/>
      <c r="U2226" s="10"/>
      <c r="V2226" s="10"/>
      <c r="W2226" s="10"/>
      <c r="X2226" s="10"/>
      <c r="Y2226" s="10"/>
      <c r="Z2226" s="10"/>
    </row>
    <row r="2227" spans="1:26" ht="12.75">
      <c r="A2227" s="10" t="str">
        <f ca="1">IFERROR(__xludf.DUMMYFUNCTION("""COMPUTED_VALUE"""),"Диана Манолова Стоянова")</f>
        <v>Диана Манолова Стоянова</v>
      </c>
      <c r="B2227" s="10" t="str">
        <f ca="1">IFERROR(__xludf.DUMMYFUNCTION("""COMPUTED_VALUE"""),"Статия в списания и поредици")</f>
        <v>Статия в списания и поредици</v>
      </c>
      <c r="C2227" s="10" t="str">
        <f ca="1">IFERROR(__xludf.DUMMYFUNCTION("""COMPUTED_VALUE"""),"Историята на събитията от героичната 1903 г. и песента „Ясен месец“.")</f>
        <v>Историята на събитията от героичната 1903 г. и песента „Ясен месец“.</v>
      </c>
      <c r="D2227" s="10">
        <f ca="1">IFERROR(__xludf.DUMMYFUNCTION("""COMPUTED_VALUE"""),2018)</f>
        <v>2018</v>
      </c>
      <c r="E2227" s="10" t="str">
        <f ca="1">IFERROR(__xludf.DUMMYFUNCTION("""COMPUTED_VALUE"""),"В: Научни трудове на УниБИТ. – София: За буквите – О писменехь, Том, 15, 2018, с. 27 – 35. ISSN 1314-2623")</f>
        <v>В: Научни трудове на УниБИТ. – София: За буквите – О писменехь, Том, 15, 2018, с. 27 – 35. ISSN 1314-2623</v>
      </c>
      <c r="F2227" s="10"/>
      <c r="G2227" s="10" t="str">
        <f ca="1">IFERROR(__xludf.DUMMYFUNCTION("""COMPUTED_VALUE"""),"Стоянова, Диана, Йоан Демерджиев.")</f>
        <v>Стоянова, Диана, Йоан Демерджиев.</v>
      </c>
      <c r="H2227" s="10"/>
      <c r="I2227" s="10"/>
      <c r="J2227" s="10"/>
      <c r="K2227" s="10"/>
      <c r="L2227" s="10"/>
      <c r="M2227" s="10"/>
      <c r="N2227" s="10"/>
      <c r="O2227" s="10"/>
      <c r="P2227" s="10"/>
      <c r="Q2227" s="10"/>
      <c r="R2227" s="10"/>
      <c r="S2227" s="10"/>
      <c r="T2227" s="10"/>
      <c r="U2227" s="10"/>
      <c r="V2227" s="10"/>
      <c r="W2227" s="10"/>
      <c r="X2227" s="10"/>
      <c r="Y2227" s="10"/>
      <c r="Z2227" s="10"/>
    </row>
    <row r="2228" spans="1:26" ht="12.75">
      <c r="A2228" s="10" t="str">
        <f ca="1">IFERROR(__xludf.DUMMYFUNCTION("""COMPUTED_VALUE"""),"Диана Манолова Стоянова")</f>
        <v>Диана Манолова Стоянова</v>
      </c>
      <c r="B2228" s="10" t="str">
        <f ca="1">IFERROR(__xludf.DUMMYFUNCTION("""COMPUTED_VALUE"""),"Доклад от конференция")</f>
        <v>Доклад от конференция</v>
      </c>
      <c r="C2228" s="10" t="str">
        <f ca="1">IFERROR(__xludf.DUMMYFUNCTION("""COMPUTED_VALUE"""),"Змеят – основен персонаж в нематериалното културно наследство на Странджа")</f>
        <v>Змеят – основен персонаж в нематериалното културно наследство на Странджа</v>
      </c>
      <c r="D2228" s="10">
        <f ca="1">IFERROR(__xludf.DUMMYFUNCTION("""COMPUTED_VALUE"""),2018)</f>
        <v>2018</v>
      </c>
      <c r="E2228" s="10" t="str">
        <f ca="1">IFERROR(__xludf.DUMMYFUNCTION("""COMPUTED_VALUE"""),"Обществото на знанието и хуманизмът на ХХI век: Петнадесета национална научна конфенция с международно участие, София, 1 ноември 2017 г. – София: За буквите – О писменхь, 2018, с. 811-819. ISSN 1314-7099")</f>
        <v>Обществото на знанието и хуманизмът на ХХI век: Петнадесета национална научна конфенция с международно участие, София, 1 ноември 2017 г. – София: За буквите – О писменхь, 2018, с. 811-819. ISSN 1314-7099</v>
      </c>
      <c r="F2228" s="10"/>
      <c r="G2228" s="10" t="str">
        <f ca="1">IFERROR(__xludf.DUMMYFUNCTION("""COMPUTED_VALUE"""),"Василка Караиванова")</f>
        <v>Василка Караиванова</v>
      </c>
      <c r="H2228" s="10"/>
      <c r="I2228" s="10"/>
      <c r="J2228" s="10"/>
      <c r="K2228" s="10"/>
      <c r="L2228" s="10"/>
      <c r="M2228" s="10"/>
      <c r="N2228" s="10"/>
      <c r="O2228" s="10"/>
      <c r="P2228" s="10"/>
      <c r="Q2228" s="10"/>
      <c r="R2228" s="10"/>
      <c r="S2228" s="10"/>
      <c r="T2228" s="10"/>
      <c r="U2228" s="10"/>
      <c r="V2228" s="10"/>
      <c r="W2228" s="10"/>
      <c r="X2228" s="10"/>
      <c r="Y2228" s="10"/>
      <c r="Z2228" s="10"/>
    </row>
    <row r="2229" spans="1:26" ht="12.75">
      <c r="A2229" s="10" t="str">
        <f ca="1">IFERROR(__xludf.DUMMYFUNCTION("""COMPUTED_VALUE"""),"Диана Манолова Стоянова")</f>
        <v>Диана Манолова Стоянова</v>
      </c>
      <c r="B2229" s="10" t="str">
        <f ca="1">IFERROR(__xludf.DUMMYFUNCTION("""COMPUTED_VALUE"""),"Доклад от конференция")</f>
        <v>Доклад от конференция</v>
      </c>
      <c r="C2229" s="10" t="str">
        <f ca="1">IFERROR(__xludf.DUMMYFUNCTION("""COMPUTED_VALUE"""),"Education of Cultural Heritage Through Digital Libraries in University Information Environment.")</f>
        <v>Education of Cultural Heritage Through Digital Libraries in University Information Environment.</v>
      </c>
      <c r="D2229" s="10">
        <f ca="1">IFERROR(__xludf.DUMMYFUNCTION("""COMPUTED_VALUE"""),2018)</f>
        <v>2018</v>
      </c>
      <c r="E2229" s="10" t="str">
        <f ca="1">IFERROR(__xludf.DUMMYFUNCTION("""COMPUTED_VALUE"""),"In: Proceedings of 11th Annual International Conference of Education, Research and Innovation, held in Seville (Spain), on the 12th, 13th and 14th of November, 2017, pp. 4691 – 4697. ISBN: 978-84-09-05948-5 / ISSN: 2340-1095")</f>
        <v>In: Proceedings of 11th Annual International Conference of Education, Research and Innovation, held in Seville (Spain), on the 12th, 13th and 14th of November, 2017, pp. 4691 – 4697. ISBN: 978-84-09-05948-5 / ISSN: 2340-1095</v>
      </c>
      <c r="F2229" s="10" t="str">
        <f ca="1">IFERROR(__xludf.DUMMYFUNCTION("""COMPUTED_VALUE"""),"Web of Science")</f>
        <v>Web of Science</v>
      </c>
      <c r="G2229" s="10" t="str">
        <f ca="1">IFERROR(__xludf.DUMMYFUNCTION("""COMPUTED_VALUE"""),"Stoyan Denchev, Irena Peteva, Kristina Bosakova")</f>
        <v>Stoyan Denchev, Irena Peteva, Kristina Bosakova</v>
      </c>
      <c r="H2229" s="10"/>
      <c r="I2229" s="10"/>
      <c r="J2229" s="10"/>
      <c r="K2229" s="10"/>
      <c r="L2229" s="10"/>
      <c r="M2229" s="10"/>
      <c r="N2229" s="10"/>
      <c r="O2229" s="10"/>
      <c r="P2229" s="10"/>
      <c r="Q2229" s="10"/>
      <c r="R2229" s="10"/>
      <c r="S2229" s="10"/>
      <c r="T2229" s="10"/>
      <c r="U2229" s="10"/>
      <c r="V2229" s="10"/>
      <c r="W2229" s="10"/>
      <c r="X2229" s="10"/>
      <c r="Y2229" s="10"/>
      <c r="Z2229" s="10"/>
    </row>
    <row r="2230" spans="1:26" ht="12.75">
      <c r="A2230" s="10" t="str">
        <f ca="1">IFERROR(__xludf.DUMMYFUNCTION("""COMPUTED_VALUE"""),"Диана Манолова Стоянова")</f>
        <v>Диана Манолова Стоянова</v>
      </c>
      <c r="B2230" s="10" t="str">
        <f ca="1">IFERROR(__xludf.DUMMYFUNCTION("""COMPUTED_VALUE"""),"Книга")</f>
        <v>Книга</v>
      </c>
      <c r="C2230" s="10" t="str">
        <f ca="1">IFERROR(__xludf.DUMMYFUNCTION("""COMPUTED_VALUE"""),"Петър Горов: Спомени от Въстанието")</f>
        <v>Петър Горов: Спомени от Въстанието</v>
      </c>
      <c r="D2230" s="10">
        <f ca="1">IFERROR(__xludf.DUMMYFUNCTION("""COMPUTED_VALUE"""),2018)</f>
        <v>2018</v>
      </c>
      <c r="E2230" s="10" t="str">
        <f ca="1">IFERROR(__xludf.DUMMYFUNCTION("""COMPUTED_VALUE"""),"""С.: За буквите – О писменехъ,
 2018. 151 с.""ISBN 978-619-185-331-1.")</f>
        <v>"С.: За буквите – О писменехъ,
 2018. 151 с."ISBN 978-619-185-331-1.</v>
      </c>
      <c r="F2230" s="10"/>
      <c r="G2230" s="10" t="str">
        <f ca="1">IFERROR(__xludf.DUMMYFUNCTION("""COMPUTED_VALUE"""),"Д. Стоянова, Р. Йотова, Е. Савова.")</f>
        <v>Д. Стоянова, Р. Йотова, Е. Савова.</v>
      </c>
      <c r="H2230" s="10"/>
      <c r="I2230" s="10"/>
      <c r="J2230" s="10"/>
      <c r="K2230" s="10"/>
      <c r="L2230" s="10"/>
      <c r="M2230" s="10"/>
      <c r="N2230" s="10"/>
      <c r="O2230" s="10"/>
      <c r="P2230" s="10"/>
      <c r="Q2230" s="10"/>
      <c r="R2230" s="10"/>
      <c r="S2230" s="10"/>
      <c r="T2230" s="10"/>
      <c r="U2230" s="10"/>
      <c r="V2230" s="10"/>
      <c r="W2230" s="10"/>
      <c r="X2230" s="10"/>
      <c r="Y2230" s="10"/>
      <c r="Z2230" s="10"/>
    </row>
    <row r="2231" spans="1:26" ht="12.75">
      <c r="A2231" s="10" t="str">
        <f ca="1">IFERROR(__xludf.DUMMYFUNCTION("""COMPUTED_VALUE"""),"Диана Манолова Стоянова")</f>
        <v>Диана Манолова Стоянова</v>
      </c>
      <c r="B2231" s="10" t="str">
        <f ca="1">IFERROR(__xludf.DUMMYFUNCTION("""COMPUTED_VALUE"""),"Учебник")</f>
        <v>Учебник</v>
      </c>
      <c r="C2231" s="10" t="str">
        <f ca="1">IFERROR(__xludf.DUMMYFUNCTION("""COMPUTED_VALUE"""),"Основи на наукознанието")</f>
        <v>Основи на наукознанието</v>
      </c>
      <c r="D2231" s="10">
        <f ca="1">IFERROR(__xludf.DUMMYFUNCTION("""COMPUTED_VALUE"""),2018)</f>
        <v>2018</v>
      </c>
      <c r="E2231" s="10" t="str">
        <f ca="1">IFERROR(__xludf.DUMMYFUNCTION("""COMPUTED_VALUE"""),"София: За буквите – О писменехь, 2018, 147 с. ISBN: 978-619-185-351-9")</f>
        <v>София: За буквите – О писменехь, 2018, 147 с. ISBN: 978-619-185-351-9</v>
      </c>
      <c r="F2231" s="10"/>
      <c r="G2231" s="10"/>
      <c r="H2231" s="10"/>
      <c r="I2231" s="10"/>
      <c r="J2231" s="10"/>
      <c r="K2231" s="10"/>
      <c r="L2231" s="10"/>
      <c r="M2231" s="10"/>
      <c r="N2231" s="10"/>
      <c r="O2231" s="10"/>
      <c r="P2231" s="10"/>
      <c r="Q2231" s="10"/>
      <c r="R2231" s="10"/>
      <c r="S2231" s="10"/>
      <c r="T2231" s="10"/>
      <c r="U2231" s="10"/>
      <c r="V2231" s="10"/>
      <c r="W2231" s="10"/>
      <c r="X2231" s="10"/>
      <c r="Y2231" s="10"/>
      <c r="Z2231" s="10"/>
    </row>
    <row r="2232" spans="1:26" ht="12.75">
      <c r="A2232" s="10" t="str">
        <f ca="1">IFERROR(__xludf.DUMMYFUNCTION("""COMPUTED_VALUE"""),"Диана Манолова Стоянова")</f>
        <v>Диана Манолова Стоянова</v>
      </c>
      <c r="B2232" s="10" t="str">
        <f ca="1">IFERROR(__xludf.DUMMYFUNCTION("""COMPUTED_VALUE"""),"Доклад от конференция")</f>
        <v>Доклад от конференция</v>
      </c>
      <c r="C2232" s="10" t="str">
        <f ca="1">IFERROR(__xludf.DUMMYFUNCTION("""COMPUTED_VALUE"""),"Обредът „Джамало“ – важен елемент от маскарадната обредност на Югоизточна Европа.")</f>
        <v>Обредът „Джамало“ – важен елемент от маскарадната обредност на Югоизточна Европа.</v>
      </c>
      <c r="D2232" s="10">
        <f ca="1">IFERROR(__xludf.DUMMYFUNCTION("""COMPUTED_VALUE"""),2017)</f>
        <v>2017</v>
      </c>
      <c r="E2232" s="10" t="str">
        <f ca="1">IFERROR(__xludf.DUMMYFUNCTION("""COMPUTED_VALUE"""),"В: Обществото на знанието и хуманизмът на XXI век. – София: За буквите – О писменехь, 2017, с. 712 – 720. ISSN 1314-7099")</f>
        <v>В: Обществото на знанието и хуманизмът на XXI век. – София: За буквите – О писменехь, 2017, с. 712 – 720. ISSN 1314-7099</v>
      </c>
      <c r="F2232" s="10"/>
      <c r="G2232" s="10" t="str">
        <f ca="1">IFERROR(__xludf.DUMMYFUNCTION("""COMPUTED_VALUE"""),"Е. Костадинова")</f>
        <v>Е. Костадинова</v>
      </c>
      <c r="H2232" s="10"/>
      <c r="I2232" s="10"/>
      <c r="J2232" s="10"/>
      <c r="K2232" s="10"/>
      <c r="L2232" s="10"/>
      <c r="M2232" s="10"/>
      <c r="N2232" s="10"/>
      <c r="O2232" s="10"/>
      <c r="P2232" s="10"/>
      <c r="Q2232" s="10"/>
      <c r="R2232" s="10"/>
      <c r="S2232" s="10"/>
      <c r="T2232" s="10"/>
      <c r="U2232" s="10"/>
      <c r="V2232" s="10"/>
      <c r="W2232" s="10"/>
      <c r="X2232" s="10"/>
      <c r="Y2232" s="10"/>
      <c r="Z2232" s="10"/>
    </row>
    <row r="2233" spans="1:26" ht="12.75">
      <c r="A2233" s="10" t="str">
        <f ca="1">IFERROR(__xludf.DUMMYFUNCTION("""COMPUTED_VALUE"""),"Диана Манолова Стоянова")</f>
        <v>Диана Манолова Стоянова</v>
      </c>
      <c r="B2233" s="10" t="str">
        <f ca="1">IFERROR(__xludf.DUMMYFUNCTION("""COMPUTED_VALUE"""),"Доклад от конференция")</f>
        <v>Доклад от конференция</v>
      </c>
      <c r="C2233" s="10" t="str">
        <f ca="1">IFERROR(__xludf.DUMMYFUNCTION("""COMPUTED_VALUE"""),"Културното наследство на Странджа планина – симбиоза от дух, култура, вяра, памет и история.")</f>
        <v>Културното наследство на Странджа планина – симбиоза от дух, култура, вяра, памет и история.</v>
      </c>
      <c r="D2233" s="10">
        <f ca="1">IFERROR(__xludf.DUMMYFUNCTION("""COMPUTED_VALUE"""),2017)</f>
        <v>2017</v>
      </c>
      <c r="E2233" s="10" t="str">
        <f ca="1">IFERROR(__xludf.DUMMYFUNCTION("""COMPUTED_VALUE"""),"В: Ролята на ЮНЕСКО за развитието на образованието, науката и културата в Република България. – София: За Буквите – О писменехь. 2017. – с. 88 – 95. ISBN 978-619-185-306-9")</f>
        <v>В: Ролята на ЮНЕСКО за развитието на образованието, науката и културата в Република България. – София: За Буквите – О писменехь. 2017. – с. 88 – 95. ISBN 978-619-185-306-9</v>
      </c>
      <c r="F2233" s="10"/>
      <c r="G2233" s="10" t="str">
        <f ca="1">IFERROR(__xludf.DUMMYFUNCTION("""COMPUTED_VALUE"""),"Елена Савова")</f>
        <v>Елена Савова</v>
      </c>
      <c r="H2233" s="10"/>
      <c r="I2233" s="10"/>
      <c r="J2233" s="10"/>
      <c r="K2233" s="10"/>
      <c r="L2233" s="10"/>
      <c r="M2233" s="10"/>
      <c r="N2233" s="10"/>
      <c r="O2233" s="10"/>
      <c r="P2233" s="10"/>
      <c r="Q2233" s="10"/>
      <c r="R2233" s="10"/>
      <c r="S2233" s="10"/>
      <c r="T2233" s="10"/>
      <c r="U2233" s="10"/>
      <c r="V2233" s="10"/>
      <c r="W2233" s="10"/>
      <c r="X2233" s="10"/>
      <c r="Y2233" s="10"/>
      <c r="Z2233" s="10"/>
    </row>
    <row r="2234" spans="1:26" ht="12.75">
      <c r="A2234" s="10" t="str">
        <f ca="1">IFERROR(__xludf.DUMMYFUNCTION("""COMPUTED_VALUE"""),"Диана Манолова Стоянова")</f>
        <v>Диана Манолова Стоянова</v>
      </c>
      <c r="B2234" s="10" t="str">
        <f ca="1">IFERROR(__xludf.DUMMYFUNCTION("""COMPUTED_VALUE"""),"Доклад от конференция")</f>
        <v>Доклад от конференция</v>
      </c>
      <c r="C2234" s="10" t="str">
        <f ca="1">IFERROR(__xludf.DUMMYFUNCTION("""COMPUTED_VALUE"""),"Some Specific Metods for Knowledge Distribution of Intangible Culturale Heritage")</f>
        <v>Some Specific Metods for Knowledge Distribution of Intangible Culturale Heritage</v>
      </c>
      <c r="D2234" s="10">
        <f ca="1">IFERROR(__xludf.DUMMYFUNCTION("""COMPUTED_VALUE"""),2017)</f>
        <v>2017</v>
      </c>
      <c r="E2234" s="10" t="str">
        <f ca="1">IFERROR(__xludf.DUMMYFUNCTION("""COMPUTED_VALUE"""),"In: New Perspectives in Science Education, 6th Edition, held on 16 – 17 of March 2017 in Florence, Italy. pp. 418-421. ISBN 8862923511")</f>
        <v>In: New Perspectives in Science Education, 6th Edition, held on 16 – 17 of March 2017 in Florence, Italy. pp. 418-421. ISBN 8862923511</v>
      </c>
      <c r="F2234" s="10"/>
      <c r="G2234" s="10" t="str">
        <f ca="1">IFERROR(__xludf.DUMMYFUNCTION("""COMPUTED_VALUE"""),"Stoyan Denchev Irena Peteva Tsvetelina Varadinova")</f>
        <v>Stoyan Denchev Irena Peteva Tsvetelina Varadinova</v>
      </c>
      <c r="H2234" s="10"/>
      <c r="I2234" s="10"/>
      <c r="J2234" s="10"/>
      <c r="K2234" s="10"/>
      <c r="L2234" s="10"/>
      <c r="M2234" s="10"/>
      <c r="N2234" s="10"/>
      <c r="O2234" s="10"/>
      <c r="P2234" s="10"/>
      <c r="Q2234" s="10"/>
      <c r="R2234" s="10"/>
      <c r="S2234" s="10"/>
      <c r="T2234" s="10"/>
      <c r="U2234" s="10"/>
      <c r="V2234" s="10"/>
      <c r="W2234" s="10"/>
      <c r="X2234" s="10"/>
      <c r="Y2234" s="10"/>
      <c r="Z2234" s="10"/>
    </row>
    <row r="2235" spans="1:26" ht="12.75">
      <c r="A2235" s="10" t="str">
        <f ca="1">IFERROR(__xludf.DUMMYFUNCTION("""COMPUTED_VALUE"""),"Диана Манолова Стоянова")</f>
        <v>Диана Манолова Стоянова</v>
      </c>
      <c r="B2235" s="10" t="str">
        <f ca="1">IFERROR(__xludf.DUMMYFUNCTION("""COMPUTED_VALUE"""),"Доклад от конференция")</f>
        <v>Доклад от конференция</v>
      </c>
      <c r="C2235" s="10" t="str">
        <f ca="1">IFERROR(__xludf.DUMMYFUNCTION("""COMPUTED_VALUE"""),"Сведения за българите и тяхното недвижимо културно наследство на територията на Лозенград в периода 1870-1900.")</f>
        <v>Сведения за българите и тяхното недвижимо културно наследство на територията на Лозенград в периода 1870-1900.</v>
      </c>
      <c r="D2235" s="10">
        <f ca="1">IFERROR(__xludf.DUMMYFUNCTION("""COMPUTED_VALUE"""),2017)</f>
        <v>2017</v>
      </c>
      <c r="E2235" s="10" t="str">
        <f ca="1">IFERROR(__xludf.DUMMYFUNCTION("""COMPUTED_VALUE"""),"В: Съвременни измерения на европейското образователно и научно пространство. Българо-гръцки културни общувания. – София: За Буквите – О писменехь. 2017, с. 201 – 208. ISSN 2367-7988")</f>
        <v>В: Съвременни измерения на европейското образователно и научно пространство. Българо-гръцки културни общувания. – София: За Буквите – О писменехь. 2017, с. 201 – 208. ISSN 2367-7988</v>
      </c>
      <c r="F2235" s="10"/>
      <c r="G2235" s="10" t="str">
        <f ca="1">IFERROR(__xludf.DUMMYFUNCTION("""COMPUTED_VALUE"""),"Х. Атанасов, П. Теодосиев")</f>
        <v>Х. Атанасов, П. Теодосиев</v>
      </c>
      <c r="H2235" s="10"/>
      <c r="I2235" s="10"/>
      <c r="J2235" s="10"/>
      <c r="K2235" s="10"/>
      <c r="L2235" s="10"/>
      <c r="M2235" s="10"/>
      <c r="N2235" s="10"/>
      <c r="O2235" s="10"/>
      <c r="P2235" s="10"/>
      <c r="Q2235" s="10"/>
      <c r="R2235" s="10"/>
      <c r="S2235" s="10"/>
      <c r="T2235" s="10"/>
      <c r="U2235" s="10"/>
      <c r="V2235" s="10"/>
      <c r="W2235" s="10"/>
      <c r="X2235" s="10"/>
      <c r="Y2235" s="10"/>
      <c r="Z2235" s="10"/>
    </row>
    <row r="2236" spans="1:26" ht="12.75">
      <c r="A2236" s="10" t="str">
        <f ca="1">IFERROR(__xludf.DUMMYFUNCTION("""COMPUTED_VALUE"""),"Диана Манолова Стоянова")</f>
        <v>Диана Манолова Стоянова</v>
      </c>
      <c r="B2236" s="10" t="str">
        <f ca="1">IFERROR(__xludf.DUMMYFUNCTION("""COMPUTED_VALUE"""),"Доклад от конференция")</f>
        <v>Доклад от конференция</v>
      </c>
      <c r="C2236" s="10" t="str">
        <f ca="1">IFERROR(__xludf.DUMMYFUNCTION("""COMPUTED_VALUE"""),"Панагирската песен „Черней горо, черней сестро“ – отглас на културата, историята и традициите на странджанското население.")</f>
        <v>Панагирската песен „Черней горо, черней сестро“ – отглас на културата, историята и традициите на странджанското население.</v>
      </c>
      <c r="D2236" s="10">
        <f ca="1">IFERROR(__xludf.DUMMYFUNCTION("""COMPUTED_VALUE"""),2017)</f>
        <v>2017</v>
      </c>
      <c r="E2236" s="10" t="str">
        <f ca="1">IFERROR(__xludf.DUMMYFUNCTION("""COMPUTED_VALUE"""),". В: Съвременни стратегии и иновации в управление на знания. Сб. с доклади от Втора научна конф. 2-4 ноември 2015, Костенец. – София: За Буквите – О писменехь, 2017. – с. 217-226. ISSN 2535-0250")</f>
        <v>. В: Съвременни стратегии и иновации в управление на знания. Сб. с доклади от Втора научна конф. 2-4 ноември 2015, Костенец. – София: За Буквите – О писменехь, 2017. – с. 217-226. ISSN 2535-0250</v>
      </c>
      <c r="F2236" s="10"/>
      <c r="G2236" s="10" t="str">
        <f ca="1">IFERROR(__xludf.DUMMYFUNCTION("""COMPUTED_VALUE"""),"С. Атанасова")</f>
        <v>С. Атанасова</v>
      </c>
      <c r="H2236" s="10"/>
      <c r="I2236" s="10"/>
      <c r="J2236" s="10"/>
      <c r="K2236" s="10"/>
      <c r="L2236" s="10"/>
      <c r="M2236" s="10"/>
      <c r="N2236" s="10"/>
      <c r="O2236" s="10"/>
      <c r="P2236" s="10"/>
      <c r="Q2236" s="10"/>
      <c r="R2236" s="10"/>
      <c r="S2236" s="10"/>
      <c r="T2236" s="10"/>
      <c r="U2236" s="10"/>
      <c r="V2236" s="10"/>
      <c r="W2236" s="10"/>
      <c r="X2236" s="10"/>
      <c r="Y2236" s="10"/>
      <c r="Z2236" s="10"/>
    </row>
    <row r="2237" spans="1:26" ht="12.75">
      <c r="A2237" s="10" t="str">
        <f ca="1">IFERROR(__xludf.DUMMYFUNCTION("""COMPUTED_VALUE"""),"Диана Манолова Стоянова")</f>
        <v>Диана Манолова Стоянова</v>
      </c>
      <c r="B2237" s="10" t="str">
        <f ca="1">IFERROR(__xludf.DUMMYFUNCTION("""COMPUTED_VALUE"""),"Доклад от конференция")</f>
        <v>Доклад от конференция</v>
      </c>
      <c r="C2237" s="10" t="str">
        <f ca="1">IFERROR(__xludf.DUMMYFUNCTION("""COMPUTED_VALUE"""),"Современньıе университетские образовательньıе подходьı к защите културного наследия во время военно-политических кризисов.")</f>
        <v>Современньıе университетские образовательньıе подходьı к защите културного наследия во время военно-политических кризисов.</v>
      </c>
      <c r="D2237" s="10">
        <f ca="1">IFERROR(__xludf.DUMMYFUNCTION("""COMPUTED_VALUE"""),2017)</f>
        <v>2017</v>
      </c>
      <c r="E2237" s="10" t="str">
        <f ca="1">IFERROR(__xludf.DUMMYFUNCTION("""COMPUTED_VALUE"""),"Fundamental and applied sciences today XI. Vol.3. North Charleston, 10-11 апреля 2017, с. 3 – 9.")</f>
        <v>Fundamental and applied sciences today XI. Vol.3. North Charleston, 10-11 апреля 2017, с. 3 – 9.</v>
      </c>
      <c r="F2237" s="10"/>
      <c r="G2237" s="10" t="str">
        <f ca="1">IFERROR(__xludf.DUMMYFUNCTION("""COMPUTED_VALUE"""),"Снежана Цекова")</f>
        <v>Снежана Цекова</v>
      </c>
      <c r="H2237" s="10"/>
      <c r="I2237" s="10"/>
      <c r="J2237" s="10"/>
      <c r="K2237" s="10"/>
      <c r="L2237" s="10"/>
      <c r="M2237" s="10"/>
      <c r="N2237" s="10"/>
      <c r="O2237" s="10"/>
      <c r="P2237" s="10"/>
      <c r="Q2237" s="10"/>
      <c r="R2237" s="10"/>
      <c r="S2237" s="10"/>
      <c r="T2237" s="10"/>
      <c r="U2237" s="10"/>
      <c r="V2237" s="10"/>
      <c r="W2237" s="10"/>
      <c r="X2237" s="10"/>
      <c r="Y2237" s="10"/>
      <c r="Z2237" s="10"/>
    </row>
    <row r="2238" spans="1:26" ht="12.75">
      <c r="A2238" s="10" t="str">
        <f ca="1">IFERROR(__xludf.DUMMYFUNCTION("""COMPUTED_VALUE"""),"Диана Манолова Стоянова")</f>
        <v>Диана Манолова Стоянова</v>
      </c>
      <c r="B2238" s="10" t="str">
        <f ca="1">IFERROR(__xludf.DUMMYFUNCTION("""COMPUTED_VALUE"""),"Доклад от конференция")</f>
        <v>Доклад от конференция</v>
      </c>
      <c r="C2238" s="10" t="str">
        <f ca="1">IFERROR(__xludf.DUMMYFUNCTION("""COMPUTED_VALUE"""),"Learning by doing or how to quickly and easily motivate young people to carry out research.")</f>
        <v>Learning by doing or how to quickly and easily motivate young people to carry out research.</v>
      </c>
      <c r="D2238" s="10">
        <f ca="1">IFERROR(__xludf.DUMMYFUNCTION("""COMPUTED_VALUE"""),2017)</f>
        <v>2017</v>
      </c>
      <c r="E2238" s="10" t="str">
        <f ca="1">IFERROR(__xludf.DUMMYFUNCTION("""COMPUTED_VALUE"""),"In: 9th Annual International Conference on Education and New Learning Technologies, held in Barcelona, Spain on 3rd -5th of July 2017. pp. 9209 – 9214. ISBN: 978-84-697-3777-4 / ISSN: 2340-1117")</f>
        <v>In: 9th Annual International Conference on Education and New Learning Technologies, held in Barcelona, Spain on 3rd -5th of July 2017. pp. 9209 – 9214. ISBN: 978-84-697-3777-4 / ISSN: 2340-1117</v>
      </c>
      <c r="F2238" s="10"/>
      <c r="G2238" s="10" t="str">
        <f ca="1">IFERROR(__xludf.DUMMYFUNCTION("""COMPUTED_VALUE"""),"Stoyan Denchev, Ralitsa Yotova, Tsvetelina Varadinova")</f>
        <v>Stoyan Denchev, Ralitsa Yotova, Tsvetelina Varadinova</v>
      </c>
      <c r="H2238" s="10"/>
      <c r="I2238" s="10"/>
      <c r="J2238" s="10"/>
      <c r="K2238" s="10"/>
      <c r="L2238" s="10"/>
      <c r="M2238" s="10"/>
      <c r="N2238" s="10"/>
      <c r="O2238" s="10"/>
      <c r="P2238" s="10"/>
      <c r="Q2238" s="10"/>
      <c r="R2238" s="10"/>
      <c r="S2238" s="10"/>
      <c r="T2238" s="10"/>
      <c r="U2238" s="10"/>
      <c r="V2238" s="10"/>
      <c r="W2238" s="10"/>
      <c r="X2238" s="10"/>
      <c r="Y2238" s="10"/>
      <c r="Z2238" s="10"/>
    </row>
    <row r="2239" spans="1:26" ht="12.75">
      <c r="A2239" s="10" t="str">
        <f ca="1">IFERROR(__xludf.DUMMYFUNCTION("""COMPUTED_VALUE"""),"Диана Манолова Стоянова")</f>
        <v>Диана Манолова Стоянова</v>
      </c>
      <c r="B2239" s="10" t="str">
        <f ca="1">IFERROR(__xludf.DUMMYFUNCTION("""COMPUTED_VALUE"""),"Доклад от конференция")</f>
        <v>Доклад от конференция</v>
      </c>
      <c r="C2239" s="10" t="str">
        <f ca="1">IFERROR(__xludf.DUMMYFUNCTION("""COMPUTED_VALUE"""),"Сведения за българите в Лозенград, в периода 1870-1900 г. (преглед на османските статистически годишници).")</f>
        <v>Сведения за българите в Лозенград, в периода 1870-1900 г. (преглед на османските статистически годишници).</v>
      </c>
      <c r="D2239" s="10">
        <f ca="1">IFERROR(__xludf.DUMMYFUNCTION("""COMPUTED_VALUE"""),2017)</f>
        <v>2017</v>
      </c>
      <c r="E2239" s="10" t="str">
        <f ca="1">IFERROR(__xludf.DUMMYFUNCTION("""COMPUTED_VALUE"""),"В: Съвременни стратегии и иновации в управление на знания. Сб. с доклади от Трета научна конф. 4 май 2017, ЕП в Брюксел. – София: За Буквите – О писменехь. 2017. – с. 55-63. ISSN 2535-0250")</f>
        <v>В: Съвременни стратегии и иновации в управление на знания. Сб. с доклади от Трета научна конф. 4 май 2017, ЕП в Брюксел. – София: За Буквите – О писменехь. 2017. – с. 55-63. ISSN 2535-0250</v>
      </c>
      <c r="F2239" s="10"/>
      <c r="G2239" s="10" t="str">
        <f ca="1">IFERROR(__xludf.DUMMYFUNCTION("""COMPUTED_VALUE"""),"Християн Атанасов")</f>
        <v>Християн Атанасов</v>
      </c>
      <c r="H2239" s="10"/>
      <c r="I2239" s="10"/>
      <c r="J2239" s="10"/>
      <c r="K2239" s="10"/>
      <c r="L2239" s="10"/>
      <c r="M2239" s="10"/>
      <c r="N2239" s="10"/>
      <c r="O2239" s="10"/>
      <c r="P2239" s="10"/>
      <c r="Q2239" s="10"/>
      <c r="R2239" s="10"/>
      <c r="S2239" s="10"/>
      <c r="T2239" s="10"/>
      <c r="U2239" s="10"/>
      <c r="V2239" s="10"/>
      <c r="W2239" s="10"/>
      <c r="X2239" s="10"/>
      <c r="Y2239" s="10"/>
      <c r="Z2239" s="10"/>
    </row>
    <row r="2240" spans="1:26" ht="12.75">
      <c r="A2240" s="10" t="str">
        <f ca="1">IFERROR(__xludf.DUMMYFUNCTION("""COMPUTED_VALUE"""),"Диана Манолова Стоянова")</f>
        <v>Диана Манолова Стоянова</v>
      </c>
      <c r="B2240" s="10" t="str">
        <f ca="1">IFERROR(__xludf.DUMMYFUNCTION("""COMPUTED_VALUE"""),"Доклад от конференция")</f>
        <v>Доклад от конференция</v>
      </c>
      <c r="C2240" s="10" t="str">
        <f ca="1">IFERROR(__xludf.DUMMYFUNCTION("""COMPUTED_VALUE"""),"Innovations and training: integration of international projects in the process of training in cultural heritage for young scientists, phd students and students.")</f>
        <v>Innovations and training: integration of international projects in the process of training in cultural heritage for young scientists, phd students and students.</v>
      </c>
      <c r="D2240" s="10">
        <f ca="1">IFERROR(__xludf.DUMMYFUNCTION("""COMPUTED_VALUE"""),2017)</f>
        <v>2017</v>
      </c>
      <c r="E2240" s="10" t="str">
        <f ca="1">IFERROR(__xludf.DUMMYFUNCTION("""COMPUTED_VALUE"""),"In: 9th Annual International Conference on Education and New Learning Technologies, held in Barcelona, Spain on 3rd -5th of July 2017. pp. 9285-9289. ISBN: 978-84-697-3777-4 / ISSN: 2340-1117")</f>
        <v>In: 9th Annual International Conference on Education and New Learning Technologies, held in Barcelona, Spain on 3rd -5th of July 2017. pp. 9285-9289. ISBN: 978-84-697-3777-4 / ISSN: 2340-1117</v>
      </c>
      <c r="F2240" s="10"/>
      <c r="G2240" s="10" t="str">
        <f ca="1">IFERROR(__xludf.DUMMYFUNCTION("""COMPUTED_VALUE"""),"Ralitsa Yotova, Tsvetelina Varadinova")</f>
        <v>Ralitsa Yotova, Tsvetelina Varadinova</v>
      </c>
      <c r="H2240" s="10"/>
      <c r="I2240" s="10"/>
      <c r="J2240" s="10"/>
      <c r="K2240" s="10"/>
      <c r="L2240" s="10"/>
      <c r="M2240" s="10"/>
      <c r="N2240" s="10"/>
      <c r="O2240" s="10"/>
      <c r="P2240" s="10"/>
      <c r="Q2240" s="10"/>
      <c r="R2240" s="10"/>
      <c r="S2240" s="10"/>
      <c r="T2240" s="10"/>
      <c r="U2240" s="10"/>
      <c r="V2240" s="10"/>
      <c r="W2240" s="10"/>
      <c r="X2240" s="10"/>
      <c r="Y2240" s="10"/>
      <c r="Z2240" s="10"/>
    </row>
    <row r="2241" spans="1:26" ht="12.75">
      <c r="A2241" s="10" t="str">
        <f ca="1">IFERROR(__xludf.DUMMYFUNCTION("""COMPUTED_VALUE"""),"Диана Манолова Стоянова")</f>
        <v>Диана Манолова Стоянова</v>
      </c>
      <c r="B2241" s="10" t="str">
        <f ca="1">IFERROR(__xludf.DUMMYFUNCTION("""COMPUTED_VALUE"""),"Доклад от конференция")</f>
        <v>Доклад от конференция</v>
      </c>
      <c r="C2241" s="10" t="str">
        <f ca="1">IFERROR(__xludf.DUMMYFUNCTION("""COMPUTED_VALUE"""),"Современные университетские формы организации образовательного процесса при обучении аспирантов")</f>
        <v>Современные университетские формы организации образовательного процесса при обучении аспирантов</v>
      </c>
      <c r="D2241" s="10">
        <f ca="1">IFERROR(__xludf.DUMMYFUNCTION("""COMPUTED_VALUE"""),2016)</f>
        <v>2016</v>
      </c>
      <c r="E2241" s="10" t="str">
        <f ca="1">IFERROR(__xludf.DUMMYFUNCTION("""COMPUTED_VALUE"""),"В сборнике материалы докладов VIII международной научно-практической конференции Академическая наука - проблемы и достижения (No")</f>
        <v>В сборнике материалы докладов VIII международной научно-практической конференции Академическая наука - проблемы и достижения (No</v>
      </c>
      <c r="F2241" s="10"/>
      <c r="G2241" s="10" t="str">
        <f ca="1">IFERROR(__xludf.DUMMYFUNCTION("""COMPUTED_VALUE"""),"Петева И.Й., Варадинова Ц.Б., Денчев С.Г.")</f>
        <v>Петева И.Й., Варадинова Ц.Б., Денчев С.Г.</v>
      </c>
      <c r="H2241" s="10"/>
      <c r="I2241" s="10"/>
      <c r="J2241" s="10"/>
      <c r="K2241" s="10"/>
      <c r="L2241" s="10"/>
      <c r="M2241" s="10"/>
      <c r="N2241" s="10"/>
      <c r="O2241" s="10"/>
      <c r="P2241" s="10"/>
      <c r="Q2241" s="10"/>
      <c r="R2241" s="10"/>
      <c r="S2241" s="10"/>
      <c r="T2241" s="10"/>
      <c r="U2241" s="10"/>
      <c r="V2241" s="10"/>
      <c r="W2241" s="10"/>
      <c r="X2241" s="10"/>
      <c r="Y2241" s="10"/>
      <c r="Z2241" s="10"/>
    </row>
    <row r="2242" spans="1:26" ht="12.75">
      <c r="A2242" s="10" t="str">
        <f ca="1">IFERROR(__xludf.DUMMYFUNCTION("""COMPUTED_VALUE"""),"Диана Манолова Стоянова")</f>
        <v>Диана Манолова Стоянова</v>
      </c>
      <c r="B2242" s="10" t="str">
        <f ca="1">IFERROR(__xludf.DUMMYFUNCTION("""COMPUTED_VALUE"""),"Доклад от конференция")</f>
        <v>Доклад от конференция</v>
      </c>
      <c r="C2242" s="10" t="str">
        <f ca="1">IFERROR(__xludf.DUMMYFUNCTION("""COMPUTED_VALUE"""),"University's R&amp;D Institutes - Natural Links Between Education and Research.")</f>
        <v>University's R&amp;D Institutes - Natural Links Between Education and Research.</v>
      </c>
      <c r="D2242" s="10">
        <f ca="1">IFERROR(__xludf.DUMMYFUNCTION("""COMPUTED_VALUE"""),2016)</f>
        <v>2016</v>
      </c>
      <c r="E2242" s="10" t="str">
        <f ca="1">IFERROR(__xludf.DUMMYFUNCTION("""COMPUTED_VALUE"""),"In: 8th International Conference on Education and New Learning Technologies (EDULEARN), Barcelona, Spain, 04-06 of July 2016, pp. 6132-6138. ISBN: 978-84-608-8860-4 / ISSN: 2340-1117")</f>
        <v>In: 8th International Conference on Education and New Learning Technologies (EDULEARN), Barcelona, Spain, 04-06 of July 2016, pp. 6132-6138. ISBN: 978-84-608-8860-4 / ISSN: 2340-1117</v>
      </c>
      <c r="F2242" s="10" t="str">
        <f ca="1">IFERROR(__xludf.DUMMYFUNCTION("""COMPUTED_VALUE"""),"Web of Science")</f>
        <v>Web of Science</v>
      </c>
      <c r="G2242" s="10" t="str">
        <f ca="1">IFERROR(__xludf.DUMMYFUNCTION("""COMPUTED_VALUE"""),"S. Denchev, I. Peteva, Ts. Varadinova")</f>
        <v>S. Denchev, I. Peteva, Ts. Varadinova</v>
      </c>
      <c r="H2242" s="10"/>
      <c r="I2242" s="10"/>
      <c r="J2242" s="10"/>
      <c r="K2242" s="10"/>
      <c r="L2242" s="10"/>
      <c r="M2242" s="10"/>
      <c r="N2242" s="10"/>
      <c r="O2242" s="10"/>
      <c r="P2242" s="10"/>
      <c r="Q2242" s="10"/>
      <c r="R2242" s="10"/>
      <c r="S2242" s="10"/>
      <c r="T2242" s="10"/>
      <c r="U2242" s="10"/>
      <c r="V2242" s="10"/>
      <c r="W2242" s="10"/>
      <c r="X2242" s="10"/>
      <c r="Y2242" s="10"/>
      <c r="Z2242" s="10"/>
    </row>
    <row r="2243" spans="1:26" ht="12.75">
      <c r="A2243" s="10" t="str">
        <f ca="1">IFERROR(__xludf.DUMMYFUNCTION("""COMPUTED_VALUE"""),"Диана Манолова Стоянова")</f>
        <v>Диана Манолова Стоянова</v>
      </c>
      <c r="B2243" s="10" t="str">
        <f ca="1">IFERROR(__xludf.DUMMYFUNCTION("""COMPUTED_VALUE"""),"Доклад от конференция")</f>
        <v>Доклад от конференция</v>
      </c>
      <c r="C2243" s="10" t="str">
        <f ca="1">IFERROR(__xludf.DUMMYFUNCTION("""COMPUTED_VALUE"""),"An Innovative Method for Knowledge Diffusion – Powerful Instrument for Enhancing Students’ Motivation")</f>
        <v>An Innovative Method for Knowledge Diffusion – Powerful Instrument for Enhancing Students’ Motivation</v>
      </c>
      <c r="D2243" s="10">
        <f ca="1">IFERROR(__xludf.DUMMYFUNCTION("""COMPUTED_VALUE"""),2016)</f>
        <v>2016</v>
      </c>
      <c r="E2243" s="10" t="str">
        <f ca="1">IFERROR(__xludf.DUMMYFUNCTION("""COMPUTED_VALUE"""),"In: New Perspectives in Science Education, 5th Edition, held on 17 – 18 of March 2016 in Florence, Italy. pp. 510-514. ISBN 886292705, ISSN 2420-9732")</f>
        <v>In: New Perspectives in Science Education, 5th Edition, held on 17 – 18 of March 2016 in Florence, Italy. pp. 510-514. ISBN 886292705, ISSN 2420-9732</v>
      </c>
      <c r="F2243" s="10"/>
      <c r="G2243" s="10" t="str">
        <f ca="1">IFERROR(__xludf.DUMMYFUNCTION("""COMPUTED_VALUE"""),"Stoyan Denchev, Irena Peteva")</f>
        <v>Stoyan Denchev, Irena Peteva</v>
      </c>
      <c r="H2243" s="10"/>
      <c r="I2243" s="10"/>
      <c r="J2243" s="10"/>
      <c r="K2243" s="10"/>
      <c r="L2243" s="10"/>
      <c r="M2243" s="10"/>
      <c r="N2243" s="10"/>
      <c r="O2243" s="10"/>
      <c r="P2243" s="10"/>
      <c r="Q2243" s="10"/>
      <c r="R2243" s="10"/>
      <c r="S2243" s="10"/>
      <c r="T2243" s="10"/>
      <c r="U2243" s="10"/>
      <c r="V2243" s="10"/>
      <c r="W2243" s="10"/>
      <c r="X2243" s="10"/>
      <c r="Y2243" s="10"/>
      <c r="Z2243" s="10"/>
    </row>
    <row r="2244" spans="1:26" ht="12.75">
      <c r="A2244" s="10" t="str">
        <f ca="1">IFERROR(__xludf.DUMMYFUNCTION("""COMPUTED_VALUE"""),"Диана Манолова Стоянова")</f>
        <v>Диана Манолова Стоянова</v>
      </c>
      <c r="B2244" s="10" t="str">
        <f ca="1">IFERROR(__xludf.DUMMYFUNCTION("""COMPUTED_VALUE"""),"Доклад от конференция")</f>
        <v>Доклад от конференция</v>
      </c>
      <c r="C2244"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2244" s="10">
        <f ca="1">IFERROR(__xludf.DUMMYFUNCTION("""COMPUTED_VALUE"""),2016)</f>
        <v>2016</v>
      </c>
      <c r="E2244" s="10" t="str">
        <f ca="1">IFERROR(__xludf.DUMMYFUNCTION("""COMPUTED_VALUE"""),". In: 2nd Annual International Conference on Library and Information Science 27-30 July 2015, Athens, Greece. Athens: ATINER'S Conference Paper Series, No: LIB2015-2151, 13 p. ISSN: 2241-2891/ISBN: 978-960-598-023-8")</f>
        <v>. In: 2nd Annual International Conference on Library and Information Science 27-30 July 2015, Athens, Greece. Athens: ATINER'S Conference Paper Series, No: LIB2015-2151, 13 p. ISSN: 2241-2891/ISBN: 978-960-598-023-8</v>
      </c>
      <c r="F2244" s="10"/>
      <c r="G2244" s="10" t="str">
        <f ca="1">IFERROR(__xludf.DUMMYFUNCTION("""COMPUTED_VALUE"""),"Denchev, S., T. Trencheva, D. Boyadzhiev, E. Ignatova, K. Kazakov, M. Nankova, N. Mitev and V. Zagorov")</f>
        <v>Denchev, S., T. Trencheva, D. Boyadzhiev, E. Ignatova, K. Kazakov, M. Nankova, N. Mitev and V. Zagorov</v>
      </c>
      <c r="H2244" s="10"/>
      <c r="I2244" s="10"/>
      <c r="J2244" s="10"/>
      <c r="K2244" s="10"/>
      <c r="L2244" s="10"/>
      <c r="M2244" s="10"/>
      <c r="N2244" s="10"/>
      <c r="O2244" s="10"/>
      <c r="P2244" s="10"/>
      <c r="Q2244" s="10"/>
      <c r="R2244" s="10"/>
      <c r="S2244" s="10"/>
      <c r="T2244" s="10"/>
      <c r="U2244" s="10"/>
      <c r="V2244" s="10"/>
      <c r="W2244" s="10"/>
      <c r="X2244" s="10"/>
      <c r="Y2244" s="10"/>
      <c r="Z2244" s="10"/>
    </row>
    <row r="2245" spans="1:26" ht="12.75">
      <c r="A2245" s="10" t="str">
        <f ca="1">IFERROR(__xludf.DUMMYFUNCTION("""COMPUTED_VALUE"""),"Диана Манолова Стоянова")</f>
        <v>Диана Манолова Стоянова</v>
      </c>
      <c r="B2245" s="10" t="str">
        <f ca="1">IFERROR(__xludf.DUMMYFUNCTION("""COMPUTED_VALUE"""),"Статия в списания и поредици")</f>
        <v>Статия в списания и поредици</v>
      </c>
      <c r="C2245" s="10" t="str">
        <f ca="1">IFERROR(__xludf.DUMMYFUNCTION("""COMPUTED_VALUE"""),"Сложни системи за генериране на знания.")</f>
        <v>Сложни системи за генериране на знания.</v>
      </c>
      <c r="D2245" s="10">
        <f ca="1">IFERROR(__xludf.DUMMYFUNCTION("""COMPUTED_VALUE"""),2016)</f>
        <v>2016</v>
      </c>
      <c r="E2245" s="10" t="str">
        <f ca="1">IFERROR(__xludf.DUMMYFUNCTION("""COMPUTED_VALUE"""),"В: Gloria bibliospherae (Нишката на Ариадна). Изследвания в чест на акад. проф. Александра Куманова. Юбилеен сборник по случай 65 години от основаването на УниБИТ. София: За Буквите – О писменехь, 2016, с. 898-902. ISBN 978-619-185-211-6, online ISBN 978-"&amp;"619-185-212-3")</f>
        <v>В: Gloria bibliospherae (Нишката на Ариадна). Изследвания в чест на акад. проф. Александра Куманова. Юбилеен сборник по случай 65 години от основаването на УниБИТ. София: За Буквите – О писменехь, 2016, с. 898-902. ISBN 978-619-185-211-6, online ISBN 978-619-185-212-3</v>
      </c>
      <c r="F2245" s="10"/>
      <c r="G2245" s="10"/>
      <c r="H2245" s="10"/>
      <c r="I2245" s="10"/>
      <c r="J2245" s="10"/>
      <c r="K2245" s="10"/>
      <c r="L2245" s="10"/>
      <c r="M2245" s="10"/>
      <c r="N2245" s="10"/>
      <c r="O2245" s="10"/>
      <c r="P2245" s="10"/>
      <c r="Q2245" s="10"/>
      <c r="R2245" s="10"/>
      <c r="S2245" s="10"/>
      <c r="T2245" s="10"/>
      <c r="U2245" s="10"/>
      <c r="V2245" s="10"/>
      <c r="W2245" s="10"/>
      <c r="X2245" s="10"/>
      <c r="Y2245" s="10"/>
      <c r="Z2245" s="10"/>
    </row>
    <row r="2246" spans="1:26" ht="12.75">
      <c r="A2246" s="10" t="str">
        <f ca="1">IFERROR(__xludf.DUMMYFUNCTION("""COMPUTED_VALUE"""),"Диана Манолова Стоянова")</f>
        <v>Диана Манолова Стоянова</v>
      </c>
      <c r="B2246" s="10" t="str">
        <f ca="1">IFERROR(__xludf.DUMMYFUNCTION("""COMPUTED_VALUE"""),"Доклад от конференция")</f>
        <v>Доклад от конференция</v>
      </c>
      <c r="C2246" s="10" t="str">
        <f ca="1">IFERROR(__xludf.DUMMYFUNCTION("""COMPUTED_VALUE"""),"Българското културно-историческо наследство в Яйла махала - минало и настояще.")</f>
        <v>Българското културно-историческо наследство в Яйла махала - минало и настояще.</v>
      </c>
      <c r="D2246" s="10">
        <f ca="1">IFERROR(__xludf.DUMMYFUNCTION("""COMPUTED_VALUE"""),2016)</f>
        <v>2016</v>
      </c>
      <c r="E2246" s="10" t="str">
        <f ca="1">IFERROR(__xludf.DUMMYFUNCTION("""COMPUTED_VALUE"""),"В: Съвременни измерения на европейското образователно и научно пространство. Българо-унгарски културни общувания. – София: За Буквите – О писменехь. 2016. – с. 391-394 ISSN 2367-7988")</f>
        <v>В: Съвременни измерения на европейското образователно и научно пространство. Българо-унгарски културни общувания. – София: За Буквите – О писменехь. 2016. – с. 391-394 ISSN 2367-7988</v>
      </c>
      <c r="F2246" s="10"/>
      <c r="G2246" s="10" t="str">
        <f ca="1">IFERROR(__xludf.DUMMYFUNCTION("""COMPUTED_VALUE"""),"Пламен Теодосиев")</f>
        <v>Пламен Теодосиев</v>
      </c>
      <c r="H2246" s="10"/>
      <c r="I2246" s="10"/>
      <c r="J2246" s="10"/>
      <c r="K2246" s="10"/>
      <c r="L2246" s="10"/>
      <c r="M2246" s="10"/>
      <c r="N2246" s="10"/>
      <c r="O2246" s="10"/>
      <c r="P2246" s="10"/>
      <c r="Q2246" s="10"/>
      <c r="R2246" s="10"/>
      <c r="S2246" s="10"/>
      <c r="T2246" s="10"/>
      <c r="U2246" s="10"/>
      <c r="V2246" s="10"/>
      <c r="W2246" s="10"/>
      <c r="X2246" s="10"/>
      <c r="Y2246" s="10"/>
      <c r="Z2246" s="10"/>
    </row>
    <row r="2247" spans="1:26" ht="12.75">
      <c r="A2247" s="10" t="str">
        <f ca="1">IFERROR(__xludf.DUMMYFUNCTION("""COMPUTED_VALUE"""),"Диана Манолова Стоянова")</f>
        <v>Диана Манолова Стоянова</v>
      </c>
      <c r="B2247" s="10" t="str">
        <f ca="1">IFERROR(__xludf.DUMMYFUNCTION("""COMPUTED_VALUE"""),"Доклад от конференция")</f>
        <v>Доклад от конференция</v>
      </c>
      <c r="C2247" s="10" t="str">
        <f ca="1">IFERROR(__xludf.DUMMYFUNCTION("""COMPUTED_VALUE"""),"Специфика и особености на българското обредно творчество в района на югоизточната граница. Обредът „ДЖАМАЛО“ в с. Маломирово.")</f>
        <v>Специфика и особености на българското обредно творчество в района на югоизточната граница. Обредът „ДЖАМАЛО“ в с. Маломирово.</v>
      </c>
      <c r="D2247" s="10">
        <f ca="1">IFERROR(__xludf.DUMMYFUNCTION("""COMPUTED_VALUE"""),2016)</f>
        <v>2016</v>
      </c>
      <c r="E2247" s="10" t="str">
        <f ca="1">IFERROR(__xludf.DUMMYFUNCTION("""COMPUTED_VALUE"""),"Обществото на знанието и хуманизмът на ХХI век: Четиринадесета нац. науч. конф. с междунар. участие, София, 1 ноем. 2016 г. – София: За буквите – О писменехь, 2016, с. 712-720.")</f>
        <v>Обществото на знанието и хуманизмът на ХХI век: Четиринадесета нац. науч. конф. с междунар. участие, София, 1 ноем. 2016 г. – София: За буквите – О писменехь, 2016, с. 712-720.</v>
      </c>
      <c r="F2247" s="10"/>
      <c r="G2247" s="10" t="str">
        <f ca="1">IFERROR(__xludf.DUMMYFUNCTION("""COMPUTED_VALUE"""),"Елизабета Костадинова")</f>
        <v>Елизабета Костадинова</v>
      </c>
      <c r="H2247" s="10"/>
      <c r="I2247" s="10"/>
      <c r="J2247" s="10"/>
      <c r="K2247" s="10"/>
      <c r="L2247" s="10"/>
      <c r="M2247" s="10"/>
      <c r="N2247" s="10"/>
      <c r="O2247" s="10"/>
      <c r="P2247" s="10"/>
      <c r="Q2247" s="10"/>
      <c r="R2247" s="10"/>
      <c r="S2247" s="10"/>
      <c r="T2247" s="10"/>
      <c r="U2247" s="10"/>
      <c r="V2247" s="10"/>
      <c r="W2247" s="10"/>
      <c r="X2247" s="10"/>
      <c r="Y2247" s="10"/>
      <c r="Z2247" s="10"/>
    </row>
    <row r="2248" spans="1:26" ht="12.75">
      <c r="A2248" s="10" t="str">
        <f ca="1">IFERROR(__xludf.DUMMYFUNCTION("""COMPUTED_VALUE"""),"Диана Манолова Стоянова")</f>
        <v>Диана Манолова Стоянова</v>
      </c>
      <c r="B2248" s="10" t="str">
        <f ca="1">IFERROR(__xludf.DUMMYFUNCTION("""COMPUTED_VALUE"""),"Доклад от конференция")</f>
        <v>Доклад от конференция</v>
      </c>
      <c r="C2248" s="10" t="str">
        <f ca="1">IFERROR(__xludf.DUMMYFUNCTION("""COMPUTED_VALUE"""),"Долмените в Странджа – фолклорни приказки и археологическа реалност")</f>
        <v>Долмените в Странджа – фолклорни приказки и археологическа реалност</v>
      </c>
      <c r="D2248" s="10">
        <f ca="1">IFERROR(__xludf.DUMMYFUNCTION("""COMPUTED_VALUE"""),2016)</f>
        <v>2016</v>
      </c>
      <c r="E2248" s="10" t="str">
        <f ca="1">IFERROR(__xludf.DUMMYFUNCTION("""COMPUTED_VALUE"""),"В: Обществото на знанието и хуманизмът на ХХI век: Четиринадесета национална научна конфенция с международно участие, София, 1 ноем. 2016 г. – София : За буквите – О писменехь, 2017, с. 696-704. ISSN 1314-7099")</f>
        <v>В: Обществото на знанието и хуманизмът на ХХI век: Четиринадесета национална научна конфенция с международно участие, София, 1 ноем. 2016 г. – София : За буквите – О писменехь, 2017, с. 696-704. ISSN 1314-7099</v>
      </c>
      <c r="F2248" s="10"/>
      <c r="G2248" s="10" t="str">
        <f ca="1">IFERROR(__xludf.DUMMYFUNCTION("""COMPUTED_VALUE"""),"Василка Караиванова")</f>
        <v>Василка Караиванова</v>
      </c>
      <c r="H2248" s="10"/>
      <c r="I2248" s="10"/>
      <c r="J2248" s="10"/>
      <c r="K2248" s="10"/>
      <c r="L2248" s="10"/>
      <c r="M2248" s="10"/>
      <c r="N2248" s="10"/>
      <c r="O2248" s="10"/>
      <c r="P2248" s="10"/>
      <c r="Q2248" s="10"/>
      <c r="R2248" s="10"/>
      <c r="S2248" s="10"/>
      <c r="T2248" s="10"/>
      <c r="U2248" s="10"/>
      <c r="V2248" s="10"/>
      <c r="W2248" s="10"/>
      <c r="X2248" s="10"/>
      <c r="Y2248" s="10"/>
      <c r="Z2248" s="10"/>
    </row>
    <row r="2249" spans="1:26" ht="12.75">
      <c r="A2249" s="10" t="str">
        <f ca="1">IFERROR(__xludf.DUMMYFUNCTION("""COMPUTED_VALUE"""),"Диана Манолова Стоянова")</f>
        <v>Диана Манолова Стоянова</v>
      </c>
      <c r="B2249" s="10" t="str">
        <f ca="1">IFERROR(__xludf.DUMMYFUNCTION("""COMPUTED_VALUE"""),"Доклад от конференция")</f>
        <v>Доклад от конференция</v>
      </c>
      <c r="C2249" s="10" t="str">
        <f ca="1">IFERROR(__xludf.DUMMYFUNCTION("""COMPUTED_VALUE"""),"Dolmens in Strandzha Mountain Between the Myths and Reality.")</f>
        <v>Dolmens in Strandzha Mountain Between the Myths and Reality.</v>
      </c>
      <c r="D2249" s="10">
        <f ca="1">IFERROR(__xludf.DUMMYFUNCTION("""COMPUTED_VALUE"""),2016)</f>
        <v>2016</v>
      </c>
      <c r="E2249" s="10" t="str">
        <f ca="1">IFERROR(__xludf.DUMMYFUNCTION("""COMPUTED_VALUE"""),"In Proceedings of the Travelling University Seminar Sharing Knowledge On The Intangible Cultural Heritage Of South-Eastern Europe (Nis, 23-25 november 2016) pp. 67-83, ISSN 2420-9732")</f>
        <v>In Proceedings of the Travelling University Seminar Sharing Knowledge On The Intangible Cultural Heritage Of South-Eastern Europe (Nis, 23-25 november 2016) pp. 67-83, ISSN 2420-9732</v>
      </c>
      <c r="F2249" s="10"/>
      <c r="G2249" s="10" t="str">
        <f ca="1">IFERROR(__xludf.DUMMYFUNCTION("""COMPUTED_VALUE"""),"Vasilka Karaivanova.")</f>
        <v>Vasilka Karaivanova.</v>
      </c>
      <c r="H2249" s="10"/>
      <c r="I2249" s="10"/>
      <c r="J2249" s="10"/>
      <c r="K2249" s="10"/>
      <c r="L2249" s="10"/>
      <c r="M2249" s="10"/>
      <c r="N2249" s="10"/>
      <c r="O2249" s="10"/>
      <c r="P2249" s="10"/>
      <c r="Q2249" s="10"/>
      <c r="R2249" s="10"/>
      <c r="S2249" s="10"/>
      <c r="T2249" s="10"/>
      <c r="U2249" s="10"/>
      <c r="V2249" s="10"/>
      <c r="W2249" s="10"/>
      <c r="X2249" s="10"/>
      <c r="Y2249" s="10"/>
      <c r="Z2249" s="10"/>
    </row>
    <row r="2250" spans="1:26" ht="12.75">
      <c r="A2250" s="10" t="str">
        <f ca="1">IFERROR(__xludf.DUMMYFUNCTION("""COMPUTED_VALUE"""),"Диана Манолова Стоянова")</f>
        <v>Диана Манолова Стоянова</v>
      </c>
      <c r="B2250" s="10" t="str">
        <f ca="1">IFERROR(__xludf.DUMMYFUNCTION("""COMPUTED_VALUE"""),"Доклад от конференция")</f>
        <v>Доклад от конференция</v>
      </c>
      <c r="C2250" s="10" t="str">
        <f ca="1">IFERROR(__xludf.DUMMYFUNCTION("""COMPUTED_VALUE"""),"The Role Of Universities In The Formation Of Modern R&amp;D Space Through Creating New Educational Patterns")</f>
        <v>The Role Of Universities In The Formation Of Modern R&amp;D Space Through Creating New Educational Patterns</v>
      </c>
      <c r="D2250" s="10">
        <f ca="1">IFERROR(__xludf.DUMMYFUNCTION("""COMPUTED_VALUE"""),2016)</f>
        <v>2016</v>
      </c>
      <c r="E2250" s="10" t="str">
        <f ca="1">IFERROR(__xludf.DUMMYFUNCTION("""COMPUTED_VALUE"""),"In: Proceedings of the 10th International Technology, Education and Development Conference (Valencia, Spain. 7 – 9 March, 2016), 2016, pp. 314 – 318. ISBN: 978-84-608-5617-7 / ISSN: 2340-1079")</f>
        <v>In: Proceedings of the 10th International Technology, Education and Development Conference (Valencia, Spain. 7 – 9 March, 2016), 2016, pp. 314 – 318. ISBN: 978-84-608-5617-7 / ISSN: 2340-1079</v>
      </c>
      <c r="F2250" s="10" t="str">
        <f ca="1">IFERROR(__xludf.DUMMYFUNCTION("""COMPUTED_VALUE"""),"Web of Science")</f>
        <v>Web of Science</v>
      </c>
      <c r="G2250" s="10" t="str">
        <f ca="1">IFERROR(__xludf.DUMMYFUNCTION("""COMPUTED_VALUE"""),"I. Peteva, S. Denchev")</f>
        <v>I. Peteva, S. Denchev</v>
      </c>
      <c r="H2250" s="10"/>
      <c r="I2250" s="10"/>
      <c r="J2250" s="10"/>
      <c r="K2250" s="10"/>
      <c r="L2250" s="10"/>
      <c r="M2250" s="10"/>
      <c r="N2250" s="10"/>
      <c r="O2250" s="10"/>
      <c r="P2250" s="10"/>
      <c r="Q2250" s="10"/>
      <c r="R2250" s="10"/>
      <c r="S2250" s="10"/>
      <c r="T2250" s="10"/>
      <c r="U2250" s="10"/>
      <c r="V2250" s="10"/>
      <c r="W2250" s="10"/>
      <c r="X2250" s="10"/>
      <c r="Y2250" s="10"/>
      <c r="Z2250" s="10"/>
    </row>
    <row r="2251" spans="1:26" ht="12.75">
      <c r="A2251" s="10" t="str">
        <f ca="1">IFERROR(__xludf.DUMMYFUNCTION("""COMPUTED_VALUE"""),"Диана Манолова Стоянова")</f>
        <v>Диана Манолова Стоянова</v>
      </c>
      <c r="B2251" s="10" t="str">
        <f ca="1">IFERROR(__xludf.DUMMYFUNCTION("""COMPUTED_VALUE"""),"Доклад от конференция")</f>
        <v>Доклад от конференция</v>
      </c>
      <c r="C2251" s="10" t="str">
        <f ca="1">IFERROR(__xludf.DUMMYFUNCTION("""COMPUTED_VALUE"""),"Student Motivation in Support of Practical Education.")</f>
        <v>Student Motivation in Support of Practical Education.</v>
      </c>
      <c r="D2251" s="10">
        <f ca="1">IFERROR(__xludf.DUMMYFUNCTION("""COMPUTED_VALUE"""),2016)</f>
        <v>2016</v>
      </c>
      <c r="E2251" s="10" t="str">
        <f ca="1">IFERROR(__xludf.DUMMYFUNCTION("""COMPUTED_VALUE"""),"In: 8th International Conference on Education and New Learning Technologies (EDULEARN), Barcelona, Spain, 04-06 of July 2016, pp. 6126-6131. ISBN: 978-84-608-8860-4 / ISSN: 2340-1117")</f>
        <v>In: 8th International Conference on Education and New Learning Technologies (EDULEARN), Barcelona, Spain, 04-06 of July 2016, pp. 6126-6131. ISBN: 978-84-608-8860-4 / ISSN: 2340-1117</v>
      </c>
      <c r="F2251" s="10" t="str">
        <f ca="1">IFERROR(__xludf.DUMMYFUNCTION("""COMPUTED_VALUE"""),"Web of Science")</f>
        <v>Web of Science</v>
      </c>
      <c r="G2251" s="10" t="str">
        <f ca="1">IFERROR(__xludf.DUMMYFUNCTION("""COMPUTED_VALUE"""),"S. Denchev, I. Peteva.")</f>
        <v>S. Denchev, I. Peteva.</v>
      </c>
      <c r="H2251" s="10"/>
      <c r="I2251" s="10"/>
      <c r="J2251" s="10"/>
      <c r="K2251" s="10"/>
      <c r="L2251" s="10"/>
      <c r="M2251" s="10"/>
      <c r="N2251" s="10"/>
      <c r="O2251" s="10"/>
      <c r="P2251" s="10"/>
      <c r="Q2251" s="10"/>
      <c r="R2251" s="10"/>
      <c r="S2251" s="10"/>
      <c r="T2251" s="10"/>
      <c r="U2251" s="10"/>
      <c r="V2251" s="10"/>
      <c r="W2251" s="10"/>
      <c r="X2251" s="10"/>
      <c r="Y2251" s="10"/>
      <c r="Z2251" s="10"/>
    </row>
    <row r="2252" spans="1:26" ht="12.75">
      <c r="A2252" s="10" t="str">
        <f ca="1">IFERROR(__xludf.DUMMYFUNCTION("""COMPUTED_VALUE"""),"Диана Манолова Стоянова")</f>
        <v>Диана Манолова Стоянова</v>
      </c>
      <c r="B2252" s="10" t="str">
        <f ca="1">IFERROR(__xludf.DUMMYFUNCTION("""COMPUTED_VALUE"""),"Доклад от конференция")</f>
        <v>Доклад от конференция</v>
      </c>
      <c r="C2252" s="10" t="str">
        <f ca="1">IFERROR(__xludf.DUMMYFUNCTION("""COMPUTED_VALUE"""),"Пренос на култура и културни ценности в българо-чешките отношения")</f>
        <v>Пренос на култура и културни ценности в българо-чешките отношения</v>
      </c>
      <c r="D2252" s="10">
        <f ca="1">IFERROR(__xludf.DUMMYFUNCTION("""COMPUTED_VALUE"""),2015)</f>
        <v>2015</v>
      </c>
      <c r="E2252" s="10" t="str">
        <f ca="1">IFERROR(__xludf.DUMMYFUNCTION("""COMPUTED_VALUE"""),"В: Съвременни измерения на европейското образователно и научно пространство.Българо-чешки културни общувания, Чехия, 17-22 април 2012. София: За Буквите – О писменехь, 2015, с. 391-395. ISSN 2367-7988")</f>
        <v>В: Съвременни измерения на европейското образователно и научно пространство.Българо-чешки културни общувания, Чехия, 17-22 април 2012. София: За Буквите – О писменехь, 2015, с. 391-395. ISSN 2367-7988</v>
      </c>
      <c r="F2252" s="10"/>
      <c r="G2252" s="10" t="str">
        <f ca="1">IFERROR(__xludf.DUMMYFUNCTION("""COMPUTED_VALUE"""),"Елена Игнатова")</f>
        <v>Елена Игнатова</v>
      </c>
      <c r="H2252" s="10"/>
      <c r="I2252" s="10"/>
      <c r="J2252" s="10"/>
      <c r="K2252" s="10"/>
      <c r="L2252" s="10"/>
      <c r="M2252" s="10"/>
      <c r="N2252" s="10"/>
      <c r="O2252" s="10"/>
      <c r="P2252" s="10"/>
      <c r="Q2252" s="10"/>
      <c r="R2252" s="10"/>
      <c r="S2252" s="10"/>
      <c r="T2252" s="10"/>
      <c r="U2252" s="10"/>
      <c r="V2252" s="10"/>
      <c r="W2252" s="10"/>
      <c r="X2252" s="10"/>
      <c r="Y2252" s="10"/>
      <c r="Z2252" s="10"/>
    </row>
    <row r="2253" spans="1:26" ht="12.75">
      <c r="A2253" s="10" t="str">
        <f ca="1">IFERROR(__xludf.DUMMYFUNCTION("""COMPUTED_VALUE"""),"Диана Манолова Стоянова")</f>
        <v>Диана Манолова Стоянова</v>
      </c>
      <c r="B2253" s="10" t="str">
        <f ca="1">IFERROR(__xludf.DUMMYFUNCTION("""COMPUTED_VALUE"""),"Доклад от конференция")</f>
        <v>Доклад от конференция</v>
      </c>
      <c r="C2253" s="10" t="str">
        <f ca="1">IFERROR(__xludf.DUMMYFUNCTION("""COMPUTED_VALUE"""),"Извънаудиторно обучение в областта на културно-историческото наследство. Проблеми, възможности, перспективи")</f>
        <v>Извънаудиторно обучение в областта на културно-историческото наследство. Проблеми, възможности, перспективи</v>
      </c>
      <c r="D2253" s="10">
        <f ca="1">IFERROR(__xludf.DUMMYFUNCTION("""COMPUTED_VALUE"""),2015)</f>
        <v>2015</v>
      </c>
      <c r="E2253" s="10" t="str">
        <f ca="1">IFERROR(__xludf.DUMMYFUNCTION("""COMPUTED_VALUE"""),"В: Нови информационни технологии в образователния процес. X научен семинар в Камчия. София: За Буквите – О писменехь, 2015. с. 222-227. ISSN 1313-2768")</f>
        <v>В: Нови информационни технологии в образователния процес. X научен семинар в Камчия. София: За Буквите – О писменехь, 2015. с. 222-227. ISSN 1313-2768</v>
      </c>
      <c r="F2253" s="10"/>
      <c r="G2253" s="10"/>
      <c r="H2253" s="10"/>
      <c r="I2253" s="10"/>
      <c r="J2253" s="10"/>
      <c r="K2253" s="10"/>
      <c r="L2253" s="10"/>
      <c r="M2253" s="10"/>
      <c r="N2253" s="10"/>
      <c r="O2253" s="10"/>
      <c r="P2253" s="10"/>
      <c r="Q2253" s="10"/>
      <c r="R2253" s="10"/>
      <c r="S2253" s="10"/>
      <c r="T2253" s="10"/>
      <c r="U2253" s="10"/>
      <c r="V2253" s="10"/>
      <c r="W2253" s="10"/>
      <c r="X2253" s="10"/>
      <c r="Y2253" s="10"/>
      <c r="Z2253" s="10"/>
    </row>
    <row r="2254" spans="1:26" ht="12.75">
      <c r="A2254" s="10" t="str">
        <f ca="1">IFERROR(__xludf.DUMMYFUNCTION("""COMPUTED_VALUE"""),"Диана Манолова Стоянова")</f>
        <v>Диана Манолова Стоянова</v>
      </c>
      <c r="B2254" s="10" t="str">
        <f ca="1">IFERROR(__xludf.DUMMYFUNCTION("""COMPUTED_VALUE"""),"Доклад от конференция")</f>
        <v>Доклад от конференция</v>
      </c>
      <c r="C2254" s="10" t="str">
        <f ca="1">IFERROR(__xludf.DUMMYFUNCTION("""COMPUTED_VALUE"""),"Съвременни фактори на влияние върху знанието на нестинарите")</f>
        <v>Съвременни фактори на влияние върху знанието на нестинарите</v>
      </c>
      <c r="D2254" s="10">
        <f ca="1">IFERROR(__xludf.DUMMYFUNCTION("""COMPUTED_VALUE"""),2015)</f>
        <v>2015</v>
      </c>
      <c r="E2254" s="10" t="str">
        <f ca="1">IFERROR(__xludf.DUMMYFUNCTION("""COMPUTED_VALUE"""),"В: Съвременни измерения на европейското образователно и научно пространство, том 3. Българо-албански културни общувания, Албания, 22-28 юни 2014. София: За Буквите – О писменехь, 2015, с. 293-297. ISSN 2367-7988")</f>
        <v>В: Съвременни измерения на европейското образователно и научно пространство, том 3. Българо-албански културни общувания, Албания, 22-28 юни 2014. София: За Буквите – О писменехь, 2015, с. 293-297. ISSN 2367-7988</v>
      </c>
      <c r="F2254" s="10"/>
      <c r="G2254" s="10"/>
      <c r="H2254" s="10"/>
      <c r="I2254" s="10"/>
      <c r="J2254" s="10"/>
      <c r="K2254" s="10"/>
      <c r="L2254" s="10"/>
      <c r="M2254" s="10"/>
      <c r="N2254" s="10"/>
      <c r="O2254" s="10"/>
      <c r="P2254" s="10"/>
      <c r="Q2254" s="10"/>
      <c r="R2254" s="10"/>
      <c r="S2254" s="10"/>
      <c r="T2254" s="10"/>
      <c r="U2254" s="10"/>
      <c r="V2254" s="10"/>
      <c r="W2254" s="10"/>
      <c r="X2254" s="10"/>
      <c r="Y2254" s="10"/>
      <c r="Z2254" s="10"/>
    </row>
    <row r="2255" spans="1:26" ht="12.75">
      <c r="A2255" s="10" t="str">
        <f ca="1">IFERROR(__xludf.DUMMYFUNCTION("""COMPUTED_VALUE"""),"Диана Манолова Стоянова")</f>
        <v>Диана Манолова Стоянова</v>
      </c>
      <c r="B2255" s="10" t="str">
        <f ca="1">IFERROR(__xludf.DUMMYFUNCTION("""COMPUTED_VALUE"""),"Доклад от конференция")</f>
        <v>Доклад от конференция</v>
      </c>
      <c r="C2255" s="10" t="str">
        <f ca="1">IFERROR(__xludf.DUMMYFUNCTION("""COMPUTED_VALUE"""),"Дифузия на знанието – Панагирът на св. св. Константин и Елена в Странджа")</f>
        <v>Дифузия на знанието – Панагирът на св. св. Константин и Елена в Странджа</v>
      </c>
      <c r="D2255" s="10">
        <f ca="1">IFERROR(__xludf.DUMMYFUNCTION("""COMPUTED_VALUE"""),2014)</f>
        <v>2014</v>
      </c>
      <c r="E2255" s="10" t="str">
        <f ca="1">IFERROR(__xludf.DUMMYFUNCTION("""COMPUTED_VALUE"""),"В: Съвременни измерения на европейското образователно и научно пространство, том 3. Българо-английски културни общувания, Лондон, 25 – 31 май 2013. София: За Буквите – О писменехь, 2015, с. 48-53. ISSN 2367-7988")</f>
        <v>В: Съвременни измерения на европейското образователно и научно пространство, том 3. Българо-английски културни общувания, Лондон, 25 – 31 май 2013. София: За Буквите – О писменехь, 2015, с. 48-53. ISSN 2367-7988</v>
      </c>
      <c r="F2255" s="10"/>
      <c r="G2255" s="10"/>
      <c r="H2255" s="10"/>
      <c r="I2255" s="10"/>
      <c r="J2255" s="10"/>
      <c r="K2255" s="10"/>
      <c r="L2255" s="10"/>
      <c r="M2255" s="10"/>
      <c r="N2255" s="10"/>
      <c r="O2255" s="10"/>
      <c r="P2255" s="10"/>
      <c r="Q2255" s="10"/>
      <c r="R2255" s="10"/>
      <c r="S2255" s="10"/>
      <c r="T2255" s="10"/>
      <c r="U2255" s="10"/>
      <c r="V2255" s="10"/>
      <c r="W2255" s="10"/>
      <c r="X2255" s="10"/>
      <c r="Y2255" s="10"/>
      <c r="Z2255" s="10"/>
    </row>
    <row r="2256" spans="1:26" ht="12.75">
      <c r="A2256" s="10" t="str">
        <f ca="1">IFERROR(__xludf.DUMMYFUNCTION("""COMPUTED_VALUE"""),"Диана Манолова Стоянова")</f>
        <v>Диана Манолова Стоянова</v>
      </c>
      <c r="B2256" s="10" t="str">
        <f ca="1">IFERROR(__xludf.DUMMYFUNCTION("""COMPUTED_VALUE"""),"Статия в списания и поредици")</f>
        <v>Статия в списания и поредици</v>
      </c>
      <c r="C2256" s="10" t="str">
        <f ca="1">IFERROR(__xludf.DUMMYFUNCTION("""COMPUTED_VALUE"""),"Книгата – врата към миналото и прозорец към бъдещето")</f>
        <v>Книгата – врата към миналото и прозорец към бъдещето</v>
      </c>
      <c r="D2256" s="10">
        <f ca="1">IFERROR(__xludf.DUMMYFUNCTION("""COMPUTED_VALUE"""),2014)</f>
        <v>2014</v>
      </c>
      <c r="E2256" s="10" t="str">
        <f ca="1">IFERROR(__xludf.DUMMYFUNCTION("""COMPUTED_VALUE"""),"Велико Търново: сп. Издател, 2014, Година XVI, № 3 – 4, с. 27 – 31. ISSN 1310-4624 / online ISSN 2367-9158.")</f>
        <v>Велико Търново: сп. Издател, 2014, Година XVI, № 3 – 4, с. 27 – 31. ISSN 1310-4624 / online ISSN 2367-9158.</v>
      </c>
      <c r="F2256" s="10"/>
      <c r="G2256" s="10"/>
      <c r="H2256" s="10"/>
      <c r="I2256" s="10"/>
      <c r="J2256" s="10"/>
      <c r="K2256" s="10"/>
      <c r="L2256" s="10"/>
      <c r="M2256" s="10"/>
      <c r="N2256" s="10"/>
      <c r="O2256" s="10"/>
      <c r="P2256" s="10"/>
      <c r="Q2256" s="10"/>
      <c r="R2256" s="10"/>
      <c r="S2256" s="10"/>
      <c r="T2256" s="10"/>
      <c r="U2256" s="10"/>
      <c r="V2256" s="10"/>
      <c r="W2256" s="10"/>
      <c r="X2256" s="10"/>
      <c r="Y2256" s="10"/>
      <c r="Z2256" s="10"/>
    </row>
    <row r="2257" spans="1:26" ht="12.75">
      <c r="A2257" s="10" t="str">
        <f ca="1">IFERROR(__xludf.DUMMYFUNCTION("""COMPUTED_VALUE"""),"Диана Манолова Стоянова")</f>
        <v>Диана Манолова Стоянова</v>
      </c>
      <c r="B2257" s="10" t="str">
        <f ca="1">IFERROR(__xludf.DUMMYFUNCTION("""COMPUTED_VALUE"""),"Доклад от конференция")</f>
        <v>Доклад от конференция</v>
      </c>
      <c r="C2257" s="10" t="str">
        <f ca="1">IFERROR(__xludf.DUMMYFUNCTION("""COMPUTED_VALUE"""),"Conceptual Mega Epistemological Model for the Knowledge of Cultural Heritage")</f>
        <v>Conceptual Mega Epistemological Model for the Knowledge of Cultural Heritage</v>
      </c>
      <c r="D2257" s="10">
        <f ca="1">IFERROR(__xludf.DUMMYFUNCTION("""COMPUTED_VALUE"""),2014)</f>
        <v>2014</v>
      </c>
      <c r="E2257" s="10" t="str">
        <f ca="1">IFERROR(__xludf.DUMMYFUNCTION("""COMPUTED_VALUE"""),"12th International Conference on Knowledge, Economy &amp; Management (ICKEM2014) to be held November 27 – 30, 2014 in Antalya, Turke")</f>
        <v>12th International Conference on Knowledge, Economy &amp; Management (ICKEM2014) to be held November 27 – 30, 2014 in Antalya, Turke</v>
      </c>
      <c r="F2257" s="10"/>
      <c r="G2257" s="10"/>
      <c r="H2257" s="10"/>
      <c r="I2257" s="10"/>
      <c r="J2257" s="10"/>
      <c r="K2257" s="10"/>
      <c r="L2257" s="10"/>
      <c r="M2257" s="10"/>
      <c r="N2257" s="10"/>
      <c r="O2257" s="10"/>
      <c r="P2257" s="10"/>
      <c r="Q2257" s="10"/>
      <c r="R2257" s="10"/>
      <c r="S2257" s="10"/>
      <c r="T2257" s="10"/>
      <c r="U2257" s="10"/>
      <c r="V2257" s="10"/>
      <c r="W2257" s="10"/>
      <c r="X2257" s="10"/>
      <c r="Y2257" s="10"/>
      <c r="Z2257" s="10"/>
    </row>
    <row r="2258" spans="1:26" ht="12.75">
      <c r="A2258" s="10" t="str">
        <f ca="1">IFERROR(__xludf.DUMMYFUNCTION("""COMPUTED_VALUE"""),"Диана Манолова Стоянова")</f>
        <v>Диана Манолова Стоянова</v>
      </c>
      <c r="B2258" s="10" t="str">
        <f ca="1">IFERROR(__xludf.DUMMYFUNCTION("""COMPUTED_VALUE"""),"Доклад от конференция")</f>
        <v>Доклад от конференция</v>
      </c>
      <c r="C2258" s="10" t="str">
        <f ca="1">IFERROR(__xludf.DUMMYFUNCTION("""COMPUTED_VALUE"""),"Перцепция на научното знания за психофизичното състояние на нестинарите в Странджа")</f>
        <v>Перцепция на научното знания за психофизичното състояние на нестинарите в Странджа</v>
      </c>
      <c r="D2258" s="10">
        <f ca="1">IFERROR(__xludf.DUMMYFUNCTION("""COMPUTED_VALUE"""),2014)</f>
        <v>2014</v>
      </c>
      <c r="E2258" s="10" t="str">
        <f ca="1">IFERROR(__xludf.DUMMYFUNCTION("""COMPUTED_VALUE"""),"В: Нови информационни технологии в образователния процес. Доклади и съобщения от Осмия научен семинар на УниБИТ, Камчия, 15 – 18 юни 2013. София: За Буквите – О писменехь, 2014, с. 352-363. ISSN 1313-2768")</f>
        <v>В: Нови информационни технологии в образователния процес. Доклади и съобщения от Осмия научен семинар на УниБИТ, Камчия, 15 – 18 юни 2013. София: За Буквите – О писменехь, 2014, с. 352-363. ISSN 1313-2768</v>
      </c>
      <c r="F2258" s="10"/>
      <c r="G2258" s="10"/>
      <c r="H2258" s="10"/>
      <c r="I2258" s="10"/>
      <c r="J2258" s="10"/>
      <c r="K2258" s="10"/>
      <c r="L2258" s="10"/>
      <c r="M2258" s="10"/>
      <c r="N2258" s="10"/>
      <c r="O2258" s="10"/>
      <c r="P2258" s="10"/>
      <c r="Q2258" s="10"/>
      <c r="R2258" s="10"/>
      <c r="S2258" s="10"/>
      <c r="T2258" s="10"/>
      <c r="U2258" s="10"/>
      <c r="V2258" s="10"/>
      <c r="W2258" s="10"/>
      <c r="X2258" s="10"/>
      <c r="Y2258" s="10"/>
      <c r="Z2258" s="10"/>
    </row>
    <row r="2259" spans="1:26" ht="12.75">
      <c r="A2259" s="10" t="str">
        <f ca="1">IFERROR(__xludf.DUMMYFUNCTION("""COMPUTED_VALUE"""),"Диана Манолова Стоянова")</f>
        <v>Диана Манолова Стоянова</v>
      </c>
      <c r="B2259" s="10" t="str">
        <f ca="1">IFERROR(__xludf.DUMMYFUNCTION("""COMPUTED_VALUE"""),"Книга")</f>
        <v>Книга</v>
      </c>
      <c r="C2259" s="10" t="str">
        <f ca="1">IFERROR(__xludf.DUMMYFUNCTION("""COMPUTED_VALUE"""),"Политики за управление на културно-историческото наследство – комуникация и социализация чрез образование. Библиографски указател")</f>
        <v>Политики за управление на културно-историческото наследство – комуникация и социализация чрез образование. Библиографски указател</v>
      </c>
      <c r="D2259" s="10">
        <f ca="1">IFERROR(__xludf.DUMMYFUNCTION("""COMPUTED_VALUE"""),2014)</f>
        <v>2014</v>
      </c>
      <c r="E2259" s="10" t="str">
        <f ca="1">IFERROR(__xludf.DUMMYFUNCTION("""COMPUTED_VALUE"""),"За буквите – О писменехь")</f>
        <v>За буквите – О писменехь</v>
      </c>
      <c r="F2259" s="10"/>
      <c r="G2259" s="10" t="str">
        <f ca="1">IFERROR(__xludf.DUMMYFUNCTION("""COMPUTED_VALUE"""),"София Василева, Стоян Денчев, Елена Игнатова")</f>
        <v>София Василева, Стоян Денчев, Елена Игнатова</v>
      </c>
      <c r="H2259" s="10"/>
      <c r="I2259" s="10"/>
      <c r="J2259" s="10"/>
      <c r="K2259" s="10"/>
      <c r="L2259" s="10"/>
      <c r="M2259" s="10"/>
      <c r="N2259" s="10"/>
      <c r="O2259" s="10"/>
      <c r="P2259" s="10"/>
      <c r="Q2259" s="10"/>
      <c r="R2259" s="10"/>
      <c r="S2259" s="10"/>
      <c r="T2259" s="10"/>
      <c r="U2259" s="10"/>
      <c r="V2259" s="10"/>
      <c r="W2259" s="10"/>
      <c r="X2259" s="10"/>
      <c r="Y2259" s="10"/>
      <c r="Z2259" s="10"/>
    </row>
    <row r="2260" spans="1:26" ht="12.75">
      <c r="A2260" s="10" t="str">
        <f ca="1">IFERROR(__xludf.DUMMYFUNCTION("""COMPUTED_VALUE"""),"Диана Манолова Стоянова")</f>
        <v>Диана Манолова Стоянова</v>
      </c>
      <c r="B2260" s="10" t="str">
        <f ca="1">IFERROR(__xludf.DUMMYFUNCTION("""COMPUTED_VALUE"""),"Доклад от конференция")</f>
        <v>Доклад от конференция</v>
      </c>
      <c r="C2260" s="10" t="str">
        <f ca="1">IFERROR(__xludf.DUMMYFUNCTION("""COMPUTED_VALUE"""),"Ябълката – модел на знанието и ценностите в едно общество")</f>
        <v>Ябълката – модел на знанието и ценностите в едно общество</v>
      </c>
      <c r="D2260" s="10">
        <f ca="1">IFERROR(__xludf.DUMMYFUNCTION("""COMPUTED_VALUE"""),2014)</f>
        <v>2014</v>
      </c>
      <c r="E2260" s="10" t="str">
        <f ca="1">IFERROR(__xludf.DUMMYFUNCTION("""COMPUTED_VALUE"""),"В: Съвременни стратегии и иновации в управление на знанието. Първа научна конференция 3-4 декември 2014 г. Лятна академия за управление на знания. – София: За буквите – О писменехь, 2014, с. 124-132. ISBN 978-619-185-140-9")</f>
        <v>В: Съвременни стратегии и иновации в управление на знанието. Първа научна конференция 3-4 декември 2014 г. Лятна академия за управление на знания. – София: За буквите – О писменехь, 2014, с. 124-132. ISBN 978-619-185-140-9</v>
      </c>
      <c r="F2260" s="10"/>
      <c r="G2260" s="10"/>
      <c r="H2260" s="10"/>
      <c r="I2260" s="10"/>
      <c r="J2260" s="10"/>
      <c r="K2260" s="10"/>
      <c r="L2260" s="10"/>
      <c r="M2260" s="10"/>
      <c r="N2260" s="10"/>
      <c r="O2260" s="10"/>
      <c r="P2260" s="10"/>
      <c r="Q2260" s="10"/>
      <c r="R2260" s="10"/>
      <c r="S2260" s="10"/>
      <c r="T2260" s="10"/>
      <c r="U2260" s="10"/>
      <c r="V2260" s="10"/>
      <c r="W2260" s="10"/>
      <c r="X2260" s="10"/>
      <c r="Y2260" s="10"/>
      <c r="Z2260" s="10"/>
    </row>
    <row r="2261" spans="1:26" ht="12.75">
      <c r="A2261" s="10" t="str">
        <f ca="1">IFERROR(__xludf.DUMMYFUNCTION("""COMPUTED_VALUE"""),"Диана Манолова Стоянова")</f>
        <v>Диана Манолова Стоянова</v>
      </c>
      <c r="B2261" s="10" t="str">
        <f ca="1">IFERROR(__xludf.DUMMYFUNCTION("""COMPUTED_VALUE"""),"Доклад от конференция")</f>
        <v>Доклад от конференция</v>
      </c>
      <c r="C2261" s="10" t="str">
        <f ca="1">IFERROR(__xludf.DUMMYFUNCTION("""COMPUTED_VALUE"""),"Знаниеви компоненти на нестинарската обредност – съвременна интерпретация")</f>
        <v>Знаниеви компоненти на нестинарската обредност – съвременна интерпретация</v>
      </c>
      <c r="D2261" s="10">
        <f ca="1">IFERROR(__xludf.DUMMYFUNCTION("""COMPUTED_VALUE"""),2014)</f>
        <v>2014</v>
      </c>
      <c r="E2261" s="10" t="str">
        <f ca="1">IFERROR(__xludf.DUMMYFUNCTION("""COMPUTED_VALUE"""),"В: Съвременни измерения на европейското образователно и научно пространство, том 4. Българо-римски културни общувания, Рим, 7 – 12 май 2014. София: За Буквите – О писменехь, 2014, с. 212-220. ISBN 978-619-185-133-1")</f>
        <v>В: Съвременни измерения на европейското образователно и научно пространство, том 4. Българо-римски културни общувания, Рим, 7 – 12 май 2014. София: За Буквите – О писменехь, 2014, с. 212-220. ISBN 978-619-185-133-1</v>
      </c>
      <c r="F2261" s="10"/>
      <c r="G2261" s="10"/>
      <c r="H2261" s="10"/>
      <c r="I2261" s="10"/>
      <c r="J2261" s="10"/>
      <c r="K2261" s="10"/>
      <c r="L2261" s="10"/>
      <c r="M2261" s="10"/>
      <c r="N2261" s="10"/>
      <c r="O2261" s="10"/>
      <c r="P2261" s="10"/>
      <c r="Q2261" s="10"/>
      <c r="R2261" s="10"/>
      <c r="S2261" s="10"/>
      <c r="T2261" s="10"/>
      <c r="U2261" s="10"/>
      <c r="V2261" s="10"/>
      <c r="W2261" s="10"/>
      <c r="X2261" s="10"/>
      <c r="Y2261" s="10"/>
      <c r="Z2261" s="10"/>
    </row>
    <row r="2262" spans="1:26" ht="12.75">
      <c r="A2262" s="10" t="str">
        <f ca="1">IFERROR(__xludf.DUMMYFUNCTION("""COMPUTED_VALUE"""),"Диана Манолова Стоянова")</f>
        <v>Диана Манолова Стоянова</v>
      </c>
      <c r="B2262" s="10" t="str">
        <f ca="1">IFERROR(__xludf.DUMMYFUNCTION("""COMPUTED_VALUE"""),"Доклад от конференция")</f>
        <v>Доклад от конференция</v>
      </c>
      <c r="C2262" s="10" t="str">
        <f ca="1">IFERROR(__xludf.DUMMYFUNCTION("""COMPUTED_VALUE"""),"Анкетно проучване по проекта „Модерния град и съхраняване на националната идентичност“")</f>
        <v>Анкетно проучване по проекта „Модерния град и съхраняване на националната идентичност“</v>
      </c>
      <c r="D2262" s="10">
        <f ca="1">IFERROR(__xludf.DUMMYFUNCTION("""COMPUTED_VALUE"""),2014)</f>
        <v>2014</v>
      </c>
      <c r="E2262" s="10" t="str">
        <f ca="1">IFERROR(__xludf.DUMMYFUNCTION("""COMPUTED_VALUE"""),"В: Обществото на знанието и хуманизмът на ХХI век: XI национална научна конференция с международно участие, София, 1 – 2 ноември 2013. София: За буквите – О писменехь, 2014, с. 598-601. ISSN 1314-7099.")</f>
        <v>В: Обществото на знанието и хуманизмът на ХХI век: XI национална научна конференция с международно участие, София, 1 – 2 ноември 2013. София: За буквите – О писменехь, 2014, с. 598-601. ISSN 1314-7099.</v>
      </c>
      <c r="F2262" s="10"/>
      <c r="G2262" s="10" t="str">
        <f ca="1">IFERROR(__xludf.DUMMYFUNCTION("""COMPUTED_VALUE"""),"Ц. Варадинова, П. Кирилова")</f>
        <v>Ц. Варадинова, П. Кирилова</v>
      </c>
      <c r="H2262" s="10"/>
      <c r="I2262" s="10"/>
      <c r="J2262" s="10"/>
      <c r="K2262" s="10"/>
      <c r="L2262" s="10"/>
      <c r="M2262" s="10"/>
      <c r="N2262" s="10"/>
      <c r="O2262" s="10"/>
      <c r="P2262" s="10"/>
      <c r="Q2262" s="10"/>
      <c r="R2262" s="10"/>
      <c r="S2262" s="10"/>
      <c r="T2262" s="10"/>
      <c r="U2262" s="10"/>
      <c r="V2262" s="10"/>
      <c r="W2262" s="10"/>
      <c r="X2262" s="10"/>
      <c r="Y2262" s="10"/>
      <c r="Z2262" s="10"/>
    </row>
    <row r="2263" spans="1:26" ht="12.75">
      <c r="A2263" s="10" t="str">
        <f ca="1">IFERROR(__xludf.DUMMYFUNCTION("""COMPUTED_VALUE"""),"Диана Манолова Стоянова")</f>
        <v>Диана Манолова Стоянова</v>
      </c>
      <c r="B2263" s="10" t="str">
        <f ca="1">IFERROR(__xludf.DUMMYFUNCTION("""COMPUTED_VALUE"""),"Доклад от конференция")</f>
        <v>Доклад от конференция</v>
      </c>
      <c r="C2263" s="10" t="str">
        <f ca="1">IFERROR(__xludf.DUMMYFUNCTION("""COMPUTED_VALUE"""),"Целенасочената дифузия на практически знания и умения от музейната към университетската мрежа в България – основа за развитие на младите учени, докторанти и студенти")</f>
        <v>Целенасочената дифузия на практически знания и умения от музейната към университетската мрежа в България – основа за развитие на младите учени, докторанти и студенти</v>
      </c>
      <c r="D2263" s="10">
        <f ca="1">IFERROR(__xludf.DUMMYFUNCTION("""COMPUTED_VALUE"""),2014)</f>
        <v>2014</v>
      </c>
      <c r="E2263" s="10" t="str">
        <f ca="1">IFERROR(__xludf.DUMMYFUNCTION("""COMPUTED_VALUE"""),"В: Публично-частното партньорство и устойчивото развитие на културното наследство. София: ЗЕМЯ 2014, с. 212 – 217. ISSN 1314-5517")</f>
        <v>В: Публично-частното партньорство и устойчивото развитие на културното наследство. София: ЗЕМЯ 2014, с. 212 – 217. ISSN 1314-5517</v>
      </c>
      <c r="F2263" s="10"/>
      <c r="G2263" s="10"/>
      <c r="H2263" s="10"/>
      <c r="I2263" s="10"/>
      <c r="J2263" s="10"/>
      <c r="K2263" s="10"/>
      <c r="L2263" s="10"/>
      <c r="M2263" s="10"/>
      <c r="N2263" s="10"/>
      <c r="O2263" s="10"/>
      <c r="P2263" s="10"/>
      <c r="Q2263" s="10"/>
      <c r="R2263" s="10"/>
      <c r="S2263" s="10"/>
      <c r="T2263" s="10"/>
      <c r="U2263" s="10"/>
      <c r="V2263" s="10"/>
      <c r="W2263" s="10"/>
      <c r="X2263" s="10"/>
      <c r="Y2263" s="10"/>
      <c r="Z2263" s="10"/>
    </row>
    <row r="2264" spans="1:26" ht="12.75">
      <c r="A2264" s="10" t="str">
        <f ca="1">IFERROR(__xludf.DUMMYFUNCTION("""COMPUTED_VALUE"""),"Диана Манолова Стоянова")</f>
        <v>Диана Манолова Стоянова</v>
      </c>
      <c r="B2264" s="10" t="str">
        <f ca="1">IFERROR(__xludf.DUMMYFUNCTION("""COMPUTED_VALUE"""),"Доклад от конференция")</f>
        <v>Доклад от конференция</v>
      </c>
      <c r="C2264" s="10" t="str">
        <f ca="1">IFERROR(__xludf.DUMMYFUNCTION("""COMPUTED_VALUE"""),"Впечатления от работата на терен при анкетиране на посетители в Боянската църква")</f>
        <v>Впечатления от работата на терен при анкетиране на посетители в Боянската църква</v>
      </c>
      <c r="D2264" s="10">
        <f ca="1">IFERROR(__xludf.DUMMYFUNCTION("""COMPUTED_VALUE"""),2014)</f>
        <v>2014</v>
      </c>
      <c r="E2264" s="10" t="str">
        <f ca="1">IFERROR(__xludf.DUMMYFUNCTION("""COMPUTED_VALUE"""),"В: Модерният град и съхраняване на националната идентичност. Етап 3. Анекс 2. Боянска църква. Т. 2. София: За буквите – О писменехь, 2014, с. 62-65. ISBN 978-619-185-124-9")</f>
        <v>В: Модерният град и съхраняване на националната идентичност. Етап 3. Анекс 2. Боянска църква. Т. 2. София: За буквите – О писменехь, 2014, с. 62-65. ISBN 978-619-185-124-9</v>
      </c>
      <c r="F2264" s="10"/>
      <c r="G2264" s="10" t="str">
        <f ca="1">IFERROR(__xludf.DUMMYFUNCTION("""COMPUTED_VALUE"""),"Ц. Варадинова, П. Кирилова")</f>
        <v>Ц. Варадинова, П. Кирилова</v>
      </c>
      <c r="H2264" s="10"/>
      <c r="I2264" s="10"/>
      <c r="J2264" s="10"/>
      <c r="K2264" s="10"/>
      <c r="L2264" s="10"/>
      <c r="M2264" s="10"/>
      <c r="N2264" s="10"/>
      <c r="O2264" s="10"/>
      <c r="P2264" s="10"/>
      <c r="Q2264" s="10"/>
      <c r="R2264" s="10"/>
      <c r="S2264" s="10"/>
      <c r="T2264" s="10"/>
      <c r="U2264" s="10"/>
      <c r="V2264" s="10"/>
      <c r="W2264" s="10"/>
      <c r="X2264" s="10"/>
      <c r="Y2264" s="10"/>
      <c r="Z2264" s="10"/>
    </row>
    <row r="2265" spans="1:26" ht="12.75">
      <c r="A2265" s="10" t="str">
        <f ca="1">IFERROR(__xludf.DUMMYFUNCTION("""COMPUTED_VALUE"""),"Диана Манолова Стоянова")</f>
        <v>Диана Манолова Стоянова</v>
      </c>
      <c r="B2265" s="10" t="str">
        <f ca="1">IFERROR(__xludf.DUMMYFUNCTION("""COMPUTED_VALUE"""),"Книга")</f>
        <v>Книга</v>
      </c>
      <c r="C2265" s="10" t="str">
        <f ca="1">IFERROR(__xludf.DUMMYFUNCTION("""COMPUTED_VALUE"""),"Библиография Боянска църква.")</f>
        <v>Библиография Боянска църква.</v>
      </c>
      <c r="D2265" s="10">
        <f ca="1">IFERROR(__xludf.DUMMYFUNCTION("""COMPUTED_VALUE"""),2014)</f>
        <v>2014</v>
      </c>
      <c r="E2265" s="10" t="str">
        <f ca="1">IFERROR(__xludf.DUMMYFUNCTION("""COMPUTED_VALUE"""),"Библиография Боянска църква. – В: Модерният град и съхраняване на националната идентичност. Етап 3. Анекс 2. Боянска църква. Т.")</f>
        <v>Библиография Боянска църква. – В: Модерният град и съхраняване на националната идентичност. Етап 3. Анекс 2. Боянска църква. Т.</v>
      </c>
      <c r="F2265" s="10"/>
      <c r="G2265" s="10" t="str">
        <f ca="1">IFERROR(__xludf.DUMMYFUNCTION("""COMPUTED_VALUE"""),"Свободна Вранчева")</f>
        <v>Свободна Вранчева</v>
      </c>
      <c r="H2265" s="10"/>
      <c r="I2265" s="10"/>
      <c r="J2265" s="10"/>
      <c r="K2265" s="10"/>
      <c r="L2265" s="10"/>
      <c r="M2265" s="10"/>
      <c r="N2265" s="10"/>
      <c r="O2265" s="10"/>
      <c r="P2265" s="10"/>
      <c r="Q2265" s="10"/>
      <c r="R2265" s="10"/>
      <c r="S2265" s="10"/>
      <c r="T2265" s="10"/>
      <c r="U2265" s="10"/>
      <c r="V2265" s="10"/>
      <c r="W2265" s="10"/>
      <c r="X2265" s="10"/>
      <c r="Y2265" s="10"/>
      <c r="Z2265" s="10"/>
    </row>
    <row r="2266" spans="1:26" ht="12.75">
      <c r="A2266" s="10" t="str">
        <f ca="1">IFERROR(__xludf.DUMMYFUNCTION("""COMPUTED_VALUE"""),"Диана Манолова Стоянова")</f>
        <v>Диана Манолова Стоянова</v>
      </c>
      <c r="B2266" s="10" t="str">
        <f ca="1">IFERROR(__xludf.DUMMYFUNCTION("""COMPUTED_VALUE"""),"Статия в списания и поредици")</f>
        <v>Статия в списания и поредици</v>
      </c>
      <c r="C2266" s="10" t="str">
        <f ca="1">IFERROR(__xludf.DUMMYFUNCTION("""COMPUTED_VALUE"""),"Къщата на Димитър Яблански – минало и/или настояще.")</f>
        <v>Къщата на Димитър Яблански – минало и/или настояще.</v>
      </c>
      <c r="D2266" s="10">
        <f ca="1">IFERROR(__xludf.DUMMYFUNCTION("""COMPUTED_VALUE"""),2013)</f>
        <v>2013</v>
      </c>
      <c r="E2266" s="10" t="str">
        <f ca="1">IFERROR(__xludf.DUMMYFUNCTION("""COMPUTED_VALUE"""),"В: Модерният град и съхраняване на националната идентичност. Т. 2. Съст. и ред. Свободна Вранчева. София: За Буквите – О писменехь, 2013, с. 63 – 68.")</f>
        <v>В: Модерният град и съхраняване на националната идентичност. Т. 2. Съст. и ред. Свободна Вранчева. София: За Буквите – О писменехь, 2013, с. 63 – 68.</v>
      </c>
      <c r="F2266" s="10"/>
      <c r="G2266" s="10"/>
      <c r="H2266" s="10"/>
      <c r="I2266" s="10"/>
      <c r="J2266" s="10"/>
      <c r="K2266" s="10"/>
      <c r="L2266" s="10"/>
      <c r="M2266" s="10"/>
      <c r="N2266" s="10"/>
      <c r="O2266" s="10"/>
      <c r="P2266" s="10"/>
      <c r="Q2266" s="10"/>
      <c r="R2266" s="10"/>
      <c r="S2266" s="10"/>
      <c r="T2266" s="10"/>
      <c r="U2266" s="10"/>
      <c r="V2266" s="10"/>
      <c r="W2266" s="10"/>
      <c r="X2266" s="10"/>
      <c r="Y2266" s="10"/>
      <c r="Z2266" s="10"/>
    </row>
    <row r="2267" spans="1:26" ht="12.75">
      <c r="A2267" s="10" t="str">
        <f ca="1">IFERROR(__xludf.DUMMYFUNCTION("""COMPUTED_VALUE"""),"Диана Манолова Стоянова")</f>
        <v>Диана Манолова Стоянова</v>
      </c>
      <c r="B2267" s="10" t="str">
        <f ca="1">IFERROR(__xludf.DUMMYFUNCTION("""COMPUTED_VALUE"""),"Доклад от конференция")</f>
        <v>Доклад от конференция</v>
      </c>
      <c r="C2267" s="10" t="str">
        <f ca="1">IFERROR(__xludf.DUMMYFUNCTION("""COMPUTED_VALUE"""),"Наследството на Странджа.")</f>
        <v>Наследството на Странджа.</v>
      </c>
      <c r="D2267" s="10">
        <f ca="1">IFERROR(__xludf.DUMMYFUNCTION("""COMPUTED_VALUE"""),2013)</f>
        <v>2013</v>
      </c>
      <c r="E2267" s="10" t="str">
        <f ca="1">IFERROR(__xludf.DUMMYFUNCTION("""COMPUTED_VALUE"""),"В: Нови информационни технологии в образователния процес. Доклади и съобщения от Седми научен семинар на УниБИТ, Охрид, 29 – 31 май 2012 г. София: За буквите – О писменехь, 2013, с. 356 – 365. ISSN: 1313-2768")</f>
        <v>В: Нови информационни технологии в образователния процес. Доклади и съобщения от Седми научен семинар на УниБИТ, Охрид, 29 – 31 май 2012 г. София: За буквите – О писменехь, 2013, с. 356 – 365. ISSN: 1313-2768</v>
      </c>
      <c r="F2267" s="10"/>
      <c r="G2267" s="10"/>
      <c r="H2267" s="10"/>
      <c r="I2267" s="10"/>
      <c r="J2267" s="10"/>
      <c r="K2267" s="10"/>
      <c r="L2267" s="10"/>
      <c r="M2267" s="10"/>
      <c r="N2267" s="10"/>
      <c r="O2267" s="10"/>
      <c r="P2267" s="10"/>
      <c r="Q2267" s="10"/>
      <c r="R2267" s="10"/>
      <c r="S2267" s="10"/>
      <c r="T2267" s="10"/>
      <c r="U2267" s="10"/>
      <c r="V2267" s="10"/>
      <c r="W2267" s="10"/>
      <c r="X2267" s="10"/>
      <c r="Y2267" s="10"/>
      <c r="Z2267" s="10"/>
    </row>
    <row r="2268" spans="1:26" ht="12.75">
      <c r="A2268" s="10" t="str">
        <f ca="1">IFERROR(__xludf.DUMMYFUNCTION("""COMPUTED_VALUE"""),"Диана Манолова Стоянова")</f>
        <v>Диана Манолова Стоянова</v>
      </c>
      <c r="B2268" s="10" t="str">
        <f ca="1">IFERROR(__xludf.DUMMYFUNCTION("""COMPUTED_VALUE"""),"Статия в списания и поредици")</f>
        <v>Статия в списания и поредици</v>
      </c>
      <c r="C2268" s="10" t="str">
        <f ca="1">IFERROR(__xludf.DUMMYFUNCTION("""COMPUTED_VALUE"""),"Кирилица в Европе")</f>
        <v>Кирилица в Европе</v>
      </c>
      <c r="D2268" s="10">
        <f ca="1">IFERROR(__xludf.DUMMYFUNCTION("""COMPUTED_VALUE"""),2012)</f>
        <v>2012</v>
      </c>
      <c r="E2268" s="10" t="str">
        <f ca="1">IFERROR(__xludf.DUMMYFUNCTION("""COMPUTED_VALUE"""),"В: Международный форум славянской web – культуры. Российско-болгарский круглы стол. Москва, УниБИТ, 2012, с. 77 – 80.")</f>
        <v>В: Международный форум славянской web – культуры. Российско-болгарский круглы стол. Москва, УниБИТ, 2012, с. 77 – 80.</v>
      </c>
      <c r="F2268" s="10"/>
      <c r="G2268" s="10"/>
      <c r="H2268" s="10"/>
      <c r="I2268" s="10"/>
      <c r="J2268" s="10"/>
      <c r="K2268" s="10"/>
      <c r="L2268" s="10"/>
      <c r="M2268" s="10"/>
      <c r="N2268" s="10"/>
      <c r="O2268" s="10"/>
      <c r="P2268" s="10"/>
      <c r="Q2268" s="10"/>
      <c r="R2268" s="10"/>
      <c r="S2268" s="10"/>
      <c r="T2268" s="10"/>
      <c r="U2268" s="10"/>
      <c r="V2268" s="10"/>
      <c r="W2268" s="10"/>
      <c r="X2268" s="10"/>
      <c r="Y2268" s="10"/>
      <c r="Z2268" s="10"/>
    </row>
    <row r="2269" spans="1:26" ht="12.75">
      <c r="A2269" s="10" t="str">
        <f ca="1">IFERROR(__xludf.DUMMYFUNCTION("""COMPUTED_VALUE"""),"Диана Манолова Стоянова")</f>
        <v>Диана Манолова Стоянова</v>
      </c>
      <c r="B2269" s="10" t="str">
        <f ca="1">IFERROR(__xludf.DUMMYFUNCTION("""COMPUTED_VALUE"""),"Доклад от конференция")</f>
        <v>Доклад от конференция</v>
      </c>
      <c r="C2269" s="10" t="str">
        <f ca="1">IFERROR(__xludf.DUMMYFUNCTION("""COMPUTED_VALUE"""),"Културно-историческото наследство – ценен ресурс за университетското обучение и възпитание.")</f>
        <v>Културно-историческото наследство – ценен ресурс за университетското обучение и възпитание.</v>
      </c>
      <c r="D2269" s="10">
        <f ca="1">IFERROR(__xludf.DUMMYFUNCTION("""COMPUTED_VALUE"""),2012)</f>
        <v>2012</v>
      </c>
      <c r="E2269" s="10" t="str">
        <f ca="1">IFERROR(__xludf.DUMMYFUNCTION("""COMPUTED_VALUE"""),". В: Национална културна стратегия и европейска духовна интеграция. София: ЗЕМЯ, 2012, с. 233–241, ISSN: 1312-1715")</f>
        <v>. В: Национална културна стратегия и европейска духовна интеграция. София: ЗЕМЯ, 2012, с. 233–241, ISSN: 1312-1715</v>
      </c>
      <c r="F2269" s="10"/>
      <c r="G2269" s="10"/>
      <c r="H2269" s="10"/>
      <c r="I2269" s="10"/>
      <c r="J2269" s="10"/>
      <c r="K2269" s="10"/>
      <c r="L2269" s="10"/>
      <c r="M2269" s="10"/>
      <c r="N2269" s="10"/>
      <c r="O2269" s="10"/>
      <c r="P2269" s="10"/>
      <c r="Q2269" s="10"/>
      <c r="R2269" s="10"/>
      <c r="S2269" s="10"/>
      <c r="T2269" s="10"/>
      <c r="U2269" s="10"/>
      <c r="V2269" s="10"/>
      <c r="W2269" s="10"/>
      <c r="X2269" s="10"/>
      <c r="Y2269" s="10"/>
      <c r="Z2269" s="10"/>
    </row>
    <row r="2270" spans="1:26" ht="12.75">
      <c r="A2270" s="10" t="str">
        <f ca="1">IFERROR(__xludf.DUMMYFUNCTION("""COMPUTED_VALUE"""),"Диана Манолова Стоянова")</f>
        <v>Диана Манолова Стоянова</v>
      </c>
      <c r="B2270" s="10" t="str">
        <f ca="1">IFERROR(__xludf.DUMMYFUNCTION("""COMPUTED_VALUE"""),"Статия в списания и поредици")</f>
        <v>Статия в списания и поредици</v>
      </c>
      <c r="C2270" s="10" t="str">
        <f ca="1">IFERROR(__xludf.DUMMYFUNCTION("""COMPUTED_VALUE"""),"Музеологията – средство за социализация на културно-историческото наследство.")</f>
        <v>Музеологията – средство за социализация на културно-историческото наследство.</v>
      </c>
      <c r="D2270" s="10">
        <f ca="1">IFERROR(__xludf.DUMMYFUNCTION("""COMPUTED_VALUE"""),2011)</f>
        <v>2011</v>
      </c>
      <c r="E2270" s="10" t="str">
        <f ca="1">IFERROR(__xludf.DUMMYFUNCTION("""COMPUTED_VALUE"""),"В: Социализация на българското културно-историческо наследство. София: ЗЕМЯ, 2011, с. 169 – 186.")</f>
        <v>В: Социализация на българското културно-историческо наследство. София: ЗЕМЯ, 2011, с. 169 – 186.</v>
      </c>
      <c r="F2270" s="10"/>
      <c r="G2270" s="10"/>
      <c r="H2270" s="10"/>
      <c r="I2270" s="10"/>
      <c r="J2270" s="10"/>
      <c r="K2270" s="10"/>
      <c r="L2270" s="10"/>
      <c r="M2270" s="10"/>
      <c r="N2270" s="10"/>
      <c r="O2270" s="10"/>
      <c r="P2270" s="10"/>
      <c r="Q2270" s="10"/>
      <c r="R2270" s="10"/>
      <c r="S2270" s="10"/>
      <c r="T2270" s="10"/>
      <c r="U2270" s="10"/>
      <c r="V2270" s="10"/>
      <c r="W2270" s="10"/>
      <c r="X2270" s="10"/>
      <c r="Y2270" s="10"/>
      <c r="Z2270" s="10"/>
    </row>
    <row r="2271" spans="1:26" ht="12.75">
      <c r="A2271" s="10" t="str">
        <f ca="1">IFERROR(__xludf.DUMMYFUNCTION("""COMPUTED_VALUE"""),"Димитър Христов Иванов")</f>
        <v>Димитър Христов Иванов</v>
      </c>
      <c r="B2271" s="10" t="str">
        <f ca="1">IFERROR(__xludf.DUMMYFUNCTION("""COMPUTED_VALUE"""),"Книга")</f>
        <v>Книга</v>
      </c>
      <c r="C2271" s="10" t="str">
        <f ca="1">IFERROR(__xludf.DUMMYFUNCTION("""COMPUTED_VALUE"""),"Аретика. Аксиология на лидерството")</f>
        <v>Аретика. Аксиология на лидерството</v>
      </c>
      <c r="D2271" s="10">
        <f ca="1">IFERROR(__xludf.DUMMYFUNCTION("""COMPUTED_VALUE"""),2019)</f>
        <v>2019</v>
      </c>
      <c r="E2271" s="10" t="str">
        <f ca="1">IFERROR(__xludf.DUMMYFUNCTION("""COMPUTED_VALUE"""),"София : За буквите - О писменехь, 2019, ISBN 978-619-185-354-0")</f>
        <v>София : За буквите - О писменехь, 2019, ISBN 978-619-185-354-0</v>
      </c>
      <c r="F2271" s="10"/>
      <c r="G2271" s="10"/>
      <c r="H2271" s="10"/>
      <c r="I2271" s="10"/>
      <c r="J2271" s="10"/>
      <c r="K2271" s="10"/>
      <c r="L2271" s="10"/>
      <c r="M2271" s="10"/>
      <c r="N2271" s="10"/>
      <c r="O2271" s="10"/>
      <c r="P2271" s="10"/>
      <c r="Q2271" s="10"/>
      <c r="R2271" s="10"/>
      <c r="S2271" s="10"/>
      <c r="T2271" s="10"/>
      <c r="U2271" s="10"/>
      <c r="V2271" s="10"/>
      <c r="W2271" s="10"/>
      <c r="X2271" s="10"/>
      <c r="Y2271" s="10"/>
      <c r="Z2271" s="10"/>
    </row>
    <row r="2272" spans="1:26" ht="12.75">
      <c r="A2272" s="10" t="str">
        <f ca="1">IFERROR(__xludf.DUMMYFUNCTION("""COMPUTED_VALUE"""),"Димитър Христов Иванов")</f>
        <v>Димитър Христов Иванов</v>
      </c>
      <c r="B2272" s="10" t="str">
        <f ca="1">IFERROR(__xludf.DUMMYFUNCTION("""COMPUTED_VALUE"""),"Книга")</f>
        <v>Книга</v>
      </c>
      <c r="C2272" s="10" t="str">
        <f ca="1">IFERROR(__xludf.DUMMYFUNCTION("""COMPUTED_VALUE"""),"Психология на лидерството")</f>
        <v>Психология на лидерството</v>
      </c>
      <c r="D2272" s="10">
        <f ca="1">IFERROR(__xludf.DUMMYFUNCTION("""COMPUTED_VALUE"""),2019)</f>
        <v>2019</v>
      </c>
      <c r="E2272" s="10" t="str">
        <f ca="1">IFERROR(__xludf.DUMMYFUNCTION("""COMPUTED_VALUE"""),"Академично издателство ""За буквите -O писменехь"", София, 2019, 173 с. ISBN 978-619-185-371-7")</f>
        <v>Академично издателство "За буквите -O писменехь", София, 2019, 173 с. ISBN 978-619-185-371-7</v>
      </c>
      <c r="F2272" s="10"/>
      <c r="G2272" s="10"/>
      <c r="H2272" s="10"/>
      <c r="I2272" s="10"/>
      <c r="J2272" s="10"/>
      <c r="K2272" s="10"/>
      <c r="L2272" s="10"/>
      <c r="M2272" s="10"/>
      <c r="N2272" s="10"/>
      <c r="O2272" s="10"/>
      <c r="P2272" s="10"/>
      <c r="Q2272" s="10"/>
      <c r="R2272" s="10"/>
      <c r="S2272" s="10"/>
      <c r="T2272" s="10"/>
      <c r="U2272" s="10"/>
      <c r="V2272" s="10"/>
      <c r="W2272" s="10"/>
      <c r="X2272" s="10"/>
      <c r="Y2272" s="10"/>
      <c r="Z2272" s="10"/>
    </row>
    <row r="2273" spans="1:26" ht="12.75">
      <c r="A2273" s="10" t="str">
        <f ca="1">IFERROR(__xludf.DUMMYFUNCTION("""COMPUTED_VALUE"""),"Димитър Христов Иванов")</f>
        <v>Димитър Христов Иванов</v>
      </c>
      <c r="B2273" s="10" t="str">
        <f ca="1">IFERROR(__xludf.DUMMYFUNCTION("""COMPUTED_VALUE"""),"Книга")</f>
        <v>Книга</v>
      </c>
      <c r="C2273" s="10" t="str">
        <f ca="1">IFERROR(__xludf.DUMMYFUNCTION("""COMPUTED_VALUE"""),"Основи на лидерството")</f>
        <v>Основи на лидерството</v>
      </c>
      <c r="D2273" s="10">
        <f ca="1">IFERROR(__xludf.DUMMYFUNCTION("""COMPUTED_VALUE"""),2019)</f>
        <v>2019</v>
      </c>
      <c r="E2273" s="10" t="str">
        <f ca="1">IFERROR(__xludf.DUMMYFUNCTION("""COMPUTED_VALUE"""),"Академично издателство "" За буквите- О писменехь"", София, 2019, 157 с. ISBN 978-619-185-370-0")</f>
        <v>Академично издателство " За буквите- О писменехь", София, 2019, 157 с. ISBN 978-619-185-370-0</v>
      </c>
      <c r="F2273" s="10"/>
      <c r="G2273" s="10"/>
      <c r="H2273" s="10"/>
      <c r="I2273" s="10"/>
      <c r="J2273" s="10"/>
      <c r="K2273" s="10"/>
      <c r="L2273" s="10"/>
      <c r="M2273" s="10"/>
      <c r="N2273" s="10"/>
      <c r="O2273" s="10"/>
      <c r="P2273" s="10"/>
      <c r="Q2273" s="10"/>
      <c r="R2273" s="10"/>
      <c r="S2273" s="10"/>
      <c r="T2273" s="10"/>
      <c r="U2273" s="10"/>
      <c r="V2273" s="10"/>
      <c r="W2273" s="10"/>
      <c r="X2273" s="10"/>
      <c r="Y2273" s="10"/>
      <c r="Z2273" s="10"/>
    </row>
    <row r="2274" spans="1:26" ht="12.75">
      <c r="A2274" s="10" t="str">
        <f ca="1">IFERROR(__xludf.DUMMYFUNCTION("""COMPUTED_VALUE"""),"Димитър Христов Иванов")</f>
        <v>Димитър Христов Иванов</v>
      </c>
      <c r="B2274" s="10" t="str">
        <f ca="1">IFERROR(__xludf.DUMMYFUNCTION("""COMPUTED_VALUE"""),"Книга")</f>
        <v>Книга</v>
      </c>
      <c r="C2274" s="10" t="str">
        <f ca="1">IFERROR(__xludf.DUMMYFUNCTION("""COMPUTED_VALUE"""),"Българската енергия. Лидерство в държавността и духовността")</f>
        <v>Българската енергия. Лидерство в държавността и духовността</v>
      </c>
      <c r="D2274" s="10">
        <f ca="1">IFERROR(__xludf.DUMMYFUNCTION("""COMPUTED_VALUE"""),2018)</f>
        <v>2018</v>
      </c>
      <c r="E2274" s="10" t="str">
        <f ca="1">IFERROR(__xludf.DUMMYFUNCTION("""COMPUTED_VALUE"""),"София, ""За буквите - О писменехь"", 2018 ISBN 978-619-185-325-0")</f>
        <v>София, "За буквите - О писменехь", 2018 ISBN 978-619-185-325-0</v>
      </c>
      <c r="F2274" s="10"/>
      <c r="G2274" s="10"/>
      <c r="H2274" s="10"/>
      <c r="I2274" s="10"/>
      <c r="J2274" s="10"/>
      <c r="K2274" s="10"/>
      <c r="L2274" s="10"/>
      <c r="M2274" s="10"/>
      <c r="N2274" s="10"/>
      <c r="O2274" s="10"/>
      <c r="P2274" s="10"/>
      <c r="Q2274" s="10"/>
      <c r="R2274" s="10"/>
      <c r="S2274" s="10"/>
      <c r="T2274" s="10"/>
      <c r="U2274" s="10"/>
      <c r="V2274" s="10"/>
      <c r="W2274" s="10"/>
      <c r="X2274" s="10"/>
      <c r="Y2274" s="10"/>
      <c r="Z2274" s="10"/>
    </row>
    <row r="2275" spans="1:26" ht="12.75">
      <c r="A2275" s="10" t="str">
        <f ca="1">IFERROR(__xludf.DUMMYFUNCTION("""COMPUTED_VALUE"""),"Димитър Христов Иванов")</f>
        <v>Димитър Христов Иванов</v>
      </c>
      <c r="B2275" s="10" t="str">
        <f ca="1">IFERROR(__xludf.DUMMYFUNCTION("""COMPUTED_VALUE"""),"Книга")</f>
        <v>Книга</v>
      </c>
      <c r="C2275" s="10" t="str">
        <f ca="1">IFERROR(__xludf.DUMMYFUNCTION("""COMPUTED_VALUE"""),"Противопоставянето. Заговорите срещу Тодор Живков 1956-1989")</f>
        <v>Противопоставянето. Заговорите срещу Тодор Живков 1956-1989</v>
      </c>
      <c r="D2275" s="10">
        <f ca="1">IFERROR(__xludf.DUMMYFUNCTION("""COMPUTED_VALUE"""),2017)</f>
        <v>2017</v>
      </c>
      <c r="E2275" s="10" t="str">
        <f ca="1">IFERROR(__xludf.DUMMYFUNCTION("""COMPUTED_VALUE"""),"изд. ""Сиела"", София, 2017, 326 с. ISBN 978-954-28-2339-1")</f>
        <v>изд. "Сиела", София, 2017, 326 с. ISBN 978-954-28-2339-1</v>
      </c>
      <c r="F2275" s="10"/>
      <c r="G2275" s="10"/>
      <c r="H2275" s="10"/>
      <c r="I2275" s="10"/>
      <c r="J2275" s="10"/>
      <c r="K2275" s="10"/>
      <c r="L2275" s="10"/>
      <c r="M2275" s="10"/>
      <c r="N2275" s="10"/>
      <c r="O2275" s="10"/>
      <c r="P2275" s="10"/>
      <c r="Q2275" s="10"/>
      <c r="R2275" s="10"/>
      <c r="S2275" s="10"/>
      <c r="T2275" s="10"/>
      <c r="U2275" s="10"/>
      <c r="V2275" s="10"/>
      <c r="W2275" s="10"/>
      <c r="X2275" s="10"/>
      <c r="Y2275" s="10"/>
      <c r="Z2275" s="10"/>
    </row>
    <row r="2276" spans="1:26" ht="12.75">
      <c r="A2276" s="10" t="str">
        <f ca="1">IFERROR(__xludf.DUMMYFUNCTION("""COMPUTED_VALUE"""),"Димитър Христов Иванов")</f>
        <v>Димитър Христов Иванов</v>
      </c>
      <c r="B2276" s="10" t="str">
        <f ca="1">IFERROR(__xludf.DUMMYFUNCTION("""COMPUTED_VALUE"""),"Книга")</f>
        <v>Книга</v>
      </c>
      <c r="C2276" s="10" t="str">
        <f ca="1">IFERROR(__xludf.DUMMYFUNCTION("""COMPUTED_VALUE"""),"Управление на националната сигурност. Лидерски практики")</f>
        <v>Управление на националната сигурност. Лидерски практики</v>
      </c>
      <c r="D2276" s="10">
        <f ca="1">IFERROR(__xludf.DUMMYFUNCTION("""COMPUTED_VALUE"""),2017)</f>
        <v>2017</v>
      </c>
      <c r="E2276" s="10" t="str">
        <f ca="1">IFERROR(__xludf.DUMMYFUNCTION("""COMPUTED_VALUE"""),"Академично издателство ""За буквите-О писменехь"",София, 145 с. ISBN 978-619-185-296-3")</f>
        <v>Академично издателство "За буквите-О писменехь",София, 145 с. ISBN 978-619-185-296-3</v>
      </c>
      <c r="F2276" s="10"/>
      <c r="G2276" s="10"/>
      <c r="H2276" s="10"/>
      <c r="I2276" s="10"/>
      <c r="J2276" s="10"/>
      <c r="K2276" s="10"/>
      <c r="L2276" s="10"/>
      <c r="M2276" s="10"/>
      <c r="N2276" s="10"/>
      <c r="O2276" s="10"/>
      <c r="P2276" s="10"/>
      <c r="Q2276" s="10"/>
      <c r="R2276" s="10"/>
      <c r="S2276" s="10"/>
      <c r="T2276" s="10"/>
      <c r="U2276" s="10"/>
      <c r="V2276" s="10"/>
      <c r="W2276" s="10"/>
      <c r="X2276" s="10"/>
      <c r="Y2276" s="10"/>
      <c r="Z2276" s="10"/>
    </row>
    <row r="2277" spans="1:26" ht="12.75">
      <c r="A2277" s="10" t="str">
        <f ca="1">IFERROR(__xludf.DUMMYFUNCTION("""COMPUTED_VALUE"""),"Димитър Христов Иванов")</f>
        <v>Димитър Христов Иванов</v>
      </c>
      <c r="B2277" s="10" t="str">
        <f ca="1">IFERROR(__xludf.DUMMYFUNCTION("""COMPUTED_VALUE"""),"Книга")</f>
        <v>Книга</v>
      </c>
      <c r="C2277" s="10" t="str">
        <f ca="1">IFERROR(__xludf.DUMMYFUNCTION("""COMPUTED_VALUE"""),"Противодействие на корупцията. Модел за ефективно лидерство")</f>
        <v>Противодействие на корупцията. Модел за ефективно лидерство</v>
      </c>
      <c r="D2277" s="10">
        <f ca="1">IFERROR(__xludf.DUMMYFUNCTION("""COMPUTED_VALUE"""),2017)</f>
        <v>2017</v>
      </c>
      <c r="E2277" s="10" t="str">
        <f ca="1">IFERROR(__xludf.DUMMYFUNCTION("""COMPUTED_VALUE"""),"Академично издателство "" За буквите - О писменехь"", София, 103 с. ISBN 978-619-185-297-0")</f>
        <v>Академично издателство " За буквите - О писменехь", София, 103 с. ISBN 978-619-185-297-0</v>
      </c>
      <c r="F2277" s="10"/>
      <c r="G2277" s="10"/>
      <c r="H2277" s="10"/>
      <c r="I2277" s="10"/>
      <c r="J2277" s="10"/>
      <c r="K2277" s="10"/>
      <c r="L2277" s="10"/>
      <c r="M2277" s="10"/>
      <c r="N2277" s="10"/>
      <c r="O2277" s="10"/>
      <c r="P2277" s="10"/>
      <c r="Q2277" s="10"/>
      <c r="R2277" s="10"/>
      <c r="S2277" s="10"/>
      <c r="T2277" s="10"/>
      <c r="U2277" s="10"/>
      <c r="V2277" s="10"/>
      <c r="W2277" s="10"/>
      <c r="X2277" s="10"/>
      <c r="Y2277" s="10"/>
      <c r="Z2277" s="10"/>
    </row>
    <row r="2278" spans="1:26" ht="12.75">
      <c r="A2278" s="10" t="str">
        <f ca="1">IFERROR(__xludf.DUMMYFUNCTION("""COMPUTED_VALUE"""),"Димитър Христов Иванов")</f>
        <v>Димитър Христов Иванов</v>
      </c>
      <c r="B2278" s="10" t="str">
        <f ca="1">IFERROR(__xludf.DUMMYFUNCTION("""COMPUTED_VALUE"""),"Книга")</f>
        <v>Книга</v>
      </c>
      <c r="C2278" s="10" t="str">
        <f ca="1">IFERROR(__xludf.DUMMYFUNCTION("""COMPUTED_VALUE"""),"Лидерство и лидерски качества: Курс лекции и упражнения за бакалаври и магистри")</f>
        <v>Лидерство и лидерски качества: Курс лекции и упражнения за бакалаври и магистри</v>
      </c>
      <c r="D2278" s="10">
        <f ca="1">IFERROR(__xludf.DUMMYFUNCTION("""COMPUTED_VALUE"""),2016)</f>
        <v>2016</v>
      </c>
      <c r="E2278" s="10" t="str">
        <f ca="1">IFERROR(__xludf.DUMMYFUNCTION("""COMPUTED_VALUE"""),"""За буквите-о писменехь"", София, 2016. – 143 с. ISBN978-619-185-214-7")</f>
        <v>"За буквите-о писменехь", София, 2016. – 143 с. ISBN978-619-185-214-7</v>
      </c>
      <c r="F2278" s="10"/>
      <c r="G2278" s="10" t="str">
        <f ca="1">IFERROR(__xludf.DUMMYFUNCTION("""COMPUTED_VALUE"""),"Веселка Петрова")</f>
        <v>Веселка Петрова</v>
      </c>
      <c r="H2278" s="10"/>
      <c r="I2278" s="10"/>
      <c r="J2278" s="10"/>
      <c r="K2278" s="10"/>
      <c r="L2278" s="10"/>
      <c r="M2278" s="10"/>
      <c r="N2278" s="10"/>
      <c r="O2278" s="10"/>
      <c r="P2278" s="10"/>
      <c r="Q2278" s="10"/>
      <c r="R2278" s="10"/>
      <c r="S2278" s="10"/>
      <c r="T2278" s="10"/>
      <c r="U2278" s="10"/>
      <c r="V2278" s="10"/>
      <c r="W2278" s="10"/>
      <c r="X2278" s="10"/>
      <c r="Y2278" s="10"/>
      <c r="Z2278" s="10"/>
    </row>
    <row r="2279" spans="1:26" ht="12.75">
      <c r="A2279" s="10" t="str">
        <f ca="1">IFERROR(__xludf.DUMMYFUNCTION("""COMPUTED_VALUE"""),"Димитър Христов Иванов")</f>
        <v>Димитър Христов Иванов</v>
      </c>
      <c r="B2279" s="10" t="str">
        <f ca="1">IFERROR(__xludf.DUMMYFUNCTION("""COMPUTED_VALUE"""),"Учебно пособие")</f>
        <v>Учебно пособие</v>
      </c>
      <c r="C2279" s="10" t="str">
        <f ca="1">IFERROR(__xludf.DUMMYFUNCTION("""COMPUTED_VALUE"""),"Как да стана магистър и доктор по национална сигурност : Учебно пособие")</f>
        <v>Как да стана магистър и доктор по национална сигурност : Учебно пособие</v>
      </c>
      <c r="D2279" s="10">
        <f ca="1">IFERROR(__xludf.DUMMYFUNCTION("""COMPUTED_VALUE"""),2015)</f>
        <v>2015</v>
      </c>
      <c r="E2279" s="10" t="str">
        <f ca="1">IFERROR(__xludf.DUMMYFUNCTION("""COMPUTED_VALUE"""),"София: За буквите – о писменехъ, 2015. – 44 с. ISBN 978-619-185-184-3")</f>
        <v>София: За буквите – о писменехъ, 2015. – 44 с. ISBN 978-619-185-184-3</v>
      </c>
      <c r="F2279" s="10"/>
      <c r="G2279" s="10" t="str">
        <f ca="1">IFERROR(__xludf.DUMMYFUNCTION("""COMPUTED_VALUE"""),"Веселка Петрова")</f>
        <v>Веселка Петрова</v>
      </c>
      <c r="H2279" s="10"/>
      <c r="I2279" s="10"/>
      <c r="J2279" s="10"/>
      <c r="K2279" s="10"/>
      <c r="L2279" s="10"/>
      <c r="M2279" s="10"/>
      <c r="N2279" s="10"/>
      <c r="O2279" s="10"/>
      <c r="P2279" s="10"/>
      <c r="Q2279" s="10"/>
      <c r="R2279" s="10"/>
      <c r="S2279" s="10"/>
      <c r="T2279" s="10"/>
      <c r="U2279" s="10"/>
      <c r="V2279" s="10"/>
      <c r="W2279" s="10"/>
      <c r="X2279" s="10"/>
      <c r="Y2279" s="10"/>
      <c r="Z2279" s="10"/>
    </row>
    <row r="2280" spans="1:26" ht="12.75">
      <c r="A2280" s="10" t="str">
        <f ca="1">IFERROR(__xludf.DUMMYFUNCTION("""COMPUTED_VALUE"""),"Димитър Христов Иванов")</f>
        <v>Димитър Христов Иванов</v>
      </c>
      <c r="B2280" s="10" t="str">
        <f ca="1">IFERROR(__xludf.DUMMYFUNCTION("""COMPUTED_VALUE"""),"Книга")</f>
        <v>Книга</v>
      </c>
      <c r="C2280" s="10" t="str">
        <f ca="1">IFERROR(__xludf.DUMMYFUNCTION("""COMPUTED_VALUE"""),"Аретe: Идеи и образи на сборната добродетел")</f>
        <v>Аретe: Идеи и образи на сборната добродетел</v>
      </c>
      <c r="D2280" s="10">
        <f ca="1">IFERROR(__xludf.DUMMYFUNCTION("""COMPUTED_VALUE"""),2015)</f>
        <v>2015</v>
      </c>
      <c r="E2280" s="10" t="str">
        <f ca="1">IFERROR(__xludf.DUMMYFUNCTION("""COMPUTED_VALUE"""),"Сиела, София, 2015. – 584 с. ISBN 978-954-28-1658-4")</f>
        <v>Сиела, София, 2015. – 584 с. ISBN 978-954-28-1658-4</v>
      </c>
      <c r="F2280" s="10"/>
      <c r="G2280" s="10"/>
      <c r="H2280" s="10"/>
      <c r="I2280" s="10"/>
      <c r="J2280" s="10"/>
      <c r="K2280" s="10"/>
      <c r="L2280" s="10"/>
      <c r="M2280" s="10"/>
      <c r="N2280" s="10"/>
      <c r="O2280" s="10"/>
      <c r="P2280" s="10"/>
      <c r="Q2280" s="10"/>
      <c r="R2280" s="10"/>
      <c r="S2280" s="10"/>
      <c r="T2280" s="10"/>
      <c r="U2280" s="10"/>
      <c r="V2280" s="10"/>
      <c r="W2280" s="10"/>
      <c r="X2280" s="10"/>
      <c r="Y2280" s="10"/>
      <c r="Z2280" s="10"/>
    </row>
    <row r="2281" spans="1:26" ht="12.75">
      <c r="A2281" s="10" t="str">
        <f ca="1">IFERROR(__xludf.DUMMYFUNCTION("""COMPUTED_VALUE"""),"Димитър Христов Иванов")</f>
        <v>Димитър Христов Иванов</v>
      </c>
      <c r="B2281" s="10" t="str">
        <f ca="1">IFERROR(__xludf.DUMMYFUNCTION("""COMPUTED_VALUE"""),"Книга")</f>
        <v>Книга</v>
      </c>
      <c r="C2281" s="10" t="str">
        <f ca="1">IFERROR(__xludf.DUMMYFUNCTION("""COMPUTED_VALUE"""),"Аретика : Екзистенциално-ценностна система на лидера : Теория на Арет?")</f>
        <v>Аретика : Екзистенциално-ценностна система на лидера : Теория на Арет?</v>
      </c>
      <c r="D2281" s="10">
        <f ca="1">IFERROR(__xludf.DUMMYFUNCTION("""COMPUTED_VALUE"""),2015)</f>
        <v>2015</v>
      </c>
      <c r="E2281" s="10" t="str">
        <f ca="1">IFERROR(__xludf.DUMMYFUNCTION("""COMPUTED_VALUE"""),"Сиела, 2015. 281 с. ISBN - 978-954-28-1659-1")</f>
        <v>Сиела, 2015. 281 с. ISBN - 978-954-28-1659-1</v>
      </c>
      <c r="F2281" s="10"/>
      <c r="G2281" s="10"/>
      <c r="H2281" s="10"/>
      <c r="I2281" s="10"/>
      <c r="J2281" s="10"/>
      <c r="K2281" s="10"/>
      <c r="L2281" s="10"/>
      <c r="M2281" s="10"/>
      <c r="N2281" s="10"/>
      <c r="O2281" s="10"/>
      <c r="P2281" s="10"/>
      <c r="Q2281" s="10"/>
      <c r="R2281" s="10"/>
      <c r="S2281" s="10"/>
      <c r="T2281" s="10"/>
      <c r="U2281" s="10"/>
      <c r="V2281" s="10"/>
      <c r="W2281" s="10"/>
      <c r="X2281" s="10"/>
      <c r="Y2281" s="10"/>
      <c r="Z2281" s="10"/>
    </row>
    <row r="2282" spans="1:26" ht="12.75">
      <c r="A2282" s="10" t="str">
        <f ca="1">IFERROR(__xludf.DUMMYFUNCTION("""COMPUTED_VALUE"""),"Димитър Христов Иванов")</f>
        <v>Димитър Христов Иванов</v>
      </c>
      <c r="B2282" s="10" t="str">
        <f ca="1">IFERROR(__xludf.DUMMYFUNCTION("""COMPUTED_VALUE"""),"Книга")</f>
        <v>Книга</v>
      </c>
      <c r="C2282" s="10" t="str">
        <f ca="1">IFERROR(__xludf.DUMMYFUNCTION("""COMPUTED_VALUE"""),"Лидерство")</f>
        <v>Лидерство</v>
      </c>
      <c r="D2282" s="10">
        <f ca="1">IFERROR(__xludf.DUMMYFUNCTION("""COMPUTED_VALUE"""),2014)</f>
        <v>2014</v>
      </c>
      <c r="E2282" s="10" t="str">
        <f ca="1">IFERROR(__xludf.DUMMYFUNCTION("""COMPUTED_VALUE"""),"изд. ""Сиела"", София 2014, 379 с. ISBN 978-954-28-1497-9")</f>
        <v>изд. "Сиела", София 2014, 379 с. ISBN 978-954-28-1497-9</v>
      </c>
      <c r="F2282" s="10"/>
      <c r="G2282" s="10"/>
      <c r="H2282" s="10"/>
      <c r="I2282" s="10"/>
      <c r="J2282" s="10"/>
      <c r="K2282" s="10"/>
      <c r="L2282" s="10"/>
      <c r="M2282" s="10"/>
      <c r="N2282" s="10"/>
      <c r="O2282" s="10"/>
      <c r="P2282" s="10"/>
      <c r="Q2282" s="10"/>
      <c r="R2282" s="10"/>
      <c r="S2282" s="10"/>
      <c r="T2282" s="10"/>
      <c r="U2282" s="10"/>
      <c r="V2282" s="10"/>
      <c r="W2282" s="10"/>
      <c r="X2282" s="10"/>
      <c r="Y2282" s="10"/>
      <c r="Z2282" s="10"/>
    </row>
    <row r="2283" spans="1:26" ht="12.75">
      <c r="A2283" s="10" t="str">
        <f ca="1">IFERROR(__xludf.DUMMYFUNCTION("""COMPUTED_VALUE"""),"Димитър Христов Иванов")</f>
        <v>Димитър Христов Иванов</v>
      </c>
      <c r="B2283" s="10" t="str">
        <f ca="1">IFERROR(__xludf.DUMMYFUNCTION("""COMPUTED_VALUE"""),"Книга")</f>
        <v>Книга</v>
      </c>
      <c r="C2283" s="10" t="str">
        <f ca="1">IFERROR(__xludf.DUMMYFUNCTION("""COMPUTED_VALUE"""),"Лидерът Стамболов")</f>
        <v>Лидерът Стамболов</v>
      </c>
      <c r="D2283" s="10">
        <f ca="1">IFERROR(__xludf.DUMMYFUNCTION("""COMPUTED_VALUE"""),2014)</f>
        <v>2014</v>
      </c>
      <c r="E2283" s="10" t="str">
        <f ca="1">IFERROR(__xludf.DUMMYFUNCTION("""COMPUTED_VALUE"""),"издателство ""Сиела"" София 2014, 177 с. ISBN 978-954-28-1441-2")</f>
        <v>издателство "Сиела" София 2014, 177 с. ISBN 978-954-28-1441-2</v>
      </c>
      <c r="F2283" s="10"/>
      <c r="G2283" s="10"/>
      <c r="H2283" s="10"/>
      <c r="I2283" s="10"/>
      <c r="J2283" s="10"/>
      <c r="K2283" s="10"/>
      <c r="L2283" s="10"/>
      <c r="M2283" s="10"/>
      <c r="N2283" s="10"/>
      <c r="O2283" s="10"/>
      <c r="P2283" s="10"/>
      <c r="Q2283" s="10"/>
      <c r="R2283" s="10"/>
      <c r="S2283" s="10"/>
      <c r="T2283" s="10"/>
      <c r="U2283" s="10"/>
      <c r="V2283" s="10"/>
      <c r="W2283" s="10"/>
      <c r="X2283" s="10"/>
      <c r="Y2283" s="10"/>
      <c r="Z2283" s="10"/>
    </row>
    <row r="2284" spans="1:26" ht="12.75">
      <c r="A2284" s="10" t="str">
        <f ca="1">IFERROR(__xludf.DUMMYFUNCTION("""COMPUTED_VALUE"""),"Димитър Христов Иванов")</f>
        <v>Димитър Христов Иванов</v>
      </c>
      <c r="B2284" s="10" t="str">
        <f ca="1">IFERROR(__xludf.DUMMYFUNCTION("""COMPUTED_VALUE"""),"Монография")</f>
        <v>Монография</v>
      </c>
      <c r="C2284" s="10" t="str">
        <f ca="1">IFERROR(__xludf.DUMMYFUNCTION("""COMPUTED_VALUE"""),"Кратка история на социалистическа България: успехи и провали 1944-1989")</f>
        <v>Кратка история на социалистическа България: успехи и провали 1944-1989</v>
      </c>
      <c r="D2284" s="10">
        <f ca="1">IFERROR(__xludf.DUMMYFUNCTION("""COMPUTED_VALUE"""),2013)</f>
        <v>2013</v>
      </c>
      <c r="E2284" s="10" t="str">
        <f ca="1">IFERROR(__xludf.DUMMYFUNCTION("""COMPUTED_VALUE"""),"изд. Сиела, София, 269 с. ISBN 978-954-28-1364-4")</f>
        <v>изд. Сиела, София, 269 с. ISBN 978-954-28-1364-4</v>
      </c>
      <c r="F2284" s="10"/>
      <c r="G2284" s="10"/>
      <c r="H2284" s="10"/>
      <c r="I2284" s="10"/>
      <c r="J2284" s="10"/>
      <c r="K2284" s="10"/>
      <c r="L2284" s="10"/>
      <c r="M2284" s="10"/>
      <c r="N2284" s="10"/>
      <c r="O2284" s="10"/>
      <c r="P2284" s="10"/>
      <c r="Q2284" s="10"/>
      <c r="R2284" s="10"/>
      <c r="S2284" s="10"/>
      <c r="T2284" s="10"/>
      <c r="U2284" s="10"/>
      <c r="V2284" s="10"/>
      <c r="W2284" s="10"/>
      <c r="X2284" s="10"/>
      <c r="Y2284" s="10"/>
      <c r="Z2284" s="10"/>
    </row>
    <row r="2285" spans="1:26" ht="12.75">
      <c r="A2285" s="10" t="str">
        <f ca="1">IFERROR(__xludf.DUMMYFUNCTION("""COMPUTED_VALUE"""),"Димитър Христов Иванов")</f>
        <v>Димитър Христов Иванов</v>
      </c>
      <c r="B2285" s="10" t="str">
        <f ca="1">IFERROR(__xludf.DUMMYFUNCTION("""COMPUTED_VALUE"""),"Книга")</f>
        <v>Книга</v>
      </c>
      <c r="C2285" s="10" t="str">
        <f ca="1">IFERROR(__xludf.DUMMYFUNCTION("""COMPUTED_VALUE"""),"Национална сигурност: държавност, духовност и лидерство ( Базови понятия, теории и ценности)")</f>
        <v>Национална сигурност: държавност, духовност и лидерство ( Базови понятия, теории и ценности)</v>
      </c>
      <c r="D2285" s="10">
        <f ca="1">IFERROR(__xludf.DUMMYFUNCTION("""COMPUTED_VALUE"""),2013)</f>
        <v>2013</v>
      </c>
      <c r="E2285" s="10" t="str">
        <f ca="1">IFERROR(__xludf.DUMMYFUNCTION("""COMPUTED_VALUE"""),"""За буквите - О писменехь"", София, ISBN 978-954-2946-87-8 с.73")</f>
        <v>"За буквите - О писменехь", София, ISBN 978-954-2946-87-8 с.73</v>
      </c>
      <c r="F2285" s="10"/>
      <c r="G2285" s="10"/>
      <c r="H2285" s="10"/>
      <c r="I2285" s="10"/>
      <c r="J2285" s="10"/>
      <c r="K2285" s="10"/>
      <c r="L2285" s="10"/>
      <c r="M2285" s="10"/>
      <c r="N2285" s="10"/>
      <c r="O2285" s="10"/>
      <c r="P2285" s="10"/>
      <c r="Q2285" s="10"/>
      <c r="R2285" s="10"/>
      <c r="S2285" s="10"/>
      <c r="T2285" s="10"/>
      <c r="U2285" s="10"/>
      <c r="V2285" s="10"/>
      <c r="W2285" s="10"/>
      <c r="X2285" s="10"/>
      <c r="Y2285" s="10"/>
      <c r="Z2285" s="10"/>
    </row>
    <row r="2286" spans="1:26" ht="12.75">
      <c r="A2286" s="10" t="str">
        <f ca="1">IFERROR(__xludf.DUMMYFUNCTION("""COMPUTED_VALUE"""),"Димитър Христов Иванов")</f>
        <v>Димитър Христов Иванов</v>
      </c>
      <c r="B2286" s="10" t="str">
        <f ca="1">IFERROR(__xludf.DUMMYFUNCTION("""COMPUTED_VALUE"""),"Книга")</f>
        <v>Книга</v>
      </c>
      <c r="C2286" s="10" t="str">
        <f ca="1">IFERROR(__xludf.DUMMYFUNCTION("""COMPUTED_VALUE"""),"Защита на културно-историческото наследство")</f>
        <v>Защита на културно-историческото наследство</v>
      </c>
      <c r="D2286" s="10">
        <f ca="1">IFERROR(__xludf.DUMMYFUNCTION("""COMPUTED_VALUE"""),2009)</f>
        <v>2009</v>
      </c>
      <c r="E2286" s="10" t="str">
        <f ca="1">IFERROR(__xludf.DUMMYFUNCTION("""COMPUTED_VALUE"""),"УИ ""Св. Климент Охридски"", София 2009, ISBN 9789540728353, с.133")</f>
        <v>УИ "Св. Климент Охридски", София 2009, ISBN 9789540728353, с.133</v>
      </c>
      <c r="F2286" s="10"/>
      <c r="G2286" s="10" t="str">
        <f ca="1">IFERROR(__xludf.DUMMYFUNCTION("""COMPUTED_VALUE"""),"Евгений Сачев")</f>
        <v>Евгений Сачев</v>
      </c>
      <c r="H2286" s="10"/>
      <c r="I2286" s="10"/>
      <c r="J2286" s="10"/>
      <c r="K2286" s="10"/>
      <c r="L2286" s="10"/>
      <c r="M2286" s="10"/>
      <c r="N2286" s="10"/>
      <c r="O2286" s="10"/>
      <c r="P2286" s="10"/>
      <c r="Q2286" s="10"/>
      <c r="R2286" s="10"/>
      <c r="S2286" s="10"/>
      <c r="T2286" s="10"/>
      <c r="U2286" s="10"/>
      <c r="V2286" s="10"/>
      <c r="W2286" s="10"/>
      <c r="X2286" s="10"/>
      <c r="Y2286" s="10"/>
      <c r="Z2286" s="10"/>
    </row>
    <row r="2287" spans="1:26" ht="12.75">
      <c r="A2287" s="10" t="str">
        <f ca="1">IFERROR(__xludf.DUMMYFUNCTION("""COMPUTED_VALUE"""),"Димитър Христов Иванов")</f>
        <v>Димитър Христов Иванов</v>
      </c>
      <c r="B2287" s="10" t="str">
        <f ca="1">IFERROR(__xludf.DUMMYFUNCTION("""COMPUTED_VALUE"""),"Монография")</f>
        <v>Монография</v>
      </c>
      <c r="C2287" s="10" t="str">
        <f ca="1">IFERROR(__xludf.DUMMYFUNCTION("""COMPUTED_VALUE"""),"Аретика: Екзистенциално-ценностна система")</f>
        <v>Аретика: Екзистенциално-ценностна система</v>
      </c>
      <c r="D2287" s="10">
        <f ca="1">IFERROR(__xludf.DUMMYFUNCTION("""COMPUTED_VALUE"""),2009)</f>
        <v>2009</v>
      </c>
      <c r="E2287" s="10" t="str">
        <f ca="1">IFERROR(__xludf.DUMMYFUNCTION("""COMPUTED_VALUE"""),"Академично издателство ""Проф. Марин Дринов"", 2009, 252 с. ISBN 978-954-322-367-1")</f>
        <v>Академично издателство "Проф. Марин Дринов", 2009, 252 с. ISBN 978-954-322-367-1</v>
      </c>
      <c r="F2287" s="10"/>
      <c r="G2287" s="10"/>
      <c r="H2287" s="10"/>
      <c r="I2287" s="10"/>
      <c r="J2287" s="10"/>
      <c r="K2287" s="10"/>
      <c r="L2287" s="10"/>
      <c r="M2287" s="10"/>
      <c r="N2287" s="10"/>
      <c r="O2287" s="10"/>
      <c r="P2287" s="10"/>
      <c r="Q2287" s="10"/>
      <c r="R2287" s="10"/>
      <c r="S2287" s="10"/>
      <c r="T2287" s="10"/>
      <c r="U2287" s="10"/>
      <c r="V2287" s="10"/>
      <c r="W2287" s="10"/>
      <c r="X2287" s="10"/>
      <c r="Y2287" s="10"/>
      <c r="Z2287" s="10"/>
    </row>
    <row r="2288" spans="1:26" ht="12.75">
      <c r="A2288" s="10" t="str">
        <f ca="1">IFERROR(__xludf.DUMMYFUNCTION("""COMPUTED_VALUE"""),"Димитър Христов Иванов")</f>
        <v>Димитър Христов Иванов</v>
      </c>
      <c r="B2288" s="10" t="str">
        <f ca="1">IFERROR(__xludf.DUMMYFUNCTION("""COMPUTED_VALUE"""),"Монография")</f>
        <v>Монография</v>
      </c>
      <c r="C2288" s="10" t="str">
        <f ca="1">IFERROR(__xludf.DUMMYFUNCTION("""COMPUTED_VALUE"""),"Възход и падение на социализма в България 1944-1989")</f>
        <v>Възход и падение на социализма в България 1944-1989</v>
      </c>
      <c r="D2288" s="10">
        <f ca="1">IFERROR(__xludf.DUMMYFUNCTION("""COMPUTED_VALUE"""),2009)</f>
        <v>2009</v>
      </c>
      <c r="E2288" s="10" t="str">
        <f ca="1">IFERROR(__xludf.DUMMYFUNCTION("""COMPUTED_VALUE"""),"Издателство ""Милениум"" София, 2009, 405 с. ISBN 978-954-515-050-0")</f>
        <v>Издателство "Милениум" София, 2009, 405 с. ISBN 978-954-515-050-0</v>
      </c>
      <c r="F2288" s="10"/>
      <c r="G2288" s="10"/>
      <c r="H2288" s="10"/>
      <c r="I2288" s="10"/>
      <c r="J2288" s="10"/>
      <c r="K2288" s="10"/>
      <c r="L2288" s="10"/>
      <c r="M2288" s="10"/>
      <c r="N2288" s="10"/>
      <c r="O2288" s="10"/>
      <c r="P2288" s="10"/>
      <c r="Q2288" s="10"/>
      <c r="R2288" s="10"/>
      <c r="S2288" s="10"/>
      <c r="T2288" s="10"/>
      <c r="U2288" s="10"/>
      <c r="V2288" s="10"/>
      <c r="W2288" s="10"/>
      <c r="X2288" s="10"/>
      <c r="Y2288" s="10"/>
      <c r="Z2288" s="10"/>
    </row>
    <row r="2289" spans="1:26" ht="12.75">
      <c r="A2289" s="10" t="str">
        <f ca="1">IFERROR(__xludf.DUMMYFUNCTION("""COMPUTED_VALUE"""),"Димитър Христов Иванов")</f>
        <v>Димитър Христов Иванов</v>
      </c>
      <c r="B2289" s="10" t="str">
        <f ca="1">IFERROR(__xludf.DUMMYFUNCTION("""COMPUTED_VALUE"""),"Книга")</f>
        <v>Книга</v>
      </c>
      <c r="C2289" s="10" t="str">
        <f ca="1">IFERROR(__xludf.DUMMYFUNCTION("""COMPUTED_VALUE"""),"Арете-логия. Книга 3: Обучение и възпитание на лидера")</f>
        <v>Арете-логия. Книга 3: Обучение и възпитание на лидера</v>
      </c>
      <c r="D2289" s="10">
        <f ca="1">IFERROR(__xludf.DUMMYFUNCTION("""COMPUTED_VALUE"""),2008)</f>
        <v>2008</v>
      </c>
      <c r="E2289" s="10" t="str">
        <f ca="1">IFERROR(__xludf.DUMMYFUNCTION("""COMPUTED_VALUE"""),"Издателство ""Проф. Марин Дринов"", София, 2008, ISBN 9789543222919")</f>
        <v>Издателство "Проф. Марин Дринов", София, 2008, ISBN 9789543222919</v>
      </c>
      <c r="F2289" s="10"/>
      <c r="G2289" s="10"/>
      <c r="H2289" s="10"/>
      <c r="I2289" s="10"/>
      <c r="J2289" s="10"/>
      <c r="K2289" s="10"/>
      <c r="L2289" s="10"/>
      <c r="M2289" s="10"/>
      <c r="N2289" s="10"/>
      <c r="O2289" s="10"/>
      <c r="P2289" s="10"/>
      <c r="Q2289" s="10"/>
      <c r="R2289" s="10"/>
      <c r="S2289" s="10"/>
      <c r="T2289" s="10"/>
      <c r="U2289" s="10"/>
      <c r="V2289" s="10"/>
      <c r="W2289" s="10"/>
      <c r="X2289" s="10"/>
      <c r="Y2289" s="10"/>
      <c r="Z2289" s="10"/>
    </row>
    <row r="2290" spans="1:26" ht="12.75">
      <c r="A2290" s="10" t="str">
        <f ca="1">IFERROR(__xludf.DUMMYFUNCTION("""COMPUTED_VALUE"""),"Димитър Христов Иванов")</f>
        <v>Димитър Христов Иванов</v>
      </c>
      <c r="B2290" s="10" t="str">
        <f ca="1">IFERROR(__xludf.DUMMYFUNCTION("""COMPUTED_VALUE"""),"Книга")</f>
        <v>Книга</v>
      </c>
      <c r="C2290" s="10" t="str">
        <f ca="1">IFERROR(__xludf.DUMMYFUNCTION("""COMPUTED_VALUE"""),"Арете в музея. Развитие в структурата и управлението на европейския исторически музей")</f>
        <v>Арете в музея. Развитие в структурата и управлението на европейския исторически музей</v>
      </c>
      <c r="D2290" s="10">
        <f ca="1">IFERROR(__xludf.DUMMYFUNCTION("""COMPUTED_VALUE"""),2008)</f>
        <v>2008</v>
      </c>
      <c r="E2290" s="10" t="str">
        <f ca="1">IFERROR(__xludf.DUMMYFUNCTION("""COMPUTED_VALUE"""),"Академично издателство ""Проф. Марин Дринов"" 2008, 271 с. ISBN 978-954-322-303-9")</f>
        <v>Академично издателство "Проф. Марин Дринов" 2008, 271 с. ISBN 978-954-322-303-9</v>
      </c>
      <c r="F2290" s="10"/>
      <c r="G2290" s="10"/>
      <c r="H2290" s="10"/>
      <c r="I2290" s="10"/>
      <c r="J2290" s="10"/>
      <c r="K2290" s="10"/>
      <c r="L2290" s="10"/>
      <c r="M2290" s="10"/>
      <c r="N2290" s="10"/>
      <c r="O2290" s="10"/>
      <c r="P2290" s="10"/>
      <c r="Q2290" s="10"/>
      <c r="R2290" s="10"/>
      <c r="S2290" s="10"/>
      <c r="T2290" s="10"/>
      <c r="U2290" s="10"/>
      <c r="V2290" s="10"/>
      <c r="W2290" s="10"/>
      <c r="X2290" s="10"/>
      <c r="Y2290" s="10"/>
      <c r="Z2290" s="10"/>
    </row>
    <row r="2291" spans="1:26" ht="12.75">
      <c r="A2291" s="10" t="str">
        <f ca="1">IFERROR(__xludf.DUMMYFUNCTION("""COMPUTED_VALUE"""),"Димитър Христов Иванов")</f>
        <v>Димитър Христов Иванов</v>
      </c>
      <c r="B2291" s="10" t="str">
        <f ca="1">IFERROR(__xludf.DUMMYFUNCTION("""COMPUTED_VALUE"""),"Монография")</f>
        <v>Монография</v>
      </c>
      <c r="C2291" s="10" t="str">
        <f ca="1">IFERROR(__xludf.DUMMYFUNCTION("""COMPUTED_VALUE"""),"Българската енергия")</f>
        <v>Българската енергия</v>
      </c>
      <c r="D2291" s="10">
        <f ca="1">IFERROR(__xludf.DUMMYFUNCTION("""COMPUTED_VALUE"""),2006)</f>
        <v>2006</v>
      </c>
      <c r="E2291" s="10" t="str">
        <f ca="1">IFERROR(__xludf.DUMMYFUNCTION("""COMPUTED_VALUE"""),"София : Унив. изд. Св. Климент Охридски, 2006, 222 с. COBISS.BG-ID 1045823972")</f>
        <v>София : Унив. изд. Св. Климент Охридски, 2006, 222 с. COBISS.BG-ID 1045823972</v>
      </c>
      <c r="F2291" s="10" t="str">
        <f ca="1">IFERROR(__xludf.DUMMYFUNCTION("""COMPUTED_VALUE"""),"COBISS.BG-ID 1045823972")</f>
        <v>COBISS.BG-ID 1045823972</v>
      </c>
      <c r="G2291" s="10"/>
      <c r="H2291" s="10"/>
      <c r="I2291" s="10"/>
      <c r="J2291" s="10"/>
      <c r="K2291" s="10"/>
      <c r="L2291" s="10"/>
      <c r="M2291" s="10"/>
      <c r="N2291" s="10"/>
      <c r="O2291" s="10"/>
      <c r="P2291" s="10"/>
      <c r="Q2291" s="10"/>
      <c r="R2291" s="10"/>
      <c r="S2291" s="10"/>
      <c r="T2291" s="10"/>
      <c r="U2291" s="10"/>
      <c r="V2291" s="10"/>
      <c r="W2291" s="10"/>
      <c r="X2291" s="10"/>
      <c r="Y2291" s="10"/>
      <c r="Z2291" s="10"/>
    </row>
    <row r="2292" spans="1:26" ht="12.75">
      <c r="A2292" s="10" t="str">
        <f ca="1">IFERROR(__xludf.DUMMYFUNCTION("""COMPUTED_VALUE"""),"Димитър Христов Иванов")</f>
        <v>Димитър Христов Иванов</v>
      </c>
      <c r="B2292" s="10" t="str">
        <f ca="1">IFERROR(__xludf.DUMMYFUNCTION("""COMPUTED_VALUE"""),"Монография")</f>
        <v>Монография</v>
      </c>
      <c r="C2292" s="10" t="str">
        <f ca="1">IFERROR(__xludf.DUMMYFUNCTION("""COMPUTED_VALUE"""),"Първата българска република 1946-1991")</f>
        <v>Първата българска република 1946-1991</v>
      </c>
      <c r="D2292" s="10">
        <f ca="1">IFERROR(__xludf.DUMMYFUNCTION("""COMPUTED_VALUE"""),2005)</f>
        <v>2005</v>
      </c>
      <c r="E2292" s="10" t="str">
        <f ca="1">IFERROR(__xludf.DUMMYFUNCTION("""COMPUTED_VALUE"""),"УИ ""Св. Климент Охридски"", 2005 г. с. 316 COBISS.BG-ID 1044133348")</f>
        <v>УИ "Св. Климент Охридски", 2005 г. с. 316 COBISS.BG-ID 1044133348</v>
      </c>
      <c r="F2292" s="10" t="str">
        <f ca="1">IFERROR(__xludf.DUMMYFUNCTION("""COMPUTED_VALUE"""),"COBISS.BG-ID 1044133348")</f>
        <v>COBISS.BG-ID 1044133348</v>
      </c>
      <c r="G2292" s="10"/>
      <c r="H2292" s="10"/>
      <c r="I2292" s="10"/>
      <c r="J2292" s="10"/>
      <c r="K2292" s="10"/>
      <c r="L2292" s="10"/>
      <c r="M2292" s="10"/>
      <c r="N2292" s="10"/>
      <c r="O2292" s="10"/>
      <c r="P2292" s="10"/>
      <c r="Q2292" s="10"/>
      <c r="R2292" s="10"/>
      <c r="S2292" s="10"/>
      <c r="T2292" s="10"/>
      <c r="U2292" s="10"/>
      <c r="V2292" s="10"/>
      <c r="W2292" s="10"/>
      <c r="X2292" s="10"/>
      <c r="Y2292" s="10"/>
      <c r="Z2292" s="10"/>
    </row>
    <row r="2293" spans="1:26" ht="12.75">
      <c r="A2293" s="10" t="str">
        <f ca="1">IFERROR(__xludf.DUMMYFUNCTION("""COMPUTED_VALUE"""),"Димитър Христов Иванов")</f>
        <v>Димитър Христов Иванов</v>
      </c>
      <c r="B2293" s="10" t="str">
        <f ca="1">IFERROR(__xludf.DUMMYFUNCTION("""COMPUTED_VALUE"""),"Монография")</f>
        <v>Монография</v>
      </c>
      <c r="C2293" s="10" t="str">
        <f ca="1">IFERROR(__xludf.DUMMYFUNCTION("""COMPUTED_VALUE"""),"Шести отдел")</f>
        <v>Шести отдел</v>
      </c>
      <c r="D2293" s="10">
        <f ca="1">IFERROR(__xludf.DUMMYFUNCTION("""COMPUTED_VALUE"""),2005)</f>
        <v>2005</v>
      </c>
      <c r="E2293" s="10" t="str">
        <f ca="1">IFERROR(__xludf.DUMMYFUNCTION("""COMPUTED_VALUE"""),"Книгоиздателска къща Труд, 2004, ISBN - 954-528-428-5")</f>
        <v>Книгоиздателска къща Труд, 2004, ISBN - 954-528-428-5</v>
      </c>
      <c r="F2293" s="10"/>
      <c r="G2293" s="10"/>
      <c r="H2293" s="10"/>
      <c r="I2293" s="10"/>
      <c r="J2293" s="10"/>
      <c r="K2293" s="10"/>
      <c r="L2293" s="10"/>
      <c r="M2293" s="10"/>
      <c r="N2293" s="10"/>
      <c r="O2293" s="10"/>
      <c r="P2293" s="10"/>
      <c r="Q2293" s="10"/>
      <c r="R2293" s="10"/>
      <c r="S2293" s="10"/>
      <c r="T2293" s="10"/>
      <c r="U2293" s="10"/>
      <c r="V2293" s="10"/>
      <c r="W2293" s="10"/>
      <c r="X2293" s="10"/>
      <c r="Y2293" s="10"/>
      <c r="Z2293" s="10"/>
    </row>
    <row r="2294" spans="1:26" ht="12.75">
      <c r="A2294" s="10" t="str">
        <f ca="1">IFERROR(__xludf.DUMMYFUNCTION("""COMPUTED_VALUE"""),"Димитър Христов Иванов")</f>
        <v>Димитър Христов Иванов</v>
      </c>
      <c r="B2294" s="10" t="str">
        <f ca="1">IFERROR(__xludf.DUMMYFUNCTION("""COMPUTED_VALUE"""),"Книга")</f>
        <v>Книга</v>
      </c>
      <c r="C2294" s="10" t="str">
        <f ca="1">IFERROR(__xludf.DUMMYFUNCTION("""COMPUTED_VALUE"""),"От девети до десети")</f>
        <v>От девети до десети</v>
      </c>
      <c r="D2294" s="10">
        <f ca="1">IFERROR(__xludf.DUMMYFUNCTION("""COMPUTED_VALUE"""),2004)</f>
        <v>2004</v>
      </c>
      <c r="E2294" s="10" t="str">
        <f ca="1">IFERROR(__xludf.DUMMYFUNCTION("""COMPUTED_VALUE"""),"Унив. изд. Св. Климент Охридски : Захарий Стоянов, 2004, ISBN - 954-07-2018-4; 954-739-554-8")</f>
        <v>Унив. изд. Св. Климент Охридски : Захарий Стоянов, 2004, ISBN - 954-07-2018-4; 954-739-554-8</v>
      </c>
      <c r="F2294" s="10"/>
      <c r="G2294" s="10"/>
      <c r="H2294" s="10"/>
      <c r="I2294" s="10"/>
      <c r="J2294" s="10"/>
      <c r="K2294" s="10"/>
      <c r="L2294" s="10"/>
      <c r="M2294" s="10"/>
      <c r="N2294" s="10"/>
      <c r="O2294" s="10"/>
      <c r="P2294" s="10"/>
      <c r="Q2294" s="10"/>
      <c r="R2294" s="10"/>
      <c r="S2294" s="10"/>
      <c r="T2294" s="10"/>
      <c r="U2294" s="10"/>
      <c r="V2294" s="10"/>
      <c r="W2294" s="10"/>
      <c r="X2294" s="10"/>
      <c r="Y2294" s="10"/>
      <c r="Z2294" s="10"/>
    </row>
    <row r="2295" spans="1:26" ht="12.75">
      <c r="A2295" s="10" t="str">
        <f ca="1">IFERROR(__xludf.DUMMYFUNCTION("""COMPUTED_VALUE"""),"Димитър Христов Иванов")</f>
        <v>Димитър Христов Иванов</v>
      </c>
      <c r="B2295" s="10" t="str">
        <f ca="1">IFERROR(__xludf.DUMMYFUNCTION("""COMPUTED_VALUE"""),"Книга")</f>
        <v>Книга</v>
      </c>
      <c r="C2295" s="10" t="str">
        <f ca="1">IFERROR(__xludf.DUMMYFUNCTION("""COMPUTED_VALUE"""),"Управление на информационните ресурси в историческия музей")</f>
        <v>Управление на информационните ресурси в историческия музей</v>
      </c>
      <c r="D2295" s="10">
        <f ca="1">IFERROR(__xludf.DUMMYFUNCTION("""COMPUTED_VALUE"""),2004)</f>
        <v>2004</v>
      </c>
      <c r="E2295" s="10" t="str">
        <f ca="1">IFERROR(__xludf.DUMMYFUNCTION("""COMPUTED_VALUE"""),"Издателство ""За буквите - О писменехь"", София 2004, ISBN 978-954-2946-32-8")</f>
        <v>Издателство "За буквите - О писменехь", София 2004, ISBN 978-954-2946-32-8</v>
      </c>
      <c r="F2295" s="10"/>
      <c r="G2295" s="10" t="str">
        <f ca="1">IFERROR(__xludf.DUMMYFUNCTION("""COMPUTED_VALUE"""),"Нина Дебрюне")</f>
        <v>Нина Дебрюне</v>
      </c>
      <c r="H2295" s="10"/>
      <c r="I2295" s="10"/>
      <c r="J2295" s="10"/>
      <c r="K2295" s="10"/>
      <c r="L2295" s="10"/>
      <c r="M2295" s="10"/>
      <c r="N2295" s="10"/>
      <c r="O2295" s="10"/>
      <c r="P2295" s="10"/>
      <c r="Q2295" s="10"/>
      <c r="R2295" s="10"/>
      <c r="S2295" s="10"/>
      <c r="T2295" s="10"/>
      <c r="U2295" s="10"/>
      <c r="V2295" s="10"/>
      <c r="W2295" s="10"/>
      <c r="X2295" s="10"/>
      <c r="Y2295" s="10"/>
      <c r="Z2295" s="10"/>
    </row>
    <row r="2296" spans="1:26" ht="12.75">
      <c r="A2296" s="10" t="str">
        <f ca="1">IFERROR(__xludf.DUMMYFUNCTION("""COMPUTED_VALUE"""),"Димитър Христов Иванов")</f>
        <v>Димитър Христов Иванов</v>
      </c>
      <c r="B2296" s="10" t="str">
        <f ca="1">IFERROR(__xludf.DUMMYFUNCTION("""COMPUTED_VALUE"""),"Монография")</f>
        <v>Монография</v>
      </c>
      <c r="C2296" s="10" t="str">
        <f ca="1">IFERROR(__xludf.DUMMYFUNCTION("""COMPUTED_VALUE"""),"""Мъжка орис"" Противопоставянето")</f>
        <v>"Мъжка орис" Противопоставянето</v>
      </c>
      <c r="D2296" s="10">
        <f ca="1">IFERROR(__xludf.DUMMYFUNCTION("""COMPUTED_VALUE"""),2001)</f>
        <v>2001</v>
      </c>
      <c r="E2296" s="10" t="str">
        <f ca="1">IFERROR(__xludf.DUMMYFUNCTION("""COMPUTED_VALUE"""),"изд. Захарий Стоянов, 2001г., с. 189 ISBN - 954-739-165-8")</f>
        <v>изд. Захарий Стоянов, 2001г., с. 189 ISBN - 954-739-165-8</v>
      </c>
      <c r="F2296" s="10"/>
      <c r="G2296" s="10"/>
      <c r="H2296" s="10"/>
      <c r="I2296" s="10"/>
      <c r="J2296" s="10"/>
      <c r="K2296" s="10"/>
      <c r="L2296" s="10"/>
      <c r="M2296" s="10"/>
      <c r="N2296" s="10"/>
      <c r="O2296" s="10"/>
      <c r="P2296" s="10"/>
      <c r="Q2296" s="10"/>
      <c r="R2296" s="10"/>
      <c r="S2296" s="10"/>
      <c r="T2296" s="10"/>
      <c r="U2296" s="10"/>
      <c r="V2296" s="10"/>
      <c r="W2296" s="10"/>
      <c r="X2296" s="10"/>
      <c r="Y2296" s="10"/>
      <c r="Z2296" s="10"/>
    </row>
    <row r="2297" spans="1:26" ht="12.75">
      <c r="A2297" s="10" t="str">
        <f ca="1">IFERROR(__xludf.DUMMYFUNCTION("""COMPUTED_VALUE"""),"Доротея Валентинова Михова")</f>
        <v>Доротея Валентинова Михова</v>
      </c>
      <c r="B2297" s="10" t="str">
        <f ca="1">IFERROR(__xludf.DUMMYFUNCTION("""COMPUTED_VALUE"""),"Учебно пособие")</f>
        <v>Учебно пособие</v>
      </c>
      <c r="C2297" s="10" t="str">
        <f ca="1">IFERROR(__xludf.DUMMYFUNCTION("""COMPUTED_VALUE"""),"Общества в криза: феномени, документи, свидетелства")</f>
        <v>Общества в криза: феномени, документи, свидетелства</v>
      </c>
      <c r="D2297" s="10">
        <f ca="1">IFERROR(__xludf.DUMMYFUNCTION("""COMPUTED_VALUE"""),2018)</f>
        <v>2018</v>
      </c>
      <c r="E2297" s="10" t="str">
        <f ca="1">IFERROR(__xludf.DUMMYFUNCTION("""COMPUTED_VALUE"""),"Фондация „Българско историческо наследство”, 2018, ISBN 978-954-8536-26-4")</f>
        <v>Фондация „Българско историческо наследство”, 2018, ISBN 978-954-8536-26-4</v>
      </c>
      <c r="F2297" s="10"/>
      <c r="G2297" s="10"/>
      <c r="H2297" s="10"/>
      <c r="I2297" s="10"/>
      <c r="J2297" s="10"/>
      <c r="K2297" s="10"/>
      <c r="L2297" s="10"/>
      <c r="M2297" s="10"/>
      <c r="N2297" s="10"/>
      <c r="O2297" s="10"/>
      <c r="P2297" s="10"/>
      <c r="Q2297" s="10"/>
      <c r="R2297" s="10"/>
      <c r="S2297" s="10"/>
      <c r="T2297" s="10"/>
      <c r="U2297" s="10"/>
      <c r="V2297" s="10"/>
      <c r="W2297" s="10"/>
      <c r="X2297" s="10"/>
      <c r="Y2297" s="10"/>
      <c r="Z2297" s="10"/>
    </row>
    <row r="2298" spans="1:26" ht="12.75">
      <c r="A2298" s="10" t="str">
        <f ca="1">IFERROR(__xludf.DUMMYFUNCTION("""COMPUTED_VALUE"""),"Доротея Валентинова Михова")</f>
        <v>Доротея Валентинова Михова</v>
      </c>
      <c r="B2298" s="10" t="str">
        <f ca="1">IFERROR(__xludf.DUMMYFUNCTION("""COMPUTED_VALUE"""),"Статия в списания и поредици")</f>
        <v>Статия в списания и поредици</v>
      </c>
      <c r="C2298" s="10" t="str">
        <f ca="1">IFERROR(__xludf.DUMMYFUNCTION("""COMPUTED_VALUE"""),"CUI BONO: Кризи на идентичността или кризи на легитимността в „Свят без граници”?")</f>
        <v>CUI BONO: Кризи на идентичността или кризи на легитимността в „Свят без граници”?</v>
      </c>
      <c r="D2298" s="10">
        <f ca="1">IFERROR(__xludf.DUMMYFUNCTION("""COMPUTED_VALUE"""),2018)</f>
        <v>2018</v>
      </c>
      <c r="E2298" s="10" t="str">
        <f ca="1">IFERROR(__xludf.DUMMYFUNCTION("""COMPUTED_VALUE"""),"Сборник доклади от годишна научна конференция, 14-15 юни 2018, Велико Търново, ISBN 978-619-7246-20-9 (online e-book), 839-850")</f>
        <v>Сборник доклади от годишна научна конференция, 14-15 юни 2018, Велико Търново, ISBN 978-619-7246-20-9 (online e-book), 839-850</v>
      </c>
      <c r="F2298" s="10" t="str">
        <f ca="1">IFERROR(__xludf.DUMMYFUNCTION("""COMPUTED_VALUE"""),"CEEOL")</f>
        <v>CEEOL</v>
      </c>
      <c r="G2298" s="10"/>
      <c r="H2298" s="10"/>
      <c r="I2298" s="10"/>
      <c r="J2298" s="10"/>
      <c r="K2298" s="10"/>
      <c r="L2298" s="10"/>
      <c r="M2298" s="10"/>
      <c r="N2298" s="10"/>
      <c r="O2298" s="10"/>
      <c r="P2298" s="10"/>
      <c r="Q2298" s="10"/>
      <c r="R2298" s="10"/>
      <c r="S2298" s="10"/>
      <c r="T2298" s="10"/>
      <c r="U2298" s="10"/>
      <c r="V2298" s="10"/>
      <c r="W2298" s="10"/>
      <c r="X2298" s="10"/>
      <c r="Y2298" s="10"/>
      <c r="Z2298" s="10"/>
    </row>
    <row r="2299" spans="1:26" ht="12.75">
      <c r="A2299" s="10" t="str">
        <f ca="1">IFERROR(__xludf.DUMMYFUNCTION("""COMPUTED_VALUE"""),"Доротея Валентинова Михова")</f>
        <v>Доротея Валентинова Михова</v>
      </c>
      <c r="B2299" s="10" t="str">
        <f ca="1">IFERROR(__xludf.DUMMYFUNCTION("""COMPUTED_VALUE"""),"Статия в списания и поредици")</f>
        <v>Статия в списания и поредици</v>
      </c>
      <c r="C2299" s="10" t="str">
        <f ca="1">IFERROR(__xludf.DUMMYFUNCTION("""COMPUTED_VALUE"""),"Няма никой, който да прави добро, не, нито един… Салвиан Марсилски за злото и зрелищата на покварения свят")</f>
        <v>Няма никой, който да прави добро, не, нито един… Салвиан Марсилски за злото и зрелищата на покварения свят</v>
      </c>
      <c r="D2299" s="10">
        <f ca="1">IFERROR(__xludf.DUMMYFUNCTION("""COMPUTED_VALUE"""),2018)</f>
        <v>2018</v>
      </c>
      <c r="E2299" s="10" t="str">
        <f ca="1">IFERROR(__xludf.DUMMYFUNCTION("""COMPUTED_VALUE"""),"Laudator Temporis Acti. Studia In Memoriam Ioannis Bozilov. Vol. II. Ius, Imperium, Potestas. Litterae Ars et Archaelogia. Curavit I. A. Biliarsky. Serdicae MMXVIII, ИК „Гутенберг”, 2018, 69-85.")</f>
        <v>Laudator Temporis Acti. Studia In Memoriam Ioannis Bozilov. Vol. II. Ius, Imperium, Potestas. Litterae Ars et Archaelogia. Curavit I. A. Biliarsky. Serdicae MMXVIII, ИК „Гутенберг”, 2018, 69-85.</v>
      </c>
      <c r="F2299" s="10"/>
      <c r="G2299" s="10"/>
      <c r="H2299" s="10"/>
      <c r="I2299" s="10"/>
      <c r="J2299" s="10"/>
      <c r="K2299" s="10"/>
      <c r="L2299" s="10"/>
      <c r="M2299" s="10"/>
      <c r="N2299" s="10"/>
      <c r="O2299" s="10"/>
      <c r="P2299" s="10"/>
      <c r="Q2299" s="10"/>
      <c r="R2299" s="10"/>
      <c r="S2299" s="10"/>
      <c r="T2299" s="10"/>
      <c r="U2299" s="10"/>
      <c r="V2299" s="10"/>
      <c r="W2299" s="10"/>
      <c r="X2299" s="10"/>
      <c r="Y2299" s="10"/>
      <c r="Z2299" s="10"/>
    </row>
    <row r="2300" spans="1:26" ht="12.75">
      <c r="A2300" s="10" t="str">
        <f ca="1">IFERROR(__xludf.DUMMYFUNCTION("""COMPUTED_VALUE"""),"Доротея Валентинова Михова")</f>
        <v>Доротея Валентинова Михова</v>
      </c>
      <c r="B2300" s="10" t="str">
        <f ca="1">IFERROR(__xludf.DUMMYFUNCTION("""COMPUTED_VALUE"""),"Статия в списания и поредици")</f>
        <v>Статия в списания и поредици</v>
      </c>
      <c r="C2300" s="10" t="str">
        <f ca="1">IFERROR(__xludf.DUMMYFUNCTION("""COMPUTED_VALUE"""),"Децата във въоръжените конфликти: от мишени и жертви до бойци и живи бомби")</f>
        <v>Децата във въоръжените конфликти: от мишени и жертви до бойци и живи бомби</v>
      </c>
      <c r="D2300" s="10">
        <f ca="1">IFERROR(__xludf.DUMMYFUNCTION("""COMPUTED_VALUE"""),2018)</f>
        <v>2018</v>
      </c>
      <c r="E2300" s="10" t="str">
        <f ca="1">IFERROR(__xludf.DUMMYFUNCTION("""COMPUTED_VALUE"""),"Издателски комплекс на НВУ „Васил Левски”, Велико Търново, 2018 (под печат)")</f>
        <v>Издателски комплекс на НВУ „Васил Левски”, Велико Търново, 2018 (под печат)</v>
      </c>
      <c r="F2300" s="10"/>
      <c r="G2300" s="10"/>
      <c r="H2300" s="10"/>
      <c r="I2300" s="10"/>
      <c r="J2300" s="10"/>
      <c r="K2300" s="10"/>
      <c r="L2300" s="10"/>
      <c r="M2300" s="10"/>
      <c r="N2300" s="10"/>
      <c r="O2300" s="10"/>
      <c r="P2300" s="10"/>
      <c r="Q2300" s="10"/>
      <c r="R2300" s="10"/>
      <c r="S2300" s="10"/>
      <c r="T2300" s="10"/>
      <c r="U2300" s="10"/>
      <c r="V2300" s="10"/>
      <c r="W2300" s="10"/>
      <c r="X2300" s="10"/>
      <c r="Y2300" s="10"/>
      <c r="Z2300" s="10"/>
    </row>
    <row r="2301" spans="1:26" ht="12.75">
      <c r="A2301" s="10" t="str">
        <f ca="1">IFERROR(__xludf.DUMMYFUNCTION("""COMPUTED_VALUE"""),"Доротея Валентинова Михова")</f>
        <v>Доротея Валентинова Михова</v>
      </c>
      <c r="B2301" s="10" t="str">
        <f ca="1">IFERROR(__xludf.DUMMYFUNCTION("""COMPUTED_VALUE"""),"Статия в списания и поредици")</f>
        <v>Статия в списания и поредици</v>
      </c>
      <c r="C2301" s="10" t="str">
        <f ca="1">IFERROR(__xludf.DUMMYFUNCTION("""COMPUTED_VALUE"""),"Enemies or Allies? The Paleologoi and the Nemanjić Dynasties in the Crusaders’ Propaganda Treatise Directorium ad Passagium Faciendum of Pseudo-Brocardus")</f>
        <v>Enemies or Allies? The Paleologoi and the Nemanjić Dynasties in the Crusaders’ Propaganda Treatise Directorium ad Passagium Faciendum of Pseudo-Brocardus</v>
      </c>
      <c r="D2301" s="10">
        <f ca="1">IFERROR(__xludf.DUMMYFUNCTION("""COMPUTED_VALUE"""),2018)</f>
        <v>2018</v>
      </c>
      <c r="E2301" s="10" t="str">
        <f ca="1">IFERROR(__xludf.DUMMYFUNCTION("""COMPUTED_VALUE"""),"2. Bulgaria Mediaevalis, 9/2018, ISSN 1314-2941 (in print) - in Engl.")</f>
        <v>2. Bulgaria Mediaevalis, 9/2018, ISSN 1314-2941 (in print) - in Engl.</v>
      </c>
      <c r="F2301" s="10" t="str">
        <f ca="1">IFERROR(__xludf.DUMMYFUNCTION("""COMPUTED_VALUE"""),"CEEOL")</f>
        <v>CEEOL</v>
      </c>
      <c r="G2301" s="10"/>
      <c r="H2301" s="10"/>
      <c r="I2301" s="10"/>
      <c r="J2301" s="10"/>
      <c r="K2301" s="10"/>
      <c r="L2301" s="10"/>
      <c r="M2301" s="10"/>
      <c r="N2301" s="10"/>
      <c r="O2301" s="10"/>
      <c r="P2301" s="10"/>
      <c r="Q2301" s="10"/>
      <c r="R2301" s="10"/>
      <c r="S2301" s="10"/>
      <c r="T2301" s="10"/>
      <c r="U2301" s="10"/>
      <c r="V2301" s="10"/>
      <c r="W2301" s="10"/>
      <c r="X2301" s="10"/>
      <c r="Y2301" s="10"/>
      <c r="Z2301" s="10"/>
    </row>
    <row r="2302" spans="1:26" ht="12.75">
      <c r="A2302" s="10" t="str">
        <f ca="1">IFERROR(__xludf.DUMMYFUNCTION("""COMPUTED_VALUE"""),"Доротея Валентинова Михова")</f>
        <v>Доротея Валентинова Михова</v>
      </c>
      <c r="B2302" s="10" t="str">
        <f ca="1">IFERROR(__xludf.DUMMYFUNCTION("""COMPUTED_VALUE"""),"Статия в списания и поредици")</f>
        <v>Статия в списания и поредици</v>
      </c>
      <c r="C2302" s="10" t="str">
        <f ca="1">IFERROR(__xludf.DUMMYFUNCTION("""COMPUTED_VALUE"""),"When two worlds collide and merge: “At first I wanted to erase the Roman name and convert all Roman territory into a Gothic empire...")</f>
        <v>When two worlds collide and merge: “At first I wanted to erase the Roman name and convert all Roman territory into a Gothic empire...</v>
      </c>
      <c r="D2302" s="10">
        <f ca="1">IFERROR(__xludf.DUMMYFUNCTION("""COMPUTED_VALUE"""),2018)</f>
        <v>2018</v>
      </c>
      <c r="E2302" s="10" t="str">
        <f ca="1">IFERROR(__xludf.DUMMYFUNCTION("""COMPUTED_VALUE"""),"Bulgaria Mediaevalis, 8/2018, ISSN 1314-2941 (in print) - in Engl.")</f>
        <v>Bulgaria Mediaevalis, 8/2018, ISSN 1314-2941 (in print) - in Engl.</v>
      </c>
      <c r="F2302" s="10" t="str">
        <f ca="1">IFERROR(__xludf.DUMMYFUNCTION("""COMPUTED_VALUE"""),"CEEOL")</f>
        <v>CEEOL</v>
      </c>
      <c r="G2302" s="10"/>
      <c r="H2302" s="10"/>
      <c r="I2302" s="10"/>
      <c r="J2302" s="10"/>
      <c r="K2302" s="10"/>
      <c r="L2302" s="10"/>
      <c r="M2302" s="10"/>
      <c r="N2302" s="10"/>
      <c r="O2302" s="10"/>
      <c r="P2302" s="10"/>
      <c r="Q2302" s="10"/>
      <c r="R2302" s="10"/>
      <c r="S2302" s="10"/>
      <c r="T2302" s="10"/>
      <c r="U2302" s="10"/>
      <c r="V2302" s="10"/>
      <c r="W2302" s="10"/>
      <c r="X2302" s="10"/>
      <c r="Y2302" s="10"/>
      <c r="Z2302" s="10"/>
    </row>
    <row r="2303" spans="1:26" ht="12.75">
      <c r="A2303" s="10" t="str">
        <f ca="1">IFERROR(__xludf.DUMMYFUNCTION("""COMPUTED_VALUE"""),"Доротея Валентинова Михова")</f>
        <v>Доротея Валентинова Михова</v>
      </c>
      <c r="B2303" s="10" t="str">
        <f ca="1">IFERROR(__xludf.DUMMYFUNCTION("""COMPUTED_VALUE"""),"Статия в списания и поредици")</f>
        <v>Статия в списания и поредици</v>
      </c>
      <c r="C2303" s="10" t="str">
        <f ca="1">IFERROR(__xludf.DUMMYFUNCTION("""COMPUTED_VALUE"""),"“Заради тези могъщи и значими длъжности и почести целувате ръцете на чужди роби”. Епиктет или (не)възможният път към свободата и добродетелта")</f>
        <v>“Заради тези могъщи и значими длъжности и почести целувате ръцете на чужди роби”. Епиктет или (не)възможният път към свободата и добродетелта</v>
      </c>
      <c r="D2303" s="10">
        <f ca="1">IFERROR(__xludf.DUMMYFUNCTION("""COMPUTED_VALUE"""),2018)</f>
        <v>2018</v>
      </c>
      <c r="E2303" s="10" t="str">
        <f ca="1">IFERROR(__xludf.DUMMYFUNCTION("""COMPUTED_VALUE"""),"Годишник на департамент „История” на НБУ, 2018, ISSN 1313-7301 (под печат)")</f>
        <v>Годишник на департамент „История” на НБУ, 2018, ISSN 1313-7301 (под печат)</v>
      </c>
      <c r="F2303" s="10"/>
      <c r="G2303" s="10"/>
      <c r="H2303" s="10"/>
      <c r="I2303" s="10"/>
      <c r="J2303" s="10"/>
      <c r="K2303" s="10"/>
      <c r="L2303" s="10"/>
      <c r="M2303" s="10"/>
      <c r="N2303" s="10"/>
      <c r="O2303" s="10"/>
      <c r="P2303" s="10"/>
      <c r="Q2303" s="10"/>
      <c r="R2303" s="10"/>
      <c r="S2303" s="10"/>
      <c r="T2303" s="10"/>
      <c r="U2303" s="10"/>
      <c r="V2303" s="10"/>
      <c r="W2303" s="10"/>
      <c r="X2303" s="10"/>
      <c r="Y2303" s="10"/>
      <c r="Z2303" s="10"/>
    </row>
    <row r="2304" spans="1:26" ht="12.75">
      <c r="A2304" s="10" t="str">
        <f ca="1">IFERROR(__xludf.DUMMYFUNCTION("""COMPUTED_VALUE"""),"Доротея Валентинова Михова")</f>
        <v>Доротея Валентинова Михова</v>
      </c>
      <c r="B2304" s="10" t="str">
        <f ca="1">IFERROR(__xludf.DUMMYFUNCTION("""COMPUTED_VALUE"""),"Книга")</f>
        <v>Книга</v>
      </c>
      <c r="C2304" s="10" t="str">
        <f ca="1">IFERROR(__xludf.DUMMYFUNCTION("""COMPUTED_VALUE"""),"Архивно-документални източници за кризите в съвременното общество")</f>
        <v>Архивно-документални източници за кризите в съвременното общество</v>
      </c>
      <c r="D2304" s="10">
        <f ca="1">IFERROR(__xludf.DUMMYFUNCTION("""COMPUTED_VALUE"""),2018)</f>
        <v>2018</v>
      </c>
      <c r="E2304" s="10" t="str">
        <f ca="1">IFERROR(__xludf.DUMMYFUNCTION("""COMPUTED_VALUE"""),"Фондация “Българско историческо наследство”, 2018, ISBN 978-954- 8536-25- 7.")</f>
        <v>Фондация “Българско историческо наследство”, 2018, ISBN 978-954- 8536-25- 7.</v>
      </c>
      <c r="F2304" s="10"/>
      <c r="G2304" s="10"/>
      <c r="H2304" s="10"/>
      <c r="I2304" s="10"/>
      <c r="J2304" s="10"/>
      <c r="K2304" s="10"/>
      <c r="L2304" s="10"/>
      <c r="M2304" s="10"/>
      <c r="N2304" s="10"/>
      <c r="O2304" s="10"/>
      <c r="P2304" s="10"/>
      <c r="Q2304" s="10"/>
      <c r="R2304" s="10"/>
      <c r="S2304" s="10"/>
      <c r="T2304" s="10"/>
      <c r="U2304" s="10"/>
      <c r="V2304" s="10"/>
      <c r="W2304" s="10"/>
      <c r="X2304" s="10"/>
      <c r="Y2304" s="10"/>
      <c r="Z2304" s="10"/>
    </row>
    <row r="2305" spans="1:26" ht="12.75">
      <c r="A2305" s="10" t="str">
        <f ca="1">IFERROR(__xludf.DUMMYFUNCTION("""COMPUTED_VALUE"""),"Доротея Валентинова Михова")</f>
        <v>Доротея Валентинова Михова</v>
      </c>
      <c r="B2305" s="10" t="str">
        <f ca="1">IFERROR(__xludf.DUMMYFUNCTION("""COMPUTED_VALUE"""),"Статия в списания и поредици")</f>
        <v>Статия в списания и поредици</v>
      </c>
      <c r="C2305" s="10" t="str">
        <f ca="1">IFERROR(__xludf.DUMMYFUNCTION("""COMPUTED_VALUE"""),"Залезът на егалитаризма в обществата на XXI век")</f>
        <v>Залезът на егалитаризма в обществата на XXI век</v>
      </c>
      <c r="D2305" s="10">
        <f ca="1">IFERROR(__xludf.DUMMYFUNCTION("""COMPUTED_VALUE"""),2017)</f>
        <v>2017</v>
      </c>
      <c r="E2305" s="10" t="str">
        <f ca="1">IFERROR(__xludf.DUMMYFUNCTION("""COMPUTED_VALUE"""),"Актуални проблеми на сигурността. Издателски комплекс на НВУ „Васил Левски”, Велико Търново, 2017, 244-254, ISSN 2367-7473.")</f>
        <v>Актуални проблеми на сигурността. Издателски комплекс на НВУ „Васил Левски”, Велико Търново, 2017, 244-254, ISSN 2367-7473.</v>
      </c>
      <c r="F2305" s="10"/>
      <c r="G2305" s="10"/>
      <c r="H2305" s="10"/>
      <c r="I2305" s="10"/>
      <c r="J2305" s="10"/>
      <c r="K2305" s="10"/>
      <c r="L2305" s="10"/>
      <c r="M2305" s="10"/>
      <c r="N2305" s="10"/>
      <c r="O2305" s="10"/>
      <c r="P2305" s="10"/>
      <c r="Q2305" s="10"/>
      <c r="R2305" s="10"/>
      <c r="S2305" s="10"/>
      <c r="T2305" s="10"/>
      <c r="U2305" s="10"/>
      <c r="V2305" s="10"/>
      <c r="W2305" s="10"/>
      <c r="X2305" s="10"/>
      <c r="Y2305" s="10"/>
      <c r="Z2305" s="10"/>
    </row>
    <row r="2306" spans="1:26" ht="12.75">
      <c r="A2306" s="10" t="str">
        <f ca="1">IFERROR(__xludf.DUMMYFUNCTION("""COMPUTED_VALUE"""),"Доротея Валентинова Михова")</f>
        <v>Доротея Валентинова Михова</v>
      </c>
      <c r="B2306" s="10" t="str">
        <f ca="1">IFERROR(__xludf.DUMMYFUNCTION("""COMPUTED_VALUE"""),"Статия в списания и поредици")</f>
        <v>Статия в списания и поредици</v>
      </c>
      <c r="C2306" s="10" t="str">
        <f ca="1">IFERROR(__xludf.DUMMYFUNCTION("""COMPUTED_VALUE"""),"When two worlds collide and merge: “At first I wanted to erase the Roman name and convert all Roman territory into a Gothic empire...”.")</f>
        <v>When two worlds collide and merge: “At first I wanted to erase the Roman name and convert all Roman territory into a Gothic empire...”.</v>
      </c>
      <c r="D2306" s="10">
        <f ca="1">IFERROR(__xludf.DUMMYFUNCTION("""COMPUTED_VALUE"""),2017)</f>
        <v>2017</v>
      </c>
      <c r="E2306" s="10" t="str">
        <f ca="1">IFERROR(__xludf.DUMMYFUNCTION("""COMPUTED_VALUE"""),"Bulgaria Mediaevalis, 8/2017, ISSN 1314-2941")</f>
        <v>Bulgaria Mediaevalis, 8/2017, ISSN 1314-2941</v>
      </c>
      <c r="F2306" s="10" t="str">
        <f ca="1">IFERROR(__xludf.DUMMYFUNCTION("""COMPUTED_VALUE"""),"CEEOL.")</f>
        <v>CEEOL.</v>
      </c>
      <c r="G2306" s="10"/>
      <c r="H2306" s="10"/>
      <c r="I2306" s="10"/>
      <c r="J2306" s="10"/>
      <c r="K2306" s="10"/>
      <c r="L2306" s="10"/>
      <c r="M2306" s="10"/>
      <c r="N2306" s="10"/>
      <c r="O2306" s="10"/>
      <c r="P2306" s="10"/>
      <c r="Q2306" s="10"/>
      <c r="R2306" s="10"/>
      <c r="S2306" s="10"/>
      <c r="T2306" s="10"/>
      <c r="U2306" s="10"/>
      <c r="V2306" s="10"/>
      <c r="W2306" s="10"/>
      <c r="X2306" s="10"/>
      <c r="Y2306" s="10"/>
      <c r="Z2306" s="10"/>
    </row>
    <row r="2307" spans="1:26" ht="12.75">
      <c r="A2307" s="10" t="str">
        <f ca="1">IFERROR(__xludf.DUMMYFUNCTION("""COMPUTED_VALUE"""),"Доротея Валентинова Михова")</f>
        <v>Доротея Валентинова Михова</v>
      </c>
      <c r="B2307" s="10" t="str">
        <f ca="1">IFERROR(__xludf.DUMMYFUNCTION("""COMPUTED_VALUE"""),"Статия в списания и поредици")</f>
        <v>Статия в списания и поредици</v>
      </c>
      <c r="C2307" s="10" t="str">
        <f ca="1">IFERROR(__xludf.DUMMYFUNCTION("""COMPUTED_VALUE"""),"„Ние” и „те”: расизъм и дискриминация в реториката срещу „Другия”")</f>
        <v>„Ние” и „те”: расизъм и дискриминация в реториката срещу „Другия”</v>
      </c>
      <c r="D2307" s="10">
        <f ca="1">IFERROR(__xludf.DUMMYFUNCTION("""COMPUTED_VALUE"""),2017)</f>
        <v>2017</v>
      </c>
      <c r="E2307" s="10" t="str">
        <f ca="1">IFERROR(__xludf.DUMMYFUNCTION("""COMPUTED_VALUE"""),"Културни коридори - юбилей и памет. Том I. УниБИТ, За буквите - о писменехъ. София, 2017, 109-125, ISBN 978-619-185-307-6.")</f>
        <v>Културни коридори - юбилей и памет. Том I. УниБИТ, За буквите - о писменехъ. София, 2017, 109-125, ISBN 978-619-185-307-6.</v>
      </c>
      <c r="F2307" s="10"/>
      <c r="G2307" s="10"/>
      <c r="H2307" s="10"/>
      <c r="I2307" s="10"/>
      <c r="J2307" s="10"/>
      <c r="K2307" s="10"/>
      <c r="L2307" s="10"/>
      <c r="M2307" s="10"/>
      <c r="N2307" s="10"/>
      <c r="O2307" s="10"/>
      <c r="P2307" s="10"/>
      <c r="Q2307" s="10"/>
      <c r="R2307" s="10"/>
      <c r="S2307" s="10"/>
      <c r="T2307" s="10"/>
      <c r="U2307" s="10"/>
      <c r="V2307" s="10"/>
      <c r="W2307" s="10"/>
      <c r="X2307" s="10"/>
      <c r="Y2307" s="10"/>
      <c r="Z2307" s="10"/>
    </row>
    <row r="2308" spans="1:26" ht="12.75">
      <c r="A2308" s="10" t="str">
        <f ca="1">IFERROR(__xludf.DUMMYFUNCTION("""COMPUTED_VALUE"""),"Доротея Валентинова Михова")</f>
        <v>Доротея Валентинова Михова</v>
      </c>
      <c r="B2308" s="10" t="str">
        <f ca="1">IFERROR(__xludf.DUMMYFUNCTION("""COMPUTED_VALUE"""),"Статия в списания и поредици")</f>
        <v>Статия в списания и поредици</v>
      </c>
      <c r="C2308" s="10" t="str">
        <f ca="1">IFERROR(__xludf.DUMMYFUNCTION("""COMPUTED_VALUE"""),"Семантиката на Другостта в противостоянията на XXI в.")</f>
        <v>Семантиката на Другостта в противостоянията на XXI в.</v>
      </c>
      <c r="D2308" s="10">
        <f ca="1">IFERROR(__xludf.DUMMYFUNCTION("""COMPUTED_VALUE"""),2016)</f>
        <v>2016</v>
      </c>
      <c r="E2308" s="10" t="str">
        <f ca="1">IFERROR(__xludf.DUMMYFUNCTION("""COMPUTED_VALUE"""),"Сп. „Стратегии на образователната и научната политика“, Strategies for Policy in Science and Education, Vol. 24, Number 3, 2016, 253-263, ISSN 1314–8575 (Online), ISSN 1310–0270 (Print); ERIH PLUS, CEEOL.")</f>
        <v>Сп. „Стратегии на образователната и научната политика“, Strategies for Policy in Science and Education, Vol. 24, Number 3, 2016, 253-263, ISSN 1314–8575 (Online), ISSN 1310–0270 (Print); ERIH PLUS, CEEOL.</v>
      </c>
      <c r="F2308" s="10" t="str">
        <f ca="1">IFERROR(__xludf.DUMMYFUNCTION("""COMPUTED_VALUE"""),"ERIH PLUS, CEEOL")</f>
        <v>ERIH PLUS, CEEOL</v>
      </c>
      <c r="G2308" s="10"/>
      <c r="H2308" s="10"/>
      <c r="I2308" s="10"/>
      <c r="J2308" s="10"/>
      <c r="K2308" s="10"/>
      <c r="L2308" s="10"/>
      <c r="M2308" s="10"/>
      <c r="N2308" s="10"/>
      <c r="O2308" s="10"/>
      <c r="P2308" s="10"/>
      <c r="Q2308" s="10"/>
      <c r="R2308" s="10"/>
      <c r="S2308" s="10"/>
      <c r="T2308" s="10"/>
      <c r="U2308" s="10"/>
      <c r="V2308" s="10"/>
      <c r="W2308" s="10"/>
      <c r="X2308" s="10"/>
      <c r="Y2308" s="10"/>
      <c r="Z2308" s="10"/>
    </row>
    <row r="2309" spans="1:26" ht="12.75">
      <c r="A2309" s="10" t="str">
        <f ca="1">IFERROR(__xludf.DUMMYFUNCTION("""COMPUTED_VALUE"""),"Доротея Валентинова Михова")</f>
        <v>Доротея Валентинова Михова</v>
      </c>
      <c r="B2309" s="10" t="str">
        <f ca="1">IFERROR(__xludf.DUMMYFUNCTION("""COMPUTED_VALUE"""),"Статия в списания и поредици")</f>
        <v>Статия в списания и поредици</v>
      </c>
      <c r="C2309" s="10" t="str">
        <f ca="1">IFERROR(__xludf.DUMMYFUNCTION("""COMPUTED_VALUE"""),"Civitas Humana adversus Civitatem Divinam")</f>
        <v>Civitas Humana adversus Civitatem Divinam</v>
      </c>
      <c r="D2309" s="10">
        <f ca="1">IFERROR(__xludf.DUMMYFUNCTION("""COMPUTED_VALUE"""),2016)</f>
        <v>2016</v>
      </c>
      <c r="E2309" s="10" t="str">
        <f ca="1">IFERROR(__xludf.DUMMYFUNCTION("""COMPUTED_VALUE"""),"Годишник на департамент „Романистика и германистика”, НБУ, том 2, 2016, on line: http://ebox.nbu.bg/drg16/view_lesson.php?id=31 , ISSN 1313-78-75.")</f>
        <v>Годишник на департамент „Романистика и германистика”, НБУ, том 2, 2016, on line: http://ebox.nbu.bg/drg16/view_lesson.php?id=31 , ISSN 1313-78-75.</v>
      </c>
      <c r="F2309" s="10"/>
      <c r="G2309" s="10"/>
      <c r="H2309" s="10"/>
      <c r="I2309" s="10"/>
      <c r="J2309" s="10"/>
      <c r="K2309" s="10"/>
      <c r="L2309" s="10"/>
      <c r="M2309" s="10"/>
      <c r="N2309" s="10"/>
      <c r="O2309" s="10"/>
      <c r="P2309" s="10"/>
      <c r="Q2309" s="10"/>
      <c r="R2309" s="10"/>
      <c r="S2309" s="10"/>
      <c r="T2309" s="10"/>
      <c r="U2309" s="10"/>
      <c r="V2309" s="10"/>
      <c r="W2309" s="10"/>
      <c r="X2309" s="10"/>
      <c r="Y2309" s="10"/>
      <c r="Z2309" s="10"/>
    </row>
    <row r="2310" spans="1:26" ht="12.75">
      <c r="A2310" s="10" t="str">
        <f ca="1">IFERROR(__xludf.DUMMYFUNCTION("""COMPUTED_VALUE"""),"Доротея Валентинова Михова")</f>
        <v>Доротея Валентинова Михова</v>
      </c>
      <c r="B2310" s="10" t="str">
        <f ca="1">IFERROR(__xludf.DUMMYFUNCTION("""COMPUTED_VALUE"""),"Статия в списания и поредици")</f>
        <v>Статия в списания и поредици</v>
      </c>
      <c r="C2310" s="10" t="str">
        <f ca="1">IFERROR(__xludf.DUMMYFUNCTION("""COMPUTED_VALUE"""),"Usurpers or Allies? The Palaeologi and the Nemanjic in the Crusaders Propaganda")</f>
        <v>Usurpers or Allies? The Palaeologi and the Nemanjic in the Crusaders Propaganda</v>
      </c>
      <c r="D2310" s="10">
        <f ca="1">IFERROR(__xludf.DUMMYFUNCTION("""COMPUTED_VALUE"""),2016)</f>
        <v>2016</v>
      </c>
      <c r="E2310" s="10" t="str">
        <f ca="1">IFERROR(__xludf.DUMMYFUNCTION("""COMPUTED_VALUE"""),"“The Fairest Meadows in the World: Crusades and Crusaders in the Balkans”. Amsterdam University Press, 2016")</f>
        <v>“The Fairest Meadows in the World: Crusades and Crusaders in the Balkans”. Amsterdam University Press, 2016</v>
      </c>
      <c r="F2310" s="10"/>
      <c r="G2310" s="10"/>
      <c r="H2310" s="10"/>
      <c r="I2310" s="10"/>
      <c r="J2310" s="10"/>
      <c r="K2310" s="10"/>
      <c r="L2310" s="10"/>
      <c r="M2310" s="10"/>
      <c r="N2310" s="10"/>
      <c r="O2310" s="10"/>
      <c r="P2310" s="10"/>
      <c r="Q2310" s="10"/>
      <c r="R2310" s="10"/>
      <c r="S2310" s="10"/>
      <c r="T2310" s="10"/>
      <c r="U2310" s="10"/>
      <c r="V2310" s="10"/>
      <c r="W2310" s="10"/>
      <c r="X2310" s="10"/>
      <c r="Y2310" s="10"/>
      <c r="Z2310" s="10"/>
    </row>
    <row r="2311" spans="1:26" ht="12.75">
      <c r="A2311" s="10" t="str">
        <f ca="1">IFERROR(__xludf.DUMMYFUNCTION("""COMPUTED_VALUE"""),"Доротея Валентинова Михова")</f>
        <v>Доротея Валентинова Михова</v>
      </c>
      <c r="B2311" s="10" t="str">
        <f ca="1">IFERROR(__xludf.DUMMYFUNCTION("""COMPUTED_VALUE"""),"Статия в списания и поредици")</f>
        <v>Статия в списания и поредици</v>
      </c>
      <c r="C2311" s="10" t="str">
        <f ca="1">IFERROR(__xludf.DUMMYFUNCTION("""COMPUTED_VALUE"""),"Престъплението на сенатора-търговец в Plebiscitum Claudianum (“Antiquae sunt istae leges et mortuae...”)")</f>
        <v>Престъплението на сенатора-търговец в Plebiscitum Claudianum (“Antiquae sunt istae leges et mortuae...”)</v>
      </c>
      <c r="D2311" s="10">
        <f ca="1">IFERROR(__xludf.DUMMYFUNCTION("""COMPUTED_VALUE"""),2016)</f>
        <v>2016</v>
      </c>
      <c r="E2311" s="10" t="str">
        <f ca="1">IFERROR(__xludf.DUMMYFUNCTION("""COMPUTED_VALUE"""),"Сборник в чест на проф. Димитър Попов, Софийски университет „Св. Климент Охридски”, Исторически факултет, Катедра “Стара история")</f>
        <v>Сборник в чест на проф. Димитър Попов, Софийски университет „Св. Климент Охридски”, Исторически факултет, Катедра “Стара история</v>
      </c>
      <c r="F2311" s="10"/>
      <c r="G2311" s="10"/>
      <c r="H2311" s="10"/>
      <c r="I2311" s="10"/>
      <c r="J2311" s="10"/>
      <c r="K2311" s="10"/>
      <c r="L2311" s="10"/>
      <c r="M2311" s="10"/>
      <c r="N2311" s="10"/>
      <c r="O2311" s="10"/>
      <c r="P2311" s="10"/>
      <c r="Q2311" s="10"/>
      <c r="R2311" s="10"/>
      <c r="S2311" s="10"/>
      <c r="T2311" s="10"/>
      <c r="U2311" s="10"/>
      <c r="V2311" s="10"/>
      <c r="W2311" s="10"/>
      <c r="X2311" s="10"/>
      <c r="Y2311" s="10"/>
      <c r="Z2311" s="10"/>
    </row>
    <row r="2312" spans="1:26" ht="12.75">
      <c r="A2312" s="10" t="str">
        <f ca="1">IFERROR(__xludf.DUMMYFUNCTION("""COMPUTED_VALUE"""),"Доротея Валентинова Михова")</f>
        <v>Доротея Валентинова Михова</v>
      </c>
      <c r="B2312" s="10" t="str">
        <f ca="1">IFERROR(__xludf.DUMMYFUNCTION("""COMPUTED_VALUE"""),"Статия в списания и поредици")</f>
        <v>Статия в списания и поредици</v>
      </c>
      <c r="C2312" s="10" t="str">
        <f ca="1">IFERROR(__xludf.DUMMYFUNCTION("""COMPUTED_VALUE"""),"Справедливост и корупция в Lex Romana Ostrogothorum.")</f>
        <v>Справедливост и корупция в Lex Romana Ostrogothorum.</v>
      </c>
      <c r="D2312" s="10">
        <f ca="1">IFERROR(__xludf.DUMMYFUNCTION("""COMPUTED_VALUE"""),2016)</f>
        <v>2016</v>
      </c>
      <c r="E2312" s="10" t="str">
        <f ca="1">IFERROR(__xludf.DUMMYFUNCTION("""COMPUTED_VALUE"""),"Bulgaria Mediaevalis, 7/2016, 21-35, ISSN 1314-2941.")</f>
        <v>Bulgaria Mediaevalis, 7/2016, 21-35, ISSN 1314-2941.</v>
      </c>
      <c r="F2312" s="10" t="str">
        <f ca="1">IFERROR(__xludf.DUMMYFUNCTION("""COMPUTED_VALUE"""),"CEEOL")</f>
        <v>CEEOL</v>
      </c>
      <c r="G2312" s="10"/>
      <c r="H2312" s="10"/>
      <c r="I2312" s="10"/>
      <c r="J2312" s="10"/>
      <c r="K2312" s="10"/>
      <c r="L2312" s="10"/>
      <c r="M2312" s="10"/>
      <c r="N2312" s="10"/>
      <c r="O2312" s="10"/>
      <c r="P2312" s="10"/>
      <c r="Q2312" s="10"/>
      <c r="R2312" s="10"/>
      <c r="S2312" s="10"/>
      <c r="T2312" s="10"/>
      <c r="U2312" s="10"/>
      <c r="V2312" s="10"/>
      <c r="W2312" s="10"/>
      <c r="X2312" s="10"/>
      <c r="Y2312" s="10"/>
      <c r="Z2312" s="10"/>
    </row>
    <row r="2313" spans="1:26" ht="12.75">
      <c r="A2313" s="10" t="str">
        <f ca="1">IFERROR(__xludf.DUMMYFUNCTION("""COMPUTED_VALUE"""),"Доротея Валентинова Михова")</f>
        <v>Доротея Валентинова Михова</v>
      </c>
      <c r="B2313" s="10" t="str">
        <f ca="1">IFERROR(__xludf.DUMMYFUNCTION("""COMPUTED_VALUE"""),"Статия в списания и поредици")</f>
        <v>Статия в списания и поредици</v>
      </c>
      <c r="C2313" s="10" t="str">
        <f ca="1">IFERROR(__xludf.DUMMYFUNCTION("""COMPUTED_VALUE"""),"Римляни срещу германи в битка за бъдеще")</f>
        <v>Римляни срещу германи в битка за бъдеще</v>
      </c>
      <c r="D2313" s="10">
        <f ca="1">IFERROR(__xludf.DUMMYFUNCTION("""COMPUTED_VALUE"""),2015)</f>
        <v>2015</v>
      </c>
      <c r="E2313" s="10" t="str">
        <f ca="1">IFERROR(__xludf.DUMMYFUNCTION("""COMPUTED_VALUE"""),"Сборник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г.,177-186, ISSN 1314-1937.")</f>
        <v>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г.,177-186, ISSN 1314-1937.</v>
      </c>
      <c r="F2313" s="10"/>
      <c r="G2313" s="10"/>
      <c r="H2313" s="10"/>
      <c r="I2313" s="10"/>
      <c r="J2313" s="10"/>
      <c r="K2313" s="10"/>
      <c r="L2313" s="10"/>
      <c r="M2313" s="10"/>
      <c r="N2313" s="10"/>
      <c r="O2313" s="10"/>
      <c r="P2313" s="10"/>
      <c r="Q2313" s="10"/>
      <c r="R2313" s="10"/>
      <c r="S2313" s="10"/>
      <c r="T2313" s="10"/>
      <c r="U2313" s="10"/>
      <c r="V2313" s="10"/>
      <c r="W2313" s="10"/>
      <c r="X2313" s="10"/>
      <c r="Y2313" s="10"/>
      <c r="Z2313" s="10"/>
    </row>
    <row r="2314" spans="1:26" ht="12.75">
      <c r="A2314" s="10" t="str">
        <f ca="1">IFERROR(__xludf.DUMMYFUNCTION("""COMPUTED_VALUE"""),"Доротея Валентинова Михова")</f>
        <v>Доротея Валентинова Михова</v>
      </c>
      <c r="B2314" s="10" t="str">
        <f ca="1">IFERROR(__xludf.DUMMYFUNCTION("""COMPUTED_VALUE"""),"Доклад от конференция")</f>
        <v>Доклад от конференция</v>
      </c>
      <c r="C2314" s="10" t="str">
        <f ca="1">IFERROR(__xludf.DUMMYFUNCTION("""COMPUTED_VALUE"""),"Анатомия на постчовешкото: трансхуманизъм, технологична сингуларност и елити")</f>
        <v>Анатомия на постчовешкото: трансхуманизъм, технологична сингуларност и елити</v>
      </c>
      <c r="D2314" s="10">
        <f ca="1">IFERROR(__xludf.DUMMYFUNCTION("""COMPUTED_VALUE"""),2015)</f>
        <v>2015</v>
      </c>
      <c r="E2314" s="10" t="str">
        <f ca="1">IFERROR(__xludf.DUMMYFUNCTION("""COMPUTED_VALUE"""),"Обществото на знанието и хуманизмът на XXI век. 1140 години славянска писменост в България. Тринадесета национална научна конференция с международно участие, София, 31 октомври - 1 ноември 2015. За буквите - о писменехъ, София, 2016, 624-632, ISSN 1314-70"&amp;"99.")</f>
        <v>Обществото на знанието и хуманизмът на XXI век. 1140 години славянска писменост в България. Тринадесета национална научна конференция с международно участие, София, 31 октомври - 1 ноември 2015. За буквите - о писменехъ, София, 2016, 624-632, ISSN 1314-7099.</v>
      </c>
      <c r="F2314" s="10"/>
      <c r="G2314" s="10"/>
      <c r="H2314" s="10"/>
      <c r="I2314" s="10"/>
      <c r="J2314" s="10"/>
      <c r="K2314" s="10"/>
      <c r="L2314" s="10"/>
      <c r="M2314" s="10"/>
      <c r="N2314" s="10"/>
      <c r="O2314" s="10"/>
      <c r="P2314" s="10"/>
      <c r="Q2314" s="10"/>
      <c r="R2314" s="10"/>
      <c r="S2314" s="10"/>
      <c r="T2314" s="10"/>
      <c r="U2314" s="10"/>
      <c r="V2314" s="10"/>
      <c r="W2314" s="10"/>
      <c r="X2314" s="10"/>
      <c r="Y2314" s="10"/>
      <c r="Z2314" s="10"/>
    </row>
    <row r="2315" spans="1:26" ht="12.75">
      <c r="A2315" s="10" t="str">
        <f ca="1">IFERROR(__xludf.DUMMYFUNCTION("""COMPUTED_VALUE"""),"Доротея Валентинова Михова")</f>
        <v>Доротея Валентинова Михова</v>
      </c>
      <c r="B2315" s="10" t="str">
        <f ca="1">IFERROR(__xludf.DUMMYFUNCTION("""COMPUTED_VALUE"""),"Статия в списания и поредици")</f>
        <v>Статия в списания и поредици</v>
      </c>
      <c r="C2315" s="10" t="str">
        <f ca="1">IFERROR(__xludf.DUMMYFUNCTION("""COMPUTED_VALUE"""),"Технологичната сингуларност в постчовешкото бъдеще")</f>
        <v>Технологичната сингуларност в постчовешкото бъдеще</v>
      </c>
      <c r="D2315" s="10">
        <f ca="1">IFERROR(__xludf.DUMMYFUNCTION("""COMPUTED_VALUE"""),2015)</f>
        <v>2015</v>
      </c>
      <c r="E2315" s="10" t="str">
        <f ca="1">IFERROR(__xludf.DUMMYFUNCTION("""COMPUTED_VALUE"""),"Сборник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 166-177, ISSN 1314-1937.")</f>
        <v>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 166-177, ISSN 1314-1937.</v>
      </c>
      <c r="F2315" s="10"/>
      <c r="G2315" s="10"/>
      <c r="H2315" s="10"/>
      <c r="I2315" s="10"/>
      <c r="J2315" s="10"/>
      <c r="K2315" s="10"/>
      <c r="L2315" s="10"/>
      <c r="M2315" s="10"/>
      <c r="N2315" s="10"/>
      <c r="O2315" s="10"/>
      <c r="P2315" s="10"/>
      <c r="Q2315" s="10"/>
      <c r="R2315" s="10"/>
      <c r="S2315" s="10"/>
      <c r="T2315" s="10"/>
      <c r="U2315" s="10"/>
      <c r="V2315" s="10"/>
      <c r="W2315" s="10"/>
      <c r="X2315" s="10"/>
      <c r="Y2315" s="10"/>
      <c r="Z2315" s="10"/>
    </row>
    <row r="2316" spans="1:26" ht="12.75">
      <c r="A2316" s="10" t="str">
        <f ca="1">IFERROR(__xludf.DUMMYFUNCTION("""COMPUTED_VALUE"""),"Доротея Валентинова Михова")</f>
        <v>Доротея Валентинова Михова</v>
      </c>
      <c r="B2316" s="10" t="str">
        <f ca="1">IFERROR(__xludf.DUMMYFUNCTION("""COMPUTED_VALUE"""),"Статия в списания и поредици")</f>
        <v>Статия в списания и поредици</v>
      </c>
      <c r="C2316" s="10" t="str">
        <f ca="1">IFERROR(__xludf.DUMMYFUNCTION("""COMPUTED_VALUE"""),"„Qualis debeat fieri lex?”: риторика и етика в Leges Visigothorum")</f>
        <v>„Qualis debeat fieri lex?”: риторика и етика в Leges Visigothorum</v>
      </c>
      <c r="D2316" s="10">
        <f ca="1">IFERROR(__xludf.DUMMYFUNCTION("""COMPUTED_VALUE"""),2015)</f>
        <v>2015</v>
      </c>
      <c r="E2316" s="10" t="str">
        <f ca="1">IFERROR(__xludf.DUMMYFUNCTION("""COMPUTED_VALUE"""),"Bulgaria Mediaevalis, 6/2015. Studies in honour of Professor Iliya G. Iliev. Bulgarian Historical Heritage Foundation, Sofia, 20")</f>
        <v>Bulgaria Mediaevalis, 6/2015. Studies in honour of Professor Iliya G. Iliev. Bulgarian Historical Heritage Foundation, Sofia, 20</v>
      </c>
      <c r="F2316" s="10" t="str">
        <f ca="1">IFERROR(__xludf.DUMMYFUNCTION("""COMPUTED_VALUE"""),"CEEOL")</f>
        <v>CEEOL</v>
      </c>
      <c r="G2316" s="10"/>
      <c r="H2316" s="10"/>
      <c r="I2316" s="10"/>
      <c r="J2316" s="10"/>
      <c r="K2316" s="10"/>
      <c r="L2316" s="10"/>
      <c r="M2316" s="10"/>
      <c r="N2316" s="10"/>
      <c r="O2316" s="10"/>
      <c r="P2316" s="10"/>
      <c r="Q2316" s="10"/>
      <c r="R2316" s="10"/>
      <c r="S2316" s="10"/>
      <c r="T2316" s="10"/>
      <c r="U2316" s="10"/>
      <c r="V2316" s="10"/>
      <c r="W2316" s="10"/>
      <c r="X2316" s="10"/>
      <c r="Y2316" s="10"/>
      <c r="Z2316" s="10"/>
    </row>
    <row r="2317" spans="1:26" ht="12.75">
      <c r="A2317" s="10" t="str">
        <f ca="1">IFERROR(__xludf.DUMMYFUNCTION("""COMPUTED_VALUE"""),"Доротея Валентинова Михова")</f>
        <v>Доротея Валентинова Михова</v>
      </c>
      <c r="B2317" s="10" t="str">
        <f ca="1">IFERROR(__xludf.DUMMYFUNCTION("""COMPUTED_VALUE"""),"Статия в списания и поредици")</f>
        <v>Статия в списания и поредици</v>
      </c>
      <c r="C2317" s="10" t="str">
        <f ca="1">IFERROR(__xludf.DUMMYFUNCTION("""COMPUTED_VALUE"""),"Lex Calpurnia и неподкупният Луций Пизон (Frugi)")</f>
        <v>Lex Calpurnia и неподкупният Луций Пизон (Frugi)</v>
      </c>
      <c r="D2317" s="10">
        <f ca="1">IFERROR(__xludf.DUMMYFUNCTION("""COMPUTED_VALUE"""),2015)</f>
        <v>2015</v>
      </c>
      <c r="E2317" s="10" t="str">
        <f ca="1">IFERROR(__xludf.DUMMYFUNCTION("""COMPUTED_VALUE"""),"Сборник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г.,186-196, ISSN 1314-1937.")</f>
        <v>Сборник доклади от годишната университетска научна конференция на НВУ „Васил Левски”, Том 5, Издателски комплекс на НВУ “Васил Левски”, Велико Търново, 16-17 юли 2015 г.,186-196, ISSN 1314-1937.</v>
      </c>
      <c r="F2317" s="10"/>
      <c r="G2317" s="10"/>
      <c r="H2317" s="10"/>
      <c r="I2317" s="10"/>
      <c r="J2317" s="10"/>
      <c r="K2317" s="10"/>
      <c r="L2317" s="10"/>
      <c r="M2317" s="10"/>
      <c r="N2317" s="10"/>
      <c r="O2317" s="10"/>
      <c r="P2317" s="10"/>
      <c r="Q2317" s="10"/>
      <c r="R2317" s="10"/>
      <c r="S2317" s="10"/>
      <c r="T2317" s="10"/>
      <c r="U2317" s="10"/>
      <c r="V2317" s="10"/>
      <c r="W2317" s="10"/>
      <c r="X2317" s="10"/>
      <c r="Y2317" s="10"/>
      <c r="Z2317" s="10"/>
    </row>
    <row r="2318" spans="1:26" ht="12.75">
      <c r="A2318" s="10" t="str">
        <f ca="1">IFERROR(__xludf.DUMMYFUNCTION("""COMPUTED_VALUE"""),"Доротея Валентинова Михова")</f>
        <v>Доротея Валентинова Михова</v>
      </c>
      <c r="B2318" s="10" t="str">
        <f ca="1">IFERROR(__xludf.DUMMYFUNCTION("""COMPUTED_VALUE"""),"Статия в списания и поредици")</f>
        <v>Статия в списания и поредици</v>
      </c>
      <c r="C2318" s="10" t="str">
        <f ca="1">IFERROR(__xludf.DUMMYFUNCTION("""COMPUTED_VALUE"""),"Изтляването на Romanitas и залезът на свръхдържавата Рим")</f>
        <v>Изтляването на Romanitas и залезът на свръхдържавата Рим</v>
      </c>
      <c r="D2318" s="10">
        <f ca="1">IFERROR(__xludf.DUMMYFUNCTION("""COMPUTED_VALUE"""),2014)</f>
        <v>2014</v>
      </c>
      <c r="E2318" s="10" t="str">
        <f ca="1">IFERROR(__xludf.DUMMYFUNCTION("""COMPUTED_VALUE"""),"Quod Deus Vult. Сборник в чест на проф. дин К. Гагова. Mediaevalia, София, 2014, 39-73, ISSN 1314-2755.")</f>
        <v>Quod Deus Vult. Сборник в чест на проф. дин К. Гагова. Mediaevalia, София, 2014, 39-73, ISSN 1314-2755.</v>
      </c>
      <c r="F2318" s="10"/>
      <c r="G2318" s="10"/>
      <c r="H2318" s="10"/>
      <c r="I2318" s="10"/>
      <c r="J2318" s="10"/>
      <c r="K2318" s="10"/>
      <c r="L2318" s="10"/>
      <c r="M2318" s="10"/>
      <c r="N2318" s="10"/>
      <c r="O2318" s="10"/>
      <c r="P2318" s="10"/>
      <c r="Q2318" s="10"/>
      <c r="R2318" s="10"/>
      <c r="S2318" s="10"/>
      <c r="T2318" s="10"/>
      <c r="U2318" s="10"/>
      <c r="V2318" s="10"/>
      <c r="W2318" s="10"/>
      <c r="X2318" s="10"/>
      <c r="Y2318" s="10"/>
      <c r="Z2318" s="10"/>
    </row>
    <row r="2319" spans="1:26" ht="12.75">
      <c r="A2319" s="10" t="str">
        <f ca="1">IFERROR(__xludf.DUMMYFUNCTION("""COMPUTED_VALUE"""),"Доротея Валентинова Михова")</f>
        <v>Доротея Валентинова Михова</v>
      </c>
      <c r="B2319" s="10" t="str">
        <f ca="1">IFERROR(__xludf.DUMMYFUNCTION("""COMPUTED_VALUE"""),"Статия в списания и поредици")</f>
        <v>Статия в списания и поредици</v>
      </c>
      <c r="C2319" s="10" t="str">
        <f ca="1">IFERROR(__xludf.DUMMYFUNCTION("""COMPUTED_VALUE"""),"Теодосиевият кодекс: “fides catholica contra paganos et haeretico")</f>
        <v>Теодосиевият кодекс: “fides catholica contra paganos et haeretico</v>
      </c>
      <c r="D2319" s="10">
        <f ca="1">IFERROR(__xludf.DUMMYFUNCTION("""COMPUTED_VALUE"""),2014)</f>
        <v>2014</v>
      </c>
      <c r="E2319" s="10" t="str">
        <f ca="1">IFERROR(__xludf.DUMMYFUNCTION("""COMPUTED_VALUE"""),"Bulgaria Mediaevalis, 4-5/ 2013-2014, 3-19, ISSN 1314-2941")</f>
        <v>Bulgaria Mediaevalis, 4-5/ 2013-2014, 3-19, ISSN 1314-2941</v>
      </c>
      <c r="F2319" s="10" t="str">
        <f ca="1">IFERROR(__xludf.DUMMYFUNCTION("""COMPUTED_VALUE"""),"CEEOL")</f>
        <v>CEEOL</v>
      </c>
      <c r="G2319" s="10"/>
      <c r="H2319" s="10"/>
      <c r="I2319" s="10"/>
      <c r="J2319" s="10"/>
      <c r="K2319" s="10"/>
      <c r="L2319" s="10"/>
      <c r="M2319" s="10"/>
      <c r="N2319" s="10"/>
      <c r="O2319" s="10"/>
      <c r="P2319" s="10"/>
      <c r="Q2319" s="10"/>
      <c r="R2319" s="10"/>
      <c r="S2319" s="10"/>
      <c r="T2319" s="10"/>
      <c r="U2319" s="10"/>
      <c r="V2319" s="10"/>
      <c r="W2319" s="10"/>
      <c r="X2319" s="10"/>
      <c r="Y2319" s="10"/>
      <c r="Z2319" s="10"/>
    </row>
    <row r="2320" spans="1:26" ht="12.75">
      <c r="A2320" s="10" t="str">
        <f ca="1">IFERROR(__xludf.DUMMYFUNCTION("""COMPUTED_VALUE"""),"Доротея Валентинова Михова")</f>
        <v>Доротея Валентинова Михова</v>
      </c>
      <c r="B2320" s="10" t="str">
        <f ca="1">IFERROR(__xludf.DUMMYFUNCTION("""COMPUTED_VALUE"""),"Студия")</f>
        <v>Студия</v>
      </c>
      <c r="C2320" s="10" t="str">
        <f ca="1">IFERROR(__xludf.DUMMYFUNCTION("""COMPUTED_VALUE"""),"Дискриминация и расизъм в постмодерния свят")</f>
        <v>Дискриминация и расизъм в постмодерния свят</v>
      </c>
      <c r="D2320" s="10">
        <f ca="1">IFERROR(__xludf.DUMMYFUNCTION("""COMPUTED_VALUE"""),2013)</f>
        <v>2013</v>
      </c>
      <c r="E2320" s="10" t="str">
        <f ca="1">IFERROR(__xludf.DUMMYFUNCTION("""COMPUTED_VALUE"""),"Обучение на учители за формиране на знания, умения и компетентности за работа в интеркултурна среда. Наръчник за учители. Министерство на образованието, младежта и науката. Проект BG051PO001-3.1.03-001 „Квалификация на педагогическите специалисти”, Операт"&amp;"ивна програма „Развитие на човешките ресурси”, съфинансирана от Европейския социален фонд. София, 2013, 119 - 161, ISBN 978-954-07-3565-8.")</f>
        <v>Обучение на учители за формиране на знания, умения и компетентности за работа в интеркултурна среда. Наръчник за учители. Министерство на образованието, младежта и науката. Проект BG051PO001-3.1.03-001 „Квалификация на педагогическите специалисти”, Оперативна програма „Развитие на човешките ресурси”, съфинансирана от Европейския социален фонд. София, 2013, 119 - 161, ISBN 978-954-07-3565-8.</v>
      </c>
      <c r="F2320" s="10"/>
      <c r="G2320" s="10"/>
      <c r="H2320" s="10"/>
      <c r="I2320" s="10"/>
      <c r="J2320" s="10"/>
      <c r="K2320" s="10"/>
      <c r="L2320" s="10"/>
      <c r="M2320" s="10"/>
      <c r="N2320" s="10"/>
      <c r="O2320" s="10"/>
      <c r="P2320" s="10"/>
      <c r="Q2320" s="10"/>
      <c r="R2320" s="10"/>
      <c r="S2320" s="10"/>
      <c r="T2320" s="10"/>
      <c r="U2320" s="10"/>
      <c r="V2320" s="10"/>
      <c r="W2320" s="10"/>
      <c r="X2320" s="10"/>
      <c r="Y2320" s="10"/>
      <c r="Z2320" s="10"/>
    </row>
    <row r="2321" spans="1:26" ht="12.75">
      <c r="A2321" s="10" t="str">
        <f ca="1">IFERROR(__xludf.DUMMYFUNCTION("""COMPUTED_VALUE"""),"Доротея Валентинова Михова")</f>
        <v>Доротея Валентинова Михова</v>
      </c>
      <c r="B2321" s="10" t="str">
        <f ca="1">IFERROR(__xludf.DUMMYFUNCTION("""COMPUTED_VALUE"""),"Статия в списания и поредици")</f>
        <v>Статия в списания и поредици</v>
      </c>
      <c r="C2321" s="10" t="str">
        <f ca="1">IFERROR(__xludf.DUMMYFUNCTION("""COMPUTED_VALUE"""),"Римската iustitia в Lex Romana Visigothorum")</f>
        <v>Римската iustitia в Lex Romana Visigothorum</v>
      </c>
      <c r="D2321" s="10">
        <f ca="1">IFERROR(__xludf.DUMMYFUNCTION("""COMPUTED_VALUE"""),2013)</f>
        <v>2013</v>
      </c>
      <c r="E2321" s="10" t="str">
        <f ca="1">IFERROR(__xludf.DUMMYFUNCTION("""COMPUTED_VALUE"""),"Studia Iuridico-Historica, Брой 2, ЮЗУ „Неофит Рилски”, Правно-исторически факултет, Благоевград, 2013, 20-43, ISSN 1314-9296.")</f>
        <v>Studia Iuridico-Historica, Брой 2, ЮЗУ „Неофит Рилски”, Правно-исторически факултет, Благоевград, 2013, 20-43, ISSN 1314-9296.</v>
      </c>
      <c r="F2321" s="10"/>
      <c r="G2321" s="10"/>
      <c r="H2321" s="10"/>
      <c r="I2321" s="10"/>
      <c r="J2321" s="10"/>
      <c r="K2321" s="10"/>
      <c r="L2321" s="10"/>
      <c r="M2321" s="10"/>
      <c r="N2321" s="10"/>
      <c r="O2321" s="10"/>
      <c r="P2321" s="10"/>
      <c r="Q2321" s="10"/>
      <c r="R2321" s="10"/>
      <c r="S2321" s="10"/>
      <c r="T2321" s="10"/>
      <c r="U2321" s="10"/>
      <c r="V2321" s="10"/>
      <c r="W2321" s="10"/>
      <c r="X2321" s="10"/>
      <c r="Y2321" s="10"/>
      <c r="Z2321" s="10"/>
    </row>
    <row r="2322" spans="1:26" ht="12.75">
      <c r="A2322" s="10" t="str">
        <f ca="1">IFERROR(__xludf.DUMMYFUNCTION("""COMPUTED_VALUE"""),"Доротея Валентинова Михова")</f>
        <v>Доротея Валентинова Михова</v>
      </c>
      <c r="B2322" s="10" t="str">
        <f ca="1">IFERROR(__xludf.DUMMYFUNCTION("""COMPUTED_VALUE"""),"Статия в списания и поредици")</f>
        <v>Статия в списания и поредици</v>
      </c>
      <c r="C2322" s="10" t="str">
        <f ca="1">IFERROR(__xludf.DUMMYFUNCTION("""COMPUTED_VALUE"""),"Римското лице на електоралната корупция или “Nihil novi sub sole”.")</f>
        <v>Римското лице на електоралната корупция или “Nihil novi sub sole”.</v>
      </c>
      <c r="D2322" s="10">
        <f ca="1">IFERROR(__xludf.DUMMYFUNCTION("""COMPUTED_VALUE"""),2013)</f>
        <v>2013</v>
      </c>
      <c r="E2322" s="10" t="str">
        <f ca="1">IFERROR(__xludf.DUMMYFUNCTION("""COMPUTED_VALUE"""),"Studia Classica Serdicensia, том 2. УИ “Св. Климент Охридски”, София, 2013, 41-68, ISBN 9789540730332.")</f>
        <v>Studia Classica Serdicensia, том 2. УИ “Св. Климент Охридски”, София, 2013, 41-68, ISBN 9789540730332.</v>
      </c>
      <c r="F2322" s="10"/>
      <c r="G2322" s="10"/>
      <c r="H2322" s="10"/>
      <c r="I2322" s="10"/>
      <c r="J2322" s="10"/>
      <c r="K2322" s="10"/>
      <c r="L2322" s="10"/>
      <c r="M2322" s="10"/>
      <c r="N2322" s="10"/>
      <c r="O2322" s="10"/>
      <c r="P2322" s="10"/>
      <c r="Q2322" s="10"/>
      <c r="R2322" s="10"/>
      <c r="S2322" s="10"/>
      <c r="T2322" s="10"/>
      <c r="U2322" s="10"/>
      <c r="V2322" s="10"/>
      <c r="W2322" s="10"/>
      <c r="X2322" s="10"/>
      <c r="Y2322" s="10"/>
      <c r="Z2322" s="10"/>
    </row>
    <row r="2323" spans="1:26" ht="12.75">
      <c r="A2323" s="10" t="str">
        <f ca="1">IFERROR(__xludf.DUMMYFUNCTION("""COMPUTED_VALUE"""),"Доротея Валентинова Михова")</f>
        <v>Доротея Валентинова Михова</v>
      </c>
      <c r="B2323" s="10" t="str">
        <f ca="1">IFERROR(__xludf.DUMMYFUNCTION("""COMPUTED_VALUE"""),"Статия в списания и поредици")</f>
        <v>Статия в списания и поредици</v>
      </c>
      <c r="C2323" s="10" t="str">
        <f ca="1">IFERROR(__xludf.DUMMYFUNCTION("""COMPUTED_VALUE"""),"Leges Barbarorum: между Рим и варварите")</f>
        <v>Leges Barbarorum: между Рим и варварите</v>
      </c>
      <c r="D2323" s="10">
        <f ca="1">IFERROR(__xludf.DUMMYFUNCTION("""COMPUTED_VALUE"""),2012)</f>
        <v>2012</v>
      </c>
      <c r="E2323" s="10" t="str">
        <f ca="1">IFERROR(__xludf.DUMMYFUNCTION("""COMPUTED_VALUE"""),"Исторически преглед, 3-4, 2012, 3 - 26, ISSN 0323 - 9748")</f>
        <v>Исторически преглед, 3-4, 2012, 3 - 26, ISSN 0323 - 9748</v>
      </c>
      <c r="F2323" s="10" t="str">
        <f ca="1">IFERROR(__xludf.DUMMYFUNCTION("""COMPUTED_VALUE"""),"CEEOL, Europeana Collections; РИНЦ (Российский индекс научного цитирования) – коопериран с Web of Science; EBSCO (под името Historical Review/Istoricheski pregled).")</f>
        <v>CEEOL, Europeana Collections; РИНЦ (Российский индекс научного цитирования) – коопериран с Web of Science; EBSCO (под името Historical Review/Istoricheski pregled).</v>
      </c>
      <c r="G2323" s="10"/>
      <c r="H2323" s="10"/>
      <c r="I2323" s="10"/>
      <c r="J2323" s="10"/>
      <c r="K2323" s="10"/>
      <c r="L2323" s="10"/>
      <c r="M2323" s="10"/>
      <c r="N2323" s="10"/>
      <c r="O2323" s="10"/>
      <c r="P2323" s="10"/>
      <c r="Q2323" s="10"/>
      <c r="R2323" s="10"/>
      <c r="S2323" s="10"/>
      <c r="T2323" s="10"/>
      <c r="U2323" s="10"/>
      <c r="V2323" s="10"/>
      <c r="W2323" s="10"/>
      <c r="X2323" s="10"/>
      <c r="Y2323" s="10"/>
      <c r="Z2323" s="10"/>
    </row>
    <row r="2324" spans="1:26" ht="12.75">
      <c r="A2324" s="10" t="str">
        <f ca="1">IFERROR(__xludf.DUMMYFUNCTION("""COMPUTED_VALUE"""),"Доротея Валентинова Михова")</f>
        <v>Доротея Валентинова Михова</v>
      </c>
      <c r="B2324" s="10" t="str">
        <f ca="1">IFERROR(__xludf.DUMMYFUNCTION("""COMPUTED_VALUE"""),"Студия")</f>
        <v>Студия</v>
      </c>
      <c r="C2324" s="10" t="str">
        <f ca="1">IFERROR(__xludf.DUMMYFUNCTION("""COMPUTED_VALUE"""),"Залезът на справедливостта и гибелта на Рим")</f>
        <v>Залезът на справедливостта и гибелта на Рим</v>
      </c>
      <c r="D2324" s="10">
        <f ca="1">IFERROR(__xludf.DUMMYFUNCTION("""COMPUTED_VALUE"""),2011)</f>
        <v>2011</v>
      </c>
      <c r="E2324" s="10" t="str">
        <f ca="1">IFERROR(__xludf.DUMMYFUNCTION("""COMPUTED_VALUE"""),"Мediaevalia. Специално издание. Сборник в памет на доц. д-р Георги Сотиров. Издание на катедрата по “Стара история, тракология и средновековна история”, СУ “Св. Климент Охридски”, Исторически факултет, 2011, 102-121, ISSN 1314-2755")</f>
        <v>Мediaevalia. Специално издание. Сборник в памет на доц. д-р Георги Сотиров. Издание на катедрата по “Стара история, тракология и средновековна история”, СУ “Св. Климент Охридски”, Исторически факултет, 2011, 102-121, ISSN 1314-2755</v>
      </c>
      <c r="F2324" s="10"/>
      <c r="G2324" s="10"/>
      <c r="H2324" s="10"/>
      <c r="I2324" s="10"/>
      <c r="J2324" s="10"/>
      <c r="K2324" s="10"/>
      <c r="L2324" s="10"/>
      <c r="M2324" s="10"/>
      <c r="N2324" s="10"/>
      <c r="O2324" s="10"/>
      <c r="P2324" s="10"/>
      <c r="Q2324" s="10"/>
      <c r="R2324" s="10"/>
      <c r="S2324" s="10"/>
      <c r="T2324" s="10"/>
      <c r="U2324" s="10"/>
      <c r="V2324" s="10"/>
      <c r="W2324" s="10"/>
      <c r="X2324" s="10"/>
      <c r="Y2324" s="10"/>
      <c r="Z2324" s="10"/>
    </row>
    <row r="2325" spans="1:26" ht="12.75">
      <c r="A2325" s="10" t="str">
        <f ca="1">IFERROR(__xludf.DUMMYFUNCTION("""COMPUTED_VALUE"""),"Доротея Валентинова Михова")</f>
        <v>Доротея Валентинова Михова</v>
      </c>
      <c r="B2325" s="10" t="str">
        <f ca="1">IFERROR(__xludf.DUMMYFUNCTION("""COMPUTED_VALUE"""),"Статия в списания и поредици")</f>
        <v>Статия в списания и поредици</v>
      </c>
      <c r="C2325" s="10" t="str">
        <f ca="1">IFERROR(__xludf.DUMMYFUNCTION("""COMPUTED_VALUE"""),"Рим като историческа работилница за fas, mos и ius/-titia")</f>
        <v>Рим като историческа работилница за fas, mos и ius/-titia</v>
      </c>
      <c r="D2325" s="10">
        <f ca="1">IFERROR(__xludf.DUMMYFUNCTION("""COMPUTED_VALUE"""),2011)</f>
        <v>2011</v>
      </c>
      <c r="E2325" s="10" t="str">
        <f ca="1">IFERROR(__xludf.DUMMYFUNCTION("""COMPUTED_VALUE"""),"Дни на науката 2011, Съюз на учените в България, Велико Търново, 2011, 110-118, ISSN 1314-2283")</f>
        <v>Дни на науката 2011, Съюз на учените в България, Велико Търново, 2011, 110-118, ISSN 1314-2283</v>
      </c>
      <c r="F2325" s="10"/>
      <c r="G2325" s="10"/>
      <c r="H2325" s="10"/>
      <c r="I2325" s="10"/>
      <c r="J2325" s="10"/>
      <c r="K2325" s="10"/>
      <c r="L2325" s="10"/>
      <c r="M2325" s="10"/>
      <c r="N2325" s="10"/>
      <c r="O2325" s="10"/>
      <c r="P2325" s="10"/>
      <c r="Q2325" s="10"/>
      <c r="R2325" s="10"/>
      <c r="S2325" s="10"/>
      <c r="T2325" s="10"/>
      <c r="U2325" s="10"/>
      <c r="V2325" s="10"/>
      <c r="W2325" s="10"/>
      <c r="X2325" s="10"/>
      <c r="Y2325" s="10"/>
      <c r="Z2325" s="10"/>
    </row>
    <row r="2326" spans="1:26" ht="12.75">
      <c r="A2326" s="10" t="str">
        <f ca="1">IFERROR(__xludf.DUMMYFUNCTION("""COMPUTED_VALUE"""),"Доротея Валентинова Михова")</f>
        <v>Доротея Валентинова Михова</v>
      </c>
      <c r="B2326" s="10" t="str">
        <f ca="1">IFERROR(__xludf.DUMMYFUNCTION("""COMPUTED_VALUE"""),"Статия в списания и поредици")</f>
        <v>Статия в списания и поредици</v>
      </c>
      <c r="C2326" s="10" t="str">
        <f ca="1">IFERROR(__xludf.DUMMYFUNCTION("""COMPUTED_VALUE"""),"“Quid est enim civitas nisi iuris societas civium?”")</f>
        <v>“Quid est enim civitas nisi iuris societas civium?”</v>
      </c>
      <c r="D2326" s="10">
        <f ca="1">IFERROR(__xludf.DUMMYFUNCTION("""COMPUTED_VALUE"""),2011)</f>
        <v>2011</v>
      </c>
      <c r="E2326" s="10" t="str">
        <f ca="1">IFERROR(__xludf.DUMMYFUNCTION("""COMPUTED_VALUE"""),"Дни на науката 2011, Съюз на учените в България, Велико Търново, 2011, 118-128, ISSN 1314-2283")</f>
        <v>Дни на науката 2011, Съюз на учените в България, Велико Търново, 2011, 118-128, ISSN 1314-2283</v>
      </c>
      <c r="F2326" s="10"/>
      <c r="G2326" s="10"/>
      <c r="H2326" s="10"/>
      <c r="I2326" s="10"/>
      <c r="J2326" s="10"/>
      <c r="K2326" s="10"/>
      <c r="L2326" s="10"/>
      <c r="M2326" s="10"/>
      <c r="N2326" s="10"/>
      <c r="O2326" s="10"/>
      <c r="P2326" s="10"/>
      <c r="Q2326" s="10"/>
      <c r="R2326" s="10"/>
      <c r="S2326" s="10"/>
      <c r="T2326" s="10"/>
      <c r="U2326" s="10"/>
      <c r="V2326" s="10"/>
      <c r="W2326" s="10"/>
      <c r="X2326" s="10"/>
      <c r="Y2326" s="10"/>
      <c r="Z2326" s="10"/>
    </row>
    <row r="2327" spans="1:26" ht="12.75">
      <c r="A2327" s="10" t="str">
        <f ca="1">IFERROR(__xludf.DUMMYFUNCTION("""COMPUTED_VALUE"""),"Доротея Валентинова Михова")</f>
        <v>Доротея Валентинова Михова</v>
      </c>
      <c r="B2327" s="10" t="str">
        <f ca="1">IFERROR(__xludf.DUMMYFUNCTION("""COMPUTED_VALUE"""),"Статия в списания и поредици")</f>
        <v>Статия в списания и поредици</v>
      </c>
      <c r="C2327" s="10" t="str">
        <f ca="1">IFERROR(__xludf.DUMMYFUNCTION("""COMPUTED_VALUE"""),"Корупционните практики в Рим като отрицание на римския идеал за aequitas и iustitia")</f>
        <v>Корупционните практики в Рим като отрицание на римския идеал за aequitas и iustitia</v>
      </c>
      <c r="D2327" s="10">
        <f ca="1">IFERROR(__xludf.DUMMYFUNCTION("""COMPUTED_VALUE"""),2011)</f>
        <v>2011</v>
      </c>
      <c r="E2327" s="10" t="str">
        <f ca="1">IFERROR(__xludf.DUMMYFUNCTION("""COMPUTED_VALUE"""),"Дни на науката 2010, Съюз на учените в България, Велико Търново, 2011, 220-230, ISSN 1314-2283.")</f>
        <v>Дни на науката 2010, Съюз на учените в България, Велико Търново, 2011, 220-230, ISSN 1314-2283.</v>
      </c>
      <c r="F2327" s="10"/>
      <c r="G2327" s="10"/>
      <c r="H2327" s="10"/>
      <c r="I2327" s="10"/>
      <c r="J2327" s="10"/>
      <c r="K2327" s="10"/>
      <c r="L2327" s="10"/>
      <c r="M2327" s="10"/>
      <c r="N2327" s="10"/>
      <c r="O2327" s="10"/>
      <c r="P2327" s="10"/>
      <c r="Q2327" s="10"/>
      <c r="R2327" s="10"/>
      <c r="S2327" s="10"/>
      <c r="T2327" s="10"/>
      <c r="U2327" s="10"/>
      <c r="V2327" s="10"/>
      <c r="W2327" s="10"/>
      <c r="X2327" s="10"/>
      <c r="Y2327" s="10"/>
      <c r="Z2327" s="10"/>
    </row>
    <row r="2328" spans="1:26" ht="12.75">
      <c r="A2328" s="10" t="str">
        <f ca="1">IFERROR(__xludf.DUMMYFUNCTION("""COMPUTED_VALUE"""),"Доротея Валентинова Михова")</f>
        <v>Доротея Валентинова Михова</v>
      </c>
      <c r="B2328" s="10" t="str">
        <f ca="1">IFERROR(__xludf.DUMMYFUNCTION("""COMPUTED_VALUE"""),"Статия в списания и поредици")</f>
        <v>Статия в списания и поредици</v>
      </c>
      <c r="C2328" s="10" t="str">
        <f ca="1">IFERROR(__xludf.DUMMYFUNCTION("""COMPUTED_VALUE"""),"“Nos ad iustitiam esse natos”!...”")</f>
        <v>“Nos ad iustitiam esse natos”!...”</v>
      </c>
      <c r="D2328" s="10">
        <f ca="1">IFERROR(__xludf.DUMMYFUNCTION("""COMPUTED_VALUE"""),2010)</f>
        <v>2010</v>
      </c>
      <c r="E2328" s="10" t="str">
        <f ca="1">IFERROR(__xludf.DUMMYFUNCTION("""COMPUTED_VALUE"""),"Сборник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173 – 181, ISSN 1314-1937.")</f>
        <v>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173 – 181, ISSN 1314-1937.</v>
      </c>
      <c r="F2328" s="10"/>
      <c r="G2328" s="10"/>
      <c r="H2328" s="10"/>
      <c r="I2328" s="10"/>
      <c r="J2328" s="10"/>
      <c r="K2328" s="10"/>
      <c r="L2328" s="10"/>
      <c r="M2328" s="10"/>
      <c r="N2328" s="10"/>
      <c r="O2328" s="10"/>
      <c r="P2328" s="10"/>
      <c r="Q2328" s="10"/>
      <c r="R2328" s="10"/>
      <c r="S2328" s="10"/>
      <c r="T2328" s="10"/>
      <c r="U2328" s="10"/>
      <c r="V2328" s="10"/>
      <c r="W2328" s="10"/>
      <c r="X2328" s="10"/>
      <c r="Y2328" s="10"/>
      <c r="Z2328" s="10"/>
    </row>
    <row r="2329" spans="1:26" ht="12.75">
      <c r="A2329" s="10" t="str">
        <f ca="1">IFERROR(__xludf.DUMMYFUNCTION("""COMPUTED_VALUE"""),"Доротея Валентинова Михова")</f>
        <v>Доротея Валентинова Михова</v>
      </c>
      <c r="B2329" s="10" t="str">
        <f ca="1">IFERROR(__xludf.DUMMYFUNCTION("""COMPUTED_VALUE"""),"Статия в списания и поредици")</f>
        <v>Статия в списания и поредици</v>
      </c>
      <c r="C2329" s="10" t="str">
        <f ca="1">IFERROR(__xludf.DUMMYFUNCTION("""COMPUTED_VALUE"""),"“Refertote et mementote me nec acie vinci nec pecunia corrumpi posse!”")</f>
        <v>“Refertote et mementote me nec acie vinci nec pecunia corrumpi posse!”</v>
      </c>
      <c r="D2329" s="10">
        <f ca="1">IFERROR(__xludf.DUMMYFUNCTION("""COMPUTED_VALUE"""),2010)</f>
        <v>2010</v>
      </c>
      <c r="E2329" s="10" t="str">
        <f ca="1">IFERROR(__xludf.DUMMYFUNCTION("""COMPUTED_VALUE"""),"Сборник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162 – 172, ISSN 1314-1937")</f>
        <v>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162 – 172, ISSN 1314-1937</v>
      </c>
      <c r="F2329" s="10"/>
      <c r="G2329" s="10"/>
      <c r="H2329" s="10"/>
      <c r="I2329" s="10"/>
      <c r="J2329" s="10"/>
      <c r="K2329" s="10"/>
      <c r="L2329" s="10"/>
      <c r="M2329" s="10"/>
      <c r="N2329" s="10"/>
      <c r="O2329" s="10"/>
      <c r="P2329" s="10"/>
      <c r="Q2329" s="10"/>
      <c r="R2329" s="10"/>
      <c r="S2329" s="10"/>
      <c r="T2329" s="10"/>
      <c r="U2329" s="10"/>
      <c r="V2329" s="10"/>
      <c r="W2329" s="10"/>
      <c r="X2329" s="10"/>
      <c r="Y2329" s="10"/>
      <c r="Z2329" s="10"/>
    </row>
    <row r="2330" spans="1:26" ht="12.75">
      <c r="A2330" s="10" t="str">
        <f ca="1">IFERROR(__xludf.DUMMYFUNCTION("""COMPUTED_VALUE"""),"Доротея Валентинова Михова")</f>
        <v>Доротея Валентинова Михова</v>
      </c>
      <c r="B2330" s="10" t="str">
        <f ca="1">IFERROR(__xludf.DUMMYFUNCTION("""COMPUTED_VALUE"""),"Статия в списания и поредици")</f>
        <v>Статия в списания и поредици</v>
      </c>
      <c r="C2330" s="10" t="str">
        <f ca="1">IFERROR(__xludf.DUMMYFUNCTION("""COMPUTED_VALUE"""),"Lex Claudia de nave senatorum от 218 г. пр.н.е.")</f>
        <v>Lex Claudia de nave senatorum от 218 г. пр.н.е.</v>
      </c>
      <c r="D2330" s="10">
        <f ca="1">IFERROR(__xludf.DUMMYFUNCTION("""COMPUTED_VALUE"""),2010)</f>
        <v>2010</v>
      </c>
      <c r="E2330" s="10" t="str">
        <f ca="1">IFERROR(__xludf.DUMMYFUNCTION("""COMPUTED_VALUE"""),"Сборник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182 – 192, ISSN 1314-1937")</f>
        <v>Сборник научни трудове от годишната университетска международна научна конференция на Национален военен университет „Васил Левски”, Велико Търново, 30 септември - 1 октомври 2010, Университетско издателство, 182 – 192, ISSN 1314-1937</v>
      </c>
      <c r="F2330" s="10"/>
      <c r="G2330" s="10"/>
      <c r="H2330" s="10"/>
      <c r="I2330" s="10"/>
      <c r="J2330" s="10"/>
      <c r="K2330" s="10"/>
      <c r="L2330" s="10"/>
      <c r="M2330" s="10"/>
      <c r="N2330" s="10"/>
      <c r="O2330" s="10"/>
      <c r="P2330" s="10"/>
      <c r="Q2330" s="10"/>
      <c r="R2330" s="10"/>
      <c r="S2330" s="10"/>
      <c r="T2330" s="10"/>
      <c r="U2330" s="10"/>
      <c r="V2330" s="10"/>
      <c r="W2330" s="10"/>
      <c r="X2330" s="10"/>
      <c r="Y2330" s="10"/>
      <c r="Z2330" s="10"/>
    </row>
    <row r="2331" spans="1:26" ht="12.75">
      <c r="A2331" s="10" t="str">
        <f ca="1">IFERROR(__xludf.DUMMYFUNCTION("""COMPUTED_VALUE"""),"Доротея Валентинова Михова")</f>
        <v>Доротея Валентинова Михова</v>
      </c>
      <c r="B2331" s="10" t="str">
        <f ca="1">IFERROR(__xludf.DUMMYFUNCTION("""COMPUTED_VALUE"""),"Статия в списания и поредици")</f>
        <v>Статия в списания и поредици</v>
      </c>
      <c r="C2331" s="10" t="str">
        <f ca="1">IFERROR(__xludf.DUMMYFUNCTION("""COMPUTED_VALUE"""),"Sumptuariae leges в контекста на римските представи за aequitas и iustitia")</f>
        <v>Sumptuariae leges в контекста на римските представи за aequitas и iustitia</v>
      </c>
      <c r="D2331" s="10">
        <f ca="1">IFERROR(__xludf.DUMMYFUNCTION("""COMPUTED_VALUE"""),2008)</f>
        <v>2008</v>
      </c>
      <c r="E2331" s="10" t="str">
        <f ca="1">IFERROR(__xludf.DUMMYFUNCTION("""COMPUTED_VALUE"""),"Римско право и европейско право. Сборник статии на Пловдивски университет “Паисий Хилендарски”, Юридически факултет, Пловдив, 2008, 240-256, ISBN: 978-954-91084-8-4")</f>
        <v>Римско право и европейско право. Сборник статии на Пловдивски университет “Паисий Хилендарски”, Юридически факултет, Пловдив, 2008, 240-256, ISBN: 978-954-91084-8-4</v>
      </c>
      <c r="F2331" s="10"/>
      <c r="G2331" s="10"/>
      <c r="H2331" s="10"/>
      <c r="I2331" s="10"/>
      <c r="J2331" s="10"/>
      <c r="K2331" s="10"/>
      <c r="L2331" s="10"/>
      <c r="M2331" s="10"/>
      <c r="N2331" s="10"/>
      <c r="O2331" s="10"/>
      <c r="P2331" s="10"/>
      <c r="Q2331" s="10"/>
      <c r="R2331" s="10"/>
      <c r="S2331" s="10"/>
      <c r="T2331" s="10"/>
      <c r="U2331" s="10"/>
      <c r="V2331" s="10"/>
      <c r="W2331" s="10"/>
      <c r="X2331" s="10"/>
      <c r="Y2331" s="10"/>
      <c r="Z2331" s="10"/>
    </row>
    <row r="2332" spans="1:26" ht="12.75">
      <c r="A2332" s="10" t="str">
        <f ca="1">IFERROR(__xludf.DUMMYFUNCTION("""COMPUTED_VALUE"""),"Евгени Кирилов Велев")</f>
        <v>Евгени Кирилов Велев</v>
      </c>
      <c r="B2332" s="10" t="str">
        <f ca="1">IFERROR(__xludf.DUMMYFUNCTION("""COMPUTED_VALUE"""),"Статия в списания и поредици")</f>
        <v>Статия в списания и поредици</v>
      </c>
      <c r="C2332" s="10" t="str">
        <f ca="1">IFERROR(__xludf.DUMMYFUNCTION("""COMPUTED_VALUE"""),"Стратегическа рамка за изготвянето на концептуален модел на иновативна образователна и културно-развлекателна следа в процеса на образованието по изкуствата и културата през целия живот")</f>
        <v>Стратегическа рамка за изготвянето на концептуален модел на иновативна образователна и културно-развлекателна следа в процеса на образованието по изкуствата и културата през целия живот</v>
      </c>
      <c r="D2332" s="10">
        <f ca="1">IFERROR(__xludf.DUMMYFUNCTION("""COMPUTED_VALUE"""),2018)</f>
        <v>2018</v>
      </c>
      <c r="E2332"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с.37-54, ISBN: 978-619-185-213-0")</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с.37-54, ISBN: 978-619-185-213-0</v>
      </c>
      <c r="F233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32" s="10"/>
      <c r="H2332" s="10"/>
      <c r="I2332" s="10"/>
      <c r="J2332" s="10"/>
      <c r="K2332" s="10"/>
      <c r="L2332" s="10"/>
      <c r="M2332" s="10"/>
      <c r="N2332" s="10"/>
      <c r="O2332" s="10"/>
      <c r="P2332" s="10"/>
      <c r="Q2332" s="10"/>
      <c r="R2332" s="10"/>
      <c r="S2332" s="10"/>
      <c r="T2332" s="10"/>
      <c r="U2332" s="10"/>
      <c r="V2332" s="10"/>
      <c r="W2332" s="10"/>
      <c r="X2332" s="10"/>
      <c r="Y2332" s="10"/>
      <c r="Z2332" s="10"/>
    </row>
    <row r="2333" spans="1:26" ht="12.75">
      <c r="A2333" s="10" t="str">
        <f ca="1">IFERROR(__xludf.DUMMYFUNCTION("""COMPUTED_VALUE"""),"Евгени Кирилов Велев")</f>
        <v>Евгени Кирилов Велев</v>
      </c>
      <c r="B2333" s="10" t="str">
        <f ca="1">IFERROR(__xludf.DUMMYFUNCTION("""COMPUTED_VALUE"""),"Статия в списания и поредици")</f>
        <v>Статия в списания и поредици</v>
      </c>
      <c r="C2333" s="10" t="str">
        <f ca="1">IFERROR(__xludf.DUMMYFUNCTION("""COMPUTED_VALUE"""),"Развитие на културните, творчески, развлекателни и туристически индустрии в контекста на образованието по изкуствата и културата през целия живот")</f>
        <v>Развитие на културните, творчески, развлекателни и туристически индустрии в контекста на образованието по изкуствата и културата през целия живот</v>
      </c>
      <c r="D2333" s="10">
        <f ca="1">IFERROR(__xludf.DUMMYFUNCTION("""COMPUTED_VALUE"""),2018)</f>
        <v>2018</v>
      </c>
      <c r="E2333"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354-363 с., ISBN: 978-619-185-213-0")</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354-363 с., ISBN: 978-619-185-213-0</v>
      </c>
      <c r="F233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33" s="10" t="str">
        <f ca="1">IFERROR(__xludf.DUMMYFUNCTION("""COMPUTED_VALUE"""),"Стоян Денчев")</f>
        <v>Стоян Денчев</v>
      </c>
      <c r="H2333" s="10"/>
      <c r="I2333" s="10"/>
      <c r="J2333" s="10"/>
      <c r="K2333" s="10"/>
      <c r="L2333" s="10"/>
      <c r="M2333" s="10"/>
      <c r="N2333" s="10"/>
      <c r="O2333" s="10"/>
      <c r="P2333" s="10"/>
      <c r="Q2333" s="10"/>
      <c r="R2333" s="10"/>
      <c r="S2333" s="10"/>
      <c r="T2333" s="10"/>
      <c r="U2333" s="10"/>
      <c r="V2333" s="10"/>
      <c r="W2333" s="10"/>
      <c r="X2333" s="10"/>
      <c r="Y2333" s="10"/>
      <c r="Z2333" s="10"/>
    </row>
    <row r="2334" spans="1:26" ht="12.75">
      <c r="A2334" s="10" t="str">
        <f ca="1">IFERROR(__xludf.DUMMYFUNCTION("""COMPUTED_VALUE"""),"Евгени Кирилов Велев")</f>
        <v>Евгени Кирилов Велев</v>
      </c>
      <c r="B2334" s="10" t="str">
        <f ca="1">IFERROR(__xludf.DUMMYFUNCTION("""COMPUTED_VALUE"""),"Статия в списания и поредици")</f>
        <v>Статия в списания и поредици</v>
      </c>
      <c r="C2334" s="10" t="str">
        <f ca="1">IFERROR(__xludf.DUMMYFUNCTION("""COMPUTED_VALUE"""),"Развитие на културните и творчески индустрии в контекста на формиране на визуална култура")</f>
        <v>Развитие на културните и творчески индустрии в контекста на формиране на визуална култура</v>
      </c>
      <c r="D2334" s="10">
        <f ca="1">IFERROR(__xludf.DUMMYFUNCTION("""COMPUTED_VALUE"""),2018)</f>
        <v>2018</v>
      </c>
      <c r="E2334"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467-474 с., ISBN: 978-619-185-213-0")</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467-474 с., ISBN: 978-619-185-213-0</v>
      </c>
      <c r="F233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34" s="10" t="str">
        <f ca="1">IFERROR(__xludf.DUMMYFUNCTION("""COMPUTED_VALUE"""),"Мериан Велева")</f>
        <v>Мериан Велева</v>
      </c>
      <c r="H2334" s="10"/>
      <c r="I2334" s="10"/>
      <c r="J2334" s="10"/>
      <c r="K2334" s="10"/>
      <c r="L2334" s="10"/>
      <c r="M2334" s="10"/>
      <c r="N2334" s="10"/>
      <c r="O2334" s="10"/>
      <c r="P2334" s="10"/>
      <c r="Q2334" s="10"/>
      <c r="R2334" s="10"/>
      <c r="S2334" s="10"/>
      <c r="T2334" s="10"/>
      <c r="U2334" s="10"/>
      <c r="V2334" s="10"/>
      <c r="W2334" s="10"/>
      <c r="X2334" s="10"/>
      <c r="Y2334" s="10"/>
      <c r="Z2334" s="10"/>
    </row>
    <row r="2335" spans="1:26" ht="12.75">
      <c r="A2335" s="10" t="str">
        <f ca="1">IFERROR(__xludf.DUMMYFUNCTION("""COMPUTED_VALUE"""),"Евгени Кирилов Велев")</f>
        <v>Евгени Кирилов Велев</v>
      </c>
      <c r="B2335" s="10" t="str">
        <f ca="1">IFERROR(__xludf.DUMMYFUNCTION("""COMPUTED_VALUE"""),"Статия в списания и поредици")</f>
        <v>Статия в списания и поредици</v>
      </c>
      <c r="C2335" s="10" t="str">
        <f ca="1">IFERROR(__xludf.DUMMYFUNCTION("""COMPUTED_VALUE"""),"Визуална култура и културни политики в условията на новата геополитическа и социокултурна ситуация на Балканите и Югоизточна Европа в контекста на образованието по изкуствата и културата през целия живот")</f>
        <v>Визуална култура и културни политики в условията на новата геополитическа и социокултурна ситуация на Балканите и Югоизточна Европа в контекста на образованието по изкуствата и културата през целия живот</v>
      </c>
      <c r="D2335" s="10">
        <f ca="1">IFERROR(__xludf.DUMMYFUNCTION("""COMPUTED_VALUE"""),2017)</f>
        <v>2017</v>
      </c>
      <c r="E2335" s="10" t="str">
        <f ca="1">IFERROR(__xludf.DUMMYFUNCTION("""COMPUTED_VALUE"""),"Съвременни измерения на европейското образование и научна пространство. Българо-гръцки културни общувания. Сборник с доклади. Том 5. - София: За буквите – Описменехь, 2017, 161-168 с., ISSN 2367-7988")</f>
        <v>Съвременни измерения на европейското образование и научна пространство. Българо-гръцки културни общувания. Сборник с доклади. Том 5. - София: За буквите – Описменехь, 2017, 161-168 с., ISSN 2367-7988</v>
      </c>
      <c r="F233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35" s="10"/>
      <c r="H2335" s="10"/>
      <c r="I2335" s="10"/>
      <c r="J2335" s="10"/>
      <c r="K2335" s="10"/>
      <c r="L2335" s="10"/>
      <c r="M2335" s="10"/>
      <c r="N2335" s="10"/>
      <c r="O2335" s="10"/>
      <c r="P2335" s="10"/>
      <c r="Q2335" s="10"/>
      <c r="R2335" s="10"/>
      <c r="S2335" s="10"/>
      <c r="T2335" s="10"/>
      <c r="U2335" s="10"/>
      <c r="V2335" s="10"/>
      <c r="W2335" s="10"/>
      <c r="X2335" s="10"/>
      <c r="Y2335" s="10"/>
      <c r="Z2335" s="10"/>
    </row>
    <row r="2336" spans="1:26" ht="12.75">
      <c r="A2336" s="10" t="str">
        <f ca="1">IFERROR(__xludf.DUMMYFUNCTION("""COMPUTED_VALUE"""),"Евгени Кирилов Велев")</f>
        <v>Евгени Кирилов Велев</v>
      </c>
      <c r="B2336" s="10" t="str">
        <f ca="1">IFERROR(__xludf.DUMMYFUNCTION("""COMPUTED_VALUE"""),"Доклад от конференция")</f>
        <v>Доклад от конференция</v>
      </c>
      <c r="C2336" s="10" t="str">
        <f ca="1">IFERROR(__xludf.DUMMYFUNCTION("""COMPUTED_VALUE"""),"Кoмпетентностные модели и стратегическое управление институциональных структур в сфере образования, изкуства и культуры")</f>
        <v>Кoмпетентностные модели и стратегическое управление институциональных структур в сфере образования, изкуства и культуры</v>
      </c>
      <c r="D2336" s="10">
        <f ca="1">IFERROR(__xludf.DUMMYFUNCTION("""COMPUTED_VALUE"""),2017)</f>
        <v>2017</v>
      </c>
      <c r="E2336" s="10" t="str">
        <f ca="1">IFERROR(__xludf.DUMMYFUNCTION("""COMPUTED_VALUE"""),"Орловский государственный институт культуры как фундаментальный центр сохранения и развития отечественной культуры [Текст] : материалы Международной научно-практической конференции, г. Орёл, 2 марта 2017 г. - Орел : Орловский гос. ин-т культуры, 2017, с. "&amp;"14-18. ISBN 978-5-905436-14-7")</f>
        <v>Орловский государственный институт культуры как фундаментальный центр сохранения и развития отечественной культуры [Текст] : материалы Международной научно-практической конференции, г. Орёл, 2 марта 2017 г. - Орел : Орловский гос. ин-т культуры, 2017, с. 14-18. ISBN 978-5-905436-14-7</v>
      </c>
      <c r="F2336" s="10" t="str">
        <f ca="1">IFERROR(__xludf.DUMMYFUNCTION("""COMPUTED_VALUE"""),"Google sholar")</f>
        <v>Google sholar</v>
      </c>
      <c r="G2336" s="10" t="str">
        <f ca="1">IFERROR(__xludf.DUMMYFUNCTION("""COMPUTED_VALUE"""),"Стоян Денчев, Таисия Владимирова")</f>
        <v>Стоян Денчев, Таисия Владимирова</v>
      </c>
      <c r="H2336" s="10"/>
      <c r="I2336" s="10"/>
      <c r="J2336" s="10"/>
      <c r="K2336" s="10"/>
      <c r="L2336" s="10"/>
      <c r="M2336" s="10"/>
      <c r="N2336" s="10"/>
      <c r="O2336" s="10"/>
      <c r="P2336" s="10"/>
      <c r="Q2336" s="10"/>
      <c r="R2336" s="10"/>
      <c r="S2336" s="10"/>
      <c r="T2336" s="10"/>
      <c r="U2336" s="10"/>
      <c r="V2336" s="10"/>
      <c r="W2336" s="10"/>
      <c r="X2336" s="10"/>
      <c r="Y2336" s="10"/>
      <c r="Z2336" s="10"/>
    </row>
    <row r="2337" spans="1:26" ht="12.75">
      <c r="A2337" s="10" t="str">
        <f ca="1">IFERROR(__xludf.DUMMYFUNCTION("""COMPUTED_VALUE"""),"Евгени Кирилов Велев")</f>
        <v>Евгени Кирилов Велев</v>
      </c>
      <c r="B2337" s="10" t="str">
        <f ca="1">IFERROR(__xludf.DUMMYFUNCTION("""COMPUTED_VALUE"""),"Статия в списания и поредици")</f>
        <v>Статия в списания и поредици</v>
      </c>
      <c r="C2337" s="10" t="str">
        <f ca="1">IFERROR(__xludf.DUMMYFUNCTION("""COMPUTED_VALUE"""),"Феноменални образователни измерения на срещата между визуалната култура и наблюдаващите в съвременна ситуация")</f>
        <v>Феноменални образователни измерения на срещата между визуалната култура и наблюдаващите в съвременна ситуация</v>
      </c>
      <c r="D2337" s="10">
        <f ca="1">IFERROR(__xludf.DUMMYFUNCTION("""COMPUTED_VALUE"""),2017)</f>
        <v>2017</v>
      </c>
      <c r="E2337" s="10" t="str">
        <f ca="1">IFERROR(__xludf.DUMMYFUNCTION("""COMPUTED_VALUE"""),"Ролята на ЮНЕСКО за развитие на образованието, науката и културата в Р България. Сб. доклади от научен семинар, проведен на 24.05.2017 г. в Париж. - София: За буквите – Описменехь, 2017, с. 11-26, ISSN 2367-7988")</f>
        <v>Ролята на ЮНЕСКО за развитие на образованието, науката и културата в Р България. Сб. доклади от научен семинар, проведен на 24.05.2017 г. в Париж. - София: За буквите – Описменехь, 2017, с. 11-26, ISSN 2367-7988</v>
      </c>
      <c r="F233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37" s="10" t="str">
        <f ca="1">IFERROR(__xludf.DUMMYFUNCTION("""COMPUTED_VALUE"""),"Стоян Денчев")</f>
        <v>Стоян Денчев</v>
      </c>
      <c r="H2337" s="10"/>
      <c r="I2337" s="10"/>
      <c r="J2337" s="10"/>
      <c r="K2337" s="10"/>
      <c r="L2337" s="10"/>
      <c r="M2337" s="10"/>
      <c r="N2337" s="10"/>
      <c r="O2337" s="10"/>
      <c r="P2337" s="10"/>
      <c r="Q2337" s="10"/>
      <c r="R2337" s="10"/>
      <c r="S2337" s="10"/>
      <c r="T2337" s="10"/>
      <c r="U2337" s="10"/>
      <c r="V2337" s="10"/>
      <c r="W2337" s="10"/>
      <c r="X2337" s="10"/>
      <c r="Y2337" s="10"/>
      <c r="Z2337" s="10"/>
    </row>
    <row r="2338" spans="1:26" ht="12.75">
      <c r="A2338" s="10" t="str">
        <f ca="1">IFERROR(__xludf.DUMMYFUNCTION("""COMPUTED_VALUE"""),"Евгени Кирилов Велев")</f>
        <v>Евгени Кирилов Велев</v>
      </c>
      <c r="B2338" s="10" t="str">
        <f ca="1">IFERROR(__xludf.DUMMYFUNCTION("""COMPUTED_VALUE"""),"Доклад от конференция")</f>
        <v>Доклад от конференция</v>
      </c>
      <c r="C2338" s="10" t="str">
        <f ca="1">IFERROR(__xludf.DUMMYFUNCTION("""COMPUTED_VALUE"""),"The Role of Culture for the Drawing of Values in the Meating Frame of Edication in Arts and Culture in Life = Ролята на визуалната култура за формиране на ценности в смисловата рамка на образованието по изкуствата и културата през целия живот")</f>
        <v>The Role of Culture for the Drawing of Values in the Meating Frame of Edication in Arts and Culture in Life = Ролята на визуалната култура за формиране на ценности в смисловата рамка на образованието по изкуствата и културата през целия живот</v>
      </c>
      <c r="D2338" s="10">
        <f ca="1">IFERROR(__xludf.DUMMYFUNCTION("""COMPUTED_VALUE"""),2017)</f>
        <v>2017</v>
      </c>
      <c r="E2338" s="10" t="str">
        <f ca="1">IFERROR(__xludf.DUMMYFUNCTION("""COMPUTED_VALUE"""),"Knowledge – International Journal, 2017, 20.6., pp. 2615-2620, ISSN 2545-4439")</f>
        <v>Knowledge – International Journal, 2017, 20.6., pp. 2615-2620, ISSN 2545-4439</v>
      </c>
      <c r="F2338" s="10" t="str">
        <f ca="1">IFERROR(__xludf.DUMMYFUNCTION("""COMPUTED_VALUE"""),"International Journal with an ISSN number and Global Impact &amp; Quality Factor (GIF) 1.023 (for 2015 z.) (http://globalimpactfactor.com/knowledge-international-journal/) KNOWLEDGE – International Journal")</f>
        <v>International Journal with an ISSN number and Global Impact &amp; Quality Factor (GIF) 1.023 (for 2015 z.) (http://globalimpactfactor.com/knowledge-international-journal/) KNOWLEDGE – International Journal</v>
      </c>
      <c r="G2338" s="10" t="str">
        <f ca="1">IFERROR(__xludf.DUMMYFUNCTION("""COMPUTED_VALUE"""),"Иванка Янкова, Мериан Велева")</f>
        <v>Иванка Янкова, Мериан Велева</v>
      </c>
      <c r="H2338" s="10"/>
      <c r="I2338" s="10"/>
      <c r="J2338" s="10"/>
      <c r="K2338" s="10"/>
      <c r="L2338" s="10"/>
      <c r="M2338" s="10"/>
      <c r="N2338" s="10"/>
      <c r="O2338" s="10"/>
      <c r="P2338" s="10"/>
      <c r="Q2338" s="10"/>
      <c r="R2338" s="10"/>
      <c r="S2338" s="10"/>
      <c r="T2338" s="10"/>
      <c r="U2338" s="10"/>
      <c r="V2338" s="10"/>
      <c r="W2338" s="10"/>
      <c r="X2338" s="10"/>
      <c r="Y2338" s="10"/>
      <c r="Z2338" s="10"/>
    </row>
    <row r="2339" spans="1:26" ht="12.75">
      <c r="A2339" s="10" t="str">
        <f ca="1">IFERROR(__xludf.DUMMYFUNCTION("""COMPUTED_VALUE"""),"Евгени Кирилов Велев")</f>
        <v>Евгени Кирилов Велев</v>
      </c>
      <c r="B2339" s="10" t="str">
        <f ca="1">IFERROR(__xludf.DUMMYFUNCTION("""COMPUTED_VALUE"""),"Статия в списания и поредици")</f>
        <v>Статия в списания и поредици</v>
      </c>
      <c r="C2339" s="10" t="str">
        <f ca="1">IFERROR(__xludf.DUMMYFUNCTION("""COMPUTED_VALUE"""),"Problems and Prospects for the Education of Arts and Culture in the EU in the Postmodern Situation")</f>
        <v>Problems and Prospects for the Education of Arts and Culture in the EU in the Postmodern Situation</v>
      </c>
      <c r="D2339" s="10">
        <f ca="1">IFERROR(__xludf.DUMMYFUNCTION("""COMPUTED_VALUE"""),2017)</f>
        <v>2017</v>
      </c>
      <c r="E2339" s="10" t="str">
        <f ca="1">IFERROR(__xludf.DUMMYFUNCTION("""COMPUTED_VALUE"""),"Conference Proceedings. The Future of Education, 2017, pp.36-45. ISSN: 2384-9509")</f>
        <v>Conference Proceedings. The Future of Education, 2017, pp.36-45. ISSN: 2384-9509</v>
      </c>
      <c r="F2339" s="10" t="str">
        <f ca="1">IFERROR(__xludf.DUMMYFUNCTION("""COMPUTED_VALUE"""),"Google sholar")</f>
        <v>Google sholar</v>
      </c>
      <c r="G2339" s="10" t="str">
        <f ca="1">IFERROR(__xludf.DUMMYFUNCTION("""COMPUTED_VALUE"""),"Stoyan Denchev, Irena Peteva, Merian Veleva")</f>
        <v>Stoyan Denchev, Irena Peteva, Merian Veleva</v>
      </c>
      <c r="H2339" s="10"/>
      <c r="I2339" s="10"/>
      <c r="J2339" s="10"/>
      <c r="K2339" s="10"/>
      <c r="L2339" s="10"/>
      <c r="M2339" s="10"/>
      <c r="N2339" s="10"/>
      <c r="O2339" s="10"/>
      <c r="P2339" s="10"/>
      <c r="Q2339" s="10"/>
      <c r="R2339" s="10"/>
      <c r="S2339" s="10"/>
      <c r="T2339" s="10"/>
      <c r="U2339" s="10"/>
      <c r="V2339" s="10"/>
      <c r="W2339" s="10"/>
      <c r="X2339" s="10"/>
      <c r="Y2339" s="10"/>
      <c r="Z2339" s="10"/>
    </row>
    <row r="2340" spans="1:26" ht="12.75">
      <c r="A2340" s="10" t="str">
        <f ca="1">IFERROR(__xludf.DUMMYFUNCTION("""COMPUTED_VALUE"""),"Евгени Кирилов Велев")</f>
        <v>Евгени Кирилов Велев</v>
      </c>
      <c r="B2340" s="10" t="str">
        <f ca="1">IFERROR(__xludf.DUMMYFUNCTION("""COMPUTED_VALUE"""),"Статия в списания и поредици")</f>
        <v>Статия в списания и поредици</v>
      </c>
      <c r="C2340" s="10" t="str">
        <f ca="1">IFERROR(__xludf.DUMMYFUNCTION("""COMPUTED_VALUE"""),"Проблеми на визуалната комуникация в контекста на образованието по изкуствата и културата през целия живот")</f>
        <v>Проблеми на визуалната комуникация в контекста на образованието по изкуствата и културата през целия живот</v>
      </c>
      <c r="D2340" s="10">
        <f ca="1">IFERROR(__xludf.DUMMYFUNCTION("""COMPUTED_VALUE"""),2016)</f>
        <v>2016</v>
      </c>
      <c r="E2340" s="10" t="str">
        <f ca="1">IFERROR(__xludf.DUMMYFUNCTION("""COMPUTED_VALUE"""),"Проблеми на обществената комуникация. Научни доклади от Втора кръгла маса „Проблеми на обществената комуникация“, 2016.- София: За буквите - Описменехь, 2016, 106-116 с., ISSN 2534-9430")</f>
        <v>Проблеми на обществената комуникация. Научни доклади от Втора кръгла маса „Проблеми на обществената комуникация“, 2016.- София: За буквите - Описменехь, 2016, 106-116 с., ISSN 2534-9430</v>
      </c>
      <c r="F234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40" s="10"/>
      <c r="H2340" s="10"/>
      <c r="I2340" s="10"/>
      <c r="J2340" s="10"/>
      <c r="K2340" s="10"/>
      <c r="L2340" s="10"/>
      <c r="M2340" s="10"/>
      <c r="N2340" s="10"/>
      <c r="O2340" s="10"/>
      <c r="P2340" s="10"/>
      <c r="Q2340" s="10"/>
      <c r="R2340" s="10"/>
      <c r="S2340" s="10"/>
      <c r="T2340" s="10"/>
      <c r="U2340" s="10"/>
      <c r="V2340" s="10"/>
      <c r="W2340" s="10"/>
      <c r="X2340" s="10"/>
      <c r="Y2340" s="10"/>
      <c r="Z2340" s="10"/>
    </row>
    <row r="2341" spans="1:26" ht="12.75">
      <c r="A2341" s="10" t="str">
        <f ca="1">IFERROR(__xludf.DUMMYFUNCTION("""COMPUTED_VALUE"""),"Евгени Кирилов Велев")</f>
        <v>Евгени Кирилов Велев</v>
      </c>
      <c r="B2341" s="10" t="str">
        <f ca="1">IFERROR(__xludf.DUMMYFUNCTION("""COMPUTED_VALUE"""),"Статия в списания и поредици")</f>
        <v>Статия в списания и поредици</v>
      </c>
      <c r="C2341" s="10" t="str">
        <f ca="1">IFERROR(__xludf.DUMMYFUNCTION("""COMPUTED_VALUE"""),"Competency models and strategic management of institutional structures in tourism, tourism and creative industries =Компетентностни модели и стратегическо управление на институционални структури в сферата на туризма, туристическите и креативни индустрии")</f>
        <v>Competency models and strategic management of institutional structures in tourism, tourism and creative industries =Компетентностни модели и стратегическо управление на институционални структури в сферата на туризма, туристическите и креативни индустрии</v>
      </c>
      <c r="D2341" s="10">
        <f ca="1">IFERROR(__xludf.DUMMYFUNCTION("""COMPUTED_VALUE"""),2016)</f>
        <v>2016</v>
      </c>
      <c r="E2341" s="10" t="str">
        <f ca="1">IFERROR(__xludf.DUMMYFUNCTION("""COMPUTED_VALUE"""),"Knowledge – International Journal, 2016, 13.2., pp. 35-41., ISSN 2545-4439")</f>
        <v>Knowledge – International Journal, 2016, 13.2., pp. 35-41., ISSN 2545-4439</v>
      </c>
      <c r="F2341" s="10" t="str">
        <f ca="1">IFERROR(__xludf.DUMMYFUNCTION("""COMPUTED_VALUE"""),"International Journal with an ISSN number and Global Impact &amp; Quality Factor (GIF) 1.023 (for 2015 z.) (http://globalimpactfactor.com/knowledge-international-journal/) KNOWLEDGE – International Journal")</f>
        <v>International Journal with an ISSN number and Global Impact &amp; Quality Factor (GIF) 1.023 (for 2015 z.) (http://globalimpactfactor.com/knowledge-international-journal/) KNOWLEDGE – International Journal</v>
      </c>
      <c r="G2341" s="10" t="str">
        <f ca="1">IFERROR(__xludf.DUMMYFUNCTION("""COMPUTED_VALUE"""),"Иванка Янкова, Мериан Велева")</f>
        <v>Иванка Янкова, Мериан Велева</v>
      </c>
      <c r="H2341" s="10"/>
      <c r="I2341" s="10"/>
      <c r="J2341" s="10"/>
      <c r="K2341" s="10"/>
      <c r="L2341" s="10"/>
      <c r="M2341" s="10"/>
      <c r="N2341" s="10"/>
      <c r="O2341" s="10"/>
      <c r="P2341" s="10"/>
      <c r="Q2341" s="10"/>
      <c r="R2341" s="10"/>
      <c r="S2341" s="10"/>
      <c r="T2341" s="10"/>
      <c r="U2341" s="10"/>
      <c r="V2341" s="10"/>
      <c r="W2341" s="10"/>
      <c r="X2341" s="10"/>
      <c r="Y2341" s="10"/>
      <c r="Z2341" s="10"/>
    </row>
    <row r="2342" spans="1:26" ht="12.75">
      <c r="A2342" s="10" t="str">
        <f ca="1">IFERROR(__xludf.DUMMYFUNCTION("""COMPUTED_VALUE"""),"Евгени Кирилов Велев")</f>
        <v>Евгени Кирилов Велев</v>
      </c>
      <c r="B2342" s="10" t="str">
        <f ca="1">IFERROR(__xludf.DUMMYFUNCTION("""COMPUTED_VALUE"""),"Статия в списания и поредици")</f>
        <v>Статия в списания и поредици</v>
      </c>
      <c r="C2342" s="10" t="str">
        <f ca="1">IFERROR(__xludf.DUMMYFUNCTION("""COMPUTED_VALUE"""),"До Миланския едикт напред назад, без манастира ""Св. Прохор Пчински")</f>
        <v>До Миланския едикт напред назад, без манастира "Св. Прохор Пчински</v>
      </c>
      <c r="D2342" s="10">
        <f ca="1">IFERROR(__xludf.DUMMYFUNCTION("""COMPUTED_VALUE"""),2014)</f>
        <v>2014</v>
      </c>
      <c r="E2342" s="10" t="str">
        <f ca="1">IFERROR(__xludf.DUMMYFUNCTION("""COMPUTED_VALUE"""),"сп. Погледи, год ІІ, бр. 3. Лесковац 2014, с. 133-138. ISSN 2217-737X")</f>
        <v>сп. Погледи, год ІІ, бр. 3. Лесковац 2014, с. 133-138. ISSN 2217-737X</v>
      </c>
      <c r="F2342" s="10"/>
      <c r="G2342" s="10"/>
      <c r="H2342" s="10"/>
      <c r="I2342" s="10"/>
      <c r="J2342" s="10"/>
      <c r="K2342" s="10"/>
      <c r="L2342" s="10"/>
      <c r="M2342" s="10"/>
      <c r="N2342" s="10"/>
      <c r="O2342" s="10"/>
      <c r="P2342" s="10"/>
      <c r="Q2342" s="10"/>
      <c r="R2342" s="10"/>
      <c r="S2342" s="10"/>
      <c r="T2342" s="10"/>
      <c r="U2342" s="10"/>
      <c r="V2342" s="10"/>
      <c r="W2342" s="10"/>
      <c r="X2342" s="10"/>
      <c r="Y2342" s="10"/>
      <c r="Z2342" s="10"/>
    </row>
    <row r="2343" spans="1:26" ht="12.75">
      <c r="A2343" s="10" t="str">
        <f ca="1">IFERROR(__xludf.DUMMYFUNCTION("""COMPUTED_VALUE"""),"Евгени Кирилов Велев")</f>
        <v>Евгени Кирилов Велев</v>
      </c>
      <c r="B2343" s="10" t="str">
        <f ca="1">IFERROR(__xludf.DUMMYFUNCTION("""COMPUTED_VALUE"""),"Монография")</f>
        <v>Монография</v>
      </c>
      <c r="C2343" s="10" t="str">
        <f ca="1">IFERROR(__xludf.DUMMYFUNCTION("""COMPUTED_VALUE"""),"Мениджмънт на художественото наследство")</f>
        <v>Мениджмънт на художественото наследство</v>
      </c>
      <c r="D2343" s="10">
        <f ca="1">IFERROR(__xludf.DUMMYFUNCTION("""COMPUTED_VALUE"""),2014)</f>
        <v>2014</v>
      </c>
      <c r="E2343" s="10" t="str">
        <f ca="1">IFERROR(__xludf.DUMMYFUNCTION("""COMPUTED_VALUE"""),"София : За буквите - О писменехь, 2014 ([София] : БПС). - 337 с. ; 21 см ISBN 978-619-185-012-9")</f>
        <v>София : За буквите - О писменехь, 2014 ([София] : БПС). - 337 с. ; 21 см ISBN 978-619-185-012-9</v>
      </c>
      <c r="F234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43" s="10"/>
      <c r="H2343" s="10"/>
      <c r="I2343" s="10"/>
      <c r="J2343" s="10"/>
      <c r="K2343" s="10"/>
      <c r="L2343" s="10"/>
      <c r="M2343" s="10"/>
      <c r="N2343" s="10"/>
      <c r="O2343" s="10"/>
      <c r="P2343" s="10"/>
      <c r="Q2343" s="10"/>
      <c r="R2343" s="10"/>
      <c r="S2343" s="10"/>
      <c r="T2343" s="10"/>
      <c r="U2343" s="10"/>
      <c r="V2343" s="10"/>
      <c r="W2343" s="10"/>
      <c r="X2343" s="10"/>
      <c r="Y2343" s="10"/>
      <c r="Z2343" s="10"/>
    </row>
    <row r="2344" spans="1:26" ht="12.75">
      <c r="A2344" s="10" t="str">
        <f ca="1">IFERROR(__xludf.DUMMYFUNCTION("""COMPUTED_VALUE"""),"Евгени Кирилов Велев")</f>
        <v>Евгени Кирилов Велев</v>
      </c>
      <c r="B2344" s="10" t="str">
        <f ca="1">IFERROR(__xludf.DUMMYFUNCTION("""COMPUTED_VALUE"""),"Доклад от конференция")</f>
        <v>Доклад от конференция</v>
      </c>
      <c r="C2344" s="10" t="str">
        <f ca="1">IFERROR(__xludf.DUMMYFUNCTION("""COMPUTED_VALUE"""),"Организационо-структурни аспекти система културе и уметности")</f>
        <v>Организационо-структурни аспекти система културе и уметности</v>
      </c>
      <c r="D2344" s="10">
        <f ca="1">IFERROR(__xludf.DUMMYFUNCTION("""COMPUTED_VALUE"""),2014)</f>
        <v>2014</v>
      </c>
      <c r="E2344" s="10" t="str">
        <f ca="1">IFERROR(__xludf.DUMMYFUNCTION("""COMPUTED_VALUE"""),"Слобода као вредност или Слобода као фактор смисла живота. - Сокобања : Народна библиотека ""Стеван Сремац"", 2014, ISBN 978-86-82623-16-8 с. 113-124")</f>
        <v>Слобода као вредност или Слобода као фактор смисла живота. - Сокобања : Народна библиотека "Стеван Сремац", 2014, ISBN 978-86-82623-16-8 с. 113-124</v>
      </c>
      <c r="F2344" s="10"/>
      <c r="G2344" s="10"/>
      <c r="H2344" s="10"/>
      <c r="I2344" s="10"/>
      <c r="J2344" s="10"/>
      <c r="K2344" s="10"/>
      <c r="L2344" s="10"/>
      <c r="M2344" s="10"/>
      <c r="N2344" s="10"/>
      <c r="O2344" s="10"/>
      <c r="P2344" s="10"/>
      <c r="Q2344" s="10"/>
      <c r="R2344" s="10"/>
      <c r="S2344" s="10"/>
      <c r="T2344" s="10"/>
      <c r="U2344" s="10"/>
      <c r="V2344" s="10"/>
      <c r="W2344" s="10"/>
      <c r="X2344" s="10"/>
      <c r="Y2344" s="10"/>
      <c r="Z2344" s="10"/>
    </row>
    <row r="2345" spans="1:26" ht="12.75">
      <c r="A2345" s="10" t="str">
        <f ca="1">IFERROR(__xludf.DUMMYFUNCTION("""COMPUTED_VALUE"""),"Евгени Кирилов Велев")</f>
        <v>Евгени Кирилов Велев</v>
      </c>
      <c r="B2345" s="10" t="str">
        <f ca="1">IFERROR(__xludf.DUMMYFUNCTION("""COMPUTED_VALUE"""),"Доклад от конференция")</f>
        <v>Доклад от конференция</v>
      </c>
      <c r="C2345" s="10" t="str">
        <f ca="1">IFERROR(__xludf.DUMMYFUNCTION("""COMPUTED_VALUE"""),"О теориjско - организационим аспектима уметничког наследа и о другим своjствима културе и уметности")</f>
        <v>О теориjско - организационим аспектима уметничког наследа и о другим своjствима културе и уметности</v>
      </c>
      <c r="D2345" s="10">
        <f ca="1">IFERROR(__xludf.DUMMYFUNCTION("""COMPUTED_VALUE"""),2014)</f>
        <v>2014</v>
      </c>
      <c r="E2345" s="10" t="str">
        <f ca="1">IFERROR(__xludf.DUMMYFUNCTION("""COMPUTED_VALUE"""),"Слобода као вредност или Слобода као фактор смисла живота. - Сокобања : Народна библиотека ""Стеван Сремац"", 2014, ISBN 978-86-82623-16-8 с. 89-100")</f>
        <v>Слобода као вредност или Слобода као фактор смисла живота. - Сокобања : Народна библиотека "Стеван Сремац", 2014, ISBN 978-86-82623-16-8 с. 89-100</v>
      </c>
      <c r="F2345" s="10"/>
      <c r="G2345" s="10"/>
      <c r="H2345" s="10"/>
      <c r="I2345" s="10"/>
      <c r="J2345" s="10"/>
      <c r="K2345" s="10"/>
      <c r="L2345" s="10"/>
      <c r="M2345" s="10"/>
      <c r="N2345" s="10"/>
      <c r="O2345" s="10"/>
      <c r="P2345" s="10"/>
      <c r="Q2345" s="10"/>
      <c r="R2345" s="10"/>
      <c r="S2345" s="10"/>
      <c r="T2345" s="10"/>
      <c r="U2345" s="10"/>
      <c r="V2345" s="10"/>
      <c r="W2345" s="10"/>
      <c r="X2345" s="10"/>
      <c r="Y2345" s="10"/>
      <c r="Z2345" s="10"/>
    </row>
    <row r="2346" spans="1:26" ht="12.75">
      <c r="A2346" s="10" t="str">
        <f ca="1">IFERROR(__xludf.DUMMYFUNCTION("""COMPUTED_VALUE"""),"Евгени Кирилов Велев")</f>
        <v>Евгени Кирилов Велев</v>
      </c>
      <c r="B2346" s="10" t="str">
        <f ca="1">IFERROR(__xludf.DUMMYFUNCTION("""COMPUTED_VALUE"""),"Доклад от конференция")</f>
        <v>Доклад от конференция</v>
      </c>
      <c r="C2346" s="10" t="str">
        <f ca="1">IFERROR(__xludf.DUMMYFUNCTION("""COMPUTED_VALUE"""),"Аспекти практичне примене менацмента уметничког наследа")</f>
        <v>Аспекти практичне примене менацмента уметничког наследа</v>
      </c>
      <c r="D2346" s="10">
        <f ca="1">IFERROR(__xludf.DUMMYFUNCTION("""COMPUTED_VALUE"""),2014)</f>
        <v>2014</v>
      </c>
      <c r="E2346" s="10" t="str">
        <f ca="1">IFERROR(__xludf.DUMMYFUNCTION("""COMPUTED_VALUE"""),"Слобода као вредност или Слобода као фактор смисла живота. - Сокобања : Народна библиотека ""Стеван Сремац"", 2014, ISBN 978-86-82623-16-8 с. 100-107")</f>
        <v>Слобода као вредност или Слобода као фактор смисла живота. - Сокобања : Народна библиотека "Стеван Сремац", 2014, ISBN 978-86-82623-16-8 с. 100-107</v>
      </c>
      <c r="F2346" s="10"/>
      <c r="G2346" s="10"/>
      <c r="H2346" s="10"/>
      <c r="I2346" s="10"/>
      <c r="J2346" s="10"/>
      <c r="K2346" s="10"/>
      <c r="L2346" s="10"/>
      <c r="M2346" s="10"/>
      <c r="N2346" s="10"/>
      <c r="O2346" s="10"/>
      <c r="P2346" s="10"/>
      <c r="Q2346" s="10"/>
      <c r="R2346" s="10"/>
      <c r="S2346" s="10"/>
      <c r="T2346" s="10"/>
      <c r="U2346" s="10"/>
      <c r="V2346" s="10"/>
      <c r="W2346" s="10"/>
      <c r="X2346" s="10"/>
      <c r="Y2346" s="10"/>
      <c r="Z2346" s="10"/>
    </row>
    <row r="2347" spans="1:26" ht="12.75">
      <c r="A2347" s="10" t="str">
        <f ca="1">IFERROR(__xludf.DUMMYFUNCTION("""COMPUTED_VALUE"""),"Евгени Кирилов Велев")</f>
        <v>Евгени Кирилов Велев</v>
      </c>
      <c r="B2347" s="10" t="str">
        <f ca="1">IFERROR(__xludf.DUMMYFUNCTION("""COMPUTED_VALUE"""),"Доклад от конференция")</f>
        <v>Доклад от конференция</v>
      </c>
      <c r="C2347" s="10" t="str">
        <f ca="1">IFERROR(__xludf.DUMMYFUNCTION("""COMPUTED_VALUE"""),"Поjмовно-терминолошки аспекти система културе и уметности")</f>
        <v>Поjмовно-терминолошки аспекти система културе и уметности</v>
      </c>
      <c r="D2347" s="10">
        <f ca="1">IFERROR(__xludf.DUMMYFUNCTION("""COMPUTED_VALUE"""),2014)</f>
        <v>2014</v>
      </c>
      <c r="E2347" s="10" t="str">
        <f ca="1">IFERROR(__xludf.DUMMYFUNCTION("""COMPUTED_VALUE"""),"Слобода као вредност или Слобода као фактор смисла живота. - Сокобања : Народна библиотека ""Стеван Сремац"", 2014, ISBN 978-86-82623-16-8 с. 108-103")</f>
        <v>Слобода као вредност или Слобода као фактор смисла живота. - Сокобања : Народна библиотека "Стеван Сремац", 2014, ISBN 978-86-82623-16-8 с. 108-103</v>
      </c>
      <c r="F2347" s="10"/>
      <c r="G2347" s="10"/>
      <c r="H2347" s="10"/>
      <c r="I2347" s="10"/>
      <c r="J2347" s="10"/>
      <c r="K2347" s="10"/>
      <c r="L2347" s="10"/>
      <c r="M2347" s="10"/>
      <c r="N2347" s="10"/>
      <c r="O2347" s="10"/>
      <c r="P2347" s="10"/>
      <c r="Q2347" s="10"/>
      <c r="R2347" s="10"/>
      <c r="S2347" s="10"/>
      <c r="T2347" s="10"/>
      <c r="U2347" s="10"/>
      <c r="V2347" s="10"/>
      <c r="W2347" s="10"/>
      <c r="X2347" s="10"/>
      <c r="Y2347" s="10"/>
      <c r="Z2347" s="10"/>
    </row>
    <row r="2348" spans="1:26" ht="12.75">
      <c r="A2348" s="10" t="str">
        <f ca="1">IFERROR(__xludf.DUMMYFUNCTION("""COMPUTED_VALUE"""),"Евгени Кирилов Велев")</f>
        <v>Евгени Кирилов Велев</v>
      </c>
      <c r="B2348" s="10" t="str">
        <f ca="1">IFERROR(__xludf.DUMMYFUNCTION("""COMPUTED_VALUE"""),"Статия в списания и поредици")</f>
        <v>Статия в списания и поредици</v>
      </c>
      <c r="C2348" s="10" t="str">
        <f ca="1">IFERROR(__xludf.DUMMYFUNCTION("""COMPUTED_VALUE"""),"Времена, пространства и предизвикателства пред системата на съвременното изкуство в България")</f>
        <v>Времена, пространства и предизвикателства пред системата на съвременното изкуство в България</v>
      </c>
      <c r="D2348" s="10">
        <f ca="1">IFERROR(__xludf.DUMMYFUNCTION("""COMPUTED_VALUE"""),2013)</f>
        <v>2013</v>
      </c>
      <c r="E2348" s="10" t="str">
        <f ca="1">IFERROR(__xludf.DUMMYFUNCTION("""COMPUTED_VALUE"""),"Погледи, 2013,Лесковац, Сърбия, ISSN 2217-737X")</f>
        <v>Погледи, 2013,Лесковац, Сърбия, ISSN 2217-737X</v>
      </c>
      <c r="F2348" s="10"/>
      <c r="G2348" s="10"/>
      <c r="H2348" s="10"/>
      <c r="I2348" s="10"/>
      <c r="J2348" s="10"/>
      <c r="K2348" s="10"/>
      <c r="L2348" s="10"/>
      <c r="M2348" s="10"/>
      <c r="N2348" s="10"/>
      <c r="O2348" s="10"/>
      <c r="P2348" s="10"/>
      <c r="Q2348" s="10"/>
      <c r="R2348" s="10"/>
      <c r="S2348" s="10"/>
      <c r="T2348" s="10"/>
      <c r="U2348" s="10"/>
      <c r="V2348" s="10"/>
      <c r="W2348" s="10"/>
      <c r="X2348" s="10"/>
      <c r="Y2348" s="10"/>
      <c r="Z2348" s="10"/>
    </row>
    <row r="2349" spans="1:26" ht="12.75">
      <c r="A2349" s="10" t="str">
        <f ca="1">IFERROR(__xludf.DUMMYFUNCTION("""COMPUTED_VALUE"""),"Евгени Кирилов Велев")</f>
        <v>Евгени Кирилов Велев</v>
      </c>
      <c r="B2349" s="10" t="str">
        <f ca="1">IFERROR(__xludf.DUMMYFUNCTION("""COMPUTED_VALUE"""),"Доклад от конференция")</f>
        <v>Доклад от конференция</v>
      </c>
      <c r="C2349" s="10" t="str">
        <f ca="1">IFERROR(__xludf.DUMMYFUNCTION("""COMPUTED_VALUE"""),"За някои предизвикателства пред системата на съвременното изкуство в България в контекста на утвърждаване ролята на изкуството като познание и средство за възпитание на естетически и други ценности")</f>
        <v>За някои предизвикателства пред системата на съвременното изкуство в България в контекста на утвърждаване ролята на изкуството като познание и средство за възпитание на естетически и други ценности</v>
      </c>
      <c r="D2349" s="10">
        <f ca="1">IFERROR(__xludf.DUMMYFUNCTION("""COMPUTED_VALUE"""),2013)</f>
        <v>2013</v>
      </c>
      <c r="E2349" s="10" t="str">
        <f ca="1">IFERROR(__xludf.DUMMYFUNCTION("""COMPUTED_VALUE"""),"Балканколор: Сб. доклади от Трета международна научна конференция по проблемите на цвета и цветознанието за страните от Югоизточна Европа, 2013, с. 61-63. ISSN 1313-4884")</f>
        <v>Балканколор: Сб. доклади от Трета международна научна конференция по проблемите на цвета и цветознанието за страните от Югоизточна Европа, 2013, с. 61-63. ISSN 1313-4884</v>
      </c>
      <c r="F2349" s="10"/>
      <c r="G2349" s="10"/>
      <c r="H2349" s="10"/>
      <c r="I2349" s="10"/>
      <c r="J2349" s="10"/>
      <c r="K2349" s="10"/>
      <c r="L2349" s="10"/>
      <c r="M2349" s="10"/>
      <c r="N2349" s="10"/>
      <c r="O2349" s="10"/>
      <c r="P2349" s="10"/>
      <c r="Q2349" s="10"/>
      <c r="R2349" s="10"/>
      <c r="S2349" s="10"/>
      <c r="T2349" s="10"/>
      <c r="U2349" s="10"/>
      <c r="V2349" s="10"/>
      <c r="W2349" s="10"/>
      <c r="X2349" s="10"/>
      <c r="Y2349" s="10"/>
      <c r="Z2349" s="10"/>
    </row>
    <row r="2350" spans="1:26" ht="12.75">
      <c r="A2350" s="10" t="str">
        <f ca="1">IFERROR(__xludf.DUMMYFUNCTION("""COMPUTED_VALUE"""),"Евгени Кирилов Велев")</f>
        <v>Евгени Кирилов Велев</v>
      </c>
      <c r="B2350" s="10" t="str">
        <f ca="1">IFERROR(__xludf.DUMMYFUNCTION("""COMPUTED_VALUE"""),"Доклад от конференция")</f>
        <v>Доклад от конференция</v>
      </c>
      <c r="C2350" s="10" t="str">
        <f ca="1">IFERROR(__xludf.DUMMYFUNCTION("""COMPUTED_VALUE"""),"За някои проблеми и перспективи пред системата на културата в България в контекста на развитие на музейния и арт мениджмънт")</f>
        <v>За някои проблеми и перспективи пред системата на културата в България в контекста на развитие на музейния и арт мениджмънт</v>
      </c>
      <c r="D2350" s="10">
        <f ca="1">IFERROR(__xludf.DUMMYFUNCTION("""COMPUTED_VALUE"""),2013)</f>
        <v>2013</v>
      </c>
      <c r="E2350" s="10" t="str">
        <f ca="1">IFERROR(__xludf.DUMMYFUNCTION("""COMPUTED_VALUE"""),"Управленски и маркетингови проблеми на арт организации: Сб. доклади, 2013, с. 45-51. ISBN 978-954-423-904-6")</f>
        <v>Управленски и маркетингови проблеми на арт организации: Сб. доклади, 2013, с. 45-51. ISBN 978-954-423-904-6</v>
      </c>
      <c r="F2350" s="10"/>
      <c r="G2350" s="10"/>
      <c r="H2350" s="10"/>
      <c r="I2350" s="10"/>
      <c r="J2350" s="10"/>
      <c r="K2350" s="10"/>
      <c r="L2350" s="10"/>
      <c r="M2350" s="10"/>
      <c r="N2350" s="10"/>
      <c r="O2350" s="10"/>
      <c r="P2350" s="10"/>
      <c r="Q2350" s="10"/>
      <c r="R2350" s="10"/>
      <c r="S2350" s="10"/>
      <c r="T2350" s="10"/>
      <c r="U2350" s="10"/>
      <c r="V2350" s="10"/>
      <c r="W2350" s="10"/>
      <c r="X2350" s="10"/>
      <c r="Y2350" s="10"/>
      <c r="Z2350" s="10"/>
    </row>
    <row r="2351" spans="1:26" ht="12.75">
      <c r="A2351" s="10" t="str">
        <f ca="1">IFERROR(__xludf.DUMMYFUNCTION("""COMPUTED_VALUE"""),"Евгени Кирилов Велев")</f>
        <v>Евгени Кирилов Велев</v>
      </c>
      <c r="B2351" s="10" t="str">
        <f ca="1">IFERROR(__xludf.DUMMYFUNCTION("""COMPUTED_VALUE"""),"Статия в списания и поредици")</f>
        <v>Статия в списания и поредици</v>
      </c>
      <c r="C2351" s="10" t="str">
        <f ca="1">IFERROR(__xludf.DUMMYFUNCTION("""COMPUTED_VALUE"""),"Балкански измерения на художественото наследство на модернизма. (За една обективна релативност на ""Блудницата"" от женското отделение на храма ""Св. Георги"" в с. Златолист с ""Олимпия"" на Едуар Мане)")</f>
        <v>Балкански измерения на художественото наследство на модернизма. (За една обективна релативност на "Блудницата" от женското отделение на храма "Св. Георги" в с. Златолист с "Олимпия" на Едуар Мане)</v>
      </c>
      <c r="D2351" s="10">
        <f ca="1">IFERROR(__xludf.DUMMYFUNCTION("""COMPUTED_VALUE"""),2013)</f>
        <v>2013</v>
      </c>
      <c r="E2351" s="10" t="str">
        <f ca="1">IFERROR(__xludf.DUMMYFUNCTION("""COMPUTED_VALUE"""),"Нови информационни технологии в образователния процес : Сборник. - София : За буквите - О писменехь, 2013, с. 210-217. ISSN 1313-2768")</f>
        <v>Нови информационни технологии в образователния процес : Сборник. - София : За буквите - О писменехь, 2013, с. 210-217. ISSN 1313-2768</v>
      </c>
      <c r="F2351" s="10"/>
      <c r="G2351" s="10"/>
      <c r="H2351" s="10"/>
      <c r="I2351" s="10"/>
      <c r="J2351" s="10"/>
      <c r="K2351" s="10"/>
      <c r="L2351" s="10"/>
      <c r="M2351" s="10"/>
      <c r="N2351" s="10"/>
      <c r="O2351" s="10"/>
      <c r="P2351" s="10"/>
      <c r="Q2351" s="10"/>
      <c r="R2351" s="10"/>
      <c r="S2351" s="10"/>
      <c r="T2351" s="10"/>
      <c r="U2351" s="10"/>
      <c r="V2351" s="10"/>
      <c r="W2351" s="10"/>
      <c r="X2351" s="10"/>
      <c r="Y2351" s="10"/>
      <c r="Z2351" s="10"/>
    </row>
    <row r="2352" spans="1:26" ht="12.75">
      <c r="A2352" s="10" t="str">
        <f ca="1">IFERROR(__xludf.DUMMYFUNCTION("""COMPUTED_VALUE"""),"Евгени Кирилов Велев")</f>
        <v>Евгени Кирилов Велев</v>
      </c>
      <c r="B2352" s="10" t="str">
        <f ca="1">IFERROR(__xludf.DUMMYFUNCTION("""COMPUTED_VALUE"""),"Статия в списания и поредици")</f>
        <v>Статия в списания и поредици</v>
      </c>
      <c r="C2352" s="10" t="str">
        <f ca="1">IFERROR(__xludf.DUMMYFUNCTION("""COMPUTED_VALUE"""),"Българската художествена идентичност в съвременното художествено наследство. Взаимовръзки и взаимозависимости")</f>
        <v>Българската художествена идентичност в съвременното художествено наследство. Взаимовръзки и взаимозависимости</v>
      </c>
      <c r="D2352" s="10">
        <f ca="1">IFERROR(__xludf.DUMMYFUNCTION("""COMPUTED_VALUE"""),2012)</f>
        <v>2012</v>
      </c>
      <c r="E2352" s="10" t="str">
        <f ca="1">IFERROR(__xludf.DUMMYFUNCTION("""COMPUTED_VALUE"""),"Нови информационни технологии в образователния процес. Сб. доклади и съобщения от VІ научен семинар на УниБИТ. - София: За буквите - О писменехь, 2012, с. 210-217. ISSN 1313-2768")</f>
        <v>Нови информационни технологии в образователния процес. Сб. доклади и съобщения от VІ научен семинар на УниБИТ. - София: За буквите - О писменехь, 2012, с. 210-217. ISSN 1313-2768</v>
      </c>
      <c r="F2352" s="10"/>
      <c r="G2352" s="10"/>
      <c r="H2352" s="10"/>
      <c r="I2352" s="10"/>
      <c r="J2352" s="10"/>
      <c r="K2352" s="10"/>
      <c r="L2352" s="10"/>
      <c r="M2352" s="10"/>
      <c r="N2352" s="10"/>
      <c r="O2352" s="10"/>
      <c r="P2352" s="10"/>
      <c r="Q2352" s="10"/>
      <c r="R2352" s="10"/>
      <c r="S2352" s="10"/>
      <c r="T2352" s="10"/>
      <c r="U2352" s="10"/>
      <c r="V2352" s="10"/>
      <c r="W2352" s="10"/>
      <c r="X2352" s="10"/>
      <c r="Y2352" s="10"/>
      <c r="Z2352" s="10"/>
    </row>
    <row r="2353" spans="1:26" ht="12.75">
      <c r="A2353" s="10" t="str">
        <f ca="1">IFERROR(__xludf.DUMMYFUNCTION("""COMPUTED_VALUE"""),"Евгени Кирилов Велев")</f>
        <v>Евгени Кирилов Велев</v>
      </c>
      <c r="B2353" s="10" t="str">
        <f ca="1">IFERROR(__xludf.DUMMYFUNCTION("""COMPUTED_VALUE"""),"Доклад от конференция")</f>
        <v>Доклад от конференция</v>
      </c>
      <c r="C2353" s="10" t="str">
        <f ca="1">IFERROR(__xludf.DUMMYFUNCTION("""COMPUTED_VALUE"""),"Съвременното художествено наследство, Европеана и българското виртуално пространство")</f>
        <v>Съвременното художествено наследство, Европеана и българското виртуално пространство</v>
      </c>
      <c r="D2353" s="10">
        <f ca="1">IFERROR(__xludf.DUMMYFUNCTION("""COMPUTED_VALUE"""),2012)</f>
        <v>2012</v>
      </c>
      <c r="E2353" s="10" t="str">
        <f ca="1">IFERROR(__xludf.DUMMYFUNCTION("""COMPUTED_VALUE"""),"Обществото на знанието и хуманизмът на ХХІ век. Сб. доклади. - София: За буквите - О писменехь, с. 297-302. ISSN 1314-7099")</f>
        <v>Обществото на знанието и хуманизмът на ХХІ век. Сб. доклади. - София: За буквите - О писменехь, с. 297-302. ISSN 1314-7099</v>
      </c>
      <c r="F2353" s="10"/>
      <c r="G2353" s="10"/>
      <c r="H2353" s="10"/>
      <c r="I2353" s="10"/>
      <c r="J2353" s="10"/>
      <c r="K2353" s="10"/>
      <c r="L2353" s="10"/>
      <c r="M2353" s="10"/>
      <c r="N2353" s="10"/>
      <c r="O2353" s="10"/>
      <c r="P2353" s="10"/>
      <c r="Q2353" s="10"/>
      <c r="R2353" s="10"/>
      <c r="S2353" s="10"/>
      <c r="T2353" s="10"/>
      <c r="U2353" s="10"/>
      <c r="V2353" s="10"/>
      <c r="W2353" s="10"/>
      <c r="X2353" s="10"/>
      <c r="Y2353" s="10"/>
      <c r="Z2353" s="10"/>
    </row>
    <row r="2354" spans="1:26" ht="12.75">
      <c r="A2354" s="10" t="str">
        <f ca="1">IFERROR(__xludf.DUMMYFUNCTION("""COMPUTED_VALUE"""),"Евгени Кирилов Велев")</f>
        <v>Евгени Кирилов Велев</v>
      </c>
      <c r="B2354" s="10" t="str">
        <f ca="1">IFERROR(__xludf.DUMMYFUNCTION("""COMPUTED_VALUE"""),"Доклад от конференция")</f>
        <v>Доклад от конференция</v>
      </c>
      <c r="C2354" s="10" t="str">
        <f ca="1">IFERROR(__xludf.DUMMYFUNCTION("""COMPUTED_VALUE"""),"Социално-икономически аспекти на българското културно наследство в контекста на изграждане на европейско културно пространство")</f>
        <v>Социално-икономически аспекти на българското културно наследство в контекста на изграждане на европейско културно пространство</v>
      </c>
      <c r="D2354" s="10">
        <f ca="1">IFERROR(__xludf.DUMMYFUNCTION("""COMPUTED_VALUE"""),2010)</f>
        <v>2010</v>
      </c>
      <c r="E2354" s="10" t="str">
        <f ca="1">IFERROR(__xludf.DUMMYFUNCTION("""COMPUTED_VALUE"""),"Обществото на знанието и хуманизмът на ХХІ век. Сб. доклади. - София: За буквите - о писменехь. 2010, с. 414-419. ISBN 978-954-2946-09-0")</f>
        <v>Обществото на знанието и хуманизмът на ХХІ век. Сб. доклади. - София: За буквите - о писменехь. 2010, с. 414-419. ISBN 978-954-2946-09-0</v>
      </c>
      <c r="F2354" s="10"/>
      <c r="G2354" s="10" t="str">
        <f ca="1">IFERROR(__xludf.DUMMYFUNCTION("""COMPUTED_VALUE"""),"Р. Кацоров")</f>
        <v>Р. Кацоров</v>
      </c>
      <c r="H2354" s="10"/>
      <c r="I2354" s="10"/>
      <c r="J2354" s="10"/>
      <c r="K2354" s="10"/>
      <c r="L2354" s="10"/>
      <c r="M2354" s="10"/>
      <c r="N2354" s="10"/>
      <c r="O2354" s="10"/>
      <c r="P2354" s="10"/>
      <c r="Q2354" s="10"/>
      <c r="R2354" s="10"/>
      <c r="S2354" s="10"/>
      <c r="T2354" s="10"/>
      <c r="U2354" s="10"/>
      <c r="V2354" s="10"/>
      <c r="W2354" s="10"/>
      <c r="X2354" s="10"/>
      <c r="Y2354" s="10"/>
      <c r="Z2354" s="10"/>
    </row>
    <row r="2355" spans="1:26" ht="12.75">
      <c r="A2355" s="10" t="str">
        <f ca="1">IFERROR(__xludf.DUMMYFUNCTION("""COMPUTED_VALUE"""),"Евгени Кирилов Велев")</f>
        <v>Евгени Кирилов Велев</v>
      </c>
      <c r="B2355" s="10" t="str">
        <f ca="1">IFERROR(__xludf.DUMMYFUNCTION("""COMPUTED_VALUE"""),"Доклад от конференция")</f>
        <v>Доклад от конференция</v>
      </c>
      <c r="C2355" s="10" t="str">
        <f ca="1">IFERROR(__xludf.DUMMYFUNCTION("""COMPUTED_VALUE"""),"Медийни и информационни аспекти на българските писмени и художествени знаци в контекста на националната културна идентичност")</f>
        <v>Медийни и информационни аспекти на българските писмени и художествени знаци в контекста на националната културна идентичност</v>
      </c>
      <c r="D2355" s="10">
        <f ca="1">IFERROR(__xludf.DUMMYFUNCTION("""COMPUTED_VALUE"""),2010)</f>
        <v>2010</v>
      </c>
      <c r="E2355" s="10" t="str">
        <f ca="1">IFERROR(__xludf.DUMMYFUNCTION("""COMPUTED_VALUE"""),"Обществото на знанието и хуманизмът на ХХІ век. Сб. доклади. - София: За буквите - о писменехь. 2010, с. 406-413. ISBN 978-954-2946-09-0")</f>
        <v>Обществото на знанието и хуманизмът на ХХІ век. Сб. доклади. - София: За буквите - о писменехь. 2010, с. 406-413. ISBN 978-954-2946-09-0</v>
      </c>
      <c r="F2355" s="10"/>
      <c r="G2355" s="10" t="str">
        <f ca="1">IFERROR(__xludf.DUMMYFUNCTION("""COMPUTED_VALUE"""),"Христо Христов")</f>
        <v>Христо Христов</v>
      </c>
      <c r="H2355" s="10"/>
      <c r="I2355" s="10"/>
      <c r="J2355" s="10"/>
      <c r="K2355" s="10"/>
      <c r="L2355" s="10"/>
      <c r="M2355" s="10"/>
      <c r="N2355" s="10"/>
      <c r="O2355" s="10"/>
      <c r="P2355" s="10"/>
      <c r="Q2355" s="10"/>
      <c r="R2355" s="10"/>
      <c r="S2355" s="10"/>
      <c r="T2355" s="10"/>
      <c r="U2355" s="10"/>
      <c r="V2355" s="10"/>
      <c r="W2355" s="10"/>
      <c r="X2355" s="10"/>
      <c r="Y2355" s="10"/>
      <c r="Z2355" s="10"/>
    </row>
    <row r="2356" spans="1:26" ht="12.75">
      <c r="A2356" s="10" t="str">
        <f ca="1">IFERROR(__xludf.DUMMYFUNCTION("""COMPUTED_VALUE"""),"Евгени Кирилов Велев")</f>
        <v>Евгени Кирилов Велев</v>
      </c>
      <c r="B2356" s="10" t="str">
        <f ca="1">IFERROR(__xludf.DUMMYFUNCTION("""COMPUTED_VALUE"""),"Доклад от конференция")</f>
        <v>Доклад от конференция</v>
      </c>
      <c r="C2356" s="10" t="str">
        <f ca="1">IFERROR(__xludf.DUMMYFUNCTION("""COMPUTED_VALUE"""),"Художествена идентичност и глобализационни процеси")</f>
        <v>Художествена идентичност и глобализационни процеси</v>
      </c>
      <c r="D2356" s="10">
        <f ca="1">IFERROR(__xludf.DUMMYFUNCTION("""COMPUTED_VALUE"""),2010)</f>
        <v>2010</v>
      </c>
      <c r="E2356" s="10" t="str">
        <f ca="1">IFERROR(__xludf.DUMMYFUNCTION("""COMPUTED_VALUE"""),"Обществото на знанието и хуманизмът на ХХІ век. Сб. доклади. - София: За буквите - о писменехь. 2010, с. 400-405. ISBN 978-954-2946-09-0")</f>
        <v>Обществото на знанието и хуманизмът на ХХІ век. Сб. доклади. - София: За буквите - о писменехь. 2010, с. 400-405. ISBN 978-954-2946-09-0</v>
      </c>
      <c r="F2356" s="10"/>
      <c r="G2356" s="10"/>
      <c r="H2356" s="10"/>
      <c r="I2356" s="10"/>
      <c r="J2356" s="10"/>
      <c r="K2356" s="10"/>
      <c r="L2356" s="10"/>
      <c r="M2356" s="10"/>
      <c r="N2356" s="10"/>
      <c r="O2356" s="10"/>
      <c r="P2356" s="10"/>
      <c r="Q2356" s="10"/>
      <c r="R2356" s="10"/>
      <c r="S2356" s="10"/>
      <c r="T2356" s="10"/>
      <c r="U2356" s="10"/>
      <c r="V2356" s="10"/>
      <c r="W2356" s="10"/>
      <c r="X2356" s="10"/>
      <c r="Y2356" s="10"/>
      <c r="Z2356" s="10"/>
    </row>
    <row r="2357" spans="1:26" ht="12.75">
      <c r="A2357" s="10" t="str">
        <f ca="1">IFERROR(__xludf.DUMMYFUNCTION("""COMPUTED_VALUE"""),"Евгени Кирилов Велев")</f>
        <v>Евгени Кирилов Велев</v>
      </c>
      <c r="B2357" s="10" t="str">
        <f ca="1">IFERROR(__xludf.DUMMYFUNCTION("""COMPUTED_VALUE"""),"Статия в списания и поредици")</f>
        <v>Статия в списания и поредици</v>
      </c>
      <c r="C2357" s="10" t="str">
        <f ca="1">IFERROR(__xludf.DUMMYFUNCTION("""COMPUTED_VALUE"""),"Постмодерна информационна среда и съвременно изкуство")</f>
        <v>Постмодерна информационна среда и съвременно изкуство</v>
      </c>
      <c r="D2357" s="10">
        <f ca="1">IFERROR(__xludf.DUMMYFUNCTION("""COMPUTED_VALUE"""),2010)</f>
        <v>2010</v>
      </c>
      <c r="E2357" s="10" t="str">
        <f ca="1">IFERROR(__xludf.DUMMYFUNCTION("""COMPUTED_VALUE"""),"София : За буквите - О писменехь, 2010 ([София] : [Типографика]). - 228 с., [32] с. : цв. ил. ; 24 см. ISBN 978-954-8887-86-1")</f>
        <v>София : За буквите - О писменехь, 2010 ([София] : [Типографика]). - 228 с., [32] с. : цв. ил. ; 24 см. ISBN 978-954-8887-86-1</v>
      </c>
      <c r="F235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2357" s="10"/>
      <c r="H2357" s="10"/>
      <c r="I2357" s="10"/>
      <c r="J2357" s="10"/>
      <c r="K2357" s="10"/>
      <c r="L2357" s="10"/>
      <c r="M2357" s="10"/>
      <c r="N2357" s="10"/>
      <c r="O2357" s="10"/>
      <c r="P2357" s="10"/>
      <c r="Q2357" s="10"/>
      <c r="R2357" s="10"/>
      <c r="S2357" s="10"/>
      <c r="T2357" s="10"/>
      <c r="U2357" s="10"/>
      <c r="V2357" s="10"/>
      <c r="W2357" s="10"/>
      <c r="X2357" s="10"/>
      <c r="Y2357" s="10"/>
      <c r="Z2357" s="10"/>
    </row>
    <row r="2358" spans="1:26" ht="12.75">
      <c r="A2358" s="10" t="str">
        <f ca="1">IFERROR(__xludf.DUMMYFUNCTION("""COMPUTED_VALUE"""),"Евгени Петров Манев")</f>
        <v>Евгени Петров Манев</v>
      </c>
      <c r="B2358" s="10" t="str">
        <f ca="1">IFERROR(__xludf.DUMMYFUNCTION("""COMPUTED_VALUE"""),"Доклад от конференция")</f>
        <v>Доклад от конференция</v>
      </c>
      <c r="C2358" s="10" t="str">
        <f ca="1">IFERROR(__xludf.DUMMYFUNCTION("""COMPUTED_VALUE"""),"Сигурността – измерване")</f>
        <v>Сигурността – измерване</v>
      </c>
      <c r="D2358" s="10">
        <f ca="1">IFERROR(__xludf.DUMMYFUNCTION("""COMPUTED_VALUE"""),2019)</f>
        <v>2019</v>
      </c>
      <c r="E2358" s="10" t="str">
        <f ca="1">IFERROR(__xludf.DUMMYFUNCTION("""COMPUTED_VALUE"""),"Сборник - I част Юбилейната международна научна конференция на тема „Сигурност и икономика в несигурния свят – дилеми и предизвикателства“, 7 декември 2018 г., ISBN 978-619-7343-24-3")</f>
        <v>Сборник - I част Юбилейната международна научна конференция на тема „Сигурност и икономика в несигурния свят – дилеми и предизвикателства“, 7 декември 2018 г., ISBN 978-619-7343-24-3</v>
      </c>
      <c r="F2358" s="10"/>
      <c r="G2358" s="10"/>
      <c r="H2358" s="10"/>
      <c r="I2358" s="10"/>
      <c r="J2358" s="10"/>
      <c r="K2358" s="10"/>
      <c r="L2358" s="10"/>
      <c r="M2358" s="10"/>
      <c r="N2358" s="10"/>
      <c r="O2358" s="10"/>
      <c r="P2358" s="10"/>
      <c r="Q2358" s="10"/>
      <c r="R2358" s="10"/>
      <c r="S2358" s="10"/>
      <c r="T2358" s="10"/>
      <c r="U2358" s="10"/>
      <c r="V2358" s="10"/>
      <c r="W2358" s="10"/>
      <c r="X2358" s="10"/>
      <c r="Y2358" s="10"/>
      <c r="Z2358" s="10"/>
    </row>
    <row r="2359" spans="1:26" ht="12.75">
      <c r="A2359" s="10" t="str">
        <f ca="1">IFERROR(__xludf.DUMMYFUNCTION("""COMPUTED_VALUE"""),"Евгени Петров Манев")</f>
        <v>Евгени Петров Манев</v>
      </c>
      <c r="B2359" s="10" t="str">
        <f ca="1">IFERROR(__xludf.DUMMYFUNCTION("""COMPUTED_VALUE"""),"Доклад от конференция")</f>
        <v>Доклад от конференция</v>
      </c>
      <c r="C2359" s="10" t="str">
        <f ca="1">IFERROR(__xludf.DUMMYFUNCTION("""COMPUTED_VALUE"""),"Основни глобални тенденции в сигурността и концепция за стратегическото позициониране на Република България")</f>
        <v>Основни глобални тенденции в сигурността и концепция за стратегическото позициониране на Република България</v>
      </c>
      <c r="D2359" s="10">
        <f ca="1">IFERROR(__xludf.DUMMYFUNCTION("""COMPUTED_VALUE"""),2019)</f>
        <v>2019</v>
      </c>
      <c r="E2359" s="10" t="str">
        <f ca="1">IFERROR(__xludf.DUMMYFUNCTION("""COMPUTED_VALUE"""),"сб. ""Обществото на знанието и хуманизмът на XXI век"" ISSN ISSN 1314-7099")</f>
        <v>сб. "Обществото на знанието и хуманизмът на XXI век" ISSN ISSN 1314-7099</v>
      </c>
      <c r="F2359" s="10"/>
      <c r="G2359" s="10"/>
      <c r="H2359" s="10"/>
      <c r="I2359" s="10"/>
      <c r="J2359" s="10"/>
      <c r="K2359" s="10"/>
      <c r="L2359" s="10"/>
      <c r="M2359" s="10"/>
      <c r="N2359" s="10"/>
      <c r="O2359" s="10"/>
      <c r="P2359" s="10"/>
      <c r="Q2359" s="10"/>
      <c r="R2359" s="10"/>
      <c r="S2359" s="10"/>
      <c r="T2359" s="10"/>
      <c r="U2359" s="10"/>
      <c r="V2359" s="10"/>
      <c r="W2359" s="10"/>
      <c r="X2359" s="10"/>
      <c r="Y2359" s="10"/>
      <c r="Z2359" s="10"/>
    </row>
    <row r="2360" spans="1:26" ht="12.75">
      <c r="A2360" s="10" t="str">
        <f ca="1">IFERROR(__xludf.DUMMYFUNCTION("""COMPUTED_VALUE"""),"Евгени Петров Манев")</f>
        <v>Евгени Петров Манев</v>
      </c>
      <c r="B2360" s="10" t="str">
        <f ca="1">IFERROR(__xludf.DUMMYFUNCTION("""COMPUTED_VALUE"""),"Доклад от конференция")</f>
        <v>Доклад от конференция</v>
      </c>
      <c r="C2360" s="10" t="str">
        <f ca="1">IFERROR(__xludf.DUMMYFUNCTION("""COMPUTED_VALUE"""),"Глобалните процеси и концепция за стратегическото позициониране на Република България")</f>
        <v>Глобалните процеси и концепция за стратегическото позициониране на Република България</v>
      </c>
      <c r="D2360" s="10">
        <f ca="1">IFERROR(__xludf.DUMMYFUNCTION("""COMPUTED_VALUE"""),2019)</f>
        <v>2019</v>
      </c>
      <c r="E2360" s="10" t="str">
        <f ca="1">IFERROR(__xludf.DUMMYFUNCTION("""COMPUTED_VALUE"""),"НК с международно участие на тема: „Хуманизмът на 21 век“, секция „Сигурност и кибер сигурност“, УниБИТ, 01.11. 2018 г., ISSN 1314-7099")</f>
        <v>НК с международно участие на тема: „Хуманизмът на 21 век“, секция „Сигурност и кибер сигурност“, УниБИТ, 01.11. 2018 г., ISSN 1314-7099</v>
      </c>
      <c r="F2360" s="10"/>
      <c r="G2360" s="10"/>
      <c r="H2360" s="10"/>
      <c r="I2360" s="10"/>
      <c r="J2360" s="10"/>
      <c r="K2360" s="10"/>
      <c r="L2360" s="10"/>
      <c r="M2360" s="10"/>
      <c r="N2360" s="10"/>
      <c r="O2360" s="10"/>
      <c r="P2360" s="10"/>
      <c r="Q2360" s="10"/>
      <c r="R2360" s="10"/>
      <c r="S2360" s="10"/>
      <c r="T2360" s="10"/>
      <c r="U2360" s="10"/>
      <c r="V2360" s="10"/>
      <c r="W2360" s="10"/>
      <c r="X2360" s="10"/>
      <c r="Y2360" s="10"/>
      <c r="Z2360" s="10"/>
    </row>
    <row r="2361" spans="1:26" ht="12.75">
      <c r="A2361" s="10" t="str">
        <f ca="1">IFERROR(__xludf.DUMMYFUNCTION("""COMPUTED_VALUE"""),"Евгени Петров Манев")</f>
        <v>Евгени Петров Манев</v>
      </c>
      <c r="B2361" s="10" t="str">
        <f ca="1">IFERROR(__xludf.DUMMYFUNCTION("""COMPUTED_VALUE"""),"Доклад от конференция")</f>
        <v>Доклад от конференция</v>
      </c>
      <c r="C2361" s="10" t="str">
        <f ca="1">IFERROR(__xludf.DUMMYFUNCTION("""COMPUTED_VALUE"""),"Подход за разработване на стратегия")</f>
        <v>Подход за разработване на стратегия</v>
      </c>
      <c r="D2361" s="10">
        <f ca="1">IFERROR(__xludf.DUMMYFUNCTION("""COMPUTED_VALUE"""),2019)</f>
        <v>2019</v>
      </c>
      <c r="E2361" s="10" t="str">
        <f ca="1">IFERROR(__xludf.DUMMYFUNCTION("""COMPUTED_VALUE"""),"„Общество на знанието и хуманизмът на XXI век» – 1 ноември 2018 г., УНИБИТ НБ «Св. Св. «Кирил и Методи», издателство «За буквите – О писменехь», С., 2019. ISSN 1314-7099")</f>
        <v>„Общество на знанието и хуманизмът на XXI век» – 1 ноември 2018 г., УНИБИТ НБ «Св. Св. «Кирил и Методи», издателство «За буквите – О писменехь», С., 2019. ISSN 1314-7099</v>
      </c>
      <c r="F2361" s="10"/>
      <c r="G2361" s="10"/>
      <c r="H2361" s="10"/>
      <c r="I2361" s="10"/>
      <c r="J2361" s="10"/>
      <c r="K2361" s="10"/>
      <c r="L2361" s="10"/>
      <c r="M2361" s="10"/>
      <c r="N2361" s="10"/>
      <c r="O2361" s="10"/>
      <c r="P2361" s="10"/>
      <c r="Q2361" s="10"/>
      <c r="R2361" s="10"/>
      <c r="S2361" s="10"/>
      <c r="T2361" s="10"/>
      <c r="U2361" s="10"/>
      <c r="V2361" s="10"/>
      <c r="W2361" s="10"/>
      <c r="X2361" s="10"/>
      <c r="Y2361" s="10"/>
      <c r="Z2361" s="10"/>
    </row>
    <row r="2362" spans="1:26" ht="12.75">
      <c r="A2362" s="10" t="str">
        <f ca="1">IFERROR(__xludf.DUMMYFUNCTION("""COMPUTED_VALUE"""),"Евгени Петров Манев")</f>
        <v>Евгени Петров Манев</v>
      </c>
      <c r="B2362" s="10" t="str">
        <f ca="1">IFERROR(__xludf.DUMMYFUNCTION("""COMPUTED_VALUE"""),"Доклад от конференция")</f>
        <v>Доклад от конференция</v>
      </c>
      <c r="C2362" s="10" t="str">
        <f ca="1">IFERROR(__xludf.DUMMYFUNCTION("""COMPUTED_VALUE"""),"Обща теория на сигурността на организацията")</f>
        <v>Обща теория на сигурността на организацията</v>
      </c>
      <c r="D2362" s="10">
        <f ca="1">IFERROR(__xludf.DUMMYFUNCTION("""COMPUTED_VALUE"""),2018)</f>
        <v>2018</v>
      </c>
      <c r="E2362" s="10" t="str">
        <f ca="1">IFERROR(__xludf.DUMMYFUNCTION("""COMPUTED_VALUE"""),"Университетско издателство “Епископ Константин Преславски Konstantin Preslavsky University Press ISSN: 1314-3921 MATEX 2018, Сборник научни трудове, Том 2, част 1, Информационни, технически и икономически проблеми на системите за сигурност, 26-27.10.2018 "&amp;"г., стр. 17-22, ISSN: 1314-3921")</f>
        <v>Университетско издателство “Епископ Константин Преславски Konstantin Preslavsky University Press ISSN: 1314-3921 MATEX 2018, Сборник научни трудове, Том 2, част 1, Информационни, технически и икономически проблеми на системите за сигурност, 26-27.10.2018 г., стр. 17-22, ISSN: 1314-3921</v>
      </c>
      <c r="F2362" s="10"/>
      <c r="G2362" s="10"/>
      <c r="H2362" s="10"/>
      <c r="I2362" s="10"/>
      <c r="J2362" s="10"/>
      <c r="K2362" s="10"/>
      <c r="L2362" s="10"/>
      <c r="M2362" s="10"/>
      <c r="N2362" s="10"/>
      <c r="O2362" s="10"/>
      <c r="P2362" s="10"/>
      <c r="Q2362" s="10"/>
      <c r="R2362" s="10"/>
      <c r="S2362" s="10"/>
      <c r="T2362" s="10"/>
      <c r="U2362" s="10"/>
      <c r="V2362" s="10"/>
      <c r="W2362" s="10"/>
      <c r="X2362" s="10"/>
      <c r="Y2362" s="10"/>
      <c r="Z2362" s="10"/>
    </row>
    <row r="2363" spans="1:26" ht="12.75">
      <c r="A2363" s="10" t="str">
        <f ca="1">IFERROR(__xludf.DUMMYFUNCTION("""COMPUTED_VALUE"""),"Евгени Петров Манев")</f>
        <v>Евгени Петров Манев</v>
      </c>
      <c r="B2363" s="10" t="str">
        <f ca="1">IFERROR(__xludf.DUMMYFUNCTION("""COMPUTED_VALUE"""),"Доклад от конференция")</f>
        <v>Доклад от конференция</v>
      </c>
      <c r="C2363" s="10" t="str">
        <f ca="1">IFERROR(__xludf.DUMMYFUNCTION("""COMPUTED_VALUE"""),"Стратегията – подходи")</f>
        <v>Стратегията – подходи</v>
      </c>
      <c r="D2363" s="10">
        <f ca="1">IFERROR(__xludf.DUMMYFUNCTION("""COMPUTED_VALUE"""),2018)</f>
        <v>2018</v>
      </c>
      <c r="E2363" s="10" t="str">
        <f ca="1">IFERROR(__xludf.DUMMYFUNCTION("""COMPUTED_VALUE"""),"НК с международно участие, „Единно европейско въздушно пространство – предизвикателства пред въздушния суверенитет и бизнеса“, 09.10.2018 г., София, ЦВК.")</f>
        <v>НК с международно участие, „Единно европейско въздушно пространство – предизвикателства пред въздушния суверенитет и бизнеса“, 09.10.2018 г., София, ЦВК.</v>
      </c>
      <c r="F2363" s="10"/>
      <c r="G2363" s="10"/>
      <c r="H2363" s="10"/>
      <c r="I2363" s="10"/>
      <c r="J2363" s="10"/>
      <c r="K2363" s="10"/>
      <c r="L2363" s="10"/>
      <c r="M2363" s="10"/>
      <c r="N2363" s="10"/>
      <c r="O2363" s="10"/>
      <c r="P2363" s="10"/>
      <c r="Q2363" s="10"/>
      <c r="R2363" s="10"/>
      <c r="S2363" s="10"/>
      <c r="T2363" s="10"/>
      <c r="U2363" s="10"/>
      <c r="V2363" s="10"/>
      <c r="W2363" s="10"/>
      <c r="X2363" s="10"/>
      <c r="Y2363" s="10"/>
      <c r="Z2363" s="10"/>
    </row>
    <row r="2364" spans="1:26" ht="12.75">
      <c r="A2364" s="10" t="str">
        <f ca="1">IFERROR(__xludf.DUMMYFUNCTION("""COMPUTED_VALUE"""),"Евгени Петров Манев")</f>
        <v>Евгени Петров Манев</v>
      </c>
      <c r="B2364" s="10" t="str">
        <f ca="1">IFERROR(__xludf.DUMMYFUNCTION("""COMPUTED_VALUE"""),"Доклад от конференция")</f>
        <v>Доклад от конференция</v>
      </c>
      <c r="C2364" s="10" t="str">
        <f ca="1">IFERROR(__xludf.DUMMYFUNCTION("""COMPUTED_VALUE"""),"About the conceptual core of security concept (some Bulgarian – Russian juxtapositions)")</f>
        <v>About the conceptual core of security concept (some Bulgarian – Russian juxtapositions)</v>
      </c>
      <c r="D2364" s="10">
        <f ca="1">IFERROR(__xludf.DUMMYFUNCTION("""COMPUTED_VALUE"""),2017)</f>
        <v>2017</v>
      </c>
      <c r="E2364" s="10" t="str">
        <f ca="1">IFERROR(__xludf.DUMMYFUNCTION("""COMPUTED_VALUE"""),"University of Economics and Innovations in Lublin and Free University of Varna, НК „Право и сигурност“, ВСУ , 23-24 юни, 2017, Globalization, the State and the Individual, Index Copernicus International 2(14) 2017, International Scientific Journal, p. 69-"&amp;"77, ISSN 2367-4555")</f>
        <v>University of Economics and Innovations in Lublin and Free University of Varna, НК „Право и сигурност“, ВСУ , 23-24 юни, 2017, Globalization, the State and the Individual, Index Copernicus International 2(14) 2017, International Scientific Journal, p. 69-77, ISSN 2367-4555</v>
      </c>
      <c r="F2364" s="10"/>
      <c r="G2364" s="10" t="str">
        <f ca="1">IFERROR(__xludf.DUMMYFUNCTION("""COMPUTED_VALUE"""),"Diana Ivanova Ilieva")</f>
        <v>Diana Ivanova Ilieva</v>
      </c>
      <c r="H2364" s="10"/>
      <c r="I2364" s="10"/>
      <c r="J2364" s="10"/>
      <c r="K2364" s="10"/>
      <c r="L2364" s="10"/>
      <c r="M2364" s="10"/>
      <c r="N2364" s="10"/>
      <c r="O2364" s="10"/>
      <c r="P2364" s="10"/>
      <c r="Q2364" s="10"/>
      <c r="R2364" s="10"/>
      <c r="S2364" s="10"/>
      <c r="T2364" s="10"/>
      <c r="U2364" s="10"/>
      <c r="V2364" s="10"/>
      <c r="W2364" s="10"/>
      <c r="X2364" s="10"/>
      <c r="Y2364" s="10"/>
      <c r="Z2364" s="10"/>
    </row>
    <row r="2365" spans="1:26" ht="12.75">
      <c r="A2365" s="10" t="str">
        <f ca="1">IFERROR(__xludf.DUMMYFUNCTION("""COMPUTED_VALUE"""),"Евгени Петров Манев")</f>
        <v>Евгени Петров Манев</v>
      </c>
      <c r="B2365" s="10" t="str">
        <f ca="1">IFERROR(__xludf.DUMMYFUNCTION("""COMPUTED_VALUE"""),"Доклад от конференция")</f>
        <v>Доклад от конференция</v>
      </c>
      <c r="C2365" s="10" t="str">
        <f ca="1">IFERROR(__xludf.DUMMYFUNCTION("""COMPUTED_VALUE"""),"Security zones")</f>
        <v>Security zones</v>
      </c>
      <c r="D2365" s="10">
        <f ca="1">IFERROR(__xludf.DUMMYFUNCTION("""COMPUTED_VALUE"""),2017)</f>
        <v>2017</v>
      </c>
      <c r="E2365" s="10" t="str">
        <f ca="1">IFERROR(__xludf.DUMMYFUNCTION("""COMPUTED_VALUE"""),"University of Economics and Innovations in Lublin and Free University of Varna, НК „Право и сигурност“, ВСУ , 23-24 юни, 2017, Globalization, the State and the Individual, Index Copernicus International 2(14) 2017, International Scientific Journal, p. 31-"&amp;"40, ISSN 2367-4555")</f>
        <v>University of Economics and Innovations in Lublin and Free University of Varna, НК „Право и сигурност“, ВСУ , 23-24 юни, 2017, Globalization, the State and the Individual, Index Copernicus International 2(14) 2017, International Scientific Journal, p. 31-40, ISSN 2367-4555</v>
      </c>
      <c r="F2365" s="10"/>
      <c r="G2365" s="10"/>
      <c r="H2365" s="10"/>
      <c r="I2365" s="10"/>
      <c r="J2365" s="10"/>
      <c r="K2365" s="10"/>
      <c r="L2365" s="10"/>
      <c r="M2365" s="10"/>
      <c r="N2365" s="10"/>
      <c r="O2365" s="10"/>
      <c r="P2365" s="10"/>
      <c r="Q2365" s="10"/>
      <c r="R2365" s="10"/>
      <c r="S2365" s="10"/>
      <c r="T2365" s="10"/>
      <c r="U2365" s="10"/>
      <c r="V2365" s="10"/>
      <c r="W2365" s="10"/>
      <c r="X2365" s="10"/>
      <c r="Y2365" s="10"/>
      <c r="Z2365" s="10"/>
    </row>
    <row r="2366" spans="1:26" ht="12.75">
      <c r="A2366" s="10" t="str">
        <f ca="1">IFERROR(__xludf.DUMMYFUNCTION("""COMPUTED_VALUE"""),"Евгени Петров Манев")</f>
        <v>Евгени Петров Манев</v>
      </c>
      <c r="B2366" s="10" t="str">
        <f ca="1">IFERROR(__xludf.DUMMYFUNCTION("""COMPUTED_VALUE"""),"Доклад от конференция")</f>
        <v>Доклад от конференция</v>
      </c>
      <c r="C2366" s="10" t="str">
        <f ca="1">IFERROR(__xludf.DUMMYFUNCTION("""COMPUTED_VALUE"""),"Понятийно ядро на концепта сигурност")</f>
        <v>Понятийно ядро на концепта сигурност</v>
      </c>
      <c r="D2366" s="10">
        <f ca="1">IFERROR(__xludf.DUMMYFUNCTION("""COMPUTED_VALUE"""),2017)</f>
        <v>2017</v>
      </c>
      <c r="E2366" s="10" t="str">
        <f ca="1">IFERROR(__xludf.DUMMYFUNCTION("""COMPUTED_VALUE"""),"ВСУ „Черноризец Храбър“, 2017, Лятна научна сесия на ЮФ във ВСУ „Черноризец храбър“, 23-24 юни 2017 г., Сигурност и безопасност, кн. 32, серия „Юридически науки и обществена сигурност“, стр. 37-46, Сборник с доклади, Правото на сигурност, НК, ISSN 1313-72"&amp;"63")</f>
        <v>ВСУ „Черноризец Храбър“, 2017, Лятна научна сесия на ЮФ във ВСУ „Черноризец храбър“, 23-24 юни 2017 г., Сигурност и безопасност, кн. 32, серия „Юридически науки и обществена сигурност“, стр. 37-46, Сборник с доклади, Правото на сигурност, НК, ISSN 1313-7263</v>
      </c>
      <c r="F2366" s="10"/>
      <c r="G2366" s="10" t="str">
        <f ca="1">IFERROR(__xludf.DUMMYFUNCTION("""COMPUTED_VALUE"""),"Диана Илиева")</f>
        <v>Диана Илиева</v>
      </c>
      <c r="H2366" s="10"/>
      <c r="I2366" s="10"/>
      <c r="J2366" s="10"/>
      <c r="K2366" s="10"/>
      <c r="L2366" s="10"/>
      <c r="M2366" s="10"/>
      <c r="N2366" s="10"/>
      <c r="O2366" s="10"/>
      <c r="P2366" s="10"/>
      <c r="Q2366" s="10"/>
      <c r="R2366" s="10"/>
      <c r="S2366" s="10"/>
      <c r="T2366" s="10"/>
      <c r="U2366" s="10"/>
      <c r="V2366" s="10"/>
      <c r="W2366" s="10"/>
      <c r="X2366" s="10"/>
      <c r="Y2366" s="10"/>
      <c r="Z2366" s="10"/>
    </row>
    <row r="2367" spans="1:26" ht="12.75">
      <c r="A2367" s="10" t="str">
        <f ca="1">IFERROR(__xludf.DUMMYFUNCTION("""COMPUTED_VALUE"""),"Евгени Петров Манев")</f>
        <v>Евгени Петров Манев</v>
      </c>
      <c r="B2367" s="10" t="str">
        <f ca="1">IFERROR(__xludf.DUMMYFUNCTION("""COMPUTED_VALUE"""),"Доклад от конференция")</f>
        <v>Доклад от конференция</v>
      </c>
      <c r="C2367" s="10" t="str">
        <f ca="1">IFERROR(__xludf.DUMMYFUNCTION("""COMPUTED_VALUE"""),"Стратегия за национална сигурност на Република България")</f>
        <v>Стратегия за национална сигурност на Република България</v>
      </c>
      <c r="D2367" s="10">
        <f ca="1">IFERROR(__xludf.DUMMYFUNCTION("""COMPUTED_VALUE"""),2017)</f>
        <v>2017</v>
      </c>
      <c r="E2367" s="10" t="str">
        <f ca="1">IFERROR(__xludf.DUMMYFUNCTION("""COMPUTED_VALUE"""),"Бургаски свободен университет, Център по юридически науки, Юридически сборник, том XXIV 2017, стр.21-27, ISSN 1311-3771")</f>
        <v>Бургаски свободен университет, Център по юридически науки, Юридически сборник, том XXIV 2017, стр.21-27, ISSN 1311-3771</v>
      </c>
      <c r="F2367" s="10"/>
      <c r="G2367" s="10"/>
      <c r="H2367" s="10"/>
      <c r="I2367" s="10"/>
      <c r="J2367" s="10"/>
      <c r="K2367" s="10"/>
      <c r="L2367" s="10"/>
      <c r="M2367" s="10"/>
      <c r="N2367" s="10"/>
      <c r="O2367" s="10"/>
      <c r="P2367" s="10"/>
      <c r="Q2367" s="10"/>
      <c r="R2367" s="10"/>
      <c r="S2367" s="10"/>
      <c r="T2367" s="10"/>
      <c r="U2367" s="10"/>
      <c r="V2367" s="10"/>
      <c r="W2367" s="10"/>
      <c r="X2367" s="10"/>
      <c r="Y2367" s="10"/>
      <c r="Z2367" s="10"/>
    </row>
    <row r="2368" spans="1:26" ht="12.75">
      <c r="A2368" s="10" t="str">
        <f ca="1">IFERROR(__xludf.DUMMYFUNCTION("""COMPUTED_VALUE"""),"Евгени Петров Манев")</f>
        <v>Евгени Петров Манев</v>
      </c>
      <c r="B2368" s="10" t="str">
        <f ca="1">IFERROR(__xludf.DUMMYFUNCTION("""COMPUTED_VALUE"""),"Доклад от конференция")</f>
        <v>Доклад от конференция</v>
      </c>
      <c r="C2368" s="10" t="str">
        <f ca="1">IFERROR(__xludf.DUMMYFUNCTION("""COMPUTED_VALUE"""),"Зони и нива на сигурност в организацията")</f>
        <v>Зони и нива на сигурност в организацията</v>
      </c>
      <c r="D2368" s="10">
        <f ca="1">IFERROR(__xludf.DUMMYFUNCTION("""COMPUTED_VALUE"""),2017)</f>
        <v>2017</v>
      </c>
      <c r="E2368" s="10" t="str">
        <f ca="1">IFERROR(__xludf.DUMMYFUNCTION("""COMPUTED_VALUE"""),"НК „Право и сигурност“, ВСУ , 23-24 юни, 2017")</f>
        <v>НК „Право и сигурност“, ВСУ , 23-24 юни, 2017</v>
      </c>
      <c r="F2368" s="10"/>
      <c r="G2368" s="10" t="str">
        <f ca="1">IFERROR(__xludf.DUMMYFUNCTION("""COMPUTED_VALUE"""),"Илиева, Д. и др.")</f>
        <v>Илиева, Д. и др.</v>
      </c>
      <c r="H2368" s="10"/>
      <c r="I2368" s="10"/>
      <c r="J2368" s="10"/>
      <c r="K2368" s="10"/>
      <c r="L2368" s="10"/>
      <c r="M2368" s="10"/>
      <c r="N2368" s="10"/>
      <c r="O2368" s="10"/>
      <c r="P2368" s="10"/>
      <c r="Q2368" s="10"/>
      <c r="R2368" s="10"/>
      <c r="S2368" s="10"/>
      <c r="T2368" s="10"/>
      <c r="U2368" s="10"/>
      <c r="V2368" s="10"/>
      <c r="W2368" s="10"/>
      <c r="X2368" s="10"/>
      <c r="Y2368" s="10"/>
      <c r="Z2368" s="10"/>
    </row>
    <row r="2369" spans="1:26" ht="12.75">
      <c r="A2369" s="10" t="str">
        <f ca="1">IFERROR(__xludf.DUMMYFUNCTION("""COMPUTED_VALUE"""),"Евгени Петров Манев")</f>
        <v>Евгени Петров Манев</v>
      </c>
      <c r="B2369" s="10" t="str">
        <f ca="1">IFERROR(__xludf.DUMMYFUNCTION("""COMPUTED_VALUE"""),"Доклад от конференция")</f>
        <v>Доклад от конференция</v>
      </c>
      <c r="C2369" s="10" t="str">
        <f ca="1">IFERROR(__xludf.DUMMYFUNCTION("""COMPUTED_VALUE"""),"Определение за сигурност – организационнокултурен подход")</f>
        <v>Определение за сигурност – организационнокултурен подход</v>
      </c>
      <c r="D2369" s="10">
        <f ca="1">IFERROR(__xludf.DUMMYFUNCTION("""COMPUTED_VALUE"""),2016)</f>
        <v>2016</v>
      </c>
      <c r="E2369" s="10" t="str">
        <f ca="1">IFERROR(__xludf.DUMMYFUNCTION("""COMPUTED_VALUE"""),"Научна конференция с международно участие ""Право и Интернет"" Бургас, БСУ - 21,22 май 2016 г. Бургаски свободен университет, Център по юридически науки, том XXIII 2016, стр. 262-274, ISSN 1311-3771.")</f>
        <v>Научна конференция с международно участие "Право и Интернет" Бургас, БСУ - 21,22 май 2016 г. Бургаски свободен университет, Център по юридически науки, том XXIII 2016, стр. 262-274, ISSN 1311-3771.</v>
      </c>
      <c r="F2369" s="10"/>
      <c r="G2369" s="10"/>
      <c r="H2369" s="10"/>
      <c r="I2369" s="10"/>
      <c r="J2369" s="10"/>
      <c r="K2369" s="10"/>
      <c r="L2369" s="10"/>
      <c r="M2369" s="10"/>
      <c r="N2369" s="10"/>
      <c r="O2369" s="10"/>
      <c r="P2369" s="10"/>
      <c r="Q2369" s="10"/>
      <c r="R2369" s="10"/>
      <c r="S2369" s="10"/>
      <c r="T2369" s="10"/>
      <c r="U2369" s="10"/>
      <c r="V2369" s="10"/>
      <c r="W2369" s="10"/>
      <c r="X2369" s="10"/>
      <c r="Y2369" s="10"/>
      <c r="Z2369" s="10"/>
    </row>
    <row r="2370" spans="1:26" ht="12.75">
      <c r="A2370" s="10" t="str">
        <f ca="1">IFERROR(__xludf.DUMMYFUNCTION("""COMPUTED_VALUE"""),"Евгени Петров Манев")</f>
        <v>Евгени Петров Манев</v>
      </c>
      <c r="B2370" s="10" t="str">
        <f ca="1">IFERROR(__xludf.DUMMYFUNCTION("""COMPUTED_VALUE"""),"Доклад от конференция")</f>
        <v>Доклад от конференция</v>
      </c>
      <c r="C2370" s="10" t="str">
        <f ca="1">IFERROR(__xludf.DUMMYFUNCTION("""COMPUTED_VALUE"""),"Linguocultural Aspects of Security")</f>
        <v>Linguocultural Aspects of Security</v>
      </c>
      <c r="D2370" s="10">
        <f ca="1">IFERROR(__xludf.DUMMYFUNCTION("""COMPUTED_VALUE"""),2016)</f>
        <v>2016</v>
      </c>
      <c r="E2370" s="10" t="str">
        <f ca="1">IFERROR(__xludf.DUMMYFUNCTION("""COMPUTED_VALUE"""),"2016, The Tenth International Conference “Language, culture and civilization – Trends for the Next Decade”. The polytechnic university of Bucharest – Romania, Bucharest, 27– 28 May 2016. Editura Politehnica Press, Toate drepturile asupra acestei ediţii su"&amp;"nt rezervate editurii, Calea Griviţei, nr. 132, 010737, Sector1, Bucureşti, p. 197-204, ISSN: 2067–1628")</f>
        <v>2016, The Tenth International Conference “Language, culture and civilization – Trends for the Next Decade”. The polytechnic university of Bucharest – Romania, Bucharest, 27– 28 May 2016. Editura Politehnica Press, Toate drepturile asupra acestei ediţii sunt rezervate editurii, Calea Griviţei, nr. 132, 010737, Sector1, Bucureşti, p. 197-204, ISSN: 2067–1628</v>
      </c>
      <c r="F2370" s="10"/>
      <c r="G2370" s="10" t="str">
        <f ca="1">IFERROR(__xludf.DUMMYFUNCTION("""COMPUTED_VALUE"""),"Илиева, Д")</f>
        <v>Илиева, Д</v>
      </c>
      <c r="H2370" s="10"/>
      <c r="I2370" s="10"/>
      <c r="J2370" s="10"/>
      <c r="K2370" s="10"/>
      <c r="L2370" s="10"/>
      <c r="M2370" s="10"/>
      <c r="N2370" s="10"/>
      <c r="O2370" s="10"/>
      <c r="P2370" s="10"/>
      <c r="Q2370" s="10"/>
      <c r="R2370" s="10"/>
      <c r="S2370" s="10"/>
      <c r="T2370" s="10"/>
      <c r="U2370" s="10"/>
      <c r="V2370" s="10"/>
      <c r="W2370" s="10"/>
      <c r="X2370" s="10"/>
      <c r="Y2370" s="10"/>
      <c r="Z2370" s="10"/>
    </row>
    <row r="2371" spans="1:26" ht="12.75">
      <c r="A2371" s="10" t="str">
        <f ca="1">IFERROR(__xludf.DUMMYFUNCTION("""COMPUTED_VALUE"""),"Евгени Петров Манев")</f>
        <v>Евгени Петров Манев</v>
      </c>
      <c r="B2371" s="10" t="str">
        <f ca="1">IFERROR(__xludf.DUMMYFUNCTION("""COMPUTED_VALUE"""),"Доклад от конференция")</f>
        <v>Доклад от конференция</v>
      </c>
      <c r="C2371" s="10" t="str">
        <f ca="1">IFERROR(__xludf.DUMMYFUNCTION("""COMPUTED_VALUE"""),"Сигурност на социалната организация – „меки“ инструменти за управление")</f>
        <v>Сигурност на социалната организация – „меки“ инструменти за управление</v>
      </c>
      <c r="D2371" s="10">
        <f ca="1">IFERROR(__xludf.DUMMYFUNCTION("""COMPUTED_VALUE"""),2016)</f>
        <v>2016</v>
      </c>
      <c r="E2371" s="10" t="str">
        <f ca="1">IFERROR(__xludf.DUMMYFUNCTION("""COMPUTED_VALUE"""),"ВСУ „Черноризец Храбър“, 2016, Сборник с доклади, Промени в средата за сигурност, НК, Лятна научна сесия на ЮФ във ВСУ „Черноризец храбър“, 24-25 юни 2016 г., Сигурност и безопасност, (кн. 30, серия „Юридически науки и обществена сигурност“, стр. 37-49, I"&amp;"SSN 1313-7263")</f>
        <v>ВСУ „Черноризец Храбър“, 2016, Сборник с доклади, Промени в средата за сигурност, НК, Лятна научна сесия на ЮФ във ВСУ „Черноризец храбър“, 24-25 юни 2016 г., Сигурност и безопасност, (кн. 30, серия „Юридически науки и обществена сигурност“, стр. 37-49, ISSN 1313-7263</v>
      </c>
      <c r="F2371" s="10"/>
      <c r="G2371" s="10"/>
      <c r="H2371" s="10"/>
      <c r="I2371" s="10"/>
      <c r="J2371" s="10"/>
      <c r="K2371" s="10"/>
      <c r="L2371" s="10"/>
      <c r="M2371" s="10"/>
      <c r="N2371" s="10"/>
      <c r="O2371" s="10"/>
      <c r="P2371" s="10"/>
      <c r="Q2371" s="10"/>
      <c r="R2371" s="10"/>
      <c r="S2371" s="10"/>
      <c r="T2371" s="10"/>
      <c r="U2371" s="10"/>
      <c r="V2371" s="10"/>
      <c r="W2371" s="10"/>
      <c r="X2371" s="10"/>
      <c r="Y2371" s="10"/>
      <c r="Z2371" s="10"/>
    </row>
    <row r="2372" spans="1:26" ht="12.75">
      <c r="A2372" s="10" t="str">
        <f ca="1">IFERROR(__xludf.DUMMYFUNCTION("""COMPUTED_VALUE"""),"Евгени Петров Манев")</f>
        <v>Евгени Петров Манев</v>
      </c>
      <c r="B2372" s="10" t="str">
        <f ca="1">IFERROR(__xludf.DUMMYFUNCTION("""COMPUTED_VALUE"""),"Доклад от конференция")</f>
        <v>Доклад от конференция</v>
      </c>
      <c r="C2372" s="10" t="str">
        <f ca="1">IFERROR(__xludf.DUMMYFUNCTION("""COMPUTED_VALUE"""),"Обща теория за сигурността – организационнокултурен подход")</f>
        <v>Обща теория за сигурността – организационнокултурен подход</v>
      </c>
      <c r="D2372" s="10">
        <f ca="1">IFERROR(__xludf.DUMMYFUNCTION("""COMPUTED_VALUE"""),2016)</f>
        <v>2016</v>
      </c>
      <c r="E2372" s="10" t="str">
        <f ca="1">IFERROR(__xludf.DUMMYFUNCTION("""COMPUTED_VALUE"""),"Будапеща, Десети юбилеен пътуващ семинар на УниБИТ. 30.05.–5.06.2016. Изд.“За буквите – О писменехь“, София (под печат).")</f>
        <v>Будапеща, Десети юбилеен пътуващ семинар на УниБИТ. 30.05.–5.06.2016. Изд.“За буквите – О писменехь“, София (под печат).</v>
      </c>
      <c r="F2372" s="10" t="str">
        <f ca="1">IFERROR(__xludf.DUMMYFUNCTION("""COMPUTED_VALUE"""),"Будапеща, Десети юбилеен пътуващ семинар на УниБИТ. 30.05.–5.06.2016. Изд.“За буквите – О писменехь“, София.")</f>
        <v>Будапеща, Десети юбилеен пътуващ семинар на УниБИТ. 30.05.–5.06.2016. Изд.“За буквите – О писменехь“, София.</v>
      </c>
      <c r="G2372" s="10"/>
      <c r="H2372" s="10"/>
      <c r="I2372" s="10"/>
      <c r="J2372" s="10"/>
      <c r="K2372" s="10"/>
      <c r="L2372" s="10"/>
      <c r="M2372" s="10"/>
      <c r="N2372" s="10"/>
      <c r="O2372" s="10"/>
      <c r="P2372" s="10"/>
      <c r="Q2372" s="10"/>
      <c r="R2372" s="10"/>
      <c r="S2372" s="10"/>
      <c r="T2372" s="10"/>
      <c r="U2372" s="10"/>
      <c r="V2372" s="10"/>
      <c r="W2372" s="10"/>
      <c r="X2372" s="10"/>
      <c r="Y2372" s="10"/>
      <c r="Z2372" s="10"/>
    </row>
    <row r="2373" spans="1:26" ht="12.75">
      <c r="A2373" s="10" t="str">
        <f ca="1">IFERROR(__xludf.DUMMYFUNCTION("""COMPUTED_VALUE"""),"Евгени Петров Манев")</f>
        <v>Евгени Петров Манев</v>
      </c>
      <c r="B2373" s="10" t="str">
        <f ca="1">IFERROR(__xludf.DUMMYFUNCTION("""COMPUTED_VALUE"""),"Доклад от конференция")</f>
        <v>Доклад от конференция</v>
      </c>
      <c r="C2373" s="10" t="str">
        <f ca="1">IFERROR(__xludf.DUMMYFUNCTION("""COMPUTED_VALUE"""),"Organisational culture – is it just culture or something else?")</f>
        <v>Organisational culture – is it just culture or something else?</v>
      </c>
      <c r="D2373" s="10">
        <f ca="1">IFERROR(__xludf.DUMMYFUNCTION("""COMPUTED_VALUE"""),2016)</f>
        <v>2016</v>
      </c>
      <c r="E2373" s="10" t="str">
        <f ca="1">IFERROR(__xludf.DUMMYFUNCTION("""COMPUTED_VALUE"""),"2016, The Tenth International Conference, L, CULTURE AND CIVILIZATION - Trends for the Next Decade, Bucharest, 27– 28 May 2016, Editura Politehnica Press, Toate drepturile asupra acestei ediţii sunt rezervate editurii, Calea Griviţei, nr. 132, 010737, Sec"&amp;"tor1, Bucureşti, p. 216-223, ISSN: 2067–1628.")</f>
        <v>2016, The Tenth International Conference, L, CULTURE AND CIVILIZATION - Trends for the Next Decade, Bucharest, 27– 28 May 2016, Editura Politehnica Press, Toate drepturile asupra acestei ediţii sunt rezervate editurii, Calea Griviţei, nr. 132, 010737, Sector1, Bucureşti, p. 216-223, ISSN: 2067–1628.</v>
      </c>
      <c r="F2373" s="10"/>
      <c r="G2373" s="10" t="str">
        <f ca="1">IFERROR(__xludf.DUMMYFUNCTION("""COMPUTED_VALUE"""),"Илиева, Д")</f>
        <v>Илиева, Д</v>
      </c>
      <c r="H2373" s="10"/>
      <c r="I2373" s="10"/>
      <c r="J2373" s="10"/>
      <c r="K2373" s="10"/>
      <c r="L2373" s="10"/>
      <c r="M2373" s="10"/>
      <c r="N2373" s="10"/>
      <c r="O2373" s="10"/>
      <c r="P2373" s="10"/>
      <c r="Q2373" s="10"/>
      <c r="R2373" s="10"/>
      <c r="S2373" s="10"/>
      <c r="T2373" s="10"/>
      <c r="U2373" s="10"/>
      <c r="V2373" s="10"/>
      <c r="W2373" s="10"/>
      <c r="X2373" s="10"/>
      <c r="Y2373" s="10"/>
      <c r="Z2373" s="10"/>
    </row>
    <row r="2374" spans="1:26" ht="12.75">
      <c r="A2374" s="10" t="str">
        <f ca="1">IFERROR(__xludf.DUMMYFUNCTION("""COMPUTED_VALUE"""),"Евгени Петров Манев")</f>
        <v>Евгени Петров Манев</v>
      </c>
      <c r="B2374" s="10" t="str">
        <f ca="1">IFERROR(__xludf.DUMMYFUNCTION("""COMPUTED_VALUE"""),"Статия в списания и поредици")</f>
        <v>Статия в списания и поредици</v>
      </c>
      <c r="C2374" s="10" t="str">
        <f ca="1">IFERROR(__xludf.DUMMYFUNCTION("""COMPUTED_VALUE"""),"Изграждане на концептуални лидерски умения")</f>
        <v>Изграждане на концептуални лидерски умения</v>
      </c>
      <c r="D2374" s="10">
        <f ca="1">IFERROR(__xludf.DUMMYFUNCTION("""COMPUTED_VALUE"""),2015)</f>
        <v>2015</v>
      </c>
      <c r="E2374" s="10" t="str">
        <f ca="1">IFERROR(__xludf.DUMMYFUNCTION("""COMPUTED_VALUE"""),"Годишник „Трудове на УниБИТ“ за 2015 г., София, Изд.“За буквите – О писменехь, София. ISSN 1314-7099")</f>
        <v>Годишник „Трудове на УниБИТ“ за 2015 г., София, Изд.“За буквите – О писменехь, София. ISSN 1314-7099</v>
      </c>
      <c r="F2374" s="10"/>
      <c r="G2374" s="10"/>
      <c r="H2374" s="10"/>
      <c r="I2374" s="10"/>
      <c r="J2374" s="10"/>
      <c r="K2374" s="10"/>
      <c r="L2374" s="10"/>
      <c r="M2374" s="10"/>
      <c r="N2374" s="10"/>
      <c r="O2374" s="10"/>
      <c r="P2374" s="10"/>
      <c r="Q2374" s="10"/>
      <c r="R2374" s="10"/>
      <c r="S2374" s="10"/>
      <c r="T2374" s="10"/>
      <c r="U2374" s="10"/>
      <c r="V2374" s="10"/>
      <c r="W2374" s="10"/>
      <c r="X2374" s="10"/>
      <c r="Y2374" s="10"/>
      <c r="Z2374" s="10"/>
    </row>
    <row r="2375" spans="1:26" ht="12.75">
      <c r="A2375" s="10" t="str">
        <f ca="1">IFERROR(__xludf.DUMMYFUNCTION("""COMPUTED_VALUE"""),"Евгени Петров Манев")</f>
        <v>Евгени Петров Манев</v>
      </c>
      <c r="B2375" s="10" t="str">
        <f ca="1">IFERROR(__xludf.DUMMYFUNCTION("""COMPUTED_VALUE"""),"Доклад от конференция")</f>
        <v>Доклад от конференция</v>
      </c>
      <c r="C2375" s="10" t="str">
        <f ca="1">IFERROR(__xludf.DUMMYFUNCTION("""COMPUTED_VALUE"""),"Опериране на дистанционно управляеми летателни средства в България – проблеми и сигурност")</f>
        <v>Опериране на дистанционно управляеми летателни средства в България – проблеми и сигурност</v>
      </c>
      <c r="D2375" s="10">
        <f ca="1">IFERROR(__xludf.DUMMYFUNCTION("""COMPUTED_VALUE"""),2015)</f>
        <v>2015</v>
      </c>
      <c r="E2375" s="10" t="str">
        <f ca="1">IFERROR(__xludf.DUMMYFUNCTION("""COMPUTED_VALUE"""),"Варненски свободен университет „Черноризец Храбър”, лятна научна сесия на Юридически факултет – 2015, Катедра „Сигурност и безопасност”, международна научна конференция , ""Технологии и сигурност"". (КН. 29, серия „Юридически науки и обществена сигурност“"&amp;"), стр. 9-25, ISSN 1313-7263")</f>
        <v>Варненски свободен университет „Черноризец Храбър”, лятна научна сесия на Юридически факултет – 2015, Катедра „Сигурност и безопасност”, международна научна конференция , "Технологии и сигурност". (КН. 29, серия „Юридически науки и обществена сигурност“), стр. 9-25, ISSN 1313-7263</v>
      </c>
      <c r="F2375" s="10"/>
      <c r="G2375" s="10"/>
      <c r="H2375" s="10"/>
      <c r="I2375" s="10"/>
      <c r="J2375" s="10"/>
      <c r="K2375" s="10"/>
      <c r="L2375" s="10"/>
      <c r="M2375" s="10"/>
      <c r="N2375" s="10"/>
      <c r="O2375" s="10"/>
      <c r="P2375" s="10"/>
      <c r="Q2375" s="10"/>
      <c r="R2375" s="10"/>
      <c r="S2375" s="10"/>
      <c r="T2375" s="10"/>
      <c r="U2375" s="10"/>
      <c r="V2375" s="10"/>
      <c r="W2375" s="10"/>
      <c r="X2375" s="10"/>
      <c r="Y2375" s="10"/>
      <c r="Z2375" s="10"/>
    </row>
    <row r="2376" spans="1:26" ht="12.75">
      <c r="A2376" s="10" t="str">
        <f ca="1">IFERROR(__xludf.DUMMYFUNCTION("""COMPUTED_VALUE"""),"Евгени Петров Манев")</f>
        <v>Евгени Петров Манев</v>
      </c>
      <c r="B2376" s="10" t="str">
        <f ca="1">IFERROR(__xludf.DUMMYFUNCTION("""COMPUTED_VALUE"""),"Статия в списания и поредици")</f>
        <v>Статия в списания и поредици</v>
      </c>
      <c r="C2376" s="10" t="str">
        <f ca="1">IFERROR(__xludf.DUMMYFUNCTION("""COMPUTED_VALUE"""),"Сигурност на съвременната социална система и адекватен образователен процес")</f>
        <v>Сигурност на съвременната социална система и адекватен образователен процес</v>
      </c>
      <c r="D2376" s="10">
        <f ca="1">IFERROR(__xludf.DUMMYFUNCTION("""COMPUTED_VALUE"""),2015)</f>
        <v>2015</v>
      </c>
      <c r="E2376" s="10" t="str">
        <f ca="1">IFERROR(__xludf.DUMMYFUNCTION("""COMPUTED_VALUE"""),"Годишник „Трудове на УниБИТ“ за 2015 г., София, Изд.“За буквите – О писменехь, София, ISSN 1314-7099")</f>
        <v>Годишник „Трудове на УниБИТ“ за 2015 г., София, Изд.“За буквите – О писменехь, София, ISSN 1314-7099</v>
      </c>
      <c r="F2376" s="10"/>
      <c r="G2376" s="10"/>
      <c r="H2376" s="10"/>
      <c r="I2376" s="10"/>
      <c r="J2376" s="10"/>
      <c r="K2376" s="10"/>
      <c r="L2376" s="10"/>
      <c r="M2376" s="10"/>
      <c r="N2376" s="10"/>
      <c r="O2376" s="10"/>
      <c r="P2376" s="10"/>
      <c r="Q2376" s="10"/>
      <c r="R2376" s="10"/>
      <c r="S2376" s="10"/>
      <c r="T2376" s="10"/>
      <c r="U2376" s="10"/>
      <c r="V2376" s="10"/>
      <c r="W2376" s="10"/>
      <c r="X2376" s="10"/>
      <c r="Y2376" s="10"/>
      <c r="Z2376" s="10"/>
    </row>
    <row r="2377" spans="1:26" ht="12.75">
      <c r="A2377" s="10" t="str">
        <f ca="1">IFERROR(__xludf.DUMMYFUNCTION("""COMPUTED_VALUE"""),"Евгени Петров Манев")</f>
        <v>Евгени Петров Манев</v>
      </c>
      <c r="B2377" s="10" t="str">
        <f ca="1">IFERROR(__xludf.DUMMYFUNCTION("""COMPUTED_VALUE"""),"Доклад от конференция")</f>
        <v>Доклад от конференция</v>
      </c>
      <c r="C2377" s="10" t="str">
        <f ca="1">IFERROR(__xludf.DUMMYFUNCTION("""COMPUTED_VALUE"""),"Linguocultural approach to organizational security study.")</f>
        <v>Linguocultural approach to organizational security study.</v>
      </c>
      <c r="D2377" s="10">
        <f ca="1">IFERROR(__xludf.DUMMYFUNCTION("""COMPUTED_VALUE"""),2015)</f>
        <v>2015</v>
      </c>
      <c r="E2377" s="10" t="str">
        <f ca="1">IFERROR(__xludf.DUMMYFUNCTION("""COMPUTED_VALUE"""),"(LIMBĂ, CULTURĂ ŞI CIVILIZAŢIE CONFLUENŢA IDEILOR INOVATOARE. a IX-a CONFERINŢĂ INTERNAŢIONALĂ).")</f>
        <v>(LIMBĂ, CULTURĂ ŞI CIVILIZAŢIE CONFLUENŢA IDEILOR INOVATOARE. a IX-a CONFERINŢĂ INTERNAŢIONALĂ).</v>
      </c>
      <c r="F2377" s="10" t="str">
        <f ca="1">IFERROR(__xludf.DUMMYFUNCTION("""COMPUTED_VALUE"""),"University politehnica of Bucharest. Editura POLITEHNICA PRESS BUCUREŞTI, Romania, 2015, p. 131-138,- 401 p., ISSN: 2067–1628")</f>
        <v>University politehnica of Bucharest. Editura POLITEHNICA PRESS BUCUREŞTI, Romania, 2015, p. 131-138,- 401 p., ISSN: 2067–1628</v>
      </c>
      <c r="G2377" s="10" t="str">
        <f ca="1">IFERROR(__xludf.DUMMYFUNCTION("""COMPUTED_VALUE"""),"Илиева, Д")</f>
        <v>Илиева, Д</v>
      </c>
      <c r="H2377" s="10"/>
      <c r="I2377" s="10"/>
      <c r="J2377" s="10"/>
      <c r="K2377" s="10"/>
      <c r="L2377" s="10"/>
      <c r="M2377" s="10"/>
      <c r="N2377" s="10"/>
      <c r="O2377" s="10"/>
      <c r="P2377" s="10"/>
      <c r="Q2377" s="10"/>
      <c r="R2377" s="10"/>
      <c r="S2377" s="10"/>
      <c r="T2377" s="10"/>
      <c r="U2377" s="10"/>
      <c r="V2377" s="10"/>
      <c r="W2377" s="10"/>
      <c r="X2377" s="10"/>
      <c r="Y2377" s="10"/>
      <c r="Z2377" s="10"/>
    </row>
    <row r="2378" spans="1:26" ht="12.75">
      <c r="A2378" s="10" t="str">
        <f ca="1">IFERROR(__xludf.DUMMYFUNCTION("""COMPUTED_VALUE"""),"Евгени Петров Манев")</f>
        <v>Евгени Петров Манев</v>
      </c>
      <c r="B2378" s="10" t="str">
        <f ca="1">IFERROR(__xludf.DUMMYFUNCTION("""COMPUTED_VALUE"""),"Доклад от конференция")</f>
        <v>Доклад от конференция</v>
      </c>
      <c r="C2378" s="10" t="str">
        <f ca="1">IFERROR(__xludf.DUMMYFUNCTION("""COMPUTED_VALUE"""),"Цветните революции – технологичен инструмент за политическа промяна")</f>
        <v>Цветните революции – технологичен инструмент за политическа промяна</v>
      </c>
      <c r="D2378" s="10">
        <f ca="1">IFERROR(__xludf.DUMMYFUNCTION("""COMPUTED_VALUE"""),2015)</f>
        <v>2015</v>
      </c>
      <c r="E2378" s="10" t="str">
        <f ca="1">IFERROR(__xludf.DUMMYFUNCTION("""COMPUTED_VALUE"""),"НК с международно участие, „ЮГОИЗТОЧНА ЕВРОПА: НОВИТЕ ЗАПЛАХИ ЗА РЕГИОНАЛНАТА СИГУРНОСТ”, 2-3 юни 2015 г., Нов български университет, Департамент „Национална и международна сигурност“, ISBN 978-954-535-907-1")</f>
        <v>НК с международно участие, „ЮГОИЗТОЧНА ЕВРОПА: НОВИТЕ ЗАПЛАХИ ЗА РЕГИОНАЛНАТА СИГУРНОСТ”, 2-3 юни 2015 г., Нов български университет, Департамент „Национална и международна сигурност“, ISBN 978-954-535-907-1</v>
      </c>
      <c r="F2378" s="10"/>
      <c r="G2378" s="10" t="str">
        <f ca="1">IFERROR(__xludf.DUMMYFUNCTION("""COMPUTED_VALUE"""),"Денчев, С., Мирияна, П.")</f>
        <v>Денчев, С., Мирияна, П.</v>
      </c>
      <c r="H2378" s="10"/>
      <c r="I2378" s="10"/>
      <c r="J2378" s="10"/>
      <c r="K2378" s="10"/>
      <c r="L2378" s="10"/>
      <c r="M2378" s="10"/>
      <c r="N2378" s="10"/>
      <c r="O2378" s="10"/>
      <c r="P2378" s="10"/>
      <c r="Q2378" s="10"/>
      <c r="R2378" s="10"/>
      <c r="S2378" s="10"/>
      <c r="T2378" s="10"/>
      <c r="U2378" s="10"/>
      <c r="V2378" s="10"/>
      <c r="W2378" s="10"/>
      <c r="X2378" s="10"/>
      <c r="Y2378" s="10"/>
      <c r="Z2378" s="10"/>
    </row>
    <row r="2379" spans="1:26" ht="12.75">
      <c r="A2379" s="10" t="str">
        <f ca="1">IFERROR(__xludf.DUMMYFUNCTION("""COMPUTED_VALUE"""),"Евгени Петров Манев")</f>
        <v>Евгени Петров Манев</v>
      </c>
      <c r="B2379" s="10" t="str">
        <f ca="1">IFERROR(__xludf.DUMMYFUNCTION("""COMPUTED_VALUE"""),"Доклад от конференция")</f>
        <v>Доклад от конференция</v>
      </c>
      <c r="C2379" s="10" t="str">
        <f ca="1">IFERROR(__xludf.DUMMYFUNCTION("""COMPUTED_VALUE"""),"Някои проблеми в политиката и образованието в сектора за сигурност и отбрана")</f>
        <v>Някои проблеми в политиката и образованието в сектора за сигурност и отбрана</v>
      </c>
      <c r="D2379" s="10">
        <f ca="1">IFERROR(__xludf.DUMMYFUNCTION("""COMPUTED_VALUE"""),2013)</f>
        <v>2013</v>
      </c>
      <c r="E2379" s="10" t="str">
        <f ca="1">IFERROR(__xludf.DUMMYFUNCTION("""COMPUTED_VALUE"""),"НБУ, Наука, образование, сигурност, Юбилейна НК „Десет години образование по сигурност в НБУ“, С., НБУ, с. 116-122, ISBN 978-954-535-796-1")</f>
        <v>НБУ, Наука, образование, сигурност, Юбилейна НК „Десет години образование по сигурност в НБУ“, С., НБУ, с. 116-122, ISBN 978-954-535-796-1</v>
      </c>
      <c r="F2379" s="10"/>
      <c r="G2379" s="10"/>
      <c r="H2379" s="10"/>
      <c r="I2379" s="10"/>
      <c r="J2379" s="10"/>
      <c r="K2379" s="10"/>
      <c r="L2379" s="10"/>
      <c r="M2379" s="10"/>
      <c r="N2379" s="10"/>
      <c r="O2379" s="10"/>
      <c r="P2379" s="10"/>
      <c r="Q2379" s="10"/>
      <c r="R2379" s="10"/>
      <c r="S2379" s="10"/>
      <c r="T2379" s="10"/>
      <c r="U2379" s="10"/>
      <c r="V2379" s="10"/>
      <c r="W2379" s="10"/>
      <c r="X2379" s="10"/>
      <c r="Y2379" s="10"/>
      <c r="Z2379" s="10"/>
    </row>
    <row r="2380" spans="1:26" ht="12.75">
      <c r="A2380" s="10" t="str">
        <f ca="1">IFERROR(__xludf.DUMMYFUNCTION("""COMPUTED_VALUE"""),"Евгени Петров Манев")</f>
        <v>Евгени Петров Манев</v>
      </c>
      <c r="B2380" s="10" t="str">
        <f ca="1">IFERROR(__xludf.DUMMYFUNCTION("""COMPUTED_VALUE"""),"Монография")</f>
        <v>Монография</v>
      </c>
      <c r="C2380" s="10" t="str">
        <f ca="1">IFERROR(__xludf.DUMMYFUNCTION("""COMPUTED_VALUE"""),"Антикорупция в макроуправлението")</f>
        <v>Антикорупция в макроуправлението</v>
      </c>
      <c r="D2380" s="10">
        <f ca="1">IFERROR(__xludf.DUMMYFUNCTION("""COMPUTED_VALUE"""),2013)</f>
        <v>2013</v>
      </c>
      <c r="E2380" s="10" t="str">
        <f ca="1">IFERROR(__xludf.DUMMYFUNCTION("""COMPUTED_VALUE"""),"Софттрейд, София, 2013, ISBN 978-054-334-156-6")</f>
        <v>Софттрейд, София, 2013, ISBN 978-054-334-156-6</v>
      </c>
      <c r="F2380" s="10"/>
      <c r="G2380" s="10" t="str">
        <f ca="1">IFERROR(__xludf.DUMMYFUNCTION("""COMPUTED_VALUE"""),"Димитър Александров")</f>
        <v>Димитър Александров</v>
      </c>
      <c r="H2380" s="10"/>
      <c r="I2380" s="10"/>
      <c r="J2380" s="10"/>
      <c r="K2380" s="10"/>
      <c r="L2380" s="10"/>
      <c r="M2380" s="10"/>
      <c r="N2380" s="10"/>
      <c r="O2380" s="10"/>
      <c r="P2380" s="10"/>
      <c r="Q2380" s="10"/>
      <c r="R2380" s="10"/>
      <c r="S2380" s="10"/>
      <c r="T2380" s="10"/>
      <c r="U2380" s="10"/>
      <c r="V2380" s="10"/>
      <c r="W2380" s="10"/>
      <c r="X2380" s="10"/>
      <c r="Y2380" s="10"/>
      <c r="Z2380" s="10"/>
    </row>
    <row r="2381" spans="1:26" ht="12.75">
      <c r="A2381" s="10" t="str">
        <f ca="1">IFERROR(__xludf.DUMMYFUNCTION("""COMPUTED_VALUE"""),"Евгени Петров Манев")</f>
        <v>Евгени Петров Манев</v>
      </c>
      <c r="B2381" s="10" t="str">
        <f ca="1">IFERROR(__xludf.DUMMYFUNCTION("""COMPUTED_VALUE"""),"Доклад от конференция")</f>
        <v>Доклад от конференция</v>
      </c>
      <c r="C2381" s="10" t="str">
        <f ca="1">IFERROR(__xludf.DUMMYFUNCTION("""COMPUTED_VALUE"""),"Военното образование и изграждане на отбранителни способности в съвременни условия")</f>
        <v>Военното образование и изграждане на отбранителни способности в съвременни условия</v>
      </c>
      <c r="D2381" s="10">
        <f ca="1">IFERROR(__xludf.DUMMYFUNCTION("""COMPUTED_VALUE"""),2012)</f>
        <v>2012</v>
      </c>
      <c r="E2381" s="10" t="str">
        <f ca="1">IFERROR(__xludf.DUMMYFUNCTION("""COMPUTED_VALUE"""),"Служебна бележка от Председателят на УС на СОР „Атлантик”. Л. Иванов. Докладът е изнесен на Национална конференция на тема: „Колективната и националната сигурност и отбрана в контекста на динамичните промени в геополитическата среда и по-рационалното изпо"&amp;"лзване на намалените отбранителни разходи в страните от НАТО и ЕС”, СОР „Атлантик, 30-31.01.2012 г., София, http://www.atlantic-bg.org,")</f>
        <v>Служебна бележка от Председателят на УС на СОР „Атлантик”. Л. Иванов. Докладът е изнесен на Национална конференция на тема: „Колективната и националната сигурност и отбрана в контекста на динамичните промени в геополитическата среда и по-рационалното използване на намалените отбранителни разходи в страните от НАТО и ЕС”, СОР „Атлантик, 30-31.01.2012 г., София, http://www.atlantic-bg.org,</v>
      </c>
      <c r="F2381" s="10"/>
      <c r="G2381" s="10"/>
      <c r="H2381" s="10"/>
      <c r="I2381" s="10"/>
      <c r="J2381" s="10"/>
      <c r="K2381" s="10"/>
      <c r="L2381" s="10"/>
      <c r="M2381" s="10"/>
      <c r="N2381" s="10"/>
      <c r="O2381" s="10"/>
      <c r="P2381" s="10"/>
      <c r="Q2381" s="10"/>
      <c r="R2381" s="10"/>
      <c r="S2381" s="10"/>
      <c r="T2381" s="10"/>
      <c r="U2381" s="10"/>
      <c r="V2381" s="10"/>
      <c r="W2381" s="10"/>
      <c r="X2381" s="10"/>
      <c r="Y2381" s="10"/>
      <c r="Z2381" s="10"/>
    </row>
    <row r="2382" spans="1:26" ht="12.75">
      <c r="A2382" s="10" t="str">
        <f ca="1">IFERROR(__xludf.DUMMYFUNCTION("""COMPUTED_VALUE"""),"Евгени Петров Манев")</f>
        <v>Евгени Петров Манев</v>
      </c>
      <c r="B2382" s="10" t="str">
        <f ca="1">IFERROR(__xludf.DUMMYFUNCTION("""COMPUTED_VALUE"""),"Доклад от конференция")</f>
        <v>Доклад от конференция</v>
      </c>
      <c r="C2382" s="10" t="str">
        <f ca="1">IFERROR(__xludf.DUMMYFUNCTION("""COMPUTED_VALUE"""),"Сигурност на организацията и нейните функции")</f>
        <v>Сигурност на организацията и нейните функции</v>
      </c>
      <c r="D2382" s="10">
        <f ca="1">IFERROR(__xludf.DUMMYFUNCTION("""COMPUTED_VALUE"""),2012)</f>
        <v>2012</v>
      </c>
      <c r="E2382" s="10" t="str">
        <f ca="1">IFERROR(__xludf.DUMMYFUNCTION("""COMPUTED_VALUE"""),"Сборник научни трудове от Юбилейна научна конференция по повод 10 години от създаването на НВУ „Васил Левски”, т.4, НВУ “В. Левски”, 14-15 юни 2012 г.,с. 157, IBSN 978-954-753-095-9")</f>
        <v>Сборник научни трудове от Юбилейна научна конференция по повод 10 години от създаването на НВУ „Васил Левски”, т.4, НВУ “В. Левски”, 14-15 юни 2012 г.,с. 157, IBSN 978-954-753-095-9</v>
      </c>
      <c r="F2382" s="10"/>
      <c r="G2382" s="10"/>
      <c r="H2382" s="10"/>
      <c r="I2382" s="10"/>
      <c r="J2382" s="10"/>
      <c r="K2382" s="10"/>
      <c r="L2382" s="10"/>
      <c r="M2382" s="10"/>
      <c r="N2382" s="10"/>
      <c r="O2382" s="10"/>
      <c r="P2382" s="10"/>
      <c r="Q2382" s="10"/>
      <c r="R2382" s="10"/>
      <c r="S2382" s="10"/>
      <c r="T2382" s="10"/>
      <c r="U2382" s="10"/>
      <c r="V2382" s="10"/>
      <c r="W2382" s="10"/>
      <c r="X2382" s="10"/>
      <c r="Y2382" s="10"/>
      <c r="Z2382" s="10"/>
    </row>
    <row r="2383" spans="1:26" ht="12.75">
      <c r="A2383" s="10" t="str">
        <f ca="1">IFERROR(__xludf.DUMMYFUNCTION("""COMPUTED_VALUE"""),"Евгени Петров Манев")</f>
        <v>Евгени Петров Манев</v>
      </c>
      <c r="B2383" s="10" t="str">
        <f ca="1">IFERROR(__xludf.DUMMYFUNCTION("""COMPUTED_VALUE"""),"Доклад от конференция")</f>
        <v>Доклад от конференция</v>
      </c>
      <c r="C2383" s="10" t="str">
        <f ca="1">IFERROR(__xludf.DUMMYFUNCTION("""COMPUTED_VALUE"""),"Основни тенденции в международните отношения и глобалната сигурност")</f>
        <v>Основни тенденции в международните отношения и глобалната сигурност</v>
      </c>
      <c r="D2383" s="10">
        <f ca="1">IFERROR(__xludf.DUMMYFUNCTION("""COMPUTED_VALUE"""),2012)</f>
        <v>2012</v>
      </c>
      <c r="E2383" s="10" t="str">
        <f ca="1">IFERROR(__xludf.DUMMYFUNCTION("""COMPUTED_VALUE"""),"Научна конференция на тема “Защита на информацията – състояние и перспективи”, 7-8.06.2012 г., гр. Шумен. СБОРНИК НАУЧНИ ТРУДОВЕ на НАУЧНА КОНФЕРЕНЦИЯ 2012, - Защита на информацията - състояние и перспективи ©НВУ “В. Левски” – Факултет “Артилерия, ПВО и К"&amp;"ИС” Шумен, 7-8.06.2012 г, с/о Jusautor, Shumen, с. 83, ISBN 978-954-9681-49-9")</f>
        <v>Научна конференция на тема “Защита на информацията – състояние и перспективи”, 7-8.06.2012 г., гр. Шумен. СБОРНИК НАУЧНИ ТРУДОВЕ на НАУЧНА КОНФЕРЕНЦИЯ 2012, - Защита на информацията - състояние и перспективи ©НВУ “В. Левски” – Факултет “Артилерия, ПВО и КИС” Шумен, 7-8.06.2012 г, с/о Jusautor, Shumen, с. 83, ISBN 978-954-9681-49-9</v>
      </c>
      <c r="F2383" s="10"/>
      <c r="G2383" s="10"/>
      <c r="H2383" s="10"/>
      <c r="I2383" s="10"/>
      <c r="J2383" s="10"/>
      <c r="K2383" s="10"/>
      <c r="L2383" s="10"/>
      <c r="M2383" s="10"/>
      <c r="N2383" s="10"/>
      <c r="O2383" s="10"/>
      <c r="P2383" s="10"/>
      <c r="Q2383" s="10"/>
      <c r="R2383" s="10"/>
      <c r="S2383" s="10"/>
      <c r="T2383" s="10"/>
      <c r="U2383" s="10"/>
      <c r="V2383" s="10"/>
      <c r="W2383" s="10"/>
      <c r="X2383" s="10"/>
      <c r="Y2383" s="10"/>
      <c r="Z2383" s="10"/>
    </row>
    <row r="2384" spans="1:26" ht="12.75">
      <c r="A2384" s="10" t="str">
        <f ca="1">IFERROR(__xludf.DUMMYFUNCTION("""COMPUTED_VALUE"""),"Евгени Петров Манев")</f>
        <v>Евгени Петров Манев</v>
      </c>
      <c r="B2384" s="10" t="str">
        <f ca="1">IFERROR(__xludf.DUMMYFUNCTION("""COMPUTED_VALUE"""),"Монография")</f>
        <v>Монография</v>
      </c>
      <c r="C2384" s="10" t="str">
        <f ca="1">IFERROR(__xludf.DUMMYFUNCTION("""COMPUTED_VALUE"""),"Глобална, регионална и национална сигурност")</f>
        <v>Глобална, регионална и национална сигурност</v>
      </c>
      <c r="D2384" s="10">
        <f ca="1">IFERROR(__xludf.DUMMYFUNCTION("""COMPUTED_VALUE"""),2012)</f>
        <v>2012</v>
      </c>
      <c r="E2384" s="10" t="str">
        <f ca="1">IFERROR(__xludf.DUMMYFUNCTION("""COMPUTED_VALUE"""),"Изд. ""Софттрейд"" София, 2012, ISBN 978-954-334-141-2")</f>
        <v>Изд. "Софттрейд" София, 2012, ISBN 978-954-334-141-2</v>
      </c>
      <c r="F2384" s="10"/>
      <c r="G2384" s="10"/>
      <c r="H2384" s="10"/>
      <c r="I2384" s="10"/>
      <c r="J2384" s="10"/>
      <c r="K2384" s="10"/>
      <c r="L2384" s="10"/>
      <c r="M2384" s="10"/>
      <c r="N2384" s="10"/>
      <c r="O2384" s="10"/>
      <c r="P2384" s="10"/>
      <c r="Q2384" s="10"/>
      <c r="R2384" s="10"/>
      <c r="S2384" s="10"/>
      <c r="T2384" s="10"/>
      <c r="U2384" s="10"/>
      <c r="V2384" s="10"/>
      <c r="W2384" s="10"/>
      <c r="X2384" s="10"/>
      <c r="Y2384" s="10"/>
      <c r="Z2384" s="10"/>
    </row>
    <row r="2385" spans="1:26" ht="12.75">
      <c r="A2385" s="10" t="str">
        <f ca="1">IFERROR(__xludf.DUMMYFUNCTION("""COMPUTED_VALUE"""),"Евгени Петров Манев")</f>
        <v>Евгени Петров Манев</v>
      </c>
      <c r="B2385" s="10" t="str">
        <f ca="1">IFERROR(__xludf.DUMMYFUNCTION("""COMPUTED_VALUE"""),"Доклад от конференция")</f>
        <v>Доклад от конференция</v>
      </c>
      <c r="C2385" s="10" t="str">
        <f ca="1">IFERROR(__xludf.DUMMYFUNCTION("""COMPUTED_VALUE"""),"Криза на ценностите и асиметрични заплахи")</f>
        <v>Криза на ценностите и асиметрични заплахи</v>
      </c>
      <c r="D2385" s="10">
        <f ca="1">IFERROR(__xludf.DUMMYFUNCTION("""COMPUTED_VALUE"""),2012)</f>
        <v>2012</v>
      </c>
      <c r="E2385" s="10" t="str">
        <f ca="1">IFERROR(__xludf.DUMMYFUNCTION("""COMPUTED_VALUE"""),"Сборник научни трудове от Юбилейна научна конференция по повод 10 години от създаването на НВУ „Васил Левски”, т.4, НВУ “В. Левски”, 14-15 юни 2012 г., с. 136, ISBN 978-954-753-095-9")</f>
        <v>Сборник научни трудове от Юбилейна научна конференция по повод 10 години от създаването на НВУ „Васил Левски”, т.4, НВУ “В. Левски”, 14-15 юни 2012 г., с. 136, ISBN 978-954-753-095-9</v>
      </c>
      <c r="F2385" s="10"/>
      <c r="G2385" s="10"/>
      <c r="H2385" s="10"/>
      <c r="I2385" s="10"/>
      <c r="J2385" s="10"/>
      <c r="K2385" s="10"/>
      <c r="L2385" s="10"/>
      <c r="M2385" s="10"/>
      <c r="N2385" s="10"/>
      <c r="O2385" s="10"/>
      <c r="P2385" s="10"/>
      <c r="Q2385" s="10"/>
      <c r="R2385" s="10"/>
      <c r="S2385" s="10"/>
      <c r="T2385" s="10"/>
      <c r="U2385" s="10"/>
      <c r="V2385" s="10"/>
      <c r="W2385" s="10"/>
      <c r="X2385" s="10"/>
      <c r="Y2385" s="10"/>
      <c r="Z2385" s="10"/>
    </row>
    <row r="2386" spans="1:26" ht="12.75">
      <c r="A2386" s="10" t="str">
        <f ca="1">IFERROR(__xludf.DUMMYFUNCTION("""COMPUTED_VALUE"""),"Евгени Петров Манев")</f>
        <v>Евгени Петров Манев</v>
      </c>
      <c r="B2386" s="10" t="str">
        <f ca="1">IFERROR(__xludf.DUMMYFUNCTION("""COMPUTED_VALUE"""),"Доклад от конференция")</f>
        <v>Доклад от конференция</v>
      </c>
      <c r="C2386" s="10" t="str">
        <f ca="1">IFERROR(__xludf.DUMMYFUNCTION("""COMPUTED_VALUE"""),"Съвременни военни аспекти на националната сигурност")</f>
        <v>Съвременни военни аспекти на националната сигурност</v>
      </c>
      <c r="D2386" s="10">
        <f ca="1">IFERROR(__xludf.DUMMYFUNCTION("""COMPUTED_VALUE"""),2012)</f>
        <v>2012</v>
      </c>
      <c r="E2386" s="10" t="str">
        <f ca="1">IFERROR(__xludf.DUMMYFUNCTION("""COMPUTED_VALUE"""),"Научна конференция на тема “Защита на информацията – състояние и перспективи”, 7-8.06.2012 г., гр. Шумен. СБОРНИК НАУЧНИ ТРУДОВЕ на НАУЧНА КОНФЕРЕНЦИЯ 2012, - Защита на информацията - състояние и перспективи ©НВУ “В. Левски” – Факултет “Артилерия, ПВО и К"&amp;"ИС” Шумен, 7-8.06.2012 г, с/о Jusautor, Shumen, с. 90, ISBN 978-954-9681-49-9")</f>
        <v>Научна конференция на тема “Защита на информацията – състояние и перспективи”, 7-8.06.2012 г., гр. Шумен. СБОРНИК НАУЧНИ ТРУДОВЕ на НАУЧНА КОНФЕРЕНЦИЯ 2012, - Защита на информацията - състояние и перспективи ©НВУ “В. Левски” – Факултет “Артилерия, ПВО и КИС” Шумен, 7-8.06.2012 г, с/о Jusautor, Shumen, с. 90, ISBN 978-954-9681-49-9</v>
      </c>
      <c r="F2386" s="10"/>
      <c r="G2386" s="10"/>
      <c r="H2386" s="10"/>
      <c r="I2386" s="10"/>
      <c r="J2386" s="10"/>
      <c r="K2386" s="10"/>
      <c r="L2386" s="10"/>
      <c r="M2386" s="10"/>
      <c r="N2386" s="10"/>
      <c r="O2386" s="10"/>
      <c r="P2386" s="10"/>
      <c r="Q2386" s="10"/>
      <c r="R2386" s="10"/>
      <c r="S2386" s="10"/>
      <c r="T2386" s="10"/>
      <c r="U2386" s="10"/>
      <c r="V2386" s="10"/>
      <c r="W2386" s="10"/>
      <c r="X2386" s="10"/>
      <c r="Y2386" s="10"/>
      <c r="Z2386" s="10"/>
    </row>
    <row r="2387" spans="1:26" ht="12.75">
      <c r="A2387" s="10" t="str">
        <f ca="1">IFERROR(__xludf.DUMMYFUNCTION("""COMPUTED_VALUE"""),"Евгени Петров Манев")</f>
        <v>Евгени Петров Манев</v>
      </c>
      <c r="B2387" s="10" t="str">
        <f ca="1">IFERROR(__xludf.DUMMYFUNCTION("""COMPUTED_VALUE"""),"Доклад от конференция")</f>
        <v>Доклад от конференция</v>
      </c>
      <c r="C2387" s="10" t="str">
        <f ca="1">IFERROR(__xludf.DUMMYFUNCTION("""COMPUTED_VALUE"""),"Държавата и колективната сигурност: организационно-културни аспекти")</f>
        <v>Държавата и колективната сигурност: организационно-културни аспекти</v>
      </c>
      <c r="D2387" s="10">
        <f ca="1">IFERROR(__xludf.DUMMYFUNCTION("""COMPUTED_VALUE"""),2012)</f>
        <v>2012</v>
      </c>
      <c r="E2387" s="10" t="str">
        <f ca="1">IFERROR(__xludf.DUMMYFUNCTION("""COMPUTED_VALUE"""),"Сборник научни трудове от Юбилейна научна конференция по повод 10 години от създаването на НВУ „Васил Левски”, т.4, НВУ “В. Левски”, 14-15 юни 2012 г., с. 147. IBSN 978-954-753-095-9")</f>
        <v>Сборник научни трудове от Юбилейна научна конференция по повод 10 години от създаването на НВУ „Васил Левски”, т.4, НВУ “В. Левски”, 14-15 юни 2012 г., с. 147. IBSN 978-954-753-095-9</v>
      </c>
      <c r="F2387" s="10"/>
      <c r="G2387" s="10"/>
      <c r="H2387" s="10"/>
      <c r="I2387" s="10"/>
      <c r="J2387" s="10"/>
      <c r="K2387" s="10"/>
      <c r="L2387" s="10"/>
      <c r="M2387" s="10"/>
      <c r="N2387" s="10"/>
      <c r="O2387" s="10"/>
      <c r="P2387" s="10"/>
      <c r="Q2387" s="10"/>
      <c r="R2387" s="10"/>
      <c r="S2387" s="10"/>
      <c r="T2387" s="10"/>
      <c r="U2387" s="10"/>
      <c r="V2387" s="10"/>
      <c r="W2387" s="10"/>
      <c r="X2387" s="10"/>
      <c r="Y2387" s="10"/>
      <c r="Z2387" s="10"/>
    </row>
    <row r="2388" spans="1:26" ht="12.75">
      <c r="A2388" s="10" t="str">
        <f ca="1">IFERROR(__xludf.DUMMYFUNCTION("""COMPUTED_VALUE"""),"Евгени Петров Манев")</f>
        <v>Евгени Петров Манев</v>
      </c>
      <c r="B2388" s="10" t="str">
        <f ca="1">IFERROR(__xludf.DUMMYFUNCTION("""COMPUTED_VALUE"""),"Доклад от конференция")</f>
        <v>Доклад от конференция</v>
      </c>
      <c r="C2388" s="10" t="str">
        <f ca="1">IFERROR(__xludf.DUMMYFUNCTION("""COMPUTED_VALUE"""),"ГеоКод, култура и национална сигурност")</f>
        <v>ГеоКод, култура и национална сигурност</v>
      </c>
      <c r="D2388" s="10">
        <f ca="1">IFERROR(__xludf.DUMMYFUNCTION("""COMPUTED_VALUE"""),2012)</f>
        <v>2012</v>
      </c>
      <c r="E2388" s="10" t="str">
        <f ca="1">IFERROR(__xludf.DUMMYFUNCTION("""COMPUTED_VALUE"""),"СБОРНИК НАУЧНИ ТРУДОВЕ на НАУЧНА КОНФЕРЕНЦИЯ 2012, - Защита на информацията - състояние и перспективи ©НВУ “В. Левски” – Факултет “Артилерия, ПВО и КИС” Шумен, 7-8.06.2012 г, с/о Jusautor, Shumen, с. 76, ISBN 978-954-9681-49-9")</f>
        <v>СБОРНИК НАУЧНИ ТРУДОВЕ на НАУЧНА КОНФЕРЕНЦИЯ 2012, - Защита на информацията - състояние и перспективи ©НВУ “В. Левски” – Факултет “Артилерия, ПВО и КИС” Шумен, 7-8.06.2012 г, с/о Jusautor, Shumen, с. 76, ISBN 978-954-9681-49-9</v>
      </c>
      <c r="F2388" s="10"/>
      <c r="G2388" s="10"/>
      <c r="H2388" s="10"/>
      <c r="I2388" s="10"/>
      <c r="J2388" s="10"/>
      <c r="K2388" s="10"/>
      <c r="L2388" s="10"/>
      <c r="M2388" s="10"/>
      <c r="N2388" s="10"/>
      <c r="O2388" s="10"/>
      <c r="P2388" s="10"/>
      <c r="Q2388" s="10"/>
      <c r="R2388" s="10"/>
      <c r="S2388" s="10"/>
      <c r="T2388" s="10"/>
      <c r="U2388" s="10"/>
      <c r="V2388" s="10"/>
      <c r="W2388" s="10"/>
      <c r="X2388" s="10"/>
      <c r="Y2388" s="10"/>
      <c r="Z2388" s="10"/>
    </row>
    <row r="2389" spans="1:26" ht="12.75">
      <c r="A2389" s="10" t="str">
        <f ca="1">IFERROR(__xludf.DUMMYFUNCTION("""COMPUTED_VALUE"""),"Евгени Петров Манев")</f>
        <v>Евгени Петров Манев</v>
      </c>
      <c r="B2389" s="10" t="str">
        <f ca="1">IFERROR(__xludf.DUMMYFUNCTION("""COMPUTED_VALUE"""),"Доклад от конференция")</f>
        <v>Доклад от конференция</v>
      </c>
      <c r="C2389" s="10" t="str">
        <f ca="1">IFERROR(__xludf.DUMMYFUNCTION("""COMPUTED_VALUE"""),"Авиацията в геополитическата и стратегическа среда за сигурност")</f>
        <v>Авиацията в геополитическата и стратегическа среда за сигурност</v>
      </c>
      <c r="D2389" s="10">
        <f ca="1">IFERROR(__xludf.DUMMYFUNCTION("""COMPUTED_VALUE"""),2012)</f>
        <v>2012</v>
      </c>
      <c r="E2389" s="10" t="str">
        <f ca="1">IFERROR(__xludf.DUMMYFUNCTION("""COMPUTED_VALUE"""),"Сборник доклади, изнесени на международна научна конференция, на тема „100 години българска авиация“, ЦВК, 11-12.04.2012 г., С., ВИ, с. 46-53, ISBN 978-954-509-479-8")</f>
        <v>Сборник доклади, изнесени на международна научна конференция, на тема „100 години българска авиация“, ЦВК, 11-12.04.2012 г., С., ВИ, с. 46-53, ISBN 978-954-509-479-8</v>
      </c>
      <c r="F2389" s="10"/>
      <c r="G2389" s="10"/>
      <c r="H2389" s="10"/>
      <c r="I2389" s="10"/>
      <c r="J2389" s="10"/>
      <c r="K2389" s="10"/>
      <c r="L2389" s="10"/>
      <c r="M2389" s="10"/>
      <c r="N2389" s="10"/>
      <c r="O2389" s="10"/>
      <c r="P2389" s="10"/>
      <c r="Q2389" s="10"/>
      <c r="R2389" s="10"/>
      <c r="S2389" s="10"/>
      <c r="T2389" s="10"/>
      <c r="U2389" s="10"/>
      <c r="V2389" s="10"/>
      <c r="W2389" s="10"/>
      <c r="X2389" s="10"/>
      <c r="Y2389" s="10"/>
      <c r="Z2389" s="10"/>
    </row>
    <row r="2390" spans="1:26" ht="12.75">
      <c r="A2390" s="10" t="str">
        <f ca="1">IFERROR(__xludf.DUMMYFUNCTION("""COMPUTED_VALUE"""),"Евгени Петров Манев")</f>
        <v>Евгени Петров Манев</v>
      </c>
      <c r="B2390" s="10" t="str">
        <f ca="1">IFERROR(__xludf.DUMMYFUNCTION("""COMPUTED_VALUE"""),"Доклад от конференция")</f>
        <v>Доклад от конференция</v>
      </c>
      <c r="C2390" s="10" t="str">
        <f ca="1">IFERROR(__xludf.DUMMYFUNCTION("""COMPUTED_VALUE"""),"Исторически корени и ролята на държавата ни за създаване на българската авиация")</f>
        <v>Исторически корени и ролята на държавата ни за създаване на българската авиация</v>
      </c>
      <c r="D2390" s="10">
        <f ca="1">IFERROR(__xludf.DUMMYFUNCTION("""COMPUTED_VALUE"""),2011)</f>
        <v>2011</v>
      </c>
      <c r="E2390" s="10" t="str">
        <f ca="1">IFERROR(__xludf.DUMMYFUNCTION("""COMPUTED_VALUE"""),"Сборник с доклади и презентации от НК с международно участие на тема „100 години българска авиация: минало, настояще и бъдеще на българската авиация”, Пловдив, 02.09.2011, с.13-30, ISBN 978-954-509-458-3")</f>
        <v>Сборник с доклади и презентации от НК с международно участие на тема „100 години българска авиация: минало, настояще и бъдеще на българската авиация”, Пловдив, 02.09.2011, с.13-30, ISBN 978-954-509-458-3</v>
      </c>
      <c r="F2390" s="10"/>
      <c r="G2390" s="10"/>
      <c r="H2390" s="10"/>
      <c r="I2390" s="10"/>
      <c r="J2390" s="10"/>
      <c r="K2390" s="10"/>
      <c r="L2390" s="10"/>
      <c r="M2390" s="10"/>
      <c r="N2390" s="10"/>
      <c r="O2390" s="10"/>
      <c r="P2390" s="10"/>
      <c r="Q2390" s="10"/>
      <c r="R2390" s="10"/>
      <c r="S2390" s="10"/>
      <c r="T2390" s="10"/>
      <c r="U2390" s="10"/>
      <c r="V2390" s="10"/>
      <c r="W2390" s="10"/>
      <c r="X2390" s="10"/>
      <c r="Y2390" s="10"/>
      <c r="Z2390" s="10"/>
    </row>
    <row r="2391" spans="1:26" ht="12.75">
      <c r="A2391" s="10" t="str">
        <f ca="1">IFERROR(__xludf.DUMMYFUNCTION("""COMPUTED_VALUE"""),"Евгени Петров Манев")</f>
        <v>Евгени Петров Манев</v>
      </c>
      <c r="B2391" s="10" t="str">
        <f ca="1">IFERROR(__xludf.DUMMYFUNCTION("""COMPUTED_VALUE"""),"Доклад от конференция")</f>
        <v>Доклад от конференция</v>
      </c>
      <c r="C2391" s="10" t="str">
        <f ca="1">IFERROR(__xludf.DUMMYFUNCTION("""COMPUTED_VALUE"""),"Доколко националната сигурност е национална?")</f>
        <v>Доколко националната сигурност е национална?</v>
      </c>
      <c r="D2391" s="10">
        <f ca="1">IFERROR(__xludf.DUMMYFUNCTION("""COMPUTED_VALUE"""),2011)</f>
        <v>2011</v>
      </c>
      <c r="E2391" s="10" t="str">
        <f ca="1">IFERROR(__xludf.DUMMYFUNCTION("""COMPUTED_VALUE"""),"Научна сесия 2011, Сборник научни трудове, част II, НВУ „В. Левски”, Факултет Артилерия, ПВО и КИС”, 03-04.11.2011, с.215-223. ISSN 1313-7433")</f>
        <v>Научна сесия 2011, Сборник научни трудове, част II, НВУ „В. Левски”, Факултет Артилерия, ПВО и КИС”, 03-04.11.2011, с.215-223. ISSN 1313-7433</v>
      </c>
      <c r="F2391" s="10"/>
      <c r="G2391" s="10"/>
      <c r="H2391" s="10"/>
      <c r="I2391" s="10"/>
      <c r="J2391" s="10"/>
      <c r="K2391" s="10"/>
      <c r="L2391" s="10"/>
      <c r="M2391" s="10"/>
      <c r="N2391" s="10"/>
      <c r="O2391" s="10"/>
      <c r="P2391" s="10"/>
      <c r="Q2391" s="10"/>
      <c r="R2391" s="10"/>
      <c r="S2391" s="10"/>
      <c r="T2391" s="10"/>
      <c r="U2391" s="10"/>
      <c r="V2391" s="10"/>
      <c r="W2391" s="10"/>
      <c r="X2391" s="10"/>
      <c r="Y2391" s="10"/>
      <c r="Z2391" s="10"/>
    </row>
    <row r="2392" spans="1:26" ht="12.75">
      <c r="A2392" s="10" t="str">
        <f ca="1">IFERROR(__xludf.DUMMYFUNCTION("""COMPUTED_VALUE"""),"Евгени Петров Манев")</f>
        <v>Евгени Петров Манев</v>
      </c>
      <c r="B2392" s="10" t="str">
        <f ca="1">IFERROR(__xludf.DUMMYFUNCTION("""COMPUTED_VALUE"""),"Доклад от конференция")</f>
        <v>Доклад от конференция</v>
      </c>
      <c r="C2392" s="10" t="str">
        <f ca="1">IFERROR(__xludf.DUMMYFUNCTION("""COMPUTED_VALUE"""),"Информационното общество и корупция в макроупавлението в държавата")</f>
        <v>Информационното общество и корупция в макроупавлението в държавата</v>
      </c>
      <c r="D2392" s="10">
        <f ca="1">IFERROR(__xludf.DUMMYFUNCTION("""COMPUTED_VALUE"""),2011)</f>
        <v>2011</v>
      </c>
      <c r="E2392" s="10" t="str">
        <f ca="1">IFERROR(__xludf.DUMMYFUNCTION("""COMPUTED_VALUE"""),"Научна сесия 2011, Сборник научни трудове, част II, НВУ „В. Левски”, Факултет Артилерия, ПВУ и КИС”, 03-04.11.2011, с. 233-240. ISSN 1313-7433")</f>
        <v>Научна сесия 2011, Сборник научни трудове, част II, НВУ „В. Левски”, Факултет Артилерия, ПВУ и КИС”, 03-04.11.2011, с. 233-240. ISSN 1313-7433</v>
      </c>
      <c r="F2392" s="10"/>
      <c r="G2392" s="10"/>
      <c r="H2392" s="10"/>
      <c r="I2392" s="10"/>
      <c r="J2392" s="10"/>
      <c r="K2392" s="10"/>
      <c r="L2392" s="10"/>
      <c r="M2392" s="10"/>
      <c r="N2392" s="10"/>
      <c r="O2392" s="10"/>
      <c r="P2392" s="10"/>
      <c r="Q2392" s="10"/>
      <c r="R2392" s="10"/>
      <c r="S2392" s="10"/>
      <c r="T2392" s="10"/>
      <c r="U2392" s="10"/>
      <c r="V2392" s="10"/>
      <c r="W2392" s="10"/>
      <c r="X2392" s="10"/>
      <c r="Y2392" s="10"/>
      <c r="Z2392" s="10"/>
    </row>
    <row r="2393" spans="1:26" ht="12.75">
      <c r="A2393" s="10" t="str">
        <f ca="1">IFERROR(__xludf.DUMMYFUNCTION("""COMPUTED_VALUE"""),"Евгени Петров Манев")</f>
        <v>Евгени Петров Манев</v>
      </c>
      <c r="B2393" s="10" t="str">
        <f ca="1">IFERROR(__xludf.DUMMYFUNCTION("""COMPUTED_VALUE"""),"Доклад от конференция")</f>
        <v>Доклад от конференция</v>
      </c>
      <c r="C2393" s="10" t="str">
        <f ca="1">IFERROR(__xludf.DUMMYFUNCTION("""COMPUTED_VALUE"""),"Икономически аспекти на националната сигурност в информационното общество")</f>
        <v>Икономически аспекти на националната сигурност в информационното общество</v>
      </c>
      <c r="D2393" s="10">
        <f ca="1">IFERROR(__xludf.DUMMYFUNCTION("""COMPUTED_VALUE"""),2011)</f>
        <v>2011</v>
      </c>
      <c r="E2393" s="10" t="str">
        <f ca="1">IFERROR(__xludf.DUMMYFUNCTION("""COMPUTED_VALUE"""),"Научна сесия 2011, Сборник научни трудове, част II, НВУ „В. Левски”, Факултет Артилерия, ПВО и КИС”, 03-04.11.2011, с. 224-232. ISSN 1313-7433")</f>
        <v>Научна сесия 2011, Сборник научни трудове, част II, НВУ „В. Левски”, Факултет Артилерия, ПВО и КИС”, 03-04.11.2011, с. 224-232. ISSN 1313-7433</v>
      </c>
      <c r="F2393" s="10"/>
      <c r="G2393" s="10"/>
      <c r="H2393" s="10"/>
      <c r="I2393" s="10"/>
      <c r="J2393" s="10"/>
      <c r="K2393" s="10"/>
      <c r="L2393" s="10"/>
      <c r="M2393" s="10"/>
      <c r="N2393" s="10"/>
      <c r="O2393" s="10"/>
      <c r="P2393" s="10"/>
      <c r="Q2393" s="10"/>
      <c r="R2393" s="10"/>
      <c r="S2393" s="10"/>
      <c r="T2393" s="10"/>
      <c r="U2393" s="10"/>
      <c r="V2393" s="10"/>
      <c r="W2393" s="10"/>
      <c r="X2393" s="10"/>
      <c r="Y2393" s="10"/>
      <c r="Z2393" s="10"/>
    </row>
    <row r="2394" spans="1:26" ht="12.75">
      <c r="A2394" s="10" t="str">
        <f ca="1">IFERROR(__xludf.DUMMYFUNCTION("""COMPUTED_VALUE"""),"Евгени Петров Манев")</f>
        <v>Евгени Петров Манев</v>
      </c>
      <c r="B2394" s="10" t="str">
        <f ca="1">IFERROR(__xludf.DUMMYFUNCTION("""COMPUTED_VALUE"""),"Статия в списания и поредици")</f>
        <v>Статия в списания и поредици</v>
      </c>
      <c r="C2394" s="10" t="str">
        <f ca="1">IFERROR(__xludf.DUMMYFUNCTION("""COMPUTED_VALUE"""),"Operational Analysis in Support of armed forces transformation: the role of organizational culture")</f>
        <v>Operational Analysis in Support of armed forces transformation: the role of organizational culture</v>
      </c>
      <c r="D2394" s="10">
        <f ca="1">IFERROR(__xludf.DUMMYFUNCTION("""COMPUTED_VALUE"""),2009)</f>
        <v>2009</v>
      </c>
      <c r="E2394" s="10" t="str">
        <f ca="1">IFERROR(__xludf.DUMMYFUNCTION("""COMPUTED_VALUE"""),"Information and Security: Analytical Support of Transformation, An International Journal, Volume 23, Number 2, 2009 , p. 163-174, ISSN 1311-1493.")</f>
        <v>Information and Security: Analytical Support of Transformation, An International Journal, Volume 23, Number 2, 2009 , p. 163-174, ISSN 1311-1493.</v>
      </c>
      <c r="F2394" s="10"/>
      <c r="G2394" s="10"/>
      <c r="H2394" s="10"/>
      <c r="I2394" s="10"/>
      <c r="J2394" s="10"/>
      <c r="K2394" s="10"/>
      <c r="L2394" s="10"/>
      <c r="M2394" s="10"/>
      <c r="N2394" s="10"/>
      <c r="O2394" s="10"/>
      <c r="P2394" s="10"/>
      <c r="Q2394" s="10"/>
      <c r="R2394" s="10"/>
      <c r="S2394" s="10"/>
      <c r="T2394" s="10"/>
      <c r="U2394" s="10"/>
      <c r="V2394" s="10"/>
      <c r="W2394" s="10"/>
      <c r="X2394" s="10"/>
      <c r="Y2394" s="10"/>
      <c r="Z2394" s="10"/>
    </row>
    <row r="2395" spans="1:26" ht="12.75">
      <c r="A2395" s="10" t="str">
        <f ca="1">IFERROR(__xludf.DUMMYFUNCTION("""COMPUTED_VALUE"""),"Евгени Петров Манев")</f>
        <v>Евгени Петров Манев</v>
      </c>
      <c r="B2395" s="10" t="str">
        <f ca="1">IFERROR(__xludf.DUMMYFUNCTION("""COMPUTED_VALUE"""),"Доклад от конференция")</f>
        <v>Доклад от конференция</v>
      </c>
      <c r="C2395" s="10" t="str">
        <f ca="1">IFERROR(__xludf.DUMMYFUNCTION("""COMPUTED_VALUE"""),"Модел за изграждане на мениджърски умения")</f>
        <v>Модел за изграждане на мениджърски умения</v>
      </c>
      <c r="D2395" s="10">
        <f ca="1">IFERROR(__xludf.DUMMYFUNCTION("""COMPUTED_VALUE"""),2008)</f>
        <v>2008</v>
      </c>
      <c r="E2395" s="10" t="str">
        <f ca="1">IFERROR(__xludf.DUMMYFUNCTION("""COMPUTED_VALUE"""),"НВУ”В. Левски“, Факултет „Артилерия, ПВО и КИС“, , Шумен, Научна сесия 09-10.10.2008 г., секция „Обществени науки“, ISBN 954-9681")</f>
        <v>НВУ”В. Левски“, Факултет „Артилерия, ПВО и КИС“, , Шумен, Научна сесия 09-10.10.2008 г., секция „Обществени науки“, ISBN 954-9681</v>
      </c>
      <c r="F2395" s="10"/>
      <c r="G2395" s="10"/>
      <c r="H2395" s="10"/>
      <c r="I2395" s="10"/>
      <c r="J2395" s="10"/>
      <c r="K2395" s="10"/>
      <c r="L2395" s="10"/>
      <c r="M2395" s="10"/>
      <c r="N2395" s="10"/>
      <c r="O2395" s="10"/>
      <c r="P2395" s="10"/>
      <c r="Q2395" s="10"/>
      <c r="R2395" s="10"/>
      <c r="S2395" s="10"/>
      <c r="T2395" s="10"/>
      <c r="U2395" s="10"/>
      <c r="V2395" s="10"/>
      <c r="W2395" s="10"/>
      <c r="X2395" s="10"/>
      <c r="Y2395" s="10"/>
      <c r="Z2395" s="10"/>
    </row>
    <row r="2396" spans="1:26" ht="12.75">
      <c r="A2396" s="10" t="str">
        <f ca="1">IFERROR(__xludf.DUMMYFUNCTION("""COMPUTED_VALUE"""),"Евгени Петров Манев")</f>
        <v>Евгени Петров Манев</v>
      </c>
      <c r="B2396" s="10" t="str">
        <f ca="1">IFERROR(__xludf.DUMMYFUNCTION("""COMPUTED_VALUE"""),"Доклад от конференция")</f>
        <v>Доклад от конференция</v>
      </c>
      <c r="C2396" s="10" t="str">
        <f ca="1">IFERROR(__xludf.DUMMYFUNCTION("""COMPUTED_VALUE"""),"Етапи на изграждане на съвременни лидери")</f>
        <v>Етапи на изграждане на съвременни лидери</v>
      </c>
      <c r="D2396" s="10">
        <f ca="1">IFERROR(__xludf.DUMMYFUNCTION("""COMPUTED_VALUE"""),2008)</f>
        <v>2008</v>
      </c>
      <c r="E2396" s="10" t="str">
        <f ca="1">IFERROR(__xludf.DUMMYFUNCTION("""COMPUTED_VALUE"""),"НВУ”В. Левски“, Факултет „Артилерия, ПВО и КИС“, , Шумен, Научна сесия 09-10.10.2008 г., секция „Обществени науки“, ISBN 954-9681")</f>
        <v>НВУ”В. Левски“, Факултет „Артилерия, ПВО и КИС“, , Шумен, Научна сесия 09-10.10.2008 г., секция „Обществени науки“, ISBN 954-9681</v>
      </c>
      <c r="F2396" s="10"/>
      <c r="G2396" s="10" t="str">
        <f ca="1">IFERROR(__xludf.DUMMYFUNCTION("""COMPUTED_VALUE"""),"проф.д ик.н.Гошо Петков")</f>
        <v>проф.д ик.н.Гошо Петков</v>
      </c>
      <c r="H2396" s="10"/>
      <c r="I2396" s="10"/>
      <c r="J2396" s="10"/>
      <c r="K2396" s="10"/>
      <c r="L2396" s="10"/>
      <c r="M2396" s="10"/>
      <c r="N2396" s="10"/>
      <c r="O2396" s="10"/>
      <c r="P2396" s="10"/>
      <c r="Q2396" s="10"/>
      <c r="R2396" s="10"/>
      <c r="S2396" s="10"/>
      <c r="T2396" s="10"/>
      <c r="U2396" s="10"/>
      <c r="V2396" s="10"/>
      <c r="W2396" s="10"/>
      <c r="X2396" s="10"/>
      <c r="Y2396" s="10"/>
      <c r="Z2396" s="10"/>
    </row>
    <row r="2397" spans="1:26" ht="12.75">
      <c r="A2397" s="10" t="str">
        <f ca="1">IFERROR(__xludf.DUMMYFUNCTION("""COMPUTED_VALUE"""),"Евгени Петров Манев")</f>
        <v>Евгени Петров Манев</v>
      </c>
      <c r="B2397" s="10" t="str">
        <f ca="1">IFERROR(__xludf.DUMMYFUNCTION("""COMPUTED_VALUE"""),"Доклад от конференция")</f>
        <v>Доклад от конференция</v>
      </c>
      <c r="C2397" s="10" t="str">
        <f ca="1">IFERROR(__xludf.DUMMYFUNCTION("""COMPUTED_VALUE"""),"Състояние на ВА „Г. С. Раковски”")</f>
        <v>Състояние на ВА „Г. С. Раковски”</v>
      </c>
      <c r="D2397" s="10">
        <f ca="1">IFERROR(__xludf.DUMMYFUNCTION("""COMPUTED_VALUE"""),2008)</f>
        <v>2008</v>
      </c>
      <c r="E2397" s="10" t="str">
        <f ca="1">IFERROR(__xludf.DUMMYFUNCTION("""COMPUTED_VALUE"""),"Служебна бележка от ВА „Г. С. Раковски“, Рег. № СИ–29-2252/18.02.2019 г., 14 страници Кръгла маса, ВА „Г. С. Раковски”, февруари 2008 г.")</f>
        <v>Служебна бележка от ВА „Г. С. Раковски“, Рег. № СИ–29-2252/18.02.2019 г., 14 страници Кръгла маса, ВА „Г. С. Раковски”, февруари 2008 г.</v>
      </c>
      <c r="F2397" s="10"/>
      <c r="G2397" s="10"/>
      <c r="H2397" s="10"/>
      <c r="I2397" s="10"/>
      <c r="J2397" s="10"/>
      <c r="K2397" s="10"/>
      <c r="L2397" s="10"/>
      <c r="M2397" s="10"/>
      <c r="N2397" s="10"/>
      <c r="O2397" s="10"/>
      <c r="P2397" s="10"/>
      <c r="Q2397" s="10"/>
      <c r="R2397" s="10"/>
      <c r="S2397" s="10"/>
      <c r="T2397" s="10"/>
      <c r="U2397" s="10"/>
      <c r="V2397" s="10"/>
      <c r="W2397" s="10"/>
      <c r="X2397" s="10"/>
      <c r="Y2397" s="10"/>
      <c r="Z2397" s="10"/>
    </row>
    <row r="2398" spans="1:26" ht="12.75">
      <c r="A2398" s="10" t="str">
        <f ca="1">IFERROR(__xludf.DUMMYFUNCTION("""COMPUTED_VALUE"""),"Евгени Петров Манев")</f>
        <v>Евгени Петров Манев</v>
      </c>
      <c r="B2398" s="10" t="str">
        <f ca="1">IFERROR(__xludf.DUMMYFUNCTION("""COMPUTED_VALUE"""),"Статия в списания и поредици")</f>
        <v>Статия в списания и поредици</v>
      </c>
      <c r="C2398" s="10" t="str">
        <f ca="1">IFERROR(__xludf.DUMMYFUNCTION("""COMPUTED_VALUE"""),"Направления за усъвършенстване физическата готовност на кадровите военнослужещи от Българската армия")</f>
        <v>Направления за усъвършенстване физическата готовност на кадровите военнослужещи от Българската армия</v>
      </c>
      <c r="D2398" s="10">
        <f ca="1">IFERROR(__xludf.DUMMYFUNCTION("""COMPUTED_VALUE"""),2007)</f>
        <v>2007</v>
      </c>
      <c r="E2398" s="10" t="str">
        <f ca="1">IFERROR(__xludf.DUMMYFUNCTION("""COMPUTED_VALUE"""),"С., сп. Военен журнал, 3/2007 г; стр. 51 - 63. Военен журнал, 3/2007 г; стр. 66 – 74, ISSN 0861-7392")</f>
        <v>С., сп. Военен журнал, 3/2007 г; стр. 51 - 63. Военен журнал, 3/2007 г; стр. 66 – 74, ISSN 0861-7392</v>
      </c>
      <c r="F2398" s="10"/>
      <c r="G2398" s="10" t="str">
        <f ca="1">IFERROR(__xludf.DUMMYFUNCTION("""COMPUTED_VALUE"""),"доц.д-р Николай Колев")</f>
        <v>доц.д-р Николай Колев</v>
      </c>
      <c r="H2398" s="10"/>
      <c r="I2398" s="10"/>
      <c r="J2398" s="10"/>
      <c r="K2398" s="10"/>
      <c r="L2398" s="10"/>
      <c r="M2398" s="10"/>
      <c r="N2398" s="10"/>
      <c r="O2398" s="10"/>
      <c r="P2398" s="10"/>
      <c r="Q2398" s="10"/>
      <c r="R2398" s="10"/>
      <c r="S2398" s="10"/>
      <c r="T2398" s="10"/>
      <c r="U2398" s="10"/>
      <c r="V2398" s="10"/>
      <c r="W2398" s="10"/>
      <c r="X2398" s="10"/>
      <c r="Y2398" s="10"/>
      <c r="Z2398" s="10"/>
    </row>
    <row r="2399" spans="1:26" ht="12.75">
      <c r="A2399" s="10" t="str">
        <f ca="1">IFERROR(__xludf.DUMMYFUNCTION("""COMPUTED_VALUE"""),"Евгени Петров Манев")</f>
        <v>Евгени Петров Манев</v>
      </c>
      <c r="B2399" s="10" t="str">
        <f ca="1">IFERROR(__xludf.DUMMYFUNCTION("""COMPUTED_VALUE"""),"Доклад от конференция")</f>
        <v>Доклад от конференция</v>
      </c>
      <c r="C2399" s="10" t="str">
        <f ca="1">IFERROR(__xludf.DUMMYFUNCTION("""COMPUTED_VALUE"""),"Военна авиационна безопасност – необходими решения")</f>
        <v>Военна авиационна безопасност – необходими решения</v>
      </c>
      <c r="D2399" s="10">
        <f ca="1">IFERROR(__xludf.DUMMYFUNCTION("""COMPUTED_VALUE"""),2007)</f>
        <v>2007</v>
      </c>
      <c r="E2399" s="10" t="str">
        <f ca="1">IFERROR(__xludf.DUMMYFUNCTION("""COMPUTED_VALUE"""),"Служебна бележка от ВА „Г. С. Раковски” рег. Номер 29-2252/18.02.2019 г., подписана от Зам.-началника на ВА „ Г. С. Раковски“ по учебната и научна част полк. доц. д-р Г. Бахчеванов. НК, „Привеждане на авиационната безопасност в съответствие с изискванията"&amp;" на НАТО – основен фактор от политиката на Министерството на отбраната на Р България”, С., 25.11.2006 г.")</f>
        <v>Служебна бележка от ВА „Г. С. Раковски” рег. Номер 29-2252/18.02.2019 г., подписана от Зам.-началника на ВА „ Г. С. Раковски“ по учебната и научна част полк. доц. д-р Г. Бахчеванов. НК, „Привеждане на авиационната безопасност в съответствие с изискванията на НАТО – основен фактор от политиката на Министерството на отбраната на Р България”, С., 25.11.2006 г.</v>
      </c>
      <c r="F2399" s="10"/>
      <c r="G2399" s="10"/>
      <c r="H2399" s="10"/>
      <c r="I2399" s="10"/>
      <c r="J2399" s="10"/>
      <c r="K2399" s="10"/>
      <c r="L2399" s="10"/>
      <c r="M2399" s="10"/>
      <c r="N2399" s="10"/>
      <c r="O2399" s="10"/>
      <c r="P2399" s="10"/>
      <c r="Q2399" s="10"/>
      <c r="R2399" s="10"/>
      <c r="S2399" s="10"/>
      <c r="T2399" s="10"/>
      <c r="U2399" s="10"/>
      <c r="V2399" s="10"/>
      <c r="W2399" s="10"/>
      <c r="X2399" s="10"/>
      <c r="Y2399" s="10"/>
      <c r="Z2399" s="10"/>
    </row>
    <row r="2400" spans="1:26" ht="12.75">
      <c r="A2400" s="10" t="str">
        <f ca="1">IFERROR(__xludf.DUMMYFUNCTION("""COMPUTED_VALUE"""),"Евгени Петров Манев")</f>
        <v>Евгени Петров Манев</v>
      </c>
      <c r="B2400" s="10" t="str">
        <f ca="1">IFERROR(__xludf.DUMMYFUNCTION("""COMPUTED_VALUE"""),"Доклад от конференция")</f>
        <v>Доклад от конференция</v>
      </c>
      <c r="C2400" s="10" t="str">
        <f ca="1">IFERROR(__xludf.DUMMYFUNCTION("""COMPUTED_VALUE"""),"Съвременните въоръжени конфликти и необходимостта от резерви за въоръжените сили.")</f>
        <v>Съвременните въоръжени конфликти и необходимостта от резерви за въоръжените сили.</v>
      </c>
      <c r="D2400" s="10">
        <f ca="1">IFERROR(__xludf.DUMMYFUNCTION("""COMPUTED_VALUE"""),2007)</f>
        <v>2007</v>
      </c>
      <c r="E2400" s="10" t="str">
        <f ca="1">IFERROR(__xludf.DUMMYFUNCTION("""COMPUTED_VALUE"""),"Служебна бележка изх. N 272 /23.11.2007 г., подписана от Председателя на ЦС на СОСЗР НК с МУ, „Ролята на офицерите от резерва за поддържане резервните сили на армиите от страните членки на НАТО”, страници – 16")</f>
        <v>Служебна бележка изх. N 272 /23.11.2007 г., подписана от Председателя на ЦС на СОСЗР НК с МУ, „Ролята на офицерите от резерва за поддържане резервните сили на армиите от страните членки на НАТО”, страници – 16</v>
      </c>
      <c r="F2400" s="10"/>
      <c r="G2400" s="10" t="str">
        <f ca="1">IFERROR(__xludf.DUMMYFUNCTION("""COMPUTED_VALUE"""),"Васил Тотев")</f>
        <v>Васил Тотев</v>
      </c>
      <c r="H2400" s="10"/>
      <c r="I2400" s="10"/>
      <c r="J2400" s="10"/>
      <c r="K2400" s="10"/>
      <c r="L2400" s="10"/>
      <c r="M2400" s="10"/>
      <c r="N2400" s="10"/>
      <c r="O2400" s="10"/>
      <c r="P2400" s="10"/>
      <c r="Q2400" s="10"/>
      <c r="R2400" s="10"/>
      <c r="S2400" s="10"/>
      <c r="T2400" s="10"/>
      <c r="U2400" s="10"/>
      <c r="V2400" s="10"/>
      <c r="W2400" s="10"/>
      <c r="X2400" s="10"/>
      <c r="Y2400" s="10"/>
      <c r="Z2400" s="10"/>
    </row>
    <row r="2401" spans="1:26" ht="12.75">
      <c r="A2401" s="10" t="str">
        <f ca="1">IFERROR(__xludf.DUMMYFUNCTION("""COMPUTED_VALUE"""),"Евгени Петров Манев")</f>
        <v>Евгени Петров Манев</v>
      </c>
      <c r="B2401" s="10" t="str">
        <f ca="1">IFERROR(__xludf.DUMMYFUNCTION("""COMPUTED_VALUE"""),"Доклад от конференция")</f>
        <v>Доклад от конференция</v>
      </c>
      <c r="C2401" s="10" t="str">
        <f ca="1">IFERROR(__xludf.DUMMYFUNCTION("""COMPUTED_VALUE"""),"Различия в образователните среди, според перцепциите на преподавателите.")</f>
        <v>Различия в образователните среди, според перцепциите на преподавателите.</v>
      </c>
      <c r="D2401" s="10">
        <f ca="1">IFERROR(__xludf.DUMMYFUNCTION("""COMPUTED_VALUE"""),2007)</f>
        <v>2007</v>
      </c>
      <c r="E2401" s="10" t="str">
        <f ca="1">IFERROR(__xludf.DUMMYFUNCTION("""COMPUTED_VALUE"""),"ВСУ ”Черноризец храбър”, В., 22.05.2007, НК Приложна психология, с. 56-69, ISBN 978-954-715-391-2")</f>
        <v>ВСУ ”Черноризец храбър”, В., 22.05.2007, НК Приложна психология, с. 56-69, ISBN 978-954-715-391-2</v>
      </c>
      <c r="F2401" s="10"/>
      <c r="G2401" s="10" t="str">
        <f ca="1">IFERROR(__xludf.DUMMYFUNCTION("""COMPUTED_VALUE"""),"Гошо Петков")</f>
        <v>Гошо Петков</v>
      </c>
      <c r="H2401" s="10"/>
      <c r="I2401" s="10"/>
      <c r="J2401" s="10"/>
      <c r="K2401" s="10"/>
      <c r="L2401" s="10"/>
      <c r="M2401" s="10"/>
      <c r="N2401" s="10"/>
      <c r="O2401" s="10"/>
      <c r="P2401" s="10"/>
      <c r="Q2401" s="10"/>
      <c r="R2401" s="10"/>
      <c r="S2401" s="10"/>
      <c r="T2401" s="10"/>
      <c r="U2401" s="10"/>
      <c r="V2401" s="10"/>
      <c r="W2401" s="10"/>
      <c r="X2401" s="10"/>
      <c r="Y2401" s="10"/>
      <c r="Z2401" s="10"/>
    </row>
    <row r="2402" spans="1:26" ht="12.75">
      <c r="A2402" s="10" t="str">
        <f ca="1">IFERROR(__xludf.DUMMYFUNCTION("""COMPUTED_VALUE"""),"Евгени Петров Манев")</f>
        <v>Евгени Петров Манев</v>
      </c>
      <c r="B2402" s="10" t="str">
        <f ca="1">IFERROR(__xludf.DUMMYFUNCTION("""COMPUTED_VALUE"""),"Доклад от конференция")</f>
        <v>Доклад от конференция</v>
      </c>
      <c r="C2402" s="10" t="str">
        <f ca="1">IFERROR(__xludf.DUMMYFUNCTION("""COMPUTED_VALUE"""),"Операционния анализ в подкрепа на трансформацията на въоръжените сили: роля на организационната култура")</f>
        <v>Операционния анализ в подкрепа на трансформацията на въоръжените сили: роля на организационната култура</v>
      </c>
      <c r="D2402" s="10">
        <f ca="1">IFERROR(__xludf.DUMMYFUNCTION("""COMPUTED_VALUE"""),2007)</f>
        <v>2007</v>
      </c>
      <c r="E2402" s="10" t="str">
        <f ca="1">IFERROR(__xludf.DUMMYFUNCTION("""COMPUTED_VALUE"""),"Сл. Бележка 03.12.2007 г, С., ПРОКОН ООД, НК с МУ,")</f>
        <v>Сл. Бележка 03.12.2007 г, С., ПРОКОН ООД, НК с МУ,</v>
      </c>
      <c r="F2402" s="10"/>
      <c r="G2402" s="10"/>
      <c r="H2402" s="10"/>
      <c r="I2402" s="10"/>
      <c r="J2402" s="10"/>
      <c r="K2402" s="10"/>
      <c r="L2402" s="10"/>
      <c r="M2402" s="10"/>
      <c r="N2402" s="10"/>
      <c r="O2402" s="10"/>
      <c r="P2402" s="10"/>
      <c r="Q2402" s="10"/>
      <c r="R2402" s="10"/>
      <c r="S2402" s="10"/>
      <c r="T2402" s="10"/>
      <c r="U2402" s="10"/>
      <c r="V2402" s="10"/>
      <c r="W2402" s="10"/>
      <c r="X2402" s="10"/>
      <c r="Y2402" s="10"/>
      <c r="Z2402" s="10"/>
    </row>
    <row r="2403" spans="1:26" ht="12.75">
      <c r="A2403" s="10" t="str">
        <f ca="1">IFERROR(__xludf.DUMMYFUNCTION("""COMPUTED_VALUE"""),"Евгени Петров Манев")</f>
        <v>Евгени Петров Манев</v>
      </c>
      <c r="B2403" s="10" t="str">
        <f ca="1">IFERROR(__xludf.DUMMYFUNCTION("""COMPUTED_VALUE"""),"Доклад от конференция")</f>
        <v>Доклад от конференция</v>
      </c>
      <c r="C2403" s="10" t="str">
        <f ca="1">IFERROR(__xludf.DUMMYFUNCTION("""COMPUTED_VALUE"""),"Развитие на информационните технологии и иновации за отбраната и сигурността")</f>
        <v>Развитие на информационните технологии и иновации за отбраната и сигурността</v>
      </c>
      <c r="D2403" s="10">
        <f ca="1">IFERROR(__xludf.DUMMYFUNCTION("""COMPUTED_VALUE"""),2007)</f>
        <v>2007</v>
      </c>
      <c r="E2403" s="10" t="str">
        <f ca="1">IFERROR(__xludf.DUMMYFUNCTION("""COMPUTED_VALUE"""),"НК „Европейската интеграция, младежта на България и иновационното и информационно общество”, Сборник на младежко иновационно и информационно общество АБ, С., 2007, с. 37-44, ISBN 978-954-90513-2-2")</f>
        <v>НК „Европейската интеграция, младежта на България и иновационното и информационно общество”, Сборник на младежко иновационно и информационно общество АБ, С., 2007, с. 37-44, ISBN 978-954-90513-2-2</v>
      </c>
      <c r="F2403" s="10"/>
      <c r="G2403" s="10"/>
      <c r="H2403" s="10"/>
      <c r="I2403" s="10"/>
      <c r="J2403" s="10"/>
      <c r="K2403" s="10"/>
      <c r="L2403" s="10"/>
      <c r="M2403" s="10"/>
      <c r="N2403" s="10"/>
      <c r="O2403" s="10"/>
      <c r="P2403" s="10"/>
      <c r="Q2403" s="10"/>
      <c r="R2403" s="10"/>
      <c r="S2403" s="10"/>
      <c r="T2403" s="10"/>
      <c r="U2403" s="10"/>
      <c r="V2403" s="10"/>
      <c r="W2403" s="10"/>
      <c r="X2403" s="10"/>
      <c r="Y2403" s="10"/>
      <c r="Z2403" s="10"/>
    </row>
    <row r="2404" spans="1:26" ht="12.75">
      <c r="A2404" s="10" t="str">
        <f ca="1">IFERROR(__xludf.DUMMYFUNCTION("""COMPUTED_VALUE"""),"Евгени Петров Манев")</f>
        <v>Евгени Петров Манев</v>
      </c>
      <c r="B2404" s="10" t="str">
        <f ca="1">IFERROR(__xludf.DUMMYFUNCTION("""COMPUTED_VALUE"""),"Доклад от конференция")</f>
        <v>Доклад от конференция</v>
      </c>
      <c r="C2404" s="10" t="str">
        <f ca="1">IFERROR(__xludf.DUMMYFUNCTION("""COMPUTED_VALUE"""),"Концепция за основните положения на проект за закон за Резерва на въоръжените сили на Република България")</f>
        <v>Концепция за основните положения на проект за закон за Резерва на въоръжените сили на Република България</v>
      </c>
      <c r="D2404" s="10">
        <f ca="1">IFERROR(__xludf.DUMMYFUNCTION("""COMPUTED_VALUE"""),2007)</f>
        <v>2007</v>
      </c>
      <c r="E2404" s="10" t="str">
        <f ca="1">IFERROR(__xludf.DUMMYFUNCTION("""COMPUTED_VALUE"""),"Удостоверение N. 023/05.12.2007 г, подписано от Председателя на Атлантическия клуб в България проф. Л. Иванов. Обществена дискусия на тема Концепция за основните положения на проекта за закон за резерва на ВС на Република България в Народното събрание на "&amp;"Р България, С., 29.11.2007 г., Асоциация колеж по отбраната на НАТО – България, доклада е 5 стр., www.nacca-bg.org")</f>
        <v>Удостоверение N. 023/05.12.2007 г, подписано от Председателя на Атлантическия клуб в България проф. Л. Иванов. Обществена дискусия на тема Концепция за основните положения на проекта за закон за резерва на ВС на Република България в Народното събрание на Р България, С., 29.11.2007 г., Асоциация колеж по отбраната на НАТО – България, доклада е 5 стр., www.nacca-bg.org</v>
      </c>
      <c r="F2404" s="10"/>
      <c r="G2404" s="10"/>
      <c r="H2404" s="10"/>
      <c r="I2404" s="10"/>
      <c r="J2404" s="10"/>
      <c r="K2404" s="10"/>
      <c r="L2404" s="10"/>
      <c r="M2404" s="10"/>
      <c r="N2404" s="10"/>
      <c r="O2404" s="10"/>
      <c r="P2404" s="10"/>
      <c r="Q2404" s="10"/>
      <c r="R2404" s="10"/>
      <c r="S2404" s="10"/>
      <c r="T2404" s="10"/>
      <c r="U2404" s="10"/>
      <c r="V2404" s="10"/>
      <c r="W2404" s="10"/>
      <c r="X2404" s="10"/>
      <c r="Y2404" s="10"/>
      <c r="Z2404" s="10"/>
    </row>
    <row r="2405" spans="1:26" ht="12.75">
      <c r="A2405" s="10" t="str">
        <f ca="1">IFERROR(__xludf.DUMMYFUNCTION("""COMPUTED_VALUE"""),"Евгени Петров Манев")</f>
        <v>Евгени Петров Манев</v>
      </c>
      <c r="B2405" s="10" t="str">
        <f ca="1">IFERROR(__xludf.DUMMYFUNCTION("""COMPUTED_VALUE"""),"Доклад от конференция")</f>
        <v>Доклад от конференция</v>
      </c>
      <c r="C2405" s="10" t="str">
        <f ca="1">IFERROR(__xludf.DUMMYFUNCTION("""COMPUTED_VALUE"""),"Приносът на Военна академия „Г. С. Раковски” в подготовката на офицери от Българската армия за участие в операцията на Международните сили за поддържане на сигурността в Афганистан - ISAF")</f>
        <v>Приносът на Военна академия „Г. С. Раковски” в подготовката на офицери от Българската армия за участие в операцията на Международните сили за поддържане на сигурността в Афганистан - ISAF</v>
      </c>
      <c r="D2405" s="10">
        <f ca="1">IFERROR(__xludf.DUMMYFUNCTION("""COMPUTED_VALUE"""),2007)</f>
        <v>2007</v>
      </c>
      <c r="E2405" s="10" t="str">
        <f ca="1">IFERROR(__xludf.DUMMYFUNCTION("""COMPUTED_VALUE"""),"Удостоверение N 8/30.11.2007г., подписано от Председателя на Атлантическия клуб в България проф. Л. Иванов НК с МУ, „Концепцията на НАТО за сигурност в Афганистан – предизвикателства и перспективи, Атлантически клуб – България, С., 11 старници на доклада.")</f>
        <v>Удостоверение N 8/30.11.2007г., подписано от Председателя на Атлантическия клуб в България проф. Л. Иванов НК с МУ, „Концепцията на НАТО за сигурност в Афганистан – предизвикателства и перспективи, Атлантически клуб – България, С., 11 старници на доклада.</v>
      </c>
      <c r="F2405" s="10"/>
      <c r="G2405" s="10"/>
      <c r="H2405" s="10"/>
      <c r="I2405" s="10"/>
      <c r="J2405" s="10"/>
      <c r="K2405" s="10"/>
      <c r="L2405" s="10"/>
      <c r="M2405" s="10"/>
      <c r="N2405" s="10"/>
      <c r="O2405" s="10"/>
      <c r="P2405" s="10"/>
      <c r="Q2405" s="10"/>
      <c r="R2405" s="10"/>
      <c r="S2405" s="10"/>
      <c r="T2405" s="10"/>
      <c r="U2405" s="10"/>
      <c r="V2405" s="10"/>
      <c r="W2405" s="10"/>
      <c r="X2405" s="10"/>
      <c r="Y2405" s="10"/>
      <c r="Z2405" s="10"/>
    </row>
    <row r="2406" spans="1:26" ht="12.75">
      <c r="A2406" s="10" t="str">
        <f ca="1">IFERROR(__xludf.DUMMYFUNCTION("""COMPUTED_VALUE"""),"Евгени Петров Манев")</f>
        <v>Евгени Петров Манев</v>
      </c>
      <c r="B2406" s="10" t="str">
        <f ca="1">IFERROR(__xludf.DUMMYFUNCTION("""COMPUTED_VALUE"""),"Доклад от конференция")</f>
        <v>Доклад от конференция</v>
      </c>
      <c r="C2406" s="10" t="str">
        <f ca="1">IFERROR(__xludf.DUMMYFUNCTION("""COMPUTED_VALUE"""),"Влияние на организационната култура на висшите училища върху ефективността на учебната им дейност")</f>
        <v>Влияние на организационната култура на висшите училища върху ефективността на учебната им дейност</v>
      </c>
      <c r="D2406" s="10">
        <f ca="1">IFERROR(__xludf.DUMMYFUNCTION("""COMPUTED_VALUE"""),2007)</f>
        <v>2007</v>
      </c>
      <c r="E2406" s="10" t="str">
        <f ca="1">IFERROR(__xludf.DUMMYFUNCTION("""COMPUTED_VALUE"""),"ВСУ ”Черноризец храбър”, В., 22.05.2007, НК Приложна психология, с. 298-312, ISBN 978-954-715-391-2")</f>
        <v>ВСУ ”Черноризец храбър”, В., 22.05.2007, НК Приложна психология, с. 298-312, ISBN 978-954-715-391-2</v>
      </c>
      <c r="F2406" s="10"/>
      <c r="G2406" s="10"/>
      <c r="H2406" s="10"/>
      <c r="I2406" s="10"/>
      <c r="J2406" s="10"/>
      <c r="K2406" s="10"/>
      <c r="L2406" s="10"/>
      <c r="M2406" s="10"/>
      <c r="N2406" s="10"/>
      <c r="O2406" s="10"/>
      <c r="P2406" s="10"/>
      <c r="Q2406" s="10"/>
      <c r="R2406" s="10"/>
      <c r="S2406" s="10"/>
      <c r="T2406" s="10"/>
      <c r="U2406" s="10"/>
      <c r="V2406" s="10"/>
      <c r="W2406" s="10"/>
      <c r="X2406" s="10"/>
      <c r="Y2406" s="10"/>
      <c r="Z2406" s="10"/>
    </row>
    <row r="2407" spans="1:26" ht="12.75">
      <c r="A2407" s="10" t="str">
        <f ca="1">IFERROR(__xludf.DUMMYFUNCTION("""COMPUTED_VALUE"""),"Евгени Петров Манев")</f>
        <v>Евгени Петров Манев</v>
      </c>
      <c r="B2407" s="10" t="str">
        <f ca="1">IFERROR(__xludf.DUMMYFUNCTION("""COMPUTED_VALUE"""),"Доклад от конференция")</f>
        <v>Доклад от конференция</v>
      </c>
      <c r="C2407" s="10" t="str">
        <f ca="1">IFERROR(__xludf.DUMMYFUNCTION("""COMPUTED_VALUE"""),"Трансформация на академичното образование в областта на националната сигурност и отбрана")</f>
        <v>Трансформация на академичното образование в областта на националната сигурност и отбрана</v>
      </c>
      <c r="D2407" s="10">
        <f ca="1">IFERROR(__xludf.DUMMYFUNCTION("""COMPUTED_VALUE"""),2007)</f>
        <v>2007</v>
      </c>
      <c r="E2407" s="10" t="str">
        <f ca="1">IFERROR(__xludf.DUMMYFUNCTION("""COMPUTED_VALUE"""),"Удостоверение № 07/30.11.2007 г подписано от Председателя на Атлантическия клуб в България проф. Л. Иванов, НК с МУ, „Атлантическата общност в 21 век: Силата на ценностите и ценността на силата”, Атлантически клуб, С., 05.04.2006")</f>
        <v>Удостоверение № 07/30.11.2007 г подписано от Председателя на Атлантическия клуб в България проф. Л. Иванов, НК с МУ, „Атлантическата общност в 21 век: Силата на ценностите и ценността на силата”, Атлантически клуб, С., 05.04.2006</v>
      </c>
      <c r="F2407" s="10"/>
      <c r="G2407" s="10"/>
      <c r="H2407" s="10"/>
      <c r="I2407" s="10"/>
      <c r="J2407" s="10"/>
      <c r="K2407" s="10"/>
      <c r="L2407" s="10"/>
      <c r="M2407" s="10"/>
      <c r="N2407" s="10"/>
      <c r="O2407" s="10"/>
      <c r="P2407" s="10"/>
      <c r="Q2407" s="10"/>
      <c r="R2407" s="10"/>
      <c r="S2407" s="10"/>
      <c r="T2407" s="10"/>
      <c r="U2407" s="10"/>
      <c r="V2407" s="10"/>
      <c r="W2407" s="10"/>
      <c r="X2407" s="10"/>
      <c r="Y2407" s="10"/>
      <c r="Z2407" s="10"/>
    </row>
    <row r="2408" spans="1:26" ht="12.75">
      <c r="A2408" s="10" t="str">
        <f ca="1">IFERROR(__xludf.DUMMYFUNCTION("""COMPUTED_VALUE"""),"Евгени Петров Манев")</f>
        <v>Евгени Петров Манев</v>
      </c>
      <c r="B2408" s="10" t="str">
        <f ca="1">IFERROR(__xludf.DUMMYFUNCTION("""COMPUTED_VALUE"""),"Статия в списания и поредици")</f>
        <v>Статия в списания и поредици</v>
      </c>
      <c r="C2408" s="10" t="str">
        <f ca="1">IFERROR(__xludf.DUMMYFUNCTION("""COMPUTED_VALUE"""),"Измерване на организационната култура")</f>
        <v>Измерване на организационната култура</v>
      </c>
      <c r="D2408" s="10">
        <f ca="1">IFERROR(__xludf.DUMMYFUNCTION("""COMPUTED_VALUE"""),2007)</f>
        <v>2007</v>
      </c>
      <c r="E2408" s="10" t="str">
        <f ca="1">IFERROR(__xludf.DUMMYFUNCTION("""COMPUTED_VALUE"""),"С., сп. Военен журнал, 1/2007, с 5 - 16 ISSN 0861-7392")</f>
        <v>С., сп. Военен журнал, 1/2007, с 5 - 16 ISSN 0861-7392</v>
      </c>
      <c r="F2408" s="10"/>
      <c r="G2408" s="10"/>
      <c r="H2408" s="10"/>
      <c r="I2408" s="10"/>
      <c r="J2408" s="10"/>
      <c r="K2408" s="10"/>
      <c r="L2408" s="10"/>
      <c r="M2408" s="10"/>
      <c r="N2408" s="10"/>
      <c r="O2408" s="10"/>
      <c r="P2408" s="10"/>
      <c r="Q2408" s="10"/>
      <c r="R2408" s="10"/>
      <c r="S2408" s="10"/>
      <c r="T2408" s="10"/>
      <c r="U2408" s="10"/>
      <c r="V2408" s="10"/>
      <c r="W2408" s="10"/>
      <c r="X2408" s="10"/>
      <c r="Y2408" s="10"/>
      <c r="Z2408" s="10"/>
    </row>
    <row r="2409" spans="1:26" ht="12.75">
      <c r="A2409" s="10" t="str">
        <f ca="1">IFERROR(__xludf.DUMMYFUNCTION("""COMPUTED_VALUE"""),"Евгени Петров Манев")</f>
        <v>Евгени Петров Манев</v>
      </c>
      <c r="B2409" s="10" t="str">
        <f ca="1">IFERROR(__xludf.DUMMYFUNCTION("""COMPUTED_VALUE"""),"Статия в списания и поредици")</f>
        <v>Статия в списания и поредици</v>
      </c>
      <c r="C2409" s="10" t="str">
        <f ca="1">IFERROR(__xludf.DUMMYFUNCTION("""COMPUTED_VALUE"""),"Организационната култура на специализирани висши училища в системата за национална сигурност")</f>
        <v>Организационната култура на специализирани висши училища в системата за национална сигурност</v>
      </c>
      <c r="D2409" s="10">
        <f ca="1">IFERROR(__xludf.DUMMYFUNCTION("""COMPUTED_VALUE"""),2007)</f>
        <v>2007</v>
      </c>
      <c r="E2409" s="10" t="str">
        <f ca="1">IFERROR(__xludf.DUMMYFUNCTION("""COMPUTED_VALUE"""),"С., сп. Военен журнал, 4/2007 г, с. 109 - 120 ISSN 0861-7392")</f>
        <v>С., сп. Военен журнал, 4/2007 г, с. 109 - 120 ISSN 0861-7392</v>
      </c>
      <c r="F2409" s="10"/>
      <c r="G2409" s="10"/>
      <c r="H2409" s="10"/>
      <c r="I2409" s="10"/>
      <c r="J2409" s="10"/>
      <c r="K2409" s="10"/>
      <c r="L2409" s="10"/>
      <c r="M2409" s="10"/>
      <c r="N2409" s="10"/>
      <c r="O2409" s="10"/>
      <c r="P2409" s="10"/>
      <c r="Q2409" s="10"/>
      <c r="R2409" s="10"/>
      <c r="S2409" s="10"/>
      <c r="T2409" s="10"/>
      <c r="U2409" s="10"/>
      <c r="V2409" s="10"/>
      <c r="W2409" s="10"/>
      <c r="X2409" s="10"/>
      <c r="Y2409" s="10"/>
      <c r="Z2409" s="10"/>
    </row>
    <row r="2410" spans="1:26" ht="12.75">
      <c r="A2410" s="10" t="str">
        <f ca="1">IFERROR(__xludf.DUMMYFUNCTION("""COMPUTED_VALUE"""),"Евгени Петров Манев")</f>
        <v>Евгени Петров Манев</v>
      </c>
      <c r="B2410" s="10" t="str">
        <f ca="1">IFERROR(__xludf.DUMMYFUNCTION("""COMPUTED_VALUE"""),"Учебно пособие")</f>
        <v>Учебно пособие</v>
      </c>
      <c r="C2410" s="10" t="str">
        <f ca="1">IFERROR(__xludf.DUMMYFUNCTION("""COMPUTED_VALUE"""),"Организационна култура. Измерване")</f>
        <v>Организационна култура. Измерване</v>
      </c>
      <c r="D2410" s="10">
        <f ca="1">IFERROR(__xludf.DUMMYFUNCTION("""COMPUTED_VALUE"""),2007)</f>
        <v>2007</v>
      </c>
      <c r="E2410" s="10" t="str">
        <f ca="1">IFERROR(__xludf.DUMMYFUNCTION("""COMPUTED_VALUE"""),"Служебна бележка от ВА „Г. С. Раковски”, Рег. № СИ – 29 – 2252/ 18.02.2019 г., 76 страници")</f>
        <v>Служебна бележка от ВА „Г. С. Раковски”, Рег. № СИ – 29 – 2252/ 18.02.2019 г., 76 страници</v>
      </c>
      <c r="F2410" s="10"/>
      <c r="G2410" s="10"/>
      <c r="H2410" s="10"/>
      <c r="I2410" s="10"/>
      <c r="J2410" s="10"/>
      <c r="K2410" s="10"/>
      <c r="L2410" s="10"/>
      <c r="M2410" s="10"/>
      <c r="N2410" s="10"/>
      <c r="O2410" s="10"/>
      <c r="P2410" s="10"/>
      <c r="Q2410" s="10"/>
      <c r="R2410" s="10"/>
      <c r="S2410" s="10"/>
      <c r="T2410" s="10"/>
      <c r="U2410" s="10"/>
      <c r="V2410" s="10"/>
      <c r="W2410" s="10"/>
      <c r="X2410" s="10"/>
      <c r="Y2410" s="10"/>
      <c r="Z2410" s="10"/>
    </row>
    <row r="2411" spans="1:26" ht="12.75">
      <c r="A2411" s="10" t="str">
        <f ca="1">IFERROR(__xludf.DUMMYFUNCTION("""COMPUTED_VALUE"""),"Евгени Петров Манев")</f>
        <v>Евгени Петров Манев</v>
      </c>
      <c r="B2411" s="10" t="str">
        <f ca="1">IFERROR(__xludf.DUMMYFUNCTION("""COMPUTED_VALUE"""),"Статия в списания и поредици")</f>
        <v>Статия в списания и поредици</v>
      </c>
      <c r="C2411" s="10" t="str">
        <f ca="1">IFERROR(__xludf.DUMMYFUNCTION("""COMPUTED_VALUE"""),"Научен подход в управленските практики")</f>
        <v>Научен подход в управленските практики</v>
      </c>
      <c r="D2411" s="10">
        <f ca="1">IFERROR(__xludf.DUMMYFUNCTION("""COMPUTED_VALUE"""),2007)</f>
        <v>2007</v>
      </c>
      <c r="E2411" s="10" t="str">
        <f ca="1">IFERROR(__xludf.DUMMYFUNCTION("""COMPUTED_VALUE"""),"С., сп. Военен журнал, 1/2007; стр. 5 - 8. ISSN 0861-7392")</f>
        <v>С., сп. Военен журнал, 1/2007; стр. 5 - 8. ISSN 0861-7392</v>
      </c>
      <c r="F2411" s="10"/>
      <c r="G2411" s="10"/>
      <c r="H2411" s="10"/>
      <c r="I2411" s="10"/>
      <c r="J2411" s="10"/>
      <c r="K2411" s="10"/>
      <c r="L2411" s="10"/>
      <c r="M2411" s="10"/>
      <c r="N2411" s="10"/>
      <c r="O2411" s="10"/>
      <c r="P2411" s="10"/>
      <c r="Q2411" s="10"/>
      <c r="R2411" s="10"/>
      <c r="S2411" s="10"/>
      <c r="T2411" s="10"/>
      <c r="U2411" s="10"/>
      <c r="V2411" s="10"/>
      <c r="W2411" s="10"/>
      <c r="X2411" s="10"/>
      <c r="Y2411" s="10"/>
      <c r="Z2411" s="10"/>
    </row>
    <row r="2412" spans="1:26" ht="12.75">
      <c r="A2412" s="10" t="str">
        <f ca="1">IFERROR(__xludf.DUMMYFUNCTION("""COMPUTED_VALUE"""),"Евгени Петров Манев")</f>
        <v>Евгени Петров Манев</v>
      </c>
      <c r="B2412" s="10" t="str">
        <f ca="1">IFERROR(__xludf.DUMMYFUNCTION("""COMPUTED_VALUE"""),"Монография")</f>
        <v>Монография</v>
      </c>
      <c r="C2412" s="10" t="str">
        <f ca="1">IFERROR(__xludf.DUMMYFUNCTION("""COMPUTED_VALUE"""),"Организационна култура: същност, промяна, измерване")</f>
        <v>Организационна култура: същност, промяна, измерване</v>
      </c>
      <c r="D2412" s="10">
        <f ca="1">IFERROR(__xludf.DUMMYFUNCTION("""COMPUTED_VALUE"""),2007)</f>
        <v>2007</v>
      </c>
      <c r="E2412" s="10" t="str">
        <f ca="1">IFERROR(__xludf.DUMMYFUNCTION("""COMPUTED_VALUE"""),"Военно издателство ЕООД, ”Св. Г. Победоносец”, С., 2007 г., ISBN 978-954-509-389-0")</f>
        <v>Военно издателство ЕООД, ”Св. Г. Победоносец”, С., 2007 г., ISBN 978-954-509-389-0</v>
      </c>
      <c r="F2412" s="10"/>
      <c r="G2412" s="10"/>
      <c r="H2412" s="10"/>
      <c r="I2412" s="10"/>
      <c r="J2412" s="10"/>
      <c r="K2412" s="10"/>
      <c r="L2412" s="10"/>
      <c r="M2412" s="10"/>
      <c r="N2412" s="10"/>
      <c r="O2412" s="10"/>
      <c r="P2412" s="10"/>
      <c r="Q2412" s="10"/>
      <c r="R2412" s="10"/>
      <c r="S2412" s="10"/>
      <c r="T2412" s="10"/>
      <c r="U2412" s="10"/>
      <c r="V2412" s="10"/>
      <c r="W2412" s="10"/>
      <c r="X2412" s="10"/>
      <c r="Y2412" s="10"/>
      <c r="Z2412" s="10"/>
    </row>
    <row r="2413" spans="1:26" ht="12.75">
      <c r="A2413" s="10" t="str">
        <f ca="1">IFERROR(__xludf.DUMMYFUNCTION("""COMPUTED_VALUE"""),"Евгени Петров Манев")</f>
        <v>Евгени Петров Манев</v>
      </c>
      <c r="B2413" s="10" t="str">
        <f ca="1">IFERROR(__xludf.DUMMYFUNCTION("""COMPUTED_VALUE"""),"Статия в списания и поредици")</f>
        <v>Статия в списания и поредици</v>
      </c>
      <c r="C2413" s="10" t="str">
        <f ca="1">IFERROR(__xludf.DUMMYFUNCTION("""COMPUTED_VALUE"""),"Перцепциите на образователната среда – основа на индивидуалното поведение на обучаемите")</f>
        <v>Перцепциите на образователната среда – основа на индивидуалното поведение на обучаемите</v>
      </c>
      <c r="D2413" s="10">
        <f ca="1">IFERROR(__xludf.DUMMYFUNCTION("""COMPUTED_VALUE"""),2007)</f>
        <v>2007</v>
      </c>
      <c r="E2413" s="10" t="str">
        <f ca="1">IFERROR(__xludf.DUMMYFUNCTION("""COMPUTED_VALUE"""),"С., сп. Военен журнал. 2/2007, с 109 - 119 ISSN 0861-7392")</f>
        <v>С., сп. Военен журнал. 2/2007, с 109 - 119 ISSN 0861-7392</v>
      </c>
      <c r="F2413" s="10"/>
      <c r="G2413" s="10"/>
      <c r="H2413" s="10"/>
      <c r="I2413" s="10"/>
      <c r="J2413" s="10"/>
      <c r="K2413" s="10"/>
      <c r="L2413" s="10"/>
      <c r="M2413" s="10"/>
      <c r="N2413" s="10"/>
      <c r="O2413" s="10"/>
      <c r="P2413" s="10"/>
      <c r="Q2413" s="10"/>
      <c r="R2413" s="10"/>
      <c r="S2413" s="10"/>
      <c r="T2413" s="10"/>
      <c r="U2413" s="10"/>
      <c r="V2413" s="10"/>
      <c r="W2413" s="10"/>
      <c r="X2413" s="10"/>
      <c r="Y2413" s="10"/>
      <c r="Z2413" s="10"/>
    </row>
    <row r="2414" spans="1:26" ht="12.75">
      <c r="A2414" s="10" t="str">
        <f ca="1">IFERROR(__xludf.DUMMYFUNCTION("""COMPUTED_VALUE"""),"Евгени Петров Манев")</f>
        <v>Евгени Петров Манев</v>
      </c>
      <c r="B2414" s="10" t="str">
        <f ca="1">IFERROR(__xludf.DUMMYFUNCTION("""COMPUTED_VALUE"""),"Статия в списания и поредици")</f>
        <v>Статия в списания и поредици</v>
      </c>
      <c r="C2414" s="10" t="str">
        <f ca="1">IFERROR(__xludf.DUMMYFUNCTION("""COMPUTED_VALUE"""),"Специфични особености във възприемането на две образователни среди")</f>
        <v>Специфични особености във възприемането на две образователни среди</v>
      </c>
      <c r="D2414" s="10">
        <f ca="1">IFERROR(__xludf.DUMMYFUNCTION("""COMPUTED_VALUE"""),2007)</f>
        <v>2007</v>
      </c>
      <c r="E2414" s="10" t="str">
        <f ca="1">IFERROR(__xludf.DUMMYFUNCTION("""COMPUTED_VALUE"""),"С., сп. Военен журнал, 4/2007 г, с. 121- 128. ISSN 0861-7392")</f>
        <v>С., сп. Военен журнал, 4/2007 г, с. 121- 128. ISSN 0861-7392</v>
      </c>
      <c r="F2414" s="10"/>
      <c r="G2414" s="10" t="str">
        <f ca="1">IFERROR(__xludf.DUMMYFUNCTION("""COMPUTED_VALUE"""),"Гошо Петков")</f>
        <v>Гошо Петков</v>
      </c>
      <c r="H2414" s="10"/>
      <c r="I2414" s="10"/>
      <c r="J2414" s="10"/>
      <c r="K2414" s="10"/>
      <c r="L2414" s="10"/>
      <c r="M2414" s="10"/>
      <c r="N2414" s="10"/>
      <c r="O2414" s="10"/>
      <c r="P2414" s="10"/>
      <c r="Q2414" s="10"/>
      <c r="R2414" s="10"/>
      <c r="S2414" s="10"/>
      <c r="T2414" s="10"/>
      <c r="U2414" s="10"/>
      <c r="V2414" s="10"/>
      <c r="W2414" s="10"/>
      <c r="X2414" s="10"/>
      <c r="Y2414" s="10"/>
      <c r="Z2414" s="10"/>
    </row>
    <row r="2415" spans="1:26" ht="12.75">
      <c r="A2415" s="10" t="str">
        <f ca="1">IFERROR(__xludf.DUMMYFUNCTION("""COMPUTED_VALUE"""),"Евгени Петров Манев")</f>
        <v>Евгени Петров Манев</v>
      </c>
      <c r="B2415" s="10" t="str">
        <f ca="1">IFERROR(__xludf.DUMMYFUNCTION("""COMPUTED_VALUE"""),"Доклад от конференция")</f>
        <v>Доклад от конференция</v>
      </c>
      <c r="C2415" s="10" t="str">
        <f ca="1">IFERROR(__xludf.DUMMYFUNCTION("""COMPUTED_VALUE"""),"Efficient Functioning of the National Crisis Management System – The Bulgarian Experience")</f>
        <v>Efficient Functioning of the National Crisis Management System – The Bulgarian Experience</v>
      </c>
      <c r="D2415" s="10">
        <f ca="1">IFERROR(__xludf.DUMMYFUNCTION("""COMPUTED_VALUE"""),2006)</f>
        <v>2006</v>
      </c>
      <c r="E2415" s="10" t="str">
        <f ca="1">IFERROR(__xludf.DUMMYFUNCTION("""COMPUTED_VALUE"""),"Международен Workshop на National Defense University в Румъния, април 2006 г.")</f>
        <v>Международен Workshop на National Defense University в Румъния, април 2006 г.</v>
      </c>
      <c r="F2415" s="10"/>
      <c r="G2415" s="10"/>
      <c r="H2415" s="10"/>
      <c r="I2415" s="10"/>
      <c r="J2415" s="10"/>
      <c r="K2415" s="10"/>
      <c r="L2415" s="10"/>
      <c r="M2415" s="10"/>
      <c r="N2415" s="10"/>
      <c r="O2415" s="10"/>
      <c r="P2415" s="10"/>
      <c r="Q2415" s="10"/>
      <c r="R2415" s="10"/>
      <c r="S2415" s="10"/>
      <c r="T2415" s="10"/>
      <c r="U2415" s="10"/>
      <c r="V2415" s="10"/>
      <c r="W2415" s="10"/>
      <c r="X2415" s="10"/>
      <c r="Y2415" s="10"/>
      <c r="Z2415" s="10"/>
    </row>
    <row r="2416" spans="1:26" ht="12.75">
      <c r="A2416" s="10" t="str">
        <f ca="1">IFERROR(__xludf.DUMMYFUNCTION("""COMPUTED_VALUE"""),"Евгени Петров Манев")</f>
        <v>Евгени Петров Манев</v>
      </c>
      <c r="B2416" s="10" t="str">
        <f ca="1">IFERROR(__xludf.DUMMYFUNCTION("""COMPUTED_VALUE"""),"Доклад от конференция")</f>
        <v>Доклад от конференция</v>
      </c>
      <c r="C2416" s="10" t="str">
        <f ca="1">IFERROR(__xludf.DUMMYFUNCTION("""COMPUTED_VALUE"""),"Трансформация на отбраната и въоръжените сили и предизвикателства към военно-академичното образование")</f>
        <v>Трансформация на отбраната и въоръжените сили и предизвикателства към военно-академичното образование</v>
      </c>
      <c r="D2416" s="10">
        <f ca="1">IFERROR(__xludf.DUMMYFUNCTION("""COMPUTED_VALUE"""),2006)</f>
        <v>2006</v>
      </c>
      <c r="E2416" s="10" t="str">
        <f ca="1">IFERROR(__xludf.DUMMYFUNCTION("""COMPUTED_VALUE"""),"НК с МУ, 13.04.2006. Сборник доклади от годишна научна конференция на Военна академия “Г. С. Раковски”. С., 2006, ISBN -10:954-9348-03-02 ISBN -10:954-9348-03-03")</f>
        <v>НК с МУ, 13.04.2006. Сборник доклади от годишна научна конференция на Военна академия “Г. С. Раковски”. С., 2006, ISBN -10:954-9348-03-02 ISBN -10:954-9348-03-03</v>
      </c>
      <c r="F2416" s="10"/>
      <c r="G2416" s="10"/>
      <c r="H2416" s="10"/>
      <c r="I2416" s="10"/>
      <c r="J2416" s="10"/>
      <c r="K2416" s="10"/>
      <c r="L2416" s="10"/>
      <c r="M2416" s="10"/>
      <c r="N2416" s="10"/>
      <c r="O2416" s="10"/>
      <c r="P2416" s="10"/>
      <c r="Q2416" s="10"/>
      <c r="R2416" s="10"/>
      <c r="S2416" s="10"/>
      <c r="T2416" s="10"/>
      <c r="U2416" s="10"/>
      <c r="V2416" s="10"/>
      <c r="W2416" s="10"/>
      <c r="X2416" s="10"/>
      <c r="Y2416" s="10"/>
      <c r="Z2416" s="10"/>
    </row>
    <row r="2417" spans="1:26" ht="12.75">
      <c r="A2417" s="10" t="str">
        <f ca="1">IFERROR(__xludf.DUMMYFUNCTION("""COMPUTED_VALUE"""),"Евгени Петров Манев")</f>
        <v>Евгени Петров Манев</v>
      </c>
      <c r="B2417" s="10" t="str">
        <f ca="1">IFERROR(__xludf.DUMMYFUNCTION("""COMPUTED_VALUE"""),"Статия в списания и поредици")</f>
        <v>Статия в списания и поредици</v>
      </c>
      <c r="C2417" s="10" t="str">
        <f ca="1">IFERROR(__xludf.DUMMYFUNCTION("""COMPUTED_VALUE"""),"Трансформация на военноакадемичното образование – организационно-културен подход")</f>
        <v>Трансформация на военноакадемичното образование – организационно-културен подход</v>
      </c>
      <c r="D2417" s="10">
        <f ca="1">IFERROR(__xludf.DUMMYFUNCTION("""COMPUTED_VALUE"""),2006)</f>
        <v>2006</v>
      </c>
      <c r="E2417" s="10" t="str">
        <f ca="1">IFERROR(__xludf.DUMMYFUNCTION("""COMPUTED_VALUE"""),"Сп. “Военен журнал” 3/2006, с. 66 - 74. ISSN 0861-7392")</f>
        <v>Сп. “Военен журнал” 3/2006, с. 66 - 74. ISSN 0861-7392</v>
      </c>
      <c r="F2417" s="10"/>
      <c r="G2417" s="10"/>
      <c r="H2417" s="10"/>
      <c r="I2417" s="10"/>
      <c r="J2417" s="10"/>
      <c r="K2417" s="10"/>
      <c r="L2417" s="10"/>
      <c r="M2417" s="10"/>
      <c r="N2417" s="10"/>
      <c r="O2417" s="10"/>
      <c r="P2417" s="10"/>
      <c r="Q2417" s="10"/>
      <c r="R2417" s="10"/>
      <c r="S2417" s="10"/>
      <c r="T2417" s="10"/>
      <c r="U2417" s="10"/>
      <c r="V2417" s="10"/>
      <c r="W2417" s="10"/>
      <c r="X2417" s="10"/>
      <c r="Y2417" s="10"/>
      <c r="Z2417" s="10"/>
    </row>
    <row r="2418" spans="1:26" ht="12.75">
      <c r="A2418" s="10" t="str">
        <f ca="1">IFERROR(__xludf.DUMMYFUNCTION("""COMPUTED_VALUE"""),"Евгени Петров Манев")</f>
        <v>Евгени Петров Манев</v>
      </c>
      <c r="B2418" s="10" t="str">
        <f ca="1">IFERROR(__xludf.DUMMYFUNCTION("""COMPUTED_VALUE"""),"Книга")</f>
        <v>Книга</v>
      </c>
      <c r="C2418" s="10" t="str">
        <f ca="1">IFERROR(__xludf.DUMMYFUNCTION("""COMPUTED_VALUE"""),"Методика за комплексна оценка на фирми и организации при кандидатстването им за изпълнение на проекта „Съюзно земно наблюдение на НАТО”")</f>
        <v>Методика за комплексна оценка на фирми и организации при кандидатстването им за изпълнение на проекта „Съюзно земно наблюдение на НАТО”</v>
      </c>
      <c r="D2418" s="10">
        <f ca="1">IFERROR(__xludf.DUMMYFUNCTION("""COMPUTED_VALUE"""),2006)</f>
        <v>2006</v>
      </c>
      <c r="E2418" s="10" t="str">
        <f ca="1">IFERROR(__xludf.DUMMYFUNCTION("""COMPUTED_VALUE"""),"Класифицирана информация, ВА „Г. С. Раковски”, Институт за перспективни изследвания на отбраната, С, 2006 г, Рег. № 3 – 162/06.03.2006 г, Служебна бележка от ВА „Г. С. Раковски”, Рег. № СИ – 29 – 2253/ 18.02.2019 г.")</f>
        <v>Класифицирана информация, ВА „Г. С. Раковски”, Институт за перспективни изследвания на отбраната, С, 2006 г, Рег. № 3 – 162/06.03.2006 г, Служебна бележка от ВА „Г. С. Раковски”, Рег. № СИ – 29 – 2253/ 18.02.2019 г.</v>
      </c>
      <c r="F2418" s="10"/>
      <c r="G2418" s="10"/>
      <c r="H2418" s="10"/>
      <c r="I2418" s="10"/>
      <c r="J2418" s="10"/>
      <c r="K2418" s="10"/>
      <c r="L2418" s="10"/>
      <c r="M2418" s="10"/>
      <c r="N2418" s="10"/>
      <c r="O2418" s="10"/>
      <c r="P2418" s="10"/>
      <c r="Q2418" s="10"/>
      <c r="R2418" s="10"/>
      <c r="S2418" s="10"/>
      <c r="T2418" s="10"/>
      <c r="U2418" s="10"/>
      <c r="V2418" s="10"/>
      <c r="W2418" s="10"/>
      <c r="X2418" s="10"/>
      <c r="Y2418" s="10"/>
      <c r="Z2418" s="10"/>
    </row>
    <row r="2419" spans="1:26" ht="12.75">
      <c r="A2419" s="10" t="str">
        <f ca="1">IFERROR(__xludf.DUMMYFUNCTION("""COMPUTED_VALUE"""),"Евгени Петров Манев")</f>
        <v>Евгени Петров Манев</v>
      </c>
      <c r="B2419" s="10" t="str">
        <f ca="1">IFERROR(__xludf.DUMMYFUNCTION("""COMPUTED_VALUE"""),"Доклад от конференция")</f>
        <v>Доклад от конференция</v>
      </c>
      <c r="C2419" s="10" t="str">
        <f ca="1">IFERROR(__xludf.DUMMYFUNCTION("""COMPUTED_VALUE"""),"Управление на организационната култура за повишаване ефективността на организацията")</f>
        <v>Управление на организационната култура за повишаване ефективността на организацията</v>
      </c>
      <c r="D2419" s="10">
        <f ca="1">IFERROR(__xludf.DUMMYFUNCTION("""COMPUTED_VALUE"""),2006)</f>
        <v>2006</v>
      </c>
      <c r="E2419" s="10" t="str">
        <f ca="1">IFERROR(__xludf.DUMMYFUNCTION("""COMPUTED_VALUE"""),"НК с МУ, ”Изследвания и технологии за нуждите на отбраната и Въоръжените сили”, „Хемус 2006”, Пловдив, Сборник, ВА ”Г. С. Раковски” Сборник доклади, 2006, с. 409-416, NSSN 1312-2916")</f>
        <v>НК с МУ, ”Изследвания и технологии за нуждите на отбраната и Въоръжените сили”, „Хемус 2006”, Пловдив, Сборник, ВА ”Г. С. Раковски” Сборник доклади, 2006, с. 409-416, NSSN 1312-2916</v>
      </c>
      <c r="F2419" s="10"/>
      <c r="G2419" s="10"/>
      <c r="H2419" s="10"/>
      <c r="I2419" s="10"/>
      <c r="J2419" s="10"/>
      <c r="K2419" s="10"/>
      <c r="L2419" s="10"/>
      <c r="M2419" s="10"/>
      <c r="N2419" s="10"/>
      <c r="O2419" s="10"/>
      <c r="P2419" s="10"/>
      <c r="Q2419" s="10"/>
      <c r="R2419" s="10"/>
      <c r="S2419" s="10"/>
      <c r="T2419" s="10"/>
      <c r="U2419" s="10"/>
      <c r="V2419" s="10"/>
      <c r="W2419" s="10"/>
      <c r="X2419" s="10"/>
      <c r="Y2419" s="10"/>
      <c r="Z2419" s="10"/>
    </row>
    <row r="2420" spans="1:26" ht="12.75">
      <c r="A2420" s="10" t="str">
        <f ca="1">IFERROR(__xludf.DUMMYFUNCTION("""COMPUTED_VALUE"""),"Евгени Петров Манев")</f>
        <v>Евгени Петров Манев</v>
      </c>
      <c r="B2420" s="10" t="str">
        <f ca="1">IFERROR(__xludf.DUMMYFUNCTION("""COMPUTED_VALUE"""),"Монография")</f>
        <v>Монография</v>
      </c>
      <c r="C2420" s="10" t="str">
        <f ca="1">IFERROR(__xludf.DUMMYFUNCTION("""COMPUTED_VALUE"""),"Национална сигурност и отбрана: теоретични модели и методики")</f>
        <v>Национална сигурност и отбрана: теоретични модели и методики</v>
      </c>
      <c r="D2420" s="10">
        <f ca="1">IFERROR(__xludf.DUMMYFUNCTION("""COMPUTED_VALUE"""),2006)</f>
        <v>2006</v>
      </c>
      <c r="E2420" s="10" t="str">
        <f ca="1">IFERROR(__xludf.DUMMYFUNCTION("""COMPUTED_VALUE"""),"Военна академия „Г. С. Раковски”, ВИ, 127 стр., ISBN 954-509-338-2 ISBN 978-954-509-338-8")</f>
        <v>Военна академия „Г. С. Раковски”, ВИ, 127 стр., ISBN 954-509-338-2 ISBN 978-954-509-338-8</v>
      </c>
      <c r="F2420" s="10"/>
      <c r="G2420" s="10" t="str">
        <f ca="1">IFERROR(__xludf.DUMMYFUNCTION("""COMPUTED_VALUE"""),"Доц. д-р Емил Велинов")</f>
        <v>Доц. д-р Емил Велинов</v>
      </c>
      <c r="H2420" s="10"/>
      <c r="I2420" s="10"/>
      <c r="J2420" s="10"/>
      <c r="K2420" s="10"/>
      <c r="L2420" s="10"/>
      <c r="M2420" s="10"/>
      <c r="N2420" s="10"/>
      <c r="O2420" s="10"/>
      <c r="P2420" s="10"/>
      <c r="Q2420" s="10"/>
      <c r="R2420" s="10"/>
      <c r="S2420" s="10"/>
      <c r="T2420" s="10"/>
      <c r="U2420" s="10"/>
      <c r="V2420" s="10"/>
      <c r="W2420" s="10"/>
      <c r="X2420" s="10"/>
      <c r="Y2420" s="10"/>
      <c r="Z2420" s="10"/>
    </row>
    <row r="2421" spans="1:26" ht="12.75">
      <c r="A2421" s="10" t="str">
        <f ca="1">IFERROR(__xludf.DUMMYFUNCTION("""COMPUTED_VALUE"""),"Евгени Петров Манев")</f>
        <v>Евгени Петров Манев</v>
      </c>
      <c r="B2421" s="10" t="str">
        <f ca="1">IFERROR(__xludf.DUMMYFUNCTION("""COMPUTED_VALUE"""),"Доклад от конференция")</f>
        <v>Доклад от конференция</v>
      </c>
      <c r="C2421" s="10" t="str">
        <f ca="1">IFERROR(__xludf.DUMMYFUNCTION("""COMPUTED_VALUE"""),"Роля на организационната култура за постигане на целите на военната организация")</f>
        <v>Роля на организационната култура за постигане на целите на военната организация</v>
      </c>
      <c r="D2421" s="10">
        <f ca="1">IFERROR(__xludf.DUMMYFUNCTION("""COMPUTED_VALUE"""),2006)</f>
        <v>2006</v>
      </c>
      <c r="E2421" s="10" t="str">
        <f ca="1">IFERROR(__xludf.DUMMYFUNCTION("""COMPUTED_VALUE"""),"Служебна бележка от ВА „Г. С. Раковски“, Рег. № СИ–29-2252/18.02.2019 г., 16 страници. Кръгла маса, ВА „Г. С. Раковски”, 22.02.2006 г.")</f>
        <v>Служебна бележка от ВА „Г. С. Раковски“, Рег. № СИ–29-2252/18.02.2019 г., 16 страници. Кръгла маса, ВА „Г. С. Раковски”, 22.02.2006 г.</v>
      </c>
      <c r="F2421" s="10"/>
      <c r="G2421" s="10"/>
      <c r="H2421" s="10"/>
      <c r="I2421" s="10"/>
      <c r="J2421" s="10"/>
      <c r="K2421" s="10"/>
      <c r="L2421" s="10"/>
      <c r="M2421" s="10"/>
      <c r="N2421" s="10"/>
      <c r="O2421" s="10"/>
      <c r="P2421" s="10"/>
      <c r="Q2421" s="10"/>
      <c r="R2421" s="10"/>
      <c r="S2421" s="10"/>
      <c r="T2421" s="10"/>
      <c r="U2421" s="10"/>
      <c r="V2421" s="10"/>
      <c r="W2421" s="10"/>
      <c r="X2421" s="10"/>
      <c r="Y2421" s="10"/>
      <c r="Z2421" s="10"/>
    </row>
    <row r="2422" spans="1:26" ht="12.75">
      <c r="A2422" s="10" t="str">
        <f ca="1">IFERROR(__xludf.DUMMYFUNCTION("""COMPUTED_VALUE"""),"Евгени Петров Манев")</f>
        <v>Евгени Петров Манев</v>
      </c>
      <c r="B2422" s="10" t="str">
        <f ca="1">IFERROR(__xludf.DUMMYFUNCTION("""COMPUTED_VALUE"""),"Доклад от конференция")</f>
        <v>Доклад от конференция</v>
      </c>
      <c r="C2422" s="10" t="str">
        <f ca="1">IFERROR(__xludf.DUMMYFUNCTION("""COMPUTED_VALUE"""),"Състояние и перспективи за развитие на военно-академичното образование, следдипломната квалификация и военно-научните изследвания в областта на сигурността и отбраната")</f>
        <v>Състояние и перспективи за развитие на военно-академичното образование, следдипломната квалификация и военно-научните изследвания в областта на сигурността и отбраната</v>
      </c>
      <c r="D2422" s="10">
        <f ca="1">IFERROR(__xludf.DUMMYFUNCTION("""COMPUTED_VALUE"""),2006)</f>
        <v>2006</v>
      </c>
      <c r="E2422" s="10" t="str">
        <f ca="1">IFERROR(__xludf.DUMMYFUNCTION("""COMPUTED_VALUE"""),"Научна конференция на ГЩ на БА, 09.10.2006 г.")</f>
        <v>Научна конференция на ГЩ на БА, 09.10.2006 г.</v>
      </c>
      <c r="F2422" s="10"/>
      <c r="G2422" s="10"/>
      <c r="H2422" s="10"/>
      <c r="I2422" s="10"/>
      <c r="J2422" s="10"/>
      <c r="K2422" s="10"/>
      <c r="L2422" s="10"/>
      <c r="M2422" s="10"/>
      <c r="N2422" s="10"/>
      <c r="O2422" s="10"/>
      <c r="P2422" s="10"/>
      <c r="Q2422" s="10"/>
      <c r="R2422" s="10"/>
      <c r="S2422" s="10"/>
      <c r="T2422" s="10"/>
      <c r="U2422" s="10"/>
      <c r="V2422" s="10"/>
      <c r="W2422" s="10"/>
      <c r="X2422" s="10"/>
      <c r="Y2422" s="10"/>
      <c r="Z2422" s="10"/>
    </row>
    <row r="2423" spans="1:26" ht="12.75">
      <c r="A2423" s="10" t="str">
        <f ca="1">IFERROR(__xludf.DUMMYFUNCTION("""COMPUTED_VALUE"""),"Евгени Петров Манев")</f>
        <v>Евгени Петров Манев</v>
      </c>
      <c r="B2423" s="10" t="str">
        <f ca="1">IFERROR(__xludf.DUMMYFUNCTION("""COMPUTED_VALUE"""),"Доклад от конференция")</f>
        <v>Доклад от конференция</v>
      </c>
      <c r="C2423" s="10" t="str">
        <f ca="1">IFERROR(__xludf.DUMMYFUNCTION("""COMPUTED_VALUE"""),"Политика за сигурност и отбрана – предизвикателства на новото хилядолетие")</f>
        <v>Политика за сигурност и отбрана – предизвикателства на новото хилядолетие</v>
      </c>
      <c r="D2423" s="10">
        <f ca="1">IFERROR(__xludf.DUMMYFUNCTION("""COMPUTED_VALUE"""),2005)</f>
        <v>2005</v>
      </c>
      <c r="E2423" s="10" t="str">
        <f ca="1">IFERROR(__xludf.DUMMYFUNCTION("""COMPUTED_VALUE"""),"Класифицирана информация - Служебна бележка от ВА „Г. С. Раковски“ – „Служебна бележка“ Рег. № СИ–29-2080/14.02.2019 г. Сборник доклади –ФНСО, №1, 2005 г., Сигн. II 5318.")</f>
        <v>Класифицирана информация - Служебна бележка от ВА „Г. С. Раковски“ – „Служебна бележка“ Рег. № СИ–29-2080/14.02.2019 г. Сборник доклади –ФНСО, №1, 2005 г., Сигн. II 5318.</v>
      </c>
      <c r="F2423" s="10"/>
      <c r="G2423" s="10"/>
      <c r="H2423" s="10"/>
      <c r="I2423" s="10"/>
      <c r="J2423" s="10"/>
      <c r="K2423" s="10"/>
      <c r="L2423" s="10"/>
      <c r="M2423" s="10"/>
      <c r="N2423" s="10"/>
      <c r="O2423" s="10"/>
      <c r="P2423" s="10"/>
      <c r="Q2423" s="10"/>
      <c r="R2423" s="10"/>
      <c r="S2423" s="10"/>
      <c r="T2423" s="10"/>
      <c r="U2423" s="10"/>
      <c r="V2423" s="10"/>
      <c r="W2423" s="10"/>
      <c r="X2423" s="10"/>
      <c r="Y2423" s="10"/>
      <c r="Z2423" s="10"/>
    </row>
    <row r="2424" spans="1:26" ht="12.75">
      <c r="A2424" s="10" t="str">
        <f ca="1">IFERROR(__xludf.DUMMYFUNCTION("""COMPUTED_VALUE"""),"Евгени Петров Манев")</f>
        <v>Евгени Петров Манев</v>
      </c>
      <c r="B2424" s="10" t="str">
        <f ca="1">IFERROR(__xludf.DUMMYFUNCTION("""COMPUTED_VALUE"""),"Доклад от конференция")</f>
        <v>Доклад от конференция</v>
      </c>
      <c r="C2424" s="10" t="str">
        <f ca="1">IFERROR(__xludf.DUMMYFUNCTION("""COMPUTED_VALUE"""),"Подготовка на лидерите на ХХІ век")</f>
        <v>Подготовка на лидерите на ХХІ век</v>
      </c>
      <c r="D2424" s="10">
        <f ca="1">IFERROR(__xludf.DUMMYFUNCTION("""COMPUTED_VALUE"""),2005)</f>
        <v>2005</v>
      </c>
      <c r="E2424" s="10" t="str">
        <f ca="1">IFERROR(__xludf.DUMMYFUNCTION("""COMPUTED_VALUE"""),"ССборник доклади, НК с МУ, ”Роля и цели на Военна академия „Г. С. Раковски” в изграждането на образователна мрежа за бъдещите лидери”, С., 2005., с. 7 – 11, ISSN 954-9348-02-4")</f>
        <v>ССборник доклади, НК с МУ, ”Роля и цели на Военна академия „Г. С. Раковски” в изграждането на образователна мрежа за бъдещите лидери”, С., 2005., с. 7 – 11, ISSN 954-9348-02-4</v>
      </c>
      <c r="F2424" s="10"/>
      <c r="G2424" s="10"/>
      <c r="H2424" s="10"/>
      <c r="I2424" s="10"/>
      <c r="J2424" s="10"/>
      <c r="K2424" s="10"/>
      <c r="L2424" s="10"/>
      <c r="M2424" s="10"/>
      <c r="N2424" s="10"/>
      <c r="O2424" s="10"/>
      <c r="P2424" s="10"/>
      <c r="Q2424" s="10"/>
      <c r="R2424" s="10"/>
      <c r="S2424" s="10"/>
      <c r="T2424" s="10"/>
      <c r="U2424" s="10"/>
      <c r="V2424" s="10"/>
      <c r="W2424" s="10"/>
      <c r="X2424" s="10"/>
      <c r="Y2424" s="10"/>
      <c r="Z2424" s="10"/>
    </row>
    <row r="2425" spans="1:26" ht="12.75">
      <c r="A2425" s="10" t="str">
        <f ca="1">IFERROR(__xludf.DUMMYFUNCTION("""COMPUTED_VALUE"""),"Евгени Петров Манев")</f>
        <v>Евгени Петров Манев</v>
      </c>
      <c r="B2425" s="10" t="str">
        <f ca="1">IFERROR(__xludf.DUMMYFUNCTION("""COMPUTED_VALUE"""),"Доклад от конференция")</f>
        <v>Доклад от конференция</v>
      </c>
      <c r="C2425" s="10" t="str">
        <f ca="1">IFERROR(__xludf.DUMMYFUNCTION("""COMPUTED_VALUE"""),"Предизвикателствата пред научните изследвания в областта на сигурността и отбраната")</f>
        <v>Предизвикателствата пред научните изследвания в областта на сигурността и отбраната</v>
      </c>
      <c r="D2425" s="10">
        <f ca="1">IFERROR(__xludf.DUMMYFUNCTION("""COMPUTED_VALUE"""),2004)</f>
        <v>2004</v>
      </c>
      <c r="E2425" s="10" t="str">
        <f ca="1">IFERROR(__xludf.DUMMYFUNCTION("""COMPUTED_VALUE"""),"Служебна бележка от ВА „Г. С. Раковски“, Рег. № СИ–29-2252/18.02.2019 г., 12 страници. Научна конференция с международно участие, ВА „Г. С. Раковски”, октомври 2004 г.")</f>
        <v>Служебна бележка от ВА „Г. С. Раковски“, Рег. № СИ–29-2252/18.02.2019 г., 12 страници. Научна конференция с международно участие, ВА „Г. С. Раковски”, октомври 2004 г.</v>
      </c>
      <c r="F2425" s="10"/>
      <c r="G2425" s="10"/>
      <c r="H2425" s="10"/>
      <c r="I2425" s="10"/>
      <c r="J2425" s="10"/>
      <c r="K2425" s="10"/>
      <c r="L2425" s="10"/>
      <c r="M2425" s="10"/>
      <c r="N2425" s="10"/>
      <c r="O2425" s="10"/>
      <c r="P2425" s="10"/>
      <c r="Q2425" s="10"/>
      <c r="R2425" s="10"/>
      <c r="S2425" s="10"/>
      <c r="T2425" s="10"/>
      <c r="U2425" s="10"/>
      <c r="V2425" s="10"/>
      <c r="W2425" s="10"/>
      <c r="X2425" s="10"/>
      <c r="Y2425" s="10"/>
      <c r="Z2425" s="10"/>
    </row>
    <row r="2426" spans="1:26" ht="12.75">
      <c r="A2426" s="10" t="str">
        <f ca="1">IFERROR(__xludf.DUMMYFUNCTION("""COMPUTED_VALUE"""),"Евгени Петров Манев")</f>
        <v>Евгени Петров Манев</v>
      </c>
      <c r="B2426" s="10" t="str">
        <f ca="1">IFERROR(__xludf.DUMMYFUNCTION("""COMPUTED_VALUE"""),"Доклад от конференция")</f>
        <v>Доклад от конференция</v>
      </c>
      <c r="C2426" s="10" t="str">
        <f ca="1">IFERROR(__xludf.DUMMYFUNCTION("""COMPUTED_VALUE"""),"Развитие на интелектуалния потенциал в системата за сигурност и отбрана.")</f>
        <v>Развитие на интелектуалния потенциал в системата за сигурност и отбрана.</v>
      </c>
      <c r="D2426" s="10">
        <f ca="1">IFERROR(__xludf.DUMMYFUNCTION("""COMPUTED_VALUE"""),2004)</f>
        <v>2004</v>
      </c>
      <c r="E2426" s="10" t="str">
        <f ca="1">IFERROR(__xludf.DUMMYFUNCTION("""COMPUTED_VALUE"""),"Служебна бележка от ВА „Г. С. Раковски“, Рег. № СИ–29–2252/18.02.2019 г. Сборник доклади, ВА „Г. С. Раковски”, 2003, Асоциация България, ЕКСПО ИНТЕЛЕКТ” 04, 30 ноември – 05 декември, КРЪГЛА МАСА, „Евро-Атлантическата интеграция и българския младежки интел"&amp;"ект във Въоръжените сили”, с.13 – 25.")</f>
        <v>Служебна бележка от ВА „Г. С. Раковски“, Рег. № СИ–29–2252/18.02.2019 г. Сборник доклади, ВА „Г. С. Раковски”, 2003, Асоциация България, ЕКСПО ИНТЕЛЕКТ” 04, 30 ноември – 05 декември, КРЪГЛА МАСА, „Евро-Атлантическата интеграция и българския младежки интелект във Въоръжените сили”, с.13 – 25.</v>
      </c>
      <c r="F2426" s="10"/>
      <c r="G2426" s="10" t="str">
        <f ca="1">IFERROR(__xludf.DUMMYFUNCTION("""COMPUTED_VALUE"""),"Доц. д-р Йордан Мильов")</f>
        <v>Доц. д-р Йордан Мильов</v>
      </c>
      <c r="H2426" s="10"/>
      <c r="I2426" s="10"/>
      <c r="J2426" s="10"/>
      <c r="K2426" s="10"/>
      <c r="L2426" s="10"/>
      <c r="M2426" s="10"/>
      <c r="N2426" s="10"/>
      <c r="O2426" s="10"/>
      <c r="P2426" s="10"/>
      <c r="Q2426" s="10"/>
      <c r="R2426" s="10"/>
      <c r="S2426" s="10"/>
      <c r="T2426" s="10"/>
      <c r="U2426" s="10"/>
      <c r="V2426" s="10"/>
      <c r="W2426" s="10"/>
      <c r="X2426" s="10"/>
      <c r="Y2426" s="10"/>
      <c r="Z2426" s="10"/>
    </row>
    <row r="2427" spans="1:26" ht="12.75">
      <c r="A2427" s="10" t="str">
        <f ca="1">IFERROR(__xludf.DUMMYFUNCTION("""COMPUTED_VALUE"""),"Евгени Петров Манев")</f>
        <v>Евгени Петров Манев</v>
      </c>
      <c r="B2427" s="10" t="str">
        <f ca="1">IFERROR(__xludf.DUMMYFUNCTION("""COMPUTED_VALUE"""),"Доклад от конференция")</f>
        <v>Доклад от конференция</v>
      </c>
      <c r="C2427" s="10" t="str">
        <f ca="1">IFERROR(__xludf.DUMMYFUNCTION("""COMPUTED_VALUE"""),"Управление на кризи от природен, промишлен и екологичен характер")</f>
        <v>Управление на кризи от природен, промишлен и екологичен характер</v>
      </c>
      <c r="D2427" s="10">
        <f ca="1">IFERROR(__xludf.DUMMYFUNCTION("""COMPUTED_VALUE"""),2003)</f>
        <v>2003</v>
      </c>
      <c r="E2427" s="10" t="str">
        <f ca="1">IFERROR(__xludf.DUMMYFUNCTION("""COMPUTED_VALUE"""),"Служебна бележка от ВА „Г. С. Раковски“, Рег. № СИ–29-2252/18.02.2019 г., 9 страници. Изнесен на научна конференция с международно участие, ВА „Г. С. Раковски”, октомври 2003 г.")</f>
        <v>Служебна бележка от ВА „Г. С. Раковски“, Рег. № СИ–29-2252/18.02.2019 г., 9 страници. Изнесен на научна конференция с международно участие, ВА „Г. С. Раковски”, октомври 2003 г.</v>
      </c>
      <c r="F2427" s="10"/>
      <c r="G2427" s="10"/>
      <c r="H2427" s="10"/>
      <c r="I2427" s="10"/>
      <c r="J2427" s="10"/>
      <c r="K2427" s="10"/>
      <c r="L2427" s="10"/>
      <c r="M2427" s="10"/>
      <c r="N2427" s="10"/>
      <c r="O2427" s="10"/>
      <c r="P2427" s="10"/>
      <c r="Q2427" s="10"/>
      <c r="R2427" s="10"/>
      <c r="S2427" s="10"/>
      <c r="T2427" s="10"/>
      <c r="U2427" s="10"/>
      <c r="V2427" s="10"/>
      <c r="W2427" s="10"/>
      <c r="X2427" s="10"/>
      <c r="Y2427" s="10"/>
      <c r="Z2427" s="10"/>
    </row>
    <row r="2428" spans="1:26" ht="12.75">
      <c r="A2428" s="10" t="str">
        <f ca="1">IFERROR(__xludf.DUMMYFUNCTION("""COMPUTED_VALUE"""),"Евгени Петров Манев")</f>
        <v>Евгени Петров Манев</v>
      </c>
      <c r="B2428" s="10" t="str">
        <f ca="1">IFERROR(__xludf.DUMMYFUNCTION("""COMPUTED_VALUE"""),"Доклад от конференция")</f>
        <v>Доклад от конференция</v>
      </c>
      <c r="C2428" s="10" t="str">
        <f ca="1">IFERROR(__xludf.DUMMYFUNCTION("""COMPUTED_VALUE"""),"The new security environment and the challenges to military education")</f>
        <v>The new security environment and the challenges to military education</v>
      </c>
      <c r="D2428" s="10">
        <f ca="1">IFERROR(__xludf.DUMMYFUNCTION("""COMPUTED_VALUE"""),2003)</f>
        <v>2003</v>
      </c>
      <c r="E2428" s="10" t="str">
        <f ca="1">IFERROR(__xludf.DUMMYFUNCTION("""COMPUTED_VALUE"""),"СКласифицирана информация - Служебна бележка от ВА „Г. С. Раковски“ – „Служебна бележка“, Рег. № СИ–29-2080/14.02.2019 г. PfP International Workshop Modern Standards in Military Educationр, 7-8 July 2003, Boyana Residence, Sofia Сборник доклади – ФНСО, №1"&amp;", 2003 г., Сиг. II 5318, международна работна среща на тема „Съвременни стандарти във военното образование”, 7-8 юли, 2003, С, с. 30-34.")</f>
        <v>СКласифицирана информация - Служебна бележка от ВА „Г. С. Раковски“ – „Служебна бележка“, Рег. № СИ–29-2080/14.02.2019 г. PfP International Workshop Modern Standards in Military Educationр, 7-8 July 2003, Boyana Residence, Sofia Сборник доклади – ФНСО, №1, 2003 г., Сиг. II 5318, международна работна среща на тема „Съвременни стандарти във военното образование”, 7-8 юли, 2003, С, с. 30-34.</v>
      </c>
      <c r="F2428" s="10"/>
      <c r="G2428" s="10"/>
      <c r="H2428" s="10"/>
      <c r="I2428" s="10"/>
      <c r="J2428" s="10"/>
      <c r="K2428" s="10"/>
      <c r="L2428" s="10"/>
      <c r="M2428" s="10"/>
      <c r="N2428" s="10"/>
      <c r="O2428" s="10"/>
      <c r="P2428" s="10"/>
      <c r="Q2428" s="10"/>
      <c r="R2428" s="10"/>
      <c r="S2428" s="10"/>
      <c r="T2428" s="10"/>
      <c r="U2428" s="10"/>
      <c r="V2428" s="10"/>
      <c r="W2428" s="10"/>
      <c r="X2428" s="10"/>
      <c r="Y2428" s="10"/>
      <c r="Z2428" s="10"/>
    </row>
    <row r="2429" spans="1:26" ht="12.75">
      <c r="A2429" s="10" t="str">
        <f ca="1">IFERROR(__xludf.DUMMYFUNCTION("""COMPUTED_VALUE"""),"Евгений Иванов Сачев")</f>
        <v>Евгений Иванов Сачев</v>
      </c>
      <c r="B2429" s="10" t="str">
        <f ca="1">IFERROR(__xludf.DUMMYFUNCTION("""COMPUTED_VALUE"""),"Книга")</f>
        <v>Книга</v>
      </c>
      <c r="C2429" s="10" t="str">
        <f ca="1">IFERROR(__xludf.DUMMYFUNCTION("""COMPUTED_VALUE"""),"Миграция и сигурност. Теоретико-методологични и етнокултурни проблеми")</f>
        <v>Миграция и сигурност. Теоретико-методологични и етнокултурни проблеми</v>
      </c>
      <c r="D2429" s="10">
        <f ca="1">IFERROR(__xludf.DUMMYFUNCTION("""COMPUTED_VALUE"""),2019)</f>
        <v>2019</v>
      </c>
      <c r="E2429" s="10" t="str">
        <f ca="1">IFERROR(__xludf.DUMMYFUNCTION("""COMPUTED_VALUE"""),"Издателство ""За буквите - О писменехь"" ISBN 978-619-185-307-6")</f>
        <v>Издателство "За буквите - О писменехь" ISBN 978-619-185-307-6</v>
      </c>
      <c r="F2429" s="10"/>
      <c r="G2429" s="10" t="str">
        <f ca="1">IFERROR(__xludf.DUMMYFUNCTION("""COMPUTED_VALUE"""),"Стоян Георгиев Денчев, Иван Илиев Миланов")</f>
        <v>Стоян Георгиев Денчев, Иван Илиев Миланов</v>
      </c>
      <c r="H2429" s="10"/>
      <c r="I2429" s="10"/>
      <c r="J2429" s="10"/>
      <c r="K2429" s="10"/>
      <c r="L2429" s="10"/>
      <c r="M2429" s="10"/>
      <c r="N2429" s="10"/>
      <c r="O2429" s="10"/>
      <c r="P2429" s="10"/>
      <c r="Q2429" s="10"/>
      <c r="R2429" s="10"/>
      <c r="S2429" s="10"/>
      <c r="T2429" s="10"/>
      <c r="U2429" s="10"/>
      <c r="V2429" s="10"/>
      <c r="W2429" s="10"/>
      <c r="X2429" s="10"/>
      <c r="Y2429" s="10"/>
      <c r="Z2429" s="10"/>
    </row>
    <row r="2430" spans="1:26" ht="12.75">
      <c r="A2430" s="10" t="str">
        <f ca="1">IFERROR(__xludf.DUMMYFUNCTION("""COMPUTED_VALUE"""),"Евгений Иванов Сачев")</f>
        <v>Евгений Иванов Сачев</v>
      </c>
      <c r="B2430" s="10" t="str">
        <f ca="1">IFERROR(__xludf.DUMMYFUNCTION("""COMPUTED_VALUE"""),"Речник (съставителство)")</f>
        <v>Речник (съставителство)</v>
      </c>
      <c r="C2430" s="10" t="str">
        <f ca="1">IFERROR(__xludf.DUMMYFUNCTION("""COMPUTED_VALUE"""),"Речник по културно и природно наследство и културономия")</f>
        <v>Речник по културно и природно наследство и културономия</v>
      </c>
      <c r="D2430" s="10">
        <f ca="1">IFERROR(__xludf.DUMMYFUNCTION("""COMPUTED_VALUE"""),2018)</f>
        <v>2018</v>
      </c>
      <c r="E2430" s="10" t="str">
        <f ca="1">IFERROR(__xludf.DUMMYFUNCTION("""COMPUTED_VALUE"""),"София : Изд. О писменехь, 2018 ([София] : О писменехь). -510 с. ;")</f>
        <v>София : Изд. О писменехь, 2018 ([София] : О писменехь). -510 с. ;</v>
      </c>
      <c r="F2430" s="10"/>
      <c r="G2430" s="10"/>
      <c r="H2430" s="10"/>
      <c r="I2430" s="10"/>
      <c r="J2430" s="10"/>
      <c r="K2430" s="10"/>
      <c r="L2430" s="10"/>
      <c r="M2430" s="10"/>
      <c r="N2430" s="10"/>
      <c r="O2430" s="10"/>
      <c r="P2430" s="10"/>
      <c r="Q2430" s="10"/>
      <c r="R2430" s="10"/>
      <c r="S2430" s="10"/>
      <c r="T2430" s="10"/>
      <c r="U2430" s="10"/>
      <c r="V2430" s="10"/>
      <c r="W2430" s="10"/>
      <c r="X2430" s="10"/>
      <c r="Y2430" s="10"/>
      <c r="Z2430" s="10"/>
    </row>
    <row r="2431" spans="1:26" ht="12.75">
      <c r="A2431" s="10" t="str">
        <f ca="1">IFERROR(__xludf.DUMMYFUNCTION("""COMPUTED_VALUE"""),"Евгений Иванов Сачев")</f>
        <v>Евгений Иванов Сачев</v>
      </c>
      <c r="B2431" s="10" t="str">
        <f ca="1">IFERROR(__xludf.DUMMYFUNCTION("""COMPUTED_VALUE"""),"Книга")</f>
        <v>Книга</v>
      </c>
      <c r="C2431" s="10" t="str">
        <f ca="1">IFERROR(__xludf.DUMMYFUNCTION("""COMPUTED_VALUE"""),"За сигурността на Република България. Ч. 2, Библиография")</f>
        <v>За сигурността на Република България. Ч. 2, Библиография</v>
      </c>
      <c r="D2431" s="10">
        <f ca="1">IFERROR(__xludf.DUMMYFUNCTION("""COMPUTED_VALUE"""),2017)</f>
        <v>2017</v>
      </c>
      <c r="E2431" s="10" t="str">
        <f ca="1">IFERROR(__xludf.DUMMYFUNCTION("""COMPUTED_VALUE"""),"София : Авангард Прима, 2017 ([София] : БПС). - 272 с. : с ил. ; 21 см ISBN 978-619-160-893-5")</f>
        <v>София : Авангард Прима, 2017 ([София] : БПС). - 272 с. : с ил. ; 21 см ISBN 978-619-160-893-5</v>
      </c>
      <c r="F2431" s="10"/>
      <c r="G2431" s="10"/>
      <c r="H2431" s="10"/>
      <c r="I2431" s="10"/>
      <c r="J2431" s="10"/>
      <c r="K2431" s="10"/>
      <c r="L2431" s="10"/>
      <c r="M2431" s="10"/>
      <c r="N2431" s="10"/>
      <c r="O2431" s="10"/>
      <c r="P2431" s="10"/>
      <c r="Q2431" s="10"/>
      <c r="R2431" s="10"/>
      <c r="S2431" s="10"/>
      <c r="T2431" s="10"/>
      <c r="U2431" s="10"/>
      <c r="V2431" s="10"/>
      <c r="W2431" s="10"/>
      <c r="X2431" s="10"/>
      <c r="Y2431" s="10"/>
      <c r="Z2431" s="10"/>
    </row>
    <row r="2432" spans="1:26" ht="12.75">
      <c r="A2432" s="10" t="str">
        <f ca="1">IFERROR(__xludf.DUMMYFUNCTION("""COMPUTED_VALUE"""),"Евгений Иванов Сачев")</f>
        <v>Евгений Иванов Сачев</v>
      </c>
      <c r="B2432" s="10" t="str">
        <f ca="1">IFERROR(__xludf.DUMMYFUNCTION("""COMPUTED_VALUE"""),"Книга")</f>
        <v>Книга</v>
      </c>
      <c r="C2432" s="10" t="str">
        <f ca="1">IFERROR(__xludf.DUMMYFUNCTION("""COMPUTED_VALUE"""),"За сигурността на Република България. Ч. 1, Актуални проблеми")</f>
        <v>За сигурността на Република България. Ч. 1, Актуални проблеми</v>
      </c>
      <c r="D2432" s="10">
        <f ca="1">IFERROR(__xludf.DUMMYFUNCTION("""COMPUTED_VALUE"""),2017)</f>
        <v>2017</v>
      </c>
      <c r="E2432" s="10" t="str">
        <f ca="1">IFERROR(__xludf.DUMMYFUNCTION("""COMPUTED_VALUE"""),"София : Авангард Прима, 2017 ([София] : БПС). - 270 с. : с ил. ; 21 см Загл. в изд. каре: Сигурността на Република България/ ISBN 978-619-160-892-8")</f>
        <v>София : Авангард Прима, 2017 ([София] : БПС). - 270 с. : с ил. ; 21 см Загл. в изд. каре: Сигурността на Република България/ ISBN 978-619-160-892-8</v>
      </c>
      <c r="F2432" s="10"/>
      <c r="G2432" s="10"/>
      <c r="H2432" s="10"/>
      <c r="I2432" s="10"/>
      <c r="J2432" s="10"/>
      <c r="K2432" s="10"/>
      <c r="L2432" s="10"/>
      <c r="M2432" s="10"/>
      <c r="N2432" s="10"/>
      <c r="O2432" s="10"/>
      <c r="P2432" s="10"/>
      <c r="Q2432" s="10"/>
      <c r="R2432" s="10"/>
      <c r="S2432" s="10"/>
      <c r="T2432" s="10"/>
      <c r="U2432" s="10"/>
      <c r="V2432" s="10"/>
      <c r="W2432" s="10"/>
      <c r="X2432" s="10"/>
      <c r="Y2432" s="10"/>
      <c r="Z2432" s="10"/>
    </row>
    <row r="2433" spans="1:26" ht="12.75">
      <c r="A2433" s="10" t="str">
        <f ca="1">IFERROR(__xludf.DUMMYFUNCTION("""COMPUTED_VALUE"""),"Евгений Иванов Сачев")</f>
        <v>Евгений Иванов Сачев</v>
      </c>
      <c r="B2433" s="10" t="str">
        <f ca="1">IFERROR(__xludf.DUMMYFUNCTION("""COMPUTED_VALUE"""),"Книга")</f>
        <v>Книга</v>
      </c>
      <c r="C2433" s="10" t="str">
        <f ca="1">IFERROR(__xludf.DUMMYFUNCTION("""COMPUTED_VALUE"""),"Бългapитe ca в ocнoвaтa нa чoвeшkaтa цивилизaция")</f>
        <v>Бългapитe ca в ocнoвaтa нa чoвeшkaтa цивилизaция</v>
      </c>
      <c r="D2433" s="10">
        <f ca="1">IFERROR(__xludf.DUMMYFUNCTION("""COMPUTED_VALUE"""),2017)</f>
        <v>2017</v>
      </c>
      <c r="E2433" s="10" t="str">
        <f ca="1">IFERROR(__xludf.DUMMYFUNCTION("""COMPUTED_VALUE"""),"София : ИК Новата цивилизация, 2017 ([София] : Алианс принт). - 520 с. ; 14х20 см. ISBN 9789548365987")</f>
        <v>София : ИК Новата цивилизация, 2017 ([София] : Алианс принт). - 520 с. ; 14х20 см. ISBN 9789548365987</v>
      </c>
      <c r="F2433" s="10"/>
      <c r="G2433" s="10"/>
      <c r="H2433" s="10"/>
      <c r="I2433" s="10"/>
      <c r="J2433" s="10"/>
      <c r="K2433" s="10"/>
      <c r="L2433" s="10"/>
      <c r="M2433" s="10"/>
      <c r="N2433" s="10"/>
      <c r="O2433" s="10"/>
      <c r="P2433" s="10"/>
      <c r="Q2433" s="10"/>
      <c r="R2433" s="10"/>
      <c r="S2433" s="10"/>
      <c r="T2433" s="10"/>
      <c r="U2433" s="10"/>
      <c r="V2433" s="10"/>
      <c r="W2433" s="10"/>
      <c r="X2433" s="10"/>
      <c r="Y2433" s="10"/>
      <c r="Z2433" s="10"/>
    </row>
    <row r="2434" spans="1:26" ht="12.75">
      <c r="A2434" s="10" t="str">
        <f ca="1">IFERROR(__xludf.DUMMYFUNCTION("""COMPUTED_VALUE"""),"Евгений Иванов Сачев")</f>
        <v>Евгений Иванов Сачев</v>
      </c>
      <c r="B2434" s="10" t="str">
        <f ca="1">IFERROR(__xludf.DUMMYFUNCTION("""COMPUTED_VALUE"""),"Книга")</f>
        <v>Книга</v>
      </c>
      <c r="C2434" s="10" t="str">
        <f ca="1">IFERROR(__xludf.DUMMYFUNCTION("""COMPUTED_VALUE"""),"Културономична архивология")</f>
        <v>Културономична архивология</v>
      </c>
      <c r="D2434" s="10">
        <f ca="1">IFERROR(__xludf.DUMMYFUNCTION("""COMPUTED_VALUE"""),2017)</f>
        <v>2017</v>
      </c>
      <c r="E2434" s="10" t="str">
        <f ca="1">IFERROR(__xludf.DUMMYFUNCTION("""COMPUTED_VALUE"""),"София : ИК Новата цивилизация, 2017 ([София] : Алианс принт). -174 с. ; 16х23 см. ISBN 9789548365994")</f>
        <v>София : ИК Новата цивилизация, 2017 ([София] : Алианс принт). -174 с. ; 16х23 см. ISBN 9789548365994</v>
      </c>
      <c r="F2434" s="10"/>
      <c r="G2434" s="10"/>
      <c r="H2434" s="10"/>
      <c r="I2434" s="10"/>
      <c r="J2434" s="10"/>
      <c r="K2434" s="10"/>
      <c r="L2434" s="10"/>
      <c r="M2434" s="10"/>
      <c r="N2434" s="10"/>
      <c r="O2434" s="10"/>
      <c r="P2434" s="10"/>
      <c r="Q2434" s="10"/>
      <c r="R2434" s="10"/>
      <c r="S2434" s="10"/>
      <c r="T2434" s="10"/>
      <c r="U2434" s="10"/>
      <c r="V2434" s="10"/>
      <c r="W2434" s="10"/>
      <c r="X2434" s="10"/>
      <c r="Y2434" s="10"/>
      <c r="Z2434" s="10"/>
    </row>
    <row r="2435" spans="1:26" ht="12.75">
      <c r="A2435" s="10" t="str">
        <f ca="1">IFERROR(__xludf.DUMMYFUNCTION("""COMPUTED_VALUE"""),"Евгений Иванов Сачев")</f>
        <v>Евгений Иванов Сачев</v>
      </c>
      <c r="B2435" s="10" t="str">
        <f ca="1">IFERROR(__xludf.DUMMYFUNCTION("""COMPUTED_VALUE"""),"Книга")</f>
        <v>Книга</v>
      </c>
      <c r="C2435" s="10" t="str">
        <f ca="1">IFERROR(__xludf.DUMMYFUNCTION("""COMPUTED_VALUE"""),"Бългapитe ca в ocнoвaтa нa чoвeшкaтa цивилизaция")</f>
        <v>Бългapитe ca в ocнoвaтa нa чoвeшкaтa цивилизaция</v>
      </c>
      <c r="D2435" s="10">
        <f ca="1">IFERROR(__xludf.DUMMYFUNCTION("""COMPUTED_VALUE"""),2017)</f>
        <v>2017</v>
      </c>
      <c r="E2435" s="10" t="str">
        <f ca="1">IFERROR(__xludf.DUMMYFUNCTION("""COMPUTED_VALUE"""),"София : ИК Новата цивилизация, 2017 ([София] : Алианс принт). - 520 с. ; 14х20 см. ISBN 9789548365987")</f>
        <v>София : ИК Новата цивилизация, 2017 ([София] : Алианс принт). - 520 с. ; 14х20 см. ISBN 9789548365987</v>
      </c>
      <c r="F2435" s="10"/>
      <c r="G2435" s="10"/>
      <c r="H2435" s="10"/>
      <c r="I2435" s="10"/>
      <c r="J2435" s="10"/>
      <c r="K2435" s="10"/>
      <c r="L2435" s="10"/>
      <c r="M2435" s="10"/>
      <c r="N2435" s="10"/>
      <c r="O2435" s="10"/>
      <c r="P2435" s="10"/>
      <c r="Q2435" s="10"/>
      <c r="R2435" s="10"/>
      <c r="S2435" s="10"/>
      <c r="T2435" s="10"/>
      <c r="U2435" s="10"/>
      <c r="V2435" s="10"/>
      <c r="W2435" s="10"/>
      <c r="X2435" s="10"/>
      <c r="Y2435" s="10"/>
      <c r="Z2435" s="10"/>
    </row>
    <row r="2436" spans="1:26" ht="12.75">
      <c r="A2436" s="10" t="str">
        <f ca="1">IFERROR(__xludf.DUMMYFUNCTION("""COMPUTED_VALUE"""),"Евгений Иванов Сачев")</f>
        <v>Евгений Иванов Сачев</v>
      </c>
      <c r="B2436" s="10" t="str">
        <f ca="1">IFERROR(__xludf.DUMMYFUNCTION("""COMPUTED_VALUE"""),"Статия в списания и поредици")</f>
        <v>Статия в списания и поредици</v>
      </c>
      <c r="C2436" s="10" t="str">
        <f ca="1">IFERROR(__xludf.DUMMYFUNCTION("""COMPUTED_VALUE"""),"Истината за произхода на областното наименование Добруджа")</f>
        <v>Истината за произхода на областното наименование Добруджа</v>
      </c>
      <c r="D2436" s="10">
        <f ca="1">IFERROR(__xludf.DUMMYFUNCTION("""COMPUTED_VALUE"""),2016)</f>
        <v>2016</v>
      </c>
      <c r="E2436" s="10" t="str">
        <f ca="1">IFERROR(__xludf.DUMMYFUNCTION("""COMPUTED_VALUE"""),"Един завет ISSN: 0861-8151.- Год.. 25, № 1 (2016), с. 37-39")</f>
        <v>Един завет ISSN: 0861-8151.- Год.. 25, № 1 (2016), с. 37-39</v>
      </c>
      <c r="F2436" s="10"/>
      <c r="G2436" s="10"/>
      <c r="H2436" s="10"/>
      <c r="I2436" s="10"/>
      <c r="J2436" s="10"/>
      <c r="K2436" s="10"/>
      <c r="L2436" s="10"/>
      <c r="M2436" s="10"/>
      <c r="N2436" s="10"/>
      <c r="O2436" s="10"/>
      <c r="P2436" s="10"/>
      <c r="Q2436" s="10"/>
      <c r="R2436" s="10"/>
      <c r="S2436" s="10"/>
      <c r="T2436" s="10"/>
      <c r="U2436" s="10"/>
      <c r="V2436" s="10"/>
      <c r="W2436" s="10"/>
      <c r="X2436" s="10"/>
      <c r="Y2436" s="10"/>
      <c r="Z2436" s="10"/>
    </row>
    <row r="2437" spans="1:26" ht="12.75">
      <c r="A2437" s="10" t="str">
        <f ca="1">IFERROR(__xludf.DUMMYFUNCTION("""COMPUTED_VALUE"""),"Евгений Иванов Сачев")</f>
        <v>Евгений Иванов Сачев</v>
      </c>
      <c r="B2437" s="10" t="str">
        <f ca="1">IFERROR(__xludf.DUMMYFUNCTION("""COMPUTED_VALUE"""),"Статия в списания и поредици")</f>
        <v>Статия в списания и поредици</v>
      </c>
      <c r="C2437" s="10" t="str">
        <f ca="1">IFERROR(__xludf.DUMMYFUNCTION("""COMPUTED_VALUE"""),"Етнос, етнични отношения и спекулации с етничния статус на българомохамеданите")</f>
        <v>Етнос, етнични отношения и спекулации с етничния статус на българомохамеданите</v>
      </c>
      <c r="D2437" s="10">
        <f ca="1">IFERROR(__xludf.DUMMYFUNCTION("""COMPUTED_VALUE"""),2016)</f>
        <v>2016</v>
      </c>
      <c r="E2437" s="10" t="str">
        <f ca="1">IFERROR(__xludf.DUMMYFUNCTION("""COMPUTED_VALUE"""),"Юридически сборник = Juridical Collection ISSN: 1311-3771.- T. 23 (2016), s. 243-253")</f>
        <v>Юридически сборник = Juridical Collection ISSN: 1311-3771.- T. 23 (2016), s. 243-253</v>
      </c>
      <c r="F2437" s="10"/>
      <c r="G2437" s="10"/>
      <c r="H2437" s="10"/>
      <c r="I2437" s="10"/>
      <c r="J2437" s="10"/>
      <c r="K2437" s="10"/>
      <c r="L2437" s="10"/>
      <c r="M2437" s="10"/>
      <c r="N2437" s="10"/>
      <c r="O2437" s="10"/>
      <c r="P2437" s="10"/>
      <c r="Q2437" s="10"/>
      <c r="R2437" s="10"/>
      <c r="S2437" s="10"/>
      <c r="T2437" s="10"/>
      <c r="U2437" s="10"/>
      <c r="V2437" s="10"/>
      <c r="W2437" s="10"/>
      <c r="X2437" s="10"/>
      <c r="Y2437" s="10"/>
      <c r="Z2437" s="10"/>
    </row>
    <row r="2438" spans="1:26" ht="12.75">
      <c r="A2438" s="10" t="str">
        <f ca="1">IFERROR(__xludf.DUMMYFUNCTION("""COMPUTED_VALUE"""),"Евгений Иванов Сачев")</f>
        <v>Евгений Иванов Сачев</v>
      </c>
      <c r="B2438" s="10" t="str">
        <f ca="1">IFERROR(__xludf.DUMMYFUNCTION("""COMPUTED_VALUE"""),"Доклад от конференция")</f>
        <v>Доклад от конференция</v>
      </c>
      <c r="C2438" s="10" t="str">
        <f ca="1">IFERROR(__xludf.DUMMYFUNCTION("""COMPUTED_VALUE"""),"Културономичната концепция за идентичността : еволюция, равенство, противоречие, пространство, време и цивилизационен процес / Евгений Сачев")</f>
        <v>Културономичната концепция за идентичността : еволюция, равенство, противоречие, пространство, време и цивилизационен процес / Евгений Сачев</v>
      </c>
      <c r="D2438" s="10">
        <f ca="1">IFERROR(__xludf.DUMMYFUNCTION("""COMPUTED_VALUE"""),2015)</f>
        <v>2015</v>
      </c>
      <c r="E2438" s="10" t="str">
        <f ca="1">IFERROR(__xludf.DUMMYFUNCTION("""COMPUTED_VALUE"""),"Обществото на знанието и хуманизмът на XXI век : национална научна конференция с международно участие= - София : За буквите - О писменехь, 2015, s. 79-88. ISSN: 1314-7099.- ,")</f>
        <v>Обществото на знанието и хуманизмът на XXI век : национална научна конференция с международно участие= - София : За буквите - О писменехь, 2015, s. 79-88. ISSN: 1314-7099.- ,</v>
      </c>
      <c r="F2438" s="10"/>
      <c r="G2438" s="10"/>
      <c r="H2438" s="10"/>
      <c r="I2438" s="10"/>
      <c r="J2438" s="10"/>
      <c r="K2438" s="10"/>
      <c r="L2438" s="10"/>
      <c r="M2438" s="10"/>
      <c r="N2438" s="10"/>
      <c r="O2438" s="10"/>
      <c r="P2438" s="10"/>
      <c r="Q2438" s="10"/>
      <c r="R2438" s="10"/>
      <c r="S2438" s="10"/>
      <c r="T2438" s="10"/>
      <c r="U2438" s="10"/>
      <c r="V2438" s="10"/>
      <c r="W2438" s="10"/>
      <c r="X2438" s="10"/>
      <c r="Y2438" s="10"/>
      <c r="Z2438" s="10"/>
    </row>
    <row r="2439" spans="1:26" ht="12.75">
      <c r="A2439" s="10" t="str">
        <f ca="1">IFERROR(__xludf.DUMMYFUNCTION("""COMPUTED_VALUE"""),"Евгений Иванов Сачев")</f>
        <v>Евгений Иванов Сачев</v>
      </c>
      <c r="B2439" s="10" t="str">
        <f ca="1">IFERROR(__xludf.DUMMYFUNCTION("""COMPUTED_VALUE"""),"Статия в списания и поредици")</f>
        <v>Статия в списания и поредици</v>
      </c>
      <c r="C2439" s="10" t="str">
        <f ca="1">IFERROR(__xludf.DUMMYFUNCTION("""COMPUTED_VALUE"""),"Сигурността като висша социокултурна ценност")</f>
        <v>Сигурността като висша социокултурна ценност</v>
      </c>
      <c r="D2439" s="10">
        <f ca="1">IFERROR(__xludf.DUMMYFUNCTION("""COMPUTED_VALUE"""),2015)</f>
        <v>2015</v>
      </c>
      <c r="E2439" s="10" t="str">
        <f ca="1">IFERROR(__xludf.DUMMYFUNCTION("""COMPUTED_VALUE"""),"Научни трудове на Университета по библиотекознание и информационни технологии. - София : За буквите - О писменехь, 2015, с. с. 121-131 ISSN 1312-5834")</f>
        <v>Научни трудове на Университета по библиотекознание и информационни технологии. - София : За буквите - О писменехь, 2015, с. с. 121-131 ISSN 1312-5834</v>
      </c>
      <c r="F2439" s="10"/>
      <c r="G2439" s="10"/>
      <c r="H2439" s="10"/>
      <c r="I2439" s="10"/>
      <c r="J2439" s="10"/>
      <c r="K2439" s="10"/>
      <c r="L2439" s="10"/>
      <c r="M2439" s="10"/>
      <c r="N2439" s="10"/>
      <c r="O2439" s="10"/>
      <c r="P2439" s="10"/>
      <c r="Q2439" s="10"/>
      <c r="R2439" s="10"/>
      <c r="S2439" s="10"/>
      <c r="T2439" s="10"/>
      <c r="U2439" s="10"/>
      <c r="V2439" s="10"/>
      <c r="W2439" s="10"/>
      <c r="X2439" s="10"/>
      <c r="Y2439" s="10"/>
      <c r="Z2439" s="10"/>
    </row>
    <row r="2440" spans="1:26" ht="12.75">
      <c r="A2440" s="10" t="str">
        <f ca="1">IFERROR(__xludf.DUMMYFUNCTION("""COMPUTED_VALUE"""),"Евгений Иванов Сачев")</f>
        <v>Евгений Иванов Сачев</v>
      </c>
      <c r="B2440" s="10" t="str">
        <f ca="1">IFERROR(__xludf.DUMMYFUNCTION("""COMPUTED_VALUE"""),"Книга")</f>
        <v>Книга</v>
      </c>
      <c r="C2440" s="10" t="str">
        <f ca="1">IFERROR(__xludf.DUMMYFUNCTION("""COMPUTED_VALUE"""),"Културономична документология")</f>
        <v>Културономична документология</v>
      </c>
      <c r="D2440" s="10">
        <f ca="1">IFERROR(__xludf.DUMMYFUNCTION("""COMPUTED_VALUE"""),2015)</f>
        <v>2015</v>
      </c>
      <c r="E2440" s="10" t="str">
        <f ca="1">IFERROR(__xludf.DUMMYFUNCTION("""COMPUTED_VALUE"""),"София: ИК Новата цивилизация, 2015, 158 с. ISBN: 978 954 8365 86 4")</f>
        <v>София: ИК Новата цивилизация, 2015, 158 с. ISBN: 978 954 8365 86 4</v>
      </c>
      <c r="F2440" s="10"/>
      <c r="G2440" s="10"/>
      <c r="H2440" s="10"/>
      <c r="I2440" s="10"/>
      <c r="J2440" s="10"/>
      <c r="K2440" s="10"/>
      <c r="L2440" s="10"/>
      <c r="M2440" s="10"/>
      <c r="N2440" s="10"/>
      <c r="O2440" s="10"/>
      <c r="P2440" s="10"/>
      <c r="Q2440" s="10"/>
      <c r="R2440" s="10"/>
      <c r="S2440" s="10"/>
      <c r="T2440" s="10"/>
      <c r="U2440" s="10"/>
      <c r="V2440" s="10"/>
      <c r="W2440" s="10"/>
      <c r="X2440" s="10"/>
      <c r="Y2440" s="10"/>
      <c r="Z2440" s="10"/>
    </row>
    <row r="2441" spans="1:26" ht="12.75">
      <c r="A2441" s="10" t="str">
        <f ca="1">IFERROR(__xludf.DUMMYFUNCTION("""COMPUTED_VALUE"""),"Евгений Иванов Сачев")</f>
        <v>Евгений Иванов Сачев</v>
      </c>
      <c r="B2441" s="10" t="str">
        <f ca="1">IFERROR(__xludf.DUMMYFUNCTION("""COMPUTED_VALUE"""),"Доклад от конференция")</f>
        <v>Доклад от конференция</v>
      </c>
      <c r="C2441" s="10" t="str">
        <f ca="1">IFERROR(__xludf.DUMMYFUNCTION("""COMPUTED_VALUE"""),"Славянство, концепция устойчивого развития и будущий мир")</f>
        <v>Славянство, концепция устойчивого развития и будущий мир</v>
      </c>
      <c r="D2441" s="10">
        <f ca="1">IFERROR(__xludf.DUMMYFUNCTION("""COMPUTED_VALUE"""),2015)</f>
        <v>2015</v>
      </c>
      <c r="E2441" s="10" t="str">
        <f ca="1">IFERROR(__xludf.DUMMYFUNCTION("""COMPUTED_VALUE"""),"Славянската култура в Европа - история, настояще и бъдеще : сборник с материали от Международна научно-практическа ""онлайн-конференция"" = Славянская культура в Европе - история, настоящее и будущее : сборник материалов Международной научно-практической "&amp;"""онлайн-конференции"".- София : За буквите - О писменехь, 2015. S. 192-195. ISBN 978-619-185-158-4")</f>
        <v>Славянската култура в Европа - история, настояще и бъдеще : сборник с материали от Международна научно-практическа "онлайн-конференция" = Славянская культура в Европе - история, настоящее и будущее : сборник материалов Международной научно-практической "онлайн-конференции".- София : За буквите - О писменехь, 2015. S. 192-195. ISBN 978-619-185-158-4</v>
      </c>
      <c r="F2441" s="10"/>
      <c r="G2441" s="10"/>
      <c r="H2441" s="10"/>
      <c r="I2441" s="10"/>
      <c r="J2441" s="10"/>
      <c r="K2441" s="10"/>
      <c r="L2441" s="10"/>
      <c r="M2441" s="10"/>
      <c r="N2441" s="10"/>
      <c r="O2441" s="10"/>
      <c r="P2441" s="10"/>
      <c r="Q2441" s="10"/>
      <c r="R2441" s="10"/>
      <c r="S2441" s="10"/>
      <c r="T2441" s="10"/>
      <c r="U2441" s="10"/>
      <c r="V2441" s="10"/>
      <c r="W2441" s="10"/>
      <c r="X2441" s="10"/>
      <c r="Y2441" s="10"/>
      <c r="Z2441" s="10"/>
    </row>
    <row r="2442" spans="1:26" ht="12.75">
      <c r="A2442" s="10" t="str">
        <f ca="1">IFERROR(__xludf.DUMMYFUNCTION("""COMPUTED_VALUE"""),"Евгений Иванов Сачев")</f>
        <v>Евгений Иванов Сачев</v>
      </c>
      <c r="B2442" s="10" t="str">
        <f ca="1">IFERROR(__xludf.DUMMYFUNCTION("""COMPUTED_VALUE"""),"Книга")</f>
        <v>Книга</v>
      </c>
      <c r="C2442" s="10" t="str">
        <f ca="1">IFERROR(__xludf.DUMMYFUNCTION("""COMPUTED_VALUE"""),"Въведение към историята на организираното масонско движение в България до 1940 г.")</f>
        <v>Въведение към историята на организираното масонско движение в България до 1940 г.</v>
      </c>
      <c r="D2442" s="10">
        <f ca="1">IFERROR(__xludf.DUMMYFUNCTION("""COMPUTED_VALUE"""),2015)</f>
        <v>2015</v>
      </c>
      <c r="E2442" s="10" t="str">
        <f ca="1">IFERROR(__xludf.DUMMYFUNCTION("""COMPUTED_VALUE"""),"София: ИК Новата цивилизация, 2015, 191 с. ISBN: 978 954 8365 85 7")</f>
        <v>София: ИК Новата цивилизация, 2015, 191 с. ISBN: 978 954 8365 85 7</v>
      </c>
      <c r="F2442" s="10"/>
      <c r="G2442" s="10"/>
      <c r="H2442" s="10"/>
      <c r="I2442" s="10"/>
      <c r="J2442" s="10"/>
      <c r="K2442" s="10"/>
      <c r="L2442" s="10"/>
      <c r="M2442" s="10"/>
      <c r="N2442" s="10"/>
      <c r="O2442" s="10"/>
      <c r="P2442" s="10"/>
      <c r="Q2442" s="10"/>
      <c r="R2442" s="10"/>
      <c r="S2442" s="10"/>
      <c r="T2442" s="10"/>
      <c r="U2442" s="10"/>
      <c r="V2442" s="10"/>
      <c r="W2442" s="10"/>
      <c r="X2442" s="10"/>
      <c r="Y2442" s="10"/>
      <c r="Z2442" s="10"/>
    </row>
    <row r="2443" spans="1:26" ht="12.75">
      <c r="A2443" s="10" t="str">
        <f ca="1">IFERROR(__xludf.DUMMYFUNCTION("""COMPUTED_VALUE"""),"Евгений Иванов Сачев")</f>
        <v>Евгений Иванов Сачев</v>
      </c>
      <c r="B2443" s="10" t="str">
        <f ca="1">IFERROR(__xludf.DUMMYFUNCTION("""COMPUTED_VALUE"""),"Доклад от конференция")</f>
        <v>Доклад от конференция</v>
      </c>
      <c r="C2443" s="10" t="str">
        <f ca="1">IFERROR(__xludf.DUMMYFUNCTION("""COMPUTED_VALUE"""),"Културономичната концепция за идентичността. Ч. 1., Културономичната концепция")</f>
        <v>Културономичната концепция за идентичността. Ч. 1., Културономичната концепция</v>
      </c>
      <c r="D2443" s="10">
        <f ca="1">IFERROR(__xludf.DUMMYFUNCTION("""COMPUTED_VALUE"""),2014)</f>
        <v>2014</v>
      </c>
      <c r="E2443" s="10" t="str">
        <f ca="1">IFERROR(__xludf.DUMMYFUNCTION("""COMPUTED_VALUE"""),"Обществото на знанието и хуманизмът на XXI век : национална научна конференция с международно участие= - София : За буквите - О писменехь, 2014, с. 79-90, ISSN 1314-7099")</f>
        <v>Обществото на знанието и хуманизмът на XXI век : национална научна конференция с международно участие= - София : За буквите - О писменехь, 2014, с. 79-90, ISSN 1314-7099</v>
      </c>
      <c r="F2443" s="10"/>
      <c r="G2443" s="10"/>
      <c r="H2443" s="10"/>
      <c r="I2443" s="10"/>
      <c r="J2443" s="10"/>
      <c r="K2443" s="10"/>
      <c r="L2443" s="10"/>
      <c r="M2443" s="10"/>
      <c r="N2443" s="10"/>
      <c r="O2443" s="10"/>
      <c r="P2443" s="10"/>
      <c r="Q2443" s="10"/>
      <c r="R2443" s="10"/>
      <c r="S2443" s="10"/>
      <c r="T2443" s="10"/>
      <c r="U2443" s="10"/>
      <c r="V2443" s="10"/>
      <c r="W2443" s="10"/>
      <c r="X2443" s="10"/>
      <c r="Y2443" s="10"/>
      <c r="Z2443" s="10"/>
    </row>
    <row r="2444" spans="1:26" ht="12.75">
      <c r="A2444" s="10" t="str">
        <f ca="1">IFERROR(__xludf.DUMMYFUNCTION("""COMPUTED_VALUE"""),"Евгений Иванов Сачев")</f>
        <v>Евгений Иванов Сачев</v>
      </c>
      <c r="B2444" s="10" t="str">
        <f ca="1">IFERROR(__xludf.DUMMYFUNCTION("""COMPUTED_VALUE"""),"Доклад от конференция")</f>
        <v>Доклад от конференция</v>
      </c>
      <c r="C2444" s="10" t="str">
        <f ca="1">IFERROR(__xludf.DUMMYFUNCTION("""COMPUTED_VALUE"""),"ЛАУЗ - един съвременен иновационен модел на УниБИТ")</f>
        <v>ЛАУЗ - един съвременен иновационен модел на УниБИТ</v>
      </c>
      <c r="D2444" s="10">
        <f ca="1">IFERROR(__xludf.DUMMYFUNCTION("""COMPUTED_VALUE"""),2014)</f>
        <v>2014</v>
      </c>
      <c r="E2444" s="10" t="str">
        <f ca="1">IFERROR(__xludf.DUMMYFUNCTION("""COMPUTED_VALUE"""),"Съвременни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София : За буквите - О писм"&amp;"енехь, 2014 S. 70-73, ISBN 978-619-185-140-9")</f>
        <v>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София : За буквите - О писменехь, 2014 S. 70-73, ISBN 978-619-185-140-9</v>
      </c>
      <c r="F2444" s="10"/>
      <c r="G2444" s="10"/>
      <c r="H2444" s="10"/>
      <c r="I2444" s="10"/>
      <c r="J2444" s="10"/>
      <c r="K2444" s="10"/>
      <c r="L2444" s="10"/>
      <c r="M2444" s="10"/>
      <c r="N2444" s="10"/>
      <c r="O2444" s="10"/>
      <c r="P2444" s="10"/>
      <c r="Q2444" s="10"/>
      <c r="R2444" s="10"/>
      <c r="S2444" s="10"/>
      <c r="T2444" s="10"/>
      <c r="U2444" s="10"/>
      <c r="V2444" s="10"/>
      <c r="W2444" s="10"/>
      <c r="X2444" s="10"/>
      <c r="Y2444" s="10"/>
      <c r="Z2444" s="10"/>
    </row>
    <row r="2445" spans="1:26" ht="12.75">
      <c r="A2445" s="10" t="str">
        <f ca="1">IFERROR(__xludf.DUMMYFUNCTION("""COMPUTED_VALUE"""),"Евгений Иванов Сачев")</f>
        <v>Евгений Иванов Сачев</v>
      </c>
      <c r="B2445" s="10" t="str">
        <f ca="1">IFERROR(__xludf.DUMMYFUNCTION("""COMPUTED_VALUE"""),"Доклад от конференция")</f>
        <v>Доклад от конференция</v>
      </c>
      <c r="C2445" s="10" t="str">
        <f ca="1">IFERROR(__xludf.DUMMYFUNCTION("""COMPUTED_VALUE"""),"Основни концепции на културономията - науката за паметниците на културата и на историята")</f>
        <v>Основни концепции на културономията - науката за паметниците на културата и на историята</v>
      </c>
      <c r="D2445" s="10">
        <f ca="1">IFERROR(__xludf.DUMMYFUNCTION("""COMPUTED_VALUE"""),2013)</f>
        <v>2013</v>
      </c>
      <c r="E2445" s="10" t="str">
        <f ca="1">IFERROR(__xludf.DUMMYFUNCTION("""COMPUTED_VALUE"""),"Обществото на знанието и хуманизмът на XXI век : национална научна конференция с международно участие ISSN: 1314-7099.- T. 10 (2013), s. 54-68")</f>
        <v>Обществото на знанието и хуманизмът на XXI век : национална научна конференция с международно участие ISSN: 1314-7099.- T. 10 (2013), s. 54-68</v>
      </c>
      <c r="F2445" s="10"/>
      <c r="G2445" s="10"/>
      <c r="H2445" s="10"/>
      <c r="I2445" s="10"/>
      <c r="J2445" s="10"/>
      <c r="K2445" s="10"/>
      <c r="L2445" s="10"/>
      <c r="M2445" s="10"/>
      <c r="N2445" s="10"/>
      <c r="O2445" s="10"/>
      <c r="P2445" s="10"/>
      <c r="Q2445" s="10"/>
      <c r="R2445" s="10"/>
      <c r="S2445" s="10"/>
      <c r="T2445" s="10"/>
      <c r="U2445" s="10"/>
      <c r="V2445" s="10"/>
      <c r="W2445" s="10"/>
      <c r="X2445" s="10"/>
      <c r="Y2445" s="10"/>
      <c r="Z2445" s="10"/>
    </row>
    <row r="2446" spans="1:26" ht="12.75">
      <c r="A2446" s="10" t="str">
        <f ca="1">IFERROR(__xludf.DUMMYFUNCTION("""COMPUTED_VALUE"""),"Евгений Иванов Сачев")</f>
        <v>Евгений Иванов Сачев</v>
      </c>
      <c r="B2446" s="10" t="str">
        <f ca="1">IFERROR(__xludf.DUMMYFUNCTION("""COMPUTED_VALUE"""),"Монография")</f>
        <v>Монография</v>
      </c>
      <c r="C2446" s="10" t="str">
        <f ca="1">IFERROR(__xludf.DUMMYFUNCTION("""COMPUTED_VALUE"""),"Основни концепции на културономията")</f>
        <v>Основни концепции на културономията</v>
      </c>
      <c r="D2446" s="10">
        <f ca="1">IFERROR(__xludf.DUMMYFUNCTION("""COMPUTED_VALUE"""),2012)</f>
        <v>2012</v>
      </c>
      <c r="E2446" s="10" t="str">
        <f ca="1">IFERROR(__xludf.DUMMYFUNCTION("""COMPUTED_VALUE"""),"- София: ИК ""Новата цивилизация"", 2012, 144 с. ISBN: 978-954-836566-6")</f>
        <v>- София: ИК "Новата цивилизация", 2012, 144 с. ISBN: 978-954-836566-6</v>
      </c>
      <c r="F2446" s="10"/>
      <c r="G2446" s="10"/>
      <c r="H2446" s="10"/>
      <c r="I2446" s="10"/>
      <c r="J2446" s="10"/>
      <c r="K2446" s="10"/>
      <c r="L2446" s="10"/>
      <c r="M2446" s="10"/>
      <c r="N2446" s="10"/>
      <c r="O2446" s="10"/>
      <c r="P2446" s="10"/>
      <c r="Q2446" s="10"/>
      <c r="R2446" s="10"/>
      <c r="S2446" s="10"/>
      <c r="T2446" s="10"/>
      <c r="U2446" s="10"/>
      <c r="V2446" s="10"/>
      <c r="W2446" s="10"/>
      <c r="X2446" s="10"/>
      <c r="Y2446" s="10"/>
      <c r="Z2446" s="10"/>
    </row>
    <row r="2447" spans="1:26" ht="12.75">
      <c r="A2447" s="10" t="str">
        <f ca="1">IFERROR(__xludf.DUMMYFUNCTION("""COMPUTED_VALUE"""),"Евгений Иванов Сачев")</f>
        <v>Евгений Иванов Сачев</v>
      </c>
      <c r="B2447" s="10" t="str">
        <f ca="1">IFERROR(__xludf.DUMMYFUNCTION("""COMPUTED_VALUE"""),"Статия в списания и поредици")</f>
        <v>Статия в списания и поредици</v>
      </c>
      <c r="C2447" s="10" t="str">
        <f ca="1">IFERROR(__xludf.DUMMYFUNCTION("""COMPUTED_VALUE"""),"Национална сигурност - същност, структура и основни приоритети")</f>
        <v>Национална сигурност - същност, структура и основни приоритети</v>
      </c>
      <c r="D2447" s="10">
        <f ca="1">IFERROR(__xludf.DUMMYFUNCTION("""COMPUTED_VALUE"""),2012)</f>
        <v>2012</v>
      </c>
      <c r="E2447" s="10" t="str">
        <f ca="1">IFERROR(__xludf.DUMMYFUNCTION("""COMPUTED_VALUE"""),"Научни трудове на Университета по библиотекознание и информационни технологии. - София : За буквите - О писменехь, с. 183-189, ISSN 1314-2623")</f>
        <v>Научни трудове на Университета по библиотекознание и информационни технологии. - София : За буквите - О писменехь, с. 183-189, ISSN 1314-2623</v>
      </c>
      <c r="F2447" s="10"/>
      <c r="G2447" s="10"/>
      <c r="H2447" s="10"/>
      <c r="I2447" s="10"/>
      <c r="J2447" s="10"/>
      <c r="K2447" s="10"/>
      <c r="L2447" s="10"/>
      <c r="M2447" s="10"/>
      <c r="N2447" s="10"/>
      <c r="O2447" s="10"/>
      <c r="P2447" s="10"/>
      <c r="Q2447" s="10"/>
      <c r="R2447" s="10"/>
      <c r="S2447" s="10"/>
      <c r="T2447" s="10"/>
      <c r="U2447" s="10"/>
      <c r="V2447" s="10"/>
      <c r="W2447" s="10"/>
      <c r="X2447" s="10"/>
      <c r="Y2447" s="10"/>
      <c r="Z2447" s="10"/>
    </row>
    <row r="2448" spans="1:26" ht="12.75">
      <c r="A2448" s="10" t="str">
        <f ca="1">IFERROR(__xludf.DUMMYFUNCTION("""COMPUTED_VALUE"""),"Евгений Иванов Сачев")</f>
        <v>Евгений Иванов Сачев</v>
      </c>
      <c r="B2448" s="10" t="str">
        <f ca="1">IFERROR(__xludf.DUMMYFUNCTION("""COMPUTED_VALUE"""),"Статия в списания и поредици")</f>
        <v>Статия в списания и поредици</v>
      </c>
      <c r="C2448" s="10" t="str">
        <f ca="1">IFERROR(__xludf.DUMMYFUNCTION("""COMPUTED_VALUE"""),"Българското читалище: първият европейски социокомуникативен институт")</f>
        <v>Българското читалище: първият европейски социокомуникативен институт</v>
      </c>
      <c r="D2448" s="10">
        <f ca="1">IFERROR(__xludf.DUMMYFUNCTION("""COMPUTED_VALUE"""),2012)</f>
        <v>2012</v>
      </c>
      <c r="E2448" s="10" t="str">
        <f ca="1">IFERROR(__xludf.DUMMYFUNCTION("""COMPUTED_VALUE"""),"Научни трудове на Университета по библиотекознание и информационни технологии. - София : За буквите - О писменехь, 2012, с. 165-181, ISSN 1314-2623")</f>
        <v>Научни трудове на Университета по библиотекознание и информационни технологии. - София : За буквите - О писменехь, 2012, с. 165-181, ISSN 1314-2623</v>
      </c>
      <c r="F2448" s="10"/>
      <c r="G2448" s="10"/>
      <c r="H2448" s="10"/>
      <c r="I2448" s="10"/>
      <c r="J2448" s="10"/>
      <c r="K2448" s="10"/>
      <c r="L2448" s="10"/>
      <c r="M2448" s="10"/>
      <c r="N2448" s="10"/>
      <c r="O2448" s="10"/>
      <c r="P2448" s="10"/>
      <c r="Q2448" s="10"/>
      <c r="R2448" s="10"/>
      <c r="S2448" s="10"/>
      <c r="T2448" s="10"/>
      <c r="U2448" s="10"/>
      <c r="V2448" s="10"/>
      <c r="W2448" s="10"/>
      <c r="X2448" s="10"/>
      <c r="Y2448" s="10"/>
      <c r="Z2448" s="10"/>
    </row>
    <row r="2449" spans="1:26" ht="12.75">
      <c r="A2449" s="10" t="str">
        <f ca="1">IFERROR(__xludf.DUMMYFUNCTION("""COMPUTED_VALUE"""),"Евгений Иванов Сачев")</f>
        <v>Евгений Иванов Сачев</v>
      </c>
      <c r="B2449" s="10" t="str">
        <f ca="1">IFERROR(__xludf.DUMMYFUNCTION("""COMPUTED_VALUE"""),"Статия в списания и поредици")</f>
        <v>Статия в списания и поредици</v>
      </c>
      <c r="C2449" s="10" t="str">
        <f ca="1">IFERROR(__xludf.DUMMYFUNCTION("""COMPUTED_VALUE"""),"Културна политика и национална сигурност")</f>
        <v>Културна политика и национална сигурност</v>
      </c>
      <c r="D2449" s="10">
        <f ca="1">IFERROR(__xludf.DUMMYFUNCTION("""COMPUTED_VALUE"""),2012)</f>
        <v>2012</v>
      </c>
      <c r="E2449" s="10" t="str">
        <f ca="1">IFERROR(__xludf.DUMMYFUNCTION("""COMPUTED_VALUE"""),"Научни трудове на Университета по библиотекознание и информационни технологии. - София : За буквите - О писменехь, 2012, с. 191-198, ISSN 1314-2623с.")</f>
        <v>Научни трудове на Университета по библиотекознание и информационни технологии. - София : За буквите - О писменехь, 2012, с. 191-198, ISSN 1314-2623с.</v>
      </c>
      <c r="F2449" s="10"/>
      <c r="G2449" s="10"/>
      <c r="H2449" s="10"/>
      <c r="I2449" s="10"/>
      <c r="J2449" s="10"/>
      <c r="K2449" s="10"/>
      <c r="L2449" s="10"/>
      <c r="M2449" s="10"/>
      <c r="N2449" s="10"/>
      <c r="O2449" s="10"/>
      <c r="P2449" s="10"/>
      <c r="Q2449" s="10"/>
      <c r="R2449" s="10"/>
      <c r="S2449" s="10"/>
      <c r="T2449" s="10"/>
      <c r="U2449" s="10"/>
      <c r="V2449" s="10"/>
      <c r="W2449" s="10"/>
      <c r="X2449" s="10"/>
      <c r="Y2449" s="10"/>
      <c r="Z2449" s="10"/>
    </row>
    <row r="2450" spans="1:26" ht="12.75">
      <c r="A2450" s="10" t="str">
        <f ca="1">IFERROR(__xludf.DUMMYFUNCTION("""COMPUTED_VALUE"""),"Евгений Иванов Сачев")</f>
        <v>Евгений Иванов Сачев</v>
      </c>
      <c r="B2450" s="10" t="str">
        <f ca="1">IFERROR(__xludf.DUMMYFUNCTION("""COMPUTED_VALUE"""),"Статия в списания и поредици")</f>
        <v>Статия в списания и поредици</v>
      </c>
      <c r="C2450" s="10" t="str">
        <f ca="1">IFERROR(__xludf.DUMMYFUNCTION("""COMPUTED_VALUE"""),"Основни проблеми и приоритети на дейността, свързана със социализацията на културно-историческото наследство на Република България")</f>
        <v>Основни проблеми и приоритети на дейността, свързана със социализацията на културно-историческото наследство на Република България</v>
      </c>
      <c r="D2450" s="10">
        <f ca="1">IFERROR(__xludf.DUMMYFUNCTION("""COMPUTED_VALUE"""),2011)</f>
        <v>2011</v>
      </c>
      <c r="E2450" s="10" t="str">
        <f ca="1">IFERROR(__xludf.DUMMYFUNCTION("""COMPUTED_VALUE"""),"Научни трудове на Университета по библиотекознание и информационни технологии = Proceedings of the State University of Library Studies and Information Technologies ISSN: 1314-2623.- T. 9 (2011), с. 175-186")</f>
        <v>Научни трудове на Университета по библиотекознание и информационни технологии = Proceedings of the State University of Library Studies and Information Technologies ISSN: 1314-2623.- T. 9 (2011), с. 175-186</v>
      </c>
      <c r="F2450" s="10"/>
      <c r="G2450" s="10"/>
      <c r="H2450" s="10"/>
      <c r="I2450" s="10"/>
      <c r="J2450" s="10"/>
      <c r="K2450" s="10"/>
      <c r="L2450" s="10"/>
      <c r="M2450" s="10"/>
      <c r="N2450" s="10"/>
      <c r="O2450" s="10"/>
      <c r="P2450" s="10"/>
      <c r="Q2450" s="10"/>
      <c r="R2450" s="10"/>
      <c r="S2450" s="10"/>
      <c r="T2450" s="10"/>
      <c r="U2450" s="10"/>
      <c r="V2450" s="10"/>
      <c r="W2450" s="10"/>
      <c r="X2450" s="10"/>
      <c r="Y2450" s="10"/>
      <c r="Z2450" s="10"/>
    </row>
    <row r="2451" spans="1:26" ht="12.75">
      <c r="A2451" s="10" t="str">
        <f ca="1">IFERROR(__xludf.DUMMYFUNCTION("""COMPUTED_VALUE"""),"Евгений Иванов Сачев")</f>
        <v>Евгений Иванов Сачев</v>
      </c>
      <c r="B2451" s="10" t="str">
        <f ca="1">IFERROR(__xludf.DUMMYFUNCTION("""COMPUTED_VALUE"""),"Монография")</f>
        <v>Монография</v>
      </c>
      <c r="C2451" s="10" t="str">
        <f ca="1">IFERROR(__xludf.DUMMYFUNCTION("""COMPUTED_VALUE"""),"Въведение в културономията")</f>
        <v>Въведение в културономията</v>
      </c>
      <c r="D2451" s="10">
        <f ca="1">IFERROR(__xludf.DUMMYFUNCTION("""COMPUTED_VALUE"""),2011)</f>
        <v>2011</v>
      </c>
      <c r="E2451" s="10" t="str">
        <f ca="1">IFERROR(__xludf.DUMMYFUNCTION("""COMPUTED_VALUE"""),"- София: АВ Дизайн Груп, 2011, 272 с. ISBN 978-954-92838-1-5")</f>
        <v>- София: АВ Дизайн Груп, 2011, 272 с. ISBN 978-954-92838-1-5</v>
      </c>
      <c r="F2451" s="10"/>
      <c r="G2451" s="10"/>
      <c r="H2451" s="10"/>
      <c r="I2451" s="10"/>
      <c r="J2451" s="10"/>
      <c r="K2451" s="10"/>
      <c r="L2451" s="10"/>
      <c r="M2451" s="10"/>
      <c r="N2451" s="10"/>
      <c r="O2451" s="10"/>
      <c r="P2451" s="10"/>
      <c r="Q2451" s="10"/>
      <c r="R2451" s="10"/>
      <c r="S2451" s="10"/>
      <c r="T2451" s="10"/>
      <c r="U2451" s="10"/>
      <c r="V2451" s="10"/>
      <c r="W2451" s="10"/>
      <c r="X2451" s="10"/>
      <c r="Y2451" s="10"/>
      <c r="Z2451" s="10"/>
    </row>
    <row r="2452" spans="1:26" ht="12.75">
      <c r="A2452" s="10" t="str">
        <f ca="1">IFERROR(__xludf.DUMMYFUNCTION("""COMPUTED_VALUE"""),"Евгений Иванов Сачев")</f>
        <v>Евгений Иванов Сачев</v>
      </c>
      <c r="B2452" s="10" t="str">
        <f ca="1">IFERROR(__xludf.DUMMYFUNCTION("""COMPUTED_VALUE"""),"Статия в списания и поредици")</f>
        <v>Статия в списания и поредици</v>
      </c>
      <c r="C2452" s="10" t="str">
        <f ca="1">IFERROR(__xludf.DUMMYFUNCTION("""COMPUTED_VALUE"""),"Специфика на приватизацията в социокултурно-историческата дейност в Европа")</f>
        <v>Специфика на приватизацията в социокултурно-историческата дейност в Европа</v>
      </c>
      <c r="D2452" s="10">
        <f ca="1">IFERROR(__xludf.DUMMYFUNCTION("""COMPUTED_VALUE"""),2011)</f>
        <v>2011</v>
      </c>
      <c r="E2452" s="10" t="str">
        <f ca="1">IFERROR(__xludf.DUMMYFUNCTION("""COMPUTED_VALUE"""),"Научни трудове на Университета по библиотекознание и информационни технологии = Proceedings of the State University of Library Studies and Information Technologies ISSN: 1314-2623.- T. 9 (2011), s. 187-200")</f>
        <v>Научни трудове на Университета по библиотекознание и информационни технологии = Proceedings of the State University of Library Studies and Information Technologies ISSN: 1314-2623.- T. 9 (2011), s. 187-200</v>
      </c>
      <c r="F2452" s="10"/>
      <c r="G2452" s="10"/>
      <c r="H2452" s="10"/>
      <c r="I2452" s="10"/>
      <c r="J2452" s="10"/>
      <c r="K2452" s="10"/>
      <c r="L2452" s="10"/>
      <c r="M2452" s="10"/>
      <c r="N2452" s="10"/>
      <c r="O2452" s="10"/>
      <c r="P2452" s="10"/>
      <c r="Q2452" s="10"/>
      <c r="R2452" s="10"/>
      <c r="S2452" s="10"/>
      <c r="T2452" s="10"/>
      <c r="U2452" s="10"/>
      <c r="V2452" s="10"/>
      <c r="W2452" s="10"/>
      <c r="X2452" s="10"/>
      <c r="Y2452" s="10"/>
      <c r="Z2452" s="10"/>
    </row>
    <row r="2453" spans="1:26" ht="12.75">
      <c r="A2453" s="10" t="str">
        <f ca="1">IFERROR(__xludf.DUMMYFUNCTION("""COMPUTED_VALUE"""),"Евгений Иванов Сачев")</f>
        <v>Евгений Иванов Сачев</v>
      </c>
      <c r="B2453" s="10" t="str">
        <f ca="1">IFERROR(__xludf.DUMMYFUNCTION("""COMPUTED_VALUE"""),"Книга")</f>
        <v>Книга</v>
      </c>
      <c r="C2453" s="10" t="str">
        <f ca="1">IFERROR(__xludf.DUMMYFUNCTION("""COMPUTED_VALUE"""),"Паметници на културата и историята : теоретико-методологични и информационни проблеми")</f>
        <v>Паметници на културата и историята : теоретико-методологични и информационни проблеми</v>
      </c>
      <c r="D2453" s="10">
        <f ca="1">IFERROR(__xludf.DUMMYFUNCTION("""COMPUTED_VALUE"""),2010)</f>
        <v>2010</v>
      </c>
      <c r="E2453" s="10" t="str">
        <f ca="1">IFERROR(__xludf.DUMMYFUNCTION("""COMPUTED_VALUE"""),"София : За буквите - О писменехь, 2010, 198 с. : със сх. ; 24 см. ISBN 978-954-8887-63-2")</f>
        <v>София : За буквите - О писменехь, 2010, 198 с. : със сх. ; 24 см. ISBN 978-954-8887-63-2</v>
      </c>
      <c r="F2453" s="10"/>
      <c r="G2453" s="10" t="str">
        <f ca="1">IFERROR(__xludf.DUMMYFUNCTION("""COMPUTED_VALUE"""),"Ст. Денчев")</f>
        <v>Ст. Денчев</v>
      </c>
      <c r="H2453" s="10"/>
      <c r="I2453" s="10"/>
      <c r="J2453" s="10"/>
      <c r="K2453" s="10"/>
      <c r="L2453" s="10"/>
      <c r="M2453" s="10"/>
      <c r="N2453" s="10"/>
      <c r="O2453" s="10"/>
      <c r="P2453" s="10"/>
      <c r="Q2453" s="10"/>
      <c r="R2453" s="10"/>
      <c r="S2453" s="10"/>
      <c r="T2453" s="10"/>
      <c r="U2453" s="10"/>
      <c r="V2453" s="10"/>
      <c r="W2453" s="10"/>
      <c r="X2453" s="10"/>
      <c r="Y2453" s="10"/>
      <c r="Z2453" s="10"/>
    </row>
    <row r="2454" spans="1:26" ht="12.75">
      <c r="A2454" s="10" t="str">
        <f ca="1">IFERROR(__xludf.DUMMYFUNCTION("""COMPUTED_VALUE"""),"Евгений Иванов Сачев")</f>
        <v>Евгений Иванов Сачев</v>
      </c>
      <c r="B2454" s="10" t="str">
        <f ca="1">IFERROR(__xludf.DUMMYFUNCTION("""COMPUTED_VALUE"""),"Монография")</f>
        <v>Монография</v>
      </c>
      <c r="C2454" s="10" t="str">
        <f ca="1">IFERROR(__xludf.DUMMYFUNCTION("""COMPUTED_VALUE"""),"Цивилизация и социокултурноисторическа сигурност")</f>
        <v>Цивилизация и социокултурноисторическа сигурност</v>
      </c>
      <c r="D2454" s="10">
        <f ca="1">IFERROR(__xludf.DUMMYFUNCTION("""COMPUTED_VALUE"""),2010)</f>
        <v>2010</v>
      </c>
      <c r="E2454" s="10" t="str">
        <f ca="1">IFERROR(__xludf.DUMMYFUNCTION("""COMPUTED_VALUE"""),"- София: Даниела Убенова, 260 с. , ISBN: 978-954-791-146-8")</f>
        <v>- София: Даниела Убенова, 260 с. , ISBN: 978-954-791-146-8</v>
      </c>
      <c r="F2454" s="10"/>
      <c r="G2454" s="10"/>
      <c r="H2454" s="10"/>
      <c r="I2454" s="10"/>
      <c r="J2454" s="10"/>
      <c r="K2454" s="10"/>
      <c r="L2454" s="10"/>
      <c r="M2454" s="10"/>
      <c r="N2454" s="10"/>
      <c r="O2454" s="10"/>
      <c r="P2454" s="10"/>
      <c r="Q2454" s="10"/>
      <c r="R2454" s="10"/>
      <c r="S2454" s="10"/>
      <c r="T2454" s="10"/>
      <c r="U2454" s="10"/>
      <c r="V2454" s="10"/>
      <c r="W2454" s="10"/>
      <c r="X2454" s="10"/>
      <c r="Y2454" s="10"/>
      <c r="Z2454" s="10"/>
    </row>
    <row r="2455" spans="1:26" ht="12.75">
      <c r="A2455" s="10" t="str">
        <f ca="1">IFERROR(__xludf.DUMMYFUNCTION("""COMPUTED_VALUE"""),"Евгений Иванов Сачев")</f>
        <v>Евгений Иванов Сачев</v>
      </c>
      <c r="B2455" s="10" t="str">
        <f ca="1">IFERROR(__xludf.DUMMYFUNCTION("""COMPUTED_VALUE"""),"Статия в списания и поредици")</f>
        <v>Статия в списания и поредици</v>
      </c>
      <c r="C2455" s="10" t="str">
        <f ca="1">IFERROR(__xludf.DUMMYFUNCTION("""COMPUTED_VALUE"""),"Класификация на паметниците на културата и историята")</f>
        <v>Класификация на паметниците на културата и историята</v>
      </c>
      <c r="D2455" s="10">
        <f ca="1">IFERROR(__xludf.DUMMYFUNCTION("""COMPUTED_VALUE"""),2010)</f>
        <v>2010</v>
      </c>
      <c r="E2455" s="10" t="str">
        <f ca="1">IFERROR(__xludf.DUMMYFUNCTION("""COMPUTED_VALUE"""),"// Трудове на Специализираното висше училище по библиотекознание и информационни технологии. - София: За буквите - О писменехь, 2010,Т. 8, с. 245-252. ISSN: 1312-5834")</f>
        <v>// Трудове на Специализираното висше училище по библиотекознание и информационни технологии. - София: За буквите - О писменехь, 2010,Т. 8, с. 245-252. ISSN: 1312-5834</v>
      </c>
      <c r="F2455" s="10"/>
      <c r="G2455" s="10"/>
      <c r="H2455" s="10"/>
      <c r="I2455" s="10"/>
      <c r="J2455" s="10"/>
      <c r="K2455" s="10"/>
      <c r="L2455" s="10"/>
      <c r="M2455" s="10"/>
      <c r="N2455" s="10"/>
      <c r="O2455" s="10"/>
      <c r="P2455" s="10"/>
      <c r="Q2455" s="10"/>
      <c r="R2455" s="10"/>
      <c r="S2455" s="10"/>
      <c r="T2455" s="10"/>
      <c r="U2455" s="10"/>
      <c r="V2455" s="10"/>
      <c r="W2455" s="10"/>
      <c r="X2455" s="10"/>
      <c r="Y2455" s="10"/>
      <c r="Z2455" s="10"/>
    </row>
    <row r="2456" spans="1:26" ht="12.75">
      <c r="A2456" s="10" t="str">
        <f ca="1">IFERROR(__xludf.DUMMYFUNCTION("""COMPUTED_VALUE"""),"Евгений Иванов Сачев")</f>
        <v>Евгений Иванов Сачев</v>
      </c>
      <c r="B2456" s="10" t="str">
        <f ca="1">IFERROR(__xludf.DUMMYFUNCTION("""COMPUTED_VALUE"""),"Доклад от конференция")</f>
        <v>Доклад от конференция</v>
      </c>
      <c r="C2456" s="10" t="str">
        <f ca="1">IFERROR(__xludf.DUMMYFUNCTION("""COMPUTED_VALUE"""),"Социокомуникативна логистика на социокултурно-историческата дейност")</f>
        <v>Социокомуникативна логистика на социокултурно-историческата дейност</v>
      </c>
      <c r="D2456" s="10">
        <f ca="1">IFERROR(__xludf.DUMMYFUNCTION("""COMPUTED_VALUE"""),2010)</f>
        <v>2010</v>
      </c>
      <c r="E2456" s="10" t="str">
        <f ca="1">IFERROR(__xludf.DUMMYFUNCTION("""COMPUTED_VALUE"""),"// България - кръстопът на култури и цивилизации, Седма национална научна конференция с международно участие, София, 1 ноември 2009 г., - София: За буквите - О писменехь, 2010, с. 569-592. ISBN: 978-954-8887-91-5 ISBN")</f>
        <v>// България - кръстопът на култури и цивилизации, Седма национална научна конференция с международно участие, София, 1 ноември 2009 г., - София: За буквите - О писменехь, 2010, с. 569-592. ISBN: 978-954-8887-91-5 ISBN</v>
      </c>
      <c r="F2456" s="10"/>
      <c r="G2456" s="10"/>
      <c r="H2456" s="10"/>
      <c r="I2456" s="10"/>
      <c r="J2456" s="10"/>
      <c r="K2456" s="10"/>
      <c r="L2456" s="10"/>
      <c r="M2456" s="10"/>
      <c r="N2456" s="10"/>
      <c r="O2456" s="10"/>
      <c r="P2456" s="10"/>
      <c r="Q2456" s="10"/>
      <c r="R2456" s="10"/>
      <c r="S2456" s="10"/>
      <c r="T2456" s="10"/>
      <c r="U2456" s="10"/>
      <c r="V2456" s="10"/>
      <c r="W2456" s="10"/>
      <c r="X2456" s="10"/>
      <c r="Y2456" s="10"/>
      <c r="Z2456" s="10"/>
    </row>
    <row r="2457" spans="1:26" ht="12.75">
      <c r="A2457" s="10" t="str">
        <f ca="1">IFERROR(__xludf.DUMMYFUNCTION("""COMPUTED_VALUE"""),"Евгений Иванов Сачев")</f>
        <v>Евгений Иванов Сачев</v>
      </c>
      <c r="B2457" s="10" t="str">
        <f ca="1">IFERROR(__xludf.DUMMYFUNCTION("""COMPUTED_VALUE"""),"Доклад от конференция")</f>
        <v>Доклад от конференция</v>
      </c>
      <c r="C2457" s="10" t="str">
        <f ca="1">IFERROR(__xludf.DUMMYFUNCTION("""COMPUTED_VALUE"""),"Същност и структура на социокомуникативното знание")</f>
        <v>Същност и структура на социокомуникативното знание</v>
      </c>
      <c r="D2457" s="10">
        <f ca="1">IFERROR(__xludf.DUMMYFUNCTION("""COMPUTED_VALUE"""),2010)</f>
        <v>2010</v>
      </c>
      <c r="E2457" s="10" t="str">
        <f ca="1">IFERROR(__xludf.DUMMYFUNCTION("""COMPUTED_VALUE"""),"// Обществото на знанието и хуманизмът на ХХІ век: Осма национална научна конференция с международно участие, София, 1 ноември 2010 г., - София: За буквите - О писменехь, 2010, с. 62-83. ISBN 978-954-2946-09-0")</f>
        <v>// Обществото на знанието и хуманизмът на ХХІ век: Осма национална научна конференция с международно участие, София, 1 ноември 2010 г., - София: За буквите - О писменехь, 2010, с. 62-83. ISBN 978-954-2946-09-0</v>
      </c>
      <c r="F2457" s="10"/>
      <c r="G2457" s="10"/>
      <c r="H2457" s="10"/>
      <c r="I2457" s="10"/>
      <c r="J2457" s="10"/>
      <c r="K2457" s="10"/>
      <c r="L2457" s="10"/>
      <c r="M2457" s="10"/>
      <c r="N2457" s="10"/>
      <c r="O2457" s="10"/>
      <c r="P2457" s="10"/>
      <c r="Q2457" s="10"/>
      <c r="R2457" s="10"/>
      <c r="S2457" s="10"/>
      <c r="T2457" s="10"/>
      <c r="U2457" s="10"/>
      <c r="V2457" s="10"/>
      <c r="W2457" s="10"/>
      <c r="X2457" s="10"/>
      <c r="Y2457" s="10"/>
      <c r="Z2457" s="10"/>
    </row>
    <row r="2458" spans="1:26" ht="12.75">
      <c r="A2458" s="10" t="str">
        <f ca="1">IFERROR(__xludf.DUMMYFUNCTION("""COMPUTED_VALUE"""),"Евгений Иванов Сачев")</f>
        <v>Евгений Иванов Сачев</v>
      </c>
      <c r="B2458" s="10" t="str">
        <f ca="1">IFERROR(__xludf.DUMMYFUNCTION("""COMPUTED_VALUE"""),"Книга")</f>
        <v>Книга</v>
      </c>
      <c r="C2458" s="10" t="str">
        <f ca="1">IFERROR(__xludf.DUMMYFUNCTION("""COMPUTED_VALUE"""),"Основи на социокомуникативната логистика на социокултурно-историческата дейност")</f>
        <v>Основи на социокомуникативната логистика на социокултурно-историческата дейност</v>
      </c>
      <c r="D2458" s="10">
        <f ca="1">IFERROR(__xludf.DUMMYFUNCTION("""COMPUTED_VALUE"""),2009)</f>
        <v>2009</v>
      </c>
      <c r="E2458" s="10" t="str">
        <f ca="1">IFERROR(__xludf.DUMMYFUNCTION("""COMPUTED_VALUE"""),"Ст. Загора : Литера принт АД, 2009, 179 с. : с ил. ; 29 см, ISBN 978-954-487-088-1")</f>
        <v>Ст. Загора : Литера принт АД, 2009, 179 с. : с ил. ; 29 см, ISBN 978-954-487-088-1</v>
      </c>
      <c r="F2458" s="10"/>
      <c r="G2458" s="10"/>
      <c r="H2458" s="10"/>
      <c r="I2458" s="10"/>
      <c r="J2458" s="10"/>
      <c r="K2458" s="10"/>
      <c r="L2458" s="10"/>
      <c r="M2458" s="10"/>
      <c r="N2458" s="10"/>
      <c r="O2458" s="10"/>
      <c r="P2458" s="10"/>
      <c r="Q2458" s="10"/>
      <c r="R2458" s="10"/>
      <c r="S2458" s="10"/>
      <c r="T2458" s="10"/>
      <c r="U2458" s="10"/>
      <c r="V2458" s="10"/>
      <c r="W2458" s="10"/>
      <c r="X2458" s="10"/>
      <c r="Y2458" s="10"/>
      <c r="Z2458" s="10"/>
    </row>
    <row r="2459" spans="1:26" ht="12.75">
      <c r="A2459" s="10" t="str">
        <f ca="1">IFERROR(__xludf.DUMMYFUNCTION("""COMPUTED_VALUE"""),"Евгений Иванов Сачев")</f>
        <v>Евгений Иванов Сачев</v>
      </c>
      <c r="B2459" s="10" t="str">
        <f ca="1">IFERROR(__xludf.DUMMYFUNCTION("""COMPUTED_VALUE"""),"Статия в списания и поредици")</f>
        <v>Статия в списания и поредици</v>
      </c>
      <c r="C2459" s="10" t="str">
        <f ca="1">IFERROR(__xludf.DUMMYFUNCTION("""COMPUTED_VALUE"""),"Сократ, Диоген Синопски и тяхното разбиране за социализиращата роля на културните ценности : Формиране на възгледите на социокомуникативното познание")</f>
        <v>Сократ, Диоген Синопски и тяхното разбиране за социализиращата роля на културните ценности : Формиране на възгледите на социокомуникативното познание</v>
      </c>
      <c r="D2459" s="10">
        <f ca="1">IFERROR(__xludf.DUMMYFUNCTION("""COMPUTED_VALUE"""),2009)</f>
        <v>2009</v>
      </c>
      <c r="E2459" s="10" t="str">
        <f ca="1">IFERROR(__xludf.DUMMYFUNCTION("""COMPUTED_VALUE"""),"Нови информационни технологии в образователния процес : Сборник ISSN: 1313-2768.- 2009 (2009), с. 353-359")</f>
        <v>Нови информационни технологии в образователния процес : Сборник ISSN: 1313-2768.- 2009 (2009), с. 353-359</v>
      </c>
      <c r="F2459" s="10"/>
      <c r="G2459" s="10"/>
      <c r="H2459" s="10"/>
      <c r="I2459" s="10"/>
      <c r="J2459" s="10"/>
      <c r="K2459" s="10"/>
      <c r="L2459" s="10"/>
      <c r="M2459" s="10"/>
      <c r="N2459" s="10"/>
      <c r="O2459" s="10"/>
      <c r="P2459" s="10"/>
      <c r="Q2459" s="10"/>
      <c r="R2459" s="10"/>
      <c r="S2459" s="10"/>
      <c r="T2459" s="10"/>
      <c r="U2459" s="10"/>
      <c r="V2459" s="10"/>
      <c r="W2459" s="10"/>
      <c r="X2459" s="10"/>
      <c r="Y2459" s="10"/>
      <c r="Z2459" s="10"/>
    </row>
    <row r="2460" spans="1:26" ht="12.75">
      <c r="A2460" s="10" t="str">
        <f ca="1">IFERROR(__xludf.DUMMYFUNCTION("""COMPUTED_VALUE"""),"Евгений Иванов Сачев")</f>
        <v>Евгений Иванов Сачев</v>
      </c>
      <c r="B2460" s="10" t="str">
        <f ca="1">IFERROR(__xludf.DUMMYFUNCTION("""COMPUTED_VALUE"""),"Книга")</f>
        <v>Книга</v>
      </c>
      <c r="C2460" s="10" t="str">
        <f ca="1">IFERROR(__xludf.DUMMYFUNCTION("""COMPUTED_VALUE"""),"Защита на културно-историческото наследство")</f>
        <v>Защита на културно-историческото наследство</v>
      </c>
      <c r="D2460" s="10">
        <f ca="1">IFERROR(__xludf.DUMMYFUNCTION("""COMPUTED_VALUE"""),2009)</f>
        <v>2009</v>
      </c>
      <c r="E2460" s="10" t="str">
        <f ca="1">IFERROR(__xludf.DUMMYFUNCTION("""COMPUTED_VALUE"""),"София : Унив. изд. Св. Климент Охридски, 2009, 134 с. ; 24 см, ISBN 978-954-07-2835-3")</f>
        <v>София : Унив. изд. Св. Климент Охридски, 2009, 134 с. ; 24 см, ISBN 978-954-07-2835-3</v>
      </c>
      <c r="F2460" s="10"/>
      <c r="G2460" s="10" t="str">
        <f ca="1">IFERROR(__xludf.DUMMYFUNCTION("""COMPUTED_VALUE"""),"Д. Иванов")</f>
        <v>Д. Иванов</v>
      </c>
      <c r="H2460" s="10"/>
      <c r="I2460" s="10"/>
      <c r="J2460" s="10"/>
      <c r="K2460" s="10"/>
      <c r="L2460" s="10"/>
      <c r="M2460" s="10"/>
      <c r="N2460" s="10"/>
      <c r="O2460" s="10"/>
      <c r="P2460" s="10"/>
      <c r="Q2460" s="10"/>
      <c r="R2460" s="10"/>
      <c r="S2460" s="10"/>
      <c r="T2460" s="10"/>
      <c r="U2460" s="10"/>
      <c r="V2460" s="10"/>
      <c r="W2460" s="10"/>
      <c r="X2460" s="10"/>
      <c r="Y2460" s="10"/>
      <c r="Z2460" s="10"/>
    </row>
    <row r="2461" spans="1:26" ht="12.75">
      <c r="A2461" s="10" t="str">
        <f ca="1">IFERROR(__xludf.DUMMYFUNCTION("""COMPUTED_VALUE"""),"Евгений Иванов Сачев")</f>
        <v>Евгений Иванов Сачев</v>
      </c>
      <c r="B2461" s="10" t="str">
        <f ca="1">IFERROR(__xludf.DUMMYFUNCTION("""COMPUTED_VALUE"""),"Статия в списания и поредици")</f>
        <v>Статия в списания и поредици</v>
      </c>
      <c r="C2461" s="10" t="str">
        <f ca="1">IFERROR(__xludf.DUMMYFUNCTION("""COMPUTED_VALUE"""),"Модел на маркетингова стратегия на музея")</f>
        <v>Модел на маркетингова стратегия на музея</v>
      </c>
      <c r="D2461" s="10">
        <f ca="1">IFERROR(__xludf.DUMMYFUNCTION("""COMPUTED_VALUE"""),2008)</f>
        <v>2008</v>
      </c>
      <c r="E2461" s="10" t="str">
        <f ca="1">IFERROR(__xludf.DUMMYFUNCTION("""COMPUTED_VALUE"""),"Известия на Старозагорския исторически музей = Bulletin of the Stara Zagora Historical Museum ISSN: C610-553X ; 1313-7352.- T. 3 (2008), с. 48-58")</f>
        <v>Известия на Старозагорския исторически музей = Bulletin of the Stara Zagora Historical Museum ISSN: C610-553X ; 1313-7352.- T. 3 (2008), с. 48-58</v>
      </c>
      <c r="F2461" s="10"/>
      <c r="G2461" s="10"/>
      <c r="H2461" s="10"/>
      <c r="I2461" s="10"/>
      <c r="J2461" s="10"/>
      <c r="K2461" s="10"/>
      <c r="L2461" s="10"/>
      <c r="M2461" s="10"/>
      <c r="N2461" s="10"/>
      <c r="O2461" s="10"/>
      <c r="P2461" s="10"/>
      <c r="Q2461" s="10"/>
      <c r="R2461" s="10"/>
      <c r="S2461" s="10"/>
      <c r="T2461" s="10"/>
      <c r="U2461" s="10"/>
      <c r="V2461" s="10"/>
      <c r="W2461" s="10"/>
      <c r="X2461" s="10"/>
      <c r="Y2461" s="10"/>
      <c r="Z2461" s="10"/>
    </row>
    <row r="2462" spans="1:26" ht="12.75">
      <c r="A2462" s="10" t="str">
        <f ca="1">IFERROR(__xludf.DUMMYFUNCTION("""COMPUTED_VALUE"""),"Евгений Иванов Сачев")</f>
        <v>Евгений Иванов Сачев</v>
      </c>
      <c r="B2462" s="10" t="str">
        <f ca="1">IFERROR(__xludf.DUMMYFUNCTION("""COMPUTED_VALUE"""),"Книга")</f>
        <v>Книга</v>
      </c>
      <c r="C2462" s="10" t="str">
        <f ca="1">IFERROR(__xludf.DUMMYFUNCTION("""COMPUTED_VALUE"""),"По следите на времето : История на археологичните проучвания")</f>
        <v>По следите на времето : История на археологичните проучвания</v>
      </c>
      <c r="D2462" s="10">
        <f ca="1">IFERROR(__xludf.DUMMYFUNCTION("""COMPUTED_VALUE"""),2008)</f>
        <v>2008</v>
      </c>
      <c r="E2462" s="10" t="str">
        <f ca="1">IFERROR(__xludf.DUMMYFUNCTION("""COMPUTED_VALUE"""),"София : За буквите - О писменехь, 2008, 144 с. : с цв. ил. ; 21 см, ISBN 978-954-8887-47-2")</f>
        <v>София : За буквите - О писменехь, 2008, 144 с. : с цв. ил. ; 21 см, ISBN 978-954-8887-47-2</v>
      </c>
      <c r="F2462" s="10"/>
      <c r="G2462" s="10"/>
      <c r="H2462" s="10"/>
      <c r="I2462" s="10"/>
      <c r="J2462" s="10"/>
      <c r="K2462" s="10"/>
      <c r="L2462" s="10"/>
      <c r="M2462" s="10"/>
      <c r="N2462" s="10"/>
      <c r="O2462" s="10"/>
      <c r="P2462" s="10"/>
      <c r="Q2462" s="10"/>
      <c r="R2462" s="10"/>
      <c r="S2462" s="10"/>
      <c r="T2462" s="10"/>
      <c r="U2462" s="10"/>
      <c r="V2462" s="10"/>
      <c r="W2462" s="10"/>
      <c r="X2462" s="10"/>
      <c r="Y2462" s="10"/>
      <c r="Z2462" s="10"/>
    </row>
    <row r="2463" spans="1:26" ht="12.75">
      <c r="A2463" s="10" t="str">
        <f ca="1">IFERROR(__xludf.DUMMYFUNCTION("""COMPUTED_VALUE"""),"Евгений Иванов Сачев")</f>
        <v>Евгений Иванов Сачев</v>
      </c>
      <c r="B2463" s="10" t="str">
        <f ca="1">IFERROR(__xludf.DUMMYFUNCTION("""COMPUTED_VALUE"""),"Статия в списания и поредици")</f>
        <v>Статия в списания и поредици</v>
      </c>
      <c r="C2463" s="10" t="str">
        <f ca="1">IFERROR(__xludf.DUMMYFUNCTION("""COMPUTED_VALUE"""),"Актуални проблеми на националната сигурност и националната идентичност")</f>
        <v>Актуални проблеми на националната сигурност и националната идентичност</v>
      </c>
      <c r="D2463" s="10">
        <f ca="1">IFERROR(__xludf.DUMMYFUNCTION("""COMPUTED_VALUE"""),2008)</f>
        <v>2008</v>
      </c>
      <c r="E2463"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T. 7 (2008), s. 359-368")</f>
        <v>Трудове на Специализираното висше училище по библиотекознание и информационни технологии = Proceedings of the State Institute of Library Studies and Information Technologies ISSN: 1312-5834.- T. 7 (2008), s. 359-368</v>
      </c>
      <c r="F2463" s="10"/>
      <c r="G2463" s="10"/>
      <c r="H2463" s="10"/>
      <c r="I2463" s="10"/>
      <c r="J2463" s="10"/>
      <c r="K2463" s="10"/>
      <c r="L2463" s="10"/>
      <c r="M2463" s="10"/>
      <c r="N2463" s="10"/>
      <c r="O2463" s="10"/>
      <c r="P2463" s="10"/>
      <c r="Q2463" s="10"/>
      <c r="R2463" s="10"/>
      <c r="S2463" s="10"/>
      <c r="T2463" s="10"/>
      <c r="U2463" s="10"/>
      <c r="V2463" s="10"/>
      <c r="W2463" s="10"/>
      <c r="X2463" s="10"/>
      <c r="Y2463" s="10"/>
      <c r="Z2463" s="10"/>
    </row>
    <row r="2464" spans="1:26" ht="12.75">
      <c r="A2464" s="10" t="str">
        <f ca="1">IFERROR(__xludf.DUMMYFUNCTION("""COMPUTED_VALUE"""),"Евгений Иванов Сачев")</f>
        <v>Евгений Иванов Сачев</v>
      </c>
      <c r="B2464" s="10" t="str">
        <f ca="1">IFERROR(__xludf.DUMMYFUNCTION("""COMPUTED_VALUE"""),"Статия в списания и поредици")</f>
        <v>Статия в списания и поредици</v>
      </c>
      <c r="C2464" s="10" t="str">
        <f ca="1">IFERROR(__xludf.DUMMYFUNCTION("""COMPUTED_VALUE"""),"Проблеми на социомузейната култура в информационното общество")</f>
        <v>Проблеми на социомузейната култура в информационното общество</v>
      </c>
      <c r="D2464" s="10">
        <f ca="1">IFERROR(__xludf.DUMMYFUNCTION("""COMPUTED_VALUE"""),2007)</f>
        <v>2007</v>
      </c>
      <c r="E2464" s="10" t="str">
        <f ca="1">IFERROR(__xludf.DUMMYFUNCTION("""COMPUTED_VALUE"""),"Известия на Старозагорския исторически музей = Bulletin of the Stara Zagora Historical Museum ISSN: C610-553X ; 1313-7352.- T. 2 (2007), с. 433-437")</f>
        <v>Известия на Старозагорския исторически музей = Bulletin of the Stara Zagora Historical Museum ISSN: C610-553X ; 1313-7352.- T. 2 (2007), с. 433-437</v>
      </c>
      <c r="F2464" s="10"/>
      <c r="G2464" s="10"/>
      <c r="H2464" s="10"/>
      <c r="I2464" s="10"/>
      <c r="J2464" s="10"/>
      <c r="K2464" s="10"/>
      <c r="L2464" s="10"/>
      <c r="M2464" s="10"/>
      <c r="N2464" s="10"/>
      <c r="O2464" s="10"/>
      <c r="P2464" s="10"/>
      <c r="Q2464" s="10"/>
      <c r="R2464" s="10"/>
      <c r="S2464" s="10"/>
      <c r="T2464" s="10"/>
      <c r="U2464" s="10"/>
      <c r="V2464" s="10"/>
      <c r="W2464" s="10"/>
      <c r="X2464" s="10"/>
      <c r="Y2464" s="10"/>
      <c r="Z2464" s="10"/>
    </row>
    <row r="2465" spans="1:26" ht="12.75">
      <c r="A2465" s="10" t="str">
        <f ca="1">IFERROR(__xludf.DUMMYFUNCTION("""COMPUTED_VALUE"""),"Евгений Иванов Сачев")</f>
        <v>Евгений Иванов Сачев</v>
      </c>
      <c r="B2465" s="10" t="str">
        <f ca="1">IFERROR(__xludf.DUMMYFUNCTION("""COMPUTED_VALUE"""),"Монография")</f>
        <v>Монография</v>
      </c>
      <c r="C2465" s="10" t="str">
        <f ca="1">IFERROR(__xludf.DUMMYFUNCTION("""COMPUTED_VALUE"""),"Въведение в социокомуникативния музеен маркетинг")</f>
        <v>Въведение в социокомуникативния музеен маркетинг</v>
      </c>
      <c r="D2465" s="10">
        <f ca="1">IFERROR(__xludf.DUMMYFUNCTION("""COMPUTED_VALUE"""),2007)</f>
        <v>2007</v>
      </c>
      <c r="E2465" s="10" t="str">
        <f ca="1">IFERROR(__xludf.DUMMYFUNCTION("""COMPUTED_VALUE"""),"- София: За буквите - О писменехь, 2007, 190 с., ISBN: 978-954-8887-30-4")</f>
        <v>- София: За буквите - О писменехь, 2007, 190 с., ISBN: 978-954-8887-30-4</v>
      </c>
      <c r="F2465" s="10"/>
      <c r="G2465" s="10"/>
      <c r="H2465" s="10"/>
      <c r="I2465" s="10"/>
      <c r="J2465" s="10"/>
      <c r="K2465" s="10"/>
      <c r="L2465" s="10"/>
      <c r="M2465" s="10"/>
      <c r="N2465" s="10"/>
      <c r="O2465" s="10"/>
      <c r="P2465" s="10"/>
      <c r="Q2465" s="10"/>
      <c r="R2465" s="10"/>
      <c r="S2465" s="10"/>
      <c r="T2465" s="10"/>
      <c r="U2465" s="10"/>
      <c r="V2465" s="10"/>
      <c r="W2465" s="10"/>
      <c r="X2465" s="10"/>
      <c r="Y2465" s="10"/>
      <c r="Z2465" s="10"/>
    </row>
    <row r="2466" spans="1:26" ht="12.75">
      <c r="A2466" s="10" t="str">
        <f ca="1">IFERROR(__xludf.DUMMYFUNCTION("""COMPUTED_VALUE"""),"Евгений Иванов Сачев")</f>
        <v>Евгений Иванов Сачев</v>
      </c>
      <c r="B2466" s="10" t="str">
        <f ca="1">IFERROR(__xludf.DUMMYFUNCTION("""COMPUTED_VALUE"""),"Статия в списания и поредици")</f>
        <v>Статия в списания и поредици</v>
      </c>
      <c r="C2466" s="10" t="str">
        <f ca="1">IFERROR(__xludf.DUMMYFUNCTION("""COMPUTED_VALUE"""),"Социомузейната култура като фактор за споделяне на знания в съвременното общество")</f>
        <v>Социомузейната култура като фактор за споделяне на знания в съвременното общество</v>
      </c>
      <c r="D2466" s="10">
        <f ca="1">IFERROR(__xludf.DUMMYFUNCTION("""COMPUTED_VALUE"""),2006)</f>
        <v>2006</v>
      </c>
      <c r="E2466" s="10" t="str">
        <f ca="1">IFERROR(__xludf.DUMMYFUNCTION("""COMPUTED_VALUE"""),"Издател : научно списание за книгата ISSN: 1310-4624.- VIII, 3-4 (2006), с. 59-63")</f>
        <v>Издател : научно списание за книгата ISSN: 1310-4624.- VIII, 3-4 (2006), с. 59-63</v>
      </c>
      <c r="F2466" s="10"/>
      <c r="G2466" s="10"/>
      <c r="H2466" s="10"/>
      <c r="I2466" s="10"/>
      <c r="J2466" s="10"/>
      <c r="K2466" s="10"/>
      <c r="L2466" s="10"/>
      <c r="M2466" s="10"/>
      <c r="N2466" s="10"/>
      <c r="O2466" s="10"/>
      <c r="P2466" s="10"/>
      <c r="Q2466" s="10"/>
      <c r="R2466" s="10"/>
      <c r="S2466" s="10"/>
      <c r="T2466" s="10"/>
      <c r="U2466" s="10"/>
      <c r="V2466" s="10"/>
      <c r="W2466" s="10"/>
      <c r="X2466" s="10"/>
      <c r="Y2466" s="10"/>
      <c r="Z2466" s="10"/>
    </row>
    <row r="2467" spans="1:26" ht="12.75">
      <c r="A2467" s="10" t="str">
        <f ca="1">IFERROR(__xludf.DUMMYFUNCTION("""COMPUTED_VALUE"""),"Евгений Иванов Сачев")</f>
        <v>Евгений Иванов Сачев</v>
      </c>
      <c r="B2467" s="10" t="str">
        <f ca="1">IFERROR(__xludf.DUMMYFUNCTION("""COMPUTED_VALUE"""),"Монография")</f>
        <v>Монография</v>
      </c>
      <c r="C2467" s="10" t="str">
        <f ca="1">IFERROR(__xludf.DUMMYFUNCTION("""COMPUTED_VALUE"""),"Социомузейна култура и информационно общество")</f>
        <v>Социомузейна култура и информационно общество</v>
      </c>
      <c r="D2467" s="10">
        <f ca="1">IFERROR(__xludf.DUMMYFUNCTION("""COMPUTED_VALUE"""),2006)</f>
        <v>2006</v>
      </c>
      <c r="E2467" s="10" t="str">
        <f ca="1">IFERROR(__xludf.DUMMYFUNCTION("""COMPUTED_VALUE"""),"- София: Петекстон, 2006, 160 с., ISBN: 10-954-457-031-4, ISBN: 13-978-954-457-031-6")</f>
        <v>- София: Петекстон, 2006, 160 с., ISBN: 10-954-457-031-4, ISBN: 13-978-954-457-031-6</v>
      </c>
      <c r="F2467" s="10"/>
      <c r="G2467" s="10"/>
      <c r="H2467" s="10"/>
      <c r="I2467" s="10"/>
      <c r="J2467" s="10"/>
      <c r="K2467" s="10"/>
      <c r="L2467" s="10"/>
      <c r="M2467" s="10"/>
      <c r="N2467" s="10"/>
      <c r="O2467" s="10"/>
      <c r="P2467" s="10"/>
      <c r="Q2467" s="10"/>
      <c r="R2467" s="10"/>
      <c r="S2467" s="10"/>
      <c r="T2467" s="10"/>
      <c r="U2467" s="10"/>
      <c r="V2467" s="10"/>
      <c r="W2467" s="10"/>
      <c r="X2467" s="10"/>
      <c r="Y2467" s="10"/>
      <c r="Z2467" s="10"/>
    </row>
    <row r="2468" spans="1:26" ht="12.75">
      <c r="A2468" s="10" t="str">
        <f ca="1">IFERROR(__xludf.DUMMYFUNCTION("""COMPUTED_VALUE"""),"Евгений Иванов Сачев")</f>
        <v>Евгений Иванов Сачев</v>
      </c>
      <c r="B2468" s="10" t="str">
        <f ca="1">IFERROR(__xludf.DUMMYFUNCTION("""COMPUTED_VALUE"""),"Статия в списания и поредици")</f>
        <v>Статия в списания и поредици</v>
      </c>
      <c r="C2468" s="10" t="str">
        <f ca="1">IFERROR(__xludf.DUMMYFUNCTION("""COMPUTED_VALUE"""),"Културата на междуетническите отношения и политиката за формиране на музейните колекции")</f>
        <v>Културата на междуетническите отношения и политиката за формиране на музейните колекции</v>
      </c>
      <c r="D2468" s="10">
        <f ca="1">IFERROR(__xludf.DUMMYFUNCTION("""COMPUTED_VALUE"""),2006)</f>
        <v>2006</v>
      </c>
      <c r="E2468"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1312-5834.- 5 (2006), с. 439-451")</f>
        <v>Трудове на Специализираното висше училище по библиотекознание и информационни технологии = Proceedings of the State Institute of Library Studies and Information Technologies ISSN: 1312-5834.- 5 (2006), с. 439-451</v>
      </c>
      <c r="F2468" s="10"/>
      <c r="G2468" s="10"/>
      <c r="H2468" s="10"/>
      <c r="I2468" s="10"/>
      <c r="J2468" s="10"/>
      <c r="K2468" s="10"/>
      <c r="L2468" s="10"/>
      <c r="M2468" s="10"/>
      <c r="N2468" s="10"/>
      <c r="O2468" s="10"/>
      <c r="P2468" s="10"/>
      <c r="Q2468" s="10"/>
      <c r="R2468" s="10"/>
      <c r="S2468" s="10"/>
      <c r="T2468" s="10"/>
      <c r="U2468" s="10"/>
      <c r="V2468" s="10"/>
      <c r="W2468" s="10"/>
      <c r="X2468" s="10"/>
      <c r="Y2468" s="10"/>
      <c r="Z2468" s="10"/>
    </row>
    <row r="2469" spans="1:26" ht="12.75">
      <c r="A2469" s="10" t="str">
        <f ca="1">IFERROR(__xludf.DUMMYFUNCTION("""COMPUTED_VALUE"""),"Евгений Иванов Сачев")</f>
        <v>Евгений Иванов Сачев</v>
      </c>
      <c r="B2469" s="10" t="str">
        <f ca="1">IFERROR(__xludf.DUMMYFUNCTION("""COMPUTED_VALUE"""),"Студия")</f>
        <v>Студия</v>
      </c>
      <c r="C2469" s="10" t="str">
        <f ca="1">IFERROR(__xludf.DUMMYFUNCTION("""COMPUTED_VALUE"""),"Културното наследство и евроинтеграционните процеси")</f>
        <v>Културното наследство и евроинтеграционните процеси</v>
      </c>
      <c r="D2469" s="10">
        <f ca="1">IFERROR(__xludf.DUMMYFUNCTION("""COMPUTED_VALUE"""),2005)</f>
        <v>2005</v>
      </c>
      <c r="E2469" s="10" t="str">
        <f ca="1">IFERROR(__xludf.DUMMYFUNCTION("""COMPUTED_VALUE"""),"Родопи : списание за икономика, политика и култура ISSN: 1312-4552.- 5-6 (2005), с. 25-32")</f>
        <v>Родопи : списание за икономика, политика и култура ISSN: 1312-4552.- 5-6 (2005), с. 25-32</v>
      </c>
      <c r="F2469" s="10"/>
      <c r="G2469" s="10"/>
      <c r="H2469" s="10"/>
      <c r="I2469" s="10"/>
      <c r="J2469" s="10"/>
      <c r="K2469" s="10"/>
      <c r="L2469" s="10"/>
      <c r="M2469" s="10"/>
      <c r="N2469" s="10"/>
      <c r="O2469" s="10"/>
      <c r="P2469" s="10"/>
      <c r="Q2469" s="10"/>
      <c r="R2469" s="10"/>
      <c r="S2469" s="10"/>
      <c r="T2469" s="10"/>
      <c r="U2469" s="10"/>
      <c r="V2469" s="10"/>
      <c r="W2469" s="10"/>
      <c r="X2469" s="10"/>
      <c r="Y2469" s="10"/>
      <c r="Z2469" s="10"/>
    </row>
    <row r="2470" spans="1:26" ht="12.75">
      <c r="A2470" s="10" t="str">
        <f ca="1">IFERROR(__xludf.DUMMYFUNCTION("""COMPUTED_VALUE"""),"Евгений Иванов Сачев")</f>
        <v>Евгений Иванов Сачев</v>
      </c>
      <c r="B2470" s="10" t="str">
        <f ca="1">IFERROR(__xludf.DUMMYFUNCTION("""COMPUTED_VALUE"""),"Монография")</f>
        <v>Монография</v>
      </c>
      <c r="C2470" s="10" t="str">
        <f ca="1">IFERROR(__xludf.DUMMYFUNCTION("""COMPUTED_VALUE"""),"Културното наследство и националната сигурност : Социокомуникативни аспекти")</f>
        <v>Културното наследство и националната сигурност : Социокомуникативни аспекти</v>
      </c>
      <c r="D2470" s="10">
        <f ca="1">IFERROR(__xludf.DUMMYFUNCTION("""COMPUTED_VALUE"""),2005)</f>
        <v>2005</v>
      </c>
      <c r="E2470" s="10" t="str">
        <f ca="1">IFERROR(__xludf.DUMMYFUNCTION("""COMPUTED_VALUE"""),"София : Петекстон, 2005, 184 с., 3 л. : цв. ил. ; 21 см. ISBN 954-457-026-8")</f>
        <v>София : Петекстон, 2005, 184 с., 3 л. : цв. ил. ; 21 см. ISBN 954-457-026-8</v>
      </c>
      <c r="F2470" s="10"/>
      <c r="G2470" s="10"/>
      <c r="H2470" s="10"/>
      <c r="I2470" s="10"/>
      <c r="J2470" s="10"/>
      <c r="K2470" s="10"/>
      <c r="L2470" s="10"/>
      <c r="M2470" s="10"/>
      <c r="N2470" s="10"/>
      <c r="O2470" s="10"/>
      <c r="P2470" s="10"/>
      <c r="Q2470" s="10"/>
      <c r="R2470" s="10"/>
      <c r="S2470" s="10"/>
      <c r="T2470" s="10"/>
      <c r="U2470" s="10"/>
      <c r="V2470" s="10"/>
      <c r="W2470" s="10"/>
      <c r="X2470" s="10"/>
      <c r="Y2470" s="10"/>
      <c r="Z2470" s="10"/>
    </row>
    <row r="2471" spans="1:26" ht="12.75">
      <c r="A2471" s="10" t="str">
        <f ca="1">IFERROR(__xludf.DUMMYFUNCTION("""COMPUTED_VALUE"""),"Евгений Иванов Сачев")</f>
        <v>Евгений Иванов Сачев</v>
      </c>
      <c r="B2471" s="10" t="str">
        <f ca="1">IFERROR(__xludf.DUMMYFUNCTION("""COMPUTED_VALUE"""),"Статия в списания и поредици")</f>
        <v>Статия в списания и поредици</v>
      </c>
      <c r="C2471" s="10" t="str">
        <f ca="1">IFERROR(__xludf.DUMMYFUNCTION("""COMPUTED_VALUE"""),"Проблеми на музейното дело в България : Резултати от социол. изследване")</f>
        <v>Проблеми на музейното дело в България : Резултати от социол. изследване</v>
      </c>
      <c r="D2471" s="10">
        <f ca="1">IFERROR(__xludf.DUMMYFUNCTION("""COMPUTED_VALUE"""),2005)</f>
        <v>2005</v>
      </c>
      <c r="E2471" s="10" t="str">
        <f ca="1">IFERROR(__xludf.DUMMYFUNCTION("""COMPUTED_VALUE"""),"Паметници.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1312-3327.- 4 (2005), s. 37-42")</f>
        <v>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1312-3327.- 4 (2005), s. 37-42</v>
      </c>
      <c r="F2471" s="10"/>
      <c r="G2471" s="10"/>
      <c r="H2471" s="10"/>
      <c r="I2471" s="10"/>
      <c r="J2471" s="10"/>
      <c r="K2471" s="10"/>
      <c r="L2471" s="10"/>
      <c r="M2471" s="10"/>
      <c r="N2471" s="10"/>
      <c r="O2471" s="10"/>
      <c r="P2471" s="10"/>
      <c r="Q2471" s="10"/>
      <c r="R2471" s="10"/>
      <c r="S2471" s="10"/>
      <c r="T2471" s="10"/>
      <c r="U2471" s="10"/>
      <c r="V2471" s="10"/>
      <c r="W2471" s="10"/>
      <c r="X2471" s="10"/>
      <c r="Y2471" s="10"/>
      <c r="Z2471" s="10"/>
    </row>
    <row r="2472" spans="1:26" ht="12.75">
      <c r="A2472" s="10" t="str">
        <f ca="1">IFERROR(__xludf.DUMMYFUNCTION("""COMPUTED_VALUE"""),"Евгений Иванов Сачев")</f>
        <v>Евгений Иванов Сачев</v>
      </c>
      <c r="B2472" s="10" t="str">
        <f ca="1">IFERROR(__xludf.DUMMYFUNCTION("""COMPUTED_VALUE"""),"Статия в списания и поредици")</f>
        <v>Статия в списания и поредици</v>
      </c>
      <c r="C2472" s="10" t="str">
        <f ca="1">IFERROR(__xludf.DUMMYFUNCTION("""COMPUTED_VALUE"""),"Социологически проучвания на музейната аудитория")</f>
        <v>Социологически проучвания на музейната аудитория</v>
      </c>
      <c r="D2472" s="10">
        <f ca="1">IFERROR(__xludf.DUMMYFUNCTION("""COMPUTED_VALUE"""),2004)</f>
        <v>2004</v>
      </c>
      <c r="E2472" s="10" t="str">
        <f ca="1">IFERROR(__xludf.DUMMYFUNCTION("""COMPUTED_VALUE"""),"Известия на Регионален исторически музей - Велико Търново = Bulletin - Regional muzeum of history - Veliko Turnovo ISSN: 1313-6690.- 19 (2004), с. 320-324")</f>
        <v>Известия на Регионален исторически музей - Велико Търново = Bulletin - Regional muzeum of history - Veliko Turnovo ISSN: 1313-6690.- 19 (2004), с. 320-324</v>
      </c>
      <c r="F2472" s="10"/>
      <c r="G2472" s="10"/>
      <c r="H2472" s="10"/>
      <c r="I2472" s="10"/>
      <c r="J2472" s="10"/>
      <c r="K2472" s="10"/>
      <c r="L2472" s="10"/>
      <c r="M2472" s="10"/>
      <c r="N2472" s="10"/>
      <c r="O2472" s="10"/>
      <c r="P2472" s="10"/>
      <c r="Q2472" s="10"/>
      <c r="R2472" s="10"/>
      <c r="S2472" s="10"/>
      <c r="T2472" s="10"/>
      <c r="U2472" s="10"/>
      <c r="V2472" s="10"/>
      <c r="W2472" s="10"/>
      <c r="X2472" s="10"/>
      <c r="Y2472" s="10"/>
      <c r="Z2472" s="10"/>
    </row>
    <row r="2473" spans="1:26" ht="12.75">
      <c r="A2473" s="10" t="str">
        <f ca="1">IFERROR(__xludf.DUMMYFUNCTION("""COMPUTED_VALUE"""),"Евгений Иванов Сачев")</f>
        <v>Евгений Иванов Сачев</v>
      </c>
      <c r="B2473" s="10" t="str">
        <f ca="1">IFERROR(__xludf.DUMMYFUNCTION("""COMPUTED_VALUE"""),"Монография")</f>
        <v>Монография</v>
      </c>
      <c r="C2473" s="10" t="str">
        <f ca="1">IFERROR(__xludf.DUMMYFUNCTION("""COMPUTED_VALUE"""),"Основи на социокомуникативния мениджмънт на културно-историческото наследство")</f>
        <v>Основи на социокомуникативния мениджмънт на културно-историческото наследство</v>
      </c>
      <c r="D2473" s="10">
        <f ca="1">IFERROR(__xludf.DUMMYFUNCTION("""COMPUTED_VALUE"""),2004)</f>
        <v>2004</v>
      </c>
      <c r="E2473" s="10" t="str">
        <f ca="1">IFERROR(__xludf.DUMMYFUNCTION("""COMPUTED_VALUE"""),"- София : Петекстон, 2004, 200 с. : със сх. ; 20 см. ISBN 954-457-021-7")</f>
        <v>- София : Петекстон, 2004, 200 с. : със сх. ; 20 см. ISBN 954-457-021-7</v>
      </c>
      <c r="F2473" s="10"/>
      <c r="G2473" s="10"/>
      <c r="H2473" s="10"/>
      <c r="I2473" s="10"/>
      <c r="J2473" s="10"/>
      <c r="K2473" s="10"/>
      <c r="L2473" s="10"/>
      <c r="M2473" s="10"/>
      <c r="N2473" s="10"/>
      <c r="O2473" s="10"/>
      <c r="P2473" s="10"/>
      <c r="Q2473" s="10"/>
      <c r="R2473" s="10"/>
      <c r="S2473" s="10"/>
      <c r="T2473" s="10"/>
      <c r="U2473" s="10"/>
      <c r="V2473" s="10"/>
      <c r="W2473" s="10"/>
      <c r="X2473" s="10"/>
      <c r="Y2473" s="10"/>
      <c r="Z2473" s="10"/>
    </row>
    <row r="2474" spans="1:26" ht="12.75">
      <c r="A2474" s="10" t="str">
        <f ca="1">IFERROR(__xludf.DUMMYFUNCTION("""COMPUTED_VALUE"""),"Евгений Иванов Сачев")</f>
        <v>Евгений Иванов Сачев</v>
      </c>
      <c r="B2474" s="10" t="str">
        <f ca="1">IFERROR(__xludf.DUMMYFUNCTION("""COMPUTED_VALUE"""),"Статия в списания и поредици")</f>
        <v>Статия в списания и поредици</v>
      </c>
      <c r="C2474" s="10" t="str">
        <f ca="1">IFERROR(__xludf.DUMMYFUNCTION("""COMPUTED_VALUE"""),"Социо-комуникативни аспекти на модерното музейно законодателство")</f>
        <v>Социо-комуникативни аспекти на модерното музейно законодателство</v>
      </c>
      <c r="D2474" s="10">
        <f ca="1">IFERROR(__xludf.DUMMYFUNCTION("""COMPUTED_VALUE"""),2004)</f>
        <v>2004</v>
      </c>
      <c r="E2474" s="10" t="str">
        <f ca="1">IFERROR(__xludf.DUMMYFUNCTION("""COMPUTED_VALUE"""),"Паметници.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1312-3327.- 1 (2004), s. 3-10")</f>
        <v>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1312-3327.- 1 (2004), s. 3-10</v>
      </c>
      <c r="F2474" s="10"/>
      <c r="G2474" s="10"/>
      <c r="H2474" s="10"/>
      <c r="I2474" s="10"/>
      <c r="J2474" s="10"/>
      <c r="K2474" s="10"/>
      <c r="L2474" s="10"/>
      <c r="M2474" s="10"/>
      <c r="N2474" s="10"/>
      <c r="O2474" s="10"/>
      <c r="P2474" s="10"/>
      <c r="Q2474" s="10"/>
      <c r="R2474" s="10"/>
      <c r="S2474" s="10"/>
      <c r="T2474" s="10"/>
      <c r="U2474" s="10"/>
      <c r="V2474" s="10"/>
      <c r="W2474" s="10"/>
      <c r="X2474" s="10"/>
      <c r="Y2474" s="10"/>
      <c r="Z2474" s="10"/>
    </row>
    <row r="2475" spans="1:26" ht="12.75">
      <c r="A2475" s="10" t="str">
        <f ca="1">IFERROR(__xludf.DUMMYFUNCTION("""COMPUTED_VALUE"""),"Евгений Иванов Сачев")</f>
        <v>Евгений Иванов Сачев</v>
      </c>
      <c r="B2475" s="10" t="str">
        <f ca="1">IFERROR(__xludf.DUMMYFUNCTION("""COMPUTED_VALUE"""),"Статия в списания и поредици")</f>
        <v>Статия в списания и поредици</v>
      </c>
      <c r="C2475" s="10" t="str">
        <f ca="1">IFERROR(__xludf.DUMMYFUNCTION("""COMPUTED_VALUE"""),"Прилагането на социокомуникативния подход в музейната дейност")</f>
        <v>Прилагането на социокомуникативния подход в музейната дейност</v>
      </c>
      <c r="D2475" s="10">
        <f ca="1">IFERROR(__xludf.DUMMYFUNCTION("""COMPUTED_VALUE"""),2004)</f>
        <v>2004</v>
      </c>
      <c r="E2475" s="10" t="str">
        <f ca="1">IFERROR(__xludf.DUMMYFUNCTION("""COMPUTED_VALUE"""),"Научни съобщения на СУБ [Съюз на учените в България] - клон Добрич = Research Communications of USB Branch Dobrich ISSN: 1311-2708.- 6, 1 (2004), s. 193-196")</f>
        <v>Научни съобщения на СУБ [Съюз на учените в България] - клон Добрич = Research Communications of USB Branch Dobrich ISSN: 1311-2708.- 6, 1 (2004), s. 193-196</v>
      </c>
      <c r="F2475" s="10"/>
      <c r="G2475" s="10"/>
      <c r="H2475" s="10"/>
      <c r="I2475" s="10"/>
      <c r="J2475" s="10"/>
      <c r="K2475" s="10"/>
      <c r="L2475" s="10"/>
      <c r="M2475" s="10"/>
      <c r="N2475" s="10"/>
      <c r="O2475" s="10"/>
      <c r="P2475" s="10"/>
      <c r="Q2475" s="10"/>
      <c r="R2475" s="10"/>
      <c r="S2475" s="10"/>
      <c r="T2475" s="10"/>
      <c r="U2475" s="10"/>
      <c r="V2475" s="10"/>
      <c r="W2475" s="10"/>
      <c r="X2475" s="10"/>
      <c r="Y2475" s="10"/>
      <c r="Z2475" s="10"/>
    </row>
    <row r="2476" spans="1:26" ht="12.75">
      <c r="A2476" s="10" t="str">
        <f ca="1">IFERROR(__xludf.DUMMYFUNCTION("""COMPUTED_VALUE"""),"Евгений Иванов Сачев")</f>
        <v>Евгений Иванов Сачев</v>
      </c>
      <c r="B2476" s="10" t="str">
        <f ca="1">IFERROR(__xludf.DUMMYFUNCTION("""COMPUTED_VALUE"""),"Статия в списания и поредици")</f>
        <v>Статия в списания и поредици</v>
      </c>
      <c r="C2476" s="10" t="str">
        <f ca="1">IFERROR(__xludf.DUMMYFUNCTION("""COMPUTED_VALUE"""),"Актуални социокултурни характеристики на социалната комуникация")</f>
        <v>Актуални социокултурни характеристики на социалната комуникация</v>
      </c>
      <c r="D2476" s="10">
        <f ca="1">IFERROR(__xludf.DUMMYFUNCTION("""COMPUTED_VALUE"""),2004)</f>
        <v>2004</v>
      </c>
      <c r="E2476"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1312-5834.- 3 (2004), с. 81-86")</f>
        <v>Трудове на Специализираното висше училище по библиотекознание и информационни технологии = Proceedings of the State Institute of Library Studies and Information Technologies ISSN: 1312-5834.- 3 (2004), с. 81-86</v>
      </c>
      <c r="F2476" s="10"/>
      <c r="G2476" s="10"/>
      <c r="H2476" s="10"/>
      <c r="I2476" s="10"/>
      <c r="J2476" s="10"/>
      <c r="K2476" s="10"/>
      <c r="L2476" s="10"/>
      <c r="M2476" s="10"/>
      <c r="N2476" s="10"/>
      <c r="O2476" s="10"/>
      <c r="P2476" s="10"/>
      <c r="Q2476" s="10"/>
      <c r="R2476" s="10"/>
      <c r="S2476" s="10"/>
      <c r="T2476" s="10"/>
      <c r="U2476" s="10"/>
      <c r="V2476" s="10"/>
      <c r="W2476" s="10"/>
      <c r="X2476" s="10"/>
      <c r="Y2476" s="10"/>
      <c r="Z2476" s="10"/>
    </row>
    <row r="2477" spans="1:26" ht="12.75">
      <c r="A2477" s="10" t="str">
        <f ca="1">IFERROR(__xludf.DUMMYFUNCTION("""COMPUTED_VALUE"""),"Евгений Иванов Сачев")</f>
        <v>Евгений Иванов Сачев</v>
      </c>
      <c r="B2477" s="10" t="str">
        <f ca="1">IFERROR(__xludf.DUMMYFUNCTION("""COMPUTED_VALUE"""),"Статия в списания и поредици")</f>
        <v>Статия в списания и поредици</v>
      </c>
      <c r="C2477" s="10" t="str">
        <f ca="1">IFERROR(__xludf.DUMMYFUNCTION("""COMPUTED_VALUE"""),"Ролята на културното наследство за социализацията на личността")</f>
        <v>Ролята на културното наследство за социализацията на личността</v>
      </c>
      <c r="D2477" s="10">
        <f ca="1">IFERROR(__xludf.DUMMYFUNCTION("""COMPUTED_VALUE"""),2004)</f>
        <v>2004</v>
      </c>
      <c r="E2477" s="10" t="str">
        <f ca="1">IFERROR(__xludf.DUMMYFUNCTION("""COMPUTED_VALUE"""),"Паметници.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1312-3327.- 5-6 (2004), s. 45-49")</f>
        <v>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1312-3327.- 5-6 (2004), s. 45-49</v>
      </c>
      <c r="F2477" s="10"/>
      <c r="G2477" s="10"/>
      <c r="H2477" s="10"/>
      <c r="I2477" s="10"/>
      <c r="J2477" s="10"/>
      <c r="K2477" s="10"/>
      <c r="L2477" s="10"/>
      <c r="M2477" s="10"/>
      <c r="N2477" s="10"/>
      <c r="O2477" s="10"/>
      <c r="P2477" s="10"/>
      <c r="Q2477" s="10"/>
      <c r="R2477" s="10"/>
      <c r="S2477" s="10"/>
      <c r="T2477" s="10"/>
      <c r="U2477" s="10"/>
      <c r="V2477" s="10"/>
      <c r="W2477" s="10"/>
      <c r="X2477" s="10"/>
      <c r="Y2477" s="10"/>
      <c r="Z2477" s="10"/>
    </row>
    <row r="2478" spans="1:26" ht="12.75">
      <c r="A2478" s="10" t="str">
        <f ca="1">IFERROR(__xludf.DUMMYFUNCTION("""COMPUTED_VALUE"""),"Евгений Иванов Сачев")</f>
        <v>Евгений Иванов Сачев</v>
      </c>
      <c r="B2478" s="10" t="str">
        <f ca="1">IFERROR(__xludf.DUMMYFUNCTION("""COMPUTED_VALUE"""),"Монография")</f>
        <v>Монография</v>
      </c>
      <c r="C2478" s="10" t="str">
        <f ca="1">IFERROR(__xludf.DUMMYFUNCTION("""COMPUTED_VALUE"""),"Социокомуникативна музеология")</f>
        <v>Социокомуникативна музеология</v>
      </c>
      <c r="D2478" s="10">
        <f ca="1">IFERROR(__xludf.DUMMYFUNCTION("""COMPUTED_VALUE"""),2004)</f>
        <v>2004</v>
      </c>
      <c r="E2478" s="10" t="str">
        <f ca="1">IFERROR(__xludf.DUMMYFUNCTION("""COMPUTED_VALUE"""),"- София: Петекстон, 2004, 228 с. ISBN: 954457019-5")</f>
        <v>- София: Петекстон, 2004, 228 с. ISBN: 954457019-5</v>
      </c>
      <c r="F2478" s="10"/>
      <c r="G2478" s="10"/>
      <c r="H2478" s="10"/>
      <c r="I2478" s="10"/>
      <c r="J2478" s="10"/>
      <c r="K2478" s="10"/>
      <c r="L2478" s="10"/>
      <c r="M2478" s="10"/>
      <c r="N2478" s="10"/>
      <c r="O2478" s="10"/>
      <c r="P2478" s="10"/>
      <c r="Q2478" s="10"/>
      <c r="R2478" s="10"/>
      <c r="S2478" s="10"/>
      <c r="T2478" s="10"/>
      <c r="U2478" s="10"/>
      <c r="V2478" s="10"/>
      <c r="W2478" s="10"/>
      <c r="X2478" s="10"/>
      <c r="Y2478" s="10"/>
      <c r="Z2478" s="10"/>
    </row>
    <row r="2479" spans="1:26" ht="12.75">
      <c r="A2479" s="10" t="str">
        <f ca="1">IFERROR(__xludf.DUMMYFUNCTION("""COMPUTED_VALUE"""),"Евгений Иванов Сачев")</f>
        <v>Евгений Иванов Сачев</v>
      </c>
      <c r="B2479" s="10" t="str">
        <f ca="1">IFERROR(__xludf.DUMMYFUNCTION("""COMPUTED_VALUE"""),"Статия в списания и поредици")</f>
        <v>Статия в списания и поредици</v>
      </c>
      <c r="C2479" s="10" t="str">
        <f ca="1">IFERROR(__xludf.DUMMYFUNCTION("""COMPUTED_VALUE"""),"Културно наследство, култура и социокомуникативна музеология")</f>
        <v>Културно наследство, култура и социокомуникативна музеология</v>
      </c>
      <c r="D2479" s="10">
        <f ca="1">IFERROR(__xludf.DUMMYFUNCTION("""COMPUTED_VALUE"""),2003)</f>
        <v>2003</v>
      </c>
      <c r="E2479" s="10" t="str">
        <f ca="1">IFERROR(__xludf.DUMMYFUNCTION("""COMPUTED_VALUE"""),"Паметници.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1312-3327.- 1 (2003), s. 1-7")</f>
        <v>Паметници. Реставрация. Музеи : Списание на Архитектурно издателство Арх &amp; Арт: Дфициален информатор на Център за музеи, галерии и изобразителни изкуства при Министерство на културата ISSN: 1312-3327.- 1 (2003), s. 1-7</v>
      </c>
      <c r="F2479" s="10"/>
      <c r="G2479" s="10"/>
      <c r="H2479" s="10"/>
      <c r="I2479" s="10"/>
      <c r="J2479" s="10"/>
      <c r="K2479" s="10"/>
      <c r="L2479" s="10"/>
      <c r="M2479" s="10"/>
      <c r="N2479" s="10"/>
      <c r="O2479" s="10"/>
      <c r="P2479" s="10"/>
      <c r="Q2479" s="10"/>
      <c r="R2479" s="10"/>
      <c r="S2479" s="10"/>
      <c r="T2479" s="10"/>
      <c r="U2479" s="10"/>
      <c r="V2479" s="10"/>
      <c r="W2479" s="10"/>
      <c r="X2479" s="10"/>
      <c r="Y2479" s="10"/>
      <c r="Z2479" s="10"/>
    </row>
    <row r="2480" spans="1:26" ht="12.75">
      <c r="A2480" s="10" t="str">
        <f ca="1">IFERROR(__xludf.DUMMYFUNCTION("""COMPUTED_VALUE"""),"Евгений Иванов Сачев")</f>
        <v>Евгений Иванов Сачев</v>
      </c>
      <c r="B2480" s="10" t="str">
        <f ca="1">IFERROR(__xludf.DUMMYFUNCTION("""COMPUTED_VALUE"""),"Статия в списания и поредици")</f>
        <v>Статия в списания и поредици</v>
      </c>
      <c r="C2480" s="10" t="str">
        <f ca="1">IFERROR(__xludf.DUMMYFUNCTION("""COMPUTED_VALUE"""),"Руски приноси за развитието на организираната музейна дейност в България (1877/1878 - 1925)")</f>
        <v>Руски приноси за развитието на организираната музейна дейност в България (1877/1878 - 1925)</v>
      </c>
      <c r="D2480" s="10">
        <f ca="1">IFERROR(__xludf.DUMMYFUNCTION("""COMPUTED_VALUE"""),2003)</f>
        <v>2003</v>
      </c>
      <c r="E2480" s="10" t="str">
        <f ca="1">IFERROR(__xludf.DUMMYFUNCTION("""COMPUTED_VALUE"""),"Трудове на Колежа по библиотекознание и информационни технологии = Proceedings of the College of Library Science and Information Technologies ISSN: 1312-4013.- 2 (2003), s. 71-75")</f>
        <v>Трудове на Колежа по библиотекознание и информационни технологии = Proceedings of the College of Library Science and Information Technologies ISSN: 1312-4013.- 2 (2003), s. 71-75</v>
      </c>
      <c r="F2480" s="10"/>
      <c r="G2480" s="10"/>
      <c r="H2480" s="10"/>
      <c r="I2480" s="10"/>
      <c r="J2480" s="10"/>
      <c r="K2480" s="10"/>
      <c r="L2480" s="10"/>
      <c r="M2480" s="10"/>
      <c r="N2480" s="10"/>
      <c r="O2480" s="10"/>
      <c r="P2480" s="10"/>
      <c r="Q2480" s="10"/>
      <c r="R2480" s="10"/>
      <c r="S2480" s="10"/>
      <c r="T2480" s="10"/>
      <c r="U2480" s="10"/>
      <c r="V2480" s="10"/>
      <c r="W2480" s="10"/>
      <c r="X2480" s="10"/>
      <c r="Y2480" s="10"/>
      <c r="Z2480" s="10"/>
    </row>
    <row r="2481" spans="1:26" ht="12.75">
      <c r="A2481" s="10" t="str">
        <f ca="1">IFERROR(__xludf.DUMMYFUNCTION("""COMPUTED_VALUE"""),"Евгений Иванов Сачев")</f>
        <v>Евгений Иванов Сачев</v>
      </c>
      <c r="B2481" s="10" t="str">
        <f ca="1">IFERROR(__xludf.DUMMYFUNCTION("""COMPUTED_VALUE"""),"Статия в списания и поредици")</f>
        <v>Статия в списания и поредици</v>
      </c>
      <c r="C2481" s="10" t="str">
        <f ca="1">IFERROR(__xludf.DUMMYFUNCTION("""COMPUTED_VALUE"""),"Социокомуникативната система на културното наследство и националната сигурност")</f>
        <v>Социокомуникативната система на културното наследство и националната сигурност</v>
      </c>
      <c r="D2481" s="10">
        <f ca="1">IFERROR(__xludf.DUMMYFUNCTION("""COMPUTED_VALUE"""),2003)</f>
        <v>2003</v>
      </c>
      <c r="E2481" s="10" t="str">
        <f ca="1">IFERROR(__xludf.DUMMYFUNCTION("""COMPUTED_VALUE"""),"Трудове на Колежа по библиотекознание и информационни технологии = Proceedings of the College of Library Science and Information Technologies ISSN: 1312-4013.- 2 (2003), с. 65-70")</f>
        <v>Трудове на Колежа по библиотекознание и информационни технологии = Proceedings of the College of Library Science and Information Technologies ISSN: 1312-4013.- 2 (2003), с. 65-70</v>
      </c>
      <c r="F2481" s="10"/>
      <c r="G2481" s="10"/>
      <c r="H2481" s="10"/>
      <c r="I2481" s="10"/>
      <c r="J2481" s="10"/>
      <c r="K2481" s="10"/>
      <c r="L2481" s="10"/>
      <c r="M2481" s="10"/>
      <c r="N2481" s="10"/>
      <c r="O2481" s="10"/>
      <c r="P2481" s="10"/>
      <c r="Q2481" s="10"/>
      <c r="R2481" s="10"/>
      <c r="S2481" s="10"/>
      <c r="T2481" s="10"/>
      <c r="U2481" s="10"/>
      <c r="V2481" s="10"/>
      <c r="W2481" s="10"/>
      <c r="X2481" s="10"/>
      <c r="Y2481" s="10"/>
      <c r="Z2481" s="10"/>
    </row>
    <row r="2482" spans="1:26" ht="12.75">
      <c r="A2482" s="10" t="str">
        <f ca="1">IFERROR(__xludf.DUMMYFUNCTION("""COMPUTED_VALUE"""),"Евгений Иванов Сачев")</f>
        <v>Евгений Иванов Сачев</v>
      </c>
      <c r="B2482" s="10" t="str">
        <f ca="1">IFERROR(__xludf.DUMMYFUNCTION("""COMPUTED_VALUE"""),"Статия в списания и поредици")</f>
        <v>Статия в списания и поредици</v>
      </c>
      <c r="C2482" s="10" t="str">
        <f ca="1">IFERROR(__xludf.DUMMYFUNCTION("""COMPUTED_VALUE"""),"Музейна комуникация: принципи, структура, приложни насоки")</f>
        <v>Музейна комуникация: принципи, структура, приложни насоки</v>
      </c>
      <c r="D2482" s="10">
        <f ca="1">IFERROR(__xludf.DUMMYFUNCTION("""COMPUTED_VALUE"""),2002)</f>
        <v>2002</v>
      </c>
      <c r="E2482" s="10" t="str">
        <f ca="1">IFERROR(__xludf.DUMMYFUNCTION("""COMPUTED_VALUE"""),"Научни съобщения на СУБ [Съюз на учените в България] - клон Добрич = Research Communications of USB Branch Dobrich ISSN: 1311-2708.- 4, 1 (2002), s. 218-226")</f>
        <v>Научни съобщения на СУБ [Съюз на учените в България] - клон Добрич = Research Communications of USB Branch Dobrich ISSN: 1311-2708.- 4, 1 (2002), s. 218-226</v>
      </c>
      <c r="F2482" s="10"/>
      <c r="G2482" s="10"/>
      <c r="H2482" s="10"/>
      <c r="I2482" s="10"/>
      <c r="J2482" s="10"/>
      <c r="K2482" s="10"/>
      <c r="L2482" s="10"/>
      <c r="M2482" s="10"/>
      <c r="N2482" s="10"/>
      <c r="O2482" s="10"/>
      <c r="P2482" s="10"/>
      <c r="Q2482" s="10"/>
      <c r="R2482" s="10"/>
      <c r="S2482" s="10"/>
      <c r="T2482" s="10"/>
      <c r="U2482" s="10"/>
      <c r="V2482" s="10"/>
      <c r="W2482" s="10"/>
      <c r="X2482" s="10"/>
      <c r="Y2482" s="10"/>
      <c r="Z2482" s="10"/>
    </row>
    <row r="2483" spans="1:26" ht="12.75">
      <c r="A2483" s="10" t="str">
        <f ca="1">IFERROR(__xludf.DUMMYFUNCTION("""COMPUTED_VALUE"""),"Евгений Иванов Сачев")</f>
        <v>Евгений Иванов Сачев</v>
      </c>
      <c r="B2483" s="10" t="str">
        <f ca="1">IFERROR(__xludf.DUMMYFUNCTION("""COMPUTED_VALUE"""),"Статия в списания и поредици")</f>
        <v>Статия в списания и поредици</v>
      </c>
      <c r="C2483" s="10" t="str">
        <f ca="1">IFERROR(__xludf.DUMMYFUNCTION("""COMPUTED_VALUE"""),"Иманентно-присъщи характеристики на социокомуникативните музейни функции")</f>
        <v>Иманентно-присъщи характеристики на социокомуникативните музейни функции</v>
      </c>
      <c r="D2483" s="10">
        <f ca="1">IFERROR(__xludf.DUMMYFUNCTION("""COMPUTED_VALUE"""),2002)</f>
        <v>2002</v>
      </c>
      <c r="E2483" s="10" t="str">
        <f ca="1">IFERROR(__xludf.DUMMYFUNCTION("""COMPUTED_VALUE"""),"Научни съобщения на СУБ [Съюз на учените в България] - клон Добрич = Research Communications of USB Branch Dobrich ISSN: 1311-2708.- 4, 1 (2002), s. 227-230")</f>
        <v>Научни съобщения на СУБ [Съюз на учените в България] - клон Добрич = Research Communications of USB Branch Dobrich ISSN: 1311-2708.- 4, 1 (2002), s. 227-230</v>
      </c>
      <c r="F2483" s="10"/>
      <c r="G2483" s="10"/>
      <c r="H2483" s="10"/>
      <c r="I2483" s="10"/>
      <c r="J2483" s="10"/>
      <c r="K2483" s="10"/>
      <c r="L2483" s="10"/>
      <c r="M2483" s="10"/>
      <c r="N2483" s="10"/>
      <c r="O2483" s="10"/>
      <c r="P2483" s="10"/>
      <c r="Q2483" s="10"/>
      <c r="R2483" s="10"/>
      <c r="S2483" s="10"/>
      <c r="T2483" s="10"/>
      <c r="U2483" s="10"/>
      <c r="V2483" s="10"/>
      <c r="W2483" s="10"/>
      <c r="X2483" s="10"/>
      <c r="Y2483" s="10"/>
      <c r="Z2483" s="10"/>
    </row>
    <row r="2484" spans="1:26" ht="12.75">
      <c r="A2484" s="10" t="str">
        <f ca="1">IFERROR(__xludf.DUMMYFUNCTION("""COMPUTED_VALUE"""),"Евгений Иванов Сачев")</f>
        <v>Евгений Иванов Сачев</v>
      </c>
      <c r="B2484" s="10" t="str">
        <f ca="1">IFERROR(__xludf.DUMMYFUNCTION("""COMPUTED_VALUE"""),"Статия в списания и поредици")</f>
        <v>Статия в списания и поредици</v>
      </c>
      <c r="C2484" s="10" t="str">
        <f ca="1">IFERROR(__xludf.DUMMYFUNCTION("""COMPUTED_VALUE"""),"Съвременни социокомуникативни аспекти на музейното образование")</f>
        <v>Съвременни социокомуникативни аспекти на музейното образование</v>
      </c>
      <c r="D2484" s="10">
        <f ca="1">IFERROR(__xludf.DUMMYFUNCTION("""COMPUTED_VALUE"""),2002)</f>
        <v>2002</v>
      </c>
      <c r="E2484" s="10" t="str">
        <f ca="1">IFERROR(__xludf.DUMMYFUNCTION("""COMPUTED_VALUE"""),"Научни съобщения на СУБ [Съюз на учените в България] - клон Добрич = Research Communications of USB Branch Dobrich ISSN: 1311-2708.- 4, 2 (2002), s. 300-302")</f>
        <v>Научни съобщения на СУБ [Съюз на учените в България] - клон Добрич = Research Communications of USB Branch Dobrich ISSN: 1311-2708.- 4, 2 (2002), s. 300-302</v>
      </c>
      <c r="F2484" s="10"/>
      <c r="G2484" s="10"/>
      <c r="H2484" s="10"/>
      <c r="I2484" s="10"/>
      <c r="J2484" s="10"/>
      <c r="K2484" s="10"/>
      <c r="L2484" s="10"/>
      <c r="M2484" s="10"/>
      <c r="N2484" s="10"/>
      <c r="O2484" s="10"/>
      <c r="P2484" s="10"/>
      <c r="Q2484" s="10"/>
      <c r="R2484" s="10"/>
      <c r="S2484" s="10"/>
      <c r="T2484" s="10"/>
      <c r="U2484" s="10"/>
      <c r="V2484" s="10"/>
      <c r="W2484" s="10"/>
      <c r="X2484" s="10"/>
      <c r="Y2484" s="10"/>
      <c r="Z2484" s="10"/>
    </row>
    <row r="2485" spans="1:26" ht="12.75">
      <c r="A2485" s="10" t="str">
        <f ca="1">IFERROR(__xludf.DUMMYFUNCTION("""COMPUTED_VALUE"""),"Евгений Иванов Сачев")</f>
        <v>Евгений Иванов Сачев</v>
      </c>
      <c r="B2485" s="10" t="str">
        <f ca="1">IFERROR(__xludf.DUMMYFUNCTION("""COMPUTED_VALUE"""),"Статия в списания и поредици")</f>
        <v>Статия в списания и поредици</v>
      </c>
      <c r="C2485" s="10" t="str">
        <f ca="1">IFERROR(__xludf.DUMMYFUNCTION("""COMPUTED_VALUE"""),"Музейна политика")</f>
        <v>Музейна политика</v>
      </c>
      <c r="D2485" s="10">
        <f ca="1">IFERROR(__xludf.DUMMYFUNCTION("""COMPUTED_VALUE"""),2001)</f>
        <v>2001</v>
      </c>
      <c r="E2485" s="10" t="str">
        <f ca="1">IFERROR(__xludf.DUMMYFUNCTION("""COMPUTED_VALUE"""),"Научни съобщения на СУБ [Съюз на учените в България] - клон Добрич = Research Communications of USB Branch Dobrich ISSN: 1311-2708.- 3 (2001), s. 231-237")</f>
        <v>Научни съобщения на СУБ [Съюз на учените в България] - клон Добрич = Research Communications of USB Branch Dobrich ISSN: 1311-2708.- 3 (2001), s. 231-237</v>
      </c>
      <c r="F2485" s="10"/>
      <c r="G2485" s="10"/>
      <c r="H2485" s="10"/>
      <c r="I2485" s="10"/>
      <c r="J2485" s="10"/>
      <c r="K2485" s="10"/>
      <c r="L2485" s="10"/>
      <c r="M2485" s="10"/>
      <c r="N2485" s="10"/>
      <c r="O2485" s="10"/>
      <c r="P2485" s="10"/>
      <c r="Q2485" s="10"/>
      <c r="R2485" s="10"/>
      <c r="S2485" s="10"/>
      <c r="T2485" s="10"/>
      <c r="U2485" s="10"/>
      <c r="V2485" s="10"/>
      <c r="W2485" s="10"/>
      <c r="X2485" s="10"/>
      <c r="Y2485" s="10"/>
      <c r="Z2485" s="10"/>
    </row>
    <row r="2486" spans="1:26" ht="12.75">
      <c r="A2486" s="10" t="str">
        <f ca="1">IFERROR(__xludf.DUMMYFUNCTION("""COMPUTED_VALUE"""),"Евгений Иванов Сачев")</f>
        <v>Евгений Иванов Сачев</v>
      </c>
      <c r="B2486" s="10" t="str">
        <f ca="1">IFERROR(__xludf.DUMMYFUNCTION("""COMPUTED_VALUE"""),"Статия в списания и поредици")</f>
        <v>Статия в списания и поредици</v>
      </c>
      <c r="C2486" s="10" t="str">
        <f ca="1">IFERROR(__xludf.DUMMYFUNCTION("""COMPUTED_VALUE"""),"Стратегии за развитие на музейната дейност в България")</f>
        <v>Стратегии за развитие на музейната дейност в България</v>
      </c>
      <c r="D2486" s="10">
        <f ca="1">IFERROR(__xludf.DUMMYFUNCTION("""COMPUTED_VALUE"""),2001)</f>
        <v>2001</v>
      </c>
      <c r="E2486" s="10" t="str">
        <f ca="1">IFERROR(__xludf.DUMMYFUNCTION("""COMPUTED_VALUE"""),"Научни съобщения на СУБ [Съюз на учените в България] - клон Добрич = Research Communications of USB Branch Dobrich ISSN: 1311-2708.- 3 (2001), s. 218-230")</f>
        <v>Научни съобщения на СУБ [Съюз на учените в България] - клон Добрич = Research Communications of USB Branch Dobrich ISSN: 1311-2708.- 3 (2001), s. 218-230</v>
      </c>
      <c r="F2486" s="10"/>
      <c r="G2486" s="10"/>
      <c r="H2486" s="10"/>
      <c r="I2486" s="10"/>
      <c r="J2486" s="10"/>
      <c r="K2486" s="10"/>
      <c r="L2486" s="10"/>
      <c r="M2486" s="10"/>
      <c r="N2486" s="10"/>
      <c r="O2486" s="10"/>
      <c r="P2486" s="10"/>
      <c r="Q2486" s="10"/>
      <c r="R2486" s="10"/>
      <c r="S2486" s="10"/>
      <c r="T2486" s="10"/>
      <c r="U2486" s="10"/>
      <c r="V2486" s="10"/>
      <c r="W2486" s="10"/>
      <c r="X2486" s="10"/>
      <c r="Y2486" s="10"/>
      <c r="Z2486" s="10"/>
    </row>
    <row r="2487" spans="1:26" ht="12.75">
      <c r="A2487" s="10" t="str">
        <f ca="1">IFERROR(__xludf.DUMMYFUNCTION("""COMPUTED_VALUE"""),"Евгений Иванов Сачев")</f>
        <v>Евгений Иванов Сачев</v>
      </c>
      <c r="B2487" s="10" t="str">
        <f ca="1">IFERROR(__xludf.DUMMYFUNCTION("""COMPUTED_VALUE"""),"Монография")</f>
        <v>Монография</v>
      </c>
      <c r="C2487" s="10" t="str">
        <f ca="1">IFERROR(__xludf.DUMMYFUNCTION("""COMPUTED_VALUE"""),"Въведение в комуникативната музейна политика")</f>
        <v>Въведение в комуникативната музейна политика</v>
      </c>
      <c r="D2487" s="10">
        <f ca="1">IFERROR(__xludf.DUMMYFUNCTION("""COMPUTED_VALUE"""),2001)</f>
        <v>2001</v>
      </c>
      <c r="E2487" s="10" t="str">
        <f ca="1">IFERROR(__xludf.DUMMYFUNCTION("""COMPUTED_VALUE"""),"- София: Интелдей Солушънс АД, 2001, 152 с. ISBN: 954-91029-1-2")</f>
        <v>- София: Интелдей Солушънс АД, 2001, 152 с. ISBN: 954-91029-1-2</v>
      </c>
      <c r="F2487" s="10"/>
      <c r="G2487" s="10"/>
      <c r="H2487" s="10"/>
      <c r="I2487" s="10"/>
      <c r="J2487" s="10"/>
      <c r="K2487" s="10"/>
      <c r="L2487" s="10"/>
      <c r="M2487" s="10"/>
      <c r="N2487" s="10"/>
      <c r="O2487" s="10"/>
      <c r="P2487" s="10"/>
      <c r="Q2487" s="10"/>
      <c r="R2487" s="10"/>
      <c r="S2487" s="10"/>
      <c r="T2487" s="10"/>
      <c r="U2487" s="10"/>
      <c r="V2487" s="10"/>
      <c r="W2487" s="10"/>
      <c r="X2487" s="10"/>
      <c r="Y2487" s="10"/>
      <c r="Z2487" s="10"/>
    </row>
    <row r="2488" spans="1:26" ht="12.75">
      <c r="A2488" s="10" t="str">
        <f ca="1">IFERROR(__xludf.DUMMYFUNCTION("""COMPUTED_VALUE"""),"Евгений Иванов Сачев")</f>
        <v>Евгений Иванов Сачев</v>
      </c>
      <c r="B2488" s="10" t="str">
        <f ca="1">IFERROR(__xludf.DUMMYFUNCTION("""COMPUTED_VALUE"""),"Статия в списания и поредици")</f>
        <v>Статия в списания и поредици</v>
      </c>
      <c r="C2488" s="10" t="str">
        <f ca="1">IFERROR(__xludf.DUMMYFUNCTION("""COMPUTED_VALUE"""),"Типология на социомузейните явления")</f>
        <v>Типология на социомузейните явления</v>
      </c>
      <c r="D2488" s="10">
        <f ca="1">IFERROR(__xludf.DUMMYFUNCTION("""COMPUTED_VALUE"""),1999)</f>
        <v>1999</v>
      </c>
      <c r="E2488" s="10" t="str">
        <f ca="1">IFERROR(__xludf.DUMMYFUNCTION("""COMPUTED_VALUE"""),"Научни съобщения на СУБ [Съюз на учените в България] - клон Добрич = Research Communications of USB Branch Dobrich ISSN: 1311-2708.- 1 (1999), s. 169-174")</f>
        <v>Научни съобщения на СУБ [Съюз на учените в България] - клон Добрич = Research Communications of USB Branch Dobrich ISSN: 1311-2708.- 1 (1999), s. 169-174</v>
      </c>
      <c r="F2488" s="10"/>
      <c r="G2488" s="10"/>
      <c r="H2488" s="10"/>
      <c r="I2488" s="10"/>
      <c r="J2488" s="10"/>
      <c r="K2488" s="10"/>
      <c r="L2488" s="10"/>
      <c r="M2488" s="10"/>
      <c r="N2488" s="10"/>
      <c r="O2488" s="10"/>
      <c r="P2488" s="10"/>
      <c r="Q2488" s="10"/>
      <c r="R2488" s="10"/>
      <c r="S2488" s="10"/>
      <c r="T2488" s="10"/>
      <c r="U2488" s="10"/>
      <c r="V2488" s="10"/>
      <c r="W2488" s="10"/>
      <c r="X2488" s="10"/>
      <c r="Y2488" s="10"/>
      <c r="Z2488" s="10"/>
    </row>
    <row r="2489" spans="1:26" ht="12.75">
      <c r="A2489" s="10" t="str">
        <f ca="1">IFERROR(__xludf.DUMMYFUNCTION("""COMPUTED_VALUE"""),"Евгения Петрова Ковачева")</f>
        <v>Евгения Петрова Ковачева</v>
      </c>
      <c r="B2489" s="10" t="str">
        <f ca="1">IFERROR(__xludf.DUMMYFUNCTION("""COMPUTED_VALUE"""),"Доклад от конференция")</f>
        <v>Доклад от конференция</v>
      </c>
      <c r="C2489" s="10" t="str">
        <f ca="1">IFERROR(__xludf.DUMMYFUNCTION("""COMPUTED_VALUE"""),"Design Thinking In Higher Education")</f>
        <v>Design Thinking In Higher Education</v>
      </c>
      <c r="D2489" s="10">
        <f ca="1">IFERROR(__xludf.DUMMYFUNCTION("""COMPUTED_VALUE"""),2019)</f>
        <v>2019</v>
      </c>
      <c r="E2489" s="10" t="str">
        <f ca="1">IFERROR(__xludf.DUMMYFUNCTION("""COMPUTED_VALUE"""),"In EDULEARN19 Proceedings, 11th International Conference on Education and New Learning Technologies Palma, Spain. 1-3 July, 2019.,ISBN: 978-84-09-12031-4 / ISSN: 2340-1117, doi: 10.21125/edulearn.2019")</f>
        <v>In EDULEARN19 Proceedings, 11th International Conference on Education and New Learning Technologies Palma, Spain. 1-3 July, 2019.,ISBN: 978-84-09-12031-4 / ISSN: 2340-1117, doi: 10.21125/edulearn.2019</v>
      </c>
      <c r="F2489" s="10"/>
      <c r="G2489" s="10" t="str">
        <f ca="1">IFERROR(__xludf.DUMMYFUNCTION("""COMPUTED_VALUE"""),"Kovatcheva, E, J.A. Campos, J.L. Del Val Roman, G.P. Dimitrov, P. Petrova")</f>
        <v>Kovatcheva, E, J.A. Campos, J.L. Del Val Roman, G.P. Dimitrov, P. Petrova</v>
      </c>
      <c r="H2489" s="10"/>
      <c r="I2489" s="10"/>
      <c r="J2489" s="10"/>
      <c r="K2489" s="10"/>
      <c r="L2489" s="10"/>
      <c r="M2489" s="10"/>
      <c r="N2489" s="10"/>
      <c r="O2489" s="10"/>
      <c r="P2489" s="10"/>
      <c r="Q2489" s="10"/>
      <c r="R2489" s="10"/>
      <c r="S2489" s="10"/>
      <c r="T2489" s="10"/>
      <c r="U2489" s="10"/>
      <c r="V2489" s="10"/>
      <c r="W2489" s="10"/>
      <c r="X2489" s="10"/>
      <c r="Y2489" s="10"/>
      <c r="Z2489" s="10"/>
    </row>
    <row r="2490" spans="1:26" ht="12.75">
      <c r="A2490" s="10" t="str">
        <f ca="1">IFERROR(__xludf.DUMMYFUNCTION("""COMPUTED_VALUE"""),"Евгения Петрова Ковачева")</f>
        <v>Евгения Петрова Ковачева</v>
      </c>
      <c r="B2490" s="10" t="str">
        <f ca="1">IFERROR(__xludf.DUMMYFUNCTION("""COMPUTED_VALUE"""),"Доклад от конференция")</f>
        <v>Доклад от конференция</v>
      </c>
      <c r="C2490" s="10" t="str">
        <f ca="1">IFERROR(__xludf.DUMMYFUNCTION("""COMPUTED_VALUE"""),"Cybersecurity Training for SME: Filling The Gap or Corporate Strategy?")</f>
        <v>Cybersecurity Training for SME: Filling The Gap or Corporate Strategy?</v>
      </c>
      <c r="D2490" s="10">
        <f ca="1">IFERROR(__xludf.DUMMYFUNCTION("""COMPUTED_VALUE"""),2019)</f>
        <v>2019</v>
      </c>
      <c r="E2490" s="10" t="str">
        <f ca="1">IFERROR(__xludf.DUMMYFUNCTION("""COMPUTED_VALUE"""),"In ICERI2019 proceeding, November 11-13, 2019, Seville, ISBN: 978-84-09-14755-7")</f>
        <v>In ICERI2019 proceeding, November 11-13, 2019, Seville, ISBN: 978-84-09-14755-7</v>
      </c>
      <c r="F2490" s="10"/>
      <c r="G2490" s="10" t="str">
        <f ca="1">IFERROR(__xludf.DUMMYFUNCTION("""COMPUTED_VALUE"""),"Angelo Consoli, Eugenia Kovatcheva")</f>
        <v>Angelo Consoli, Eugenia Kovatcheva</v>
      </c>
      <c r="H2490" s="10"/>
      <c r="I2490" s="10"/>
      <c r="J2490" s="10"/>
      <c r="K2490" s="10"/>
      <c r="L2490" s="10"/>
      <c r="M2490" s="10"/>
      <c r="N2490" s="10"/>
      <c r="O2490" s="10"/>
      <c r="P2490" s="10"/>
      <c r="Q2490" s="10"/>
      <c r="R2490" s="10"/>
      <c r="S2490" s="10"/>
      <c r="T2490" s="10"/>
      <c r="U2490" s="10"/>
      <c r="V2490" s="10"/>
      <c r="W2490" s="10"/>
      <c r="X2490" s="10"/>
      <c r="Y2490" s="10"/>
      <c r="Z2490" s="10"/>
    </row>
    <row r="2491" spans="1:26" ht="12.75">
      <c r="A2491" s="10" t="str">
        <f ca="1">IFERROR(__xludf.DUMMYFUNCTION("""COMPUTED_VALUE"""),"Евгения Петрова Ковачева")</f>
        <v>Евгения Петрова Ковачева</v>
      </c>
      <c r="B2491" s="10" t="str">
        <f ca="1">IFERROR(__xludf.DUMMYFUNCTION("""COMPUTED_VALUE"""),"Статия в списания и поредици")</f>
        <v>Статия в списания и поредици</v>
      </c>
      <c r="C2491" s="10" t="str">
        <f ca="1">IFERROR(__xludf.DUMMYFUNCTION("""COMPUTED_VALUE"""),"Tuning Students Ideas In UX Design Course")</f>
        <v>Tuning Students Ideas In UX Design Course</v>
      </c>
      <c r="D2491" s="10">
        <f ca="1">IFERROR(__xludf.DUMMYFUNCTION("""COMPUTED_VALUE"""),2019)</f>
        <v>2019</v>
      </c>
      <c r="E2491" s="10" t="str">
        <f ca="1">IFERROR(__xludf.DUMMYFUNCTION("""COMPUTED_VALUE"""),"In ICERI2019 proceeding, November 11-13, 2019, Seville")</f>
        <v>In ICERI2019 proceeding, November 11-13, 2019, Seville</v>
      </c>
      <c r="F2491" s="10"/>
      <c r="G2491" s="10" t="str">
        <f ca="1">IFERROR(__xludf.DUMMYFUNCTION("""COMPUTED_VALUE"""),"Kovatcheva Е.")</f>
        <v>Kovatcheva Е.</v>
      </c>
      <c r="H2491" s="10"/>
      <c r="I2491" s="10"/>
      <c r="J2491" s="10"/>
      <c r="K2491" s="10"/>
      <c r="L2491" s="10"/>
      <c r="M2491" s="10"/>
      <c r="N2491" s="10"/>
      <c r="O2491" s="10"/>
      <c r="P2491" s="10"/>
      <c r="Q2491" s="10"/>
      <c r="R2491" s="10"/>
      <c r="S2491" s="10"/>
      <c r="T2491" s="10"/>
      <c r="U2491" s="10"/>
      <c r="V2491" s="10"/>
      <c r="W2491" s="10"/>
      <c r="X2491" s="10"/>
      <c r="Y2491" s="10"/>
      <c r="Z2491" s="10"/>
    </row>
    <row r="2492" spans="1:26" ht="12.75">
      <c r="A2492" s="10" t="str">
        <f ca="1">IFERROR(__xludf.DUMMYFUNCTION("""COMPUTED_VALUE"""),"Евгения Петрова Ковачева")</f>
        <v>Евгения Петрова Ковачева</v>
      </c>
      <c r="B2492" s="10" t="str">
        <f ca="1">IFERROR(__xludf.DUMMYFUNCTION("""COMPUTED_VALUE"""),"Доклад от конференция")</f>
        <v>Доклад от конференция</v>
      </c>
      <c r="C2492" s="10" t="str">
        <f ca="1">IFERROR(__xludf.DUMMYFUNCTION("""COMPUTED_VALUE"""),"UX Learning Design in Nugget Education")</f>
        <v>UX Learning Design in Nugget Education</v>
      </c>
      <c r="D2492" s="10">
        <f ca="1">IFERROR(__xludf.DUMMYFUNCTION("""COMPUTED_VALUE"""),2019)</f>
        <v>2019</v>
      </c>
      <c r="E2492" s="10" t="str">
        <f ca="1">IFERROR(__xludf.DUMMYFUNCTION("""COMPUTED_VALUE"""),"In EDULEARN19 Proceedings, 11th International Conference on Education and New Learning Technologies Palma, Spain. 1-3 July, 2019.,ISBN: 978-84-09-12031-4 / ISSN: 2340-1117, doi: 10.21125/edulearn.2019")</f>
        <v>In EDULEARN19 Proceedings, 11th International Conference on Education and New Learning Technologies Palma, Spain. 1-3 July, 2019.,ISBN: 978-84-09-12031-4 / ISSN: 2340-1117, doi: 10.21125/edulearn.2019</v>
      </c>
      <c r="F2492" s="10"/>
      <c r="G2492" s="10" t="str">
        <f ca="1">IFERROR(__xludf.DUMMYFUNCTION("""COMPUTED_VALUE"""),"Eugeni Kovatcheva, Milena Koleva")</f>
        <v>Eugeni Kovatcheva, Milena Koleva</v>
      </c>
      <c r="H2492" s="10"/>
      <c r="I2492" s="10"/>
      <c r="J2492" s="10"/>
      <c r="K2492" s="10"/>
      <c r="L2492" s="10"/>
      <c r="M2492" s="10"/>
      <c r="N2492" s="10"/>
      <c r="O2492" s="10"/>
      <c r="P2492" s="10"/>
      <c r="Q2492" s="10"/>
      <c r="R2492" s="10"/>
      <c r="S2492" s="10"/>
      <c r="T2492" s="10"/>
      <c r="U2492" s="10"/>
      <c r="V2492" s="10"/>
      <c r="W2492" s="10"/>
      <c r="X2492" s="10"/>
      <c r="Y2492" s="10"/>
      <c r="Z2492" s="10"/>
    </row>
    <row r="2493" spans="1:26" ht="12.75">
      <c r="A2493" s="10" t="str">
        <f ca="1">IFERROR(__xludf.DUMMYFUNCTION("""COMPUTED_VALUE"""),"Евгения Петрова Ковачева")</f>
        <v>Евгения Петрова Ковачева</v>
      </c>
      <c r="B2493" s="10" t="str">
        <f ca="1">IFERROR(__xludf.DUMMYFUNCTION("""COMPUTED_VALUE"""),"Статия в списания и поредици")</f>
        <v>Статия в списания и поредици</v>
      </c>
      <c r="C2493" s="10" t="str">
        <f ca="1">IFERROR(__xludf.DUMMYFUNCTION("""COMPUTED_VALUE"""),"UX Learning Design in Nugget Education")</f>
        <v>UX Learning Design in Nugget Education</v>
      </c>
      <c r="D2493" s="10">
        <f ca="1">IFERROR(__xludf.DUMMYFUNCTION("""COMPUTED_VALUE"""),2019)</f>
        <v>2019</v>
      </c>
      <c r="E2493" s="10" t="str">
        <f ca="1">IFERROR(__xludf.DUMMYFUNCTION("""COMPUTED_VALUE"""),"In EDULEARN19 Proceedings")</f>
        <v>In EDULEARN19 Proceedings</v>
      </c>
      <c r="F2493" s="10"/>
      <c r="G2493" s="10" t="str">
        <f ca="1">IFERROR(__xludf.DUMMYFUNCTION("""COMPUTED_VALUE"""),"Kovatcheva, E. M. Koleva")</f>
        <v>Kovatcheva, E. M. Koleva</v>
      </c>
      <c r="H2493" s="10"/>
      <c r="I2493" s="10"/>
      <c r="J2493" s="10"/>
      <c r="K2493" s="10"/>
      <c r="L2493" s="10"/>
      <c r="M2493" s="10"/>
      <c r="N2493" s="10"/>
      <c r="O2493" s="10"/>
      <c r="P2493" s="10"/>
      <c r="Q2493" s="10"/>
      <c r="R2493" s="10"/>
      <c r="S2493" s="10"/>
      <c r="T2493" s="10"/>
      <c r="U2493" s="10"/>
      <c r="V2493" s="10"/>
      <c r="W2493" s="10"/>
      <c r="X2493" s="10"/>
      <c r="Y2493" s="10"/>
      <c r="Z2493" s="10"/>
    </row>
    <row r="2494" spans="1:26" ht="12.75">
      <c r="A2494" s="10" t="str">
        <f ca="1">IFERROR(__xludf.DUMMYFUNCTION("""COMPUTED_VALUE"""),"Евгения Петрова Ковачева")</f>
        <v>Евгения Петрова Ковачева</v>
      </c>
      <c r="B2494" s="10" t="str">
        <f ca="1">IFERROR(__xludf.DUMMYFUNCTION("""COMPUTED_VALUE"""),"Статия в списания и поредици")</f>
        <v>Статия в списания и поредици</v>
      </c>
      <c r="C2494" s="10" t="str">
        <f ca="1">IFERROR(__xludf.DUMMYFUNCTION("""COMPUTED_VALUE"""),"Cybersecurity Training for SME: Filling The Gap or Corporate Strategy?")</f>
        <v>Cybersecurity Training for SME: Filling The Gap or Corporate Strategy?</v>
      </c>
      <c r="D2494" s="10">
        <f ca="1">IFERROR(__xludf.DUMMYFUNCTION("""COMPUTED_VALUE"""),2019)</f>
        <v>2019</v>
      </c>
      <c r="E2494" s="10" t="str">
        <f ca="1">IFERROR(__xludf.DUMMYFUNCTION("""COMPUTED_VALUE"""),"In ICERI2019 proceeding, November 11-13, 2019, Seville")</f>
        <v>In ICERI2019 proceeding, November 11-13, 2019, Seville</v>
      </c>
      <c r="F2494" s="10"/>
      <c r="G2494" s="10" t="str">
        <f ca="1">IFERROR(__xludf.DUMMYFUNCTION("""COMPUTED_VALUE"""),"Consoli, А Kovatcheva Е.")</f>
        <v>Consoli, А Kovatcheva Е.</v>
      </c>
      <c r="H2494" s="10"/>
      <c r="I2494" s="10"/>
      <c r="J2494" s="10"/>
      <c r="K2494" s="10"/>
      <c r="L2494" s="10"/>
      <c r="M2494" s="10"/>
      <c r="N2494" s="10"/>
      <c r="O2494" s="10"/>
      <c r="P2494" s="10"/>
      <c r="Q2494" s="10"/>
      <c r="R2494" s="10"/>
      <c r="S2494" s="10"/>
      <c r="T2494" s="10"/>
      <c r="U2494" s="10"/>
      <c r="V2494" s="10"/>
      <c r="W2494" s="10"/>
      <c r="X2494" s="10"/>
      <c r="Y2494" s="10"/>
      <c r="Z2494" s="10"/>
    </row>
    <row r="2495" spans="1:26" ht="12.75">
      <c r="A2495" s="10" t="str">
        <f ca="1">IFERROR(__xludf.DUMMYFUNCTION("""COMPUTED_VALUE"""),"Евгения Петрова Ковачева")</f>
        <v>Евгения Петрова Ковачева</v>
      </c>
      <c r="B2495" s="10" t="str">
        <f ca="1">IFERROR(__xludf.DUMMYFUNCTION("""COMPUTED_VALUE"""),"Статия в списания и поредици")</f>
        <v>Статия в списания и поредици</v>
      </c>
      <c r="C2495" s="10" t="str">
        <f ca="1">IFERROR(__xludf.DUMMYFUNCTION("""COMPUTED_VALUE"""),"Design Thinking In Higher Education")</f>
        <v>Design Thinking In Higher Education</v>
      </c>
      <c r="D2495" s="10">
        <f ca="1">IFERROR(__xludf.DUMMYFUNCTION("""COMPUTED_VALUE"""),2019)</f>
        <v>2019</v>
      </c>
      <c r="E2495" s="10" t="str">
        <f ca="1">IFERROR(__xludf.DUMMYFUNCTION("""COMPUTED_VALUE"""),"In EDULEARN19 Proceedings")</f>
        <v>In EDULEARN19 Proceedings</v>
      </c>
      <c r="F2495" s="10"/>
      <c r="G2495" s="10" t="str">
        <f ca="1">IFERROR(__xludf.DUMMYFUNCTION("""COMPUTED_VALUE"""),"Kovatcheva, E, J.A. Campos, J.L. Del Val Roman, G.P. Dimitrov, P. Petrova")</f>
        <v>Kovatcheva, E, J.A. Campos, J.L. Del Val Roman, G.P. Dimitrov, P. Petrova</v>
      </c>
      <c r="H2495" s="10"/>
      <c r="I2495" s="10"/>
      <c r="J2495" s="10"/>
      <c r="K2495" s="10"/>
      <c r="L2495" s="10"/>
      <c r="M2495" s="10"/>
      <c r="N2495" s="10"/>
      <c r="O2495" s="10"/>
      <c r="P2495" s="10"/>
      <c r="Q2495" s="10"/>
      <c r="R2495" s="10"/>
      <c r="S2495" s="10"/>
      <c r="T2495" s="10"/>
      <c r="U2495" s="10"/>
      <c r="V2495" s="10"/>
      <c r="W2495" s="10"/>
      <c r="X2495" s="10"/>
      <c r="Y2495" s="10"/>
      <c r="Z2495" s="10"/>
    </row>
    <row r="2496" spans="1:26" ht="12.75">
      <c r="A2496" s="10" t="str">
        <f ca="1">IFERROR(__xludf.DUMMYFUNCTION("""COMPUTED_VALUE"""),"Евгения Петрова Ковачева")</f>
        <v>Евгения Петрова Ковачева</v>
      </c>
      <c r="B2496" s="10" t="str">
        <f ca="1">IFERROR(__xludf.DUMMYFUNCTION("""COMPUTED_VALUE"""),"Доклад от конференция")</f>
        <v>Доклад от конференция</v>
      </c>
      <c r="C2496" s="10" t="str">
        <f ca="1">IFERROR(__xludf.DUMMYFUNCTION("""COMPUTED_VALUE"""),"Competency In Nuggets For Cyber Security Trainings")</f>
        <v>Competency In Nuggets For Cyber Security Trainings</v>
      </c>
      <c r="D2496" s="10">
        <f ca="1">IFERROR(__xludf.DUMMYFUNCTION("""COMPUTED_VALUE"""),2019)</f>
        <v>2019</v>
      </c>
      <c r="E2496" s="10" t="str">
        <f ca="1">IFERROR(__xludf.DUMMYFUNCTION("""COMPUTED_VALUE"""),"In EDULEARN19 Proceedings, 11th International Conference on Education and New Learning Technologies Palma, Spain. 1-3 July, 2019.,ISBN: 978-84-09-12031-4 / ISSN: 2340-1117, doi: 10.21125/edulearn.2019")</f>
        <v>In EDULEARN19 Proceedings, 11th International Conference on Education and New Learning Technologies Palma, Spain. 1-3 July, 2019.,ISBN: 978-84-09-12031-4 / ISSN: 2340-1117, doi: 10.21125/edulearn.2019</v>
      </c>
      <c r="F2496" s="10"/>
      <c r="G2496" s="10" t="str">
        <f ca="1">IFERROR(__xludf.DUMMYFUNCTION("""COMPUTED_VALUE"""),"Kovatcheva E., W. Dimitrov, M. Koleva, I. Kostadinova, I. Getova,")</f>
        <v>Kovatcheva E., W. Dimitrov, M. Koleva, I. Kostadinova, I. Getova,</v>
      </c>
      <c r="H2496" s="10"/>
      <c r="I2496" s="10"/>
      <c r="J2496" s="10"/>
      <c r="K2496" s="10"/>
      <c r="L2496" s="10"/>
      <c r="M2496" s="10"/>
      <c r="N2496" s="10"/>
      <c r="O2496" s="10"/>
      <c r="P2496" s="10"/>
      <c r="Q2496" s="10"/>
      <c r="R2496" s="10"/>
      <c r="S2496" s="10"/>
      <c r="T2496" s="10"/>
      <c r="U2496" s="10"/>
      <c r="V2496" s="10"/>
      <c r="W2496" s="10"/>
      <c r="X2496" s="10"/>
      <c r="Y2496" s="10"/>
      <c r="Z2496" s="10"/>
    </row>
    <row r="2497" spans="1:26" ht="12.75">
      <c r="A2497" s="10" t="str">
        <f ca="1">IFERROR(__xludf.DUMMYFUNCTION("""COMPUTED_VALUE"""),"Евгения Петрова Ковачева")</f>
        <v>Евгения Петрова Ковачева</v>
      </c>
      <c r="B2497" s="10" t="str">
        <f ca="1">IFERROR(__xludf.DUMMYFUNCTION("""COMPUTED_VALUE"""),"Доклад от конференция")</f>
        <v>Доклад от конференция</v>
      </c>
      <c r="C2497" s="10" t="str">
        <f ca="1">IFERROR(__xludf.DUMMYFUNCTION("""COMPUTED_VALUE"""),"Tuning Students Ideas In UX Design Course")</f>
        <v>Tuning Students Ideas In UX Design Course</v>
      </c>
      <c r="D2497" s="10">
        <f ca="1">IFERROR(__xludf.DUMMYFUNCTION("""COMPUTED_VALUE"""),2019)</f>
        <v>2019</v>
      </c>
      <c r="E2497" s="10" t="str">
        <f ca="1">IFERROR(__xludf.DUMMYFUNCTION("""COMPUTED_VALUE"""),"In ICERI2019 proceeding, November 11-13, 2019, Seville, ISBN: 978-84-09-14755-7")</f>
        <v>In ICERI2019 proceeding, November 11-13, 2019, Seville, ISBN: 978-84-09-14755-7</v>
      </c>
      <c r="F2497" s="10"/>
      <c r="G2497" s="10"/>
      <c r="H2497" s="10"/>
      <c r="I2497" s="10"/>
      <c r="J2497" s="10"/>
      <c r="K2497" s="10"/>
      <c r="L2497" s="10"/>
      <c r="M2497" s="10"/>
      <c r="N2497" s="10"/>
      <c r="O2497" s="10"/>
      <c r="P2497" s="10"/>
      <c r="Q2497" s="10"/>
      <c r="R2497" s="10"/>
      <c r="S2497" s="10"/>
      <c r="T2497" s="10"/>
      <c r="U2497" s="10"/>
      <c r="V2497" s="10"/>
      <c r="W2497" s="10"/>
      <c r="X2497" s="10"/>
      <c r="Y2497" s="10"/>
      <c r="Z2497" s="10"/>
    </row>
    <row r="2498" spans="1:26" ht="12.75">
      <c r="A2498" s="10" t="str">
        <f ca="1">IFERROR(__xludf.DUMMYFUNCTION("""COMPUTED_VALUE"""),"Евгения Петрова Ковачева")</f>
        <v>Евгения Петрова Ковачева</v>
      </c>
      <c r="B2498" s="10" t="str">
        <f ca="1">IFERROR(__xludf.DUMMYFUNCTION("""COMPUTED_VALUE"""),"Статия в списания и поредици")</f>
        <v>Статия в списания и поредици</v>
      </c>
      <c r="C2498" s="10" t="str">
        <f ca="1">IFERROR(__xludf.DUMMYFUNCTION("""COMPUTED_VALUE"""),"Competency In Nuggets For Cyber Security Trainings")</f>
        <v>Competency In Nuggets For Cyber Security Trainings</v>
      </c>
      <c r="D2498" s="10">
        <f ca="1">IFERROR(__xludf.DUMMYFUNCTION("""COMPUTED_VALUE"""),2019)</f>
        <v>2019</v>
      </c>
      <c r="E2498" s="10" t="str">
        <f ca="1">IFERROR(__xludf.DUMMYFUNCTION("""COMPUTED_VALUE"""),"In EDULEARN19 Proceedings")</f>
        <v>In EDULEARN19 Proceedings</v>
      </c>
      <c r="F2498" s="10"/>
      <c r="G2498" s="10" t="str">
        <f ca="1">IFERROR(__xludf.DUMMYFUNCTION("""COMPUTED_VALUE"""),"Kovatcheva E., W. Dimitrov, M. Koleva, I. Kostadinova, I. Getova")</f>
        <v>Kovatcheva E., W. Dimitrov, M. Koleva, I. Kostadinova, I. Getova</v>
      </c>
      <c r="H2498" s="10"/>
      <c r="I2498" s="10"/>
      <c r="J2498" s="10"/>
      <c r="K2498" s="10"/>
      <c r="L2498" s="10"/>
      <c r="M2498" s="10"/>
      <c r="N2498" s="10"/>
      <c r="O2498" s="10"/>
      <c r="P2498" s="10"/>
      <c r="Q2498" s="10"/>
      <c r="R2498" s="10"/>
      <c r="S2498" s="10"/>
      <c r="T2498" s="10"/>
      <c r="U2498" s="10"/>
      <c r="V2498" s="10"/>
      <c r="W2498" s="10"/>
      <c r="X2498" s="10"/>
      <c r="Y2498" s="10"/>
      <c r="Z2498" s="10"/>
    </row>
    <row r="2499" spans="1:26" ht="12.75">
      <c r="A2499" s="10" t="str">
        <f ca="1">IFERROR(__xludf.DUMMYFUNCTION("""COMPUTED_VALUE"""),"Евгения Петрова Ковачева")</f>
        <v>Евгения Петрова Ковачева</v>
      </c>
      <c r="B2499" s="10" t="str">
        <f ca="1">IFERROR(__xludf.DUMMYFUNCTION("""COMPUTED_VALUE"""),"Доклад от конференция")</f>
        <v>Доклад от конференция</v>
      </c>
      <c r="C2499" s="10" t="str">
        <f ca="1">IFERROR(__xludf.DUMMYFUNCTION("""COMPUTED_VALUE"""),"UX Design Studio")</f>
        <v>UX Design Studio</v>
      </c>
      <c r="D2499" s="10">
        <f ca="1">IFERROR(__xludf.DUMMYFUNCTION("""COMPUTED_VALUE"""),2018)</f>
        <v>2018</v>
      </c>
      <c r="E2499" s="10" t="str">
        <f ca="1">IFERROR(__xludf.DUMMYFUNCTION("""COMPUTED_VALUE"""),"INTED2018 Proceedings ISBN: 978-84-697-9480-7")</f>
        <v>INTED2018 Proceedings ISBN: 978-84-697-9480-7</v>
      </c>
      <c r="F2499" s="10" t="str">
        <f ca="1">IFERROR(__xludf.DUMMYFUNCTION("""COMPUTED_VALUE"""),"Web of Science
 https://iated.org
 ISI Conference Proceedings Citation Index (ISI CPCI).")</f>
        <v>Web of Science
 https://iated.org
 ISI Conference Proceedings Citation Index (ISI CPCI).</v>
      </c>
      <c r="G2499" s="10" t="str">
        <f ca="1">IFERROR(__xludf.DUMMYFUNCTION("""COMPUTED_VALUE"""),"Elena Shoikova")</f>
        <v>Elena Shoikova</v>
      </c>
      <c r="H2499" s="10"/>
      <c r="I2499" s="10"/>
      <c r="J2499" s="10"/>
      <c r="K2499" s="10"/>
      <c r="L2499" s="10"/>
      <c r="M2499" s="10"/>
      <c r="N2499" s="10"/>
      <c r="O2499" s="10"/>
      <c r="P2499" s="10"/>
      <c r="Q2499" s="10"/>
      <c r="R2499" s="10"/>
      <c r="S2499" s="10"/>
      <c r="T2499" s="10"/>
      <c r="U2499" s="10"/>
      <c r="V2499" s="10"/>
      <c r="W2499" s="10"/>
      <c r="X2499" s="10"/>
      <c r="Y2499" s="10"/>
      <c r="Z2499" s="10"/>
    </row>
    <row r="2500" spans="1:26" ht="12.75">
      <c r="A2500" s="10" t="str">
        <f ca="1">IFERROR(__xludf.DUMMYFUNCTION("""COMPUTED_VALUE"""),"Евгения Петрова Ковачева")</f>
        <v>Евгения Петрова Ковачева</v>
      </c>
      <c r="B2500" s="10" t="str">
        <f ca="1">IFERROR(__xludf.DUMMYFUNCTION("""COMPUTED_VALUE"""),"Доклад от конференция")</f>
        <v>Доклад от конференция</v>
      </c>
      <c r="C2500" s="10" t="str">
        <f ca="1">IFERROR(__xludf.DUMMYFUNCTION("""COMPUTED_VALUE"""),"Experience in Innovation - Action Project")</f>
        <v>Experience in Innovation - Action Project</v>
      </c>
      <c r="D2500" s="10">
        <f ca="1">IFERROR(__xludf.DUMMYFUNCTION("""COMPUTED_VALUE"""),2018)</f>
        <v>2018</v>
      </c>
      <c r="E2500" s="10" t="str">
        <f ca="1">IFERROR(__xludf.DUMMYFUNCTION("""COMPUTED_VALUE"""),", In Proceeding of INTED'18: 12th annual International Technology, Education and Development Conference, Valencia, 5th, 6th and 7th of March, 2018")</f>
        <v>, In Proceeding of INTED'18: 12th annual International Technology, Education and Development Conference, Valencia, 5th, 6th and 7th of March, 2018</v>
      </c>
      <c r="F2500" s="10"/>
      <c r="G2500" s="10" t="str">
        <f ca="1">IFERROR(__xludf.DUMMYFUNCTION("""COMPUTED_VALUE"""),"9. Kovatcheva, E M. Koleva, M. Simova")</f>
        <v>9. Kovatcheva, E M. Koleva, M. Simova</v>
      </c>
      <c r="H2500" s="10"/>
      <c r="I2500" s="10"/>
      <c r="J2500" s="10"/>
      <c r="K2500" s="10"/>
      <c r="L2500" s="10"/>
      <c r="M2500" s="10"/>
      <c r="N2500" s="10"/>
      <c r="O2500" s="10"/>
      <c r="P2500" s="10"/>
      <c r="Q2500" s="10"/>
      <c r="R2500" s="10"/>
      <c r="S2500" s="10"/>
      <c r="T2500" s="10"/>
      <c r="U2500" s="10"/>
      <c r="V2500" s="10"/>
      <c r="W2500" s="10"/>
      <c r="X2500" s="10"/>
      <c r="Y2500" s="10"/>
      <c r="Z2500" s="10"/>
    </row>
    <row r="2501" spans="1:26" ht="12.75">
      <c r="A2501" s="10" t="str">
        <f ca="1">IFERROR(__xludf.DUMMYFUNCTION("""COMPUTED_VALUE"""),"Евгения Петрова Ковачева")</f>
        <v>Евгения Петрова Ковачева</v>
      </c>
      <c r="B2501" s="10" t="str">
        <f ca="1">IFERROR(__xludf.DUMMYFUNCTION("""COMPUTED_VALUE"""),"Доклад от конференция")</f>
        <v>Доклад от конференция</v>
      </c>
      <c r="C2501" s="10" t="str">
        <f ca="1">IFERROR(__xludf.DUMMYFUNCTION("""COMPUTED_VALUE"""),"Smart Digital Education Enhanced By Ar And Iot Data")</f>
        <v>Smart Digital Education Enhanced By Ar And Iot Data</v>
      </c>
      <c r="D2501" s="10">
        <f ca="1">IFERROR(__xludf.DUMMYFUNCTION("""COMPUTED_VALUE"""),2018)</f>
        <v>2018</v>
      </c>
      <c r="E2501" s="10" t="str">
        <f ca="1">IFERROR(__xludf.DUMMYFUNCTION("""COMPUTED_VALUE"""),"INTED2018 Proceedings ISBN: 978-84-697-9480-7")</f>
        <v>INTED2018 Proceedings ISBN: 978-84-697-9480-7</v>
      </c>
      <c r="F2501" s="10" t="str">
        <f ca="1">IFERROR(__xludf.DUMMYFUNCTION("""COMPUTED_VALUE"""),"https://iated.org
 ISI Conference Proceedings Citation Index (ISI CPCI).")</f>
        <v>https://iated.org
 ISI Conference Proceedings Citation Index (ISI CPCI).</v>
      </c>
      <c r="G2501" s="10" t="str">
        <f ca="1">IFERROR(__xludf.DUMMYFUNCTION("""COMPUTED_VALUE"""),"Elena Shoikova, Roumen Nikolov")</f>
        <v>Elena Shoikova, Roumen Nikolov</v>
      </c>
      <c r="H2501" s="10"/>
      <c r="I2501" s="10"/>
      <c r="J2501" s="10"/>
      <c r="K2501" s="10"/>
      <c r="L2501" s="10"/>
      <c r="M2501" s="10"/>
      <c r="N2501" s="10"/>
      <c r="O2501" s="10"/>
      <c r="P2501" s="10"/>
      <c r="Q2501" s="10"/>
      <c r="R2501" s="10"/>
      <c r="S2501" s="10"/>
      <c r="T2501" s="10"/>
      <c r="U2501" s="10"/>
      <c r="V2501" s="10"/>
      <c r="W2501" s="10"/>
      <c r="X2501" s="10"/>
      <c r="Y2501" s="10"/>
      <c r="Z2501" s="10"/>
    </row>
    <row r="2502" spans="1:26" ht="12.75">
      <c r="A2502" s="10" t="str">
        <f ca="1">IFERROR(__xludf.DUMMYFUNCTION("""COMPUTED_VALUE"""),"Евгения Петрова Ковачева")</f>
        <v>Евгения Петрова Ковачева</v>
      </c>
      <c r="B2502" s="10" t="str">
        <f ca="1">IFERROR(__xludf.DUMMYFUNCTION("""COMPUTED_VALUE"""),"Доклад от конференция")</f>
        <v>Доклад от конференция</v>
      </c>
      <c r="C2502" s="10" t="str">
        <f ca="1">IFERROR(__xludf.DUMMYFUNCTION("""COMPUTED_VALUE"""),"Design Thinking in the light of Computer Science Programmes")</f>
        <v>Design Thinking in the light of Computer Science Programmes</v>
      </c>
      <c r="D2502" s="10">
        <f ca="1">IFERROR(__xludf.DUMMYFUNCTION("""COMPUTED_VALUE"""),2018)</f>
        <v>2018</v>
      </c>
      <c r="E2502" s="10" t="str">
        <f ca="1">IFERROR(__xludf.DUMMYFUNCTION("""COMPUTED_VALUE"""),"In proceeding 2018 International Conference on Education and Social Development (ICESD '18), Houston, TX, USA")</f>
        <v>In proceeding 2018 International Conference on Education and Social Development (ICESD '18), Houston, TX, USA</v>
      </c>
      <c r="F2502" s="10"/>
      <c r="G2502" s="10" t="str">
        <f ca="1">IFERROR(__xludf.DUMMYFUNCTION("""COMPUTED_VALUE"""),"Kovatcheva E, Denchev S, Shoikova E, Dimitrov G, Jotsov V, Koleva M, Simova M")</f>
        <v>Kovatcheva E, Denchev S, Shoikova E, Dimitrov G, Jotsov V, Koleva M, Simova M</v>
      </c>
      <c r="H2502" s="10"/>
      <c r="I2502" s="10"/>
      <c r="J2502" s="10"/>
      <c r="K2502" s="10"/>
      <c r="L2502" s="10"/>
      <c r="M2502" s="10"/>
      <c r="N2502" s="10"/>
      <c r="O2502" s="10"/>
      <c r="P2502" s="10"/>
      <c r="Q2502" s="10"/>
      <c r="R2502" s="10"/>
      <c r="S2502" s="10"/>
      <c r="T2502" s="10"/>
      <c r="U2502" s="10"/>
      <c r="V2502" s="10"/>
      <c r="W2502" s="10"/>
      <c r="X2502" s="10"/>
      <c r="Y2502" s="10"/>
      <c r="Z2502" s="10"/>
    </row>
    <row r="2503" spans="1:26" ht="12.75">
      <c r="A2503" s="10" t="str">
        <f ca="1">IFERROR(__xludf.DUMMYFUNCTION("""COMPUTED_VALUE"""),"Евгения Петрова Ковачева")</f>
        <v>Евгения Петрова Ковачева</v>
      </c>
      <c r="B2503" s="10" t="str">
        <f ca="1">IFERROR(__xludf.DUMMYFUNCTION("""COMPUTED_VALUE"""),"Доклад от конференция")</f>
        <v>Доклад от конференция</v>
      </c>
      <c r="C2503" s="10" t="str">
        <f ca="1">IFERROR(__xludf.DUMMYFUNCTION("""COMPUTED_VALUE"""),"Experience In Innovation - Action Projectи")</f>
        <v>Experience In Innovation - Action Projectи</v>
      </c>
      <c r="D2503" s="10">
        <f ca="1">IFERROR(__xludf.DUMMYFUNCTION("""COMPUTED_VALUE"""),2018)</f>
        <v>2018</v>
      </c>
      <c r="E2503" s="10" t="str">
        <f ca="1">IFERROR(__xludf.DUMMYFUNCTION("""COMPUTED_VALUE"""),"INTED2018 Proceedings ISBN: 978-84-697-9480-7")</f>
        <v>INTED2018 Proceedings ISBN: 978-84-697-9480-7</v>
      </c>
      <c r="F2503" s="10" t="str">
        <f ca="1">IFERROR(__xludf.DUMMYFUNCTION("""COMPUTED_VALUE"""),"https://iated.org
 ISI Conference Proceedings Citation Index (ISI CPCI).")</f>
        <v>https://iated.org
 ISI Conference Proceedings Citation Index (ISI CPCI).</v>
      </c>
      <c r="G2503" s="10" t="str">
        <f ca="1">IFERROR(__xludf.DUMMYFUNCTION("""COMPUTED_VALUE"""),"Milena Koleva, Marionela Simova")</f>
        <v>Milena Koleva, Marionela Simova</v>
      </c>
      <c r="H2503" s="10"/>
      <c r="I2503" s="10"/>
      <c r="J2503" s="10"/>
      <c r="K2503" s="10"/>
      <c r="L2503" s="10"/>
      <c r="M2503" s="10"/>
      <c r="N2503" s="10"/>
      <c r="O2503" s="10"/>
      <c r="P2503" s="10"/>
      <c r="Q2503" s="10"/>
      <c r="R2503" s="10"/>
      <c r="S2503" s="10"/>
      <c r="T2503" s="10"/>
      <c r="U2503" s="10"/>
      <c r="V2503" s="10"/>
      <c r="W2503" s="10"/>
      <c r="X2503" s="10"/>
      <c r="Y2503" s="10"/>
      <c r="Z2503" s="10"/>
    </row>
    <row r="2504" spans="1:26" ht="12.75">
      <c r="A2504" s="10" t="str">
        <f ca="1">IFERROR(__xludf.DUMMYFUNCTION("""COMPUTED_VALUE"""),"Евгения Петрова Ковачева")</f>
        <v>Евгения Петрова Ковачева</v>
      </c>
      <c r="B2504" s="10" t="str">
        <f ca="1">IFERROR(__xludf.DUMMYFUNCTION("""COMPUTED_VALUE"""),"Доклад от конференция")</f>
        <v>Доклад от конференция</v>
      </c>
      <c r="C2504" s="10" t="str">
        <f ca="1">IFERROR(__xludf.DUMMYFUNCTION("""COMPUTED_VALUE"""),"Gamification in Cultural and Historical Heritage Education")</f>
        <v>Gamification in Cultural and Historical Heritage Education</v>
      </c>
      <c r="D2504" s="10">
        <f ca="1">IFERROR(__xludf.DUMMYFUNCTION("""COMPUTED_VALUE"""),2018)</f>
        <v>2018</v>
      </c>
      <c r="E2504" s="10" t="str">
        <f ca="1">IFERROR(__xludf.DUMMYFUNCTION("""COMPUTED_VALUE"""),"In Procceding of INTED'18: 12th annual International Technology, Education and Development Conference, Valencia, 5th, 6th and 7th of March, 2018")</f>
        <v>In Procceding of INTED'18: 12th annual International Technology, Education and Development Conference, Valencia, 5th, 6th and 7th of March, 2018</v>
      </c>
      <c r="F2504" s="10"/>
      <c r="G2504" s="10" t="str">
        <f ca="1">IFERROR(__xludf.DUMMYFUNCTION("""COMPUTED_VALUE"""),"Konstantinov O., E. Kovatcheva, N. Palikova")</f>
        <v>Konstantinov O., E. Kovatcheva, N. Palikova</v>
      </c>
      <c r="H2504" s="10"/>
      <c r="I2504" s="10"/>
      <c r="J2504" s="10"/>
      <c r="K2504" s="10"/>
      <c r="L2504" s="10"/>
      <c r="M2504" s="10"/>
      <c r="N2504" s="10"/>
      <c r="O2504" s="10"/>
      <c r="P2504" s="10"/>
      <c r="Q2504" s="10"/>
      <c r="R2504" s="10"/>
      <c r="S2504" s="10"/>
      <c r="T2504" s="10"/>
      <c r="U2504" s="10"/>
      <c r="V2504" s="10"/>
      <c r="W2504" s="10"/>
      <c r="X2504" s="10"/>
      <c r="Y2504" s="10"/>
      <c r="Z2504" s="10"/>
    </row>
    <row r="2505" spans="1:26" ht="12.75">
      <c r="A2505" s="10" t="str">
        <f ca="1">IFERROR(__xludf.DUMMYFUNCTION("""COMPUTED_VALUE"""),"Евгения Петрова Ковачева")</f>
        <v>Евгения Петрова Ковачева</v>
      </c>
      <c r="B2505" s="10" t="str">
        <f ca="1">IFERROR(__xludf.DUMMYFUNCTION("""COMPUTED_VALUE"""),"Книга")</f>
        <v>Книга</v>
      </c>
      <c r="C2505" s="10" t="str">
        <f ca="1">IFERROR(__xludf.DUMMYFUNCTION("""COMPUTED_VALUE"""),"Designing Blended, Flexible, and Personalized Learning")</f>
        <v>Designing Blended, Flexible, and Personalized Learning</v>
      </c>
      <c r="D2505" s="10">
        <f ca="1">IFERROR(__xludf.DUMMYFUNCTION("""COMPUTED_VALUE"""),2018)</f>
        <v>2018</v>
      </c>
      <c r="E2505" s="10" t="str">
        <f ca="1">IFERROR(__xludf.DUMMYFUNCTION("""COMPUTED_VALUE"""),"Second Handbook of Information Technology in Primary and Secondary Education. Springer International Handbooks of Education. Springer, Cham, DOI https://doi.org/10.1007/978-3-319-53803-7_49-1, Online ISBN 978-3-319-53803-7")</f>
        <v>Second Handbook of Information Technology in Primary and Secondary Education. Springer International Handbooks of Education. Springer, Cham, DOI https://doi.org/10.1007/978-3-319-53803-7_49-1, Online ISBN 978-3-319-53803-7</v>
      </c>
      <c r="F2505" s="10" t="str">
        <f ca="1">IFERROR(__xludf.DUMMYFUNCTION("""COMPUTED_VALUE"""),"ISI Conference Proceedings Citation Index - Science (CPCI-S), included in ISI Web of Science
 EI Engineering Index (Compendex and Inspec databases)
 ACM Digital Library
 DBLP
 Google Scholar
 IO-Port
 MathSciNet
 Scopus 
 Zentralblatt MATH")</f>
        <v>ISI Conference Proceedings Citation Index - Science (CPCI-S), included in ISI Web of Science
 EI Engineering Index (Compendex and Inspec databases)
 ACM Digital Library
 DBLP
 Google Scholar
 IO-Port
 MathSciNet
 Scopus 
 Zentralblatt MATH</v>
      </c>
      <c r="G2505" s="10" t="str">
        <f ca="1">IFERROR(__xludf.DUMMYFUNCTION("""COMPUTED_VALUE"""),"Keryn Pratt")</f>
        <v>Keryn Pratt</v>
      </c>
      <c r="H2505" s="10"/>
      <c r="I2505" s="10"/>
      <c r="J2505" s="10"/>
      <c r="K2505" s="10"/>
      <c r="L2505" s="10"/>
      <c r="M2505" s="10"/>
      <c r="N2505" s="10"/>
      <c r="O2505" s="10"/>
      <c r="P2505" s="10"/>
      <c r="Q2505" s="10"/>
      <c r="R2505" s="10"/>
      <c r="S2505" s="10"/>
      <c r="T2505" s="10"/>
      <c r="U2505" s="10"/>
      <c r="V2505" s="10"/>
      <c r="W2505" s="10"/>
      <c r="X2505" s="10"/>
      <c r="Y2505" s="10"/>
      <c r="Z2505" s="10"/>
    </row>
    <row r="2506" spans="1:26" ht="12.75">
      <c r="A2506" s="10" t="str">
        <f ca="1">IFERROR(__xludf.DUMMYFUNCTION("""COMPUTED_VALUE"""),"Евгения Петрова Ковачева")</f>
        <v>Евгения Петрова Ковачева</v>
      </c>
      <c r="B2506" s="10" t="str">
        <f ca="1">IFERROR(__xludf.DUMMYFUNCTION("""COMPUTED_VALUE"""),"Статия в списания и поредици")</f>
        <v>Статия в списания и поредици</v>
      </c>
      <c r="C2506" s="10" t="str">
        <f ca="1">IFERROR(__xludf.DUMMYFUNCTION("""COMPUTED_VALUE"""),"UX design models for IoT")</f>
        <v>UX design models for IoT</v>
      </c>
      <c r="D2506" s="10">
        <f ca="1">IFERROR(__xludf.DUMMYFUNCTION("""COMPUTED_VALUE"""),2018)</f>
        <v>2018</v>
      </c>
      <c r="E2506" s="10" t="str">
        <f ca="1">IFERROR(__xludf.DUMMYFUNCTION("""COMPUTED_VALUE"""),"Serdica Journal of Computing (in print)")</f>
        <v>Serdica Journal of Computing (in print)</v>
      </c>
      <c r="F2506" s="10" t="str">
        <f ca="1">IFERROR(__xludf.DUMMYFUNCTION("""COMPUTED_VALUE"""),"Zentralblatt MATH - http://www.zentralblatt-math.org/zmath/en/search/
 All-Russian Institute for Scientific and Technical Information – VINITI - http://www2.viniti.ru/
 The European Mathematics Library – EuDML - https://eudml.org/
 Google Scholar and DRIV"&amp;"ER Search Portal - http://search.driver.research-infrastructures.eu/")</f>
        <v>Zentralblatt MATH - http://www.zentralblatt-math.org/zmath/en/search/
 All-Russian Institute for Scientific and Technical Information – VINITI - http://www2.viniti.ru/
 The European Mathematics Library – EuDML - https://eudml.org/
 Google Scholar and DRIVER Search Portal - http://search.driver.research-infrastructures.eu/</v>
      </c>
      <c r="G2506" s="10"/>
      <c r="H2506" s="10"/>
      <c r="I2506" s="10"/>
      <c r="J2506" s="10"/>
      <c r="K2506" s="10"/>
      <c r="L2506" s="10"/>
      <c r="M2506" s="10"/>
      <c r="N2506" s="10"/>
      <c r="O2506" s="10"/>
      <c r="P2506" s="10"/>
      <c r="Q2506" s="10"/>
      <c r="R2506" s="10"/>
      <c r="S2506" s="10"/>
      <c r="T2506" s="10"/>
      <c r="U2506" s="10"/>
      <c r="V2506" s="10"/>
      <c r="W2506" s="10"/>
      <c r="X2506" s="10"/>
      <c r="Y2506" s="10"/>
      <c r="Z2506" s="10"/>
    </row>
    <row r="2507" spans="1:26" ht="12.75">
      <c r="A2507" s="10" t="str">
        <f ca="1">IFERROR(__xludf.DUMMYFUNCTION("""COMPUTED_VALUE"""),"Евгения Петрова Ковачева")</f>
        <v>Евгения Петрова Ковачева</v>
      </c>
      <c r="B2507" s="10" t="str">
        <f ca="1">IFERROR(__xludf.DUMMYFUNCTION("""COMPUTED_VALUE"""),"Учебник")</f>
        <v>Учебник</v>
      </c>
      <c r="C2507" s="10" t="str">
        <f ca="1">IFERROR(__xludf.DUMMYFUNCTION("""COMPUTED_VALUE"""),"Hadbook in Information Technologies, 9th grade")</f>
        <v>Hadbook in Information Technologies, 9th grade</v>
      </c>
      <c r="D2507" s="10">
        <f ca="1">IFERROR(__xludf.DUMMYFUNCTION("""COMPUTED_VALUE"""),2018)</f>
        <v>2018</v>
      </c>
      <c r="E2507" s="10" t="str">
        <f ca="1">IFERROR(__xludf.DUMMYFUNCTION("""COMPUTED_VALUE"""),"Anubis, ISBN 978-619-215-256-7")</f>
        <v>Anubis, ISBN 978-619-215-256-7</v>
      </c>
      <c r="F2507" s="10"/>
      <c r="G2507" s="10" t="str">
        <f ca="1">IFERROR(__xludf.DUMMYFUNCTION("""COMPUTED_VALUE"""),"2. Kovatcheva. E, Dimitrova, E, Gachev, G., Konstantinov O .")</f>
        <v>2. Kovatcheva. E, Dimitrova, E, Gachev, G., Konstantinov O .</v>
      </c>
      <c r="H2507" s="10"/>
      <c r="I2507" s="10"/>
      <c r="J2507" s="10"/>
      <c r="K2507" s="10"/>
      <c r="L2507" s="10"/>
      <c r="M2507" s="10"/>
      <c r="N2507" s="10"/>
      <c r="O2507" s="10"/>
      <c r="P2507" s="10"/>
      <c r="Q2507" s="10"/>
      <c r="R2507" s="10"/>
      <c r="S2507" s="10"/>
      <c r="T2507" s="10"/>
      <c r="U2507" s="10"/>
      <c r="V2507" s="10"/>
      <c r="W2507" s="10"/>
      <c r="X2507" s="10"/>
      <c r="Y2507" s="10"/>
      <c r="Z2507" s="10"/>
    </row>
    <row r="2508" spans="1:26" ht="12.75">
      <c r="A2508" s="10" t="str">
        <f ca="1">IFERROR(__xludf.DUMMYFUNCTION("""COMPUTED_VALUE"""),"Евгения Петрова Ковачева")</f>
        <v>Евгения Петрова Ковачева</v>
      </c>
      <c r="B2508" s="10" t="str">
        <f ca="1">IFERROR(__xludf.DUMMYFUNCTION("""COMPUTED_VALUE"""),"Доклад от конференция")</f>
        <v>Доклад от конференция</v>
      </c>
      <c r="C2508" s="10" t="str">
        <f ca="1">IFERROR(__xludf.DUMMYFUNCTION("""COMPUTED_VALUE"""),"Gamification In Cultural And Historical Heritage Education")</f>
        <v>Gamification In Cultural And Historical Heritage Education</v>
      </c>
      <c r="D2508" s="10">
        <f ca="1">IFERROR(__xludf.DUMMYFUNCTION("""COMPUTED_VALUE"""),2018)</f>
        <v>2018</v>
      </c>
      <c r="E2508" s="10" t="str">
        <f ca="1">IFERROR(__xludf.DUMMYFUNCTION("""COMPUTED_VALUE"""),"INTED2018 Proceedings ISBN: 978-84-697-9480-7")</f>
        <v>INTED2018 Proceedings ISBN: 978-84-697-9480-7</v>
      </c>
      <c r="F2508" s="10" t="str">
        <f ca="1">IFERROR(__xludf.DUMMYFUNCTION("""COMPUTED_VALUE"""),"https://iated.org
 ISI Conference Proceedings Citation Index (ISI CPCI).")</f>
        <v>https://iated.org
 ISI Conference Proceedings Citation Index (ISI CPCI).</v>
      </c>
      <c r="G2508" s="10" t="str">
        <f ca="1">IFERROR(__xludf.DUMMYFUNCTION("""COMPUTED_VALUE"""),"Oleg Konstantinov, Natalia Palikova")</f>
        <v>Oleg Konstantinov, Natalia Palikova</v>
      </c>
      <c r="H2508" s="10"/>
      <c r="I2508" s="10"/>
      <c r="J2508" s="10"/>
      <c r="K2508" s="10"/>
      <c r="L2508" s="10"/>
      <c r="M2508" s="10"/>
      <c r="N2508" s="10"/>
      <c r="O2508" s="10"/>
      <c r="P2508" s="10"/>
      <c r="Q2508" s="10"/>
      <c r="R2508" s="10"/>
      <c r="S2508" s="10"/>
      <c r="T2508" s="10"/>
      <c r="U2508" s="10"/>
      <c r="V2508" s="10"/>
      <c r="W2508" s="10"/>
      <c r="X2508" s="10"/>
      <c r="Y2508" s="10"/>
      <c r="Z2508" s="10"/>
    </row>
    <row r="2509" spans="1:26" ht="12.75">
      <c r="A2509" s="10" t="str">
        <f ca="1">IFERROR(__xludf.DUMMYFUNCTION("""COMPUTED_VALUE"""),"Евгения Петрова Ковачева")</f>
        <v>Евгения Петрова Ковачева</v>
      </c>
      <c r="B2509" s="10" t="str">
        <f ca="1">IFERROR(__xludf.DUMMYFUNCTION("""COMPUTED_VALUE"""),"Статия в списания и поредици")</f>
        <v>Статия в списания и поредици</v>
      </c>
      <c r="C2509" s="10" t="str">
        <f ca="1">IFERROR(__xludf.DUMMYFUNCTION("""COMPUTED_VALUE"""),"User Experience Design Models for Internet of Things")</f>
        <v>User Experience Design Models for Internet of Things</v>
      </c>
      <c r="D2509" s="10">
        <f ca="1">IFERROR(__xludf.DUMMYFUNCTION("""COMPUTED_VALUE"""),2018)</f>
        <v>2018</v>
      </c>
      <c r="E2509" s="10" t="str">
        <f ca="1">IFERROR(__xludf.DUMMYFUNCTION("""COMPUTED_VALUE"""),"Serdica J. Computing 12, No 1–2, 65–82")</f>
        <v>Serdica J. Computing 12, No 1–2, 65–82</v>
      </c>
      <c r="F2509" s="10"/>
      <c r="G2509" s="10" t="str">
        <f ca="1">IFERROR(__xludf.DUMMYFUNCTION("""COMPUTED_VALUE"""),"6. Kovatcheva E")</f>
        <v>6. Kovatcheva E</v>
      </c>
      <c r="H2509" s="10"/>
      <c r="I2509" s="10"/>
      <c r="J2509" s="10"/>
      <c r="K2509" s="10"/>
      <c r="L2509" s="10"/>
      <c r="M2509" s="10"/>
      <c r="N2509" s="10"/>
      <c r="O2509" s="10"/>
      <c r="P2509" s="10"/>
      <c r="Q2509" s="10"/>
      <c r="R2509" s="10"/>
      <c r="S2509" s="10"/>
      <c r="T2509" s="10"/>
      <c r="U2509" s="10"/>
      <c r="V2509" s="10"/>
      <c r="W2509" s="10"/>
      <c r="X2509" s="10"/>
      <c r="Y2509" s="10"/>
      <c r="Z2509" s="10"/>
    </row>
    <row r="2510" spans="1:26" ht="12.75">
      <c r="A2510" s="10" t="str">
        <f ca="1">IFERROR(__xludf.DUMMYFUNCTION("""COMPUTED_VALUE"""),"Евгения Петрова Ковачева")</f>
        <v>Евгения Петрова Ковачева</v>
      </c>
      <c r="B2510" s="10" t="str">
        <f ca="1">IFERROR(__xludf.DUMMYFUNCTION("""COMPUTED_VALUE"""),"Доклад от конференция")</f>
        <v>Доклад от конференция</v>
      </c>
      <c r="C2510" s="10" t="str">
        <f ca="1">IFERROR(__xludf.DUMMYFUNCTION("""COMPUTED_VALUE"""),"The Innovative Model for Interactivity In Bulgarian Museums")</f>
        <v>The Innovative Model for Interactivity In Bulgarian Museums</v>
      </c>
      <c r="D2510" s="10">
        <f ca="1">IFERROR(__xludf.DUMMYFUNCTION("""COMPUTED_VALUE"""),2017)</f>
        <v>2017</v>
      </c>
      <c r="E2510" s="10" t="str">
        <f ca="1">IFERROR(__xludf.DUMMYFUNCTION("""COMPUTED_VALUE"""),"ICERI2017 Proceedings - 10th annual International Conference of Education, Research and Innovation, Seville, Spain. 16-18 November, 2017. ISBN: 978-84-697-6957-7 / ISSN: 2340-1095, doi: 10.21125/iceri.2017")</f>
        <v>ICERI2017 Proceedings - 10th annual International Conference of Education, Research and Innovation, Seville, Spain. 16-18 November, 2017. ISBN: 978-84-697-6957-7 / ISSN: 2340-1095, doi: 10.21125/iceri.2017</v>
      </c>
      <c r="F2510" s="10" t="str">
        <f ca="1">IFERROR(__xludf.DUMMYFUNCTION("""COMPUTED_VALUE"""),"https://iated.org
 ISI Conference Proceedings Citation Index (ISI CPCI).")</f>
        <v>https://iated.org
 ISI Conference Proceedings Citation Index (ISI CPCI).</v>
      </c>
      <c r="G2510" s="10" t="str">
        <f ca="1">IFERROR(__xludf.DUMMYFUNCTION("""COMPUTED_VALUE"""),"Sofia Vassileva")</f>
        <v>Sofia Vassileva</v>
      </c>
      <c r="H2510" s="10"/>
      <c r="I2510" s="10"/>
      <c r="J2510" s="10"/>
      <c r="K2510" s="10"/>
      <c r="L2510" s="10"/>
      <c r="M2510" s="10"/>
      <c r="N2510" s="10"/>
      <c r="O2510" s="10"/>
      <c r="P2510" s="10"/>
      <c r="Q2510" s="10"/>
      <c r="R2510" s="10"/>
      <c r="S2510" s="10"/>
      <c r="T2510" s="10"/>
      <c r="U2510" s="10"/>
      <c r="V2510" s="10"/>
      <c r="W2510" s="10"/>
      <c r="X2510" s="10"/>
      <c r="Y2510" s="10"/>
      <c r="Z2510" s="10"/>
    </row>
    <row r="2511" spans="1:26" ht="12.75">
      <c r="A2511" s="10" t="str">
        <f ca="1">IFERROR(__xludf.DUMMYFUNCTION("""COMPUTED_VALUE"""),"Евгения Петрова Ковачева")</f>
        <v>Евгения Петрова Ковачева</v>
      </c>
      <c r="B2511" s="10" t="str">
        <f ca="1">IFERROR(__xludf.DUMMYFUNCTION("""COMPUTED_VALUE"""),"Доклад от конференция")</f>
        <v>Доклад от конференция</v>
      </c>
      <c r="C2511" s="10" t="str">
        <f ca="1">IFERROR(__xludf.DUMMYFUNCTION("""COMPUTED_VALUE"""),"Virtual Laboratory for User Experience Design")</f>
        <v>Virtual Laboratory for User Experience Design</v>
      </c>
      <c r="D2511" s="10">
        <f ca="1">IFERROR(__xludf.DUMMYFUNCTION("""COMPUTED_VALUE"""),2017)</f>
        <v>2017</v>
      </c>
      <c r="E2511" s="10" t="str">
        <f ca="1">IFERROR(__xludf.DUMMYFUNCTION("""COMPUTED_VALUE"""),"ICERI2017 Proceedings - 10th annual International Conference of Education, Research and Innovation, Seville, Spain. 16-18 November, 2017. ISBN: 978-84-697-6957-7 / ISSN: 2340-1095, doi: 10.21125/iceri.2017")</f>
        <v>ICERI2017 Proceedings - 10th annual International Conference of Education, Research and Innovation, Seville, Spain. 16-18 November, 2017. ISBN: 978-84-697-6957-7 / ISSN: 2340-1095, doi: 10.21125/iceri.2017</v>
      </c>
      <c r="F2511" s="10" t="str">
        <f ca="1">IFERROR(__xludf.DUMMYFUNCTION("""COMPUTED_VALUE"""),"https://iated.org
 ISI Conference Proceedings Citation Index (ISI CPCI).")</f>
        <v>https://iated.org
 ISI Conference Proceedings Citation Index (ISI CPCI).</v>
      </c>
      <c r="G2511" s="10" t="str">
        <f ca="1">IFERROR(__xludf.DUMMYFUNCTION("""COMPUTED_VALUE"""),"Elena Shoikova")</f>
        <v>Elena Shoikova</v>
      </c>
      <c r="H2511" s="10"/>
      <c r="I2511" s="10"/>
      <c r="J2511" s="10"/>
      <c r="K2511" s="10"/>
      <c r="L2511" s="10"/>
      <c r="M2511" s="10"/>
      <c r="N2511" s="10"/>
      <c r="O2511" s="10"/>
      <c r="P2511" s="10"/>
      <c r="Q2511" s="10"/>
      <c r="R2511" s="10"/>
      <c r="S2511" s="10"/>
      <c r="T2511" s="10"/>
      <c r="U2511" s="10"/>
      <c r="V2511" s="10"/>
      <c r="W2511" s="10"/>
      <c r="X2511" s="10"/>
      <c r="Y2511" s="10"/>
      <c r="Z2511" s="10"/>
    </row>
    <row r="2512" spans="1:26" ht="12.75">
      <c r="A2512" s="10" t="str">
        <f ca="1">IFERROR(__xludf.DUMMYFUNCTION("""COMPUTED_VALUE"""),"Евгения Петрова Ковачева")</f>
        <v>Евгения Петрова Ковачева</v>
      </c>
      <c r="B2512" s="10" t="str">
        <f ca="1">IFERROR(__xludf.DUMMYFUNCTION("""COMPUTED_VALUE"""),"Доклад от конференция")</f>
        <v>Доклад от конференция</v>
      </c>
      <c r="C2512" s="10" t="str">
        <f ca="1">IFERROR(__xludf.DUMMYFUNCTION("""COMPUTED_VALUE"""),"Learning and Gamification In Digitalised Heritage Environment")</f>
        <v>Learning and Gamification In Digitalised Heritage Environment</v>
      </c>
      <c r="D2512" s="10">
        <f ca="1">IFERROR(__xludf.DUMMYFUNCTION("""COMPUTED_VALUE"""),2017)</f>
        <v>2017</v>
      </c>
      <c r="E2512" s="10" t="str">
        <f ca="1">IFERROR(__xludf.DUMMYFUNCTION("""COMPUTED_VALUE"""),"ICERI2017 Proceedings - 10th annual International Conference of Education, Research and Innovation, Seville, Spain. 16-18 November, 2017. ISBN: 978-84-697-6957-7 / ISSN: 2340-1095, doi: 10.21125/iceri.2017, Publisher: IATED")</f>
        <v>ICERI2017 Proceedings - 10th annual International Conference of Education, Research and Innovation, Seville, Spain. 16-18 November, 2017. ISBN: 978-84-697-6957-7 / ISSN: 2340-1095, doi: 10.21125/iceri.2017, Publisher: IATED</v>
      </c>
      <c r="F2512" s="10"/>
      <c r="G2512" s="10" t="str">
        <f ca="1">IFERROR(__xludf.DUMMYFUNCTION("""COMPUTED_VALUE"""),"12. Kovatcheva, E. N. Palikova")</f>
        <v>12. Kovatcheva, E. N. Palikova</v>
      </c>
      <c r="H2512" s="10"/>
      <c r="I2512" s="10"/>
      <c r="J2512" s="10"/>
      <c r="K2512" s="10"/>
      <c r="L2512" s="10"/>
      <c r="M2512" s="10"/>
      <c r="N2512" s="10"/>
      <c r="O2512" s="10"/>
      <c r="P2512" s="10"/>
      <c r="Q2512" s="10"/>
      <c r="R2512" s="10"/>
      <c r="S2512" s="10"/>
      <c r="T2512" s="10"/>
      <c r="U2512" s="10"/>
      <c r="V2512" s="10"/>
      <c r="W2512" s="10"/>
      <c r="X2512" s="10"/>
      <c r="Y2512" s="10"/>
      <c r="Z2512" s="10"/>
    </row>
    <row r="2513" spans="1:26" ht="12.75">
      <c r="A2513" s="10" t="str">
        <f ca="1">IFERROR(__xludf.DUMMYFUNCTION("""COMPUTED_VALUE"""),"Евгения Петрова Ковачева")</f>
        <v>Евгения Петрова Ковачева</v>
      </c>
      <c r="B2513" s="10" t="str">
        <f ca="1">IFERROR(__xludf.DUMMYFUNCTION("""COMPUTED_VALUE"""),"Статия в списания и поредици")</f>
        <v>Статия в списания и поредици</v>
      </c>
      <c r="C2513" s="10" t="str">
        <f ca="1">IFERROR(__xludf.DUMMYFUNCTION("""COMPUTED_VALUE"""),"Applying Computer games as an Instrument to Stimulate Creativity in the Scientific Research Process")</f>
        <v>Applying Computer games as an Instrument to Stimulate Creativity in the Scientific Research Process</v>
      </c>
      <c r="D2513" s="10">
        <f ca="1">IFERROR(__xludf.DUMMYFUNCTION("""COMPUTED_VALUE"""),2016)</f>
        <v>2016</v>
      </c>
      <c r="E2513" s="10" t="str">
        <f ca="1">IFERROR(__xludf.DUMMYFUNCTION("""COMPUTED_VALUE"""),"Proceeding of the UNESCO International Workshop QED'16: Technology Advanced Quality Learning for ALL, June 13-15, 2016, Sofia, Bulgaria")</f>
        <v>Proceeding of the UNESCO International Workshop QED'16: Technology Advanced Quality Learning for ALL, June 13-15, 2016, Sofia, Bulgaria</v>
      </c>
      <c r="F2513" s="10"/>
      <c r="G2513" s="10" t="str">
        <f ca="1">IFERROR(__xludf.DUMMYFUNCTION("""COMPUTED_VALUE"""),"Palikova N, Kovatcheva E")</f>
        <v>Palikova N, Kovatcheva E</v>
      </c>
      <c r="H2513" s="10"/>
      <c r="I2513" s="10"/>
      <c r="J2513" s="10"/>
      <c r="K2513" s="10"/>
      <c r="L2513" s="10"/>
      <c r="M2513" s="10"/>
      <c r="N2513" s="10"/>
      <c r="O2513" s="10"/>
      <c r="P2513" s="10"/>
      <c r="Q2513" s="10"/>
      <c r="R2513" s="10"/>
      <c r="S2513" s="10"/>
      <c r="T2513" s="10"/>
      <c r="U2513" s="10"/>
      <c r="V2513" s="10"/>
      <c r="W2513" s="10"/>
      <c r="X2513" s="10"/>
      <c r="Y2513" s="10"/>
      <c r="Z2513" s="10"/>
    </row>
    <row r="2514" spans="1:26" ht="12.75">
      <c r="A2514" s="10" t="str">
        <f ca="1">IFERROR(__xludf.DUMMYFUNCTION("""COMPUTED_VALUE"""),"Евгения Петрова Ковачева")</f>
        <v>Евгения Петрова Ковачева</v>
      </c>
      <c r="B2514" s="10" t="str">
        <f ca="1">IFERROR(__xludf.DUMMYFUNCTION("""COMPUTED_VALUE"""),"Статия в списания и поредици")</f>
        <v>Статия в списания и поредици</v>
      </c>
      <c r="C2514" s="10" t="str">
        <f ca="1">IFERROR(__xludf.DUMMYFUNCTION("""COMPUTED_VALUE"""),"Learning in a Smart City Environment")</f>
        <v>Learning in a Smart City Environment</v>
      </c>
      <c r="D2514" s="10">
        <f ca="1">IFERROR(__xludf.DUMMYFUNCTION("""COMPUTED_VALUE"""),2016)</f>
        <v>2016</v>
      </c>
      <c r="E2514" s="10" t="str">
        <f ca="1">IFERROR(__xludf.DUMMYFUNCTION("""COMPUTED_VALUE"""),"in the Proceeding of the UNESCO International Workshop QED'16: Technology Advanced Quality Learning for ALL, June 13-15, 2016, Sofia, Bulgaria")</f>
        <v>in the Proceeding of the UNESCO International Workshop QED'16: Technology Advanced Quality Learning for ALL, June 13-15, 2016, Sofia, Bulgaria</v>
      </c>
      <c r="F2514" s="10"/>
      <c r="G2514" s="10" t="str">
        <f ca="1">IFERROR(__xludf.DUMMYFUNCTION("""COMPUTED_VALUE"""),"Nikolov R., Shoikova E., Krumova M, Kovatcheva E, Dimitrov V. and Chikalanov A")</f>
        <v>Nikolov R., Shoikova E., Krumova M, Kovatcheva E, Dimitrov V. and Chikalanov A</v>
      </c>
      <c r="H2514" s="10"/>
      <c r="I2514" s="10"/>
      <c r="J2514" s="10"/>
      <c r="K2514" s="10"/>
      <c r="L2514" s="10"/>
      <c r="M2514" s="10"/>
      <c r="N2514" s="10"/>
      <c r="O2514" s="10"/>
      <c r="P2514" s="10"/>
      <c r="Q2514" s="10"/>
      <c r="R2514" s="10"/>
      <c r="S2514" s="10"/>
      <c r="T2514" s="10"/>
      <c r="U2514" s="10"/>
      <c r="V2514" s="10"/>
      <c r="W2514" s="10"/>
      <c r="X2514" s="10"/>
      <c r="Y2514" s="10"/>
      <c r="Z2514" s="10"/>
    </row>
    <row r="2515" spans="1:26" ht="12.75">
      <c r="A2515" s="10" t="str">
        <f ca="1">IFERROR(__xludf.DUMMYFUNCTION("""COMPUTED_VALUE"""),"Евгения Петрова Ковачева")</f>
        <v>Евгения Петрова Ковачева</v>
      </c>
      <c r="B2515" s="10" t="str">
        <f ca="1">IFERROR(__xludf.DUMMYFUNCTION("""COMPUTED_VALUE"""),"Статия в списания и поредици")</f>
        <v>Статия в списания и поредици</v>
      </c>
      <c r="C2515" s="10" t="str">
        <f ca="1">IFERROR(__xludf.DUMMYFUNCTION("""COMPUTED_VALUE"""),"Customisation of the content management system for distributed visualisation")</f>
        <v>Customisation of the content management system for distributed visualisation</v>
      </c>
      <c r="D2515" s="10">
        <f ca="1">IFERROR(__xludf.DUMMYFUNCTION("""COMPUTED_VALUE"""),2016)</f>
        <v>2016</v>
      </c>
      <c r="E2515" s="10" t="str">
        <f ca="1">IFERROR(__xludf.DUMMYFUNCTION("""COMPUTED_VALUE"""),"Proceeding of the UNESCO International Workshop QED'16: Technology Advanced Quality Learning for ALL, June 13-15, 2016, Sofia, Bulgaria")</f>
        <v>Proceeding of the UNESCO International Workshop QED'16: Technology Advanced Quality Learning for ALL, June 13-15, 2016, Sofia, Bulgaria</v>
      </c>
      <c r="F2515" s="10"/>
      <c r="G2515" s="10" t="str">
        <f ca="1">IFERROR(__xludf.DUMMYFUNCTION("""COMPUTED_VALUE"""),"Tomov N. and Kovatcheva E")</f>
        <v>Tomov N. and Kovatcheva E</v>
      </c>
      <c r="H2515" s="10"/>
      <c r="I2515" s="10"/>
      <c r="J2515" s="10"/>
      <c r="K2515" s="10"/>
      <c r="L2515" s="10"/>
      <c r="M2515" s="10"/>
      <c r="N2515" s="10"/>
      <c r="O2515" s="10"/>
      <c r="P2515" s="10"/>
      <c r="Q2515" s="10"/>
      <c r="R2515" s="10"/>
      <c r="S2515" s="10"/>
      <c r="T2515" s="10"/>
      <c r="U2515" s="10"/>
      <c r="V2515" s="10"/>
      <c r="W2515" s="10"/>
      <c r="X2515" s="10"/>
      <c r="Y2515" s="10"/>
      <c r="Z2515" s="10"/>
    </row>
    <row r="2516" spans="1:26" ht="12.75">
      <c r="A2516" s="10" t="str">
        <f ca="1">IFERROR(__xludf.DUMMYFUNCTION("""COMPUTED_VALUE"""),"Евгения Петрова Ковачева")</f>
        <v>Евгения Петрова Ковачева</v>
      </c>
      <c r="B2516" s="10" t="str">
        <f ca="1">IFERROR(__xludf.DUMMYFUNCTION("""COMPUTED_VALUE"""),"Статия в списания и поредици")</f>
        <v>Статия в списания и поредици</v>
      </c>
      <c r="C2516" s="10" t="str">
        <f ca="1">IFERROR(__xludf.DUMMYFUNCTION("""COMPUTED_VALUE"""),"Learning in a Smart City Environment")</f>
        <v>Learning in a Smart City Environment</v>
      </c>
      <c r="D2516" s="10">
        <f ca="1">IFERROR(__xludf.DUMMYFUNCTION("""COMPUTED_VALUE"""),2016)</f>
        <v>2016</v>
      </c>
      <c r="E2516" s="10" t="str">
        <f ca="1">IFERROR(__xludf.DUMMYFUNCTION("""COMPUTED_VALUE"""),"Journal of Communication and Computer 13 (2016) 338-350, doi:10.17265/1548-7709/2016.07.003")</f>
        <v>Journal of Communication and Computer 13 (2016) 338-350, doi:10.17265/1548-7709/2016.07.003</v>
      </c>
      <c r="F2516" s="10" t="str">
        <f ca="1">IFERROR(__xludf.DUMMYFUNCTION("""COMPUTED_VALUE"""),"Web of Science (Clarivate Analytics)
 Google Scholar")</f>
        <v>Web of Science (Clarivate Analytics)
 Google Scholar</v>
      </c>
      <c r="G2516" s="10" t="str">
        <f ca="1">IFERROR(__xludf.DUMMYFUNCTION("""COMPUTED_VALUE"""),"Roumen Nikolov, Elena Shoikova, Milena Krumowa, Velian Dimitrov, Alexander Chikalanov")</f>
        <v>Roumen Nikolov, Elena Shoikova, Milena Krumowa, Velian Dimitrov, Alexander Chikalanov</v>
      </c>
      <c r="H2516" s="10"/>
      <c r="I2516" s="10"/>
      <c r="J2516" s="10"/>
      <c r="K2516" s="10"/>
      <c r="L2516" s="10"/>
      <c r="M2516" s="10"/>
      <c r="N2516" s="10"/>
      <c r="O2516" s="10"/>
      <c r="P2516" s="10"/>
      <c r="Q2516" s="10"/>
      <c r="R2516" s="10"/>
      <c r="S2516" s="10"/>
      <c r="T2516" s="10"/>
      <c r="U2516" s="10"/>
      <c r="V2516" s="10"/>
      <c r="W2516" s="10"/>
      <c r="X2516" s="10"/>
      <c r="Y2516" s="10"/>
      <c r="Z2516" s="10"/>
    </row>
    <row r="2517" spans="1:26" ht="12.75">
      <c r="A2517" s="10" t="str">
        <f ca="1">IFERROR(__xludf.DUMMYFUNCTION("""COMPUTED_VALUE"""),"Евгения Петрова Ковачева")</f>
        <v>Евгения Петрова Ковачева</v>
      </c>
      <c r="B2517" s="10" t="str">
        <f ca="1">IFERROR(__xludf.DUMMYFUNCTION("""COMPUTED_VALUE"""),"Статия в списания и поредици")</f>
        <v>Статия в списания и поредици</v>
      </c>
      <c r="C2517" s="10" t="str">
        <f ca="1">IFERROR(__xludf.DUMMYFUNCTION("""COMPUTED_VALUE"""),"Cultural Heritage Education – The Role of ICT. In: Modern Information Society Formation: Problems, Perspectives, Innovation Approaches")</f>
        <v>Cultural Heritage Education – The Role of ICT. In: Modern Information Society Formation: Problems, Perspectives, Innovation Approaches</v>
      </c>
      <c r="D2517" s="10">
        <f ca="1">IFERROR(__xludf.DUMMYFUNCTION("""COMPUTED_VALUE"""),2015)</f>
        <v>2015</v>
      </c>
      <c r="E2517" s="10" t="str">
        <f ca="1">IFERROR(__xludf.DUMMYFUNCTION("""COMPUTED_VALUE"""),"Proceedings of International Forum, 1-5 June 2015, Saint-Petersburg. ISBN: 978-5-8088-1002-0")</f>
        <v>Proceedings of International Forum, 1-5 June 2015, Saint-Petersburg. ISBN: 978-5-8088-1002-0</v>
      </c>
      <c r="F2517" s="10"/>
      <c r="G2517" s="10" t="str">
        <f ca="1">IFERROR(__xludf.DUMMYFUNCTION("""COMPUTED_VALUE"""),"Konstantinov, O., E. Kovatcheva, R. Nikolov")</f>
        <v>Konstantinov, O., E. Kovatcheva, R. Nikolov</v>
      </c>
      <c r="H2517" s="10"/>
      <c r="I2517" s="10"/>
      <c r="J2517" s="10"/>
      <c r="K2517" s="10"/>
      <c r="L2517" s="10"/>
      <c r="M2517" s="10"/>
      <c r="N2517" s="10"/>
      <c r="O2517" s="10"/>
      <c r="P2517" s="10"/>
      <c r="Q2517" s="10"/>
      <c r="R2517" s="10"/>
      <c r="S2517" s="10"/>
      <c r="T2517" s="10"/>
      <c r="U2517" s="10"/>
      <c r="V2517" s="10"/>
      <c r="W2517" s="10"/>
      <c r="X2517" s="10"/>
      <c r="Y2517" s="10"/>
      <c r="Z2517" s="10"/>
    </row>
    <row r="2518" spans="1:26" ht="12.75">
      <c r="A2518" s="10" t="str">
        <f ca="1">IFERROR(__xludf.DUMMYFUNCTION("""COMPUTED_VALUE"""),"Евгения Петрова Ковачева")</f>
        <v>Евгения Петрова Ковачева</v>
      </c>
      <c r="B2518" s="10" t="str">
        <f ca="1">IFERROR(__xludf.DUMMYFUNCTION("""COMPUTED_VALUE"""),"Статия в списания и поредици")</f>
        <v>Статия в списания и поредици</v>
      </c>
      <c r="C2518" s="10" t="str">
        <f ca="1">IFERROR(__xludf.DUMMYFUNCTION("""COMPUTED_VALUE"""),"Entrepreneurship Education, e-Learning, and Assessment")</f>
        <v>Entrepreneurship Education, e-Learning, and Assessment</v>
      </c>
      <c r="D2518" s="10">
        <f ca="1">IFERROR(__xludf.DUMMYFUNCTION("""COMPUTED_VALUE"""),2015)</f>
        <v>2015</v>
      </c>
      <c r="E2518" s="10" t="str">
        <f ca="1">IFERROR(__xludf.DUMMYFUNCTION("""COMPUTED_VALUE"""),"In proceeding of NETT Entrepreneurship for Teachers, Gargnano, Italy pp 68-79")</f>
        <v>In proceeding of NETT Entrepreneurship for Teachers, Gargnano, Italy pp 68-79</v>
      </c>
      <c r="F2518" s="10"/>
      <c r="G2518" s="10" t="str">
        <f ca="1">IFERROR(__xludf.DUMMYFUNCTION("""COMPUTED_VALUE"""),"Kovatcheva E")</f>
        <v>Kovatcheva E</v>
      </c>
      <c r="H2518" s="10"/>
      <c r="I2518" s="10"/>
      <c r="J2518" s="10"/>
      <c r="K2518" s="10"/>
      <c r="L2518" s="10"/>
      <c r="M2518" s="10"/>
      <c r="N2518" s="10"/>
      <c r="O2518" s="10"/>
      <c r="P2518" s="10"/>
      <c r="Q2518" s="10"/>
      <c r="R2518" s="10"/>
      <c r="S2518" s="10"/>
      <c r="T2518" s="10"/>
      <c r="U2518" s="10"/>
      <c r="V2518" s="10"/>
      <c r="W2518" s="10"/>
      <c r="X2518" s="10"/>
      <c r="Y2518" s="10"/>
      <c r="Z2518" s="10"/>
    </row>
    <row r="2519" spans="1:26" ht="12.75">
      <c r="A2519" s="10" t="str">
        <f ca="1">IFERROR(__xludf.DUMMYFUNCTION("""COMPUTED_VALUE"""),"Евгения Петрова Ковачева")</f>
        <v>Евгения Петрова Ковачева</v>
      </c>
      <c r="B2519" s="10" t="str">
        <f ca="1">IFERROR(__xludf.DUMMYFUNCTION("""COMPUTED_VALUE"""),"Доклад от конференция")</f>
        <v>Доклад от конференция</v>
      </c>
      <c r="C2519" s="10" t="str">
        <f ca="1">IFERROR(__xludf.DUMMYFUNCTION("""COMPUTED_VALUE"""),"A Play оf the First Water оr How To Develop the Digital Natives' Competences Ready For Work")</f>
        <v>A Play оf the First Water оr How To Develop the Digital Natives' Competences Ready For Work</v>
      </c>
      <c r="D2519" s="10">
        <f ca="1">IFERROR(__xludf.DUMMYFUNCTION("""COMPUTED_VALUE"""),2015)</f>
        <v>2015</v>
      </c>
      <c r="E2519" s="10" t="str">
        <f ca="1">IFERROR(__xludf.DUMMYFUNCTION("""COMPUTED_VALUE"""),"in Proceeding of the International Scientific Seminar Modern Dimensions иn European Education And Research Area. Bulgarian - Maltese Cultural Communication "" Malta, 01 - 08.06.2015")</f>
        <v>in Proceeding of the International Scientific Seminar Modern Dimensions иn European Education And Research Area. Bulgarian - Maltese Cultural Communication " Malta, 01 - 08.06.2015</v>
      </c>
      <c r="F2519" s="10"/>
      <c r="G2519" s="10" t="str">
        <f ca="1">IFERROR(__xludf.DUMMYFUNCTION("""COMPUTED_VALUE"""),"Kovatcheva E.")</f>
        <v>Kovatcheva E.</v>
      </c>
      <c r="H2519" s="10"/>
      <c r="I2519" s="10"/>
      <c r="J2519" s="10"/>
      <c r="K2519" s="10"/>
      <c r="L2519" s="10"/>
      <c r="M2519" s="10"/>
      <c r="N2519" s="10"/>
      <c r="O2519" s="10"/>
      <c r="P2519" s="10"/>
      <c r="Q2519" s="10"/>
      <c r="R2519" s="10"/>
      <c r="S2519" s="10"/>
      <c r="T2519" s="10"/>
      <c r="U2519" s="10"/>
      <c r="V2519" s="10"/>
      <c r="W2519" s="10"/>
      <c r="X2519" s="10"/>
      <c r="Y2519" s="10"/>
      <c r="Z2519" s="10"/>
    </row>
    <row r="2520" spans="1:26" ht="12.75">
      <c r="A2520" s="10" t="str">
        <f ca="1">IFERROR(__xludf.DUMMYFUNCTION("""COMPUTED_VALUE"""),"Евгения Петрова Ковачева")</f>
        <v>Евгения Петрова Ковачева</v>
      </c>
      <c r="B2520" s="10" t="str">
        <f ca="1">IFERROR(__xludf.DUMMYFUNCTION("""COMPUTED_VALUE"""),"Статия в списания и поредици")</f>
        <v>Статия в списания и поредици</v>
      </c>
      <c r="C2520" s="10" t="str">
        <f ca="1">IFERROR(__xludf.DUMMYFUNCTION("""COMPUTED_VALUE"""),"Case 09: Virtual Math Class, Education on the Cloud 2015")</f>
        <v>Case 09: Virtual Math Class, Education on the Cloud 2015</v>
      </c>
      <c r="D2520" s="10">
        <f ca="1">IFERROR(__xludf.DUMMYFUNCTION("""COMPUTED_VALUE"""),2015)</f>
        <v>2015</v>
      </c>
      <c r="E2520" s="10" t="str">
        <f ca="1">IFERROR(__xludf.DUMMYFUNCTION("""COMPUTED_VALUE"""),"State of the Art, Case Studies, October 215, SchoolontheCloud.eu p. 27")</f>
        <v>State of the Art, Case Studies, October 215, SchoolontheCloud.eu p. 27</v>
      </c>
      <c r="F2520" s="10"/>
      <c r="G2520" s="10" t="str">
        <f ca="1">IFERROR(__xludf.DUMMYFUNCTION("""COMPUTED_VALUE"""),"Kovatcheva, E")</f>
        <v>Kovatcheva, E</v>
      </c>
      <c r="H2520" s="10"/>
      <c r="I2520" s="10"/>
      <c r="J2520" s="10"/>
      <c r="K2520" s="10"/>
      <c r="L2520" s="10"/>
      <c r="M2520" s="10"/>
      <c r="N2520" s="10"/>
      <c r="O2520" s="10"/>
      <c r="P2520" s="10"/>
      <c r="Q2520" s="10"/>
      <c r="R2520" s="10"/>
      <c r="S2520" s="10"/>
      <c r="T2520" s="10"/>
      <c r="U2520" s="10"/>
      <c r="V2520" s="10"/>
      <c r="W2520" s="10"/>
      <c r="X2520" s="10"/>
      <c r="Y2520" s="10"/>
      <c r="Z2520" s="10"/>
    </row>
    <row r="2521" spans="1:26" ht="12.75">
      <c r="A2521" s="10" t="str">
        <f ca="1">IFERROR(__xludf.DUMMYFUNCTION("""COMPUTED_VALUE"""),"Евгения Петрова Ковачева")</f>
        <v>Евгения Петрова Ковачева</v>
      </c>
      <c r="B2521" s="10" t="str">
        <f ca="1">IFERROR(__xludf.DUMMYFUNCTION("""COMPUTED_VALUE"""),"Статия в списания и поредици")</f>
        <v>Статия в списания и поредици</v>
      </c>
      <c r="C2521" s="10" t="str">
        <f ca="1">IFERROR(__xludf.DUMMYFUNCTION("""COMPUTED_VALUE"""),"Case 08: VivaCognita, Education on the Cloud 2015")</f>
        <v>Case 08: VivaCognita, Education on the Cloud 2015</v>
      </c>
      <c r="D2521" s="10">
        <f ca="1">IFERROR(__xludf.DUMMYFUNCTION("""COMPUTED_VALUE"""),2015)</f>
        <v>2015</v>
      </c>
      <c r="E2521" s="10" t="str">
        <f ca="1">IFERROR(__xludf.DUMMYFUNCTION("""COMPUTED_VALUE"""),"State of the Art, Case Studies, October 215, SchoolontheCloud.eu pp 25-26, http://www.schoolonthecloud.net/#!state-of-the-art---case-studies/bc2kh")</f>
        <v>State of the Art, Case Studies, October 215, SchoolontheCloud.eu pp 25-26, http://www.schoolonthecloud.net/#!state-of-the-art---case-studies/bc2kh</v>
      </c>
      <c r="F2521" s="10"/>
      <c r="G2521" s="10" t="str">
        <f ca="1">IFERROR(__xludf.DUMMYFUNCTION("""COMPUTED_VALUE"""),"Kovatcheva, E")</f>
        <v>Kovatcheva, E</v>
      </c>
      <c r="H2521" s="10"/>
      <c r="I2521" s="10"/>
      <c r="J2521" s="10"/>
      <c r="K2521" s="10"/>
      <c r="L2521" s="10"/>
      <c r="M2521" s="10"/>
      <c r="N2521" s="10"/>
      <c r="O2521" s="10"/>
      <c r="P2521" s="10"/>
      <c r="Q2521" s="10"/>
      <c r="R2521" s="10"/>
      <c r="S2521" s="10"/>
      <c r="T2521" s="10"/>
      <c r="U2521" s="10"/>
      <c r="V2521" s="10"/>
      <c r="W2521" s="10"/>
      <c r="X2521" s="10"/>
      <c r="Y2521" s="10"/>
      <c r="Z2521" s="10"/>
    </row>
    <row r="2522" spans="1:26" ht="12.75">
      <c r="A2522" s="10" t="str">
        <f ca="1">IFERROR(__xludf.DUMMYFUNCTION("""COMPUTED_VALUE"""),"Евгения Петрова Ковачева")</f>
        <v>Евгения Петрова Ковачева</v>
      </c>
      <c r="B2522" s="10" t="str">
        <f ca="1">IFERROR(__xludf.DUMMYFUNCTION("""COMPUTED_VALUE"""),"Доклад от конференция")</f>
        <v>Доклад от конференция</v>
      </c>
      <c r="C2522" s="10" t="str">
        <f ca="1">IFERROR(__xludf.DUMMYFUNCTION("""COMPUTED_VALUE"""),"Innovation management – opportunity for development. Analysis under the APInno project")</f>
        <v>Innovation management – opportunity for development. Analysis under the APInno project</v>
      </c>
      <c r="D2522" s="10">
        <f ca="1">IFERROR(__xludf.DUMMYFUNCTION("""COMPUTED_VALUE"""),2015)</f>
        <v>2015</v>
      </c>
      <c r="E2522" s="10" t="str">
        <f ca="1">IFERROR(__xludf.DUMMYFUNCTION("""COMPUTED_VALUE"""),"in Proceeding of the National Conference ICT in Library Studies, Education and Cultural Heritage in honour of the 70th anniversary of UNESCO and the 65th anniversary of University of Library Studies and IT, under the patronage of the National Commission f"&amp;"or UNESCO, Sofia May 29, 2015, Za bukwite-O’pismeneh, ISBN 978-619-185-164-5, pp 208-221")</f>
        <v>in Proceeding of the National Conference ICT in Library Studies, Education and Cultural Heritage in honour of the 70th anniversary of UNESCO and the 65th anniversary of University of Library Studies and IT, under the patronage of the National Commission for UNESCO, Sofia May 29, 2015, Za bukwite-O’pismeneh, ISBN 978-619-185-164-5, pp 208-221</v>
      </c>
      <c r="F2522" s="10"/>
      <c r="G2522" s="10" t="str">
        <f ca="1">IFERROR(__xludf.DUMMYFUNCTION("""COMPUTED_VALUE"""),"Simova M, Kovatcheva E")</f>
        <v>Simova M, Kovatcheva E</v>
      </c>
      <c r="H2522" s="10"/>
      <c r="I2522" s="10"/>
      <c r="J2522" s="10"/>
      <c r="K2522" s="10"/>
      <c r="L2522" s="10"/>
      <c r="M2522" s="10"/>
      <c r="N2522" s="10"/>
      <c r="O2522" s="10"/>
      <c r="P2522" s="10"/>
      <c r="Q2522" s="10"/>
      <c r="R2522" s="10"/>
      <c r="S2522" s="10"/>
      <c r="T2522" s="10"/>
      <c r="U2522" s="10"/>
      <c r="V2522" s="10"/>
      <c r="W2522" s="10"/>
      <c r="X2522" s="10"/>
      <c r="Y2522" s="10"/>
      <c r="Z2522" s="10"/>
    </row>
    <row r="2523" spans="1:26" ht="12.75">
      <c r="A2523" s="10" t="str">
        <f ca="1">IFERROR(__xludf.DUMMYFUNCTION("""COMPUTED_VALUE"""),"Евгения Петрова Ковачева")</f>
        <v>Евгения Петрова Ковачева</v>
      </c>
      <c r="B2523" s="10" t="str">
        <f ca="1">IFERROR(__xludf.DUMMYFUNCTION("""COMPUTED_VALUE"""),"Доклад от конференция")</f>
        <v>Доклад от конференция</v>
      </c>
      <c r="C2523" s="10" t="str">
        <f ca="1">IFERROR(__xludf.DUMMYFUNCTION("""COMPUTED_VALUE"""),"Internet of things for wellbeing - pilot case of a Smart Health Cardio Belt")</f>
        <v>Internet of things for wellbeing - pilot case of a Smart Health Cardio Belt</v>
      </c>
      <c r="D2523" s="10">
        <f ca="1">IFERROR(__xludf.DUMMYFUNCTION("""COMPUTED_VALUE"""),2014)</f>
        <v>2014</v>
      </c>
      <c r="E2523" s="10" t="str">
        <f ca="1">IFERROR(__xludf.DUMMYFUNCTION("""COMPUTED_VALUE"""),"IFMBE Proceedings Volume 41, 2014, Pages 1221-1224 13th Mediterranean Conference on Medical and Biological Engineering and Computing 2013, MEDICON 2013; Seville; Spain; 25 September 2013 through 28 September 2013; Code 101721, ISSN:1680-0737")</f>
        <v>IFMBE Proceedings Volume 41, 2014, Pages 1221-1224 13th Mediterranean Conference on Medical and Biological Engineering and Computing 2013, MEDICON 2013; Seville; Spain; 25 September 2013 through 28 September 2013; Code 101721, ISSN:1680-0737</v>
      </c>
      <c r="F2523" s="10" t="str">
        <f ca="1">IFERROR(__xludf.DUMMYFUNCTION("""COMPUTED_VALUE"""),"Scopus")</f>
        <v>Scopus</v>
      </c>
      <c r="G2523" s="10" t="str">
        <f ca="1">IFERROR(__xludf.DUMMYFUNCTION("""COMPUTED_VALUE"""),"Roumen Nikolov, Mirolyuba Madjarova, Alexander Chikalanov")</f>
        <v>Roumen Nikolov, Mirolyuba Madjarova, Alexander Chikalanov</v>
      </c>
      <c r="H2523" s="10"/>
      <c r="I2523" s="10"/>
      <c r="J2523" s="10"/>
      <c r="K2523" s="10"/>
      <c r="L2523" s="10"/>
      <c r="M2523" s="10"/>
      <c r="N2523" s="10"/>
      <c r="O2523" s="10"/>
      <c r="P2523" s="10"/>
      <c r="Q2523" s="10"/>
      <c r="R2523" s="10"/>
      <c r="S2523" s="10"/>
      <c r="T2523" s="10"/>
      <c r="U2523" s="10"/>
      <c r="V2523" s="10"/>
      <c r="W2523" s="10"/>
      <c r="X2523" s="10"/>
      <c r="Y2523" s="10"/>
      <c r="Z2523" s="10"/>
    </row>
    <row r="2524" spans="1:26" ht="12.75">
      <c r="A2524" s="10" t="str">
        <f ca="1">IFERROR(__xludf.DUMMYFUNCTION("""COMPUTED_VALUE"""),"Евгения Петрова Ковачева")</f>
        <v>Евгения Петрова Ковачева</v>
      </c>
      <c r="B2524" s="10" t="str">
        <f ca="1">IFERROR(__xludf.DUMMYFUNCTION("""COMPUTED_VALUE"""),"Статия в списания и поредици")</f>
        <v>Статия в списания и поредици</v>
      </c>
      <c r="C2524" s="10" t="str">
        <f ca="1">IFERROR(__xludf.DUMMYFUNCTION("""COMPUTED_VALUE"""),"Reflections, National Seminar in Education")</f>
        <v>Reflections, National Seminar in Education</v>
      </c>
      <c r="D2524" s="10">
        <f ca="1">IFERROR(__xludf.DUMMYFUNCTION("""COMPUTED_VALUE"""),2014)</f>
        <v>2014</v>
      </c>
      <c r="E2524" s="10" t="str">
        <f ca="1">IFERROR(__xludf.DUMMYFUNCTION("""COMPUTED_VALUE"""),"7.12.2014, Institute of Mathematics and Informatics, Bulgarian Academy of Science, http://www.math.bas.bg/omi/Scientix2014/programa_scientix_2014.pdf")</f>
        <v>7.12.2014, Institute of Mathematics and Informatics, Bulgarian Academy of Science, http://www.math.bas.bg/omi/Scientix2014/programa_scientix_2014.pdf</v>
      </c>
      <c r="F2524" s="10"/>
      <c r="G2524" s="10" t="str">
        <f ca="1">IFERROR(__xludf.DUMMYFUNCTION("""COMPUTED_VALUE"""),"Kovatcheva")</f>
        <v>Kovatcheva</v>
      </c>
      <c r="H2524" s="10"/>
      <c r="I2524" s="10"/>
      <c r="J2524" s="10"/>
      <c r="K2524" s="10"/>
      <c r="L2524" s="10"/>
      <c r="M2524" s="10"/>
      <c r="N2524" s="10"/>
      <c r="O2524" s="10"/>
      <c r="P2524" s="10"/>
      <c r="Q2524" s="10"/>
      <c r="R2524" s="10"/>
      <c r="S2524" s="10"/>
      <c r="T2524" s="10"/>
      <c r="U2524" s="10"/>
      <c r="V2524" s="10"/>
      <c r="W2524" s="10"/>
      <c r="X2524" s="10"/>
      <c r="Y2524" s="10"/>
      <c r="Z2524" s="10"/>
    </row>
    <row r="2525" spans="1:26" ht="12.75">
      <c r="A2525" s="10" t="str">
        <f ca="1">IFERROR(__xludf.DUMMYFUNCTION("""COMPUTED_VALUE"""),"Евгения Петрова Ковачева")</f>
        <v>Евгения Петрова Ковачева</v>
      </c>
      <c r="B2525" s="10" t="str">
        <f ca="1">IFERROR(__xludf.DUMMYFUNCTION("""COMPUTED_VALUE"""),"Статия в списания и поредици")</f>
        <v>Статия в списания и поредици</v>
      </c>
      <c r="C2525" s="10" t="str">
        <f ca="1">IFERROR(__xludf.DUMMYFUNCTION("""COMPUTED_VALUE"""),"Competence-Based for Digital Natives")</f>
        <v>Competence-Based for Digital Natives</v>
      </c>
      <c r="D2525" s="10">
        <f ca="1">IFERROR(__xludf.DUMMYFUNCTION("""COMPUTED_VALUE"""),2014)</f>
        <v>2014</v>
      </c>
      <c r="E2525" s="10" t="str">
        <f ca="1">IFERROR(__xludf.DUMMYFUNCTION("""COMPUTED_VALUE"""),"XV In Proceeding International Forum Modern information society formation – problems, perspectives, innovation approaches, Saint-Petersburg, 1-5 June, 2014 pp 48-49")</f>
        <v>XV In Proceeding International Forum Modern information society formation – problems, perspectives, innovation approaches, Saint-Petersburg, 1-5 June, 2014 pp 48-49</v>
      </c>
      <c r="F2525" s="10"/>
      <c r="G2525" s="10" t="str">
        <f ca="1">IFERROR(__xludf.DUMMYFUNCTION("""COMPUTED_VALUE"""),"Kovatcheva E.P, Nikolov R.V., Shoikova E.")</f>
        <v>Kovatcheva E.P, Nikolov R.V., Shoikova E.</v>
      </c>
      <c r="H2525" s="10"/>
      <c r="I2525" s="10"/>
      <c r="J2525" s="10"/>
      <c r="K2525" s="10"/>
      <c r="L2525" s="10"/>
      <c r="M2525" s="10"/>
      <c r="N2525" s="10"/>
      <c r="O2525" s="10"/>
      <c r="P2525" s="10"/>
      <c r="Q2525" s="10"/>
      <c r="R2525" s="10"/>
      <c r="S2525" s="10"/>
      <c r="T2525" s="10"/>
      <c r="U2525" s="10"/>
      <c r="V2525" s="10"/>
      <c r="W2525" s="10"/>
      <c r="X2525" s="10"/>
      <c r="Y2525" s="10"/>
      <c r="Z2525" s="10"/>
    </row>
    <row r="2526" spans="1:26" ht="12.75">
      <c r="A2526" s="10" t="str">
        <f ca="1">IFERROR(__xludf.DUMMYFUNCTION("""COMPUTED_VALUE"""),"Евгения Петрова Ковачева")</f>
        <v>Евгения Петрова Ковачева</v>
      </c>
      <c r="B2526" s="10" t="str">
        <f ca="1">IFERROR(__xludf.DUMMYFUNCTION("""COMPUTED_VALUE"""),"Книга")</f>
        <v>Книга</v>
      </c>
      <c r="C2526" s="10" t="str">
        <f ca="1">IFERROR(__xludf.DUMMYFUNCTION("""COMPUTED_VALUE"""),"Information Management")</f>
        <v>Information Management</v>
      </c>
      <c r="D2526" s="10">
        <f ca="1">IFERROR(__xludf.DUMMYFUNCTION("""COMPUTED_VALUE"""),2014)</f>
        <v>2014</v>
      </c>
      <c r="E2526" s="10" t="str">
        <f ca="1">IFERROR(__xludf.DUMMYFUNCTION("""COMPUTED_VALUE"""),"Za bukvite-O'Pismeneh, Sofia, ISBN: 978-619-185-114-0")</f>
        <v>Za bukvite-O'Pismeneh, Sofia, ISBN: 978-619-185-114-0</v>
      </c>
      <c r="F2526" s="10"/>
      <c r="G2526" s="10" t="str">
        <f ca="1">IFERROR(__xludf.DUMMYFUNCTION("""COMPUTED_VALUE"""),"3. Denchev, S., Kovatcheva, E., Nikolov, R.")</f>
        <v>3. Denchev, S., Kovatcheva, E., Nikolov, R.</v>
      </c>
      <c r="H2526" s="10"/>
      <c r="I2526" s="10"/>
      <c r="J2526" s="10"/>
      <c r="K2526" s="10"/>
      <c r="L2526" s="10"/>
      <c r="M2526" s="10"/>
      <c r="N2526" s="10"/>
      <c r="O2526" s="10"/>
      <c r="P2526" s="10"/>
      <c r="Q2526" s="10"/>
      <c r="R2526" s="10"/>
      <c r="S2526" s="10"/>
      <c r="T2526" s="10"/>
      <c r="U2526" s="10"/>
      <c r="V2526" s="10"/>
      <c r="W2526" s="10"/>
      <c r="X2526" s="10"/>
      <c r="Y2526" s="10"/>
      <c r="Z2526" s="10"/>
    </row>
    <row r="2527" spans="1:26" ht="12.75">
      <c r="A2527" s="10" t="str">
        <f ca="1">IFERROR(__xludf.DUMMYFUNCTION("""COMPUTED_VALUE"""),"Евгения Петрова Ковачева")</f>
        <v>Евгения Петрова Ковачева</v>
      </c>
      <c r="B2527" s="10" t="str">
        <f ca="1">IFERROR(__xludf.DUMMYFUNCTION("""COMPUTED_VALUE"""),"Учебник")</f>
        <v>Учебник</v>
      </c>
      <c r="C2527" s="10" t="str">
        <f ca="1">IFERROR(__xludf.DUMMYFUNCTION("""COMPUTED_VALUE"""),"Competence Based Framework for Curriculum Development")</f>
        <v>Competence Based Framework for Curriculum Development</v>
      </c>
      <c r="D2527" s="10">
        <f ca="1">IFERROR(__xludf.DUMMYFUNCTION("""COMPUTED_VALUE"""),2014)</f>
        <v>2014</v>
      </c>
      <c r="E2527" s="10" t="str">
        <f ca="1">IFERROR(__xludf.DUMMYFUNCTION("""COMPUTED_VALUE"""),"Za bukvite, O’pismeneh, Sofia, ISBN: 978-619-185-015-0, ISBN online: 978-619-185-016-7")</f>
        <v>Za bukvite, O’pismeneh, Sofia, ISBN: 978-619-185-015-0, ISBN online: 978-619-185-016-7</v>
      </c>
      <c r="F2527" s="10"/>
      <c r="G2527" s="10" t="str">
        <f ca="1">IFERROR(__xludf.DUMMYFUNCTION("""COMPUTED_VALUE"""),"4. Nikolov R., Shoikova E., Kovatcheva E.")</f>
        <v>4. Nikolov R., Shoikova E., Kovatcheva E.</v>
      </c>
      <c r="H2527" s="10"/>
      <c r="I2527" s="10"/>
      <c r="J2527" s="10"/>
      <c r="K2527" s="10"/>
      <c r="L2527" s="10"/>
      <c r="M2527" s="10"/>
      <c r="N2527" s="10"/>
      <c r="O2527" s="10"/>
      <c r="P2527" s="10"/>
      <c r="Q2527" s="10"/>
      <c r="R2527" s="10"/>
      <c r="S2527" s="10"/>
      <c r="T2527" s="10"/>
      <c r="U2527" s="10"/>
      <c r="V2527" s="10"/>
      <c r="W2527" s="10"/>
      <c r="X2527" s="10"/>
      <c r="Y2527" s="10"/>
      <c r="Z2527" s="10"/>
    </row>
    <row r="2528" spans="1:26" ht="12.75">
      <c r="A2528" s="10" t="str">
        <f ca="1">IFERROR(__xludf.DUMMYFUNCTION("""COMPUTED_VALUE"""),"Евгения Петрова Ковачева")</f>
        <v>Евгения Петрова Ковачева</v>
      </c>
      <c r="B2528" s="10" t="str">
        <f ca="1">IFERROR(__xludf.DUMMYFUNCTION("""COMPUTED_VALUE"""),"Доклад от конференция")</f>
        <v>Доклад от конференция</v>
      </c>
      <c r="C2528" s="10" t="str">
        <f ca="1">IFERROR(__xludf.DUMMYFUNCTION("""COMPUTED_VALUE"""),"Learning 2.0 enhanced by social media tools - implementation and assessment")</f>
        <v>Learning 2.0 enhanced by social media tools - implementation and assessment</v>
      </c>
      <c r="D2528" s="10">
        <f ca="1">IFERROR(__xludf.DUMMYFUNCTION("""COMPUTED_VALUE"""),2014)</f>
        <v>2014</v>
      </c>
      <c r="E2528" s="10" t="str">
        <f ca="1">IFERROR(__xludf.DUMMYFUNCTION("""COMPUTED_VALUE"""),"in Proceeding of International Conference on e-Learning’14, September, Tenerife, Spain")</f>
        <v>in Proceeding of International Conference on e-Learning’14, September, Tenerife, Spain</v>
      </c>
      <c r="F2528" s="10"/>
      <c r="G2528" s="10" t="str">
        <f ca="1">IFERROR(__xludf.DUMMYFUNCTION("""COMPUTED_VALUE"""),"Nikolov R, Shoikova E, Krumova M, Kovatcheva E")</f>
        <v>Nikolov R, Shoikova E, Krumova M, Kovatcheva E</v>
      </c>
      <c r="H2528" s="10"/>
      <c r="I2528" s="10"/>
      <c r="J2528" s="10"/>
      <c r="K2528" s="10"/>
      <c r="L2528" s="10"/>
      <c r="M2528" s="10"/>
      <c r="N2528" s="10"/>
      <c r="O2528" s="10"/>
      <c r="P2528" s="10"/>
      <c r="Q2528" s="10"/>
      <c r="R2528" s="10"/>
      <c r="S2528" s="10"/>
      <c r="T2528" s="10"/>
      <c r="U2528" s="10"/>
      <c r="V2528" s="10"/>
      <c r="W2528" s="10"/>
      <c r="X2528" s="10"/>
      <c r="Y2528" s="10"/>
      <c r="Z2528" s="10"/>
    </row>
    <row r="2529" spans="1:26" ht="12.75">
      <c r="A2529" s="10" t="str">
        <f ca="1">IFERROR(__xludf.DUMMYFUNCTION("""COMPUTED_VALUE"""),"Евгения Петрова Ковачева")</f>
        <v>Евгения Петрова Ковачева</v>
      </c>
      <c r="B2529" s="10" t="str">
        <f ca="1">IFERROR(__xludf.DUMMYFUNCTION("""COMPUTED_VALUE"""),"Статия в списания и поредици")</f>
        <v>Статия в списания и поредици</v>
      </c>
      <c r="C2529" s="10" t="str">
        <f ca="1">IFERROR(__xludf.DUMMYFUNCTION("""COMPUTED_VALUE"""),"The PICTET, SoC and FETCH European Projects")</f>
        <v>The PICTET, SoC and FETCH European Projects</v>
      </c>
      <c r="D2529" s="10">
        <f ca="1">IFERROR(__xludf.DUMMYFUNCTION("""COMPUTED_VALUE"""),2014)</f>
        <v>2014</v>
      </c>
      <c r="E2529" s="10" t="str">
        <f ca="1">IFERROR(__xludf.DUMMYFUNCTION("""COMPUTED_VALUE"""),"in Proceeding of QED'14: UNESCO International Workshop Quality of Education and Challenges in a Digitally Networked World 30-31 October, 2014, Sofia, Bulgaria - ISBN 978-619-185-163-8 - online, published on http://unesco.unibit.bg/en/workshops, ISBN 978-6"&amp;"19-185-162-1 - paper version Printed by Faleza-OFFICE 2000, Ltd. Publisher: Za Bukvite, O’Pismeneh")</f>
        <v>in Proceeding of QED'14: UNESCO International Workshop Quality of Education and Challenges in a Digitally Networked World 30-31 October, 2014, Sofia, Bulgaria - ISBN 978-619-185-163-8 - online, published on http://unesco.unibit.bg/en/workshops, ISBN 978-619-185-162-1 - paper version Printed by Faleza-OFFICE 2000, Ltd. Publisher: Za Bukvite, O’Pismeneh</v>
      </c>
      <c r="F2529" s="10"/>
      <c r="G2529" s="10" t="str">
        <f ca="1">IFERROR(__xludf.DUMMYFUNCTION("""COMPUTED_VALUE"""),"Kovatcheva E., Shoikova E.")</f>
        <v>Kovatcheva E., Shoikova E.</v>
      </c>
      <c r="H2529" s="10"/>
      <c r="I2529" s="10"/>
      <c r="J2529" s="10"/>
      <c r="K2529" s="10"/>
      <c r="L2529" s="10"/>
      <c r="M2529" s="10"/>
      <c r="N2529" s="10"/>
      <c r="O2529" s="10"/>
      <c r="P2529" s="10"/>
      <c r="Q2529" s="10"/>
      <c r="R2529" s="10"/>
      <c r="S2529" s="10"/>
      <c r="T2529" s="10"/>
      <c r="U2529" s="10"/>
      <c r="V2529" s="10"/>
      <c r="W2529" s="10"/>
      <c r="X2529" s="10"/>
      <c r="Y2529" s="10"/>
      <c r="Z2529" s="10"/>
    </row>
    <row r="2530" spans="1:26" ht="12.75">
      <c r="A2530" s="10" t="str">
        <f ca="1">IFERROR(__xludf.DUMMYFUNCTION("""COMPUTED_VALUE"""),"Евгения Петрова Ковачева")</f>
        <v>Евгения Петрова Ковачева</v>
      </c>
      <c r="B2530" s="10" t="str">
        <f ca="1">IFERROR(__xludf.DUMMYFUNCTION("""COMPUTED_VALUE"""),"Доклад от конференция")</f>
        <v>Доклад от конференция</v>
      </c>
      <c r="C2530" s="10" t="str">
        <f ca="1">IFERROR(__xludf.DUMMYFUNCTION("""COMPUTED_VALUE"""),"Visible and Invisible Bulgarian Heritage")</f>
        <v>Visible and Invisible Bulgarian Heritage</v>
      </c>
      <c r="D2530" s="10">
        <f ca="1">IFERROR(__xludf.DUMMYFUNCTION("""COMPUTED_VALUE"""),2013)</f>
        <v>2013</v>
      </c>
      <c r="E2530" s="10" t="str">
        <f ca="1">IFERROR(__xludf.DUMMYFUNCTION("""COMPUTED_VALUE"""),"in Proceeding of the DiPP2013: 3rd International Conference on Digital Presentation and Preservation of Cultural and Scientific Heritage, 18-21 September, Veliko Tarnovo, Bulgaria")</f>
        <v>in Proceeding of the DiPP2013: 3rd International Conference on Digital Presentation and Preservation of Cultural and Scientific Heritage, 18-21 September, Veliko Tarnovo, Bulgaria</v>
      </c>
      <c r="F2530" s="10"/>
      <c r="G2530" s="10" t="str">
        <f ca="1">IFERROR(__xludf.DUMMYFUNCTION("""COMPUTED_VALUE"""),"Kovatcheva, E.")</f>
        <v>Kovatcheva, E.</v>
      </c>
      <c r="H2530" s="10"/>
      <c r="I2530" s="10"/>
      <c r="J2530" s="10"/>
      <c r="K2530" s="10"/>
      <c r="L2530" s="10"/>
      <c r="M2530" s="10"/>
      <c r="N2530" s="10"/>
      <c r="O2530" s="10"/>
      <c r="P2530" s="10"/>
      <c r="Q2530" s="10"/>
      <c r="R2530" s="10"/>
      <c r="S2530" s="10"/>
      <c r="T2530" s="10"/>
      <c r="U2530" s="10"/>
      <c r="V2530" s="10"/>
      <c r="W2530" s="10"/>
      <c r="X2530" s="10"/>
      <c r="Y2530" s="10"/>
      <c r="Z2530" s="10"/>
    </row>
    <row r="2531" spans="1:26" ht="12.75">
      <c r="A2531" s="10" t="str">
        <f ca="1">IFERROR(__xludf.DUMMYFUNCTION("""COMPUTED_VALUE"""),"Евгения Петрова Ковачева")</f>
        <v>Евгения Петрова Ковачева</v>
      </c>
      <c r="B2531" s="10" t="str">
        <f ca="1">IFERROR(__xludf.DUMMYFUNCTION("""COMPUTED_VALUE"""),"Доклад от конференция")</f>
        <v>Доклад от конференция</v>
      </c>
      <c r="C2531" s="10" t="str">
        <f ca="1">IFERROR(__xludf.DUMMYFUNCTION("""COMPUTED_VALUE"""),"Visible and Invisible Bulgarian Heritage (One research under the Bulgarian Heritage published on the Web)")</f>
        <v>Visible and Invisible Bulgarian Heritage (One research under the Bulgarian Heritage published on the Web)</v>
      </c>
      <c r="D2531" s="10">
        <f ca="1">IFERROR(__xludf.DUMMYFUNCTION("""COMPUTED_VALUE"""),2013)</f>
        <v>2013</v>
      </c>
      <c r="E2531" s="10" t="str">
        <f ca="1">IFERROR(__xludf.DUMMYFUNCTION("""COMPUTED_VALUE"""),"in Proceeding of the DiPP2013: 3rd International Conference on Digital Presentation and Preservation of Cultural and Scientific Heritage, 18-21 September, Veliko Tarnovo, Bulgaria, Vol III, ISSN: 1314-4006")</f>
        <v>in Proceeding of the DiPP2013: 3rd International Conference on Digital Presentation and Preservation of Cultural and Scientific Heritage, 18-21 September, Veliko Tarnovo, Bulgaria, Vol III, ISSN: 1314-4006</v>
      </c>
      <c r="F2531" s="10" t="str">
        <f ca="1">IFERROR(__xludf.DUMMYFUNCTION("""COMPUTED_VALUE"""),"Google Scholar")</f>
        <v>Google Scholar</v>
      </c>
      <c r="G2531" s="10"/>
      <c r="H2531" s="10"/>
      <c r="I2531" s="10"/>
      <c r="J2531" s="10"/>
      <c r="K2531" s="10"/>
      <c r="L2531" s="10"/>
      <c r="M2531" s="10"/>
      <c r="N2531" s="10"/>
      <c r="O2531" s="10"/>
      <c r="P2531" s="10"/>
      <c r="Q2531" s="10"/>
      <c r="R2531" s="10"/>
      <c r="S2531" s="10"/>
      <c r="T2531" s="10"/>
      <c r="U2531" s="10"/>
      <c r="V2531" s="10"/>
      <c r="W2531" s="10"/>
      <c r="X2531" s="10"/>
      <c r="Y2531" s="10"/>
      <c r="Z2531" s="10"/>
    </row>
    <row r="2532" spans="1:26" ht="12.75">
      <c r="A2532" s="10" t="str">
        <f ca="1">IFERROR(__xludf.DUMMYFUNCTION("""COMPUTED_VALUE"""),"Евгения Петрова Ковачева")</f>
        <v>Евгения Петрова Ковачева</v>
      </c>
      <c r="B2532" s="10" t="str">
        <f ca="1">IFERROR(__xludf.DUMMYFUNCTION("""COMPUTED_VALUE"""),"Книга")</f>
        <v>Книга</v>
      </c>
      <c r="C2532" s="10" t="str">
        <f ca="1">IFERROR(__xludf.DUMMYFUNCTION("""COMPUTED_VALUE"""),"Methodology for applying the e-forms for distance educaion")</f>
        <v>Methodology for applying the e-forms for distance educaion</v>
      </c>
      <c r="D2532" s="10">
        <f ca="1">IFERROR(__xludf.DUMMYFUNCTION("""COMPUTED_VALUE"""),2013)</f>
        <v>2013</v>
      </c>
      <c r="E2532" s="10" t="str">
        <f ca="1">IFERROR(__xludf.DUMMYFUNCTION("""COMPUTED_VALUE"""),"Sofia, January 2013, “Human Resources Development” Operational Programme 2007-2013, ISBN 978-954-9399-15-8")</f>
        <v>Sofia, January 2013, “Human Resources Development” Operational Programme 2007-2013, ISBN 978-954-9399-15-8</v>
      </c>
      <c r="F2532" s="10"/>
      <c r="G2532" s="10" t="str">
        <f ca="1">IFERROR(__xludf.DUMMYFUNCTION("""COMPUTED_VALUE"""),"6. Kovatcheva, E., Stefanova")</f>
        <v>6. Kovatcheva, E., Stefanova</v>
      </c>
      <c r="H2532" s="10"/>
      <c r="I2532" s="10"/>
      <c r="J2532" s="10"/>
      <c r="K2532" s="10"/>
      <c r="L2532" s="10"/>
      <c r="M2532" s="10"/>
      <c r="N2532" s="10"/>
      <c r="O2532" s="10"/>
      <c r="P2532" s="10"/>
      <c r="Q2532" s="10"/>
      <c r="R2532" s="10"/>
      <c r="S2532" s="10"/>
      <c r="T2532" s="10"/>
      <c r="U2532" s="10"/>
      <c r="V2532" s="10"/>
      <c r="W2532" s="10"/>
      <c r="X2532" s="10"/>
      <c r="Y2532" s="10"/>
      <c r="Z2532" s="10"/>
    </row>
    <row r="2533" spans="1:26" ht="12.75">
      <c r="A2533" s="10" t="str">
        <f ca="1">IFERROR(__xludf.DUMMYFUNCTION("""COMPUTED_VALUE"""),"Евгения Петрова Ковачева")</f>
        <v>Евгения Петрова Ковачева</v>
      </c>
      <c r="B2533" s="10" t="str">
        <f ca="1">IFERROR(__xludf.DUMMYFUNCTION("""COMPUTED_VALUE"""),"Монография")</f>
        <v>Монография</v>
      </c>
      <c r="C2533" s="10" t="str">
        <f ca="1">IFERROR(__xludf.DUMMYFUNCTION("""COMPUTED_VALUE"""),"Хоризонти на електронното обучение")</f>
        <v>Хоризонти на електронното обучение</v>
      </c>
      <c r="D2533" s="10">
        <f ca="1">IFERROR(__xludf.DUMMYFUNCTION("""COMPUTED_VALUE"""),2013)</f>
        <v>2013</v>
      </c>
      <c r="E2533" s="10" t="str">
        <f ca="1">IFERROR(__xludf.DUMMYFUNCTION("""COMPUTED_VALUE"""),"Деметра, София, ISBN: 978-954-9526-82-0")</f>
        <v>Деметра, София, ISBN: 978-954-9526-82-0</v>
      </c>
      <c r="F2533" s="10" t="str">
        <f ca="1">IFERROR(__xludf.DUMMYFUNCTION("""COMPUTED_VALUE"""),"Google Scholar")</f>
        <v>Google Scholar</v>
      </c>
      <c r="G2533" s="10"/>
      <c r="H2533" s="10"/>
      <c r="I2533" s="10"/>
      <c r="J2533" s="10"/>
      <c r="K2533" s="10"/>
      <c r="L2533" s="10"/>
      <c r="M2533" s="10"/>
      <c r="N2533" s="10"/>
      <c r="O2533" s="10"/>
      <c r="P2533" s="10"/>
      <c r="Q2533" s="10"/>
      <c r="R2533" s="10"/>
      <c r="S2533" s="10"/>
      <c r="T2533" s="10"/>
      <c r="U2533" s="10"/>
      <c r="V2533" s="10"/>
      <c r="W2533" s="10"/>
      <c r="X2533" s="10"/>
      <c r="Y2533" s="10"/>
      <c r="Z2533" s="10"/>
    </row>
    <row r="2534" spans="1:26" ht="12.75">
      <c r="A2534" s="10" t="str">
        <f ca="1">IFERROR(__xludf.DUMMYFUNCTION("""COMPUTED_VALUE"""),"Евгения Петрова Ковачева")</f>
        <v>Евгения Петрова Ковачева</v>
      </c>
      <c r="B2534" s="10" t="str">
        <f ca="1">IFERROR(__xludf.DUMMYFUNCTION("""COMPUTED_VALUE"""),"Книга")</f>
        <v>Книга</v>
      </c>
      <c r="C2534" s="10" t="str">
        <f ca="1">IFERROR(__xludf.DUMMYFUNCTION("""COMPUTED_VALUE"""),"eLearning Horizons")</f>
        <v>eLearning Horizons</v>
      </c>
      <c r="D2534" s="10">
        <f ca="1">IFERROR(__xludf.DUMMYFUNCTION("""COMPUTED_VALUE"""),2013)</f>
        <v>2013</v>
      </c>
      <c r="E2534" s="10" t="str">
        <f ca="1">IFERROR(__xludf.DUMMYFUNCTION("""COMPUTED_VALUE"""),"PH Demetra, Sofia, ISBN: 978-954-9526-82-0")</f>
        <v>PH Demetra, Sofia, ISBN: 978-954-9526-82-0</v>
      </c>
      <c r="F2534" s="10"/>
      <c r="G2534" s="10" t="str">
        <f ca="1">IFERROR(__xludf.DUMMYFUNCTION("""COMPUTED_VALUE"""),"5. Kovatcheva, E.")</f>
        <v>5. Kovatcheva, E.</v>
      </c>
      <c r="H2534" s="10"/>
      <c r="I2534" s="10"/>
      <c r="J2534" s="10"/>
      <c r="K2534" s="10"/>
      <c r="L2534" s="10"/>
      <c r="M2534" s="10"/>
      <c r="N2534" s="10"/>
      <c r="O2534" s="10"/>
      <c r="P2534" s="10"/>
      <c r="Q2534" s="10"/>
      <c r="R2534" s="10"/>
      <c r="S2534" s="10"/>
      <c r="T2534" s="10"/>
      <c r="U2534" s="10"/>
      <c r="V2534" s="10"/>
      <c r="W2534" s="10"/>
      <c r="X2534" s="10"/>
      <c r="Y2534" s="10"/>
      <c r="Z2534" s="10"/>
    </row>
    <row r="2535" spans="1:26" ht="12.75">
      <c r="A2535" s="10" t="str">
        <f ca="1">IFERROR(__xludf.DUMMYFUNCTION("""COMPUTED_VALUE"""),"Евгения Петрова Ковачева")</f>
        <v>Евгения Петрова Ковачева</v>
      </c>
      <c r="B2535" s="10" t="str">
        <f ca="1">IFERROR(__xludf.DUMMYFUNCTION("""COMPUTED_VALUE"""),"Доклад от конференция")</f>
        <v>Доклад от конференция</v>
      </c>
      <c r="C2535" s="10" t="str">
        <f ca="1">IFERROR(__xludf.DUMMYFUNCTION("""COMPUTED_VALUE"""),"Internet of Things for Wellbeing – Pilot Case of a Smart Health Cardio Belt")</f>
        <v>Internet of Things for Wellbeing – Pilot Case of a Smart Health Cardio Belt</v>
      </c>
      <c r="D2535" s="10">
        <f ca="1">IFERROR(__xludf.DUMMYFUNCTION("""COMPUTED_VALUE"""),2013)</f>
        <v>2013</v>
      </c>
      <c r="E2535" s="10" t="str">
        <f ca="1">IFERROR(__xludf.DUMMYFUNCTION("""COMPUTED_VALUE"""),"in Proceeding MEDICON 2013: XIII Mediterranean Conference on Medical and Biological Engineering and Computing, September 25-28, Seville, Spain")</f>
        <v>in Proceeding MEDICON 2013: XIII Mediterranean Conference on Medical and Biological Engineering and Computing, September 25-28, Seville, Spain</v>
      </c>
      <c r="F2535" s="10"/>
      <c r="G2535" s="10" t="str">
        <f ca="1">IFERROR(__xludf.DUMMYFUNCTION("""COMPUTED_VALUE"""),"30. Kovatcheva E., Nikolov R, Madjarova M., Chikalanov A")</f>
        <v>30. Kovatcheva E., Nikolov R, Madjarova M., Chikalanov A</v>
      </c>
      <c r="H2535" s="10"/>
      <c r="I2535" s="10"/>
      <c r="J2535" s="10"/>
      <c r="K2535" s="10"/>
      <c r="L2535" s="10"/>
      <c r="M2535" s="10"/>
      <c r="N2535" s="10"/>
      <c r="O2535" s="10"/>
      <c r="P2535" s="10"/>
      <c r="Q2535" s="10"/>
      <c r="R2535" s="10"/>
      <c r="S2535" s="10"/>
      <c r="T2535" s="10"/>
      <c r="U2535" s="10"/>
      <c r="V2535" s="10"/>
      <c r="W2535" s="10"/>
      <c r="X2535" s="10"/>
      <c r="Y2535" s="10"/>
      <c r="Z2535" s="10"/>
    </row>
    <row r="2536" spans="1:26" ht="12.75">
      <c r="A2536" s="10" t="str">
        <f ca="1">IFERROR(__xludf.DUMMYFUNCTION("""COMPUTED_VALUE"""),"Евгения Петрова Ковачева")</f>
        <v>Евгения Петрова Ковачева</v>
      </c>
      <c r="B2536" s="10" t="str">
        <f ca="1">IFERROR(__xludf.DUMMYFUNCTION("""COMPUTED_VALUE"""),"Статия в списания и поредици")</f>
        <v>Статия в списания и поредици</v>
      </c>
      <c r="C2536" s="10" t="str">
        <f ca="1">IFERROR(__xludf.DUMMYFUNCTION("""COMPUTED_VALUE"""),"eLearning Horizons")</f>
        <v>eLearning Horizons</v>
      </c>
      <c r="D2536" s="10">
        <f ca="1">IFERROR(__xludf.DUMMYFUNCTION("""COMPUTED_VALUE"""),2013)</f>
        <v>2013</v>
      </c>
      <c r="E2536" s="10" t="str">
        <f ca="1">IFERROR(__xludf.DUMMYFUNCTION("""COMPUTED_VALUE"""),"Papers of Kazhastan academy of Education – Common Pedagogy and Education pp 53.58")</f>
        <v>Papers of Kazhastan academy of Education – Common Pedagogy and Education pp 53.58</v>
      </c>
      <c r="F2536" s="10"/>
      <c r="G2536" s="10" t="str">
        <f ca="1">IFERROR(__xludf.DUMMYFUNCTION("""COMPUTED_VALUE"""),"Kovatcheva Е.")</f>
        <v>Kovatcheva Е.</v>
      </c>
      <c r="H2536" s="10"/>
      <c r="I2536" s="10"/>
      <c r="J2536" s="10"/>
      <c r="K2536" s="10"/>
      <c r="L2536" s="10"/>
      <c r="M2536" s="10"/>
      <c r="N2536" s="10"/>
      <c r="O2536" s="10"/>
      <c r="P2536" s="10"/>
      <c r="Q2536" s="10"/>
      <c r="R2536" s="10"/>
      <c r="S2536" s="10"/>
      <c r="T2536" s="10"/>
      <c r="U2536" s="10"/>
      <c r="V2536" s="10"/>
      <c r="W2536" s="10"/>
      <c r="X2536" s="10"/>
      <c r="Y2536" s="10"/>
      <c r="Z2536" s="10"/>
    </row>
    <row r="2537" spans="1:26" ht="12.75">
      <c r="A2537" s="10" t="str">
        <f ca="1">IFERROR(__xludf.DUMMYFUNCTION("""COMPUTED_VALUE"""),"Евгения Петрова Ковачева")</f>
        <v>Евгения Петрова Ковачева</v>
      </c>
      <c r="B2537" s="10" t="str">
        <f ca="1">IFERROR(__xludf.DUMMYFUNCTION("""COMPUTED_VALUE"""),"Доклад от конференция")</f>
        <v>Доклад от конференция</v>
      </c>
      <c r="C2537" s="10" t="str">
        <f ca="1">IFERROR(__xludf.DUMMYFUNCTION("""COMPUTED_VALUE"""),"Embedding Open Educational Resources in a Competence Based ICT in Library Art Course")</f>
        <v>Embedding Open Educational Resources in a Competence Based ICT in Library Art Course</v>
      </c>
      <c r="D2537" s="10">
        <f ca="1">IFERROR(__xludf.DUMMYFUNCTION("""COMPUTED_VALUE"""),2013)</f>
        <v>2013</v>
      </c>
      <c r="E2537" s="10" t="str">
        <f ca="1">IFERROR(__xludf.DUMMYFUNCTION("""COMPUTED_VALUE"""),", In proceeding 10th IFIP World Conference on Computers in Education, WCCE 2013 Torun, 2–5 July 2013")</f>
        <v>, In proceeding 10th IFIP World Conference on Computers in Education, WCCE 2013 Torun, 2–5 July 2013</v>
      </c>
      <c r="F2537" s="10"/>
      <c r="G2537" s="10" t="str">
        <f ca="1">IFERROR(__xludf.DUMMYFUNCTION("""COMPUTED_VALUE"""),"Kovatcheva, E., Shoikova, E., Nikolov, R")</f>
        <v>Kovatcheva, E., Shoikova, E., Nikolov, R</v>
      </c>
      <c r="H2537" s="10"/>
      <c r="I2537" s="10"/>
      <c r="J2537" s="10"/>
      <c r="K2537" s="10"/>
      <c r="L2537" s="10"/>
      <c r="M2537" s="10"/>
      <c r="N2537" s="10"/>
      <c r="O2537" s="10"/>
      <c r="P2537" s="10"/>
      <c r="Q2537" s="10"/>
      <c r="R2537" s="10"/>
      <c r="S2537" s="10"/>
      <c r="T2537" s="10"/>
      <c r="U2537" s="10"/>
      <c r="V2537" s="10"/>
      <c r="W2537" s="10"/>
      <c r="X2537" s="10"/>
      <c r="Y2537" s="10"/>
      <c r="Z2537" s="10"/>
    </row>
    <row r="2538" spans="1:26" ht="12.75">
      <c r="A2538" s="10" t="str">
        <f ca="1">IFERROR(__xludf.DUMMYFUNCTION("""COMPUTED_VALUE"""),"Евгения Петрова Ковачева")</f>
        <v>Евгения Петрова Ковачева</v>
      </c>
      <c r="B2538" s="10" t="str">
        <f ca="1">IFERROR(__xludf.DUMMYFUNCTION("""COMPUTED_VALUE"""),"Доклад от конференция")</f>
        <v>Доклад от конференция</v>
      </c>
      <c r="C2538" s="10" t="str">
        <f ca="1">IFERROR(__xludf.DUMMYFUNCTION("""COMPUTED_VALUE"""),"A Global Model for Competence Based ICT in Library Studies Course")</f>
        <v>A Global Model for Competence Based ICT in Library Studies Course</v>
      </c>
      <c r="D2538" s="10">
        <f ca="1">IFERROR(__xludf.DUMMYFUNCTION("""COMPUTED_VALUE"""),2013)</f>
        <v>2013</v>
      </c>
      <c r="E2538" s="10" t="str">
        <f ca="1">IFERROR(__xludf.DUMMYFUNCTION("""COMPUTED_VALUE"""),"In proceeding European Conference on Information Literacy (ECIL), Istanbul, Turkey, 22-25 October")</f>
        <v>In proceeding European Conference on Information Literacy (ECIL), Istanbul, Turkey, 22-25 October</v>
      </c>
      <c r="F2538" s="10"/>
      <c r="G2538" s="10" t="str">
        <f ca="1">IFERROR(__xludf.DUMMYFUNCTION("""COMPUTED_VALUE"""),"Kovatcheva, E., Shoikova, E., Nikolov, R")</f>
        <v>Kovatcheva, E., Shoikova, E., Nikolov, R</v>
      </c>
      <c r="H2538" s="10"/>
      <c r="I2538" s="10"/>
      <c r="J2538" s="10"/>
      <c r="K2538" s="10"/>
      <c r="L2538" s="10"/>
      <c r="M2538" s="10"/>
      <c r="N2538" s="10"/>
      <c r="O2538" s="10"/>
      <c r="P2538" s="10"/>
      <c r="Q2538" s="10"/>
      <c r="R2538" s="10"/>
      <c r="S2538" s="10"/>
      <c r="T2538" s="10"/>
      <c r="U2538" s="10"/>
      <c r="V2538" s="10"/>
      <c r="W2538" s="10"/>
      <c r="X2538" s="10"/>
      <c r="Y2538" s="10"/>
      <c r="Z2538" s="10"/>
    </row>
    <row r="2539" spans="1:26" ht="12.75">
      <c r="A2539" s="10" t="str">
        <f ca="1">IFERROR(__xludf.DUMMYFUNCTION("""COMPUTED_VALUE"""),"Евгения Петрова Ковачева")</f>
        <v>Евгения Петрова Ковачева</v>
      </c>
      <c r="B2539" s="10" t="str">
        <f ca="1">IFERROR(__xludf.DUMMYFUNCTION("""COMPUTED_VALUE"""),"Доклад от конференция")</f>
        <v>Доклад от конференция</v>
      </c>
      <c r="C2539" s="10" t="str">
        <f ca="1">IFERROR(__xludf.DUMMYFUNCTION("""COMPUTED_VALUE"""),"Embedding Open Educational Resources in a Competence Based ICT in Library Art Course")</f>
        <v>Embedding Open Educational Resources in a Competence Based ICT in Library Art Course</v>
      </c>
      <c r="D2539" s="10">
        <f ca="1">IFERROR(__xludf.DUMMYFUNCTION("""COMPUTED_VALUE"""),2013)</f>
        <v>2013</v>
      </c>
      <c r="E2539" s="10" t="str">
        <f ca="1">IFERROR(__xludf.DUMMYFUNCTION("""COMPUTED_VALUE"""),"In proceeding 10th IFIP World Conference on Computers in Education, WCCE 2013 Torun, 2–5 July 2013, ISBN 9788323130901")</f>
        <v>In proceeding 10th IFIP World Conference on Computers in Education, WCCE 2013 Torun, 2–5 July 2013, ISBN 9788323130901</v>
      </c>
      <c r="F2539" s="10" t="str">
        <f ca="1">IFERROR(__xludf.DUMMYFUNCTION("""COMPUTED_VALUE"""),"Google Scholar")</f>
        <v>Google Scholar</v>
      </c>
      <c r="G2539" s="10" t="str">
        <f ca="1">IFERROR(__xludf.DUMMYFUNCTION("""COMPUTED_VALUE"""),"Shoikova, E., Nikolov, R")</f>
        <v>Shoikova, E., Nikolov, R</v>
      </c>
      <c r="H2539" s="10"/>
      <c r="I2539" s="10"/>
      <c r="J2539" s="10"/>
      <c r="K2539" s="10"/>
      <c r="L2539" s="10"/>
      <c r="M2539" s="10"/>
      <c r="N2539" s="10"/>
      <c r="O2539" s="10"/>
      <c r="P2539" s="10"/>
      <c r="Q2539" s="10"/>
      <c r="R2539" s="10"/>
      <c r="S2539" s="10"/>
      <c r="T2539" s="10"/>
      <c r="U2539" s="10"/>
      <c r="V2539" s="10"/>
      <c r="W2539" s="10"/>
      <c r="X2539" s="10"/>
      <c r="Y2539" s="10"/>
      <c r="Z2539" s="10"/>
    </row>
    <row r="2540" spans="1:26" ht="12.75">
      <c r="A2540" s="10" t="str">
        <f ca="1">IFERROR(__xludf.DUMMYFUNCTION("""COMPUTED_VALUE"""),"Евгения Петрова Ковачева")</f>
        <v>Евгения Петрова Ковачева</v>
      </c>
      <c r="B2540" s="10" t="str">
        <f ca="1">IFERROR(__xludf.DUMMYFUNCTION("""COMPUTED_VALUE"""),"Доклад от конференция")</f>
        <v>Доклад от конференция</v>
      </c>
      <c r="C2540" s="10" t="str">
        <f ca="1">IFERROR(__xludf.DUMMYFUNCTION("""COMPUTED_VALUE"""),"Open Education and Open Innovation in a Global Learning Environment")</f>
        <v>Open Education and Open Innovation in a Global Learning Environment</v>
      </c>
      <c r="D2540" s="10">
        <f ca="1">IFERROR(__xludf.DUMMYFUNCTION("""COMPUTED_VALUE"""),2012)</f>
        <v>2012</v>
      </c>
      <c r="E2540" s="10" t="str">
        <f ca="1">IFERROR(__xludf.DUMMYFUNCTION("""COMPUTED_VALUE"""),"UNESCO IITE and UNITWIN/UNESCO Chairs International Conference, UNESCO Chairs Partnership on ICTs use in Education”, 5 – 10 September, St.-Petersburg, Russian Federation")</f>
        <v>UNESCO IITE and UNITWIN/UNESCO Chairs International Conference, UNESCO Chairs Partnership on ICTs use in Education”, 5 – 10 September, St.-Petersburg, Russian Federation</v>
      </c>
      <c r="F2540" s="10"/>
      <c r="G2540" s="10" t="str">
        <f ca="1">IFERROR(__xludf.DUMMYFUNCTION("""COMPUTED_VALUE"""),"Nikolov R., Stefanov K., Kovatcheva E., Sendova E., Konstantinov O.")</f>
        <v>Nikolov R., Stefanov K., Kovatcheva E., Sendova E., Konstantinov O.</v>
      </c>
      <c r="H2540" s="10"/>
      <c r="I2540" s="10"/>
      <c r="J2540" s="10"/>
      <c r="K2540" s="10"/>
      <c r="L2540" s="10"/>
      <c r="M2540" s="10"/>
      <c r="N2540" s="10"/>
      <c r="O2540" s="10"/>
      <c r="P2540" s="10"/>
      <c r="Q2540" s="10"/>
      <c r="R2540" s="10"/>
      <c r="S2540" s="10"/>
      <c r="T2540" s="10"/>
      <c r="U2540" s="10"/>
      <c r="V2540" s="10"/>
      <c r="W2540" s="10"/>
      <c r="X2540" s="10"/>
      <c r="Y2540" s="10"/>
      <c r="Z2540" s="10"/>
    </row>
    <row r="2541" spans="1:26" ht="12.75">
      <c r="A2541" s="10" t="str">
        <f ca="1">IFERROR(__xludf.DUMMYFUNCTION("""COMPUTED_VALUE"""),"Евгения Петрова Ковачева")</f>
        <v>Евгения Петрова Ковачева</v>
      </c>
      <c r="B2541" s="10" t="str">
        <f ca="1">IFERROR(__xludf.DUMMYFUNCTION("""COMPUTED_VALUE"""),"Доклад от конференция")</f>
        <v>Доклад от конференция</v>
      </c>
      <c r="C2541" s="10" t="str">
        <f ca="1">IFERROR(__xludf.DUMMYFUNCTION("""COMPUTED_VALUE"""),"Discover the Thracians – An Approach for Use of 2D and 3D Technologies for Digitization of Cultural Heritage in the Field of E-learning")</f>
        <v>Discover the Thracians – An Approach for Use of 2D and 3D Technologies for Digitization of Cultural Heritage in the Field of E-learning</v>
      </c>
      <c r="D2541" s="10">
        <f ca="1">IFERROR(__xludf.DUMMYFUNCTION("""COMPUTED_VALUE"""),2012)</f>
        <v>2012</v>
      </c>
      <c r="E2541" s="10" t="str">
        <f ca="1">IFERROR(__xludf.DUMMYFUNCTION("""COMPUTED_VALUE"""),"Proceeding International Conference, Digital Presentation and Preservation of Cultural and Scientific Heritage, 18-21 September, 2012, Veliko Tarnovo, Bulgaria, Best paper award, ISSN: 1314-4006")</f>
        <v>Proceeding International Conference, Digital Presentation and Preservation of Cultural and Scientific Heritage, 18-21 September, 2012, Veliko Tarnovo, Bulgaria, Best paper award, ISSN: 1314-4006</v>
      </c>
      <c r="F2541" s="10" t="str">
        <f ca="1">IFERROR(__xludf.DUMMYFUNCTION("""COMPUTED_VALUE"""),"Google Scholar")</f>
        <v>Google Scholar</v>
      </c>
      <c r="G2541" s="10" t="str">
        <f ca="1">IFERROR(__xludf.DUMMYFUNCTION("""COMPUTED_VALUE"""),"Konstantinov,O., Fol, V., and Nikolov R.")</f>
        <v>Konstantinov,O., Fol, V., and Nikolov R.</v>
      </c>
      <c r="H2541" s="10"/>
      <c r="I2541" s="10"/>
      <c r="J2541" s="10"/>
      <c r="K2541" s="10"/>
      <c r="L2541" s="10"/>
      <c r="M2541" s="10"/>
      <c r="N2541" s="10"/>
      <c r="O2541" s="10"/>
      <c r="P2541" s="10"/>
      <c r="Q2541" s="10"/>
      <c r="R2541" s="10"/>
      <c r="S2541" s="10"/>
      <c r="T2541" s="10"/>
      <c r="U2541" s="10"/>
      <c r="V2541" s="10"/>
      <c r="W2541" s="10"/>
      <c r="X2541" s="10"/>
      <c r="Y2541" s="10"/>
      <c r="Z2541" s="10"/>
    </row>
    <row r="2542" spans="1:26" ht="12.75">
      <c r="A2542" s="10" t="str">
        <f ca="1">IFERROR(__xludf.DUMMYFUNCTION("""COMPUTED_VALUE"""),"Евгения Петрова Ковачева")</f>
        <v>Евгения Петрова Ковачева</v>
      </c>
      <c r="B2542" s="10" t="str">
        <f ca="1">IFERROR(__xludf.DUMMYFUNCTION("""COMPUTED_VALUE"""),"Доклад от конференция")</f>
        <v>Доклад от конференция</v>
      </c>
      <c r="C2542" s="10" t="str">
        <f ca="1">IFERROR(__xludf.DUMMYFUNCTION("""COMPUTED_VALUE"""),"Discover the Thracians – An Approach for Use of 2D and 3D Technologies for Digitization of Cultural Heritage in the Field of E-learning")</f>
        <v>Discover the Thracians – An Approach for Use of 2D and 3D Technologies for Digitization of Cultural Heritage in the Field of E-learning</v>
      </c>
      <c r="D2542" s="10">
        <f ca="1">IFERROR(__xludf.DUMMYFUNCTION("""COMPUTED_VALUE"""),2012)</f>
        <v>2012</v>
      </c>
      <c r="E2542" s="10" t="str">
        <f ca="1">IFERROR(__xludf.DUMMYFUNCTION("""COMPUTED_VALUE"""),"Proceeding International Conference, Digital Presentation and Preservation of Cultural and Scientific Heritage, 18-21 September, 2012, Veliko Tarnovo, Bulgaria, Best paper award")</f>
        <v>Proceeding International Conference, Digital Presentation and Preservation of Cultural and Scientific Heritage, 18-21 September, 2012, Veliko Tarnovo, Bulgaria, Best paper award</v>
      </c>
      <c r="F2542" s="10"/>
      <c r="G2542" s="10" t="str">
        <f ca="1">IFERROR(__xludf.DUMMYFUNCTION("""COMPUTED_VALUE"""),"Konstantinov,O., Kovatcheva, E., Fol, V., and Nikolov R.")</f>
        <v>Konstantinov,O., Kovatcheva, E., Fol, V., and Nikolov R.</v>
      </c>
      <c r="H2542" s="10"/>
      <c r="I2542" s="10"/>
      <c r="J2542" s="10"/>
      <c r="K2542" s="10"/>
      <c r="L2542" s="10"/>
      <c r="M2542" s="10"/>
      <c r="N2542" s="10"/>
      <c r="O2542" s="10"/>
      <c r="P2542" s="10"/>
      <c r="Q2542" s="10"/>
      <c r="R2542" s="10"/>
      <c r="S2542" s="10"/>
      <c r="T2542" s="10"/>
      <c r="U2542" s="10"/>
      <c r="V2542" s="10"/>
      <c r="W2542" s="10"/>
      <c r="X2542" s="10"/>
      <c r="Y2542" s="10"/>
      <c r="Z2542" s="10"/>
    </row>
    <row r="2543" spans="1:26" ht="12.75">
      <c r="A2543" s="10" t="str">
        <f ca="1">IFERROR(__xludf.DUMMYFUNCTION("""COMPUTED_VALUE"""),"Евгения Петрова Ковачева")</f>
        <v>Евгения Петрова Ковачева</v>
      </c>
      <c r="B2543" s="10" t="str">
        <f ca="1">IFERROR(__xludf.DUMMYFUNCTION("""COMPUTED_VALUE"""),"Доклад от конференция")</f>
        <v>Доклад от конференция</v>
      </c>
      <c r="C2543" s="10" t="str">
        <f ca="1">IFERROR(__xludf.DUMMYFUNCTION("""COMPUTED_VALUE"""),"Education in the Knowledge &amp; Creativity-based Society")</f>
        <v>Education in the Knowledge &amp; Creativity-based Society</v>
      </c>
      <c r="D2543" s="10">
        <f ca="1">IFERROR(__xludf.DUMMYFUNCTION("""COMPUTED_VALUE"""),2012)</f>
        <v>2012</v>
      </c>
      <c r="E2543" s="10" t="str">
        <f ca="1">IFERROR(__xludf.DUMMYFUNCTION("""COMPUTED_VALUE"""),"Proceeding of International Conference ICT in Education: Pedagogy, Educational Resources and Quality Assurance, Moscow, 13-14 November, 2012")</f>
        <v>Proceeding of International Conference ICT in Education: Pedagogy, Educational Resources and Quality Assurance, Moscow, 13-14 November, 2012</v>
      </c>
      <c r="F2543" s="10"/>
      <c r="G2543" s="10" t="str">
        <f ca="1">IFERROR(__xludf.DUMMYFUNCTION("""COMPUTED_VALUE"""),"Denchev, S., Kovatcheva, E., Sendova, E.")</f>
        <v>Denchev, S., Kovatcheva, E., Sendova, E.</v>
      </c>
      <c r="H2543" s="10"/>
      <c r="I2543" s="10"/>
      <c r="J2543" s="10"/>
      <c r="K2543" s="10"/>
      <c r="L2543" s="10"/>
      <c r="M2543" s="10"/>
      <c r="N2543" s="10"/>
      <c r="O2543" s="10"/>
      <c r="P2543" s="10"/>
      <c r="Q2543" s="10"/>
      <c r="R2543" s="10"/>
      <c r="S2543" s="10"/>
      <c r="T2543" s="10"/>
      <c r="U2543" s="10"/>
      <c r="V2543" s="10"/>
      <c r="W2543" s="10"/>
      <c r="X2543" s="10"/>
      <c r="Y2543" s="10"/>
      <c r="Z2543" s="10"/>
    </row>
    <row r="2544" spans="1:26" ht="12.75">
      <c r="A2544" s="10" t="str">
        <f ca="1">IFERROR(__xludf.DUMMYFUNCTION("""COMPUTED_VALUE"""),"Евгения Петрова Ковачева")</f>
        <v>Евгения Петрова Ковачева</v>
      </c>
      <c r="B2544" s="10" t="str">
        <f ca="1">IFERROR(__xludf.DUMMYFUNCTION("""COMPUTED_VALUE"""),"Доклад от конференция")</f>
        <v>Доклад от конференция</v>
      </c>
      <c r="C2544" s="10" t="str">
        <f ca="1">IFERROR(__xludf.DUMMYFUNCTION("""COMPUTED_VALUE"""),"Education in the Knowledge &amp; Creativity-based Society")</f>
        <v>Education in the Knowledge &amp; Creativity-based Society</v>
      </c>
      <c r="D2544" s="10">
        <f ca="1">IFERROR(__xludf.DUMMYFUNCTION("""COMPUTED_VALUE"""),2012)</f>
        <v>2012</v>
      </c>
      <c r="E2544" s="10" t="str">
        <f ca="1">IFERROR(__xludf.DUMMYFUNCTION("""COMPUTED_VALUE"""),"Proceeding of International Conference ICT in Education: Pedagogy, Educational Resources and Quality Assurance, Moscow, 13-14 November, 2012")</f>
        <v>Proceeding of International Conference ICT in Education: Pedagogy, Educational Resources and Quality Assurance, Moscow, 13-14 November, 2012</v>
      </c>
      <c r="F2544" s="10"/>
      <c r="G2544" s="10" t="str">
        <f ca="1">IFERROR(__xludf.DUMMYFUNCTION("""COMPUTED_VALUE"""),"Denchev, S., Kovatcheva, E., Sendova, E.")</f>
        <v>Denchev, S., Kovatcheva, E., Sendova, E.</v>
      </c>
      <c r="H2544" s="10"/>
      <c r="I2544" s="10"/>
      <c r="J2544" s="10"/>
      <c r="K2544" s="10"/>
      <c r="L2544" s="10"/>
      <c r="M2544" s="10"/>
      <c r="N2544" s="10"/>
      <c r="O2544" s="10"/>
      <c r="P2544" s="10"/>
      <c r="Q2544" s="10"/>
      <c r="R2544" s="10"/>
      <c r="S2544" s="10"/>
      <c r="T2544" s="10"/>
      <c r="U2544" s="10"/>
      <c r="V2544" s="10"/>
      <c r="W2544" s="10"/>
      <c r="X2544" s="10"/>
      <c r="Y2544" s="10"/>
      <c r="Z2544" s="10"/>
    </row>
    <row r="2545" spans="1:26" ht="12.75">
      <c r="A2545" s="10" t="str">
        <f ca="1">IFERROR(__xludf.DUMMYFUNCTION("""COMPUTED_VALUE"""),"Евгения Петрова Ковачева")</f>
        <v>Евгения Петрова Ковачева</v>
      </c>
      <c r="B2545" s="10" t="str">
        <f ca="1">IFERROR(__xludf.DUMMYFUNCTION("""COMPUTED_VALUE"""),"Доклад от конференция")</f>
        <v>Доклад от конференция</v>
      </c>
      <c r="C2545" s="10" t="str">
        <f ca="1">IFERROR(__xludf.DUMMYFUNCTION("""COMPUTED_VALUE"""),"&lt;L|ETAP&gt; Model for an Adaptive Tutoring System")</f>
        <v>&lt;L|ETAP&gt; Model for an Adaptive Tutoring System</v>
      </c>
      <c r="D2545" s="10">
        <f ca="1">IFERROR(__xludf.DUMMYFUNCTION("""COMPUTED_VALUE"""),2012)</f>
        <v>2012</v>
      </c>
      <c r="E2545" s="10" t="str">
        <f ca="1">IFERROR(__xludf.DUMMYFUNCTION("""COMPUTED_VALUE"""),"Proceedings of the 5th Balkan Conference in Informatics (Eds: Budimac Z., Ivanović M., Radovanović M.), Novi Sad, Serbia, September 16 - 20, pp 16-20, Vol-920, CEUR-WS BCI-LOCAL 2012, urn:nbn:de:0074-920-3, ISSN 1613-0073")</f>
        <v>Proceedings of the 5th Balkan Conference in Informatics (Eds: Budimac Z., Ivanović M., Radovanović M.), Novi Sad, Serbia, September 16 - 20, pp 16-20, Vol-920, CEUR-WS BCI-LOCAL 2012, urn:nbn:de:0074-920-3, ISSN 1613-0073</v>
      </c>
      <c r="F2545" s="10" t="str">
        <f ca="1">IFERROR(__xludf.DUMMYFUNCTION("""COMPUTED_VALUE"""),"Scopus")</f>
        <v>Scopus</v>
      </c>
      <c r="G2545" s="10"/>
      <c r="H2545" s="10"/>
      <c r="I2545" s="10"/>
      <c r="J2545" s="10"/>
      <c r="K2545" s="10"/>
      <c r="L2545" s="10"/>
      <c r="M2545" s="10"/>
      <c r="N2545" s="10"/>
      <c r="O2545" s="10"/>
      <c r="P2545" s="10"/>
      <c r="Q2545" s="10"/>
      <c r="R2545" s="10"/>
      <c r="S2545" s="10"/>
      <c r="T2545" s="10"/>
      <c r="U2545" s="10"/>
      <c r="V2545" s="10"/>
      <c r="W2545" s="10"/>
      <c r="X2545" s="10"/>
      <c r="Y2545" s="10"/>
      <c r="Z2545" s="10"/>
    </row>
    <row r="2546" spans="1:26" ht="12.75">
      <c r="A2546" s="10" t="str">
        <f ca="1">IFERROR(__xludf.DUMMYFUNCTION("""COMPUTED_VALUE"""),"Евгения Петрова Ковачева")</f>
        <v>Евгения Петрова Ковачева</v>
      </c>
      <c r="B2546" s="10" t="str">
        <f ca="1">IFERROR(__xludf.DUMMYFUNCTION("""COMPUTED_VALUE"""),"Доклад от конференция")</f>
        <v>Доклад от конференция</v>
      </c>
      <c r="C2546" s="10" t="str">
        <f ca="1">IFERROR(__xludf.DUMMYFUNCTION("""COMPUTED_VALUE"""),"Knowledge Sharing with Share.TEC portal")</f>
        <v>Knowledge Sharing with Share.TEC portal</v>
      </c>
      <c r="D2546" s="10">
        <f ca="1">IFERROR(__xludf.DUMMYFUNCTION("""COMPUTED_VALUE"""),2011)</f>
        <v>2011</v>
      </c>
      <c r="E2546" s="10" t="str">
        <f ca="1">IFERROR(__xludf.DUMMYFUNCTION("""COMPUTED_VALUE"""),"in Proceedings of the International Conference in E-learning and the Knowledge Society, 25-26 August, Bucharest, Romaniam pp. 273 - 278, ISBN: 978-606-505-459-2")</f>
        <v>in Proceedings of the International Conference in E-learning and the Knowledge Society, 25-26 August, Bucharest, Romaniam pp. 273 - 278, ISBN: 978-606-505-459-2</v>
      </c>
      <c r="F2546" s="10" t="str">
        <f ca="1">IFERROR(__xludf.DUMMYFUNCTION("""COMPUTED_VALUE"""),"Google Scholar")</f>
        <v>Google Scholar</v>
      </c>
      <c r="G2546" s="10" t="str">
        <f ca="1">IFERROR(__xludf.DUMMYFUNCTION("""COMPUTED_VALUE"""),"Stefanova,E., Nikolova, N., Peltekova, E., Stefanov, K., Zafirova-Malcheva, T")</f>
        <v>Stefanova,E., Nikolova, N., Peltekova, E., Stefanov, K., Zafirova-Malcheva, T</v>
      </c>
      <c r="H2546" s="10"/>
      <c r="I2546" s="10"/>
      <c r="J2546" s="10"/>
      <c r="K2546" s="10"/>
      <c r="L2546" s="10"/>
      <c r="M2546" s="10"/>
      <c r="N2546" s="10"/>
      <c r="O2546" s="10"/>
      <c r="P2546" s="10"/>
      <c r="Q2546" s="10"/>
      <c r="R2546" s="10"/>
      <c r="S2546" s="10"/>
      <c r="T2546" s="10"/>
      <c r="U2546" s="10"/>
      <c r="V2546" s="10"/>
      <c r="W2546" s="10"/>
      <c r="X2546" s="10"/>
      <c r="Y2546" s="10"/>
      <c r="Z2546" s="10"/>
    </row>
    <row r="2547" spans="1:26" ht="12.75">
      <c r="A2547" s="10" t="str">
        <f ca="1">IFERROR(__xludf.DUMMYFUNCTION("""COMPUTED_VALUE"""),"Евгения Петрова Ковачева")</f>
        <v>Евгения Петрова Ковачева</v>
      </c>
      <c r="B2547" s="10" t="str">
        <f ca="1">IFERROR(__xludf.DUMMYFUNCTION("""COMPUTED_VALUE"""),"Статия в списания и поредици")</f>
        <v>Статия в списания и поредици</v>
      </c>
      <c r="C2547" s="10" t="str">
        <f ca="1">IFERROR(__xludf.DUMMYFUNCTION("""COMPUTED_VALUE"""),"Geometry of Motion – Educational Aspects and Challenges")</f>
        <v>Geometry of Motion – Educational Aspects and Challenges</v>
      </c>
      <c r="D2547" s="10">
        <f ca="1">IFERROR(__xludf.DUMMYFUNCTION("""COMPUTED_VALUE"""),2011)</f>
        <v>2011</v>
      </c>
      <c r="E2547" s="10" t="str">
        <f ca="1">IFERROR(__xludf.DUMMYFUNCTION("""COMPUTED_VALUE"""),"International Journal on Information Technologies and Security (IJITS). pp. 27 – 40, Year III, No 1, ISSN 1313-8251")</f>
        <v>International Journal on Information Technologies and Security (IJITS). pp. 27 – 40, Year III, No 1, ISSN 1313-8251</v>
      </c>
      <c r="F2547" s="10" t="str">
        <f ca="1">IFERROR(__xludf.DUMMYFUNCTION("""COMPUTED_VALUE"""),"Google Scholar")</f>
        <v>Google Scholar</v>
      </c>
      <c r="G2547" s="10" t="str">
        <f ca="1">IFERROR(__xludf.DUMMYFUNCTION("""COMPUTED_VALUE"""),"Boytchev, P., Sendova, E.")</f>
        <v>Boytchev, P., Sendova, E.</v>
      </c>
      <c r="H2547" s="10"/>
      <c r="I2547" s="10"/>
      <c r="J2547" s="10"/>
      <c r="K2547" s="10"/>
      <c r="L2547" s="10"/>
      <c r="M2547" s="10"/>
      <c r="N2547" s="10"/>
      <c r="O2547" s="10"/>
      <c r="P2547" s="10"/>
      <c r="Q2547" s="10"/>
      <c r="R2547" s="10"/>
      <c r="S2547" s="10"/>
      <c r="T2547" s="10"/>
      <c r="U2547" s="10"/>
      <c r="V2547" s="10"/>
      <c r="W2547" s="10"/>
      <c r="X2547" s="10"/>
      <c r="Y2547" s="10"/>
      <c r="Z2547" s="10"/>
    </row>
    <row r="2548" spans="1:26" ht="12.75">
      <c r="A2548" s="10" t="str">
        <f ca="1">IFERROR(__xludf.DUMMYFUNCTION("""COMPUTED_VALUE"""),"Евгения Петрова Ковачева")</f>
        <v>Евгения Петрова Ковачева</v>
      </c>
      <c r="B2548" s="10" t="str">
        <f ca="1">IFERROR(__xludf.DUMMYFUNCTION("""COMPUTED_VALUE"""),"Доклад от конференция")</f>
        <v>Доклад от конференция</v>
      </c>
      <c r="C2548" s="10" t="str">
        <f ca="1">IFERROR(__xludf.DUMMYFUNCTION("""COMPUTED_VALUE"""),"New Paradigm in Library and Learning, In proceeding of LICT and quality of education: UNESCO associate school – on the road of school of future")</f>
        <v>New Paradigm in Library and Learning, In proceeding of LICT and quality of education: UNESCO associate school – on the road of school of future</v>
      </c>
      <c r="D2548" s="10">
        <f ca="1">IFERROR(__xludf.DUMMYFUNCTION("""COMPUTED_VALUE"""),2011)</f>
        <v>2011</v>
      </c>
      <c r="E2548" s="10" t="str">
        <f ca="1">IFERROR(__xludf.DUMMYFUNCTION("""COMPUTED_VALUE"""),"Int. conf. UNESCO IITO and Associate Schools of UNESCO, 26-27 April, Kzan, Tatarstan, pp48-57, ISBN 978-5-93593-145-2")</f>
        <v>Int. conf. UNESCO IITO and Associate Schools of UNESCO, 26-27 April, Kzan, Tatarstan, pp48-57, ISBN 978-5-93593-145-2</v>
      </c>
      <c r="F2548" s="10" t="str">
        <f ca="1">IFERROR(__xludf.DUMMYFUNCTION("""COMPUTED_VALUE"""),"Google Scholar")</f>
        <v>Google Scholar</v>
      </c>
      <c r="G2548" s="10" t="str">
        <f ca="1">IFERROR(__xludf.DUMMYFUNCTION("""COMPUTED_VALUE"""),"Nikolov, R, Yankova, I., Todorova, T.")</f>
        <v>Nikolov, R, Yankova, I., Todorova, T.</v>
      </c>
      <c r="H2548" s="10"/>
      <c r="I2548" s="10"/>
      <c r="J2548" s="10"/>
      <c r="K2548" s="10"/>
      <c r="L2548" s="10"/>
      <c r="M2548" s="10"/>
      <c r="N2548" s="10"/>
      <c r="O2548" s="10"/>
      <c r="P2548" s="10"/>
      <c r="Q2548" s="10"/>
      <c r="R2548" s="10"/>
      <c r="S2548" s="10"/>
      <c r="T2548" s="10"/>
      <c r="U2548" s="10"/>
      <c r="V2548" s="10"/>
      <c r="W2548" s="10"/>
      <c r="X2548" s="10"/>
      <c r="Y2548" s="10"/>
      <c r="Z2548" s="10"/>
    </row>
    <row r="2549" spans="1:26" ht="12.75">
      <c r="A2549" s="10" t="str">
        <f ca="1">IFERROR(__xludf.DUMMYFUNCTION("""COMPUTED_VALUE"""),"Евгения Петрова Ковачева")</f>
        <v>Евгения Петрова Ковачева</v>
      </c>
      <c r="B2549" s="10" t="str">
        <f ca="1">IFERROR(__xludf.DUMMYFUNCTION("""COMPUTED_VALUE"""),"Доклад от конференция")</f>
        <v>Доклад от конференция</v>
      </c>
      <c r="C2549" s="10" t="str">
        <f ca="1">IFERROR(__xludf.DUMMYFUNCTION("""COMPUTED_VALUE"""),"Share.TEC: An Innovative Solution for Teacher Educators")</f>
        <v>Share.TEC: An Innovative Solution for Teacher Educators</v>
      </c>
      <c r="D2549" s="10">
        <f ca="1">IFERROR(__xludf.DUMMYFUNCTION("""COMPUTED_VALUE"""),2011)</f>
        <v>2011</v>
      </c>
      <c r="E2549" s="10" t="str">
        <f ca="1">IFERROR(__xludf.DUMMYFUNCTION("""COMPUTED_VALUE"""),"In Proceedings of 4th International Conference of Education, Research and Innovation, 14-16 November, Madrid, Spain ICERI, 2011, ISBN: 978-84-615-3324-4")</f>
        <v>In Proceedings of 4th International Conference of Education, Research and Innovation, 14-16 November, Madrid, Spain ICERI, 2011, ISBN: 978-84-615-3324-4</v>
      </c>
      <c r="F2549" s="10" t="str">
        <f ca="1">IFERROR(__xludf.DUMMYFUNCTION("""COMPUTED_VALUE"""),"Web of Science")</f>
        <v>Web of Science</v>
      </c>
      <c r="G2549" s="10" t="str">
        <f ca="1">IFERROR(__xludf.DUMMYFUNCTION("""COMPUTED_VALUE"""),"Stefanova, E, Nikolova, N., Peltekova, E., Stefanov, K., Zafirova-Malcheva, T.")</f>
        <v>Stefanova, E, Nikolova, N., Peltekova, E., Stefanov, K., Zafirova-Malcheva, T.</v>
      </c>
      <c r="H2549" s="10"/>
      <c r="I2549" s="10"/>
      <c r="J2549" s="10"/>
      <c r="K2549" s="10"/>
      <c r="L2549" s="10"/>
      <c r="M2549" s="10"/>
      <c r="N2549" s="10"/>
      <c r="O2549" s="10"/>
      <c r="P2549" s="10"/>
      <c r="Q2549" s="10"/>
      <c r="R2549" s="10"/>
      <c r="S2549" s="10"/>
      <c r="T2549" s="10"/>
      <c r="U2549" s="10"/>
      <c r="V2549" s="10"/>
      <c r="W2549" s="10"/>
      <c r="X2549" s="10"/>
      <c r="Y2549" s="10"/>
      <c r="Z2549" s="10"/>
    </row>
    <row r="2550" spans="1:26" ht="12.75">
      <c r="A2550" s="10" t="str">
        <f ca="1">IFERROR(__xludf.DUMMYFUNCTION("""COMPUTED_VALUE"""),"Евгения Петрова Ковачева")</f>
        <v>Евгения Петрова Ковачева</v>
      </c>
      <c r="B2550" s="10" t="str">
        <f ca="1">IFERROR(__xludf.DUMMYFUNCTION("""COMPUTED_VALUE"""),"Доклад от конференция")</f>
        <v>Доклад от конференция</v>
      </c>
      <c r="C2550" s="10" t="str">
        <f ca="1">IFERROR(__xludf.DUMMYFUNCTION("""COMPUTED_VALUE"""),"Symbols and how we using them to describe ourselves")</f>
        <v>Symbols and how we using them to describe ourselves</v>
      </c>
      <c r="D2550" s="10">
        <f ca="1">IFERROR(__xludf.DUMMYFUNCTION("""COMPUTED_VALUE"""),2011)</f>
        <v>2011</v>
      </c>
      <c r="E2550" s="10" t="str">
        <f ca="1">IFERROR(__xludf.DUMMYFUNCTION("""COMPUTED_VALUE"""),"In proceeding of international conference E-learning, Distance learning or … education of 21 century, 6-8 April, Sofia, Bulgaria, pp.493-494 (in Bulgarian), ISBN 978-954-9526-75-2")</f>
        <v>In proceeding of international conference E-learning, Distance learning or … education of 21 century, 6-8 April, Sofia, Bulgaria, pp.493-494 (in Bulgarian), ISBN 978-954-9526-75-2</v>
      </c>
      <c r="F2550" s="10" t="str">
        <f ca="1">IFERROR(__xludf.DUMMYFUNCTION("""COMPUTED_VALUE"""),"Google Scholar")</f>
        <v>Google Scholar</v>
      </c>
      <c r="G2550" s="10"/>
      <c r="H2550" s="10"/>
      <c r="I2550" s="10"/>
      <c r="J2550" s="10"/>
      <c r="K2550" s="10"/>
      <c r="L2550" s="10"/>
      <c r="M2550" s="10"/>
      <c r="N2550" s="10"/>
      <c r="O2550" s="10"/>
      <c r="P2550" s="10"/>
      <c r="Q2550" s="10"/>
      <c r="R2550" s="10"/>
      <c r="S2550" s="10"/>
      <c r="T2550" s="10"/>
      <c r="U2550" s="10"/>
      <c r="V2550" s="10"/>
      <c r="W2550" s="10"/>
      <c r="X2550" s="10"/>
      <c r="Y2550" s="10"/>
      <c r="Z2550" s="10"/>
    </row>
    <row r="2551" spans="1:26" ht="12.75">
      <c r="A2551" s="10" t="str">
        <f ca="1">IFERROR(__xludf.DUMMYFUNCTION("""COMPUTED_VALUE"""),"Евгения Петрова Ковачева")</f>
        <v>Евгения Петрова Ковачева</v>
      </c>
      <c r="B2551" s="10" t="str">
        <f ca="1">IFERROR(__xludf.DUMMYFUNCTION("""COMPUTED_VALUE"""),"Доклад от конференция")</f>
        <v>Доклад от конференция</v>
      </c>
      <c r="C2551" s="10" t="str">
        <f ca="1">IFERROR(__xludf.DUMMYFUNCTION("""COMPUTED_VALUE"""),"Sharing with Share.TEC portal")</f>
        <v>Sharing with Share.TEC portal</v>
      </c>
      <c r="D2551" s="10">
        <f ca="1">IFERROR(__xludf.DUMMYFUNCTION("""COMPUTED_VALUE"""),2011)</f>
        <v>2011</v>
      </c>
      <c r="E2551" s="10" t="str">
        <f ca="1">IFERROR(__xludf.DUMMYFUNCTION("""COMPUTED_VALUE"""),"in Proceedings of the International Conference in E-learning and the Knowledge Siciety, 25-26 August, Bucharest, Romaniam pp. 273 - 278, ISBN: 978-606-505-459-2")</f>
        <v>in Proceedings of the International Conference in E-learning and the Knowledge Siciety, 25-26 August, Bucharest, Romaniam pp. 273 - 278, ISBN: 978-606-505-459-2</v>
      </c>
      <c r="F2551" s="10"/>
      <c r="G2551" s="10" t="str">
        <f ca="1">IFERROR(__xludf.DUMMYFUNCTION("""COMPUTED_VALUE"""),"Stefanova,E., Nikolova, N., Peltekova, E., Stefanov, K., Zafirova-Malcheva, T., Kovatcheva")</f>
        <v>Stefanova,E., Nikolova, N., Peltekova, E., Stefanov, K., Zafirova-Malcheva, T., Kovatcheva</v>
      </c>
      <c r="H2551" s="10"/>
      <c r="I2551" s="10"/>
      <c r="J2551" s="10"/>
      <c r="K2551" s="10"/>
      <c r="L2551" s="10"/>
      <c r="M2551" s="10"/>
      <c r="N2551" s="10"/>
      <c r="O2551" s="10"/>
      <c r="P2551" s="10"/>
      <c r="Q2551" s="10"/>
      <c r="R2551" s="10"/>
      <c r="S2551" s="10"/>
      <c r="T2551" s="10"/>
      <c r="U2551" s="10"/>
      <c r="V2551" s="10"/>
      <c r="W2551" s="10"/>
      <c r="X2551" s="10"/>
      <c r="Y2551" s="10"/>
      <c r="Z2551" s="10"/>
    </row>
    <row r="2552" spans="1:26" ht="12.75">
      <c r="A2552" s="10" t="str">
        <f ca="1">IFERROR(__xludf.DUMMYFUNCTION("""COMPUTED_VALUE"""),"Евгения Петрова Ковачева")</f>
        <v>Евгения Петрова Ковачева</v>
      </c>
      <c r="B2552" s="10" t="str">
        <f ca="1">IFERROR(__xludf.DUMMYFUNCTION("""COMPUTED_VALUE"""),"Доклад от конференция")</f>
        <v>Доклад от конференция</v>
      </c>
      <c r="C2552" s="10" t="str">
        <f ca="1">IFERROR(__xludf.DUMMYFUNCTION("""COMPUTED_VALUE"""),"Share.TEC:An Innovative Solution for Teacher Educators")</f>
        <v>Share.TEC:An Innovative Solution for Teacher Educators</v>
      </c>
      <c r="D2552" s="10">
        <f ca="1">IFERROR(__xludf.DUMMYFUNCTION("""COMPUTED_VALUE"""),2011)</f>
        <v>2011</v>
      </c>
      <c r="E2552" s="10" t="str">
        <f ca="1">IFERROR(__xludf.DUMMYFUNCTION("""COMPUTED_VALUE"""),"In Proceedings of 4th International Conference of Education, Research and Innovation, 14-16 November, Madrid, Spain ICERI, 2011, ISBN: 978-84-615-3324-4")</f>
        <v>In Proceedings of 4th International Conference of Education, Research and Innovation, 14-16 November, Madrid, Spain ICERI, 2011, ISBN: 978-84-615-3324-4</v>
      </c>
      <c r="F2552" s="10"/>
      <c r="G2552" s="10" t="str">
        <f ca="1">IFERROR(__xludf.DUMMYFUNCTION("""COMPUTED_VALUE"""),"Stefanova, E, Nikolova, N., Peltekova, E., Stefanov, K., Zafirova-Malcheva, T., Kovatcheva E.")</f>
        <v>Stefanova, E, Nikolova, N., Peltekova, E., Stefanov, K., Zafirova-Malcheva, T., Kovatcheva E.</v>
      </c>
      <c r="H2552" s="10"/>
      <c r="I2552" s="10"/>
      <c r="J2552" s="10"/>
      <c r="K2552" s="10"/>
      <c r="L2552" s="10"/>
      <c r="M2552" s="10"/>
      <c r="N2552" s="10"/>
      <c r="O2552" s="10"/>
      <c r="P2552" s="10"/>
      <c r="Q2552" s="10"/>
      <c r="R2552" s="10"/>
      <c r="S2552" s="10"/>
      <c r="T2552" s="10"/>
      <c r="U2552" s="10"/>
      <c r="V2552" s="10"/>
      <c r="W2552" s="10"/>
      <c r="X2552" s="10"/>
      <c r="Y2552" s="10"/>
      <c r="Z2552" s="10"/>
    </row>
    <row r="2553" spans="1:26" ht="12.75">
      <c r="A2553" s="10" t="str">
        <f ca="1">IFERROR(__xludf.DUMMYFUNCTION("""COMPUTED_VALUE"""),"Евгения Петрова Ковачева")</f>
        <v>Евгения Петрова Ковачева</v>
      </c>
      <c r="B2553" s="10" t="str">
        <f ca="1">IFERROR(__xludf.DUMMYFUNCTION("""COMPUTED_VALUE"""),"Статия в списания и поредици")</f>
        <v>Статия в списания и поредици</v>
      </c>
      <c r="C2553" s="10" t="str">
        <f ca="1">IFERROR(__xludf.DUMMYFUNCTION("""COMPUTED_VALUE"""),"New Paradigm in Library and Learning, In proceeding of LICT and quality of education: UNESCO associate school – on the road of school of future")</f>
        <v>New Paradigm in Library and Learning, In proceeding of LICT and quality of education: UNESCO associate school – on the road of school of future</v>
      </c>
      <c r="D2553" s="10">
        <f ca="1">IFERROR(__xludf.DUMMYFUNCTION("""COMPUTED_VALUE"""),2011)</f>
        <v>2011</v>
      </c>
      <c r="E2553" s="10" t="str">
        <f ca="1">IFERROR(__xludf.DUMMYFUNCTION("""COMPUTED_VALUE"""),"Int. conf. UNESCO IITO and Associate Schools of UNESCO, 26-27 April, Kzan, Tatarstan, ISBN 978-5-93593-145-2, pp48-57")</f>
        <v>Int. conf. UNESCO IITO and Associate Schools of UNESCO, 26-27 April, Kzan, Tatarstan, ISBN 978-5-93593-145-2, pp48-57</v>
      </c>
      <c r="F2553" s="10"/>
      <c r="G2553" s="10" t="str">
        <f ca="1">IFERROR(__xludf.DUMMYFUNCTION("""COMPUTED_VALUE"""),"41. Nikolov, R, Yankova, I., Todorova, T., Kovatcheva.Е")</f>
        <v>41. Nikolov, R, Yankova, I., Todorova, T., Kovatcheva.Е</v>
      </c>
      <c r="H2553" s="10"/>
      <c r="I2553" s="10"/>
      <c r="J2553" s="10"/>
      <c r="K2553" s="10"/>
      <c r="L2553" s="10"/>
      <c r="M2553" s="10"/>
      <c r="N2553" s="10"/>
      <c r="O2553" s="10"/>
      <c r="P2553" s="10"/>
      <c r="Q2553" s="10"/>
      <c r="R2553" s="10"/>
      <c r="S2553" s="10"/>
      <c r="T2553" s="10"/>
      <c r="U2553" s="10"/>
      <c r="V2553" s="10"/>
      <c r="W2553" s="10"/>
      <c r="X2553" s="10"/>
      <c r="Y2553" s="10"/>
      <c r="Z2553" s="10"/>
    </row>
    <row r="2554" spans="1:26" ht="12.75">
      <c r="A2554" s="10" t="str">
        <f ca="1">IFERROR(__xludf.DUMMYFUNCTION("""COMPUTED_VALUE"""),"Евгения Петрова Ковачева")</f>
        <v>Евгения Петрова Ковачева</v>
      </c>
      <c r="B2554" s="10" t="str">
        <f ca="1">IFERROR(__xludf.DUMMYFUNCTION("""COMPUTED_VALUE"""),"Доклад от конференция")</f>
        <v>Доклад от конференция</v>
      </c>
      <c r="C2554" s="10" t="str">
        <f ca="1">IFERROR(__xludf.DUMMYFUNCTION("""COMPUTED_VALUE"""),"From a “Flap of a Butterfly Wing” to the “Wind of Change""")</f>
        <v>From a “Flap of a Butterfly Wing” to the “Wind of Change"</v>
      </c>
      <c r="D2554" s="10">
        <f ca="1">IFERROR(__xludf.DUMMYFUNCTION("""COMPUTED_VALUE"""),2010)</f>
        <v>2010</v>
      </c>
      <c r="E2554" s="10" t="str">
        <f ca="1">IFERROR(__xludf.DUMMYFUNCTION("""COMPUTED_VALUE"""),"In proceeding of Constructionism 2010, Paris, France, 16-20 august 2010 Constructionist approaches to creative learning, thinking and education: Lessons for the 21st century, Ed. J.E.Clayson &amp; I. Kalas, ISBN 978-80-89186-65-5, pp.91")</f>
        <v>In proceeding of Constructionism 2010, Paris, France, 16-20 august 2010 Constructionist approaches to creative learning, thinking and education: Lessons for the 21st century, Ed. J.E.Clayson &amp; I. Kalas, ISBN 978-80-89186-65-5, pp.91</v>
      </c>
      <c r="F2554" s="10" t="str">
        <f ca="1">IFERROR(__xludf.DUMMYFUNCTION("""COMPUTED_VALUE"""),"Google Scholar")</f>
        <v>Google Scholar</v>
      </c>
      <c r="G2554" s="10" t="str">
        <f ca="1">IFERROR(__xludf.DUMMYFUNCTION("""COMPUTED_VALUE"""),"Stefanova E., Nikolova N., Sendova E., Peltekova E., Hubenova N., Miladinova M., Kantardjieva E")</f>
        <v>Stefanova E., Nikolova N., Sendova E., Peltekova E., Hubenova N., Miladinova M., Kantardjieva E</v>
      </c>
      <c r="H2554" s="10"/>
      <c r="I2554" s="10"/>
      <c r="J2554" s="10"/>
      <c r="K2554" s="10"/>
      <c r="L2554" s="10"/>
      <c r="M2554" s="10"/>
      <c r="N2554" s="10"/>
      <c r="O2554" s="10"/>
      <c r="P2554" s="10"/>
      <c r="Q2554" s="10"/>
      <c r="R2554" s="10"/>
      <c r="S2554" s="10"/>
      <c r="T2554" s="10"/>
      <c r="U2554" s="10"/>
      <c r="V2554" s="10"/>
      <c r="W2554" s="10"/>
      <c r="X2554" s="10"/>
      <c r="Y2554" s="10"/>
      <c r="Z2554" s="10"/>
    </row>
    <row r="2555" spans="1:26" ht="12.75">
      <c r="A2555" s="10" t="str">
        <f ca="1">IFERROR(__xludf.DUMMYFUNCTION("""COMPUTED_VALUE"""),"Евгения Петрова Ковачева")</f>
        <v>Евгения Петрова Ковачева</v>
      </c>
      <c r="B2555" s="10" t="str">
        <f ca="1">IFERROR(__xludf.DUMMYFUNCTION("""COMPUTED_VALUE"""),"Доклад от конференция")</f>
        <v>Доклад от конференция</v>
      </c>
      <c r="C2555" s="10" t="str">
        <f ca="1">IFERROR(__xludf.DUMMYFUNCTION("""COMPUTED_VALUE"""),"A Study of Users Requirements for Metadata Repositories of Educational Resources")</f>
        <v>A Study of Users Requirements for Metadata Repositories of Educational Resources</v>
      </c>
      <c r="D2555" s="10">
        <f ca="1">IFERROR(__xludf.DUMMYFUNCTION("""COMPUTED_VALUE"""),2010)</f>
        <v>2010</v>
      </c>
      <c r="E2555" s="10" t="str">
        <f ca="1">IFERROR(__xludf.DUMMYFUNCTION("""COMPUTED_VALUE"""),"In proceeding of S3T conference, Varna, Bulgaria, 11-12 September 2010, pp.38-46, ISBN 978-954-9526-71-4")</f>
        <v>In proceeding of S3T conference, Varna, Bulgaria, 11-12 September 2010, pp.38-46, ISBN 978-954-9526-71-4</v>
      </c>
      <c r="F2555" s="10" t="str">
        <f ca="1">IFERROR(__xludf.DUMMYFUNCTION("""COMPUTED_VALUE"""),"Google Scholar")</f>
        <v>Google Scholar</v>
      </c>
      <c r="G2555" s="10" t="str">
        <f ca="1">IFERROR(__xludf.DUMMYFUNCTION("""COMPUTED_VALUE"""),"Stefanova E., Nikolova N., tefanov K., Boytchev P.")</f>
        <v>Stefanova E., Nikolova N., tefanov K., Boytchev P.</v>
      </c>
      <c r="H2555" s="10"/>
      <c r="I2555" s="10"/>
      <c r="J2555" s="10"/>
      <c r="K2555" s="10"/>
      <c r="L2555" s="10"/>
      <c r="M2555" s="10"/>
      <c r="N2555" s="10"/>
      <c r="O2555" s="10"/>
      <c r="P2555" s="10"/>
      <c r="Q2555" s="10"/>
      <c r="R2555" s="10"/>
      <c r="S2555" s="10"/>
      <c r="T2555" s="10"/>
      <c r="U2555" s="10"/>
      <c r="V2555" s="10"/>
      <c r="W2555" s="10"/>
      <c r="X2555" s="10"/>
      <c r="Y2555" s="10"/>
      <c r="Z2555" s="10"/>
    </row>
    <row r="2556" spans="1:26" ht="12.75">
      <c r="A2556" s="10" t="str">
        <f ca="1">IFERROR(__xludf.DUMMYFUNCTION("""COMPUTED_VALUE"""),"Евгения Петрова Ковачева")</f>
        <v>Евгения Петрова Ковачева</v>
      </c>
      <c r="B2556" s="10" t="str">
        <f ca="1">IFERROR(__xludf.DUMMYFUNCTION("""COMPUTED_VALUE"""),"Доклад от конференция")</f>
        <v>Доклад от конференция</v>
      </c>
      <c r="C2556" s="10" t="str">
        <f ca="1">IFERROR(__xludf.DUMMYFUNCTION("""COMPUTED_VALUE"""),"Collaborative creativity of learners and teachers - learning by e-communication")</f>
        <v>Collaborative creativity of learners and teachers - learning by e-communication</v>
      </c>
      <c r="D2556" s="10">
        <f ca="1">IFERROR(__xludf.DUMMYFUNCTION("""COMPUTED_VALUE"""),2010)</f>
        <v>2010</v>
      </c>
      <c r="E2556" s="10" t="str">
        <f ca="1">IFERROR(__xludf.DUMMYFUNCTION("""COMPUTED_VALUE"""),"In proceeding of International conference on E-Learning and the Knowledge Society, e-Learning’10, Riga, 26-27 August 2010, JUMI, Riga, Latvia, pp 209-214, ISBN 978-9984-30-181-5")</f>
        <v>In proceeding of International conference on E-Learning and the Knowledge Society, e-Learning’10, Riga, 26-27 August 2010, JUMI, Riga, Latvia, pp 209-214, ISBN 978-9984-30-181-5</v>
      </c>
      <c r="F2556" s="10" t="str">
        <f ca="1">IFERROR(__xludf.DUMMYFUNCTION("""COMPUTED_VALUE"""),"Google Scholar")</f>
        <v>Google Scholar</v>
      </c>
      <c r="G2556" s="10" t="str">
        <f ca="1">IFERROR(__xludf.DUMMYFUNCTION("""COMPUTED_VALUE"""),"Nikolova N., Stefanova E")</f>
        <v>Nikolova N., Stefanova E</v>
      </c>
      <c r="H2556" s="10"/>
      <c r="I2556" s="10"/>
      <c r="J2556" s="10"/>
      <c r="K2556" s="10"/>
      <c r="L2556" s="10"/>
      <c r="M2556" s="10"/>
      <c r="N2556" s="10"/>
      <c r="O2556" s="10"/>
      <c r="P2556" s="10"/>
      <c r="Q2556" s="10"/>
      <c r="R2556" s="10"/>
      <c r="S2556" s="10"/>
      <c r="T2556" s="10"/>
      <c r="U2556" s="10"/>
      <c r="V2556" s="10"/>
      <c r="W2556" s="10"/>
      <c r="X2556" s="10"/>
      <c r="Y2556" s="10"/>
      <c r="Z2556" s="10"/>
    </row>
    <row r="2557" spans="1:26" ht="12.75">
      <c r="A2557" s="10" t="str">
        <f ca="1">IFERROR(__xludf.DUMMYFUNCTION("""COMPUTED_VALUE"""),"Евгения Петрова Ковачева")</f>
        <v>Евгения Петрова Ковачева</v>
      </c>
      <c r="B2557" s="10" t="str">
        <f ca="1">IFERROR(__xludf.DUMMYFUNCTION("""COMPUTED_VALUE"""),"Доклад от конференция")</f>
        <v>Доклад от конференция</v>
      </c>
      <c r="C2557" s="10" t="str">
        <f ca="1">IFERROR(__xludf.DUMMYFUNCTION("""COMPUTED_VALUE"""),"To provoke limits instead to limit the provocations in IT education")</f>
        <v>To provoke limits instead to limit the provocations in IT education</v>
      </c>
      <c r="D2557" s="10">
        <f ca="1">IFERROR(__xludf.DUMMYFUNCTION("""COMPUTED_VALUE"""),2010)</f>
        <v>2010</v>
      </c>
      <c r="E2557" s="10" t="str">
        <f ca="1">IFERROR(__xludf.DUMMYFUNCTION("""COMPUTED_VALUE"""),"the Invited paper, Conf. proceeding, ICT in the Information Society, (pp 79-86), Plovdiv,, Bulgaria 27-28 May, ISSN 1314-0752")</f>
        <v>the Invited paper, Conf. proceeding, ICT in the Information Society, (pp 79-86), Plovdiv,, Bulgaria 27-28 May, ISSN 1314-0752</v>
      </c>
      <c r="F2557" s="10"/>
      <c r="G2557" s="10" t="str">
        <f ca="1">IFERROR(__xludf.DUMMYFUNCTION("""COMPUTED_VALUE"""),"Sendova E., Stefanova E., Nikolova N.,Boytchev P.")</f>
        <v>Sendova E., Stefanova E., Nikolova N.,Boytchev P.</v>
      </c>
      <c r="H2557" s="10"/>
      <c r="I2557" s="10"/>
      <c r="J2557" s="10"/>
      <c r="K2557" s="10"/>
      <c r="L2557" s="10"/>
      <c r="M2557" s="10"/>
      <c r="N2557" s="10"/>
      <c r="O2557" s="10"/>
      <c r="P2557" s="10"/>
      <c r="Q2557" s="10"/>
      <c r="R2557" s="10"/>
      <c r="S2557" s="10"/>
      <c r="T2557" s="10"/>
      <c r="U2557" s="10"/>
      <c r="V2557" s="10"/>
      <c r="W2557" s="10"/>
      <c r="X2557" s="10"/>
      <c r="Y2557" s="10"/>
      <c r="Z2557" s="10"/>
    </row>
    <row r="2558" spans="1:26" ht="12.75">
      <c r="A2558" s="10" t="str">
        <f ca="1">IFERROR(__xludf.DUMMYFUNCTION("""COMPUTED_VALUE"""),"Евгения Петрова Ковачева")</f>
        <v>Евгения Петрова Ковачева</v>
      </c>
      <c r="B2558" s="10" t="str">
        <f ca="1">IFERROR(__xludf.DUMMYFUNCTION("""COMPUTED_VALUE"""),"Доклад от конференция")</f>
        <v>Доклад от конференция</v>
      </c>
      <c r="C2558" s="10" t="str">
        <f ca="1">IFERROR(__xludf.DUMMYFUNCTION("""COMPUTED_VALUE"""),"Innovative Experience In Undergraduate Education of Software Professionals Project-Based Learning in Data Structure and Programming")</f>
        <v>Innovative Experience In Undergraduate Education of Software Professionals Project-Based Learning in Data Structure and Programming</v>
      </c>
      <c r="D2558" s="10">
        <f ca="1">IFERROR(__xludf.DUMMYFUNCTION("""COMPUTED_VALUE"""),2010)</f>
        <v>2010</v>
      </c>
      <c r="E2558" s="10" t="str">
        <f ca="1">IFERROR(__xludf.DUMMYFUNCTION("""COMPUTED_VALUE"""),"In proceedings of ICERI2010 Conference, 15th-17th November, Madrid, Spain, pp 005141 – 005150, ISBN: 978-84-614-2439-9")</f>
        <v>In proceedings of ICERI2010 Conference, 15th-17th November, Madrid, Spain, pp 005141 – 005150, ISBN: 978-84-614-2439-9</v>
      </c>
      <c r="F2558" s="10" t="str">
        <f ca="1">IFERROR(__xludf.DUMMYFUNCTION("""COMPUTED_VALUE"""),"Google Scholar")</f>
        <v>Google Scholar</v>
      </c>
      <c r="G2558" s="10" t="str">
        <f ca="1">IFERROR(__xludf.DUMMYFUNCTION("""COMPUTED_VALUE"""),"Todorova M., Hristov H., Stefanova E., Nikolova N")</f>
        <v>Todorova M., Hristov H., Stefanova E., Nikolova N</v>
      </c>
      <c r="H2558" s="10"/>
      <c r="I2558" s="10"/>
      <c r="J2558" s="10"/>
      <c r="K2558" s="10"/>
      <c r="L2558" s="10"/>
      <c r="M2558" s="10"/>
      <c r="N2558" s="10"/>
      <c r="O2558" s="10"/>
      <c r="P2558" s="10"/>
      <c r="Q2558" s="10"/>
      <c r="R2558" s="10"/>
      <c r="S2558" s="10"/>
      <c r="T2558" s="10"/>
      <c r="U2558" s="10"/>
      <c r="V2558" s="10"/>
      <c r="W2558" s="10"/>
      <c r="X2558" s="10"/>
      <c r="Y2558" s="10"/>
      <c r="Z2558" s="10"/>
    </row>
    <row r="2559" spans="1:26" ht="12.75">
      <c r="A2559" s="10" t="str">
        <f ca="1">IFERROR(__xludf.DUMMYFUNCTION("""COMPUTED_VALUE"""),"Евгения Петрова Ковачева")</f>
        <v>Евгения Петрова Ковачева</v>
      </c>
      <c r="B2559" s="10" t="str">
        <f ca="1">IFERROR(__xludf.DUMMYFUNCTION("""COMPUTED_VALUE"""),"Доклад от конференция")</f>
        <v>Доклад от конференция</v>
      </c>
      <c r="C2559" s="10" t="str">
        <f ca="1">IFERROR(__xludf.DUMMYFUNCTION("""COMPUTED_VALUE"""),"An interface for ontology based platform - the evolution of the ideas")</f>
        <v>An interface for ontology based platform - the evolution of the ideas</v>
      </c>
      <c r="D2559" s="10">
        <f ca="1">IFERROR(__xludf.DUMMYFUNCTION("""COMPUTED_VALUE"""),2010)</f>
        <v>2010</v>
      </c>
      <c r="E2559" s="10" t="str">
        <f ca="1">IFERROR(__xludf.DUMMYFUNCTION("""COMPUTED_VALUE"""),"In proceeding of S3T conference, Varna, Bulgaria, 11-12 September 2010, pp.84-88, ISBN 978-954-9526-71-4")</f>
        <v>In proceeding of S3T conference, Varna, Bulgaria, 11-12 September 2010, pp.84-88, ISBN 978-954-9526-71-4</v>
      </c>
      <c r="F2559" s="10" t="str">
        <f ca="1">IFERROR(__xludf.DUMMYFUNCTION("""COMPUTED_VALUE"""),"Google Scholar")</f>
        <v>Google Scholar</v>
      </c>
      <c r="G2559" s="10" t="str">
        <f ca="1">IFERROR(__xludf.DUMMYFUNCTION("""COMPUTED_VALUE"""),"Zafirova-Macheva T., Stefanova E., Nikolova N.")</f>
        <v>Zafirova-Macheva T., Stefanova E., Nikolova N.</v>
      </c>
      <c r="H2559" s="10"/>
      <c r="I2559" s="10"/>
      <c r="J2559" s="10"/>
      <c r="K2559" s="10"/>
      <c r="L2559" s="10"/>
      <c r="M2559" s="10"/>
      <c r="N2559" s="10"/>
      <c r="O2559" s="10"/>
      <c r="P2559" s="10"/>
      <c r="Q2559" s="10"/>
      <c r="R2559" s="10"/>
      <c r="S2559" s="10"/>
      <c r="T2559" s="10"/>
      <c r="U2559" s="10"/>
      <c r="V2559" s="10"/>
      <c r="W2559" s="10"/>
      <c r="X2559" s="10"/>
      <c r="Y2559" s="10"/>
      <c r="Z2559" s="10"/>
    </row>
    <row r="2560" spans="1:26" ht="12.75">
      <c r="A2560" s="10" t="str">
        <f ca="1">IFERROR(__xludf.DUMMYFUNCTION("""COMPUTED_VALUE"""),"Евгения Петрова Ковачева")</f>
        <v>Евгения Петрова Ковачева</v>
      </c>
      <c r="B2560" s="10" t="str">
        <f ca="1">IFERROR(__xludf.DUMMYFUNCTION("""COMPUTED_VALUE"""),"Доклад от конференция")</f>
        <v>Доклад от конференция</v>
      </c>
      <c r="C2560" s="10" t="str">
        <f ca="1">IFERROR(__xludf.DUMMYFUNCTION("""COMPUTED_VALUE"""),"Geometry of Motion, In proceeding of International conference on E-Learning and the Knowledge Society")</f>
        <v>Geometry of Motion, In proceeding of International conference on E-Learning and the Knowledge Society</v>
      </c>
      <c r="D2560" s="10">
        <f ca="1">IFERROR(__xludf.DUMMYFUNCTION("""COMPUTED_VALUE"""),2010)</f>
        <v>2010</v>
      </c>
      <c r="E2560" s="10" t="str">
        <f ca="1">IFERROR(__xludf.DUMMYFUNCTION("""COMPUTED_VALUE"""),"In proceeding of International conference on E-Learning and the Knowledge Society, e-Learning’10, Riga, 26-27 August 2010, JUMI, Riga, Latvia, pp 203-208, Best paper award, ISBN 978-9984-30-181-5")</f>
        <v>In proceeding of International conference on E-Learning and the Knowledge Society, e-Learning’10, Riga, 26-27 August 2010, JUMI, Riga, Latvia, pp 203-208, Best paper award, ISBN 978-9984-30-181-5</v>
      </c>
      <c r="F2560" s="10" t="str">
        <f ca="1">IFERROR(__xludf.DUMMYFUNCTION("""COMPUTED_VALUE"""),"Google Scholar")</f>
        <v>Google Scholar</v>
      </c>
      <c r="G2560" s="10" t="str">
        <f ca="1">IFERROR(__xludf.DUMMYFUNCTION("""COMPUTED_VALUE"""),"Boytchev P., Sendova E.")</f>
        <v>Boytchev P., Sendova E.</v>
      </c>
      <c r="H2560" s="10"/>
      <c r="I2560" s="10"/>
      <c r="J2560" s="10"/>
      <c r="K2560" s="10"/>
      <c r="L2560" s="10"/>
      <c r="M2560" s="10"/>
      <c r="N2560" s="10"/>
      <c r="O2560" s="10"/>
      <c r="P2560" s="10"/>
      <c r="Q2560" s="10"/>
      <c r="R2560" s="10"/>
      <c r="S2560" s="10"/>
      <c r="T2560" s="10"/>
      <c r="U2560" s="10"/>
      <c r="V2560" s="10"/>
      <c r="W2560" s="10"/>
      <c r="X2560" s="10"/>
      <c r="Y2560" s="10"/>
      <c r="Z2560" s="10"/>
    </row>
    <row r="2561" spans="1:26" ht="12.75">
      <c r="A2561" s="10" t="str">
        <f ca="1">IFERROR(__xludf.DUMMYFUNCTION("""COMPUTED_VALUE"""),"Евгения Петрова Ковачева")</f>
        <v>Евгения Петрова Ковачева</v>
      </c>
      <c r="B2561" s="10" t="str">
        <f ca="1">IFERROR(__xludf.DUMMYFUNCTION("""COMPUTED_VALUE"""),"Доклад от конференция")</f>
        <v>Доклад от конференция</v>
      </c>
      <c r="C2561" s="10" t="str">
        <f ca="1">IFERROR(__xludf.DUMMYFUNCTION("""COMPUTED_VALUE"""),"The User Profile Constructive Model for a Web-Based Intelligent Tutoring System")</f>
        <v>The User Profile Constructive Model for a Web-Based Intelligent Tutoring System</v>
      </c>
      <c r="D2561" s="10">
        <f ca="1">IFERROR(__xludf.DUMMYFUNCTION("""COMPUTED_VALUE"""),2010)</f>
        <v>2010</v>
      </c>
      <c r="E2561" s="10" t="str">
        <f ca="1">IFERROR(__xludf.DUMMYFUNCTION("""COMPUTED_VALUE"""),"In proceedings of ICERI2010 Conference, 15th-17th November, Madrid, Spain, pp 004204 – 004210, ISBN: 978-84-614-2439-9")</f>
        <v>In proceedings of ICERI2010 Conference, 15th-17th November, Madrid, Spain, pp 004204 – 004210, ISBN: 978-84-614-2439-9</v>
      </c>
      <c r="F2561" s="10" t="str">
        <f ca="1">IFERROR(__xludf.DUMMYFUNCTION("""COMPUTED_VALUE"""),"Web of Science")</f>
        <v>Web of Science</v>
      </c>
      <c r="G2561" s="10" t="str">
        <f ca="1">IFERROR(__xludf.DUMMYFUNCTION("""COMPUTED_VALUE"""),"Nikolov R., Okamoto T")</f>
        <v>Nikolov R., Okamoto T</v>
      </c>
      <c r="H2561" s="10"/>
      <c r="I2561" s="10"/>
      <c r="J2561" s="10"/>
      <c r="K2561" s="10"/>
      <c r="L2561" s="10"/>
      <c r="M2561" s="10"/>
      <c r="N2561" s="10"/>
      <c r="O2561" s="10"/>
      <c r="P2561" s="10"/>
      <c r="Q2561" s="10"/>
      <c r="R2561" s="10"/>
      <c r="S2561" s="10"/>
      <c r="T2561" s="10"/>
      <c r="U2561" s="10"/>
      <c r="V2561" s="10"/>
      <c r="W2561" s="10"/>
      <c r="X2561" s="10"/>
      <c r="Y2561" s="10"/>
      <c r="Z2561" s="10"/>
    </row>
    <row r="2562" spans="1:26" ht="12.75">
      <c r="A2562" s="10" t="str">
        <f ca="1">IFERROR(__xludf.DUMMYFUNCTION("""COMPUTED_VALUE"""),"Евгения Петрова Ковачева")</f>
        <v>Евгения Петрова Ковачева</v>
      </c>
      <c r="B2562" s="10" t="str">
        <f ca="1">IFERROR(__xludf.DUMMYFUNCTION("""COMPUTED_VALUE"""),"Доклад от конференция")</f>
        <v>Доклад от конференция</v>
      </c>
      <c r="C2562" s="10" t="str">
        <f ca="1">IFERROR(__xludf.DUMMYFUNCTION("""COMPUTED_VALUE"""),"Embracing and enhancing ideas as a strategy for ICT education,")</f>
        <v>Embracing and enhancing ideas as a strategy for ICT education,</v>
      </c>
      <c r="D2562" s="10">
        <f ca="1">IFERROR(__xludf.DUMMYFUNCTION("""COMPUTED_VALUE"""),2009)</f>
        <v>2009</v>
      </c>
      <c r="E2562" s="10" t="str">
        <f ca="1">IFERROR(__xludf.DUMMYFUNCTION("""COMPUTED_VALUE"""),"Proceeding of International conference on Multimedia and Information technologies in Education (m-ICTE), Volume 1, pp. 206-211, ISBN 978-84-692-1789-4")</f>
        <v>Proceeding of International conference on Multimedia and Information technologies in Education (m-ICTE), Volume 1, pp. 206-211, ISBN 978-84-692-1789-4</v>
      </c>
      <c r="F2562" s="10" t="str">
        <f ca="1">IFERROR(__xludf.DUMMYFUNCTION("""COMPUTED_VALUE"""),"Google Scholar")</f>
        <v>Google Scholar</v>
      </c>
      <c r="G2562" s="10" t="str">
        <f ca="1">IFERROR(__xludf.DUMMYFUNCTION("""COMPUTED_VALUE"""),"Eliza Stefanova, Pavel Boytchev, Nikolina Nikolova, Evgenia Sendova")</f>
        <v>Eliza Stefanova, Pavel Boytchev, Nikolina Nikolova, Evgenia Sendova</v>
      </c>
      <c r="H2562" s="10"/>
      <c r="I2562" s="10"/>
      <c r="J2562" s="10"/>
      <c r="K2562" s="10"/>
      <c r="L2562" s="10"/>
      <c r="M2562" s="10"/>
      <c r="N2562" s="10"/>
      <c r="O2562" s="10"/>
      <c r="P2562" s="10"/>
      <c r="Q2562" s="10"/>
      <c r="R2562" s="10"/>
      <c r="S2562" s="10"/>
      <c r="T2562" s="10"/>
      <c r="U2562" s="10"/>
      <c r="V2562" s="10"/>
      <c r="W2562" s="10"/>
      <c r="X2562" s="10"/>
      <c r="Y2562" s="10"/>
      <c r="Z2562" s="10"/>
    </row>
    <row r="2563" spans="1:26" ht="12.75">
      <c r="A2563" s="10" t="str">
        <f ca="1">IFERROR(__xludf.DUMMYFUNCTION("""COMPUTED_VALUE"""),"Евгения Петрова Ковачева")</f>
        <v>Евгения Петрова Ковачева</v>
      </c>
      <c r="B2563" s="10" t="str">
        <f ca="1">IFERROR(__xludf.DUMMYFUNCTION("""COMPUTED_VALUE"""),"Доклад от конференция")</f>
        <v>Доклад от конференция</v>
      </c>
      <c r="C2563" s="10" t="str">
        <f ca="1">IFERROR(__xludf.DUMMYFUNCTION("""COMPUTED_VALUE"""),"Myths and Realities about Technology Enhanced Learning")</f>
        <v>Myths and Realities about Technology Enhanced Learning</v>
      </c>
      <c r="D2563" s="10">
        <f ca="1">IFERROR(__xludf.DUMMYFUNCTION("""COMPUTED_VALUE"""),2009)</f>
        <v>2009</v>
      </c>
      <c r="E2563" s="10" t="str">
        <f ca="1">IFERROR(__xludf.DUMMYFUNCTION("""COMPUTED_VALUE"""),"S3T'19 conference proceeding, Demetra EOOD, ISBN: 978-954-9526-62-2")</f>
        <v>S3T'19 conference proceeding, Demetra EOOD, ISBN: 978-954-9526-62-2</v>
      </c>
      <c r="F2563" s="10" t="str">
        <f ca="1">IFERROR(__xludf.DUMMYFUNCTION("""COMPUTED_VALUE"""),"Google Scholar")</f>
        <v>Google Scholar</v>
      </c>
      <c r="G2563" s="10" t="str">
        <f ca="1">IFERROR(__xludf.DUMMYFUNCTION("""COMPUTED_VALUE"""),"Stefanova, E., Nikolova, N., Kovatcheva, E., Boytchev,P., Sendova, E.")</f>
        <v>Stefanova, E., Nikolova, N., Kovatcheva, E., Boytchev,P., Sendova, E.</v>
      </c>
      <c r="H2563" s="10"/>
      <c r="I2563" s="10"/>
      <c r="J2563" s="10"/>
      <c r="K2563" s="10"/>
      <c r="L2563" s="10"/>
      <c r="M2563" s="10"/>
      <c r="N2563" s="10"/>
      <c r="O2563" s="10"/>
      <c r="P2563" s="10"/>
      <c r="Q2563" s="10"/>
      <c r="R2563" s="10"/>
      <c r="S2563" s="10"/>
      <c r="T2563" s="10"/>
      <c r="U2563" s="10"/>
      <c r="V2563" s="10"/>
      <c r="W2563" s="10"/>
      <c r="X2563" s="10"/>
      <c r="Y2563" s="10"/>
      <c r="Z2563" s="10"/>
    </row>
    <row r="2564" spans="1:26" ht="12.75">
      <c r="A2564" s="10" t="str">
        <f ca="1">IFERROR(__xludf.DUMMYFUNCTION("""COMPUTED_VALUE"""),"Евгения Петрова Ковачева")</f>
        <v>Евгения Петрова Ковачева</v>
      </c>
      <c r="B2564" s="10" t="str">
        <f ca="1">IFERROR(__xludf.DUMMYFUNCTION("""COMPUTED_VALUE"""),"Доклад от конференция")</f>
        <v>Доклад от конференция</v>
      </c>
      <c r="C2564" s="10" t="str">
        <f ca="1">IFERROR(__xludf.DUMMYFUNCTION("""COMPUTED_VALUE"""),"Harnessing ICT for building a creativity-based society")</f>
        <v>Harnessing ICT for building a creativity-based society</v>
      </c>
      <c r="D2564" s="10">
        <f ca="1">IFERROR(__xludf.DUMMYFUNCTION("""COMPUTED_VALUE"""),2009)</f>
        <v>2009</v>
      </c>
      <c r="E2564" s="10" t="str">
        <f ca="1">IFERROR(__xludf.DUMMYFUNCTION("""COMPUTED_VALUE"""),"Proceeding of 4th IT Star Workshop ""ICT Skills, Education and Certification- the Multi-Stakeholeder Partnership"" IT STAR Series, Eds. Giulio Occhini &amp; Plamen Nedkoc, ISBN 88-901620-5-8, IT STar 2010 pp 34-50")</f>
        <v>Proceeding of 4th IT Star Workshop "ICT Skills, Education and Certification- the Multi-Stakeholeder Partnership" IT STAR Series, Eds. Giulio Occhini &amp; Plamen Nedkoc, ISBN 88-901620-5-8, IT STar 2010 pp 34-50</v>
      </c>
      <c r="F2564" s="10" t="str">
        <f ca="1">IFERROR(__xludf.DUMMYFUNCTION("""COMPUTED_VALUE"""),"Google Scholar")</f>
        <v>Google Scholar</v>
      </c>
      <c r="G2564" s="10" t="str">
        <f ca="1">IFERROR(__xludf.DUMMYFUNCTION("""COMPUTED_VALUE"""),"Sendova E., Nikolova N., Stefanova E., Boytchev P., Kovatcheva E.")</f>
        <v>Sendova E., Nikolova N., Stefanova E., Boytchev P., Kovatcheva E.</v>
      </c>
      <c r="H2564" s="10"/>
      <c r="I2564" s="10"/>
      <c r="J2564" s="10"/>
      <c r="K2564" s="10"/>
      <c r="L2564" s="10"/>
      <c r="M2564" s="10"/>
      <c r="N2564" s="10"/>
      <c r="O2564" s="10"/>
      <c r="P2564" s="10"/>
      <c r="Q2564" s="10"/>
      <c r="R2564" s="10"/>
      <c r="S2564" s="10"/>
      <c r="T2564" s="10"/>
      <c r="U2564" s="10"/>
      <c r="V2564" s="10"/>
      <c r="W2564" s="10"/>
      <c r="X2564" s="10"/>
      <c r="Y2564" s="10"/>
      <c r="Z2564" s="10"/>
    </row>
    <row r="2565" spans="1:26" ht="12.75">
      <c r="A2565" s="10" t="str">
        <f ca="1">IFERROR(__xludf.DUMMYFUNCTION("""COMPUTED_VALUE"""),"Евгения Петрова Ковачева")</f>
        <v>Евгения Петрова Ковачева</v>
      </c>
      <c r="B2565" s="10" t="str">
        <f ca="1">IFERROR(__xludf.DUMMYFUNCTION("""COMPUTED_VALUE"""),"Статия в списания и поредици")</f>
        <v>Статия в списания и поредици</v>
      </c>
      <c r="C2565" s="10" t="str">
        <f ca="1">IFERROR(__xludf.DUMMYFUNCTION("""COMPUTED_VALUE"""),"Creating a Natural Environment for Synergy of Disciplines")</f>
        <v>Creating a Natural Environment for Synergy of Disciplines</v>
      </c>
      <c r="D2565" s="10">
        <f ca="1">IFERROR(__xludf.DUMMYFUNCTION("""COMPUTED_VALUE"""),2009)</f>
        <v>2009</v>
      </c>
      <c r="E2565" s="10" t="str">
        <f ca="1">IFERROR(__xludf.DUMMYFUNCTION("""COMPUTED_VALUE"""),"Lecture Notes in Computer Science (including subseries Lecture Notes in Artificial Intelligence and Lecture Notes in Bioinformatics) Volume 5794 LNCS, 2009, Pages 549-555 4th European Conference on Technology Enhanced Learning, EC-TEL 2009; Nice; France; "&amp;"29 September 2009 through 2 October 2009; Code 77825, Print ISBN 978-3-642-04635-3, Online ISBN 978-3-642-04636-0, https://doi.org/10.1007/978-3-642-04636-0_50")</f>
        <v>Lecture Notes in Computer Science (including subseries Lecture Notes in Artificial Intelligence and Lecture Notes in Bioinformatics) Volume 5794 LNCS, 2009, Pages 549-555 4th European Conference on Technology Enhanced Learning, EC-TEL 2009; Nice; France; 29 September 2009 through 2 October 2009; Code 77825, Print ISBN 978-3-642-04635-3, Online ISBN 978-3-642-04636-0, https://doi.org/10.1007/978-3-642-04636-0_50</v>
      </c>
      <c r="F2565" s="10" t="str">
        <f ca="1">IFERROR(__xludf.DUMMYFUNCTION("""COMPUTED_VALUE"""),"Scopus
 https://doi.org/10.1007/978-3-642-04636-0_50")</f>
        <v>Scopus
 https://doi.org/10.1007/978-3-642-04636-0_50</v>
      </c>
      <c r="G2565" s="10" t="str">
        <f ca="1">IFERROR(__xludf.DUMMYFUNCTION("""COMPUTED_VALUE"""),"Sendova, E., Boytchev,P., Stefanova,E., Nikolova, N.")</f>
        <v>Sendova, E., Boytchev,P., Stefanova,E., Nikolova, N.</v>
      </c>
      <c r="H2565" s="10"/>
      <c r="I2565" s="10"/>
      <c r="J2565" s="10"/>
      <c r="K2565" s="10"/>
      <c r="L2565" s="10"/>
      <c r="M2565" s="10"/>
      <c r="N2565" s="10"/>
      <c r="O2565" s="10"/>
      <c r="P2565" s="10"/>
      <c r="Q2565" s="10"/>
      <c r="R2565" s="10"/>
      <c r="S2565" s="10"/>
      <c r="T2565" s="10"/>
      <c r="U2565" s="10"/>
      <c r="V2565" s="10"/>
      <c r="W2565" s="10"/>
      <c r="X2565" s="10"/>
      <c r="Y2565" s="10"/>
      <c r="Z2565" s="10"/>
    </row>
    <row r="2566" spans="1:26" ht="12.75">
      <c r="A2566" s="10" t="str">
        <f ca="1">IFERROR(__xludf.DUMMYFUNCTION("""COMPUTED_VALUE"""),"Евгения Петрова Ковачева")</f>
        <v>Евгения Петрова Ковачева</v>
      </c>
      <c r="B2566" s="10" t="str">
        <f ca="1">IFERROR(__xludf.DUMMYFUNCTION("""COMPUTED_VALUE"""),"Доклад от конференция")</f>
        <v>Доклад от конференция</v>
      </c>
      <c r="C2566" s="10" t="str">
        <f ca="1">IFERROR(__xludf.DUMMYFUNCTION("""COMPUTED_VALUE"""),"IT for Innovative Educational Environments: Exploring, Authoring and Programming")</f>
        <v>IT for Innovative Educational Environments: Exploring, Authoring and Programming</v>
      </c>
      <c r="D2566" s="10">
        <f ca="1">IFERROR(__xludf.DUMMYFUNCTION("""COMPUTED_VALUE"""),2009)</f>
        <v>2009</v>
      </c>
      <c r="E2566" s="10" t="str">
        <f ca="1">IFERROR(__xludf.DUMMYFUNCTION("""COMPUTED_VALUE"""),"Ed. Michael E. Auer, Kassel University Press, Villach, Austria, 2009, pp. 434-444, ISBN 978-3-89958-481-3")</f>
        <v>Ed. Michael E. Auer, Kassel University Press, Villach, Austria, 2009, pp. 434-444, ISBN 978-3-89958-481-3</v>
      </c>
      <c r="F2566" s="10" t="str">
        <f ca="1">IFERROR(__xludf.DUMMYFUNCTION("""COMPUTED_VALUE"""),"Google Scholar")</f>
        <v>Google Scholar</v>
      </c>
      <c r="G2566" s="10" t="str">
        <f ca="1">IFERROR(__xludf.DUMMYFUNCTION("""COMPUTED_VALUE"""),"Boytchev P., Kamenova S., Sendova E., Stefanova E., Nikolova N")</f>
        <v>Boytchev P., Kamenova S., Sendova E., Stefanova E., Nikolova N</v>
      </c>
      <c r="H2566" s="10"/>
      <c r="I2566" s="10"/>
      <c r="J2566" s="10"/>
      <c r="K2566" s="10"/>
      <c r="L2566" s="10"/>
      <c r="M2566" s="10"/>
      <c r="N2566" s="10"/>
      <c r="O2566" s="10"/>
      <c r="P2566" s="10"/>
      <c r="Q2566" s="10"/>
      <c r="R2566" s="10"/>
      <c r="S2566" s="10"/>
      <c r="T2566" s="10"/>
      <c r="U2566" s="10"/>
      <c r="V2566" s="10"/>
      <c r="W2566" s="10"/>
      <c r="X2566" s="10"/>
      <c r="Y2566" s="10"/>
      <c r="Z2566" s="10"/>
    </row>
    <row r="2567" spans="1:26" ht="12.75">
      <c r="A2567" s="10" t="str">
        <f ca="1">IFERROR(__xludf.DUMMYFUNCTION("""COMPUTED_VALUE"""),"Евгения Петрова Ковачева")</f>
        <v>Евгения Петрова Ковачева</v>
      </c>
      <c r="B2567" s="10" t="str">
        <f ca="1">IFERROR(__xludf.DUMMYFUNCTION("""COMPUTED_VALUE"""),"Доклад от конференция")</f>
        <v>Доклад от конференция</v>
      </c>
      <c r="C2567" s="10" t="str">
        <f ca="1">IFERROR(__xludf.DUMMYFUNCTION("""COMPUTED_VALUE"""),"Invention as a part of IT teaching")</f>
        <v>Invention as a part of IT teaching</v>
      </c>
      <c r="D2567" s="10">
        <f ca="1">IFERROR(__xludf.DUMMYFUNCTION("""COMPUTED_VALUE"""),2009)</f>
        <v>2009</v>
      </c>
      <c r="E2567" s="10" t="str">
        <f ca="1">IFERROR(__xludf.DUMMYFUNCTION("""COMPUTED_VALUE"""),"Proceeding of the 38 Spring Conference of Bulgarian Mathematician, pp 319-328, ISSN 1313-3330")</f>
        <v>Proceeding of the 38 Spring Conference of Bulgarian Mathematician, pp 319-328, ISSN 1313-3330</v>
      </c>
      <c r="F2567" s="10"/>
      <c r="G2567" s="10" t="str">
        <f ca="1">IFERROR(__xludf.DUMMYFUNCTION("""COMPUTED_VALUE"""),"Stefanova E., Nikolova N., Boychev P., Sendova E.")</f>
        <v>Stefanova E., Nikolova N., Boychev P., Sendova E.</v>
      </c>
      <c r="H2567" s="10"/>
      <c r="I2567" s="10"/>
      <c r="J2567" s="10"/>
      <c r="K2567" s="10"/>
      <c r="L2567" s="10"/>
      <c r="M2567" s="10"/>
      <c r="N2567" s="10"/>
      <c r="O2567" s="10"/>
      <c r="P2567" s="10"/>
      <c r="Q2567" s="10"/>
      <c r="R2567" s="10"/>
      <c r="S2567" s="10"/>
      <c r="T2567" s="10"/>
      <c r="U2567" s="10"/>
      <c r="V2567" s="10"/>
      <c r="W2567" s="10"/>
      <c r="X2567" s="10"/>
      <c r="Y2567" s="10"/>
      <c r="Z2567" s="10"/>
    </row>
    <row r="2568" spans="1:26" ht="12.75">
      <c r="A2568" s="10" t="str">
        <f ca="1">IFERROR(__xludf.DUMMYFUNCTION("""COMPUTED_VALUE"""),"Евгения Петрова Ковачева")</f>
        <v>Евгения Петрова Ковачева</v>
      </c>
      <c r="B2568" s="10" t="str">
        <f ca="1">IFERROR(__xludf.DUMMYFUNCTION("""COMPUTED_VALUE"""),"Доклад от конференция")</f>
        <v>Доклад от конференция</v>
      </c>
      <c r="C2568" s="10" t="str">
        <f ca="1">IFERROR(__xludf.DUMMYFUNCTION("""COMPUTED_VALUE"""),"Design of an e-Learning System for Accreditation of Non-Formal Learning")</f>
        <v>Design of an e-Learning System for Accreditation of Non-Formal Learning</v>
      </c>
      <c r="D2568" s="10">
        <f ca="1">IFERROR(__xludf.DUMMYFUNCTION("""COMPUTED_VALUE"""),2008)</f>
        <v>2008</v>
      </c>
      <c r="E2568" s="10" t="str">
        <f ca="1">IFERROR(__xludf.DUMMYFUNCTION("""COMPUTED_VALUE"""),"ed. Dr Dan Remenyi, Proceeding of the 7th European Conference on e-Learning (ECEL'08), Agia Napa, Cyprus, 6-7 November, 2008, book2 pp. 1-7, ISBN 978-1-906638-23-8")</f>
        <v>ed. Dr Dan Remenyi, Proceeding of the 7th European Conference on e-Learning (ECEL'08), Agia Napa, Cyprus, 6-7 November, 2008, book2 pp. 1-7, ISBN 978-1-906638-23-8</v>
      </c>
      <c r="F2568" s="10" t="str">
        <f ca="1">IFERROR(__xludf.DUMMYFUNCTION("""COMPUTED_VALUE"""),"Scopus")</f>
        <v>Scopus</v>
      </c>
      <c r="G2568" s="10" t="str">
        <f ca="1">IFERROR(__xludf.DUMMYFUNCTION("""COMPUTED_VALUE"""),"Nikolov R.")</f>
        <v>Nikolov R.</v>
      </c>
      <c r="H2568" s="10"/>
      <c r="I2568" s="10"/>
      <c r="J2568" s="10"/>
      <c r="K2568" s="10"/>
      <c r="L2568" s="10"/>
      <c r="M2568" s="10"/>
      <c r="N2568" s="10"/>
      <c r="O2568" s="10"/>
      <c r="P2568" s="10"/>
      <c r="Q2568" s="10"/>
      <c r="R2568" s="10"/>
      <c r="S2568" s="10"/>
      <c r="T2568" s="10"/>
      <c r="U2568" s="10"/>
      <c r="V2568" s="10"/>
      <c r="W2568" s="10"/>
      <c r="X2568" s="10"/>
      <c r="Y2568" s="10"/>
      <c r="Z2568" s="10"/>
    </row>
    <row r="2569" spans="1:26" ht="12.75">
      <c r="A2569" s="10" t="str">
        <f ca="1">IFERROR(__xludf.DUMMYFUNCTION("""COMPUTED_VALUE"""),"Евгения Петрова Ковачева")</f>
        <v>Евгения Петрова Ковачева</v>
      </c>
      <c r="B2569" s="10" t="str">
        <f ca="1">IFERROR(__xludf.DUMMYFUNCTION("""COMPUTED_VALUE"""),"Учебник")</f>
        <v>Учебник</v>
      </c>
      <c r="C2569" s="10" t="str">
        <f ca="1">IFERROR(__xludf.DUMMYFUNCTION("""COMPUTED_VALUE"""),"Teachers’ handbook")</f>
        <v>Teachers’ handbook</v>
      </c>
      <c r="D2569" s="10">
        <f ca="1">IFERROR(__xludf.DUMMYFUNCTION("""COMPUTED_VALUE"""),2008)</f>
        <v>2008</v>
      </c>
      <c r="E2569" s="10" t="str">
        <f ca="1">IFERROR(__xludf.DUMMYFUNCTION("""COMPUTED_VALUE"""),"Anubis, Sofia, (to appear in Bulgarian Language)")</f>
        <v>Anubis, Sofia, (to appear in Bulgarian Language)</v>
      </c>
      <c r="F2569" s="10"/>
      <c r="G2569" s="10" t="str">
        <f ca="1">IFERROR(__xludf.DUMMYFUNCTION("""COMPUTED_VALUE"""),"Stefanova E., P. Boytchev, E. Kovatcheva, N. Nikolova, E. Sendova")</f>
        <v>Stefanova E., P. Boytchev, E. Kovatcheva, N. Nikolova, E. Sendova</v>
      </c>
      <c r="H2569" s="10"/>
      <c r="I2569" s="10"/>
      <c r="J2569" s="10"/>
      <c r="K2569" s="10"/>
      <c r="L2569" s="10"/>
      <c r="M2569" s="10"/>
      <c r="N2569" s="10"/>
      <c r="O2569" s="10"/>
      <c r="P2569" s="10"/>
      <c r="Q2569" s="10"/>
      <c r="R2569" s="10"/>
      <c r="S2569" s="10"/>
      <c r="T2569" s="10"/>
      <c r="U2569" s="10"/>
      <c r="V2569" s="10"/>
      <c r="W2569" s="10"/>
      <c r="X2569" s="10"/>
      <c r="Y2569" s="10"/>
      <c r="Z2569" s="10"/>
    </row>
    <row r="2570" spans="1:26" ht="12.75">
      <c r="A2570" s="10" t="str">
        <f ca="1">IFERROR(__xludf.DUMMYFUNCTION("""COMPUTED_VALUE"""),"Евгения Петрова Ковачева")</f>
        <v>Евгения Петрова Ковачева</v>
      </c>
      <c r="B2570" s="10" t="str">
        <f ca="1">IFERROR(__xludf.DUMMYFUNCTION("""COMPUTED_VALUE"""),"Учебник")</f>
        <v>Учебник</v>
      </c>
      <c r="C2570" s="10" t="str">
        <f ca="1">IFERROR(__xludf.DUMMYFUNCTION("""COMPUTED_VALUE"""),"You and IT handbook for 7th grade")</f>
        <v>You and IT handbook for 7th grade</v>
      </c>
      <c r="D2570" s="10">
        <f ca="1">IFERROR(__xludf.DUMMYFUNCTION("""COMPUTED_VALUE"""),2008)</f>
        <v>2008</v>
      </c>
      <c r="E2570" s="10" t="str">
        <f ca="1">IFERROR(__xludf.DUMMYFUNCTION("""COMPUTED_VALUE"""),"Anubis, Sofia (to appear in Bulgarian)")</f>
        <v>Anubis, Sofia (to appear in Bulgarian)</v>
      </c>
      <c r="F2570" s="10"/>
      <c r="G2570" s="10" t="str">
        <f ca="1">IFERROR(__xludf.DUMMYFUNCTION("""COMPUTED_VALUE"""),"Stefanova E., P. Boytchev, E. Kovatcheva, N. Nikolova, E. Sendova")</f>
        <v>Stefanova E., P. Boytchev, E. Kovatcheva, N. Nikolova, E. Sendova</v>
      </c>
      <c r="H2570" s="10"/>
      <c r="I2570" s="10"/>
      <c r="J2570" s="10"/>
      <c r="K2570" s="10"/>
      <c r="L2570" s="10"/>
      <c r="M2570" s="10"/>
      <c r="N2570" s="10"/>
      <c r="O2570" s="10"/>
      <c r="P2570" s="10"/>
      <c r="Q2570" s="10"/>
      <c r="R2570" s="10"/>
      <c r="S2570" s="10"/>
      <c r="T2570" s="10"/>
      <c r="U2570" s="10"/>
      <c r="V2570" s="10"/>
      <c r="W2570" s="10"/>
      <c r="X2570" s="10"/>
      <c r="Y2570" s="10"/>
      <c r="Z2570" s="10"/>
    </row>
    <row r="2571" spans="1:26" ht="12.75">
      <c r="A2571" s="10" t="str">
        <f ca="1">IFERROR(__xludf.DUMMYFUNCTION("""COMPUTED_VALUE"""),"Евгения Петрова Ковачева")</f>
        <v>Евгения Петрова Ковачева</v>
      </c>
      <c r="B2571" s="10" t="str">
        <f ca="1">IFERROR(__xludf.DUMMYFUNCTION("""COMPUTED_VALUE"""),"Статия в списания и поредици")</f>
        <v>Статия в списания и поредици</v>
      </c>
      <c r="C2571" s="10" t="str">
        <f ca="1">IFERROR(__xludf.DUMMYFUNCTION("""COMPUTED_VALUE"""),"Community-based learning in the networked society")</f>
        <v>Community-based learning in the networked society</v>
      </c>
      <c r="D2571" s="10">
        <f ca="1">IFERROR(__xludf.DUMMYFUNCTION("""COMPUTED_VALUE"""),2008)</f>
        <v>2008</v>
      </c>
      <c r="E2571" s="10" t="str">
        <f ca="1">IFERROR(__xludf.DUMMYFUNCTION("""COMPUTED_VALUE"""),"Int. J. of Web Based Communities, Vol 4, Number 2 / 2008, pp.: 253 – 267, ISSN (print) 1477-8394, ISSN (online) 1741-8216")</f>
        <v>Int. J. of Web Based Communities, Vol 4, Number 2 / 2008, pp.: 253 – 267, ISSN (print) 1477-8394, ISSN (online) 1741-8216</v>
      </c>
      <c r="F2571" s="10" t="str">
        <f ca="1">IFERROR(__xludf.DUMMYFUNCTION("""COMPUTED_VALUE"""),"Scopus
 https://www.scopus.com/sourceid/19700186821")</f>
        <v>Scopus
 https://www.scopus.com/sourceid/19700186821</v>
      </c>
      <c r="G2571" s="10" t="str">
        <f ca="1">IFERROR(__xludf.DUMMYFUNCTION("""COMPUTED_VALUE"""),"Kommers P")</f>
        <v>Kommers P</v>
      </c>
      <c r="H2571" s="10"/>
      <c r="I2571" s="10"/>
      <c r="J2571" s="10"/>
      <c r="K2571" s="10"/>
      <c r="L2571" s="10"/>
      <c r="M2571" s="10"/>
      <c r="N2571" s="10"/>
      <c r="O2571" s="10"/>
      <c r="P2571" s="10"/>
      <c r="Q2571" s="10"/>
      <c r="R2571" s="10"/>
      <c r="S2571" s="10"/>
      <c r="T2571" s="10"/>
      <c r="U2571" s="10"/>
      <c r="V2571" s="10"/>
      <c r="W2571" s="10"/>
      <c r="X2571" s="10"/>
      <c r="Y2571" s="10"/>
      <c r="Z2571" s="10"/>
    </row>
    <row r="2572" spans="1:26" ht="12.75">
      <c r="A2572" s="10" t="str">
        <f ca="1">IFERROR(__xludf.DUMMYFUNCTION("""COMPUTED_VALUE"""),"Евгения Петрова Ковачева")</f>
        <v>Евгения Петрова Ковачева</v>
      </c>
      <c r="B2572" s="10" t="str">
        <f ca="1">IFERROR(__xludf.DUMMYFUNCTION("""COMPUTED_VALUE"""),"Доклад от конференция")</f>
        <v>Доклад от конференция</v>
      </c>
      <c r="C2572" s="10" t="str">
        <f ca="1">IFERROR(__xludf.DUMMYFUNCTION("""COMPUTED_VALUE"""),"IT education – challenging the limitations instead of limiting the challenges")</f>
        <v>IT education – challenging the limitations instead of limiting the challenges</v>
      </c>
      <c r="D2572" s="10">
        <f ca="1">IFERROR(__xludf.DUMMYFUNCTION("""COMPUTED_VALUE"""),2008)</f>
        <v>2008</v>
      </c>
      <c r="E2572" s="10" t="str">
        <f ca="1">IFERROR(__xludf.DUMMYFUNCTION("""COMPUTED_VALUE"""),"Proceeding (Editors Ljupcho Antovski, Marija Mihova) of 6th International Conference for Informatics and Information Technology (CIIT 2008), Bitola, Macedonia, 10-14 February, Web proceedings, ISBN XXX-XXX-XXX-X, pp.78-82")</f>
        <v>Proceeding (Editors Ljupcho Antovski, Marija Mihova) of 6th International Conference for Informatics and Information Technology (CIIT 2008), Bitola, Macedonia, 10-14 February, Web proceedings, ISBN XXX-XXX-XXX-X, pp.78-82</v>
      </c>
      <c r="F2572" s="10" t="str">
        <f ca="1">IFERROR(__xludf.DUMMYFUNCTION("""COMPUTED_VALUE"""),"Google Scholar
 http://ciit.finki.ukim.mk/data/ViewPageArchive.html?year=2008")</f>
        <v>Google Scholar
 http://ciit.finki.ukim.mk/data/ViewPageArchive.html?year=2008</v>
      </c>
      <c r="G2572" s="10" t="str">
        <f ca="1">IFERROR(__xludf.DUMMYFUNCTION("""COMPUTED_VALUE"""),"Sendova E., Stefanova E., Boytchev P., Nikolova N")</f>
        <v>Sendova E., Stefanova E., Boytchev P., Nikolova N</v>
      </c>
      <c r="H2572" s="10"/>
      <c r="I2572" s="10"/>
      <c r="J2572" s="10"/>
      <c r="K2572" s="10"/>
      <c r="L2572" s="10"/>
      <c r="M2572" s="10"/>
      <c r="N2572" s="10"/>
      <c r="O2572" s="10"/>
      <c r="P2572" s="10"/>
      <c r="Q2572" s="10"/>
      <c r="R2572" s="10"/>
      <c r="S2572" s="10"/>
      <c r="T2572" s="10"/>
      <c r="U2572" s="10"/>
      <c r="V2572" s="10"/>
      <c r="W2572" s="10"/>
      <c r="X2572" s="10"/>
      <c r="Y2572" s="10"/>
      <c r="Z2572" s="10"/>
    </row>
    <row r="2573" spans="1:26" ht="12.75">
      <c r="A2573" s="10" t="str">
        <f ca="1">IFERROR(__xludf.DUMMYFUNCTION("""COMPUTED_VALUE"""),"Евгения Петрова Ковачева")</f>
        <v>Евгения Петрова Ковачева</v>
      </c>
      <c r="B2573" s="10" t="str">
        <f ca="1">IFERROR(__xludf.DUMMYFUNCTION("""COMPUTED_VALUE"""),"Доклад от конференция")</f>
        <v>Доклад от конференция</v>
      </c>
      <c r="C2573" s="10" t="str">
        <f ca="1">IFERROR(__xludf.DUMMYFUNCTION("""COMPUTED_VALUE"""),"The Framework and Prospective Design for Web-Based Intelligent Tutoring System")</f>
        <v>The Framework and Prospective Design for Web-Based Intelligent Tutoring System</v>
      </c>
      <c r="D2573" s="10">
        <f ca="1">IFERROR(__xludf.DUMMYFUNCTION("""COMPUTED_VALUE"""),2008)</f>
        <v>2008</v>
      </c>
      <c r="E2573" s="10" t="str">
        <f ca="1">IFERROR(__xludf.DUMMYFUNCTION("""COMPUTED_VALUE"""),"the Seventh IASTED, Int. Conf. on Web-Based Education, March 17-19, 2008, Innsbruck, Austria, Proceeding ed. V. Uskov pp 82-86, ISBN: 978-0-88986-723-9")</f>
        <v>the Seventh IASTED, Int. Conf. on Web-Based Education, March 17-19, 2008, Innsbruck, Austria, Proceeding ed. V. Uskov pp 82-86, ISBN: 978-0-88986-723-9</v>
      </c>
      <c r="F2573" s="10" t="str">
        <f ca="1">IFERROR(__xludf.DUMMYFUNCTION("""COMPUTED_VALUE"""),"Scopus")</f>
        <v>Scopus</v>
      </c>
      <c r="G2573" s="10" t="str">
        <f ca="1">IFERROR(__xludf.DUMMYFUNCTION("""COMPUTED_VALUE"""),"Okamoto T")</f>
        <v>Okamoto T</v>
      </c>
      <c r="H2573" s="10"/>
      <c r="I2573" s="10"/>
      <c r="J2573" s="10"/>
      <c r="K2573" s="10"/>
      <c r="L2573" s="10"/>
      <c r="M2573" s="10"/>
      <c r="N2573" s="10"/>
      <c r="O2573" s="10"/>
      <c r="P2573" s="10"/>
      <c r="Q2573" s="10"/>
      <c r="R2573" s="10"/>
      <c r="S2573" s="10"/>
      <c r="T2573" s="10"/>
      <c r="U2573" s="10"/>
      <c r="V2573" s="10"/>
      <c r="W2573" s="10"/>
      <c r="X2573" s="10"/>
      <c r="Y2573" s="10"/>
      <c r="Z2573" s="10"/>
    </row>
    <row r="2574" spans="1:26" ht="12.75">
      <c r="A2574" s="10" t="str">
        <f ca="1">IFERROR(__xludf.DUMMYFUNCTION("""COMPUTED_VALUE"""),"Евгения Петрова Ковачева")</f>
        <v>Евгения Петрова Ковачева</v>
      </c>
      <c r="B2574" s="10" t="str">
        <f ca="1">IFERROR(__xludf.DUMMYFUNCTION("""COMPUTED_VALUE"""),"Доклад от конференция")</f>
        <v>Доклад от конференция</v>
      </c>
      <c r="C2574" s="10" t="str">
        <f ca="1">IFERROR(__xludf.DUMMYFUNCTION("""COMPUTED_VALUE"""),"An adaptive feedback approach for e-learning systems")</f>
        <v>An adaptive feedback approach for e-learning systems</v>
      </c>
      <c r="D2574" s="10">
        <f ca="1">IFERROR(__xludf.DUMMYFUNCTION("""COMPUTED_VALUE"""),2008)</f>
        <v>2008</v>
      </c>
      <c r="E2574" s="10" t="str">
        <f ca="1">IFERROR(__xludf.DUMMYFUNCTION("""COMPUTED_VALUE"""),"IMCL2008 Conference, 2008, Jordan. pp.1, 2008 &lt;hal-00591886&gt;")</f>
        <v>IMCL2008 Conference, 2008, Jordan. pp.1, 2008 &lt;hal-00591886&gt;</v>
      </c>
      <c r="F2574" s="10" t="str">
        <f ca="1">IFERROR(__xludf.DUMMYFUNCTION("""COMPUTED_VALUE"""),"https://halshs.archives-ouvertes.fr/hal-00591886/
 Google Scholar
 1558-7908 © 2008 IEEE Education Society Students Activities Committee (EdSocSAC)
 http://www.ieee.org/edsocsac")</f>
        <v>https://halshs.archives-ouvertes.fr/hal-00591886/
 Google Scholar
 1558-7908 © 2008 IEEE Education Society Students Activities Committee (EdSocSAC)
 http://www.ieee.org/edsocsac</v>
      </c>
      <c r="G2574" s="10" t="str">
        <f ca="1">IFERROR(__xludf.DUMMYFUNCTION("""COMPUTED_VALUE"""),"Roumen Nikolov")</f>
        <v>Roumen Nikolov</v>
      </c>
      <c r="H2574" s="10"/>
      <c r="I2574" s="10"/>
      <c r="J2574" s="10"/>
      <c r="K2574" s="10"/>
      <c r="L2574" s="10"/>
      <c r="M2574" s="10"/>
      <c r="N2574" s="10"/>
      <c r="O2574" s="10"/>
      <c r="P2574" s="10"/>
      <c r="Q2574" s="10"/>
      <c r="R2574" s="10"/>
      <c r="S2574" s="10"/>
      <c r="T2574" s="10"/>
      <c r="U2574" s="10"/>
      <c r="V2574" s="10"/>
      <c r="W2574" s="10"/>
      <c r="X2574" s="10"/>
      <c r="Y2574" s="10"/>
      <c r="Z2574" s="10"/>
    </row>
    <row r="2575" spans="1:26" ht="12.75">
      <c r="A2575" s="10" t="str">
        <f ca="1">IFERROR(__xludf.DUMMYFUNCTION("""COMPUTED_VALUE"""),"Евгения Петрова Ковачева")</f>
        <v>Евгения Петрова Ковачева</v>
      </c>
      <c r="B2575" s="10" t="str">
        <f ca="1">IFERROR(__xludf.DUMMYFUNCTION("""COMPUTED_VALUE"""),"Статия в списания и поредици")</f>
        <v>Статия в списания и поредици</v>
      </c>
      <c r="C2575" s="10" t="str">
        <f ca="1">IFERROR(__xludf.DUMMYFUNCTION("""COMPUTED_VALUE"""),"Teacher training of current and future teachers")</f>
        <v>Teacher training of current and future teachers</v>
      </c>
      <c r="D2575" s="10">
        <f ca="1">IFERROR(__xludf.DUMMYFUNCTION("""COMPUTED_VALUE"""),2008)</f>
        <v>2008</v>
      </c>
      <c r="E2575" s="10" t="str">
        <f ca="1">IFERROR(__xludf.DUMMYFUNCTION("""COMPUTED_VALUE"""),"Innovative didactic for web-based learning (pp 67-71) ISBN: 978-954-92146-4-2 Sofia")</f>
        <v>Innovative didactic for web-based learning (pp 67-71) ISBN: 978-954-92146-4-2 Sofia</v>
      </c>
      <c r="F2575" s="10"/>
      <c r="G2575" s="10" t="str">
        <f ca="1">IFERROR(__xludf.DUMMYFUNCTION("""COMPUTED_VALUE"""),"Kovatcheva E, Ratcheva D. , Sendova E., I. Nikolova")</f>
        <v>Kovatcheva E, Ratcheva D. , Sendova E., I. Nikolova</v>
      </c>
      <c r="H2575" s="10"/>
      <c r="I2575" s="10"/>
      <c r="J2575" s="10"/>
      <c r="K2575" s="10"/>
      <c r="L2575" s="10"/>
      <c r="M2575" s="10"/>
      <c r="N2575" s="10"/>
      <c r="O2575" s="10"/>
      <c r="P2575" s="10"/>
      <c r="Q2575" s="10"/>
      <c r="R2575" s="10"/>
      <c r="S2575" s="10"/>
      <c r="T2575" s="10"/>
      <c r="U2575" s="10"/>
      <c r="V2575" s="10"/>
      <c r="W2575" s="10"/>
      <c r="X2575" s="10"/>
      <c r="Y2575" s="10"/>
      <c r="Z2575" s="10"/>
    </row>
    <row r="2576" spans="1:26" ht="12.75">
      <c r="A2576" s="10" t="str">
        <f ca="1">IFERROR(__xludf.DUMMYFUNCTION("""COMPUTED_VALUE"""),"Евгения Петрова Ковачева")</f>
        <v>Евгения Петрова Ковачева</v>
      </c>
      <c r="B2576" s="10" t="str">
        <f ca="1">IFERROR(__xludf.DUMMYFUNCTION("""COMPUTED_VALUE"""),"Статия в списания и поредици")</f>
        <v>Статия в списания и поредици</v>
      </c>
      <c r="C2576" s="10" t="str">
        <f ca="1">IFERROR(__xludf.DUMMYFUNCTION("""COMPUTED_VALUE"""),"Like a (School of) Fish in Water (or ICT-Enhanced Skills in Action)")</f>
        <v>Like a (School of) Fish in Water (or ICT-Enhanced Skills in Action)</v>
      </c>
      <c r="D2576" s="10">
        <f ca="1">IFERROR(__xludf.DUMMYFUNCTION("""COMPUTED_VALUE"""),2008)</f>
        <v>2008</v>
      </c>
      <c r="E2576" s="10" t="str">
        <f ca="1">IFERROR(__xludf.DUMMYFUNCTION("""COMPUTED_VALUE"""),"Book Series Lecture Notes in Computer Science, Publisher Springer Berlin/ Heidelberg ISSN 0302-9743 (Print) 1611-3349 (Online), Vol. 5090/2008, Book Informatics Education - Supporting Computational Thinking, DOI 10.1007/978-3-540-69924-8, Copyright 2008, "&amp;"ISBN 978-3-540-69923-1, pp: 99-109")</f>
        <v>Book Series Lecture Notes in Computer Science, Publisher Springer Berlin/ Heidelberg ISSN 0302-9743 (Print) 1611-3349 (Online), Vol. 5090/2008, Book Informatics Education - Supporting Computational Thinking, DOI 10.1007/978-3-540-69924-8, Copyright 2008, ISBN 978-3-540-69923-1, pp: 99-109</v>
      </c>
      <c r="F2576" s="10" t="str">
        <f ca="1">IFERROR(__xludf.DUMMYFUNCTION("""COMPUTED_VALUE"""),"Scopus")</f>
        <v>Scopus</v>
      </c>
      <c r="G2576" s="10" t="str">
        <f ca="1">IFERROR(__xludf.DUMMYFUNCTION("""COMPUTED_VALUE"""),"Sendova E., Stefanova E., Nikolova N.,")</f>
        <v>Sendova E., Stefanova E., Nikolova N.,</v>
      </c>
      <c r="H2576" s="10"/>
      <c r="I2576" s="10"/>
      <c r="J2576" s="10"/>
      <c r="K2576" s="10"/>
      <c r="L2576" s="10"/>
      <c r="M2576" s="10"/>
      <c r="N2576" s="10"/>
      <c r="O2576" s="10"/>
      <c r="P2576" s="10"/>
      <c r="Q2576" s="10"/>
      <c r="R2576" s="10"/>
      <c r="S2576" s="10"/>
      <c r="T2576" s="10"/>
      <c r="U2576" s="10"/>
      <c r="V2576" s="10"/>
      <c r="W2576" s="10"/>
      <c r="X2576" s="10"/>
      <c r="Y2576" s="10"/>
      <c r="Z2576" s="10"/>
    </row>
    <row r="2577" spans="1:26" ht="12.75">
      <c r="A2577" s="10" t="str">
        <f ca="1">IFERROR(__xludf.DUMMYFUNCTION("""COMPUTED_VALUE"""),"Евгения Петрова Ковачева")</f>
        <v>Евгения Петрова Ковачева</v>
      </c>
      <c r="B2577" s="10" t="str">
        <f ca="1">IFERROR(__xludf.DUMMYFUNCTION("""COMPUTED_VALUE"""),"Книга")</f>
        <v>Книга</v>
      </c>
      <c r="C2577" s="10" t="str">
        <f ca="1">IFERROR(__xludf.DUMMYFUNCTION("""COMPUTED_VALUE"""),"Teachers’ handbook")</f>
        <v>Teachers’ handbook</v>
      </c>
      <c r="D2577" s="10">
        <f ca="1">IFERROR(__xludf.DUMMYFUNCTION("""COMPUTED_VALUE"""),2007)</f>
        <v>2007</v>
      </c>
      <c r="E2577" s="10" t="str">
        <f ca="1">IFERROR(__xludf.DUMMYFUNCTION("""COMPUTED_VALUE"""),"Anubis, Sofia, (to appear in Bulgarian Language)")</f>
        <v>Anubis, Sofia, (to appear in Bulgarian Language)</v>
      </c>
      <c r="F2577" s="10"/>
      <c r="G2577" s="10" t="str">
        <f ca="1">IFERROR(__xludf.DUMMYFUNCTION("""COMPUTED_VALUE"""),"Sendova, E. Stefanova, E. Kovatcheva, N. Nikolova, P. Boytchev")</f>
        <v>Sendova, E. Stefanova, E. Kovatcheva, N. Nikolova, P. Boytchev</v>
      </c>
      <c r="H2577" s="10"/>
      <c r="I2577" s="10"/>
      <c r="J2577" s="10"/>
      <c r="K2577" s="10"/>
      <c r="L2577" s="10"/>
      <c r="M2577" s="10"/>
      <c r="N2577" s="10"/>
      <c r="O2577" s="10"/>
      <c r="P2577" s="10"/>
      <c r="Q2577" s="10"/>
      <c r="R2577" s="10"/>
      <c r="S2577" s="10"/>
      <c r="T2577" s="10"/>
      <c r="U2577" s="10"/>
      <c r="V2577" s="10"/>
      <c r="W2577" s="10"/>
      <c r="X2577" s="10"/>
      <c r="Y2577" s="10"/>
      <c r="Z2577" s="10"/>
    </row>
    <row r="2578" spans="1:26" ht="12.75">
      <c r="A2578" s="10" t="str">
        <f ca="1">IFERROR(__xludf.DUMMYFUNCTION("""COMPUTED_VALUE"""),"Евгения Петрова Ковачева")</f>
        <v>Евгения Петрова Ковачева</v>
      </c>
      <c r="B2578" s="10" t="str">
        <f ca="1">IFERROR(__xludf.DUMMYFUNCTION("""COMPUTED_VALUE"""),"Доклад от конференция")</f>
        <v>Доклад от конференция</v>
      </c>
      <c r="C2578" s="10" t="str">
        <f ca="1">IFERROR(__xludf.DUMMYFUNCTION("""COMPUTED_VALUE"""),"Tuning the ICT instruments for Harmony in Mathematics and Arts")</f>
        <v>Tuning the ICT instruments for Harmony in Mathematics and Arts</v>
      </c>
      <c r="D2578" s="10">
        <f ca="1">IFERROR(__xludf.DUMMYFUNCTION("""COMPUTED_VALUE"""),2007)</f>
        <v>2007</v>
      </c>
      <c r="E2578" s="10" t="str">
        <f ca="1">IFERROR(__xludf.DUMMYFUNCTION("""COMPUTED_VALUE"""),"Working Joint IFIP Conference: WG3.1 Secondary Education, WG3.5 Primary Education Informatics, Mathematics, and ICT: a ‘golden triangle’, Boston, Massachusetts, USA 27th – 29th June 2007, IFIP with College of Computer and Information Science, Northeastern"&amp;" University, ISBN-13: 978-0-615-14623-2")</f>
        <v>Working Joint IFIP Conference: WG3.1 Secondary Education, WG3.5 Primary Education Informatics, Mathematics, and ICT: a ‘golden triangle’, Boston, Massachusetts, USA 27th – 29th June 2007, IFIP with College of Computer and Information Science, Northeastern University, ISBN-13: 978-0-615-14623-2</v>
      </c>
      <c r="F2578" s="10" t="str">
        <f ca="1">IFERROR(__xludf.DUMMYFUNCTION("""COMPUTED_VALUE"""),"Google Scholar")</f>
        <v>Google Scholar</v>
      </c>
      <c r="G2578" s="10"/>
      <c r="H2578" s="10"/>
      <c r="I2578" s="10"/>
      <c r="J2578" s="10"/>
      <c r="K2578" s="10"/>
      <c r="L2578" s="10"/>
      <c r="M2578" s="10"/>
      <c r="N2578" s="10"/>
      <c r="O2578" s="10"/>
      <c r="P2578" s="10"/>
      <c r="Q2578" s="10"/>
      <c r="R2578" s="10"/>
      <c r="S2578" s="10"/>
      <c r="T2578" s="10"/>
      <c r="U2578" s="10"/>
      <c r="V2578" s="10"/>
      <c r="W2578" s="10"/>
      <c r="X2578" s="10"/>
      <c r="Y2578" s="10"/>
      <c r="Z2578" s="10"/>
    </row>
    <row r="2579" spans="1:26" ht="12.75">
      <c r="A2579" s="10" t="str">
        <f ca="1">IFERROR(__xludf.DUMMYFUNCTION("""COMPUTED_VALUE"""),"Евгения Петрова Ковачева")</f>
        <v>Евгения Петрова Ковачева</v>
      </c>
      <c r="B2579" s="10" t="str">
        <f ca="1">IFERROR(__xludf.DUMMYFUNCTION("""COMPUTED_VALUE"""),"Учебник")</f>
        <v>Учебник</v>
      </c>
      <c r="C2579" s="10" t="str">
        <f ca="1">IFERROR(__xludf.DUMMYFUNCTION("""COMPUTED_VALUE"""),"I Learn and Create with a Computer – an ICT handbook for 6th grade")</f>
        <v>I Learn and Create with a Computer – an ICT handbook for 6th grade</v>
      </c>
      <c r="D2579" s="10">
        <f ca="1">IFERROR(__xludf.DUMMYFUNCTION("""COMPUTED_VALUE"""),2007)</f>
        <v>2007</v>
      </c>
      <c r="E2579" s="10" t="str">
        <f ca="1">IFERROR(__xludf.DUMMYFUNCTION("""COMPUTED_VALUE"""),"Anubis, Sofia, ISBN : 978-954-426-747-6")</f>
        <v>Anubis, Sofia, ISBN : 978-954-426-747-6</v>
      </c>
      <c r="F2579" s="10"/>
      <c r="G2579" s="10" t="str">
        <f ca="1">IFERROR(__xludf.DUMMYFUNCTION("""COMPUTED_VALUE"""),"10. Dobreva M., E. Kovatcheva, N. Nikolova, E. Sendova, E. Stefanova,")</f>
        <v>10. Dobreva M., E. Kovatcheva, N. Nikolova, E. Sendova, E. Stefanova,</v>
      </c>
      <c r="H2579" s="10"/>
      <c r="I2579" s="10"/>
      <c r="J2579" s="10"/>
      <c r="K2579" s="10"/>
      <c r="L2579" s="10"/>
      <c r="M2579" s="10"/>
      <c r="N2579" s="10"/>
      <c r="O2579" s="10"/>
      <c r="P2579" s="10"/>
      <c r="Q2579" s="10"/>
      <c r="R2579" s="10"/>
      <c r="S2579" s="10"/>
      <c r="T2579" s="10"/>
      <c r="U2579" s="10"/>
      <c r="V2579" s="10"/>
      <c r="W2579" s="10"/>
      <c r="X2579" s="10"/>
      <c r="Y2579" s="10"/>
      <c r="Z2579" s="10"/>
    </row>
    <row r="2580" spans="1:26" ht="12.75">
      <c r="A2580" s="10" t="str">
        <f ca="1">IFERROR(__xludf.DUMMYFUNCTION("""COMPUTED_VALUE"""),"Евгения Петрова Ковачева")</f>
        <v>Евгения Петрова Ковачева</v>
      </c>
      <c r="B2580" s="10" t="str">
        <f ca="1">IFERROR(__xludf.DUMMYFUNCTION("""COMPUTED_VALUE"""),"Книга")</f>
        <v>Книга</v>
      </c>
      <c r="C2580" s="10" t="str">
        <f ca="1">IFERROR(__xludf.DUMMYFUNCTION("""COMPUTED_VALUE"""),"Teachers’ handbook")</f>
        <v>Teachers’ handbook</v>
      </c>
      <c r="D2580" s="10">
        <f ca="1">IFERROR(__xludf.DUMMYFUNCTION("""COMPUTED_VALUE"""),2006)</f>
        <v>2006</v>
      </c>
      <c r="E2580" s="10" t="str">
        <f ca="1">IFERROR(__xludf.DUMMYFUNCTION("""COMPUTED_VALUE"""),"Anubis, Sofia, (to appear in Bulgarian Language)")</f>
        <v>Anubis, Sofia, (to appear in Bulgarian Language)</v>
      </c>
      <c r="F2580" s="10"/>
      <c r="G2580" s="10" t="str">
        <f ca="1">IFERROR(__xludf.DUMMYFUNCTION("""COMPUTED_VALUE"""),"12. Dobreva M., E. Kovatcheva, N. Nikolova, E. Sendova, E. Stefanova")</f>
        <v>12. Dobreva M., E. Kovatcheva, N. Nikolova, E. Sendova, E. Stefanova</v>
      </c>
      <c r="H2580" s="10"/>
      <c r="I2580" s="10"/>
      <c r="J2580" s="10"/>
      <c r="K2580" s="10"/>
      <c r="L2580" s="10"/>
      <c r="M2580" s="10"/>
      <c r="N2580" s="10"/>
      <c r="O2580" s="10"/>
      <c r="P2580" s="10"/>
      <c r="Q2580" s="10"/>
      <c r="R2580" s="10"/>
      <c r="S2580" s="10"/>
      <c r="T2580" s="10"/>
      <c r="U2580" s="10"/>
      <c r="V2580" s="10"/>
      <c r="W2580" s="10"/>
      <c r="X2580" s="10"/>
      <c r="Y2580" s="10"/>
      <c r="Z2580" s="10"/>
    </row>
    <row r="2581" spans="1:26" ht="12.75">
      <c r="A2581" s="10" t="str">
        <f ca="1">IFERROR(__xludf.DUMMYFUNCTION("""COMPUTED_VALUE"""),"Евгения Петрова Ковачева")</f>
        <v>Евгения Петрова Ковачева</v>
      </c>
      <c r="B2581" s="10" t="str">
        <f ca="1">IFERROR(__xludf.DUMMYFUNCTION("""COMPUTED_VALUE"""),"Учебно пособие")</f>
        <v>Учебно пособие</v>
      </c>
      <c r="C2581" s="10" t="str">
        <f ca="1">IFERROR(__xludf.DUMMYFUNCTION("""COMPUTED_VALUE"""),"How to help our students give birth to their good ideas?")</f>
        <v>How to help our students give birth to their good ideas?</v>
      </c>
      <c r="D2581" s="10">
        <f ca="1">IFERROR(__xludf.DUMMYFUNCTION("""COMPUTED_VALUE"""),2006)</f>
        <v>2006</v>
      </c>
      <c r="E2581" s="10" t="str">
        <f ca="1">IFERROR(__xludf.DUMMYFUNCTION("""COMPUTED_VALUE"""),"(Handbook in IT for Innovative Teachers), National Conference:Education in Information Society, 13-14 October 2006, Plovdiv, Bulgaria, pp., 67-72")</f>
        <v>(Handbook in IT for Innovative Teachers), National Conference:Education in Information Society, 13-14 October 2006, Plovdiv, Bulgaria, pp., 67-72</v>
      </c>
      <c r="F2581" s="10"/>
      <c r="G2581" s="10" t="str">
        <f ca="1">IFERROR(__xludf.DUMMYFUNCTION("""COMPUTED_VALUE"""),"Sendova E., Stefanova E., Kovatcheva E., Dobreva M., Nikolova N.")</f>
        <v>Sendova E., Stefanova E., Kovatcheva E., Dobreva M., Nikolova N.</v>
      </c>
      <c r="H2581" s="10"/>
      <c r="I2581" s="10"/>
      <c r="J2581" s="10"/>
      <c r="K2581" s="10"/>
      <c r="L2581" s="10"/>
      <c r="M2581" s="10"/>
      <c r="N2581" s="10"/>
      <c r="O2581" s="10"/>
      <c r="P2581" s="10"/>
      <c r="Q2581" s="10"/>
      <c r="R2581" s="10"/>
      <c r="S2581" s="10"/>
      <c r="T2581" s="10"/>
      <c r="U2581" s="10"/>
      <c r="V2581" s="10"/>
      <c r="W2581" s="10"/>
      <c r="X2581" s="10"/>
      <c r="Y2581" s="10"/>
      <c r="Z2581" s="10"/>
    </row>
    <row r="2582" spans="1:26" ht="12.75">
      <c r="A2582" s="10" t="str">
        <f ca="1">IFERROR(__xludf.DUMMYFUNCTION("""COMPUTED_VALUE"""),"Евгения Петрова Ковачева")</f>
        <v>Евгения Петрова Ковачева</v>
      </c>
      <c r="B2582" s="10" t="str">
        <f ca="1">IFERROR(__xludf.DUMMYFUNCTION("""COMPUTED_VALUE"""),"Учебник")</f>
        <v>Учебник</v>
      </c>
      <c r="C2582" s="10" t="str">
        <f ca="1">IFERROR(__xludf.DUMMYFUNCTION("""COMPUTED_VALUE"""),"The computer in my World – Handbook in Information Technologies – 5th degree")</f>
        <v>The computer in my World – Handbook in Information Technologies – 5th degree</v>
      </c>
      <c r="D2582" s="10">
        <f ca="1">IFERROR(__xludf.DUMMYFUNCTION("""COMPUTED_VALUE"""),2006)</f>
        <v>2006</v>
      </c>
      <c r="E2582" s="10" t="str">
        <f ca="1">IFERROR(__xludf.DUMMYFUNCTION("""COMPUTED_VALUE"""),"Anubis, Sofia, ISBN-10:954-426-726-3")</f>
        <v>Anubis, Sofia, ISBN-10:954-426-726-3</v>
      </c>
      <c r="F2582" s="10"/>
      <c r="G2582" s="10" t="str">
        <f ca="1">IFERROR(__xludf.DUMMYFUNCTION("""COMPUTED_VALUE"""),"11. Dobreva M., E. Kovatcheva, N. Nikolova, E. Sendova, E. Stefanova")</f>
        <v>11. Dobreva M., E. Kovatcheva, N. Nikolova, E. Sendova, E. Stefanova</v>
      </c>
      <c r="H2582" s="10"/>
      <c r="I2582" s="10"/>
      <c r="J2582" s="10"/>
      <c r="K2582" s="10"/>
      <c r="L2582" s="10"/>
      <c r="M2582" s="10"/>
      <c r="N2582" s="10"/>
      <c r="O2582" s="10"/>
      <c r="P2582" s="10"/>
      <c r="Q2582" s="10"/>
      <c r="R2582" s="10"/>
      <c r="S2582" s="10"/>
      <c r="T2582" s="10"/>
      <c r="U2582" s="10"/>
      <c r="V2582" s="10"/>
      <c r="W2582" s="10"/>
      <c r="X2582" s="10"/>
      <c r="Y2582" s="10"/>
      <c r="Z2582" s="10"/>
    </row>
    <row r="2583" spans="1:26" ht="12.75">
      <c r="A2583" s="10" t="str">
        <f ca="1">IFERROR(__xludf.DUMMYFUNCTION("""COMPUTED_VALUE"""),"Евгения Петрова Ковачева")</f>
        <v>Евгения Петрова Ковачева</v>
      </c>
      <c r="B2583" s="10" t="str">
        <f ca="1">IFERROR(__xludf.DUMMYFUNCTION("""COMPUTED_VALUE"""),"Доклад от конференция")</f>
        <v>Доклад от конференция</v>
      </c>
      <c r="C2583" s="10" t="str">
        <f ca="1">IFERROR(__xludf.DUMMYFUNCTION("""COMPUTED_VALUE"""),"Hierarchical Adaptive Model for evaluation in e-learning")</f>
        <v>Hierarchical Adaptive Model for evaluation in e-learning</v>
      </c>
      <c r="D2583" s="10">
        <f ca="1">IFERROR(__xludf.DUMMYFUNCTION("""COMPUTED_VALUE"""),2006)</f>
        <v>2006</v>
      </c>
      <c r="E2583" s="10" t="str">
        <f ca="1">IFERROR(__xludf.DUMMYFUNCTION("""COMPUTED_VALUE"""),"FMI Conference The pioneers of Bulgarian mathematics, 8 - 10 July, 2006")</f>
        <v>FMI Conference The pioneers of Bulgarian mathematics, 8 - 10 July, 2006</v>
      </c>
      <c r="F2583" s="10"/>
      <c r="G2583" s="10" t="str">
        <f ca="1">IFERROR(__xludf.DUMMYFUNCTION("""COMPUTED_VALUE"""),"Kovatcheva E., Nikolov R.")</f>
        <v>Kovatcheva E., Nikolov R.</v>
      </c>
      <c r="H2583" s="10"/>
      <c r="I2583" s="10"/>
      <c r="J2583" s="10"/>
      <c r="K2583" s="10"/>
      <c r="L2583" s="10"/>
      <c r="M2583" s="10"/>
      <c r="N2583" s="10"/>
      <c r="O2583" s="10"/>
      <c r="P2583" s="10"/>
      <c r="Q2583" s="10"/>
      <c r="R2583" s="10"/>
      <c r="S2583" s="10"/>
      <c r="T2583" s="10"/>
      <c r="U2583" s="10"/>
      <c r="V2583" s="10"/>
      <c r="W2583" s="10"/>
      <c r="X2583" s="10"/>
      <c r="Y2583" s="10"/>
      <c r="Z2583" s="10"/>
    </row>
    <row r="2584" spans="1:26" ht="12.75">
      <c r="A2584" s="10" t="str">
        <f ca="1">IFERROR(__xludf.DUMMYFUNCTION("""COMPUTED_VALUE"""),"Евгения Петрова Ковачева")</f>
        <v>Евгения Петрова Ковачева</v>
      </c>
      <c r="B2584" s="10" t="str">
        <f ca="1">IFERROR(__xludf.DUMMYFUNCTION("""COMPUTED_VALUE"""),"Доклад от конференция")</f>
        <v>Доклад от конференция</v>
      </c>
      <c r="C2584" s="10" t="str">
        <f ca="1">IFERROR(__xludf.DUMMYFUNCTION("""COMPUTED_VALUE"""),"Case studies for Technology-Enhanced Learning in Bulgaria Higher Education")</f>
        <v>Case studies for Technology-Enhanced Learning in Bulgaria Higher Education</v>
      </c>
      <c r="D2584" s="10">
        <f ca="1">IFERROR(__xludf.DUMMYFUNCTION("""COMPUTED_VALUE"""),2005)</f>
        <v>2005</v>
      </c>
      <c r="E2584" s="10" t="str">
        <f ca="1">IFERROR(__xludf.DUMMYFUNCTION("""COMPUTED_VALUE"""),"International Conference The Technology and Change in Educational Practice, 5-6 Oct 2005, London Knowledge Lab.")</f>
        <v>International Conference The Technology and Change in Educational Practice, 5-6 Oct 2005, London Knowledge Lab.</v>
      </c>
      <c r="F2584" s="10"/>
      <c r="G2584" s="10" t="str">
        <f ca="1">IFERROR(__xludf.DUMMYFUNCTION("""COMPUTED_VALUE"""),"Boytcheva S., Nikolov R., Kovatcheva E., and Nikolova I.")</f>
        <v>Boytcheva S., Nikolov R., Kovatcheva E., and Nikolova I.</v>
      </c>
      <c r="H2584" s="10"/>
      <c r="I2584" s="10"/>
      <c r="J2584" s="10"/>
      <c r="K2584" s="10"/>
      <c r="L2584" s="10"/>
      <c r="M2584" s="10"/>
      <c r="N2584" s="10"/>
      <c r="O2584" s="10"/>
      <c r="P2584" s="10"/>
      <c r="Q2584" s="10"/>
      <c r="R2584" s="10"/>
      <c r="S2584" s="10"/>
      <c r="T2584" s="10"/>
      <c r="U2584" s="10"/>
      <c r="V2584" s="10"/>
      <c r="W2584" s="10"/>
      <c r="X2584" s="10"/>
      <c r="Y2584" s="10"/>
      <c r="Z2584" s="10"/>
    </row>
    <row r="2585" spans="1:26" ht="12.75">
      <c r="A2585" s="10" t="str">
        <f ca="1">IFERROR(__xludf.DUMMYFUNCTION("""COMPUTED_VALUE"""),"Евгения Петрова Ковачева")</f>
        <v>Евгения Петрова Ковачева</v>
      </c>
      <c r="B2585" s="10" t="str">
        <f ca="1">IFERROR(__xludf.DUMMYFUNCTION("""COMPUTED_VALUE"""),"Доклад от конференция")</f>
        <v>Доклад от конференция</v>
      </c>
      <c r="C2585" s="10" t="str">
        <f ca="1">IFERROR(__xludf.DUMMYFUNCTION("""COMPUTED_VALUE"""),"E-Learning for Enhancing Management Skills")</f>
        <v>E-Learning for Enhancing Management Skills</v>
      </c>
      <c r="D2585" s="10">
        <f ca="1">IFERROR(__xludf.DUMMYFUNCTION("""COMPUTED_VALUE"""),2005)</f>
        <v>2005</v>
      </c>
      <c r="E2585" s="10" t="str">
        <f ca="1">IFERROR(__xludf.DUMMYFUNCTION("""COMPUTED_VALUE"""),"In proceeding of the E-Learning II and the Knowledge Society conference,6-7 September, 2005, Berlin, pp 235-244, ISBN: 9070963922")</f>
        <v>In proceeding of the E-Learning II and the Knowledge Society conference,6-7 September, 2005, Berlin, pp 235-244, ISBN: 9070963922</v>
      </c>
      <c r="F2585" s="10" t="str">
        <f ca="1">IFERROR(__xludf.DUMMYFUNCTION("""COMPUTED_VALUE"""),"Google Scholar
 hal-00190368
 http://hdl.handle.net/10506/26")</f>
        <v>Google Scholar
 hal-00190368
 http://hdl.handle.net/10506/26</v>
      </c>
      <c r="G2585" s="10" t="str">
        <f ca="1">IFERROR(__xludf.DUMMYFUNCTION("""COMPUTED_VALUE"""),"Nikolova I., Luck P")</f>
        <v>Nikolova I., Luck P</v>
      </c>
      <c r="H2585" s="10"/>
      <c r="I2585" s="10"/>
      <c r="J2585" s="10"/>
      <c r="K2585" s="10"/>
      <c r="L2585" s="10"/>
      <c r="M2585" s="10"/>
      <c r="N2585" s="10"/>
      <c r="O2585" s="10"/>
      <c r="P2585" s="10"/>
      <c r="Q2585" s="10"/>
      <c r="R2585" s="10"/>
      <c r="S2585" s="10"/>
      <c r="T2585" s="10"/>
      <c r="U2585" s="10"/>
      <c r="V2585" s="10"/>
      <c r="W2585" s="10"/>
      <c r="X2585" s="10"/>
      <c r="Y2585" s="10"/>
      <c r="Z2585" s="10"/>
    </row>
    <row r="2586" spans="1:26" ht="12.75">
      <c r="A2586" s="10" t="str">
        <f ca="1">IFERROR(__xludf.DUMMYFUNCTION("""COMPUTED_VALUE"""),"Евгения Петрова Ковачева")</f>
        <v>Евгения Петрова Ковачева</v>
      </c>
      <c r="B2586" s="10" t="str">
        <f ca="1">IFERROR(__xludf.DUMMYFUNCTION("""COMPUTED_VALUE"""),"Доклад от конференция")</f>
        <v>Доклад от конференция</v>
      </c>
      <c r="C2586" s="10" t="str">
        <f ca="1">IFERROR(__xludf.DUMMYFUNCTION("""COMPUTED_VALUE"""),"Development of Adaptive e-Learning System Based on Learning Objects")</f>
        <v>Development of Adaptive e-Learning System Based on Learning Objects</v>
      </c>
      <c r="D2586" s="10">
        <f ca="1">IFERROR(__xludf.DUMMYFUNCTION("""COMPUTED_VALUE"""),2005)</f>
        <v>2005</v>
      </c>
      <c r="E2586" s="10" t="str">
        <f ca="1">IFERROR(__xludf.DUMMYFUNCTION("""COMPUTED_VALUE"""),"In proceeding of the E-Learning II and the Knowledge Society conference, 6-7 September, 2005, Berlin, Germany, pp. 245-254, ISBN: 9070963922")</f>
        <v>In proceeding of the E-Learning II and the Knowledge Society conference, 6-7 September, 2005, Berlin, Germany, pp. 245-254, ISBN: 9070963922</v>
      </c>
      <c r="F2586" s="10" t="str">
        <f ca="1">IFERROR(__xludf.DUMMYFUNCTION("""COMPUTED_VALUE"""),"Google Scholar")</f>
        <v>Google Scholar</v>
      </c>
      <c r="G2586" s="10" t="str">
        <f ca="1">IFERROR(__xludf.DUMMYFUNCTION("""COMPUTED_VALUE"""),"Boytcheva S")</f>
        <v>Boytcheva S</v>
      </c>
      <c r="H2586" s="10"/>
      <c r="I2586" s="10"/>
      <c r="J2586" s="10"/>
      <c r="K2586" s="10"/>
      <c r="L2586" s="10"/>
      <c r="M2586" s="10"/>
      <c r="N2586" s="10"/>
      <c r="O2586" s="10"/>
      <c r="P2586" s="10"/>
      <c r="Q2586" s="10"/>
      <c r="R2586" s="10"/>
      <c r="S2586" s="10"/>
      <c r="T2586" s="10"/>
      <c r="U2586" s="10"/>
      <c r="V2586" s="10"/>
      <c r="W2586" s="10"/>
      <c r="X2586" s="10"/>
      <c r="Y2586" s="10"/>
      <c r="Z2586" s="10"/>
    </row>
    <row r="2587" spans="1:26" ht="12.75">
      <c r="A2587" s="10" t="str">
        <f ca="1">IFERROR(__xludf.DUMMYFUNCTION("""COMPUTED_VALUE"""),"Евгения Петрова Ковачева")</f>
        <v>Евгения Петрова Ковачева</v>
      </c>
      <c r="B2587" s="10" t="str">
        <f ca="1">IFERROR(__xludf.DUMMYFUNCTION("""COMPUTED_VALUE"""),"Доклад от конференция")</f>
        <v>Доклад от конференция</v>
      </c>
      <c r="C2587" s="10" t="str">
        <f ca="1">IFERROR(__xludf.DUMMYFUNCTION("""COMPUTED_VALUE"""),"e-Learning for e-Learning: Reflection on Teacher and Student Experiences in an e-Learning Course.")</f>
        <v>e-Learning for e-Learning: Reflection on Teacher and Student Experiences in an e-Learning Course.</v>
      </c>
      <c r="D2587" s="10">
        <f ca="1">IFERROR(__xludf.DUMMYFUNCTION("""COMPUTED_VALUE"""),2005)</f>
        <v>2005</v>
      </c>
      <c r="E2587" s="10" t="str">
        <f ca="1">IFERROR(__xludf.DUMMYFUNCTION("""COMPUTED_VALUE"""),"In Proceedings, 2-nd Balkan Conference on Informatics, 17-19 Nov, 2005, Ohrid, Macedonia. pp. 211-219. ISBN 9989-668-49-3")</f>
        <v>In Proceedings, 2-nd Balkan Conference on Informatics, 17-19 Nov, 2005, Ohrid, Macedonia. pp. 211-219. ISBN 9989-668-49-3</v>
      </c>
      <c r="F2587" s="10" t="str">
        <f ca="1">IFERROR(__xludf.DUMMYFUNCTION("""COMPUTED_VALUE"""),"Google Scholar")</f>
        <v>Google Scholar</v>
      </c>
      <c r="G2587" s="10" t="str">
        <f ca="1">IFERROR(__xludf.DUMMYFUNCTION("""COMPUTED_VALUE"""),"И. Николова, Р. Николов, Ев. Ковачева")</f>
        <v>И. Николова, Р. Николов, Ев. Ковачева</v>
      </c>
      <c r="H2587" s="10"/>
      <c r="I2587" s="10"/>
      <c r="J2587" s="10"/>
      <c r="K2587" s="10"/>
      <c r="L2587" s="10"/>
      <c r="M2587" s="10"/>
      <c r="N2587" s="10"/>
      <c r="O2587" s="10"/>
      <c r="P2587" s="10"/>
      <c r="Q2587" s="10"/>
      <c r="R2587" s="10"/>
      <c r="S2587" s="10"/>
      <c r="T2587" s="10"/>
      <c r="U2587" s="10"/>
      <c r="V2587" s="10"/>
      <c r="W2587" s="10"/>
      <c r="X2587" s="10"/>
      <c r="Y2587" s="10"/>
      <c r="Z2587" s="10"/>
    </row>
    <row r="2588" spans="1:26" ht="12.75">
      <c r="A2588" s="10" t="str">
        <f ca="1">IFERROR(__xludf.DUMMYFUNCTION("""COMPUTED_VALUE"""),"Евгения Петрова Ковачева")</f>
        <v>Евгения Петрова Ковачева</v>
      </c>
      <c r="B2588" s="10" t="str">
        <f ca="1">IFERROR(__xludf.DUMMYFUNCTION("""COMPUTED_VALUE"""),"Доклад от конференция")</f>
        <v>Доклад от конференция</v>
      </c>
      <c r="C2588" s="10" t="str">
        <f ca="1">IFERROR(__xludf.DUMMYFUNCTION("""COMPUTED_VALUE"""),"e-Learning for e-Learning: Reflection on Teacher and Student Experiences in an e-Learning Course")</f>
        <v>e-Learning for e-Learning: Reflection on Teacher and Student Experiences in an e-Learning Course</v>
      </c>
      <c r="D2588" s="10">
        <f ca="1">IFERROR(__xludf.DUMMYFUNCTION("""COMPUTED_VALUE"""),2005)</f>
        <v>2005</v>
      </c>
      <c r="E2588" s="10" t="str">
        <f ca="1">IFERROR(__xludf.DUMMYFUNCTION("""COMPUTED_VALUE"""),"In Proceedings, 2-nd Balkan Conference on Informatics, 17-19 Nov, 2005, Ohrid, Macedonia. pp. 211-219.")</f>
        <v>In Proceedings, 2-nd Balkan Conference on Informatics, 17-19 Nov, 2005, Ohrid, Macedonia. pp. 211-219.</v>
      </c>
      <c r="F2588" s="10"/>
      <c r="G2588" s="10" t="str">
        <f ca="1">IFERROR(__xludf.DUMMYFUNCTION("""COMPUTED_VALUE"""),"Nikolova I., Nikolov R., Kovatcheva E.")</f>
        <v>Nikolova I., Nikolov R., Kovatcheva E.</v>
      </c>
      <c r="H2588" s="10"/>
      <c r="I2588" s="10"/>
      <c r="J2588" s="10"/>
      <c r="K2588" s="10"/>
      <c r="L2588" s="10"/>
      <c r="M2588" s="10"/>
      <c r="N2588" s="10"/>
      <c r="O2588" s="10"/>
      <c r="P2588" s="10"/>
      <c r="Q2588" s="10"/>
      <c r="R2588" s="10"/>
      <c r="S2588" s="10"/>
      <c r="T2588" s="10"/>
      <c r="U2588" s="10"/>
      <c r="V2588" s="10"/>
      <c r="W2588" s="10"/>
      <c r="X2588" s="10"/>
      <c r="Y2588" s="10"/>
      <c r="Z2588" s="10"/>
    </row>
    <row r="2589" spans="1:26" ht="12.75">
      <c r="A2589" s="10" t="str">
        <f ca="1">IFERROR(__xludf.DUMMYFUNCTION("""COMPUTED_VALUE"""),"Евгения Петрова Ковачева")</f>
        <v>Евгения Петрова Ковачева</v>
      </c>
      <c r="B2589" s="10" t="str">
        <f ca="1">IFERROR(__xludf.DUMMYFUNCTION("""COMPUTED_VALUE"""),"Доклад от конференция")</f>
        <v>Доклад от конференция</v>
      </c>
      <c r="C2589" s="10" t="str">
        <f ca="1">IFERROR(__xludf.DUMMYFUNCTION("""COMPUTED_VALUE"""),"E-Learning for Enhancing Management Skills")</f>
        <v>E-Learning for Enhancing Management Skills</v>
      </c>
      <c r="D2589" s="10">
        <f ca="1">IFERROR(__xludf.DUMMYFUNCTION("""COMPUTED_VALUE"""),2005)</f>
        <v>2005</v>
      </c>
      <c r="E2589" s="10" t="str">
        <f ca="1">IFERROR(__xludf.DUMMYFUNCTION("""COMPUTED_VALUE"""),"In Proceedings, International Conference on E-learning , 6-7 Sept, 2005,Berlin, Germany. pp. 235-244")</f>
        <v>In Proceedings, International Conference on E-learning , 6-7 Sept, 2005,Berlin, Germany. pp. 235-244</v>
      </c>
      <c r="F2589" s="10"/>
      <c r="G2589" s="10" t="str">
        <f ca="1">IFERROR(__xludf.DUMMYFUNCTION("""COMPUTED_VALUE"""),"Nikolova I., Luck P., Kovatcheva E")</f>
        <v>Nikolova I., Luck P., Kovatcheva E</v>
      </c>
      <c r="H2589" s="10"/>
      <c r="I2589" s="10"/>
      <c r="J2589" s="10"/>
      <c r="K2589" s="10"/>
      <c r="L2589" s="10"/>
      <c r="M2589" s="10"/>
      <c r="N2589" s="10"/>
      <c r="O2589" s="10"/>
      <c r="P2589" s="10"/>
      <c r="Q2589" s="10"/>
      <c r="R2589" s="10"/>
      <c r="S2589" s="10"/>
      <c r="T2589" s="10"/>
      <c r="U2589" s="10"/>
      <c r="V2589" s="10"/>
      <c r="W2589" s="10"/>
      <c r="X2589" s="10"/>
      <c r="Y2589" s="10"/>
      <c r="Z2589" s="10"/>
    </row>
    <row r="2590" spans="1:26" ht="12.75">
      <c r="A2590" s="10" t="str">
        <f ca="1">IFERROR(__xludf.DUMMYFUNCTION("""COMPUTED_VALUE"""),"Евгения Петрова Ковачева")</f>
        <v>Евгения Петрова Ковачева</v>
      </c>
      <c r="B2590" s="10" t="str">
        <f ca="1">IFERROR(__xludf.DUMMYFUNCTION("""COMPUTED_VALUE"""),"Доклад от конференция")</f>
        <v>Доклад от конференция</v>
      </c>
      <c r="C2590" s="10" t="str">
        <f ca="1">IFERROR(__xludf.DUMMYFUNCTION("""COMPUTED_VALUE"""),"Development of Adaptive e-Learning System Based on Learning Objects")</f>
        <v>Development of Adaptive e-Learning System Based on Learning Objects</v>
      </c>
      <c r="D2590" s="10">
        <f ca="1">IFERROR(__xludf.DUMMYFUNCTION("""COMPUTED_VALUE"""),2005)</f>
        <v>2005</v>
      </c>
      <c r="E2590" s="10" t="str">
        <f ca="1">IFERROR(__xludf.DUMMYFUNCTION("""COMPUTED_VALUE"""),"In Proceedings, International Conference on E-learning , 6-7 Sept, 2005,Berlin, Germany. pp. 245-254")</f>
        <v>In Proceedings, International Conference on E-learning , 6-7 Sept, 2005,Berlin, Germany. pp. 245-254</v>
      </c>
      <c r="F2590" s="10"/>
      <c r="G2590" s="10" t="str">
        <f ca="1">IFERROR(__xludf.DUMMYFUNCTION("""COMPUTED_VALUE"""),"Boytcheva S., Kovatcheva E.")</f>
        <v>Boytcheva S., Kovatcheva E.</v>
      </c>
      <c r="H2590" s="10"/>
      <c r="I2590" s="10"/>
      <c r="J2590" s="10"/>
      <c r="K2590" s="10"/>
      <c r="L2590" s="10"/>
      <c r="M2590" s="10"/>
      <c r="N2590" s="10"/>
      <c r="O2590" s="10"/>
      <c r="P2590" s="10"/>
      <c r="Q2590" s="10"/>
      <c r="R2590" s="10"/>
      <c r="S2590" s="10"/>
      <c r="T2590" s="10"/>
      <c r="U2590" s="10"/>
      <c r="V2590" s="10"/>
      <c r="W2590" s="10"/>
      <c r="X2590" s="10"/>
      <c r="Y2590" s="10"/>
      <c r="Z2590" s="10"/>
    </row>
    <row r="2591" spans="1:26" ht="12.75">
      <c r="A2591" s="10" t="str">
        <f ca="1">IFERROR(__xludf.DUMMYFUNCTION("""COMPUTED_VALUE"""),"Евгения Петрова Ковачева")</f>
        <v>Евгения Петрова Ковачева</v>
      </c>
      <c r="B2591" s="10" t="str">
        <f ca="1">IFERROR(__xludf.DUMMYFUNCTION("""COMPUTED_VALUE"""),"Статия в списания и поредици")</f>
        <v>Статия в списания и поредици</v>
      </c>
      <c r="C2591" s="10" t="str">
        <f ca="1">IFERROR(__xludf.DUMMYFUNCTION("""COMPUTED_VALUE"""),"Web-based youth communities in the light of cyberspace psychology,")</f>
        <v>Web-based youth communities in the light of cyberspace psychology,</v>
      </c>
      <c r="D2591" s="10">
        <f ca="1">IFERROR(__xludf.DUMMYFUNCTION("""COMPUTED_VALUE"""),2004)</f>
        <v>2004</v>
      </c>
      <c r="E2591" s="10" t="str">
        <f ca="1">IFERROR(__xludf.DUMMYFUNCTION("""COMPUTED_VALUE"""),"ISSN 1477-8394, Interscience Enterprises Ltd, UK, Int. J. Web Based Communities, Vol.1, No. 1, 2004, pp 46-57.")</f>
        <v>ISSN 1477-8394, Interscience Enterprises Ltd, UK, Int. J. Web Based Communities, Vol.1, No. 1, 2004, pp 46-57.</v>
      </c>
      <c r="F2591" s="10" t="str">
        <f ca="1">IFERROR(__xludf.DUMMYFUNCTION("""COMPUTED_VALUE"""),"Scopus
 https://www.scopus.com/sourceid/19700186821")</f>
        <v>Scopus
 https://www.scopus.com/sourceid/19700186821</v>
      </c>
      <c r="G2591" s="10" t="str">
        <f ca="1">IFERROR(__xludf.DUMMYFUNCTION("""COMPUTED_VALUE"""),"Е. Ковачева, П. Комерс")</f>
        <v>Е. Ковачева, П. Комерс</v>
      </c>
      <c r="H2591" s="10"/>
      <c r="I2591" s="10"/>
      <c r="J2591" s="10"/>
      <c r="K2591" s="10"/>
      <c r="L2591" s="10"/>
      <c r="M2591" s="10"/>
      <c r="N2591" s="10"/>
      <c r="O2591" s="10"/>
      <c r="P2591" s="10"/>
      <c r="Q2591" s="10"/>
      <c r="R2591" s="10"/>
      <c r="S2591" s="10"/>
      <c r="T2591" s="10"/>
      <c r="U2591" s="10"/>
      <c r="V2591" s="10"/>
      <c r="W2591" s="10"/>
      <c r="X2591" s="10"/>
      <c r="Y2591" s="10"/>
      <c r="Z2591" s="10"/>
    </row>
    <row r="2592" spans="1:26" ht="12.75">
      <c r="A2592" s="10" t="str">
        <f ca="1">IFERROR(__xludf.DUMMYFUNCTION("""COMPUTED_VALUE"""),"Евгения Петрова Ковачева")</f>
        <v>Евгения Петрова Ковачева</v>
      </c>
      <c r="B2592" s="10" t="str">
        <f ca="1">IFERROR(__xludf.DUMMYFUNCTION("""COMPUTED_VALUE"""),"Доклад от конференция")</f>
        <v>Доклад от конференция</v>
      </c>
      <c r="C2592" s="10" t="str">
        <f ca="1">IFERROR(__xludf.DUMMYFUNCTION("""COMPUTED_VALUE"""),"Web-based youth communities in the light of cyberspace psychology")</f>
        <v>Web-based youth communities in the light of cyberspace psychology</v>
      </c>
      <c r="D2592" s="10">
        <f ca="1">IFERROR(__xludf.DUMMYFUNCTION("""COMPUTED_VALUE"""),2004)</f>
        <v>2004</v>
      </c>
      <c r="E2592" s="10" t="str">
        <f ca="1">IFERROR(__xludf.DUMMYFUNCTION("""COMPUTED_VALUE"""),"International Journal of Web Based Communities (IJWBC), Vol.1 - Issue 1 – 2004, pp. 46 - 57")</f>
        <v>International Journal of Web Based Communities (IJWBC), Vol.1 - Issue 1 – 2004, pp. 46 - 57</v>
      </c>
      <c r="F2592" s="10"/>
      <c r="G2592" s="10" t="str">
        <f ca="1">IFERROR(__xludf.DUMMYFUNCTION("""COMPUTED_VALUE"""),"Kovatcheva E., Kommers P.,")</f>
        <v>Kovatcheva E., Kommers P.,</v>
      </c>
      <c r="H2592" s="10"/>
      <c r="I2592" s="10"/>
      <c r="J2592" s="10"/>
      <c r="K2592" s="10"/>
      <c r="L2592" s="10"/>
      <c r="M2592" s="10"/>
      <c r="N2592" s="10"/>
      <c r="O2592" s="10"/>
      <c r="P2592" s="10"/>
      <c r="Q2592" s="10"/>
      <c r="R2592" s="10"/>
      <c r="S2592" s="10"/>
      <c r="T2592" s="10"/>
      <c r="U2592" s="10"/>
      <c r="V2592" s="10"/>
      <c r="W2592" s="10"/>
      <c r="X2592" s="10"/>
      <c r="Y2592" s="10"/>
      <c r="Z2592" s="10"/>
    </row>
    <row r="2593" spans="1:26" ht="12.75">
      <c r="A2593" s="10" t="str">
        <f ca="1">IFERROR(__xludf.DUMMYFUNCTION("""COMPUTED_VALUE"""),"Евгения Петрова Ковачева")</f>
        <v>Евгения Петрова Ковачева</v>
      </c>
      <c r="B2593" s="10" t="str">
        <f ca="1">IFERROR(__xludf.DUMMYFUNCTION("""COMPUTED_VALUE"""),"Статия в списания и поредици")</f>
        <v>Статия в списания и поредици</v>
      </c>
      <c r="C2593" s="10" t="str">
        <f ca="1">IFERROR(__xludf.DUMMYFUNCTION("""COMPUTED_VALUE"""),"Cyber psychology – Internet Psychology")</f>
        <v>Cyber psychology – Internet Psychology</v>
      </c>
      <c r="D2593" s="10">
        <f ca="1">IFERROR(__xludf.DUMMYFUNCTION("""COMPUTED_VALUE"""),2003)</f>
        <v>2003</v>
      </c>
      <c r="E2593" s="10" t="str">
        <f ca="1">IFERROR(__xludf.DUMMYFUNCTION("""COMPUTED_VALUE"""),"Journal PC Magazin, 09, 2003")</f>
        <v>Journal PC Magazin, 09, 2003</v>
      </c>
      <c r="F2593" s="10"/>
      <c r="G2593" s="10" t="str">
        <f ca="1">IFERROR(__xludf.DUMMYFUNCTION("""COMPUTED_VALUE"""),"Kovatcheva E.")</f>
        <v>Kovatcheva E.</v>
      </c>
      <c r="H2593" s="10"/>
      <c r="I2593" s="10"/>
      <c r="J2593" s="10"/>
      <c r="K2593" s="10"/>
      <c r="L2593" s="10"/>
      <c r="M2593" s="10"/>
      <c r="N2593" s="10"/>
      <c r="O2593" s="10"/>
      <c r="P2593" s="10"/>
      <c r="Q2593" s="10"/>
      <c r="R2593" s="10"/>
      <c r="S2593" s="10"/>
      <c r="T2593" s="10"/>
      <c r="U2593" s="10"/>
      <c r="V2593" s="10"/>
      <c r="W2593" s="10"/>
      <c r="X2593" s="10"/>
      <c r="Y2593" s="10"/>
      <c r="Z2593" s="10"/>
    </row>
    <row r="2594" spans="1:26" ht="12.75">
      <c r="A2594" s="10" t="str">
        <f ca="1">IFERROR(__xludf.DUMMYFUNCTION("""COMPUTED_VALUE"""),"Евгения Петрова Ковачева")</f>
        <v>Евгения Петрова Ковачева</v>
      </c>
      <c r="B2594" s="10" t="str">
        <f ca="1">IFERROR(__xludf.DUMMYFUNCTION("""COMPUTED_VALUE"""),"Статия в списания и поредици")</f>
        <v>Статия в списания и поредици</v>
      </c>
      <c r="C2594" s="10" t="str">
        <f ca="1">IFERROR(__xludf.DUMMYFUNCTION("""COMPUTED_VALUE"""),"ICT Influence on Bulgarian Students")</f>
        <v>ICT Influence on Bulgarian Students</v>
      </c>
      <c r="D2594" s="10">
        <f ca="1">IFERROR(__xludf.DUMMYFUNCTION("""COMPUTED_VALUE"""),2003)</f>
        <v>2003</v>
      </c>
      <c r="E2594" s="10" t="str">
        <f ca="1">IFERROR(__xludf.DUMMYFUNCTION("""COMPUTED_VALUE"""),"International Congress MASSEE, 2003, Borovetc, Bulgaria, 15-21 September, 2003, pp 50-54")</f>
        <v>International Congress MASSEE, 2003, Borovetc, Bulgaria, 15-21 September, 2003, pp 50-54</v>
      </c>
      <c r="F2594" s="10"/>
      <c r="G2594" s="10" t="str">
        <f ca="1">IFERROR(__xludf.DUMMYFUNCTION("""COMPUTED_VALUE"""),"77. Kovatcheva E.")</f>
        <v>77. Kovatcheva E.</v>
      </c>
      <c r="H2594" s="10"/>
      <c r="I2594" s="10"/>
      <c r="J2594" s="10"/>
      <c r="K2594" s="10"/>
      <c r="L2594" s="10"/>
      <c r="M2594" s="10"/>
      <c r="N2594" s="10"/>
      <c r="O2594" s="10"/>
      <c r="P2594" s="10"/>
      <c r="Q2594" s="10"/>
      <c r="R2594" s="10"/>
      <c r="S2594" s="10"/>
      <c r="T2594" s="10"/>
      <c r="U2594" s="10"/>
      <c r="V2594" s="10"/>
      <c r="W2594" s="10"/>
      <c r="X2594" s="10"/>
      <c r="Y2594" s="10"/>
      <c r="Z2594" s="10"/>
    </row>
    <row r="2595" spans="1:26" ht="12.75">
      <c r="A2595" s="10" t="str">
        <f ca="1">IFERROR(__xludf.DUMMYFUNCTION("""COMPUTED_VALUE"""),"Евгения Петрова Ковачева")</f>
        <v>Евгения Петрова Ковачева</v>
      </c>
      <c r="B2595" s="10" t="str">
        <f ca="1">IFERROR(__xludf.DUMMYFUNCTION("""COMPUTED_VALUE"""),"Доклад от конференция")</f>
        <v>Доклад от конференция</v>
      </c>
      <c r="C2595" s="10" t="str">
        <f ca="1">IFERROR(__xludf.DUMMYFUNCTION("""COMPUTED_VALUE"""),"The Cyberspace impact on the Bulgarian students")</f>
        <v>The Cyberspace impact on the Bulgarian students</v>
      </c>
      <c r="D2595" s="10">
        <f ca="1">IFERROR(__xludf.DUMMYFUNCTION("""COMPUTED_VALUE"""),2003)</f>
        <v>2003</v>
      </c>
      <c r="E2595" s="10" t="str">
        <f ca="1">IFERROR(__xludf.DUMMYFUNCTION("""COMPUTED_VALUE"""),"Int. Conference on Multimedia and Information &amp; Communication Technologies in Education, m-ICTE 2003, Badajoz, Spain, December 3-6th 2003, pp 259-262")</f>
        <v>Int. Conference on Multimedia and Information &amp; Communication Technologies in Education, m-ICTE 2003, Badajoz, Spain, December 3-6th 2003, pp 259-262</v>
      </c>
      <c r="F2595" s="10"/>
      <c r="G2595" s="10" t="str">
        <f ca="1">IFERROR(__xludf.DUMMYFUNCTION("""COMPUTED_VALUE"""),"Kovatcheva E.")</f>
        <v>Kovatcheva E.</v>
      </c>
      <c r="H2595" s="10"/>
      <c r="I2595" s="10"/>
      <c r="J2595" s="10"/>
      <c r="K2595" s="10"/>
      <c r="L2595" s="10"/>
      <c r="M2595" s="10"/>
      <c r="N2595" s="10"/>
      <c r="O2595" s="10"/>
      <c r="P2595" s="10"/>
      <c r="Q2595" s="10"/>
      <c r="R2595" s="10"/>
      <c r="S2595" s="10"/>
      <c r="T2595" s="10"/>
      <c r="U2595" s="10"/>
      <c r="V2595" s="10"/>
      <c r="W2595" s="10"/>
      <c r="X2595" s="10"/>
      <c r="Y2595" s="10"/>
      <c r="Z2595" s="10"/>
    </row>
    <row r="2596" spans="1:26" ht="12.75">
      <c r="A2596" s="10" t="str">
        <f ca="1">IFERROR(__xludf.DUMMYFUNCTION("""COMPUTED_VALUE"""),"Евгения Петрова Ковачева")</f>
        <v>Евгения Петрова Ковачева</v>
      </c>
      <c r="B2596" s="10" t="str">
        <f ca="1">IFERROR(__xludf.DUMMYFUNCTION("""COMPUTED_VALUE"""),"Доклад от конференция")</f>
        <v>Доклад от конференция</v>
      </c>
      <c r="C2596" s="10" t="str">
        <f ca="1">IFERROR(__xludf.DUMMYFUNCTION("""COMPUTED_VALUE"""),"The Cyberspace impact on the Bulgarian students")</f>
        <v>The Cyberspace impact on the Bulgarian students</v>
      </c>
      <c r="D2596" s="10">
        <f ca="1">IFERROR(__xludf.DUMMYFUNCTION("""COMPUTED_VALUE"""),2003)</f>
        <v>2003</v>
      </c>
      <c r="E2596" s="10" t="str">
        <f ca="1">IFERROR(__xludf.DUMMYFUNCTION("""COMPUTED_VALUE"""),"Int. Conference on Multimedia and Information &amp; Communication Technologies in Education, m-ICTE 2003, Badajoz, Spain, December 3-6, 2003, pp 259-262, Ed.: A. Méndez-Vilas Pub.: Junta de Extremadura, ISBN (10): Vol.1 84-96212-10-6; Vol.2 84-96212-11-4; Vol"&amp;". 3 84-96212-12-2")</f>
        <v>Int. Conference on Multimedia and Information &amp; Communication Technologies in Education, m-ICTE 2003, Badajoz, Spain, December 3-6, 2003, pp 259-262, Ed.: A. Méndez-Vilas Pub.: Junta de Extremadura, ISBN (10): Vol.1 84-96212-10-6; Vol.2 84-96212-11-4; Vol. 3 84-96212-12-2</v>
      </c>
      <c r="F2596" s="10"/>
      <c r="G2596" s="10"/>
      <c r="H2596" s="10"/>
      <c r="I2596" s="10"/>
      <c r="J2596" s="10"/>
      <c r="K2596" s="10"/>
      <c r="L2596" s="10"/>
      <c r="M2596" s="10"/>
      <c r="N2596" s="10"/>
      <c r="O2596" s="10"/>
      <c r="P2596" s="10"/>
      <c r="Q2596" s="10"/>
      <c r="R2596" s="10"/>
      <c r="S2596" s="10"/>
      <c r="T2596" s="10"/>
      <c r="U2596" s="10"/>
      <c r="V2596" s="10"/>
      <c r="W2596" s="10"/>
      <c r="X2596" s="10"/>
      <c r="Y2596" s="10"/>
      <c r="Z2596" s="10"/>
    </row>
    <row r="2597" spans="1:26" ht="12.75">
      <c r="A2597" s="10" t="str">
        <f ca="1">IFERROR(__xludf.DUMMYFUNCTION("""COMPUTED_VALUE"""),"Евгения Петрова Ковачева")</f>
        <v>Евгения Петрова Ковачева</v>
      </c>
      <c r="B2597" s="10" t="str">
        <f ca="1">IFERROR(__xludf.DUMMYFUNCTION("""COMPUTED_VALUE"""),"Доклад от конференция")</f>
        <v>Доклад от конференция</v>
      </c>
      <c r="C2597" s="10" t="str">
        <f ca="1">IFERROR(__xludf.DUMMYFUNCTION("""COMPUTED_VALUE"""),"The experience of other. Tendency to development of Call centres")</f>
        <v>The experience of other. Tendency to development of Call centres</v>
      </c>
      <c r="D2597" s="10">
        <f ca="1">IFERROR(__xludf.DUMMYFUNCTION("""COMPUTED_VALUE"""),2002)</f>
        <v>2002</v>
      </c>
      <c r="E2597" s="10" t="str">
        <f ca="1">IFERROR(__xludf.DUMMYFUNCTION("""COMPUTED_VALUE"""),"National Conference – Call Centres, 17.05.2002, Sofia")</f>
        <v>National Conference – Call Centres, 17.05.2002, Sofia</v>
      </c>
      <c r="F2597" s="10"/>
      <c r="G2597" s="10" t="str">
        <f ca="1">IFERROR(__xludf.DUMMYFUNCTION("""COMPUTED_VALUE"""),"Kovatcheva E.")</f>
        <v>Kovatcheva E.</v>
      </c>
      <c r="H2597" s="10"/>
      <c r="I2597" s="10"/>
      <c r="J2597" s="10"/>
      <c r="K2597" s="10"/>
      <c r="L2597" s="10"/>
      <c r="M2597" s="10"/>
      <c r="N2597" s="10"/>
      <c r="O2597" s="10"/>
      <c r="P2597" s="10"/>
      <c r="Q2597" s="10"/>
      <c r="R2597" s="10"/>
      <c r="S2597" s="10"/>
      <c r="T2597" s="10"/>
      <c r="U2597" s="10"/>
      <c r="V2597" s="10"/>
      <c r="W2597" s="10"/>
      <c r="X2597" s="10"/>
      <c r="Y2597" s="10"/>
      <c r="Z2597" s="10"/>
    </row>
    <row r="2598" spans="1:26" ht="12.75">
      <c r="A2598" s="10" t="str">
        <f ca="1">IFERROR(__xludf.DUMMYFUNCTION("""COMPUTED_VALUE"""),"Евгения Петрова Ковачева")</f>
        <v>Евгения Петрова Ковачева</v>
      </c>
      <c r="B2598" s="10" t="str">
        <f ca="1">IFERROR(__xludf.DUMMYFUNCTION("""COMPUTED_VALUE"""),"Статия в списания и поредици")</f>
        <v>Статия в списания и поредици</v>
      </c>
      <c r="C2598" s="10" t="str">
        <f ca="1">IFERROR(__xludf.DUMMYFUNCTION("""COMPUTED_VALUE"""),"Call Centres - Development Tendencies")</f>
        <v>Call Centres - Development Tendencies</v>
      </c>
      <c r="D2598" s="10">
        <f ca="1">IFERROR(__xludf.DUMMYFUNCTION("""COMPUTED_VALUE"""),2002)</f>
        <v>2002</v>
      </c>
      <c r="E2598" s="10" t="str">
        <f ca="1">IFERROR(__xludf.DUMMYFUNCTION("""COMPUTED_VALUE"""),"Journal Automatics &amp; Informatics, 4, 2002, pp.33-36")</f>
        <v>Journal Automatics &amp; Informatics, 4, 2002, pp.33-36</v>
      </c>
      <c r="F2598" s="10"/>
      <c r="G2598" s="10" t="str">
        <f ca="1">IFERROR(__xludf.DUMMYFUNCTION("""COMPUTED_VALUE"""),"Kovatcheva E.")</f>
        <v>Kovatcheva E.</v>
      </c>
      <c r="H2598" s="10"/>
      <c r="I2598" s="10"/>
      <c r="J2598" s="10"/>
      <c r="K2598" s="10"/>
      <c r="L2598" s="10"/>
      <c r="M2598" s="10"/>
      <c r="N2598" s="10"/>
      <c r="O2598" s="10"/>
      <c r="P2598" s="10"/>
      <c r="Q2598" s="10"/>
      <c r="R2598" s="10"/>
      <c r="S2598" s="10"/>
      <c r="T2598" s="10"/>
      <c r="U2598" s="10"/>
      <c r="V2598" s="10"/>
      <c r="W2598" s="10"/>
      <c r="X2598" s="10"/>
      <c r="Y2598" s="10"/>
      <c r="Z2598" s="10"/>
    </row>
    <row r="2599" spans="1:26" ht="12.75">
      <c r="A2599" s="10" t="str">
        <f ca="1">IFERROR(__xludf.DUMMYFUNCTION("""COMPUTED_VALUE"""),"Евгения Петрова Ковачева")</f>
        <v>Евгения Петрова Ковачева</v>
      </c>
      <c r="B2599" s="10" t="str">
        <f ca="1">IFERROR(__xludf.DUMMYFUNCTION("""COMPUTED_VALUE"""),"Доклад от конференция")</f>
        <v>Доклад от конференция</v>
      </c>
      <c r="C2599" s="10" t="str">
        <f ca="1">IFERROR(__xludf.DUMMYFUNCTION("""COMPUTED_VALUE"""),"Centre of Excellence in Information Society Technologies the Role of the University in Capacity Building Outside the University")</f>
        <v>Centre of Excellence in Information Society Technologies the Role of the University in Capacity Building Outside the University</v>
      </c>
      <c r="D2599" s="10">
        <f ca="1">IFERROR(__xludf.DUMMYFUNCTION("""COMPUTED_VALUE"""),2001)</f>
        <v>2001</v>
      </c>
      <c r="E2599" s="10" t="str">
        <f ca="1">IFERROR(__xludf.DUMMYFUNCTION("""COMPUTED_VALUE"""),"The Sixth International Conference on Information and Communications Technology in Public Administration ICTPA '01, 28-31.10.2001, Sinaia Romania")</f>
        <v>The Sixth International Conference on Information and Communications Technology in Public Administration ICTPA '01, 28-31.10.2001, Sinaia Romania</v>
      </c>
      <c r="F2599" s="10"/>
      <c r="G2599" s="10" t="str">
        <f ca="1">IFERROR(__xludf.DUMMYFUNCTION("""COMPUTED_VALUE"""),"Nikolov R., Stefanov K, Kovatcheva E., Stefanova E.")</f>
        <v>Nikolov R., Stefanov K, Kovatcheva E., Stefanova E.</v>
      </c>
      <c r="H2599" s="10"/>
      <c r="I2599" s="10"/>
      <c r="J2599" s="10"/>
      <c r="K2599" s="10"/>
      <c r="L2599" s="10"/>
      <c r="M2599" s="10"/>
      <c r="N2599" s="10"/>
      <c r="O2599" s="10"/>
      <c r="P2599" s="10"/>
      <c r="Q2599" s="10"/>
      <c r="R2599" s="10"/>
      <c r="S2599" s="10"/>
      <c r="T2599" s="10"/>
      <c r="U2599" s="10"/>
      <c r="V2599" s="10"/>
      <c r="W2599" s="10"/>
      <c r="X2599" s="10"/>
      <c r="Y2599" s="10"/>
      <c r="Z2599" s="10"/>
    </row>
    <row r="2600" spans="1:26" ht="12.75">
      <c r="A2600" s="10" t="str">
        <f ca="1">IFERROR(__xludf.DUMMYFUNCTION("""COMPUTED_VALUE"""),"Евгения Петрова Ковачева")</f>
        <v>Евгения Петрова Ковачева</v>
      </c>
      <c r="B2600" s="10" t="str">
        <f ca="1">IFERROR(__xludf.DUMMYFUNCTION("""COMPUTED_VALUE"""),"Книга")</f>
        <v>Книга</v>
      </c>
      <c r="C2600" s="10" t="str">
        <f ca="1">IFERROR(__xludf.DUMMYFUNCTION("""COMPUTED_VALUE"""),"How to find something in the Internet?")</f>
        <v>How to find something in the Internet?</v>
      </c>
      <c r="D2600" s="10">
        <f ca="1">IFERROR(__xludf.DUMMYFUNCTION("""COMPUTED_VALUE"""),1999)</f>
        <v>1999</v>
      </c>
      <c r="E2600" s="10" t="str">
        <f ca="1">IFERROR(__xludf.DUMMYFUNCTION("""COMPUTED_VALUE"""),"TopTeam Co. 1999, ISBN 954-89232-08")</f>
        <v>TopTeam Co. 1999, ISBN 954-89232-08</v>
      </c>
      <c r="F2600" s="10"/>
      <c r="G2600" s="10" t="str">
        <f ca="1">IFERROR(__xludf.DUMMYFUNCTION("""COMPUTED_VALUE"""),"13. Kovatcheva E.")</f>
        <v>13. Kovatcheva E.</v>
      </c>
      <c r="H2600" s="10"/>
      <c r="I2600" s="10"/>
      <c r="J2600" s="10"/>
      <c r="K2600" s="10"/>
      <c r="L2600" s="10"/>
      <c r="M2600" s="10"/>
      <c r="N2600" s="10"/>
      <c r="O2600" s="10"/>
      <c r="P2600" s="10"/>
      <c r="Q2600" s="10"/>
      <c r="R2600" s="10"/>
      <c r="S2600" s="10"/>
      <c r="T2600" s="10"/>
      <c r="U2600" s="10"/>
      <c r="V2600" s="10"/>
      <c r="W2600" s="10"/>
      <c r="X2600" s="10"/>
      <c r="Y2600" s="10"/>
      <c r="Z2600" s="10"/>
    </row>
    <row r="2601" spans="1:26" ht="12.75">
      <c r="A2601" s="10" t="str">
        <f ca="1">IFERROR(__xludf.DUMMYFUNCTION("""COMPUTED_VALUE"""),"Евгения Стефанова Русинова")</f>
        <v>Евгения Стефанова Русинова</v>
      </c>
      <c r="B2601" s="10" t="str">
        <f ca="1">IFERROR(__xludf.DUMMYFUNCTION("""COMPUTED_VALUE"""),"Доклад от конференция")</f>
        <v>Доклад от конференция</v>
      </c>
      <c r="C2601" s="10" t="str">
        <f ca="1">IFERROR(__xludf.DUMMYFUNCTION("""COMPUTED_VALUE"""),"Три библиотечни правилника и поуките от тях")</f>
        <v>Три библиотечни правилника и поуките от тях</v>
      </c>
      <c r="D2601" s="10">
        <f ca="1">IFERROR(__xludf.DUMMYFUNCTION("""COMPUTED_VALUE"""),2020)</f>
        <v>2020</v>
      </c>
      <c r="E2601" s="10" t="str">
        <f ca="1">IFERROR(__xludf.DUMMYFUNCTION("""COMPUTED_VALUE"""),"// Библиотеки, четене, комуникации: XVIII национална научна конференция с международно участие. В. Търново, 2020 с .290 -297. ISSN1313-8138")</f>
        <v>// Библиотеки, четене, комуникации: XVIII национална научна конференция с международно участие. В. Търново, 2020 с .290 -297. ISSN1313-8138</v>
      </c>
      <c r="F2601" s="10"/>
      <c r="G2601" s="10"/>
      <c r="H2601" s="10"/>
      <c r="I2601" s="10"/>
      <c r="J2601" s="10"/>
      <c r="K2601" s="10"/>
      <c r="L2601" s="10"/>
      <c r="M2601" s="10"/>
      <c r="N2601" s="10"/>
      <c r="O2601" s="10"/>
      <c r="P2601" s="10"/>
      <c r="Q2601" s="10"/>
      <c r="R2601" s="10"/>
      <c r="S2601" s="10"/>
      <c r="T2601" s="10"/>
      <c r="U2601" s="10"/>
      <c r="V2601" s="10"/>
      <c r="W2601" s="10"/>
      <c r="X2601" s="10"/>
      <c r="Y2601" s="10"/>
      <c r="Z2601" s="10"/>
    </row>
    <row r="2602" spans="1:26" ht="12.75">
      <c r="A2602" s="10" t="str">
        <f ca="1">IFERROR(__xludf.DUMMYFUNCTION("""COMPUTED_VALUE"""),"Евгения Стефанова Русинова")</f>
        <v>Евгения Стефанова Русинова</v>
      </c>
      <c r="B2602" s="10" t="str">
        <f ca="1">IFERROR(__xludf.DUMMYFUNCTION("""COMPUTED_VALUE"""),"Доклад от конференция")</f>
        <v>Доклад от конференция</v>
      </c>
      <c r="C2602" s="10" t="str">
        <f ca="1">IFERROR(__xludf.DUMMYFUNCTION("""COMPUTED_VALUE"""),"Три библиотечни правилника и поуките от тях")</f>
        <v>Три библиотечни правилника и поуките от тях</v>
      </c>
      <c r="D2602" s="10">
        <f ca="1">IFERROR(__xludf.DUMMYFUNCTION("""COMPUTED_VALUE"""),2020)</f>
        <v>2020</v>
      </c>
      <c r="E2602" s="10" t="str">
        <f ca="1">IFERROR(__xludf.DUMMYFUNCTION("""COMPUTED_VALUE"""),"// Библиотеки, четене, комуникации: XVIII национална научна конференция с международно участие. В. Търново, 2020 с .290 -297. ISSN1313-8138")</f>
        <v>// Библиотеки, четене, комуникации: XVIII национална научна конференция с международно участие. В. Търново, 2020 с .290 -297. ISSN1313-8138</v>
      </c>
      <c r="F2602" s="10"/>
      <c r="G2602" s="10"/>
      <c r="H2602" s="10"/>
      <c r="I2602" s="10"/>
      <c r="J2602" s="10"/>
      <c r="K2602" s="10"/>
      <c r="L2602" s="10"/>
      <c r="M2602" s="10"/>
      <c r="N2602" s="10"/>
      <c r="O2602" s="10"/>
      <c r="P2602" s="10"/>
      <c r="Q2602" s="10"/>
      <c r="R2602" s="10"/>
      <c r="S2602" s="10"/>
      <c r="T2602" s="10"/>
      <c r="U2602" s="10"/>
      <c r="V2602" s="10"/>
      <c r="W2602" s="10"/>
      <c r="X2602" s="10"/>
      <c r="Y2602" s="10"/>
      <c r="Z2602" s="10"/>
    </row>
    <row r="2603" spans="1:26" ht="12.75">
      <c r="A2603" s="10" t="str">
        <f ca="1">IFERROR(__xludf.DUMMYFUNCTION("""COMPUTED_VALUE"""),"Евгения Стефанова Русинова")</f>
        <v>Евгения Стефанова Русинова</v>
      </c>
      <c r="B2603" s="10" t="str">
        <f ca="1">IFERROR(__xludf.DUMMYFUNCTION("""COMPUTED_VALUE"""),"Доклад от конференция")</f>
        <v>Доклад от конференция</v>
      </c>
      <c r="C2603" s="10" t="str">
        <f ca="1">IFERROR(__xludf.DUMMYFUNCTION("""COMPUTED_VALUE"""),"Проблеми на изобразителното изкуство в литературната периодика до 1944 г. европейски и национални прочити")</f>
        <v>Проблеми на изобразителното изкуство в литературната периодика до 1944 г. европейски и национални прочити</v>
      </c>
      <c r="D2603" s="10">
        <f ca="1">IFERROR(__xludf.DUMMYFUNCTION("""COMPUTED_VALUE"""),2019)</f>
        <v>2019</v>
      </c>
      <c r="E2603" s="10" t="str">
        <f ca="1">IFERROR(__xludf.DUMMYFUNCTION("""COMPUTED_VALUE"""),"// Изкуството в Европа.. модели и идентичности. Изкуствоведчески четения 2018. С, 2019, с. 437-446. 
  ISSN 1313-2342")</f>
        <v>// Изкуството в Европа.. модели и идентичности. Изкуствоведчески четения 2018. С, 2019, с. 437-446. 
  ISSN 1313-2342</v>
      </c>
      <c r="F2603" s="10"/>
      <c r="G2603" s="10"/>
      <c r="H2603" s="10"/>
      <c r="I2603" s="10"/>
      <c r="J2603" s="10"/>
      <c r="K2603" s="10"/>
      <c r="L2603" s="10"/>
      <c r="M2603" s="10"/>
      <c r="N2603" s="10"/>
      <c r="O2603" s="10"/>
      <c r="P2603" s="10"/>
      <c r="Q2603" s="10"/>
      <c r="R2603" s="10"/>
      <c r="S2603" s="10"/>
      <c r="T2603" s="10"/>
      <c r="U2603" s="10"/>
      <c r="V2603" s="10"/>
      <c r="W2603" s="10"/>
      <c r="X2603" s="10"/>
      <c r="Y2603" s="10"/>
      <c r="Z2603" s="10"/>
    </row>
    <row r="2604" spans="1:26" ht="12.75">
      <c r="A2604" s="10" t="str">
        <f ca="1">IFERROR(__xludf.DUMMYFUNCTION("""COMPUTED_VALUE"""),"Евгения Стефанова Русинова")</f>
        <v>Евгения Стефанова Русинова</v>
      </c>
      <c r="B2604" s="10" t="str">
        <f ca="1">IFERROR(__xludf.DUMMYFUNCTION("""COMPUTED_VALUE"""),"Доклад от конференция")</f>
        <v>Доклад от конференция</v>
      </c>
      <c r="C2604" s="10" t="str">
        <f ca="1">IFERROR(__xludf.DUMMYFUNCTION("""COMPUTED_VALUE"""),"Проблеми на изобразителното изкуство в литературната периодика до 1944 г. европейски и национални прочити")</f>
        <v>Проблеми на изобразителното изкуство в литературната периодика до 1944 г. европейски и национални прочити</v>
      </c>
      <c r="D2604" s="10">
        <f ca="1">IFERROR(__xludf.DUMMYFUNCTION("""COMPUTED_VALUE"""),2019)</f>
        <v>2019</v>
      </c>
      <c r="E2604" s="10" t="str">
        <f ca="1">IFERROR(__xludf.DUMMYFUNCTION("""COMPUTED_VALUE"""),"// Изкуството в Европа.. модели и идентичности. Изкуствоведчески четения 2018. С, 2019, с. 437-446. 
  ISSN 1313-2342")</f>
        <v>// Изкуството в Европа.. модели и идентичности. Изкуствоведчески четения 2018. С, 2019, с. 437-446. 
  ISSN 1313-2342</v>
      </c>
      <c r="F2604" s="10"/>
      <c r="G2604" s="10"/>
      <c r="H2604" s="10"/>
      <c r="I2604" s="10"/>
      <c r="J2604" s="10"/>
      <c r="K2604" s="10"/>
      <c r="L2604" s="10"/>
      <c r="M2604" s="10"/>
      <c r="N2604" s="10"/>
      <c r="O2604" s="10"/>
      <c r="P2604" s="10"/>
      <c r="Q2604" s="10"/>
      <c r="R2604" s="10"/>
      <c r="S2604" s="10"/>
      <c r="T2604" s="10"/>
      <c r="U2604" s="10"/>
      <c r="V2604" s="10"/>
      <c r="W2604" s="10"/>
      <c r="X2604" s="10"/>
      <c r="Y2604" s="10"/>
      <c r="Z2604" s="10"/>
    </row>
    <row r="2605" spans="1:26" ht="12.75">
      <c r="A2605" s="10" t="str">
        <f ca="1">IFERROR(__xludf.DUMMYFUNCTION("""COMPUTED_VALUE"""),"Евгения Стефанова Русинова")</f>
        <v>Евгения Стефанова Русинова</v>
      </c>
      <c r="B2605" s="10" t="str">
        <f ca="1">IFERROR(__xludf.DUMMYFUNCTION("""COMPUTED_VALUE"""),"Доклад от конференция")</f>
        <v>Доклад от конференция</v>
      </c>
      <c r="C2605" s="10" t="str">
        <f ca="1">IFERROR(__xludf.DUMMYFUNCTION("""COMPUTED_VALUE"""),"За реалното и мнимото място на една библиотека в социалното пространство")</f>
        <v>За реалното и мнимото място на една библиотека в социалното пространство</v>
      </c>
      <c r="D2605" s="10">
        <f ca="1">IFERROR(__xludf.DUMMYFUNCTION("""COMPUTED_VALUE"""),2019)</f>
        <v>2019</v>
      </c>
      <c r="E2605" s="10" t="str">
        <f ca="1">IFERROR(__xludf.DUMMYFUNCTION("""COMPUTED_VALUE"""),"// Сборнк с доклади от юбилейната национална научна конференция „16 десетилеитя от книжовно средище до навигатор за цифровия свят“, Пазарджик, 2019, с.73-78. ISBN: 978-619-91276-2-9")</f>
        <v>// Сборнк с доклади от юбилейната национална научна конференция „16 десетилеитя от книжовно средище до навигатор за цифровия свят“, Пазарджик, 2019, с.73-78. ISBN: 978-619-91276-2-9</v>
      </c>
      <c r="F2605" s="10"/>
      <c r="G2605" s="10"/>
      <c r="H2605" s="10"/>
      <c r="I2605" s="10"/>
      <c r="J2605" s="10"/>
      <c r="K2605" s="10"/>
      <c r="L2605" s="10"/>
      <c r="M2605" s="10"/>
      <c r="N2605" s="10"/>
      <c r="O2605" s="10"/>
      <c r="P2605" s="10"/>
      <c r="Q2605" s="10"/>
      <c r="R2605" s="10"/>
      <c r="S2605" s="10"/>
      <c r="T2605" s="10"/>
      <c r="U2605" s="10"/>
      <c r="V2605" s="10"/>
      <c r="W2605" s="10"/>
      <c r="X2605" s="10"/>
      <c r="Y2605" s="10"/>
      <c r="Z2605" s="10"/>
    </row>
    <row r="2606" spans="1:26" ht="12.75">
      <c r="A2606" s="10" t="str">
        <f ca="1">IFERROR(__xludf.DUMMYFUNCTION("""COMPUTED_VALUE"""),"Евгения Стефанова Русинова")</f>
        <v>Евгения Стефанова Русинова</v>
      </c>
      <c r="B2606" s="10" t="str">
        <f ca="1">IFERROR(__xludf.DUMMYFUNCTION("""COMPUTED_VALUE"""),"Статия в списания и поредици")</f>
        <v>Статия в списания и поредици</v>
      </c>
      <c r="C2606" s="10" t="str">
        <f ca="1">IFERROR(__xludf.DUMMYFUNCTION("""COMPUTED_VALUE"""),"Имаме ли ресурс от миналото за библиотечното бъдеще?")</f>
        <v>Имаме ли ресурс от миналото за библиотечното бъдеще?</v>
      </c>
      <c r="D2606" s="10">
        <f ca="1">IFERROR(__xludf.DUMMYFUNCTION("""COMPUTED_VALUE"""),2019)</f>
        <v>2019</v>
      </c>
      <c r="E2606" s="10" t="str">
        <f ca="1">IFERROR(__xludf.DUMMYFUNCTION("""COMPUTED_VALUE"""),"// Библиотека, ХХVІ, 2019, № 3, с. 45 – 49
 ISSN 0861-847X")</f>
        <v>// Библиотека, ХХVІ, 2019, № 3, с. 45 – 49
 ISSN 0861-847X</v>
      </c>
      <c r="F2606" s="10"/>
      <c r="G2606" s="10"/>
      <c r="H2606" s="10"/>
      <c r="I2606" s="10"/>
      <c r="J2606" s="10"/>
      <c r="K2606" s="10"/>
      <c r="L2606" s="10"/>
      <c r="M2606" s="10"/>
      <c r="N2606" s="10"/>
      <c r="O2606" s="10"/>
      <c r="P2606" s="10"/>
      <c r="Q2606" s="10"/>
      <c r="R2606" s="10"/>
      <c r="S2606" s="10"/>
      <c r="T2606" s="10"/>
      <c r="U2606" s="10"/>
      <c r="V2606" s="10"/>
      <c r="W2606" s="10"/>
      <c r="X2606" s="10"/>
      <c r="Y2606" s="10"/>
      <c r="Z2606" s="10"/>
    </row>
    <row r="2607" spans="1:26" ht="12.75">
      <c r="A2607" s="10" t="str">
        <f ca="1">IFERROR(__xludf.DUMMYFUNCTION("""COMPUTED_VALUE"""),"Евгения Стефанова Русинова")</f>
        <v>Евгения Стефанова Русинова</v>
      </c>
      <c r="B2607" s="10" t="str">
        <f ca="1">IFERROR(__xludf.DUMMYFUNCTION("""COMPUTED_VALUE"""),"Доклад от конференция")</f>
        <v>Доклад от конференция</v>
      </c>
      <c r="C2607" s="10" t="str">
        <f ca="1">IFERROR(__xludf.DUMMYFUNCTION("""COMPUTED_VALUE"""),"Подходи към историята и теорията на четенето - предизвикателствата на Ю. П. Мелентиева")</f>
        <v>Подходи към историята и теорията на четенето - предизвикателствата на Ю. П. Мелентиева</v>
      </c>
      <c r="D2607" s="10">
        <f ca="1">IFERROR(__xludf.DUMMYFUNCTION("""COMPUTED_VALUE"""),2019)</f>
        <v>2019</v>
      </c>
      <c r="E2607" s="10" t="str">
        <f ca="1">IFERROR(__xludf.DUMMYFUNCTION("""COMPUTED_VALUE"""),"Библиотеки, четене, комуникации.: XVII национална научна конференция с международно участие. В. Търново, 2019, с.246-253 ISSN1313-8138")</f>
        <v>Библиотеки, четене, комуникации.: XVII национална научна конференция с международно участие. В. Търново, 2019, с.246-253 ISSN1313-8138</v>
      </c>
      <c r="F2607" s="10"/>
      <c r="G2607" s="10"/>
      <c r="H2607" s="10"/>
      <c r="I2607" s="10"/>
      <c r="J2607" s="10"/>
      <c r="K2607" s="10"/>
      <c r="L2607" s="10"/>
      <c r="M2607" s="10"/>
      <c r="N2607" s="10"/>
      <c r="O2607" s="10"/>
      <c r="P2607" s="10"/>
      <c r="Q2607" s="10"/>
      <c r="R2607" s="10"/>
      <c r="S2607" s="10"/>
      <c r="T2607" s="10"/>
      <c r="U2607" s="10"/>
      <c r="V2607" s="10"/>
      <c r="W2607" s="10"/>
      <c r="X2607" s="10"/>
      <c r="Y2607" s="10"/>
      <c r="Z2607" s="10"/>
    </row>
    <row r="2608" spans="1:26" ht="12.75">
      <c r="A2608" s="10" t="str">
        <f ca="1">IFERROR(__xludf.DUMMYFUNCTION("""COMPUTED_VALUE"""),"Евгения Стефанова Русинова")</f>
        <v>Евгения Стефанова Русинова</v>
      </c>
      <c r="B2608" s="10" t="str">
        <f ca="1">IFERROR(__xludf.DUMMYFUNCTION("""COMPUTED_VALUE"""),"Доклад от конференция")</f>
        <v>Доклад от конференция</v>
      </c>
      <c r="C2608" s="10" t="str">
        <f ca="1">IFERROR(__xludf.DUMMYFUNCTION("""COMPUTED_VALUE"""),"За реалното и мнимото място на една библиотека в социалното пространство")</f>
        <v>За реалното и мнимото място на една библиотека в социалното пространство</v>
      </c>
      <c r="D2608" s="10">
        <f ca="1">IFERROR(__xludf.DUMMYFUNCTION("""COMPUTED_VALUE"""),2019)</f>
        <v>2019</v>
      </c>
      <c r="E2608" s="10" t="str">
        <f ca="1">IFERROR(__xludf.DUMMYFUNCTION("""COMPUTED_VALUE"""),"// Сборнк с доклади от юбилейната национална научна конференция „16 десетилеитя от книжовно средище до навигатор за цифровия свят“, Пазарджик, 2019, с.73-78. ISBN: 978-619-91276-2-9")</f>
        <v>// Сборнк с доклади от юбилейната национална научна конференция „16 десетилеитя от книжовно средище до навигатор за цифровия свят“, Пазарджик, 2019, с.73-78. ISBN: 978-619-91276-2-9</v>
      </c>
      <c r="F2608" s="10"/>
      <c r="G2608" s="10"/>
      <c r="H2608" s="10"/>
      <c r="I2608" s="10"/>
      <c r="J2608" s="10"/>
      <c r="K2608" s="10"/>
      <c r="L2608" s="10"/>
      <c r="M2608" s="10"/>
      <c r="N2608" s="10"/>
      <c r="O2608" s="10"/>
      <c r="P2608" s="10"/>
      <c r="Q2608" s="10"/>
      <c r="R2608" s="10"/>
      <c r="S2608" s="10"/>
      <c r="T2608" s="10"/>
      <c r="U2608" s="10"/>
      <c r="V2608" s="10"/>
      <c r="W2608" s="10"/>
      <c r="X2608" s="10"/>
      <c r="Y2608" s="10"/>
      <c r="Z2608" s="10"/>
    </row>
    <row r="2609" spans="1:26" ht="12.75">
      <c r="A2609" s="10" t="str">
        <f ca="1">IFERROR(__xludf.DUMMYFUNCTION("""COMPUTED_VALUE"""),"Евгения Стефанова Русинова")</f>
        <v>Евгения Стефанова Русинова</v>
      </c>
      <c r="B2609" s="10" t="str">
        <f ca="1">IFERROR(__xludf.DUMMYFUNCTION("""COMPUTED_VALUE"""),"Доклад от конференция")</f>
        <v>Доклад от конференция</v>
      </c>
      <c r="C2609" s="10" t="str">
        <f ca="1">IFERROR(__xludf.DUMMYFUNCTION("""COMPUTED_VALUE"""),"Подходи към историята и теорията на четенето - предизвикателствата на Ю. П. Мелентиева")</f>
        <v>Подходи към историята и теорията на четенето - предизвикателствата на Ю. П. Мелентиева</v>
      </c>
      <c r="D2609" s="10">
        <f ca="1">IFERROR(__xludf.DUMMYFUNCTION("""COMPUTED_VALUE"""),2019)</f>
        <v>2019</v>
      </c>
      <c r="E2609" s="10" t="str">
        <f ca="1">IFERROR(__xludf.DUMMYFUNCTION("""COMPUTED_VALUE"""),"Библиотеки, четене, комуникации.: XVII национална научна конференция с международно участие. В. Търново, 2019, с.246-253 ISSN1313-8138")</f>
        <v>Библиотеки, четене, комуникации.: XVII национална научна конференция с международно участие. В. Търново, 2019, с.246-253 ISSN1313-8138</v>
      </c>
      <c r="F2609" s="10"/>
      <c r="G2609" s="10"/>
      <c r="H2609" s="10"/>
      <c r="I2609" s="10"/>
      <c r="J2609" s="10"/>
      <c r="K2609" s="10"/>
      <c r="L2609" s="10"/>
      <c r="M2609" s="10"/>
      <c r="N2609" s="10"/>
      <c r="O2609" s="10"/>
      <c r="P2609" s="10"/>
      <c r="Q2609" s="10"/>
      <c r="R2609" s="10"/>
      <c r="S2609" s="10"/>
      <c r="T2609" s="10"/>
      <c r="U2609" s="10"/>
      <c r="V2609" s="10"/>
      <c r="W2609" s="10"/>
      <c r="X2609" s="10"/>
      <c r="Y2609" s="10"/>
      <c r="Z2609" s="10"/>
    </row>
    <row r="2610" spans="1:26" ht="12.75">
      <c r="A2610" s="10" t="str">
        <f ca="1">IFERROR(__xludf.DUMMYFUNCTION("""COMPUTED_VALUE"""),"Евгения Стефанова Русинова")</f>
        <v>Евгения Стефанова Русинова</v>
      </c>
      <c r="B2610" s="10" t="str">
        <f ca="1">IFERROR(__xludf.DUMMYFUNCTION("""COMPUTED_VALUE"""),"Статия в списания и поредици")</f>
        <v>Статия в списания и поредици</v>
      </c>
      <c r="C2610" s="10" t="str">
        <f ca="1">IFERROR(__xludf.DUMMYFUNCTION("""COMPUTED_VALUE"""),"Имаме ли ресурс от миналото за библиотечното бъдеще?")</f>
        <v>Имаме ли ресурс от миналото за библиотечното бъдеще?</v>
      </c>
      <c r="D2610" s="10">
        <f ca="1">IFERROR(__xludf.DUMMYFUNCTION("""COMPUTED_VALUE"""),2019)</f>
        <v>2019</v>
      </c>
      <c r="E2610" s="10" t="str">
        <f ca="1">IFERROR(__xludf.DUMMYFUNCTION("""COMPUTED_VALUE"""),"// Библиотека, ХХVІ, 2019, № 3, с. 45 – 49
 ISSN 0861-847X")</f>
        <v>// Библиотека, ХХVІ, 2019, № 3, с. 45 – 49
 ISSN 0861-847X</v>
      </c>
      <c r="F2610" s="10"/>
      <c r="G2610" s="10"/>
      <c r="H2610" s="10"/>
      <c r="I2610" s="10"/>
      <c r="J2610" s="10"/>
      <c r="K2610" s="10"/>
      <c r="L2610" s="10"/>
      <c r="M2610" s="10"/>
      <c r="N2610" s="10"/>
      <c r="O2610" s="10"/>
      <c r="P2610" s="10"/>
      <c r="Q2610" s="10"/>
      <c r="R2610" s="10"/>
      <c r="S2610" s="10"/>
      <c r="T2610" s="10"/>
      <c r="U2610" s="10"/>
      <c r="V2610" s="10"/>
      <c r="W2610" s="10"/>
      <c r="X2610" s="10"/>
      <c r="Y2610" s="10"/>
      <c r="Z2610" s="10"/>
    </row>
    <row r="2611" spans="1:26" ht="12.75">
      <c r="A2611" s="10" t="str">
        <f ca="1">IFERROR(__xludf.DUMMYFUNCTION("""COMPUTED_VALUE"""),"Евгения Стефанова Русинова")</f>
        <v>Евгения Стефанова Русинова</v>
      </c>
      <c r="B2611" s="10" t="str">
        <f ca="1">IFERROR(__xludf.DUMMYFUNCTION("""COMPUTED_VALUE"""),"Доклад от конференция")</f>
        <v>Доклад от конференция</v>
      </c>
      <c r="C2611" s="10" t="str">
        <f ca="1">IFERROR(__xludf.DUMMYFUNCTION("""COMPUTED_VALUE"""),"Типология на библиографско-библиотековедските текстове до 1944 г.")</f>
        <v>Типология на библиографско-библиотековедските текстове до 1944 г.</v>
      </c>
      <c r="D2611" s="10">
        <f ca="1">IFERROR(__xludf.DUMMYFUNCTION("""COMPUTED_VALUE"""),2019)</f>
        <v>2019</v>
      </c>
      <c r="E2611" s="10" t="str">
        <f ca="1">IFERROR(__xludf.DUMMYFUNCTION("""COMPUTED_VALUE"""),"// Обществото на знанието и хуманизмът на ХХI век: ХVІ национална научна конференция с международно участие,.София, 2019. с.152-158. ISSN 1314-7099")</f>
        <v>// Обществото на знанието и хуманизмът на ХХI век: ХVІ национална научна конференция с международно участие,.София, 2019. с.152-158. ISSN 1314-7099</v>
      </c>
      <c r="F2611" s="10"/>
      <c r="G2611" s="10"/>
      <c r="H2611" s="10"/>
      <c r="I2611" s="10"/>
      <c r="J2611" s="10"/>
      <c r="K2611" s="10"/>
      <c r="L2611" s="10"/>
      <c r="M2611" s="10"/>
      <c r="N2611" s="10"/>
      <c r="O2611" s="10"/>
      <c r="P2611" s="10"/>
      <c r="Q2611" s="10"/>
      <c r="R2611" s="10"/>
      <c r="S2611" s="10"/>
      <c r="T2611" s="10"/>
      <c r="U2611" s="10"/>
      <c r="V2611" s="10"/>
      <c r="W2611" s="10"/>
      <c r="X2611" s="10"/>
      <c r="Y2611" s="10"/>
      <c r="Z2611" s="10"/>
    </row>
    <row r="2612" spans="1:26" ht="12.75">
      <c r="A2612" s="10" t="str">
        <f ca="1">IFERROR(__xludf.DUMMYFUNCTION("""COMPUTED_VALUE"""),"Евгения Стефанова Русинова")</f>
        <v>Евгения Стефанова Русинова</v>
      </c>
      <c r="B2612" s="10" t="str">
        <f ca="1">IFERROR(__xludf.DUMMYFUNCTION("""COMPUTED_VALUE"""),"Доклад от конференция")</f>
        <v>Доклад от конференция</v>
      </c>
      <c r="C2612" s="10" t="str">
        <f ca="1">IFERROR(__xludf.DUMMYFUNCTION("""COMPUTED_VALUE"""),"Типология на библиографско-библиотековедските текстове до 1944 г.")</f>
        <v>Типология на библиографско-библиотековедските текстове до 1944 г.</v>
      </c>
      <c r="D2612" s="10">
        <f ca="1">IFERROR(__xludf.DUMMYFUNCTION("""COMPUTED_VALUE"""),2019)</f>
        <v>2019</v>
      </c>
      <c r="E2612" s="10" t="str">
        <f ca="1">IFERROR(__xludf.DUMMYFUNCTION("""COMPUTED_VALUE"""),"// Обществото на знанието и хуманизмът на ХХI век: ХVІ национална научна конференция с международно участие,.София, 2019. с.152-158. ISSN 1314-7099")</f>
        <v>// Обществото на знанието и хуманизмът на ХХI век: ХVІ национална научна конференция с международно участие,.София, 2019. с.152-158. ISSN 1314-7099</v>
      </c>
      <c r="F2612" s="10"/>
      <c r="G2612" s="10"/>
      <c r="H2612" s="10"/>
      <c r="I2612" s="10"/>
      <c r="J2612" s="10"/>
      <c r="K2612" s="10"/>
      <c r="L2612" s="10"/>
      <c r="M2612" s="10"/>
      <c r="N2612" s="10"/>
      <c r="O2612" s="10"/>
      <c r="P2612" s="10"/>
      <c r="Q2612" s="10"/>
      <c r="R2612" s="10"/>
      <c r="S2612" s="10"/>
      <c r="T2612" s="10"/>
      <c r="U2612" s="10"/>
      <c r="V2612" s="10"/>
      <c r="W2612" s="10"/>
      <c r="X2612" s="10"/>
      <c r="Y2612" s="10"/>
      <c r="Z2612" s="10"/>
    </row>
    <row r="2613" spans="1:26" ht="12.75">
      <c r="A2613" s="10" t="str">
        <f ca="1">IFERROR(__xludf.DUMMYFUNCTION("""COMPUTED_VALUE"""),"Евгения Стефанова Русинова")</f>
        <v>Евгения Стефанова Русинова</v>
      </c>
      <c r="B2613" s="10" t="str">
        <f ca="1">IFERROR(__xludf.DUMMYFUNCTION("""COMPUTED_VALUE"""),"Статия в списания и поредици")</f>
        <v>Статия в списания и поредици</v>
      </c>
      <c r="C2613" s="10" t="str">
        <f ca="1">IFERROR(__xludf.DUMMYFUNCTION("""COMPUTED_VALUE"""),"Библиотеката като трето място – кога, за кого, защо?")</f>
        <v>Библиотеката като трето място – кога, за кого, защо?</v>
      </c>
      <c r="D2613" s="10">
        <f ca="1">IFERROR(__xludf.DUMMYFUNCTION("""COMPUTED_VALUE"""),2018)</f>
        <v>2018</v>
      </c>
      <c r="E2613" s="10" t="str">
        <f ca="1">IFERROR(__xludf.DUMMYFUNCTION("""COMPUTED_VALUE"""),"Обществото на знанието и хуманизмът на ХХI век. ХV национална научна конференция. С., 2018, с. 149- 157 ISSN 1314-7099")</f>
        <v>Обществото на знанието и хуманизмът на ХХI век. ХV национална научна конференция. С., 2018, с. 149- 157 ISSN 1314-7099</v>
      </c>
      <c r="F2613" s="10"/>
      <c r="G2613" s="10"/>
      <c r="H2613" s="10"/>
      <c r="I2613" s="10"/>
      <c r="J2613" s="10"/>
      <c r="K2613" s="10"/>
      <c r="L2613" s="10"/>
      <c r="M2613" s="10"/>
      <c r="N2613" s="10"/>
      <c r="O2613" s="10"/>
      <c r="P2613" s="10"/>
      <c r="Q2613" s="10"/>
      <c r="R2613" s="10"/>
      <c r="S2613" s="10"/>
      <c r="T2613" s="10"/>
      <c r="U2613" s="10"/>
      <c r="V2613" s="10"/>
      <c r="W2613" s="10"/>
      <c r="X2613" s="10"/>
      <c r="Y2613" s="10"/>
      <c r="Z2613" s="10"/>
    </row>
    <row r="2614" spans="1:26" ht="12.75">
      <c r="A2614" s="10" t="str">
        <f ca="1">IFERROR(__xludf.DUMMYFUNCTION("""COMPUTED_VALUE"""),"Евгения Стефанова Русинова")</f>
        <v>Евгения Стефанова Русинова</v>
      </c>
      <c r="B2614" s="10" t="str">
        <f ca="1">IFERROR(__xludf.DUMMYFUNCTION("""COMPUTED_VALUE"""),"Статия в списания и поредици")</f>
        <v>Статия в списания и поредици</v>
      </c>
      <c r="C2614" s="10" t="str">
        <f ca="1">IFERROR(__xludf.DUMMYFUNCTION("""COMPUTED_VALUE"""),"Перспективи пред една история на книгата и четенето. Читателят и книгата в България")</f>
        <v>Перспективи пред една история на книгата и четенето. Читателят и книгата в България</v>
      </c>
      <c r="D2614" s="10">
        <f ca="1">IFERROR(__xludf.DUMMYFUNCTION("""COMPUTED_VALUE"""),2018)</f>
        <v>2018</v>
      </c>
      <c r="E2614" s="10" t="str">
        <f ca="1">IFERROR(__xludf.DUMMYFUNCTION("""COMPUTED_VALUE"""),"Писменост, книжовници, книги. Шумен, 2018, с. 386-395 ISBN 978-619-201-213-7")</f>
        <v>Писменост, книжовници, книги. Шумен, 2018, с. 386-395 ISBN 978-619-201-213-7</v>
      </c>
      <c r="F2614" s="10"/>
      <c r="G2614" s="10"/>
      <c r="H2614" s="10"/>
      <c r="I2614" s="10"/>
      <c r="J2614" s="10"/>
      <c r="K2614" s="10"/>
      <c r="L2614" s="10"/>
      <c r="M2614" s="10"/>
      <c r="N2614" s="10"/>
      <c r="O2614" s="10"/>
      <c r="P2614" s="10"/>
      <c r="Q2614" s="10"/>
      <c r="R2614" s="10"/>
      <c r="S2614" s="10"/>
      <c r="T2614" s="10"/>
      <c r="U2614" s="10"/>
      <c r="V2614" s="10"/>
      <c r="W2614" s="10"/>
      <c r="X2614" s="10"/>
      <c r="Y2614" s="10"/>
      <c r="Z2614" s="10"/>
    </row>
    <row r="2615" spans="1:26" ht="12.75">
      <c r="A2615" s="10" t="str">
        <f ca="1">IFERROR(__xludf.DUMMYFUNCTION("""COMPUTED_VALUE"""),"Евгения Стефанова Русинова")</f>
        <v>Евгения Стефанова Русинова</v>
      </c>
      <c r="B2615" s="10" t="str">
        <f ca="1">IFERROR(__xludf.DUMMYFUNCTION("""COMPUTED_VALUE"""),"Доклад от конференция")</f>
        <v>Доклад от конференция</v>
      </c>
      <c r="C2615" s="10" t="str">
        <f ca="1">IFERROR(__xludf.DUMMYFUNCTION("""COMPUTED_VALUE"""),"Акциите на Тодор Боров за Народната библиотека // Благотворителност и култура на дарителство.")</f>
        <v>Акциите на Тодор Боров за Народната библиотека // Благотворителност и култура на дарителство.</v>
      </c>
      <c r="D2615" s="10">
        <f ca="1">IFERROR(__xludf.DUMMYFUNCTION("""COMPUTED_VALUE"""),2018)</f>
        <v>2018</v>
      </c>
      <c r="E2615" s="10" t="str">
        <f ca="1">IFERROR(__xludf.DUMMYFUNCTION("""COMPUTED_VALUE"""),"// Благотворителност и култура на дарителство.Доклади от муждународна научна конференция, посветена на 140 години от основаването на Националната библиотека „Св.св. Кирил и Методий”, 10-11 декември 2018 г., София. София, с. 184 – 191. ISBN 978-954-523-165"&amp;"-0.")</f>
        <v>// Благотворителност и култура на дарителство.Доклади от муждународна научна конференция, посветена на 140 години от основаването на Националната библиотека „Св.св. Кирил и Методий”, 10-11 декември 2018 г., София. София, с. 184 – 191. ISBN 978-954-523-165-0.</v>
      </c>
      <c r="F2615" s="10"/>
      <c r="G2615" s="10"/>
      <c r="H2615" s="10"/>
      <c r="I2615" s="10"/>
      <c r="J2615" s="10"/>
      <c r="K2615" s="10"/>
      <c r="L2615" s="10"/>
      <c r="M2615" s="10"/>
      <c r="N2615" s="10"/>
      <c r="O2615" s="10"/>
      <c r="P2615" s="10"/>
      <c r="Q2615" s="10"/>
      <c r="R2615" s="10"/>
      <c r="S2615" s="10"/>
      <c r="T2615" s="10"/>
      <c r="U2615" s="10"/>
      <c r="V2615" s="10"/>
      <c r="W2615" s="10"/>
      <c r="X2615" s="10"/>
      <c r="Y2615" s="10"/>
      <c r="Z2615" s="10"/>
    </row>
    <row r="2616" spans="1:26" ht="12.75">
      <c r="A2616" s="10" t="str">
        <f ca="1">IFERROR(__xludf.DUMMYFUNCTION("""COMPUTED_VALUE"""),"Евгения Стефанова Русинова")</f>
        <v>Евгения Стефанова Русинова</v>
      </c>
      <c r="B2616" s="10" t="str">
        <f ca="1">IFERROR(__xludf.DUMMYFUNCTION("""COMPUTED_VALUE"""),"Статия в списания и поредици")</f>
        <v>Статия в списания и поредици</v>
      </c>
      <c r="C2616" s="10" t="str">
        <f ca="1">IFERROR(__xludf.DUMMYFUNCTION("""COMPUTED_VALUE"""),"Въвеждане на иновации в българските библиотеки – предизвикателства и проблеми")</f>
        <v>Въвеждане на иновации в българските библиотеки – предизвикателства и проблеми</v>
      </c>
      <c r="D2616" s="10">
        <f ca="1">IFERROR(__xludf.DUMMYFUNCTION("""COMPUTED_VALUE"""),2018)</f>
        <v>2018</v>
      </c>
      <c r="E2616" s="10" t="str">
        <f ca="1">IFERROR(__xludf.DUMMYFUNCTION("""COMPUTED_VALUE"""),"Библиотеките между буквите и бинарния код. Сборник доклади от национална научна конференция. Силистра, 2018, с. 44-53. ISBN 978-619-7400-36-6")</f>
        <v>Библиотеките между буквите и бинарния код. Сборник доклади от национална научна конференция. Силистра, 2018, с. 44-53. ISBN 978-619-7400-36-6</v>
      </c>
      <c r="F2616" s="10"/>
      <c r="G2616" s="10"/>
      <c r="H2616" s="10"/>
      <c r="I2616" s="10"/>
      <c r="J2616" s="10"/>
      <c r="K2616" s="10"/>
      <c r="L2616" s="10"/>
      <c r="M2616" s="10"/>
      <c r="N2616" s="10"/>
      <c r="O2616" s="10"/>
      <c r="P2616" s="10"/>
      <c r="Q2616" s="10"/>
      <c r="R2616" s="10"/>
      <c r="S2616" s="10"/>
      <c r="T2616" s="10"/>
      <c r="U2616" s="10"/>
      <c r="V2616" s="10"/>
      <c r="W2616" s="10"/>
      <c r="X2616" s="10"/>
      <c r="Y2616" s="10"/>
      <c r="Z2616" s="10"/>
    </row>
    <row r="2617" spans="1:26" ht="12.75">
      <c r="A2617" s="10" t="str">
        <f ca="1">IFERROR(__xludf.DUMMYFUNCTION("""COMPUTED_VALUE"""),"Евгения Стефанова Русинова")</f>
        <v>Евгения Стефанова Русинова</v>
      </c>
      <c r="B2617" s="10" t="str">
        <f ca="1">IFERROR(__xludf.DUMMYFUNCTION("""COMPUTED_VALUE"""),"Статия в списания и поредици")</f>
        <v>Статия в списания и поредици</v>
      </c>
      <c r="C2617" s="10" t="str">
        <f ca="1">IFERROR(__xludf.DUMMYFUNCTION("""COMPUTED_VALUE"""),"Библиотеката като трето място – кога, за кого, защо?")</f>
        <v>Библиотеката като трето място – кога, за кого, защо?</v>
      </c>
      <c r="D2617" s="10">
        <f ca="1">IFERROR(__xludf.DUMMYFUNCTION("""COMPUTED_VALUE"""),2018)</f>
        <v>2018</v>
      </c>
      <c r="E2617" s="10" t="str">
        <f ca="1">IFERROR(__xludf.DUMMYFUNCTION("""COMPUTED_VALUE"""),"Обществото на знанието и хуманизмът на ХХI век. ХV национална научна конференция. С., 2018, с. 149- 157 ISSN 1314-7099")</f>
        <v>Обществото на знанието и хуманизмът на ХХI век. ХV национална научна конференция. С., 2018, с. 149- 157 ISSN 1314-7099</v>
      </c>
      <c r="F2617" s="10"/>
      <c r="G2617" s="10"/>
      <c r="H2617" s="10"/>
      <c r="I2617" s="10"/>
      <c r="J2617" s="10"/>
      <c r="K2617" s="10"/>
      <c r="L2617" s="10"/>
      <c r="M2617" s="10"/>
      <c r="N2617" s="10"/>
      <c r="O2617" s="10"/>
      <c r="P2617" s="10"/>
      <c r="Q2617" s="10"/>
      <c r="R2617" s="10"/>
      <c r="S2617" s="10"/>
      <c r="T2617" s="10"/>
      <c r="U2617" s="10"/>
      <c r="V2617" s="10"/>
      <c r="W2617" s="10"/>
      <c r="X2617" s="10"/>
      <c r="Y2617" s="10"/>
      <c r="Z2617" s="10"/>
    </row>
    <row r="2618" spans="1:26" ht="12.75">
      <c r="A2618" s="10" t="str">
        <f ca="1">IFERROR(__xludf.DUMMYFUNCTION("""COMPUTED_VALUE"""),"Евгения Стефанова Русинова")</f>
        <v>Евгения Стефанова Русинова</v>
      </c>
      <c r="B2618" s="10" t="str">
        <f ca="1">IFERROR(__xludf.DUMMYFUNCTION("""COMPUTED_VALUE"""),"Статия в списания и поредици")</f>
        <v>Статия в списания и поредици</v>
      </c>
      <c r="C2618" s="10" t="str">
        <f ca="1">IFERROR(__xludf.DUMMYFUNCTION("""COMPUTED_VALUE"""),"Перспективи пред една история на книгата и четенето. Читателят и книгата в България")</f>
        <v>Перспективи пред една история на книгата и четенето. Читателят и книгата в България</v>
      </c>
      <c r="D2618" s="10">
        <f ca="1">IFERROR(__xludf.DUMMYFUNCTION("""COMPUTED_VALUE"""),2018)</f>
        <v>2018</v>
      </c>
      <c r="E2618" s="10" t="str">
        <f ca="1">IFERROR(__xludf.DUMMYFUNCTION("""COMPUTED_VALUE"""),"Писменост, книжовници, книги. Шумен, 2018, с. 386-395 ISBN 978-619-201-213-7")</f>
        <v>Писменост, книжовници, книги. Шумен, 2018, с. 386-395 ISBN 978-619-201-213-7</v>
      </c>
      <c r="F2618" s="10"/>
      <c r="G2618" s="10"/>
      <c r="H2618" s="10"/>
      <c r="I2618" s="10"/>
      <c r="J2618" s="10"/>
      <c r="K2618" s="10"/>
      <c r="L2618" s="10"/>
      <c r="M2618" s="10"/>
      <c r="N2618" s="10"/>
      <c r="O2618" s="10"/>
      <c r="P2618" s="10"/>
      <c r="Q2618" s="10"/>
      <c r="R2618" s="10"/>
      <c r="S2618" s="10"/>
      <c r="T2618" s="10"/>
      <c r="U2618" s="10"/>
      <c r="V2618" s="10"/>
      <c r="W2618" s="10"/>
      <c r="X2618" s="10"/>
      <c r="Y2618" s="10"/>
      <c r="Z2618" s="10"/>
    </row>
    <row r="2619" spans="1:26" ht="12.75">
      <c r="A2619" s="10" t="str">
        <f ca="1">IFERROR(__xludf.DUMMYFUNCTION("""COMPUTED_VALUE"""),"Евгения Стефанова Русинова")</f>
        <v>Евгения Стефанова Русинова</v>
      </c>
      <c r="B2619" s="10" t="str">
        <f ca="1">IFERROR(__xludf.DUMMYFUNCTION("""COMPUTED_VALUE"""),"Доклад от конференция")</f>
        <v>Доклад от конференция</v>
      </c>
      <c r="C2619" s="10" t="str">
        <f ca="1">IFERROR(__xludf.DUMMYFUNCTION("""COMPUTED_VALUE"""),"Акциите на Тодор Боров за Народната библиотека // Благотворителност и култура на дарителство.")</f>
        <v>Акциите на Тодор Боров за Народната библиотека // Благотворителност и култура на дарителство.</v>
      </c>
      <c r="D2619" s="10">
        <f ca="1">IFERROR(__xludf.DUMMYFUNCTION("""COMPUTED_VALUE"""),2018)</f>
        <v>2018</v>
      </c>
      <c r="E2619" s="10" t="str">
        <f ca="1">IFERROR(__xludf.DUMMYFUNCTION("""COMPUTED_VALUE"""),"// Благотворителност и култура на дарителство.Доклади от муждународна научна конференция, посветена на 140 години от основаването на Националната библиотека „Св.св. Кирил и Методий”, 10-11 декември 2018 г., София. София, с. 184 – 191. ISBN 978-954-523-165"&amp;"-0.")</f>
        <v>// Благотворителност и култура на дарителство.Доклади от муждународна научна конференция, посветена на 140 години от основаването на Националната библиотека „Св.св. Кирил и Методий”, 10-11 декември 2018 г., София. София, с. 184 – 191. ISBN 978-954-523-165-0.</v>
      </c>
      <c r="F2619" s="10"/>
      <c r="G2619" s="10"/>
      <c r="H2619" s="10"/>
      <c r="I2619" s="10"/>
      <c r="J2619" s="10"/>
      <c r="K2619" s="10"/>
      <c r="L2619" s="10"/>
      <c r="M2619" s="10"/>
      <c r="N2619" s="10"/>
      <c r="O2619" s="10"/>
      <c r="P2619" s="10"/>
      <c r="Q2619" s="10"/>
      <c r="R2619" s="10"/>
      <c r="S2619" s="10"/>
      <c r="T2619" s="10"/>
      <c r="U2619" s="10"/>
      <c r="V2619" s="10"/>
      <c r="W2619" s="10"/>
      <c r="X2619" s="10"/>
      <c r="Y2619" s="10"/>
      <c r="Z2619" s="10"/>
    </row>
    <row r="2620" spans="1:26" ht="12.75">
      <c r="A2620" s="10" t="str">
        <f ca="1">IFERROR(__xludf.DUMMYFUNCTION("""COMPUTED_VALUE"""),"Евгения Стефанова Русинова")</f>
        <v>Евгения Стефанова Русинова</v>
      </c>
      <c r="B2620" s="10" t="str">
        <f ca="1">IFERROR(__xludf.DUMMYFUNCTION("""COMPUTED_VALUE"""),"Статия в списания и поредици")</f>
        <v>Статия в списания и поредици</v>
      </c>
      <c r="C2620" s="10" t="str">
        <f ca="1">IFERROR(__xludf.DUMMYFUNCTION("""COMPUTED_VALUE"""),"Въвеждане на иновации в българските библиотеки – предизвикателства и проблеми")</f>
        <v>Въвеждане на иновации в българските библиотеки – предизвикателства и проблеми</v>
      </c>
      <c r="D2620" s="10">
        <f ca="1">IFERROR(__xludf.DUMMYFUNCTION("""COMPUTED_VALUE"""),2018)</f>
        <v>2018</v>
      </c>
      <c r="E2620" s="10" t="str">
        <f ca="1">IFERROR(__xludf.DUMMYFUNCTION("""COMPUTED_VALUE"""),"Библиотеките между буквите и бинарния код. Сборник доклади от национална научна конференция. Силистра, 2018, с. 44-53. ISBN 978-619-7400-36-6")</f>
        <v>Библиотеките между буквите и бинарния код. Сборник доклади от национална научна конференция. Силистра, 2018, с. 44-53. ISBN 978-619-7400-36-6</v>
      </c>
      <c r="F2620" s="10"/>
      <c r="G2620" s="10"/>
      <c r="H2620" s="10"/>
      <c r="I2620" s="10"/>
      <c r="J2620" s="10"/>
      <c r="K2620" s="10"/>
      <c r="L2620" s="10"/>
      <c r="M2620" s="10"/>
      <c r="N2620" s="10"/>
      <c r="O2620" s="10"/>
      <c r="P2620" s="10"/>
      <c r="Q2620" s="10"/>
      <c r="R2620" s="10"/>
      <c r="S2620" s="10"/>
      <c r="T2620" s="10"/>
      <c r="U2620" s="10"/>
      <c r="V2620" s="10"/>
      <c r="W2620" s="10"/>
      <c r="X2620" s="10"/>
      <c r="Y2620" s="10"/>
      <c r="Z2620" s="10"/>
    </row>
    <row r="2621" spans="1:26" ht="12.75">
      <c r="A2621" s="10" t="str">
        <f ca="1">IFERROR(__xludf.DUMMYFUNCTION("""COMPUTED_VALUE"""),"Евгения Стефанова Русинова")</f>
        <v>Евгения Стефанова Русинова</v>
      </c>
      <c r="B2621" s="10" t="str">
        <f ca="1">IFERROR(__xludf.DUMMYFUNCTION("""COMPUTED_VALUE"""),"Доклад от конференция")</f>
        <v>Доклад от конференция</v>
      </c>
      <c r="C2621" s="10" t="str">
        <f ca="1">IFERROR(__xludf.DUMMYFUNCTION("""COMPUTED_VALUE"""),"Книгата и революцията – интелектуалният контекст на Априлското въстание")</f>
        <v>Книгата и революцията – интелектуалният контекст на Априлското въстание</v>
      </c>
      <c r="D2621" s="10">
        <f ca="1">IFERROR(__xludf.DUMMYFUNCTION("""COMPUTED_VALUE"""),2017)</f>
        <v>2017</v>
      </c>
      <c r="E2621" s="10" t="str">
        <f ca="1">IFERROR(__xludf.DUMMYFUNCTION("""COMPUTED_VALUE"""),"Град и памет: Априлското въстание 1876 г. през призмата на паметта. Пазарджик, 2017, с. 263-270")</f>
        <v>Град и памет: Априлското въстание 1876 г. през призмата на паметта. Пазарджик, 2017, с. 263-270</v>
      </c>
      <c r="F2621" s="10"/>
      <c r="G2621" s="10"/>
      <c r="H2621" s="10"/>
      <c r="I2621" s="10"/>
      <c r="J2621" s="10"/>
      <c r="K2621" s="10"/>
      <c r="L2621" s="10"/>
      <c r="M2621" s="10"/>
      <c r="N2621" s="10"/>
      <c r="O2621" s="10"/>
      <c r="P2621" s="10"/>
      <c r="Q2621" s="10"/>
      <c r="R2621" s="10"/>
      <c r="S2621" s="10"/>
      <c r="T2621" s="10"/>
      <c r="U2621" s="10"/>
      <c r="V2621" s="10"/>
      <c r="W2621" s="10"/>
      <c r="X2621" s="10"/>
      <c r="Y2621" s="10"/>
      <c r="Z2621" s="10"/>
    </row>
    <row r="2622" spans="1:26" ht="12.75">
      <c r="A2622" s="10" t="str">
        <f ca="1">IFERROR(__xludf.DUMMYFUNCTION("""COMPUTED_VALUE"""),"Евгения Стефанова Русинова")</f>
        <v>Евгения Стефанова Русинова</v>
      </c>
      <c r="B2622" s="10" t="str">
        <f ca="1">IFERROR(__xludf.DUMMYFUNCTION("""COMPUTED_VALUE"""),"Статия в списания и поредици")</f>
        <v>Статия в списания и поредици</v>
      </c>
      <c r="C2622" s="10" t="str">
        <f ca="1">IFERROR(__xludf.DUMMYFUNCTION("""COMPUTED_VALUE"""),"Кой определя дневния ред на библиотечната колегия")</f>
        <v>Кой определя дневния ред на библиотечната колегия</v>
      </c>
      <c r="D2622" s="10">
        <f ca="1">IFERROR(__xludf.DUMMYFUNCTION("""COMPUTED_VALUE"""),2017)</f>
        <v>2017</v>
      </c>
      <c r="E2622" s="10" t="str">
        <f ca="1">IFERROR(__xludf.DUMMYFUNCTION("""COMPUTED_VALUE"""),"Библиотеките – национална идентичност и многообразие.Доклади ХХVII ННК ББИА. С.-, 2017, с.11-13.")</f>
        <v>Библиотеките – национална идентичност и многообразие.Доклади ХХVII ННК ББИА. С.-, 2017, с.11-13.</v>
      </c>
      <c r="F2622" s="10"/>
      <c r="G2622" s="10"/>
      <c r="H2622" s="10"/>
      <c r="I2622" s="10"/>
      <c r="J2622" s="10"/>
      <c r="K2622" s="10"/>
      <c r="L2622" s="10"/>
      <c r="M2622" s="10"/>
      <c r="N2622" s="10"/>
      <c r="O2622" s="10"/>
      <c r="P2622" s="10"/>
      <c r="Q2622" s="10"/>
      <c r="R2622" s="10"/>
      <c r="S2622" s="10"/>
      <c r="T2622" s="10"/>
      <c r="U2622" s="10"/>
      <c r="V2622" s="10"/>
      <c r="W2622" s="10"/>
      <c r="X2622" s="10"/>
      <c r="Y2622" s="10"/>
      <c r="Z2622" s="10"/>
    </row>
    <row r="2623" spans="1:26" ht="12.75">
      <c r="A2623" s="10" t="str">
        <f ca="1">IFERROR(__xludf.DUMMYFUNCTION("""COMPUTED_VALUE"""),"Евгения Стефанова Русинова")</f>
        <v>Евгения Стефанова Русинова</v>
      </c>
      <c r="B2623" s="10" t="str">
        <f ca="1">IFERROR(__xludf.DUMMYFUNCTION("""COMPUTED_VALUE"""),"Доклад от конференция")</f>
        <v>Доклад от конференция</v>
      </c>
      <c r="C2623" s="10" t="str">
        <f ca="1">IFERROR(__xludf.DUMMYFUNCTION("""COMPUTED_VALUE"""),"Книгата и революцията – интелектуалният контекст на Априлското въстание")</f>
        <v>Книгата и революцията – интелектуалният контекст на Априлското въстание</v>
      </c>
      <c r="D2623" s="10">
        <f ca="1">IFERROR(__xludf.DUMMYFUNCTION("""COMPUTED_VALUE"""),2017)</f>
        <v>2017</v>
      </c>
      <c r="E2623" s="10" t="str">
        <f ca="1">IFERROR(__xludf.DUMMYFUNCTION("""COMPUTED_VALUE"""),"Град и памет: Априлското въстание 1876 г. през призмата на паметта. Пазарджик, 2017, с. 263-270")</f>
        <v>Град и памет: Априлското въстание 1876 г. през призмата на паметта. Пазарджик, 2017, с. 263-270</v>
      </c>
      <c r="F2623" s="10"/>
      <c r="G2623" s="10"/>
      <c r="H2623" s="10"/>
      <c r="I2623" s="10"/>
      <c r="J2623" s="10"/>
      <c r="K2623" s="10"/>
      <c r="L2623" s="10"/>
      <c r="M2623" s="10"/>
      <c r="N2623" s="10"/>
      <c r="O2623" s="10"/>
      <c r="P2623" s="10"/>
      <c r="Q2623" s="10"/>
      <c r="R2623" s="10"/>
      <c r="S2623" s="10"/>
      <c r="T2623" s="10"/>
      <c r="U2623" s="10"/>
      <c r="V2623" s="10"/>
      <c r="W2623" s="10"/>
      <c r="X2623" s="10"/>
      <c r="Y2623" s="10"/>
      <c r="Z2623" s="10"/>
    </row>
    <row r="2624" spans="1:26" ht="12.75">
      <c r="A2624" s="10" t="str">
        <f ca="1">IFERROR(__xludf.DUMMYFUNCTION("""COMPUTED_VALUE"""),"Евгения Стефанова Русинова")</f>
        <v>Евгения Стефанова Русинова</v>
      </c>
      <c r="B2624" s="10" t="str">
        <f ca="1">IFERROR(__xludf.DUMMYFUNCTION("""COMPUTED_VALUE"""),"Доклад от конференция")</f>
        <v>Доклад от конференция</v>
      </c>
      <c r="C2624" s="10" t="str">
        <f ca="1">IFERROR(__xludf.DUMMYFUNCTION("""COMPUTED_VALUE"""),"Предпочитанията на българския читател в края на 20-те години")</f>
        <v>Предпочитанията на българския читател в края на 20-те години</v>
      </c>
      <c r="D2624" s="10">
        <f ca="1">IFERROR(__xludf.DUMMYFUNCTION("""COMPUTED_VALUE"""),2017)</f>
        <v>2017</v>
      </c>
      <c r="E2624" s="10" t="str">
        <f ca="1">IFERROR(__xludf.DUMMYFUNCTION("""COMPUTED_VALUE"""),"Обществото на знанието и хуманизмът на ХХI век. ХIV нац. научна конф… С., 2017, с. 130-137")</f>
        <v>Обществото на знанието и хуманизмът на ХХI век. ХIV нац. научна конф… С., 2017, с. 130-137</v>
      </c>
      <c r="F2624" s="10"/>
      <c r="G2624" s="10"/>
      <c r="H2624" s="10"/>
      <c r="I2624" s="10"/>
      <c r="J2624" s="10"/>
      <c r="K2624" s="10"/>
      <c r="L2624" s="10"/>
      <c r="M2624" s="10"/>
      <c r="N2624" s="10"/>
      <c r="O2624" s="10"/>
      <c r="P2624" s="10"/>
      <c r="Q2624" s="10"/>
      <c r="R2624" s="10"/>
      <c r="S2624" s="10"/>
      <c r="T2624" s="10"/>
      <c r="U2624" s="10"/>
      <c r="V2624" s="10"/>
      <c r="W2624" s="10"/>
      <c r="X2624" s="10"/>
      <c r="Y2624" s="10"/>
      <c r="Z2624" s="10"/>
    </row>
    <row r="2625" spans="1:26" ht="12.75">
      <c r="A2625" s="10" t="str">
        <f ca="1">IFERROR(__xludf.DUMMYFUNCTION("""COMPUTED_VALUE"""),"Евгения Стефанова Русинова")</f>
        <v>Евгения Стефанова Русинова</v>
      </c>
      <c r="B2625" s="10" t="str">
        <f ca="1">IFERROR(__xludf.DUMMYFUNCTION("""COMPUTED_VALUE"""),"Статия в списания и поредици")</f>
        <v>Статия в списания и поредици</v>
      </c>
      <c r="C2625" s="10" t="str">
        <f ca="1">IFERROR(__xludf.DUMMYFUNCTION("""COMPUTED_VALUE"""),"Кой определя дневния ред на библиотечната колегия")</f>
        <v>Кой определя дневния ред на библиотечната колегия</v>
      </c>
      <c r="D2625" s="10">
        <f ca="1">IFERROR(__xludf.DUMMYFUNCTION("""COMPUTED_VALUE"""),2017)</f>
        <v>2017</v>
      </c>
      <c r="E2625" s="10" t="str">
        <f ca="1">IFERROR(__xludf.DUMMYFUNCTION("""COMPUTED_VALUE"""),"Библиотеките – национална идентичност и многообразие.Доклади ХХVII ННК ББИА. С.-, 2017, с.11-13.")</f>
        <v>Библиотеките – национална идентичност и многообразие.Доклади ХХVII ННК ББИА. С.-, 2017, с.11-13.</v>
      </c>
      <c r="F2625" s="10"/>
      <c r="G2625" s="10"/>
      <c r="H2625" s="10"/>
      <c r="I2625" s="10"/>
      <c r="J2625" s="10"/>
      <c r="K2625" s="10"/>
      <c r="L2625" s="10"/>
      <c r="M2625" s="10"/>
      <c r="N2625" s="10"/>
      <c r="O2625" s="10"/>
      <c r="P2625" s="10"/>
      <c r="Q2625" s="10"/>
      <c r="R2625" s="10"/>
      <c r="S2625" s="10"/>
      <c r="T2625" s="10"/>
      <c r="U2625" s="10"/>
      <c r="V2625" s="10"/>
      <c r="W2625" s="10"/>
      <c r="X2625" s="10"/>
      <c r="Y2625" s="10"/>
      <c r="Z2625" s="10"/>
    </row>
    <row r="2626" spans="1:26" ht="12.75">
      <c r="A2626" s="10" t="str">
        <f ca="1">IFERROR(__xludf.DUMMYFUNCTION("""COMPUTED_VALUE"""),"Евгения Стефанова Русинова")</f>
        <v>Евгения Стефанова Русинова</v>
      </c>
      <c r="B2626" s="10" t="str">
        <f ca="1">IFERROR(__xludf.DUMMYFUNCTION("""COMPUTED_VALUE"""),"Доклад от конференция")</f>
        <v>Доклад от конференция</v>
      </c>
      <c r="C2626" s="10" t="str">
        <f ca="1">IFERROR(__xludf.DUMMYFUNCTION("""COMPUTED_VALUE"""),"Ели Попова, Кариерното развитие на библиотечния персонал…. Част. I. Проучвания. С., 2016")</f>
        <v>Ели Попова, Кариерното развитие на библиотечния персонал…. Част. I. Проучвания. С., 2016</v>
      </c>
      <c r="D2626" s="10">
        <f ca="1">IFERROR(__xludf.DUMMYFUNCTION("""COMPUTED_VALUE"""),2017)</f>
        <v>2017</v>
      </c>
      <c r="E2626" s="10" t="str">
        <f ca="1">IFERROR(__xludf.DUMMYFUNCTION("""COMPUTED_VALUE"""),"Наука, 2017, № 4, с. 78.")</f>
        <v>Наука, 2017, № 4, с. 78.</v>
      </c>
      <c r="F2626" s="10"/>
      <c r="G2626" s="10"/>
      <c r="H2626" s="10"/>
      <c r="I2626" s="10"/>
      <c r="J2626" s="10"/>
      <c r="K2626" s="10"/>
      <c r="L2626" s="10"/>
      <c r="M2626" s="10"/>
      <c r="N2626" s="10"/>
      <c r="O2626" s="10"/>
      <c r="P2626" s="10"/>
      <c r="Q2626" s="10"/>
      <c r="R2626" s="10"/>
      <c r="S2626" s="10"/>
      <c r="T2626" s="10"/>
      <c r="U2626" s="10"/>
      <c r="V2626" s="10"/>
      <c r="W2626" s="10"/>
      <c r="X2626" s="10"/>
      <c r="Y2626" s="10"/>
      <c r="Z2626" s="10"/>
    </row>
    <row r="2627" spans="1:26" ht="12.75">
      <c r="A2627" s="10" t="str">
        <f ca="1">IFERROR(__xludf.DUMMYFUNCTION("""COMPUTED_VALUE"""),"Евгения Стефанова Русинова")</f>
        <v>Евгения Стефанова Русинова</v>
      </c>
      <c r="B2627" s="10" t="str">
        <f ca="1">IFERROR(__xludf.DUMMYFUNCTION("""COMPUTED_VALUE"""),"Статия в списания и поредици")</f>
        <v>Статия в списания и поредици</v>
      </c>
      <c r="C2627" s="10" t="str">
        <f ca="1">IFERROR(__xludf.DUMMYFUNCTION("""COMPUTED_VALUE"""),"“Четяща България” в Пловдив: Приносът на пловдивската народна библииотека за проучването на четенето – първата половина на ХХ век.")</f>
        <v>“Четяща България” в Пловдив: Приносът на пловдивската народна библииотека за проучването на четенето – първата половина на ХХ век.</v>
      </c>
      <c r="D2627" s="10">
        <f ca="1">IFERROR(__xludf.DUMMYFUNCTION("""COMPUTED_VALUE"""),2017)</f>
        <v>2017</v>
      </c>
      <c r="E2627" s="10" t="str">
        <f ca="1">IFERROR(__xludf.DUMMYFUNCTION("""COMPUTED_VALUE"""),"Годишник на регионалния музей Пловдив , кн.11 , 2017 : Пловдив през втората половина на ХIХ и ХХ век- общество, личности, местна власт, Пловдив, 2017, с. 46-53.")</f>
        <v>Годишник на регионалния музей Пловдив , кн.11 , 2017 : Пловдив през втората половина на ХIХ и ХХ век- общество, личности, местна власт, Пловдив, 2017, с. 46-53.</v>
      </c>
      <c r="F2627" s="10"/>
      <c r="G2627" s="10"/>
      <c r="H2627" s="10"/>
      <c r="I2627" s="10"/>
      <c r="J2627" s="10"/>
      <c r="K2627" s="10"/>
      <c r="L2627" s="10"/>
      <c r="M2627" s="10"/>
      <c r="N2627" s="10"/>
      <c r="O2627" s="10"/>
      <c r="P2627" s="10"/>
      <c r="Q2627" s="10"/>
      <c r="R2627" s="10"/>
      <c r="S2627" s="10"/>
      <c r="T2627" s="10"/>
      <c r="U2627" s="10"/>
      <c r="V2627" s="10"/>
      <c r="W2627" s="10"/>
      <c r="X2627" s="10"/>
      <c r="Y2627" s="10"/>
      <c r="Z2627" s="10"/>
    </row>
    <row r="2628" spans="1:26" ht="12.75">
      <c r="A2628" s="10" t="str">
        <f ca="1">IFERROR(__xludf.DUMMYFUNCTION("""COMPUTED_VALUE"""),"Евгения Стефанова Русинова")</f>
        <v>Евгения Стефанова Русинова</v>
      </c>
      <c r="B2628" s="10" t="str">
        <f ca="1">IFERROR(__xludf.DUMMYFUNCTION("""COMPUTED_VALUE"""),"Доклад от конференция")</f>
        <v>Доклад от конференция</v>
      </c>
      <c r="C2628" s="10" t="str">
        <f ca="1">IFERROR(__xludf.DUMMYFUNCTION("""COMPUTED_VALUE"""),"Ели Попова, Кариерното развитие на библиотечния персонал…. Част. I. Проучвания. С., 2016")</f>
        <v>Ели Попова, Кариерното развитие на библиотечния персонал…. Част. I. Проучвания. С., 2016</v>
      </c>
      <c r="D2628" s="10">
        <f ca="1">IFERROR(__xludf.DUMMYFUNCTION("""COMPUTED_VALUE"""),2017)</f>
        <v>2017</v>
      </c>
      <c r="E2628" s="10" t="str">
        <f ca="1">IFERROR(__xludf.DUMMYFUNCTION("""COMPUTED_VALUE"""),"Наука, 2017, № 4, с. 78.")</f>
        <v>Наука, 2017, № 4, с. 78.</v>
      </c>
      <c r="F2628" s="10"/>
      <c r="G2628" s="10"/>
      <c r="H2628" s="10"/>
      <c r="I2628" s="10"/>
      <c r="J2628" s="10"/>
      <c r="K2628" s="10"/>
      <c r="L2628" s="10"/>
      <c r="M2628" s="10"/>
      <c r="N2628" s="10"/>
      <c r="O2628" s="10"/>
      <c r="P2628" s="10"/>
      <c r="Q2628" s="10"/>
      <c r="R2628" s="10"/>
      <c r="S2628" s="10"/>
      <c r="T2628" s="10"/>
      <c r="U2628" s="10"/>
      <c r="V2628" s="10"/>
      <c r="W2628" s="10"/>
      <c r="X2628" s="10"/>
      <c r="Y2628" s="10"/>
      <c r="Z2628" s="10"/>
    </row>
    <row r="2629" spans="1:26" ht="12.75">
      <c r="A2629" s="10" t="str">
        <f ca="1">IFERROR(__xludf.DUMMYFUNCTION("""COMPUTED_VALUE"""),"Евгения Стефанова Русинова")</f>
        <v>Евгения Стефанова Русинова</v>
      </c>
      <c r="B2629" s="10" t="str">
        <f ca="1">IFERROR(__xludf.DUMMYFUNCTION("""COMPUTED_VALUE"""),"Статия в списания и поредици")</f>
        <v>Статия в списания и поредици</v>
      </c>
      <c r="C2629" s="10" t="str">
        <f ca="1">IFERROR(__xludf.DUMMYFUNCTION("""COMPUTED_VALUE"""),"Книгата и революцията – интелектуалният контекст на Априлското въстание")</f>
        <v>Книгата и революцията – интелектуалният контекст на Априлското въстание</v>
      </c>
      <c r="D2629" s="10">
        <f ca="1">IFERROR(__xludf.DUMMYFUNCTION("""COMPUTED_VALUE"""),2017)</f>
        <v>2017</v>
      </c>
      <c r="E2629" s="10" t="str">
        <f ca="1">IFERROR(__xludf.DUMMYFUNCTION("""COMPUTED_VALUE"""),"Град и памет: Априлското въстание 1876 г. през призмата на паметта. Пазарджик, 2017, с. 263-270")</f>
        <v>Град и памет: Априлското въстание 1876 г. през призмата на паметта. Пазарджик, 2017, с. 263-270</v>
      </c>
      <c r="F2629" s="10"/>
      <c r="G2629" s="10"/>
      <c r="H2629" s="10"/>
      <c r="I2629" s="10"/>
      <c r="J2629" s="10"/>
      <c r="K2629" s="10"/>
      <c r="L2629" s="10"/>
      <c r="M2629" s="10"/>
      <c r="N2629" s="10"/>
      <c r="O2629" s="10"/>
      <c r="P2629" s="10"/>
      <c r="Q2629" s="10"/>
      <c r="R2629" s="10"/>
      <c r="S2629" s="10"/>
      <c r="T2629" s="10"/>
      <c r="U2629" s="10"/>
      <c r="V2629" s="10"/>
      <c r="W2629" s="10"/>
      <c r="X2629" s="10"/>
      <c r="Y2629" s="10"/>
      <c r="Z2629" s="10"/>
    </row>
    <row r="2630" spans="1:26" ht="12.75">
      <c r="A2630" s="10" t="str">
        <f ca="1">IFERROR(__xludf.DUMMYFUNCTION("""COMPUTED_VALUE"""),"Евгения Стефанова Русинова")</f>
        <v>Евгения Стефанова Русинова</v>
      </c>
      <c r="B2630" s="10" t="str">
        <f ca="1">IFERROR(__xludf.DUMMYFUNCTION("""COMPUTED_VALUE"""),"Доклад от конференция")</f>
        <v>Доклад от конференция</v>
      </c>
      <c r="C2630" s="10" t="str">
        <f ca="1">IFERROR(__xludf.DUMMYFUNCTION("""COMPUTED_VALUE"""),"Образ будущего библиотеки между прогностикой и утопией")</f>
        <v>Образ будущего библиотеки между прогностикой и утопией</v>
      </c>
      <c r="D2630" s="10">
        <f ca="1">IFERROR(__xludf.DUMMYFUNCTION("""COMPUTED_VALUE"""),2017)</f>
        <v>2017</v>
      </c>
      <c r="E2630" s="10" t="str">
        <f ca="1">IFERROR(__xludf.DUMMYFUNCTION("""COMPUTED_VALUE"""),"// Сахаровские чтения – 2017: Сборник статей по материалам VI международной научно- практической конференции, Санкт-Петербург, 1-2 декабря 2017 г.. Санкт-Петербург, 2017, с. 71-74. ISBN 978-985-7142-89-7")</f>
        <v>// Сахаровские чтения – 2017: Сборник статей по материалам VI международной научно- практической конференции, Санкт-Петербург, 1-2 декабря 2017 г.. Санкт-Петербург, 2017, с. 71-74. ISBN 978-985-7142-89-7</v>
      </c>
      <c r="F2630" s="10" t="str">
        <f ca="1">IFERROR(__xludf.DUMMYFUNCTION("""COMPUTED_VALUE"""),"РИНЦ")</f>
        <v>РИНЦ</v>
      </c>
      <c r="G2630" s="10"/>
      <c r="H2630" s="10"/>
      <c r="I2630" s="10"/>
      <c r="J2630" s="10"/>
      <c r="K2630" s="10"/>
      <c r="L2630" s="10"/>
      <c r="M2630" s="10"/>
      <c r="N2630" s="10"/>
      <c r="O2630" s="10"/>
      <c r="P2630" s="10"/>
      <c r="Q2630" s="10"/>
      <c r="R2630" s="10"/>
      <c r="S2630" s="10"/>
      <c r="T2630" s="10"/>
      <c r="U2630" s="10"/>
      <c r="V2630" s="10"/>
      <c r="W2630" s="10"/>
      <c r="X2630" s="10"/>
      <c r="Y2630" s="10"/>
      <c r="Z2630" s="10"/>
    </row>
    <row r="2631" spans="1:26" ht="12.75">
      <c r="A2631" s="10" t="str">
        <f ca="1">IFERROR(__xludf.DUMMYFUNCTION("""COMPUTED_VALUE"""),"Евгения Стефанова Русинова")</f>
        <v>Евгения Стефанова Русинова</v>
      </c>
      <c r="B2631" s="10" t="str">
        <f ca="1">IFERROR(__xludf.DUMMYFUNCTION("""COMPUTED_VALUE"""),"Доклад от конференция")</f>
        <v>Доклад от конференция</v>
      </c>
      <c r="C2631" s="10" t="str">
        <f ca="1">IFERROR(__xludf.DUMMYFUNCTION("""COMPUTED_VALUE"""),"Образ будущего библиотеки между прогностикой и утопией")</f>
        <v>Образ будущего библиотеки между прогностикой и утопией</v>
      </c>
      <c r="D2631" s="10">
        <f ca="1">IFERROR(__xludf.DUMMYFUNCTION("""COMPUTED_VALUE"""),2017)</f>
        <v>2017</v>
      </c>
      <c r="E2631" s="10" t="str">
        <f ca="1">IFERROR(__xludf.DUMMYFUNCTION("""COMPUTED_VALUE"""),"// Сахаровские чтения – 2017: Сборник статей по материалам VI международной научно- практической конференции, Санкт-Петербург, 1-2 декабря 2017 г.. Санкт-Петербург, 2017, с. 71-74. ISBN 978-985-7142-89-7")</f>
        <v>// Сахаровские чтения – 2017: Сборник статей по материалам VI международной научно- практической конференции, Санкт-Петербург, 1-2 декабря 2017 г.. Санкт-Петербург, 2017, с. 71-74. ISBN 978-985-7142-89-7</v>
      </c>
      <c r="F2631" s="10" t="str">
        <f ca="1">IFERROR(__xludf.DUMMYFUNCTION("""COMPUTED_VALUE"""),"РИНЦ")</f>
        <v>РИНЦ</v>
      </c>
      <c r="G2631" s="10"/>
      <c r="H2631" s="10"/>
      <c r="I2631" s="10"/>
      <c r="J2631" s="10"/>
      <c r="K2631" s="10"/>
      <c r="L2631" s="10"/>
      <c r="M2631" s="10"/>
      <c r="N2631" s="10"/>
      <c r="O2631" s="10"/>
      <c r="P2631" s="10"/>
      <c r="Q2631" s="10"/>
      <c r="R2631" s="10"/>
      <c r="S2631" s="10"/>
      <c r="T2631" s="10"/>
      <c r="U2631" s="10"/>
      <c r="V2631" s="10"/>
      <c r="W2631" s="10"/>
      <c r="X2631" s="10"/>
      <c r="Y2631" s="10"/>
      <c r="Z2631" s="10"/>
    </row>
    <row r="2632" spans="1:26" ht="12.75">
      <c r="A2632" s="10" t="str">
        <f ca="1">IFERROR(__xludf.DUMMYFUNCTION("""COMPUTED_VALUE"""),"Евгения Стефанова Русинова")</f>
        <v>Евгения Стефанова Русинова</v>
      </c>
      <c r="B2632" s="10" t="str">
        <f ca="1">IFERROR(__xludf.DUMMYFUNCTION("""COMPUTED_VALUE"""),"Статия в списания и поредици")</f>
        <v>Статия в списания и поредици</v>
      </c>
      <c r="C2632" s="10" t="str">
        <f ca="1">IFERROR(__xludf.DUMMYFUNCTION("""COMPUTED_VALUE"""),"“Четяща България” в Пловдив: Приносът на пловдивската народна библииотека за проучването на четенето – първата половина на ХХ век.")</f>
        <v>“Четяща България” в Пловдив: Приносът на пловдивската народна библииотека за проучването на четенето – първата половина на ХХ век.</v>
      </c>
      <c r="D2632" s="10">
        <f ca="1">IFERROR(__xludf.DUMMYFUNCTION("""COMPUTED_VALUE"""),2017)</f>
        <v>2017</v>
      </c>
      <c r="E2632" s="10" t="str">
        <f ca="1">IFERROR(__xludf.DUMMYFUNCTION("""COMPUTED_VALUE"""),"Годишник на регионалния музей Пловдив , кн.11 , 2017 : Пловдив през втората половина на ХIХ и ХХ век- общество, личности, местна власт, Пловдив, 2017, с. 46-53.")</f>
        <v>Годишник на регионалния музей Пловдив , кн.11 , 2017 : Пловдив през втората половина на ХIХ и ХХ век- общество, личности, местна власт, Пловдив, 2017, с. 46-53.</v>
      </c>
      <c r="F2632" s="10"/>
      <c r="G2632" s="10"/>
      <c r="H2632" s="10"/>
      <c r="I2632" s="10"/>
      <c r="J2632" s="10"/>
      <c r="K2632" s="10"/>
      <c r="L2632" s="10"/>
      <c r="M2632" s="10"/>
      <c r="N2632" s="10"/>
      <c r="O2632" s="10"/>
      <c r="P2632" s="10"/>
      <c r="Q2632" s="10"/>
      <c r="R2632" s="10"/>
      <c r="S2632" s="10"/>
      <c r="T2632" s="10"/>
      <c r="U2632" s="10"/>
      <c r="V2632" s="10"/>
      <c r="W2632" s="10"/>
      <c r="X2632" s="10"/>
      <c r="Y2632" s="10"/>
      <c r="Z2632" s="10"/>
    </row>
    <row r="2633" spans="1:26" ht="12.75">
      <c r="A2633" s="10" t="str">
        <f ca="1">IFERROR(__xludf.DUMMYFUNCTION("""COMPUTED_VALUE"""),"Евгения Стефанова Русинова")</f>
        <v>Евгения Стефанова Русинова</v>
      </c>
      <c r="B2633" s="10" t="str">
        <f ca="1">IFERROR(__xludf.DUMMYFUNCTION("""COMPUTED_VALUE"""),"Статия в списания и поредици")</f>
        <v>Статия в списания и поредици</v>
      </c>
      <c r="C2633" s="10" t="str">
        <f ca="1">IFERROR(__xludf.DUMMYFUNCTION("""COMPUTED_VALUE"""),"Книгата и революцията – интелектуалният контекст на Априлското въстание")</f>
        <v>Книгата и революцията – интелектуалният контекст на Априлското въстание</v>
      </c>
      <c r="D2633" s="10">
        <f ca="1">IFERROR(__xludf.DUMMYFUNCTION("""COMPUTED_VALUE"""),2017)</f>
        <v>2017</v>
      </c>
      <c r="E2633" s="10" t="str">
        <f ca="1">IFERROR(__xludf.DUMMYFUNCTION("""COMPUTED_VALUE"""),"Град и памет: Априлското въстание 1876 г. през призмата на паметта. Пазарджик, 2017, с. 263-270")</f>
        <v>Град и памет: Априлското въстание 1876 г. през призмата на паметта. Пазарджик, 2017, с. 263-270</v>
      </c>
      <c r="F2633" s="10"/>
      <c r="G2633" s="10"/>
      <c r="H2633" s="10"/>
      <c r="I2633" s="10"/>
      <c r="J2633" s="10"/>
      <c r="K2633" s="10"/>
      <c r="L2633" s="10"/>
      <c r="M2633" s="10"/>
      <c r="N2633" s="10"/>
      <c r="O2633" s="10"/>
      <c r="P2633" s="10"/>
      <c r="Q2633" s="10"/>
      <c r="R2633" s="10"/>
      <c r="S2633" s="10"/>
      <c r="T2633" s="10"/>
      <c r="U2633" s="10"/>
      <c r="V2633" s="10"/>
      <c r="W2633" s="10"/>
      <c r="X2633" s="10"/>
      <c r="Y2633" s="10"/>
      <c r="Z2633" s="10"/>
    </row>
    <row r="2634" spans="1:26" ht="12.75">
      <c r="A2634" s="10" t="str">
        <f ca="1">IFERROR(__xludf.DUMMYFUNCTION("""COMPUTED_VALUE"""),"Евгения Стефанова Русинова")</f>
        <v>Евгения Стефанова Русинова</v>
      </c>
      <c r="B2634" s="10" t="str">
        <f ca="1">IFERROR(__xludf.DUMMYFUNCTION("""COMPUTED_VALUE"""),"Доклад от конференция")</f>
        <v>Доклад от конференция</v>
      </c>
      <c r="C2634" s="10" t="str">
        <f ca="1">IFERROR(__xludf.DUMMYFUNCTION("""COMPUTED_VALUE"""),"Предпочитанията на българския читател в края на 20-те години")</f>
        <v>Предпочитанията на българския читател в края на 20-те години</v>
      </c>
      <c r="D2634" s="10">
        <f ca="1">IFERROR(__xludf.DUMMYFUNCTION("""COMPUTED_VALUE"""),2017)</f>
        <v>2017</v>
      </c>
      <c r="E2634" s="10" t="str">
        <f ca="1">IFERROR(__xludf.DUMMYFUNCTION("""COMPUTED_VALUE"""),"Обществото на знанието и хуманизмът на ХХI век. ХIV нац. научна конф… С., 2017, с. 130-137")</f>
        <v>Обществото на знанието и хуманизмът на ХХI век. ХIV нац. научна конф… С., 2017, с. 130-137</v>
      </c>
      <c r="F2634" s="10"/>
      <c r="G2634" s="10"/>
      <c r="H2634" s="10"/>
      <c r="I2634" s="10"/>
      <c r="J2634" s="10"/>
      <c r="K2634" s="10"/>
      <c r="L2634" s="10"/>
      <c r="M2634" s="10"/>
      <c r="N2634" s="10"/>
      <c r="O2634" s="10"/>
      <c r="P2634" s="10"/>
      <c r="Q2634" s="10"/>
      <c r="R2634" s="10"/>
      <c r="S2634" s="10"/>
      <c r="T2634" s="10"/>
      <c r="U2634" s="10"/>
      <c r="V2634" s="10"/>
      <c r="W2634" s="10"/>
      <c r="X2634" s="10"/>
      <c r="Y2634" s="10"/>
      <c r="Z2634" s="10"/>
    </row>
    <row r="2635" spans="1:26" ht="12.75">
      <c r="A2635" s="10" t="str">
        <f ca="1">IFERROR(__xludf.DUMMYFUNCTION("""COMPUTED_VALUE"""),"Евгения Стефанова Русинова")</f>
        <v>Евгения Стефанова Русинова</v>
      </c>
      <c r="B2635" s="10" t="str">
        <f ca="1">IFERROR(__xludf.DUMMYFUNCTION("""COMPUTED_VALUE"""),"Доклад от конференция")</f>
        <v>Доклад от конференция</v>
      </c>
      <c r="C2635" s="10" t="str">
        <f ca="1">IFERROR(__xludf.DUMMYFUNCTION("""COMPUTED_VALUE"""),"Актуалните книжовни въпроси на страниците на сп. “Просвета” (1935-1943)")</f>
        <v>Актуалните книжовни въпроси на страниците на сп. “Просвета” (1935-1943)</v>
      </c>
      <c r="D2635" s="10">
        <f ca="1">IFERROR(__xludf.DUMMYFUNCTION("""COMPUTED_VALUE"""),2016)</f>
        <v>2016</v>
      </c>
      <c r="E2635" s="10" t="str">
        <f ca="1">IFERROR(__xludf.DUMMYFUNCTION("""COMPUTED_VALUE"""),"Историкът като изследовател, гражданин и човек. Сборник с материали от конференция, посветена на 130 годишнината от рождението и 70-годишнината от смъртта на професор Петър Мутафчиев (1883-1943). C., 2016, c. 245-255.")</f>
        <v>Историкът като изследовател, гражданин и човек. Сборник с материали от конференция, посветена на 130 годишнината от рождението и 70-годишнината от смъртта на професор Петър Мутафчиев (1883-1943). C., 2016, c. 245-255.</v>
      </c>
      <c r="F2635" s="10"/>
      <c r="G2635" s="10"/>
      <c r="H2635" s="10"/>
      <c r="I2635" s="10"/>
      <c r="J2635" s="10"/>
      <c r="K2635" s="10"/>
      <c r="L2635" s="10"/>
      <c r="M2635" s="10"/>
      <c r="N2635" s="10"/>
      <c r="O2635" s="10"/>
      <c r="P2635" s="10"/>
      <c r="Q2635" s="10"/>
      <c r="R2635" s="10"/>
      <c r="S2635" s="10"/>
      <c r="T2635" s="10"/>
      <c r="U2635" s="10"/>
      <c r="V2635" s="10"/>
      <c r="W2635" s="10"/>
      <c r="X2635" s="10"/>
      <c r="Y2635" s="10"/>
      <c r="Z2635" s="10"/>
    </row>
    <row r="2636" spans="1:26" ht="12.75">
      <c r="A2636" s="10" t="str">
        <f ca="1">IFERROR(__xludf.DUMMYFUNCTION("""COMPUTED_VALUE"""),"Евгения Стефанова Русинова")</f>
        <v>Евгения Стефанова Русинова</v>
      </c>
      <c r="B2636" s="10" t="str">
        <f ca="1">IFERROR(__xludf.DUMMYFUNCTION("""COMPUTED_VALUE"""),"Статия в списания и поредици")</f>
        <v>Статия в списания и поредици</v>
      </c>
      <c r="C2636" s="10" t="str">
        <f ca="1">IFERROR(__xludf.DUMMYFUNCTION("""COMPUTED_VALUE"""),"Популяризиране на изобразителното изкуство на страниците на “дамските” списания (1918-1944)")</f>
        <v>Популяризиране на изобразителното изкуство на страниците на “дамските” списания (1918-1944)</v>
      </c>
      <c r="D2636" s="10">
        <f ca="1">IFERROR(__xludf.DUMMYFUNCTION("""COMPUTED_VALUE"""),2016)</f>
        <v>2016</v>
      </c>
      <c r="E2636" s="10" t="str">
        <f ca="1">IFERROR(__xludf.DUMMYFUNCTION("""COMPUTED_VALUE"""),"Gloria Bibliospherae (Нишката на Ариадна) Изследвания в чест на Ал. Куманова. С., 2016, с.829- 836.")</f>
        <v>Gloria Bibliospherae (Нишката на Ариадна) Изследвания в чест на Ал. Куманова. С., 2016, с.829- 836.</v>
      </c>
      <c r="F2636" s="10"/>
      <c r="G2636" s="10"/>
      <c r="H2636" s="10"/>
      <c r="I2636" s="10"/>
      <c r="J2636" s="10"/>
      <c r="K2636" s="10"/>
      <c r="L2636" s="10"/>
      <c r="M2636" s="10"/>
      <c r="N2636" s="10"/>
      <c r="O2636" s="10"/>
      <c r="P2636" s="10"/>
      <c r="Q2636" s="10"/>
      <c r="R2636" s="10"/>
      <c r="S2636" s="10"/>
      <c r="T2636" s="10"/>
      <c r="U2636" s="10"/>
      <c r="V2636" s="10"/>
      <c r="W2636" s="10"/>
      <c r="X2636" s="10"/>
      <c r="Y2636" s="10"/>
      <c r="Z2636" s="10"/>
    </row>
    <row r="2637" spans="1:26" ht="12.75">
      <c r="A2637" s="10" t="str">
        <f ca="1">IFERROR(__xludf.DUMMYFUNCTION("""COMPUTED_VALUE"""),"Евгения Стефанова Русинова")</f>
        <v>Евгения Стефанова Русинова</v>
      </c>
      <c r="B2637" s="10" t="str">
        <f ca="1">IFERROR(__xludf.DUMMYFUNCTION("""COMPUTED_VALUE"""),"Доклад от конференция")</f>
        <v>Доклад от конференция</v>
      </c>
      <c r="C2637" s="10" t="str">
        <f ca="1">IFERROR(__xludf.DUMMYFUNCTION("""COMPUTED_VALUE"""),"Възможни ли са модерни библиотечни технологии без изследване на средата и ситуацията?")</f>
        <v>Възможни ли са модерни библиотечни технологии без изследване на средата и ситуацията?</v>
      </c>
      <c r="D2637" s="10">
        <f ca="1">IFERROR(__xludf.DUMMYFUNCTION("""COMPUTED_VALUE"""),2016)</f>
        <v>2016</v>
      </c>
      <c r="E2637" s="10" t="str">
        <f ca="1">IFERROR(__xludf.DUMMYFUNCTION("""COMPUTED_VALUE"""),"Обществото на знанието и хуманизмът на ХХ век. ХIII ннк, С., 2016, с.232-238.")</f>
        <v>Обществото на знанието и хуманизмът на ХХ век. ХIII ннк, С., 2016, с.232-238.</v>
      </c>
      <c r="F2637" s="10"/>
      <c r="G2637" s="10"/>
      <c r="H2637" s="10"/>
      <c r="I2637" s="10"/>
      <c r="J2637" s="10"/>
      <c r="K2637" s="10"/>
      <c r="L2637" s="10"/>
      <c r="M2637" s="10"/>
      <c r="N2637" s="10"/>
      <c r="O2637" s="10"/>
      <c r="P2637" s="10"/>
      <c r="Q2637" s="10"/>
      <c r="R2637" s="10"/>
      <c r="S2637" s="10"/>
      <c r="T2637" s="10"/>
      <c r="U2637" s="10"/>
      <c r="V2637" s="10"/>
      <c r="W2637" s="10"/>
      <c r="X2637" s="10"/>
      <c r="Y2637" s="10"/>
      <c r="Z2637" s="10"/>
    </row>
    <row r="2638" spans="1:26" ht="12.75">
      <c r="A2638" s="10" t="str">
        <f ca="1">IFERROR(__xludf.DUMMYFUNCTION("""COMPUTED_VALUE"""),"Евгения Стефанова Русинова")</f>
        <v>Евгения Стефанова Русинова</v>
      </c>
      <c r="B2638" s="10" t="str">
        <f ca="1">IFERROR(__xludf.DUMMYFUNCTION("""COMPUTED_VALUE"""),"Доклад от конференция")</f>
        <v>Доклад от конференция</v>
      </c>
      <c r="C2638" s="10" t="str">
        <f ca="1">IFERROR(__xludf.DUMMYFUNCTION("""COMPUTED_VALUE"""),"Динамично пространство, гъвкаво присъствие : към представата за библиотеката днес")</f>
        <v>Динамично пространство, гъвкаво присъствие : към представата за библиотеката днес</v>
      </c>
      <c r="D2638" s="10">
        <f ca="1">IFERROR(__xludf.DUMMYFUNCTION("""COMPUTED_VALUE"""),2016)</f>
        <v>2016</v>
      </c>
      <c r="E2638" s="10" t="str">
        <f ca="1">IFERROR(__xludf.DUMMYFUNCTION("""COMPUTED_VALUE"""),"Динамични библиотеки – достъп, развитие, промяна. Доклади ХХVI ННК на ББИА, 2016. С., 2016, с 37-39.")</f>
        <v>Динамични библиотеки – достъп, развитие, промяна. Доклади ХХVI ННК на ББИА, 2016. С., 2016, с 37-39.</v>
      </c>
      <c r="F2638" s="10"/>
      <c r="G2638" s="10"/>
      <c r="H2638" s="10"/>
      <c r="I2638" s="10"/>
      <c r="J2638" s="10"/>
      <c r="K2638" s="10"/>
      <c r="L2638" s="10"/>
      <c r="M2638" s="10"/>
      <c r="N2638" s="10"/>
      <c r="O2638" s="10"/>
      <c r="P2638" s="10"/>
      <c r="Q2638" s="10"/>
      <c r="R2638" s="10"/>
      <c r="S2638" s="10"/>
      <c r="T2638" s="10"/>
      <c r="U2638" s="10"/>
      <c r="V2638" s="10"/>
      <c r="W2638" s="10"/>
      <c r="X2638" s="10"/>
      <c r="Y2638" s="10"/>
      <c r="Z2638" s="10"/>
    </row>
    <row r="2639" spans="1:26" ht="12.75">
      <c r="A2639" s="10" t="str">
        <f ca="1">IFERROR(__xludf.DUMMYFUNCTION("""COMPUTED_VALUE"""),"Евгения Стефанова Русинова")</f>
        <v>Евгения Стефанова Русинова</v>
      </c>
      <c r="B2639" s="10" t="str">
        <f ca="1">IFERROR(__xludf.DUMMYFUNCTION("""COMPUTED_VALUE"""),"Доклад от конференция")</f>
        <v>Доклад от конференция</v>
      </c>
      <c r="C2639" s="10" t="str">
        <f ca="1">IFERROR(__xludf.DUMMYFUNCTION("""COMPUTED_VALUE"""),"Мястото на библиофилството в презентационните и PR програми на библиотеките и музеите")</f>
        <v>Мястото на библиофилството в презентационните и PR програми на библиотеките и музеите</v>
      </c>
      <c r="D2639" s="10">
        <f ca="1">IFERROR(__xludf.DUMMYFUNCTION("""COMPUTED_VALUE"""),2016)</f>
        <v>2016</v>
      </c>
      <c r="E2639" s="10" t="str">
        <f ca="1">IFERROR(__xludf.DUMMYFUNCTION("""COMPUTED_VALUE"""),"Библиотека, ХХIII, 2016, № 6, с.269-275.")</f>
        <v>Библиотека, ХХIII, 2016, № 6, с.269-275.</v>
      </c>
      <c r="F2639" s="10"/>
      <c r="G2639" s="10"/>
      <c r="H2639" s="10"/>
      <c r="I2639" s="10"/>
      <c r="J2639" s="10"/>
      <c r="K2639" s="10"/>
      <c r="L2639" s="10"/>
      <c r="M2639" s="10"/>
      <c r="N2639" s="10"/>
      <c r="O2639" s="10"/>
      <c r="P2639" s="10"/>
      <c r="Q2639" s="10"/>
      <c r="R2639" s="10"/>
      <c r="S2639" s="10"/>
      <c r="T2639" s="10"/>
      <c r="U2639" s="10"/>
      <c r="V2639" s="10"/>
      <c r="W2639" s="10"/>
      <c r="X2639" s="10"/>
      <c r="Y2639" s="10"/>
      <c r="Z2639" s="10"/>
    </row>
    <row r="2640" spans="1:26" ht="12.75">
      <c r="A2640" s="10" t="str">
        <f ca="1">IFERROR(__xludf.DUMMYFUNCTION("""COMPUTED_VALUE"""),"Евгения Стефанова Русинова")</f>
        <v>Евгения Стефанова Русинова</v>
      </c>
      <c r="B2640" s="10" t="str">
        <f ca="1">IFERROR(__xludf.DUMMYFUNCTION("""COMPUTED_VALUE"""),"Доклад от конференция")</f>
        <v>Доклад от конференция</v>
      </c>
      <c r="C2640" s="10" t="str">
        <f ca="1">IFERROR(__xludf.DUMMYFUNCTION("""COMPUTED_VALUE"""),"Актуалните книжовни въпроси на страниците на сп. “Просвета” (1935-1943)")</f>
        <v>Актуалните книжовни въпроси на страниците на сп. “Просвета” (1935-1943)</v>
      </c>
      <c r="D2640" s="10">
        <f ca="1">IFERROR(__xludf.DUMMYFUNCTION("""COMPUTED_VALUE"""),2016)</f>
        <v>2016</v>
      </c>
      <c r="E2640" s="10" t="str">
        <f ca="1">IFERROR(__xludf.DUMMYFUNCTION("""COMPUTED_VALUE"""),"Историкът като изследовател, гражданин и човек. Сборник с материали от конференция, посветена на 130 годишнината от рождението и 70-годишнината от смъртта на професор Петър Мутафчиев (1883-1943). C., 2016, c. 245-255.")</f>
        <v>Историкът като изследовател, гражданин и човек. Сборник с материали от конференция, посветена на 130 годишнината от рождението и 70-годишнината от смъртта на професор Петър Мутафчиев (1883-1943). C., 2016, c. 245-255.</v>
      </c>
      <c r="F2640" s="10"/>
      <c r="G2640" s="10"/>
      <c r="H2640" s="10"/>
      <c r="I2640" s="10"/>
      <c r="J2640" s="10"/>
      <c r="K2640" s="10"/>
      <c r="L2640" s="10"/>
      <c r="M2640" s="10"/>
      <c r="N2640" s="10"/>
      <c r="O2640" s="10"/>
      <c r="P2640" s="10"/>
      <c r="Q2640" s="10"/>
      <c r="R2640" s="10"/>
      <c r="S2640" s="10"/>
      <c r="T2640" s="10"/>
      <c r="U2640" s="10"/>
      <c r="V2640" s="10"/>
      <c r="W2640" s="10"/>
      <c r="X2640" s="10"/>
      <c r="Y2640" s="10"/>
      <c r="Z2640" s="10"/>
    </row>
    <row r="2641" spans="1:26" ht="12.75">
      <c r="A2641" s="10" t="str">
        <f ca="1">IFERROR(__xludf.DUMMYFUNCTION("""COMPUTED_VALUE"""),"Евгения Стефанова Русинова")</f>
        <v>Евгения Стефанова Русинова</v>
      </c>
      <c r="B2641" s="10" t="str">
        <f ca="1">IFERROR(__xludf.DUMMYFUNCTION("""COMPUTED_VALUE"""),"Доклад от конференция")</f>
        <v>Доклад от конференция</v>
      </c>
      <c r="C2641" s="10" t="str">
        <f ca="1">IFERROR(__xludf.DUMMYFUNCTION("""COMPUTED_VALUE"""),"Approaches to Measuring the Efficiency of the Bulgarian Libraries")</f>
        <v>Approaches to Measuring the Efficiency of the Bulgarian Libraries</v>
      </c>
      <c r="D2641" s="10">
        <f ca="1">IFERROR(__xludf.DUMMYFUNCTION("""COMPUTED_VALUE"""),2016)</f>
        <v>2016</v>
      </c>
      <c r="E2641" s="10" t="str">
        <f ca="1">IFERROR(__xludf.DUMMYFUNCTION("""COMPUTED_VALUE"""),"Journal of QQML,5(2), June 2016,379-383. ISSN 2241-1925")</f>
        <v>Journal of QQML,5(2), June 2016,379-383. ISSN 2241-1925</v>
      </c>
      <c r="F2641" s="10"/>
      <c r="G2641" s="10"/>
      <c r="H2641" s="10"/>
      <c r="I2641" s="10"/>
      <c r="J2641" s="10"/>
      <c r="K2641" s="10"/>
      <c r="L2641" s="10"/>
      <c r="M2641" s="10"/>
      <c r="N2641" s="10"/>
      <c r="O2641" s="10"/>
      <c r="P2641" s="10"/>
      <c r="Q2641" s="10"/>
      <c r="R2641" s="10"/>
      <c r="S2641" s="10"/>
      <c r="T2641" s="10"/>
      <c r="U2641" s="10"/>
      <c r="V2641" s="10"/>
      <c r="W2641" s="10"/>
      <c r="X2641" s="10"/>
      <c r="Y2641" s="10"/>
      <c r="Z2641" s="10"/>
    </row>
    <row r="2642" spans="1:26" ht="12.75">
      <c r="A2642" s="10" t="str">
        <f ca="1">IFERROR(__xludf.DUMMYFUNCTION("""COMPUTED_VALUE"""),"Евгения Стефанова Русинова")</f>
        <v>Евгения Стефанова Русинова</v>
      </c>
      <c r="B2642" s="10" t="str">
        <f ca="1">IFERROR(__xludf.DUMMYFUNCTION("""COMPUTED_VALUE"""),"Статия в списания и поредици")</f>
        <v>Статия в списания и поредици</v>
      </c>
      <c r="C2642" s="10" t="str">
        <f ca="1">IFERROR(__xludf.DUMMYFUNCTION("""COMPUTED_VALUE"""),"Фиктивно и преднамерено рецензиране")</f>
        <v>Фиктивно и преднамерено рецензиране</v>
      </c>
      <c r="D2642" s="10">
        <f ca="1">IFERROR(__xludf.DUMMYFUNCTION("""COMPUTED_VALUE"""),2016)</f>
        <v>2016</v>
      </c>
      <c r="E2642" s="10" t="str">
        <f ca="1">IFERROR(__xludf.DUMMYFUNCTION("""COMPUTED_VALUE"""),"Наука, ХХVI, 2016, № 1, с. 49-51 ISSN 0861 3362")</f>
        <v>Наука, ХХVI, 2016, № 1, с. 49-51 ISSN 0861 3362</v>
      </c>
      <c r="F2642" s="10"/>
      <c r="G2642" s="10"/>
      <c r="H2642" s="10"/>
      <c r="I2642" s="10"/>
      <c r="J2642" s="10"/>
      <c r="K2642" s="10"/>
      <c r="L2642" s="10"/>
      <c r="M2642" s="10"/>
      <c r="N2642" s="10"/>
      <c r="O2642" s="10"/>
      <c r="P2642" s="10"/>
      <c r="Q2642" s="10"/>
      <c r="R2642" s="10"/>
      <c r="S2642" s="10"/>
      <c r="T2642" s="10"/>
      <c r="U2642" s="10"/>
      <c r="V2642" s="10"/>
      <c r="W2642" s="10"/>
      <c r="X2642" s="10"/>
      <c r="Y2642" s="10"/>
      <c r="Z2642" s="10"/>
    </row>
    <row r="2643" spans="1:26" ht="12.75">
      <c r="A2643" s="10" t="str">
        <f ca="1">IFERROR(__xludf.DUMMYFUNCTION("""COMPUTED_VALUE"""),"Евгения Стефанова Русинова")</f>
        <v>Евгения Стефанова Русинова</v>
      </c>
      <c r="B2643" s="10" t="str">
        <f ca="1">IFERROR(__xludf.DUMMYFUNCTION("""COMPUTED_VALUE"""),"Статия в списания и поредици")</f>
        <v>Статия в списания и поредици</v>
      </c>
      <c r="C2643" s="10" t="str">
        <f ca="1">IFERROR(__xludf.DUMMYFUNCTION("""COMPUTED_VALUE"""),"Актуалните книжовни въпроси на страниците на сп. “Просвета” (1935-1943)")</f>
        <v>Актуалните книжовни въпроси на страниците на сп. “Просвета” (1935-1943)</v>
      </c>
      <c r="D2643" s="10">
        <f ca="1">IFERROR(__xludf.DUMMYFUNCTION("""COMPUTED_VALUE"""),2016)</f>
        <v>2016</v>
      </c>
      <c r="E2643" s="10" t="str">
        <f ca="1">IFERROR(__xludf.DUMMYFUNCTION("""COMPUTED_VALUE"""),"Историкът като изследовател, гражданин и човек. Сборник с материали от конференция, посветена на 130 годишнната от рождението и 70-годишнината от смъртта на професор Петър Мутафчиев (1883-1943). C., 2016, c. 245-255. ISBN 978- 954- 535-932-3")</f>
        <v>Историкът като изследовател, гражданин и човек. Сборник с материали от конференция, посветена на 130 годишнната от рождението и 70-годишнината от смъртта на професор Петър Мутафчиев (1883-1943). C., 2016, c. 245-255. ISBN 978- 954- 535-932-3</v>
      </c>
      <c r="F2643" s="10"/>
      <c r="G2643" s="10"/>
      <c r="H2643" s="10"/>
      <c r="I2643" s="10"/>
      <c r="J2643" s="10"/>
      <c r="K2643" s="10"/>
      <c r="L2643" s="10"/>
      <c r="M2643" s="10"/>
      <c r="N2643" s="10"/>
      <c r="O2643" s="10"/>
      <c r="P2643" s="10"/>
      <c r="Q2643" s="10"/>
      <c r="R2643" s="10"/>
      <c r="S2643" s="10"/>
      <c r="T2643" s="10"/>
      <c r="U2643" s="10"/>
      <c r="V2643" s="10"/>
      <c r="W2643" s="10"/>
      <c r="X2643" s="10"/>
      <c r="Y2643" s="10"/>
      <c r="Z2643" s="10"/>
    </row>
    <row r="2644" spans="1:26" ht="12.75">
      <c r="A2644" s="10" t="str">
        <f ca="1">IFERROR(__xludf.DUMMYFUNCTION("""COMPUTED_VALUE"""),"Евгения Стефанова Русинова")</f>
        <v>Евгения Стефанова Русинова</v>
      </c>
      <c r="B2644" s="10" t="str">
        <f ca="1">IFERROR(__xludf.DUMMYFUNCTION("""COMPUTED_VALUE"""),"Доклад от конференция")</f>
        <v>Доклад от конференция</v>
      </c>
      <c r="C2644" s="10" t="str">
        <f ca="1">IFERROR(__xludf.DUMMYFUNCTION("""COMPUTED_VALUE"""),"Динамично пространство, гъвкаво присъствие : към представата за библиотеката днес")</f>
        <v>Динамично пространство, гъвкаво присъствие : към представата за библиотеката днес</v>
      </c>
      <c r="D2644" s="10">
        <f ca="1">IFERROR(__xludf.DUMMYFUNCTION("""COMPUTED_VALUE"""),2016)</f>
        <v>2016</v>
      </c>
      <c r="E2644" s="10" t="str">
        <f ca="1">IFERROR(__xludf.DUMMYFUNCTION("""COMPUTED_VALUE"""),"Динамични библиотеки – достъп, развитие, промяна. Доклади ХХVI ННК на ББИА, 2016. С., 2016, с 37-39.")</f>
        <v>Динамични библиотеки – достъп, развитие, промяна. Доклади ХХVI ННК на ББИА, 2016. С., 2016, с 37-39.</v>
      </c>
      <c r="F2644" s="10"/>
      <c r="G2644" s="10"/>
      <c r="H2644" s="10"/>
      <c r="I2644" s="10"/>
      <c r="J2644" s="10"/>
      <c r="K2644" s="10"/>
      <c r="L2644" s="10"/>
      <c r="M2644" s="10"/>
      <c r="N2644" s="10"/>
      <c r="O2644" s="10"/>
      <c r="P2644" s="10"/>
      <c r="Q2644" s="10"/>
      <c r="R2644" s="10"/>
      <c r="S2644" s="10"/>
      <c r="T2644" s="10"/>
      <c r="U2644" s="10"/>
      <c r="V2644" s="10"/>
      <c r="W2644" s="10"/>
      <c r="X2644" s="10"/>
      <c r="Y2644" s="10"/>
      <c r="Z2644" s="10"/>
    </row>
    <row r="2645" spans="1:26" ht="12.75">
      <c r="A2645" s="10" t="str">
        <f ca="1">IFERROR(__xludf.DUMMYFUNCTION("""COMPUTED_VALUE"""),"Евгения Стефанова Русинова")</f>
        <v>Евгения Стефанова Русинова</v>
      </c>
      <c r="B2645" s="10" t="str">
        <f ca="1">IFERROR(__xludf.DUMMYFUNCTION("""COMPUTED_VALUE"""),"Доклад от конференция")</f>
        <v>Доклад от конференция</v>
      </c>
      <c r="C2645" s="10" t="str">
        <f ca="1">IFERROR(__xludf.DUMMYFUNCTION("""COMPUTED_VALUE"""),"Възможни ли са модерни библиотечни технологии без изследване на средата и ситуацията?")</f>
        <v>Възможни ли са модерни библиотечни технологии без изследване на средата и ситуацията?</v>
      </c>
      <c r="D2645" s="10">
        <f ca="1">IFERROR(__xludf.DUMMYFUNCTION("""COMPUTED_VALUE"""),2016)</f>
        <v>2016</v>
      </c>
      <c r="E2645" s="10" t="str">
        <f ca="1">IFERROR(__xludf.DUMMYFUNCTION("""COMPUTED_VALUE"""),"Обществото на знанието и хуманизмът на ХХ век. ХIII ннк, С., 2016, с.232-238.")</f>
        <v>Обществото на знанието и хуманизмът на ХХ век. ХIII ннк, С., 2016, с.232-238.</v>
      </c>
      <c r="F2645" s="10"/>
      <c r="G2645" s="10"/>
      <c r="H2645" s="10"/>
      <c r="I2645" s="10"/>
      <c r="J2645" s="10"/>
      <c r="K2645" s="10"/>
      <c r="L2645" s="10"/>
      <c r="M2645" s="10"/>
      <c r="N2645" s="10"/>
      <c r="O2645" s="10"/>
      <c r="P2645" s="10"/>
      <c r="Q2645" s="10"/>
      <c r="R2645" s="10"/>
      <c r="S2645" s="10"/>
      <c r="T2645" s="10"/>
      <c r="U2645" s="10"/>
      <c r="V2645" s="10"/>
      <c r="W2645" s="10"/>
      <c r="X2645" s="10"/>
      <c r="Y2645" s="10"/>
      <c r="Z2645" s="10"/>
    </row>
    <row r="2646" spans="1:26" ht="12.75">
      <c r="A2646" s="10" t="str">
        <f ca="1">IFERROR(__xludf.DUMMYFUNCTION("""COMPUTED_VALUE"""),"Евгения Стефанова Русинова")</f>
        <v>Евгения Стефанова Русинова</v>
      </c>
      <c r="B2646" s="10" t="str">
        <f ca="1">IFERROR(__xludf.DUMMYFUNCTION("""COMPUTED_VALUE"""),"Статия в списания и поредици")</f>
        <v>Статия в списания и поредици</v>
      </c>
      <c r="C2646" s="10" t="str">
        <f ca="1">IFERROR(__xludf.DUMMYFUNCTION("""COMPUTED_VALUE"""),"Популяризиране на изобразителното изкуство на страниците на “дамските” списания (1918-1944)")</f>
        <v>Популяризиране на изобразителното изкуство на страниците на “дамските” списания (1918-1944)</v>
      </c>
      <c r="D2646" s="10">
        <f ca="1">IFERROR(__xludf.DUMMYFUNCTION("""COMPUTED_VALUE"""),2016)</f>
        <v>2016</v>
      </c>
      <c r="E2646" s="10" t="str">
        <f ca="1">IFERROR(__xludf.DUMMYFUNCTION("""COMPUTED_VALUE"""),"Gloria Bibliospherae (Нишката на Ариадна) Изследвания в чест на Ал. Куманова. С., 2016, с.829- 836.")</f>
        <v>Gloria Bibliospherae (Нишката на Ариадна) Изследвания в чест на Ал. Куманова. С., 2016, с.829- 836.</v>
      </c>
      <c r="F2646" s="10"/>
      <c r="G2646" s="10"/>
      <c r="H2646" s="10"/>
      <c r="I2646" s="10"/>
      <c r="J2646" s="10"/>
      <c r="K2646" s="10"/>
      <c r="L2646" s="10"/>
      <c r="M2646" s="10"/>
      <c r="N2646" s="10"/>
      <c r="O2646" s="10"/>
      <c r="P2646" s="10"/>
      <c r="Q2646" s="10"/>
      <c r="R2646" s="10"/>
      <c r="S2646" s="10"/>
      <c r="T2646" s="10"/>
      <c r="U2646" s="10"/>
      <c r="V2646" s="10"/>
      <c r="W2646" s="10"/>
      <c r="X2646" s="10"/>
      <c r="Y2646" s="10"/>
      <c r="Z2646" s="10"/>
    </row>
    <row r="2647" spans="1:26" ht="12.75">
      <c r="A2647" s="10" t="str">
        <f ca="1">IFERROR(__xludf.DUMMYFUNCTION("""COMPUTED_VALUE"""),"Евгения Стефанова Русинова")</f>
        <v>Евгения Стефанова Русинова</v>
      </c>
      <c r="B2647" s="10" t="str">
        <f ca="1">IFERROR(__xludf.DUMMYFUNCTION("""COMPUTED_VALUE"""),"Статия в списания и поредици")</f>
        <v>Статия в списания и поредици</v>
      </c>
      <c r="C2647" s="10" t="str">
        <f ca="1">IFERROR(__xludf.DUMMYFUNCTION("""COMPUTED_VALUE"""),"Популяризиране на изобразителното изкуство на страниците на “дамските” списания (1918-1944)")</f>
        <v>Популяризиране на изобразителното изкуство на страниците на “дамските” списания (1918-1944)</v>
      </c>
      <c r="D2647" s="10">
        <f ca="1">IFERROR(__xludf.DUMMYFUNCTION("""COMPUTED_VALUE"""),2016)</f>
        <v>2016</v>
      </c>
      <c r="E2647" s="10" t="str">
        <f ca="1">IFERROR(__xludf.DUMMYFUNCTION("""COMPUTED_VALUE"""),"Gloria Bibliospherae (Нишката на Ариадна) Изследвания в чест на Ал. Куманова. С., 2016, с.829- 836. ISBN 978-619-185-211-6")</f>
        <v>Gloria Bibliospherae (Нишката на Ариадна) Изследвания в чест на Ал. Куманова. С., 2016, с.829- 836. ISBN 978-619-185-211-6</v>
      </c>
      <c r="F2647" s="10"/>
      <c r="G2647" s="10"/>
      <c r="H2647" s="10"/>
      <c r="I2647" s="10"/>
      <c r="J2647" s="10"/>
      <c r="K2647" s="10"/>
      <c r="L2647" s="10"/>
      <c r="M2647" s="10"/>
      <c r="N2647" s="10"/>
      <c r="O2647" s="10"/>
      <c r="P2647" s="10"/>
      <c r="Q2647" s="10"/>
      <c r="R2647" s="10"/>
      <c r="S2647" s="10"/>
      <c r="T2647" s="10"/>
      <c r="U2647" s="10"/>
      <c r="V2647" s="10"/>
      <c r="W2647" s="10"/>
      <c r="X2647" s="10"/>
      <c r="Y2647" s="10"/>
      <c r="Z2647" s="10"/>
    </row>
    <row r="2648" spans="1:26" ht="12.75">
      <c r="A2648" s="10" t="str">
        <f ca="1">IFERROR(__xludf.DUMMYFUNCTION("""COMPUTED_VALUE"""),"Евгения Стефанова Русинова")</f>
        <v>Евгения Стефанова Русинова</v>
      </c>
      <c r="B2648" s="10" t="str">
        <f ca="1">IFERROR(__xludf.DUMMYFUNCTION("""COMPUTED_VALUE"""),"Доклад от конференция")</f>
        <v>Доклад от конференция</v>
      </c>
      <c r="C2648" s="10" t="str">
        <f ca="1">IFERROR(__xludf.DUMMYFUNCTION("""COMPUTED_VALUE"""),"Възможни ли са модерни библиотечни технологии без изследване на средата и ситуацията?")</f>
        <v>Възможни ли са модерни библиотечни технологии без изследване на средата и ситуацията?</v>
      </c>
      <c r="D2648" s="10">
        <f ca="1">IFERROR(__xludf.DUMMYFUNCTION("""COMPUTED_VALUE"""),2016)</f>
        <v>2016</v>
      </c>
      <c r="E2648" s="10" t="str">
        <f ca="1">IFERROR(__xludf.DUMMYFUNCTION("""COMPUTED_VALUE"""),"Обществото на знанието и хуманизмът на ХХ век. ХIII ннк, С., 2016, с.232-238. ISSN 1314-7092")</f>
        <v>Обществото на знанието и хуманизмът на ХХ век. ХIII ннк, С., 2016, с.232-238. ISSN 1314-7092</v>
      </c>
      <c r="F2648" s="10"/>
      <c r="G2648" s="10"/>
      <c r="H2648" s="10"/>
      <c r="I2648" s="10"/>
      <c r="J2648" s="10"/>
      <c r="K2648" s="10"/>
      <c r="L2648" s="10"/>
      <c r="M2648" s="10"/>
      <c r="N2648" s="10"/>
      <c r="O2648" s="10"/>
      <c r="P2648" s="10"/>
      <c r="Q2648" s="10"/>
      <c r="R2648" s="10"/>
      <c r="S2648" s="10"/>
      <c r="T2648" s="10"/>
      <c r="U2648" s="10"/>
      <c r="V2648" s="10"/>
      <c r="W2648" s="10"/>
      <c r="X2648" s="10"/>
      <c r="Y2648" s="10"/>
      <c r="Z2648" s="10"/>
    </row>
    <row r="2649" spans="1:26" ht="12.75">
      <c r="A2649" s="10" t="str">
        <f ca="1">IFERROR(__xludf.DUMMYFUNCTION("""COMPUTED_VALUE"""),"Евгения Стефанова Русинова")</f>
        <v>Евгения Стефанова Русинова</v>
      </c>
      <c r="B2649" s="10" t="str">
        <f ca="1">IFERROR(__xludf.DUMMYFUNCTION("""COMPUTED_VALUE"""),"Статия в списания и поредици")</f>
        <v>Статия в списания и поредици</v>
      </c>
      <c r="C2649" s="10" t="str">
        <f ca="1">IFERROR(__xludf.DUMMYFUNCTION("""COMPUTED_VALUE"""),"Актуалните книжовни въпроси на страниците на сп. “Просвета” (1935-1943)")</f>
        <v>Актуалните книжовни въпроси на страниците на сп. “Просвета” (1935-1943)</v>
      </c>
      <c r="D2649" s="10">
        <f ca="1">IFERROR(__xludf.DUMMYFUNCTION("""COMPUTED_VALUE"""),2016)</f>
        <v>2016</v>
      </c>
      <c r="E2649" s="10" t="str">
        <f ca="1">IFERROR(__xludf.DUMMYFUNCTION("""COMPUTED_VALUE"""),"Историкът като изследовател, гражданин и човек. Сборник с материали от конференция, посветена на 130 годишнната от рождението и 70-годишнината от смъртта на професор Петър Мутафчиев (1883-1943). C., 2016, c. 245-255. ISBN 978- 954- 535-932-3")</f>
        <v>Историкът като изследовател, гражданин и човек. Сборник с материали от конференция, посветена на 130 годишнната от рождението и 70-годишнината от смъртта на професор Петър Мутафчиев (1883-1943). C., 2016, c. 245-255. ISBN 978- 954- 535-932-3</v>
      </c>
      <c r="F2649" s="10"/>
      <c r="G2649" s="10"/>
      <c r="H2649" s="10"/>
      <c r="I2649" s="10"/>
      <c r="J2649" s="10"/>
      <c r="K2649" s="10"/>
      <c r="L2649" s="10"/>
      <c r="M2649" s="10"/>
      <c r="N2649" s="10"/>
      <c r="O2649" s="10"/>
      <c r="P2649" s="10"/>
      <c r="Q2649" s="10"/>
      <c r="R2649" s="10"/>
      <c r="S2649" s="10"/>
      <c r="T2649" s="10"/>
      <c r="U2649" s="10"/>
      <c r="V2649" s="10"/>
      <c r="W2649" s="10"/>
      <c r="X2649" s="10"/>
      <c r="Y2649" s="10"/>
      <c r="Z2649" s="10"/>
    </row>
    <row r="2650" spans="1:26" ht="12.75">
      <c r="A2650" s="10" t="str">
        <f ca="1">IFERROR(__xludf.DUMMYFUNCTION("""COMPUTED_VALUE"""),"Евгения Стефанова Русинова")</f>
        <v>Евгения Стефанова Русинова</v>
      </c>
      <c r="B2650" s="10" t="str">
        <f ca="1">IFERROR(__xludf.DUMMYFUNCTION("""COMPUTED_VALUE"""),"Статия в списания и поредици")</f>
        <v>Статия в списания и поредици</v>
      </c>
      <c r="C2650" s="10" t="str">
        <f ca="1">IFERROR(__xludf.DUMMYFUNCTION("""COMPUTED_VALUE"""),"Мястото на библиофилството в презентационните и PR програми на библиотеките и музеите")</f>
        <v>Мястото на библиофилството в презентационните и PR програми на библиотеките и музеите</v>
      </c>
      <c r="D2650" s="10">
        <f ca="1">IFERROR(__xludf.DUMMYFUNCTION("""COMPUTED_VALUE"""),2016)</f>
        <v>2016</v>
      </c>
      <c r="E2650" s="10" t="str">
        <f ca="1">IFERROR(__xludf.DUMMYFUNCTION("""COMPUTED_VALUE"""),"Библиотека, ХХIII, 2016, № 6, с.269-275.")</f>
        <v>Библиотека, ХХIII, 2016, № 6, с.269-275.</v>
      </c>
      <c r="F2650" s="10"/>
      <c r="G2650" s="10"/>
      <c r="H2650" s="10"/>
      <c r="I2650" s="10"/>
      <c r="J2650" s="10"/>
      <c r="K2650" s="10"/>
      <c r="L2650" s="10"/>
      <c r="M2650" s="10"/>
      <c r="N2650" s="10"/>
      <c r="O2650" s="10"/>
      <c r="P2650" s="10"/>
      <c r="Q2650" s="10"/>
      <c r="R2650" s="10"/>
      <c r="S2650" s="10"/>
      <c r="T2650" s="10"/>
      <c r="U2650" s="10"/>
      <c r="V2650" s="10"/>
      <c r="W2650" s="10"/>
      <c r="X2650" s="10"/>
      <c r="Y2650" s="10"/>
      <c r="Z2650" s="10"/>
    </row>
    <row r="2651" spans="1:26" ht="12.75">
      <c r="A2651" s="10" t="str">
        <f ca="1">IFERROR(__xludf.DUMMYFUNCTION("""COMPUTED_VALUE"""),"Евгения Стефанова Русинова")</f>
        <v>Евгения Стефанова Русинова</v>
      </c>
      <c r="B2651" s="10" t="str">
        <f ca="1">IFERROR(__xludf.DUMMYFUNCTION("""COMPUTED_VALUE"""),"Доклад от конференция")</f>
        <v>Доклад от конференция</v>
      </c>
      <c r="C2651" s="10" t="str">
        <f ca="1">IFERROR(__xludf.DUMMYFUNCTION("""COMPUTED_VALUE"""),"Динамично пространство, гъвкаво присъствие : към представата за библиотеката днес")</f>
        <v>Динамично пространство, гъвкаво присъствие : към представата за библиотеката днес</v>
      </c>
      <c r="D2651" s="10">
        <f ca="1">IFERROR(__xludf.DUMMYFUNCTION("""COMPUTED_VALUE"""),2016)</f>
        <v>2016</v>
      </c>
      <c r="E2651" s="10" t="str">
        <f ca="1">IFERROR(__xludf.DUMMYFUNCTION("""COMPUTED_VALUE"""),"Динамични библиотеки – достъп, развитие, промяна. Доклади ХХVI ННК на ББИА,2016. С., 2016, с 37-39. ISBN 978-954-9837-30-8")</f>
        <v>Динамични библиотеки – достъп, развитие, промяна. Доклади ХХVI ННК на ББИА,2016. С., 2016, с 37-39. ISBN 978-954-9837-30-8</v>
      </c>
      <c r="F2651" s="10"/>
      <c r="G2651" s="10"/>
      <c r="H2651" s="10"/>
      <c r="I2651" s="10"/>
      <c r="J2651" s="10"/>
      <c r="K2651" s="10"/>
      <c r="L2651" s="10"/>
      <c r="M2651" s="10"/>
      <c r="N2651" s="10"/>
      <c r="O2651" s="10"/>
      <c r="P2651" s="10"/>
      <c r="Q2651" s="10"/>
      <c r="R2651" s="10"/>
      <c r="S2651" s="10"/>
      <c r="T2651" s="10"/>
      <c r="U2651" s="10"/>
      <c r="V2651" s="10"/>
      <c r="W2651" s="10"/>
      <c r="X2651" s="10"/>
      <c r="Y2651" s="10"/>
      <c r="Z2651" s="10"/>
    </row>
    <row r="2652" spans="1:26" ht="12.75">
      <c r="A2652" s="10" t="str">
        <f ca="1">IFERROR(__xludf.DUMMYFUNCTION("""COMPUTED_VALUE"""),"Евгения Стефанова Русинова")</f>
        <v>Евгения Стефанова Русинова</v>
      </c>
      <c r="B2652" s="10" t="str">
        <f ca="1">IFERROR(__xludf.DUMMYFUNCTION("""COMPUTED_VALUE"""),"Доклад от конференция")</f>
        <v>Доклад от конференция</v>
      </c>
      <c r="C2652" s="10" t="str">
        <f ca="1">IFERROR(__xludf.DUMMYFUNCTION("""COMPUTED_VALUE"""),"Възможни ли са модерни библиотечни технологии без изследване на средата и ситуацията?")</f>
        <v>Възможни ли са модерни библиотечни технологии без изследване на средата и ситуацията?</v>
      </c>
      <c r="D2652" s="10">
        <f ca="1">IFERROR(__xludf.DUMMYFUNCTION("""COMPUTED_VALUE"""),2016)</f>
        <v>2016</v>
      </c>
      <c r="E2652" s="10" t="str">
        <f ca="1">IFERROR(__xludf.DUMMYFUNCTION("""COMPUTED_VALUE"""),"Обществото на знанието и хуманизмът на ХХ век. ХIII ннк, С., 2016, с.232-238. ISSN 1314-7092")</f>
        <v>Обществото на знанието и хуманизмът на ХХ век. ХIII ннк, С., 2016, с.232-238. ISSN 1314-7092</v>
      </c>
      <c r="F2652" s="10"/>
      <c r="G2652" s="10"/>
      <c r="H2652" s="10"/>
      <c r="I2652" s="10"/>
      <c r="J2652" s="10"/>
      <c r="K2652" s="10"/>
      <c r="L2652" s="10"/>
      <c r="M2652" s="10"/>
      <c r="N2652" s="10"/>
      <c r="O2652" s="10"/>
      <c r="P2652" s="10"/>
      <c r="Q2652" s="10"/>
      <c r="R2652" s="10"/>
      <c r="S2652" s="10"/>
      <c r="T2652" s="10"/>
      <c r="U2652" s="10"/>
      <c r="V2652" s="10"/>
      <c r="W2652" s="10"/>
      <c r="X2652" s="10"/>
      <c r="Y2652" s="10"/>
      <c r="Z2652" s="10"/>
    </row>
    <row r="2653" spans="1:26" ht="12.75">
      <c r="A2653" s="10" t="str">
        <f ca="1">IFERROR(__xludf.DUMMYFUNCTION("""COMPUTED_VALUE"""),"Евгения Стефанова Русинова")</f>
        <v>Евгения Стефанова Русинова</v>
      </c>
      <c r="B2653" s="10" t="str">
        <f ca="1">IFERROR(__xludf.DUMMYFUNCTION("""COMPUTED_VALUE"""),"Статия в списания и поредици")</f>
        <v>Статия в списания и поредици</v>
      </c>
      <c r="C2653" s="10" t="str">
        <f ca="1">IFERROR(__xludf.DUMMYFUNCTION("""COMPUTED_VALUE"""),"Популяризиране на изобразителното изкуство на страниците на “дамските” списания (1918-1944)")</f>
        <v>Популяризиране на изобразителното изкуство на страниците на “дамските” списания (1918-1944)</v>
      </c>
      <c r="D2653" s="10">
        <f ca="1">IFERROR(__xludf.DUMMYFUNCTION("""COMPUTED_VALUE"""),2016)</f>
        <v>2016</v>
      </c>
      <c r="E2653" s="10" t="str">
        <f ca="1">IFERROR(__xludf.DUMMYFUNCTION("""COMPUTED_VALUE"""),"Gloria Bibliospherae (Нишката на Ариадна) Изследвания в чест на Ал. Куманова. С., 2016, с.829- 836. ISBN 978-619-185-211-6")</f>
        <v>Gloria Bibliospherae (Нишката на Ариадна) Изследвания в чест на Ал. Куманова. С., 2016, с.829- 836. ISBN 978-619-185-211-6</v>
      </c>
      <c r="F2653" s="10"/>
      <c r="G2653" s="10"/>
      <c r="H2653" s="10"/>
      <c r="I2653" s="10"/>
      <c r="J2653" s="10"/>
      <c r="K2653" s="10"/>
      <c r="L2653" s="10"/>
      <c r="M2653" s="10"/>
      <c r="N2653" s="10"/>
      <c r="O2653" s="10"/>
      <c r="P2653" s="10"/>
      <c r="Q2653" s="10"/>
      <c r="R2653" s="10"/>
      <c r="S2653" s="10"/>
      <c r="T2653" s="10"/>
      <c r="U2653" s="10"/>
      <c r="V2653" s="10"/>
      <c r="W2653" s="10"/>
      <c r="X2653" s="10"/>
      <c r="Y2653" s="10"/>
      <c r="Z2653" s="10"/>
    </row>
    <row r="2654" spans="1:26" ht="12.75">
      <c r="A2654" s="10" t="str">
        <f ca="1">IFERROR(__xludf.DUMMYFUNCTION("""COMPUTED_VALUE"""),"Евгения Стефанова Русинова")</f>
        <v>Евгения Стефанова Русинова</v>
      </c>
      <c r="B2654" s="10" t="str">
        <f ca="1">IFERROR(__xludf.DUMMYFUNCTION("""COMPUTED_VALUE"""),"Статия в списания и поредици")</f>
        <v>Статия в списания и поредици</v>
      </c>
      <c r="C2654" s="10" t="str">
        <f ca="1">IFERROR(__xludf.DUMMYFUNCTION("""COMPUTED_VALUE"""),"Фиктивно и преднамерено рецензиране")</f>
        <v>Фиктивно и преднамерено рецензиране</v>
      </c>
      <c r="D2654" s="10">
        <f ca="1">IFERROR(__xludf.DUMMYFUNCTION("""COMPUTED_VALUE"""),2016)</f>
        <v>2016</v>
      </c>
      <c r="E2654" s="10" t="str">
        <f ca="1">IFERROR(__xludf.DUMMYFUNCTION("""COMPUTED_VALUE"""),"Наука, ХХVI, 2016, № 1, с. 49-51 ISSN 0861 3362")</f>
        <v>Наука, ХХVI, 2016, № 1, с. 49-51 ISSN 0861 3362</v>
      </c>
      <c r="F2654" s="10"/>
      <c r="G2654" s="10"/>
      <c r="H2654" s="10"/>
      <c r="I2654" s="10"/>
      <c r="J2654" s="10"/>
      <c r="K2654" s="10"/>
      <c r="L2654" s="10"/>
      <c r="M2654" s="10"/>
      <c r="N2654" s="10"/>
      <c r="O2654" s="10"/>
      <c r="P2654" s="10"/>
      <c r="Q2654" s="10"/>
      <c r="R2654" s="10"/>
      <c r="S2654" s="10"/>
      <c r="T2654" s="10"/>
      <c r="U2654" s="10"/>
      <c r="V2654" s="10"/>
      <c r="W2654" s="10"/>
      <c r="X2654" s="10"/>
      <c r="Y2654" s="10"/>
      <c r="Z2654" s="10"/>
    </row>
    <row r="2655" spans="1:26" ht="12.75">
      <c r="A2655" s="10" t="str">
        <f ca="1">IFERROR(__xludf.DUMMYFUNCTION("""COMPUTED_VALUE"""),"Евгения Стефанова Русинова")</f>
        <v>Евгения Стефанова Русинова</v>
      </c>
      <c r="B2655" s="10" t="str">
        <f ca="1">IFERROR(__xludf.DUMMYFUNCTION("""COMPUTED_VALUE"""),"Доклад от конференция")</f>
        <v>Доклад от конференция</v>
      </c>
      <c r="C2655" s="10" t="str">
        <f ca="1">IFERROR(__xludf.DUMMYFUNCTION("""COMPUTED_VALUE"""),"Approaches to Measuring the Efficiency of the Bulgarian Libraries")</f>
        <v>Approaches to Measuring the Efficiency of the Bulgarian Libraries</v>
      </c>
      <c r="D2655" s="10">
        <f ca="1">IFERROR(__xludf.DUMMYFUNCTION("""COMPUTED_VALUE"""),2016)</f>
        <v>2016</v>
      </c>
      <c r="E2655" s="10" t="str">
        <f ca="1">IFERROR(__xludf.DUMMYFUNCTION("""COMPUTED_VALUE"""),"Journal of QQML,5(2), June 2016,379-383. ISSN 2241-1925")</f>
        <v>Journal of QQML,5(2), June 2016,379-383. ISSN 2241-1925</v>
      </c>
      <c r="F2655" s="10"/>
      <c r="G2655" s="10"/>
      <c r="H2655" s="10"/>
      <c r="I2655" s="10"/>
      <c r="J2655" s="10"/>
      <c r="K2655" s="10"/>
      <c r="L2655" s="10"/>
      <c r="M2655" s="10"/>
      <c r="N2655" s="10"/>
      <c r="O2655" s="10"/>
      <c r="P2655" s="10"/>
      <c r="Q2655" s="10"/>
      <c r="R2655" s="10"/>
      <c r="S2655" s="10"/>
      <c r="T2655" s="10"/>
      <c r="U2655" s="10"/>
      <c r="V2655" s="10"/>
      <c r="W2655" s="10"/>
      <c r="X2655" s="10"/>
      <c r="Y2655" s="10"/>
      <c r="Z2655" s="10"/>
    </row>
    <row r="2656" spans="1:26" ht="12.75">
      <c r="A2656" s="10" t="str">
        <f ca="1">IFERROR(__xludf.DUMMYFUNCTION("""COMPUTED_VALUE"""),"Евгения Стефанова Русинова")</f>
        <v>Евгения Стефанова Русинова</v>
      </c>
      <c r="B2656" s="10" t="str">
        <f ca="1">IFERROR(__xludf.DUMMYFUNCTION("""COMPUTED_VALUE"""),"Доклад от конференция")</f>
        <v>Доклад от конференция</v>
      </c>
      <c r="C2656" s="10" t="str">
        <f ca="1">IFERROR(__xludf.DUMMYFUNCTION("""COMPUTED_VALUE"""),"Динамично пространство, гъвкаво присъствие : към представата за библиотеката днес")</f>
        <v>Динамично пространство, гъвкаво присъствие : към представата за библиотеката днес</v>
      </c>
      <c r="D2656" s="10">
        <f ca="1">IFERROR(__xludf.DUMMYFUNCTION("""COMPUTED_VALUE"""),2016)</f>
        <v>2016</v>
      </c>
      <c r="E2656" s="10" t="str">
        <f ca="1">IFERROR(__xludf.DUMMYFUNCTION("""COMPUTED_VALUE"""),"Динамични библиотеки – достъп, развитие, промяна. Доклади ХХVI ННК на ББИА,2016. С., 2016, с 37-39. ISBN 978-954-9837-30-8")</f>
        <v>Динамични библиотеки – достъп, развитие, промяна. Доклади ХХVI ННК на ББИА,2016. С., 2016, с 37-39. ISBN 978-954-9837-30-8</v>
      </c>
      <c r="F2656" s="10"/>
      <c r="G2656" s="10"/>
      <c r="H2656" s="10"/>
      <c r="I2656" s="10"/>
      <c r="J2656" s="10"/>
      <c r="K2656" s="10"/>
      <c r="L2656" s="10"/>
      <c r="M2656" s="10"/>
      <c r="N2656" s="10"/>
      <c r="O2656" s="10"/>
      <c r="P2656" s="10"/>
      <c r="Q2656" s="10"/>
      <c r="R2656" s="10"/>
      <c r="S2656" s="10"/>
      <c r="T2656" s="10"/>
      <c r="U2656" s="10"/>
      <c r="V2656" s="10"/>
      <c r="W2656" s="10"/>
      <c r="X2656" s="10"/>
      <c r="Y2656" s="10"/>
      <c r="Z2656" s="10"/>
    </row>
    <row r="2657" spans="1:26" ht="12.75">
      <c r="A2657" s="10" t="str">
        <f ca="1">IFERROR(__xludf.DUMMYFUNCTION("""COMPUTED_VALUE"""),"Евгения Стефанова Русинова")</f>
        <v>Евгения Стефанова Русинова</v>
      </c>
      <c r="B2657" s="10" t="str">
        <f ca="1">IFERROR(__xludf.DUMMYFUNCTION("""COMPUTED_VALUE"""),"Доклад от конференция")</f>
        <v>Доклад от конференция</v>
      </c>
      <c r="C2657" s="10" t="str">
        <f ca="1">IFERROR(__xludf.DUMMYFUNCTION("""COMPUTED_VALUE"""),"Мястото на библиофилството в презентационните и PR програми на библиотеките и музеите")</f>
        <v>Мястото на библиофилството в презентационните и PR програми на библиотеките и музеите</v>
      </c>
      <c r="D2657" s="10">
        <f ca="1">IFERROR(__xludf.DUMMYFUNCTION("""COMPUTED_VALUE"""),2016)</f>
        <v>2016</v>
      </c>
      <c r="E2657" s="10" t="str">
        <f ca="1">IFERROR(__xludf.DUMMYFUNCTION("""COMPUTED_VALUE"""),"Библиотека, ХХIII, 2016, № 6, с.269-275.")</f>
        <v>Библиотека, ХХIII, 2016, № 6, с.269-275.</v>
      </c>
      <c r="F2657" s="10"/>
      <c r="G2657" s="10"/>
      <c r="H2657" s="10"/>
      <c r="I2657" s="10"/>
      <c r="J2657" s="10"/>
      <c r="K2657" s="10"/>
      <c r="L2657" s="10"/>
      <c r="M2657" s="10"/>
      <c r="N2657" s="10"/>
      <c r="O2657" s="10"/>
      <c r="P2657" s="10"/>
      <c r="Q2657" s="10"/>
      <c r="R2657" s="10"/>
      <c r="S2657" s="10"/>
      <c r="T2657" s="10"/>
      <c r="U2657" s="10"/>
      <c r="V2657" s="10"/>
      <c r="W2657" s="10"/>
      <c r="X2657" s="10"/>
      <c r="Y2657" s="10"/>
      <c r="Z2657" s="10"/>
    </row>
    <row r="2658" spans="1:26" ht="12.75">
      <c r="A2658" s="10" t="str">
        <f ca="1">IFERROR(__xludf.DUMMYFUNCTION("""COMPUTED_VALUE"""),"Евгения Стефанова Русинова")</f>
        <v>Евгения Стефанова Русинова</v>
      </c>
      <c r="B2658" s="10" t="str">
        <f ca="1">IFERROR(__xludf.DUMMYFUNCTION("""COMPUTED_VALUE"""),"Статия в списания и поредици")</f>
        <v>Статия в списания и поредици</v>
      </c>
      <c r="C2658" s="10" t="str">
        <f ca="1">IFERROR(__xludf.DUMMYFUNCTION("""COMPUTED_VALUE"""),"Мястото на библиофилството в презентационните и PR програми на библиотеките и музеите")</f>
        <v>Мястото на библиофилството в презентационните и PR програми на библиотеките и музеите</v>
      </c>
      <c r="D2658" s="10">
        <f ca="1">IFERROR(__xludf.DUMMYFUNCTION("""COMPUTED_VALUE"""),2016)</f>
        <v>2016</v>
      </c>
      <c r="E2658" s="10" t="str">
        <f ca="1">IFERROR(__xludf.DUMMYFUNCTION("""COMPUTED_VALUE"""),"Библиотека, ХХIII, 2016, № 6, с.269-275.")</f>
        <v>Библиотека, ХХIII, 2016, № 6, с.269-275.</v>
      </c>
      <c r="F2658" s="10"/>
      <c r="G2658" s="10"/>
      <c r="H2658" s="10"/>
      <c r="I2658" s="10"/>
      <c r="J2658" s="10"/>
      <c r="K2658" s="10"/>
      <c r="L2658" s="10"/>
      <c r="M2658" s="10"/>
      <c r="N2658" s="10"/>
      <c r="O2658" s="10"/>
      <c r="P2658" s="10"/>
      <c r="Q2658" s="10"/>
      <c r="R2658" s="10"/>
      <c r="S2658" s="10"/>
      <c r="T2658" s="10"/>
      <c r="U2658" s="10"/>
      <c r="V2658" s="10"/>
      <c r="W2658" s="10"/>
      <c r="X2658" s="10"/>
      <c r="Y2658" s="10"/>
      <c r="Z2658" s="10"/>
    </row>
    <row r="2659" spans="1:26" ht="12.75">
      <c r="A2659" s="10" t="str">
        <f ca="1">IFERROR(__xludf.DUMMYFUNCTION("""COMPUTED_VALUE"""),"Евгения Стефанова Русинова")</f>
        <v>Евгения Стефанова Русинова</v>
      </c>
      <c r="B2659" s="10" t="str">
        <f ca="1">IFERROR(__xludf.DUMMYFUNCTION("""COMPUTED_VALUE"""),"Доклад от конференция")</f>
        <v>Доклад от конференция</v>
      </c>
      <c r="C2659" s="10" t="str">
        <f ca="1">IFERROR(__xludf.DUMMYFUNCTION("""COMPUTED_VALUE"""),"Измерения на испанското присъствие в българското културно пространство (1878-1989)")</f>
        <v>Измерения на испанското присъствие в българското културно пространство (1878-1989)</v>
      </c>
      <c r="D2659" s="10">
        <f ca="1">IFERROR(__xludf.DUMMYFUNCTION("""COMPUTED_VALUE"""),2015)</f>
        <v>2015</v>
      </c>
      <c r="E2659" s="10" t="str">
        <f ca="1">IFERROR(__xludf.DUMMYFUNCTION("""COMPUTED_VALUE"""),"Съвременни измерения на европейското образователно и научно пространство. Българо-испански културни общувания // Съвременни измерения на европейското образователно и научно пространство. Т.2, С., 2015, с. 39-44.")</f>
        <v>Съвременни измерения на европейското образователно и научно пространство. Българо-испански културни общувания // Съвременни измерения на европейското образователно и научно пространство. Т.2, С., 2015, с. 39-44.</v>
      </c>
      <c r="F2659" s="10"/>
      <c r="G2659" s="10"/>
      <c r="H2659" s="10"/>
      <c r="I2659" s="10"/>
      <c r="J2659" s="10"/>
      <c r="K2659" s="10"/>
      <c r="L2659" s="10"/>
      <c r="M2659" s="10"/>
      <c r="N2659" s="10"/>
      <c r="O2659" s="10"/>
      <c r="P2659" s="10"/>
      <c r="Q2659" s="10"/>
      <c r="R2659" s="10"/>
      <c r="S2659" s="10"/>
      <c r="T2659" s="10"/>
      <c r="U2659" s="10"/>
      <c r="V2659" s="10"/>
      <c r="W2659" s="10"/>
      <c r="X2659" s="10"/>
      <c r="Y2659" s="10"/>
      <c r="Z2659" s="10"/>
    </row>
    <row r="2660" spans="1:26" ht="12.75">
      <c r="A2660" s="10" t="str">
        <f ca="1">IFERROR(__xludf.DUMMYFUNCTION("""COMPUTED_VALUE"""),"Евгения Стефанова Русинова")</f>
        <v>Евгения Стефанова Русинова</v>
      </c>
      <c r="B2660" s="10" t="str">
        <f ca="1">IFERROR(__xludf.DUMMYFUNCTION("""COMPUTED_VALUE"""),"Доклад от конференция")</f>
        <v>Доклад от конференция</v>
      </c>
      <c r="C2660" s="10" t="str">
        <f ca="1">IFERROR(__xludf.DUMMYFUNCTION("""COMPUTED_VALUE"""),"Чехия като пример: защо и доколко (в българското културно пространство)")</f>
        <v>Чехия като пример: защо и доколко (в българското културно пространство)</v>
      </c>
      <c r="D2660" s="10">
        <f ca="1">IFERROR(__xludf.DUMMYFUNCTION("""COMPUTED_VALUE"""),2015)</f>
        <v>2015</v>
      </c>
      <c r="E2660" s="10" t="str">
        <f ca="1">IFERROR(__xludf.DUMMYFUNCTION("""COMPUTED_VALUE"""),"Съвременни измерения на европейското образователно и научно пространство. Българо-чешки културни общувания // Съвременни измерения на европейското образователно и научно пространство. Т.2, С., 2015, с. 291-297.")</f>
        <v>Съвременни измерения на европейското образователно и научно пространство. Българо-чешки културни общувания // Съвременни измерения на европейското образователно и научно пространство. Т.2, С., 2015, с. 291-297.</v>
      </c>
      <c r="F2660" s="10"/>
      <c r="G2660" s="10"/>
      <c r="H2660" s="10"/>
      <c r="I2660" s="10"/>
      <c r="J2660" s="10"/>
      <c r="K2660" s="10"/>
      <c r="L2660" s="10"/>
      <c r="M2660" s="10"/>
      <c r="N2660" s="10"/>
      <c r="O2660" s="10"/>
      <c r="P2660" s="10"/>
      <c r="Q2660" s="10"/>
      <c r="R2660" s="10"/>
      <c r="S2660" s="10"/>
      <c r="T2660" s="10"/>
      <c r="U2660" s="10"/>
      <c r="V2660" s="10"/>
      <c r="W2660" s="10"/>
      <c r="X2660" s="10"/>
      <c r="Y2660" s="10"/>
      <c r="Z2660" s="10"/>
    </row>
    <row r="2661" spans="1:26" ht="12.75">
      <c r="A2661" s="10" t="str">
        <f ca="1">IFERROR(__xludf.DUMMYFUNCTION("""COMPUTED_VALUE"""),"Евгения Стефанова Русинова")</f>
        <v>Евгения Стефанова Русинова</v>
      </c>
      <c r="B2661" s="10" t="str">
        <f ca="1">IFERROR(__xludf.DUMMYFUNCTION("""COMPUTED_VALUE"""),"Доклад от конференция")</f>
        <v>Доклад от конференция</v>
      </c>
      <c r="C2661" s="10" t="str">
        <f ca="1">IFERROR(__xludf.DUMMYFUNCTION("""COMPUTED_VALUE"""),"Европейският опит в българската библиотечна, музейна и архивна сфери")</f>
        <v>Европейският опит в българската библиотечна, музейна и архивна сфери</v>
      </c>
      <c r="D2661" s="10">
        <f ca="1">IFERROR(__xludf.DUMMYFUNCTION("""COMPUTED_VALUE"""),2015)</f>
        <v>2015</v>
      </c>
      <c r="E2661" s="10" t="str">
        <f ca="1">IFERROR(__xludf.DUMMYFUNCTION("""COMPUTED_VALUE"""),"България в европейската култура, наука, образование, религия. Т. 2, Шумен, 2015, с. 191-198.")</f>
        <v>България в европейската култура, наука, образование, религия. Т. 2, Шумен, 2015, с. 191-198.</v>
      </c>
      <c r="F2661" s="10"/>
      <c r="G2661" s="10"/>
      <c r="H2661" s="10"/>
      <c r="I2661" s="10"/>
      <c r="J2661" s="10"/>
      <c r="K2661" s="10"/>
      <c r="L2661" s="10"/>
      <c r="M2661" s="10"/>
      <c r="N2661" s="10"/>
      <c r="O2661" s="10"/>
      <c r="P2661" s="10"/>
      <c r="Q2661" s="10"/>
      <c r="R2661" s="10"/>
      <c r="S2661" s="10"/>
      <c r="T2661" s="10"/>
      <c r="U2661" s="10"/>
      <c r="V2661" s="10"/>
      <c r="W2661" s="10"/>
      <c r="X2661" s="10"/>
      <c r="Y2661" s="10"/>
      <c r="Z2661" s="10"/>
    </row>
    <row r="2662" spans="1:26" ht="12.75">
      <c r="A2662" s="10" t="str">
        <f ca="1">IFERROR(__xludf.DUMMYFUNCTION("""COMPUTED_VALUE"""),"Евгения Стефанова Русинова")</f>
        <v>Евгения Стефанова Русинова</v>
      </c>
      <c r="B2662" s="10" t="str">
        <f ca="1">IFERROR(__xludf.DUMMYFUNCTION("""COMPUTED_VALUE"""),"Доклад от конференция")</f>
        <v>Доклад от конференция</v>
      </c>
      <c r="C2662" s="10" t="str">
        <f ca="1">IFERROR(__xludf.DUMMYFUNCTION("""COMPUTED_VALUE"""),"Днес ли подготвяме библиотеките на бъдещето: с кого, как и защо?")</f>
        <v>Днес ли подготвяме библиотеките на бъдещето: с кого, как и защо?</v>
      </c>
      <c r="D2662" s="10">
        <f ca="1">IFERROR(__xludf.DUMMYFUNCTION("""COMPUTED_VALUE"""),2015)</f>
        <v>2015</v>
      </c>
      <c r="E2662" s="10" t="str">
        <f ca="1">IFERROR(__xludf.DUMMYFUNCTION("""COMPUTED_VALUE"""),"Визия за бъдещето на библиотеките в България. ХХV Нац конф. ББИА, С., 2015, с. 29-32.")</f>
        <v>Визия за бъдещето на библиотеките в България. ХХV Нац конф. ББИА, С., 2015, с. 29-32.</v>
      </c>
      <c r="F2662" s="10"/>
      <c r="G2662" s="10"/>
      <c r="H2662" s="10"/>
      <c r="I2662" s="10"/>
      <c r="J2662" s="10"/>
      <c r="K2662" s="10"/>
      <c r="L2662" s="10"/>
      <c r="M2662" s="10"/>
      <c r="N2662" s="10"/>
      <c r="O2662" s="10"/>
      <c r="P2662" s="10"/>
      <c r="Q2662" s="10"/>
      <c r="R2662" s="10"/>
      <c r="S2662" s="10"/>
      <c r="T2662" s="10"/>
      <c r="U2662" s="10"/>
      <c r="V2662" s="10"/>
      <c r="W2662" s="10"/>
      <c r="X2662" s="10"/>
      <c r="Y2662" s="10"/>
      <c r="Z2662" s="10"/>
    </row>
    <row r="2663" spans="1:26" ht="12.75">
      <c r="A2663" s="10" t="str">
        <f ca="1">IFERROR(__xludf.DUMMYFUNCTION("""COMPUTED_VALUE"""),"Евгения Стефанова Русинова")</f>
        <v>Евгения Стефанова Русинова</v>
      </c>
      <c r="B2663" s="10" t="str">
        <f ca="1">IFERROR(__xludf.DUMMYFUNCTION("""COMPUTED_VALUE"""),"Доклад от конференция")</f>
        <v>Доклад от конференция</v>
      </c>
      <c r="C2663" s="10" t="str">
        <f ca="1">IFERROR(__xludf.DUMMYFUNCTION("""COMPUTED_VALUE"""),"Оценката в библиотечната работа: практика и възможности за промяна")</f>
        <v>Оценката в библиотечната работа: практика и възможности за промяна</v>
      </c>
      <c r="D2663" s="10">
        <f ca="1">IFERROR(__xludf.DUMMYFUNCTION("""COMPUTED_VALUE"""),2015)</f>
        <v>2015</v>
      </c>
      <c r="E2663" s="10" t="str">
        <f ca="1">IFERROR(__xludf.DUMMYFUNCTION("""COMPUTED_VALUE"""),"Обществото на знанието и хуманизмът на ХХI век, С., 2015, с. 137-141.")</f>
        <v>Обществото на знанието и хуманизмът на ХХI век, С., 2015, с. 137-141.</v>
      </c>
      <c r="F2663" s="10"/>
      <c r="G2663" s="10"/>
      <c r="H2663" s="10"/>
      <c r="I2663" s="10"/>
      <c r="J2663" s="10"/>
      <c r="K2663" s="10"/>
      <c r="L2663" s="10"/>
      <c r="M2663" s="10"/>
      <c r="N2663" s="10"/>
      <c r="O2663" s="10"/>
      <c r="P2663" s="10"/>
      <c r="Q2663" s="10"/>
      <c r="R2663" s="10"/>
      <c r="S2663" s="10"/>
      <c r="T2663" s="10"/>
      <c r="U2663" s="10"/>
      <c r="V2663" s="10"/>
      <c r="W2663" s="10"/>
      <c r="X2663" s="10"/>
      <c r="Y2663" s="10"/>
      <c r="Z2663" s="10"/>
    </row>
    <row r="2664" spans="1:26" ht="12.75">
      <c r="A2664" s="10" t="str">
        <f ca="1">IFERROR(__xludf.DUMMYFUNCTION("""COMPUTED_VALUE"""),"Евгения Стефанова Русинова")</f>
        <v>Евгения Стефанова Русинова</v>
      </c>
      <c r="B2664" s="10" t="str">
        <f ca="1">IFERROR(__xludf.DUMMYFUNCTION("""COMPUTED_VALUE"""),"Доклад от конференция")</f>
        <v>Доклад от конференция</v>
      </c>
      <c r="C2664" s="10" t="str">
        <f ca="1">IFERROR(__xludf.DUMMYFUNCTION("""COMPUTED_VALUE"""),"Промяна или катастрофа: културното развитие в периода на преход като обект на памет и на научно изследване")</f>
        <v>Промяна или катастрофа: културното развитие в периода на преход като обект на памет и на научно изследване</v>
      </c>
      <c r="D2664" s="10">
        <f ca="1">IFERROR(__xludf.DUMMYFUNCTION("""COMPUTED_VALUE"""),2015)</f>
        <v>2015</v>
      </c>
      <c r="E2664" s="10" t="str">
        <f ca="1">IFERROR(__xludf.DUMMYFUNCTION("""COMPUTED_VALUE"""),"Втора национална научна конференция “Град и памет”, 5-6 юни 2014, Пазарджик, Пазарджик, 2015, с. 227-234.")</f>
        <v>Втора национална научна конференция “Град и памет”, 5-6 юни 2014, Пазарджик, Пазарджик, 2015, с. 227-234.</v>
      </c>
      <c r="F2664" s="10"/>
      <c r="G2664" s="10"/>
      <c r="H2664" s="10"/>
      <c r="I2664" s="10"/>
      <c r="J2664" s="10"/>
      <c r="K2664" s="10"/>
      <c r="L2664" s="10"/>
      <c r="M2664" s="10"/>
      <c r="N2664" s="10"/>
      <c r="O2664" s="10"/>
      <c r="P2664" s="10"/>
      <c r="Q2664" s="10"/>
      <c r="R2664" s="10"/>
      <c r="S2664" s="10"/>
      <c r="T2664" s="10"/>
      <c r="U2664" s="10"/>
      <c r="V2664" s="10"/>
      <c r="W2664" s="10"/>
      <c r="X2664" s="10"/>
      <c r="Y2664" s="10"/>
      <c r="Z2664" s="10"/>
    </row>
    <row r="2665" spans="1:26" ht="12.75">
      <c r="A2665" s="10" t="str">
        <f ca="1">IFERROR(__xludf.DUMMYFUNCTION("""COMPUTED_VALUE"""),"Евгения Стефанова Русинова")</f>
        <v>Евгения Стефанова Русинова</v>
      </c>
      <c r="B2665" s="10" t="str">
        <f ca="1">IFERROR(__xludf.DUMMYFUNCTION("""COMPUTED_VALUE"""),"Статия в списания и поредици")</f>
        <v>Статия в списания и поредици</v>
      </c>
      <c r="C2665" s="10" t="str">
        <f ca="1">IFERROR(__xludf.DUMMYFUNCTION("""COMPUTED_VALUE"""),"За паратекстовете от художествената литература като исторически източник (българският пример 1878-1944 г. )")</f>
        <v>За паратекстовете от художествената литература като исторически източник (българският пример 1878-1944 г. )</v>
      </c>
      <c r="D2665" s="10">
        <f ca="1">IFERROR(__xludf.DUMMYFUNCTION("""COMPUTED_VALUE"""),2015)</f>
        <v>2015</v>
      </c>
      <c r="E2665" s="10" t="str">
        <f ca="1">IFERROR(__xludf.DUMMYFUNCTION("""COMPUTED_VALUE"""),"Преводът – мост между езици и култури. Изследвания в чест на професор Людмила Илиева.")</f>
        <v>Преводът – мост между езици и култури. Изследвания в чест на професор Людмила Илиева.</v>
      </c>
      <c r="F2665" s="10"/>
      <c r="G2665" s="10"/>
      <c r="H2665" s="10"/>
      <c r="I2665" s="10"/>
      <c r="J2665" s="10"/>
      <c r="K2665" s="10"/>
      <c r="L2665" s="10"/>
      <c r="M2665" s="10"/>
      <c r="N2665" s="10"/>
      <c r="O2665" s="10"/>
      <c r="P2665" s="10"/>
      <c r="Q2665" s="10"/>
      <c r="R2665" s="10"/>
      <c r="S2665" s="10"/>
      <c r="T2665" s="10"/>
      <c r="U2665" s="10"/>
      <c r="V2665" s="10"/>
      <c r="W2665" s="10"/>
      <c r="X2665" s="10"/>
      <c r="Y2665" s="10"/>
      <c r="Z2665" s="10"/>
    </row>
    <row r="2666" spans="1:26" ht="12.75">
      <c r="A2666" s="10" t="str">
        <f ca="1">IFERROR(__xludf.DUMMYFUNCTION("""COMPUTED_VALUE"""),"Евгения Стефанова Русинова")</f>
        <v>Евгения Стефанова Русинова</v>
      </c>
      <c r="B2666" s="10" t="str">
        <f ca="1">IFERROR(__xludf.DUMMYFUNCTION("""COMPUTED_VALUE"""),"Доклад от конференция")</f>
        <v>Доклад от конференция</v>
      </c>
      <c r="C2666" s="10" t="str">
        <f ca="1">IFERROR(__xludf.DUMMYFUNCTION("""COMPUTED_VALUE"""),"Limits and opportunities for conducting quantitative and qualitative research in terms of the societies in transition (the example of Bulgaria)")</f>
        <v>Limits and opportunities for conducting quantitative and qualitative research in terms of the societies in transition (the example of Bulgaria)</v>
      </c>
      <c r="D2666" s="10">
        <f ca="1">IFERROR(__xludf.DUMMYFUNCTION("""COMPUTED_VALUE"""),2015)</f>
        <v>2015</v>
      </c>
      <c r="E2666" s="10" t="str">
        <f ca="1">IFERROR(__xludf.DUMMYFUNCTION("""COMPUTED_VALUE"""),"Journal of QQML(Qualitative and Quantitative Methods in Libraries) 4(3), Sept. 2015, 671 – 677. ISSN 2241-1925")</f>
        <v>Journal of QQML(Qualitative and Quantitative Methods in Libraries) 4(3), Sept. 2015, 671 – 677. ISSN 2241-1925</v>
      </c>
      <c r="F2666" s="10"/>
      <c r="G2666" s="10"/>
      <c r="H2666" s="10"/>
      <c r="I2666" s="10"/>
      <c r="J2666" s="10"/>
      <c r="K2666" s="10"/>
      <c r="L2666" s="10"/>
      <c r="M2666" s="10"/>
      <c r="N2666" s="10"/>
      <c r="O2666" s="10"/>
      <c r="P2666" s="10"/>
      <c r="Q2666" s="10"/>
      <c r="R2666" s="10"/>
      <c r="S2666" s="10"/>
      <c r="T2666" s="10"/>
      <c r="U2666" s="10"/>
      <c r="V2666" s="10"/>
      <c r="W2666" s="10"/>
      <c r="X2666" s="10"/>
      <c r="Y2666" s="10"/>
      <c r="Z2666" s="10"/>
    </row>
    <row r="2667" spans="1:26" ht="12.75">
      <c r="A2667" s="10" t="str">
        <f ca="1">IFERROR(__xludf.DUMMYFUNCTION("""COMPUTED_VALUE"""),"Евгения Стефанова Русинова")</f>
        <v>Евгения Стефанова Русинова</v>
      </c>
      <c r="B2667" s="10" t="str">
        <f ca="1">IFERROR(__xludf.DUMMYFUNCTION("""COMPUTED_VALUE"""),"Статия в списания и поредици")</f>
        <v>Статия в списания и поредици</v>
      </c>
      <c r="C2667" s="10" t="str">
        <f ca="1">IFERROR(__xludf.DUMMYFUNCTION("""COMPUTED_VALUE"""),"Владимир Семенович Крейденко и “светлые аспирантские годы”")</f>
        <v>Владимир Семенович Крейденко и “светлые аспирантские годы”</v>
      </c>
      <c r="D2667" s="10">
        <f ca="1">IFERROR(__xludf.DUMMYFUNCTION("""COMPUTED_VALUE"""),2015)</f>
        <v>2015</v>
      </c>
      <c r="E2667" s="10" t="str">
        <f ca="1">IFERROR(__xludf.DUMMYFUNCTION("""COMPUTED_VALUE"""),"Владимир Семенович Крейденко: биография научной и педагогической деятельности. Сост. М. Н. Колесникова. Санкт Петербург, 2015, с. 90-92.")</f>
        <v>Владимир Семенович Крейденко: биография научной и педагогической деятельности. Сост. М. Н. Колесникова. Санкт Петербург, 2015, с. 90-92.</v>
      </c>
      <c r="F2667" s="10"/>
      <c r="G2667" s="10"/>
      <c r="H2667" s="10"/>
      <c r="I2667" s="10"/>
      <c r="J2667" s="10"/>
      <c r="K2667" s="10"/>
      <c r="L2667" s="10"/>
      <c r="M2667" s="10"/>
      <c r="N2667" s="10"/>
      <c r="O2667" s="10"/>
      <c r="P2667" s="10"/>
      <c r="Q2667" s="10"/>
      <c r="R2667" s="10"/>
      <c r="S2667" s="10"/>
      <c r="T2667" s="10"/>
      <c r="U2667" s="10"/>
      <c r="V2667" s="10"/>
      <c r="W2667" s="10"/>
      <c r="X2667" s="10"/>
      <c r="Y2667" s="10"/>
      <c r="Z2667" s="10"/>
    </row>
    <row r="2668" spans="1:26" ht="12.75">
      <c r="A2668" s="10" t="str">
        <f ca="1">IFERROR(__xludf.DUMMYFUNCTION("""COMPUTED_VALUE"""),"Евгения Стефанова Русинова")</f>
        <v>Евгения Стефанова Русинова</v>
      </c>
      <c r="B2668" s="10" t="str">
        <f ca="1">IFERROR(__xludf.DUMMYFUNCTION("""COMPUTED_VALUE"""),"Доклад от конференция")</f>
        <v>Доклад от конференция</v>
      </c>
      <c r="C2668" s="10" t="str">
        <f ca="1">IFERROR(__xludf.DUMMYFUNCTION("""COMPUTED_VALUE"""),"Обратната връзка в образователния процес: между достоверност и несигурност")</f>
        <v>Обратната връзка в образователния процес: между достоверност и несигурност</v>
      </c>
      <c r="D2668" s="10">
        <f ca="1">IFERROR(__xludf.DUMMYFUNCTION("""COMPUTED_VALUE"""),2015)</f>
        <v>2015</v>
      </c>
      <c r="E2668" s="10" t="str">
        <f ca="1">IFERROR(__xludf.DUMMYFUNCTION("""COMPUTED_VALUE"""),"Нови информационни технологии в образователния процес . Доклади IХ. С., 2015, с. 51-59.")</f>
        <v>Нови информационни технологии в образователния процес . Доклади IХ. С., 2015, с. 51-59.</v>
      </c>
      <c r="F2668" s="10"/>
      <c r="G2668" s="10"/>
      <c r="H2668" s="10"/>
      <c r="I2668" s="10"/>
      <c r="J2668" s="10"/>
      <c r="K2668" s="10"/>
      <c r="L2668" s="10"/>
      <c r="M2668" s="10"/>
      <c r="N2668" s="10"/>
      <c r="O2668" s="10"/>
      <c r="P2668" s="10"/>
      <c r="Q2668" s="10"/>
      <c r="R2668" s="10"/>
      <c r="S2668" s="10"/>
      <c r="T2668" s="10"/>
      <c r="U2668" s="10"/>
      <c r="V2668" s="10"/>
      <c r="W2668" s="10"/>
      <c r="X2668" s="10"/>
      <c r="Y2668" s="10"/>
      <c r="Z2668" s="10"/>
    </row>
    <row r="2669" spans="1:26" ht="12.75">
      <c r="A2669" s="10" t="str">
        <f ca="1">IFERROR(__xludf.DUMMYFUNCTION("""COMPUTED_VALUE"""),"Евгения Стефанова Русинова")</f>
        <v>Евгения Стефанова Русинова</v>
      </c>
      <c r="B2669" s="10" t="str">
        <f ca="1">IFERROR(__xludf.DUMMYFUNCTION("""COMPUTED_VALUE"""),"Доклад от конференция")</f>
        <v>Доклад от конференция</v>
      </c>
      <c r="C2669" s="10" t="str">
        <f ca="1">IFERROR(__xludf.DUMMYFUNCTION("""COMPUTED_VALUE"""),"Съвременната библиотека- основни акценти от характеристиката й")</f>
        <v>Съвременната библиотека- основни акценти от характеристиката й</v>
      </c>
      <c r="D2669" s="10">
        <f ca="1">IFERROR(__xludf.DUMMYFUNCTION("""COMPUTED_VALUE"""),2015)</f>
        <v>2015</v>
      </c>
      <c r="E2669" s="10" t="str">
        <f ca="1">IFERROR(__xludf.DUMMYFUNCTION("""COMPUTED_VALUE"""),"Европейско библиотечно, информационно и културно пространство. България-Италия //Съвременни измерения на европейското образователно и научно пространство. Т.1, С., 2015, с.61-68.")</f>
        <v>Европейско библиотечно, информационно и културно пространство. България-Италия //Съвременни измерения на европейското образователно и научно пространство. Т.1, С., 2015, с.61-68.</v>
      </c>
      <c r="F2669" s="10"/>
      <c r="G2669" s="10"/>
      <c r="H2669" s="10"/>
      <c r="I2669" s="10"/>
      <c r="J2669" s="10"/>
      <c r="K2669" s="10"/>
      <c r="L2669" s="10"/>
      <c r="M2669" s="10"/>
      <c r="N2669" s="10"/>
      <c r="O2669" s="10"/>
      <c r="P2669" s="10"/>
      <c r="Q2669" s="10"/>
      <c r="R2669" s="10"/>
      <c r="S2669" s="10"/>
      <c r="T2669" s="10"/>
      <c r="U2669" s="10"/>
      <c r="V2669" s="10"/>
      <c r="W2669" s="10"/>
      <c r="X2669" s="10"/>
      <c r="Y2669" s="10"/>
      <c r="Z2669" s="10"/>
    </row>
    <row r="2670" spans="1:26" ht="12.75">
      <c r="A2670" s="10" t="str">
        <f ca="1">IFERROR(__xludf.DUMMYFUNCTION("""COMPUTED_VALUE"""),"Евгения Стефанова Русинова")</f>
        <v>Евгения Стефанова Русинова</v>
      </c>
      <c r="B2670" s="10" t="str">
        <f ca="1">IFERROR(__xludf.DUMMYFUNCTION("""COMPUTED_VALUE"""),"Доклад от конференция")</f>
        <v>Доклад от конференция</v>
      </c>
      <c r="C2670" s="10" t="str">
        <f ca="1">IFERROR(__xludf.DUMMYFUNCTION("""COMPUTED_VALUE"""),"Измеренията на Виена / Австрия в българско интелектуално развитие ( 1879-1944)")</f>
        <v>Измеренията на Виена / Австрия в българско интелектуално развитие ( 1879-1944)</v>
      </c>
      <c r="D2670" s="10">
        <f ca="1">IFERROR(__xludf.DUMMYFUNCTION("""COMPUTED_VALUE"""),2015)</f>
        <v>2015</v>
      </c>
      <c r="E2670" s="10" t="str">
        <f ca="1">IFERROR(__xludf.DUMMYFUNCTION("""COMPUTED_VALUE"""),"Съвременни измерения на европейското образователно и научно пространство. Българо-австрийски културни общувания // Съвременни измерения на европейското образователно и научно пространство. Т.1, С., 2015, с. 355-360.")</f>
        <v>Съвременни измерения на европейското образователно и научно пространство. Българо-австрийски културни общувания // Съвременни измерения на европейското образователно и научно пространство. Т.1, С., 2015, с. 355-360.</v>
      </c>
      <c r="F2670" s="10"/>
      <c r="G2670" s="10"/>
      <c r="H2670" s="10"/>
      <c r="I2670" s="10"/>
      <c r="J2670" s="10"/>
      <c r="K2670" s="10"/>
      <c r="L2670" s="10"/>
      <c r="M2670" s="10"/>
      <c r="N2670" s="10"/>
      <c r="O2670" s="10"/>
      <c r="P2670" s="10"/>
      <c r="Q2670" s="10"/>
      <c r="R2670" s="10"/>
      <c r="S2670" s="10"/>
      <c r="T2670" s="10"/>
      <c r="U2670" s="10"/>
      <c r="V2670" s="10"/>
      <c r="W2670" s="10"/>
      <c r="X2670" s="10"/>
      <c r="Y2670" s="10"/>
      <c r="Z2670" s="10"/>
    </row>
    <row r="2671" spans="1:26" ht="12.75">
      <c r="A2671" s="10" t="str">
        <f ca="1">IFERROR(__xludf.DUMMYFUNCTION("""COMPUTED_VALUE"""),"Евгения Стефанова Русинова")</f>
        <v>Евгения Стефанова Русинова</v>
      </c>
      <c r="B2671" s="10" t="str">
        <f ca="1">IFERROR(__xludf.DUMMYFUNCTION("""COMPUTED_VALUE"""),"Доклад от конференция")</f>
        <v>Доклад от конференция</v>
      </c>
      <c r="C2671" s="10" t="str">
        <f ca="1">IFERROR(__xludf.DUMMYFUNCTION("""COMPUTED_VALUE"""),"Измерения на испанското присъствие в българското културно пространство (1878-1989)")</f>
        <v>Измерения на испанското присъствие в българското културно пространство (1878-1989)</v>
      </c>
      <c r="D2671" s="10">
        <f ca="1">IFERROR(__xludf.DUMMYFUNCTION("""COMPUTED_VALUE"""),2015)</f>
        <v>2015</v>
      </c>
      <c r="E2671" s="10" t="str">
        <f ca="1">IFERROR(__xludf.DUMMYFUNCTION("""COMPUTED_VALUE"""),"Съвременни измерения на европейското образователно и научно пространство. Българо-испански културни общувания // Съвременни измерения на европейското образователно и научно пространство. Т.2, С., 2015, с. 39-44.")</f>
        <v>Съвременни измерения на европейското образователно и научно пространство. Българо-испански културни общувания // Съвременни измерения на европейското образователно и научно пространство. Т.2, С., 2015, с. 39-44.</v>
      </c>
      <c r="F2671" s="10"/>
      <c r="G2671" s="10"/>
      <c r="H2671" s="10"/>
      <c r="I2671" s="10"/>
      <c r="J2671" s="10"/>
      <c r="K2671" s="10"/>
      <c r="L2671" s="10"/>
      <c r="M2671" s="10"/>
      <c r="N2671" s="10"/>
      <c r="O2671" s="10"/>
      <c r="P2671" s="10"/>
      <c r="Q2671" s="10"/>
      <c r="R2671" s="10"/>
      <c r="S2671" s="10"/>
      <c r="T2671" s="10"/>
      <c r="U2671" s="10"/>
      <c r="V2671" s="10"/>
      <c r="W2671" s="10"/>
      <c r="X2671" s="10"/>
      <c r="Y2671" s="10"/>
      <c r="Z2671" s="10"/>
    </row>
    <row r="2672" spans="1:26" ht="12.75">
      <c r="A2672" s="10" t="str">
        <f ca="1">IFERROR(__xludf.DUMMYFUNCTION("""COMPUTED_VALUE"""),"Евгения Стефанова Русинова")</f>
        <v>Евгения Стефанова Русинова</v>
      </c>
      <c r="B2672" s="10" t="str">
        <f ca="1">IFERROR(__xludf.DUMMYFUNCTION("""COMPUTED_VALUE"""),"Доклад от конференция")</f>
        <v>Доклад от конференция</v>
      </c>
      <c r="C2672" s="10" t="str">
        <f ca="1">IFERROR(__xludf.DUMMYFUNCTION("""COMPUTED_VALUE"""),"За българската рецепция на един световен град (първата половина на ХХ в.)")</f>
        <v>За българската рецепция на един световен град (първата половина на ХХ в.)</v>
      </c>
      <c r="D2672" s="10">
        <f ca="1">IFERROR(__xludf.DUMMYFUNCTION("""COMPUTED_VALUE"""),2015)</f>
        <v>2015</v>
      </c>
      <c r="E2672" s="10" t="str">
        <f ca="1">IFERROR(__xludf.DUMMYFUNCTION("""COMPUTED_VALUE"""),"Съвременни измерения на европейското образователно и научно пространство. Българо-френски културни общувания // Съвременни измерения на европейското образователно и научно пространство. Т.2, С., 2015, с. 158-165.")</f>
        <v>Съвременни измерения на европейското образователно и научно пространство. Българо-френски културни общувания // Съвременни измерения на европейското образователно и научно пространство. Т.2, С., 2015, с. 158-165.</v>
      </c>
      <c r="F2672" s="10"/>
      <c r="G2672" s="10"/>
      <c r="H2672" s="10"/>
      <c r="I2672" s="10"/>
      <c r="J2672" s="10"/>
      <c r="K2672" s="10"/>
      <c r="L2672" s="10"/>
      <c r="M2672" s="10"/>
      <c r="N2672" s="10"/>
      <c r="O2672" s="10"/>
      <c r="P2672" s="10"/>
      <c r="Q2672" s="10"/>
      <c r="R2672" s="10"/>
      <c r="S2672" s="10"/>
      <c r="T2672" s="10"/>
      <c r="U2672" s="10"/>
      <c r="V2672" s="10"/>
      <c r="W2672" s="10"/>
      <c r="X2672" s="10"/>
      <c r="Y2672" s="10"/>
      <c r="Z2672" s="10"/>
    </row>
    <row r="2673" spans="1:26" ht="12.75">
      <c r="A2673" s="10" t="str">
        <f ca="1">IFERROR(__xludf.DUMMYFUNCTION("""COMPUTED_VALUE"""),"Евгения Стефанова Русинова")</f>
        <v>Евгения Стефанова Русинова</v>
      </c>
      <c r="B2673" s="10" t="str">
        <f ca="1">IFERROR(__xludf.DUMMYFUNCTION("""COMPUTED_VALUE"""),"Доклад от конференция")</f>
        <v>Доклад от конференция</v>
      </c>
      <c r="C2673" s="10" t="str">
        <f ca="1">IFERROR(__xludf.DUMMYFUNCTION("""COMPUTED_VALUE"""),"Отсъстващо присъствие или за българската среща с Лондон/Великобритания (за времето 1878-1844)")</f>
        <v>Отсъстващо присъствие или за българската среща с Лондон/Великобритания (за времето 1878-1844)</v>
      </c>
      <c r="D2673" s="10">
        <f ca="1">IFERROR(__xludf.DUMMYFUNCTION("""COMPUTED_VALUE"""),2015)</f>
        <v>2015</v>
      </c>
      <c r="E2673" s="10" t="str">
        <f ca="1">IFERROR(__xludf.DUMMYFUNCTION("""COMPUTED_VALUE"""),"Съвременни измерения на европейското образователно и научно пространство. Българо-английски културни общувания // Съвременни измерения на европейското образователно и научно пространство. Т.3, С., 2015, с. 95-98.")</f>
        <v>Съвременни измерения на европейското образователно и научно пространство. Българо-английски културни общувания // Съвременни измерения на европейското образователно и научно пространство. Т.3, С., 2015, с. 95-98.</v>
      </c>
      <c r="F2673" s="10"/>
      <c r="G2673" s="10"/>
      <c r="H2673" s="10"/>
      <c r="I2673" s="10"/>
      <c r="J2673" s="10"/>
      <c r="K2673" s="10"/>
      <c r="L2673" s="10"/>
      <c r="M2673" s="10"/>
      <c r="N2673" s="10"/>
      <c r="O2673" s="10"/>
      <c r="P2673" s="10"/>
      <c r="Q2673" s="10"/>
      <c r="R2673" s="10"/>
      <c r="S2673" s="10"/>
      <c r="T2673" s="10"/>
      <c r="U2673" s="10"/>
      <c r="V2673" s="10"/>
      <c r="W2673" s="10"/>
      <c r="X2673" s="10"/>
      <c r="Y2673" s="10"/>
      <c r="Z2673" s="10"/>
    </row>
    <row r="2674" spans="1:26" ht="12.75">
      <c r="A2674" s="10" t="str">
        <f ca="1">IFERROR(__xludf.DUMMYFUNCTION("""COMPUTED_VALUE"""),"Евгения Стефанова Русинова")</f>
        <v>Евгения Стефанова Русинова</v>
      </c>
      <c r="B2674" s="10" t="str">
        <f ca="1">IFERROR(__xludf.DUMMYFUNCTION("""COMPUTED_VALUE"""),"Доклад от конференция")</f>
        <v>Доклад от конференция</v>
      </c>
      <c r="C2674" s="10" t="str">
        <f ca="1">IFERROR(__xludf.DUMMYFUNCTION("""COMPUTED_VALUE"""),"Предговор // Съвременната библиотека- основни акценти от характеристиката й // Европейско библиотечно, информационно и културно пространство България-Италия")</f>
        <v>Предговор // Съвременната библиотека- основни акценти от характеристиката й // Европейско библиотечно, информационно и културно пространство България-Италия</v>
      </c>
      <c r="D2674" s="10">
        <f ca="1">IFERROR(__xludf.DUMMYFUNCTION("""COMPUTED_VALUE"""),2015)</f>
        <v>2015</v>
      </c>
      <c r="E2674" s="10" t="str">
        <f ca="1">IFERROR(__xludf.DUMMYFUNCTION("""COMPUTED_VALUE"""),"Съвременни измерения на европейското образователно и научно пространство. Т.1, С., 2015, с.11-12.")</f>
        <v>Съвременни измерения на европейското образователно и научно пространство. Т.1, С., 2015, с.11-12.</v>
      </c>
      <c r="F2674" s="10"/>
      <c r="G2674" s="10"/>
      <c r="H2674" s="10"/>
      <c r="I2674" s="10"/>
      <c r="J2674" s="10"/>
      <c r="K2674" s="10"/>
      <c r="L2674" s="10"/>
      <c r="M2674" s="10"/>
      <c r="N2674" s="10"/>
      <c r="O2674" s="10"/>
      <c r="P2674" s="10"/>
      <c r="Q2674" s="10"/>
      <c r="R2674" s="10"/>
      <c r="S2674" s="10"/>
      <c r="T2674" s="10"/>
      <c r="U2674" s="10"/>
      <c r="V2674" s="10"/>
      <c r="W2674" s="10"/>
      <c r="X2674" s="10"/>
      <c r="Y2674" s="10"/>
      <c r="Z2674" s="10"/>
    </row>
    <row r="2675" spans="1:26" ht="12.75">
      <c r="A2675" s="10" t="str">
        <f ca="1">IFERROR(__xludf.DUMMYFUNCTION("""COMPUTED_VALUE"""),"Евгения Стефанова Русинова")</f>
        <v>Евгения Стефанова Русинова</v>
      </c>
      <c r="B2675" s="10" t="str">
        <f ca="1">IFERROR(__xludf.DUMMYFUNCTION("""COMPUTED_VALUE"""),"Доклад от конференция")</f>
        <v>Доклад от конференция</v>
      </c>
      <c r="C2675" s="10" t="str">
        <f ca="1">IFERROR(__xludf.DUMMYFUNCTION("""COMPUTED_VALUE"""),"Обратната връзка в образователния процес: между достоверност и несигурност")</f>
        <v>Обратната връзка в образователния процес: между достоверност и несигурност</v>
      </c>
      <c r="D2675" s="10">
        <f ca="1">IFERROR(__xludf.DUMMYFUNCTION("""COMPUTED_VALUE"""),2015)</f>
        <v>2015</v>
      </c>
      <c r="E2675" s="10" t="str">
        <f ca="1">IFERROR(__xludf.DUMMYFUNCTION("""COMPUTED_VALUE"""),"Нови информационни технологии в образователния процес . Доклади IХ. С., 2015, с. 51-59.")</f>
        <v>Нови информационни технологии в образователния процес . Доклади IХ. С., 2015, с. 51-59.</v>
      </c>
      <c r="F2675" s="10"/>
      <c r="G2675" s="10"/>
      <c r="H2675" s="10"/>
      <c r="I2675" s="10"/>
      <c r="J2675" s="10"/>
      <c r="K2675" s="10"/>
      <c r="L2675" s="10"/>
      <c r="M2675" s="10"/>
      <c r="N2675" s="10"/>
      <c r="O2675" s="10"/>
      <c r="P2675" s="10"/>
      <c r="Q2675" s="10"/>
      <c r="R2675" s="10"/>
      <c r="S2675" s="10"/>
      <c r="T2675" s="10"/>
      <c r="U2675" s="10"/>
      <c r="V2675" s="10"/>
      <c r="W2675" s="10"/>
      <c r="X2675" s="10"/>
      <c r="Y2675" s="10"/>
      <c r="Z2675" s="10"/>
    </row>
    <row r="2676" spans="1:26" ht="12.75">
      <c r="A2676" s="10" t="str">
        <f ca="1">IFERROR(__xludf.DUMMYFUNCTION("""COMPUTED_VALUE"""),"Евгения Стефанова Русинова")</f>
        <v>Евгения Стефанова Русинова</v>
      </c>
      <c r="B2676" s="10" t="str">
        <f ca="1">IFERROR(__xludf.DUMMYFUNCTION("""COMPUTED_VALUE"""),"Статия в списания и поредици")</f>
        <v>Статия в списания и поредици</v>
      </c>
      <c r="C2676" s="10" t="str">
        <f ca="1">IFERROR(__xludf.DUMMYFUNCTION("""COMPUTED_VALUE"""),"Владимир Семенович Крейденко и “светлые аспирантские годы”")</f>
        <v>Владимир Семенович Крейденко и “светлые аспирантские годы”</v>
      </c>
      <c r="D2676" s="10">
        <f ca="1">IFERROR(__xludf.DUMMYFUNCTION("""COMPUTED_VALUE"""),2015)</f>
        <v>2015</v>
      </c>
      <c r="E2676" s="10" t="str">
        <f ca="1">IFERROR(__xludf.DUMMYFUNCTION("""COMPUTED_VALUE"""),"Владимир Семенович Крейденко: биография научной и педагогической деятельности. Сост. М. Н. Колесникова. Санкт Петербург, 2015, с. 90-92.")</f>
        <v>Владимир Семенович Крейденко: биография научной и педагогической деятельности. Сост. М. Н. Колесникова. Санкт Петербург, 2015, с. 90-92.</v>
      </c>
      <c r="F2676" s="10"/>
      <c r="G2676" s="10"/>
      <c r="H2676" s="10"/>
      <c r="I2676" s="10"/>
      <c r="J2676" s="10"/>
      <c r="K2676" s="10"/>
      <c r="L2676" s="10"/>
      <c r="M2676" s="10"/>
      <c r="N2676" s="10"/>
      <c r="O2676" s="10"/>
      <c r="P2676" s="10"/>
      <c r="Q2676" s="10"/>
      <c r="R2676" s="10"/>
      <c r="S2676" s="10"/>
      <c r="T2676" s="10"/>
      <c r="U2676" s="10"/>
      <c r="V2676" s="10"/>
      <c r="W2676" s="10"/>
      <c r="X2676" s="10"/>
      <c r="Y2676" s="10"/>
      <c r="Z2676" s="10"/>
    </row>
    <row r="2677" spans="1:26" ht="12.75">
      <c r="A2677" s="10" t="str">
        <f ca="1">IFERROR(__xludf.DUMMYFUNCTION("""COMPUTED_VALUE"""),"Евгения Стефанова Русинова")</f>
        <v>Евгения Стефанова Русинова</v>
      </c>
      <c r="B2677" s="10" t="str">
        <f ca="1">IFERROR(__xludf.DUMMYFUNCTION("""COMPUTED_VALUE"""),"Доклад от конференция")</f>
        <v>Доклад от конференция</v>
      </c>
      <c r="C2677" s="10" t="str">
        <f ca="1">IFERROR(__xludf.DUMMYFUNCTION("""COMPUTED_VALUE"""),"Limits and opportunities for conducting quantitative and qualitative research in terms of the societies in transition (the example of Bulgaria)")</f>
        <v>Limits and opportunities for conducting quantitative and qualitative research in terms of the societies in transition (the example of Bulgaria)</v>
      </c>
      <c r="D2677" s="10">
        <f ca="1">IFERROR(__xludf.DUMMYFUNCTION("""COMPUTED_VALUE"""),2015)</f>
        <v>2015</v>
      </c>
      <c r="E2677" s="10" t="str">
        <f ca="1">IFERROR(__xludf.DUMMYFUNCTION("""COMPUTED_VALUE"""),"Journal of QQML(Qualitative and Quantitative Methods in Libraries) 4(3), Sept. 2015, 671 – 677. ISSN 2241-1925")</f>
        <v>Journal of QQML(Qualitative and Quantitative Methods in Libraries) 4(3), Sept. 2015, 671 – 677. ISSN 2241-1925</v>
      </c>
      <c r="F2677" s="10"/>
      <c r="G2677" s="10"/>
      <c r="H2677" s="10"/>
      <c r="I2677" s="10"/>
      <c r="J2677" s="10"/>
      <c r="K2677" s="10"/>
      <c r="L2677" s="10"/>
      <c r="M2677" s="10"/>
      <c r="N2677" s="10"/>
      <c r="O2677" s="10"/>
      <c r="P2677" s="10"/>
      <c r="Q2677" s="10"/>
      <c r="R2677" s="10"/>
      <c r="S2677" s="10"/>
      <c r="T2677" s="10"/>
      <c r="U2677" s="10"/>
      <c r="V2677" s="10"/>
      <c r="W2677" s="10"/>
      <c r="X2677" s="10"/>
      <c r="Y2677" s="10"/>
      <c r="Z2677" s="10"/>
    </row>
    <row r="2678" spans="1:26" ht="12.75">
      <c r="A2678" s="10" t="str">
        <f ca="1">IFERROR(__xludf.DUMMYFUNCTION("""COMPUTED_VALUE"""),"Евгения Стефанова Русинова")</f>
        <v>Евгения Стефанова Русинова</v>
      </c>
      <c r="B2678" s="10" t="str">
        <f ca="1">IFERROR(__xludf.DUMMYFUNCTION("""COMPUTED_VALUE"""),"Статия в списания и поредици")</f>
        <v>Статия в списания и поредици</v>
      </c>
      <c r="C2678" s="10" t="str">
        <f ca="1">IFERROR(__xludf.DUMMYFUNCTION("""COMPUTED_VALUE"""),"За паратекстовете от художествената литература като исторически източник (българският пример 1878-1944 г. )")</f>
        <v>За паратекстовете от художествената литература като исторически източник (българският пример 1878-1944 г. )</v>
      </c>
      <c r="D2678" s="10">
        <f ca="1">IFERROR(__xludf.DUMMYFUNCTION("""COMPUTED_VALUE"""),2015)</f>
        <v>2015</v>
      </c>
      <c r="E2678" s="10" t="str">
        <f ca="1">IFERROR(__xludf.DUMMYFUNCTION("""COMPUTED_VALUE"""),"Преводът – мост между езици и култури. Изследвания в чест на професор Людмила Илиева.")</f>
        <v>Преводът – мост между езици и култури. Изследвания в чест на професор Людмила Илиева.</v>
      </c>
      <c r="F2678" s="10"/>
      <c r="G2678" s="10"/>
      <c r="H2678" s="10"/>
      <c r="I2678" s="10"/>
      <c r="J2678" s="10"/>
      <c r="K2678" s="10"/>
      <c r="L2678" s="10"/>
      <c r="M2678" s="10"/>
      <c r="N2678" s="10"/>
      <c r="O2678" s="10"/>
      <c r="P2678" s="10"/>
      <c r="Q2678" s="10"/>
      <c r="R2678" s="10"/>
      <c r="S2678" s="10"/>
      <c r="T2678" s="10"/>
      <c r="U2678" s="10"/>
      <c r="V2678" s="10"/>
      <c r="W2678" s="10"/>
      <c r="X2678" s="10"/>
      <c r="Y2678" s="10"/>
      <c r="Z2678" s="10"/>
    </row>
    <row r="2679" spans="1:26" ht="12.75">
      <c r="A2679" s="10" t="str">
        <f ca="1">IFERROR(__xludf.DUMMYFUNCTION("""COMPUTED_VALUE"""),"Евгения Стефанова Русинова")</f>
        <v>Евгения Стефанова Русинова</v>
      </c>
      <c r="B2679" s="10" t="str">
        <f ca="1">IFERROR(__xludf.DUMMYFUNCTION("""COMPUTED_VALUE"""),"Доклад от конференция")</f>
        <v>Доклад от конференция</v>
      </c>
      <c r="C2679" s="10" t="str">
        <f ca="1">IFERROR(__xludf.DUMMYFUNCTION("""COMPUTED_VALUE"""),"Промяна или катастрофа: културното развитие в периода на преход като обект на памет и на научно изследване")</f>
        <v>Промяна или катастрофа: културното развитие в периода на преход като обект на памет и на научно изследване</v>
      </c>
      <c r="D2679" s="10">
        <f ca="1">IFERROR(__xludf.DUMMYFUNCTION("""COMPUTED_VALUE"""),2015)</f>
        <v>2015</v>
      </c>
      <c r="E2679" s="10" t="str">
        <f ca="1">IFERROR(__xludf.DUMMYFUNCTION("""COMPUTED_VALUE"""),"Втора национална научна конференция “Град и памет”, 5-6 юни 2014, Пазарджик, Пазарджик, 2015, с. 227-234.")</f>
        <v>Втора национална научна конференция “Град и памет”, 5-6 юни 2014, Пазарджик, Пазарджик, 2015, с. 227-234.</v>
      </c>
      <c r="F2679" s="10"/>
      <c r="G2679" s="10"/>
      <c r="H2679" s="10"/>
      <c r="I2679" s="10"/>
      <c r="J2679" s="10"/>
      <c r="K2679" s="10"/>
      <c r="L2679" s="10"/>
      <c r="M2679" s="10"/>
      <c r="N2679" s="10"/>
      <c r="O2679" s="10"/>
      <c r="P2679" s="10"/>
      <c r="Q2679" s="10"/>
      <c r="R2679" s="10"/>
      <c r="S2679" s="10"/>
      <c r="T2679" s="10"/>
      <c r="U2679" s="10"/>
      <c r="V2679" s="10"/>
      <c r="W2679" s="10"/>
      <c r="X2679" s="10"/>
      <c r="Y2679" s="10"/>
      <c r="Z2679" s="10"/>
    </row>
    <row r="2680" spans="1:26" ht="12.75">
      <c r="A2680" s="10" t="str">
        <f ca="1">IFERROR(__xludf.DUMMYFUNCTION("""COMPUTED_VALUE"""),"Евгения Стефанова Русинова")</f>
        <v>Евгения Стефанова Русинова</v>
      </c>
      <c r="B2680" s="10" t="str">
        <f ca="1">IFERROR(__xludf.DUMMYFUNCTION("""COMPUTED_VALUE"""),"Доклад от конференция")</f>
        <v>Доклад от конференция</v>
      </c>
      <c r="C2680" s="10" t="str">
        <f ca="1">IFERROR(__xludf.DUMMYFUNCTION("""COMPUTED_VALUE"""),"Оценката в библиотечната работа: практика и възможности за промяна")</f>
        <v>Оценката в библиотечната работа: практика и възможности за промяна</v>
      </c>
      <c r="D2680" s="10">
        <f ca="1">IFERROR(__xludf.DUMMYFUNCTION("""COMPUTED_VALUE"""),2015)</f>
        <v>2015</v>
      </c>
      <c r="E2680" s="10" t="str">
        <f ca="1">IFERROR(__xludf.DUMMYFUNCTION("""COMPUTED_VALUE"""),"Обществото на знанието и хуманизмът на ХХI век, С., 2015, с. 137-141.")</f>
        <v>Обществото на знанието и хуманизмът на ХХI век, С., 2015, с. 137-141.</v>
      </c>
      <c r="F2680" s="10"/>
      <c r="G2680" s="10"/>
      <c r="H2680" s="10"/>
      <c r="I2680" s="10"/>
      <c r="J2680" s="10"/>
      <c r="K2680" s="10"/>
      <c r="L2680" s="10"/>
      <c r="M2680" s="10"/>
      <c r="N2680" s="10"/>
      <c r="O2680" s="10"/>
      <c r="P2680" s="10"/>
      <c r="Q2680" s="10"/>
      <c r="R2680" s="10"/>
      <c r="S2680" s="10"/>
      <c r="T2680" s="10"/>
      <c r="U2680" s="10"/>
      <c r="V2680" s="10"/>
      <c r="W2680" s="10"/>
      <c r="X2680" s="10"/>
      <c r="Y2680" s="10"/>
      <c r="Z2680" s="10"/>
    </row>
    <row r="2681" spans="1:26" ht="12.75">
      <c r="A2681" s="10" t="str">
        <f ca="1">IFERROR(__xludf.DUMMYFUNCTION("""COMPUTED_VALUE"""),"Евгения Стефанова Русинова")</f>
        <v>Евгения Стефанова Русинова</v>
      </c>
      <c r="B2681" s="10" t="str">
        <f ca="1">IFERROR(__xludf.DUMMYFUNCTION("""COMPUTED_VALUE"""),"Доклад от конференция")</f>
        <v>Доклад от конференция</v>
      </c>
      <c r="C2681" s="10" t="str">
        <f ca="1">IFERROR(__xludf.DUMMYFUNCTION("""COMPUTED_VALUE"""),"Днес ли подготвяме библиотеките на бъдещето: с кого, как и защо?")</f>
        <v>Днес ли подготвяме библиотеките на бъдещето: с кого, как и защо?</v>
      </c>
      <c r="D2681" s="10">
        <f ca="1">IFERROR(__xludf.DUMMYFUNCTION("""COMPUTED_VALUE"""),2015)</f>
        <v>2015</v>
      </c>
      <c r="E2681" s="10" t="str">
        <f ca="1">IFERROR(__xludf.DUMMYFUNCTION("""COMPUTED_VALUE"""),"Визия за бъдещето на библиотеките в България. ХХV Нац конф. ББИА, С., 2015, с. 29-32.")</f>
        <v>Визия за бъдещето на библиотеките в България. ХХV Нац конф. ББИА, С., 2015, с. 29-32.</v>
      </c>
      <c r="F2681" s="10"/>
      <c r="G2681" s="10"/>
      <c r="H2681" s="10"/>
      <c r="I2681" s="10"/>
      <c r="J2681" s="10"/>
      <c r="K2681" s="10"/>
      <c r="L2681" s="10"/>
      <c r="M2681" s="10"/>
      <c r="N2681" s="10"/>
      <c r="O2681" s="10"/>
      <c r="P2681" s="10"/>
      <c r="Q2681" s="10"/>
      <c r="R2681" s="10"/>
      <c r="S2681" s="10"/>
      <c r="T2681" s="10"/>
      <c r="U2681" s="10"/>
      <c r="V2681" s="10"/>
      <c r="W2681" s="10"/>
      <c r="X2681" s="10"/>
      <c r="Y2681" s="10"/>
      <c r="Z2681" s="10"/>
    </row>
    <row r="2682" spans="1:26" ht="12.75">
      <c r="A2682" s="10" t="str">
        <f ca="1">IFERROR(__xludf.DUMMYFUNCTION("""COMPUTED_VALUE"""),"Евгения Стефанова Русинова")</f>
        <v>Евгения Стефанова Русинова</v>
      </c>
      <c r="B2682" s="10" t="str">
        <f ca="1">IFERROR(__xludf.DUMMYFUNCTION("""COMPUTED_VALUE"""),"Доклад от конференция")</f>
        <v>Доклад от конференция</v>
      </c>
      <c r="C2682" s="10" t="str">
        <f ca="1">IFERROR(__xludf.DUMMYFUNCTION("""COMPUTED_VALUE"""),"Чехия като пример: защо и доколко (в българското културно пространство)")</f>
        <v>Чехия като пример: защо и доколко (в българското културно пространство)</v>
      </c>
      <c r="D2682" s="10">
        <f ca="1">IFERROR(__xludf.DUMMYFUNCTION("""COMPUTED_VALUE"""),2015)</f>
        <v>2015</v>
      </c>
      <c r="E2682" s="10" t="str">
        <f ca="1">IFERROR(__xludf.DUMMYFUNCTION("""COMPUTED_VALUE"""),"Съвременни измерения на европейското образователно и научно пространство. Българо-чешки културни общувания // Съвременни измерения на европейското образователно и научно пространство. Т.2, С., 2015, с. 291-297.")</f>
        <v>Съвременни измерения на европейското образователно и научно пространство. Българо-чешки културни общувания // Съвременни измерения на европейското образователно и научно пространство. Т.2, С., 2015, с. 291-297.</v>
      </c>
      <c r="F2682" s="10"/>
      <c r="G2682" s="10"/>
      <c r="H2682" s="10"/>
      <c r="I2682" s="10"/>
      <c r="J2682" s="10"/>
      <c r="K2682" s="10"/>
      <c r="L2682" s="10"/>
      <c r="M2682" s="10"/>
      <c r="N2682" s="10"/>
      <c r="O2682" s="10"/>
      <c r="P2682" s="10"/>
      <c r="Q2682" s="10"/>
      <c r="R2682" s="10"/>
      <c r="S2682" s="10"/>
      <c r="T2682" s="10"/>
      <c r="U2682" s="10"/>
      <c r="V2682" s="10"/>
      <c r="W2682" s="10"/>
      <c r="X2682" s="10"/>
      <c r="Y2682" s="10"/>
      <c r="Z2682" s="10"/>
    </row>
    <row r="2683" spans="1:26" ht="12.75">
      <c r="A2683" s="10" t="str">
        <f ca="1">IFERROR(__xludf.DUMMYFUNCTION("""COMPUTED_VALUE"""),"Евгения Стефанова Русинова")</f>
        <v>Евгения Стефанова Русинова</v>
      </c>
      <c r="B2683" s="10" t="str">
        <f ca="1">IFERROR(__xludf.DUMMYFUNCTION("""COMPUTED_VALUE"""),"Доклад от конференция")</f>
        <v>Доклад от конференция</v>
      </c>
      <c r="C2683" s="10" t="str">
        <f ca="1">IFERROR(__xludf.DUMMYFUNCTION("""COMPUTED_VALUE"""),"Европейският опит в българската библиотечна, музейна и архивна сфери")</f>
        <v>Европейският опит в българската библиотечна, музейна и архивна сфери</v>
      </c>
      <c r="D2683" s="10">
        <f ca="1">IFERROR(__xludf.DUMMYFUNCTION("""COMPUTED_VALUE"""),2015)</f>
        <v>2015</v>
      </c>
      <c r="E2683" s="10" t="str">
        <f ca="1">IFERROR(__xludf.DUMMYFUNCTION("""COMPUTED_VALUE"""),"България в европейската култура, наука, образование, религия. Т. 2, Шумен, 2015, с. 191-198.")</f>
        <v>България в европейската култура, наука, образование, религия. Т. 2, Шумен, 2015, с. 191-198.</v>
      </c>
      <c r="F2683" s="10"/>
      <c r="G2683" s="10"/>
      <c r="H2683" s="10"/>
      <c r="I2683" s="10"/>
      <c r="J2683" s="10"/>
      <c r="K2683" s="10"/>
      <c r="L2683" s="10"/>
      <c r="M2683" s="10"/>
      <c r="N2683" s="10"/>
      <c r="O2683" s="10"/>
      <c r="P2683" s="10"/>
      <c r="Q2683" s="10"/>
      <c r="R2683" s="10"/>
      <c r="S2683" s="10"/>
      <c r="T2683" s="10"/>
      <c r="U2683" s="10"/>
      <c r="V2683" s="10"/>
      <c r="W2683" s="10"/>
      <c r="X2683" s="10"/>
      <c r="Y2683" s="10"/>
      <c r="Z2683" s="10"/>
    </row>
    <row r="2684" spans="1:26" ht="12.75">
      <c r="A2684" s="10" t="str">
        <f ca="1">IFERROR(__xludf.DUMMYFUNCTION("""COMPUTED_VALUE"""),"Евгения Стефанова Русинова")</f>
        <v>Евгения Стефанова Русинова</v>
      </c>
      <c r="B2684" s="10" t="str">
        <f ca="1">IFERROR(__xludf.DUMMYFUNCTION("""COMPUTED_VALUE"""),"Доклад от конференция")</f>
        <v>Доклад от конференция</v>
      </c>
      <c r="C2684" s="10" t="str">
        <f ca="1">IFERROR(__xludf.DUMMYFUNCTION("""COMPUTED_VALUE"""),"Съвременната библиотека- основни акценти от характеристиката й")</f>
        <v>Съвременната библиотека- основни акценти от характеристиката й</v>
      </c>
      <c r="D2684" s="10">
        <f ca="1">IFERROR(__xludf.DUMMYFUNCTION("""COMPUTED_VALUE"""),2015)</f>
        <v>2015</v>
      </c>
      <c r="E2684" s="10" t="str">
        <f ca="1">IFERROR(__xludf.DUMMYFUNCTION("""COMPUTED_VALUE"""),"Европейско библиотечно, информационно и културно пространство. България-Италия //Съвременни измерения на европейското образователно и научно пространство. Т.1, С., 2015, с.61-68.")</f>
        <v>Европейско библиотечно, информационно и културно пространство. България-Италия //Съвременни измерения на европейското образователно и научно пространство. Т.1, С., 2015, с.61-68.</v>
      </c>
      <c r="F2684" s="10"/>
      <c r="G2684" s="10"/>
      <c r="H2684" s="10"/>
      <c r="I2684" s="10"/>
      <c r="J2684" s="10"/>
      <c r="K2684" s="10"/>
      <c r="L2684" s="10"/>
      <c r="M2684" s="10"/>
      <c r="N2684" s="10"/>
      <c r="O2684" s="10"/>
      <c r="P2684" s="10"/>
      <c r="Q2684" s="10"/>
      <c r="R2684" s="10"/>
      <c r="S2684" s="10"/>
      <c r="T2684" s="10"/>
      <c r="U2684" s="10"/>
      <c r="V2684" s="10"/>
      <c r="W2684" s="10"/>
      <c r="X2684" s="10"/>
      <c r="Y2684" s="10"/>
      <c r="Z2684" s="10"/>
    </row>
    <row r="2685" spans="1:26" ht="12.75">
      <c r="A2685" s="10" t="str">
        <f ca="1">IFERROR(__xludf.DUMMYFUNCTION("""COMPUTED_VALUE"""),"Евгения Стефанова Русинова")</f>
        <v>Евгения Стефанова Русинова</v>
      </c>
      <c r="B2685" s="10" t="str">
        <f ca="1">IFERROR(__xludf.DUMMYFUNCTION("""COMPUTED_VALUE"""),"Доклад от конференция")</f>
        <v>Доклад от конференция</v>
      </c>
      <c r="C2685" s="10" t="str">
        <f ca="1">IFERROR(__xludf.DUMMYFUNCTION("""COMPUTED_VALUE"""),"Предговор // Съвременната библиотека- основни акценти от характеристиката й // Европейско библиотечно, информационно и културно пространство България-Италия")</f>
        <v>Предговор // Съвременната библиотека- основни акценти от характеристиката й // Европейско библиотечно, информационно и културно пространство България-Италия</v>
      </c>
      <c r="D2685" s="10">
        <f ca="1">IFERROR(__xludf.DUMMYFUNCTION("""COMPUTED_VALUE"""),2015)</f>
        <v>2015</v>
      </c>
      <c r="E2685" s="10" t="str">
        <f ca="1">IFERROR(__xludf.DUMMYFUNCTION("""COMPUTED_VALUE"""),"Съвременни измерения на европейското образователно и научно пространство. Т.1, С., 2015, с.11-12.")</f>
        <v>Съвременни измерения на европейското образователно и научно пространство. Т.1, С., 2015, с.11-12.</v>
      </c>
      <c r="F2685" s="10"/>
      <c r="G2685" s="10"/>
      <c r="H2685" s="10"/>
      <c r="I2685" s="10"/>
      <c r="J2685" s="10"/>
      <c r="K2685" s="10"/>
      <c r="L2685" s="10"/>
      <c r="M2685" s="10"/>
      <c r="N2685" s="10"/>
      <c r="O2685" s="10"/>
      <c r="P2685" s="10"/>
      <c r="Q2685" s="10"/>
      <c r="R2685" s="10"/>
      <c r="S2685" s="10"/>
      <c r="T2685" s="10"/>
      <c r="U2685" s="10"/>
      <c r="V2685" s="10"/>
      <c r="W2685" s="10"/>
      <c r="X2685" s="10"/>
      <c r="Y2685" s="10"/>
      <c r="Z2685" s="10"/>
    </row>
    <row r="2686" spans="1:26" ht="12.75">
      <c r="A2686" s="10" t="str">
        <f ca="1">IFERROR(__xludf.DUMMYFUNCTION("""COMPUTED_VALUE"""),"Евгения Стефанова Русинова")</f>
        <v>Евгения Стефанова Русинова</v>
      </c>
      <c r="B2686" s="10" t="str">
        <f ca="1">IFERROR(__xludf.DUMMYFUNCTION("""COMPUTED_VALUE"""),"Доклад от конференция")</f>
        <v>Доклад от конференция</v>
      </c>
      <c r="C2686" s="10" t="str">
        <f ca="1">IFERROR(__xludf.DUMMYFUNCTION("""COMPUTED_VALUE"""),"Отсъстващо присъствие или за българската среща с Лондон/Великобритания (за времето 1878-1844)")</f>
        <v>Отсъстващо присъствие или за българската среща с Лондон/Великобритания (за времето 1878-1844)</v>
      </c>
      <c r="D2686" s="10">
        <f ca="1">IFERROR(__xludf.DUMMYFUNCTION("""COMPUTED_VALUE"""),2015)</f>
        <v>2015</v>
      </c>
      <c r="E2686" s="10" t="str">
        <f ca="1">IFERROR(__xludf.DUMMYFUNCTION("""COMPUTED_VALUE"""),"Съвременни измерения на европейското образователно и научно пространство. Българо-английски културни общувания // Съвременни измерения на европейското образователно и научно пространство. Т.3, С., 2015, с. 95-98.")</f>
        <v>Съвременни измерения на европейското образователно и научно пространство. Българо-английски културни общувания // Съвременни измерения на европейското образователно и научно пространство. Т.3, С., 2015, с. 95-98.</v>
      </c>
      <c r="F2686" s="10"/>
      <c r="G2686" s="10"/>
      <c r="H2686" s="10"/>
      <c r="I2686" s="10"/>
      <c r="J2686" s="10"/>
      <c r="K2686" s="10"/>
      <c r="L2686" s="10"/>
      <c r="M2686" s="10"/>
      <c r="N2686" s="10"/>
      <c r="O2686" s="10"/>
      <c r="P2686" s="10"/>
      <c r="Q2686" s="10"/>
      <c r="R2686" s="10"/>
      <c r="S2686" s="10"/>
      <c r="T2686" s="10"/>
      <c r="U2686" s="10"/>
      <c r="V2686" s="10"/>
      <c r="W2686" s="10"/>
      <c r="X2686" s="10"/>
      <c r="Y2686" s="10"/>
      <c r="Z2686" s="10"/>
    </row>
    <row r="2687" spans="1:26" ht="12.75">
      <c r="A2687" s="10" t="str">
        <f ca="1">IFERROR(__xludf.DUMMYFUNCTION("""COMPUTED_VALUE"""),"Евгения Стефанова Русинова")</f>
        <v>Евгения Стефанова Русинова</v>
      </c>
      <c r="B2687" s="10" t="str">
        <f ca="1">IFERROR(__xludf.DUMMYFUNCTION("""COMPUTED_VALUE"""),"Доклад от конференция")</f>
        <v>Доклад от конференция</v>
      </c>
      <c r="C2687" s="10" t="str">
        <f ca="1">IFERROR(__xludf.DUMMYFUNCTION("""COMPUTED_VALUE"""),"За българската рецепция на един световен град (първата половина на ХХ в.)")</f>
        <v>За българската рецепция на един световен град (първата половина на ХХ в.)</v>
      </c>
      <c r="D2687" s="10">
        <f ca="1">IFERROR(__xludf.DUMMYFUNCTION("""COMPUTED_VALUE"""),2015)</f>
        <v>2015</v>
      </c>
      <c r="E2687" s="10" t="str">
        <f ca="1">IFERROR(__xludf.DUMMYFUNCTION("""COMPUTED_VALUE"""),"Съвременни измерения на европейското образователно и научно пространство. Българо-френски културни общувания // Съвременни измерения на европейското образователно и научно пространство. Т.2, С., 2015, с. 158-165.")</f>
        <v>Съвременни измерения на европейското образователно и научно пространство. Българо-френски културни общувания // Съвременни измерения на европейското образователно и научно пространство. Т.2, С., 2015, с. 158-165.</v>
      </c>
      <c r="F2687" s="10"/>
      <c r="G2687" s="10"/>
      <c r="H2687" s="10"/>
      <c r="I2687" s="10"/>
      <c r="J2687" s="10"/>
      <c r="K2687" s="10"/>
      <c r="L2687" s="10"/>
      <c r="M2687" s="10"/>
      <c r="N2687" s="10"/>
      <c r="O2687" s="10"/>
      <c r="P2687" s="10"/>
      <c r="Q2687" s="10"/>
      <c r="R2687" s="10"/>
      <c r="S2687" s="10"/>
      <c r="T2687" s="10"/>
      <c r="U2687" s="10"/>
      <c r="V2687" s="10"/>
      <c r="W2687" s="10"/>
      <c r="X2687" s="10"/>
      <c r="Y2687" s="10"/>
      <c r="Z2687" s="10"/>
    </row>
    <row r="2688" spans="1:26" ht="12.75">
      <c r="A2688" s="10" t="str">
        <f ca="1">IFERROR(__xludf.DUMMYFUNCTION("""COMPUTED_VALUE"""),"Евгения Стефанова Русинова")</f>
        <v>Евгения Стефанова Русинова</v>
      </c>
      <c r="B2688" s="10" t="str">
        <f ca="1">IFERROR(__xludf.DUMMYFUNCTION("""COMPUTED_VALUE"""),"Доклад от конференция")</f>
        <v>Доклад от конференция</v>
      </c>
      <c r="C2688" s="10" t="str">
        <f ca="1">IFERROR(__xludf.DUMMYFUNCTION("""COMPUTED_VALUE"""),"Измеренията на Виена / Австрия в българско интелектуално развитие ( 1879-1944)")</f>
        <v>Измеренията на Виена / Австрия в българско интелектуално развитие ( 1879-1944)</v>
      </c>
      <c r="D2688" s="10">
        <f ca="1">IFERROR(__xludf.DUMMYFUNCTION("""COMPUTED_VALUE"""),2015)</f>
        <v>2015</v>
      </c>
      <c r="E2688" s="10" t="str">
        <f ca="1">IFERROR(__xludf.DUMMYFUNCTION("""COMPUTED_VALUE"""),"Съвременни измерения на европейското образователно и научно пространство. Българо-австрийски културни общувания // Съвременни измерения на европейското образователно и научно пространство. Т.1, С., 2015, с. 355-360.")</f>
        <v>Съвременни измерения на европейското образователно и научно пространство. Българо-австрийски културни общувания // Съвременни измерения на европейското образователно и научно пространство. Т.1, С., 2015, с. 355-360.</v>
      </c>
      <c r="F2688" s="10"/>
      <c r="G2688" s="10"/>
      <c r="H2688" s="10"/>
      <c r="I2688" s="10"/>
      <c r="J2688" s="10"/>
      <c r="K2688" s="10"/>
      <c r="L2688" s="10"/>
      <c r="M2688" s="10"/>
      <c r="N2688" s="10"/>
      <c r="O2688" s="10"/>
      <c r="P2688" s="10"/>
      <c r="Q2688" s="10"/>
      <c r="R2688" s="10"/>
      <c r="S2688" s="10"/>
      <c r="T2688" s="10"/>
      <c r="U2688" s="10"/>
      <c r="V2688" s="10"/>
      <c r="W2688" s="10"/>
      <c r="X2688" s="10"/>
      <c r="Y2688" s="10"/>
      <c r="Z2688" s="10"/>
    </row>
    <row r="2689" spans="1:26" ht="12.75">
      <c r="A2689" s="10" t="str">
        <f ca="1">IFERROR(__xludf.DUMMYFUNCTION("""COMPUTED_VALUE"""),"Евгения Стефанова Русинова")</f>
        <v>Евгения Стефанова Русинова</v>
      </c>
      <c r="B2689" s="10" t="str">
        <f ca="1">IFERROR(__xludf.DUMMYFUNCTION("""COMPUTED_VALUE"""),"Книга")</f>
        <v>Книга</v>
      </c>
      <c r="C2689" s="10" t="str">
        <f ca="1">IFERROR(__xludf.DUMMYFUNCTION("""COMPUTED_VALUE"""),"Маркетинг и PR - иновационни библиотечни технологии. Статии 2003-2014., 236 с.")</f>
        <v>Маркетинг и PR - иновационни библиотечни технологии. Статии 2003-2014., 236 с.</v>
      </c>
      <c r="D2689" s="10">
        <f ca="1">IFERROR(__xludf.DUMMYFUNCTION("""COMPUTED_VALUE"""),2014)</f>
        <v>2014</v>
      </c>
      <c r="E2689" s="10" t="str">
        <f ca="1">IFERROR(__xludf.DUMMYFUNCTION("""COMPUTED_VALUE"""),"С., ИК Диомира, 2014")</f>
        <v>С., ИК Диомира, 2014</v>
      </c>
      <c r="F2689" s="10"/>
      <c r="G2689" s="10"/>
      <c r="H2689" s="10"/>
      <c r="I2689" s="10"/>
      <c r="J2689" s="10"/>
      <c r="K2689" s="10"/>
      <c r="L2689" s="10"/>
      <c r="M2689" s="10"/>
      <c r="N2689" s="10"/>
      <c r="O2689" s="10"/>
      <c r="P2689" s="10"/>
      <c r="Q2689" s="10"/>
      <c r="R2689" s="10"/>
      <c r="S2689" s="10"/>
      <c r="T2689" s="10"/>
      <c r="U2689" s="10"/>
      <c r="V2689" s="10"/>
      <c r="W2689" s="10"/>
      <c r="X2689" s="10"/>
      <c r="Y2689" s="10"/>
      <c r="Z2689" s="10"/>
    </row>
    <row r="2690" spans="1:26" ht="12.75">
      <c r="A2690" s="10" t="str">
        <f ca="1">IFERROR(__xludf.DUMMYFUNCTION("""COMPUTED_VALUE"""),"Евгения Стефанова Русинова")</f>
        <v>Евгения Стефанова Русинова</v>
      </c>
      <c r="B2690" s="10" t="str">
        <f ca="1">IFERROR(__xludf.DUMMYFUNCTION("""COMPUTED_VALUE"""),"Доклад от конференция")</f>
        <v>Доклад от конференция</v>
      </c>
      <c r="C2690" s="10" t="str">
        <f ca="1">IFERROR(__xludf.DUMMYFUNCTION("""COMPUTED_VALUE"""),"Soft плагиатство")</f>
        <v>Soft плагиатство</v>
      </c>
      <c r="D2690" s="10">
        <f ca="1">IFERROR(__xludf.DUMMYFUNCTION("""COMPUTED_VALUE"""),2014)</f>
        <v>2014</v>
      </c>
      <c r="E2690" s="10" t="str">
        <f ca="1">IFERROR(__xludf.DUMMYFUNCTION("""COMPUTED_VALUE"""),"Наука, ХХV, 2015, № 2 ,с. 39-41 същото и в: Плагиатството в науката. Съст.М. Попова. С., 2015, с. 109-113.")</f>
        <v>Наука, ХХV, 2015, № 2 ,с. 39-41 същото и в: Плагиатството в науката. Съст.М. Попова. С., 2015, с. 109-113.</v>
      </c>
      <c r="F2690" s="10"/>
      <c r="G2690" s="10"/>
      <c r="H2690" s="10"/>
      <c r="I2690" s="10"/>
      <c r="J2690" s="10"/>
      <c r="K2690" s="10"/>
      <c r="L2690" s="10"/>
      <c r="M2690" s="10"/>
      <c r="N2690" s="10"/>
      <c r="O2690" s="10"/>
      <c r="P2690" s="10"/>
      <c r="Q2690" s="10"/>
      <c r="R2690" s="10"/>
      <c r="S2690" s="10"/>
      <c r="T2690" s="10"/>
      <c r="U2690" s="10"/>
      <c r="V2690" s="10"/>
      <c r="W2690" s="10"/>
      <c r="X2690" s="10"/>
      <c r="Y2690" s="10"/>
      <c r="Z2690" s="10"/>
    </row>
    <row r="2691" spans="1:26" ht="12.75">
      <c r="A2691" s="10" t="str">
        <f ca="1">IFERROR(__xludf.DUMMYFUNCTION("""COMPUTED_VALUE"""),"Евгения Стефанова Русинова")</f>
        <v>Евгения Стефанова Русинова</v>
      </c>
      <c r="B2691" s="10" t="str">
        <f ca="1">IFERROR(__xludf.DUMMYFUNCTION("""COMPUTED_VALUE"""),"Доклад от конференция")</f>
        <v>Доклад от конференция</v>
      </c>
      <c r="C2691" s="10" t="str">
        <f ca="1">IFERROR(__xludf.DUMMYFUNCTION("""COMPUTED_VALUE"""),"Можем ли да влезем в бъдещето, като загърбим миналото? Ефективността като генерален проблем за библиотечната сфера // Ефективността на библиотеките и подготовката на библиотечните кадри – залог за тяхното бъдеще. Доклади")</f>
        <v>Можем ли да влезем в бъдещето, като загърбим миналото? Ефективността като генерален проблем за библиотечната сфера // Ефективността на библиотеките и подготовката на библиотечните кадри – залог за тяхното бъдеще. Доклади</v>
      </c>
      <c r="D2691" s="10">
        <f ca="1">IFERROR(__xludf.DUMMYFUNCTION("""COMPUTED_VALUE"""),2014)</f>
        <v>2014</v>
      </c>
      <c r="E2691" s="10" t="str">
        <f ca="1">IFERROR(__xludf.DUMMYFUNCTION("""COMPUTED_VALUE"""),"ХХIII ННК ББИА, 2013.С., 2014, с. 5-7.")</f>
        <v>ХХIII ННК ББИА, 2013.С., 2014, с. 5-7.</v>
      </c>
      <c r="F2691" s="10"/>
      <c r="G2691" s="10"/>
      <c r="H2691" s="10"/>
      <c r="I2691" s="10"/>
      <c r="J2691" s="10"/>
      <c r="K2691" s="10"/>
      <c r="L2691" s="10"/>
      <c r="M2691" s="10"/>
      <c r="N2691" s="10"/>
      <c r="O2691" s="10"/>
      <c r="P2691" s="10"/>
      <c r="Q2691" s="10"/>
      <c r="R2691" s="10"/>
      <c r="S2691" s="10"/>
      <c r="T2691" s="10"/>
      <c r="U2691" s="10"/>
      <c r="V2691" s="10"/>
      <c r="W2691" s="10"/>
      <c r="X2691" s="10"/>
      <c r="Y2691" s="10"/>
      <c r="Z2691" s="10"/>
    </row>
    <row r="2692" spans="1:26" ht="12.75">
      <c r="A2692" s="10" t="str">
        <f ca="1">IFERROR(__xludf.DUMMYFUNCTION("""COMPUTED_VALUE"""),"Евгения Стефанова Русинова")</f>
        <v>Евгения Стефанова Русинова</v>
      </c>
      <c r="B2692" s="10" t="str">
        <f ca="1">IFERROR(__xludf.DUMMYFUNCTION("""COMPUTED_VALUE"""),"Доклад от конференция")</f>
        <v>Доклад от конференция</v>
      </c>
      <c r="C2692" s="10" t="str">
        <f ca="1">IFERROR(__xludf.DUMMYFUNCTION("""COMPUTED_VALUE"""),"От какво зависи успехът: PR на културни институции и дейности (възможности и тесни места) // “България в световното културно наследство”Пътуване към България”Трета научна конференция по археология, история и културен туризъм “Пътуване към България” Шумен,"&amp;" 17-19 май 2012.")</f>
        <v>От какво зависи успехът: PR на културни институции и дейности (възможности и тесни места) // “България в световното културно наследство”Пътуване към България”Трета научна конференция по археология, история и културен туризъм “Пътуване към България” Шумен, 17-19 май 2012.</v>
      </c>
      <c r="D2692" s="10">
        <f ca="1">IFERROR(__xludf.DUMMYFUNCTION("""COMPUTED_VALUE"""),2014)</f>
        <v>2014</v>
      </c>
      <c r="E2692" s="10" t="str">
        <f ca="1">IFERROR(__xludf.DUMMYFUNCTION("""COMPUTED_VALUE"""),"Шумен, 2014, c. 1175-1180.")</f>
        <v>Шумен, 2014, c. 1175-1180.</v>
      </c>
      <c r="F2692" s="10"/>
      <c r="G2692" s="10"/>
      <c r="H2692" s="10"/>
      <c r="I2692" s="10"/>
      <c r="J2692" s="10"/>
      <c r="K2692" s="10"/>
      <c r="L2692" s="10"/>
      <c r="M2692" s="10"/>
      <c r="N2692" s="10"/>
      <c r="O2692" s="10"/>
      <c r="P2692" s="10"/>
      <c r="Q2692" s="10"/>
      <c r="R2692" s="10"/>
      <c r="S2692" s="10"/>
      <c r="T2692" s="10"/>
      <c r="U2692" s="10"/>
      <c r="V2692" s="10"/>
      <c r="W2692" s="10"/>
      <c r="X2692" s="10"/>
      <c r="Y2692" s="10"/>
      <c r="Z2692" s="10"/>
    </row>
    <row r="2693" spans="1:26" ht="12.75">
      <c r="A2693" s="10" t="str">
        <f ca="1">IFERROR(__xludf.DUMMYFUNCTION("""COMPUTED_VALUE"""),"Евгения Стефанова Русинова")</f>
        <v>Евгения Стефанова Русинова</v>
      </c>
      <c r="B2693" s="10" t="str">
        <f ca="1">IFERROR(__xludf.DUMMYFUNCTION("""COMPUTED_VALUE"""),"Доклад от конференция")</f>
        <v>Доклад от конференция</v>
      </c>
      <c r="C2693" s="10" t="str">
        <f ca="1">IFERROR(__xludf.DUMMYFUNCTION("""COMPUTED_VALUE"""),"Библиотечныe PR и маркетинг – единство в многообразие: объединение в практике// Библиотeка и общество: проблемы и направления развития: Материалы V международной научно-практической конференции… Минск 30—31 окт 2013 (электронны ресурс). (CD)")</f>
        <v>Библиотечныe PR и маркетинг – единство в многообразие: объединение в практике// Библиотeка и общество: проблемы и направления развития: Материалы V международной научно-практической конференции… Минск 30—31 окт 2013 (электронны ресурс). (CD)</v>
      </c>
      <c r="D2693" s="10">
        <f ca="1">IFERROR(__xludf.DUMMYFUNCTION("""COMPUTED_VALUE"""),2014)</f>
        <v>2014</v>
      </c>
      <c r="E2693" s="10" t="str">
        <f ca="1">IFERROR(__xludf.DUMMYFUNCTION("""COMPUTED_VALUE"""),"Минск, 2014, с. 207-209.")</f>
        <v>Минск, 2014, с. 207-209.</v>
      </c>
      <c r="F2693" s="10"/>
      <c r="G2693" s="10"/>
      <c r="H2693" s="10"/>
      <c r="I2693" s="10"/>
      <c r="J2693" s="10"/>
      <c r="K2693" s="10"/>
      <c r="L2693" s="10"/>
      <c r="M2693" s="10"/>
      <c r="N2693" s="10"/>
      <c r="O2693" s="10"/>
      <c r="P2693" s="10"/>
      <c r="Q2693" s="10"/>
      <c r="R2693" s="10"/>
      <c r="S2693" s="10"/>
      <c r="T2693" s="10"/>
      <c r="U2693" s="10"/>
      <c r="V2693" s="10"/>
      <c r="W2693" s="10"/>
      <c r="X2693" s="10"/>
      <c r="Y2693" s="10"/>
      <c r="Z2693" s="10"/>
    </row>
    <row r="2694" spans="1:26" ht="12.75">
      <c r="A2694" s="10" t="str">
        <f ca="1">IFERROR(__xludf.DUMMYFUNCTION("""COMPUTED_VALUE"""),"Евгения Стефанова Русинова")</f>
        <v>Евгения Стефанова Русинова</v>
      </c>
      <c r="B2694" s="10" t="str">
        <f ca="1">IFERROR(__xludf.DUMMYFUNCTION("""COMPUTED_VALUE"""),"Статия в списания и поредици")</f>
        <v>Статия в списания и поредици</v>
      </c>
      <c r="C2694" s="10" t="str">
        <f ca="1">IFERROR(__xludf.DUMMYFUNCTION("""COMPUTED_VALUE"""),"Колко струва една библиотечна PR акция/кампания?")</f>
        <v>Колко струва една библиотечна PR акция/кампания?</v>
      </c>
      <c r="D2694" s="10">
        <f ca="1">IFERROR(__xludf.DUMMYFUNCTION("""COMPUTED_VALUE"""),2014)</f>
        <v>2014</v>
      </c>
      <c r="E2694" s="10" t="str">
        <f ca="1">IFERROR(__xludf.DUMMYFUNCTION("""COMPUTED_VALUE"""),"Библиотека, № 2, 2014, с. 32-39")</f>
        <v>Библиотека, № 2, 2014, с. 32-39</v>
      </c>
      <c r="F2694" s="10"/>
      <c r="G2694" s="10"/>
      <c r="H2694" s="10"/>
      <c r="I2694" s="10"/>
      <c r="J2694" s="10"/>
      <c r="K2694" s="10"/>
      <c r="L2694" s="10"/>
      <c r="M2694" s="10"/>
      <c r="N2694" s="10"/>
      <c r="O2694" s="10"/>
      <c r="P2694" s="10"/>
      <c r="Q2694" s="10"/>
      <c r="R2694" s="10"/>
      <c r="S2694" s="10"/>
      <c r="T2694" s="10"/>
      <c r="U2694" s="10"/>
      <c r="V2694" s="10"/>
      <c r="W2694" s="10"/>
      <c r="X2694" s="10"/>
      <c r="Y2694" s="10"/>
      <c r="Z2694" s="10"/>
    </row>
    <row r="2695" spans="1:26" ht="12.75">
      <c r="A2695" s="10" t="str">
        <f ca="1">IFERROR(__xludf.DUMMYFUNCTION("""COMPUTED_VALUE"""),"Евгения Стефанова Русинова")</f>
        <v>Евгения Стефанова Русинова</v>
      </c>
      <c r="B2695" s="10" t="str">
        <f ca="1">IFERROR(__xludf.DUMMYFUNCTION("""COMPUTED_VALUE"""),"Доклад от конференция")</f>
        <v>Доклад от конференция</v>
      </c>
      <c r="C2695" s="10" t="str">
        <f ca="1">IFERROR(__xludf.DUMMYFUNCTION("""COMPUTED_VALUE"""),"Теория и практика прошлого как основа инноваций (на примере российского опыта в Болгарии) // Библиографические чтения памяти Константина Илларионовича Шафрановского (1900-1973).")</f>
        <v>Теория и практика прошлого как основа инноваций (на примере российского опыта в Болгарии) // Библиографические чтения памяти Константина Илларионовича Шафрановского (1900-1973).</v>
      </c>
      <c r="D2695" s="10">
        <f ca="1">IFERROR(__xludf.DUMMYFUNCTION("""COMPUTED_VALUE"""),2014)</f>
        <v>2014</v>
      </c>
      <c r="E2695" s="10" t="str">
        <f ca="1">IFERROR(__xludf.DUMMYFUNCTION("""COMPUTED_VALUE"""),"Сборник трудов Международной научной конференции (СПб, 17 окт. 2011) . СПб, 2014, с. 130-134.")</f>
        <v>Сборник трудов Международной научной конференции (СПб, 17 окт. 2011) . СПб, 2014, с. 130-134.</v>
      </c>
      <c r="F2695" s="10"/>
      <c r="G2695" s="10"/>
      <c r="H2695" s="10"/>
      <c r="I2695" s="10"/>
      <c r="J2695" s="10"/>
      <c r="K2695" s="10"/>
      <c r="L2695" s="10"/>
      <c r="M2695" s="10"/>
      <c r="N2695" s="10"/>
      <c r="O2695" s="10"/>
      <c r="P2695" s="10"/>
      <c r="Q2695" s="10"/>
      <c r="R2695" s="10"/>
      <c r="S2695" s="10"/>
      <c r="T2695" s="10"/>
      <c r="U2695" s="10"/>
      <c r="V2695" s="10"/>
      <c r="W2695" s="10"/>
      <c r="X2695" s="10"/>
      <c r="Y2695" s="10"/>
      <c r="Z2695" s="10"/>
    </row>
    <row r="2696" spans="1:26" ht="12.75">
      <c r="A2696" s="10" t="str">
        <f ca="1">IFERROR(__xludf.DUMMYFUNCTION("""COMPUTED_VALUE"""),"Евгения Стефанова Русинова")</f>
        <v>Евгения Стефанова Русинова</v>
      </c>
      <c r="B2696" s="10" t="str">
        <f ca="1">IFERROR(__xludf.DUMMYFUNCTION("""COMPUTED_VALUE"""),"Доклад от конференция")</f>
        <v>Доклад от конференция</v>
      </c>
      <c r="C2696" s="10" t="str">
        <f ca="1">IFERROR(__xludf.DUMMYFUNCTION("""COMPUTED_VALUE"""),"Кой и как поощрява четенето и какъв е резултатът?(Наблюдения върху българската практиката) // Четенето в реална и електронна среда. Мотивация и опит на библиотеките и образователните институции.")</f>
        <v>Кой и как поощрява четенето и какъв е резултатът?(Наблюдения върху българската практиката) // Четенето в реална и електронна среда. Мотивация и опит на библиотеките и образователните институции.</v>
      </c>
      <c r="D2696" s="10">
        <f ca="1">IFERROR(__xludf.DUMMYFUNCTION("""COMPUTED_VALUE"""),2014)</f>
        <v>2014</v>
      </c>
      <c r="E2696" s="10" t="str">
        <f ca="1">IFERROR(__xludf.DUMMYFUNCTION("""COMPUTED_VALUE"""),"С., 2014, с. 165-170.")</f>
        <v>С., 2014, с. 165-170.</v>
      </c>
      <c r="F2696" s="10"/>
      <c r="G2696" s="10" t="str">
        <f ca="1">IFERROR(__xludf.DUMMYFUNCTION("""COMPUTED_VALUE"""),"Е.Павловска.")</f>
        <v>Е.Павловска.</v>
      </c>
      <c r="H2696" s="10"/>
      <c r="I2696" s="10"/>
      <c r="J2696" s="10"/>
      <c r="K2696" s="10"/>
      <c r="L2696" s="10"/>
      <c r="M2696" s="10"/>
      <c r="N2696" s="10"/>
      <c r="O2696" s="10"/>
      <c r="P2696" s="10"/>
      <c r="Q2696" s="10"/>
      <c r="R2696" s="10"/>
      <c r="S2696" s="10"/>
      <c r="T2696" s="10"/>
      <c r="U2696" s="10"/>
      <c r="V2696" s="10"/>
      <c r="W2696" s="10"/>
      <c r="X2696" s="10"/>
      <c r="Y2696" s="10"/>
      <c r="Z2696" s="10"/>
    </row>
    <row r="2697" spans="1:26" ht="12.75">
      <c r="A2697" s="10" t="str">
        <f ca="1">IFERROR(__xludf.DUMMYFUNCTION("""COMPUTED_VALUE"""),"Евгения Стефанова Русинова")</f>
        <v>Евгения Стефанова Русинова</v>
      </c>
      <c r="B2697" s="10" t="str">
        <f ca="1">IFERROR(__xludf.DUMMYFUNCTION("""COMPUTED_VALUE"""),"Доклад от конференция")</f>
        <v>Доклад от конференция</v>
      </c>
      <c r="C2697" s="10" t="str">
        <f ca="1">IFERROR(__xludf.DUMMYFUNCTION("""COMPUTED_VALUE"""),". Чтение как часть повседневной жизни болгар //Книга в информационном обществе. Материалы тринадцатой международной научной конференции по проблемам книговeдения.")</f>
        <v>. Чтение как часть повседневной жизни болгар //Книга в информационном обществе. Материалы тринадцатой международной научной конференции по проблемам книговeдения.</v>
      </c>
      <c r="D2697" s="10">
        <f ca="1">IFERROR(__xludf.DUMMYFUNCTION("""COMPUTED_VALUE"""),2014)</f>
        <v>2014</v>
      </c>
      <c r="E2697" s="10" t="str">
        <f ca="1">IFERROR(__xludf.DUMMYFUNCTION("""COMPUTED_VALUE"""),"Ч. I,.Москва, 2014, с.288-290.")</f>
        <v>Ч. I,.Москва, 2014, с.288-290.</v>
      </c>
      <c r="F2697" s="10"/>
      <c r="G2697" s="10"/>
      <c r="H2697" s="10"/>
      <c r="I2697" s="10"/>
      <c r="J2697" s="10"/>
      <c r="K2697" s="10"/>
      <c r="L2697" s="10"/>
      <c r="M2697" s="10"/>
      <c r="N2697" s="10"/>
      <c r="O2697" s="10"/>
      <c r="P2697" s="10"/>
      <c r="Q2697" s="10"/>
      <c r="R2697" s="10"/>
      <c r="S2697" s="10"/>
      <c r="T2697" s="10"/>
      <c r="U2697" s="10"/>
      <c r="V2697" s="10"/>
      <c r="W2697" s="10"/>
      <c r="X2697" s="10"/>
      <c r="Y2697" s="10"/>
      <c r="Z2697" s="10"/>
    </row>
    <row r="2698" spans="1:26" ht="12.75">
      <c r="A2698" s="10" t="str">
        <f ca="1">IFERROR(__xludf.DUMMYFUNCTION("""COMPUTED_VALUE"""),"Евгения Стефанова Русинова")</f>
        <v>Евгения Стефанова Русинова</v>
      </c>
      <c r="B2698" s="10" t="str">
        <f ca="1">IFERROR(__xludf.DUMMYFUNCTION("""COMPUTED_VALUE"""),"Доклад от конференция")</f>
        <v>Доклад от конференция</v>
      </c>
      <c r="C2698" s="10" t="str">
        <f ca="1">IFERROR(__xludf.DUMMYFUNCTION("""COMPUTED_VALUE"""),"Прикнижната издателска анотация като презентационно средство (примери от периода 1918-1944 г.)")</f>
        <v>Прикнижната издателска анотация като презентационно средство (примери от периода 1918-1944 г.)</v>
      </c>
      <c r="D2698" s="10">
        <f ca="1">IFERROR(__xludf.DUMMYFUNCTION("""COMPUTED_VALUE"""),2014)</f>
        <v>2014</v>
      </c>
      <c r="E2698" s="10" t="str">
        <f ca="1">IFERROR(__xludf.DUMMYFUNCTION("""COMPUTED_VALUE"""),"Библиотеки, четене, комуникации. ХII ННК, ч. II, В.Търново, 2014., с.24-34.")</f>
        <v>Библиотеки, четене, комуникации. ХII ННК, ч. II, В.Търново, 2014., с.24-34.</v>
      </c>
      <c r="F2698" s="10"/>
      <c r="G2698" s="10"/>
      <c r="H2698" s="10"/>
      <c r="I2698" s="10"/>
      <c r="J2698" s="10"/>
      <c r="K2698" s="10"/>
      <c r="L2698" s="10"/>
      <c r="M2698" s="10"/>
      <c r="N2698" s="10"/>
      <c r="O2698" s="10"/>
      <c r="P2698" s="10"/>
      <c r="Q2698" s="10"/>
      <c r="R2698" s="10"/>
      <c r="S2698" s="10"/>
      <c r="T2698" s="10"/>
      <c r="U2698" s="10"/>
      <c r="V2698" s="10"/>
      <c r="W2698" s="10"/>
      <c r="X2698" s="10"/>
      <c r="Y2698" s="10"/>
      <c r="Z2698" s="10"/>
    </row>
    <row r="2699" spans="1:26" ht="12.75">
      <c r="A2699" s="10" t="str">
        <f ca="1">IFERROR(__xludf.DUMMYFUNCTION("""COMPUTED_VALUE"""),"Евгения Стефанова Русинова")</f>
        <v>Евгения Стефанова Русинова</v>
      </c>
      <c r="B2699" s="10" t="str">
        <f ca="1">IFERROR(__xludf.DUMMYFUNCTION("""COMPUTED_VALUE"""),"Доклад от конференция")</f>
        <v>Доклад от конференция</v>
      </c>
      <c r="C2699" s="10" t="str">
        <f ca="1">IFERROR(__xludf.DUMMYFUNCTION("""COMPUTED_VALUE"""),"Какво ни разкрива читателската автобиография")</f>
        <v>Какво ни разкрива читателската автобиография</v>
      </c>
      <c r="D2699" s="10">
        <f ca="1">IFERROR(__xludf.DUMMYFUNCTION("""COMPUTED_VALUE"""),2014)</f>
        <v>2014</v>
      </c>
      <c r="E2699" s="10" t="str">
        <f ca="1">IFERROR(__xludf.DUMMYFUNCTION("""COMPUTED_VALUE"""),"Обществото на знанието и хуманизмът на ХХI в. (ХI ннк за 1. ХI.) ,С., 2014, с. 110-116.")</f>
        <v>Обществото на знанието и хуманизмът на ХХI в. (ХI ннк за 1. ХI.) ,С., 2014, с. 110-116.</v>
      </c>
      <c r="F2699" s="10"/>
      <c r="G2699" s="10"/>
      <c r="H2699" s="10"/>
      <c r="I2699" s="10"/>
      <c r="J2699" s="10"/>
      <c r="K2699" s="10"/>
      <c r="L2699" s="10"/>
      <c r="M2699" s="10"/>
      <c r="N2699" s="10"/>
      <c r="O2699" s="10"/>
      <c r="P2699" s="10"/>
      <c r="Q2699" s="10"/>
      <c r="R2699" s="10"/>
      <c r="S2699" s="10"/>
      <c r="T2699" s="10"/>
      <c r="U2699" s="10"/>
      <c r="V2699" s="10"/>
      <c r="W2699" s="10"/>
      <c r="X2699" s="10"/>
      <c r="Y2699" s="10"/>
      <c r="Z2699" s="10"/>
    </row>
    <row r="2700" spans="1:26" ht="12.75">
      <c r="A2700" s="10" t="str">
        <f ca="1">IFERROR(__xludf.DUMMYFUNCTION("""COMPUTED_VALUE"""),"Евгения Стефанова Русинова")</f>
        <v>Евгения Стефанова Русинова</v>
      </c>
      <c r="B2700" s="10" t="str">
        <f ca="1">IFERROR(__xludf.DUMMYFUNCTION("""COMPUTED_VALUE"""),"Доклад от конференция")</f>
        <v>Доклад от конференция</v>
      </c>
      <c r="C2700" s="10" t="str">
        <f ca="1">IFERROR(__xludf.DUMMYFUNCTION("""COMPUTED_VALUE"""),"Пересмотр реалий: способ выживания, адаптации и развития (наблюдения над болгарской практики)")</f>
        <v>Пересмотр реалий: способ выживания, адаптации и развития (наблюдения над болгарской практики)</v>
      </c>
      <c r="D2700" s="10">
        <f ca="1">IFERROR(__xludf.DUMMYFUNCTION("""COMPUTED_VALUE"""),2014)</f>
        <v>2014</v>
      </c>
      <c r="E2700" s="10" t="str">
        <f ca="1">IFERROR(__xludf.DUMMYFUNCTION("""COMPUTED_VALUE"""),"Сахаровския чтения – 2014 Сборник. Санкт-Петербург, 2014 с.68-71.")</f>
        <v>Сахаровския чтения – 2014 Сборник. Санкт-Петербург, 2014 с.68-71.</v>
      </c>
      <c r="F2700" s="10"/>
      <c r="G2700" s="10"/>
      <c r="H2700" s="10"/>
      <c r="I2700" s="10"/>
      <c r="J2700" s="10"/>
      <c r="K2700" s="10"/>
      <c r="L2700" s="10"/>
      <c r="M2700" s="10"/>
      <c r="N2700" s="10"/>
      <c r="O2700" s="10"/>
      <c r="P2700" s="10"/>
      <c r="Q2700" s="10"/>
      <c r="R2700" s="10"/>
      <c r="S2700" s="10"/>
      <c r="T2700" s="10"/>
      <c r="U2700" s="10"/>
      <c r="V2700" s="10"/>
      <c r="W2700" s="10"/>
      <c r="X2700" s="10"/>
      <c r="Y2700" s="10"/>
      <c r="Z2700" s="10"/>
    </row>
    <row r="2701" spans="1:26" ht="12.75">
      <c r="A2701" s="10" t="str">
        <f ca="1">IFERROR(__xludf.DUMMYFUNCTION("""COMPUTED_VALUE"""),"Евгения Стефанова Русинова")</f>
        <v>Евгения Стефанова Русинова</v>
      </c>
      <c r="B2701" s="10" t="str">
        <f ca="1">IFERROR(__xludf.DUMMYFUNCTION("""COMPUTED_VALUE"""),"Доклад от конференция")</f>
        <v>Доклад от конференция</v>
      </c>
      <c r="C2701" s="10" t="str">
        <f ca="1">IFERROR(__xludf.DUMMYFUNCTION("""COMPUTED_VALUE"""),"Пересмотр реалий: способ выживания, адаптации и развития (наблюдения над болгарской практики)")</f>
        <v>Пересмотр реалий: способ выживания, адаптации и развития (наблюдения над болгарской практики)</v>
      </c>
      <c r="D2701" s="10">
        <f ca="1">IFERROR(__xludf.DUMMYFUNCTION("""COMPUTED_VALUE"""),2014)</f>
        <v>2014</v>
      </c>
      <c r="E2701" s="10" t="str">
        <f ca="1">IFERROR(__xludf.DUMMYFUNCTION("""COMPUTED_VALUE"""),"Сахаровския чтения – 2014 Сборник. Санкт-Петербург, 2014 с.68-71.")</f>
        <v>Сахаровския чтения – 2014 Сборник. Санкт-Петербург, 2014 с.68-71.</v>
      </c>
      <c r="F2701" s="10"/>
      <c r="G2701" s="10"/>
      <c r="H2701" s="10"/>
      <c r="I2701" s="10"/>
      <c r="J2701" s="10"/>
      <c r="K2701" s="10"/>
      <c r="L2701" s="10"/>
      <c r="M2701" s="10"/>
      <c r="N2701" s="10"/>
      <c r="O2701" s="10"/>
      <c r="P2701" s="10"/>
      <c r="Q2701" s="10"/>
      <c r="R2701" s="10"/>
      <c r="S2701" s="10"/>
      <c r="T2701" s="10"/>
      <c r="U2701" s="10"/>
      <c r="V2701" s="10"/>
      <c r="W2701" s="10"/>
      <c r="X2701" s="10"/>
      <c r="Y2701" s="10"/>
      <c r="Z2701" s="10"/>
    </row>
    <row r="2702" spans="1:26" ht="12.75">
      <c r="A2702" s="10" t="str">
        <f ca="1">IFERROR(__xludf.DUMMYFUNCTION("""COMPUTED_VALUE"""),"Евгения Стефанова Русинова")</f>
        <v>Евгения Стефанова Русинова</v>
      </c>
      <c r="B2702" s="10" t="str">
        <f ca="1">IFERROR(__xludf.DUMMYFUNCTION("""COMPUTED_VALUE"""),"Доклад от конференция")</f>
        <v>Доклад от конференция</v>
      </c>
      <c r="C2702" s="10" t="str">
        <f ca="1">IFERROR(__xludf.DUMMYFUNCTION("""COMPUTED_VALUE"""),"Какво ни разкрива читателската автобиография")</f>
        <v>Какво ни разкрива читателската автобиография</v>
      </c>
      <c r="D2702" s="10">
        <f ca="1">IFERROR(__xludf.DUMMYFUNCTION("""COMPUTED_VALUE"""),2014)</f>
        <v>2014</v>
      </c>
      <c r="E2702" s="10" t="str">
        <f ca="1">IFERROR(__xludf.DUMMYFUNCTION("""COMPUTED_VALUE"""),"Обществото на знанието и хуманизмът на ХХI в. (ХI ннк за 1. ХI.) ,С., 2014, с. 110-116.")</f>
        <v>Обществото на знанието и хуманизмът на ХХI в. (ХI ннк за 1. ХI.) ,С., 2014, с. 110-116.</v>
      </c>
      <c r="F2702" s="10"/>
      <c r="G2702" s="10"/>
      <c r="H2702" s="10"/>
      <c r="I2702" s="10"/>
      <c r="J2702" s="10"/>
      <c r="K2702" s="10"/>
      <c r="L2702" s="10"/>
      <c r="M2702" s="10"/>
      <c r="N2702" s="10"/>
      <c r="O2702" s="10"/>
      <c r="P2702" s="10"/>
      <c r="Q2702" s="10"/>
      <c r="R2702" s="10"/>
      <c r="S2702" s="10"/>
      <c r="T2702" s="10"/>
      <c r="U2702" s="10"/>
      <c r="V2702" s="10"/>
      <c r="W2702" s="10"/>
      <c r="X2702" s="10"/>
      <c r="Y2702" s="10"/>
      <c r="Z2702" s="10"/>
    </row>
    <row r="2703" spans="1:26" ht="12.75">
      <c r="A2703" s="10" t="str">
        <f ca="1">IFERROR(__xludf.DUMMYFUNCTION("""COMPUTED_VALUE"""),"Евгения Стефанова Русинова")</f>
        <v>Евгения Стефанова Русинова</v>
      </c>
      <c r="B2703" s="10" t="str">
        <f ca="1">IFERROR(__xludf.DUMMYFUNCTION("""COMPUTED_VALUE"""),"Доклад от конференция")</f>
        <v>Доклад от конференция</v>
      </c>
      <c r="C2703" s="10" t="str">
        <f ca="1">IFERROR(__xludf.DUMMYFUNCTION("""COMPUTED_VALUE"""),"Прикнижната издателска анотация като презентационно средство (примери от периода 1918-1944 г.)")</f>
        <v>Прикнижната издателска анотация като презентационно средство (примери от периода 1918-1944 г.)</v>
      </c>
      <c r="D2703" s="10">
        <f ca="1">IFERROR(__xludf.DUMMYFUNCTION("""COMPUTED_VALUE"""),2014)</f>
        <v>2014</v>
      </c>
      <c r="E2703" s="10" t="str">
        <f ca="1">IFERROR(__xludf.DUMMYFUNCTION("""COMPUTED_VALUE"""),"Библиотеки, четене, комуникации. ХII ННК, ч. II, В.Търново, 2014., с.24-34.")</f>
        <v>Библиотеки, четене, комуникации. ХII ННК, ч. II, В.Търново, 2014., с.24-34.</v>
      </c>
      <c r="F2703" s="10"/>
      <c r="G2703" s="10"/>
      <c r="H2703" s="10"/>
      <c r="I2703" s="10"/>
      <c r="J2703" s="10"/>
      <c r="K2703" s="10"/>
      <c r="L2703" s="10"/>
      <c r="M2703" s="10"/>
      <c r="N2703" s="10"/>
      <c r="O2703" s="10"/>
      <c r="P2703" s="10"/>
      <c r="Q2703" s="10"/>
      <c r="R2703" s="10"/>
      <c r="S2703" s="10"/>
      <c r="T2703" s="10"/>
      <c r="U2703" s="10"/>
      <c r="V2703" s="10"/>
      <c r="W2703" s="10"/>
      <c r="X2703" s="10"/>
      <c r="Y2703" s="10"/>
      <c r="Z2703" s="10"/>
    </row>
    <row r="2704" spans="1:26" ht="12.75">
      <c r="A2704" s="10" t="str">
        <f ca="1">IFERROR(__xludf.DUMMYFUNCTION("""COMPUTED_VALUE"""),"Евгения Стефанова Русинова")</f>
        <v>Евгения Стефанова Русинова</v>
      </c>
      <c r="B2704" s="10" t="str">
        <f ca="1">IFERROR(__xludf.DUMMYFUNCTION("""COMPUTED_VALUE"""),"Доклад от конференция")</f>
        <v>Доклад от конференция</v>
      </c>
      <c r="C2704" s="10" t="str">
        <f ca="1">IFERROR(__xludf.DUMMYFUNCTION("""COMPUTED_VALUE"""),". Чтение как часть повседневной жизни болгар //Книга в информационном обществе. Материалы тринадцатой международной научной конференции по проблемам книговeдения.")</f>
        <v>. Чтение как часть повседневной жизни болгар //Книга в информационном обществе. Материалы тринадцатой международной научной конференции по проблемам книговeдения.</v>
      </c>
      <c r="D2704" s="10">
        <f ca="1">IFERROR(__xludf.DUMMYFUNCTION("""COMPUTED_VALUE"""),2014)</f>
        <v>2014</v>
      </c>
      <c r="E2704" s="10" t="str">
        <f ca="1">IFERROR(__xludf.DUMMYFUNCTION("""COMPUTED_VALUE"""),"Ч. I,.Москва, 2014, с.288-290.")</f>
        <v>Ч. I,.Москва, 2014, с.288-290.</v>
      </c>
      <c r="F2704" s="10"/>
      <c r="G2704" s="10"/>
      <c r="H2704" s="10"/>
      <c r="I2704" s="10"/>
      <c r="J2704" s="10"/>
      <c r="K2704" s="10"/>
      <c r="L2704" s="10"/>
      <c r="M2704" s="10"/>
      <c r="N2704" s="10"/>
      <c r="O2704" s="10"/>
      <c r="P2704" s="10"/>
      <c r="Q2704" s="10"/>
      <c r="R2704" s="10"/>
      <c r="S2704" s="10"/>
      <c r="T2704" s="10"/>
      <c r="U2704" s="10"/>
      <c r="V2704" s="10"/>
      <c r="W2704" s="10"/>
      <c r="X2704" s="10"/>
      <c r="Y2704" s="10"/>
      <c r="Z2704" s="10"/>
    </row>
    <row r="2705" spans="1:26" ht="12.75">
      <c r="A2705" s="10" t="str">
        <f ca="1">IFERROR(__xludf.DUMMYFUNCTION("""COMPUTED_VALUE"""),"Евгения Стефанова Русинова")</f>
        <v>Евгения Стефанова Русинова</v>
      </c>
      <c r="B2705" s="10" t="str">
        <f ca="1">IFERROR(__xludf.DUMMYFUNCTION("""COMPUTED_VALUE"""),"Доклад от конференция")</f>
        <v>Доклад от конференция</v>
      </c>
      <c r="C2705" s="10" t="str">
        <f ca="1">IFERROR(__xludf.DUMMYFUNCTION("""COMPUTED_VALUE"""),"Кой и как поощрява четенето и какъв е резултатът?(Наблюдения върху българската практиката) // Четенето в реална и електронна среда. Мотивация и опит на библиотеките и образователните институции.")</f>
        <v>Кой и как поощрява четенето и какъв е резултатът?(Наблюдения върху българската практиката) // Четенето в реална и електронна среда. Мотивация и опит на библиотеките и образователните институции.</v>
      </c>
      <c r="D2705" s="10">
        <f ca="1">IFERROR(__xludf.DUMMYFUNCTION("""COMPUTED_VALUE"""),2014)</f>
        <v>2014</v>
      </c>
      <c r="E2705" s="10" t="str">
        <f ca="1">IFERROR(__xludf.DUMMYFUNCTION("""COMPUTED_VALUE"""),"С., 2014, с. 165-170.")</f>
        <v>С., 2014, с. 165-170.</v>
      </c>
      <c r="F2705" s="10"/>
      <c r="G2705" s="10" t="str">
        <f ca="1">IFERROR(__xludf.DUMMYFUNCTION("""COMPUTED_VALUE"""),"Е.Павловска.")</f>
        <v>Е.Павловска.</v>
      </c>
      <c r="H2705" s="10"/>
      <c r="I2705" s="10"/>
      <c r="J2705" s="10"/>
      <c r="K2705" s="10"/>
      <c r="L2705" s="10"/>
      <c r="M2705" s="10"/>
      <c r="N2705" s="10"/>
      <c r="O2705" s="10"/>
      <c r="P2705" s="10"/>
      <c r="Q2705" s="10"/>
      <c r="R2705" s="10"/>
      <c r="S2705" s="10"/>
      <c r="T2705" s="10"/>
      <c r="U2705" s="10"/>
      <c r="V2705" s="10"/>
      <c r="W2705" s="10"/>
      <c r="X2705" s="10"/>
      <c r="Y2705" s="10"/>
      <c r="Z2705" s="10"/>
    </row>
    <row r="2706" spans="1:26" ht="12.75">
      <c r="A2706" s="10" t="str">
        <f ca="1">IFERROR(__xludf.DUMMYFUNCTION("""COMPUTED_VALUE"""),"Евгения Стефанова Русинова")</f>
        <v>Евгения Стефанова Русинова</v>
      </c>
      <c r="B2706" s="10" t="str">
        <f ca="1">IFERROR(__xludf.DUMMYFUNCTION("""COMPUTED_VALUE"""),"Доклад от конференция")</f>
        <v>Доклад от конференция</v>
      </c>
      <c r="C2706" s="10" t="str">
        <f ca="1">IFERROR(__xludf.DUMMYFUNCTION("""COMPUTED_VALUE"""),"Теория и практика прошлого как основа инноваций (на примере российского опыта в Болгарии) // Библиографические чтения памяти Константина Илларионовича Шафрановского (1900-1973).")</f>
        <v>Теория и практика прошлого как основа инноваций (на примере российского опыта в Болгарии) // Библиографические чтения памяти Константина Илларионовича Шафрановского (1900-1973).</v>
      </c>
      <c r="D2706" s="10">
        <f ca="1">IFERROR(__xludf.DUMMYFUNCTION("""COMPUTED_VALUE"""),2014)</f>
        <v>2014</v>
      </c>
      <c r="E2706" s="10" t="str">
        <f ca="1">IFERROR(__xludf.DUMMYFUNCTION("""COMPUTED_VALUE"""),"Сборник трудов Международной научной конференции (СПб, 17 окт. 2011) . СПб, 2014, с. 130-134.")</f>
        <v>Сборник трудов Международной научной конференции (СПб, 17 окт. 2011) . СПб, 2014, с. 130-134.</v>
      </c>
      <c r="F2706" s="10"/>
      <c r="G2706" s="10"/>
      <c r="H2706" s="10"/>
      <c r="I2706" s="10"/>
      <c r="J2706" s="10"/>
      <c r="K2706" s="10"/>
      <c r="L2706" s="10"/>
      <c r="M2706" s="10"/>
      <c r="N2706" s="10"/>
      <c r="O2706" s="10"/>
      <c r="P2706" s="10"/>
      <c r="Q2706" s="10"/>
      <c r="R2706" s="10"/>
      <c r="S2706" s="10"/>
      <c r="T2706" s="10"/>
      <c r="U2706" s="10"/>
      <c r="V2706" s="10"/>
      <c r="W2706" s="10"/>
      <c r="X2706" s="10"/>
      <c r="Y2706" s="10"/>
      <c r="Z2706" s="10"/>
    </row>
    <row r="2707" spans="1:26" ht="12.75">
      <c r="A2707" s="10" t="str">
        <f ca="1">IFERROR(__xludf.DUMMYFUNCTION("""COMPUTED_VALUE"""),"Евгения Стефанова Русинова")</f>
        <v>Евгения Стефанова Русинова</v>
      </c>
      <c r="B2707" s="10" t="str">
        <f ca="1">IFERROR(__xludf.DUMMYFUNCTION("""COMPUTED_VALUE"""),"Статия в списания и поредици")</f>
        <v>Статия в списания и поредици</v>
      </c>
      <c r="C2707" s="10" t="str">
        <f ca="1">IFERROR(__xludf.DUMMYFUNCTION("""COMPUTED_VALUE"""),"Колко струва една библиотечна PR акция/кампания?")</f>
        <v>Колко струва една библиотечна PR акция/кампания?</v>
      </c>
      <c r="D2707" s="10">
        <f ca="1">IFERROR(__xludf.DUMMYFUNCTION("""COMPUTED_VALUE"""),2014)</f>
        <v>2014</v>
      </c>
      <c r="E2707" s="10" t="str">
        <f ca="1">IFERROR(__xludf.DUMMYFUNCTION("""COMPUTED_VALUE"""),"Библиотека, № 2, 2014, с. 32-39")</f>
        <v>Библиотека, № 2, 2014, с. 32-39</v>
      </c>
      <c r="F2707" s="10"/>
      <c r="G2707" s="10"/>
      <c r="H2707" s="10"/>
      <c r="I2707" s="10"/>
      <c r="J2707" s="10"/>
      <c r="K2707" s="10"/>
      <c r="L2707" s="10"/>
      <c r="M2707" s="10"/>
      <c r="N2707" s="10"/>
      <c r="O2707" s="10"/>
      <c r="P2707" s="10"/>
      <c r="Q2707" s="10"/>
      <c r="R2707" s="10"/>
      <c r="S2707" s="10"/>
      <c r="T2707" s="10"/>
      <c r="U2707" s="10"/>
      <c r="V2707" s="10"/>
      <c r="W2707" s="10"/>
      <c r="X2707" s="10"/>
      <c r="Y2707" s="10"/>
      <c r="Z2707" s="10"/>
    </row>
    <row r="2708" spans="1:26" ht="12.75">
      <c r="A2708" s="10" t="str">
        <f ca="1">IFERROR(__xludf.DUMMYFUNCTION("""COMPUTED_VALUE"""),"Евгения Стефанова Русинова")</f>
        <v>Евгения Стефанова Русинова</v>
      </c>
      <c r="B2708" s="10" t="str">
        <f ca="1">IFERROR(__xludf.DUMMYFUNCTION("""COMPUTED_VALUE"""),"Доклад от конференция")</f>
        <v>Доклад от конференция</v>
      </c>
      <c r="C2708" s="10" t="str">
        <f ca="1">IFERROR(__xludf.DUMMYFUNCTION("""COMPUTED_VALUE"""),"Библиотечныe PR и маркетинг – единство в многообразие: объединение в практике// Библиотeка и общество: проблемы и направления развития: Материалы V международной научно-практической конференции… Минск 30—31 окт 2013 (электронны ресурс). (CD)")</f>
        <v>Библиотечныe PR и маркетинг – единство в многообразие: объединение в практике// Библиотeка и общество: проблемы и направления развития: Материалы V международной научно-практической конференции… Минск 30—31 окт 2013 (электронны ресурс). (CD)</v>
      </c>
      <c r="D2708" s="10">
        <f ca="1">IFERROR(__xludf.DUMMYFUNCTION("""COMPUTED_VALUE"""),2014)</f>
        <v>2014</v>
      </c>
      <c r="E2708" s="10" t="str">
        <f ca="1">IFERROR(__xludf.DUMMYFUNCTION("""COMPUTED_VALUE"""),"Минск, 2014, с. 207-209.")</f>
        <v>Минск, 2014, с. 207-209.</v>
      </c>
      <c r="F2708" s="10"/>
      <c r="G2708" s="10"/>
      <c r="H2708" s="10"/>
      <c r="I2708" s="10"/>
      <c r="J2708" s="10"/>
      <c r="K2708" s="10"/>
      <c r="L2708" s="10"/>
      <c r="M2708" s="10"/>
      <c r="N2708" s="10"/>
      <c r="O2708" s="10"/>
      <c r="P2708" s="10"/>
      <c r="Q2708" s="10"/>
      <c r="R2708" s="10"/>
      <c r="S2708" s="10"/>
      <c r="T2708" s="10"/>
      <c r="U2708" s="10"/>
      <c r="V2708" s="10"/>
      <c r="W2708" s="10"/>
      <c r="X2708" s="10"/>
      <c r="Y2708" s="10"/>
      <c r="Z2708" s="10"/>
    </row>
    <row r="2709" spans="1:26" ht="12.75">
      <c r="A2709" s="10" t="str">
        <f ca="1">IFERROR(__xludf.DUMMYFUNCTION("""COMPUTED_VALUE"""),"Евгения Стефанова Русинова")</f>
        <v>Евгения Стефанова Русинова</v>
      </c>
      <c r="B2709" s="10" t="str">
        <f ca="1">IFERROR(__xludf.DUMMYFUNCTION("""COMPUTED_VALUE"""),"Доклад от конференция")</f>
        <v>Доклад от конференция</v>
      </c>
      <c r="C2709" s="10" t="str">
        <f ca="1">IFERROR(__xludf.DUMMYFUNCTION("""COMPUTED_VALUE"""),"От какво зависи успехът: PR на културни институции и дейности (възможности и тесни места) // “България в световното културно наследство”Пътуване към България”Трета научна конференция по археология, история и културен туризъм “Пътуване към България” Шумен,"&amp;" 17-19 май 2012.")</f>
        <v>От какво зависи успехът: PR на културни институции и дейности (възможности и тесни места) // “България в световното културно наследство”Пътуване към България”Трета научна конференция по археология, история и културен туризъм “Пътуване към България” Шумен, 17-19 май 2012.</v>
      </c>
      <c r="D2709" s="10">
        <f ca="1">IFERROR(__xludf.DUMMYFUNCTION("""COMPUTED_VALUE"""),2014)</f>
        <v>2014</v>
      </c>
      <c r="E2709" s="10" t="str">
        <f ca="1">IFERROR(__xludf.DUMMYFUNCTION("""COMPUTED_VALUE"""),"Шумен, 2014, c. 1175-1180.")</f>
        <v>Шумен, 2014, c. 1175-1180.</v>
      </c>
      <c r="F2709" s="10"/>
      <c r="G2709" s="10"/>
      <c r="H2709" s="10"/>
      <c r="I2709" s="10"/>
      <c r="J2709" s="10"/>
      <c r="K2709" s="10"/>
      <c r="L2709" s="10"/>
      <c r="M2709" s="10"/>
      <c r="N2709" s="10"/>
      <c r="O2709" s="10"/>
      <c r="P2709" s="10"/>
      <c r="Q2709" s="10"/>
      <c r="R2709" s="10"/>
      <c r="S2709" s="10"/>
      <c r="T2709" s="10"/>
      <c r="U2709" s="10"/>
      <c r="V2709" s="10"/>
      <c r="W2709" s="10"/>
      <c r="X2709" s="10"/>
      <c r="Y2709" s="10"/>
      <c r="Z2709" s="10"/>
    </row>
    <row r="2710" spans="1:26" ht="12.75">
      <c r="A2710" s="10" t="str">
        <f ca="1">IFERROR(__xludf.DUMMYFUNCTION("""COMPUTED_VALUE"""),"Евгения Стефанова Русинова")</f>
        <v>Евгения Стефанова Русинова</v>
      </c>
      <c r="B2710" s="10" t="str">
        <f ca="1">IFERROR(__xludf.DUMMYFUNCTION("""COMPUTED_VALUE"""),"Доклад от конференция")</f>
        <v>Доклад от конференция</v>
      </c>
      <c r="C2710" s="10" t="str">
        <f ca="1">IFERROR(__xludf.DUMMYFUNCTION("""COMPUTED_VALUE"""),"Можем ли да влезем в бъдещето, като загърбим миналото? Ефективността като генерален проблем за библиотечната сфера // Ефективността на библиотеките и подготовката на библиотечните кадри – залог за тяхното бъдеще. Доклади")</f>
        <v>Можем ли да влезем в бъдещето, като загърбим миналото? Ефективността като генерален проблем за библиотечната сфера // Ефективността на библиотеките и подготовката на библиотечните кадри – залог за тяхното бъдеще. Доклади</v>
      </c>
      <c r="D2710" s="10">
        <f ca="1">IFERROR(__xludf.DUMMYFUNCTION("""COMPUTED_VALUE"""),2014)</f>
        <v>2014</v>
      </c>
      <c r="E2710" s="10" t="str">
        <f ca="1">IFERROR(__xludf.DUMMYFUNCTION("""COMPUTED_VALUE"""),"ХХIII ННК ББИА, 2013.С., 2014, с. 5-7.")</f>
        <v>ХХIII ННК ББИА, 2013.С., 2014, с. 5-7.</v>
      </c>
      <c r="F2710" s="10"/>
      <c r="G2710" s="10"/>
      <c r="H2710" s="10"/>
      <c r="I2710" s="10"/>
      <c r="J2710" s="10"/>
      <c r="K2710" s="10"/>
      <c r="L2710" s="10"/>
      <c r="M2710" s="10"/>
      <c r="N2710" s="10"/>
      <c r="O2710" s="10"/>
      <c r="P2710" s="10"/>
      <c r="Q2710" s="10"/>
      <c r="R2710" s="10"/>
      <c r="S2710" s="10"/>
      <c r="T2710" s="10"/>
      <c r="U2710" s="10"/>
      <c r="V2710" s="10"/>
      <c r="W2710" s="10"/>
      <c r="X2710" s="10"/>
      <c r="Y2710" s="10"/>
      <c r="Z2710" s="10"/>
    </row>
    <row r="2711" spans="1:26" ht="12.75">
      <c r="A2711" s="10" t="str">
        <f ca="1">IFERROR(__xludf.DUMMYFUNCTION("""COMPUTED_VALUE"""),"Евгения Стефанова Русинова")</f>
        <v>Евгения Стефанова Русинова</v>
      </c>
      <c r="B2711" s="10" t="str">
        <f ca="1">IFERROR(__xludf.DUMMYFUNCTION("""COMPUTED_VALUE"""),"Книга")</f>
        <v>Книга</v>
      </c>
      <c r="C2711" s="10" t="str">
        <f ca="1">IFERROR(__xludf.DUMMYFUNCTION("""COMPUTED_VALUE"""),"Маркетинг и PR - иновационни библиотечни технологии. Статии 2003-2014., 236 с.")</f>
        <v>Маркетинг и PR - иновационни библиотечни технологии. Статии 2003-2014., 236 с.</v>
      </c>
      <c r="D2711" s="10">
        <f ca="1">IFERROR(__xludf.DUMMYFUNCTION("""COMPUTED_VALUE"""),2014)</f>
        <v>2014</v>
      </c>
      <c r="E2711" s="10" t="str">
        <f ca="1">IFERROR(__xludf.DUMMYFUNCTION("""COMPUTED_VALUE"""),"С., ИК Диомира, 2014")</f>
        <v>С., ИК Диомира, 2014</v>
      </c>
      <c r="F2711" s="10"/>
      <c r="G2711" s="10"/>
      <c r="H2711" s="10"/>
      <c r="I2711" s="10"/>
      <c r="J2711" s="10"/>
      <c r="K2711" s="10"/>
      <c r="L2711" s="10"/>
      <c r="M2711" s="10"/>
      <c r="N2711" s="10"/>
      <c r="O2711" s="10"/>
      <c r="P2711" s="10"/>
      <c r="Q2711" s="10"/>
      <c r="R2711" s="10"/>
      <c r="S2711" s="10"/>
      <c r="T2711" s="10"/>
      <c r="U2711" s="10"/>
      <c r="V2711" s="10"/>
      <c r="W2711" s="10"/>
      <c r="X2711" s="10"/>
      <c r="Y2711" s="10"/>
      <c r="Z2711" s="10"/>
    </row>
    <row r="2712" spans="1:26" ht="12.75">
      <c r="A2712" s="10" t="str">
        <f ca="1">IFERROR(__xludf.DUMMYFUNCTION("""COMPUTED_VALUE"""),"Евгения Стефанова Русинова")</f>
        <v>Евгения Стефанова Русинова</v>
      </c>
      <c r="B2712" s="10" t="str">
        <f ca="1">IFERROR(__xludf.DUMMYFUNCTION("""COMPUTED_VALUE"""),"Доклад от конференция")</f>
        <v>Доклад от конференция</v>
      </c>
      <c r="C2712" s="10" t="str">
        <f ca="1">IFERROR(__xludf.DUMMYFUNCTION("""COMPUTED_VALUE"""),"Soft плагиатство")</f>
        <v>Soft плагиатство</v>
      </c>
      <c r="D2712" s="10">
        <f ca="1">IFERROR(__xludf.DUMMYFUNCTION("""COMPUTED_VALUE"""),2014)</f>
        <v>2014</v>
      </c>
      <c r="E2712" s="10" t="str">
        <f ca="1">IFERROR(__xludf.DUMMYFUNCTION("""COMPUTED_VALUE"""),"Наука, ХХV, 2015, № 2 ,с. 39-41 същото и в: Плагиатството в науката. Съст.М. Попова. С., 2015, с. 109-113.")</f>
        <v>Наука, ХХV, 2015, № 2 ,с. 39-41 същото и в: Плагиатството в науката. Съст.М. Попова. С., 2015, с. 109-113.</v>
      </c>
      <c r="F2712" s="10"/>
      <c r="G2712" s="10"/>
      <c r="H2712" s="10"/>
      <c r="I2712" s="10"/>
      <c r="J2712" s="10"/>
      <c r="K2712" s="10"/>
      <c r="L2712" s="10"/>
      <c r="M2712" s="10"/>
      <c r="N2712" s="10"/>
      <c r="O2712" s="10"/>
      <c r="P2712" s="10"/>
      <c r="Q2712" s="10"/>
      <c r="R2712" s="10"/>
      <c r="S2712" s="10"/>
      <c r="T2712" s="10"/>
      <c r="U2712" s="10"/>
      <c r="V2712" s="10"/>
      <c r="W2712" s="10"/>
      <c r="X2712" s="10"/>
      <c r="Y2712" s="10"/>
      <c r="Z2712" s="10"/>
    </row>
    <row r="2713" spans="1:26" ht="12.75">
      <c r="A2713" s="10" t="str">
        <f ca="1">IFERROR(__xludf.DUMMYFUNCTION("""COMPUTED_VALUE"""),"Евелина Любомирова Здравкова-Величкова")</f>
        <v>Евелина Любомирова Здравкова-Величкова</v>
      </c>
      <c r="B2713" s="10" t="str">
        <f ca="1">IFERROR(__xludf.DUMMYFUNCTION("""COMPUTED_VALUE"""),"Доклад от конференция")</f>
        <v>Доклад от конференция</v>
      </c>
      <c r="C2713" s="10" t="str">
        <f ca="1">IFERROR(__xludf.DUMMYFUNCTION("""COMPUTED_VALUE"""),"The necessity of intellectual property training in the media industry: survey results from practice")</f>
        <v>The necessity of intellectual property training in the media industry: survey results from practice</v>
      </c>
      <c r="D2713" s="10">
        <f ca="1">IFERROR(__xludf.DUMMYFUNCTION("""COMPUTED_VALUE"""),2020)</f>
        <v>2020</v>
      </c>
      <c r="E2713" s="10" t="str">
        <f ca="1">IFERROR(__xludf.DUMMYFUNCTION("""COMPUTED_VALUE"""),"INTED2020 Proceedings 14th International Technology, Education and Development Conference. Dates: 2nd-4th March, 2020. Location: Valencia, SPAIN 2020., Pages: 6617-6625, Publication year: 2020.
 ISBN: 978-84-09-17939-8, ISSN: 2340-1079.")</f>
        <v>INTED2020 Proceedings 14th International Technology, Education and Development Conference. Dates: 2nd-4th March, 2020. Location: Valencia, SPAIN 2020., Pages: 6617-6625, Publication year: 2020.
 ISBN: 978-84-09-17939-8, ISSN: 2340-1079.</v>
      </c>
      <c r="F2713" s="10" t="str">
        <f ca="1">IFERROR(__xludf.DUMMYFUNCTION("""COMPUTED_VALUE"""),"ResearchGate, Google Scholar, Web of Science")</f>
        <v>ResearchGate, Google Scholar, Web of Science</v>
      </c>
      <c r="G2713" s="10" t="str">
        <f ca="1">IFERROR(__xludf.DUMMYFUNCTION("""COMPUTED_VALUE"""),"T. Trencheva")</f>
        <v>T. Trencheva</v>
      </c>
      <c r="H2713" s="10"/>
      <c r="I2713" s="10"/>
      <c r="J2713" s="10"/>
      <c r="K2713" s="10"/>
      <c r="L2713" s="10"/>
      <c r="M2713" s="10"/>
      <c r="N2713" s="10"/>
      <c r="O2713" s="10"/>
      <c r="P2713" s="10"/>
      <c r="Q2713" s="10"/>
      <c r="R2713" s="10"/>
      <c r="S2713" s="10"/>
      <c r="T2713" s="10"/>
      <c r="U2713" s="10"/>
      <c r="V2713" s="10"/>
      <c r="W2713" s="10"/>
      <c r="X2713" s="10"/>
      <c r="Y2713" s="10"/>
      <c r="Z2713" s="10"/>
    </row>
    <row r="2714" spans="1:26" ht="12.75">
      <c r="A2714" s="10" t="str">
        <f ca="1">IFERROR(__xludf.DUMMYFUNCTION("""COMPUTED_VALUE"""),"Евелина Любомирова Здравкова-Величкова")</f>
        <v>Евелина Любомирова Здравкова-Величкова</v>
      </c>
      <c r="B2714" s="10" t="str">
        <f ca="1">IFERROR(__xludf.DUMMYFUNCTION("""COMPUTED_VALUE"""),"Доклад от конференция")</f>
        <v>Доклад от конференция</v>
      </c>
      <c r="C2714" s="10" t="str">
        <f ca="1">IFERROR(__xludf.DUMMYFUNCTION("""COMPUTED_VALUE"""),"Intellectual Legal Aspects of New Media in the Modern Media Ecosystem")</f>
        <v>Intellectual Legal Aspects of New Media in the Modern Media Ecosystem</v>
      </c>
      <c r="D2714" s="10">
        <f ca="1">IFERROR(__xludf.DUMMYFUNCTION("""COMPUTED_VALUE"""),2020)</f>
        <v>2020</v>
      </c>
      <c r="E2714" s="10" t="str">
        <f ca="1">IFERROR(__xludf.DUMMYFUNCTION("""COMPUTED_VALUE"""),"In Conference Proceedings: International Conference - The New Perspectives in Science Education, 19-20 March 2020, Florence, Italy, Simonelli Ed., Vol. 9, Libreriauniversitaria, Italy, 2020, pp. 303-307. ISBN 978-88-85813-90-8; ISSN 2384-9509; DOI 10.2635"&amp;"2/E319_2384-9509")</f>
        <v>In Conference Proceedings: International Conference - The New Perspectives in Science Education, 19-20 March 2020, Florence, Italy, Simonelli Ed., Vol. 9, Libreriauniversitaria, Italy, 2020, pp. 303-307. ISBN 978-88-85813-90-8; ISSN 2384-9509; DOI 10.26352/E319_2384-9509</v>
      </c>
      <c r="F2714" s="10" t="str">
        <f ca="1">IFERROR(__xludf.DUMMYFUNCTION("""COMPUTED_VALUE"""),"Scopus, Web of Science")</f>
        <v>Scopus, Web of Science</v>
      </c>
      <c r="G2714" s="10" t="str">
        <f ca="1">IFERROR(__xludf.DUMMYFUNCTION("""COMPUTED_VALUE"""),"Tereza Trencheva, Dimitar Velichkov")</f>
        <v>Tereza Trencheva, Dimitar Velichkov</v>
      </c>
      <c r="H2714" s="10"/>
      <c r="I2714" s="10"/>
      <c r="J2714" s="10"/>
      <c r="K2714" s="10"/>
      <c r="L2714" s="10"/>
      <c r="M2714" s="10"/>
      <c r="N2714" s="10"/>
      <c r="O2714" s="10"/>
      <c r="P2714" s="10"/>
      <c r="Q2714" s="10"/>
      <c r="R2714" s="10"/>
      <c r="S2714" s="10"/>
      <c r="T2714" s="10"/>
      <c r="U2714" s="10"/>
      <c r="V2714" s="10"/>
      <c r="W2714" s="10"/>
      <c r="X2714" s="10"/>
      <c r="Y2714" s="10"/>
      <c r="Z2714" s="10"/>
    </row>
    <row r="2715" spans="1:26" ht="12.75">
      <c r="A2715" s="10" t="str">
        <f ca="1">IFERROR(__xludf.DUMMYFUNCTION("""COMPUTED_VALUE"""),"Евелина Любомирова Здравкова-Величкова")</f>
        <v>Евелина Любомирова Здравкова-Величкова</v>
      </c>
      <c r="B2715" s="10" t="str">
        <f ca="1">IFERROR(__xludf.DUMMYFUNCTION("""COMPUTED_VALUE"""),"Доклад от конференция")</f>
        <v>Доклад от конференция</v>
      </c>
      <c r="C2715" s="10" t="str">
        <f ca="1">IFERROR(__xludf.DUMMYFUNCTION("""COMPUTED_VALUE"""),"Метаморфози в журналистиката и ново знание в дигиталния свят.")</f>
        <v>Метаморфози в журналистиката и ново знание в дигиталния свят.</v>
      </c>
      <c r="D2715" s="10">
        <f ca="1">IFERROR(__xludf.DUMMYFUNCTION("""COMPUTED_VALUE"""),2019)</f>
        <v>2019</v>
      </c>
      <c r="E2715" s="10" t="str">
        <f ca="1">IFERROR(__xludf.DUMMYFUNCTION("""COMPUTED_VALUE"""),"[Сборник] Интелектуалната собственост и дигиталните хора / Състав. Тренчева, Т., К. Планска. Науч. ред. Таня Тодорова, София, За буквите-О’Писменехь, 2019,с. 352-362 (хартия).с. 344-352 (е-издание) ISBN 978-619-185-378-6.")</f>
        <v>[Сборник] Интелектуалната собственост и дигиталните хора / Състав. Тренчева, Т., К. Планска. Науч. ред. Таня Тодорова, София, За буквите-О’Писменехь, 2019,с. 352-362 (хартия).с. 344-352 (е-издание) ISBN 978-619-185-378-6.</v>
      </c>
      <c r="F2715" s="10" t="str">
        <f ca="1">IFERROR(__xludf.DUMMYFUNCTION("""COMPUTED_VALUE"""),"Референтен списък на НАЦИД")</f>
        <v>Референтен списък на НАЦИД</v>
      </c>
      <c r="G2715" s="10"/>
      <c r="H2715" s="10"/>
      <c r="I2715" s="10"/>
      <c r="J2715" s="10"/>
      <c r="K2715" s="10"/>
      <c r="L2715" s="10"/>
      <c r="M2715" s="10"/>
      <c r="N2715" s="10"/>
      <c r="O2715" s="10"/>
      <c r="P2715" s="10"/>
      <c r="Q2715" s="10"/>
      <c r="R2715" s="10"/>
      <c r="S2715" s="10"/>
      <c r="T2715" s="10"/>
      <c r="U2715" s="10"/>
      <c r="V2715" s="10"/>
      <c r="W2715" s="10"/>
      <c r="X2715" s="10"/>
      <c r="Y2715" s="10"/>
      <c r="Z2715" s="10"/>
    </row>
    <row r="2716" spans="1:26" ht="12.75">
      <c r="A2716" s="10" t="str">
        <f ca="1">IFERROR(__xludf.DUMMYFUNCTION("""COMPUTED_VALUE"""),"Евелина Любомирова Здравкова-Величкова")</f>
        <v>Евелина Любомирова Здравкова-Величкова</v>
      </c>
      <c r="B2716" s="10" t="str">
        <f ca="1">IFERROR(__xludf.DUMMYFUNCTION("""COMPUTED_VALUE"""),"Доклад от конференция")</f>
        <v>Доклад от конференция</v>
      </c>
      <c r="C2716" s="10" t="str">
        <f ca="1">IFERROR(__xludf.DUMMYFUNCTION("""COMPUTED_VALUE"""),"The EU copyright directive - a new paradigm in the media ecosistem")</f>
        <v>The EU copyright directive - a new paradigm in the media ecosistem</v>
      </c>
      <c r="D2716" s="10">
        <f ca="1">IFERROR(__xludf.DUMMYFUNCTION("""COMPUTED_VALUE"""),2019)</f>
        <v>2019</v>
      </c>
      <c r="E2716" s="10" t="str">
        <f ca="1">IFERROR(__xludf.DUMMYFUNCTION("""COMPUTED_VALUE"""),"Conference Proceedings: 5th Scientific Conference – Contemporary Strategies and Innovations in the Knowledge Management, 26th – 30th August 2019, Geneva, Switzerland, Za Bukvite – Oh Pismeneh, 2019, pp. 177-189, 
 ISSN 2535-0250")</f>
        <v>Conference Proceedings: 5th Scientific Conference – Contemporary Strategies and Innovations in the Knowledge Management, 26th – 30th August 2019, Geneva, Switzerland, Za Bukvite – Oh Pismeneh, 2019, pp. 177-189, 
 ISSN 2535-0250</v>
      </c>
      <c r="F2716" s="10" t="str">
        <f ca="1">IFERROR(__xludf.DUMMYFUNCTION("""COMPUTED_VALUE"""),"Google Scholar, Research Gate")</f>
        <v>Google Scholar, Research Gate</v>
      </c>
      <c r="G2716" s="10" t="str">
        <f ca="1">IFERROR(__xludf.DUMMYFUNCTION("""COMPUTED_VALUE"""),"T. Trencheva")</f>
        <v>T. Trencheva</v>
      </c>
      <c r="H2716" s="10"/>
      <c r="I2716" s="10"/>
      <c r="J2716" s="10"/>
      <c r="K2716" s="10"/>
      <c r="L2716" s="10"/>
      <c r="M2716" s="10"/>
      <c r="N2716" s="10"/>
      <c r="O2716" s="10"/>
      <c r="P2716" s="10"/>
      <c r="Q2716" s="10"/>
      <c r="R2716" s="10"/>
      <c r="S2716" s="10"/>
      <c r="T2716" s="10"/>
      <c r="U2716" s="10"/>
      <c r="V2716" s="10"/>
      <c r="W2716" s="10"/>
      <c r="X2716" s="10"/>
      <c r="Y2716" s="10"/>
      <c r="Z2716" s="10"/>
    </row>
    <row r="2717" spans="1:26" ht="12.75">
      <c r="A2717" s="10" t="str">
        <f ca="1">IFERROR(__xludf.DUMMYFUNCTION("""COMPUTED_VALUE"""),"Евелина Любомирова Здравкова-Величкова")</f>
        <v>Евелина Любомирова Здравкова-Величкова</v>
      </c>
      <c r="B2717" s="10" t="str">
        <f ca="1">IFERROR(__xludf.DUMMYFUNCTION("""COMPUTED_VALUE"""),"Доклад от конференция")</f>
        <v>Доклад от конференция</v>
      </c>
      <c r="C2717" s="10" t="str">
        <f ca="1">IFERROR(__xludf.DUMMYFUNCTION("""COMPUTED_VALUE"""),"Media Literacy as a Key Competency for the Safe and Effective Use of Media")</f>
        <v>Media Literacy as a Key Competency for the Safe and Effective Use of Media</v>
      </c>
      <c r="D2717" s="10">
        <f ca="1">IFERROR(__xludf.DUMMYFUNCTION("""COMPUTED_VALUE"""),2019)</f>
        <v>2019</v>
      </c>
      <c r="E2717" s="10" t="str">
        <f ca="1">IFERROR(__xludf.DUMMYFUNCTION("""COMPUTED_VALUE"""),"In Conference Proceedings: 12th International Conference on Education, Research and Innovation, 11th – 13th November 2019, Seville, Spain, ICERI 2019, pp. 7467-7473.ISBN: 978-84-09-14755-7; ISSN: 2340-1095; DOI: 10.21125/iceri.2019.0930")</f>
        <v>In Conference Proceedings: 12th International Conference on Education, Research and Innovation, 11th – 13th November 2019, Seville, Spain, ICERI 2019, pp. 7467-7473.ISBN: 978-84-09-14755-7; ISSN: 2340-1095; DOI: 10.21125/iceri.2019.0930</v>
      </c>
      <c r="F2717" s="10" t="str">
        <f ca="1">IFERROR(__xludf.DUMMYFUNCTION("""COMPUTED_VALUE"""),"Research Gate, Google Scholar, Scopus, Web of Science")</f>
        <v>Research Gate, Google Scholar, Scopus, Web of Science</v>
      </c>
      <c r="G2717" s="10"/>
      <c r="H2717" s="10"/>
      <c r="I2717" s="10"/>
      <c r="J2717" s="10"/>
      <c r="K2717" s="10"/>
      <c r="L2717" s="10"/>
      <c r="M2717" s="10"/>
      <c r="N2717" s="10"/>
      <c r="O2717" s="10"/>
      <c r="P2717" s="10"/>
      <c r="Q2717" s="10"/>
      <c r="R2717" s="10"/>
      <c r="S2717" s="10"/>
      <c r="T2717" s="10"/>
      <c r="U2717" s="10"/>
      <c r="V2717" s="10"/>
      <c r="W2717" s="10"/>
      <c r="X2717" s="10"/>
      <c r="Y2717" s="10"/>
      <c r="Z2717" s="10"/>
    </row>
    <row r="2718" spans="1:26" ht="12.75">
      <c r="A2718" s="10" t="str">
        <f ca="1">IFERROR(__xludf.DUMMYFUNCTION("""COMPUTED_VALUE"""),"Евелина Любомирова Здравкова-Величкова")</f>
        <v>Евелина Любомирова Здравкова-Величкова</v>
      </c>
      <c r="B2718" s="10" t="str">
        <f ca="1">IFERROR(__xludf.DUMMYFUNCTION("""COMPUTED_VALUE"""),"Доклад от конференция")</f>
        <v>Доклад от конференция</v>
      </c>
      <c r="C2718" s="10" t="str">
        <f ca="1">IFERROR(__xludf.DUMMYFUNCTION("""COMPUTED_VALUE"""),"The Media Industry and Intellectual Property Integration: Abstraction or Reality")</f>
        <v>The Media Industry and Intellectual Property Integration: Abstraction or Reality</v>
      </c>
      <c r="D2718" s="10">
        <f ca="1">IFERROR(__xludf.DUMMYFUNCTION("""COMPUTED_VALUE"""),2019)</f>
        <v>2019</v>
      </c>
      <c r="E2718" s="10" t="str">
        <f ca="1">IFERROR(__xludf.DUMMYFUNCTION("""COMPUTED_VALUE"""),"In Conference Proceedings: 17th International Conference of e-Society 11 – 13 April, 2019, Utrecht, The Netherlands, IADIS Press, 2019, pp. 12-20 ISBN: 978-989-8533-85-2")</f>
        <v>In Conference Proceedings: 17th International Conference of e-Society 11 – 13 April, 2019, Utrecht, The Netherlands, IADIS Press, 2019, pp. 12-20 ISBN: 978-989-8533-85-2</v>
      </c>
      <c r="F2718" s="10" t="str">
        <f ca="1">IFERROR(__xludf.DUMMYFUNCTION("""COMPUTED_VALUE"""),"Scopus, Web of Science")</f>
        <v>Scopus, Web of Science</v>
      </c>
      <c r="G2718" s="10" t="str">
        <f ca="1">IFERROR(__xludf.DUMMYFUNCTION("""COMPUTED_VALUE"""),"Trencheva, T., S. Denchev")</f>
        <v>Trencheva, T., S. Denchev</v>
      </c>
      <c r="H2718" s="10"/>
      <c r="I2718" s="10"/>
      <c r="J2718" s="10"/>
      <c r="K2718" s="10"/>
      <c r="L2718" s="10"/>
      <c r="M2718" s="10"/>
      <c r="N2718" s="10"/>
      <c r="O2718" s="10"/>
      <c r="P2718" s="10"/>
      <c r="Q2718" s="10"/>
      <c r="R2718" s="10"/>
      <c r="S2718" s="10"/>
      <c r="T2718" s="10"/>
      <c r="U2718" s="10"/>
      <c r="V2718" s="10"/>
      <c r="W2718" s="10"/>
      <c r="X2718" s="10"/>
      <c r="Y2718" s="10"/>
      <c r="Z2718" s="10"/>
    </row>
    <row r="2719" spans="1:26" ht="12.75">
      <c r="A2719" s="10" t="str">
        <f ca="1">IFERROR(__xludf.DUMMYFUNCTION("""COMPUTED_VALUE"""),"Евелина Любомирова Здравкова-Величкова")</f>
        <v>Евелина Любомирова Здравкова-Величкова</v>
      </c>
      <c r="B2719" s="10" t="str">
        <f ca="1">IFERROR(__xludf.DUMMYFUNCTION("""COMPUTED_VALUE"""),"Доклад от конференция")</f>
        <v>Доклад от конференция</v>
      </c>
      <c r="C2719" s="10" t="str">
        <f ca="1">IFERROR(__xludf.DUMMYFUNCTION("""COMPUTED_VALUE"""),"Архитектура на авторскоправната политика в медиите – тенденции в мениджмънта в новото хилядолетие")</f>
        <v>Архитектура на авторскоправната политика в медиите – тенденции в мениджмънта в новото хилядолетие</v>
      </c>
      <c r="D2719" s="10">
        <f ca="1">IFERROR(__xludf.DUMMYFUNCTION("""COMPUTED_VALUE"""),2019)</f>
        <v>2019</v>
      </c>
      <c r="E2719" s="10" t="str">
        <f ca="1">IFERROR(__xludf.DUMMYFUNCTION("""COMPUTED_VALUE"""),"[Сборник] Общество на знанието и хуманизмът на ХХI век: Седемнадесета национална научна конференция с международно участие „Общество на знанието и хуманизмът на ХХI век“, София, За буквите – О Писменехь, 2019, с. 884-891. ISSN 2683-0094")</f>
        <v>[Сборник] Общество на знанието и хуманизмът на ХХI век: Седемнадесета национална научна конференция с международно участие „Общество на знанието и хуманизмът на ХХI век“, София, За буквите – О Писменехь, 2019, с. 884-891. ISSN 2683-0094</v>
      </c>
      <c r="F2719" s="10" t="str">
        <f ca="1">IFERROR(__xludf.DUMMYFUNCTION("""COMPUTED_VALUE"""),"НАЦИД, ResearchGate, Google Scholar")</f>
        <v>НАЦИД, ResearchGate, Google Scholar</v>
      </c>
      <c r="G2719" s="10"/>
      <c r="H2719" s="10"/>
      <c r="I2719" s="10"/>
      <c r="J2719" s="10"/>
      <c r="K2719" s="10"/>
      <c r="L2719" s="10"/>
      <c r="M2719" s="10"/>
      <c r="N2719" s="10"/>
      <c r="O2719" s="10"/>
      <c r="P2719" s="10"/>
      <c r="Q2719" s="10"/>
      <c r="R2719" s="10"/>
      <c r="S2719" s="10"/>
      <c r="T2719" s="10"/>
      <c r="U2719" s="10"/>
      <c r="V2719" s="10"/>
      <c r="W2719" s="10"/>
      <c r="X2719" s="10"/>
      <c r="Y2719" s="10"/>
      <c r="Z2719" s="10"/>
    </row>
    <row r="2720" spans="1:26" ht="12.75">
      <c r="A2720" s="10" t="str">
        <f ca="1">IFERROR(__xludf.DUMMYFUNCTION("""COMPUTED_VALUE"""),"Евелина Любомирова Здравкова-Величкова")</f>
        <v>Евелина Любомирова Здравкова-Величкова</v>
      </c>
      <c r="B2720" s="10" t="str">
        <f ca="1">IFERROR(__xludf.DUMMYFUNCTION("""COMPUTED_VALUE"""),"Доклад от конференция")</f>
        <v>Доклад от конференция</v>
      </c>
      <c r="C2720" s="10" t="str">
        <f ca="1">IFERROR(__xludf.DUMMYFUNCTION("""COMPUTED_VALUE"""),"Intellectual property management in digitization and digital preeservation of cultural heritage")</f>
        <v>Intellectual property management in digitization and digital preeservation of cultural heritage</v>
      </c>
      <c r="D2720" s="10">
        <f ca="1">IFERROR(__xludf.DUMMYFUNCTION("""COMPUTED_VALUE"""),2019)</f>
        <v>2019</v>
      </c>
      <c r="E2720" s="10" t="str">
        <f ca="1">IFERROR(__xludf.DUMMYFUNCTION("""COMPUTED_VALUE"""),"EDULEARN19 Conference 11th International Conference on Education and New Learning Technologies, 1st -3rd July 2019, Palma, Mallorka, Spain, pp. 6082-6087.
 ISBN: 978-84-09-12031-4. ISSN: 2340-1117")</f>
        <v>EDULEARN19 Conference 11th International Conference on Education and New Learning Technologies, 1st -3rd July 2019, Palma, Mallorka, Spain, pp. 6082-6087.
 ISBN: 978-84-09-12031-4. ISSN: 2340-1117</v>
      </c>
      <c r="F2720" s="10" t="str">
        <f ca="1">IFERROR(__xludf.DUMMYFUNCTION("""COMPUTED_VALUE"""),"ResearchGate, Google Scholar, Web of Science")</f>
        <v>ResearchGate, Google Scholar, Web of Science</v>
      </c>
      <c r="G2720" s="10" t="str">
        <f ca="1">IFERROR(__xludf.DUMMYFUNCTION("""COMPUTED_VALUE"""),"T. Trencheva")</f>
        <v>T. Trencheva</v>
      </c>
      <c r="H2720" s="10"/>
      <c r="I2720" s="10"/>
      <c r="J2720" s="10"/>
      <c r="K2720" s="10"/>
      <c r="L2720" s="10"/>
      <c r="M2720" s="10"/>
      <c r="N2720" s="10"/>
      <c r="O2720" s="10"/>
      <c r="P2720" s="10"/>
      <c r="Q2720" s="10"/>
      <c r="R2720" s="10"/>
      <c r="S2720" s="10"/>
      <c r="T2720" s="10"/>
      <c r="U2720" s="10"/>
      <c r="V2720" s="10"/>
      <c r="W2720" s="10"/>
      <c r="X2720" s="10"/>
      <c r="Y2720" s="10"/>
      <c r="Z2720" s="10"/>
    </row>
    <row r="2721" spans="1:26" ht="12.75">
      <c r="A2721" s="10" t="str">
        <f ca="1">IFERROR(__xludf.DUMMYFUNCTION("""COMPUTED_VALUE"""),"Евелина Любомирова Здравкова-Величкова")</f>
        <v>Евелина Любомирова Здравкова-Величкова</v>
      </c>
      <c r="B2721" s="10" t="str">
        <f ca="1">IFERROR(__xludf.DUMMYFUNCTION("""COMPUTED_VALUE"""),"Доклад от конференция")</f>
        <v>Доклад от конференция</v>
      </c>
      <c r="C2721" s="10" t="str">
        <f ca="1">IFERROR(__xludf.DUMMYFUNCTION("""COMPUTED_VALUE"""),"Intellectual Property and Media Culture in Higher Education")</f>
        <v>Intellectual Property and Media Culture in Higher Education</v>
      </c>
      <c r="D2721" s="10">
        <f ca="1">IFERROR(__xludf.DUMMYFUNCTION("""COMPUTED_VALUE"""),2019)</f>
        <v>2019</v>
      </c>
      <c r="E2721" s="10" t="str">
        <f ca="1">IFERROR(__xludf.DUMMYFUNCTION("""COMPUTED_VALUE"""),"In Conference Proceedings: 13th International Technology, Education and Development Conference, 11-13 March 2019, Valencia, Spain, INTED 2019, pp. 5814-5819. ISBN: 978-84-09-08619-1")</f>
        <v>In Conference Proceedings: 13th International Technology, Education and Development Conference, 11-13 March 2019, Valencia, Spain, INTED 2019, pp. 5814-5819. ISBN: 978-84-09-08619-1</v>
      </c>
      <c r="F2721" s="10" t="str">
        <f ca="1">IFERROR(__xludf.DUMMYFUNCTION("""COMPUTED_VALUE"""),"Scopus, Web of Science")</f>
        <v>Scopus, Web of Science</v>
      </c>
      <c r="G2721" s="10" t="str">
        <f ca="1">IFERROR(__xludf.DUMMYFUNCTION("""COMPUTED_VALUE"""),"Denchev, S., T. Trencheva")</f>
        <v>Denchev, S., T. Trencheva</v>
      </c>
      <c r="H2721" s="10"/>
      <c r="I2721" s="10"/>
      <c r="J2721" s="10"/>
      <c r="K2721" s="10"/>
      <c r="L2721" s="10"/>
      <c r="M2721" s="10"/>
      <c r="N2721" s="10"/>
      <c r="O2721" s="10"/>
      <c r="P2721" s="10"/>
      <c r="Q2721" s="10"/>
      <c r="R2721" s="10"/>
      <c r="S2721" s="10"/>
      <c r="T2721" s="10"/>
      <c r="U2721" s="10"/>
      <c r="V2721" s="10"/>
      <c r="W2721" s="10"/>
      <c r="X2721" s="10"/>
      <c r="Y2721" s="10"/>
      <c r="Z2721" s="10"/>
    </row>
    <row r="2722" spans="1:26" ht="12.75">
      <c r="A2722" s="10" t="str">
        <f ca="1">IFERROR(__xludf.DUMMYFUNCTION("""COMPUTED_VALUE"""),"Евелина Любомирова Здравкова-Величкова")</f>
        <v>Евелина Любомирова Здравкова-Величкова</v>
      </c>
      <c r="B2722" s="10" t="str">
        <f ca="1">IFERROR(__xludf.DUMMYFUNCTION("""COMPUTED_VALUE"""),"Доклад от конференция")</f>
        <v>Доклад от конференция</v>
      </c>
      <c r="C2722" s="10" t="str">
        <f ca="1">IFERROR(__xludf.DUMMYFUNCTION("""COMPUTED_VALUE"""),"Медийната екосистема в условията на единен цифров пазар")</f>
        <v>Медийната екосистема в условията на единен цифров пазар</v>
      </c>
      <c r="D2722" s="10">
        <f ca="1">IFERROR(__xludf.DUMMYFUNCTION("""COMPUTED_VALUE"""),2018)</f>
        <v>2018</v>
      </c>
      <c r="E2722" s="10" t="str">
        <f ca="1">IFERROR(__xludf.DUMMYFUNCTION("""COMPUTED_VALUE"""),"[Сборник] Общество на знанието и хуманизмът на ХХI век : Шестнадесета национална научна конференция с международно участие „Общество на знанието и хуманизмът на ХХI век, София, За буквите –О Писменехь, 2018, ISSN 1314-7099")</f>
        <v>[Сборник] Общество на знанието и хуманизмът на ХХI век : Шестнадесета национална научна конференция с международно участие „Общество на знанието и хуманизмът на ХХI век, София, За буквите –О Писменехь, 2018, ISSN 1314-7099</v>
      </c>
      <c r="F2722" s="10" t="str">
        <f ca="1">IFERROR(__xludf.DUMMYFUNCTION("""COMPUTED_VALUE"""),"НАЦИД, ResearchGate, Google Scholar")</f>
        <v>НАЦИД, ResearchGate, Google Scholar</v>
      </c>
      <c r="G2722" s="10"/>
      <c r="H2722" s="10"/>
      <c r="I2722" s="10"/>
      <c r="J2722" s="10"/>
      <c r="K2722" s="10"/>
      <c r="L2722" s="10"/>
      <c r="M2722" s="10"/>
      <c r="N2722" s="10"/>
      <c r="O2722" s="10"/>
      <c r="P2722" s="10"/>
      <c r="Q2722" s="10"/>
      <c r="R2722" s="10"/>
      <c r="S2722" s="10"/>
      <c r="T2722" s="10"/>
      <c r="U2722" s="10"/>
      <c r="V2722" s="10"/>
      <c r="W2722" s="10"/>
      <c r="X2722" s="10"/>
      <c r="Y2722" s="10"/>
      <c r="Z2722" s="10"/>
    </row>
    <row r="2723" spans="1:26" ht="12.75">
      <c r="A2723" s="10" t="str">
        <f ca="1">IFERROR(__xludf.DUMMYFUNCTION("""COMPUTED_VALUE"""),"Евелина Любомирова Здравкова-Величкова")</f>
        <v>Евелина Любомирова Здравкова-Величкова</v>
      </c>
      <c r="B2723" s="10"/>
      <c r="C2723" s="10" t="str">
        <f ca="1">IFERROR(__xludf.DUMMYFUNCTION("""COMPUTED_VALUE"""),"Пресата на прага на единния цифров пазар")</f>
        <v>Пресата на прага на единния цифров пазар</v>
      </c>
      <c r="D2723" s="10">
        <f ca="1">IFERROR(__xludf.DUMMYFUNCTION("""COMPUTED_VALUE"""),2018)</f>
        <v>2018</v>
      </c>
      <c r="E2723" s="10" t="str">
        <f ca="1">IFERROR(__xludf.DUMMYFUNCTION("""COMPUTED_VALUE"""),"[Сборник] Европейските граждани и интелектуалната собственост – възприятие, осъзнатост, поведение/ Състав. Тренчева, Т., К. Планска. Науч. ред. Таня Тодорова, София, За буквите-О ' писменехь, 2018, с. 343-362, ISBN 978-619-185-350-2")</f>
        <v>[Сборник] Европейските граждани и интелектуалната собственост – възприятие, осъзнатост, поведение/ Състав. Тренчева, Т., К. Планска. Науч. ред. Таня Тодорова, София, За буквите-О ' писменехь, 2018, с. 343-362, ISBN 978-619-185-350-2</v>
      </c>
      <c r="F2723" s="10" t="str">
        <f ca="1">IFERROR(__xludf.DUMMYFUNCTION("""COMPUTED_VALUE"""),"НАЦИД, ResearchGate, Google Scholar")</f>
        <v>НАЦИД, ResearchGate, Google Scholar</v>
      </c>
      <c r="G2723" s="10"/>
      <c r="H2723" s="10"/>
      <c r="I2723" s="10"/>
      <c r="J2723" s="10"/>
      <c r="K2723" s="10"/>
      <c r="L2723" s="10"/>
      <c r="M2723" s="10"/>
      <c r="N2723" s="10"/>
      <c r="O2723" s="10"/>
      <c r="P2723" s="10"/>
      <c r="Q2723" s="10"/>
      <c r="R2723" s="10"/>
      <c r="S2723" s="10"/>
      <c r="T2723" s="10"/>
      <c r="U2723" s="10"/>
      <c r="V2723" s="10"/>
      <c r="W2723" s="10"/>
      <c r="X2723" s="10"/>
      <c r="Y2723" s="10"/>
      <c r="Z2723" s="10"/>
    </row>
    <row r="2724" spans="1:26" ht="12.75">
      <c r="A2724" s="10" t="str">
        <f ca="1">IFERROR(__xludf.DUMMYFUNCTION("""COMPUTED_VALUE"""),"Евелина Любомирова Здравкова-Величкова")</f>
        <v>Евелина Любомирова Здравкова-Величкова</v>
      </c>
      <c r="B2724" s="10" t="str">
        <f ca="1">IFERROR(__xludf.DUMMYFUNCTION("""COMPUTED_VALUE"""),"Доклад от конференция")</f>
        <v>Доклад от конференция</v>
      </c>
      <c r="C2724" s="10" t="str">
        <f ca="1">IFERROR(__xludf.DUMMYFUNCTION("""COMPUTED_VALUE"""),"Роля и значение на обучението по интелектуална собственост в областта на медиите и фотографията в университетска среда")</f>
        <v>Роля и значение на обучението по интелектуална собственост в областта на медиите и фотографията в университетска среда</v>
      </c>
      <c r="D2724" s="10">
        <f ca="1">IFERROR(__xludf.DUMMYFUNCTION("""COMPUTED_VALUE"""),2017)</f>
        <v>2017</v>
      </c>
      <c r="E2724" s="10" t="str">
        <f ca="1">IFERROR(__xludf.DUMMYFUNCTION("""COMPUTED_VALUE"""),"[Сборник] от VII международна конференция за млади учени. Научни трудове на Съюза на учените в България–Пловдив Серия A. Обществени науки, изкуство и култура том IV, ISSN 1311-9400 (Print); ISSN 2534-9368 (On-line), 2017, Scientific works of the Union of "&amp;"Scientists in Bulgaria-Plovdiv, series А. Public sciences, art and culture, Vol.IV, ISSN 1311-9400 (Print); ISSN 2534-9368 (On-line), 2017.")</f>
        <v>[Сборник] от VII международна конференция за млади учени. Научни трудове на Съюза на учените в България–Пловдив Серия A. Обществени науки, изкуство и култура том IV, ISSN 1311-9400 (Print); ISSN 2534-9368 (On-line), 2017, Scientific works of the Union of Scientists in Bulgaria-Plovdiv, series А. Public sciences, art and culture, Vol.IV, ISSN 1311-9400 (Print); ISSN 2534-9368 (On-line), 2017.</v>
      </c>
      <c r="F2724" s="10" t="str">
        <f ca="1">IFERROR(__xludf.DUMMYFUNCTION("""COMPUTED_VALUE"""),"НАЦИД, ResearchGate, Google Scholar")</f>
        <v>НАЦИД, ResearchGate, Google Scholar</v>
      </c>
      <c r="G2724" s="10" t="str">
        <f ca="1">IFERROR(__xludf.DUMMYFUNCTION("""COMPUTED_VALUE"""),"Камелия Планска-Симеонова")</f>
        <v>Камелия Планска-Симеонова</v>
      </c>
      <c r="H2724" s="10"/>
      <c r="I2724" s="10"/>
      <c r="J2724" s="10"/>
      <c r="K2724" s="10"/>
      <c r="L2724" s="10"/>
      <c r="M2724" s="10"/>
      <c r="N2724" s="10"/>
      <c r="O2724" s="10"/>
      <c r="P2724" s="10"/>
      <c r="Q2724" s="10"/>
      <c r="R2724" s="10"/>
      <c r="S2724" s="10"/>
      <c r="T2724" s="10"/>
      <c r="U2724" s="10"/>
      <c r="V2724" s="10"/>
      <c r="W2724" s="10"/>
      <c r="X2724" s="10"/>
      <c r="Y2724" s="10"/>
      <c r="Z2724" s="10"/>
    </row>
    <row r="2725" spans="1:26" ht="12.75">
      <c r="A2725" s="10" t="str">
        <f ca="1">IFERROR(__xludf.DUMMYFUNCTION("""COMPUTED_VALUE"""),"Евелина Любомирова Здравкова-Величкова")</f>
        <v>Евелина Любомирова Здравкова-Величкова</v>
      </c>
      <c r="B2725" s="10" t="str">
        <f ca="1">IFERROR(__xludf.DUMMYFUNCTION("""COMPUTED_VALUE"""),"Доклад от конференция")</f>
        <v>Доклад от конференция</v>
      </c>
      <c r="C2725" s="10" t="str">
        <f ca="1">IFERROR(__xludf.DUMMYFUNCTION("""COMPUTED_VALUE"""),"Intellectual Property Training in the Field of Photography and Media in Bulgaria")</f>
        <v>Intellectual Property Training in the Field of Photography and Media in Bulgaria</v>
      </c>
      <c r="D2725" s="10">
        <f ca="1">IFERROR(__xludf.DUMMYFUNCTION("""COMPUTED_VALUE"""),2017)</f>
        <v>2017</v>
      </c>
      <c r="E2725" s="10" t="str">
        <f ca="1">IFERROR(__xludf.DUMMYFUNCTION("""COMPUTED_VALUE"""),"Conference Proceedings : Sixth edition of the International Conference „New Perspectives in Science Education”, Florence, Italy, 16-17 March 2017. – Florence : Liberariauniversitaria, 2017, p. 38-42. ISBN: 978-88-6292-847-2")</f>
        <v>Conference Proceedings : Sixth edition of the International Conference „New Perspectives in Science Education”, Florence, Italy, 16-17 March 2017. – Florence : Liberariauniversitaria, 2017, p. 38-42. ISBN: 978-88-6292-847-2</v>
      </c>
      <c r="F2725" s="10" t="str">
        <f ca="1">IFERROR(__xludf.DUMMYFUNCTION("""COMPUTED_VALUE"""),"Scopus, Web of Science")</f>
        <v>Scopus, Web of Science</v>
      </c>
      <c r="G2725" s="10" t="str">
        <f ca="1">IFERROR(__xludf.DUMMYFUNCTION("""COMPUTED_VALUE"""),"T. Trencheva, K. Planska")</f>
        <v>T. Trencheva, K. Planska</v>
      </c>
      <c r="H2725" s="10"/>
      <c r="I2725" s="10"/>
      <c r="J2725" s="10"/>
      <c r="K2725" s="10"/>
      <c r="L2725" s="10"/>
      <c r="M2725" s="10"/>
      <c r="N2725" s="10"/>
      <c r="O2725" s="10"/>
      <c r="P2725" s="10"/>
      <c r="Q2725" s="10"/>
      <c r="R2725" s="10"/>
      <c r="S2725" s="10"/>
      <c r="T2725" s="10"/>
      <c r="U2725" s="10"/>
      <c r="V2725" s="10"/>
      <c r="W2725" s="10"/>
      <c r="X2725" s="10"/>
      <c r="Y2725" s="10"/>
      <c r="Z2725" s="10"/>
    </row>
    <row r="2726" spans="1:26" ht="12.75">
      <c r="A2726" s="10" t="str">
        <f ca="1">IFERROR(__xludf.DUMMYFUNCTION("""COMPUTED_VALUE"""),"Евелина Любомирова Здравкова-Величкова")</f>
        <v>Евелина Любомирова Здравкова-Величкова</v>
      </c>
      <c r="B2726" s="10" t="str">
        <f ca="1">IFERROR(__xludf.DUMMYFUNCTION("""COMPUTED_VALUE"""),"Доклад от конференция")</f>
        <v>Доклад от конференция</v>
      </c>
      <c r="C2726" s="10" t="str">
        <f ca="1">IFERROR(__xludf.DUMMYFUNCTION("""COMPUTED_VALUE"""),"Съвременно състояние на интелектуалната собственост в българските медии")</f>
        <v>Съвременно състояние на интелектуалната собственост в българските медии</v>
      </c>
      <c r="D2726" s="10">
        <f ca="1">IFERROR(__xludf.DUMMYFUNCTION("""COMPUTED_VALUE"""),2017)</f>
        <v>2017</v>
      </c>
      <c r="E2726" s="10" t="str">
        <f ca="1">IFERROR(__xludf.DUMMYFUNCTION("""COMPUTED_VALUE"""),"[Сборник] – Интелектуалната собственост, иновациите и научната дейност в глобалната среда. / Състав. Тренчева, Т., Науч. ред. Таня Тодорова, София, За буквите-О Писменехь, 2017, с. 123-132, ISBN 978-619-185-272-7")</f>
        <v>[Сборник] – Интелектуалната собственост, иновациите и научната дейност в глобалната среда. / Състав. Тренчева, Т., Науч. ред. Таня Тодорова, София, За буквите-О Писменехь, 2017, с. 123-132, ISBN 978-619-185-272-7</v>
      </c>
      <c r="F2726" s="10" t="str">
        <f ca="1">IFERROR(__xludf.DUMMYFUNCTION("""COMPUTED_VALUE"""),"НАЦИД, ResearchGate, Google Scholar")</f>
        <v>НАЦИД, ResearchGate, Google Scholar</v>
      </c>
      <c r="G2726" s="10"/>
      <c r="H2726" s="10"/>
      <c r="I2726" s="10"/>
      <c r="J2726" s="10"/>
      <c r="K2726" s="10"/>
      <c r="L2726" s="10"/>
      <c r="M2726" s="10"/>
      <c r="N2726" s="10"/>
      <c r="O2726" s="10"/>
      <c r="P2726" s="10"/>
      <c r="Q2726" s="10"/>
      <c r="R2726" s="10"/>
      <c r="S2726" s="10"/>
      <c r="T2726" s="10"/>
      <c r="U2726" s="10"/>
      <c r="V2726" s="10"/>
      <c r="W2726" s="10"/>
      <c r="X2726" s="10"/>
      <c r="Y2726" s="10"/>
      <c r="Z2726" s="10"/>
    </row>
    <row r="2727" spans="1:26" ht="12.75">
      <c r="A2727" s="10" t="str">
        <f ca="1">IFERROR(__xludf.DUMMYFUNCTION("""COMPUTED_VALUE"""),"Евелина Любомирова Здравкова-Величкова")</f>
        <v>Евелина Любомирова Здравкова-Величкова</v>
      </c>
      <c r="B2727" s="10" t="str">
        <f ca="1">IFERROR(__xludf.DUMMYFUNCTION("""COMPUTED_VALUE"""),"Доклад от конференция")</f>
        <v>Доклад от конференция</v>
      </c>
      <c r="C2727" s="10" t="str">
        <f ca="1">IFERROR(__xludf.DUMMYFUNCTION("""COMPUTED_VALUE"""),"Свободните медии и интелектуалната собственост в условията на демократичното общество в България")</f>
        <v>Свободните медии и интелектуалната собственост в условията на демократичното общество в България</v>
      </c>
      <c r="D2727" s="10">
        <f ca="1">IFERROR(__xludf.DUMMYFUNCTION("""COMPUTED_VALUE"""),2017)</f>
        <v>2017</v>
      </c>
      <c r="E2727" s="10" t="str">
        <f ca="1">IFERROR(__xludf.DUMMYFUNCTION("""COMPUTED_VALUE"""),"[Сборник] Общество на знанието и хуманизмът на ХХI век : Петнадесета национална научна конференция с международно участие „Общество на знанието и хуманизмът на ХХI век, София, За буквите –О Писменехь, 2017, с. 232-231 ISSN 1314-7099")</f>
        <v>[Сборник] Общество на знанието и хуманизмът на ХХI век : Петнадесета национална научна конференция с международно участие „Общество на знанието и хуманизмът на ХХI век, София, За буквите –О Писменехь, 2017, с. 232-231 ISSN 1314-7099</v>
      </c>
      <c r="F2727" s="10" t="str">
        <f ca="1">IFERROR(__xludf.DUMMYFUNCTION("""COMPUTED_VALUE"""),"НАЦИД, ResearchGate, Google Scholar")</f>
        <v>НАЦИД, ResearchGate, Google Scholar</v>
      </c>
      <c r="G2727" s="10"/>
      <c r="H2727" s="10"/>
      <c r="I2727" s="10"/>
      <c r="J2727" s="10"/>
      <c r="K2727" s="10"/>
      <c r="L2727" s="10"/>
      <c r="M2727" s="10"/>
      <c r="N2727" s="10"/>
      <c r="O2727" s="10"/>
      <c r="P2727" s="10"/>
      <c r="Q2727" s="10"/>
      <c r="R2727" s="10"/>
      <c r="S2727" s="10"/>
      <c r="T2727" s="10"/>
      <c r="U2727" s="10"/>
      <c r="V2727" s="10"/>
      <c r="W2727" s="10"/>
      <c r="X2727" s="10"/>
      <c r="Y2727" s="10"/>
      <c r="Z2727" s="10"/>
    </row>
    <row r="2728" spans="1:26" ht="12.75">
      <c r="A2728" s="10" t="str">
        <f ca="1">IFERROR(__xludf.DUMMYFUNCTION("""COMPUTED_VALUE"""),"Евелина Любомирова Здравкова-Величкова")</f>
        <v>Евелина Любомирова Здравкова-Величкова</v>
      </c>
      <c r="B2728" s="10" t="str">
        <f ca="1">IFERROR(__xludf.DUMMYFUNCTION("""COMPUTED_VALUE"""),"Доклад от конференция")</f>
        <v>Доклад от конференция</v>
      </c>
      <c r="C2728" s="10" t="str">
        <f ca="1">IFERROR(__xludf.DUMMYFUNCTION("""COMPUTED_VALUE"""),"Взаимодействие между медийния бизнес и фотографията – интелектуалната собственост, правни аспекти и закрила")</f>
        <v>Взаимодействие между медийния бизнес и фотографията – интелектуалната собственост, правни аспекти и закрила</v>
      </c>
      <c r="D2728" s="10">
        <f ca="1">IFERROR(__xludf.DUMMYFUNCTION("""COMPUTED_VALUE"""),2016)</f>
        <v>2016</v>
      </c>
      <c r="E2728" s="10" t="str">
        <f ca="1">IFERROR(__xludf.DUMMYFUNCTION("""COMPUTED_VALUE"""),"[Сборник] – Научен форум „Бизнесът 21 век. Тенденции и предизвикателства“. - София, ИК УНСС, 2016, с. 527-534. ISBN 978-954-644-937-5.")</f>
        <v>[Сборник] – Научен форум „Бизнесът 21 век. Тенденции и предизвикателства“. - София, ИК УНСС, 2016, с. 527-534. ISBN 978-954-644-937-5.</v>
      </c>
      <c r="F2728" s="10" t="str">
        <f ca="1">IFERROR(__xludf.DUMMYFUNCTION("""COMPUTED_VALUE"""),"НАЦИД, ResearchGate, Google Scholar")</f>
        <v>НАЦИД, ResearchGate, Google Scholar</v>
      </c>
      <c r="G2728" s="10" t="str">
        <f ca="1">IFERROR(__xludf.DUMMYFUNCTION("""COMPUTED_VALUE"""),"Камелия Планска-Симеонова")</f>
        <v>Камелия Планска-Симеонова</v>
      </c>
      <c r="H2728" s="10"/>
      <c r="I2728" s="10"/>
      <c r="J2728" s="10"/>
      <c r="K2728" s="10"/>
      <c r="L2728" s="10"/>
      <c r="M2728" s="10"/>
      <c r="N2728" s="10"/>
      <c r="O2728" s="10"/>
      <c r="P2728" s="10"/>
      <c r="Q2728" s="10"/>
      <c r="R2728" s="10"/>
      <c r="S2728" s="10"/>
      <c r="T2728" s="10"/>
      <c r="U2728" s="10"/>
      <c r="V2728" s="10"/>
      <c r="W2728" s="10"/>
      <c r="X2728" s="10"/>
      <c r="Y2728" s="10"/>
      <c r="Z2728" s="10"/>
    </row>
    <row r="2729" spans="1:26" ht="12.75">
      <c r="A2729" s="10" t="str">
        <f ca="1">IFERROR(__xludf.DUMMYFUNCTION("""COMPUTED_VALUE"""),"Евелина Любомирова Здравкова-Величкова")</f>
        <v>Евелина Любомирова Здравкова-Величкова</v>
      </c>
      <c r="B2729" s="10" t="str">
        <f ca="1">IFERROR(__xludf.DUMMYFUNCTION("""COMPUTED_VALUE"""),"Доклад от конференция")</f>
        <v>Доклад от конференция</v>
      </c>
      <c r="C2729" s="10" t="str">
        <f ca="1">IFERROR(__xludf.DUMMYFUNCTION("""COMPUTED_VALUE"""),"Законодателна и нормативна база, регламентираща медийната индустрия")</f>
        <v>Законодателна и нормативна база, регламентираща медийната индустрия</v>
      </c>
      <c r="D2729" s="10">
        <f ca="1">IFERROR(__xludf.DUMMYFUNCTION("""COMPUTED_VALUE"""),2016)</f>
        <v>2016</v>
      </c>
      <c r="E2729" s="10" t="str">
        <f ca="1">IFERROR(__xludf.DUMMYFUNCTION("""COMPUTED_VALUE"""),"[Сборник] – Интернет либерализацията – предизвикателства и добри практики пред интелектуалната собственост / Състав. Тренчева, Т., Науч. ред. Таня Тодорова, София, За буквите-О Писменехь, 2016, с. 315-336. ISBN 978-619-185-231-4")</f>
        <v>[Сборник] – Интернет либерализацията – предизвикателства и добри практики пред интелектуалната собственост / Състав. Тренчева, Т., Науч. ред. Таня Тодорова, София, За буквите-О Писменехь, 2016, с. 315-336. ISBN 978-619-185-231-4</v>
      </c>
      <c r="F2729" s="10" t="str">
        <f ca="1">IFERROR(__xludf.DUMMYFUNCTION("""COMPUTED_VALUE"""),"НАЦИД, ResearchGate, Google Scholar")</f>
        <v>НАЦИД, ResearchGate, Google Scholar</v>
      </c>
      <c r="G2729" s="10"/>
      <c r="H2729" s="10"/>
      <c r="I2729" s="10"/>
      <c r="J2729" s="10"/>
      <c r="K2729" s="10"/>
      <c r="L2729" s="10"/>
      <c r="M2729" s="10"/>
      <c r="N2729" s="10"/>
      <c r="O2729" s="10"/>
      <c r="P2729" s="10"/>
      <c r="Q2729" s="10"/>
      <c r="R2729" s="10"/>
      <c r="S2729" s="10"/>
      <c r="T2729" s="10"/>
      <c r="U2729" s="10"/>
      <c r="V2729" s="10"/>
      <c r="W2729" s="10"/>
      <c r="X2729" s="10"/>
      <c r="Y2729" s="10"/>
      <c r="Z2729" s="10"/>
    </row>
    <row r="2730" spans="1:26" ht="12.75">
      <c r="A2730" s="10" t="str">
        <f ca="1">IFERROR(__xludf.DUMMYFUNCTION("""COMPUTED_VALUE"""),"Евелина Любомирова Здравкова-Величкова")</f>
        <v>Евелина Любомирова Здравкова-Величкова</v>
      </c>
      <c r="B2730" s="10" t="str">
        <f ca="1">IFERROR(__xludf.DUMMYFUNCTION("""COMPUTED_VALUE"""),"Доклад от конференция")</f>
        <v>Доклад от конференция</v>
      </c>
      <c r="C2730" s="10" t="str">
        <f ca="1">IFERROR(__xludf.DUMMYFUNCTION("""COMPUTED_VALUE"""),"Нормативна база на печата в България – минало и настояще")</f>
        <v>Нормативна база на печата в България – минало и настояще</v>
      </c>
      <c r="D2730" s="10">
        <f ca="1">IFERROR(__xludf.DUMMYFUNCTION("""COMPUTED_VALUE"""),2016)</f>
        <v>2016</v>
      </c>
      <c r="E2730" s="10" t="str">
        <f ca="1">IFERROR(__xludf.DUMMYFUNCTION("""COMPUTED_VALUE"""),"Обществото на знанието и хуманизмът на ХХI век“ : XIV национална научна конференция с международно участие, посветена на народните будители, София, 1 ноември 2016 г., София, За буквите-О Писменехь, 2016, с. 771-784; ISSN - 1312-3785")</f>
        <v>Обществото на знанието и хуманизмът на ХХI век“ : XIV национална научна конференция с международно участие, посветена на народните будители, София, 1 ноември 2016 г., София, За буквите-О Писменехь, 2016, с. 771-784; ISSN - 1312-3785</v>
      </c>
      <c r="F2730" s="10" t="str">
        <f ca="1">IFERROR(__xludf.DUMMYFUNCTION("""COMPUTED_VALUE"""),"Референтен списък на НАЦИД")</f>
        <v>Референтен списък на НАЦИД</v>
      </c>
      <c r="G2730" s="10"/>
      <c r="H2730" s="10"/>
      <c r="I2730" s="10"/>
      <c r="J2730" s="10"/>
      <c r="K2730" s="10"/>
      <c r="L2730" s="10"/>
      <c r="M2730" s="10"/>
      <c r="N2730" s="10"/>
      <c r="O2730" s="10"/>
      <c r="P2730" s="10"/>
      <c r="Q2730" s="10"/>
      <c r="R2730" s="10"/>
      <c r="S2730" s="10"/>
      <c r="T2730" s="10"/>
      <c r="U2730" s="10"/>
      <c r="V2730" s="10"/>
      <c r="W2730" s="10"/>
      <c r="X2730" s="10"/>
      <c r="Y2730" s="10"/>
      <c r="Z2730" s="10"/>
    </row>
    <row r="2731" spans="1:26" ht="12.75">
      <c r="A2731" s="10" t="str">
        <f ca="1">IFERROR(__xludf.DUMMYFUNCTION("""COMPUTED_VALUE"""),"Екатерина Георгиева Попандонова-Желязова")</f>
        <v>Екатерина Георгиева Попандонова-Желязова</v>
      </c>
      <c r="B2731" s="10" t="str">
        <f ca="1">IFERROR(__xludf.DUMMYFUNCTION("""COMPUTED_VALUE"""),"Доклад от конференция")</f>
        <v>Доклад от конференция</v>
      </c>
      <c r="C2731" s="10" t="str">
        <f ca="1">IFERROR(__xludf.DUMMYFUNCTION("""COMPUTED_VALUE"""),"Discussion on the results of an action research related to the organization of the information process in studying English metaphors in terms of educational interactivity")</f>
        <v>Discussion on the results of an action research related to the organization of the information process in studying English metaphors in terms of educational interactivity</v>
      </c>
      <c r="D2731" s="10">
        <f ca="1">IFERROR(__xludf.DUMMYFUNCTION("""COMPUTED_VALUE"""),2017)</f>
        <v>2017</v>
      </c>
      <c r="E2731" s="10" t="str">
        <f ca="1">IFERROR(__xludf.DUMMYFUNCTION("""COMPUTED_VALUE"""),"XXXIII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175-179. ISBN 978-"&amp;"5-906946-40-9")</f>
        <v>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175-179. ISBN 978-5-906946-40-9</v>
      </c>
      <c r="F2731" s="10"/>
      <c r="G2731" s="10" t="str">
        <f ca="1">IFERROR(__xludf.DUMMYFUNCTION("""COMPUTED_VALUE"""),"Yancheva M.,")</f>
        <v>Yancheva M.,</v>
      </c>
      <c r="H2731" s="10"/>
      <c r="I2731" s="10"/>
      <c r="J2731" s="10"/>
      <c r="K2731" s="10"/>
      <c r="L2731" s="10"/>
      <c r="M2731" s="10"/>
      <c r="N2731" s="10"/>
      <c r="O2731" s="10"/>
      <c r="P2731" s="10"/>
      <c r="Q2731" s="10"/>
      <c r="R2731" s="10"/>
      <c r="S2731" s="10"/>
      <c r="T2731" s="10"/>
      <c r="U2731" s="10"/>
      <c r="V2731" s="10"/>
      <c r="W2731" s="10"/>
      <c r="X2731" s="10"/>
      <c r="Y2731" s="10"/>
      <c r="Z2731" s="10"/>
    </row>
    <row r="2732" spans="1:26" ht="12.75">
      <c r="A2732" s="10" t="str">
        <f ca="1">IFERROR(__xludf.DUMMYFUNCTION("""COMPUTED_VALUE"""),"Екатерина Георгиева Попандонова-Желязова")</f>
        <v>Екатерина Георгиева Попандонова-Желязова</v>
      </c>
      <c r="B2732" s="10" t="str">
        <f ca="1">IFERROR(__xludf.DUMMYFUNCTION("""COMPUTED_VALUE"""),"Книга")</f>
        <v>Книга</v>
      </c>
      <c r="C2732" s="10" t="str">
        <f ca="1">IFERROR(__xludf.DUMMYFUNCTION("""COMPUTED_VALUE"""),"150 selected excerpts from 90 literary works by 78 authors,")</f>
        <v>150 selected excerpts from 90 literary works by 78 authors,</v>
      </c>
      <c r="D2732" s="10">
        <f ca="1">IFERROR(__xludf.DUMMYFUNCTION("""COMPUTED_VALUE"""),2017)</f>
        <v>2017</v>
      </c>
      <c r="E2732" s="10" t="str">
        <f ca="1">IFERROR(__xludf.DUMMYFUNCTION("""COMPUTED_VALUE"""),"МЕДИАТЕХ – Плевен, ISBN: 978-619-207-105-9")</f>
        <v>МЕДИАТЕХ – Плевен, ISBN: 978-619-207-105-9</v>
      </c>
      <c r="F2732" s="10"/>
      <c r="G2732" s="10"/>
      <c r="H2732" s="10"/>
      <c r="I2732" s="10"/>
      <c r="J2732" s="10"/>
      <c r="K2732" s="10"/>
      <c r="L2732" s="10"/>
      <c r="M2732" s="10"/>
      <c r="N2732" s="10"/>
      <c r="O2732" s="10"/>
      <c r="P2732" s="10"/>
      <c r="Q2732" s="10"/>
      <c r="R2732" s="10"/>
      <c r="S2732" s="10"/>
      <c r="T2732" s="10"/>
      <c r="U2732" s="10"/>
      <c r="V2732" s="10"/>
      <c r="W2732" s="10"/>
      <c r="X2732" s="10"/>
      <c r="Y2732" s="10"/>
      <c r="Z2732" s="10"/>
    </row>
    <row r="2733" spans="1:26" ht="12.75">
      <c r="A2733" s="10" t="str">
        <f ca="1">IFERROR(__xludf.DUMMYFUNCTION("""COMPUTED_VALUE"""),"Екатерина Георгиева Попандонова-Желязова")</f>
        <v>Екатерина Георгиева Попандонова-Желязова</v>
      </c>
      <c r="B2733" s="10" t="str">
        <f ca="1">IFERROR(__xludf.DUMMYFUNCTION("""COMPUTED_VALUE"""),"Доклад от конференция")</f>
        <v>Доклад от конференция</v>
      </c>
      <c r="C2733" s="10" t="str">
        <f ca="1">IFERROR(__xludf.DUMMYFUNCTION("""COMPUTED_VALUE"""),"The influence of constructivism on an effective organization of the foreign language information process based on interactive technologies")</f>
        <v>The influence of constructivism on an effective organization of the foreign language information process based on interactive technologies</v>
      </c>
      <c r="D2733" s="10">
        <f ca="1">IFERROR(__xludf.DUMMYFUNCTION("""COMPUTED_VALUE"""),2017)</f>
        <v>2017</v>
      </c>
      <c r="E2733" s="10" t="str">
        <f ca="1">IFERROR(__xludf.DUMMYFUNCTION("""COMPUTED_VALUE"""),"XXXIII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171-175. ISBN 978-"&amp;"5-906946-40-9")</f>
        <v>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171-175. ISBN 978-5-906946-40-9</v>
      </c>
      <c r="F2733" s="10"/>
      <c r="G2733" s="10" t="str">
        <f ca="1">IFERROR(__xludf.DUMMYFUNCTION("""COMPUTED_VALUE"""),"Yancheva M.,")</f>
        <v>Yancheva M.,</v>
      </c>
      <c r="H2733" s="10"/>
      <c r="I2733" s="10"/>
      <c r="J2733" s="10"/>
      <c r="K2733" s="10"/>
      <c r="L2733" s="10"/>
      <c r="M2733" s="10"/>
      <c r="N2733" s="10"/>
      <c r="O2733" s="10"/>
      <c r="P2733" s="10"/>
      <c r="Q2733" s="10"/>
      <c r="R2733" s="10"/>
      <c r="S2733" s="10"/>
      <c r="T2733" s="10"/>
      <c r="U2733" s="10"/>
      <c r="V2733" s="10"/>
      <c r="W2733" s="10"/>
      <c r="X2733" s="10"/>
      <c r="Y2733" s="10"/>
      <c r="Z2733" s="10"/>
    </row>
    <row r="2734" spans="1:26" ht="12.75">
      <c r="A2734" s="10" t="str">
        <f ca="1">IFERROR(__xludf.DUMMYFUNCTION("""COMPUTED_VALUE"""),"Екатерина Георгиева Попандонова-Желязова")</f>
        <v>Екатерина Георгиева Попандонова-Желязова</v>
      </c>
      <c r="B2734" s="10" t="str">
        <f ca="1">IFERROR(__xludf.DUMMYFUNCTION("""COMPUTED_VALUE"""),"Книга")</f>
        <v>Книга</v>
      </c>
      <c r="C2734" s="10" t="str">
        <f ca="1">IFERROR(__xludf.DUMMYFUNCTION("""COMPUTED_VALUE"""),"Lexical and grammar exercises (intermediate level, upper-intermediate level)")</f>
        <v>Lexical and grammar exercises (intermediate level, upper-intermediate level)</v>
      </c>
      <c r="D2734" s="10">
        <f ca="1">IFERROR(__xludf.DUMMYFUNCTION("""COMPUTED_VALUE"""),2017)</f>
        <v>2017</v>
      </c>
      <c r="E2734" s="10" t="str">
        <f ca="1">IFERROR(__xludf.DUMMYFUNCTION("""COMPUTED_VALUE"""),"МЕДИАТЕХ – Плевен, ISBN: 978-619-207-107-3")</f>
        <v>МЕДИАТЕХ – Плевен, ISBN: 978-619-207-107-3</v>
      </c>
      <c r="F2734" s="10"/>
      <c r="G2734" s="10"/>
      <c r="H2734" s="10"/>
      <c r="I2734" s="10"/>
      <c r="J2734" s="10"/>
      <c r="K2734" s="10"/>
      <c r="L2734" s="10"/>
      <c r="M2734" s="10"/>
      <c r="N2734" s="10"/>
      <c r="O2734" s="10"/>
      <c r="P2734" s="10"/>
      <c r="Q2734" s="10"/>
      <c r="R2734" s="10"/>
      <c r="S2734" s="10"/>
      <c r="T2734" s="10"/>
      <c r="U2734" s="10"/>
      <c r="V2734" s="10"/>
      <c r="W2734" s="10"/>
      <c r="X2734" s="10"/>
      <c r="Y2734" s="10"/>
      <c r="Z2734" s="10"/>
    </row>
    <row r="2735" spans="1:26" ht="12.75">
      <c r="A2735" s="10" t="str">
        <f ca="1">IFERROR(__xludf.DUMMYFUNCTION("""COMPUTED_VALUE"""),"Екатерина Георгиева Попандонова-Желязова")</f>
        <v>Екатерина Георгиева Попандонова-Желязова</v>
      </c>
      <c r="B2735" s="10" t="str">
        <f ca="1">IFERROR(__xludf.DUMMYFUNCTION("""COMPUTED_VALUE"""),"Книга")</f>
        <v>Книга</v>
      </c>
      <c r="C2735" s="10" t="str">
        <f ca="1">IFERROR(__xludf.DUMMYFUNCTION("""COMPUTED_VALUE"""),"English in the media: Systematic vocabulary building Further practice")</f>
        <v>English in the media: Systematic vocabulary building Further practice</v>
      </c>
      <c r="D2735" s="10">
        <f ca="1">IFERROR(__xludf.DUMMYFUNCTION("""COMPUTED_VALUE"""),2017)</f>
        <v>2017</v>
      </c>
      <c r="E2735" s="10" t="str">
        <f ca="1">IFERROR(__xludf.DUMMYFUNCTION("""COMPUTED_VALUE"""),"МЕДИАТЕХ – Плевен, ISBN: 978-619-207-106-6")</f>
        <v>МЕДИАТЕХ – Плевен, ISBN: 978-619-207-106-6</v>
      </c>
      <c r="F2735" s="10"/>
      <c r="G2735" s="10"/>
      <c r="H2735" s="10"/>
      <c r="I2735" s="10"/>
      <c r="J2735" s="10"/>
      <c r="K2735" s="10"/>
      <c r="L2735" s="10"/>
      <c r="M2735" s="10"/>
      <c r="N2735" s="10"/>
      <c r="O2735" s="10"/>
      <c r="P2735" s="10"/>
      <c r="Q2735" s="10"/>
      <c r="R2735" s="10"/>
      <c r="S2735" s="10"/>
      <c r="T2735" s="10"/>
      <c r="U2735" s="10"/>
      <c r="V2735" s="10"/>
      <c r="W2735" s="10"/>
      <c r="X2735" s="10"/>
      <c r="Y2735" s="10"/>
      <c r="Z2735" s="10"/>
    </row>
    <row r="2736" spans="1:26" ht="12.75">
      <c r="A2736" s="10" t="str">
        <f ca="1">IFERROR(__xludf.DUMMYFUNCTION("""COMPUTED_VALUE"""),"Екатерина Георгиева Попандонова-Желязова")</f>
        <v>Екатерина Георгиева Попандонова-Желязова</v>
      </c>
      <c r="B2736" s="10" t="str">
        <f ca="1">IFERROR(__xludf.DUMMYFUNCTION("""COMPUTED_VALUE"""),"Доклад от конференция")</f>
        <v>Доклад от конференция</v>
      </c>
      <c r="C2736" s="10" t="str">
        <f ca="1">IFERROR(__xludf.DUMMYFUNCTION("""COMPUTED_VALUE"""),"Metaphor as a feature of human thinking")</f>
        <v>Metaphor as a feature of human thinking</v>
      </c>
      <c r="D2736" s="10">
        <f ca="1">IFERROR(__xludf.DUMMYFUNCTION("""COMPUTED_VALUE"""),2017)</f>
        <v>2017</v>
      </c>
      <c r="E2736" s="10" t="str">
        <f ca="1">IFERROR(__xludf.DUMMYFUNCTION("""COMPUTED_VALUE"""),"XXXIII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150-154. ISBN 978-"&amp;"5-906946-40-9")</f>
        <v>XXXIII международной научно-практической конференции 15–16 марта 2017 г. В 2 ч.: часть I / Науч.-инф. издат. центр «Институт стратегических исследований». – Москва: Изд-во «Институт стратегических исследований»: Изд-во «Перо», 2017. pp. 150-154. ISBN 978-5-906946-40-9</v>
      </c>
      <c r="F2736" s="10"/>
      <c r="G2736" s="10" t="str">
        <f ca="1">IFERROR(__xludf.DUMMYFUNCTION("""COMPUTED_VALUE"""),"Yancheva M.,")</f>
        <v>Yancheva M.,</v>
      </c>
      <c r="H2736" s="10"/>
      <c r="I2736" s="10"/>
      <c r="J2736" s="10"/>
      <c r="K2736" s="10"/>
      <c r="L2736" s="10"/>
      <c r="M2736" s="10"/>
      <c r="N2736" s="10"/>
      <c r="O2736" s="10"/>
      <c r="P2736" s="10"/>
      <c r="Q2736" s="10"/>
      <c r="R2736" s="10"/>
      <c r="S2736" s="10"/>
      <c r="T2736" s="10"/>
      <c r="U2736" s="10"/>
      <c r="V2736" s="10"/>
      <c r="W2736" s="10"/>
      <c r="X2736" s="10"/>
      <c r="Y2736" s="10"/>
      <c r="Z2736" s="10"/>
    </row>
    <row r="2737" spans="1:26" ht="12.75">
      <c r="A2737" s="10" t="str">
        <f ca="1">IFERROR(__xludf.DUMMYFUNCTION("""COMPUTED_VALUE"""),"Екатерина Георгиева Попандонова-Желязова")</f>
        <v>Екатерина Георгиева Попандонова-Желязова</v>
      </c>
      <c r="B2737" s="10" t="str">
        <f ca="1">IFERROR(__xludf.DUMMYFUNCTION("""COMPUTED_VALUE"""),"Книга")</f>
        <v>Книга</v>
      </c>
      <c r="C2737" s="10" t="str">
        <f ca="1">IFERROR(__xludf.DUMMYFUNCTION("""COMPUTED_VALUE"""),"Използване на
 езикови клишета за изграждане на
 ефективна комуникация на чужд език")</f>
        <v>Използване на
 езикови клишета за изграждане на
 ефективна комуникация на чужд език</v>
      </c>
      <c r="D2737" s="10">
        <f ca="1">IFERROR(__xludf.DUMMYFUNCTION("""COMPUTED_VALUE"""),2016)</f>
        <v>2016</v>
      </c>
      <c r="E2737" s="10" t="str">
        <f ca="1">IFERROR(__xludf.DUMMYFUNCTION("""COMPUTED_VALUE"""),"изд. МЕДИАТЕХ – Плевен; ISBN 978-619-207-090-8")</f>
        <v>изд. МЕДИАТЕХ – Плевен; ISBN 978-619-207-090-8</v>
      </c>
      <c r="F2737" s="10"/>
      <c r="G2737" s="10"/>
      <c r="H2737" s="10"/>
      <c r="I2737" s="10"/>
      <c r="J2737" s="10"/>
      <c r="K2737" s="10"/>
      <c r="L2737" s="10"/>
      <c r="M2737" s="10"/>
      <c r="N2737" s="10"/>
      <c r="O2737" s="10"/>
      <c r="P2737" s="10"/>
      <c r="Q2737" s="10"/>
      <c r="R2737" s="10"/>
      <c r="S2737" s="10"/>
      <c r="T2737" s="10"/>
      <c r="U2737" s="10"/>
      <c r="V2737" s="10"/>
      <c r="W2737" s="10"/>
      <c r="X2737" s="10"/>
      <c r="Y2737" s="10"/>
      <c r="Z2737" s="10"/>
    </row>
    <row r="2738" spans="1:26" ht="12.75">
      <c r="A2738" s="10" t="str">
        <f ca="1">IFERROR(__xludf.DUMMYFUNCTION("""COMPUTED_VALUE"""),"Екатерина Георгиева Попандонова-Желязова")</f>
        <v>Екатерина Георгиева Попандонова-Желязова</v>
      </c>
      <c r="B2738" s="10" t="str">
        <f ca="1">IFERROR(__xludf.DUMMYFUNCTION("""COMPUTED_VALUE"""),"Доклад от конференция")</f>
        <v>Доклад от конференция</v>
      </c>
      <c r="C2738" s="10" t="str">
        <f ca="1">IFERROR(__xludf.DUMMYFUNCTION("""COMPUTED_VALUE"""),"Оценяване на аудиовизуалните материали, създадени от преподавателите за онагледяване на учебното съдържание")</f>
        <v>Оценяване на аудиовизуалните материали, създадени от преподавателите за онагледяване на учебното съдържание</v>
      </c>
      <c r="D2738" s="10">
        <f ca="1">IFERROR(__xludf.DUMMYFUNCTION("""COMPUTED_VALUE"""),2016)</f>
        <v>2016</v>
      </c>
      <c r="E2738" s="10" t="str">
        <f ca="1">IFERROR(__xludf.DUMMYFUNCTION("""COMPUTED_VALUE"""),"Научни трудове на русенския университет - 2016, том 55, серия 6.1. pp. 20-25. ISSN 1311-3321")</f>
        <v>Научни трудове на русенския университет - 2016, том 55, серия 6.1. pp. 20-25. ISSN 1311-3321</v>
      </c>
      <c r="F2738" s="10"/>
      <c r="G2738" s="10"/>
      <c r="H2738" s="10"/>
      <c r="I2738" s="10"/>
      <c r="J2738" s="10"/>
      <c r="K2738" s="10"/>
      <c r="L2738" s="10"/>
      <c r="M2738" s="10"/>
      <c r="N2738" s="10"/>
      <c r="O2738" s="10"/>
      <c r="P2738" s="10"/>
      <c r="Q2738" s="10"/>
      <c r="R2738" s="10"/>
      <c r="S2738" s="10"/>
      <c r="T2738" s="10"/>
      <c r="U2738" s="10"/>
      <c r="V2738" s="10"/>
      <c r="W2738" s="10"/>
      <c r="X2738" s="10"/>
      <c r="Y2738" s="10"/>
      <c r="Z2738" s="10"/>
    </row>
    <row r="2739" spans="1:26" ht="12.75">
      <c r="A2739" s="10" t="str">
        <f ca="1">IFERROR(__xludf.DUMMYFUNCTION("""COMPUTED_VALUE"""),"Екатерина Георгиева Попандонова-Желязова")</f>
        <v>Екатерина Георгиева Попандонова-Желязова</v>
      </c>
      <c r="B2739" s="10" t="str">
        <f ca="1">IFERROR(__xludf.DUMMYFUNCTION("""COMPUTED_VALUE"""),"Доклад от конференция")</f>
        <v>Доклад от конференция</v>
      </c>
      <c r="C2739" s="10" t="str">
        <f ca="1">IFERROR(__xludf.DUMMYFUNCTION("""COMPUTED_VALUE"""),"Интерактивните образователни технологии в процеса на изучаване на английски метафори – предпоставки и основания за разработване на интерактивен мултимедиен продукт")</f>
        <v>Интерактивните образователни технологии в процеса на изучаване на английски метафори – предпоставки и основания за разработване на интерактивен мултимедиен продукт</v>
      </c>
      <c r="D2739" s="10">
        <f ca="1">IFERROR(__xludf.DUMMYFUNCTION("""COMPUTED_VALUE"""),2016)</f>
        <v>2016</v>
      </c>
      <c r="E2739" s="10" t="str">
        <f ca="1">IFERROR(__xludf.DUMMYFUNCTION("""COMPUTED_VALUE"""),"Научни Тр. на УниБИТ, Т. 13, 2015. София, „За буквите. О Писменехь“, 2016. с. 241 – 247. ISSN 1314-2623")</f>
        <v>Научни Тр. на УниБИТ, Т. 13, 2015. София, „За буквите. О Писменехь“, 2016. с. 241 – 247. ISSN 1314-2623</v>
      </c>
      <c r="F2739" s="10"/>
      <c r="G2739" s="10"/>
      <c r="H2739" s="10"/>
      <c r="I2739" s="10"/>
      <c r="J2739" s="10"/>
      <c r="K2739" s="10"/>
      <c r="L2739" s="10"/>
      <c r="M2739" s="10"/>
      <c r="N2739" s="10"/>
      <c r="O2739" s="10"/>
      <c r="P2739" s="10"/>
      <c r="Q2739" s="10"/>
      <c r="R2739" s="10"/>
      <c r="S2739" s="10"/>
      <c r="T2739" s="10"/>
      <c r="U2739" s="10"/>
      <c r="V2739" s="10"/>
      <c r="W2739" s="10"/>
      <c r="X2739" s="10"/>
      <c r="Y2739" s="10"/>
      <c r="Z2739" s="10"/>
    </row>
    <row r="2740" spans="1:26" ht="12.75">
      <c r="A2740" s="10" t="str">
        <f ca="1">IFERROR(__xludf.DUMMYFUNCTION("""COMPUTED_VALUE"""),"Екатерина Георгиева Попандонова-Желязова")</f>
        <v>Екатерина Георгиева Попандонова-Желязова</v>
      </c>
      <c r="B2740" s="10" t="str">
        <f ca="1">IFERROR(__xludf.DUMMYFUNCTION("""COMPUTED_VALUE"""),"Доклад от конференция")</f>
        <v>Доклад от конференция</v>
      </c>
      <c r="C2740" s="10" t="str">
        <f ca="1">IFERROR(__xludf.DUMMYFUNCTION("""COMPUTED_VALUE"""),"Модел на систематичен подход при проектиране на учебна програма или курс за обучение")</f>
        <v>Модел на систематичен подход при проектиране на учебна програма или курс за обучение</v>
      </c>
      <c r="D2740" s="10">
        <f ca="1">IFERROR(__xludf.DUMMYFUNCTION("""COMPUTED_VALUE"""),2016)</f>
        <v>2016</v>
      </c>
      <c r="E2740" s="10" t="str">
        <f ca="1">IFERROR(__xludf.DUMMYFUNCTION("""COMPUTED_VALUE"""),"Научни трудове на русенския университет - 2016, том 55, серия 6.1. pp. 14-19. ISSN 1311-3321")</f>
        <v>Научни трудове на русенския университет - 2016, том 55, серия 6.1. pp. 14-19. ISSN 1311-3321</v>
      </c>
      <c r="F2740" s="10"/>
      <c r="G2740" s="10"/>
      <c r="H2740" s="10"/>
      <c r="I2740" s="10"/>
      <c r="J2740" s="10"/>
      <c r="K2740" s="10"/>
      <c r="L2740" s="10"/>
      <c r="M2740" s="10"/>
      <c r="N2740" s="10"/>
      <c r="O2740" s="10"/>
      <c r="P2740" s="10"/>
      <c r="Q2740" s="10"/>
      <c r="R2740" s="10"/>
      <c r="S2740" s="10"/>
      <c r="T2740" s="10"/>
      <c r="U2740" s="10"/>
      <c r="V2740" s="10"/>
      <c r="W2740" s="10"/>
      <c r="X2740" s="10"/>
      <c r="Y2740" s="10"/>
      <c r="Z2740" s="10"/>
    </row>
    <row r="2741" spans="1:26" ht="12.75">
      <c r="A2741" s="10" t="str">
        <f ca="1">IFERROR(__xludf.DUMMYFUNCTION("""COMPUTED_VALUE"""),"Екатерина Георгиева Попандонова-Желязова")</f>
        <v>Екатерина Георгиева Попандонова-Желязова</v>
      </c>
      <c r="B2741" s="10" t="str">
        <f ca="1">IFERROR(__xludf.DUMMYFUNCTION("""COMPUTED_VALUE"""),"Книга")</f>
        <v>Книга</v>
      </c>
      <c r="C2741" s="10" t="str">
        <f ca="1">IFERROR(__xludf.DUMMYFUNCTION("""COMPUTED_VALUE"""),"Метафоричното изразяване в подкрепа развитието на комуникативната компетентност на английски език (lexical and grammar exercises)")</f>
        <v>Метафоричното изразяване в подкрепа развитието на комуникативната компетентност на английски език (lexical and grammar exercises)</v>
      </c>
      <c r="D2741" s="10">
        <f ca="1">IFERROR(__xludf.DUMMYFUNCTION("""COMPUTED_VALUE"""),2016)</f>
        <v>2016</v>
      </c>
      <c r="E2741" s="10" t="str">
        <f ca="1">IFERROR(__xludf.DUMMYFUNCTION("""COMPUTED_VALUE"""),"изд. МЕДИАТЕХ – Плевен; ISBN 978-619-207-084-7")</f>
        <v>изд. МЕДИАТЕХ – Плевен; ISBN 978-619-207-084-7</v>
      </c>
      <c r="F2741" s="10"/>
      <c r="G2741" s="10"/>
      <c r="H2741" s="10"/>
      <c r="I2741" s="10"/>
      <c r="J2741" s="10"/>
      <c r="K2741" s="10"/>
      <c r="L2741" s="10"/>
      <c r="M2741" s="10"/>
      <c r="N2741" s="10"/>
      <c r="O2741" s="10"/>
      <c r="P2741" s="10"/>
      <c r="Q2741" s="10"/>
      <c r="R2741" s="10"/>
      <c r="S2741" s="10"/>
      <c r="T2741" s="10"/>
      <c r="U2741" s="10"/>
      <c r="V2741" s="10"/>
      <c r="W2741" s="10"/>
      <c r="X2741" s="10"/>
      <c r="Y2741" s="10"/>
      <c r="Z2741" s="10"/>
    </row>
    <row r="2742" spans="1:26" ht="12.75">
      <c r="A2742" s="10" t="str">
        <f ca="1">IFERROR(__xludf.DUMMYFUNCTION("""COMPUTED_VALUE"""),"Екатерина Георгиева Попандонова-Желязова")</f>
        <v>Екатерина Георгиева Попандонова-Желязова</v>
      </c>
      <c r="B2742" s="10" t="str">
        <f ca="1">IFERROR(__xludf.DUMMYFUNCTION("""COMPUTED_VALUE"""),"Доклад от конференция")</f>
        <v>Доклад от конференция</v>
      </c>
      <c r="C2742" s="10" t="str">
        <f ca="1">IFERROR(__xludf.DUMMYFUNCTION("""COMPUTED_VALUE"""),"Selection and methodological foundations of research tools for conducting a study related to the acquisition of English metaphors in multimedia interactive environment")</f>
        <v>Selection and methodological foundations of research tools for conducting a study related to the acquisition of English metaphors in multimedia interactive environment</v>
      </c>
      <c r="D2742" s="10">
        <f ca="1">IFERROR(__xludf.DUMMYFUNCTION("""COMPUTED_VALUE"""),2016)</f>
        <v>2016</v>
      </c>
      <c r="E2742" s="10" t="str">
        <f ca="1">IFERROR(__xludf.DUMMYFUNCTION("""COMPUTED_VALUE"""),"XXX международной научно-практической конференции 5–6 октября 2016 г. / Науч.- инф. издат. Центр Институт стратегических исследований». – Москва: Изд-во Институт стратегических исследований»: Изд-во «Перо», 2016. pp. 136-140. ISBN 978-5-906900-91-3")</f>
        <v>XXX международной научно-практической конференции 5–6 октября 2016 г. / Науч.- инф. издат. Центр Институт стратегических исследований». – Москва: Изд-во Институт стратегических исследований»: Изд-во «Перо», 2016. pp. 136-140. ISBN 978-5-906900-91-3</v>
      </c>
      <c r="F2742" s="10"/>
      <c r="G2742" s="10" t="str">
        <f ca="1">IFERROR(__xludf.DUMMYFUNCTION("""COMPUTED_VALUE"""),"Yancheva M.")</f>
        <v>Yancheva M.</v>
      </c>
      <c r="H2742" s="10"/>
      <c r="I2742" s="10"/>
      <c r="J2742" s="10"/>
      <c r="K2742" s="10"/>
      <c r="L2742" s="10"/>
      <c r="M2742" s="10"/>
      <c r="N2742" s="10"/>
      <c r="O2742" s="10"/>
      <c r="P2742" s="10"/>
      <c r="Q2742" s="10"/>
      <c r="R2742" s="10"/>
      <c r="S2742" s="10"/>
      <c r="T2742" s="10"/>
      <c r="U2742" s="10"/>
      <c r="V2742" s="10"/>
      <c r="W2742" s="10"/>
      <c r="X2742" s="10"/>
      <c r="Y2742" s="10"/>
      <c r="Z2742" s="10"/>
    </row>
    <row r="2743" spans="1:26" ht="12.75">
      <c r="A2743" s="10" t="str">
        <f ca="1">IFERROR(__xludf.DUMMYFUNCTION("""COMPUTED_VALUE"""),"Екатерина Георгиева Попандонова-Желязова")</f>
        <v>Екатерина Георгиева Попандонова-Желязова</v>
      </c>
      <c r="B2743" s="10" t="str">
        <f ca="1">IFERROR(__xludf.DUMMYFUNCTION("""COMPUTED_VALUE"""),"Книга")</f>
        <v>Книга</v>
      </c>
      <c r="C2743" s="10" t="str">
        <f ca="1">IFERROR(__xludf.DUMMYFUNCTION("""COMPUTED_VALUE"""),"Everyday English, English every day")</f>
        <v>Everyday English, English every day</v>
      </c>
      <c r="D2743" s="10">
        <f ca="1">IFERROR(__xludf.DUMMYFUNCTION("""COMPUTED_VALUE"""),2016)</f>
        <v>2016</v>
      </c>
      <c r="E2743" s="10" t="str">
        <f ca="1">IFERROR(__xludf.DUMMYFUNCTION("""COMPUTED_VALUE"""),"изд. МЕДИАТЕХ – Плевен; ISBN 978-619-207-091-5")</f>
        <v>изд. МЕДИАТЕХ – Плевен; ISBN 978-619-207-091-5</v>
      </c>
      <c r="F2743" s="10"/>
      <c r="G2743" s="10"/>
      <c r="H2743" s="10"/>
      <c r="I2743" s="10"/>
      <c r="J2743" s="10"/>
      <c r="K2743" s="10"/>
      <c r="L2743" s="10"/>
      <c r="M2743" s="10"/>
      <c r="N2743" s="10"/>
      <c r="O2743" s="10"/>
      <c r="P2743" s="10"/>
      <c r="Q2743" s="10"/>
      <c r="R2743" s="10"/>
      <c r="S2743" s="10"/>
      <c r="T2743" s="10"/>
      <c r="U2743" s="10"/>
      <c r="V2743" s="10"/>
      <c r="W2743" s="10"/>
      <c r="X2743" s="10"/>
      <c r="Y2743" s="10"/>
      <c r="Z2743" s="10"/>
    </row>
    <row r="2744" spans="1:26" ht="12.75">
      <c r="A2744" s="10" t="str">
        <f ca="1">IFERROR(__xludf.DUMMYFUNCTION("""COMPUTED_VALUE"""),"Екатерина Георгиева Попандонова-Желязова")</f>
        <v>Екатерина Георгиева Попандонова-Желязова</v>
      </c>
      <c r="B2744" s="10" t="str">
        <f ca="1">IFERROR(__xludf.DUMMYFUNCTION("""COMPUTED_VALUE"""),"Доклад от конференция")</f>
        <v>Доклад от конференция</v>
      </c>
      <c r="C2744" s="10" t="str">
        <f ca="1">IFERROR(__xludf.DUMMYFUNCTION("""COMPUTED_VALUE"""),"Research on Teachers’ Opinion Regarding the Use of Innovative Methods and Technological Tools for Students’ Competencies Assessment")</f>
        <v>Research on Teachers’ Opinion Regarding the Use of Innovative Methods and Technological Tools for Students’ Competencies Assessment</v>
      </c>
      <c r="D2744" s="10">
        <f ca="1">IFERROR(__xludf.DUMMYFUNCTION("""COMPUTED_VALUE"""),2016)</f>
        <v>2016</v>
      </c>
      <c r="E2744" s="10" t="str">
        <f ca="1">IFERROR(__xludf.DUMMYFUNCTION("""COMPUTED_VALUE"""),"10th International Technology, Education and Development Conference, Valencia (Spain), March, 2016. INTED2016 Proceedings, pp. 5979-5985. ISBN: 978-84-608-5617-7, ISSN: 2340-1079")</f>
        <v>10th International Technology, Education and Development Conference, Valencia (Spain), March, 2016. INTED2016 Proceedings, pp. 5979-5985. ISBN: 978-84-608-5617-7, ISSN: 2340-1079</v>
      </c>
      <c r="F2744" s="10" t="str">
        <f ca="1">IFERROR(__xludf.DUMMYFUNCTION("""COMPUTED_VALUE"""),"Wos")</f>
        <v>Wos</v>
      </c>
      <c r="G2744" s="10" t="str">
        <f ca="1">IFERROR(__xludf.DUMMYFUNCTION("""COMPUTED_VALUE"""),"Войноховска, В., Цанков, С.")</f>
        <v>Войноховска, В., Цанков, С.</v>
      </c>
      <c r="H2744" s="10"/>
      <c r="I2744" s="10"/>
      <c r="J2744" s="10"/>
      <c r="K2744" s="10"/>
      <c r="L2744" s="10"/>
      <c r="M2744" s="10"/>
      <c r="N2744" s="10"/>
      <c r="O2744" s="10"/>
      <c r="P2744" s="10"/>
      <c r="Q2744" s="10"/>
      <c r="R2744" s="10"/>
      <c r="S2744" s="10"/>
      <c r="T2744" s="10"/>
      <c r="U2744" s="10"/>
      <c r="V2744" s="10"/>
      <c r="W2744" s="10"/>
      <c r="X2744" s="10"/>
      <c r="Y2744" s="10"/>
      <c r="Z2744" s="10"/>
    </row>
    <row r="2745" spans="1:26" ht="12.75">
      <c r="A2745" s="10" t="str">
        <f ca="1">IFERROR(__xludf.DUMMYFUNCTION("""COMPUTED_VALUE"""),"Екатерина Георгиева Попандонова-Желязова")</f>
        <v>Екатерина Георгиева Попандонова-Желязова</v>
      </c>
      <c r="B2745" s="10" t="str">
        <f ca="1">IFERROR(__xludf.DUMMYFUNCTION("""COMPUTED_VALUE"""),"Доклад от конференция")</f>
        <v>Доклад от конференция</v>
      </c>
      <c r="C2745" s="10" t="str">
        <f ca="1">IFERROR(__xludf.DUMMYFUNCTION("""COMPUTED_VALUE"""),"Conducting a research related to the establishment of metaphorical competence in an interactive learning environment")</f>
        <v>Conducting a research related to the establishment of metaphorical competence in an interactive learning environment</v>
      </c>
      <c r="D2745" s="10">
        <f ca="1">IFERROR(__xludf.DUMMYFUNCTION("""COMPUTED_VALUE"""),2016)</f>
        <v>2016</v>
      </c>
      <c r="E2745" s="10" t="str">
        <f ca="1">IFERROR(__xludf.DUMMYFUNCTION("""COMPUTED_VALUE"""),"XXXII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pp.88-93. ISBN 978-5-906909-98-5")</f>
        <v>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pp.88-93. ISBN 978-5-906909-98-5</v>
      </c>
      <c r="F2745" s="10"/>
      <c r="G2745" s="10" t="str">
        <f ca="1">IFERROR(__xludf.DUMMYFUNCTION("""COMPUTED_VALUE"""),"Yancheva M.,")</f>
        <v>Yancheva M.,</v>
      </c>
      <c r="H2745" s="10"/>
      <c r="I2745" s="10"/>
      <c r="J2745" s="10"/>
      <c r="K2745" s="10"/>
      <c r="L2745" s="10"/>
      <c r="M2745" s="10"/>
      <c r="N2745" s="10"/>
      <c r="O2745" s="10"/>
      <c r="P2745" s="10"/>
      <c r="Q2745" s="10"/>
      <c r="R2745" s="10"/>
      <c r="S2745" s="10"/>
      <c r="T2745" s="10"/>
      <c r="U2745" s="10"/>
      <c r="V2745" s="10"/>
      <c r="W2745" s="10"/>
      <c r="X2745" s="10"/>
      <c r="Y2745" s="10"/>
      <c r="Z2745" s="10"/>
    </row>
    <row r="2746" spans="1:26" ht="12.75">
      <c r="A2746" s="10" t="str">
        <f ca="1">IFERROR(__xludf.DUMMYFUNCTION("""COMPUTED_VALUE"""),"Екатерина Георгиева Попандонова-Желязова")</f>
        <v>Екатерина Георгиева Попандонова-Желязова</v>
      </c>
      <c r="B2746" s="10" t="str">
        <f ca="1">IFERROR(__xludf.DUMMYFUNCTION("""COMPUTED_VALUE"""),"Доклад от конференция")</f>
        <v>Доклад от конференция</v>
      </c>
      <c r="C2746" s="10" t="str">
        <f ca="1">IFERROR(__xludf.DUMMYFUNCTION("""COMPUTED_VALUE"""),"Methodological foundations for interactive learning of English metaphors within the frame of action research")</f>
        <v>Methodological foundations for interactive learning of English metaphors within the frame of action research</v>
      </c>
      <c r="D2746" s="10">
        <f ca="1">IFERROR(__xludf.DUMMYFUNCTION("""COMPUTED_VALUE"""),2016)</f>
        <v>2016</v>
      </c>
      <c r="E2746" s="10" t="str">
        <f ca="1">IFERROR(__xludf.DUMMYFUNCTION("""COMPUTED_VALUE"""),"XXXII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pp.83-88. ISBN 978-5-906909-98-5")</f>
        <v>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pp.83-88. ISBN 978-5-906909-98-5</v>
      </c>
      <c r="F2746" s="10"/>
      <c r="G2746" s="10" t="str">
        <f ca="1">IFERROR(__xludf.DUMMYFUNCTION("""COMPUTED_VALUE"""),"Yancheva M.")</f>
        <v>Yancheva M.</v>
      </c>
      <c r="H2746" s="10"/>
      <c r="I2746" s="10"/>
      <c r="J2746" s="10"/>
      <c r="K2746" s="10"/>
      <c r="L2746" s="10"/>
      <c r="M2746" s="10"/>
      <c r="N2746" s="10"/>
      <c r="O2746" s="10"/>
      <c r="P2746" s="10"/>
      <c r="Q2746" s="10"/>
      <c r="R2746" s="10"/>
      <c r="S2746" s="10"/>
      <c r="T2746" s="10"/>
      <c r="U2746" s="10"/>
      <c r="V2746" s="10"/>
      <c r="W2746" s="10"/>
      <c r="X2746" s="10"/>
      <c r="Y2746" s="10"/>
      <c r="Z2746" s="10"/>
    </row>
    <row r="2747" spans="1:26" ht="12.75">
      <c r="A2747" s="10" t="str">
        <f ca="1">IFERROR(__xludf.DUMMYFUNCTION("""COMPUTED_VALUE"""),"Екатерина Георгиева Попандонова-Желязова")</f>
        <v>Екатерина Георгиева Попандонова-Желязова</v>
      </c>
      <c r="B2747" s="10" t="str">
        <f ca="1">IFERROR(__xludf.DUMMYFUNCTION("""COMPUTED_VALUE"""),"Доклад от конференция")</f>
        <v>Доклад от конференция</v>
      </c>
      <c r="C2747" s="10" t="str">
        <f ca="1">IFERROR(__xludf.DUMMYFUNCTION("""COMPUTED_VALUE"""),"Essence and features of an interactive multimedia product designed for studying English metaphors in Bulgarian context")</f>
        <v>Essence and features of an interactive multimedia product designed for studying English metaphors in Bulgarian context</v>
      </c>
      <c r="D2747" s="10">
        <f ca="1">IFERROR(__xludf.DUMMYFUNCTION("""COMPUTED_VALUE"""),2016)</f>
        <v>2016</v>
      </c>
      <c r="E2747" s="10" t="str">
        <f ca="1">IFERROR(__xludf.DUMMYFUNCTION("""COMPUTED_VALUE"""),"XXXII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pp.71-82. ISBN 978-5-906909-98-5")</f>
        <v>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pp.71-82. ISBN 978-5-906909-98-5</v>
      </c>
      <c r="F2747" s="10"/>
      <c r="G2747" s="10"/>
      <c r="H2747" s="10"/>
      <c r="I2747" s="10"/>
      <c r="J2747" s="10"/>
      <c r="K2747" s="10"/>
      <c r="L2747" s="10"/>
      <c r="M2747" s="10"/>
      <c r="N2747" s="10"/>
      <c r="O2747" s="10"/>
      <c r="P2747" s="10"/>
      <c r="Q2747" s="10"/>
      <c r="R2747" s="10"/>
      <c r="S2747" s="10"/>
      <c r="T2747" s="10"/>
      <c r="U2747" s="10"/>
      <c r="V2747" s="10"/>
      <c r="W2747" s="10"/>
      <c r="X2747" s="10"/>
      <c r="Y2747" s="10"/>
      <c r="Z2747" s="10"/>
    </row>
    <row r="2748" spans="1:26" ht="12.75">
      <c r="A2748" s="10" t="str">
        <f ca="1">IFERROR(__xludf.DUMMYFUNCTION("""COMPUTED_VALUE"""),"Екатерина Георгиева Попандонова-Желязова")</f>
        <v>Екатерина Георгиева Попандонова-Желязова</v>
      </c>
      <c r="B2748" s="10" t="str">
        <f ca="1">IFERROR(__xludf.DUMMYFUNCTION("""COMPUTED_VALUE"""),"Доклад от конференция")</f>
        <v>Доклад от конференция</v>
      </c>
      <c r="C2748" s="10" t="str">
        <f ca="1">IFERROR(__xludf.DUMMYFUNCTION("""COMPUTED_VALUE"""),"Essence of the research design for studying English metaphors in terms of educational interactive learning")</f>
        <v>Essence of the research design for studying English metaphors in terms of educational interactive learning</v>
      </c>
      <c r="D2748" s="10">
        <f ca="1">IFERROR(__xludf.DUMMYFUNCTION("""COMPUTED_VALUE"""),2016)</f>
        <v>2016</v>
      </c>
      <c r="E2748" s="10" t="str">
        <f ca="1">IFERROR(__xludf.DUMMYFUNCTION("""COMPUTED_VALUE"""),"XXXII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pp.67-70. ISBN 978-5-906909-98-5")</f>
        <v>XXXII международной научно-практической конференции 29 декабря 2016 г. / Науч.- инф. издат. центр «Институт стратегических исследований». – Москва: Изд-во «Институт стратегических исследований»: Изд-во «Перо», 2016. – pp.67-70. ISBN 978-5-906909-98-5</v>
      </c>
      <c r="F2748" s="10"/>
      <c r="G2748" s="10"/>
      <c r="H2748" s="10"/>
      <c r="I2748" s="10"/>
      <c r="J2748" s="10"/>
      <c r="K2748" s="10"/>
      <c r="L2748" s="10"/>
      <c r="M2748" s="10"/>
      <c r="N2748" s="10"/>
      <c r="O2748" s="10"/>
      <c r="P2748" s="10"/>
      <c r="Q2748" s="10"/>
      <c r="R2748" s="10"/>
      <c r="S2748" s="10"/>
      <c r="T2748" s="10"/>
      <c r="U2748" s="10"/>
      <c r="V2748" s="10"/>
      <c r="W2748" s="10"/>
      <c r="X2748" s="10"/>
      <c r="Y2748" s="10"/>
      <c r="Z2748" s="10"/>
    </row>
    <row r="2749" spans="1:26" ht="12.75">
      <c r="A2749" s="10" t="str">
        <f ca="1">IFERROR(__xludf.DUMMYFUNCTION("""COMPUTED_VALUE"""),"Екатерина Георгиева Попандонова-Желязова")</f>
        <v>Екатерина Георгиева Попандонова-Желязова</v>
      </c>
      <c r="B2749" s="10" t="str">
        <f ca="1">IFERROR(__xludf.DUMMYFUNCTION("""COMPUTED_VALUE"""),"Доклад от конференция")</f>
        <v>Доклад от конференция</v>
      </c>
      <c r="C2749" s="10" t="str">
        <f ca="1">IFERROR(__xludf.DUMMYFUNCTION("""COMPUTED_VALUE"""),"Developing foreign language competence in high quality educational environment through the use of interactive learning technologies")</f>
        <v>Developing foreign language competence in high quality educational environment through the use of interactive learning technologies</v>
      </c>
      <c r="D2749" s="10">
        <f ca="1">IFERROR(__xludf.DUMMYFUNCTION("""COMPUTED_VALUE"""),2016)</f>
        <v>2016</v>
      </c>
      <c r="E2749" s="10" t="str">
        <f ca="1">IFERROR(__xludf.DUMMYFUNCTION("""COMPUTED_VALUE"""),"XXX международной научно-практической конференции 5–6 октября 2016 г. / Науч.- инф. издат. Центр Институт стратегических исследований». – Москва: Изд-во Институт стратегических исследований»: Изд-во «Перо», 2016. pp. 141-145. ISBN 978-5-906900-91-3")</f>
        <v>XXX международной научно-практической конференции 5–6 октября 2016 г. / Науч.- инф. издат. Центр Институт стратегических исследований». – Москва: Изд-во Институт стратегических исследований»: Изд-во «Перо», 2016. pp. 141-145. ISBN 978-5-906900-91-3</v>
      </c>
      <c r="F2749" s="10"/>
      <c r="G2749" s="10" t="str">
        <f ca="1">IFERROR(__xludf.DUMMYFUNCTION("""COMPUTED_VALUE"""),"Yancheva M.")</f>
        <v>Yancheva M.</v>
      </c>
      <c r="H2749" s="10"/>
      <c r="I2749" s="10"/>
      <c r="J2749" s="10"/>
      <c r="K2749" s="10"/>
      <c r="L2749" s="10"/>
      <c r="M2749" s="10"/>
      <c r="N2749" s="10"/>
      <c r="O2749" s="10"/>
      <c r="P2749" s="10"/>
      <c r="Q2749" s="10"/>
      <c r="R2749" s="10"/>
      <c r="S2749" s="10"/>
      <c r="T2749" s="10"/>
      <c r="U2749" s="10"/>
      <c r="V2749" s="10"/>
      <c r="W2749" s="10"/>
      <c r="X2749" s="10"/>
      <c r="Y2749" s="10"/>
      <c r="Z2749" s="10"/>
    </row>
    <row r="2750" spans="1:26" ht="12.75">
      <c r="A2750" s="10" t="str">
        <f ca="1">IFERROR(__xludf.DUMMYFUNCTION("""COMPUTED_VALUE"""),"Екатерина Георгиева Попандонова-Желязова")</f>
        <v>Екатерина Георгиева Попандонова-Желязова</v>
      </c>
      <c r="B2750" s="10" t="str">
        <f ca="1">IFERROR(__xludf.DUMMYFUNCTION("""COMPUTED_VALUE"""),"Доклад от конференция")</f>
        <v>Доклад от конференция</v>
      </c>
      <c r="C2750" s="10" t="str">
        <f ca="1">IFERROR(__xludf.DUMMYFUNCTION("""COMPUTED_VALUE"""),"Discussion on the results of an action research related to the acquisition of foreign language vocabulary for specific purposes")</f>
        <v>Discussion on the results of an action research related to the acquisition of foreign language vocabulary for specific purposes</v>
      </c>
      <c r="D2750" s="10">
        <f ca="1">IFERROR(__xludf.DUMMYFUNCTION("""COMPUTED_VALUE"""),2015)</f>
        <v>2015</v>
      </c>
      <c r="E2750" s="10" t="str">
        <f ca="1">IFERROR(__xludf.DUMMYFUNCTION("""COMPUTED_VALUE"""),"XXIII международной научно-практической конференции 30 июня 2015 г. / Науч.-инф. издат. центр «Институт стратегических исследований». – Москва : Изд-во «Институт стратегических исследований»: Изд-во «Перо», 2015. с. 179-184. ISBN 978-5-00086-644-3")</f>
        <v>XXIII международной научно-практической конференции 30 июня 2015 г. / Науч.-инф. издат. центр «Институт стратегических исследований». – Москва : Изд-во «Институт стратегических исследований»: Изд-во «Перо», 2015. с. 179-184. ISBN 978-5-00086-644-3</v>
      </c>
      <c r="F2750" s="10"/>
      <c r="G2750" s="10"/>
      <c r="H2750" s="10"/>
      <c r="I2750" s="10"/>
      <c r="J2750" s="10"/>
      <c r="K2750" s="10"/>
      <c r="L2750" s="10"/>
      <c r="M2750" s="10"/>
      <c r="N2750" s="10"/>
      <c r="O2750" s="10"/>
      <c r="P2750" s="10"/>
      <c r="Q2750" s="10"/>
      <c r="R2750" s="10"/>
      <c r="S2750" s="10"/>
      <c r="T2750" s="10"/>
      <c r="U2750" s="10"/>
      <c r="V2750" s="10"/>
      <c r="W2750" s="10"/>
      <c r="X2750" s="10"/>
      <c r="Y2750" s="10"/>
      <c r="Z2750" s="10"/>
    </row>
    <row r="2751" spans="1:26" ht="12.75">
      <c r="A2751" s="10" t="str">
        <f ca="1">IFERROR(__xludf.DUMMYFUNCTION("""COMPUTED_VALUE"""),"Екатерина Георгиева Попандонова-Желязова")</f>
        <v>Екатерина Георгиева Попандонова-Желязова</v>
      </c>
      <c r="B2751" s="10" t="str">
        <f ca="1">IFERROR(__xludf.DUMMYFUNCTION("""COMPUTED_VALUE"""),"Студия")</f>
        <v>Студия</v>
      </c>
      <c r="C2751" s="10" t="str">
        <f ca="1">IFERROR(__xludf.DUMMYFUNCTION("""COMPUTED_VALUE"""),"Влияние на интерактивните образователни технологии върху изграждането на чуждоезикова лексикална компетентност за специфични цели")</f>
        <v>Влияние на интерактивните образователни технологии върху изграждането на чуждоезикова лексикална компетентност за специфични цели</v>
      </c>
      <c r="D2751" s="10">
        <f ca="1">IFERROR(__xludf.DUMMYFUNCTION("""COMPUTED_VALUE"""),2015)</f>
        <v>2015</v>
      </c>
      <c r="E2751" s="10" t="str">
        <f ca="1">IFERROR(__xludf.DUMMYFUNCTION("""COMPUTED_VALUE"""),"изд. MEDIATECH, ISBN 978-619-207-017-5")</f>
        <v>изд. MEDIATECH, ISBN 978-619-207-017-5</v>
      </c>
      <c r="F2751" s="10"/>
      <c r="G2751" s="10"/>
      <c r="H2751" s="10"/>
      <c r="I2751" s="10"/>
      <c r="J2751" s="10"/>
      <c r="K2751" s="10"/>
      <c r="L2751" s="10"/>
      <c r="M2751" s="10"/>
      <c r="N2751" s="10"/>
      <c r="O2751" s="10"/>
      <c r="P2751" s="10"/>
      <c r="Q2751" s="10"/>
      <c r="R2751" s="10"/>
      <c r="S2751" s="10"/>
      <c r="T2751" s="10"/>
      <c r="U2751" s="10"/>
      <c r="V2751" s="10"/>
      <c r="W2751" s="10"/>
      <c r="X2751" s="10"/>
      <c r="Y2751" s="10"/>
      <c r="Z2751" s="10"/>
    </row>
    <row r="2752" spans="1:26" ht="12.75">
      <c r="A2752" s="10" t="str">
        <f ca="1">IFERROR(__xludf.DUMMYFUNCTION("""COMPUTED_VALUE"""),"Екатерина Георгиева Попандонова-Желязова")</f>
        <v>Екатерина Георгиева Попандонова-Желязова</v>
      </c>
      <c r="B2752" s="10" t="str">
        <f ca="1">IFERROR(__xludf.DUMMYFUNCTION("""COMPUTED_VALUE"""),"Доклад от конференция")</f>
        <v>Доклад от конференция</v>
      </c>
      <c r="C2752" s="10" t="str">
        <f ca="1">IFERROR(__xludf.DUMMYFUNCTION("""COMPUTED_VALUE"""),"Acquisition of foreign language vocabulary for specific purposes – sharing practical experience and final thoughts")</f>
        <v>Acquisition of foreign language vocabulary for specific purposes – sharing practical experience and final thoughts</v>
      </c>
      <c r="D2752" s="10">
        <f ca="1">IFERROR(__xludf.DUMMYFUNCTION("""COMPUTED_VALUE"""),2015)</f>
        <v>2015</v>
      </c>
      <c r="E2752" s="10" t="str">
        <f ca="1">IFERROR(__xludf.DUMMYFUNCTION("""COMPUTED_VALUE"""),"XXIII международной научно-практической конференции 30 июня 2015 г. / Науч.-инф. издат. центр «Институт стратегических исследований». – Москва : Изд-во «Институт стратегических исследований»: Изд-во «Перо», 2015. с. 179-184. ISBN 978-5-00086-644-3")</f>
        <v>XXIII международной научно-практической конференции 30 июня 2015 г. / Науч.-инф. издат. центр «Институт стратегических исследований». – Москва : Изд-во «Институт стратегических исследований»: Изд-во «Перо», 2015. с. 179-184. ISBN 978-5-00086-644-3</v>
      </c>
      <c r="F2752" s="10"/>
      <c r="G2752" s="10"/>
      <c r="H2752" s="10"/>
      <c r="I2752" s="10"/>
      <c r="J2752" s="10"/>
      <c r="K2752" s="10"/>
      <c r="L2752" s="10"/>
      <c r="M2752" s="10"/>
      <c r="N2752" s="10"/>
      <c r="O2752" s="10"/>
      <c r="P2752" s="10"/>
      <c r="Q2752" s="10"/>
      <c r="R2752" s="10"/>
      <c r="S2752" s="10"/>
      <c r="T2752" s="10"/>
      <c r="U2752" s="10"/>
      <c r="V2752" s="10"/>
      <c r="W2752" s="10"/>
      <c r="X2752" s="10"/>
      <c r="Y2752" s="10"/>
      <c r="Z2752" s="10"/>
    </row>
    <row r="2753" spans="1:26" ht="12.75">
      <c r="A2753" s="10" t="str">
        <f ca="1">IFERROR(__xludf.DUMMYFUNCTION("""COMPUTED_VALUE"""),"Екатерина Георгиева Попандонова-Желязова")</f>
        <v>Екатерина Георгиева Попандонова-Желязова</v>
      </c>
      <c r="B2753" s="10" t="str">
        <f ca="1">IFERROR(__xludf.DUMMYFUNCTION("""COMPUTED_VALUE"""),"Книга")</f>
        <v>Книга</v>
      </c>
      <c r="C2753" s="10" t="str">
        <f ca="1">IFERROR(__xludf.DUMMYFUNCTION("""COMPUTED_VALUE"""),"Интензивно изграждане на чуждоезикова лексикална компетентност в сферата на печатните комуникации с помощта на интерактивните образователни технологии")</f>
        <v>Интензивно изграждане на чуждоезикова лексикална компетентност в сферата на печатните комуникации с помощта на интерактивните образователни технологии</v>
      </c>
      <c r="D2753" s="10">
        <f ca="1">IFERROR(__xludf.DUMMYFUNCTION("""COMPUTED_VALUE"""),2015)</f>
        <v>2015</v>
      </c>
      <c r="E2753" s="10" t="str">
        <f ca="1">IFERROR(__xludf.DUMMYFUNCTION("""COMPUTED_VALUE"""),"изд. МЕДИАТЕХ – Плевен; ISBN 978-619-207-018-2")</f>
        <v>изд. МЕДИАТЕХ – Плевен; ISBN 978-619-207-018-2</v>
      </c>
      <c r="F2753" s="10"/>
      <c r="G2753" s="10"/>
      <c r="H2753" s="10"/>
      <c r="I2753" s="10"/>
      <c r="J2753" s="10"/>
      <c r="K2753" s="10"/>
      <c r="L2753" s="10"/>
      <c r="M2753" s="10"/>
      <c r="N2753" s="10"/>
      <c r="O2753" s="10"/>
      <c r="P2753" s="10"/>
      <c r="Q2753" s="10"/>
      <c r="R2753" s="10"/>
      <c r="S2753" s="10"/>
      <c r="T2753" s="10"/>
      <c r="U2753" s="10"/>
      <c r="V2753" s="10"/>
      <c r="W2753" s="10"/>
      <c r="X2753" s="10"/>
      <c r="Y2753" s="10"/>
      <c r="Z2753" s="10"/>
    </row>
    <row r="2754" spans="1:26" ht="12.75">
      <c r="A2754" s="10" t="str">
        <f ca="1">IFERROR(__xludf.DUMMYFUNCTION("""COMPUTED_VALUE"""),"Екатерина Георгиева Попандонова-Желязова")</f>
        <v>Екатерина Георгиева Попандонова-Желязова</v>
      </c>
      <c r="B2754" s="10" t="str">
        <f ca="1">IFERROR(__xludf.DUMMYFUNCTION("""COMPUTED_VALUE"""),"Доклад от конференция")</f>
        <v>Доклад от конференция</v>
      </c>
      <c r="C2754" s="10" t="str">
        <f ca="1">IFERROR(__xludf.DUMMYFUNCTION("""COMPUTED_VALUE"""),"Research on the Possibilities for Creating an Adaptive Multimedia Teaching Environment in Information Technologies")</f>
        <v>Research on the Possibilities for Creating an Adaptive Multimedia Teaching Environment in Information Technologies</v>
      </c>
      <c r="D2754" s="10">
        <f ca="1">IFERROR(__xludf.DUMMYFUNCTION("""COMPUTED_VALUE"""),2015)</f>
        <v>2015</v>
      </c>
      <c r="E2754" s="10" t="str">
        <f ca="1">IFERROR(__xludf.DUMMYFUNCTION("""COMPUTED_VALUE"""),"8th International Conference of Education, Research and Innovation, Seville (Spain), November, 2015. pp. 265-270. ISBN: 978-84-608-2657-6 ISSN: 2340-1095")</f>
        <v>8th International Conference of Education, Research and Innovation, Seville (Spain), November, 2015. pp. 265-270. ISBN: 978-84-608-2657-6 ISSN: 2340-1095</v>
      </c>
      <c r="F2754" s="10" t="str">
        <f ca="1">IFERROR(__xludf.DUMMYFUNCTION("""COMPUTED_VALUE"""),"Wos")</f>
        <v>Wos</v>
      </c>
      <c r="G2754" s="10" t="str">
        <f ca="1">IFERROR(__xludf.DUMMYFUNCTION("""COMPUTED_VALUE"""),"Goranova, E.,")</f>
        <v>Goranova, E.,</v>
      </c>
      <c r="H2754" s="10"/>
      <c r="I2754" s="10"/>
      <c r="J2754" s="10"/>
      <c r="K2754" s="10"/>
      <c r="L2754" s="10"/>
      <c r="M2754" s="10"/>
      <c r="N2754" s="10"/>
      <c r="O2754" s="10"/>
      <c r="P2754" s="10"/>
      <c r="Q2754" s="10"/>
      <c r="R2754" s="10"/>
      <c r="S2754" s="10"/>
      <c r="T2754" s="10"/>
      <c r="U2754" s="10"/>
      <c r="V2754" s="10"/>
      <c r="W2754" s="10"/>
      <c r="X2754" s="10"/>
      <c r="Y2754" s="10"/>
      <c r="Z2754" s="10"/>
    </row>
    <row r="2755" spans="1:26" ht="12.75">
      <c r="A2755" s="10" t="str">
        <f ca="1">IFERROR(__xludf.DUMMYFUNCTION("""COMPUTED_VALUE"""),"Екатерина Георгиева Попандонова-Желязова")</f>
        <v>Екатерина Георгиева Попандонова-Желязова</v>
      </c>
      <c r="B2755" s="10" t="str">
        <f ca="1">IFERROR(__xludf.DUMMYFUNCTION("""COMPUTED_VALUE"""),"Доклад от конференция")</f>
        <v>Доклад от конференция</v>
      </c>
      <c r="C2755" s="10" t="str">
        <f ca="1">IFERROR(__xludf.DUMMYFUNCTION("""COMPUTED_VALUE"""),"Същност, структуриране и използване на автентични материали при усвояване на чуждоезикова лексика за специфични цели в подкрепа развитието на комуникативната компетентност")</f>
        <v>Същност, структуриране и използване на автентични материали при усвояване на чуждоезикова лексика за специфични цели в подкрепа развитието на комуникативната компетентност</v>
      </c>
      <c r="D2755" s="10">
        <f ca="1">IFERROR(__xludf.DUMMYFUNCTION("""COMPUTED_VALUE"""),2015)</f>
        <v>2015</v>
      </c>
      <c r="E2755" s="10" t="str">
        <f ca="1">IFERROR(__xludf.DUMMYFUNCTION("""COMPUTED_VALUE"""),"XII Национална научна конференция с международно участие „Обществото на знанието и хуманизмът на XXI век”, София, 31 октомври - 1 ноември 2014, „За буквите. О Писменехь“, 2015 с. 325 – 331. ISSN 1314-7099")</f>
        <v>XII Национална научна конференция с международно участие „Обществото на знанието и хуманизмът на XXI век”, София, 31 октомври - 1 ноември 2014, „За буквите. О Писменехь“, 2015 с. 325 – 331. ISSN 1314-7099</v>
      </c>
      <c r="F2755" s="10"/>
      <c r="G2755" s="10"/>
      <c r="H2755" s="10"/>
      <c r="I2755" s="10"/>
      <c r="J2755" s="10"/>
      <c r="K2755" s="10"/>
      <c r="L2755" s="10"/>
      <c r="M2755" s="10"/>
      <c r="N2755" s="10"/>
      <c r="O2755" s="10"/>
      <c r="P2755" s="10"/>
      <c r="Q2755" s="10"/>
      <c r="R2755" s="10"/>
      <c r="S2755" s="10"/>
      <c r="T2755" s="10"/>
      <c r="U2755" s="10"/>
      <c r="V2755" s="10"/>
      <c r="W2755" s="10"/>
      <c r="X2755" s="10"/>
      <c r="Y2755" s="10"/>
      <c r="Z2755" s="10"/>
    </row>
    <row r="2756" spans="1:26" ht="12.75">
      <c r="A2756" s="10" t="str">
        <f ca="1">IFERROR(__xludf.DUMMYFUNCTION("""COMPUTED_VALUE"""),"Екатерина Георгиева Попандонова-Желязова")</f>
        <v>Екатерина Георгиева Попандонова-Желязова</v>
      </c>
      <c r="B2756" s="10" t="str">
        <f ca="1">IFERROR(__xludf.DUMMYFUNCTION("""COMPUTED_VALUE"""),"Доклад от конференция")</f>
        <v>Доклад от конференция</v>
      </c>
      <c r="C2756" s="10" t="str">
        <f ca="1">IFERROR(__xludf.DUMMYFUNCTION("""COMPUTED_VALUE"""),"Theoretical rationalization of metacognitive awareness in the process of learning English vocabulary for specific purposes, as a constructive element for analysis and part of the methodological tools of the case study methodology")</f>
        <v>Theoretical rationalization of metacognitive awareness in the process of learning English vocabulary for specific purposes, as a constructive element for analysis and part of the methodological tools of the case study methodology</v>
      </c>
      <c r="D2756" s="10">
        <f ca="1">IFERROR(__xludf.DUMMYFUNCTION("""COMPUTED_VALUE"""),2015)</f>
        <v>2015</v>
      </c>
      <c r="E2756" s="10" t="str">
        <f ca="1">IFERROR(__xludf.DUMMYFUNCTION("""COMPUTED_VALUE"""),"XXII международной научно-практической конференции 2–3 апреля 2015 г. / Науч.-инф. издат. центр «Институт стратегических исследований». – Москва: Изд-во «Институт стратегических исследований»: Изд-во «Перо», 2015. с. 246-250. ISBN 978-5-00086-413-5")</f>
        <v>XXII международной научно-практической конференции 2–3 апреля 2015 г. / Науч.-инф. издат. центр «Институт стратегических исследований». – Москва: Изд-во «Институт стратегических исследований»: Изд-во «Перо», 2015. с. 246-250. ISBN 978-5-00086-413-5</v>
      </c>
      <c r="F2756" s="10"/>
      <c r="G2756" s="10"/>
      <c r="H2756" s="10"/>
      <c r="I2756" s="10"/>
      <c r="J2756" s="10"/>
      <c r="K2756" s="10"/>
      <c r="L2756" s="10"/>
      <c r="M2756" s="10"/>
      <c r="N2756" s="10"/>
      <c r="O2756" s="10"/>
      <c r="P2756" s="10"/>
      <c r="Q2756" s="10"/>
      <c r="R2756" s="10"/>
      <c r="S2756" s="10"/>
      <c r="T2756" s="10"/>
      <c r="U2756" s="10"/>
      <c r="V2756" s="10"/>
      <c r="W2756" s="10"/>
      <c r="X2756" s="10"/>
      <c r="Y2756" s="10"/>
      <c r="Z2756" s="10"/>
    </row>
    <row r="2757" spans="1:26" ht="12.75">
      <c r="A2757" s="10" t="str">
        <f ca="1">IFERROR(__xludf.DUMMYFUNCTION("""COMPUTED_VALUE"""),"Екатерина Георгиева Попандонова-Желязова")</f>
        <v>Екатерина Георгиева Попандонова-Желязова</v>
      </c>
      <c r="B2757" s="10" t="str">
        <f ca="1">IFERROR(__xludf.DUMMYFUNCTION("""COMPUTED_VALUE"""),"Книга")</f>
        <v>Книга</v>
      </c>
      <c r="C2757" s="10" t="str">
        <f ca="1">IFERROR(__xludf.DUMMYFUNCTION("""COMPUTED_VALUE"""),"English in the Media: Systematic Vocabulary Building")</f>
        <v>English in the Media: Systematic Vocabulary Building</v>
      </c>
      <c r="D2757" s="10">
        <f ca="1">IFERROR(__xludf.DUMMYFUNCTION("""COMPUTED_VALUE"""),2015)</f>
        <v>2015</v>
      </c>
      <c r="E2757" s="10" t="str">
        <f ca="1">IFERROR(__xludf.DUMMYFUNCTION("""COMPUTED_VALUE"""),"English in the Media: Systematic Vocabulary Building, изд. MEDIATECH, ISBN 978-619-207-005-2")</f>
        <v>English in the Media: Systematic Vocabulary Building, изд. MEDIATECH, ISBN 978-619-207-005-2</v>
      </c>
      <c r="F2757" s="10"/>
      <c r="G2757" s="10"/>
      <c r="H2757" s="10"/>
      <c r="I2757" s="10"/>
      <c r="J2757" s="10"/>
      <c r="K2757" s="10"/>
      <c r="L2757" s="10"/>
      <c r="M2757" s="10"/>
      <c r="N2757" s="10"/>
      <c r="O2757" s="10"/>
      <c r="P2757" s="10"/>
      <c r="Q2757" s="10"/>
      <c r="R2757" s="10"/>
      <c r="S2757" s="10"/>
      <c r="T2757" s="10"/>
      <c r="U2757" s="10"/>
      <c r="V2757" s="10"/>
      <c r="W2757" s="10"/>
      <c r="X2757" s="10"/>
      <c r="Y2757" s="10"/>
      <c r="Z2757" s="10"/>
    </row>
    <row r="2758" spans="1:26" ht="12.75">
      <c r="A2758" s="10" t="str">
        <f ca="1">IFERROR(__xludf.DUMMYFUNCTION("""COMPUTED_VALUE"""),"Екатерина Георгиева Попандонова-Желязова")</f>
        <v>Екатерина Георгиева Попандонова-Желязова</v>
      </c>
      <c r="B2758" s="10" t="str">
        <f ca="1">IFERROR(__xludf.DUMMYFUNCTION("""COMPUTED_VALUE"""),"Доклад от конференция")</f>
        <v>Доклад от конференция</v>
      </c>
      <c r="C2758" s="10" t="str">
        <f ca="1">IFERROR(__xludf.DUMMYFUNCTION("""COMPUTED_VALUE"""),"Хуморът в контекста на чуждоезиковото обучение")</f>
        <v>Хуморът в контекста на чуждоезиковото обучение</v>
      </c>
      <c r="D2758" s="10">
        <f ca="1">IFERROR(__xludf.DUMMYFUNCTION("""COMPUTED_VALUE"""),2015)</f>
        <v>2015</v>
      </c>
      <c r="E2758" s="10" t="str">
        <f ca="1">IFERROR(__xludf.DUMMYFUNCTION("""COMPUTED_VALUE"""),"Научни Тр. на УниБИТ, Т. 12, 2014. София. „За буквите. О Писменехь“, 2015, с. 403 – 410. ISSN 1314-2623")</f>
        <v>Научни Тр. на УниБИТ, Т. 12, 2014. София. „За буквите. О Писменехь“, 2015, с. 403 – 410. ISSN 1314-2623</v>
      </c>
      <c r="F2758" s="10"/>
      <c r="G2758" s="10"/>
      <c r="H2758" s="10"/>
      <c r="I2758" s="10"/>
      <c r="J2758" s="10"/>
      <c r="K2758" s="10"/>
      <c r="L2758" s="10"/>
      <c r="M2758" s="10"/>
      <c r="N2758" s="10"/>
      <c r="O2758" s="10"/>
      <c r="P2758" s="10"/>
      <c r="Q2758" s="10"/>
      <c r="R2758" s="10"/>
      <c r="S2758" s="10"/>
      <c r="T2758" s="10"/>
      <c r="U2758" s="10"/>
      <c r="V2758" s="10"/>
      <c r="W2758" s="10"/>
      <c r="X2758" s="10"/>
      <c r="Y2758" s="10"/>
      <c r="Z2758" s="10"/>
    </row>
    <row r="2759" spans="1:26" ht="12.75">
      <c r="A2759" s="10" t="str">
        <f ca="1">IFERROR(__xludf.DUMMYFUNCTION("""COMPUTED_VALUE"""),"Екатерина Георгиева Попандонова-Желязова")</f>
        <v>Екатерина Георгиева Попандонова-Желязова</v>
      </c>
      <c r="B2759" s="10" t="str">
        <f ca="1">IFERROR(__xludf.DUMMYFUNCTION("""COMPUTED_VALUE"""),"Доклад от конференция")</f>
        <v>Доклад от конференция</v>
      </c>
      <c r="C2759" s="10" t="str">
        <f ca="1">IFERROR(__xludf.DUMMYFUNCTION("""COMPUTED_VALUE"""),"Methodological foundations and argumentation of analyzing foreign language vocabulary for specific purposes in multimedia interactive environment within the frame of action research methodology")</f>
        <v>Methodological foundations and argumentation of analyzing foreign language vocabulary for specific purposes in multimedia interactive environment within the frame of action research methodology</v>
      </c>
      <c r="D2759" s="10">
        <f ca="1">IFERROR(__xludf.DUMMYFUNCTION("""COMPUTED_VALUE"""),2015)</f>
        <v>2015</v>
      </c>
      <c r="E2759" s="10" t="str">
        <f ca="1">IFERROR(__xludf.DUMMYFUNCTION("""COMPUTED_VALUE"""),"9th International Technology, Education and Development Conference, Madrid, Spain, March, 2015. INTED2015 Proceedings, pp. 3141-3149. ISBN: 978-84-606-5763-7 ISSN: 2340-1079")</f>
        <v>9th International Technology, Education and Development Conference, Madrid, Spain, March, 2015. INTED2015 Proceedings, pp. 3141-3149. ISBN: 978-84-606-5763-7 ISSN: 2340-1079</v>
      </c>
      <c r="F2759" s="10"/>
      <c r="G2759" s="10" t="str">
        <f ca="1">IFERROR(__xludf.DUMMYFUNCTION("""COMPUTED_VALUE"""),"Tsankov, S.")</f>
        <v>Tsankov, S.</v>
      </c>
      <c r="H2759" s="10"/>
      <c r="I2759" s="10"/>
      <c r="J2759" s="10"/>
      <c r="K2759" s="10"/>
      <c r="L2759" s="10"/>
      <c r="M2759" s="10"/>
      <c r="N2759" s="10"/>
      <c r="O2759" s="10"/>
      <c r="P2759" s="10"/>
      <c r="Q2759" s="10"/>
      <c r="R2759" s="10"/>
      <c r="S2759" s="10"/>
      <c r="T2759" s="10"/>
      <c r="U2759" s="10"/>
      <c r="V2759" s="10"/>
      <c r="W2759" s="10"/>
      <c r="X2759" s="10"/>
      <c r="Y2759" s="10"/>
      <c r="Z2759" s="10"/>
    </row>
    <row r="2760" spans="1:26" ht="12.75">
      <c r="A2760" s="10" t="str">
        <f ca="1">IFERROR(__xludf.DUMMYFUNCTION("""COMPUTED_VALUE"""),"Екатерина Георгиева Попандонова-Желязова")</f>
        <v>Екатерина Георгиева Попандонова-Желязова</v>
      </c>
      <c r="B2760" s="10" t="str">
        <f ca="1">IFERROR(__xludf.DUMMYFUNCTION("""COMPUTED_VALUE"""),"Доклад от конференция")</f>
        <v>Доклад от конференция</v>
      </c>
      <c r="C2760" s="10" t="str">
        <f ca="1">IFERROR(__xludf.DUMMYFUNCTION("""COMPUTED_VALUE"""),"Learning foreign language vocabulary for specific purposes in an interactive multimedia environment – conceptualization of the research design")</f>
        <v>Learning foreign language vocabulary for specific purposes in an interactive multimedia environment – conceptualization of the research design</v>
      </c>
      <c r="D2760" s="10">
        <f ca="1">IFERROR(__xludf.DUMMYFUNCTION("""COMPUTED_VALUE"""),2015)</f>
        <v>2015</v>
      </c>
      <c r="E2760" s="10" t="str">
        <f ca="1">IFERROR(__xludf.DUMMYFUNCTION("""COMPUTED_VALUE"""),"XXII международной научно-практической конференции 2–3 апреля 2015 г. / Науч.-инф. издат. центр «Институт стратегических исследований». – Москва: Изд-во «Институт стратегических исследований»: Изд-во «Перо», 2015. с. 250-254. ISBN 978-5-00086-413-5")</f>
        <v>XXII международной научно-практической конференции 2–3 апреля 2015 г. / Науч.-инф. издат. центр «Институт стратегических исследований». – Москва: Изд-во «Институт стратегических исследований»: Изд-во «Перо», 2015. с. 250-254. ISBN 978-5-00086-413-5</v>
      </c>
      <c r="F2760" s="10"/>
      <c r="G2760" s="10"/>
      <c r="H2760" s="10"/>
      <c r="I2760" s="10"/>
      <c r="J2760" s="10"/>
      <c r="K2760" s="10"/>
      <c r="L2760" s="10"/>
      <c r="M2760" s="10"/>
      <c r="N2760" s="10"/>
      <c r="O2760" s="10"/>
      <c r="P2760" s="10"/>
      <c r="Q2760" s="10"/>
      <c r="R2760" s="10"/>
      <c r="S2760" s="10"/>
      <c r="T2760" s="10"/>
      <c r="U2760" s="10"/>
      <c r="V2760" s="10"/>
      <c r="W2760" s="10"/>
      <c r="X2760" s="10"/>
      <c r="Y2760" s="10"/>
      <c r="Z2760" s="10"/>
    </row>
    <row r="2761" spans="1:26" ht="12.75">
      <c r="A2761" s="10" t="str">
        <f ca="1">IFERROR(__xludf.DUMMYFUNCTION("""COMPUTED_VALUE"""),"Екатерина Георгиева Попандонова-Желязова")</f>
        <v>Екатерина Георгиева Попандонова-Желязова</v>
      </c>
      <c r="B2761" s="10" t="str">
        <f ca="1">IFERROR(__xludf.DUMMYFUNCTION("""COMPUTED_VALUE"""),"Доклад от конференция")</f>
        <v>Доклад от конференция</v>
      </c>
      <c r="C2761" s="10" t="str">
        <f ca="1">IFERROR(__xludf.DUMMYFUNCTION("""COMPUTED_VALUE"""),"Корекция на грешките при писмените и устни постижения на изучаващите чужд език")</f>
        <v>Корекция на грешките при писмените и устни постижения на изучаващите чужд език</v>
      </c>
      <c r="D2761" s="10">
        <f ca="1">IFERROR(__xludf.DUMMYFUNCTION("""COMPUTED_VALUE"""),2014)</f>
        <v>2014</v>
      </c>
      <c r="E2761" s="10" t="str">
        <f ca="1">IFERROR(__xludf.DUMMYFUNCTION("""COMPUTED_VALUE"""),"Научни Тр. на УниБИТ, Т. 11, 2013 София, „За буквите. О Писменехь“, 2014, с. 397 – 404. ISSN 1314-2623")</f>
        <v>Научни Тр. на УниБИТ, Т. 11, 2013 София, „За буквите. О Писменехь“, 2014, с. 397 – 404. ISSN 1314-2623</v>
      </c>
      <c r="F2761" s="10"/>
      <c r="G2761" s="10"/>
      <c r="H2761" s="10"/>
      <c r="I2761" s="10"/>
      <c r="J2761" s="10"/>
      <c r="K2761" s="10"/>
      <c r="L2761" s="10"/>
      <c r="M2761" s="10"/>
      <c r="N2761" s="10"/>
      <c r="O2761" s="10"/>
      <c r="P2761" s="10"/>
      <c r="Q2761" s="10"/>
      <c r="R2761" s="10"/>
      <c r="S2761" s="10"/>
      <c r="T2761" s="10"/>
      <c r="U2761" s="10"/>
      <c r="V2761" s="10"/>
      <c r="W2761" s="10"/>
      <c r="X2761" s="10"/>
      <c r="Y2761" s="10"/>
      <c r="Z2761" s="10"/>
    </row>
    <row r="2762" spans="1:26" ht="12.75">
      <c r="A2762" s="10" t="str">
        <f ca="1">IFERROR(__xludf.DUMMYFUNCTION("""COMPUTED_VALUE"""),"Екатерина Георгиева Попандонова-Желязова")</f>
        <v>Екатерина Георгиева Попандонова-Желязова</v>
      </c>
      <c r="B2762" s="10" t="str">
        <f ca="1">IFERROR(__xludf.DUMMYFUNCTION("""COMPUTED_VALUE"""),"Доклад от конференция")</f>
        <v>Доклад от конференция</v>
      </c>
      <c r="C2762" s="10" t="str">
        <f ca="1">IFERROR(__xludf.DUMMYFUNCTION("""COMPUTED_VALUE"""),"Purposeful accumulation of and building upon the academic lexical knowledge in the process of learning a foreign language")</f>
        <v>Purposeful accumulation of and building upon the academic lexical knowledge in the process of learning a foreign language</v>
      </c>
      <c r="D2762" s="10">
        <f ca="1">IFERROR(__xludf.DUMMYFUNCTION("""COMPUTED_VALUE"""),2014)</f>
        <v>2014</v>
      </c>
      <c r="E2762" s="10" t="str">
        <f ca="1">IFERROR(__xludf.DUMMYFUNCTION("""COMPUTED_VALUE"""),"XIX международной научно-практической конференции 25–26 июня 2014 г. / Науч.-инф. издат. центр «Институт стратегических исследований». – Москва : Изд-во «Спецкнига», 2014. с. 180-184. ISBN 978-5-91891-397-0")</f>
        <v>XIX международной научно-практической конференции 25–26 июня 2014 г. / Науч.-инф. издат. центр «Институт стратегических исследований». – Москва : Изд-во «Спецкнига», 2014. с. 180-184. ISBN 978-5-91891-397-0</v>
      </c>
      <c r="F2762" s="10"/>
      <c r="G2762" s="10"/>
      <c r="H2762" s="10"/>
      <c r="I2762" s="10"/>
      <c r="J2762" s="10"/>
      <c r="K2762" s="10"/>
      <c r="L2762" s="10"/>
      <c r="M2762" s="10"/>
      <c r="N2762" s="10"/>
      <c r="O2762" s="10"/>
      <c r="P2762" s="10"/>
      <c r="Q2762" s="10"/>
      <c r="R2762" s="10"/>
      <c r="S2762" s="10"/>
      <c r="T2762" s="10"/>
      <c r="U2762" s="10"/>
      <c r="V2762" s="10"/>
      <c r="W2762" s="10"/>
      <c r="X2762" s="10"/>
      <c r="Y2762" s="10"/>
      <c r="Z2762" s="10"/>
    </row>
    <row r="2763" spans="1:26" ht="12.75">
      <c r="A2763" s="10" t="str">
        <f ca="1">IFERROR(__xludf.DUMMYFUNCTION("""COMPUTED_VALUE"""),"Екатерина Георгиева Попандонова-Желязова")</f>
        <v>Екатерина Георгиева Попандонова-Желязова</v>
      </c>
      <c r="B2763" s="10" t="str">
        <f ca="1">IFERROR(__xludf.DUMMYFUNCTION("""COMPUTED_VALUE"""),"Доклад от конференция")</f>
        <v>Доклад от конференция</v>
      </c>
      <c r="C2763" s="10" t="str">
        <f ca="1">IFERROR(__xludf.DUMMYFUNCTION("""COMPUTED_VALUE"""),"Същност, значимост и приложение на често използваните в англоезичните печатни медии идиоми и фрази, в подкрепа на изучаването на лексиката на английски език за академични цели")</f>
        <v>Същност, значимост и приложение на често използваните в англоезичните печатни медии идиоми и фрази, в подкрепа на изучаването на лексиката на английски език за академични цели</v>
      </c>
      <c r="D2763" s="10">
        <f ca="1">IFERROR(__xludf.DUMMYFUNCTION("""COMPUTED_VALUE"""),2014)</f>
        <v>2014</v>
      </c>
      <c r="E2763" s="10" t="str">
        <f ca="1">IFERROR(__xludf.DUMMYFUNCTION("""COMPUTED_VALUE"""),"Научни трудове на РУ ‘Ангел Кънчев’, том 53, серия 6.3., стр. 28-35, 2014. ISSN 1311-3321")</f>
        <v>Научни трудове на РУ ‘Ангел Кънчев’, том 53, серия 6.3., стр. 28-35, 2014. ISSN 1311-3321</v>
      </c>
      <c r="F2763" s="10"/>
      <c r="G2763" s="10"/>
      <c r="H2763" s="10"/>
      <c r="I2763" s="10"/>
      <c r="J2763" s="10"/>
      <c r="K2763" s="10"/>
      <c r="L2763" s="10"/>
      <c r="M2763" s="10"/>
      <c r="N2763" s="10"/>
      <c r="O2763" s="10"/>
      <c r="P2763" s="10"/>
      <c r="Q2763" s="10"/>
      <c r="R2763" s="10"/>
      <c r="S2763" s="10"/>
      <c r="T2763" s="10"/>
      <c r="U2763" s="10"/>
      <c r="V2763" s="10"/>
      <c r="W2763" s="10"/>
      <c r="X2763" s="10"/>
      <c r="Y2763" s="10"/>
      <c r="Z2763" s="10"/>
    </row>
    <row r="2764" spans="1:26" ht="12.75">
      <c r="A2764" s="10" t="str">
        <f ca="1">IFERROR(__xludf.DUMMYFUNCTION("""COMPUTED_VALUE"""),"Екатерина Георгиева Попандонова-Желязова")</f>
        <v>Екатерина Георгиева Попандонова-Желязова</v>
      </c>
      <c r="B2764" s="10" t="str">
        <f ca="1">IFERROR(__xludf.DUMMYFUNCTION("""COMPUTED_VALUE"""),"Доклад от конференция")</f>
        <v>Доклад от конференция</v>
      </c>
      <c r="C2764" s="10" t="str">
        <f ca="1">IFERROR(__xludf.DUMMYFUNCTION("""COMPUTED_VALUE"""),"Нагласи и мнения за изучаване на чужд език в контекста на съвременната образователна практика")</f>
        <v>Нагласи и мнения за изучаване на чужд език в контекста на съвременната образователна практика</v>
      </c>
      <c r="D2764" s="10">
        <f ca="1">IFERROR(__xludf.DUMMYFUNCTION("""COMPUTED_VALUE"""),2014)</f>
        <v>2014</v>
      </c>
      <c r="E2764" s="10" t="str">
        <f ca="1">IFERROR(__xludf.DUMMYFUNCTION("""COMPUTED_VALUE"""),"Научни трудове на РУ ‘Ангел Кънчев’, Научни трудове на РУ ‘Ангел Кънчев’, том 53, серия 6.3., стр. 87 – 96, 2014. ISSN 1311-3321")</f>
        <v>Научни трудове на РУ ‘Ангел Кънчев’, Научни трудове на РУ ‘Ангел Кънчев’, том 53, серия 6.3., стр. 87 – 96, 2014. ISSN 1311-3321</v>
      </c>
      <c r="F2764" s="10"/>
      <c r="G2764" s="10"/>
      <c r="H2764" s="10"/>
      <c r="I2764" s="10"/>
      <c r="J2764" s="10"/>
      <c r="K2764" s="10"/>
      <c r="L2764" s="10"/>
      <c r="M2764" s="10"/>
      <c r="N2764" s="10"/>
      <c r="O2764" s="10"/>
      <c r="P2764" s="10"/>
      <c r="Q2764" s="10"/>
      <c r="R2764" s="10"/>
      <c r="S2764" s="10"/>
      <c r="T2764" s="10"/>
      <c r="U2764" s="10"/>
      <c r="V2764" s="10"/>
      <c r="W2764" s="10"/>
      <c r="X2764" s="10"/>
      <c r="Y2764" s="10"/>
      <c r="Z2764" s="10"/>
    </row>
    <row r="2765" spans="1:26" ht="12.75">
      <c r="A2765" s="10" t="str">
        <f ca="1">IFERROR(__xludf.DUMMYFUNCTION("""COMPUTED_VALUE"""),"Екатерина Георгиева Попандонова-Желязова")</f>
        <v>Екатерина Георгиева Попандонова-Желязова</v>
      </c>
      <c r="B2765" s="10" t="str">
        <f ca="1">IFERROR(__xludf.DUMMYFUNCTION("""COMPUTED_VALUE"""),"Доклад от конференция")</f>
        <v>Доклад от конференция</v>
      </c>
      <c r="C2765" s="10" t="str">
        <f ca="1">IFERROR(__xludf.DUMMYFUNCTION("""COMPUTED_VALUE"""),"A constructivist approach in the organization of an effective and high quality foreign language learning process based on interactive educational technologies")</f>
        <v>A constructivist approach in the organization of an effective and high quality foreign language learning process based on interactive educational technologies</v>
      </c>
      <c r="D2765" s="10">
        <f ca="1">IFERROR(__xludf.DUMMYFUNCTION("""COMPUTED_VALUE"""),2014)</f>
        <v>2014</v>
      </c>
      <c r="E2765" s="10" t="str">
        <f ca="1">IFERROR(__xludf.DUMMYFUNCTION("""COMPUTED_VALUE"""),"""6th International Conference on Education and New Learning Technologies, Barcelona, Spain, July, 2014. EDULEARN14 Proceedings, pp. 6195-6204. ISBN: 978-84-617-0557-3 ISSN: 2340-1117 """)</f>
        <v>"6th International Conference on Education and New Learning Technologies, Barcelona, Spain, July, 2014. EDULEARN14 Proceedings, pp. 6195-6204. ISBN: 978-84-617-0557-3 ISSN: 2340-1117 "</v>
      </c>
      <c r="F2765" s="10" t="str">
        <f ca="1">IFERROR(__xludf.DUMMYFUNCTION("""COMPUTED_VALUE"""),"Wos")</f>
        <v>Wos</v>
      </c>
      <c r="G2765" s="10" t="str">
        <f ca="1">IFERROR(__xludf.DUMMYFUNCTION("""COMPUTED_VALUE"""),"Цанков, С.")</f>
        <v>Цанков, С.</v>
      </c>
      <c r="H2765" s="10"/>
      <c r="I2765" s="10"/>
      <c r="J2765" s="10"/>
      <c r="K2765" s="10"/>
      <c r="L2765" s="10"/>
      <c r="M2765" s="10"/>
      <c r="N2765" s="10"/>
      <c r="O2765" s="10"/>
      <c r="P2765" s="10"/>
      <c r="Q2765" s="10"/>
      <c r="R2765" s="10"/>
      <c r="S2765" s="10"/>
      <c r="T2765" s="10"/>
      <c r="U2765" s="10"/>
      <c r="V2765" s="10"/>
      <c r="W2765" s="10"/>
      <c r="X2765" s="10"/>
      <c r="Y2765" s="10"/>
      <c r="Z2765" s="10"/>
    </row>
    <row r="2766" spans="1:26" ht="12.75">
      <c r="A2766" s="10" t="str">
        <f ca="1">IFERROR(__xludf.DUMMYFUNCTION("""COMPUTED_VALUE"""),"Екатерина Георгиева Попандонова-Желязова")</f>
        <v>Екатерина Георгиева Попандонова-Желязова</v>
      </c>
      <c r="B2766" s="10" t="str">
        <f ca="1">IFERROR(__xludf.DUMMYFUNCTION("""COMPUTED_VALUE"""),"Доклад от конференция")</f>
        <v>Доклад от конференция</v>
      </c>
      <c r="C2766" s="10" t="str">
        <f ca="1">IFERROR(__xludf.DUMMYFUNCTION("""COMPUTED_VALUE"""),"Position, importance and assessment of foreign-language vocabulary in the teaching and learning process")</f>
        <v>Position, importance and assessment of foreign-language vocabulary in the teaching and learning process</v>
      </c>
      <c r="D2766" s="10">
        <f ca="1">IFERROR(__xludf.DUMMYFUNCTION("""COMPUTED_VALUE"""),2014)</f>
        <v>2014</v>
      </c>
      <c r="E2766" s="10" t="str">
        <f ca="1">IFERROR(__xludf.DUMMYFUNCTION("""COMPUTED_VALUE"""),"XX международной научно-практической конференции 2–3 октября 2014 г. / Науч.-инф. издат. центр «Институт стратегических исследований». – Москва : Изд-во «Институт стратегических исследований», 2014. с. 254-258. ISBN 978-5-91891-425-0")</f>
        <v>XX международной научно-практической конференции 2–3 октября 2014 г. / Науч.-инф. издат. центр «Институт стратегических исследований». – Москва : Изд-во «Институт стратегических исследований», 2014. с. 254-258. ISBN 978-5-91891-425-0</v>
      </c>
      <c r="F2766" s="10"/>
      <c r="G2766" s="10"/>
      <c r="H2766" s="10"/>
      <c r="I2766" s="10"/>
      <c r="J2766" s="10"/>
      <c r="K2766" s="10"/>
      <c r="L2766" s="10"/>
      <c r="M2766" s="10"/>
      <c r="N2766" s="10"/>
      <c r="O2766" s="10"/>
      <c r="P2766" s="10"/>
      <c r="Q2766" s="10"/>
      <c r="R2766" s="10"/>
      <c r="S2766" s="10"/>
      <c r="T2766" s="10"/>
      <c r="U2766" s="10"/>
      <c r="V2766" s="10"/>
      <c r="W2766" s="10"/>
      <c r="X2766" s="10"/>
      <c r="Y2766" s="10"/>
      <c r="Z2766" s="10"/>
    </row>
    <row r="2767" spans="1:26" ht="12.75">
      <c r="A2767" s="10" t="str">
        <f ca="1">IFERROR(__xludf.DUMMYFUNCTION("""COMPUTED_VALUE"""),"Екатерина Георгиева Попандонова-Желязова")</f>
        <v>Екатерина Георгиева Попандонова-Желязова</v>
      </c>
      <c r="B2767" s="10" t="str">
        <f ca="1">IFERROR(__xludf.DUMMYFUNCTION("""COMPUTED_VALUE"""),"Доклад от конференция")</f>
        <v>Доклад от конференция</v>
      </c>
      <c r="C2767" s="10" t="str">
        <f ca="1">IFERROR(__xludf.DUMMYFUNCTION("""COMPUTED_VALUE"""),"Applying interactive educational technologies in the process of English for specific purposes vocabulary learning for high quality foreign language instruction")</f>
        <v>Applying interactive educational technologies in the process of English for specific purposes vocabulary learning for high quality foreign language instruction</v>
      </c>
      <c r="D2767" s="10">
        <f ca="1">IFERROR(__xludf.DUMMYFUNCTION("""COMPUTED_VALUE"""),2014)</f>
        <v>2014</v>
      </c>
      <c r="E2767" s="10" t="str">
        <f ca="1">IFERROR(__xludf.DUMMYFUNCTION("""COMPUTED_VALUE"""),"7th International Conference of Education, Research and Innovation, Seville, Spain, November, 2014. ICERI2014 Proceedings, pp. 4754-4763. ISBN: 978-84-617-2484-0 ISSN: 2340-1095")</f>
        <v>7th International Conference of Education, Research and Innovation, Seville, Spain, November, 2014. ICERI2014 Proceedings, pp. 4754-4763. ISBN: 978-84-617-2484-0 ISSN: 2340-1095</v>
      </c>
      <c r="F2767" s="10" t="str">
        <f ca="1">IFERROR(__xludf.DUMMYFUNCTION("""COMPUTED_VALUE"""),"Wos")</f>
        <v>Wos</v>
      </c>
      <c r="G2767" s="10" t="str">
        <f ca="1">IFERROR(__xludf.DUMMYFUNCTION("""COMPUTED_VALUE"""),"Цанков, С.")</f>
        <v>Цанков, С.</v>
      </c>
      <c r="H2767" s="10"/>
      <c r="I2767" s="10"/>
      <c r="J2767" s="10"/>
      <c r="K2767" s="10"/>
      <c r="L2767" s="10"/>
      <c r="M2767" s="10"/>
      <c r="N2767" s="10"/>
      <c r="O2767" s="10"/>
      <c r="P2767" s="10"/>
      <c r="Q2767" s="10"/>
      <c r="R2767" s="10"/>
      <c r="S2767" s="10"/>
      <c r="T2767" s="10"/>
      <c r="U2767" s="10"/>
      <c r="V2767" s="10"/>
      <c r="W2767" s="10"/>
      <c r="X2767" s="10"/>
      <c r="Y2767" s="10"/>
      <c r="Z2767" s="10"/>
    </row>
    <row r="2768" spans="1:26" ht="12.75">
      <c r="A2768" s="10" t="str">
        <f ca="1">IFERROR(__xludf.DUMMYFUNCTION("""COMPUTED_VALUE"""),"Екатерина Георгиева Попандонова-Желязова")</f>
        <v>Екатерина Георгиева Попандонова-Желязова</v>
      </c>
      <c r="B2768" s="10" t="str">
        <f ca="1">IFERROR(__xludf.DUMMYFUNCTION("""COMPUTED_VALUE"""),"Доклад от конференция")</f>
        <v>Доклад от конференция</v>
      </c>
      <c r="C2768" s="10" t="str">
        <f ca="1">IFERROR(__xludf.DUMMYFUNCTION("""COMPUTED_VALUE"""),"Взаимодействие на изучаващите чужд език посредством фокусиран върху формата колаборативен диалог")</f>
        <v>Взаимодействие на изучаващите чужд език посредством фокусиран върху формата колаборативен диалог</v>
      </c>
      <c r="D2768" s="10">
        <f ca="1">IFERROR(__xludf.DUMMYFUNCTION("""COMPUTED_VALUE"""),2014)</f>
        <v>2014</v>
      </c>
      <c r="E2768" s="10" t="str">
        <f ca="1">IFERROR(__xludf.DUMMYFUNCTION("""COMPUTED_VALUE"""),"XI Национална научна конференция с международно участие „Обществото на знанието и хуманизмът на XXI век”, София, 1-2 ноември 2013, „За буквите. О Писменехь“, 2014 с. 468 – 474. ISSN 1314-7099")</f>
        <v>XI Национална научна конференция с международно участие „Обществото на знанието и хуманизмът на XXI век”, София, 1-2 ноември 2013, „За буквите. О Писменехь“, 2014 с. 468 – 474. ISSN 1314-7099</v>
      </c>
      <c r="F2768" s="10"/>
      <c r="G2768" s="10"/>
      <c r="H2768" s="10"/>
      <c r="I2768" s="10"/>
      <c r="J2768" s="10"/>
      <c r="K2768" s="10"/>
      <c r="L2768" s="10"/>
      <c r="M2768" s="10"/>
      <c r="N2768" s="10"/>
      <c r="O2768" s="10"/>
      <c r="P2768" s="10"/>
      <c r="Q2768" s="10"/>
      <c r="R2768" s="10"/>
      <c r="S2768" s="10"/>
      <c r="T2768" s="10"/>
      <c r="U2768" s="10"/>
      <c r="V2768" s="10"/>
      <c r="W2768" s="10"/>
      <c r="X2768" s="10"/>
      <c r="Y2768" s="10"/>
      <c r="Z2768" s="10"/>
    </row>
    <row r="2769" spans="1:26" ht="12.75">
      <c r="A2769" s="10" t="str">
        <f ca="1">IFERROR(__xludf.DUMMYFUNCTION("""COMPUTED_VALUE"""),"Екатерина Георгиева Попандонова-Желязова")</f>
        <v>Екатерина Георгиева Попандонова-Желязова</v>
      </c>
      <c r="B2769" s="10" t="str">
        <f ca="1">IFERROR(__xludf.DUMMYFUNCTION("""COMPUTED_VALUE"""),"Доклад от конференция")</f>
        <v>Доклад от конференция</v>
      </c>
      <c r="C2769" s="10" t="str">
        <f ca="1">IFERROR(__xludf.DUMMYFUNCTION("""COMPUTED_VALUE"""),"Взаимодействие при компютърно опосредствано писане в процеса на изучаване на чужд език")</f>
        <v>Взаимодействие при компютърно опосредствано писане в процеса на изучаване на чужд език</v>
      </c>
      <c r="D2769" s="10">
        <f ca="1">IFERROR(__xludf.DUMMYFUNCTION("""COMPUTED_VALUE"""),2014)</f>
        <v>2014</v>
      </c>
      <c r="E2769" s="10" t="str">
        <f ca="1">IFERROR(__xludf.DUMMYFUNCTION("""COMPUTED_VALUE"""),"В: Сб. доклади от Международна научна конференция „Младите в науката – инвестиция в бъдещето”, София-Пловдив, 18-20 октомври 2013, София, „За буквите. О Писменехь“, 2014, с. 194 - 201. ISBN 978-619-185-132-4")</f>
        <v>В: Сб. доклади от Международна научна конференция „Младите в науката – инвестиция в бъдещето”, София-Пловдив, 18-20 октомври 2013, София, „За буквите. О Писменехь“, 2014, с. 194 - 201. ISBN 978-619-185-132-4</v>
      </c>
      <c r="F2769" s="10"/>
      <c r="G2769" s="10"/>
      <c r="H2769" s="10"/>
      <c r="I2769" s="10"/>
      <c r="J2769" s="10"/>
      <c r="K2769" s="10"/>
      <c r="L2769" s="10"/>
      <c r="M2769" s="10"/>
      <c r="N2769" s="10"/>
      <c r="O2769" s="10"/>
      <c r="P2769" s="10"/>
      <c r="Q2769" s="10"/>
      <c r="R2769" s="10"/>
      <c r="S2769" s="10"/>
      <c r="T2769" s="10"/>
      <c r="U2769" s="10"/>
      <c r="V2769" s="10"/>
      <c r="W2769" s="10"/>
      <c r="X2769" s="10"/>
      <c r="Y2769" s="10"/>
      <c r="Z2769" s="10"/>
    </row>
    <row r="2770" spans="1:26" ht="12.75">
      <c r="A2770" s="10" t="str">
        <f ca="1">IFERROR(__xludf.DUMMYFUNCTION("""COMPUTED_VALUE"""),"Екатерина Георгиева Попандонова-Желязова")</f>
        <v>Екатерина Георгиева Попандонова-Желязова</v>
      </c>
      <c r="B2770" s="10" t="str">
        <f ca="1">IFERROR(__xludf.DUMMYFUNCTION("""COMPUTED_VALUE"""),"Доклад от конференция")</f>
        <v>Доклад от конференция</v>
      </c>
      <c r="C2770" s="10" t="str">
        <f ca="1">IFERROR(__xludf.DUMMYFUNCTION("""COMPUTED_VALUE"""),"Стимулиране на концепцията за автономност на ученика в процеса на овладяване на чужд език")</f>
        <v>Стимулиране на концепцията за автономност на ученика в процеса на овладяване на чужд език</v>
      </c>
      <c r="D2770" s="10">
        <f ca="1">IFERROR(__xludf.DUMMYFUNCTION("""COMPUTED_VALUE"""),2013)</f>
        <v>2013</v>
      </c>
      <c r="E2770" s="10" t="str">
        <f ca="1">IFERROR(__xludf.DUMMYFUNCTION("""COMPUTED_VALUE"""),"Научни трудове на РУ ‘Ангел Кънчев’, том 52, серия 6.3., Русе, 2013. pp. 149-157. ISSN 1311-3321")</f>
        <v>Научни трудове на РУ ‘Ангел Кънчев’, том 52, серия 6.3., Русе, 2013. pp. 149-157. ISSN 1311-3321</v>
      </c>
      <c r="F2770" s="10"/>
      <c r="G2770" s="10"/>
      <c r="H2770" s="10"/>
      <c r="I2770" s="10"/>
      <c r="J2770" s="10"/>
      <c r="K2770" s="10"/>
      <c r="L2770" s="10"/>
      <c r="M2770" s="10"/>
      <c r="N2770" s="10"/>
      <c r="O2770" s="10"/>
      <c r="P2770" s="10"/>
      <c r="Q2770" s="10"/>
      <c r="R2770" s="10"/>
      <c r="S2770" s="10"/>
      <c r="T2770" s="10"/>
      <c r="U2770" s="10"/>
      <c r="V2770" s="10"/>
      <c r="W2770" s="10"/>
      <c r="X2770" s="10"/>
      <c r="Y2770" s="10"/>
      <c r="Z2770" s="10"/>
    </row>
    <row r="2771" spans="1:26" ht="12.75">
      <c r="A2771" s="10" t="str">
        <f ca="1">IFERROR(__xludf.DUMMYFUNCTION("""COMPUTED_VALUE"""),"Екатерина Георгиева Попандонова-Желязова")</f>
        <v>Екатерина Георгиева Попандонова-Желязова</v>
      </c>
      <c r="B2771" s="10" t="str">
        <f ca="1">IFERROR(__xludf.DUMMYFUNCTION("""COMPUTED_VALUE"""),"Доклад от конференция")</f>
        <v>Доклад от конференция</v>
      </c>
      <c r="C2771" s="10" t="str">
        <f ca="1">IFERROR(__xludf.DUMMYFUNCTION("""COMPUTED_VALUE"""),"Същност, особености и стратегии при усвояване на чуждоезиковата лексика")</f>
        <v>Същност, особености и стратегии при усвояване на чуждоезиковата лексика</v>
      </c>
      <c r="D2771" s="10">
        <f ca="1">IFERROR(__xludf.DUMMYFUNCTION("""COMPUTED_VALUE"""),2013)</f>
        <v>2013</v>
      </c>
      <c r="E2771" s="10" t="str">
        <f ca="1">IFERROR(__xludf.DUMMYFUNCTION("""COMPUTED_VALUE"""),"Научни трудове на РУ ‘Ангел Кънчев’, том 52, серия 6.3, 2013. стр. 140-148. ISSN 1311-3321")</f>
        <v>Научни трудове на РУ ‘Ангел Кънчев’, том 52, серия 6.3, 2013. стр. 140-148. ISSN 1311-3321</v>
      </c>
      <c r="F2771" s="10"/>
      <c r="G2771" s="10"/>
      <c r="H2771" s="10"/>
      <c r="I2771" s="10"/>
      <c r="J2771" s="10"/>
      <c r="K2771" s="10"/>
      <c r="L2771" s="10"/>
      <c r="M2771" s="10"/>
      <c r="N2771" s="10"/>
      <c r="O2771" s="10"/>
      <c r="P2771" s="10"/>
      <c r="Q2771" s="10"/>
      <c r="R2771" s="10"/>
      <c r="S2771" s="10"/>
      <c r="T2771" s="10"/>
      <c r="U2771" s="10"/>
      <c r="V2771" s="10"/>
      <c r="W2771" s="10"/>
      <c r="X2771" s="10"/>
      <c r="Y2771" s="10"/>
      <c r="Z2771" s="10"/>
    </row>
    <row r="2772" spans="1:26" ht="12.75">
      <c r="A2772" s="10" t="str">
        <f ca="1">IFERROR(__xludf.DUMMYFUNCTION("""COMPUTED_VALUE"""),"Екатерина Георгиева Попандонова-Желязова")</f>
        <v>Екатерина Георгиева Попандонова-Желязова</v>
      </c>
      <c r="B2772" s="10" t="str">
        <f ca="1">IFERROR(__xludf.DUMMYFUNCTION("""COMPUTED_VALUE"""),"Доклад от конференция")</f>
        <v>Доклад от конференция</v>
      </c>
      <c r="C2772" s="10" t="str">
        <f ca="1">IFERROR(__xludf.DUMMYFUNCTION("""COMPUTED_VALUE"""),"Автономността на учениците в часовете по чужд език чрез използване на материали за самостоятелен достъп")</f>
        <v>Автономността на учениците в часовете по чужд език чрез използване на материали за самостоятелен достъп</v>
      </c>
      <c r="D2772" s="10">
        <f ca="1">IFERROR(__xludf.DUMMYFUNCTION("""COMPUTED_VALUE"""),2012)</f>
        <v>2012</v>
      </c>
      <c r="E2772" s="10" t="str">
        <f ca="1">IFERROR(__xludf.DUMMYFUNCTION("""COMPUTED_VALUE"""),"Научни трудове на РУ ‘Ангел Кънчев’, том 51, серия 6.3, 2012. с. 75-82. ISSN 1311-3321")</f>
        <v>Научни трудове на РУ ‘Ангел Кънчев’, том 51, серия 6.3, 2012. с. 75-82. ISSN 1311-3321</v>
      </c>
      <c r="F2772" s="10"/>
      <c r="G2772" s="10"/>
      <c r="H2772" s="10"/>
      <c r="I2772" s="10"/>
      <c r="J2772" s="10"/>
      <c r="K2772" s="10"/>
      <c r="L2772" s="10"/>
      <c r="M2772" s="10"/>
      <c r="N2772" s="10"/>
      <c r="O2772" s="10"/>
      <c r="P2772" s="10"/>
      <c r="Q2772" s="10"/>
      <c r="R2772" s="10"/>
      <c r="S2772" s="10"/>
      <c r="T2772" s="10"/>
      <c r="U2772" s="10"/>
      <c r="V2772" s="10"/>
      <c r="W2772" s="10"/>
      <c r="X2772" s="10"/>
      <c r="Y2772" s="10"/>
      <c r="Z2772" s="10"/>
    </row>
    <row r="2773" spans="1:26" ht="12.75">
      <c r="A2773" s="10" t="str">
        <f ca="1">IFERROR(__xludf.DUMMYFUNCTION("""COMPUTED_VALUE"""),"Екатерина Георгиева Попандонова-Желязова")</f>
        <v>Екатерина Георгиева Попандонова-Желязова</v>
      </c>
      <c r="B2773" s="10" t="str">
        <f ca="1">IFERROR(__xludf.DUMMYFUNCTION("""COMPUTED_VALUE"""),"Книга")</f>
        <v>Книга</v>
      </c>
      <c r="C2773" s="10" t="str">
        <f ca="1">IFERROR(__xludf.DUMMYFUNCTION("""COMPUTED_VALUE"""),"Мотивация за изучаване на чужд език – фактори, влияещи върху обучението по английски език")</f>
        <v>Мотивация за изучаване на чужд език – фактори, влияещи върху обучението по английски език</v>
      </c>
      <c r="D2773" s="10">
        <f ca="1">IFERROR(__xludf.DUMMYFUNCTION("""COMPUTED_VALUE"""),2012)</f>
        <v>2012</v>
      </c>
      <c r="E2773" s="10" t="str">
        <f ca="1">IFERROR(__xludf.DUMMYFUNCTION("""COMPUTED_VALUE"""),"Примакс-Русе, 2012. ISBN 978-954-8675-49-9")</f>
        <v>Примакс-Русе, 2012. ISBN 978-954-8675-49-9</v>
      </c>
      <c r="F2773" s="10"/>
      <c r="G2773" s="10"/>
      <c r="H2773" s="10"/>
      <c r="I2773" s="10"/>
      <c r="J2773" s="10"/>
      <c r="K2773" s="10"/>
      <c r="L2773" s="10"/>
      <c r="M2773" s="10"/>
      <c r="N2773" s="10"/>
      <c r="O2773" s="10"/>
      <c r="P2773" s="10"/>
      <c r="Q2773" s="10"/>
      <c r="R2773" s="10"/>
      <c r="S2773" s="10"/>
      <c r="T2773" s="10"/>
      <c r="U2773" s="10"/>
      <c r="V2773" s="10"/>
      <c r="W2773" s="10"/>
      <c r="X2773" s="10"/>
      <c r="Y2773" s="10"/>
      <c r="Z2773" s="10"/>
    </row>
    <row r="2774" spans="1:26" ht="12.75">
      <c r="A2774" s="10" t="str">
        <f ca="1">IFERROR(__xludf.DUMMYFUNCTION("""COMPUTED_VALUE"""),"Екатерина Георгиева Попандонова-Желязова")</f>
        <v>Екатерина Георгиева Попандонова-Желязова</v>
      </c>
      <c r="B2774" s="10" t="str">
        <f ca="1">IFERROR(__xludf.DUMMYFUNCTION("""COMPUTED_VALUE"""),"Книга")</f>
        <v>Книга</v>
      </c>
      <c r="C2774" s="10" t="str">
        <f ca="1">IFERROR(__xludf.DUMMYFUNCTION("""COMPUTED_VALUE"""),"Стратегическа компетентност на учениците в обучението по чужд език в български контекст")</f>
        <v>Стратегическа компетентност на учениците в обучението по чужд език в български контекст</v>
      </c>
      <c r="D2774" s="10">
        <f ca="1">IFERROR(__xludf.DUMMYFUNCTION("""COMPUTED_VALUE"""),2012)</f>
        <v>2012</v>
      </c>
      <c r="E2774" s="10" t="str">
        <f ca="1">IFERROR(__xludf.DUMMYFUNCTION("""COMPUTED_VALUE"""),"Примакс-Русе, 2012 ISBN 978-954-8675-50-5")</f>
        <v>Примакс-Русе, 2012 ISBN 978-954-8675-50-5</v>
      </c>
      <c r="F2774" s="10"/>
      <c r="G2774" s="10"/>
      <c r="H2774" s="10"/>
      <c r="I2774" s="10"/>
      <c r="J2774" s="10"/>
      <c r="K2774" s="10"/>
      <c r="L2774" s="10"/>
      <c r="M2774" s="10"/>
      <c r="N2774" s="10"/>
      <c r="O2774" s="10"/>
      <c r="P2774" s="10"/>
      <c r="Q2774" s="10"/>
      <c r="R2774" s="10"/>
      <c r="S2774" s="10"/>
      <c r="T2774" s="10"/>
      <c r="U2774" s="10"/>
      <c r="V2774" s="10"/>
      <c r="W2774" s="10"/>
      <c r="X2774" s="10"/>
      <c r="Y2774" s="10"/>
      <c r="Z2774" s="10"/>
    </row>
    <row r="2775" spans="1:26" ht="12.75">
      <c r="A2775" s="10" t="str">
        <f ca="1">IFERROR(__xludf.DUMMYFUNCTION("""COMPUTED_VALUE"""),"Екатерина Георгиева Попандонова-Желязова")</f>
        <v>Екатерина Георгиева Попандонова-Желязова</v>
      </c>
      <c r="B2775" s="10" t="str">
        <f ca="1">IFERROR(__xludf.DUMMYFUNCTION("""COMPUTED_VALUE"""),"Доклад от конференция")</f>
        <v>Доклад от конференция</v>
      </c>
      <c r="C2775" s="10" t="str">
        <f ca="1">IFERROR(__xludf.DUMMYFUNCTION("""COMPUTED_VALUE"""),"Интелигентността, способността и индивидуалността като различия на учениците при изучаване на чужд език")</f>
        <v>Интелигентността, способността и индивидуалността като различия на учениците при изучаване на чужд език</v>
      </c>
      <c r="D2775" s="10">
        <f ca="1">IFERROR(__xludf.DUMMYFUNCTION("""COMPUTED_VALUE"""),2012)</f>
        <v>2012</v>
      </c>
      <c r="E2775" s="10" t="str">
        <f ca="1">IFERROR(__xludf.DUMMYFUNCTION("""COMPUTED_VALUE"""),"Научни трудове на РУ ‘Ангел Кънчев’, том 51, серия 6.3, 2012. с. 22-30. ISSN 1311-3321")</f>
        <v>Научни трудове на РУ ‘Ангел Кънчев’, том 51, серия 6.3, 2012. с. 22-30. ISSN 1311-3321</v>
      </c>
      <c r="F2775" s="10"/>
      <c r="G2775" s="10"/>
      <c r="H2775" s="10"/>
      <c r="I2775" s="10"/>
      <c r="J2775" s="10"/>
      <c r="K2775" s="10"/>
      <c r="L2775" s="10"/>
      <c r="M2775" s="10"/>
      <c r="N2775" s="10"/>
      <c r="O2775" s="10"/>
      <c r="P2775" s="10"/>
      <c r="Q2775" s="10"/>
      <c r="R2775" s="10"/>
      <c r="S2775" s="10"/>
      <c r="T2775" s="10"/>
      <c r="U2775" s="10"/>
      <c r="V2775" s="10"/>
      <c r="W2775" s="10"/>
      <c r="X2775" s="10"/>
      <c r="Y2775" s="10"/>
      <c r="Z2775" s="10"/>
    </row>
    <row r="2776" spans="1:26" ht="12.75">
      <c r="A2776" s="10" t="str">
        <f ca="1">IFERROR(__xludf.DUMMYFUNCTION("""COMPUTED_VALUE"""),"Екатерина Георгиева Попандонова-Желязова")</f>
        <v>Екатерина Георгиева Попандонова-Желязова</v>
      </c>
      <c r="B2776" s="10" t="str">
        <f ca="1">IFERROR(__xludf.DUMMYFUNCTION("""COMPUTED_VALUE"""),"Книга")</f>
        <v>Книга</v>
      </c>
      <c r="C2776" s="10" t="str">
        <f ca="1">IFERROR(__xludf.DUMMYFUNCTION("""COMPUTED_VALUE"""),"Образователната интерактивна мултимедия – мотивиращо средство за изучаване на чужд език (качествен подход към изследваната проблематика)")</f>
        <v>Образователната интерактивна мултимедия – мотивиращо средство за изучаване на чужд език (качествен подход към изследваната проблематика)</v>
      </c>
      <c r="D2776" s="10">
        <f ca="1">IFERROR(__xludf.DUMMYFUNCTION("""COMPUTED_VALUE"""),2011)</f>
        <v>2011</v>
      </c>
      <c r="E2776" s="10" t="str">
        <f ca="1">IFERROR(__xludf.DUMMYFUNCTION("""COMPUTED_VALUE"""),"Изд. Примакс, Русе, ISBN 978-954-8675-20-8, 2011.")</f>
        <v>Изд. Примакс, Русе, ISBN 978-954-8675-20-8, 2011.</v>
      </c>
      <c r="F2776" s="10"/>
      <c r="G2776" s="10"/>
      <c r="H2776" s="10"/>
      <c r="I2776" s="10"/>
      <c r="J2776" s="10"/>
      <c r="K2776" s="10"/>
      <c r="L2776" s="10"/>
      <c r="M2776" s="10"/>
      <c r="N2776" s="10"/>
      <c r="O2776" s="10"/>
      <c r="P2776" s="10"/>
      <c r="Q2776" s="10"/>
      <c r="R2776" s="10"/>
      <c r="S2776" s="10"/>
      <c r="T2776" s="10"/>
      <c r="U2776" s="10"/>
      <c r="V2776" s="10"/>
      <c r="W2776" s="10"/>
      <c r="X2776" s="10"/>
      <c r="Y2776" s="10"/>
      <c r="Z2776" s="10"/>
    </row>
    <row r="2777" spans="1:26" ht="12.75">
      <c r="A2777" s="10" t="str">
        <f ca="1">IFERROR(__xludf.DUMMYFUNCTION("""COMPUTED_VALUE"""),"Екатерина Георгиева Попандонова-Желязова")</f>
        <v>Екатерина Георгиева Попандонова-Желязова</v>
      </c>
      <c r="B2777" s="10" t="str">
        <f ca="1">IFERROR(__xludf.DUMMYFUNCTION("""COMPUTED_VALUE"""),"Доклад от конференция")</f>
        <v>Доклад от конференция</v>
      </c>
      <c r="C2777" s="10" t="str">
        <f ca="1">IFERROR(__xludf.DUMMYFUNCTION("""COMPUTED_VALUE"""),"Vocabulary perceptions and principles in foreign language learning and teaching")</f>
        <v>Vocabulary perceptions and principles in foreign language learning and teaching</v>
      </c>
      <c r="D2777" s="10">
        <f ca="1">IFERROR(__xludf.DUMMYFUNCTION("""COMPUTED_VALUE"""),2011)</f>
        <v>2011</v>
      </c>
      <c r="E2777" s="10" t="str">
        <f ca="1">IFERROR(__xludf.DUMMYFUNCTION("""COMPUTED_VALUE"""),"Научни трудове на РУ ‘Ангел Кънчев’, том 50, серия 6.3, 2011. с. 145-153. ISSN 1311-3321")</f>
        <v>Научни трудове на РУ ‘Ангел Кънчев’, том 50, серия 6.3, 2011. с. 145-153. ISSN 1311-3321</v>
      </c>
      <c r="F2777" s="10"/>
      <c r="G2777" s="10"/>
      <c r="H2777" s="10"/>
      <c r="I2777" s="10"/>
      <c r="J2777" s="10"/>
      <c r="K2777" s="10"/>
      <c r="L2777" s="10"/>
      <c r="M2777" s="10"/>
      <c r="N2777" s="10"/>
      <c r="O2777" s="10"/>
      <c r="P2777" s="10"/>
      <c r="Q2777" s="10"/>
      <c r="R2777" s="10"/>
      <c r="S2777" s="10"/>
      <c r="T2777" s="10"/>
      <c r="U2777" s="10"/>
      <c r="V2777" s="10"/>
      <c r="W2777" s="10"/>
      <c r="X2777" s="10"/>
      <c r="Y2777" s="10"/>
      <c r="Z2777" s="10"/>
    </row>
    <row r="2778" spans="1:26" ht="12.75">
      <c r="A2778" s="10" t="str">
        <f ca="1">IFERROR(__xludf.DUMMYFUNCTION("""COMPUTED_VALUE"""),"Екатерина Георгиева Попандонова-Желязова")</f>
        <v>Екатерина Георгиева Попандонова-Желязова</v>
      </c>
      <c r="B2778" s="10" t="str">
        <f ca="1">IFERROR(__xludf.DUMMYFUNCTION("""COMPUTED_VALUE"""),"Студия")</f>
        <v>Студия</v>
      </c>
      <c r="C2778" s="10" t="str">
        <f ca="1">IFERROR(__xludf.DUMMYFUNCTION("""COMPUTED_VALUE"""),"Влияние на образователната интерактивна мултимедия върху мотивацията за изучаване на чужд език на деца от малцинствен произход")</f>
        <v>Влияние на образователната интерактивна мултимедия върху мотивацията за изучаване на чужд език на деца от малцинствен произход</v>
      </c>
      <c r="D2778" s="10">
        <f ca="1">IFERROR(__xludf.DUMMYFUNCTION("""COMPUTED_VALUE"""),2011)</f>
        <v>2011</v>
      </c>
      <c r="E2778" s="10" t="str">
        <f ca="1">IFERROR(__xludf.DUMMYFUNCTION("""COMPUTED_VALUE"""),"Годишник на Софийския университет „Св. Климент Охридски“. Том 103, 2011. с. 419-490. ISSN 0861–8291")</f>
        <v>Годишник на Софийския университет „Св. Климент Охридски“. Том 103, 2011. с. 419-490. ISSN 0861–8291</v>
      </c>
      <c r="F2778" s="10"/>
      <c r="G2778" s="10"/>
      <c r="H2778" s="10"/>
      <c r="I2778" s="10"/>
      <c r="J2778" s="10"/>
      <c r="K2778" s="10"/>
      <c r="L2778" s="10"/>
      <c r="M2778" s="10"/>
      <c r="N2778" s="10"/>
      <c r="O2778" s="10"/>
      <c r="P2778" s="10"/>
      <c r="Q2778" s="10"/>
      <c r="R2778" s="10"/>
      <c r="S2778" s="10"/>
      <c r="T2778" s="10"/>
      <c r="U2778" s="10"/>
      <c r="V2778" s="10"/>
      <c r="W2778" s="10"/>
      <c r="X2778" s="10"/>
      <c r="Y2778" s="10"/>
      <c r="Z2778" s="10"/>
    </row>
    <row r="2779" spans="1:26" ht="12.75">
      <c r="A2779" s="10" t="str">
        <f ca="1">IFERROR(__xludf.DUMMYFUNCTION("""COMPUTED_VALUE"""),"Екатерина Георгиева Попандонова-Желязова")</f>
        <v>Екатерина Георгиева Попандонова-Желязова</v>
      </c>
      <c r="B2779" s="10" t="str">
        <f ca="1">IFERROR(__xludf.DUMMYFUNCTION("""COMPUTED_VALUE"""),"Доклад от конференция")</f>
        <v>Доклад от конференция</v>
      </c>
      <c r="C2779" s="10" t="str">
        <f ca="1">IFERROR(__xludf.DUMMYFUNCTION("""COMPUTED_VALUE"""),"Педагогически измерения на компютърно базираното обучение и интерактивната мултимедия в процеса на овладяване на чужд език")</f>
        <v>Педагогически измерения на компютърно базираното обучение и интерактивната мултимедия в процеса на овладяване на чужд език</v>
      </c>
      <c r="D2779" s="10">
        <f ca="1">IFERROR(__xludf.DUMMYFUNCTION("""COMPUTED_VALUE"""),2010)</f>
        <v>2010</v>
      </c>
      <c r="E2779" s="10" t="str">
        <f ca="1">IFERROR(__xludf.DUMMYFUNCTION("""COMPUTED_VALUE"""),"сп. Чуждоезиково обучение, 2010. с. 29-40. ISSN 1314-0086")</f>
        <v>сп. Чуждоезиково обучение, 2010. с. 29-40. ISSN 1314-0086</v>
      </c>
      <c r="F2779" s="10"/>
      <c r="G2779" s="10"/>
      <c r="H2779" s="10"/>
      <c r="I2779" s="10"/>
      <c r="J2779" s="10"/>
      <c r="K2779" s="10"/>
      <c r="L2779" s="10"/>
      <c r="M2779" s="10"/>
      <c r="N2779" s="10"/>
      <c r="O2779" s="10"/>
      <c r="P2779" s="10"/>
      <c r="Q2779" s="10"/>
      <c r="R2779" s="10"/>
      <c r="S2779" s="10"/>
      <c r="T2779" s="10"/>
      <c r="U2779" s="10"/>
      <c r="V2779" s="10"/>
      <c r="W2779" s="10"/>
      <c r="X2779" s="10"/>
      <c r="Y2779" s="10"/>
      <c r="Z2779" s="10"/>
    </row>
    <row r="2780" spans="1:26" ht="12.75">
      <c r="A2780" s="10" t="str">
        <f ca="1">IFERROR(__xludf.DUMMYFUNCTION("""COMPUTED_VALUE"""),"Екатерина Георгиева Попандонова-Желязова")</f>
        <v>Екатерина Георгиева Попандонова-Желязова</v>
      </c>
      <c r="B2780" s="10" t="str">
        <f ca="1">IFERROR(__xludf.DUMMYFUNCTION("""COMPUTED_VALUE"""),"Доклад от конференция")</f>
        <v>Доклад от конференция</v>
      </c>
      <c r="C2780" s="10" t="str">
        <f ca="1">IFERROR(__xludf.DUMMYFUNCTION("""COMPUTED_VALUE"""),"Педагогически измерения на мотивацията за изучаване на чужд език")</f>
        <v>Педагогически измерения на мотивацията за изучаване на чужд език</v>
      </c>
      <c r="D2780" s="10">
        <f ca="1">IFERROR(__xludf.DUMMYFUNCTION("""COMPUTED_VALUE"""),2009)</f>
        <v>2009</v>
      </c>
      <c r="E2780" s="10" t="str">
        <f ca="1">IFERROR(__xludf.DUMMYFUNCTION("""COMPUTED_VALUE"""),"Научни трудове, Русенски университет, т.48, с. 6.2 Педагогика и психология, 2009. с. 190-196. ISSN 1311-3321")</f>
        <v>Научни трудове, Русенски университет, т.48, с. 6.2 Педагогика и психология, 2009. с. 190-196. ISSN 1311-3321</v>
      </c>
      <c r="F2780" s="10"/>
      <c r="G2780" s="10"/>
      <c r="H2780" s="10"/>
      <c r="I2780" s="10"/>
      <c r="J2780" s="10"/>
      <c r="K2780" s="10"/>
      <c r="L2780" s="10"/>
      <c r="M2780" s="10"/>
      <c r="N2780" s="10"/>
      <c r="O2780" s="10"/>
      <c r="P2780" s="10"/>
      <c r="Q2780" s="10"/>
      <c r="R2780" s="10"/>
      <c r="S2780" s="10"/>
      <c r="T2780" s="10"/>
      <c r="U2780" s="10"/>
      <c r="V2780" s="10"/>
      <c r="W2780" s="10"/>
      <c r="X2780" s="10"/>
      <c r="Y2780" s="10"/>
      <c r="Z2780" s="10"/>
    </row>
    <row r="2781" spans="1:26" ht="12.75">
      <c r="A2781" s="10" t="str">
        <f ca="1">IFERROR(__xludf.DUMMYFUNCTION("""COMPUTED_VALUE"""),"Екатерина Георгиева Попандонова-Желязова")</f>
        <v>Екатерина Георгиева Попандонова-Желязова</v>
      </c>
      <c r="B2781" s="10" t="str">
        <f ca="1">IFERROR(__xludf.DUMMYFUNCTION("""COMPUTED_VALUE"""),"Доклад от конференция")</f>
        <v>Доклад от конференция</v>
      </c>
      <c r="C2781" s="10" t="str">
        <f ca="1">IFERROR(__xludf.DUMMYFUNCTION("""COMPUTED_VALUE"""),"Мултимедийно обучение по английски език за 5 клас")</f>
        <v>Мултимедийно обучение по английски език за 5 клас</v>
      </c>
      <c r="D2781" s="10">
        <f ca="1">IFERROR(__xludf.DUMMYFUNCTION("""COMPUTED_VALUE"""),2008)</f>
        <v>2008</v>
      </c>
      <c r="E2781" s="10" t="str">
        <f ca="1">IFERROR(__xludf.DUMMYFUNCTION("""COMPUTED_VALUE"""),"Научни трудове, Русенски университет, т.47, с. 5.2 Педагогика и психология, стр. 99-103, 2008. ISSN 1311-3321")</f>
        <v>Научни трудове, Русенски университет, т.47, с. 5.2 Педагогика и психология, стр. 99-103, 2008. ISSN 1311-3321</v>
      </c>
      <c r="F2781" s="10"/>
      <c r="G2781" s="10"/>
      <c r="H2781" s="10"/>
      <c r="I2781" s="10"/>
      <c r="J2781" s="10"/>
      <c r="K2781" s="10"/>
      <c r="L2781" s="10"/>
      <c r="M2781" s="10"/>
      <c r="N2781" s="10"/>
      <c r="O2781" s="10"/>
      <c r="P2781" s="10"/>
      <c r="Q2781" s="10"/>
      <c r="R2781" s="10"/>
      <c r="S2781" s="10"/>
      <c r="T2781" s="10"/>
      <c r="U2781" s="10"/>
      <c r="V2781" s="10"/>
      <c r="W2781" s="10"/>
      <c r="X2781" s="10"/>
      <c r="Y2781" s="10"/>
      <c r="Z2781" s="10"/>
    </row>
    <row r="2782" spans="1:26" ht="12.75">
      <c r="A2782" s="10" t="str">
        <f ca="1">IFERROR(__xludf.DUMMYFUNCTION("""COMPUTED_VALUE"""),"Елена Дикова Шойкова")</f>
        <v>Елена Дикова Шойкова</v>
      </c>
      <c r="B2782" s="10" t="str">
        <f ca="1">IFERROR(__xludf.DUMMYFUNCTION("""COMPUTED_VALUE"""),"Доклад от конференция")</f>
        <v>Доклад от конференция</v>
      </c>
      <c r="C2782" s="10" t="str">
        <f ca="1">IFERROR(__xludf.DUMMYFUNCTION("""COMPUTED_VALUE"""),"Implementation of Blockchain Technology to Improve Education,")</f>
        <v>Implementation of Blockchain Technology to Improve Education,</v>
      </c>
      <c r="D2782" s="10">
        <f ca="1">IFERROR(__xludf.DUMMYFUNCTION("""COMPUTED_VALUE"""),2019)</f>
        <v>2019</v>
      </c>
      <c r="E2782" s="10" t="str">
        <f ca="1">IFERROR(__xludf.DUMMYFUNCTION("""COMPUTED_VALUE"""),"12th annual International Conference of Education, Research and Innovation Seville (Spain). 11th - 13th of November, 2019")</f>
        <v>12th annual International Conference of Education, Research and Innovation Seville (Spain). 11th - 13th of November, 2019</v>
      </c>
      <c r="F2782" s="10"/>
      <c r="G2782" s="10" t="str">
        <f ca="1">IFERROR(__xludf.DUMMYFUNCTION("""COMPUTED_VALUE"""),"Galia Nedeltcheva, Elena Shoikova")</f>
        <v>Galia Nedeltcheva, Elena Shoikova</v>
      </c>
      <c r="H2782" s="10"/>
      <c r="I2782" s="10"/>
      <c r="J2782" s="10"/>
      <c r="K2782" s="10"/>
      <c r="L2782" s="10"/>
      <c r="M2782" s="10"/>
      <c r="N2782" s="10"/>
      <c r="O2782" s="10"/>
      <c r="P2782" s="10"/>
      <c r="Q2782" s="10"/>
      <c r="R2782" s="10"/>
      <c r="S2782" s="10"/>
      <c r="T2782" s="10"/>
      <c r="U2782" s="10"/>
      <c r="V2782" s="10"/>
      <c r="W2782" s="10"/>
      <c r="X2782" s="10"/>
      <c r="Y2782" s="10"/>
      <c r="Z2782" s="10"/>
    </row>
    <row r="2783" spans="1:26" ht="12.75">
      <c r="A2783" s="10" t="str">
        <f ca="1">IFERROR(__xludf.DUMMYFUNCTION("""COMPUTED_VALUE"""),"Елена Дикова Шойкова")</f>
        <v>Елена Дикова Шойкова</v>
      </c>
      <c r="B2783" s="10" t="str">
        <f ca="1">IFERROR(__xludf.DUMMYFUNCTION("""COMPUTED_VALUE"""),"Доклад от конференция")</f>
        <v>Доклад от конференция</v>
      </c>
      <c r="C2783" s="10" t="str">
        <f ca="1">IFERROR(__xludf.DUMMYFUNCTION("""COMPUTED_VALUE"""),"Competence-based education by advanced technologies,")</f>
        <v>Competence-based education by advanced technologies,</v>
      </c>
      <c r="D2783" s="10">
        <f ca="1">IFERROR(__xludf.DUMMYFUNCTION("""COMPUTED_VALUE"""),2019)</f>
        <v>2019</v>
      </c>
      <c r="E2783" s="10" t="str">
        <f ca="1">IFERROR(__xludf.DUMMYFUNCTION("""COMPUTED_VALUE"""),"12th annual International Conference of Education, Research and Innovation Seville (Spain). 11th - 13th of November, 2019")</f>
        <v>12th annual International Conference of Education, Research and Innovation Seville (Spain). 11th - 13th of November, 2019</v>
      </c>
      <c r="F2783" s="10"/>
      <c r="G2783" s="10" t="str">
        <f ca="1">IFERROR(__xludf.DUMMYFUNCTION("""COMPUTED_VALUE"""),"Elena Shoikova, Galia Novakova, Petya Petkova, Roumen Nikolov")</f>
        <v>Elena Shoikova, Galia Novakova, Petya Petkova, Roumen Nikolov</v>
      </c>
      <c r="H2783" s="10"/>
      <c r="I2783" s="10"/>
      <c r="J2783" s="10"/>
      <c r="K2783" s="10"/>
      <c r="L2783" s="10"/>
      <c r="M2783" s="10"/>
      <c r="N2783" s="10"/>
      <c r="O2783" s="10"/>
      <c r="P2783" s="10"/>
      <c r="Q2783" s="10"/>
      <c r="R2783" s="10"/>
      <c r="S2783" s="10"/>
      <c r="T2783" s="10"/>
      <c r="U2783" s="10"/>
      <c r="V2783" s="10"/>
      <c r="W2783" s="10"/>
      <c r="X2783" s="10"/>
      <c r="Y2783" s="10"/>
      <c r="Z2783" s="10"/>
    </row>
    <row r="2784" spans="1:26" ht="12.75">
      <c r="A2784" s="10" t="str">
        <f ca="1">IFERROR(__xludf.DUMMYFUNCTION("""COMPUTED_VALUE"""),"Елена Дикова Шойкова")</f>
        <v>Елена Дикова Шойкова</v>
      </c>
      <c r="B2784" s="10" t="str">
        <f ca="1">IFERROR(__xludf.DUMMYFUNCTION("""COMPUTED_VALUE"""),"Доклад от конференция")</f>
        <v>Доклад от конференция</v>
      </c>
      <c r="C2784" s="10" t="str">
        <f ca="1">IFERROR(__xludf.DUMMYFUNCTION("""COMPUTED_VALUE"""),"Smart Digital Education Enhanced by AR and IoT Data")</f>
        <v>Smart Digital Education Enhanced by AR and IoT Data</v>
      </c>
      <c r="D2784" s="10">
        <f ca="1">IFERROR(__xludf.DUMMYFUNCTION("""COMPUTED_VALUE"""),2018)</f>
        <v>2018</v>
      </c>
      <c r="E2784" s="10" t="str">
        <f ca="1">IFERROR(__xludf.DUMMYFUNCTION("""COMPUTED_VALUE"""),"12th annual International Technology, Education and Development Conference, INTED2018, held in Valencia (Spain) on the 5th, 6th and 7th of March, 2018, Proceedings of INTED2018 Conference, paper 1392, pp. 5861-5871, ISBN: 978-84-697-9480-7,")</f>
        <v>12th annual International Technology, Education and Development Conference, INTED2018, held in Valencia (Spain) on the 5th, 6th and 7th of March, 2018, Proceedings of INTED2018 Conference, paper 1392, pp. 5861-5871, ISBN: 978-84-697-9480-7,</v>
      </c>
      <c r="F2784" s="10" t="str">
        <f ca="1">IFERROR(__xludf.DUMMYFUNCTION("""COMPUTED_VALUE"""),"Web of Science https://iated.org ISI Conference Proceedings Citation Index (ISI CPCI).")</f>
        <v>Web of Science https://iated.org ISI Conference Proceedings Citation Index (ISI CPCI).</v>
      </c>
      <c r="G2784" s="10" t="str">
        <f ca="1">IFERROR(__xludf.DUMMYFUNCTION("""COMPUTED_VALUE"""),"R. Nikolov, E. Kovatcheva")</f>
        <v>R. Nikolov, E. Kovatcheva</v>
      </c>
      <c r="H2784" s="10"/>
      <c r="I2784" s="10"/>
      <c r="J2784" s="10"/>
      <c r="K2784" s="10"/>
      <c r="L2784" s="10"/>
      <c r="M2784" s="10"/>
      <c r="N2784" s="10"/>
      <c r="O2784" s="10"/>
      <c r="P2784" s="10"/>
      <c r="Q2784" s="10"/>
      <c r="R2784" s="10"/>
      <c r="S2784" s="10"/>
      <c r="T2784" s="10"/>
      <c r="U2784" s="10"/>
      <c r="V2784" s="10"/>
      <c r="W2784" s="10"/>
      <c r="X2784" s="10"/>
      <c r="Y2784" s="10"/>
      <c r="Z2784" s="10"/>
    </row>
    <row r="2785" spans="1:26" ht="12.75">
      <c r="A2785" s="10" t="str">
        <f ca="1">IFERROR(__xludf.DUMMYFUNCTION("""COMPUTED_VALUE"""),"Елена Дикова Шойкова")</f>
        <v>Елена Дикова Шойкова</v>
      </c>
      <c r="B2785" s="10" t="str">
        <f ca="1">IFERROR(__xludf.DUMMYFUNCTION("""COMPUTED_VALUE"""),"Статия в списания и поредици")</f>
        <v>Статия в списания и поредици</v>
      </c>
      <c r="C2785" s="10" t="str">
        <f ca="1">IFERROR(__xludf.DUMMYFUNCTION("""COMPUTED_VALUE"""),"DISRUPTIVE TECHNOLOGIES - ARTIFICIAL INTELLIGENCE AND BLOCKCHAIN IN EDUCATION")</f>
        <v>DISRUPTIVE TECHNOLOGIES - ARTIFICIAL INTELLIGENCE AND BLOCKCHAIN IN EDUCATION</v>
      </c>
      <c r="D2785" s="10">
        <f ca="1">IFERROR(__xludf.DUMMYFUNCTION("""COMPUTED_VALUE"""),2018)</f>
        <v>2018</v>
      </c>
      <c r="E2785" s="10" t="str">
        <f ca="1">IFERROR(__xludf.DUMMYFUNCTION("""COMPUTED_VALUE"""),"ICERI2018 Proceedings Pages: 6784-6793 Publication year: 2018 ISBN: 978-84-09-05948-5 ISSN: 2340-1095 doi: 10.21125/iceri.2018.2614 Conference name: 11th annual International Conference of Education, Research and Innovation Dates: 12-14 November, 2018 Loc"&amp;"ation: Seville, Spain")</f>
        <v>ICERI2018 Proceedings Pages: 6784-6793 Publication year: 2018 ISBN: 978-84-09-05948-5 ISSN: 2340-1095 doi: 10.21125/iceri.2018.2614 Conference name: 11th annual International Conference of Education, Research and Innovation Dates: 12-14 November, 2018 Location: Seville, Spain</v>
      </c>
      <c r="F2785" s="10" t="str">
        <f ca="1">IFERROR(__xludf.DUMMYFUNCTION("""COMPUTED_VALUE"""),"Web of Science")</f>
        <v>Web of Science</v>
      </c>
      <c r="G2785" s="10" t="str">
        <f ca="1">IFERROR(__xludf.DUMMYFUNCTION("""COMPUTED_VALUE"""),"B. Jekov, P. Petkova, Y. Parusheva")</f>
        <v>B. Jekov, P. Petkova, Y. Parusheva</v>
      </c>
      <c r="H2785" s="10"/>
      <c r="I2785" s="10"/>
      <c r="J2785" s="10"/>
      <c r="K2785" s="10"/>
      <c r="L2785" s="10"/>
      <c r="M2785" s="10"/>
      <c r="N2785" s="10"/>
      <c r="O2785" s="10"/>
      <c r="P2785" s="10"/>
      <c r="Q2785" s="10"/>
      <c r="R2785" s="10"/>
      <c r="S2785" s="10"/>
      <c r="T2785" s="10"/>
      <c r="U2785" s="10"/>
      <c r="V2785" s="10"/>
      <c r="W2785" s="10"/>
      <c r="X2785" s="10"/>
      <c r="Y2785" s="10"/>
      <c r="Z2785" s="10"/>
    </row>
    <row r="2786" spans="1:26" ht="12.75">
      <c r="A2786" s="10" t="str">
        <f ca="1">IFERROR(__xludf.DUMMYFUNCTION("""COMPUTED_VALUE"""),"Елена Дикова Шойкова")</f>
        <v>Елена Дикова Шойкова</v>
      </c>
      <c r="B2786" s="10" t="str">
        <f ca="1">IFERROR(__xludf.DUMMYFUNCTION("""COMPUTED_VALUE"""),"Статия в списания и поредици")</f>
        <v>Статия в списания и поредици</v>
      </c>
      <c r="C2786" s="10" t="str">
        <f ca="1">IFERROR(__xludf.DUMMYFUNCTION("""COMPUTED_VALUE"""),"CONCEPTUAL MODELING OF DLT AND BLOCKCHAIN FOR TRANSFORMING PUBLIC ADMINISTRATION")</f>
        <v>CONCEPTUAL MODELING OF DLT AND BLOCKCHAIN FOR TRANSFORMING PUBLIC ADMINISTRATION</v>
      </c>
      <c r="D2786" s="10">
        <f ca="1">IFERROR(__xludf.DUMMYFUNCTION("""COMPUTED_VALUE"""),2018)</f>
        <v>2018</v>
      </c>
      <c r="E2786" s="10" t="str">
        <f ca="1">IFERROR(__xludf.DUMMYFUNCTION("""COMPUTED_VALUE"""),"ICERI2018 Proceedings Pages: 6483-6491 Publication year: 2018 ISBN: 978-84-09-05948-5 ISSN: 2340-1095 doi: 10.21125/iceri.2018.2527 Conference name: 11th annual International Conference of Education, Research and Innovation Dates: 12-14 November, 2018 Loc"&amp;"ation: Seville, Spain")</f>
        <v>ICERI2018 Proceedings Pages: 6483-6491 Publication year: 2018 ISBN: 978-84-09-05948-5 ISSN: 2340-1095 doi: 10.21125/iceri.2018.2527 Conference name: 11th annual International Conference of Education, Research and Innovation Dates: 12-14 November, 2018 Location: Seville, Spain</v>
      </c>
      <c r="F2786" s="10" t="str">
        <f ca="1">IFERROR(__xludf.DUMMYFUNCTION("""COMPUTED_VALUE"""),"Web of Science")</f>
        <v>Web of Science</v>
      </c>
      <c r="G2786" s="10" t="str">
        <f ca="1">IFERROR(__xludf.DUMMYFUNCTION("""COMPUTED_VALUE"""),"B. Jekov, P. Petkova, S. Denchev")</f>
        <v>B. Jekov, P. Petkova, S. Denchev</v>
      </c>
      <c r="H2786" s="10"/>
      <c r="I2786" s="10"/>
      <c r="J2786" s="10"/>
      <c r="K2786" s="10"/>
      <c r="L2786" s="10"/>
      <c r="M2786" s="10"/>
      <c r="N2786" s="10"/>
      <c r="O2786" s="10"/>
      <c r="P2786" s="10"/>
      <c r="Q2786" s="10"/>
      <c r="R2786" s="10"/>
      <c r="S2786" s="10"/>
      <c r="T2786" s="10"/>
      <c r="U2786" s="10"/>
      <c r="V2786" s="10"/>
      <c r="W2786" s="10"/>
      <c r="X2786" s="10"/>
      <c r="Y2786" s="10"/>
      <c r="Z2786" s="10"/>
    </row>
    <row r="2787" spans="1:26" ht="12.75">
      <c r="A2787" s="10" t="str">
        <f ca="1">IFERROR(__xludf.DUMMYFUNCTION("""COMPUTED_VALUE"""),"Елена Дикова Шойкова")</f>
        <v>Елена Дикова Шойкова</v>
      </c>
      <c r="B2787" s="10" t="str">
        <f ca="1">IFERROR(__xludf.DUMMYFUNCTION("""COMPUTED_VALUE"""),"Доклад от конференция")</f>
        <v>Доклад от конференция</v>
      </c>
      <c r="C2787" s="10" t="str">
        <f ca="1">IFERROR(__xludf.DUMMYFUNCTION("""COMPUTED_VALUE"""),"Blockchain in the telecom industry,")</f>
        <v>Blockchain in the telecom industry,</v>
      </c>
      <c r="D2787" s="10">
        <f ca="1">IFERROR(__xludf.DUMMYFUNCTION("""COMPUTED_VALUE"""),2018)</f>
        <v>2018</v>
      </c>
      <c r="E2787" s="10" t="str">
        <f ca="1">IFERROR(__xludf.DUMMYFUNCTION("""COMPUTED_VALUE"""),"TELEKOM 2018, 25 – 26 Oct 2018 г. -Sofia, ISSN: 1314-2690")</f>
        <v>TELEKOM 2018, 25 – 26 Oct 2018 г. -Sofia, ISSN: 1314-2690</v>
      </c>
      <c r="F2787" s="10"/>
      <c r="G2787" s="10" t="str">
        <f ca="1">IFERROR(__xludf.DUMMYFUNCTION("""COMPUTED_VALUE"""),"Boyan Jekov, Elena Shoikova, Petya Petkova")</f>
        <v>Boyan Jekov, Elena Shoikova, Petya Petkova</v>
      </c>
      <c r="H2787" s="10"/>
      <c r="I2787" s="10"/>
      <c r="J2787" s="10"/>
      <c r="K2787" s="10"/>
      <c r="L2787" s="10"/>
      <c r="M2787" s="10"/>
      <c r="N2787" s="10"/>
      <c r="O2787" s="10"/>
      <c r="P2787" s="10"/>
      <c r="Q2787" s="10"/>
      <c r="R2787" s="10"/>
      <c r="S2787" s="10"/>
      <c r="T2787" s="10"/>
      <c r="U2787" s="10"/>
      <c r="V2787" s="10"/>
      <c r="W2787" s="10"/>
      <c r="X2787" s="10"/>
      <c r="Y2787" s="10"/>
      <c r="Z2787" s="10"/>
    </row>
    <row r="2788" spans="1:26" ht="12.75">
      <c r="A2788" s="10" t="str">
        <f ca="1">IFERROR(__xludf.DUMMYFUNCTION("""COMPUTED_VALUE"""),"Елена Дикова Шойкова")</f>
        <v>Елена Дикова Шойкова</v>
      </c>
      <c r="B2788" s="10" t="str">
        <f ca="1">IFERROR(__xludf.DUMMYFUNCTION("""COMPUTED_VALUE"""),"Доклад от конференция")</f>
        <v>Доклад от конференция</v>
      </c>
      <c r="C2788" s="10" t="str">
        <f ca="1">IFERROR(__xludf.DUMMYFUNCTION("""COMPUTED_VALUE"""),"UX DESIGN STUDIO")</f>
        <v>UX DESIGN STUDIO</v>
      </c>
      <c r="D2788" s="10">
        <f ca="1">IFERROR(__xludf.DUMMYFUNCTION("""COMPUTED_VALUE"""),2018)</f>
        <v>2018</v>
      </c>
      <c r="E2788" s="10" t="str">
        <f ca="1">IFERROR(__xludf.DUMMYFUNCTION("""COMPUTED_VALUE"""),"12th annual International Technology, Education and Development Conference, INTED2018, held in Valencia (Spain) on the 5th, 6th and 7th of March, 2018, Proceedings of INTED2018 Conference, paper 1714, pp. 7296-7300, ISBN: 978-84-697-9480-7")</f>
        <v>12th annual International Technology, Education and Development Conference, INTED2018, held in Valencia (Spain) on the 5th, 6th and 7th of March, 2018, Proceedings of INTED2018 Conference, paper 1714, pp. 7296-7300, ISBN: 978-84-697-9480-7</v>
      </c>
      <c r="F2788" s="10" t="str">
        <f ca="1">IFERROR(__xludf.DUMMYFUNCTION("""COMPUTED_VALUE"""),"Web of Science - ISI Conference Proceedings Citation Index")</f>
        <v>Web of Science - ISI Conference Proceedings Citation Index</v>
      </c>
      <c r="G2788" s="10" t="str">
        <f ca="1">IFERROR(__xludf.DUMMYFUNCTION("""COMPUTED_VALUE"""),"Kovatcheva E.,")</f>
        <v>Kovatcheva E.,</v>
      </c>
      <c r="H2788" s="10"/>
      <c r="I2788" s="10"/>
      <c r="J2788" s="10"/>
      <c r="K2788" s="10"/>
      <c r="L2788" s="10"/>
      <c r="M2788" s="10"/>
      <c r="N2788" s="10"/>
      <c r="O2788" s="10"/>
      <c r="P2788" s="10"/>
      <c r="Q2788" s="10"/>
      <c r="R2788" s="10"/>
      <c r="S2788" s="10"/>
      <c r="T2788" s="10"/>
      <c r="U2788" s="10"/>
      <c r="V2788" s="10"/>
      <c r="W2788" s="10"/>
      <c r="X2788" s="10"/>
      <c r="Y2788" s="10"/>
      <c r="Z2788" s="10"/>
    </row>
    <row r="2789" spans="1:26" ht="12.75">
      <c r="A2789" s="10" t="str">
        <f ca="1">IFERROR(__xludf.DUMMYFUNCTION("""COMPUTED_VALUE"""),"Елена Дикова Шойкова")</f>
        <v>Елена Дикова Шойкова</v>
      </c>
      <c r="B2789" s="10" t="str">
        <f ca="1">IFERROR(__xludf.DUMMYFUNCTION("""COMPUTED_VALUE"""),"Доклад от конференция")</f>
        <v>Доклад от конференция</v>
      </c>
      <c r="C2789" s="10" t="str">
        <f ca="1">IFERROR(__xludf.DUMMYFUNCTION("""COMPUTED_VALUE"""),"CONCEPTUAL MODELING OF DLT AND BLOCKCHAIN FOR TRANSFORMING PUBLIC ADMINISTRATION,")</f>
        <v>CONCEPTUAL MODELING OF DLT AND BLOCKCHAIN FOR TRANSFORMING PUBLIC ADMINISTRATION,</v>
      </c>
      <c r="D2789" s="10">
        <f ca="1">IFERROR(__xludf.DUMMYFUNCTION("""COMPUTED_VALUE"""),2018)</f>
        <v>2018</v>
      </c>
      <c r="E2789" s="10" t="str">
        <f ca="1">IFERROR(__xludf.DUMMYFUNCTION("""COMPUTED_VALUE"""),"ICERI2018 Proceedings, 11th annual International Conference of Education, Research and Innovation, Seville, Spain. 12-14 November, 2018.ISBN: 978-84-09-05948-5 / ISSN: 2340-1095 doi: 10.21125/iceri.2018 Publisher: IATED")</f>
        <v>ICERI2018 Proceedings, 11th annual International Conference of Education, Research and Innovation, Seville, Spain. 12-14 November, 2018.ISBN: 978-84-09-05948-5 / ISSN: 2340-1095 doi: 10.21125/iceri.2018 Publisher: IATED</v>
      </c>
      <c r="F2789" s="10"/>
      <c r="G2789" s="10" t="str">
        <f ca="1">IFERROR(__xludf.DUMMYFUNCTION("""COMPUTED_VALUE"""),"B. Jekov, P. Petkova, E. Shoikova, S. Denchev")</f>
        <v>B. Jekov, P. Petkova, E. Shoikova, S. Denchev</v>
      </c>
      <c r="H2789" s="10"/>
      <c r="I2789" s="10"/>
      <c r="J2789" s="10"/>
      <c r="K2789" s="10"/>
      <c r="L2789" s="10"/>
      <c r="M2789" s="10"/>
      <c r="N2789" s="10"/>
      <c r="O2789" s="10"/>
      <c r="P2789" s="10"/>
      <c r="Q2789" s="10"/>
      <c r="R2789" s="10"/>
      <c r="S2789" s="10"/>
      <c r="T2789" s="10"/>
      <c r="U2789" s="10"/>
      <c r="V2789" s="10"/>
      <c r="W2789" s="10"/>
      <c r="X2789" s="10"/>
      <c r="Y2789" s="10"/>
      <c r="Z2789" s="10"/>
    </row>
    <row r="2790" spans="1:26" ht="12.75">
      <c r="A2790" s="10" t="str">
        <f ca="1">IFERROR(__xludf.DUMMYFUNCTION("""COMPUTED_VALUE"""),"Елена Дикова Шойкова")</f>
        <v>Елена Дикова Шойкова</v>
      </c>
      <c r="B2790" s="10" t="str">
        <f ca="1">IFERROR(__xludf.DUMMYFUNCTION("""COMPUTED_VALUE"""),"Доклад от конференция")</f>
        <v>Доклад от конференция</v>
      </c>
      <c r="C2790" s="10" t="str">
        <f ca="1">IFERROR(__xludf.DUMMYFUNCTION("""COMPUTED_VALUE"""),"DISRUPTIVE TECHNOLOGIES - ARTIFICIAL INTELLIGENCE AND BLOCKCHAIN IN EDUCATION")</f>
        <v>DISRUPTIVE TECHNOLOGIES - ARTIFICIAL INTELLIGENCE AND BLOCKCHAIN IN EDUCATION</v>
      </c>
      <c r="D2790" s="10">
        <f ca="1">IFERROR(__xludf.DUMMYFUNCTION("""COMPUTED_VALUE"""),2018)</f>
        <v>2018</v>
      </c>
      <c r="E2790" s="10" t="str">
        <f ca="1">IFERROR(__xludf.DUMMYFUNCTION("""COMPUTED_VALUE"""),"ICERI2018 Proceedings, 11th annual International Conference of Education, Research and Innovation, Seville, Spain. 12-14 November, 2018.ISBN: 978-84-09-05948-5 / ISSN: 2340-1095 doi: 10.21125/iceri.2018 Publisher: IATED")</f>
        <v>ICERI2018 Proceedings, 11th annual International Conference of Education, Research and Innovation, Seville, Spain. 12-14 November, 2018.ISBN: 978-84-09-05948-5 / ISSN: 2340-1095 doi: 10.21125/iceri.2018 Publisher: IATED</v>
      </c>
      <c r="F2790" s="10"/>
      <c r="G2790" s="10" t="str">
        <f ca="1">IFERROR(__xludf.DUMMYFUNCTION("""COMPUTED_VALUE"""),"B. Jekov, P. Petkova, Y. Parusheva, E. Shoikova")</f>
        <v>B. Jekov, P. Petkova, Y. Parusheva, E. Shoikova</v>
      </c>
      <c r="H2790" s="10"/>
      <c r="I2790" s="10"/>
      <c r="J2790" s="10"/>
      <c r="K2790" s="10"/>
      <c r="L2790" s="10"/>
      <c r="M2790" s="10"/>
      <c r="N2790" s="10"/>
      <c r="O2790" s="10"/>
      <c r="P2790" s="10"/>
      <c r="Q2790" s="10"/>
      <c r="R2790" s="10"/>
      <c r="S2790" s="10"/>
      <c r="T2790" s="10"/>
      <c r="U2790" s="10"/>
      <c r="V2790" s="10"/>
      <c r="W2790" s="10"/>
      <c r="X2790" s="10"/>
      <c r="Y2790" s="10"/>
      <c r="Z2790" s="10"/>
    </row>
    <row r="2791" spans="1:26" ht="12.75">
      <c r="A2791" s="10" t="str">
        <f ca="1">IFERROR(__xludf.DUMMYFUNCTION("""COMPUTED_VALUE"""),"Елена Дикова Шойкова")</f>
        <v>Елена Дикова Шойкова</v>
      </c>
      <c r="B2791" s="10" t="str">
        <f ca="1">IFERROR(__xludf.DUMMYFUNCTION("""COMPUTED_VALUE"""),"Статия в списания и поредици")</f>
        <v>Статия в списания и поредици</v>
      </c>
      <c r="C2791" s="10" t="str">
        <f ca="1">IFERROR(__xludf.DUMMYFUNCTION("""COMPUTED_VALUE"""),"Challenges and Opportunities of Blockchain Technology in Industrial Applications")</f>
        <v>Challenges and Opportunities of Blockchain Technology in Industrial Applications</v>
      </c>
      <c r="D2791" s="10">
        <f ca="1">IFERROR(__xludf.DUMMYFUNCTION("""COMPUTED_VALUE"""),2018)</f>
        <v>2018</v>
      </c>
      <c r="E2791" s="10" t="str">
        <f ca="1">IFERROR(__xludf.DUMMYFUNCTION("""COMPUTED_VALUE"""),"Serdica Journal of Computing, ISSN 1312-6555, 12 (2018), No 1–2, 107–130")</f>
        <v>Serdica Journal of Computing, ISSN 1312-6555, 12 (2018), No 1–2, 107–130</v>
      </c>
      <c r="F2791" s="10" t="str">
        <f ca="1">IFERROR(__xludf.DUMMYFUNCTION("""COMPUTED_VALUE"""),"Zentralblatt MATH
 All-Russian Institute for Scientific and Technical Information - VINITI (letter in pdf)
 The European Mathematics Library - EuDML
 Google Scholar and DRIVER Search Portal")</f>
        <v>Zentralblatt MATH
 All-Russian Institute for Scientific and Technical Information - VINITI (letter in pdf)
 The European Mathematics Library - EuDML
 Google Scholar and DRIVER Search Portal</v>
      </c>
      <c r="G2791" s="10" t="str">
        <f ca="1">IFERROR(__xludf.DUMMYFUNCTION("""COMPUTED_VALUE"""),"Nikolov R. Novakova G.")</f>
        <v>Nikolov R. Novakova G.</v>
      </c>
      <c r="H2791" s="10"/>
      <c r="I2791" s="10"/>
      <c r="J2791" s="10"/>
      <c r="K2791" s="10"/>
      <c r="L2791" s="10"/>
      <c r="M2791" s="10"/>
      <c r="N2791" s="10"/>
      <c r="O2791" s="10"/>
      <c r="P2791" s="10"/>
      <c r="Q2791" s="10"/>
      <c r="R2791" s="10"/>
      <c r="S2791" s="10"/>
      <c r="T2791" s="10"/>
      <c r="U2791" s="10"/>
      <c r="V2791" s="10"/>
      <c r="W2791" s="10"/>
      <c r="X2791" s="10"/>
      <c r="Y2791" s="10"/>
      <c r="Z2791" s="10"/>
    </row>
    <row r="2792" spans="1:26" ht="12.75">
      <c r="A2792" s="10" t="str">
        <f ca="1">IFERROR(__xludf.DUMMYFUNCTION("""COMPUTED_VALUE"""),"Елена Дикова Шойкова")</f>
        <v>Елена Дикова Шойкова</v>
      </c>
      <c r="B2792" s="10" t="str">
        <f ca="1">IFERROR(__xludf.DUMMYFUNCTION("""COMPUTED_VALUE"""),"Доклад от конференция")</f>
        <v>Доклад от конференция</v>
      </c>
      <c r="C2792" s="10" t="str">
        <f ca="1">IFERROR(__xludf.DUMMYFUNCTION("""COMPUTED_VALUE"""),"Study on the IoT Ecosystem Business Models and the Segment of Startups")</f>
        <v>Study on the IoT Ecosystem Business Models and the Segment of Startups</v>
      </c>
      <c r="D2792" s="10">
        <f ca="1">IFERROR(__xludf.DUMMYFUNCTION("""COMPUTED_VALUE"""),2017)</f>
        <v>2017</v>
      </c>
      <c r="E2792" s="10" t="str">
        <f ca="1">IFERROR(__xludf.DUMMYFUNCTION("""COMPUTED_VALUE"""),"ICERI2017 Proceedings 10th annual International Conference of Education, Research and Innovation, Seville, Spain. 16-18 November, 2017. ISBN: 978-84-697-6957-7 / ISSN: 2340-1095, doi: 10.21125/iceri.2017, Publisher: IATED DEP. LEGAL: V-2851-2017 Format: U"&amp;"SB Flash, pages: 4346-4355")</f>
        <v>ICERI2017 Proceedings 10th annual International Conference of Education, Research and Innovation, Seville, Spain. 16-18 November, 2017. ISBN: 978-84-697-6957-7 / ISSN: 2340-1095, doi: 10.21125/iceri.2017, Publisher: IATED DEP. LEGAL: V-2851-2017 Format: USB Flash, pages: 4346-4355</v>
      </c>
      <c r="F2792" s="10" t="str">
        <f ca="1">IFERROR(__xludf.DUMMYFUNCTION("""COMPUTED_VALUE"""),"Web of Science 
 IATED Digital Library publication ICERI2017")</f>
        <v>Web of Science 
 IATED Digital Library publication ICERI2017</v>
      </c>
      <c r="G2792" s="10" t="str">
        <f ca="1">IFERROR(__xludf.DUMMYFUNCTION("""COMPUTED_VALUE"""),"Jekov B., D. Donchev, P. Petkova")</f>
        <v>Jekov B., D. Donchev, P. Petkova</v>
      </c>
      <c r="H2792" s="10"/>
      <c r="I2792" s="10"/>
      <c r="J2792" s="10"/>
      <c r="K2792" s="10"/>
      <c r="L2792" s="10"/>
      <c r="M2792" s="10"/>
      <c r="N2792" s="10"/>
      <c r="O2792" s="10"/>
      <c r="P2792" s="10"/>
      <c r="Q2792" s="10"/>
      <c r="R2792" s="10"/>
      <c r="S2792" s="10"/>
      <c r="T2792" s="10"/>
      <c r="U2792" s="10"/>
      <c r="V2792" s="10"/>
      <c r="W2792" s="10"/>
      <c r="X2792" s="10"/>
      <c r="Y2792" s="10"/>
      <c r="Z2792" s="10"/>
    </row>
    <row r="2793" spans="1:26" ht="12.75">
      <c r="A2793" s="10" t="str">
        <f ca="1">IFERROR(__xludf.DUMMYFUNCTION("""COMPUTED_VALUE"""),"Елена Дикова Шойкова")</f>
        <v>Елена Дикова Шойкова</v>
      </c>
      <c r="B2793" s="10" t="str">
        <f ca="1">IFERROR(__xludf.DUMMYFUNCTION("""COMPUTED_VALUE"""),"Доклад от конференция")</f>
        <v>Доклад от конференция</v>
      </c>
      <c r="C2793" s="10" t="str">
        <f ca="1">IFERROR(__xludf.DUMMYFUNCTION("""COMPUTED_VALUE"""),"Концептуално моделиране на екосистеми за интернет на нещата")</f>
        <v>Концептуално моделиране на екосистеми за интернет на нещата</v>
      </c>
      <c r="D2793" s="10">
        <f ca="1">IFERROR(__xludf.DUMMYFUNCTION("""COMPUTED_VALUE"""),2017)</f>
        <v>2017</v>
      </c>
      <c r="E2793" s="10" t="str">
        <f ca="1">IFERROR(__xludf.DUMMYFUNCTION("""COMPUTED_VALUE"""),"Международен пътуващ семинар на УниБИТ ""Съвременни измерения на европейското образователно и научно пространство"", 29 май - 05 юни 2017 г., Република Гърция")</f>
        <v>Международен пътуващ семинар на УниБИТ "Съвременни измерения на европейското образователно и научно пространство", 29 май - 05 юни 2017 г., Република Гърция</v>
      </c>
      <c r="F2793" s="10"/>
      <c r="G2793" s="10" t="str">
        <f ca="1">IFERROR(__xludf.DUMMYFUNCTION("""COMPUTED_VALUE"""),"Б. Жеков")</f>
        <v>Б. Жеков</v>
      </c>
      <c r="H2793" s="10"/>
      <c r="I2793" s="10"/>
      <c r="J2793" s="10"/>
      <c r="K2793" s="10"/>
      <c r="L2793" s="10"/>
      <c r="M2793" s="10"/>
      <c r="N2793" s="10"/>
      <c r="O2793" s="10"/>
      <c r="P2793" s="10"/>
      <c r="Q2793" s="10"/>
      <c r="R2793" s="10"/>
      <c r="S2793" s="10"/>
      <c r="T2793" s="10"/>
      <c r="U2793" s="10"/>
      <c r="V2793" s="10"/>
      <c r="W2793" s="10"/>
      <c r="X2793" s="10"/>
      <c r="Y2793" s="10"/>
      <c r="Z2793" s="10"/>
    </row>
    <row r="2794" spans="1:26" ht="12.75">
      <c r="A2794" s="10" t="str">
        <f ca="1">IFERROR(__xludf.DUMMYFUNCTION("""COMPUTED_VALUE"""),"Елена Дикова Шойкова")</f>
        <v>Елена Дикова Шойкова</v>
      </c>
      <c r="B2794" s="10" t="str">
        <f ca="1">IFERROR(__xludf.DUMMYFUNCTION("""COMPUTED_VALUE"""),"Доклад от конференция")</f>
        <v>Доклад от конференция</v>
      </c>
      <c r="C2794" s="10" t="str">
        <f ca="1">IFERROR(__xludf.DUMMYFUNCTION("""COMPUTED_VALUE"""),"Models for Innovative IoT Ecosystems")</f>
        <v>Models for Innovative IoT Ecosystems</v>
      </c>
      <c r="D2794" s="10">
        <f ca="1">IFERROR(__xludf.DUMMYFUNCTION("""COMPUTED_VALUE"""),2017)</f>
        <v>2017</v>
      </c>
      <c r="E2794" s="10" t="str">
        <f ca="1">IFERROR(__xludf.DUMMYFUNCTION("""COMPUTED_VALUE"""),"Proceedings of the International Conference on Big Data and Internet of Thing(pp. 164-168). ACM, ISBN: 978-1-4503-5430-1")</f>
        <v>Proceedings of the International Conference on Big Data and Internet of Thing(pp. 164-168). ACM, ISBN: 978-1-4503-5430-1</v>
      </c>
      <c r="F2794" s="10" t="str">
        <f ca="1">IFERROR(__xludf.DUMMYFUNCTION("""COMPUTED_VALUE"""),"BDIOT – ACM 2017 Collection published by ACM 
 Ei Compendex, Scopus and ISI")</f>
        <v>BDIOT – ACM 2017 Collection published by ACM 
 Ei Compendex, Scopus and ISI</v>
      </c>
      <c r="G2794" s="10" t="str">
        <f ca="1">IFERROR(__xludf.DUMMYFUNCTION("""COMPUTED_VALUE"""),"Nedeltcheva G.,")</f>
        <v>Nedeltcheva G.,</v>
      </c>
      <c r="H2794" s="10"/>
      <c r="I2794" s="10"/>
      <c r="J2794" s="10"/>
      <c r="K2794" s="10"/>
      <c r="L2794" s="10"/>
      <c r="M2794" s="10"/>
      <c r="N2794" s="10"/>
      <c r="O2794" s="10"/>
      <c r="P2794" s="10"/>
      <c r="Q2794" s="10"/>
      <c r="R2794" s="10"/>
      <c r="S2794" s="10"/>
      <c r="T2794" s="10"/>
      <c r="U2794" s="10"/>
      <c r="V2794" s="10"/>
      <c r="W2794" s="10"/>
      <c r="X2794" s="10"/>
      <c r="Y2794" s="10"/>
      <c r="Z2794" s="10"/>
    </row>
    <row r="2795" spans="1:26" ht="12.75">
      <c r="A2795" s="10" t="str">
        <f ca="1">IFERROR(__xludf.DUMMYFUNCTION("""COMPUTED_VALUE"""),"Елена Дикова Шойкова")</f>
        <v>Елена Дикова Шойкова</v>
      </c>
      <c r="B2795" s="10" t="str">
        <f ca="1">IFERROR(__xludf.DUMMYFUNCTION("""COMPUTED_VALUE"""),"Доклад от конференция")</f>
        <v>Доклад от конференция</v>
      </c>
      <c r="C2795" s="10" t="str">
        <f ca="1">IFERROR(__xludf.DUMMYFUNCTION("""COMPUTED_VALUE"""),"Innovation Through Design Thinking, User Experience And Agile: Towards Cooperation Framework")</f>
        <v>Innovation Through Design Thinking, User Experience And Agile: Towards Cooperation Framework</v>
      </c>
      <c r="D2795" s="10">
        <f ca="1">IFERROR(__xludf.DUMMYFUNCTION("""COMPUTED_VALUE"""),2017)</f>
        <v>2017</v>
      </c>
      <c r="E2795" s="10" t="str">
        <f ca="1">IFERROR(__xludf.DUMMYFUNCTION("""COMPUTED_VALUE"""),"TELECOM 2017, XXV National Conference with International Participation “ Telecommunications Yesterday, Today, Forever”, Sofia (Bulgaria) 26-27 October 2017, Open Access Proceedings TELECOM 2017 ISSN: 1314-2690 page 121-129")</f>
        <v>TELECOM 2017, XXV National Conference with International Participation “ Telecommunications Yesterday, Today, Forever”, Sofia (Bulgaria) 26-27 October 2017, Open Access Proceedings TELECOM 2017 ISSN: 1314-2690 page 121-129</v>
      </c>
      <c r="F2795" s="10"/>
      <c r="G2795" s="10" t="str">
        <f ca="1">IFERROR(__xludf.DUMMYFUNCTION("""COMPUTED_VALUE"""),"Nedeltcheva G.")</f>
        <v>Nedeltcheva G.</v>
      </c>
      <c r="H2795" s="10"/>
      <c r="I2795" s="10"/>
      <c r="J2795" s="10"/>
      <c r="K2795" s="10"/>
      <c r="L2795" s="10"/>
      <c r="M2795" s="10"/>
      <c r="N2795" s="10"/>
      <c r="O2795" s="10"/>
      <c r="P2795" s="10"/>
      <c r="Q2795" s="10"/>
      <c r="R2795" s="10"/>
      <c r="S2795" s="10"/>
      <c r="T2795" s="10"/>
      <c r="U2795" s="10"/>
      <c r="V2795" s="10"/>
      <c r="W2795" s="10"/>
      <c r="X2795" s="10"/>
      <c r="Y2795" s="10"/>
      <c r="Z2795" s="10"/>
    </row>
    <row r="2796" spans="1:26" ht="12.75">
      <c r="A2796" s="10" t="str">
        <f ca="1">IFERROR(__xludf.DUMMYFUNCTION("""COMPUTED_VALUE"""),"Елена Дикова Шойкова")</f>
        <v>Елена Дикова Шойкова</v>
      </c>
      <c r="B2796" s="10" t="str">
        <f ca="1">IFERROR(__xludf.DUMMYFUNCTION("""COMPUTED_VALUE"""),"Доклад от конференция")</f>
        <v>Доклад от конференция</v>
      </c>
      <c r="C2796" s="10" t="str">
        <f ca="1">IFERROR(__xludf.DUMMYFUNCTION("""COMPUTED_VALUE"""),"Best Practices for Designing User Experience for Internet of Things and Virtual Reality")</f>
        <v>Best Practices for Designing User Experience for Internet of Things and Virtual Reality</v>
      </c>
      <c r="D2796" s="10">
        <f ca="1">IFERROR(__xludf.DUMMYFUNCTION("""COMPUTED_VALUE"""),2017)</f>
        <v>2017</v>
      </c>
      <c r="E2796" s="10" t="str">
        <f ca="1">IFERROR(__xludf.DUMMYFUNCTION("""COMPUTED_VALUE"""),"TELECOM 2017, XXV National Conference with International Participation “Telecommunications Yesterday, Today, Forever”, Open Access Proceedings TELECOM 2017 ISSN: 1314-2690 page 130-137")</f>
        <v>TELECOM 2017, XXV National Conference with International Participation “Telecommunications Yesterday, Today, Forever”, Open Access Proceedings TELECOM 2017 ISSN: 1314-2690 page 130-137</v>
      </c>
      <c r="F2796" s="10"/>
      <c r="G2796" s="10" t="str">
        <f ca="1">IFERROR(__xludf.DUMMYFUNCTION("""COMPUTED_VALUE"""),"A. Peshev")</f>
        <v>A. Peshev</v>
      </c>
      <c r="H2796" s="10"/>
      <c r="I2796" s="10"/>
      <c r="J2796" s="10"/>
      <c r="K2796" s="10"/>
      <c r="L2796" s="10"/>
      <c r="M2796" s="10"/>
      <c r="N2796" s="10"/>
      <c r="O2796" s="10"/>
      <c r="P2796" s="10"/>
      <c r="Q2796" s="10"/>
      <c r="R2796" s="10"/>
      <c r="S2796" s="10"/>
      <c r="T2796" s="10"/>
      <c r="U2796" s="10"/>
      <c r="V2796" s="10"/>
      <c r="W2796" s="10"/>
      <c r="X2796" s="10"/>
      <c r="Y2796" s="10"/>
      <c r="Z2796" s="10"/>
    </row>
    <row r="2797" spans="1:26" ht="12.75">
      <c r="A2797" s="10" t="str">
        <f ca="1">IFERROR(__xludf.DUMMYFUNCTION("""COMPUTED_VALUE"""),"Елена Дикова Шойкова")</f>
        <v>Елена Дикова Шойкова</v>
      </c>
      <c r="B2797" s="10" t="str">
        <f ca="1">IFERROR(__xludf.DUMMYFUNCTION("""COMPUTED_VALUE"""),"Доклад от конференция")</f>
        <v>Доклад от конференция</v>
      </c>
      <c r="C2797" s="10" t="str">
        <f ca="1">IFERROR(__xludf.DUMMYFUNCTION("""COMPUTED_VALUE"""),"Coupling Design Thinking, User-Experience Design and Agile")</f>
        <v>Coupling Design Thinking, User-Experience Design and Agile</v>
      </c>
      <c r="D2797" s="10">
        <f ca="1">IFERROR(__xludf.DUMMYFUNCTION("""COMPUTED_VALUE"""),2017)</f>
        <v>2017</v>
      </c>
      <c r="E2797" s="10" t="str">
        <f ca="1">IFERROR(__xludf.DUMMYFUNCTION("""COMPUTED_VALUE"""),"Proceedings of the ACM – 2017 International Conference on Big Data and Internet of Things (BDIOT2017)–Ei Compendex, Scopus and ISI, December 20-22, 2017 London, UK, Collection of International Conference on Big Data and Internet of Things (BDIOT2017) BDIO"&amp;"T2017-251")</f>
        <v>Proceedings of the ACM – 2017 International Conference on Big Data and Internet of Things (BDIOT2017)–Ei Compendex, Scopus and ISI, December 20-22, 2017 London, UK, Collection of International Conference on Big Data and Internet of Things (BDIOT2017) BDIOT2017-251</v>
      </c>
      <c r="F2797" s="10" t="str">
        <f ca="1">IFERROR(__xludf.DUMMYFUNCTION("""COMPUTED_VALUE"""),"BDIOT – ACM 2017 Collection published by ACM Ei Compendex, Scopus and ISI")</f>
        <v>BDIOT – ACM 2017 Collection published by ACM Ei Compendex, Scopus and ISI</v>
      </c>
      <c r="G2797" s="10" t="str">
        <f ca="1">IFERROR(__xludf.DUMMYFUNCTION("""COMPUTED_VALUE"""),"Nedeltcheva G.,")</f>
        <v>Nedeltcheva G.,</v>
      </c>
      <c r="H2797" s="10"/>
      <c r="I2797" s="10"/>
      <c r="J2797" s="10"/>
      <c r="K2797" s="10"/>
      <c r="L2797" s="10"/>
      <c r="M2797" s="10"/>
      <c r="N2797" s="10"/>
      <c r="O2797" s="10"/>
      <c r="P2797" s="10"/>
      <c r="Q2797" s="10"/>
      <c r="R2797" s="10"/>
      <c r="S2797" s="10"/>
      <c r="T2797" s="10"/>
      <c r="U2797" s="10"/>
      <c r="V2797" s="10"/>
      <c r="W2797" s="10"/>
      <c r="X2797" s="10"/>
      <c r="Y2797" s="10"/>
      <c r="Z2797" s="10"/>
    </row>
    <row r="2798" spans="1:26" ht="12.75">
      <c r="A2798" s="10" t="str">
        <f ca="1">IFERROR(__xludf.DUMMYFUNCTION("""COMPUTED_VALUE"""),"Елена Дикова Шойкова")</f>
        <v>Елена Дикова Шойкова</v>
      </c>
      <c r="B2798" s="10" t="str">
        <f ca="1">IFERROR(__xludf.DUMMYFUNCTION("""COMPUTED_VALUE"""),"Статия в списания и поредици")</f>
        <v>Статия в списания и поредици</v>
      </c>
      <c r="C2798" s="10" t="str">
        <f ca="1">IFERROR(__xludf.DUMMYFUNCTION("""COMPUTED_VALUE"""),"Conceptualising of Smart Education")</f>
        <v>Conceptualising of Smart Education</v>
      </c>
      <c r="D2798" s="10">
        <f ca="1">IFERROR(__xludf.DUMMYFUNCTION("""COMPUTED_VALUE"""),2017)</f>
        <v>2017</v>
      </c>
      <c r="E2798" s="10" t="str">
        <f ca="1">IFERROR(__xludf.DUMMYFUNCTION("""COMPUTED_VALUE"""),"ELECTROTECHNICA &amp; ELECTRONICA E+E Vol. 52. No 3-4/2017, pp.29-37, Monthly scientific and technical journal Published by: The Union of Electronics, Electrical Engineering and Telecommunications /CEEC/, BULGARIA")</f>
        <v>ELECTROTECHNICA &amp; ELECTRONICA E+E Vol. 52. No 3-4/2017, pp.29-37, Monthly scientific and technical journal Published by: The Union of Electronics, Electrical Engineering and Telecommunications /CEEC/, BULGARIA</v>
      </c>
      <c r="F2798" s="10"/>
      <c r="G2798" s="10" t="str">
        <f ca="1">IFERROR(__xludf.DUMMYFUNCTION("""COMPUTED_VALUE"""),"R. Nikolov,E. Kovatcheva")</f>
        <v>R. Nikolov,E. Kovatcheva</v>
      </c>
      <c r="H2798" s="10"/>
      <c r="I2798" s="10"/>
      <c r="J2798" s="10"/>
      <c r="K2798" s="10"/>
      <c r="L2798" s="10"/>
      <c r="M2798" s="10"/>
      <c r="N2798" s="10"/>
      <c r="O2798" s="10"/>
      <c r="P2798" s="10"/>
      <c r="Q2798" s="10"/>
      <c r="R2798" s="10"/>
      <c r="S2798" s="10"/>
      <c r="T2798" s="10"/>
      <c r="U2798" s="10"/>
      <c r="V2798" s="10"/>
      <c r="W2798" s="10"/>
      <c r="X2798" s="10"/>
      <c r="Y2798" s="10"/>
      <c r="Z2798" s="10"/>
    </row>
    <row r="2799" spans="1:26" ht="12.75">
      <c r="A2799" s="10" t="str">
        <f ca="1">IFERROR(__xludf.DUMMYFUNCTION("""COMPUTED_VALUE"""),"Елена Дикова Шойкова")</f>
        <v>Елена Дикова Шойкова</v>
      </c>
      <c r="B2799" s="10" t="str">
        <f ca="1">IFERROR(__xludf.DUMMYFUNCTION("""COMPUTED_VALUE"""),"Статия в списания и поредици")</f>
        <v>Статия в списания и поредици</v>
      </c>
      <c r="C2799" s="10" t="str">
        <f ca="1">IFERROR(__xludf.DUMMYFUNCTION("""COMPUTED_VALUE"""),"Virtual Laboratory for User Experience Design")</f>
        <v>Virtual Laboratory for User Experience Design</v>
      </c>
      <c r="D2799" s="10">
        <f ca="1">IFERROR(__xludf.DUMMYFUNCTION("""COMPUTED_VALUE"""),2017)</f>
        <v>2017</v>
      </c>
      <c r="E2799" s="10" t="str">
        <f ca="1">IFERROR(__xludf.DUMMYFUNCTION("""COMPUTED_VALUE"""),"ICERI2017 Proceedings - 10th annual International Conference of Education, Research and Innovation, Seville, Spain. 16-18 November, 2017. ISBN: 978-84-697-6957-7 / ISSN: 2340-1095, doi: 10.21125/iceri.2017")</f>
        <v>ICERI2017 Proceedings - 10th annual International Conference of Education, Research and Innovation, Seville, Spain. 16-18 November, 2017. ISBN: 978-84-697-6957-7 / ISSN: 2340-1095, doi: 10.21125/iceri.2017</v>
      </c>
      <c r="F2799" s="10" t="str">
        <f ca="1">IFERROR(__xludf.DUMMYFUNCTION("""COMPUTED_VALUE"""),"https://iated.org ISI Conference Proceedings Citation Index (ISI CPCI)")</f>
        <v>https://iated.org ISI Conference Proceedings Citation Index (ISI CPCI)</v>
      </c>
      <c r="G2799" s="10" t="str">
        <f ca="1">IFERROR(__xludf.DUMMYFUNCTION("""COMPUTED_VALUE"""),"E. Kovatcheva")</f>
        <v>E. Kovatcheva</v>
      </c>
      <c r="H2799" s="10"/>
      <c r="I2799" s="10"/>
      <c r="J2799" s="10"/>
      <c r="K2799" s="10"/>
      <c r="L2799" s="10"/>
      <c r="M2799" s="10"/>
      <c r="N2799" s="10"/>
      <c r="O2799" s="10"/>
      <c r="P2799" s="10"/>
      <c r="Q2799" s="10"/>
      <c r="R2799" s="10"/>
      <c r="S2799" s="10"/>
      <c r="T2799" s="10"/>
      <c r="U2799" s="10"/>
      <c r="V2799" s="10"/>
      <c r="W2799" s="10"/>
      <c r="X2799" s="10"/>
      <c r="Y2799" s="10"/>
      <c r="Z2799" s="10"/>
    </row>
    <row r="2800" spans="1:26" ht="12.75">
      <c r="A2800" s="10" t="str">
        <f ca="1">IFERROR(__xludf.DUMMYFUNCTION("""COMPUTED_VALUE"""),"Елена Дикова Шойкова")</f>
        <v>Елена Дикова Шойкова</v>
      </c>
      <c r="B2800" s="10" t="str">
        <f ca="1">IFERROR(__xludf.DUMMYFUNCTION("""COMPUTED_VALUE"""),"Доклад от конференция")</f>
        <v>Доклад от конференция</v>
      </c>
      <c r="C2800" s="10" t="str">
        <f ca="1">IFERROR(__xludf.DUMMYFUNCTION("""COMPUTED_VALUE"""),"Challenges of Building Augmented Reality Applications Enhanced by IoT Data and Artificial Intelligence")</f>
        <v>Challenges of Building Augmented Reality Applications Enhanced by IoT Data and Artificial Intelligence</v>
      </c>
      <c r="D2800" s="10">
        <f ca="1">IFERROR(__xludf.DUMMYFUNCTION("""COMPUTED_VALUE"""),2017)</f>
        <v>2017</v>
      </c>
      <c r="E2800" s="10" t="str">
        <f ca="1">IFERROR(__xludf.DUMMYFUNCTION("""COMPUTED_VALUE"""),"International Conference “Big Data, Knowledge and Control Systems Engineering – BdKCSE’2017”, 7 December 2017, Sofia (Bulgaria), Open Access Proceedings, ISSN:2367-6450, pages: 45-59")</f>
        <v>International Conference “Big Data, Knowledge and Control Systems Engineering – BdKCSE’2017”, 7 December 2017, Sofia (Bulgaria), Open Access Proceedings, ISSN:2367-6450, pages: 45-59</v>
      </c>
      <c r="F2800" s="10"/>
      <c r="G2800" s="10" t="str">
        <f ca="1">IFERROR(__xludf.DUMMYFUNCTION("""COMPUTED_VALUE"""),"Nedeltcheva, G., Hristova, E")</f>
        <v>Nedeltcheva, G., Hristova, E</v>
      </c>
      <c r="H2800" s="10"/>
      <c r="I2800" s="10"/>
      <c r="J2800" s="10"/>
      <c r="K2800" s="10"/>
      <c r="L2800" s="10"/>
      <c r="M2800" s="10"/>
      <c r="N2800" s="10"/>
      <c r="O2800" s="10"/>
      <c r="P2800" s="10"/>
      <c r="Q2800" s="10"/>
      <c r="R2800" s="10"/>
      <c r="S2800" s="10"/>
      <c r="T2800" s="10"/>
      <c r="U2800" s="10"/>
      <c r="V2800" s="10"/>
      <c r="W2800" s="10"/>
      <c r="X2800" s="10"/>
      <c r="Y2800" s="10"/>
      <c r="Z2800" s="10"/>
    </row>
    <row r="2801" spans="1:26" ht="12.75">
      <c r="A2801" s="10" t="str">
        <f ca="1">IFERROR(__xludf.DUMMYFUNCTION("""COMPUTED_VALUE"""),"Елена Дикова Шойкова")</f>
        <v>Елена Дикова Шойкова</v>
      </c>
      <c r="B2801" s="10" t="str">
        <f ca="1">IFERROR(__xludf.DUMMYFUNCTION("""COMPUTED_VALUE"""),"Доклад от конференция")</f>
        <v>Доклад от конференция</v>
      </c>
      <c r="C2801" s="10" t="str">
        <f ca="1">IFERROR(__xludf.DUMMYFUNCTION("""COMPUTED_VALUE"""),"Model for a smart and safe city")</f>
        <v>Model for a smart and safe city</v>
      </c>
      <c r="D2801" s="10">
        <f ca="1">IFERROR(__xludf.DUMMYFUNCTION("""COMPUTED_VALUE"""),2016)</f>
        <v>2016</v>
      </c>
      <c r="E2801" s="10" t="str">
        <f ca="1">IFERROR(__xludf.DUMMYFUNCTION("""COMPUTED_VALUE"""),"Proceedings of International Scientific Conference “High Technologies. Business. Society 2016.”")</f>
        <v>Proceedings of International Scientific Conference “High Technologies. Business. Society 2016.”</v>
      </c>
      <c r="F2801" s="10"/>
      <c r="G2801" s="10" t="str">
        <f ca="1">IFERROR(__xludf.DUMMYFUNCTION("""COMPUTED_VALUE"""),"Румен Николов, Галя Новакова")</f>
        <v>Румен Николов, Галя Новакова</v>
      </c>
      <c r="H2801" s="10"/>
      <c r="I2801" s="10"/>
      <c r="J2801" s="10"/>
      <c r="K2801" s="10"/>
      <c r="L2801" s="10"/>
      <c r="M2801" s="10"/>
      <c r="N2801" s="10"/>
      <c r="O2801" s="10"/>
      <c r="P2801" s="10"/>
      <c r="Q2801" s="10"/>
      <c r="R2801" s="10"/>
      <c r="S2801" s="10"/>
      <c r="T2801" s="10"/>
      <c r="U2801" s="10"/>
      <c r="V2801" s="10"/>
      <c r="W2801" s="10"/>
      <c r="X2801" s="10"/>
      <c r="Y2801" s="10"/>
      <c r="Z2801" s="10"/>
    </row>
    <row r="2802" spans="1:26" ht="12.75">
      <c r="A2802" s="10" t="str">
        <f ca="1">IFERROR(__xludf.DUMMYFUNCTION("""COMPUTED_VALUE"""),"Елена Дикова Шойкова")</f>
        <v>Елена Дикова Шойкова</v>
      </c>
      <c r="B2802" s="10" t="str">
        <f ca="1">IFERROR(__xludf.DUMMYFUNCTION("""COMPUTED_VALUE"""),"Доклад от конференция")</f>
        <v>Доклад от конференция</v>
      </c>
      <c r="C2802" s="10" t="str">
        <f ca="1">IFERROR(__xludf.DUMMYFUNCTION("""COMPUTED_VALUE"""),"VELO-CITY: А system for a smart bike management")</f>
        <v>VELO-CITY: А system for a smart bike management</v>
      </c>
      <c r="D2802" s="10">
        <f ca="1">IFERROR(__xludf.DUMMYFUNCTION("""COMPUTED_VALUE"""),2016)</f>
        <v>2016</v>
      </c>
      <c r="E2802" s="10" t="str">
        <f ca="1">IFERROR(__xludf.DUMMYFUNCTION("""COMPUTED_VALUE"""),"Proceedings of International Scientific Conference “High Technologies. Business. Society 2016.”")</f>
        <v>Proceedings of International Scientific Conference “High Technologies. Business. Society 2016.”</v>
      </c>
      <c r="F2802" s="10" t="str">
        <f ca="1">IFERROR(__xludf.DUMMYFUNCTION("""COMPUTED_VALUE"""),"TIB – Leibniz Information Centre for Science and Technology and University Library")</f>
        <v>TIB – Leibniz Information Centre for Science and Technology and University Library</v>
      </c>
      <c r="G2802" s="10" t="str">
        <f ca="1">IFERROR(__xludf.DUMMYFUNCTION("""COMPUTED_VALUE"""),"Румен Николов, Александър Шикаланов, Галя Новакова")</f>
        <v>Румен Николов, Александър Шикаланов, Галя Новакова</v>
      </c>
      <c r="H2802" s="10"/>
      <c r="I2802" s="10"/>
      <c r="J2802" s="10"/>
      <c r="K2802" s="10"/>
      <c r="L2802" s="10"/>
      <c r="M2802" s="10"/>
      <c r="N2802" s="10"/>
      <c r="O2802" s="10"/>
      <c r="P2802" s="10"/>
      <c r="Q2802" s="10"/>
      <c r="R2802" s="10"/>
      <c r="S2802" s="10"/>
      <c r="T2802" s="10"/>
      <c r="U2802" s="10"/>
      <c r="V2802" s="10"/>
      <c r="W2802" s="10"/>
      <c r="X2802" s="10"/>
      <c r="Y2802" s="10"/>
      <c r="Z2802" s="10"/>
    </row>
    <row r="2803" spans="1:26" ht="12.75">
      <c r="A2803" s="10" t="str">
        <f ca="1">IFERROR(__xludf.DUMMYFUNCTION("""COMPUTED_VALUE"""),"Елена Дикова Шойкова")</f>
        <v>Елена Дикова Шойкова</v>
      </c>
      <c r="B2803" s="10" t="str">
        <f ca="1">IFERROR(__xludf.DUMMYFUNCTION("""COMPUTED_VALUE"""),"Доклад от конференция")</f>
        <v>Доклад от конференция</v>
      </c>
      <c r="C2803" s="10" t="str">
        <f ca="1">IFERROR(__xludf.DUMMYFUNCTION("""COMPUTED_VALUE"""),"Smart Place as a Service: A Model for Providing Big Data Solutions for Smart and Energy Efficient Buildings and Places")</f>
        <v>Smart Place as a Service: A Model for Providing Big Data Solutions for Smart and Energy Efficient Buildings and Places</v>
      </c>
      <c r="D2803" s="10">
        <f ca="1">IFERROR(__xludf.DUMMYFUNCTION("""COMPUTED_VALUE"""),2016)</f>
        <v>2016</v>
      </c>
      <c r="E2803" s="10" t="str">
        <f ca="1">IFERROR(__xludf.DUMMYFUNCTION("""COMPUTED_VALUE"""),"The International Conference “Big Data, Knowledge and Control Systems Engineering” (BdKCSE'2016), 1-2 December 2016, PROCEEDINGS, pp. 49-60")</f>
        <v>The International Conference “Big Data, Knowledge and Control Systems Engineering” (BdKCSE'2016), 1-2 December 2016, PROCEEDINGS, pp. 49-60</v>
      </c>
      <c r="F2803" s="10"/>
      <c r="G2803" s="10" t="str">
        <f ca="1">IFERROR(__xludf.DUMMYFUNCTION("""COMPUTED_VALUE"""),"Roumen Nikolov, Alexandre Chikalanov, Dimitar Paskalev, Milan Rashevski")</f>
        <v>Roumen Nikolov, Alexandre Chikalanov, Dimitar Paskalev, Milan Rashevski</v>
      </c>
      <c r="H2803" s="10"/>
      <c r="I2803" s="10"/>
      <c r="J2803" s="10"/>
      <c r="K2803" s="10"/>
      <c r="L2803" s="10"/>
      <c r="M2803" s="10"/>
      <c r="N2803" s="10"/>
      <c r="O2803" s="10"/>
      <c r="P2803" s="10"/>
      <c r="Q2803" s="10"/>
      <c r="R2803" s="10"/>
      <c r="S2803" s="10"/>
      <c r="T2803" s="10"/>
      <c r="U2803" s="10"/>
      <c r="V2803" s="10"/>
      <c r="W2803" s="10"/>
      <c r="X2803" s="10"/>
      <c r="Y2803" s="10"/>
      <c r="Z2803" s="10"/>
    </row>
    <row r="2804" spans="1:26" ht="12.75">
      <c r="A2804" s="10" t="str">
        <f ca="1">IFERROR(__xludf.DUMMYFUNCTION("""COMPUTED_VALUE"""),"Елена Дикова Шойкова")</f>
        <v>Елена Дикова Шойкова</v>
      </c>
      <c r="B2804" s="10" t="str">
        <f ca="1">IFERROR(__xludf.DUMMYFUNCTION("""COMPUTED_VALUE"""),"Доклад от конференция")</f>
        <v>Доклад от конференция</v>
      </c>
      <c r="C2804" s="10" t="str">
        <f ca="1">IFERROR(__xludf.DUMMYFUNCTION("""COMPUTED_VALUE"""),"Model for a smart and safe city")</f>
        <v>Model for a smart and safe city</v>
      </c>
      <c r="D2804" s="10">
        <f ca="1">IFERROR(__xludf.DUMMYFUNCTION("""COMPUTED_VALUE"""),2016)</f>
        <v>2016</v>
      </c>
      <c r="E2804" s="10" t="str">
        <f ca="1">IFERROR(__xludf.DUMMYFUNCTION("""COMPUTED_VALUE"""),"Proceedings of International Scientific Conference “High Technologies. Business. Society 2016.”")</f>
        <v>Proceedings of International Scientific Conference “High Technologies. Business. Society 2016.”</v>
      </c>
      <c r="F2804" s="10"/>
      <c r="G2804" s="10" t="str">
        <f ca="1">IFERROR(__xludf.DUMMYFUNCTION("""COMPUTED_VALUE"""),"Румен Николов, Галя Новакова")</f>
        <v>Румен Николов, Галя Новакова</v>
      </c>
      <c r="H2804" s="10"/>
      <c r="I2804" s="10"/>
      <c r="J2804" s="10"/>
      <c r="K2804" s="10"/>
      <c r="L2804" s="10"/>
      <c r="M2804" s="10"/>
      <c r="N2804" s="10"/>
      <c r="O2804" s="10"/>
      <c r="P2804" s="10"/>
      <c r="Q2804" s="10"/>
      <c r="R2804" s="10"/>
      <c r="S2804" s="10"/>
      <c r="T2804" s="10"/>
      <c r="U2804" s="10"/>
      <c r="V2804" s="10"/>
      <c r="W2804" s="10"/>
      <c r="X2804" s="10"/>
      <c r="Y2804" s="10"/>
      <c r="Z2804" s="10"/>
    </row>
    <row r="2805" spans="1:26" ht="12.75">
      <c r="A2805" s="10" t="str">
        <f ca="1">IFERROR(__xludf.DUMMYFUNCTION("""COMPUTED_VALUE"""),"Елена Дикова Шойкова")</f>
        <v>Елена Дикова Шойкова</v>
      </c>
      <c r="B2805" s="10" t="str">
        <f ca="1">IFERROR(__xludf.DUMMYFUNCTION("""COMPUTED_VALUE"""),"Доклад от конференция")</f>
        <v>Доклад от конференция</v>
      </c>
      <c r="C2805" s="10" t="str">
        <f ca="1">IFERROR(__xludf.DUMMYFUNCTION("""COMPUTED_VALUE"""),"Learning in a Smart City Environment")</f>
        <v>Learning in a Smart City Environment</v>
      </c>
      <c r="D2805" s="10">
        <f ca="1">IFERROR(__xludf.DUMMYFUNCTION("""COMPUTED_VALUE"""),2016)</f>
        <v>2016</v>
      </c>
      <c r="E2805" s="10" t="str">
        <f ca="1">IFERROR(__xludf.DUMMYFUNCTION("""COMPUTED_VALUE"""),"Journal of Communication and Computer 13 (2016) 338-350, doi:10.17265/1548-7709/2016.07.003")</f>
        <v>Journal of Communication and Computer 13 (2016) 338-350, doi:10.17265/1548-7709/2016.07.003</v>
      </c>
      <c r="F2805" s="10" t="str">
        <f ca="1">IFERROR(__xludf.DUMMYFUNCTION("""COMPUTED_VALUE"""),"Web of Science (Clarivate Analytics) Google Scholar")</f>
        <v>Web of Science (Clarivate Analytics) Google Scholar</v>
      </c>
      <c r="G2805" s="10" t="str">
        <f ca="1">IFERROR(__xludf.DUMMYFUNCTION("""COMPUTED_VALUE"""),"R.Nikolov, E.Kovatcheva, M.Krumova, V. Dimitrov, A. Chikalanov")</f>
        <v>R.Nikolov, E.Kovatcheva, M.Krumova, V. Dimitrov, A. Chikalanov</v>
      </c>
      <c r="H2805" s="10"/>
      <c r="I2805" s="10"/>
      <c r="J2805" s="10"/>
      <c r="K2805" s="10"/>
      <c r="L2805" s="10"/>
      <c r="M2805" s="10"/>
      <c r="N2805" s="10"/>
      <c r="O2805" s="10"/>
      <c r="P2805" s="10"/>
      <c r="Q2805" s="10"/>
      <c r="R2805" s="10"/>
      <c r="S2805" s="10"/>
      <c r="T2805" s="10"/>
      <c r="U2805" s="10"/>
      <c r="V2805" s="10"/>
      <c r="W2805" s="10"/>
      <c r="X2805" s="10"/>
      <c r="Y2805" s="10"/>
      <c r="Z2805" s="10"/>
    </row>
    <row r="2806" spans="1:26" ht="12.75">
      <c r="A2806" s="10" t="str">
        <f ca="1">IFERROR(__xludf.DUMMYFUNCTION("""COMPUTED_VALUE"""),"Елена Дикова Шойкова")</f>
        <v>Елена Дикова Шойкова</v>
      </c>
      <c r="B2806" s="10" t="str">
        <f ca="1">IFERROR(__xludf.DUMMYFUNCTION("""COMPUTED_VALUE"""),"Доклад от конференция")</f>
        <v>Доклад от конференция</v>
      </c>
      <c r="C2806" s="10" t="str">
        <f ca="1">IFERROR(__xludf.DUMMYFUNCTION("""COMPUTED_VALUE"""),"Advanced Models for Smart Mobility in Cities. The Role of Bike Transport")</f>
        <v>Advanced Models for Smart Mobility in Cities. The Role of Bike Transport</v>
      </c>
      <c r="D2806" s="10">
        <f ca="1">IFERROR(__xludf.DUMMYFUNCTION("""COMPUTED_VALUE"""),2016)</f>
        <v>2016</v>
      </c>
      <c r="E2806" s="10" t="str">
        <f ca="1">IFERROR(__xludf.DUMMYFUNCTION("""COMPUTED_VALUE"""),"Proceedings of the conference")</f>
        <v>Proceedings of the conference</v>
      </c>
      <c r="F2806" s="10"/>
      <c r="G2806" s="10" t="str">
        <f ca="1">IFERROR(__xludf.DUMMYFUNCTION("""COMPUTED_VALUE"""),"Румен Николов, Александър Шикаланов")</f>
        <v>Румен Николов, Александър Шикаланов</v>
      </c>
      <c r="H2806" s="10"/>
      <c r="I2806" s="10"/>
      <c r="J2806" s="10"/>
      <c r="K2806" s="10"/>
      <c r="L2806" s="10"/>
      <c r="M2806" s="10"/>
      <c r="N2806" s="10"/>
      <c r="O2806" s="10"/>
      <c r="P2806" s="10"/>
      <c r="Q2806" s="10"/>
      <c r="R2806" s="10"/>
      <c r="S2806" s="10"/>
      <c r="T2806" s="10"/>
      <c r="U2806" s="10"/>
      <c r="V2806" s="10"/>
      <c r="W2806" s="10"/>
      <c r="X2806" s="10"/>
      <c r="Y2806" s="10"/>
      <c r="Z2806" s="10"/>
    </row>
    <row r="2807" spans="1:26" ht="12.75">
      <c r="A2807" s="10" t="str">
        <f ca="1">IFERROR(__xludf.DUMMYFUNCTION("""COMPUTED_VALUE"""),"Елена Дикова Шойкова")</f>
        <v>Елена Дикова Шойкова</v>
      </c>
      <c r="B2807" s="10" t="str">
        <f ca="1">IFERROR(__xludf.DUMMYFUNCTION("""COMPUTED_VALUE"""),"Доклад от конференция")</f>
        <v>Доклад от конференция</v>
      </c>
      <c r="C2807" s="10" t="str">
        <f ca="1">IFERROR(__xludf.DUMMYFUNCTION("""COMPUTED_VALUE"""),"Bike Sharing System for Multimodal Mobility Based on Open Data")</f>
        <v>Bike Sharing System for Multimodal Mobility Based on Open Data</v>
      </c>
      <c r="D2807" s="10">
        <f ca="1">IFERROR(__xludf.DUMMYFUNCTION("""COMPUTED_VALUE"""),2015)</f>
        <v>2015</v>
      </c>
      <c r="E2807" s="10" t="str">
        <f ca="1">IFERROR(__xludf.DUMMYFUNCTION("""COMPUTED_VALUE"""),"Proceedings of International Scientific Conference 2015")</f>
        <v>Proceedings of International Scientific Conference 2015</v>
      </c>
      <c r="F2807" s="10"/>
      <c r="G2807" s="10" t="str">
        <f ca="1">IFERROR(__xludf.DUMMYFUNCTION("""COMPUTED_VALUE"""),"Румен Николов, Александър Шикаланов, Галя Новакова")</f>
        <v>Румен Николов, Александър Шикаланов, Галя Новакова</v>
      </c>
      <c r="H2807" s="10"/>
      <c r="I2807" s="10"/>
      <c r="J2807" s="10"/>
      <c r="K2807" s="10"/>
      <c r="L2807" s="10"/>
      <c r="M2807" s="10"/>
      <c r="N2807" s="10"/>
      <c r="O2807" s="10"/>
      <c r="P2807" s="10"/>
      <c r="Q2807" s="10"/>
      <c r="R2807" s="10"/>
      <c r="S2807" s="10"/>
      <c r="T2807" s="10"/>
      <c r="U2807" s="10"/>
      <c r="V2807" s="10"/>
      <c r="W2807" s="10"/>
      <c r="X2807" s="10"/>
      <c r="Y2807" s="10"/>
      <c r="Z2807" s="10"/>
    </row>
    <row r="2808" spans="1:26" ht="12.75">
      <c r="A2808" s="10" t="str">
        <f ca="1">IFERROR(__xludf.DUMMYFUNCTION("""COMPUTED_VALUE"""),"Елена Дикова Шойкова")</f>
        <v>Елена Дикова Шойкова</v>
      </c>
      <c r="B2808" s="10" t="str">
        <f ca="1">IFERROR(__xludf.DUMMYFUNCTION("""COMPUTED_VALUE"""),"Статия в списания и поредици")</f>
        <v>Статия в списания и поредици</v>
      </c>
      <c r="C2808" s="10" t="str">
        <f ca="1">IFERROR(__xludf.DUMMYFUNCTION("""COMPUTED_VALUE"""),"Competence based framework for curriculum development.")</f>
        <v>Competence based framework for curriculum development.</v>
      </c>
      <c r="D2808" s="10">
        <f ca="1">IFERROR(__xludf.DUMMYFUNCTION("""COMPUTED_VALUE"""),2014)</f>
        <v>2014</v>
      </c>
      <c r="E2808"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ISBN 1312-5834 (print)")</f>
        <v>ТРУДОВЕ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ISBN 1312-5834 (print)</v>
      </c>
      <c r="F2808" s="10"/>
      <c r="G2808" s="10" t="str">
        <f ca="1">IFERROR(__xludf.DUMMYFUNCTION("""COMPUTED_VALUE"""),"Nikolov, R., Kovatcheva, E")</f>
        <v>Nikolov, R., Kovatcheva, E</v>
      </c>
      <c r="H2808" s="10"/>
      <c r="I2808" s="10"/>
      <c r="J2808" s="10"/>
      <c r="K2808" s="10"/>
      <c r="L2808" s="10"/>
      <c r="M2808" s="10"/>
      <c r="N2808" s="10"/>
      <c r="O2808" s="10"/>
      <c r="P2808" s="10"/>
      <c r="Q2808" s="10"/>
      <c r="R2808" s="10"/>
      <c r="S2808" s="10"/>
      <c r="T2808" s="10"/>
      <c r="U2808" s="10"/>
      <c r="V2808" s="10"/>
      <c r="W2808" s="10"/>
      <c r="X2808" s="10"/>
      <c r="Y2808" s="10"/>
      <c r="Z2808" s="10"/>
    </row>
    <row r="2809" spans="1:26" ht="12.75">
      <c r="A2809" s="10" t="str">
        <f ca="1">IFERROR(__xludf.DUMMYFUNCTION("""COMPUTED_VALUE"""),"Елена Дикова Шойкова")</f>
        <v>Елена Дикова Шойкова</v>
      </c>
      <c r="B2809" s="10" t="str">
        <f ca="1">IFERROR(__xludf.DUMMYFUNCTION("""COMPUTED_VALUE"""),"Доклад от конференция")</f>
        <v>Доклад от конференция</v>
      </c>
      <c r="C2809" s="10" t="str">
        <f ca="1">IFERROR(__xludf.DUMMYFUNCTION("""COMPUTED_VALUE"""),"Education Enhanced by Cloud Computing")</f>
        <v>Education Enhanced by Cloud Computing</v>
      </c>
      <c r="D2809" s="10">
        <f ca="1">IFERROR(__xludf.DUMMYFUNCTION("""COMPUTED_VALUE"""),2014)</f>
        <v>2014</v>
      </c>
      <c r="E2809" s="10" t="str">
        <f ca="1">IFERROR(__xludf.DUMMYFUNCTION("""COMPUTED_VALUE"""),"Proceedings of UNESCO International Workshop QED’14, Quality of Education and Challenges in a Digitally Networked World")</f>
        <v>Proceedings of UNESCO International Workshop QED’14, Quality of Education and Challenges in a Digitally Networked World</v>
      </c>
      <c r="F2809" s="10"/>
      <c r="G2809" s="10" t="str">
        <f ca="1">IFERROR(__xludf.DUMMYFUNCTION("""COMPUTED_VALUE"""),"Анатоли Пешев")</f>
        <v>Анатоли Пешев</v>
      </c>
      <c r="H2809" s="10"/>
      <c r="I2809" s="10"/>
      <c r="J2809" s="10"/>
      <c r="K2809" s="10"/>
      <c r="L2809" s="10"/>
      <c r="M2809" s="10"/>
      <c r="N2809" s="10"/>
      <c r="O2809" s="10"/>
      <c r="P2809" s="10"/>
      <c r="Q2809" s="10"/>
      <c r="R2809" s="10"/>
      <c r="S2809" s="10"/>
      <c r="T2809" s="10"/>
      <c r="U2809" s="10"/>
      <c r="V2809" s="10"/>
      <c r="W2809" s="10"/>
      <c r="X2809" s="10"/>
      <c r="Y2809" s="10"/>
      <c r="Z2809" s="10"/>
    </row>
    <row r="2810" spans="1:26" ht="12.75">
      <c r="A2810" s="10" t="str">
        <f ca="1">IFERROR(__xludf.DUMMYFUNCTION("""COMPUTED_VALUE"""),"Елена Дикова Шойкова")</f>
        <v>Елена Дикова Шойкова</v>
      </c>
      <c r="B2810" s="10" t="str">
        <f ca="1">IFERROR(__xludf.DUMMYFUNCTION("""COMPUTED_VALUE"""),"Статия в списания и поредици")</f>
        <v>Статия в списания и поредици</v>
      </c>
      <c r="C2810" s="10" t="str">
        <f ca="1">IFERROR(__xludf.DUMMYFUNCTION("""COMPUTED_VALUE"""),"Learning 2.0 enhanced by social media tools-implementation and assessment.")</f>
        <v>Learning 2.0 enhanced by social media tools-implementation and assessment.</v>
      </c>
      <c r="D2810" s="10">
        <f ca="1">IFERROR(__xludf.DUMMYFUNCTION("""COMPUTED_VALUE"""),2014)</f>
        <v>2014</v>
      </c>
      <c r="E2810" s="10" t="str">
        <f ca="1">IFERROR(__xludf.DUMMYFUNCTION("""COMPUTED_VALUE"""),"Proceedings of the International Conference e-Learning 2014. Multi Conference on Computer Science and Information Systems (Lisbon, Portugal, July 15-19, 2014) (Vol. 14, p. 213). ISBN: 978-989-8704-08-5")</f>
        <v>Proceedings of the International Conference e-Learning 2014. Multi Conference on Computer Science and Information Systems (Lisbon, Portugal, July 15-19, 2014) (Vol. 14, p. 213). ISBN: 978-989-8704-08-5</v>
      </c>
      <c r="F2810" s="10" t="str">
        <f ca="1">IFERROR(__xludf.DUMMYFUNCTION("""COMPUTED_VALUE"""),"IADIS Digital Library indexed by SCOPUS")</f>
        <v>IADIS Digital Library indexed by SCOPUS</v>
      </c>
      <c r="G2810" s="10" t="str">
        <f ca="1">IFERROR(__xludf.DUMMYFUNCTION("""COMPUTED_VALUE"""),"Nikolov, R., Krumova, M., Kovatcheva, E.")</f>
        <v>Nikolov, R., Krumova, M., Kovatcheva, E.</v>
      </c>
      <c r="H2810" s="10"/>
      <c r="I2810" s="10"/>
      <c r="J2810" s="10"/>
      <c r="K2810" s="10"/>
      <c r="L2810" s="10"/>
      <c r="M2810" s="10"/>
      <c r="N2810" s="10"/>
      <c r="O2810" s="10"/>
      <c r="P2810" s="10"/>
      <c r="Q2810" s="10"/>
      <c r="R2810" s="10"/>
      <c r="S2810" s="10"/>
      <c r="T2810" s="10"/>
      <c r="U2810" s="10"/>
      <c r="V2810" s="10"/>
      <c r="W2810" s="10"/>
      <c r="X2810" s="10"/>
      <c r="Y2810" s="10"/>
      <c r="Z2810" s="10"/>
    </row>
    <row r="2811" spans="1:26" ht="12.75">
      <c r="A2811" s="10" t="str">
        <f ca="1">IFERROR(__xludf.DUMMYFUNCTION("""COMPUTED_VALUE"""),"Елена Дикова Шойкова")</f>
        <v>Елена Дикова Шойкова</v>
      </c>
      <c r="B2811" s="10" t="str">
        <f ca="1">IFERROR(__xludf.DUMMYFUNCTION("""COMPUTED_VALUE"""),"Доклад от конференция")</f>
        <v>Доклад от конференция</v>
      </c>
      <c r="C2811" s="10" t="str">
        <f ca="1">IFERROR(__xludf.DUMMYFUNCTION("""COMPUTED_VALUE"""),"The PICTED, SoC and FETCH European Projects")</f>
        <v>The PICTED, SoC and FETCH European Projects</v>
      </c>
      <c r="D2811" s="10">
        <f ca="1">IFERROR(__xludf.DUMMYFUNCTION("""COMPUTED_VALUE"""),2014)</f>
        <v>2014</v>
      </c>
      <c r="E2811" s="10" t="str">
        <f ca="1">IFERROR(__xludf.DUMMYFUNCTION("""COMPUTED_VALUE"""),"Proceedings of UNESCO International Workshop QED’14, Quality of Education and Challenges in a Digitally Networked World")</f>
        <v>Proceedings of UNESCO International Workshop QED’14, Quality of Education and Challenges in a Digitally Networked World</v>
      </c>
      <c r="F2811" s="10"/>
      <c r="G2811" s="10" t="str">
        <f ca="1">IFERROR(__xludf.DUMMYFUNCTION("""COMPUTED_VALUE"""),"Евгения Ковачева")</f>
        <v>Евгения Ковачева</v>
      </c>
      <c r="H2811" s="10"/>
      <c r="I2811" s="10"/>
      <c r="J2811" s="10"/>
      <c r="K2811" s="10"/>
      <c r="L2811" s="10"/>
      <c r="M2811" s="10"/>
      <c r="N2811" s="10"/>
      <c r="O2811" s="10"/>
      <c r="P2811" s="10"/>
      <c r="Q2811" s="10"/>
      <c r="R2811" s="10"/>
      <c r="S2811" s="10"/>
      <c r="T2811" s="10"/>
      <c r="U2811" s="10"/>
      <c r="V2811" s="10"/>
      <c r="W2811" s="10"/>
      <c r="X2811" s="10"/>
      <c r="Y2811" s="10"/>
      <c r="Z2811" s="10"/>
    </row>
    <row r="2812" spans="1:26" ht="12.75">
      <c r="A2812" s="10" t="str">
        <f ca="1">IFERROR(__xludf.DUMMYFUNCTION("""COMPUTED_VALUE"""),"Елена Дикова Шойкова")</f>
        <v>Елена Дикова Шойкова</v>
      </c>
      <c r="B2812" s="10" t="str">
        <f ca="1">IFERROR(__xludf.DUMMYFUNCTION("""COMPUTED_VALUE"""),"Доклад от конференция")</f>
        <v>Доклад от конференция</v>
      </c>
      <c r="C2812" s="10" t="str">
        <f ca="1">IFERROR(__xludf.DUMMYFUNCTION("""COMPUTED_VALUE"""),"Обучение базирано на компетенции")</f>
        <v>Обучение базирано на компетенции</v>
      </c>
      <c r="D2812" s="10">
        <f ca="1">IFERROR(__xludf.DUMMYFUNCTION("""COMPUTED_VALUE"""),2014)</f>
        <v>2014</v>
      </c>
      <c r="E2812" s="10" t="str">
        <f ca="1">IFERROR(__xludf.DUMMYFUNCTION("""COMPUTED_VALUE"""),"Proceedings of UNESCO International Workshop QED’14, Quality of Education and Challenges in a Digitally Networked World")</f>
        <v>Proceedings of UNESCO International Workshop QED’14, Quality of Education and Challenges in a Digitally Networked World</v>
      </c>
      <c r="F2812" s="10"/>
      <c r="G2812" s="10" t="str">
        <f ca="1">IFERROR(__xludf.DUMMYFUNCTION("""COMPUTED_VALUE"""),"Милена Крумова")</f>
        <v>Милена Крумова</v>
      </c>
      <c r="H2812" s="10"/>
      <c r="I2812" s="10"/>
      <c r="J2812" s="10"/>
      <c r="K2812" s="10"/>
      <c r="L2812" s="10"/>
      <c r="M2812" s="10"/>
      <c r="N2812" s="10"/>
      <c r="O2812" s="10"/>
      <c r="P2812" s="10"/>
      <c r="Q2812" s="10"/>
      <c r="R2812" s="10"/>
      <c r="S2812" s="10"/>
      <c r="T2812" s="10"/>
      <c r="U2812" s="10"/>
      <c r="V2812" s="10"/>
      <c r="W2812" s="10"/>
      <c r="X2812" s="10"/>
      <c r="Y2812" s="10"/>
      <c r="Z2812" s="10"/>
    </row>
    <row r="2813" spans="1:26" ht="12.75">
      <c r="A2813" s="10" t="str">
        <f ca="1">IFERROR(__xludf.DUMMYFUNCTION("""COMPUTED_VALUE"""),"Елена Дикова Шойкова")</f>
        <v>Елена Дикова Шойкова</v>
      </c>
      <c r="B2813" s="10" t="str">
        <f ca="1">IFERROR(__xludf.DUMMYFUNCTION("""COMPUTED_VALUE"""),"Статия в списания и поредици")</f>
        <v>Статия в списания и поредици</v>
      </c>
      <c r="C2813" s="10" t="str">
        <f ca="1">IFERROR(__xludf.DUMMYFUNCTION("""COMPUTED_VALUE"""),"Бизнес анализ при гъвкави методологии за разработка на софтуер")</f>
        <v>Бизнес анализ при гъвкави методологии за разработка на софтуер</v>
      </c>
      <c r="D2813" s="10">
        <f ca="1">IFERROR(__xludf.DUMMYFUNCTION("""COMPUTED_VALUE"""),2014)</f>
        <v>2014</v>
      </c>
      <c r="E2813" s="10" t="str">
        <f ca="1">IFERROR(__xludf.DUMMYFUNCTION("""COMPUTED_VALUE"""),"„Автоматика и Информатика“")</f>
        <v>„Автоматика и Информатика“</v>
      </c>
      <c r="F2813" s="10"/>
      <c r="G2813" s="10" t="str">
        <f ca="1">IFERROR(__xludf.DUMMYFUNCTION("""COMPUTED_VALUE"""),"Румен Николов")</f>
        <v>Румен Николов</v>
      </c>
      <c r="H2813" s="10"/>
      <c r="I2813" s="10"/>
      <c r="J2813" s="10"/>
      <c r="K2813" s="10"/>
      <c r="L2813" s="10"/>
      <c r="M2813" s="10"/>
      <c r="N2813" s="10"/>
      <c r="O2813" s="10"/>
      <c r="P2813" s="10"/>
      <c r="Q2813" s="10"/>
      <c r="R2813" s="10"/>
      <c r="S2813" s="10"/>
      <c r="T2813" s="10"/>
      <c r="U2813" s="10"/>
      <c r="V2813" s="10"/>
      <c r="W2813" s="10"/>
      <c r="X2813" s="10"/>
      <c r="Y2813" s="10"/>
      <c r="Z2813" s="10"/>
    </row>
    <row r="2814" spans="1:26" ht="12.75">
      <c r="A2814" s="10" t="str">
        <f ca="1">IFERROR(__xludf.DUMMYFUNCTION("""COMPUTED_VALUE"""),"Елена Дикова Шойкова")</f>
        <v>Елена Дикова Шойкова</v>
      </c>
      <c r="B2814" s="10" t="str">
        <f ca="1">IFERROR(__xludf.DUMMYFUNCTION("""COMPUTED_VALUE"""),"Статия в списания и поредици")</f>
        <v>Статия в списания и поредици</v>
      </c>
      <c r="C2814" s="10" t="str">
        <f ca="1">IFERROR(__xludf.DUMMYFUNCTION("""COMPUTED_VALUE"""),"Модели на обучение базирано на компетенции 2.0")</f>
        <v>Модели на обучение базирано на компетенции 2.0</v>
      </c>
      <c r="D2814" s="10">
        <f ca="1">IFERROR(__xludf.DUMMYFUNCTION("""COMPUTED_VALUE"""),2014)</f>
        <v>2014</v>
      </c>
      <c r="E2814" s="10" t="str">
        <f ca="1">IFERROR(__xludf.DUMMYFUNCTION("""COMPUTED_VALUE"""),"„Автоматика и Информатика“")</f>
        <v>„Автоматика и Информатика“</v>
      </c>
      <c r="F2814" s="10"/>
      <c r="G2814" s="10" t="str">
        <f ca="1">IFERROR(__xludf.DUMMYFUNCTION("""COMPUTED_VALUE"""),"Mилена Крумова, Евгения Ковачева")</f>
        <v>Mилена Крумова, Евгения Ковачева</v>
      </c>
      <c r="H2814" s="10"/>
      <c r="I2814" s="10"/>
      <c r="J2814" s="10"/>
      <c r="K2814" s="10"/>
      <c r="L2814" s="10"/>
      <c r="M2814" s="10"/>
      <c r="N2814" s="10"/>
      <c r="O2814" s="10"/>
      <c r="P2814" s="10"/>
      <c r="Q2814" s="10"/>
      <c r="R2814" s="10"/>
      <c r="S2814" s="10"/>
      <c r="T2814" s="10"/>
      <c r="U2814" s="10"/>
      <c r="V2814" s="10"/>
      <c r="W2814" s="10"/>
      <c r="X2814" s="10"/>
      <c r="Y2814" s="10"/>
      <c r="Z2814" s="10"/>
    </row>
    <row r="2815" spans="1:26" ht="12.75">
      <c r="A2815" s="10" t="str">
        <f ca="1">IFERROR(__xludf.DUMMYFUNCTION("""COMPUTED_VALUE"""),"Елена Дикова Шойкова")</f>
        <v>Елена Дикова Шойкова</v>
      </c>
      <c r="B2815" s="10" t="str">
        <f ca="1">IFERROR(__xludf.DUMMYFUNCTION("""COMPUTED_VALUE"""),"Статия в списания и поредици")</f>
        <v>Статия в списания и поредици</v>
      </c>
      <c r="C2815" s="10" t="str">
        <f ca="1">IFERROR(__xludf.DUMMYFUNCTION("""COMPUTED_VALUE"""),"Embedding Open Educational Resources in a Competence Based ICT in Library Art Course")</f>
        <v>Embedding Open Educational Resources in a Competence Based ICT in Library Art Course</v>
      </c>
      <c r="D2815" s="10">
        <f ca="1">IFERROR(__xludf.DUMMYFUNCTION("""COMPUTED_VALUE"""),2013)</f>
        <v>2013</v>
      </c>
      <c r="E2815" s="10" t="str">
        <f ca="1">IFERROR(__xludf.DUMMYFUNCTION("""COMPUTED_VALUE"""),"In proceeding 10th IFIP World Conference on Computers in Education, WCCE 2013 Torun, 2–5 July 2013, ISBN 9788323130901")</f>
        <v>In proceeding 10th IFIP World Conference on Computers in Education, WCCE 2013 Torun, 2–5 July 2013, ISBN 9788323130901</v>
      </c>
      <c r="F2815" s="10" t="str">
        <f ca="1">IFERROR(__xludf.DUMMYFUNCTION("""COMPUTED_VALUE"""),"Google Scholar")</f>
        <v>Google Scholar</v>
      </c>
      <c r="G2815" s="10" t="str">
        <f ca="1">IFERROR(__xludf.DUMMYFUNCTION("""COMPUTED_VALUE"""),"Nikolov, R, E. Kovatcheva")</f>
        <v>Nikolov, R, E. Kovatcheva</v>
      </c>
      <c r="H2815" s="10"/>
      <c r="I2815" s="10"/>
      <c r="J2815" s="10"/>
      <c r="K2815" s="10"/>
      <c r="L2815" s="10"/>
      <c r="M2815" s="10"/>
      <c r="N2815" s="10"/>
      <c r="O2815" s="10"/>
      <c r="P2815" s="10"/>
      <c r="Q2815" s="10"/>
      <c r="R2815" s="10"/>
      <c r="S2815" s="10"/>
      <c r="T2815" s="10"/>
      <c r="U2815" s="10"/>
      <c r="V2815" s="10"/>
      <c r="W2815" s="10"/>
      <c r="X2815" s="10"/>
      <c r="Y2815" s="10"/>
      <c r="Z2815" s="10"/>
    </row>
    <row r="2816" spans="1:26" ht="12.75">
      <c r="A2816" s="10" t="str">
        <f ca="1">IFERROR(__xludf.DUMMYFUNCTION("""COMPUTED_VALUE"""),"Елена Дикова Шойкова")</f>
        <v>Елена Дикова Шойкова</v>
      </c>
      <c r="B2816" s="10" t="str">
        <f ca="1">IFERROR(__xludf.DUMMYFUNCTION("""COMPUTED_VALUE"""),"Статия в списания и поредици")</f>
        <v>Статия в списания и поредици</v>
      </c>
      <c r="C2816" s="10" t="str">
        <f ca="1">IFERROR(__xludf.DUMMYFUNCTION("""COMPUTED_VALUE"""),"TECHNOLOGY-ENHANCED SOCIAL LEARNING AND SECI 2.0.")</f>
        <v>TECHNOLOGY-ENHANCED SOCIAL LEARNING AND SECI 2.0.</v>
      </c>
      <c r="D2816" s="10">
        <f ca="1">IFERROR(__xludf.DUMMYFUNCTION("""COMPUTED_VALUE"""),2013)</f>
        <v>2013</v>
      </c>
      <c r="E2816" s="10" t="str">
        <f ca="1">IFERROR(__xludf.DUMMYFUNCTION("""COMPUTED_VALUE"""),"International Journal on Information Technologies &amp; Security, 5(3) ISSN 1313-8251")</f>
        <v>International Journal on Information Technologies &amp; Security, 5(3) ISSN 1313-8251</v>
      </c>
      <c r="F2816" s="10"/>
      <c r="G2816" s="10" t="str">
        <f ca="1">IFERROR(__xludf.DUMMYFUNCTION("""COMPUTED_VALUE"""),"Krumova, M")</f>
        <v>Krumova, M</v>
      </c>
      <c r="H2816" s="10"/>
      <c r="I2816" s="10"/>
      <c r="J2816" s="10"/>
      <c r="K2816" s="10"/>
      <c r="L2816" s="10"/>
      <c r="M2816" s="10"/>
      <c r="N2816" s="10"/>
      <c r="O2816" s="10"/>
      <c r="P2816" s="10"/>
      <c r="Q2816" s="10"/>
      <c r="R2816" s="10"/>
      <c r="S2816" s="10"/>
      <c r="T2816" s="10"/>
      <c r="U2816" s="10"/>
      <c r="V2816" s="10"/>
      <c r="W2816" s="10"/>
      <c r="X2816" s="10"/>
      <c r="Y2816" s="10"/>
      <c r="Z2816" s="10"/>
    </row>
    <row r="2817" spans="1:26" ht="12.75">
      <c r="A2817" s="10" t="str">
        <f ca="1">IFERROR(__xludf.DUMMYFUNCTION("""COMPUTED_VALUE"""),"Елена Дикова Шойкова")</f>
        <v>Елена Дикова Шойкова</v>
      </c>
      <c r="B2817" s="10" t="str">
        <f ca="1">IFERROR(__xludf.DUMMYFUNCTION("""COMPUTED_VALUE"""),"Статия в списания и поредици")</f>
        <v>Статия в списания и поредици</v>
      </c>
      <c r="C2817" s="10" t="str">
        <f ca="1">IFERROR(__xludf.DUMMYFUNCTION("""COMPUTED_VALUE"""),"Competence Development Enhanced by Learning Paths Design and E-Portfolio Implementation within ILIAS")</f>
        <v>Competence Development Enhanced by Learning Paths Design and E-Portfolio Implementation within ILIAS</v>
      </c>
      <c r="D2817" s="10">
        <f ca="1">IFERROR(__xludf.DUMMYFUNCTION("""COMPUTED_VALUE"""),2012)</f>
        <v>2012</v>
      </c>
      <c r="E2817" s="10" t="str">
        <f ca="1">IFERROR(__xludf.DUMMYFUNCTION("""COMPUTED_VALUE"""),"INTED2012 Proceedings Pages: 913-923 Publication year: 2012 ISBN: 978-84-615-5563-5 ISSN: 2340-1079 Conference name: 6th International Technology, Education and Development Conference Dates: 5-7 March, 2012 Location: Valencia, Spain")</f>
        <v>INTED2012 Proceedings Pages: 913-923 Publication year: 2012 ISBN: 978-84-615-5563-5 ISSN: 2340-1079 Conference name: 6th International Technology, Education and Development Conference Dates: 5-7 March, 2012 Location: Valencia, Spain</v>
      </c>
      <c r="F2817" s="10" t="str">
        <f ca="1">IFERROR(__xludf.DUMMYFUNCTION("""COMPUTED_VALUE"""),"Web of Science ISI Conference Proceedings Citation Index")</f>
        <v>Web of Science ISI Conference Proceedings Citation Index</v>
      </c>
      <c r="G2817" s="10" t="str">
        <f ca="1">IFERROR(__xludf.DUMMYFUNCTION("""COMPUTED_VALUE"""),"Krumova, M.")</f>
        <v>Krumova, M.</v>
      </c>
      <c r="H2817" s="10"/>
      <c r="I2817" s="10"/>
      <c r="J2817" s="10"/>
      <c r="K2817" s="10"/>
      <c r="L2817" s="10"/>
      <c r="M2817" s="10"/>
      <c r="N2817" s="10"/>
      <c r="O2817" s="10"/>
      <c r="P2817" s="10"/>
      <c r="Q2817" s="10"/>
      <c r="R2817" s="10"/>
      <c r="S2817" s="10"/>
      <c r="T2817" s="10"/>
      <c r="U2817" s="10"/>
      <c r="V2817" s="10"/>
      <c r="W2817" s="10"/>
      <c r="X2817" s="10"/>
      <c r="Y2817" s="10"/>
      <c r="Z2817" s="10"/>
    </row>
    <row r="2818" spans="1:26" ht="12.75">
      <c r="A2818" s="10" t="str">
        <f ca="1">IFERROR(__xludf.DUMMYFUNCTION("""COMPUTED_VALUE"""),"Елена Дикова Шойкова")</f>
        <v>Елена Дикова Шойкова</v>
      </c>
      <c r="B2818" s="10" t="str">
        <f ca="1">IFERROR(__xludf.DUMMYFUNCTION("""COMPUTED_VALUE"""),"Статия в списания и поредици")</f>
        <v>Статия в списания и поредици</v>
      </c>
      <c r="C2818" s="10" t="str">
        <f ca="1">IFERROR(__xludf.DUMMYFUNCTION("""COMPUTED_VALUE"""),"Research on Managing Private Cloud Computing Infrastructure")</f>
        <v>Research on Managing Private Cloud Computing Infrastructure</v>
      </c>
      <c r="D2818" s="10">
        <f ca="1">IFERROR(__xludf.DUMMYFUNCTION("""COMPUTED_VALUE"""),2012)</f>
        <v>2012</v>
      </c>
      <c r="E2818" s="10" t="str">
        <f ca="1">IFERROR(__xludf.DUMMYFUNCTION("""COMPUTED_VALUE"""),"Pages: 699-708 Publication year: 2012 ISBN: 978-84-615-5563-5 ISSN: 2340-1079 Conference name: 6th International Technology, Education and Development Conference Dates: 5-7 March, 2012 Location: Valencia, Spain")</f>
        <v>Pages: 699-708 Publication year: 2012 ISBN: 978-84-615-5563-5 ISSN: 2340-1079 Conference name: 6th International Technology, Education and Development Conference Dates: 5-7 March, 2012 Location: Valencia, Spain</v>
      </c>
      <c r="F2818" s="10" t="str">
        <f ca="1">IFERROR(__xludf.DUMMYFUNCTION("""COMPUTED_VALUE"""),"Web of Science")</f>
        <v>Web of Science</v>
      </c>
      <c r="G2818" s="10" t="str">
        <f ca="1">IFERROR(__xludf.DUMMYFUNCTION("""COMPUTED_VALUE"""),"Peshev, A.")</f>
        <v>Peshev, A.</v>
      </c>
      <c r="H2818" s="10"/>
      <c r="I2818" s="10"/>
      <c r="J2818" s="10"/>
      <c r="K2818" s="10"/>
      <c r="L2818" s="10"/>
      <c r="M2818" s="10"/>
      <c r="N2818" s="10"/>
      <c r="O2818" s="10"/>
      <c r="P2818" s="10"/>
      <c r="Q2818" s="10"/>
      <c r="R2818" s="10"/>
      <c r="S2818" s="10"/>
      <c r="T2818" s="10"/>
      <c r="U2818" s="10"/>
      <c r="V2818" s="10"/>
      <c r="W2818" s="10"/>
      <c r="X2818" s="10"/>
      <c r="Y2818" s="10"/>
      <c r="Z2818" s="10"/>
    </row>
    <row r="2819" spans="1:26" ht="12.75">
      <c r="A2819" s="10" t="str">
        <f ca="1">IFERROR(__xludf.DUMMYFUNCTION("""COMPUTED_VALUE"""),"Елена Дикова Шойкова")</f>
        <v>Елена Дикова Шойкова</v>
      </c>
      <c r="B2819" s="10" t="str">
        <f ca="1">IFERROR(__xludf.DUMMYFUNCTION("""COMPUTED_VALUE"""),"Статия в списания и поредици")</f>
        <v>Статия в списания и поредици</v>
      </c>
      <c r="C2819" s="10" t="str">
        <f ca="1">IFERROR(__xludf.DUMMYFUNCTION("""COMPUTED_VALUE"""),"Research of Cloud Computing Driven Knowledge Management")</f>
        <v>Research of Cloud Computing Driven Knowledge Management</v>
      </c>
      <c r="D2819" s="10">
        <f ca="1">IFERROR(__xludf.DUMMYFUNCTION("""COMPUTED_VALUE"""),2011)</f>
        <v>2011</v>
      </c>
      <c r="E2819" s="10" t="str">
        <f ca="1">IFERROR(__xludf.DUMMYFUNCTION("""COMPUTED_VALUE"""),"In proceedings of 4th International Conference of Education, Research and Innovation, ICERI2011 Proceedings CD, pp. 2939-2945, IATED November 14-16, 2011, Madrid, Spain, ISBN: 978-84-615-3324-4, Depósito Legal: V-3654-2011")</f>
        <v>In proceedings of 4th International Conference of Education, Research and Innovation, ICERI2011 Proceedings CD, pp. 2939-2945, IATED November 14-16, 2011, Madrid, Spain, ISBN: 978-84-615-3324-4, Depósito Legal: V-3654-2011</v>
      </c>
      <c r="F2819" s="10" t="str">
        <f ca="1">IFERROR(__xludf.DUMMYFUNCTION("""COMPUTED_VALUE"""),"Web of Science ISI Conference Proceedings Citation Index")</f>
        <v>Web of Science ISI Conference Proceedings Citation Index</v>
      </c>
      <c r="G2819" s="10" t="str">
        <f ca="1">IFERROR(__xludf.DUMMYFUNCTION("""COMPUTED_VALUE"""),"Peshev, A.")</f>
        <v>Peshev, A.</v>
      </c>
      <c r="H2819" s="10"/>
      <c r="I2819" s="10"/>
      <c r="J2819" s="10"/>
      <c r="K2819" s="10"/>
      <c r="L2819" s="10"/>
      <c r="M2819" s="10"/>
      <c r="N2819" s="10"/>
      <c r="O2819" s="10"/>
      <c r="P2819" s="10"/>
      <c r="Q2819" s="10"/>
      <c r="R2819" s="10"/>
      <c r="S2819" s="10"/>
      <c r="T2819" s="10"/>
      <c r="U2819" s="10"/>
      <c r="V2819" s="10"/>
      <c r="W2819" s="10"/>
      <c r="X2819" s="10"/>
      <c r="Y2819" s="10"/>
      <c r="Z2819" s="10"/>
    </row>
    <row r="2820" spans="1:26" ht="12.75">
      <c r="A2820" s="10" t="str">
        <f ca="1">IFERROR(__xludf.DUMMYFUNCTION("""COMPUTED_VALUE"""),"Елена Дикова Шойкова")</f>
        <v>Елена Дикова Шойкова</v>
      </c>
      <c r="B2820" s="10" t="str">
        <f ca="1">IFERROR(__xludf.DUMMYFUNCTION("""COMPUTED_VALUE"""),"Статия в списания и поредици")</f>
        <v>Статия в списания и поредици</v>
      </c>
      <c r="C2820" s="10" t="str">
        <f ca="1">IFERROR(__xludf.DUMMYFUNCTION("""COMPUTED_VALUE"""),"Research and modeling of technology-enhanced learning processes focused on knowledge management")</f>
        <v>Research and modeling of technology-enhanced learning processes focused on knowledge management</v>
      </c>
      <c r="D2820" s="10">
        <f ca="1">IFERROR(__xludf.DUMMYFUNCTION("""COMPUTED_VALUE"""),2011)</f>
        <v>2011</v>
      </c>
      <c r="E2820" s="10" t="str">
        <f ca="1">IFERROR(__xludf.DUMMYFUNCTION("""COMPUTED_VALUE"""),"ICERI2011 Proceedings Pages: 1724-1734 Publication year: 2011 ISBN: 978-84-615-3324-4 ISSN: 2340-1095 Conference name: 4th International Conference of Education, Research and Innovation Dates: 14-16 November, 2011 Location: Madrid, Spain")</f>
        <v>ICERI2011 Proceedings Pages: 1724-1734 Publication year: 2011 ISBN: 978-84-615-3324-4 ISSN: 2340-1095 Conference name: 4th International Conference of Education, Research and Innovation Dates: 14-16 November, 2011 Location: Madrid, Spain</v>
      </c>
      <c r="F2820" s="10" t="str">
        <f ca="1">IFERROR(__xludf.DUMMYFUNCTION("""COMPUTED_VALUE"""),"Web of Science ISI Conference Proceedings Citation Index")</f>
        <v>Web of Science ISI Conference Proceedings Citation Index</v>
      </c>
      <c r="G2820" s="10" t="str">
        <f ca="1">IFERROR(__xludf.DUMMYFUNCTION("""COMPUTED_VALUE"""),"Krumova, M., Peshev, A.")</f>
        <v>Krumova, M., Peshev, A.</v>
      </c>
      <c r="H2820" s="10"/>
      <c r="I2820" s="10"/>
      <c r="J2820" s="10"/>
      <c r="K2820" s="10"/>
      <c r="L2820" s="10"/>
      <c r="M2820" s="10"/>
      <c r="N2820" s="10"/>
      <c r="O2820" s="10"/>
      <c r="P2820" s="10"/>
      <c r="Q2820" s="10"/>
      <c r="R2820" s="10"/>
      <c r="S2820" s="10"/>
      <c r="T2820" s="10"/>
      <c r="U2820" s="10"/>
      <c r="V2820" s="10"/>
      <c r="W2820" s="10"/>
      <c r="X2820" s="10"/>
      <c r="Y2820" s="10"/>
      <c r="Z2820" s="10"/>
    </row>
    <row r="2821" spans="1:26" ht="12.75">
      <c r="A2821" s="10" t="str">
        <f ca="1">IFERROR(__xludf.DUMMYFUNCTION("""COMPUTED_VALUE"""),"Елена Дикова Шойкова")</f>
        <v>Елена Дикова Шойкова</v>
      </c>
      <c r="B2821" s="10" t="str">
        <f ca="1">IFERROR(__xludf.DUMMYFUNCTION("""COMPUTED_VALUE"""),"Статия в списания и поредици")</f>
        <v>Статия в списания и поредици</v>
      </c>
      <c r="C2821" s="10" t="str">
        <f ca="1">IFERROR(__xludf.DUMMYFUNCTION("""COMPUTED_VALUE"""),"DEVELOPMENT OF A DIGITAL REPOSITORY")</f>
        <v>DEVELOPMENT OF A DIGITAL REPOSITORY</v>
      </c>
      <c r="D2821" s="10">
        <f ca="1">IFERROR(__xludf.DUMMYFUNCTION("""COMPUTED_VALUE"""),2010)</f>
        <v>2010</v>
      </c>
      <c r="E2821" s="10" t="str">
        <f ca="1">IFERROR(__xludf.DUMMYFUNCTION("""COMPUTED_VALUE"""),"ICERI2010 Proceedings Pages: 7000-7009 ISBN: 978-84-614-2439-9 ISSN: 2340-1095 3rd International Conference of Education, Research and Innovation Dates: 15-17 November, 2010 Location: Madrid, Spain")</f>
        <v>ICERI2010 Proceedings Pages: 7000-7009 ISBN: 978-84-614-2439-9 ISSN: 2340-1095 3rd International Conference of Education, Research and Innovation Dates: 15-17 November, 2010 Location: Madrid, Spain</v>
      </c>
      <c r="F2821" s="10" t="str">
        <f ca="1">IFERROR(__xludf.DUMMYFUNCTION("""COMPUTED_VALUE"""),"Web of Science")</f>
        <v>Web of Science</v>
      </c>
      <c r="G2821" s="10" t="str">
        <f ca="1">IFERROR(__xludf.DUMMYFUNCTION("""COMPUTED_VALUE"""),"A. Peshev")</f>
        <v>A. Peshev</v>
      </c>
      <c r="H2821" s="10"/>
      <c r="I2821" s="10"/>
      <c r="J2821" s="10"/>
      <c r="K2821" s="10"/>
      <c r="L2821" s="10"/>
      <c r="M2821" s="10"/>
      <c r="N2821" s="10"/>
      <c r="O2821" s="10"/>
      <c r="P2821" s="10"/>
      <c r="Q2821" s="10"/>
      <c r="R2821" s="10"/>
      <c r="S2821" s="10"/>
      <c r="T2821" s="10"/>
      <c r="U2821" s="10"/>
      <c r="V2821" s="10"/>
      <c r="W2821" s="10"/>
      <c r="X2821" s="10"/>
      <c r="Y2821" s="10"/>
      <c r="Z2821" s="10"/>
    </row>
    <row r="2822" spans="1:26" ht="12.75">
      <c r="A2822" s="10" t="str">
        <f ca="1">IFERROR(__xludf.DUMMYFUNCTION("""COMPUTED_VALUE"""),"Елена Дикова Шойкова")</f>
        <v>Елена Дикова Шойкова</v>
      </c>
      <c r="B2822" s="10" t="str">
        <f ca="1">IFERROR(__xludf.DUMMYFUNCTION("""COMPUTED_VALUE"""),"Статия в списания и поредици")</f>
        <v>Статия в списания и поредици</v>
      </c>
      <c r="C2822" s="10" t="str">
        <f ca="1">IFERROR(__xludf.DUMMYFUNCTION("""COMPUTED_VALUE"""),"COMPETENCY MODELING SPECIFICATIONS")</f>
        <v>COMPETENCY MODELING SPECIFICATIONS</v>
      </c>
      <c r="D2822" s="10">
        <f ca="1">IFERROR(__xludf.DUMMYFUNCTION("""COMPUTED_VALUE"""),2010)</f>
        <v>2010</v>
      </c>
      <c r="E2822" s="10" t="str">
        <f ca="1">IFERROR(__xludf.DUMMYFUNCTION("""COMPUTED_VALUE"""),"INTED2010 Proceedings Pages: 5816-5825 ISBN: 978-84-613-5538-9 ISSN: 2340-1079 Conference name: 4th International Technology, Education and Development Conference Dates: 8-10 March, 2010 Location: Valencia, Spain")</f>
        <v>INTED2010 Proceedings Pages: 5816-5825 ISBN: 978-84-613-5538-9 ISSN: 2340-1079 Conference name: 4th International Technology, Education and Development Conference Dates: 8-10 March, 2010 Location: Valencia, Spain</v>
      </c>
      <c r="F2822" s="10" t="str">
        <f ca="1">IFERROR(__xludf.DUMMYFUNCTION("""COMPUTED_VALUE"""),"Web of Science")</f>
        <v>Web of Science</v>
      </c>
      <c r="G2822" s="10" t="str">
        <f ca="1">IFERROR(__xludf.DUMMYFUNCTION("""COMPUTED_VALUE"""),"V. Denishev")</f>
        <v>V. Denishev</v>
      </c>
      <c r="H2822" s="10"/>
      <c r="I2822" s="10"/>
      <c r="J2822" s="10"/>
      <c r="K2822" s="10"/>
      <c r="L2822" s="10"/>
      <c r="M2822" s="10"/>
      <c r="N2822" s="10"/>
      <c r="O2822" s="10"/>
      <c r="P2822" s="10"/>
      <c r="Q2822" s="10"/>
      <c r="R2822" s="10"/>
      <c r="S2822" s="10"/>
      <c r="T2822" s="10"/>
      <c r="U2822" s="10"/>
      <c r="V2822" s="10"/>
      <c r="W2822" s="10"/>
      <c r="X2822" s="10"/>
      <c r="Y2822" s="10"/>
      <c r="Z2822" s="10"/>
    </row>
    <row r="2823" spans="1:26" ht="12.75">
      <c r="A2823" s="10" t="str">
        <f ca="1">IFERROR(__xludf.DUMMYFUNCTION("""COMPUTED_VALUE"""),"Елена Дикова Шойкова")</f>
        <v>Елена Дикова Шойкова</v>
      </c>
      <c r="B2823" s="10" t="str">
        <f ca="1">IFERROR(__xludf.DUMMYFUNCTION("""COMPUTED_VALUE"""),"Статия в списания и поредици")</f>
        <v>Статия в списания и поредици</v>
      </c>
      <c r="C2823" s="10" t="str">
        <f ca="1">IFERROR(__xludf.DUMMYFUNCTION("""COMPUTED_VALUE"""),"SOCIAL COMPUTING APPLICATIONS FOR COMPETENCY BASED ENGINEERING EDUCATION")</f>
        <v>SOCIAL COMPUTING APPLICATIONS FOR COMPETENCY BASED ENGINEERING EDUCATION</v>
      </c>
      <c r="D2823" s="10">
        <f ca="1">IFERROR(__xludf.DUMMYFUNCTION("""COMPUTED_VALUE"""),2010)</f>
        <v>2010</v>
      </c>
      <c r="E2823" s="10" t="str">
        <f ca="1">IFERROR(__xludf.DUMMYFUNCTION("""COMPUTED_VALUE"""),"INTED2010 Proceedings Pages: 5768-5779 Publication year: 2010 ISBN: 978-84-613-5538-9 ISSN: 2340-1079 Conference name: 4th International Technology, Education and Development Conference Dates: 8-10 March, 2010 Location: Valencia, Spain")</f>
        <v>INTED2010 Proceedings Pages: 5768-5779 Publication year: 2010 ISBN: 978-84-613-5538-9 ISSN: 2340-1079 Conference name: 4th International Technology, Education and Development Conference Dates: 8-10 March, 2010 Location: Valencia, Spain</v>
      </c>
      <c r="F2823" s="10" t="str">
        <f ca="1">IFERROR(__xludf.DUMMYFUNCTION("""COMPUTED_VALUE"""),"Web of Science")</f>
        <v>Web of Science</v>
      </c>
      <c r="G2823" s="10" t="str">
        <f ca="1">IFERROR(__xludf.DUMMYFUNCTION("""COMPUTED_VALUE"""),"V. Denishev, P. Kanchev")</f>
        <v>V. Denishev, P. Kanchev</v>
      </c>
      <c r="H2823" s="10"/>
      <c r="I2823" s="10"/>
      <c r="J2823" s="10"/>
      <c r="K2823" s="10"/>
      <c r="L2823" s="10"/>
      <c r="M2823" s="10"/>
      <c r="N2823" s="10"/>
      <c r="O2823" s="10"/>
      <c r="P2823" s="10"/>
      <c r="Q2823" s="10"/>
      <c r="R2823" s="10"/>
      <c r="S2823" s="10"/>
      <c r="T2823" s="10"/>
      <c r="U2823" s="10"/>
      <c r="V2823" s="10"/>
      <c r="W2823" s="10"/>
      <c r="X2823" s="10"/>
      <c r="Y2823" s="10"/>
      <c r="Z2823" s="10"/>
    </row>
    <row r="2824" spans="1:26" ht="12.75">
      <c r="A2824" s="10" t="str">
        <f ca="1">IFERROR(__xludf.DUMMYFUNCTION("""COMPUTED_VALUE"""),"Елена Дикова Шойкова")</f>
        <v>Елена Дикова Шойкова</v>
      </c>
      <c r="B2824" s="10" t="str">
        <f ca="1">IFERROR(__xludf.DUMMYFUNCTION("""COMPUTED_VALUE"""),"Статия в списания и поредици")</f>
        <v>Статия в списания и поредици</v>
      </c>
      <c r="C2824" s="10" t="str">
        <f ca="1">IFERROR(__xludf.DUMMYFUNCTION("""COMPUTED_VALUE"""),"TRANSFORMING ENGINEERING EDUCATION THROUGH COMPETENCY-BASED CURRICULUM DEVELOPMENT")</f>
        <v>TRANSFORMING ENGINEERING EDUCATION THROUGH COMPETENCY-BASED CURRICULUM DEVELOPMENT</v>
      </c>
      <c r="D2824" s="10">
        <f ca="1">IFERROR(__xludf.DUMMYFUNCTION("""COMPUTED_VALUE"""),2010)</f>
        <v>2010</v>
      </c>
      <c r="E2824" s="10" t="str">
        <f ca="1">IFERROR(__xludf.DUMMYFUNCTION("""COMPUTED_VALUE"""),"ICERI2010 Proceedings Pages: 6990-6999 Publication year: 2010 ISBN: 978-84-614-2439-9 ISSN: 2340-1095 Conference name: 3rd International Conference of Education, Research and Innovation Dates: 15-17 November, 2010 Location: Madrid, Spain")</f>
        <v>ICERI2010 Proceedings Pages: 6990-6999 Publication year: 2010 ISBN: 978-84-614-2439-9 ISSN: 2340-1095 Conference name: 3rd International Conference of Education, Research and Innovation Dates: 15-17 November, 2010 Location: Madrid, Spain</v>
      </c>
      <c r="F2824" s="10" t="str">
        <f ca="1">IFERROR(__xludf.DUMMYFUNCTION("""COMPUTED_VALUE"""),"Web of Science")</f>
        <v>Web of Science</v>
      </c>
      <c r="G2824" s="10" t="str">
        <f ca="1">IFERROR(__xludf.DUMMYFUNCTION("""COMPUTED_VALUE"""),"A. Peshev, V. Denishev")</f>
        <v>A. Peshev, V. Denishev</v>
      </c>
      <c r="H2824" s="10"/>
      <c r="I2824" s="10"/>
      <c r="J2824" s="10"/>
      <c r="K2824" s="10"/>
      <c r="L2824" s="10"/>
      <c r="M2824" s="10"/>
      <c r="N2824" s="10"/>
      <c r="O2824" s="10"/>
      <c r="P2824" s="10"/>
      <c r="Q2824" s="10"/>
      <c r="R2824" s="10"/>
      <c r="S2824" s="10"/>
      <c r="T2824" s="10"/>
      <c r="U2824" s="10"/>
      <c r="V2824" s="10"/>
      <c r="W2824" s="10"/>
      <c r="X2824" s="10"/>
      <c r="Y2824" s="10"/>
      <c r="Z2824" s="10"/>
    </row>
    <row r="2825" spans="1:26" ht="12.75">
      <c r="A2825" s="10" t="str">
        <f ca="1">IFERROR(__xludf.DUMMYFUNCTION("""COMPUTED_VALUE"""),"Елена Дикова Шойкова")</f>
        <v>Елена Дикова Шойкова</v>
      </c>
      <c r="B2825" s="10" t="str">
        <f ca="1">IFERROR(__xludf.DUMMYFUNCTION("""COMPUTED_VALUE"""),"Статия в списания и поредици")</f>
        <v>Статия в списания и поредици</v>
      </c>
      <c r="C2825" s="10" t="str">
        <f ca="1">IFERROR(__xludf.DUMMYFUNCTION("""COMPUTED_VALUE"""),"Automatic metadata generation for specification of e-documents-the metaspeed project.")</f>
        <v>Automatic metadata generation for specification of e-documents-the metaspeed project.</v>
      </c>
      <c r="D2825" s="10">
        <f ca="1">IFERROR(__xludf.DUMMYFUNCTION("""COMPUTED_VALUE"""),2009)</f>
        <v>2009</v>
      </c>
      <c r="E2825" s="10" t="str">
        <f ca="1">IFERROR(__xludf.DUMMYFUNCTION("""COMPUTED_VALUE"""),"International Journal Information Technologies &amp; Knowledge, 3, 118-127. 1313-0455 (print) 1313-048X (online)")</f>
        <v>International Journal Information Technologies &amp; Knowledge, 3, 118-127. 1313-0455 (print) 1313-048X (online)</v>
      </c>
      <c r="F2825" s="10" t="str">
        <f ca="1">IFERROR(__xludf.DUMMYFUNCTION("""COMPUTED_VALUE"""),"Google Scholar")</f>
        <v>Google Scholar</v>
      </c>
      <c r="G2825" s="10" t="str">
        <f ca="1">IFERROR(__xludf.DUMMYFUNCTION("""COMPUTED_VALUE"""),"Peneva, J., Totkov, G., Stanchev, P")</f>
        <v>Peneva, J., Totkov, G., Stanchev, P</v>
      </c>
      <c r="H2825" s="10"/>
      <c r="I2825" s="10"/>
      <c r="J2825" s="10"/>
      <c r="K2825" s="10"/>
      <c r="L2825" s="10"/>
      <c r="M2825" s="10"/>
      <c r="N2825" s="10"/>
      <c r="O2825" s="10"/>
      <c r="P2825" s="10"/>
      <c r="Q2825" s="10"/>
      <c r="R2825" s="10"/>
      <c r="S2825" s="10"/>
      <c r="T2825" s="10"/>
      <c r="U2825" s="10"/>
      <c r="V2825" s="10"/>
      <c r="W2825" s="10"/>
      <c r="X2825" s="10"/>
      <c r="Y2825" s="10"/>
      <c r="Z2825" s="10"/>
    </row>
    <row r="2826" spans="1:26" ht="12.75">
      <c r="A2826" s="10" t="str">
        <f ca="1">IFERROR(__xludf.DUMMYFUNCTION("""COMPUTED_VALUE"""),"Елена Дикова Шойкова")</f>
        <v>Елена Дикова Шойкова</v>
      </c>
      <c r="B2826" s="10" t="str">
        <f ca="1">IFERROR(__xludf.DUMMYFUNCTION("""COMPUTED_VALUE"""),"Статия в списания и поредици")</f>
        <v>Статия в списания и поредици</v>
      </c>
      <c r="C2826" s="10" t="str">
        <f ca="1">IFERROR(__xludf.DUMMYFUNCTION("""COMPUTED_VALUE"""),"Keys to Successful EPIQ Business Demonstrator Implementation")</f>
        <v>Keys to Successful EPIQ Business Demonstrator Implementation</v>
      </c>
      <c r="D2826" s="10">
        <f ca="1">IFERROR(__xludf.DUMMYFUNCTION("""COMPUTED_VALUE"""),2009)</f>
        <v>2009</v>
      </c>
      <c r="E2826" s="10" t="str">
        <f ca="1">IFERROR(__xludf.DUMMYFUNCTION("""COMPUTED_VALUE"""),"DSpace Open Universiteit b. TENCompetence 1. TENC: Publications and Preprints, http://dspace.ou.nl/handle/1820/497")</f>
        <v>DSpace Open Universiteit b. TENCompetence 1. TENC: Publications and Preprints, http://dspace.ou.nl/handle/1820/497</v>
      </c>
      <c r="F2826" s="10" t="str">
        <f ca="1">IFERROR(__xludf.DUMMYFUNCTION("""COMPUTED_VALUE"""),"DSpace Open Universiteit https://dspace.ou.nl/handle/1820/2235")</f>
        <v>DSpace Open Universiteit https://dspace.ou.nl/handle/1820/2235</v>
      </c>
      <c r="G2826" s="10" t="str">
        <f ca="1">IFERROR(__xludf.DUMMYFUNCTION("""COMPUTED_VALUE"""),"Denishev, V.")</f>
        <v>Denishev, V.</v>
      </c>
      <c r="H2826" s="10"/>
      <c r="I2826" s="10"/>
      <c r="J2826" s="10"/>
      <c r="K2826" s="10"/>
      <c r="L2826" s="10"/>
      <c r="M2826" s="10"/>
      <c r="N2826" s="10"/>
      <c r="O2826" s="10"/>
      <c r="P2826" s="10"/>
      <c r="Q2826" s="10"/>
      <c r="R2826" s="10"/>
      <c r="S2826" s="10"/>
      <c r="T2826" s="10"/>
      <c r="U2826" s="10"/>
      <c r="V2826" s="10"/>
      <c r="W2826" s="10"/>
      <c r="X2826" s="10"/>
      <c r="Y2826" s="10"/>
      <c r="Z2826" s="10"/>
    </row>
    <row r="2827" spans="1:26" ht="12.75">
      <c r="A2827" s="10" t="str">
        <f ca="1">IFERROR(__xludf.DUMMYFUNCTION("""COMPUTED_VALUE"""),"Елена Дикова Шойкова")</f>
        <v>Елена Дикова Шойкова</v>
      </c>
      <c r="B2827" s="10" t="str">
        <f ca="1">IFERROR(__xludf.DUMMYFUNCTION("""COMPUTED_VALUE"""),"Статия в списания и поредици")</f>
        <v>Статия в списания и поредици</v>
      </c>
      <c r="C2827" s="10" t="str">
        <f ca="1">IFERROR(__xludf.DUMMYFUNCTION("""COMPUTED_VALUE"""),"The TENCompetence EPIQ's business demonstrator development.")</f>
        <v>The TENCompetence EPIQ's business demonstrator development.</v>
      </c>
      <c r="D2827" s="10">
        <f ca="1">IFERROR(__xludf.DUMMYFUNCTION("""COMPUTED_VALUE"""),2009)</f>
        <v>2009</v>
      </c>
      <c r="E2827" s="10" t="str">
        <f ca="1">IFERROR(__xludf.DUMMYFUNCTION("""COMPUTED_VALUE"""),"International Journal of Continuing Engineering Education and Life Long Learning, 19(4-6), 313-328 ISSN online: 1741-5055 ISSN print: 1560-4624")</f>
        <v>International Journal of Continuing Engineering Education and Life Long Learning, 19(4-6), 313-328 ISSN online: 1741-5055 ISSN print: 1560-4624</v>
      </c>
      <c r="F2827" s="10"/>
      <c r="G2827" s="10" t="str">
        <f ca="1">IFERROR(__xludf.DUMMYFUNCTION("""COMPUTED_VALUE"""),"Denishev, V.")</f>
        <v>Denishev, V.</v>
      </c>
      <c r="H2827" s="10"/>
      <c r="I2827" s="10"/>
      <c r="J2827" s="10"/>
      <c r="K2827" s="10"/>
      <c r="L2827" s="10"/>
      <c r="M2827" s="10"/>
      <c r="N2827" s="10"/>
      <c r="O2827" s="10"/>
      <c r="P2827" s="10"/>
      <c r="Q2827" s="10"/>
      <c r="R2827" s="10"/>
      <c r="S2827" s="10"/>
      <c r="T2827" s="10"/>
      <c r="U2827" s="10"/>
      <c r="V2827" s="10"/>
      <c r="W2827" s="10"/>
      <c r="X2827" s="10"/>
      <c r="Y2827" s="10"/>
      <c r="Z2827" s="10"/>
    </row>
    <row r="2828" spans="1:26" ht="12.75">
      <c r="A2828" s="10" t="str">
        <f ca="1">IFERROR(__xludf.DUMMYFUNCTION("""COMPUTED_VALUE"""),"Елена Дикова Шойкова")</f>
        <v>Елена Дикова Шойкова</v>
      </c>
      <c r="B2828" s="10" t="str">
        <f ca="1">IFERROR(__xludf.DUMMYFUNCTION("""COMPUTED_VALUE"""),"Статия в списания и поредици")</f>
        <v>Статия в списания и поредици</v>
      </c>
      <c r="C2828" s="10" t="str">
        <f ca="1">IFERROR(__xludf.DUMMYFUNCTION("""COMPUTED_VALUE"""),"Modelling Specifications for Competence.")</f>
        <v>Modelling Specifications for Competence.</v>
      </c>
      <c r="D2828" s="10">
        <f ca="1">IFERROR(__xludf.DUMMYFUNCTION("""COMPUTED_VALUE"""),2009)</f>
        <v>2009</v>
      </c>
      <c r="E2828" s="10" t="str">
        <f ca="1">IFERROR(__xludf.DUMMYFUNCTION("""COMPUTED_VALUE"""),"Annual Journal of Electronics, ANNUAL Journal of Electronics. - Sofia: Technical Universit, Faculty of Electronic Engineering and Technologies, 3-7. 1314-0078 (print)")</f>
        <v>Annual Journal of Electronics, ANNUAL Journal of Electronics. - Sofia: Technical Universit, Faculty of Electronic Engineering and Technologies, 3-7. 1314-0078 (print)</v>
      </c>
      <c r="F2828" s="10"/>
      <c r="G2828" s="10"/>
      <c r="H2828" s="10"/>
      <c r="I2828" s="10"/>
      <c r="J2828" s="10"/>
      <c r="K2828" s="10"/>
      <c r="L2828" s="10"/>
      <c r="M2828" s="10"/>
      <c r="N2828" s="10"/>
      <c r="O2828" s="10"/>
      <c r="P2828" s="10"/>
      <c r="Q2828" s="10"/>
      <c r="R2828" s="10"/>
      <c r="S2828" s="10"/>
      <c r="T2828" s="10"/>
      <c r="U2828" s="10"/>
      <c r="V2828" s="10"/>
      <c r="W2828" s="10"/>
      <c r="X2828" s="10"/>
      <c r="Y2828" s="10"/>
      <c r="Z2828" s="10"/>
    </row>
    <row r="2829" spans="1:26" ht="12.75">
      <c r="A2829" s="10" t="str">
        <f ca="1">IFERROR(__xludf.DUMMYFUNCTION("""COMPUTED_VALUE"""),"Елена Дикова Шойкова")</f>
        <v>Елена Дикова Шойкова</v>
      </c>
      <c r="B2829" s="10" t="str">
        <f ca="1">IFERROR(__xludf.DUMMYFUNCTION("""COMPUTED_VALUE"""),"Статия в списания и поредици")</f>
        <v>Статия в списания и поредици</v>
      </c>
      <c r="C2829" s="10" t="str">
        <f ca="1">IFERROR(__xludf.DUMMYFUNCTION("""COMPUTED_VALUE"""),"Electronic Portfolio Built Into Windows SharePoint Collaboration and Learning Environment")</f>
        <v>Electronic Portfolio Built Into Windows SharePoint Collaboration and Learning Environment</v>
      </c>
      <c r="D2829" s="10">
        <f ca="1">IFERROR(__xludf.DUMMYFUNCTION("""COMPUTED_VALUE"""),2008)</f>
        <v>2008</v>
      </c>
      <c r="E2829" s="10" t="str">
        <f ca="1">IFERROR(__xludf.DUMMYFUNCTION("""COMPUTED_VALUE"""),"Proceedings of the Technical University – Sofia, Volume 58, , book 2, pp. 175-183 1311-0829 (print)")</f>
        <v>Proceedings of the Technical University – Sofia, Volume 58, , book 2, pp. 175-183 1311-0829 (print)</v>
      </c>
      <c r="F2829" s="10"/>
      <c r="G2829" s="10"/>
      <c r="H2829" s="10"/>
      <c r="I2829" s="10"/>
      <c r="J2829" s="10"/>
      <c r="K2829" s="10"/>
      <c r="L2829" s="10"/>
      <c r="M2829" s="10"/>
      <c r="N2829" s="10"/>
      <c r="O2829" s="10"/>
      <c r="P2829" s="10"/>
      <c r="Q2829" s="10"/>
      <c r="R2829" s="10"/>
      <c r="S2829" s="10"/>
      <c r="T2829" s="10"/>
      <c r="U2829" s="10"/>
      <c r="V2829" s="10"/>
      <c r="W2829" s="10"/>
      <c r="X2829" s="10"/>
      <c r="Y2829" s="10"/>
      <c r="Z2829" s="10"/>
    </row>
    <row r="2830" spans="1:26" ht="12.75">
      <c r="A2830" s="10" t="str">
        <f ca="1">IFERROR(__xludf.DUMMYFUNCTION("""COMPUTED_VALUE"""),"Елена Дикова Шойкова")</f>
        <v>Елена Дикова Шойкова</v>
      </c>
      <c r="B2830" s="10" t="str">
        <f ca="1">IFERROR(__xludf.DUMMYFUNCTION("""COMPUTED_VALUE"""),"Книга")</f>
        <v>Книга</v>
      </c>
      <c r="C2830" s="10" t="str">
        <f ca="1">IFERROR(__xludf.DUMMYFUNCTION("""COMPUTED_VALUE"""),"Платформа с отворен код за авторство, комуникации и обучение, интегрирана с АТutor")</f>
        <v>Платформа с отворен код за авторство, комуникации и обучение, интегрирана с АТutor</v>
      </c>
      <c r="D2830" s="10">
        <f ca="1">IFERROR(__xludf.DUMMYFUNCTION("""COMPUTED_VALUE"""),2008)</f>
        <v>2008</v>
      </c>
      <c r="E2830" s="10" t="str">
        <f ca="1">IFERROR(__xludf.DUMMYFUNCTION("""COMPUTED_VALUE"""),"Издателство на ТУ-София 2008, (203 стр.) ISBN 978-954-438-671-9 ISSN 978-954-438-688-7")</f>
        <v>Издателство на ТУ-София 2008, (203 стр.) ISBN 978-954-438-671-9 ISSN 978-954-438-688-7</v>
      </c>
      <c r="F2830" s="10"/>
      <c r="G2830" s="10" t="str">
        <f ca="1">IFERROR(__xludf.DUMMYFUNCTION("""COMPUTED_VALUE"""),"М. Иванова")</f>
        <v>М. Иванова</v>
      </c>
      <c r="H2830" s="10"/>
      <c r="I2830" s="10"/>
      <c r="J2830" s="10"/>
      <c r="K2830" s="10"/>
      <c r="L2830" s="10"/>
      <c r="M2830" s="10"/>
      <c r="N2830" s="10"/>
      <c r="O2830" s="10"/>
      <c r="P2830" s="10"/>
      <c r="Q2830" s="10"/>
      <c r="R2830" s="10"/>
      <c r="S2830" s="10"/>
      <c r="T2830" s="10"/>
      <c r="U2830" s="10"/>
      <c r="V2830" s="10"/>
      <c r="W2830" s="10"/>
      <c r="X2830" s="10"/>
      <c r="Y2830" s="10"/>
      <c r="Z2830" s="10"/>
    </row>
    <row r="2831" spans="1:26" ht="12.75">
      <c r="A2831" s="10" t="str">
        <f ca="1">IFERROR(__xludf.DUMMYFUNCTION("""COMPUTED_VALUE"""),"Елена Дикова Шойкова")</f>
        <v>Елена Дикова Шойкова</v>
      </c>
      <c r="B2831" s="10" t="str">
        <f ca="1">IFERROR(__xludf.DUMMYFUNCTION("""COMPUTED_VALUE"""),"Статия в списания и поредици")</f>
        <v>Статия в списания и поредици</v>
      </c>
      <c r="C2831" s="10" t="str">
        <f ca="1">IFERROR(__xludf.DUMMYFUNCTION("""COMPUTED_VALUE"""),"Developing the Personal Competence Manager Evaluation Work: ‘EPIQ Business Demonstrator’")</f>
        <v>Developing the Personal Competence Manager Evaluation Work: ‘EPIQ Business Demonstrator’</v>
      </c>
      <c r="D2831" s="10">
        <f ca="1">IFERROR(__xludf.DUMMYFUNCTION("""COMPUTED_VALUE"""),2008)</f>
        <v>2008</v>
      </c>
      <c r="E2831" s="10" t="str">
        <f ca="1">IFERROR(__xludf.DUMMYFUNCTION("""COMPUTED_VALUE"""),"In R. Koper, K. Stefanov &amp; D. Dicheva (Eds.), Proceedings of the 5th International TENCompetence Open Workshop ""Stimulating Personal Development and Knowledge Sharing"" (pp. 61-66). October, 30-31, 2008, Sofia, Bulgaria: TENCompetence Workshop. ISBN: 978"&amp;"-954-92146-5-9")</f>
        <v>In R. Koper, K. Stefanov &amp; D. Dicheva (Eds.), Proceedings of the 5th International TENCompetence Open Workshop "Stimulating Personal Development and Knowledge Sharing" (pp. 61-66). October, 30-31, 2008, Sofia, Bulgaria: TENCompetence Workshop. ISBN: 978-954-92146-5-9</v>
      </c>
      <c r="F2831" s="28" t="str">
        <f ca="1">IFERROR(__xludf.DUMMYFUNCTION("""COMPUTED_VALUE"""),"https://dspace.ou.nl/handle/1820/1590")</f>
        <v>https://dspace.ou.nl/handle/1820/1590</v>
      </c>
      <c r="G2831" s="10" t="str">
        <f ca="1">IFERROR(__xludf.DUMMYFUNCTION("""COMPUTED_VALUE"""),"Denishev, V. Milanov, R.")</f>
        <v>Denishev, V. Milanov, R.</v>
      </c>
      <c r="H2831" s="10"/>
      <c r="I2831" s="10"/>
      <c r="J2831" s="10"/>
      <c r="K2831" s="10"/>
      <c r="L2831" s="10"/>
      <c r="M2831" s="10"/>
      <c r="N2831" s="10"/>
      <c r="O2831" s="10"/>
      <c r="P2831" s="10"/>
      <c r="Q2831" s="10"/>
      <c r="R2831" s="10"/>
      <c r="S2831" s="10"/>
      <c r="T2831" s="10"/>
      <c r="U2831" s="10"/>
      <c r="V2831" s="10"/>
      <c r="W2831" s="10"/>
      <c r="X2831" s="10"/>
      <c r="Y2831" s="10"/>
      <c r="Z2831" s="10"/>
    </row>
    <row r="2832" spans="1:26" ht="12.75">
      <c r="A2832" s="10" t="str">
        <f ca="1">IFERROR(__xludf.DUMMYFUNCTION("""COMPUTED_VALUE"""),"Елена Дикова Шойкова")</f>
        <v>Елена Дикова Шойкова</v>
      </c>
      <c r="B2832" s="10" t="str">
        <f ca="1">IFERROR(__xludf.DUMMYFUNCTION("""COMPUTED_VALUE"""),"Книга")</f>
        <v>Книга</v>
      </c>
      <c r="C2832" s="10" t="str">
        <f ca="1">IFERROR(__xludf.DUMMYFUNCTION("""COMPUTED_VALUE"""),"Електронно обучение в средното училище")</f>
        <v>Електронно обучение в средното училище</v>
      </c>
      <c r="D2832" s="10">
        <f ca="1">IFERROR(__xludf.DUMMYFUNCTION("""COMPUTED_VALUE"""),2008)</f>
        <v>2008</v>
      </c>
      <c r="E2832" s="10" t="str">
        <f ca="1">IFERROR(__xludf.DUMMYFUNCTION("""COMPUTED_VALUE"""),"Издателство на ТУ-София 2008, (189 стр.) ISBN 978-954-438-672-6 ISSN 978-954-438-689-4")</f>
        <v>Издателство на ТУ-София 2008, (189 стр.) ISBN 978-954-438-672-6 ISSN 978-954-438-689-4</v>
      </c>
      <c r="F2832" s="10"/>
      <c r="G2832" s="10" t="str">
        <f ca="1">IFERROR(__xludf.DUMMYFUNCTION("""COMPUTED_VALUE"""),"М. Иванова, В. Денишев")</f>
        <v>М. Иванова, В. Денишев</v>
      </c>
      <c r="H2832" s="10"/>
      <c r="I2832" s="10"/>
      <c r="J2832" s="10"/>
      <c r="K2832" s="10"/>
      <c r="L2832" s="10"/>
      <c r="M2832" s="10"/>
      <c r="N2832" s="10"/>
      <c r="O2832" s="10"/>
      <c r="P2832" s="10"/>
      <c r="Q2832" s="10"/>
      <c r="R2832" s="10"/>
      <c r="S2832" s="10"/>
      <c r="T2832" s="10"/>
      <c r="U2832" s="10"/>
      <c r="V2832" s="10"/>
      <c r="W2832" s="10"/>
      <c r="X2832" s="10"/>
      <c r="Y2832" s="10"/>
      <c r="Z2832" s="10"/>
    </row>
    <row r="2833" spans="1:26" ht="12.75">
      <c r="A2833" s="10" t="str">
        <f ca="1">IFERROR(__xludf.DUMMYFUNCTION("""COMPUTED_VALUE"""),"Елена Дикова Шойкова")</f>
        <v>Елена Дикова Шойкова</v>
      </c>
      <c r="B2833" s="10" t="str">
        <f ca="1">IFERROR(__xludf.DUMMYFUNCTION("""COMPUTED_VALUE"""),"Книга")</f>
        <v>Книга</v>
      </c>
      <c r="C2833" s="10" t="str">
        <f ca="1">IFERROR(__xludf.DUMMYFUNCTION("""COMPUTED_VALUE"""),"Платформа с отворен код за авторство, комуникации и обучение, интегрирана с АТutor – Ръководвство")</f>
        <v>Платформа с отворен код за авторство, комуникации и обучение, интегрирана с АТutor – Ръководвство</v>
      </c>
      <c r="D2833" s="10">
        <f ca="1">IFERROR(__xludf.DUMMYFUNCTION("""COMPUTED_VALUE"""),2008)</f>
        <v>2008</v>
      </c>
      <c r="E2833" s="10" t="str">
        <f ca="1">IFERROR(__xludf.DUMMYFUNCTION("""COMPUTED_VALUE"""),"Издателство на ТУ-София 2008, (203 стр.) ISBN 978-954-438-671-9 ISSN 978-954-438-688-7")</f>
        <v>Издателство на ТУ-София 2008, (203 стр.) ISBN 978-954-438-671-9 ISSN 978-954-438-688-7</v>
      </c>
      <c r="F2833" s="10"/>
      <c r="G2833" s="10" t="str">
        <f ca="1">IFERROR(__xludf.DUMMYFUNCTION("""COMPUTED_VALUE"""),"М. Иванова")</f>
        <v>М. Иванова</v>
      </c>
      <c r="H2833" s="10"/>
      <c r="I2833" s="10"/>
      <c r="J2833" s="10"/>
      <c r="K2833" s="10"/>
      <c r="L2833" s="10"/>
      <c r="M2833" s="10"/>
      <c r="N2833" s="10"/>
      <c r="O2833" s="10"/>
      <c r="P2833" s="10"/>
      <c r="Q2833" s="10"/>
      <c r="R2833" s="10"/>
      <c r="S2833" s="10"/>
      <c r="T2833" s="10"/>
      <c r="U2833" s="10"/>
      <c r="V2833" s="10"/>
      <c r="W2833" s="10"/>
      <c r="X2833" s="10"/>
      <c r="Y2833" s="10"/>
      <c r="Z2833" s="10"/>
    </row>
    <row r="2834" spans="1:26" ht="12.75">
      <c r="A2834" s="10" t="str">
        <f ca="1">IFERROR(__xludf.DUMMYFUNCTION("""COMPUTED_VALUE"""),"Елена Дикова Шойкова")</f>
        <v>Елена Дикова Шойкова</v>
      </c>
      <c r="B2834" s="10" t="str">
        <f ca="1">IFERROR(__xludf.DUMMYFUNCTION("""COMPUTED_VALUE"""),"Книга")</f>
        <v>Книга</v>
      </c>
      <c r="C2834" s="10" t="str">
        <f ca="1">IFERROR(__xludf.DUMMYFUNCTION("""COMPUTED_VALUE"""),"Програма за професионално развитие на преподаватели: Обучение чрез дейности в социално ориентирани и технологично богати среди - Ръководство за участника")</f>
        <v>Програма за професионално развитие на преподаватели: Обучение чрез дейности в социално ориентирани и технологично богати среди - Ръководство за участника</v>
      </c>
      <c r="D2834" s="10">
        <f ca="1">IFERROR(__xludf.DUMMYFUNCTION("""COMPUTED_VALUE"""),2008)</f>
        <v>2008</v>
      </c>
      <c r="E2834" s="10" t="str">
        <f ca="1">IFERROR(__xludf.DUMMYFUNCTION("""COMPUTED_VALUE"""),"Издателство на ТУ-София 2008, (480 стр.) ISBN 978-954-438-674-0 ISBN 978-954-438-687-0")</f>
        <v>Издателство на ТУ-София 2008, (480 стр.) ISBN 978-954-438-674-0 ISBN 978-954-438-687-0</v>
      </c>
      <c r="F2834" s="10"/>
      <c r="G2834" s="10" t="str">
        <f ca="1">IFERROR(__xludf.DUMMYFUNCTION("""COMPUTED_VALUE"""),"М. Иванова, А. Пешев, В. Денишев")</f>
        <v>М. Иванова, А. Пешев, В. Денишев</v>
      </c>
      <c r="H2834" s="10"/>
      <c r="I2834" s="10"/>
      <c r="J2834" s="10"/>
      <c r="K2834" s="10"/>
      <c r="L2834" s="10"/>
      <c r="M2834" s="10"/>
      <c r="N2834" s="10"/>
      <c r="O2834" s="10"/>
      <c r="P2834" s="10"/>
      <c r="Q2834" s="10"/>
      <c r="R2834" s="10"/>
      <c r="S2834" s="10"/>
      <c r="T2834" s="10"/>
      <c r="U2834" s="10"/>
      <c r="V2834" s="10"/>
      <c r="W2834" s="10"/>
      <c r="X2834" s="10"/>
      <c r="Y2834" s="10"/>
      <c r="Z2834" s="10"/>
    </row>
    <row r="2835" spans="1:26" ht="12.75">
      <c r="A2835" s="10" t="str">
        <f ca="1">IFERROR(__xludf.DUMMYFUNCTION("""COMPUTED_VALUE"""),"Елена Дикова Шойкова")</f>
        <v>Елена Дикова Шойкова</v>
      </c>
      <c r="B2835" s="10" t="str">
        <f ca="1">IFERROR(__xludf.DUMMYFUNCTION("""COMPUTED_VALUE"""),"Статия в списания и поредици")</f>
        <v>Статия в списания и поредици</v>
      </c>
      <c r="C2835" s="10" t="str">
        <f ca="1">IFERROR(__xludf.DUMMYFUNCTION("""COMPUTED_VALUE"""),"Development of Effective Performance Support System for Learning Designers")</f>
        <v>Development of Effective Performance Support System for Learning Designers</v>
      </c>
      <c r="D2835" s="10">
        <f ca="1">IFERROR(__xludf.DUMMYFUNCTION("""COMPUTED_VALUE"""),2008)</f>
        <v>2008</v>
      </c>
      <c r="E2835" s="10" t="str">
        <f ca="1">IFERROR(__xludf.DUMMYFUNCTION("""COMPUTED_VALUE"""),"Е+Е: електротехника и електроника electrotehnica &amp; electronica.– София: Съюз по електроника, електротехника и съобщения, 7-8/2008 , 41-48, ISSN 0861-4717(print)")</f>
        <v>Е+Е: електротехника и електроника electrotehnica &amp; electronica.– София: Съюз по електроника, електротехника и съобщения, 7-8/2008 , 41-48, ISSN 0861-4717(print)</v>
      </c>
      <c r="F2835" s="10"/>
      <c r="G2835" s="10" t="str">
        <f ca="1">IFERROR(__xludf.DUMMYFUNCTION("""COMPUTED_VALUE"""),"M. Ivanova")</f>
        <v>M. Ivanova</v>
      </c>
      <c r="H2835" s="10"/>
      <c r="I2835" s="10"/>
      <c r="J2835" s="10"/>
      <c r="K2835" s="10"/>
      <c r="L2835" s="10"/>
      <c r="M2835" s="10"/>
      <c r="N2835" s="10"/>
      <c r="O2835" s="10"/>
      <c r="P2835" s="10"/>
      <c r="Q2835" s="10"/>
      <c r="R2835" s="10"/>
      <c r="S2835" s="10"/>
      <c r="T2835" s="10"/>
      <c r="U2835" s="10"/>
      <c r="V2835" s="10"/>
      <c r="W2835" s="10"/>
      <c r="X2835" s="10"/>
      <c r="Y2835" s="10"/>
      <c r="Z2835" s="10"/>
    </row>
    <row r="2836" spans="1:26" ht="12.75">
      <c r="A2836" s="10" t="str">
        <f ca="1">IFERROR(__xludf.DUMMYFUNCTION("""COMPUTED_VALUE"""),"Елена Дикова Шойкова")</f>
        <v>Елена Дикова Шойкова</v>
      </c>
      <c r="B2836" s="10" t="str">
        <f ca="1">IFERROR(__xludf.DUMMYFUNCTION("""COMPUTED_VALUE"""),"Статия в списания и поредици")</f>
        <v>Статия в списания и поредици</v>
      </c>
      <c r="C2836" s="10" t="str">
        <f ca="1">IFERROR(__xludf.DUMMYFUNCTION("""COMPUTED_VALUE"""),"Researching Electronic Portfolios: Educational and Professional Development through Technology")</f>
        <v>Researching Electronic Portfolios: Educational and Professional Development through Technology</v>
      </c>
      <c r="D2836" s="10">
        <f ca="1">IFERROR(__xludf.DUMMYFUNCTION("""COMPUTED_VALUE"""),2008)</f>
        <v>2008</v>
      </c>
      <c r="E2836" s="10" t="str">
        <f ca="1">IFERROR(__xludf.DUMMYFUNCTION("""COMPUTED_VALUE"""),"Proceedings of the Technical University – Sofia, Volume 58, book 2, pp. 167-174 1311-0829 (print)")</f>
        <v>Proceedings of the Technical University – Sofia, Volume 58, book 2, pp. 167-174 1311-0829 (print)</v>
      </c>
      <c r="F2836" s="10"/>
      <c r="G2836" s="10"/>
      <c r="H2836" s="10"/>
      <c r="I2836" s="10"/>
      <c r="J2836" s="10"/>
      <c r="K2836" s="10"/>
      <c r="L2836" s="10"/>
      <c r="M2836" s="10"/>
      <c r="N2836" s="10"/>
      <c r="O2836" s="10"/>
      <c r="P2836" s="10"/>
      <c r="Q2836" s="10"/>
      <c r="R2836" s="10"/>
      <c r="S2836" s="10"/>
      <c r="T2836" s="10"/>
      <c r="U2836" s="10"/>
      <c r="V2836" s="10"/>
      <c r="W2836" s="10"/>
      <c r="X2836" s="10"/>
      <c r="Y2836" s="10"/>
      <c r="Z2836" s="10"/>
    </row>
    <row r="2837" spans="1:26" ht="12.75">
      <c r="A2837" s="10" t="str">
        <f ca="1">IFERROR(__xludf.DUMMYFUNCTION("""COMPUTED_VALUE"""),"Елена Дикова Шойкова")</f>
        <v>Елена Дикова Шойкова</v>
      </c>
      <c r="B2837" s="10" t="str">
        <f ca="1">IFERROR(__xludf.DUMMYFUNCTION("""COMPUTED_VALUE"""),"Книга")</f>
        <v>Книга</v>
      </c>
      <c r="C2837" s="10" t="str">
        <f ca="1">IFERROR(__xludf.DUMMYFUNCTION("""COMPUTED_VALUE"""),"Програма за професионално развитие на преподаватели: Обучение чрез дейности в социално ориентирани и технологично богати среди - Ръководство за водещия")</f>
        <v>Програма за професионално развитие на преподаватели: Обучение чрез дейности в социално ориентирани и технологично богати среди - Ръководство за водещия</v>
      </c>
      <c r="D2837" s="10">
        <f ca="1">IFERROR(__xludf.DUMMYFUNCTION("""COMPUTED_VALUE"""),2008)</f>
        <v>2008</v>
      </c>
      <c r="E2837" s="10" t="str">
        <f ca="1">IFERROR(__xludf.DUMMYFUNCTION("""COMPUTED_VALUE"""),"Издателство на ТУ-София 2008, (350 стр.) ISBN 978-954-438-673-3 ISBN 978-954-438-686-3")</f>
        <v>Издателство на ТУ-София 2008, (350 стр.) ISBN 978-954-438-673-3 ISBN 978-954-438-686-3</v>
      </c>
      <c r="F2837" s="10"/>
      <c r="G2837" s="10" t="str">
        <f ca="1">IFERROR(__xludf.DUMMYFUNCTION("""COMPUTED_VALUE"""),"М. Иванова, А. Пешев, В. Денишев")</f>
        <v>М. Иванова, А. Пешев, В. Денишев</v>
      </c>
      <c r="H2837" s="10"/>
      <c r="I2837" s="10"/>
      <c r="J2837" s="10"/>
      <c r="K2837" s="10"/>
      <c r="L2837" s="10"/>
      <c r="M2837" s="10"/>
      <c r="N2837" s="10"/>
      <c r="O2837" s="10"/>
      <c r="P2837" s="10"/>
      <c r="Q2837" s="10"/>
      <c r="R2837" s="10"/>
      <c r="S2837" s="10"/>
      <c r="T2837" s="10"/>
      <c r="U2837" s="10"/>
      <c r="V2837" s="10"/>
      <c r="W2837" s="10"/>
      <c r="X2837" s="10"/>
      <c r="Y2837" s="10"/>
      <c r="Z2837" s="10"/>
    </row>
    <row r="2838" spans="1:26" ht="12.75">
      <c r="A2838" s="10" t="str">
        <f ca="1">IFERROR(__xludf.DUMMYFUNCTION("""COMPUTED_VALUE"""),"Елена Дикова Шойкова")</f>
        <v>Елена Дикова Шойкова</v>
      </c>
      <c r="B2838" s="10" t="str">
        <f ca="1">IFERROR(__xludf.DUMMYFUNCTION("""COMPUTED_VALUE"""),"Студия")</f>
        <v>Студия</v>
      </c>
      <c r="C2838" s="10" t="str">
        <f ca="1">IFERROR(__xludf.DUMMYFUNCTION("""COMPUTED_VALUE"""),"Програма за професионално развитие на преподаватели: Обучение чрез дейности в социално ориентирани и технологично богати среди - част 2")</f>
        <v>Програма за професионално развитие на преподаватели: Обучение чрез дейности в социално ориентирани и технологично богати среди - част 2</v>
      </c>
      <c r="D2838" s="10">
        <f ca="1">IFERROR(__xludf.DUMMYFUNCTION("""COMPUTED_VALUE"""),2008)</f>
        <v>2008</v>
      </c>
      <c r="E2838" s="10" t="str">
        <f ca="1">IFERROR(__xludf.DUMMYFUNCTION("""COMPUTED_VALUE"""),"Издателство на ТУ-София 2008, (480 стр.) ISBN 978-954-438-674-0 ISSN 978-954-438-687-0")</f>
        <v>Издателство на ТУ-София 2008, (480 стр.) ISBN 978-954-438-674-0 ISSN 978-954-438-687-0</v>
      </c>
      <c r="F2838" s="10"/>
      <c r="G2838" s="10" t="str">
        <f ca="1">IFERROR(__xludf.DUMMYFUNCTION("""COMPUTED_VALUE"""),"М. Иванова, А. Пешев, В. Денишев")</f>
        <v>М. Иванова, А. Пешев, В. Денишев</v>
      </c>
      <c r="H2838" s="10"/>
      <c r="I2838" s="10"/>
      <c r="J2838" s="10"/>
      <c r="K2838" s="10"/>
      <c r="L2838" s="10"/>
      <c r="M2838" s="10"/>
      <c r="N2838" s="10"/>
      <c r="O2838" s="10"/>
      <c r="P2838" s="10"/>
      <c r="Q2838" s="10"/>
      <c r="R2838" s="10"/>
      <c r="S2838" s="10"/>
      <c r="T2838" s="10"/>
      <c r="U2838" s="10"/>
      <c r="V2838" s="10"/>
      <c r="W2838" s="10"/>
      <c r="X2838" s="10"/>
      <c r="Y2838" s="10"/>
      <c r="Z2838" s="10"/>
    </row>
    <row r="2839" spans="1:26" ht="12.75">
      <c r="A2839" s="10" t="str">
        <f ca="1">IFERROR(__xludf.DUMMYFUNCTION("""COMPUTED_VALUE"""),"Елена Дикова Шойкова")</f>
        <v>Елена Дикова Шойкова</v>
      </c>
      <c r="B2839" s="10" t="str">
        <f ca="1">IFERROR(__xludf.DUMMYFUNCTION("""COMPUTED_VALUE"""),"Студия")</f>
        <v>Студия</v>
      </c>
      <c r="C2839" s="10" t="str">
        <f ca="1">IFERROR(__xludf.DUMMYFUNCTION("""COMPUTED_VALUE"""),"Програма за професионално развитие на преподаватели: Обучение чрез дейности в социално ориентирани и технологично богати среди - част 1")</f>
        <v>Програма за професионално развитие на преподаватели: Обучение чрез дейности в социално ориентирани и технологично богати среди - част 1</v>
      </c>
      <c r="D2839" s="10">
        <f ca="1">IFERROR(__xludf.DUMMYFUNCTION("""COMPUTED_VALUE"""),2008)</f>
        <v>2008</v>
      </c>
      <c r="E2839" s="10" t="str">
        <f ca="1">IFERROR(__xludf.DUMMYFUNCTION("""COMPUTED_VALUE"""),"Издателство на ТУ-София 2008, (350 стр.) ISBN 978-954-438-673-3 ISSN 978-954-438-686-3")</f>
        <v>Издателство на ТУ-София 2008, (350 стр.) ISBN 978-954-438-673-3 ISSN 978-954-438-686-3</v>
      </c>
      <c r="F2839" s="10"/>
      <c r="G2839" s="10" t="str">
        <f ca="1">IFERROR(__xludf.DUMMYFUNCTION("""COMPUTED_VALUE"""),"М. Иванова, А. Пешев, В. Денишев")</f>
        <v>М. Иванова, А. Пешев, В. Денишев</v>
      </c>
      <c r="H2839" s="10"/>
      <c r="I2839" s="10"/>
      <c r="J2839" s="10"/>
      <c r="K2839" s="10"/>
      <c r="L2839" s="10"/>
      <c r="M2839" s="10"/>
      <c r="N2839" s="10"/>
      <c r="O2839" s="10"/>
      <c r="P2839" s="10"/>
      <c r="Q2839" s="10"/>
      <c r="R2839" s="10"/>
      <c r="S2839" s="10"/>
      <c r="T2839" s="10"/>
      <c r="U2839" s="10"/>
      <c r="V2839" s="10"/>
      <c r="W2839" s="10"/>
      <c r="X2839" s="10"/>
      <c r="Y2839" s="10"/>
      <c r="Z2839" s="10"/>
    </row>
    <row r="2840" spans="1:26" ht="12.75">
      <c r="A2840" s="10" t="str">
        <f ca="1">IFERROR(__xludf.DUMMYFUNCTION("""COMPUTED_VALUE"""),"Елена Дикова Шойкова")</f>
        <v>Елена Дикова Шойкова</v>
      </c>
      <c r="B2840" s="10" t="str">
        <f ca="1">IFERROR(__xludf.DUMMYFUNCTION("""COMPUTED_VALUE"""),"Статия в списания и поредици")</f>
        <v>Статия в списания и поредици</v>
      </c>
      <c r="C2840" s="10" t="str">
        <f ca="1">IFERROR(__xludf.DUMMYFUNCTION("""COMPUTED_VALUE"""),"SharePoint Server 2007 Deployment for Electronics Education")</f>
        <v>SharePoint Server 2007 Deployment for Electronics Education</v>
      </c>
      <c r="D2840" s="10">
        <f ca="1">IFERROR(__xludf.DUMMYFUNCTION("""COMPUTED_VALUE"""),2007)</f>
        <v>2007</v>
      </c>
      <c r="E2840" s="10" t="str">
        <f ca="1">IFERROR(__xludf.DUMMYFUNCTION("""COMPUTED_VALUE"""),"ГОДИШНИК на Техническия Университет -София = Proceedings of the Technical University - Sofia. - София, 1954- ; ISSN 1311-0829 (print), 2007, Том 57, книга 2, стр. 67-72")</f>
        <v>ГОДИШНИК на Техническия Университет -София = Proceedings of the Technical University - Sofia. - София, 1954- ; ISSN 1311-0829 (print), 2007, Том 57, книга 2, стр. 67-72</v>
      </c>
      <c r="F2840" s="10"/>
      <c r="G2840" s="10" t="str">
        <f ca="1">IFERROR(__xludf.DUMMYFUNCTION("""COMPUTED_VALUE"""),"M. Ivanova, A. Peshev")</f>
        <v>M. Ivanova, A. Peshev</v>
      </c>
      <c r="H2840" s="10"/>
      <c r="I2840" s="10"/>
      <c r="J2840" s="10"/>
      <c r="K2840" s="10"/>
      <c r="L2840" s="10"/>
      <c r="M2840" s="10"/>
      <c r="N2840" s="10"/>
      <c r="O2840" s="10"/>
      <c r="P2840" s="10"/>
      <c r="Q2840" s="10"/>
      <c r="R2840" s="10"/>
      <c r="S2840" s="10"/>
      <c r="T2840" s="10"/>
      <c r="U2840" s="10"/>
      <c r="V2840" s="10"/>
      <c r="W2840" s="10"/>
      <c r="X2840" s="10"/>
      <c r="Y2840" s="10"/>
      <c r="Z2840" s="10"/>
    </row>
    <row r="2841" spans="1:26" ht="12.75">
      <c r="A2841" s="10" t="str">
        <f ca="1">IFERROR(__xludf.DUMMYFUNCTION("""COMPUTED_VALUE"""),"Елена Дикова Шойкова")</f>
        <v>Елена Дикова Шойкова</v>
      </c>
      <c r="B2841" s="10" t="str">
        <f ca="1">IFERROR(__xludf.DUMMYFUNCTION("""COMPUTED_VALUE"""),"Статия в списания и поредици")</f>
        <v>Статия в списания и поредици</v>
      </c>
      <c r="C2841" s="10" t="str">
        <f ca="1">IFERROR(__xludf.DUMMYFUNCTION("""COMPUTED_VALUE"""),"Сравнителен анализ на системи и авторски инструменти за електронно обучение с отворен код")</f>
        <v>Сравнителен анализ на системи и авторски инструменти за електронно обучение с отворен код</v>
      </c>
      <c r="D2841" s="10">
        <f ca="1">IFERROR(__xludf.DUMMYFUNCTION("""COMPUTED_VALUE"""),2007)</f>
        <v>2007</v>
      </c>
      <c r="E2841" s="10" t="str">
        <f ca="1">IFERROR(__xludf.DUMMYFUNCTION("""COMPUTED_VALUE"""),"Автоматика и информатика, ISSN 0861-7562, брой 4/2007, стр. 55-61")</f>
        <v>Автоматика и информатика, ISSN 0861-7562, брой 4/2007, стр. 55-61</v>
      </c>
      <c r="F2841" s="10"/>
      <c r="G2841" s="10" t="str">
        <f ca="1">IFERROR(__xludf.DUMMYFUNCTION("""COMPUTED_VALUE"""),"М. Иванова")</f>
        <v>М. Иванова</v>
      </c>
      <c r="H2841" s="10"/>
      <c r="I2841" s="10"/>
      <c r="J2841" s="10"/>
      <c r="K2841" s="10"/>
      <c r="L2841" s="10"/>
      <c r="M2841" s="10"/>
      <c r="N2841" s="10"/>
      <c r="O2841" s="10"/>
      <c r="P2841" s="10"/>
      <c r="Q2841" s="10"/>
      <c r="R2841" s="10"/>
      <c r="S2841" s="10"/>
      <c r="T2841" s="10"/>
      <c r="U2841" s="10"/>
      <c r="V2841" s="10"/>
      <c r="W2841" s="10"/>
      <c r="X2841" s="10"/>
      <c r="Y2841" s="10"/>
      <c r="Z2841" s="10"/>
    </row>
    <row r="2842" spans="1:26" ht="12.75">
      <c r="A2842" s="10" t="str">
        <f ca="1">IFERROR(__xludf.DUMMYFUNCTION("""COMPUTED_VALUE"""),"Елена Дикова Шойкова")</f>
        <v>Елена Дикова Шойкова</v>
      </c>
      <c r="B2842" s="10" t="str">
        <f ca="1">IFERROR(__xludf.DUMMYFUNCTION("""COMPUTED_VALUE"""),"Статия в списания и поредици")</f>
        <v>Статия в списания и поредици</v>
      </c>
      <c r="C2842" s="10" t="str">
        <f ca="1">IFERROR(__xludf.DUMMYFUNCTION("""COMPUTED_VALUE"""),"Платформа за интелигентно пазаруване")</f>
        <v>Платформа за интелигентно пазаруване</v>
      </c>
      <c r="D2842" s="10">
        <f ca="1">IFERROR(__xludf.DUMMYFUNCTION("""COMPUTED_VALUE"""),2007)</f>
        <v>2007</v>
      </c>
      <c r="E2842" s="10" t="str">
        <f ca="1">IFERROR(__xludf.DUMMYFUNCTION("""COMPUTED_VALUE"""),"Годишник на ТУ-София, Том 57, книга 1, стр. 259-268 1311-0829 (print)")</f>
        <v>Годишник на ТУ-София, Том 57, книга 1, стр. 259-268 1311-0829 (print)</v>
      </c>
      <c r="F2842" s="10"/>
      <c r="G2842" s="10" t="str">
        <f ca="1">IFERROR(__xludf.DUMMYFUNCTION("""COMPUTED_VALUE"""),"A. Апостолов")</f>
        <v>A. Апостолов</v>
      </c>
      <c r="H2842" s="10"/>
      <c r="I2842" s="10"/>
      <c r="J2842" s="10"/>
      <c r="K2842" s="10"/>
      <c r="L2842" s="10"/>
      <c r="M2842" s="10"/>
      <c r="N2842" s="10"/>
      <c r="O2842" s="10"/>
      <c r="P2842" s="10"/>
      <c r="Q2842" s="10"/>
      <c r="R2842" s="10"/>
      <c r="S2842" s="10"/>
      <c r="T2842" s="10"/>
      <c r="U2842" s="10"/>
      <c r="V2842" s="10"/>
      <c r="W2842" s="10"/>
      <c r="X2842" s="10"/>
      <c r="Y2842" s="10"/>
      <c r="Z2842" s="10"/>
    </row>
    <row r="2843" spans="1:26" ht="12.75">
      <c r="A2843" s="10" t="str">
        <f ca="1">IFERROR(__xludf.DUMMYFUNCTION("""COMPUTED_VALUE"""),"Елена Дикова Шойкова")</f>
        <v>Елена Дикова Шойкова</v>
      </c>
      <c r="B2843" s="10" t="str">
        <f ca="1">IFERROR(__xludf.DUMMYFUNCTION("""COMPUTED_VALUE"""),"Статия в списания и поредици")</f>
        <v>Статия в списания и поредици</v>
      </c>
      <c r="C2843" s="10" t="str">
        <f ca="1">IFERROR(__xludf.DUMMYFUNCTION("""COMPUTED_VALUE"""),"Object-Oriented Computer-Aided Learning Design System Development")</f>
        <v>Object-Oriented Computer-Aided Learning Design System Development</v>
      </c>
      <c r="D2843" s="10">
        <f ca="1">IFERROR(__xludf.DUMMYFUNCTION("""COMPUTED_VALUE"""),2007)</f>
        <v>2007</v>
      </c>
      <c r="E2843" s="10" t="str">
        <f ca="1">IFERROR(__xludf.DUMMYFUNCTION("""COMPUTED_VALUE"""),"INFORMATION Technologies and Control / Bulgarian Union of Automation and Informatics. - Sofia,2003- ISSN 1312-2622 (print) ISBN 2367-5357(online)")</f>
        <v>INFORMATION Technologies and Control / Bulgarian Union of Automation and Informatics. - Sofia,2003- ISSN 1312-2622 (print) ISBN 2367-5357(online)</v>
      </c>
      <c r="F2843" s="10"/>
      <c r="G2843" s="10" t="str">
        <f ca="1">IFERROR(__xludf.DUMMYFUNCTION("""COMPUTED_VALUE"""),"M. Ivanova")</f>
        <v>M. Ivanova</v>
      </c>
      <c r="H2843" s="10"/>
      <c r="I2843" s="10"/>
      <c r="J2843" s="10"/>
      <c r="K2843" s="10"/>
      <c r="L2843" s="10"/>
      <c r="M2843" s="10"/>
      <c r="N2843" s="10"/>
      <c r="O2843" s="10"/>
      <c r="P2843" s="10"/>
      <c r="Q2843" s="10"/>
      <c r="R2843" s="10"/>
      <c r="S2843" s="10"/>
      <c r="T2843" s="10"/>
      <c r="U2843" s="10"/>
      <c r="V2843" s="10"/>
      <c r="W2843" s="10"/>
      <c r="X2843" s="10"/>
      <c r="Y2843" s="10"/>
      <c r="Z2843" s="10"/>
    </row>
    <row r="2844" spans="1:26" ht="12.75">
      <c r="A2844" s="10" t="str">
        <f ca="1">IFERROR(__xludf.DUMMYFUNCTION("""COMPUTED_VALUE"""),"Елена Дикова Шойкова")</f>
        <v>Елена Дикова Шойкова</v>
      </c>
      <c r="B2844" s="10" t="str">
        <f ca="1">IFERROR(__xludf.DUMMYFUNCTION("""COMPUTED_VALUE"""),"Статия в списания и поредици")</f>
        <v>Статия в списания и поредици</v>
      </c>
      <c r="C2844" s="10" t="str">
        <f ca="1">IFERROR(__xludf.DUMMYFUNCTION("""COMPUTED_VALUE"""),"Learning Design Implementation in SCORM еLearning Environment")</f>
        <v>Learning Design Implementation in SCORM еLearning Environment</v>
      </c>
      <c r="D2844" s="10">
        <f ca="1">IFERROR(__xludf.DUMMYFUNCTION("""COMPUTED_VALUE"""),2006)</f>
        <v>2006</v>
      </c>
      <c r="E2844" s="10" t="str">
        <f ca="1">IFERROR(__xludf.DUMMYFUNCTION("""COMPUTED_VALUE"""),"6FP IST TENCompetence Workshop “Learning Networks for Lifelong Competence Development”, Sofia, 30-31March, 2006, Dspace at Open Universiteit Nederland, http://dspace.ou.nl/handle/1820/849")</f>
        <v>6FP IST TENCompetence Workshop “Learning Networks for Lifelong Competence Development”, Sofia, 30-31March, 2006, Dspace at Open Universiteit Nederland, http://dspace.ou.nl/handle/1820/849</v>
      </c>
      <c r="F2844" s="10" t="str">
        <f ca="1">IFERROR(__xludf.DUMMYFUNCTION("""COMPUTED_VALUE"""),"Dspace at Open Universiteit Nederland, http://dspace.ou.nl/handle/1820/849")</f>
        <v>Dspace at Open Universiteit Nederland, http://dspace.ou.nl/handle/1820/849</v>
      </c>
      <c r="G2844" s="10" t="str">
        <f ca="1">IFERROR(__xludf.DUMMYFUNCTION("""COMPUTED_VALUE"""),"M. Ivanova")</f>
        <v>M. Ivanova</v>
      </c>
      <c r="H2844" s="10"/>
      <c r="I2844" s="10"/>
      <c r="J2844" s="10"/>
      <c r="K2844" s="10"/>
      <c r="L2844" s="10"/>
      <c r="M2844" s="10"/>
      <c r="N2844" s="10"/>
      <c r="O2844" s="10"/>
      <c r="P2844" s="10"/>
      <c r="Q2844" s="10"/>
      <c r="R2844" s="10"/>
      <c r="S2844" s="10"/>
      <c r="T2844" s="10"/>
      <c r="U2844" s="10"/>
      <c r="V2844" s="10"/>
      <c r="W2844" s="10"/>
      <c r="X2844" s="10"/>
      <c r="Y2844" s="10"/>
      <c r="Z2844" s="10"/>
    </row>
    <row r="2845" spans="1:26" ht="12.75">
      <c r="A2845" s="10" t="str">
        <f ca="1">IFERROR(__xludf.DUMMYFUNCTION("""COMPUTED_VALUE"""),"Елена Дикова Шойкова")</f>
        <v>Елена Дикова Шойкова</v>
      </c>
      <c r="B2845" s="10" t="str">
        <f ca="1">IFERROR(__xludf.DUMMYFUNCTION("""COMPUTED_VALUE"""),"Статия в списания и поредици")</f>
        <v>Статия в списания и поредици</v>
      </c>
      <c r="C2845" s="10" t="str">
        <f ca="1">IFERROR(__xludf.DUMMYFUNCTION("""COMPUTED_VALUE"""),"Improved Analogue Multiplier Macromodels")</f>
        <v>Improved Analogue Multiplier Macromodels</v>
      </c>
      <c r="D2845" s="10">
        <f ca="1">IFERROR(__xludf.DUMMYFUNCTION("""COMPUTED_VALUE"""),2005)</f>
        <v>2005</v>
      </c>
      <c r="E2845" s="10" t="str">
        <f ca="1">IFERROR(__xludf.DUMMYFUNCTION("""COMPUTED_VALUE"""),"Eлектротехника и електроника, 3-4, 2005, pp. 3-9 0861-4717(print)")</f>
        <v>Eлектротехника и електроника, 3-4, 2005, pp. 3-9 0861-4717(print)</v>
      </c>
      <c r="F2845" s="10"/>
      <c r="G2845" s="10" t="str">
        <f ca="1">IFERROR(__xludf.DUMMYFUNCTION("""COMPUTED_VALUE"""),"I. Pandiev")</f>
        <v>I. Pandiev</v>
      </c>
      <c r="H2845" s="10"/>
      <c r="I2845" s="10"/>
      <c r="J2845" s="10"/>
      <c r="K2845" s="10"/>
      <c r="L2845" s="10"/>
      <c r="M2845" s="10"/>
      <c r="N2845" s="10"/>
      <c r="O2845" s="10"/>
      <c r="P2845" s="10"/>
      <c r="Q2845" s="10"/>
      <c r="R2845" s="10"/>
      <c r="S2845" s="10"/>
      <c r="T2845" s="10"/>
      <c r="U2845" s="10"/>
      <c r="V2845" s="10"/>
      <c r="W2845" s="10"/>
      <c r="X2845" s="10"/>
      <c r="Y2845" s="10"/>
      <c r="Z2845" s="10"/>
    </row>
    <row r="2846" spans="1:26" ht="12.75">
      <c r="A2846" s="10" t="str">
        <f ca="1">IFERROR(__xludf.DUMMYFUNCTION("""COMPUTED_VALUE"""),"Елена Дикова Шойкова")</f>
        <v>Елена Дикова Шойкова</v>
      </c>
      <c r="B2846" s="10" t="str">
        <f ca="1">IFERROR(__xludf.DUMMYFUNCTION("""COMPUTED_VALUE"""),"Статия в списания и поредици")</f>
        <v>Статия в списания и поредици</v>
      </c>
      <c r="C2846" s="10" t="str">
        <f ca="1">IFERROR(__xludf.DUMMYFUNCTION("""COMPUTED_VALUE"""),"Learning Design for Effective Blended Learning Delivery.")</f>
        <v>Learning Design for Effective Blended Learning Delivery.</v>
      </c>
      <c r="D2846" s="10">
        <f ca="1">IFERROR(__xludf.DUMMYFUNCTION("""COMPUTED_VALUE"""),2005)</f>
        <v>2005</v>
      </c>
      <c r="E2846" s="10" t="str">
        <f ca="1">IFERROR(__xludf.DUMMYFUNCTION("""COMPUTED_VALUE"""),"ELECTRONICS’2005, 21–23 September, 2, 103-107 ISBN 1313-3985 (print), (CD)")</f>
        <v>ELECTRONICS’2005, 21–23 September, 2, 103-107 ISBN 1313-3985 (print), (CD)</v>
      </c>
      <c r="F2846" s="10"/>
      <c r="G2846" s="10" t="str">
        <f ca="1">IFERROR(__xludf.DUMMYFUNCTION("""COMPUTED_VALUE"""),"Ivanova M.")</f>
        <v>Ivanova M.</v>
      </c>
      <c r="H2846" s="10"/>
      <c r="I2846" s="10"/>
      <c r="J2846" s="10"/>
      <c r="K2846" s="10"/>
      <c r="L2846" s="10"/>
      <c r="M2846" s="10"/>
      <c r="N2846" s="10"/>
      <c r="O2846" s="10"/>
      <c r="P2846" s="10"/>
      <c r="Q2846" s="10"/>
      <c r="R2846" s="10"/>
      <c r="S2846" s="10"/>
      <c r="T2846" s="10"/>
      <c r="U2846" s="10"/>
      <c r="V2846" s="10"/>
      <c r="W2846" s="10"/>
      <c r="X2846" s="10"/>
      <c r="Y2846" s="10"/>
      <c r="Z2846" s="10"/>
    </row>
    <row r="2847" spans="1:26" ht="12.75">
      <c r="A2847" s="10" t="str">
        <f ca="1">IFERROR(__xludf.DUMMYFUNCTION("""COMPUTED_VALUE"""),"Елена Дикова Шойкова")</f>
        <v>Елена Дикова Шойкова</v>
      </c>
      <c r="B2847" s="10" t="str">
        <f ca="1">IFERROR(__xludf.DUMMYFUNCTION("""COMPUTED_VALUE"""),"Статия в списания и поредици")</f>
        <v>Статия в списания и поредици</v>
      </c>
      <c r="C2847" s="10" t="str">
        <f ca="1">IFERROR(__xludf.DUMMYFUNCTION("""COMPUTED_VALUE"""),"Models Of Technology And Change In Higher Education")</f>
        <v>Models Of Technology And Change In Higher Education</v>
      </c>
      <c r="D2847" s="10">
        <f ca="1">IFERROR(__xludf.DUMMYFUNCTION("""COMPUTED_VALUE"""),2004)</f>
        <v>2004</v>
      </c>
      <c r="E2847" s="10" t="str">
        <f ca="1">IFERROR(__xludf.DUMMYFUNCTION("""COMPUTED_VALUE"""),"27th International Spring Seminar on Electronics Technology: Meeting the Challenges of Electronics Technology Progress, Volume: 3 Page s: 500 - 505 IEEE Conferences")</f>
        <v>27th International Spring Seminar on Electronics Technology: Meeting the Challenges of Electronics Technology Progress, Volume: 3 Page s: 500 - 505 IEEE Conferences</v>
      </c>
      <c r="F2847" s="10" t="str">
        <f ca="1">IFERROR(__xludf.DUMMYFUNCTION("""COMPUTED_VALUE"""),"IEEE Xplore Digital Library")</f>
        <v>IEEE Xplore Digital Library</v>
      </c>
      <c r="G2847" s="10"/>
      <c r="H2847" s="10"/>
      <c r="I2847" s="10"/>
      <c r="J2847" s="10"/>
      <c r="K2847" s="10"/>
      <c r="L2847" s="10"/>
      <c r="M2847" s="10"/>
      <c r="N2847" s="10"/>
      <c r="O2847" s="10"/>
      <c r="P2847" s="10"/>
      <c r="Q2847" s="10"/>
      <c r="R2847" s="10"/>
      <c r="S2847" s="10"/>
      <c r="T2847" s="10"/>
      <c r="U2847" s="10"/>
      <c r="V2847" s="10"/>
      <c r="W2847" s="10"/>
      <c r="X2847" s="10"/>
      <c r="Y2847" s="10"/>
      <c r="Z2847" s="10"/>
    </row>
    <row r="2848" spans="1:26" ht="12.75">
      <c r="A2848" s="10" t="str">
        <f ca="1">IFERROR(__xludf.DUMMYFUNCTION("""COMPUTED_VALUE"""),"Елена Дикова Шойкова")</f>
        <v>Елена Дикова Шойкова</v>
      </c>
      <c r="B2848" s="10" t="str">
        <f ca="1">IFERROR(__xludf.DUMMYFUNCTION("""COMPUTED_VALUE"""),"Статия в списания и поредици")</f>
        <v>Статия в списания и поредици</v>
      </c>
      <c r="C2848" s="10" t="str">
        <f ca="1">IFERROR(__xludf.DUMMYFUNCTION("""COMPUTED_VALUE"""),"Models Of Technology And Change In Higher Education &amp;amp; University - Industry Network")</f>
        <v>Models Of Technology And Change In Higher Education &amp;amp; University - Industry Network</v>
      </c>
      <c r="D2848" s="10">
        <f ca="1">IFERROR(__xludf.DUMMYFUNCTION("""COMPUTED_VALUE"""),2004)</f>
        <v>2004</v>
      </c>
      <c r="E2848" s="10" t="str">
        <f ca="1">IFERROR(__xludf.DUMMYFUNCTION("""COMPUTED_VALUE"""),"27th International Spring Seminar on Electronics Technology: Meeting the Challenges of Electronics Technology Progress Volume: 3 Page s: 0_15 - 0_16")</f>
        <v>27th International Spring Seminar on Electronics Technology: Meeting the Challenges of Electronics Technology Progress Volume: 3 Page s: 0_15 - 0_16</v>
      </c>
      <c r="F2848" s="10" t="str">
        <f ca="1">IFERROR(__xludf.DUMMYFUNCTION("""COMPUTED_VALUE"""),"IEEE Xplore Digital Library")</f>
        <v>IEEE Xplore Digital Library</v>
      </c>
      <c r="G2848" s="10"/>
      <c r="H2848" s="10"/>
      <c r="I2848" s="10"/>
      <c r="J2848" s="10"/>
      <c r="K2848" s="10"/>
      <c r="L2848" s="10"/>
      <c r="M2848" s="10"/>
      <c r="N2848" s="10"/>
      <c r="O2848" s="10"/>
      <c r="P2848" s="10"/>
      <c r="Q2848" s="10"/>
      <c r="R2848" s="10"/>
      <c r="S2848" s="10"/>
      <c r="T2848" s="10"/>
      <c r="U2848" s="10"/>
      <c r="V2848" s="10"/>
      <c r="W2848" s="10"/>
      <c r="X2848" s="10"/>
      <c r="Y2848" s="10"/>
      <c r="Z2848" s="10"/>
    </row>
    <row r="2849" spans="1:26" ht="12.75">
      <c r="A2849" s="10" t="str">
        <f ca="1">IFERROR(__xludf.DUMMYFUNCTION("""COMPUTED_VALUE"""),"Елена Дикова Шойкова")</f>
        <v>Елена Дикова Шойкова</v>
      </c>
      <c r="B2849" s="10" t="str">
        <f ca="1">IFERROR(__xludf.DUMMYFUNCTION("""COMPUTED_VALUE"""),"Статия в списания и поредици")</f>
        <v>Статия в списания и поредици</v>
      </c>
      <c r="C2849" s="10" t="str">
        <f ca="1">IFERROR(__xludf.DUMMYFUNCTION("""COMPUTED_VALUE"""),"University-industry network")</f>
        <v>University-industry network</v>
      </c>
      <c r="D2849" s="10">
        <f ca="1">IFERROR(__xludf.DUMMYFUNCTION("""COMPUTED_VALUE"""),2004)</f>
        <v>2004</v>
      </c>
      <c r="E2849" s="10" t="str">
        <f ca="1">IFERROR(__xludf.DUMMYFUNCTION("""COMPUTED_VALUE"""),"Electronics Technology: Meeting the Challenges of Electronics Technology Progress, 2004. 27th International Spring Seminar, Publication Date: 13-16 May 2004, Volume 3, Page(s):510 - 514 ISBN: 0-7803-8422-9 IEEE Conferences")</f>
        <v>Electronics Technology: Meeting the Challenges of Electronics Technology Progress, 2004. 27th International Spring Seminar, Publication Date: 13-16 May 2004, Volume 3, Page(s):510 - 514 ISBN: 0-7803-8422-9 IEEE Conferences</v>
      </c>
      <c r="F2849" s="10" t="str">
        <f ca="1">IFERROR(__xludf.DUMMYFUNCTION("""COMPUTED_VALUE"""),"IEEE Xplore Digital Library")</f>
        <v>IEEE Xplore Digital Library</v>
      </c>
      <c r="G2849" s="10" t="str">
        <f ca="1">IFERROR(__xludf.DUMMYFUNCTION("""COMPUTED_VALUE"""),"V Denishev")</f>
        <v>V Denishev</v>
      </c>
      <c r="H2849" s="10"/>
      <c r="I2849" s="10"/>
      <c r="J2849" s="10"/>
      <c r="K2849" s="10"/>
      <c r="L2849" s="10"/>
      <c r="M2849" s="10"/>
      <c r="N2849" s="10"/>
      <c r="O2849" s="10"/>
      <c r="P2849" s="10"/>
      <c r="Q2849" s="10"/>
      <c r="R2849" s="10"/>
      <c r="S2849" s="10"/>
      <c r="T2849" s="10"/>
      <c r="U2849" s="10"/>
      <c r="V2849" s="10"/>
      <c r="W2849" s="10"/>
      <c r="X2849" s="10"/>
      <c r="Y2849" s="10"/>
      <c r="Z2849" s="10"/>
    </row>
    <row r="2850" spans="1:26" ht="12.75">
      <c r="A2850" s="10" t="str">
        <f ca="1">IFERROR(__xludf.DUMMYFUNCTION("""COMPUTED_VALUE"""),"Елена Дикова Шойкова")</f>
        <v>Елена Дикова Шойкова</v>
      </c>
      <c r="B2850" s="10" t="str">
        <f ca="1">IFERROR(__xludf.DUMMYFUNCTION("""COMPUTED_VALUE"""),"Статия в списания и поредици")</f>
        <v>Статия в списания и поредици</v>
      </c>
      <c r="C2850" s="10" t="str">
        <f ca="1">IFERROR(__xludf.DUMMYFUNCTION("""COMPUTED_VALUE"""),"Models of Technology and Change in Higher Education")</f>
        <v>Models of Technology and Change in Higher Education</v>
      </c>
      <c r="D2850" s="10">
        <f ca="1">IFERROR(__xludf.DUMMYFUNCTION("""COMPUTED_VALUE"""),2004)</f>
        <v>2004</v>
      </c>
      <c r="E2850" s="10" t="str">
        <f ca="1">IFERROR(__xludf.DUMMYFUNCTION("""COMPUTED_VALUE"""),"Second International Conference on Challenges in Higher Education and Research in the 21st Century, TU-Sofia, Bulgaria, Heron Press, Sofia, 2004 Conference Proceedings pp. 21-26 • ISBN-10: 9545801581 • ISBN-13: 978-9545801587")</f>
        <v>Second International Conference on Challenges in Higher Education and Research in the 21st Century, TU-Sofia, Bulgaria, Heron Press, Sofia, 2004 Conference Proceedings pp. 21-26 • ISBN-10: 9545801581 • ISBN-13: 978-9545801587</v>
      </c>
      <c r="F2850" s="10"/>
      <c r="G2850" s="10"/>
      <c r="H2850" s="10"/>
      <c r="I2850" s="10"/>
      <c r="J2850" s="10"/>
      <c r="K2850" s="10"/>
      <c r="L2850" s="10"/>
      <c r="M2850" s="10"/>
      <c r="N2850" s="10"/>
      <c r="O2850" s="10"/>
      <c r="P2850" s="10"/>
      <c r="Q2850" s="10"/>
      <c r="R2850" s="10"/>
      <c r="S2850" s="10"/>
      <c r="T2850" s="10"/>
      <c r="U2850" s="10"/>
      <c r="V2850" s="10"/>
      <c r="W2850" s="10"/>
      <c r="X2850" s="10"/>
      <c r="Y2850" s="10"/>
      <c r="Z2850" s="10"/>
    </row>
    <row r="2851" spans="1:26" ht="12.75">
      <c r="A2851" s="10" t="str">
        <f ca="1">IFERROR(__xludf.DUMMYFUNCTION("""COMPUTED_VALUE"""),"Елена Дикова Шойкова")</f>
        <v>Елена Дикова Шойкова</v>
      </c>
      <c r="B2851" s="10" t="str">
        <f ca="1">IFERROR(__xludf.DUMMYFUNCTION("""COMPUTED_VALUE"""),"Статия в списания и поредици")</f>
        <v>Статия в списания и поредици</v>
      </c>
      <c r="C2851" s="10" t="str">
        <f ca="1">IFERROR(__xludf.DUMMYFUNCTION("""COMPUTED_VALUE"""),"Адаптивни Механизми в Архитектурата за еОбучение с интегриран MS Class Server")</f>
        <v>Адаптивни Механизми в Архитектурата за еОбучение с интегриран MS Class Server</v>
      </c>
      <c r="D2851" s="10">
        <f ca="1">IFERROR(__xludf.DUMMYFUNCTION("""COMPUTED_VALUE"""),2004)</f>
        <v>2004</v>
      </c>
      <c r="E2851" s="10" t="str">
        <f ca="1">IFERROR(__xludf.DUMMYFUNCTION("""COMPUTED_VALUE"""),"Автоматика и информатика. – София: Съюз по автоматика и информатика, ISSN 0861-7562 (print) бр. 2/2004, стр. 25-32")</f>
        <v>Автоматика и информатика. – София: Съюз по автоматика и информатика, ISSN 0861-7562 (print) бр. 2/2004, стр. 25-32</v>
      </c>
      <c r="F2851" s="10"/>
      <c r="G2851" s="10" t="str">
        <f ca="1">IFERROR(__xludf.DUMMYFUNCTION("""COMPUTED_VALUE"""),"В. Денишев")</f>
        <v>В. Денишев</v>
      </c>
      <c r="H2851" s="10"/>
      <c r="I2851" s="10"/>
      <c r="J2851" s="10"/>
      <c r="K2851" s="10"/>
      <c r="L2851" s="10"/>
      <c r="M2851" s="10"/>
      <c r="N2851" s="10"/>
      <c r="O2851" s="10"/>
      <c r="P2851" s="10"/>
      <c r="Q2851" s="10"/>
      <c r="R2851" s="10"/>
      <c r="S2851" s="10"/>
      <c r="T2851" s="10"/>
      <c r="U2851" s="10"/>
      <c r="V2851" s="10"/>
      <c r="W2851" s="10"/>
      <c r="X2851" s="10"/>
      <c r="Y2851" s="10"/>
      <c r="Z2851" s="10"/>
    </row>
    <row r="2852" spans="1:26" ht="12.75">
      <c r="A2852" s="10" t="str">
        <f ca="1">IFERROR(__xludf.DUMMYFUNCTION("""COMPUTED_VALUE"""),"Елена Дикова Шойкова")</f>
        <v>Елена Дикова Шойкова</v>
      </c>
      <c r="B2852" s="10" t="str">
        <f ca="1">IFERROR(__xludf.DUMMYFUNCTION("""COMPUTED_VALUE"""),"Статия в списания и поредици")</f>
        <v>Статия в списания и поредици</v>
      </c>
      <c r="C2852" s="10" t="str">
        <f ca="1">IFERROR(__xludf.DUMMYFUNCTION("""COMPUTED_VALUE"""),"Implementation and Evaluation of an E-learning Architecture based on MSClass Server")</f>
        <v>Implementation and Evaluation of an E-learning Architecture based on MSClass Server</v>
      </c>
      <c r="D2852" s="10">
        <f ca="1">IFERROR(__xludf.DUMMYFUNCTION("""COMPUTED_VALUE"""),2004)</f>
        <v>2004</v>
      </c>
      <c r="E2852" s="10" t="str">
        <f ca="1">IFERROR(__xludf.DUMMYFUNCTION("""COMPUTED_VALUE"""),"IEEE 27 International Spring Seminar on Electronics Technology IEEE 27 ISSE 2004, 13-16 May 2004, Sofia , Bulgaria, Print ISBN: 0-7803-8422-9 IEEE Catalog Number 04EX830, Library of Congress Number 2004102578, pp. 506 – 509")</f>
        <v>IEEE 27 International Spring Seminar on Electronics Technology IEEE 27 ISSE 2004, 13-16 May 2004, Sofia , Bulgaria, Print ISBN: 0-7803-8422-9 IEEE Catalog Number 04EX830, Library of Congress Number 2004102578, pp. 506 – 509</v>
      </c>
      <c r="F2852" s="10" t="str">
        <f ca="1">IFERROR(__xludf.DUMMYFUNCTION("""COMPUTED_VALUE"""),"IEEE Xplore Digital Library")</f>
        <v>IEEE Xplore Digital Library</v>
      </c>
      <c r="G2852" s="10" t="str">
        <f ca="1">IFERROR(__xludf.DUMMYFUNCTION("""COMPUTED_VALUE"""),"V. Denishev, T. Todorov")</f>
        <v>V. Denishev, T. Todorov</v>
      </c>
      <c r="H2852" s="10"/>
      <c r="I2852" s="10"/>
      <c r="J2852" s="10"/>
      <c r="K2852" s="10"/>
      <c r="L2852" s="10"/>
      <c r="M2852" s="10"/>
      <c r="N2852" s="10"/>
      <c r="O2852" s="10"/>
      <c r="P2852" s="10"/>
      <c r="Q2852" s="10"/>
      <c r="R2852" s="10"/>
      <c r="S2852" s="10"/>
      <c r="T2852" s="10"/>
      <c r="U2852" s="10"/>
      <c r="V2852" s="10"/>
      <c r="W2852" s="10"/>
      <c r="X2852" s="10"/>
      <c r="Y2852" s="10"/>
      <c r="Z2852" s="10"/>
    </row>
    <row r="2853" spans="1:26" ht="12.75">
      <c r="A2853" s="10" t="str">
        <f ca="1">IFERROR(__xludf.DUMMYFUNCTION("""COMPUTED_VALUE"""),"Елена Дикова Шойкова")</f>
        <v>Елена Дикова Шойкова</v>
      </c>
      <c r="B2853" s="10" t="str">
        <f ca="1">IFERROR(__xludf.DUMMYFUNCTION("""COMPUTED_VALUE"""),"Доклад от конференция")</f>
        <v>Доклад от конференция</v>
      </c>
      <c r="C2853" s="10" t="str">
        <f ca="1">IFERROR(__xludf.DUMMYFUNCTION("""COMPUTED_VALUE"""),"University-industry network")</f>
        <v>University-industry network</v>
      </c>
      <c r="D2853" s="10">
        <f ca="1">IFERROR(__xludf.DUMMYFUNCTION("""COMPUTED_VALUE"""),2004)</f>
        <v>2004</v>
      </c>
      <c r="E2853" s="10" t="str">
        <f ca="1">IFERROR(__xludf.DUMMYFUNCTION("""COMPUTED_VALUE"""),"Electronics Technology: Meeting the Challenges of Electronics Publication Date: 13-16 May 2004, Volume 3, Page(s):510 - 514 ISBN: 0-7803-8422-9 Technology Progress, 2004. 27th International Spring Seminar")</f>
        <v>Electronics Technology: Meeting the Challenges of Electronics Publication Date: 13-16 May 2004, Volume 3, Page(s):510 - 514 ISBN: 0-7803-8422-9 Technology Progress, 2004. 27th International Spring Seminar</v>
      </c>
      <c r="F2853" s="10"/>
      <c r="G2853" s="10" t="str">
        <f ca="1">IFERROR(__xludf.DUMMYFUNCTION("""COMPUTED_VALUE"""),"Denishev, V")</f>
        <v>Denishev, V</v>
      </c>
      <c r="H2853" s="10"/>
      <c r="I2853" s="10"/>
      <c r="J2853" s="10"/>
      <c r="K2853" s="10"/>
      <c r="L2853" s="10"/>
      <c r="M2853" s="10"/>
      <c r="N2853" s="10"/>
      <c r="O2853" s="10"/>
      <c r="P2853" s="10"/>
      <c r="Q2853" s="10"/>
      <c r="R2853" s="10"/>
      <c r="S2853" s="10"/>
      <c r="T2853" s="10"/>
      <c r="U2853" s="10"/>
      <c r="V2853" s="10"/>
      <c r="W2853" s="10"/>
      <c r="X2853" s="10"/>
      <c r="Y2853" s="10"/>
      <c r="Z2853" s="10"/>
    </row>
    <row r="2854" spans="1:26" ht="12.75">
      <c r="A2854" s="10" t="str">
        <f ca="1">IFERROR(__xludf.DUMMYFUNCTION("""COMPUTED_VALUE"""),"Елена Дикова Шойкова")</f>
        <v>Елена Дикова Шойкова</v>
      </c>
      <c r="B2854" s="10" t="str">
        <f ca="1">IFERROR(__xludf.DUMMYFUNCTION("""COMPUTED_VALUE"""),"Статия в списания и поредици")</f>
        <v>Статия в списания и поредици</v>
      </c>
      <c r="C2854" s="10" t="str">
        <f ca="1">IFERROR(__xludf.DUMMYFUNCTION("""COMPUTED_VALUE"""),"Generic E-Learning Environments and Paradigms for the New ICT Curricula")</f>
        <v>Generic E-Learning Environments and Paradigms for the New ICT Curricula</v>
      </c>
      <c r="D2854" s="10">
        <f ca="1">IFERROR(__xludf.DUMMYFUNCTION("""COMPUTED_VALUE"""),2003)</f>
        <v>2003</v>
      </c>
      <c r="E2854" s="10" t="str">
        <f ca="1">IFERROR(__xludf.DUMMYFUNCTION("""COMPUTED_VALUE"""),"Second Regional Conference on Engineering Education, 5-7 December 2003, Princess Hotel, Sofia, Bulgaria, pp.176-184")</f>
        <v>Second Regional Conference on Engineering Education, 5-7 December 2003, Princess Hotel, Sofia, Bulgaria, pp.176-184</v>
      </c>
      <c r="F2854" s="10"/>
      <c r="G2854" s="10" t="str">
        <f ca="1">IFERROR(__xludf.DUMMYFUNCTION("""COMPUTED_VALUE"""),"V. Givkov")</f>
        <v>V. Givkov</v>
      </c>
      <c r="H2854" s="10"/>
      <c r="I2854" s="10"/>
      <c r="J2854" s="10"/>
      <c r="K2854" s="10"/>
      <c r="L2854" s="10"/>
      <c r="M2854" s="10"/>
      <c r="N2854" s="10"/>
      <c r="O2854" s="10"/>
      <c r="P2854" s="10"/>
      <c r="Q2854" s="10"/>
      <c r="R2854" s="10"/>
      <c r="S2854" s="10"/>
      <c r="T2854" s="10"/>
      <c r="U2854" s="10"/>
      <c r="V2854" s="10"/>
      <c r="W2854" s="10"/>
      <c r="X2854" s="10"/>
      <c r="Y2854" s="10"/>
      <c r="Z2854" s="10"/>
    </row>
    <row r="2855" spans="1:26" ht="12.75">
      <c r="A2855" s="10" t="str">
        <f ca="1">IFERROR(__xludf.DUMMYFUNCTION("""COMPUTED_VALUE"""),"Елена Дикова Шойкова")</f>
        <v>Елена Дикова Шойкова</v>
      </c>
      <c r="B2855" s="10" t="str">
        <f ca="1">IFERROR(__xludf.DUMMYFUNCTION("""COMPUTED_VALUE"""),"Статия в списания и поредици")</f>
        <v>Статия в списания и поредици</v>
      </c>
      <c r="C2855" s="10" t="str">
        <f ca="1">IFERROR(__xludf.DUMMYFUNCTION("""COMPUTED_VALUE"""),"eLearning Technology Standards Overview")</f>
        <v>eLearning Technology Standards Overview</v>
      </c>
      <c r="D2855" s="10">
        <f ca="1">IFERROR(__xludf.DUMMYFUNCTION("""COMPUTED_VALUE"""),2002)</f>
        <v>2002</v>
      </c>
      <c r="E2855" s="10" t="str">
        <f ca="1">IFERROR(__xludf.DUMMYFUNCTION("""COMPUTED_VALUE"""),"Vienna International Workshop on Distance Education and Training VIEWDET 2002, 4-6. Dec. 2002, Vienna University of Technology, Conference Proceedings pp.111-123")</f>
        <v>Vienna International Workshop on Distance Education and Training VIEWDET 2002, 4-6. Dec. 2002, Vienna University of Technology, Conference Proceedings pp.111-123</v>
      </c>
      <c r="F2855" s="10" t="str">
        <f ca="1">IFERROR(__xludf.DUMMYFUNCTION("""COMPUTED_VALUE"""),"Google Scholar")</f>
        <v>Google Scholar</v>
      </c>
      <c r="G2855" s="10" t="str">
        <f ca="1">IFERROR(__xludf.DUMMYFUNCTION("""COMPUTED_VALUE"""),"V. Denishev")</f>
        <v>V. Denishev</v>
      </c>
      <c r="H2855" s="10"/>
      <c r="I2855" s="10"/>
      <c r="J2855" s="10"/>
      <c r="K2855" s="10"/>
      <c r="L2855" s="10"/>
      <c r="M2855" s="10"/>
      <c r="N2855" s="10"/>
      <c r="O2855" s="10"/>
      <c r="P2855" s="10"/>
      <c r="Q2855" s="10"/>
      <c r="R2855" s="10"/>
      <c r="S2855" s="10"/>
      <c r="T2855" s="10"/>
      <c r="U2855" s="10"/>
      <c r="V2855" s="10"/>
      <c r="W2855" s="10"/>
      <c r="X2855" s="10"/>
      <c r="Y2855" s="10"/>
      <c r="Z2855" s="10"/>
    </row>
    <row r="2856" spans="1:26" ht="12.75">
      <c r="A2856" s="10" t="str">
        <f ca="1">IFERROR(__xludf.DUMMYFUNCTION("""COMPUTED_VALUE"""),"Елена Дикова Шойкова")</f>
        <v>Елена Дикова Шойкова</v>
      </c>
      <c r="B2856" s="10" t="str">
        <f ca="1">IFERROR(__xludf.DUMMYFUNCTION("""COMPUTED_VALUE"""),"Статия в списания и поредици")</f>
        <v>Статия в списания и поредици</v>
      </c>
      <c r="C2856" s="10" t="str">
        <f ca="1">IFERROR(__xludf.DUMMYFUNCTION("""COMPUTED_VALUE"""),"Усъвършенствани макромодели на операционни усилва¬тели")</f>
        <v>Усъвършенствани макромодели на операционни усилва¬тели</v>
      </c>
      <c r="D2856" s="10">
        <f ca="1">IFERROR(__xludf.DUMMYFUNCTION("""COMPUTED_VALUE"""),2002)</f>
        <v>2002</v>
      </c>
      <c r="E2856" s="10" t="str">
        <f ca="1">IFERROR(__xludf.DUMMYFUNCTION("""COMPUTED_VALUE"""),"Електротехника и електроника, 3-4 кн., 2002, стр. 29-35 0861-4717(print)")</f>
        <v>Електротехника и електроника, 3-4 кн., 2002, стр. 29-35 0861-4717(print)</v>
      </c>
      <c r="F2856" s="10"/>
      <c r="G2856" s="10" t="str">
        <f ca="1">IFERROR(__xludf.DUMMYFUNCTION("""COMPUTED_VALUE"""),"И. Пандиев")</f>
        <v>И. Пандиев</v>
      </c>
      <c r="H2856" s="10"/>
      <c r="I2856" s="10"/>
      <c r="J2856" s="10"/>
      <c r="K2856" s="10"/>
      <c r="L2856" s="10"/>
      <c r="M2856" s="10"/>
      <c r="N2856" s="10"/>
      <c r="O2856" s="10"/>
      <c r="P2856" s="10"/>
      <c r="Q2856" s="10"/>
      <c r="R2856" s="10"/>
      <c r="S2856" s="10"/>
      <c r="T2856" s="10"/>
      <c r="U2856" s="10"/>
      <c r="V2856" s="10"/>
      <c r="W2856" s="10"/>
      <c r="X2856" s="10"/>
      <c r="Y2856" s="10"/>
      <c r="Z2856" s="10"/>
    </row>
    <row r="2857" spans="1:26" ht="12.75">
      <c r="A2857" s="10" t="str">
        <f ca="1">IFERROR(__xludf.DUMMYFUNCTION("""COMPUTED_VALUE"""),"Елена Дикова Шойкова")</f>
        <v>Елена Дикова Шойкова</v>
      </c>
      <c r="B2857" s="10" t="str">
        <f ca="1">IFERROR(__xludf.DUMMYFUNCTION("""COMPUTED_VALUE"""),"Статия в списания и поредици")</f>
        <v>Статия в списания и поредици</v>
      </c>
      <c r="C2857" s="10" t="str">
        <f ca="1">IFERROR(__xludf.DUMMYFUNCTION("""COMPUTED_VALUE"""),"Learning Technology Standards Overview")</f>
        <v>Learning Technology Standards Overview</v>
      </c>
      <c r="D2857" s="10">
        <f ca="1">IFERROR(__xludf.DUMMYFUNCTION("""COMPUTED_VALUE"""),2002)</f>
        <v>2002</v>
      </c>
      <c r="E2857" s="10" t="str">
        <f ca="1">IFERROR(__xludf.DUMMYFUNCTION("""COMPUTED_VALUE"""),"International Conference on Computer Systems and Technologies CompSysTech'2002, 20-21 June, Sofia, pp.P.1-1 – P.1-13 954-9641-17-1")</f>
        <v>International Conference on Computer Systems and Technologies CompSysTech'2002, 20-21 June, Sofia, pp.P.1-1 – P.1-13 954-9641-17-1</v>
      </c>
      <c r="F2857" s="10" t="str">
        <f ca="1">IFERROR(__xludf.DUMMYFUNCTION("""COMPUTED_VALUE"""),"IEEE Xplore Digital Library")</f>
        <v>IEEE Xplore Digital Library</v>
      </c>
      <c r="G2857" s="10" t="str">
        <f ca="1">IFERROR(__xludf.DUMMYFUNCTION("""COMPUTED_VALUE"""),"V. Denishev")</f>
        <v>V. Denishev</v>
      </c>
      <c r="H2857" s="10"/>
      <c r="I2857" s="10"/>
      <c r="J2857" s="10"/>
      <c r="K2857" s="10"/>
      <c r="L2857" s="10"/>
      <c r="M2857" s="10"/>
      <c r="N2857" s="10"/>
      <c r="O2857" s="10"/>
      <c r="P2857" s="10"/>
      <c r="Q2857" s="10"/>
      <c r="R2857" s="10"/>
      <c r="S2857" s="10"/>
      <c r="T2857" s="10"/>
      <c r="U2857" s="10"/>
      <c r="V2857" s="10"/>
      <c r="W2857" s="10"/>
      <c r="X2857" s="10"/>
      <c r="Y2857" s="10"/>
      <c r="Z2857" s="10"/>
    </row>
    <row r="2858" spans="1:26" ht="12.75">
      <c r="A2858" s="10" t="str">
        <f ca="1">IFERROR(__xludf.DUMMYFUNCTION("""COMPUTED_VALUE"""),"Елена Дикова Шойкова")</f>
        <v>Елена Дикова Шойкова</v>
      </c>
      <c r="B2858" s="10" t="str">
        <f ca="1">IFERROR(__xludf.DUMMYFUNCTION("""COMPUTED_VALUE"""),"Статия в списания и поредици")</f>
        <v>Статия в списания и поредици</v>
      </c>
      <c r="C2858" s="10" t="str">
        <f ca="1">IFERROR(__xludf.DUMMYFUNCTION("""COMPUTED_VALUE"""),"Симулационно моделиране на операционни усил¬ватели и изследване на макромоделите")</f>
        <v>Симулационно моделиране на операционни усил¬ватели и изследване на макромоделите</v>
      </c>
      <c r="D2858" s="10">
        <f ca="1">IFERROR(__xludf.DUMMYFUNCTION("""COMPUTED_VALUE"""),2002)</f>
        <v>2002</v>
      </c>
      <c r="E2858" s="10" t="str">
        <f ca="1">IFERROR(__xludf.DUMMYFUNCTION("""COMPUTED_VALUE"""),"Електротехника и електроника, кн. 10-12, 2002, стр. 12-18 0861-4717(print)")</f>
        <v>Електротехника и електроника, кн. 10-12, 2002, стр. 12-18 0861-4717(print)</v>
      </c>
      <c r="F2858" s="10"/>
      <c r="G2858" s="10" t="str">
        <f ca="1">IFERROR(__xludf.DUMMYFUNCTION("""COMPUTED_VALUE"""),"И. Пандиев")</f>
        <v>И. Пандиев</v>
      </c>
      <c r="H2858" s="10"/>
      <c r="I2858" s="10"/>
      <c r="J2858" s="10"/>
      <c r="K2858" s="10"/>
      <c r="L2858" s="10"/>
      <c r="M2858" s="10"/>
      <c r="N2858" s="10"/>
      <c r="O2858" s="10"/>
      <c r="P2858" s="10"/>
      <c r="Q2858" s="10"/>
      <c r="R2858" s="10"/>
      <c r="S2858" s="10"/>
      <c r="T2858" s="10"/>
      <c r="U2858" s="10"/>
      <c r="V2858" s="10"/>
      <c r="W2858" s="10"/>
      <c r="X2858" s="10"/>
      <c r="Y2858" s="10"/>
      <c r="Z2858" s="10"/>
    </row>
    <row r="2859" spans="1:26" ht="12.75">
      <c r="A2859" s="10" t="str">
        <f ca="1">IFERROR(__xludf.DUMMYFUNCTION("""COMPUTED_VALUE"""),"Елена Дикова Шойкова")</f>
        <v>Елена Дикова Шойкова</v>
      </c>
      <c r="B2859" s="10" t="str">
        <f ca="1">IFERROR(__xludf.DUMMYFUNCTION("""COMPUTED_VALUE"""),"Статия в списания и поредици")</f>
        <v>Статия в списания и поредици</v>
      </c>
      <c r="C2859" s="10" t="str">
        <f ca="1">IFERROR(__xludf.DUMMYFUNCTION("""COMPUTED_VALUE"""),"PSpice макромодели на операционни усилватели")</f>
        <v>PSpice макромодели на операционни усилватели</v>
      </c>
      <c r="D2859" s="10">
        <f ca="1">IFERROR(__xludf.DUMMYFUNCTION("""COMPUTED_VALUE"""),2000)</f>
        <v>2000</v>
      </c>
      <c r="E2859" s="10" t="str">
        <f ca="1">IFERROR(__xludf.DUMMYFUNCTION("""COMPUTED_VALUE"""),"Издателство ТУ-София, ISBN 954-9952-18-5")</f>
        <v>Издателство ТУ-София, ISBN 954-9952-18-5</v>
      </c>
      <c r="F2859" s="10"/>
      <c r="G2859" s="10" t="str">
        <f ca="1">IFERROR(__xludf.DUMMYFUNCTION("""COMPUTED_VALUE"""),"И. Пандиев")</f>
        <v>И. Пандиев</v>
      </c>
      <c r="H2859" s="10"/>
      <c r="I2859" s="10"/>
      <c r="J2859" s="10"/>
      <c r="K2859" s="10"/>
      <c r="L2859" s="10"/>
      <c r="M2859" s="10"/>
      <c r="N2859" s="10"/>
      <c r="O2859" s="10"/>
      <c r="P2859" s="10"/>
      <c r="Q2859" s="10"/>
      <c r="R2859" s="10"/>
      <c r="S2859" s="10"/>
      <c r="T2859" s="10"/>
      <c r="U2859" s="10"/>
      <c r="V2859" s="10"/>
      <c r="W2859" s="10"/>
      <c r="X2859" s="10"/>
      <c r="Y2859" s="10"/>
      <c r="Z2859" s="10"/>
    </row>
    <row r="2860" spans="1:26" ht="12.75">
      <c r="A2860" s="10" t="str">
        <f ca="1">IFERROR(__xludf.DUMMYFUNCTION("""COMPUTED_VALUE"""),"Елена Дикова Шойкова")</f>
        <v>Елена Дикова Шойкова</v>
      </c>
      <c r="B2860" s="10" t="str">
        <f ca="1">IFERROR(__xludf.DUMMYFUNCTION("""COMPUTED_VALUE"""),"Книга")</f>
        <v>Книга</v>
      </c>
      <c r="C2860" s="10" t="str">
        <f ca="1">IFERROR(__xludf.DUMMYFUNCTION("""COMPUTED_VALUE"""),"PSpice макромодели на операционни усилватели")</f>
        <v>PSpice макромодели на операционни усилватели</v>
      </c>
      <c r="D2860" s="10">
        <f ca="1">IFERROR(__xludf.DUMMYFUNCTION("""COMPUTED_VALUE"""),2000)</f>
        <v>2000</v>
      </c>
      <c r="E2860" s="10" t="str">
        <f ca="1">IFERROR(__xludf.DUMMYFUNCTION("""COMPUTED_VALUE"""),"Издателство: ТУ-София, ISBN 954-9952-18-5")</f>
        <v>Издателство: ТУ-София, ISBN 954-9952-18-5</v>
      </c>
      <c r="F2860" s="10"/>
      <c r="G2860" s="10" t="str">
        <f ca="1">IFERROR(__xludf.DUMMYFUNCTION("""COMPUTED_VALUE"""),"И.Пандиев")</f>
        <v>И.Пандиев</v>
      </c>
      <c r="H2860" s="10"/>
      <c r="I2860" s="10"/>
      <c r="J2860" s="10"/>
      <c r="K2860" s="10"/>
      <c r="L2860" s="10"/>
      <c r="M2860" s="10"/>
      <c r="N2860" s="10"/>
      <c r="O2860" s="10"/>
      <c r="P2860" s="10"/>
      <c r="Q2860" s="10"/>
      <c r="R2860" s="10"/>
      <c r="S2860" s="10"/>
      <c r="T2860" s="10"/>
      <c r="U2860" s="10"/>
      <c r="V2860" s="10"/>
      <c r="W2860" s="10"/>
      <c r="X2860" s="10"/>
      <c r="Y2860" s="10"/>
      <c r="Z2860" s="10"/>
    </row>
    <row r="2861" spans="1:26" ht="12.75">
      <c r="A2861" s="10" t="str">
        <f ca="1">IFERROR(__xludf.DUMMYFUNCTION("""COMPUTED_VALUE"""),"Елена Дикова Шойкова")</f>
        <v>Елена Дикова Шойкова</v>
      </c>
      <c r="B2861" s="10" t="str">
        <f ca="1">IFERROR(__xludf.DUMMYFUNCTION("""COMPUTED_VALUE"""),"Статия в списания и поредици")</f>
        <v>Статия в списания и поредици</v>
      </c>
      <c r="C2861" s="10" t="str">
        <f ca="1">IFERROR(__xludf.DUMMYFUNCTION("""COMPUTED_VALUE"""),"Evaluation of instructional multimedia materials.")</f>
        <v>Evaluation of instructional multimedia materials.</v>
      </c>
      <c r="D2861" s="10">
        <f ca="1">IFERROR(__xludf.DUMMYFUNCTION("""COMPUTED_VALUE"""),2000)</f>
        <v>2000</v>
      </c>
      <c r="E2861" s="10" t="str">
        <f ca="1">IFERROR(__xludf.DUMMYFUNCTION("""COMPUTED_VALUE"""),"International Conference on Information and Communication Technologies for Education, ED-ICT '2000, Vienna, December 7-9, 2000, pp. 279-286")</f>
        <v>International Conference on Information and Communication Technologies for Education, ED-ICT '2000, Vienna, December 7-9, 2000, pp. 279-286</v>
      </c>
      <c r="F2861" s="10"/>
      <c r="G2861" s="10" t="str">
        <f ca="1">IFERROR(__xludf.DUMMYFUNCTION("""COMPUTED_VALUE"""),"Tzanova, S")</f>
        <v>Tzanova, S</v>
      </c>
      <c r="H2861" s="10"/>
      <c r="I2861" s="10"/>
      <c r="J2861" s="10"/>
      <c r="K2861" s="10"/>
      <c r="L2861" s="10"/>
      <c r="M2861" s="10"/>
      <c r="N2861" s="10"/>
      <c r="O2861" s="10"/>
      <c r="P2861" s="10"/>
      <c r="Q2861" s="10"/>
      <c r="R2861" s="10"/>
      <c r="S2861" s="10"/>
      <c r="T2861" s="10"/>
      <c r="U2861" s="10"/>
      <c r="V2861" s="10"/>
      <c r="W2861" s="10"/>
      <c r="X2861" s="10"/>
      <c r="Y2861" s="10"/>
      <c r="Z2861" s="10"/>
    </row>
    <row r="2862" spans="1:26" ht="12.75">
      <c r="A2862" s="10" t="str">
        <f ca="1">IFERROR(__xludf.DUMMYFUNCTION("""COMPUTED_VALUE"""),"Елена Дикова Шойкова")</f>
        <v>Елена Дикова Шойкова</v>
      </c>
      <c r="B2862" s="10" t="str">
        <f ca="1">IFERROR(__xludf.DUMMYFUNCTION("""COMPUTED_VALUE"""),"Статия в списания и поредици")</f>
        <v>Статия в списания и поредици</v>
      </c>
      <c r="C2862" s="10" t="str">
        <f ca="1">IFERROR(__xludf.DUMMYFUNCTION("""COMPUTED_VALUE"""),"Distributed Curricula and Multimedia Environments for Tele-Learning in Electronics and Automation")</f>
        <v>Distributed Curricula and Multimedia Environments for Tele-Learning in Electronics and Automation</v>
      </c>
      <c r="D2862" s="10">
        <f ca="1">IFERROR(__xludf.DUMMYFUNCTION("""COMPUTED_VALUE"""),2000)</f>
        <v>2000</v>
      </c>
      <c r="E2862" s="10" t="str">
        <f ca="1">IFERROR(__xludf.DUMMYFUNCTION("""COMPUTED_VALUE"""),"23rd International Spring Seminar on Electronics Technology ISSE 2000, Balatonfured, Conference Proceedings pp. 17-22 ISBN: 9634206395 9789634206392")</f>
        <v>23rd International Spring Seminar on Electronics Technology ISSE 2000, Balatonfured, Conference Proceedings pp. 17-22 ISBN: 9634206395 9789634206392</v>
      </c>
      <c r="F2862" s="10"/>
      <c r="G2862" s="10" t="str">
        <f ca="1">IFERROR(__xludf.DUMMYFUNCTION("""COMPUTED_VALUE"""),"S. Tzanova")</f>
        <v>S. Tzanova</v>
      </c>
      <c r="H2862" s="10"/>
      <c r="I2862" s="10"/>
      <c r="J2862" s="10"/>
      <c r="K2862" s="10"/>
      <c r="L2862" s="10"/>
      <c r="M2862" s="10"/>
      <c r="N2862" s="10"/>
      <c r="O2862" s="10"/>
      <c r="P2862" s="10"/>
      <c r="Q2862" s="10"/>
      <c r="R2862" s="10"/>
      <c r="S2862" s="10"/>
      <c r="T2862" s="10"/>
      <c r="U2862" s="10"/>
      <c r="V2862" s="10"/>
      <c r="W2862" s="10"/>
      <c r="X2862" s="10"/>
      <c r="Y2862" s="10"/>
      <c r="Z2862" s="10"/>
    </row>
    <row r="2863" spans="1:26" ht="12.75">
      <c r="A2863" s="10" t="str">
        <f ca="1">IFERROR(__xludf.DUMMYFUNCTION("""COMPUTED_VALUE"""),"Елена Дикова Шойкова")</f>
        <v>Елена Дикова Шойкова</v>
      </c>
      <c r="B2863" s="10" t="str">
        <f ca="1">IFERROR(__xludf.DUMMYFUNCTION("""COMPUTED_VALUE"""),"Статия в списания и поредици")</f>
        <v>Статия в списания и поредици</v>
      </c>
      <c r="C2863" s="10" t="str">
        <f ca="1">IFERROR(__xludf.DUMMYFUNCTION("""COMPUTED_VALUE"""),"Internet-Based Performance Support System for PSpice Macromodels of Operational Amplifier")</f>
        <v>Internet-Based Performance Support System for PSpice Macromodels of Operational Amplifier</v>
      </c>
      <c r="D2863" s="10">
        <f ca="1">IFERROR(__xludf.DUMMYFUNCTION("""COMPUTED_VALUE"""),2000)</f>
        <v>2000</v>
      </c>
      <c r="E2863" s="10" t="str">
        <f ca="1">IFERROR(__xludf.DUMMYFUNCTION("""COMPUTED_VALUE"""),"23rd International Spring Seminar on Electronics Technology (ISSE 2000), Conference Proceedings, pp. 39-44 ISBN: 9634206395 9789634206392")</f>
        <v>23rd International Spring Seminar on Electronics Technology (ISSE 2000), Conference Proceedings, pp. 39-44 ISBN: 9634206395 9789634206392</v>
      </c>
      <c r="F2863" s="10"/>
      <c r="G2863" s="10" t="str">
        <f ca="1">IFERROR(__xludf.DUMMYFUNCTION("""COMPUTED_VALUE"""),"I. Pandiev")</f>
        <v>I. Pandiev</v>
      </c>
      <c r="H2863" s="10"/>
      <c r="I2863" s="10"/>
      <c r="J2863" s="10"/>
      <c r="K2863" s="10"/>
      <c r="L2863" s="10"/>
      <c r="M2863" s="10"/>
      <c r="N2863" s="10"/>
      <c r="O2863" s="10"/>
      <c r="P2863" s="10"/>
      <c r="Q2863" s="10"/>
      <c r="R2863" s="10"/>
      <c r="S2863" s="10"/>
      <c r="T2863" s="10"/>
      <c r="U2863" s="10"/>
      <c r="V2863" s="10"/>
      <c r="W2863" s="10"/>
      <c r="X2863" s="10"/>
      <c r="Y2863" s="10"/>
      <c r="Z2863" s="10"/>
    </row>
    <row r="2864" spans="1:26" ht="12.75">
      <c r="A2864" s="10" t="str">
        <f ca="1">IFERROR(__xludf.DUMMYFUNCTION("""COMPUTED_VALUE"""),"Елена Дикова Шойкова")</f>
        <v>Елена Дикова Шойкова</v>
      </c>
      <c r="B2864" s="10" t="str">
        <f ca="1">IFERROR(__xludf.DUMMYFUNCTION("""COMPUTED_VALUE"""),"Книга")</f>
        <v>Книга</v>
      </c>
      <c r="C2864" s="10" t="str">
        <f ca="1">IFERROR(__xludf.DUMMYFUNCTION("""COMPUTED_VALUE"""),"Синтез на активни филтри")</f>
        <v>Синтез на активни филтри</v>
      </c>
      <c r="D2864" s="10">
        <f ca="1">IFERROR(__xludf.DUMMYFUNCTION("""COMPUTED_VALUE"""),2000)</f>
        <v>2000</v>
      </c>
      <c r="E2864" s="10" t="str">
        <f ca="1">IFERROR(__xludf.DUMMYFUNCTION("""COMPUTED_VALUE"""),"Издателство ТУ-София, ISBN 954-9952-19-3")</f>
        <v>Издателство ТУ-София, ISBN 954-9952-19-3</v>
      </c>
      <c r="F2864" s="10"/>
      <c r="G2864" s="10"/>
      <c r="H2864" s="10"/>
      <c r="I2864" s="10"/>
      <c r="J2864" s="10"/>
      <c r="K2864" s="10"/>
      <c r="L2864" s="10"/>
      <c r="M2864" s="10"/>
      <c r="N2864" s="10"/>
      <c r="O2864" s="10"/>
      <c r="P2864" s="10"/>
      <c r="Q2864" s="10"/>
      <c r="R2864" s="10"/>
      <c r="S2864" s="10"/>
      <c r="T2864" s="10"/>
      <c r="U2864" s="10"/>
      <c r="V2864" s="10"/>
      <c r="W2864" s="10"/>
      <c r="X2864" s="10"/>
      <c r="Y2864" s="10"/>
      <c r="Z2864" s="10"/>
    </row>
    <row r="2865" spans="1:26" ht="12.75">
      <c r="A2865" s="10" t="str">
        <f ca="1">IFERROR(__xludf.DUMMYFUNCTION("""COMPUTED_VALUE"""),"Елена Дикова Шойкова")</f>
        <v>Елена Дикова Шойкова</v>
      </c>
      <c r="B2865" s="10" t="str">
        <f ca="1">IFERROR(__xludf.DUMMYFUNCTION("""COMPUTED_VALUE"""),"Статия в списания и поредици")</f>
        <v>Статия в списания и поредици</v>
      </c>
      <c r="C2865" s="10" t="str">
        <f ca="1">IFERROR(__xludf.DUMMYFUNCTION("""COMPUTED_VALUE"""),"Performance Support Tools in Electronics")</f>
        <v>Performance Support Tools in Electronics</v>
      </c>
      <c r="D2865" s="10">
        <f ca="1">IFERROR(__xludf.DUMMYFUNCTION("""COMPUTED_VALUE"""),2000)</f>
        <v>2000</v>
      </c>
      <c r="E2865" s="10" t="str">
        <f ca="1">IFERROR(__xludf.DUMMYFUNCTION("""COMPUTED_VALUE"""),"IMAPS-Europe Prague 2000 European Microelectronics Packaging and Interconnection Symposium with Table Top Exhibition, 18-20 June 2000, Prague, Czech Republic, Symposium Proceedings pp.426-430")</f>
        <v>IMAPS-Europe Prague 2000 European Microelectronics Packaging and Interconnection Symposium with Table Top Exhibition, 18-20 June 2000, Prague, Czech Republic, Symposium Proceedings pp.426-430</v>
      </c>
      <c r="F2865" s="10" t="str">
        <f ca="1">IFERROR(__xludf.DUMMYFUNCTION("""COMPUTED_VALUE"""),"IEEE Xplore Digital Librar")</f>
        <v>IEEE Xplore Digital Librar</v>
      </c>
      <c r="G2865" s="10" t="str">
        <f ca="1">IFERROR(__xludf.DUMMYFUNCTION("""COMPUTED_VALUE"""),"S. Tzanova,D.Kolev, I.Pandiev")</f>
        <v>S. Tzanova,D.Kolev, I.Pandiev</v>
      </c>
      <c r="H2865" s="10"/>
      <c r="I2865" s="10"/>
      <c r="J2865" s="10"/>
      <c r="K2865" s="10"/>
      <c r="L2865" s="10"/>
      <c r="M2865" s="10"/>
      <c r="N2865" s="10"/>
      <c r="O2865" s="10"/>
      <c r="P2865" s="10"/>
      <c r="Q2865" s="10"/>
      <c r="R2865" s="10"/>
      <c r="S2865" s="10"/>
      <c r="T2865" s="10"/>
      <c r="U2865" s="10"/>
      <c r="V2865" s="10"/>
      <c r="W2865" s="10"/>
      <c r="X2865" s="10"/>
      <c r="Y2865" s="10"/>
      <c r="Z2865" s="10"/>
    </row>
    <row r="2866" spans="1:26" ht="12.75">
      <c r="A2866" s="10" t="str">
        <f ca="1">IFERROR(__xludf.DUMMYFUNCTION("""COMPUTED_VALUE"""),"Елена Дикова Шойкова")</f>
        <v>Елена Дикова Шойкова</v>
      </c>
      <c r="B2866" s="10" t="str">
        <f ca="1">IFERROR(__xludf.DUMMYFUNCTION("""COMPUTED_VALUE"""),"Статия в списания и поредици")</f>
        <v>Статия в списания и поредици</v>
      </c>
      <c r="C2866" s="10" t="str">
        <f ca="1">IFERROR(__xludf.DUMMYFUNCTION("""COMPUTED_VALUE"""),"Macromodeling of Operational Amplifier’s Temperature Effects")</f>
        <v>Macromodeling of Operational Amplifier’s Temperature Effects</v>
      </c>
      <c r="D2866" s="10">
        <f ca="1">IFERROR(__xludf.DUMMYFUNCTION("""COMPUTED_VALUE"""),2000)</f>
        <v>2000</v>
      </c>
      <c r="E2866" s="10" t="str">
        <f ca="1">IFERROR(__xludf.DUMMYFUNCTION("""COMPUTED_VALUE"""),"IEEE 6th International Symposium for Design Technology for Electronic Modules (SIITME 2000), Conference Proceedings, pp. 59-63, Bucharest, Romania")</f>
        <v>IEEE 6th International Symposium for Design Technology for Electronic Modules (SIITME 2000), Conference Proceedings, pp. 59-63, Bucharest, Romania</v>
      </c>
      <c r="F2866" s="10" t="str">
        <f ca="1">IFERROR(__xludf.DUMMYFUNCTION("""COMPUTED_VALUE"""),"IEEE Xplore Digital Library")</f>
        <v>IEEE Xplore Digital Library</v>
      </c>
      <c r="G2866" s="10" t="str">
        <f ca="1">IFERROR(__xludf.DUMMYFUNCTION("""COMPUTED_VALUE"""),"I. Pandiev")</f>
        <v>I. Pandiev</v>
      </c>
      <c r="H2866" s="10"/>
      <c r="I2866" s="10"/>
      <c r="J2866" s="10"/>
      <c r="K2866" s="10"/>
      <c r="L2866" s="10"/>
      <c r="M2866" s="10"/>
      <c r="N2866" s="10"/>
      <c r="O2866" s="10"/>
      <c r="P2866" s="10"/>
      <c r="Q2866" s="10"/>
      <c r="R2866" s="10"/>
      <c r="S2866" s="10"/>
      <c r="T2866" s="10"/>
      <c r="U2866" s="10"/>
      <c r="V2866" s="10"/>
      <c r="W2866" s="10"/>
      <c r="X2866" s="10"/>
      <c r="Y2866" s="10"/>
      <c r="Z2866" s="10"/>
    </row>
    <row r="2867" spans="1:26" ht="12.75">
      <c r="A2867" s="10" t="str">
        <f ca="1">IFERROR(__xludf.DUMMYFUNCTION("""COMPUTED_VALUE"""),"Елена Дикова Шойкова")</f>
        <v>Елена Дикова Шойкова</v>
      </c>
      <c r="B2867" s="10" t="str">
        <f ca="1">IFERROR(__xludf.DUMMYFUNCTION("""COMPUTED_VALUE"""),"Глава от колективна монография")</f>
        <v>Глава от колективна монография</v>
      </c>
      <c r="C2867" s="10" t="str">
        <f ca="1">IFERROR(__xludf.DUMMYFUNCTION("""COMPUTED_VALUE"""),"Методология за проектиране на електронни схеми с Pspice")</f>
        <v>Методология за проектиране на електронни схеми с Pspice</v>
      </c>
      <c r="D2867" s="10">
        <f ca="1">IFERROR(__xludf.DUMMYFUNCTION("""COMPUTED_VALUE"""),2000)</f>
        <v>2000</v>
      </c>
      <c r="E2867" s="10" t="str">
        <f ca="1">IFERROR(__xludf.DUMMYFUNCTION("""COMPUTED_VALUE"""),"Издателство ТУС, 2000, ISBN 954-9952-17-7")</f>
        <v>Издателство ТУС, 2000, ISBN 954-9952-17-7</v>
      </c>
      <c r="F2867" s="10"/>
      <c r="G2867" s="10" t="str">
        <f ca="1">IFERROR(__xludf.DUMMYFUNCTION("""COMPUTED_VALUE"""),"С. Цанова, Д. Колев, И. Пандиев")</f>
        <v>С. Цанова, Д. Колев, И. Пандиев</v>
      </c>
      <c r="H2867" s="10"/>
      <c r="I2867" s="10"/>
      <c r="J2867" s="10"/>
      <c r="K2867" s="10"/>
      <c r="L2867" s="10"/>
      <c r="M2867" s="10"/>
      <c r="N2867" s="10"/>
      <c r="O2867" s="10"/>
      <c r="P2867" s="10"/>
      <c r="Q2867" s="10"/>
      <c r="R2867" s="10"/>
      <c r="S2867" s="10"/>
      <c r="T2867" s="10"/>
      <c r="U2867" s="10"/>
      <c r="V2867" s="10"/>
      <c r="W2867" s="10"/>
      <c r="X2867" s="10"/>
      <c r="Y2867" s="10"/>
      <c r="Z2867" s="10"/>
    </row>
    <row r="2868" spans="1:26" ht="12.75">
      <c r="A2868" s="10" t="str">
        <f ca="1">IFERROR(__xludf.DUMMYFUNCTION("""COMPUTED_VALUE"""),"Елена Дикова Шойкова")</f>
        <v>Елена Дикова Шойкова</v>
      </c>
      <c r="B2868" s="10" t="str">
        <f ca="1">IFERROR(__xludf.DUMMYFUNCTION("""COMPUTED_VALUE"""),"Статия в списания и поредици")</f>
        <v>Статия в списания и поредици</v>
      </c>
      <c r="C2868" s="10" t="str">
        <f ca="1">IFERROR(__xludf.DUMMYFUNCTION("""COMPUTED_VALUE"""),"Java-Based Tool For Collaborative Work")</f>
        <v>Java-Based Tool For Collaborative Work</v>
      </c>
      <c r="D2868" s="10">
        <f ca="1">IFERROR(__xludf.DUMMYFUNCTION("""COMPUTED_VALUE"""),2000)</f>
        <v>2000</v>
      </c>
      <c r="E2868" s="10" t="str">
        <f ca="1">IFERROR(__xludf.DUMMYFUNCTION("""COMPUTED_VALUE"""),"23rd International Spring Seminar on Electronics Technology ISSE 2000, Balatonfured, Hungary, Conference Proceedings pp.60-64 ISBN: 9634206395 9789634206392")</f>
        <v>23rd International Spring Seminar on Electronics Technology ISSE 2000, Balatonfured, Hungary, Conference Proceedings pp.60-64 ISBN: 9634206395 9789634206392</v>
      </c>
      <c r="F2868" s="10" t="str">
        <f ca="1">IFERROR(__xludf.DUMMYFUNCTION("""COMPUTED_VALUE"""),"IEEE")</f>
        <v>IEEE</v>
      </c>
      <c r="G2868" s="10" t="str">
        <f ca="1">IFERROR(__xludf.DUMMYFUNCTION("""COMPUTED_VALUE"""),"D. Kolev")</f>
        <v>D. Kolev</v>
      </c>
      <c r="H2868" s="10"/>
      <c r="I2868" s="10"/>
      <c r="J2868" s="10"/>
      <c r="K2868" s="10"/>
      <c r="L2868" s="10"/>
      <c r="M2868" s="10"/>
      <c r="N2868" s="10"/>
      <c r="O2868" s="10"/>
      <c r="P2868" s="10"/>
      <c r="Q2868" s="10"/>
      <c r="R2868" s="10"/>
      <c r="S2868" s="10"/>
      <c r="T2868" s="10"/>
      <c r="U2868" s="10"/>
      <c r="V2868" s="10"/>
      <c r="W2868" s="10"/>
      <c r="X2868" s="10"/>
      <c r="Y2868" s="10"/>
      <c r="Z2868" s="10"/>
    </row>
    <row r="2869" spans="1:26" ht="12.75">
      <c r="A2869" s="10" t="str">
        <f ca="1">IFERROR(__xludf.DUMMYFUNCTION("""COMPUTED_VALUE"""),"Елена Дикова Шойкова")</f>
        <v>Елена Дикова Шойкова</v>
      </c>
      <c r="B2869" s="10" t="str">
        <f ca="1">IFERROR(__xludf.DUMMYFUNCTION("""COMPUTED_VALUE"""),"Статия в списания и поредици")</f>
        <v>Статия в списания и поредици</v>
      </c>
      <c r="C2869" s="10" t="str">
        <f ca="1">IFERROR(__xludf.DUMMYFUNCTION("""COMPUTED_VALUE"""),"WEB-Based Learning Environment in Electronics")</f>
        <v>WEB-Based Learning Environment in Electronics</v>
      </c>
      <c r="D2869" s="10">
        <f ca="1">IFERROR(__xludf.DUMMYFUNCTION("""COMPUTED_VALUE"""),1999)</f>
        <v>1999</v>
      </c>
      <c r="E2869" s="10" t="str">
        <f ca="1">IFERROR(__xludf.DUMMYFUNCTION("""COMPUTED_VALUE"""),"22nd International Spring Seminar on Electronics Technology ISSE ‘99, Dresden, 18-20 May 1999, pp. 366-371 ISBN 3-934142-00-1")</f>
        <v>22nd International Spring Seminar on Electronics Technology ISSE ‘99, Dresden, 18-20 May 1999, pp. 366-371 ISBN 3-934142-00-1</v>
      </c>
      <c r="F2869" s="10" t="str">
        <f ca="1">IFERROR(__xludf.DUMMYFUNCTION("""COMPUTED_VALUE"""),"IEEE")</f>
        <v>IEEE</v>
      </c>
      <c r="G2869" s="10" t="str">
        <f ca="1">IFERROR(__xludf.DUMMYFUNCTION("""COMPUTED_VALUE"""),"D. Kolev")</f>
        <v>D. Kolev</v>
      </c>
      <c r="H2869" s="10"/>
      <c r="I2869" s="10"/>
      <c r="J2869" s="10"/>
      <c r="K2869" s="10"/>
      <c r="L2869" s="10"/>
      <c r="M2869" s="10"/>
      <c r="N2869" s="10"/>
      <c r="O2869" s="10"/>
      <c r="P2869" s="10"/>
      <c r="Q2869" s="10"/>
      <c r="R2869" s="10"/>
      <c r="S2869" s="10"/>
      <c r="T2869" s="10"/>
      <c r="U2869" s="10"/>
      <c r="V2869" s="10"/>
      <c r="W2869" s="10"/>
      <c r="X2869" s="10"/>
      <c r="Y2869" s="10"/>
      <c r="Z2869" s="10"/>
    </row>
    <row r="2870" spans="1:26" ht="12.75">
      <c r="A2870" s="10" t="str">
        <f ca="1">IFERROR(__xludf.DUMMYFUNCTION("""COMPUTED_VALUE"""),"Елена Дикова Шойкова")</f>
        <v>Елена Дикова Шойкова</v>
      </c>
      <c r="B2870" s="10" t="str">
        <f ca="1">IFERROR(__xludf.DUMMYFUNCTION("""COMPUTED_VALUE"""),"Статия в списания и поредици")</f>
        <v>Статия в списания и поредици</v>
      </c>
      <c r="C2870" s="10" t="str">
        <f ca="1">IFERROR(__xludf.DUMMYFUNCTION("""COMPUTED_VALUE"""),"VLE-ECADELL Project: An ODL Course on Electronics Computer Aided Design")</f>
        <v>VLE-ECADELL Project: An ODL Course on Electronics Computer Aided Design</v>
      </c>
      <c r="D2870" s="10">
        <f ca="1">IFERROR(__xludf.DUMMYFUNCTION("""COMPUTED_VALUE"""),1999)</f>
        <v>1999</v>
      </c>
      <c r="E2870" s="10" t="str">
        <f ca="1">IFERROR(__xludf.DUMMYFUNCTION("""COMPUTED_VALUE"""),"22nd International Spring Seminar on Electronics Technology ISSE’99, Dresden, Germany, Conference Proceedings pp.372-378 ISBN 3-934142-00-1")</f>
        <v>22nd International Spring Seminar on Electronics Technology ISSE’99, Dresden, Germany, Conference Proceedings pp.372-378 ISBN 3-934142-00-1</v>
      </c>
      <c r="F2870" s="10" t="str">
        <f ca="1">IFERROR(__xludf.DUMMYFUNCTION("""COMPUTED_VALUE"""),"IEEE")</f>
        <v>IEEE</v>
      </c>
      <c r="G2870" s="10" t="str">
        <f ca="1">IFERROR(__xludf.DUMMYFUNCTION("""COMPUTED_VALUE"""),"S. Tzanova, I. Pandiev, D. Kolev")</f>
        <v>S. Tzanova, I. Pandiev, D. Kolev</v>
      </c>
      <c r="H2870" s="10"/>
      <c r="I2870" s="10"/>
      <c r="J2870" s="10"/>
      <c r="K2870" s="10"/>
      <c r="L2870" s="10"/>
      <c r="M2870" s="10"/>
      <c r="N2870" s="10"/>
      <c r="O2870" s="10"/>
      <c r="P2870" s="10"/>
      <c r="Q2870" s="10"/>
      <c r="R2870" s="10"/>
      <c r="S2870" s="10"/>
      <c r="T2870" s="10"/>
      <c r="U2870" s="10"/>
      <c r="V2870" s="10"/>
      <c r="W2870" s="10"/>
      <c r="X2870" s="10"/>
      <c r="Y2870" s="10"/>
      <c r="Z2870" s="10"/>
    </row>
    <row r="2871" spans="1:26" ht="12.75">
      <c r="A2871" s="10" t="str">
        <f ca="1">IFERROR(__xludf.DUMMYFUNCTION("""COMPUTED_VALUE"""),"Елена Дикова Шойкова")</f>
        <v>Елена Дикова Шойкова</v>
      </c>
      <c r="B2871" s="10" t="str">
        <f ca="1">IFERROR(__xludf.DUMMYFUNCTION("""COMPUTED_VALUE"""),"Статия в списания и поредици")</f>
        <v>Статия в списания и поредици</v>
      </c>
      <c r="C2871" s="10" t="str">
        <f ca="1">IFERROR(__xludf.DUMMYFUNCTION("""COMPUTED_VALUE"""),"Using Database to Support the Web-based Delivery Platform for Distance Education")</f>
        <v>Using Database to Support the Web-based Delivery Platform for Distance Education</v>
      </c>
      <c r="D2871" s="10">
        <f ca="1">IFERROR(__xludf.DUMMYFUNCTION("""COMPUTED_VALUE"""),1999)</f>
        <v>1999</v>
      </c>
      <c r="E2871" s="10" t="str">
        <f ca="1">IFERROR(__xludf.DUMMYFUNCTION("""COMPUTED_VALUE"""),"International Workshop ""Interactive Computer Aided Learning Tools and Applications"" ICL99, Villach, Austria, 6-8 October 1999, Conference Proceedings , pp.216-226 ISBN: 3-7068-0755-6")</f>
        <v>International Workshop "Interactive Computer Aided Learning Tools and Applications" ICL99, Villach, Austria, 6-8 October 1999, Conference Proceedings , pp.216-226 ISBN: 3-7068-0755-6</v>
      </c>
      <c r="F2871" s="10"/>
      <c r="G2871" s="10" t="str">
        <f ca="1">IFERROR(__xludf.DUMMYFUNCTION("""COMPUTED_VALUE"""),"D. Kolev")</f>
        <v>D. Kolev</v>
      </c>
      <c r="H2871" s="10"/>
      <c r="I2871" s="10"/>
      <c r="J2871" s="10"/>
      <c r="K2871" s="10"/>
      <c r="L2871" s="10"/>
      <c r="M2871" s="10"/>
      <c r="N2871" s="10"/>
      <c r="O2871" s="10"/>
      <c r="P2871" s="10"/>
      <c r="Q2871" s="10"/>
      <c r="R2871" s="10"/>
      <c r="S2871" s="10"/>
      <c r="T2871" s="10"/>
      <c r="U2871" s="10"/>
      <c r="V2871" s="10"/>
      <c r="W2871" s="10"/>
      <c r="X2871" s="10"/>
      <c r="Y2871" s="10"/>
      <c r="Z2871" s="10"/>
    </row>
    <row r="2872" spans="1:26" ht="12.75">
      <c r="A2872" s="10" t="str">
        <f ca="1">IFERROR(__xludf.DUMMYFUNCTION("""COMPUTED_VALUE"""),"Елена Дикова Шойкова")</f>
        <v>Елена Дикова Шойкова</v>
      </c>
      <c r="B2872" s="10" t="str">
        <f ca="1">IFERROR(__xludf.DUMMYFUNCTION("""COMPUTED_VALUE"""),"Статия в списания и поредици")</f>
        <v>Статия в списания и поредици</v>
      </c>
      <c r="C2872" s="10" t="str">
        <f ca="1">IFERROR(__xludf.DUMMYFUNCTION("""COMPUTED_VALUE"""),"Effectiveness of Telematics-Based Learning in Degree-Level Electronics")</f>
        <v>Effectiveness of Telematics-Based Learning in Degree-Level Electronics</v>
      </c>
      <c r="D2872" s="10">
        <f ca="1">IFERROR(__xludf.DUMMYFUNCTION("""COMPUTED_VALUE"""),1999)</f>
        <v>1999</v>
      </c>
      <c r="E2872" s="10" t="str">
        <f ca="1">IFERROR(__xludf.DUMMYFUNCTION("""COMPUTED_VALUE"""),"International Workshop ""Interactive Computer Aided Learning Tools and Applications"" ICL99, Villach, Austria, 6-8 October 1999, Conference Proceedings, pp.227-236 ISBN: 3-7068-0755-6")</f>
        <v>International Workshop "Interactive Computer Aided Learning Tools and Applications" ICL99, Villach, Austria, 6-8 October 1999, Conference Proceedings, pp.227-236 ISBN: 3-7068-0755-6</v>
      </c>
      <c r="F2872" s="10"/>
      <c r="G2872" s="10" t="str">
        <f ca="1">IFERROR(__xludf.DUMMYFUNCTION("""COMPUTED_VALUE"""),"S. Tzanova")</f>
        <v>S. Tzanova</v>
      </c>
      <c r="H2872" s="10"/>
      <c r="I2872" s="10"/>
      <c r="J2872" s="10"/>
      <c r="K2872" s="10"/>
      <c r="L2872" s="10"/>
      <c r="M2872" s="10"/>
      <c r="N2872" s="10"/>
      <c r="O2872" s="10"/>
      <c r="P2872" s="10"/>
      <c r="Q2872" s="10"/>
      <c r="R2872" s="10"/>
      <c r="S2872" s="10"/>
      <c r="T2872" s="10"/>
      <c r="U2872" s="10"/>
      <c r="V2872" s="10"/>
      <c r="W2872" s="10"/>
      <c r="X2872" s="10"/>
      <c r="Y2872" s="10"/>
      <c r="Z2872" s="10"/>
    </row>
    <row r="2873" spans="1:26" ht="12.75">
      <c r="A2873" s="10" t="str">
        <f ca="1">IFERROR(__xludf.DUMMYFUNCTION("""COMPUTED_VALUE"""),"Елена Дикова Шойкова")</f>
        <v>Елена Дикова Шойкова</v>
      </c>
      <c r="B2873" s="10" t="str">
        <f ca="1">IFERROR(__xludf.DUMMYFUNCTION("""COMPUTED_VALUE"""),"Статия в списания и поредици")</f>
        <v>Статия в списания и поредици</v>
      </c>
      <c r="C2873" s="10" t="str">
        <f ca="1">IFERROR(__xludf.DUMMYFUNCTION("""COMPUTED_VALUE"""),"Иновации Българското висше инженерно образование")</f>
        <v>Иновации Българското висше инженерно образование</v>
      </c>
      <c r="D2873" s="10">
        <f ca="1">IFERROR(__xludf.DUMMYFUNCTION("""COMPUTED_VALUE"""),1999)</f>
        <v>1999</v>
      </c>
      <c r="E2873" s="10" t="str">
        <f ca="1">IFERROR(__xludf.DUMMYFUNCTION("""COMPUTED_VALUE"""),"Е+Е: електротехника и електроника: electrotehnica &amp; electronica.– София: Съюз по електроника, електротехника и съобщения, брой 9-10, 1999, стр. 26-33, ISSN 0861-4717(print)")</f>
        <v>Е+Е: електротехника и електроника: electrotehnica &amp; electronica.– София: Съюз по електроника, електротехника и съобщения, брой 9-10, 1999, стр. 26-33, ISSN 0861-4717(print)</v>
      </c>
      <c r="F2873" s="10"/>
      <c r="G2873" s="10"/>
      <c r="H2873" s="10"/>
      <c r="I2873" s="10"/>
      <c r="J2873" s="10"/>
      <c r="K2873" s="10"/>
      <c r="L2873" s="10"/>
      <c r="M2873" s="10"/>
      <c r="N2873" s="10"/>
      <c r="O2873" s="10"/>
      <c r="P2873" s="10"/>
      <c r="Q2873" s="10"/>
      <c r="R2873" s="10"/>
      <c r="S2873" s="10"/>
      <c r="T2873" s="10"/>
      <c r="U2873" s="10"/>
      <c r="V2873" s="10"/>
      <c r="W2873" s="10"/>
      <c r="X2873" s="10"/>
      <c r="Y2873" s="10"/>
      <c r="Z2873" s="10"/>
    </row>
    <row r="2874" spans="1:26" ht="12.75">
      <c r="A2874" s="10" t="str">
        <f ca="1">IFERROR(__xludf.DUMMYFUNCTION("""COMPUTED_VALUE"""),"Елена Дикова Шойкова")</f>
        <v>Елена Дикова Шойкова</v>
      </c>
      <c r="B2874" s="10" t="str">
        <f ca="1">IFERROR(__xludf.DUMMYFUNCTION("""COMPUTED_VALUE"""),"Статия в списания и поредици")</f>
        <v>Статия в списания и поредици</v>
      </c>
      <c r="C2874" s="10" t="str">
        <f ca="1">IFERROR(__xludf.DUMMYFUNCTION("""COMPUTED_VALUE"""),"Innovaciones en la Educacion Superior en Electronica a traves del Desarrollo de un Entorno de Aprendizaje Basado en Similaciones y Conducido por Desarrollo de Proyectos")</f>
        <v>Innovaciones en la Educacion Superior en Electronica a traves del Desarrollo de un Entorno de Aprendizaje Basado en Similaciones y Conducido por Desarrollo de Proyectos</v>
      </c>
      <c r="D2874" s="10">
        <f ca="1">IFERROR(__xludf.DUMMYFUNCTION("""COMPUTED_VALUE"""),1999)</f>
        <v>1999</v>
      </c>
      <c r="E2874" s="10" t="str">
        <f ca="1">IFERROR(__xludf.DUMMYFUNCTION("""COMPUTED_VALUE"""),"RIED: Revista Iberoamericana de Educación a Distancia. 1999;2(2):125-135 DOI 10.5944/ried.2.2.2082 ISSN: 1138-2783 (Print); 1390-3306 (Online)")</f>
        <v>RIED: Revista Iberoamericana de Educación a Distancia. 1999;2(2):125-135 DOI 10.5944/ried.2.2.2082 ISSN: 1138-2783 (Print); 1390-3306 (Online)</v>
      </c>
      <c r="F2874" s="10" t="str">
        <f ca="1">IFERROR(__xludf.DUMMYFUNCTION("""COMPUTED_VALUE"""),"Web of Science DOAJ: Directory of Open Access Journals")</f>
        <v>Web of Science DOAJ: Directory of Open Access Journals</v>
      </c>
      <c r="G2874" s="10" t="str">
        <f ca="1">IFERROR(__xludf.DUMMYFUNCTION("""COMPUTED_VALUE"""),"S. Tzanova")</f>
        <v>S. Tzanova</v>
      </c>
      <c r="H2874" s="10"/>
      <c r="I2874" s="10"/>
      <c r="J2874" s="10"/>
      <c r="K2874" s="10"/>
      <c r="L2874" s="10"/>
      <c r="M2874" s="10"/>
      <c r="N2874" s="10"/>
      <c r="O2874" s="10"/>
      <c r="P2874" s="10"/>
      <c r="Q2874" s="10"/>
      <c r="R2874" s="10"/>
      <c r="S2874" s="10"/>
      <c r="T2874" s="10"/>
      <c r="U2874" s="10"/>
      <c r="V2874" s="10"/>
      <c r="W2874" s="10"/>
      <c r="X2874" s="10"/>
      <c r="Y2874" s="10"/>
      <c r="Z2874" s="10"/>
    </row>
    <row r="2875" spans="1:26" ht="12.75">
      <c r="A2875" s="10" t="str">
        <f ca="1">IFERROR(__xludf.DUMMYFUNCTION("""COMPUTED_VALUE"""),"Елена Дикова Шойкова")</f>
        <v>Елена Дикова Шойкова</v>
      </c>
      <c r="B2875" s="10" t="str">
        <f ca="1">IFERROR(__xludf.DUMMYFUNCTION("""COMPUTED_VALUE"""),"Статия в списания и поредици")</f>
        <v>Статия в списания и поредици</v>
      </c>
      <c r="C2875" s="10" t="str">
        <f ca="1">IFERROR(__xludf.DUMMYFUNCTION("""COMPUTED_VALUE"""),"Innovations in Bulgarian higher education in electronics.")</f>
        <v>Innovations in Bulgarian higher education in electronics.</v>
      </c>
      <c r="D2875" s="10">
        <f ca="1">IFERROR(__xludf.DUMMYFUNCTION("""COMPUTED_VALUE"""),1998)</f>
        <v>1998</v>
      </c>
      <c r="E2875" s="10" t="str">
        <f ca="1">IFERROR(__xludf.DUMMYFUNCTION("""COMPUTED_VALUE"""),"In A. Szucs &amp; A. Wagner (Eds.) Universities in a digital age: Transformation, innovation, and tradition, pp.213-219, Budapest: European Distance Learning Network")</f>
        <v>In A. Szucs &amp; A. Wagner (Eds.) Universities in a digital age: Transformation, innovation, and tradition, pp.213-219, Budapest: European Distance Learning Network</v>
      </c>
      <c r="F2875" s="10" t="str">
        <f ca="1">IFERROR(__xludf.DUMMYFUNCTION("""COMPUTED_VALUE"""),"Google Scholar")</f>
        <v>Google Scholar</v>
      </c>
      <c r="G2875" s="10"/>
      <c r="H2875" s="10"/>
      <c r="I2875" s="10"/>
      <c r="J2875" s="10"/>
      <c r="K2875" s="10"/>
      <c r="L2875" s="10"/>
      <c r="M2875" s="10"/>
      <c r="N2875" s="10"/>
      <c r="O2875" s="10"/>
      <c r="P2875" s="10"/>
      <c r="Q2875" s="10"/>
      <c r="R2875" s="10"/>
      <c r="S2875" s="10"/>
      <c r="T2875" s="10"/>
      <c r="U2875" s="10"/>
      <c r="V2875" s="10"/>
      <c r="W2875" s="10"/>
      <c r="X2875" s="10"/>
      <c r="Y2875" s="10"/>
      <c r="Z2875" s="10"/>
    </row>
    <row r="2876" spans="1:26" ht="12.75">
      <c r="A2876" s="10" t="str">
        <f ca="1">IFERROR(__xludf.DUMMYFUNCTION("""COMPUTED_VALUE"""),"Елена Дикова Шойкова")</f>
        <v>Елена Дикова Шойкова</v>
      </c>
      <c r="B2876" s="10" t="str">
        <f ca="1">IFERROR(__xludf.DUMMYFUNCTION("""COMPUTED_VALUE"""),"Статия в списания и поредици")</f>
        <v>Статия в списания и поредици</v>
      </c>
      <c r="C2876" s="10" t="str">
        <f ca="1">IFERROR(__xludf.DUMMYFUNCTION("""COMPUTED_VALUE"""),"Innovations in Bulgarian Higher Education through Development of a Hybrid Model of Distance Course in Electronics")</f>
        <v>Innovations in Bulgarian Higher Education through Development of a Hybrid Model of Distance Course in Electronics</v>
      </c>
      <c r="D2876" s="10">
        <f ca="1">IFERROR(__xludf.DUMMYFUNCTION("""COMPUTED_VALUE"""),1998)</f>
        <v>1998</v>
      </c>
      <c r="E2876" s="10" t="str">
        <f ca="1">IFERROR(__xludf.DUMMYFUNCTION("""COMPUTED_VALUE"""),"European Distance Education Network Conference EDEN’1998, Bologna, 24-26 June 1998, Conference Proceedings vol. 1, pp. 213-219, ISBN: 963-556-9")</f>
        <v>European Distance Education Network Conference EDEN’1998, Bologna, 24-26 June 1998, Conference Proceedings vol. 1, pp. 213-219, ISBN: 963-556-9</v>
      </c>
      <c r="F2876" s="10"/>
      <c r="G2876" s="10"/>
      <c r="H2876" s="10"/>
      <c r="I2876" s="10"/>
      <c r="J2876" s="10"/>
      <c r="K2876" s="10"/>
      <c r="L2876" s="10"/>
      <c r="M2876" s="10"/>
      <c r="N2876" s="10"/>
      <c r="O2876" s="10"/>
      <c r="P2876" s="10"/>
      <c r="Q2876" s="10"/>
      <c r="R2876" s="10"/>
      <c r="S2876" s="10"/>
      <c r="T2876" s="10"/>
      <c r="U2876" s="10"/>
      <c r="V2876" s="10"/>
      <c r="W2876" s="10"/>
      <c r="X2876" s="10"/>
      <c r="Y2876" s="10"/>
      <c r="Z2876" s="10"/>
    </row>
    <row r="2877" spans="1:26" ht="12.75">
      <c r="A2877" s="10" t="str">
        <f ca="1">IFERROR(__xludf.DUMMYFUNCTION("""COMPUTED_VALUE"""),"Елена Дикова Шойкова")</f>
        <v>Елена Дикова Шойкова</v>
      </c>
      <c r="B2877" s="10" t="str">
        <f ca="1">IFERROR(__xludf.DUMMYFUNCTION("""COMPUTED_VALUE"""),"Статия в списания и поредици")</f>
        <v>Статия в списания и поредици</v>
      </c>
      <c r="C2877" s="10" t="str">
        <f ca="1">IFERROR(__xludf.DUMMYFUNCTION("""COMPUTED_VALUE"""),"Innovations in Bulgarian Higher Education in Electronics through Development of a Simulation-Based, Project Driven Learning Environment")</f>
        <v>Innovations in Bulgarian Higher Education in Electronics through Development of a Simulation-Based, Project Driven Learning Environment</v>
      </c>
      <c r="D2877" s="10">
        <f ca="1">IFERROR(__xludf.DUMMYFUNCTION("""COMPUTED_VALUE"""),1998)</f>
        <v>1998</v>
      </c>
      <c r="E2877" s="10" t="str">
        <f ca="1">IFERROR(__xludf.DUMMYFUNCTION("""COMPUTED_VALUE"""),"Frontiers in Education Conference FIE’ 98, Education Society of IEEE, Computer Society of IEEE, 4-7 November 1998, Arizona, USA, Conference Proceedings pp.737-741, IEEE Catalog Number 98CH36214 ISBN 0-7803-4762-5 (softbound) ISBN 0-7803-4763-3 (casebound)"&amp;" ISBN 0-7803-4764-1 (microfiche) Library of Congress Number 79-64091 0 ISBN 0-7803-4765-X (CD-ROM) ISSN 01 90-5848")</f>
        <v>Frontiers in Education Conference FIE’ 98, Education Society of IEEE, Computer Society of IEEE, 4-7 November 1998, Arizona, USA, Conference Proceedings pp.737-741, IEEE Catalog Number 98CH36214 ISBN 0-7803-4762-5 (softbound) ISBN 0-7803-4763-3 (casebound) ISBN 0-7803-4764-1 (microfiche) Library of Congress Number 79-64091 0 ISBN 0-7803-4765-X (CD-ROM) ISSN 01 90-5848</v>
      </c>
      <c r="F2877" s="10" t="str">
        <f ca="1">IFERROR(__xludf.DUMMYFUNCTION("""COMPUTED_VALUE"""),"IEEE Xplore Conference Proceedings: http://ieeexplore.ieee.org/xpl/RecentCon.jsp?punumber=5943")</f>
        <v>IEEE Xplore Conference Proceedings: http://ieeexplore.ieee.org/xpl/RecentCon.jsp?punumber=5943</v>
      </c>
      <c r="G2877" s="10" t="str">
        <f ca="1">IFERROR(__xludf.DUMMYFUNCTION("""COMPUTED_VALUE"""),"S. Tzanova")</f>
        <v>S. Tzanova</v>
      </c>
      <c r="H2877" s="10"/>
      <c r="I2877" s="10"/>
      <c r="J2877" s="10"/>
      <c r="K2877" s="10"/>
      <c r="L2877" s="10"/>
      <c r="M2877" s="10"/>
      <c r="N2877" s="10"/>
      <c r="O2877" s="10"/>
      <c r="P2877" s="10"/>
      <c r="Q2877" s="10"/>
      <c r="R2877" s="10"/>
      <c r="S2877" s="10"/>
      <c r="T2877" s="10"/>
      <c r="U2877" s="10"/>
      <c r="V2877" s="10"/>
      <c r="W2877" s="10"/>
      <c r="X2877" s="10"/>
      <c r="Y2877" s="10"/>
      <c r="Z2877" s="10"/>
    </row>
    <row r="2878" spans="1:26" ht="12.75">
      <c r="A2878" s="10" t="str">
        <f ca="1">IFERROR(__xludf.DUMMYFUNCTION("""COMPUTED_VALUE"""),"Елена Дикова Шойкова")</f>
        <v>Елена Дикова Шойкова</v>
      </c>
      <c r="B2878" s="10" t="str">
        <f ca="1">IFERROR(__xludf.DUMMYFUNCTION("""COMPUTED_VALUE"""),"Статия в списания и поредици")</f>
        <v>Статия в списания и поредици</v>
      </c>
      <c r="C2878" s="10" t="str">
        <f ca="1">IFERROR(__xludf.DUMMYFUNCTION("""COMPUTED_VALUE"""),"Using Simulation-Based and Project-Driven Learning for High Quality Training in Electronics")</f>
        <v>Using Simulation-Based and Project-Driven Learning for High Quality Training in Electronics</v>
      </c>
      <c r="D2878" s="10">
        <f ca="1">IFERROR(__xludf.DUMMYFUNCTION("""COMPUTED_VALUE"""),1998)</f>
        <v>1998</v>
      </c>
      <c r="E2878" s="10" t="str">
        <f ca="1">IFERROR(__xludf.DUMMYFUNCTION("""COMPUTED_VALUE"""),"21st International Spring Seminar on Electronics Technology ISSE ‘98, Vienna, 4-7 May 1998, pp. 11-15 ISBN: 3-85465-003-5")</f>
        <v>21st International Spring Seminar on Electronics Technology ISSE ‘98, Vienna, 4-7 May 1998, pp. 11-15 ISBN: 3-85465-003-5</v>
      </c>
      <c r="F2878" s="10" t="str">
        <f ca="1">IFERROR(__xludf.DUMMYFUNCTION("""COMPUTED_VALUE"""),"IEEE")</f>
        <v>IEEE</v>
      </c>
      <c r="G2878" s="10" t="str">
        <f ca="1">IFERROR(__xludf.DUMMYFUNCTION("""COMPUTED_VALUE"""),"T. Savov, D. Kolev, P. Iliev")</f>
        <v>T. Savov, D. Kolev, P. Iliev</v>
      </c>
      <c r="H2878" s="10"/>
      <c r="I2878" s="10"/>
      <c r="J2878" s="10"/>
      <c r="K2878" s="10"/>
      <c r="L2878" s="10"/>
      <c r="M2878" s="10"/>
      <c r="N2878" s="10"/>
      <c r="O2878" s="10"/>
      <c r="P2878" s="10"/>
      <c r="Q2878" s="10"/>
      <c r="R2878" s="10"/>
      <c r="S2878" s="10"/>
      <c r="T2878" s="10"/>
      <c r="U2878" s="10"/>
      <c r="V2878" s="10"/>
      <c r="W2878" s="10"/>
      <c r="X2878" s="10"/>
      <c r="Y2878" s="10"/>
      <c r="Z2878" s="10"/>
    </row>
    <row r="2879" spans="1:26" ht="12.75">
      <c r="A2879" s="10" t="str">
        <f ca="1">IFERROR(__xludf.DUMMYFUNCTION("""COMPUTED_VALUE"""),"Елена Дикова Шойкова")</f>
        <v>Елена Дикова Шойкова</v>
      </c>
      <c r="B2879" s="10" t="str">
        <f ca="1">IFERROR(__xludf.DUMMYFUNCTION("""COMPUTED_VALUE"""),"Статия в списания и поредици")</f>
        <v>Статия в списания и поредици</v>
      </c>
      <c r="C2879" s="10" t="str">
        <f ca="1">IFERROR(__xludf.DUMMYFUNCTION("""COMPUTED_VALUE"""),"Лаборатория за интегриране на измерванията с проектирането в електрониката")</f>
        <v>Лаборатория за интегриране на измерванията с проектирането в електрониката</v>
      </c>
      <c r="D2879" s="10">
        <f ca="1">IFERROR(__xludf.DUMMYFUNCTION("""COMPUTED_VALUE"""),1997)</f>
        <v>1997</v>
      </c>
      <c r="E2879" s="10" t="str">
        <f ca="1">IFERROR(__xludf.DUMMYFUNCTION("""COMPUTED_VALUE"""),"Електротехника и електроника, Е+Е, 7-8,1997, стр. 24-28 0861-4717(print)")</f>
        <v>Електротехника и електроника, Е+Е, 7-8,1997, стр. 24-28 0861-4717(print)</v>
      </c>
      <c r="F2879" s="10"/>
      <c r="G2879" s="10" t="str">
        <f ca="1">IFERROR(__xludf.DUMMYFUNCTION("""COMPUTED_VALUE"""),"Стоянов И., М. Христов")</f>
        <v>Стоянов И., М. Христов</v>
      </c>
      <c r="H2879" s="10"/>
      <c r="I2879" s="10"/>
      <c r="J2879" s="10"/>
      <c r="K2879" s="10"/>
      <c r="L2879" s="10"/>
      <c r="M2879" s="10"/>
      <c r="N2879" s="10"/>
      <c r="O2879" s="10"/>
      <c r="P2879" s="10"/>
      <c r="Q2879" s="10"/>
      <c r="R2879" s="10"/>
      <c r="S2879" s="10"/>
      <c r="T2879" s="10"/>
      <c r="U2879" s="10"/>
      <c r="V2879" s="10"/>
      <c r="W2879" s="10"/>
      <c r="X2879" s="10"/>
      <c r="Y2879" s="10"/>
      <c r="Z2879" s="10"/>
    </row>
    <row r="2880" spans="1:26" ht="12.75">
      <c r="A2880" s="10" t="str">
        <f ca="1">IFERROR(__xludf.DUMMYFUNCTION("""COMPUTED_VALUE"""),"Елена Дикова Шойкова")</f>
        <v>Елена Дикова Шойкова</v>
      </c>
      <c r="B2880" s="10" t="str">
        <f ca="1">IFERROR(__xludf.DUMMYFUNCTION("""COMPUTED_VALUE"""),"Статия в списания и поредици")</f>
        <v>Статия в списания и поредици</v>
      </c>
      <c r="C2880" s="10" t="str">
        <f ca="1">IFERROR(__xludf.DUMMYFUNCTION("""COMPUTED_VALUE"""),"Програмна система за анализ на многопараметрична чувствителност от първи ред в честотна област в работна среда на DENIA")</f>
        <v>Програмна система за анализ на многопараметрична чувствителност от първи ред в честотна област в работна среда на DENIA</v>
      </c>
      <c r="D2880" s="10">
        <f ca="1">IFERROR(__xludf.DUMMYFUNCTION("""COMPUTED_VALUE"""),1995)</f>
        <v>1995</v>
      </c>
      <c r="E2880" s="10" t="str">
        <f ca="1">IFERROR(__xludf.DUMMYFUNCTION("""COMPUTED_VALUE"""),"Електротехника и Електроникa, 1995, 3-4, стр. 29-320861-4717(print)")</f>
        <v>Електротехника и Електроникa, 1995, 3-4, стр. 29-320861-4717(print)</v>
      </c>
      <c r="F2880" s="10"/>
      <c r="G2880" s="10" t="str">
        <f ca="1">IFERROR(__xludf.DUMMYFUNCTION("""COMPUTED_VALUE"""),"Милева Н.,")</f>
        <v>Милева Н.,</v>
      </c>
      <c r="H2880" s="10"/>
      <c r="I2880" s="10"/>
      <c r="J2880" s="10"/>
      <c r="K2880" s="10"/>
      <c r="L2880" s="10"/>
      <c r="M2880" s="10"/>
      <c r="N2880" s="10"/>
      <c r="O2880" s="10"/>
      <c r="P2880" s="10"/>
      <c r="Q2880" s="10"/>
      <c r="R2880" s="10"/>
      <c r="S2880" s="10"/>
      <c r="T2880" s="10"/>
      <c r="U2880" s="10"/>
      <c r="V2880" s="10"/>
      <c r="W2880" s="10"/>
      <c r="X2880" s="10"/>
      <c r="Y2880" s="10"/>
      <c r="Z2880" s="10"/>
    </row>
    <row r="2881" spans="1:26" ht="12.75">
      <c r="A2881" s="10" t="str">
        <f ca="1">IFERROR(__xludf.DUMMYFUNCTION("""COMPUTED_VALUE"""),"Елена Дикова Шойкова")</f>
        <v>Елена Дикова Шойкова</v>
      </c>
      <c r="B2881" s="10" t="str">
        <f ca="1">IFERROR(__xludf.DUMMYFUNCTION("""COMPUTED_VALUE"""),"Статия в списания и поредици")</f>
        <v>Статия в списания и поредици</v>
      </c>
      <c r="C2881" s="10" t="str">
        <f ca="1">IFERROR(__xludf.DUMMYFUNCTION("""COMPUTED_VALUE"""),"Създаване присъединени модели на електронни елементи в интегрираната среда DENIA")</f>
        <v>Създаване присъединени модели на електронни елементи в интегрираната среда DENIA</v>
      </c>
      <c r="D2881" s="10">
        <f ca="1">IFERROR(__xludf.DUMMYFUNCTION("""COMPUTED_VALUE"""),1995)</f>
        <v>1995</v>
      </c>
      <c r="E2881" s="10" t="str">
        <f ca="1">IFERROR(__xludf.DUMMYFUNCTION("""COMPUTED_VALUE"""),"Електротехника и електроника, брой 5-6, 1995, стр. 15-19 0861-4717(print)")</f>
        <v>Електротехника и електроника, брой 5-6, 1995, стр. 15-19 0861-4717(print)</v>
      </c>
      <c r="F2881" s="10"/>
      <c r="G2881" s="10" t="str">
        <f ca="1">IFERROR(__xludf.DUMMYFUNCTION("""COMPUTED_VALUE"""),"Милева Н.,")</f>
        <v>Милева Н.,</v>
      </c>
      <c r="H2881" s="10"/>
      <c r="I2881" s="10"/>
      <c r="J2881" s="10"/>
      <c r="K2881" s="10"/>
      <c r="L2881" s="10"/>
      <c r="M2881" s="10"/>
      <c r="N2881" s="10"/>
      <c r="O2881" s="10"/>
      <c r="P2881" s="10"/>
      <c r="Q2881" s="10"/>
      <c r="R2881" s="10"/>
      <c r="S2881" s="10"/>
      <c r="T2881" s="10"/>
      <c r="U2881" s="10"/>
      <c r="V2881" s="10"/>
      <c r="W2881" s="10"/>
      <c r="X2881" s="10"/>
      <c r="Y2881" s="10"/>
      <c r="Z2881" s="10"/>
    </row>
    <row r="2882" spans="1:26" ht="12.75">
      <c r="A2882" s="10" t="str">
        <f ca="1">IFERROR(__xludf.DUMMYFUNCTION("""COMPUTED_VALUE"""),"Елена Дикова Шойкова")</f>
        <v>Елена Дикова Шойкова</v>
      </c>
      <c r="B2882" s="10" t="str">
        <f ca="1">IFERROR(__xludf.DUMMYFUNCTION("""COMPUTED_VALUE"""),"Статия в списания и поредици")</f>
        <v>Статия в списания и поредици</v>
      </c>
      <c r="C2882" s="10" t="str">
        <f ca="1">IFERROR(__xludf.DUMMYFUNCTION("""COMPUTED_VALUE"""),"Интегриране на измерването и автоматизираното проектиране в електрониката")</f>
        <v>Интегриране на измерването и автоматизираното проектиране в електрониката</v>
      </c>
      <c r="D2882" s="10">
        <f ca="1">IFERROR(__xludf.DUMMYFUNCTION("""COMPUTED_VALUE"""),1995)</f>
        <v>1995</v>
      </c>
      <c r="E2882" s="10" t="str">
        <f ca="1">IFERROR(__xludf.DUMMYFUNCTION("""COMPUTED_VALUE"""),"Годишник на Технически университет – София, Том 48, кн. 4, Електроника, комуникации, информатика, автоматика, 1995, стр. 3-12 1311-0829 (print)")</f>
        <v>Годишник на Технически университет – София, Том 48, кн. 4, Електроника, комуникации, информатика, автоматика, 1995, стр. 3-12 1311-0829 (print)</v>
      </c>
      <c r="F2882" s="10"/>
      <c r="G2882" s="10" t="str">
        <f ca="1">IFERROR(__xludf.DUMMYFUNCTION("""COMPUTED_VALUE"""),"Стоянов И., М. Христов")</f>
        <v>Стоянов И., М. Христов</v>
      </c>
      <c r="H2882" s="10"/>
      <c r="I2882" s="10"/>
      <c r="J2882" s="10"/>
      <c r="K2882" s="10"/>
      <c r="L2882" s="10"/>
      <c r="M2882" s="10"/>
      <c r="N2882" s="10"/>
      <c r="O2882" s="10"/>
      <c r="P2882" s="10"/>
      <c r="Q2882" s="10"/>
      <c r="R2882" s="10"/>
      <c r="S2882" s="10"/>
      <c r="T2882" s="10"/>
      <c r="U2882" s="10"/>
      <c r="V2882" s="10"/>
      <c r="W2882" s="10"/>
      <c r="X2882" s="10"/>
      <c r="Y2882" s="10"/>
      <c r="Z2882" s="10"/>
    </row>
    <row r="2883" spans="1:26" ht="12.75">
      <c r="A2883" s="10" t="str">
        <f ca="1">IFERROR(__xludf.DUMMYFUNCTION("""COMPUTED_VALUE"""),"Елена Дикова Шойкова")</f>
        <v>Елена Дикова Шойкова</v>
      </c>
      <c r="B2883" s="10" t="str">
        <f ca="1">IFERROR(__xludf.DUMMYFUNCTION("""COMPUTED_VALUE"""),"Статия в списания и поредици")</f>
        <v>Статия в списания и поредици</v>
      </c>
      <c r="C2883" s="10" t="str">
        <f ca="1">IFERROR(__xludf.DUMMYFUNCTION("""COMPUTED_VALUE"""),"Оценка дисперсии результирующей ошибки квантования на выходе рекурсивного цифрового фильтра")</f>
        <v>Оценка дисперсии результирующей ошибки квантования на выходе рекурсивного цифрового фильтра</v>
      </c>
      <c r="D2883" s="10">
        <f ca="1">IFERROR(__xludf.DUMMYFUNCTION("""COMPUTED_VALUE"""),1992)</f>
        <v>1992</v>
      </c>
      <c r="E2883" s="10" t="str">
        <f ca="1">IFERROR(__xludf.DUMMYFUNCTION("""COMPUTED_VALUE"""),"Журнал Известия вузов. Приборостроение. № 1-2, Санкт Петербург, 1992, стр. 28-34 ISSN 0021-3454 (печатная версия) ISSN 2500-0381 (онлайн версия)")</f>
        <v>Журнал Известия вузов. Приборостроение. № 1-2, Санкт Петербург, 1992, стр. 28-34 ISSN 0021-3454 (печатная версия) ISSN 2500-0381 (онлайн версия)</v>
      </c>
      <c r="F2883" s="10" t="str">
        <f ca="1">IFERROR(__xludf.DUMMYFUNCTION("""COMPUTED_VALUE"""),"Russian Science Citation Index in Web of Science")</f>
        <v>Russian Science Citation Index in Web of Science</v>
      </c>
      <c r="G2883" s="10" t="str">
        <f ca="1">IFERROR(__xludf.DUMMYFUNCTION("""COMPUTED_VALUE"""),"Моллова Г.")</f>
        <v>Моллова Г.</v>
      </c>
      <c r="H2883" s="10"/>
      <c r="I2883" s="10"/>
      <c r="J2883" s="10"/>
      <c r="K2883" s="10"/>
      <c r="L2883" s="10"/>
      <c r="M2883" s="10"/>
      <c r="N2883" s="10"/>
      <c r="O2883" s="10"/>
      <c r="P2883" s="10"/>
      <c r="Q2883" s="10"/>
      <c r="R2883" s="10"/>
      <c r="S2883" s="10"/>
      <c r="T2883" s="10"/>
      <c r="U2883" s="10"/>
      <c r="V2883" s="10"/>
      <c r="W2883" s="10"/>
      <c r="X2883" s="10"/>
      <c r="Y2883" s="10"/>
      <c r="Z2883" s="10"/>
    </row>
    <row r="2884" spans="1:26" ht="12.75">
      <c r="A2884" s="10" t="str">
        <f ca="1">IFERROR(__xludf.DUMMYFUNCTION("""COMPUTED_VALUE"""),"Елена Дикова Шойкова")</f>
        <v>Елена Дикова Шойкова</v>
      </c>
      <c r="B2884" s="10" t="str">
        <f ca="1">IFERROR(__xludf.DUMMYFUNCTION("""COMPUTED_VALUE"""),"Статия в списания и поредици")</f>
        <v>Статия в списания и поредици</v>
      </c>
      <c r="C2884" s="10" t="str">
        <f ca="1">IFERROR(__xludf.DUMMYFUNCTION("""COMPUTED_VALUE"""),"Методика проектирания оптималных фильтров с минимальной ошибкой квантования")</f>
        <v>Методика проектирания оптималных фильтров с минимальной ошибкой квантования</v>
      </c>
      <c r="D2884" s="10">
        <f ca="1">IFERROR(__xludf.DUMMYFUNCTION("""COMPUTED_VALUE"""),1992)</f>
        <v>1992</v>
      </c>
      <c r="E2884" s="10" t="str">
        <f ca="1">IFERROR(__xludf.DUMMYFUNCTION("""COMPUTED_VALUE"""),"Межвузовский сборник научных трудов Автоматизация проектирования в радиоэлектронике и приборостроении, Санкт Петербург, 1992")</f>
        <v>Межвузовский сборник научных трудов Автоматизация проектирования в радиоэлектронике и приборостроении, Санкт Петербург, 1992</v>
      </c>
      <c r="F2884" s="10"/>
      <c r="G2884" s="10" t="str">
        <f ca="1">IFERROR(__xludf.DUMMYFUNCTION("""COMPUTED_VALUE"""),"Моллова Г.")</f>
        <v>Моллова Г.</v>
      </c>
      <c r="H2884" s="10"/>
      <c r="I2884" s="10"/>
      <c r="J2884" s="10"/>
      <c r="K2884" s="10"/>
      <c r="L2884" s="10"/>
      <c r="M2884" s="10"/>
      <c r="N2884" s="10"/>
      <c r="O2884" s="10"/>
      <c r="P2884" s="10"/>
      <c r="Q2884" s="10"/>
      <c r="R2884" s="10"/>
      <c r="S2884" s="10"/>
      <c r="T2884" s="10"/>
      <c r="U2884" s="10"/>
      <c r="V2884" s="10"/>
      <c r="W2884" s="10"/>
      <c r="X2884" s="10"/>
      <c r="Y2884" s="10"/>
      <c r="Z2884" s="10"/>
    </row>
    <row r="2885" spans="1:26" ht="12.75">
      <c r="A2885" s="10" t="str">
        <f ca="1">IFERROR(__xludf.DUMMYFUNCTION("""COMPUTED_VALUE"""),"Елена Дикова Шойкова")</f>
        <v>Елена Дикова Шойкова</v>
      </c>
      <c r="B2885" s="10" t="str">
        <f ca="1">IFERROR(__xludf.DUMMYFUNCTION("""COMPUTED_VALUE"""),"Учебно пособие")</f>
        <v>Учебно пособие</v>
      </c>
      <c r="C2885" s="10" t="str">
        <f ca="1">IFERROR(__xludf.DUMMYFUNCTION("""COMPUTED_VALUE"""),"Ръководство за упражнения по Теория на електронните схеми")</f>
        <v>Ръководство за упражнения по Теория на електронните схеми</v>
      </c>
      <c r="D2885" s="10">
        <f ca="1">IFERROR(__xludf.DUMMYFUNCTION("""COMPUTED_VALUE"""),1991)</f>
        <v>1991</v>
      </c>
      <c r="E2885" s="10" t="str">
        <f ca="1">IFERROR(__xludf.DUMMYFUNCTION("""COMPUTED_VALUE"""),"Техника, София, 1991")</f>
        <v>Техника, София, 1991</v>
      </c>
      <c r="F2885" s="10"/>
      <c r="G2885" s="10"/>
      <c r="H2885" s="10"/>
      <c r="I2885" s="10"/>
      <c r="J2885" s="10"/>
      <c r="K2885" s="10"/>
      <c r="L2885" s="10"/>
      <c r="M2885" s="10"/>
      <c r="N2885" s="10"/>
      <c r="O2885" s="10"/>
      <c r="P2885" s="10"/>
      <c r="Q2885" s="10"/>
      <c r="R2885" s="10"/>
      <c r="S2885" s="10"/>
      <c r="T2885" s="10"/>
      <c r="U2885" s="10"/>
      <c r="V2885" s="10"/>
      <c r="W2885" s="10"/>
      <c r="X2885" s="10"/>
      <c r="Y2885" s="10"/>
      <c r="Z2885" s="10"/>
    </row>
    <row r="2886" spans="1:26" ht="12.75">
      <c r="A2886" s="10" t="str">
        <f ca="1">IFERROR(__xludf.DUMMYFUNCTION("""COMPUTED_VALUE"""),"Елена Дикова Шойкова")</f>
        <v>Елена Дикова Шойкова</v>
      </c>
      <c r="B2886" s="10" t="str">
        <f ca="1">IFERROR(__xludf.DUMMYFUNCTION("""COMPUTED_VALUE"""),"Книга")</f>
        <v>Книга</v>
      </c>
      <c r="C2886" s="10" t="str">
        <f ca="1">IFERROR(__xludf.DUMMYFUNCTION("""COMPUTED_VALUE"""),"Теория на електроните схеми")</f>
        <v>Теория на електроните схеми</v>
      </c>
      <c r="D2886" s="10">
        <f ca="1">IFERROR(__xludf.DUMMYFUNCTION("""COMPUTED_VALUE"""),1989)</f>
        <v>1989</v>
      </c>
      <c r="E2886" s="10" t="str">
        <f ca="1">IFERROR(__xludf.DUMMYFUNCTION("""COMPUTED_VALUE"""),"Техника, София, 1989")</f>
        <v>Техника, София, 1989</v>
      </c>
      <c r="F2886" s="10"/>
      <c r="G2886" s="10" t="str">
        <f ca="1">IFERROR(__xludf.DUMMYFUNCTION("""COMPUTED_VALUE"""),"Боянoв Й")</f>
        <v>Боянoв Й</v>
      </c>
      <c r="H2886" s="10"/>
      <c r="I2886" s="10"/>
      <c r="J2886" s="10"/>
      <c r="K2886" s="10"/>
      <c r="L2886" s="10"/>
      <c r="M2886" s="10"/>
      <c r="N2886" s="10"/>
      <c r="O2886" s="10"/>
      <c r="P2886" s="10"/>
      <c r="Q2886" s="10"/>
      <c r="R2886" s="10"/>
      <c r="S2886" s="10"/>
      <c r="T2886" s="10"/>
      <c r="U2886" s="10"/>
      <c r="V2886" s="10"/>
      <c r="W2886" s="10"/>
      <c r="X2886" s="10"/>
      <c r="Y2886" s="10"/>
      <c r="Z2886" s="10"/>
    </row>
    <row r="2887" spans="1:26" ht="12.75">
      <c r="A2887" s="10" t="str">
        <f ca="1">IFERROR(__xludf.DUMMYFUNCTION("""COMPUTED_VALUE"""),"Елена Игнатова Савова (Игнатова)")</f>
        <v>Елена Игнатова Савова (Игнатова)</v>
      </c>
      <c r="B2887" s="10" t="str">
        <f ca="1">IFERROR(__xludf.DUMMYFUNCTION("""COMPUTED_VALUE"""),"Доклад от конференция")</f>
        <v>Доклад от конференция</v>
      </c>
      <c r="C2887" s="10" t="str">
        <f ca="1">IFERROR(__xludf.DUMMYFUNCTION("""COMPUTED_VALUE"""),"Digitalisation of Cultural and Historical Heritage: Challenges and Prospects")</f>
        <v>Digitalisation of Cultural and Historical Heritage: Challenges and Prospects</v>
      </c>
      <c r="D2887" s="10">
        <f ca="1">IFERROR(__xludf.DUMMYFUNCTION("""COMPUTED_VALUE"""),2020)</f>
        <v>2020</v>
      </c>
      <c r="E2887" s="10" t="str">
        <f ca="1">IFERROR(__xludf.DUMMYFUNCTION("""COMPUTED_VALUE"""),"INTED2020 Proceedings: 14th International Technology, Education and Development Conference, 2nd-4th March, 2020, Valencia, Spain / Ed. by L. Gómez Chova, A. López Martínez, I. Candel Torres. – Valencia: IATED Academy, 2020, p. 5418-5422. ISBN: 978-84-09-1"&amp;"7939-8; ISSN: 2340-1079.")</f>
        <v>INTED2020 Proceedings: 14th International Technology, Education and Development Conference, 2nd-4th March, 2020, Valencia, Spain / Ed. by L. Gómez Chova, A. López Martínez, I. Candel Torres. – Valencia: IATED Academy, 2020, p. 5418-5422. ISBN: 978-84-09-17939-8; ISSN: 2340-1079.</v>
      </c>
      <c r="F2887" s="10" t="str">
        <f ca="1">IFERROR(__xludf.DUMMYFUNCTION("""COMPUTED_VALUE"""),"ISI Conference Proceedings Citation Index (Web of Science)")</f>
        <v>ISI Conference Proceedings Citation Index (Web of Science)</v>
      </c>
      <c r="G2887" s="10" t="str">
        <f ca="1">IFERROR(__xludf.DUMMYFUNCTION("""COMPUTED_VALUE"""),"E. Tsvetkova, H. Vasileva")</f>
        <v>E. Tsvetkova, H. Vasileva</v>
      </c>
      <c r="H2887" s="10"/>
      <c r="I2887" s="10"/>
      <c r="J2887" s="10"/>
      <c r="K2887" s="10"/>
      <c r="L2887" s="10"/>
      <c r="M2887" s="10"/>
      <c r="N2887" s="10"/>
      <c r="O2887" s="10"/>
      <c r="P2887" s="10"/>
      <c r="Q2887" s="10"/>
      <c r="R2887" s="10"/>
      <c r="S2887" s="10"/>
      <c r="T2887" s="10"/>
      <c r="U2887" s="10"/>
      <c r="V2887" s="10"/>
      <c r="W2887" s="10"/>
      <c r="X2887" s="10"/>
      <c r="Y2887" s="10"/>
      <c r="Z2887" s="10"/>
    </row>
    <row r="2888" spans="1:26" ht="12.75">
      <c r="A2888" s="10" t="str">
        <f ca="1">IFERROR(__xludf.DUMMYFUNCTION("""COMPUTED_VALUE"""),"Елена Игнатова Савова (Игнатова)")</f>
        <v>Елена Игнатова Савова (Игнатова)</v>
      </c>
      <c r="B2888" s="10" t="str">
        <f ca="1">IFERROR(__xludf.DUMMYFUNCTION("""COMPUTED_VALUE"""),"Доклад от конференция")</f>
        <v>Доклад от конференция</v>
      </c>
      <c r="C2888" s="10" t="str">
        <f ca="1">IFERROR(__xludf.DUMMYFUNCTION("""COMPUTED_VALUE"""),"Virtual Reality as a Learning Tool in a Modern Educational Environment")</f>
        <v>Virtual Reality as a Learning Tool in a Modern Educational Environment</v>
      </c>
      <c r="D2888" s="10">
        <f ca="1">IFERROR(__xludf.DUMMYFUNCTION("""COMPUTED_VALUE"""),2019)</f>
        <v>2019</v>
      </c>
      <c r="E2888" s="10" t="str">
        <f ca="1">IFERROR(__xludf.DUMMYFUNCTION("""COMPUTED_VALUE"""),"Contemporary Strategies and Innovations in the Knowledge Management: PROCEEDINGS with Papers of the Fifth Scientific Conference, 27th August, 2019, Geneva. – Sofia: Academic Publishing House “Za bukvite – O Pismeneh”
 Sofia, 2019, pp. 111-117. ISSN 2535-0"&amp;"250")</f>
        <v>Contemporary Strategies and Innovations in the Knowledge Management: PROCEEDINGS with Papers of the Fifth Scientific Conference, 27th August, 2019, Geneva. – Sofia: Academic Publishing House “Za bukvite – O Pismeneh”
 Sofia, 2019, pp. 111-117. ISSN 2535-0250</v>
      </c>
      <c r="F2888" s="10"/>
      <c r="G2888" s="10"/>
      <c r="H2888" s="10"/>
      <c r="I2888" s="10"/>
      <c r="J2888" s="10"/>
      <c r="K2888" s="10"/>
      <c r="L2888" s="10"/>
      <c r="M2888" s="10"/>
      <c r="N2888" s="10"/>
      <c r="O2888" s="10"/>
      <c r="P2888" s="10"/>
      <c r="Q2888" s="10"/>
      <c r="R2888" s="10"/>
      <c r="S2888" s="10"/>
      <c r="T2888" s="10"/>
      <c r="U2888" s="10"/>
      <c r="V2888" s="10"/>
      <c r="W2888" s="10"/>
      <c r="X2888" s="10"/>
      <c r="Y2888" s="10"/>
      <c r="Z2888" s="10"/>
    </row>
    <row r="2889" spans="1:26" ht="12.75">
      <c r="A2889" s="10" t="str">
        <f ca="1">IFERROR(__xludf.DUMMYFUNCTION("""COMPUTED_VALUE"""),"Елена Игнатова Савова (Игнатова)")</f>
        <v>Елена Игнатова Савова (Игнатова)</v>
      </c>
      <c r="B2889" s="10" t="str">
        <f ca="1">IFERROR(__xludf.DUMMYFUNCTION("""COMPUTED_VALUE"""),"Доклад от конференция")</f>
        <v>Доклад от конференция</v>
      </c>
      <c r="C2889" s="10" t="str">
        <f ca="1">IFERROR(__xludf.DUMMYFUNCTION("""COMPUTED_VALUE"""),"Регионалните библиотеки в България и дигитализацията на документи от периода на Възраждането")</f>
        <v>Регионалните библиотеки в България и дигитализацията на документи от периода на Възраждането</v>
      </c>
      <c r="D2889" s="10">
        <f ca="1">IFERROR(__xludf.DUMMYFUNCTION("""COMPUTED_VALUE"""),2019)</f>
        <v>2019</v>
      </c>
      <c r="E2889" s="10" t="str">
        <f ca="1">IFERROR(__xludf.DUMMYFUNCTION("""COMPUTED_VALUE"""),"Седемнадесета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100-108. ISSN 1314-7099")</f>
        <v>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100-108. ISSN 1314-7099</v>
      </c>
      <c r="F2889" s="10"/>
      <c r="G2889" s="10" t="str">
        <f ca="1">IFERROR(__xludf.DUMMYFUNCTION("""COMPUTED_VALUE"""),"С. Ефтимова")</f>
        <v>С. Ефтимова</v>
      </c>
      <c r="H2889" s="10"/>
      <c r="I2889" s="10"/>
      <c r="J2889" s="10"/>
      <c r="K2889" s="10"/>
      <c r="L2889" s="10"/>
      <c r="M2889" s="10"/>
      <c r="N2889" s="10"/>
      <c r="O2889" s="10"/>
      <c r="P2889" s="10"/>
      <c r="Q2889" s="10"/>
      <c r="R2889" s="10"/>
      <c r="S2889" s="10"/>
      <c r="T2889" s="10"/>
      <c r="U2889" s="10"/>
      <c r="V2889" s="10"/>
      <c r="W2889" s="10"/>
      <c r="X2889" s="10"/>
      <c r="Y2889" s="10"/>
      <c r="Z2889" s="10"/>
    </row>
    <row r="2890" spans="1:26" ht="12.75">
      <c r="A2890" s="10" t="str">
        <f ca="1">IFERROR(__xludf.DUMMYFUNCTION("""COMPUTED_VALUE"""),"Елена Игнатова Савова (Игнатова)")</f>
        <v>Елена Игнатова Савова (Игнатова)</v>
      </c>
      <c r="B2890" s="10" t="str">
        <f ca="1">IFERROR(__xludf.DUMMYFUNCTION("""COMPUTED_VALUE"""),"Доклад от конференция")</f>
        <v>Доклад от конференция</v>
      </c>
      <c r="C2890" s="10" t="str">
        <f ca="1">IFERROR(__xludf.DUMMYFUNCTION("""COMPUTED_VALUE"""),"Modern Library in the Educational Space of the University")</f>
        <v>Modern Library in the Educational Space of the University</v>
      </c>
      <c r="D2890" s="10">
        <f ca="1">IFERROR(__xludf.DUMMYFUNCTION("""COMPUTED_VALUE"""),2019)</f>
        <v>2019</v>
      </c>
      <c r="E2890" s="10" t="str">
        <f ca="1">IFERROR(__xludf.DUMMYFUNCTION("""COMPUTED_VALUE"""),"EDULEARN19 Proceedings : 11th International Conference on Education and New Learning Technologies: 1-3 July, 2019, Palma, Spain, Pages: 4844-4848, ISBN: 978-84-09-12031-4, ISSN: 2340-1117. doi: 10.21125/edulearn.2019.1205")</f>
        <v>EDULEARN19 Proceedings : 11th International Conference on Education and New Learning Technologies: 1-3 July, 2019, Palma, Spain, Pages: 4844-4848, ISBN: 978-84-09-12031-4, ISSN: 2340-1117. doi: 10.21125/edulearn.2019.1205</v>
      </c>
      <c r="F2890" s="10" t="str">
        <f ca="1">IFERROR(__xludf.DUMMYFUNCTION("""COMPUTED_VALUE"""),"Web of Science")</f>
        <v>Web of Science</v>
      </c>
      <c r="G2890" s="10" t="str">
        <f ca="1">IFERROR(__xludf.DUMMYFUNCTION("""COMPUTED_VALUE"""),"Elisaveta Tsvetkova")</f>
        <v>Elisaveta Tsvetkova</v>
      </c>
      <c r="H2890" s="10"/>
      <c r="I2890" s="10"/>
      <c r="J2890" s="10"/>
      <c r="K2890" s="10"/>
      <c r="L2890" s="10"/>
      <c r="M2890" s="10"/>
      <c r="N2890" s="10"/>
      <c r="O2890" s="10"/>
      <c r="P2890" s="10"/>
      <c r="Q2890" s="10"/>
      <c r="R2890" s="10"/>
      <c r="S2890" s="10"/>
      <c r="T2890" s="10"/>
      <c r="U2890" s="10"/>
      <c r="V2890" s="10"/>
      <c r="W2890" s="10"/>
      <c r="X2890" s="10"/>
      <c r="Y2890" s="10"/>
      <c r="Z2890" s="10"/>
    </row>
    <row r="2891" spans="1:26" ht="12.75">
      <c r="A2891" s="10" t="str">
        <f ca="1">IFERROR(__xludf.DUMMYFUNCTION("""COMPUTED_VALUE"""),"Елена Игнатова Савова (Игнатова)")</f>
        <v>Елена Игнатова Савова (Игнатова)</v>
      </c>
      <c r="B2891" s="10" t="str">
        <f ca="1">IFERROR(__xludf.DUMMYFUNCTION("""COMPUTED_VALUE"""),"Доклад от конференция")</f>
        <v>Доклад от конференция</v>
      </c>
      <c r="C2891" s="10" t="str">
        <f ca="1">IFERROR(__xludf.DUMMYFUNCTION("""COMPUTED_VALUE"""),"Регионалните библиотеки в България и дигитализацията на документи от периода на възраждането")</f>
        <v>Регионалните библиотеки в България и дигитализацията на документи от периода на възраждането</v>
      </c>
      <c r="D2891" s="10">
        <f ca="1">IFERROR(__xludf.DUMMYFUNCTION("""COMPUTED_VALUE"""),2019)</f>
        <v>2019</v>
      </c>
      <c r="E2891" s="10" t="str">
        <f ca="1">IFERROR(__xludf.DUMMYFUNCTION("""COMPUTED_VALUE"""),"Обществото на знанието и хуманизмът на XXI век: Сборник с доклади от XVII национална научна конференция с международно участие, 1 ноември 2019 г. – София: За буквите – О писменехь, 2019, с. 100-108. ISSN: 2683-0094")</f>
        <v>Обществото на знанието и хуманизмът на XXI век: Сборник с доклади от XVII национална научна конференция с международно участие, 1 ноември 2019 г. – София: За буквите – О писменехь, 2019, с. 100-108. ISSN: 2683-0094</v>
      </c>
      <c r="F2891" s="10"/>
      <c r="G2891" s="10" t="str">
        <f ca="1">IFERROR(__xludf.DUMMYFUNCTION("""COMPUTED_VALUE"""),"Събина Ефтимова")</f>
        <v>Събина Ефтимова</v>
      </c>
      <c r="H2891" s="10"/>
      <c r="I2891" s="10"/>
      <c r="J2891" s="10"/>
      <c r="K2891" s="10"/>
      <c r="L2891" s="10"/>
      <c r="M2891" s="10"/>
      <c r="N2891" s="10"/>
      <c r="O2891" s="10"/>
      <c r="P2891" s="10"/>
      <c r="Q2891" s="10"/>
      <c r="R2891" s="10"/>
      <c r="S2891" s="10"/>
      <c r="T2891" s="10"/>
      <c r="U2891" s="10"/>
      <c r="V2891" s="10"/>
      <c r="W2891" s="10"/>
      <c r="X2891" s="10"/>
      <c r="Y2891" s="10"/>
      <c r="Z2891" s="10"/>
    </row>
    <row r="2892" spans="1:26" ht="12.75">
      <c r="A2892" s="10" t="str">
        <f ca="1">IFERROR(__xludf.DUMMYFUNCTION("""COMPUTED_VALUE"""),"Елена Игнатова Савова (Игнатова)")</f>
        <v>Елена Игнатова Савова (Игнатова)</v>
      </c>
      <c r="B2892" s="10" t="str">
        <f ca="1">IFERROR(__xludf.DUMMYFUNCTION("""COMPUTED_VALUE"""),"Доклад от конференция")</f>
        <v>Доклад от конференция</v>
      </c>
      <c r="C2892" s="10" t="str">
        <f ca="1">IFERROR(__xludf.DUMMYFUNCTION("""COMPUTED_VALUE"""),"Management of Innovation Processes in the university library")</f>
        <v>Management of Innovation Processes in the university library</v>
      </c>
      <c r="D2892" s="10">
        <f ca="1">IFERROR(__xludf.DUMMYFUNCTION("""COMPUTED_VALUE"""),2018)</f>
        <v>2018</v>
      </c>
      <c r="E2892" s="10" t="str">
        <f ca="1">IFERROR(__xludf.DUMMYFUNCTION("""COMPUTED_VALUE"""),"EDULEARN18 Proceedings : 10th International Conference on Education and New Learning Technologies: 2-4 July, 2018, Palma, Spain, Pages: 5713-5717, ISBN: 978-84-09-02709-5 / ISSN: 2340-1117.")</f>
        <v>EDULEARN18 Proceedings : 10th International Conference on Education and New Learning Technologies: 2-4 July, 2018, Palma, Spain, Pages: 5713-5717, ISBN: 978-84-09-02709-5 / ISSN: 2340-1117.</v>
      </c>
      <c r="F2892" s="10" t="str">
        <f ca="1">IFERROR(__xludf.DUMMYFUNCTION("""COMPUTED_VALUE"""),"Web of Science")</f>
        <v>Web of Science</v>
      </c>
      <c r="G2892" s="10" t="str">
        <f ca="1">IFERROR(__xludf.DUMMYFUNCTION("""COMPUTED_VALUE"""),"Sabina Eftimova")</f>
        <v>Sabina Eftimova</v>
      </c>
      <c r="H2892" s="10"/>
      <c r="I2892" s="10"/>
      <c r="J2892" s="10"/>
      <c r="K2892" s="10"/>
      <c r="L2892" s="10"/>
      <c r="M2892" s="10"/>
      <c r="N2892" s="10"/>
      <c r="O2892" s="10"/>
      <c r="P2892" s="10"/>
      <c r="Q2892" s="10"/>
      <c r="R2892" s="10"/>
      <c r="S2892" s="10"/>
      <c r="T2892" s="10"/>
      <c r="U2892" s="10"/>
      <c r="V2892" s="10"/>
      <c r="W2892" s="10"/>
      <c r="X2892" s="10"/>
      <c r="Y2892" s="10"/>
      <c r="Z2892" s="10"/>
    </row>
    <row r="2893" spans="1:26" ht="12.75">
      <c r="A2893" s="10" t="str">
        <f ca="1">IFERROR(__xludf.DUMMYFUNCTION("""COMPUTED_VALUE"""),"Елена Игнатова Савова (Игнатова)")</f>
        <v>Елена Игнатова Савова (Игнатова)</v>
      </c>
      <c r="B2893" s="10" t="str">
        <f ca="1">IFERROR(__xludf.DUMMYFUNCTION("""COMPUTED_VALUE"""),"Доклад от конференция")</f>
        <v>Доклад от конференция</v>
      </c>
      <c r="C2893" s="10" t="str">
        <f ca="1">IFERROR(__xludf.DUMMYFUNCTION("""COMPUTED_VALUE"""),"Academic Research Projects for Students Support and Motivation in University Information Environment")</f>
        <v>Academic Research Projects for Students Support and Motivation in University Information Environment</v>
      </c>
      <c r="D2893" s="10">
        <f ca="1">IFERROR(__xludf.DUMMYFUNCTION("""COMPUTED_VALUE"""),2018)</f>
        <v>2018</v>
      </c>
      <c r="E2893" s="10" t="str">
        <f ca="1">IFERROR(__xludf.DUMMYFUNCTION("""COMPUTED_VALUE"""),"ICERI2018: 11th annual International Conference of Education, Research and Innovation: 12-14 November, 2018, Seville, Spain, Pages: 9706-9709, ISBN: 978-84-09-05948-5, ISSN: 2340-1095. doi: 10.21125/iceri.2018.0795")</f>
        <v>ICERI2018: 11th annual International Conference of Education, Research and Innovation: 12-14 November, 2018, Seville, Spain, Pages: 9706-9709, ISBN: 978-84-09-05948-5, ISSN: 2340-1095. doi: 10.21125/iceri.2018.0795</v>
      </c>
      <c r="F2893" s="10" t="str">
        <f ca="1">IFERROR(__xludf.DUMMYFUNCTION("""COMPUTED_VALUE"""),"Web of Science")</f>
        <v>Web of Science</v>
      </c>
      <c r="G2893" s="10" t="str">
        <f ca="1">IFERROR(__xludf.DUMMYFUNCTION("""COMPUTED_VALUE"""),"Diana Stoyanova, Irena Peteva, Ralitsa Yotova")</f>
        <v>Diana Stoyanova, Irena Peteva, Ralitsa Yotova</v>
      </c>
      <c r="H2893" s="10"/>
      <c r="I2893" s="10"/>
      <c r="J2893" s="10"/>
      <c r="K2893" s="10"/>
      <c r="L2893" s="10"/>
      <c r="M2893" s="10"/>
      <c r="N2893" s="10"/>
      <c r="O2893" s="10"/>
      <c r="P2893" s="10"/>
      <c r="Q2893" s="10"/>
      <c r="R2893" s="10"/>
      <c r="S2893" s="10"/>
      <c r="T2893" s="10"/>
      <c r="U2893" s="10"/>
      <c r="V2893" s="10"/>
      <c r="W2893" s="10"/>
      <c r="X2893" s="10"/>
      <c r="Y2893" s="10"/>
      <c r="Z2893" s="10"/>
    </row>
    <row r="2894" spans="1:26" ht="12.75">
      <c r="A2894" s="10" t="str">
        <f ca="1">IFERROR(__xludf.DUMMYFUNCTION("""COMPUTED_VALUE"""),"Елена Игнатова Савова (Игнатова)")</f>
        <v>Елена Игнатова Савова (Игнатова)</v>
      </c>
      <c r="B2894" s="10" t="str">
        <f ca="1">IFERROR(__xludf.DUMMYFUNCTION("""COMPUTED_VALUE"""),"Доклад от конференция")</f>
        <v>Доклад от конференция</v>
      </c>
      <c r="C2894" s="10" t="str">
        <f ca="1">IFERROR(__xludf.DUMMYFUNCTION("""COMPUTED_VALUE"""),"Университетската библиотека – партньор в обучението на студентите по „Библиотечен и информационен мениджмънт“")</f>
        <v>Университетската библиотека – партньор в обучението на студентите по „Библиотечен и информационен мениджмънт“</v>
      </c>
      <c r="D2894" s="10">
        <f ca="1">IFERROR(__xludf.DUMMYFUNCTION("""COMPUTED_VALUE"""),2018)</f>
        <v>2018</v>
      </c>
      <c r="E2894" s="10" t="str">
        <f ca="1">IFERROR(__xludf.DUMMYFUNCTION("""COMPUTED_VALUE"""),"Библиотечният и информационен мениджмънт: 10 години постижения и предизвикателства: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т"&amp;"ехнологии (4 декември 2018 г., УниБИТ, София). – София: За буквите – О писменехь, 2018, с. 166-177. ISBN: 978-619-185-347-2")</f>
        <v>Библиотечният и информационен мениджмънт: 10 години постижения и предизвикателства: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София). – София: За буквите – О писменехь, 2018, с. 166-177. ISBN: 978-619-185-347-2</v>
      </c>
      <c r="F2894" s="10"/>
      <c r="G2894" s="10"/>
      <c r="H2894" s="10"/>
      <c r="I2894" s="10"/>
      <c r="J2894" s="10"/>
      <c r="K2894" s="10"/>
      <c r="L2894" s="10"/>
      <c r="M2894" s="10"/>
      <c r="N2894" s="10"/>
      <c r="O2894" s="10"/>
      <c r="P2894" s="10"/>
      <c r="Q2894" s="10"/>
      <c r="R2894" s="10"/>
      <c r="S2894" s="10"/>
      <c r="T2894" s="10"/>
      <c r="U2894" s="10"/>
      <c r="V2894" s="10"/>
      <c r="W2894" s="10"/>
      <c r="X2894" s="10"/>
      <c r="Y2894" s="10"/>
      <c r="Z2894" s="10"/>
    </row>
    <row r="2895" spans="1:26" ht="12.75">
      <c r="A2895" s="10" t="str">
        <f ca="1">IFERROR(__xludf.DUMMYFUNCTION("""COMPUTED_VALUE"""),"Елена Игнатова Савова (Игнатова)")</f>
        <v>Елена Игнатова Савова (Игнатова)</v>
      </c>
      <c r="B2895" s="10" t="str">
        <f ca="1">IFERROR(__xludf.DUMMYFUNCTION("""COMPUTED_VALUE"""),"Доклад от конференция")</f>
        <v>Доклад от конференция</v>
      </c>
      <c r="C2895" s="10" t="str">
        <f ca="1">IFERROR(__xludf.DUMMYFUNCTION("""COMPUTED_VALUE"""),"Съвременната библиотека и мястото на интелектуалната собственост в образователното пространство на университета")</f>
        <v>Съвременната библиотека и мястото на интелектуалната собственост в образователното пространство на университета</v>
      </c>
      <c r="D2895" s="10">
        <f ca="1">IFERROR(__xludf.DUMMYFUNCTION("""COMPUTED_VALUE"""),2018)</f>
        <v>2018</v>
      </c>
      <c r="E2895" s="10" t="str">
        <f ca="1">IFERROR(__xludf.DUMMYFUNCTION("""COMPUTED_VALUE"""),"Европейските граждани и интелектуалната собственост – възприятие, осъзнатост, поведение: Шести национален семинар с международно участие. – София: За буквите – О писменехь, 2018, с. 125-136. ISBN: 978-619-185-350-2")</f>
        <v>Европейските граждани и интелектуалната собственост – възприятие, осъзнатост, поведение: Шести национален семинар с международно участие. – София: За буквите – О писменехь, 2018, с. 125-136. ISBN: 978-619-185-350-2</v>
      </c>
      <c r="F2895" s="10"/>
      <c r="G2895" s="10" t="str">
        <f ca="1">IFERROR(__xludf.DUMMYFUNCTION("""COMPUTED_VALUE"""),"Събина Ефтимова")</f>
        <v>Събина Ефтимова</v>
      </c>
      <c r="H2895" s="10"/>
      <c r="I2895" s="10"/>
      <c r="J2895" s="10"/>
      <c r="K2895" s="10"/>
      <c r="L2895" s="10"/>
      <c r="M2895" s="10"/>
      <c r="N2895" s="10"/>
      <c r="O2895" s="10"/>
      <c r="P2895" s="10"/>
      <c r="Q2895" s="10"/>
      <c r="R2895" s="10"/>
      <c r="S2895" s="10"/>
      <c r="T2895" s="10"/>
      <c r="U2895" s="10"/>
      <c r="V2895" s="10"/>
      <c r="W2895" s="10"/>
      <c r="X2895" s="10"/>
      <c r="Y2895" s="10"/>
      <c r="Z2895" s="10"/>
    </row>
    <row r="2896" spans="1:26" ht="12.75">
      <c r="A2896" s="10" t="str">
        <f ca="1">IFERROR(__xludf.DUMMYFUNCTION("""COMPUTED_VALUE"""),"Елена Игнатова Савова (Игнатова)")</f>
        <v>Елена Игнатова Савова (Игнатова)</v>
      </c>
      <c r="B2896" s="10" t="str">
        <f ca="1">IFERROR(__xludf.DUMMYFUNCTION("""COMPUTED_VALUE"""),"Доклад от конференция")</f>
        <v>Доклад от конференция</v>
      </c>
      <c r="C2896" s="10" t="str">
        <f ca="1">IFERROR(__xludf.DUMMYFUNCTION("""COMPUTED_VALUE"""),"Университетските библиотеки и тяхната роля за опазване и социализация на документалното културно наследство")</f>
        <v>Университетските библиотеки и тяхната роля за опазване и социализация на документалното културно наследство</v>
      </c>
      <c r="D2896" s="10">
        <f ca="1">IFERROR(__xludf.DUMMYFUNCTION("""COMPUTED_VALUE"""),2018)</f>
        <v>2018</v>
      </c>
      <c r="E2896" s="10" t="str">
        <f ca="1">IFERROR(__xludf.DUMMYFUNCTION("""COMPUTED_VALUE"""),"Съвременни измерения на европейското образователно и научно пространство: Сборник с доклади от XII Международен пътуващ семинар на УниБИТ: Културни връзки между България и Суверенния Малтийски орден, България – Италия, 18-23 май 2018 г., Т. 6. – София: За"&amp;" буквите – О писменехь, 2018, с. 60-65. ISSN: 2367-7988")</f>
        <v>Съвременни измерения на европейското образователно и научно пространство: Сборник с доклади от XII Международен пътуващ семинар на УниБИТ: Културни връзки между България и Суверенния Малтийски орден, България – Италия, 18-23 май 2018 г., Т. 6. – София: За буквите – О писменехь, 2018, с. 60-65. ISSN: 2367-7988</v>
      </c>
      <c r="F2896" s="10"/>
      <c r="G2896" s="10"/>
      <c r="H2896" s="10"/>
      <c r="I2896" s="10"/>
      <c r="J2896" s="10"/>
      <c r="K2896" s="10"/>
      <c r="L2896" s="10"/>
      <c r="M2896" s="10"/>
      <c r="N2896" s="10"/>
      <c r="O2896" s="10"/>
      <c r="P2896" s="10"/>
      <c r="Q2896" s="10"/>
      <c r="R2896" s="10"/>
      <c r="S2896" s="10"/>
      <c r="T2896" s="10"/>
      <c r="U2896" s="10"/>
      <c r="V2896" s="10"/>
      <c r="W2896" s="10"/>
      <c r="X2896" s="10"/>
      <c r="Y2896" s="10"/>
      <c r="Z2896" s="10"/>
    </row>
    <row r="2897" spans="1:26" ht="12.75">
      <c r="A2897" s="10" t="str">
        <f ca="1">IFERROR(__xludf.DUMMYFUNCTION("""COMPUTED_VALUE"""),"Елена Игнатова Савова (Игнатова)")</f>
        <v>Елена Игнатова Савова (Игнатова)</v>
      </c>
      <c r="B2897" s="10" t="str">
        <f ca="1">IFERROR(__xludf.DUMMYFUNCTION("""COMPUTED_VALUE"""),"Доклад от конференция")</f>
        <v>Доклад от конференция</v>
      </c>
      <c r="C2897" s="10" t="str">
        <f ca="1">IFERROR(__xludf.DUMMYFUNCTION("""COMPUTED_VALUE"""),"Knowledge Institution: The Role of Libraries for Preservation and Socialization ff Documentary Cultural Heritage")</f>
        <v>Knowledge Institution: The Role of Libraries for Preservation and Socialization ff Documentary Cultural Heritage</v>
      </c>
      <c r="D2897" s="10">
        <f ca="1">IFERROR(__xludf.DUMMYFUNCTION("""COMPUTED_VALUE"""),2018)</f>
        <v>2018</v>
      </c>
      <c r="E2897" s="10" t="str">
        <f ca="1">IFERROR(__xludf.DUMMYFUNCTION("""COMPUTED_VALUE"""),"EDULEARN18 Proceedings : 10th International Conference on Education and New Learning Technologies: 2-4 July, 2018,Palma, Spain, Pages: 5709-5712, ISBN: 978-84-09-02709-5, ISSN: 2340-1117.")</f>
        <v>EDULEARN18 Proceedings : 10th International Conference on Education and New Learning Technologies: 2-4 July, 2018,Palma, Spain, Pages: 5709-5712, ISBN: 978-84-09-02709-5, ISSN: 2340-1117.</v>
      </c>
      <c r="F2897" s="10" t="str">
        <f ca="1">IFERROR(__xludf.DUMMYFUNCTION("""COMPUTED_VALUE"""),"Web of Science")</f>
        <v>Web of Science</v>
      </c>
      <c r="G2897" s="10" t="str">
        <f ca="1">IFERROR(__xludf.DUMMYFUNCTION("""COMPUTED_VALUE"""),"Tzvetelina Varadinova, Ralitza Yotova")</f>
        <v>Tzvetelina Varadinova, Ralitza Yotova</v>
      </c>
      <c r="H2897" s="10"/>
      <c r="I2897" s="10"/>
      <c r="J2897" s="10"/>
      <c r="K2897" s="10"/>
      <c r="L2897" s="10"/>
      <c r="M2897" s="10"/>
      <c r="N2897" s="10"/>
      <c r="O2897" s="10"/>
      <c r="P2897" s="10"/>
      <c r="Q2897" s="10"/>
      <c r="R2897" s="10"/>
      <c r="S2897" s="10"/>
      <c r="T2897" s="10"/>
      <c r="U2897" s="10"/>
      <c r="V2897" s="10"/>
      <c r="W2897" s="10"/>
      <c r="X2897" s="10"/>
      <c r="Y2897" s="10"/>
      <c r="Z2897" s="10"/>
    </row>
    <row r="2898" spans="1:26" ht="12.75">
      <c r="A2898" s="10" t="str">
        <f ca="1">IFERROR(__xludf.DUMMYFUNCTION("""COMPUTED_VALUE"""),"Елена Игнатова Савова (Игнатова)")</f>
        <v>Елена Игнатова Савова (Игнатова)</v>
      </c>
      <c r="B2898" s="10" t="str">
        <f ca="1">IFERROR(__xludf.DUMMYFUNCTION("""COMPUTED_VALUE"""),"Доклад от конференция")</f>
        <v>Доклад от конференция</v>
      </c>
      <c r="C2898" s="10" t="str">
        <f ca="1">IFERROR(__xludf.DUMMYFUNCTION("""COMPUTED_VALUE"""),"A Project on Building Sustainable Policies for Socialization of Cultural Heritage in Southeast Bulgaria – Relation Between Modern Education And Research")</f>
        <v>A Project on Building Sustainable Policies for Socialization of Cultural Heritage in Southeast Bulgaria – Relation Between Modern Education And Research</v>
      </c>
      <c r="D2898" s="10">
        <f ca="1">IFERROR(__xludf.DUMMYFUNCTION("""COMPUTED_VALUE"""),2017)</f>
        <v>2017</v>
      </c>
      <c r="E2898" s="10" t="str">
        <f ca="1">IFERROR(__xludf.DUMMYFUNCTION("""COMPUTED_VALUE"""),"EDULEARN17 Proceedings : 9th International Conference on Education and New Learning Technologies, July 3rd-5th, 2017 – Barcelona, Spain, pp. 9037 – 9040, ISBN: 978-84-697-3777-4, ISSN: 2340-1117.")</f>
        <v>EDULEARN17 Proceedings : 9th International Conference on Education and New Learning Technologies, July 3rd-5th, 2017 – Barcelona, Spain, pp. 9037 – 9040, ISBN: 978-84-697-3777-4, ISSN: 2340-1117.</v>
      </c>
      <c r="F2898" s="10" t="str">
        <f ca="1">IFERROR(__xludf.DUMMYFUNCTION("""COMPUTED_VALUE"""),"Web of Science")</f>
        <v>Web of Science</v>
      </c>
      <c r="G2898" s="10" t="str">
        <f ca="1">IFERROR(__xludf.DUMMYFUNCTION("""COMPUTED_VALUE"""),"Kristina Bosakova, Irena Peteva")</f>
        <v>Kristina Bosakova, Irena Peteva</v>
      </c>
      <c r="H2898" s="10"/>
      <c r="I2898" s="10"/>
      <c r="J2898" s="10"/>
      <c r="K2898" s="10"/>
      <c r="L2898" s="10"/>
      <c r="M2898" s="10"/>
      <c r="N2898" s="10"/>
      <c r="O2898" s="10"/>
      <c r="P2898" s="10"/>
      <c r="Q2898" s="10"/>
      <c r="R2898" s="10"/>
      <c r="S2898" s="10"/>
      <c r="T2898" s="10"/>
      <c r="U2898" s="10"/>
      <c r="V2898" s="10"/>
      <c r="W2898" s="10"/>
      <c r="X2898" s="10"/>
      <c r="Y2898" s="10"/>
      <c r="Z2898" s="10"/>
    </row>
    <row r="2899" spans="1:26" ht="12.75">
      <c r="A2899" s="10" t="str">
        <f ca="1">IFERROR(__xludf.DUMMYFUNCTION("""COMPUTED_VALUE"""),"Елена Игнатова Савова (Игнатова)")</f>
        <v>Елена Игнатова Савова (Игнатова)</v>
      </c>
      <c r="B2899" s="10" t="str">
        <f ca="1">IFERROR(__xludf.DUMMYFUNCTION("""COMPUTED_VALUE"""),"Доклад от конференция")</f>
        <v>Доклад от конференция</v>
      </c>
      <c r="C2899" s="10" t="str">
        <f ca="1">IFERROR(__xludf.DUMMYFUNCTION("""COMPUTED_VALUE"""),"Интелектуалната собственост в информационното пространство на университетската библиотека")</f>
        <v>Интелектуалната собственост в информационното пространство на университетската библиотека</v>
      </c>
      <c r="D2899" s="10">
        <f ca="1">IFERROR(__xludf.DUMMYFUNCTION("""COMPUTED_VALUE"""),2016)</f>
        <v>2016</v>
      </c>
      <c r="E2899" s="10" t="str">
        <f ca="1">IFERROR(__xludf.DUMMYFUNCTION("""COMPUTED_VALUE"""),"ИНТЕРНЕТ либерализация - предизвикателства и добри практики пред интелектуалната собственост: сборници с доклади от национални научни семинари. - София: За буквите - О писменехь. ISBN 978-619-185-231-4.")</f>
        <v>ИНТЕРНЕТ либерализация - предизвикателства и добри практики пред интелектуалната собственост: сборници с доклади от национални научни семинари. - София: За буквите - О писменехь. ISBN 978-619-185-231-4.</v>
      </c>
      <c r="F2899" s="10"/>
      <c r="G2899" s="10" t="str">
        <f ca="1">IFERROR(__xludf.DUMMYFUNCTION("""COMPUTED_VALUE"""),"Ирена Петева")</f>
        <v>Ирена Петева</v>
      </c>
      <c r="H2899" s="10"/>
      <c r="I2899" s="10"/>
      <c r="J2899" s="10"/>
      <c r="K2899" s="10"/>
      <c r="L2899" s="10"/>
      <c r="M2899" s="10"/>
      <c r="N2899" s="10"/>
      <c r="O2899" s="10"/>
      <c r="P2899" s="10"/>
      <c r="Q2899" s="10"/>
      <c r="R2899" s="10"/>
      <c r="S2899" s="10"/>
      <c r="T2899" s="10"/>
      <c r="U2899" s="10"/>
      <c r="V2899" s="10"/>
      <c r="W2899" s="10"/>
      <c r="X2899" s="10"/>
      <c r="Y2899" s="10"/>
      <c r="Z2899" s="10"/>
    </row>
    <row r="2900" spans="1:26" ht="12.75">
      <c r="A2900" s="10" t="str">
        <f ca="1">IFERROR(__xludf.DUMMYFUNCTION("""COMPUTED_VALUE"""),"Елена Игнатова Савова (Игнатова)")</f>
        <v>Елена Игнатова Савова (Игнатова)</v>
      </c>
      <c r="B2900" s="10" t="str">
        <f ca="1">IFERROR(__xludf.DUMMYFUNCTION("""COMPUTED_VALUE"""),"Студия")</f>
        <v>Студия</v>
      </c>
      <c r="C2900" s="10" t="str">
        <f ca="1">IFERROR(__xludf.DUMMYFUNCTION("""COMPUTED_VALUE"""),"Институция на знанието")</f>
        <v>Институция на знанието</v>
      </c>
      <c r="D2900" s="10">
        <f ca="1">IFERROR(__xludf.DUMMYFUNCTION("""COMPUTED_VALUE"""),2016)</f>
        <v>2016</v>
      </c>
      <c r="E2900" s="10" t="str">
        <f ca="1">IFERROR(__xludf.DUMMYFUNCTION("""COMPUTED_VALUE"""),"Институция на знанието: Научна студия. – София : За буквите – О писменехь, 2016. – 25 с. ISBN: 978-619-185.")</f>
        <v>Институция на знанието: Научна студия. – София : За буквите – О писменехь, 2016. – 25 с. ISBN: 978-619-185.</v>
      </c>
      <c r="F2900" s="10"/>
      <c r="G2900" s="10"/>
      <c r="H2900" s="10"/>
      <c r="I2900" s="10"/>
      <c r="J2900" s="10"/>
      <c r="K2900" s="10"/>
      <c r="L2900" s="10"/>
      <c r="M2900" s="10"/>
      <c r="N2900" s="10"/>
      <c r="O2900" s="10"/>
      <c r="P2900" s="10"/>
      <c r="Q2900" s="10"/>
      <c r="R2900" s="10"/>
      <c r="S2900" s="10"/>
      <c r="T2900" s="10"/>
      <c r="U2900" s="10"/>
      <c r="V2900" s="10"/>
      <c r="W2900" s="10"/>
      <c r="X2900" s="10"/>
      <c r="Y2900" s="10"/>
      <c r="Z2900" s="10"/>
    </row>
    <row r="2901" spans="1:26" ht="12.75">
      <c r="A2901" s="10" t="str">
        <f ca="1">IFERROR(__xludf.DUMMYFUNCTION("""COMPUTED_VALUE"""),"Елена Игнатова Савова (Игнатова)")</f>
        <v>Елена Игнатова Савова (Игнатова)</v>
      </c>
      <c r="B2901" s="10" t="str">
        <f ca="1">IFERROR(__xludf.DUMMYFUNCTION("""COMPUTED_VALUE"""),"Доклад от конференция")</f>
        <v>Доклад от конференция</v>
      </c>
      <c r="C2901" s="10" t="str">
        <f ca="1">IFERROR(__xludf.DUMMYFUNCTION("""COMPUTED_VALUE"""),"Action Plan for Improving the Learning Practices and Motivation of LIS Students")</f>
        <v>Action Plan for Improving the Learning Practices and Motivation of LIS Students</v>
      </c>
      <c r="D2901" s="10">
        <f ca="1">IFERROR(__xludf.DUMMYFUNCTION("""COMPUTED_VALUE"""),2016)</f>
        <v>2016</v>
      </c>
      <c r="E2901" s="10" t="str">
        <f ca="1">IFERROR(__xludf.DUMMYFUNCTION("""COMPUTED_VALUE"""),"Information Literacy: Key to an Inclusive Society : 4th European Conference on Information Literacy (ECIL): Revised Selected Papers. Eds. by S. Kurbanoglu et. al., ECIL, Prague, 2016, Springer-Verlag, Heidelberg, 2016, рp. 576-583. - (Communication in Com"&amp;"puter and Information Science, Vol. 676).")</f>
        <v>Information Literacy: Key to an Inclusive Society : 4th European Conference on Information Literacy (ECIL): Revised Selected Papers. Eds. by S. Kurbanoglu et. al., ECIL, Prague, 2016, Springer-Verlag, Heidelberg, 2016, рp. 576-583. - (Communication in Computer and Information Science, Vol. 676).</v>
      </c>
      <c r="F2901" s="10" t="str">
        <f ca="1">IFERROR(__xludf.DUMMYFUNCTION("""COMPUTED_VALUE"""),"SCOPUS, Google Scholar, Research Gate")</f>
        <v>SCOPUS, Google Scholar, Research Gate</v>
      </c>
      <c r="G2901" s="10" t="str">
        <f ca="1">IFERROR(__xludf.DUMMYFUNCTION("""COMPUTED_VALUE"""),"Tania Todorova, Irena Peteva.")</f>
        <v>Tania Todorova, Irena Peteva.</v>
      </c>
      <c r="H2901" s="10"/>
      <c r="I2901" s="10"/>
      <c r="J2901" s="10"/>
      <c r="K2901" s="10"/>
      <c r="L2901" s="10"/>
      <c r="M2901" s="10"/>
      <c r="N2901" s="10"/>
      <c r="O2901" s="10"/>
      <c r="P2901" s="10"/>
      <c r="Q2901" s="10"/>
      <c r="R2901" s="10"/>
      <c r="S2901" s="10"/>
      <c r="T2901" s="10"/>
      <c r="U2901" s="10"/>
      <c r="V2901" s="10"/>
      <c r="W2901" s="10"/>
      <c r="X2901" s="10"/>
      <c r="Y2901" s="10"/>
      <c r="Z2901" s="10"/>
    </row>
    <row r="2902" spans="1:26" ht="12.75">
      <c r="A2902" s="10" t="str">
        <f ca="1">IFERROR(__xludf.DUMMYFUNCTION("""COMPUTED_VALUE"""),"Елена Игнатова Савова (Игнатова)")</f>
        <v>Елена Игнатова Савова (Игнатова)</v>
      </c>
      <c r="B2902" s="10" t="str">
        <f ca="1">IFERROR(__xludf.DUMMYFUNCTION("""COMPUTED_VALUE"""),"Доклад от конференция")</f>
        <v>Доклад от конференция</v>
      </c>
      <c r="C2902" s="10" t="str">
        <f ca="1">IFERROR(__xludf.DUMMYFUNCTION("""COMPUTED_VALUE"""),"Student Motivation In Support Of Practical Education..")</f>
        <v>Student Motivation In Support Of Practical Education..</v>
      </c>
      <c r="D2902" s="10">
        <f ca="1">IFERROR(__xludf.DUMMYFUNCTION("""COMPUTED_VALUE"""),2016)</f>
        <v>2016</v>
      </c>
      <c r="E2902" s="10" t="str">
        <f ca="1">IFERROR(__xludf.DUMMYFUNCTION("""COMPUTED_VALUE"""),"EDULEARN16: 8TH INTERNATIONAL CONFERENCE ON EDUCATION AND NEW LEARNING TECHNOLOGIES Edited by:Chova, LG; Martinez, AL; Torres, IC Book Series: EDULEARN Proceedings Pages: 6126-6131, ISBN: 978-84-608-8860-4 / ISSN: 2340-1117.")</f>
        <v>EDULEARN16: 8TH INTERNATIONAL CONFERENCE ON EDUCATION AND NEW LEARNING TECHNOLOGIES Edited by:Chova, LG; Martinez, AL; Torres, IC Book Series: EDULEARN Proceedings Pages: 6126-6131, ISBN: 978-84-608-8860-4 / ISSN: 2340-1117.</v>
      </c>
      <c r="F2902" s="10" t="str">
        <f ca="1">IFERROR(__xludf.DUMMYFUNCTION("""COMPUTED_VALUE"""),"Web of Science")</f>
        <v>Web of Science</v>
      </c>
      <c r="G2902" s="10" t="str">
        <f ca="1">IFERROR(__xludf.DUMMYFUNCTION("""COMPUTED_VALUE"""),"Stoyan Denchev, Irena Peteva, D. Stoyanova, Tzvetelina Varadinova")</f>
        <v>Stoyan Denchev, Irena Peteva, D. Stoyanova, Tzvetelina Varadinova</v>
      </c>
      <c r="H2902" s="10"/>
      <c r="I2902" s="10"/>
      <c r="J2902" s="10"/>
      <c r="K2902" s="10"/>
      <c r="L2902" s="10"/>
      <c r="M2902" s="10"/>
      <c r="N2902" s="10"/>
      <c r="O2902" s="10"/>
      <c r="P2902" s="10"/>
      <c r="Q2902" s="10"/>
      <c r="R2902" s="10"/>
      <c r="S2902" s="10"/>
      <c r="T2902" s="10"/>
      <c r="U2902" s="10"/>
      <c r="V2902" s="10"/>
      <c r="W2902" s="10"/>
      <c r="X2902" s="10"/>
      <c r="Y2902" s="10"/>
      <c r="Z2902" s="10"/>
    </row>
    <row r="2903" spans="1:26" ht="12.75">
      <c r="A2903" s="10" t="str">
        <f ca="1">IFERROR(__xludf.DUMMYFUNCTION("""COMPUTED_VALUE"""),"Елена Игнатова Савова (Игнатова)")</f>
        <v>Елена Игнатова Савова (Игнатова)</v>
      </c>
      <c r="B2903" s="10" t="str">
        <f ca="1">IFERROR(__xludf.DUMMYFUNCTION("""COMPUTED_VALUE"""),"Монография")</f>
        <v>Монография</v>
      </c>
      <c r="C2903" s="10" t="str">
        <f ca="1">IFERROR(__xludf.DUMMYFUNCTION("""COMPUTED_VALUE"""),"Университетски библиотечни трансформации")</f>
        <v>Университетски библиотечни трансформации</v>
      </c>
      <c r="D2903" s="10">
        <f ca="1">IFERROR(__xludf.DUMMYFUNCTION("""COMPUTED_VALUE"""),2015)</f>
        <v>2015</v>
      </c>
      <c r="E2903" s="10" t="str">
        <f ca="1">IFERROR(__xludf.DUMMYFUNCTION("""COMPUTED_VALUE"""),"За буквите – О писменехь, 2015, 290 с. ISBN: 978-619-185-203-1.")</f>
        <v>За буквите – О писменехь, 2015, 290 с. ISBN: 978-619-185-203-1.</v>
      </c>
      <c r="F2903" s="10"/>
      <c r="G2903" s="10"/>
      <c r="H2903" s="10"/>
      <c r="I2903" s="10"/>
      <c r="J2903" s="10"/>
      <c r="K2903" s="10"/>
      <c r="L2903" s="10"/>
      <c r="M2903" s="10"/>
      <c r="N2903" s="10"/>
      <c r="O2903" s="10"/>
      <c r="P2903" s="10"/>
      <c r="Q2903" s="10"/>
      <c r="R2903" s="10"/>
      <c r="S2903" s="10"/>
      <c r="T2903" s="10"/>
      <c r="U2903" s="10"/>
      <c r="V2903" s="10"/>
      <c r="W2903" s="10"/>
      <c r="X2903" s="10"/>
      <c r="Y2903" s="10"/>
      <c r="Z2903" s="10"/>
    </row>
    <row r="2904" spans="1:26" ht="12.75">
      <c r="A2904" s="10" t="str">
        <f ca="1">IFERROR(__xludf.DUMMYFUNCTION("""COMPUTED_VALUE"""),"Елена Игнатова Савова (Игнатова)")</f>
        <v>Елена Игнатова Савова (Игнатова)</v>
      </c>
      <c r="B2904" s="10" t="str">
        <f ca="1">IFERROR(__xludf.DUMMYFUNCTION("""COMPUTED_VALUE"""),"Доклад от конференция")</f>
        <v>Доклад от конференция</v>
      </c>
      <c r="C2904" s="10" t="str">
        <f ca="1">IFERROR(__xludf.DUMMYFUNCTION("""COMPUTED_VALUE"""),"Визуалната комуникация в XXI век")</f>
        <v>Визуалната комуникация в XXI век</v>
      </c>
      <c r="D2904" s="10">
        <f ca="1">IFERROR(__xludf.DUMMYFUNCTION("""COMPUTED_VALUE"""),2015)</f>
        <v>2015</v>
      </c>
      <c r="E2904" s="10" t="str">
        <f ca="1">IFERROR(__xludf.DUMMYFUNCTION("""COMPUTED_VALUE"""),"Съвременни измерения на европейското образователно и научно пространство: Сборник с доклади, Т.2, Част V: Съвременни измерения на европейското образователно и научно пространство. Българо-френски културни общувания, България - Франция, 30 април - 8 май 20"&amp;"11 г. - София: За буквите - О писменехь, 2015, с. 218-222. ISSN 2367-7988.")</f>
        <v>Съвременни измерения на европейското образователно и научно пространство: Сборник с доклади, Т.2, Част V: Съвременни измерения на европейското образователно и научно пространство. Българо-френски културни общувания, България - Франция, 30 април - 8 май 2011 г. - София: За буквите - О писменехь, 2015, с. 218-222. ISSN 2367-7988.</v>
      </c>
      <c r="F2904" s="10"/>
      <c r="G2904" s="10"/>
      <c r="H2904" s="10"/>
      <c r="I2904" s="10"/>
      <c r="J2904" s="10"/>
      <c r="K2904" s="10"/>
      <c r="L2904" s="10"/>
      <c r="M2904" s="10"/>
      <c r="N2904" s="10"/>
      <c r="O2904" s="10"/>
      <c r="P2904" s="10"/>
      <c r="Q2904" s="10"/>
      <c r="R2904" s="10"/>
      <c r="S2904" s="10"/>
      <c r="T2904" s="10"/>
      <c r="U2904" s="10"/>
      <c r="V2904" s="10"/>
      <c r="W2904" s="10"/>
      <c r="X2904" s="10"/>
      <c r="Y2904" s="10"/>
      <c r="Z2904" s="10"/>
    </row>
    <row r="2905" spans="1:26" ht="12.75">
      <c r="A2905" s="10" t="str">
        <f ca="1">IFERROR(__xludf.DUMMYFUNCTION("""COMPUTED_VALUE"""),"Елена Игнатова Савова (Игнатова)")</f>
        <v>Елена Игнатова Савова (Игнатова)</v>
      </c>
      <c r="B2905" s="10" t="str">
        <f ca="1">IFERROR(__xludf.DUMMYFUNCTION("""COMPUTED_VALUE"""),"Доклад от конференция")</f>
        <v>Доклад от конференция</v>
      </c>
      <c r="C2905" s="10" t="str">
        <f ca="1">IFERROR(__xludf.DUMMYFUNCTION("""COMPUTED_VALUE"""),"Да преоткриеш знанието: комуникационната култура на университетската библиотека и информацията на образованието")</f>
        <v>Да преоткриеш знанието: комуникационната култура на университетската библиотека и информацията на образованието</v>
      </c>
      <c r="D2905" s="10">
        <f ca="1">IFERROR(__xludf.DUMMYFUNCTION("""COMPUTED_VALUE"""),2015)</f>
        <v>2015</v>
      </c>
      <c r="E2905" s="10" t="str">
        <f ca="1">IFERROR(__xludf.DUMMYFUNCTION("""COMPUTED_VALUE"""),"Съвременни стратегии и иновации в управление на знанието: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София: За буквите – О писмен"&amp;"ехь, 2014, с.88-95. ISBN 978-619-185-140-9.")</f>
        <v>Съвременни стратегии и иновации в управление на знанието: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София: За буквите – О писменехь, 2014, с.88-95. ISBN 978-619-185-140-9.</v>
      </c>
      <c r="F2905" s="10"/>
      <c r="G2905" s="10"/>
      <c r="H2905" s="10"/>
      <c r="I2905" s="10"/>
      <c r="J2905" s="10"/>
      <c r="K2905" s="10"/>
      <c r="L2905" s="10"/>
      <c r="M2905" s="10"/>
      <c r="N2905" s="10"/>
      <c r="O2905" s="10"/>
      <c r="P2905" s="10"/>
      <c r="Q2905" s="10"/>
      <c r="R2905" s="10"/>
      <c r="S2905" s="10"/>
      <c r="T2905" s="10"/>
      <c r="U2905" s="10"/>
      <c r="V2905" s="10"/>
      <c r="W2905" s="10"/>
      <c r="X2905" s="10"/>
      <c r="Y2905" s="10"/>
      <c r="Z2905" s="10"/>
    </row>
    <row r="2906" spans="1:26" ht="12.75">
      <c r="A2906" s="10" t="str">
        <f ca="1">IFERROR(__xludf.DUMMYFUNCTION("""COMPUTED_VALUE"""),"Елена Игнатова Савова (Игнатова)")</f>
        <v>Елена Игнатова Савова (Игнатова)</v>
      </c>
      <c r="B2906" s="10" t="str">
        <f ca="1">IFERROR(__xludf.DUMMYFUNCTION("""COMPUTED_VALUE"""),"Доклад от конференция")</f>
        <v>Доклад от конференция</v>
      </c>
      <c r="C2906" s="10" t="str">
        <f ca="1">IFERROR(__xludf.DUMMYFUNCTION("""COMPUTED_VALUE"""),"Библиотеката на Ватикана. Мистиката на непреходните ценности и съвременните възможности.")</f>
        <v>Библиотеката на Ватикана. Мистиката на непреходните ценности и съвременните възможности.</v>
      </c>
      <c r="D2906" s="10">
        <f ca="1">IFERROR(__xludf.DUMMYFUNCTION("""COMPUTED_VALUE"""),2015)</f>
        <v>2015</v>
      </c>
      <c r="E2906" s="10" t="str">
        <f ca="1">IFERROR(__xludf.DUMMYFUNCTION("""COMPUTED_VALUE"""),"Съвременни измерения на европейското образователно и научно пространство: Сборник с доклади, Т.1, Част II: Съвременни измерения на европейското културно пространство. История и настояще на книжовните институции в Италия. – София: За буквите – О писменехь,"&amp;" 2015. – с. 159-166. ISSN 2367-7988.")</f>
        <v>Съвременни измерения на европейското образователно и научно пространство: Сборник с доклади, Т.1, Част II: Съвременни измерения на европейското културно пространство. История и настояще на книжовните институции в Италия. – София: За буквите – О писменехь, 2015. – с. 159-166. ISSN 2367-7988.</v>
      </c>
      <c r="F2906" s="10"/>
      <c r="G2906" s="10" t="str">
        <f ca="1">IFERROR(__xludf.DUMMYFUNCTION("""COMPUTED_VALUE"""),"Събина Ефтимова")</f>
        <v>Събина Ефтимова</v>
      </c>
      <c r="H2906" s="10"/>
      <c r="I2906" s="10"/>
      <c r="J2906" s="10"/>
      <c r="K2906" s="10"/>
      <c r="L2906" s="10"/>
      <c r="M2906" s="10"/>
      <c r="N2906" s="10"/>
      <c r="O2906" s="10"/>
      <c r="P2906" s="10"/>
      <c r="Q2906" s="10"/>
      <c r="R2906" s="10"/>
      <c r="S2906" s="10"/>
      <c r="T2906" s="10"/>
      <c r="U2906" s="10"/>
      <c r="V2906" s="10"/>
      <c r="W2906" s="10"/>
      <c r="X2906" s="10"/>
      <c r="Y2906" s="10"/>
      <c r="Z2906" s="10"/>
    </row>
    <row r="2907" spans="1:26" ht="12.75">
      <c r="A2907" s="10" t="str">
        <f ca="1">IFERROR(__xludf.DUMMYFUNCTION("""COMPUTED_VALUE"""),"Елена Игнатова Савова (Игнатова)")</f>
        <v>Елена Игнатова Савова (Игнатова)</v>
      </c>
      <c r="B2907" s="10" t="str">
        <f ca="1">IFERROR(__xludf.DUMMYFUNCTION("""COMPUTED_VALUE"""),"Доклад от конференция")</f>
        <v>Доклад от конференция</v>
      </c>
      <c r="C2907" s="10" t="str">
        <f ca="1">IFERROR(__xludf.DUMMYFUNCTION("""COMPUTED_VALUE"""),"Transformation of The University Library Model in The New Educational Paradigms")</f>
        <v>Transformation of The University Library Model in The New Educational Paradigms</v>
      </c>
      <c r="D2907" s="10">
        <f ca="1">IFERROR(__xludf.DUMMYFUNCTION("""COMPUTED_VALUE"""),2015)</f>
        <v>2015</v>
      </c>
      <c r="E2907" s="10" t="str">
        <f ca="1">IFERROR(__xludf.DUMMYFUNCTION("""COMPUTED_VALUE"""),"EDULEARN15, 7th International Conference on Education and New Learning Technologies, 6-8 July 2015, Barcelona, Spain, pp. 709-714, ISBN: 978-84-606-8243-1 / ISSN: 2340-1117.")</f>
        <v>EDULEARN15, 7th International Conference on Education and New Learning Technologies, 6-8 July 2015, Barcelona, Spain, pp. 709-714, ISBN: 978-84-606-8243-1 / ISSN: 2340-1117.</v>
      </c>
      <c r="F2907" s="10" t="str">
        <f ca="1">IFERROR(__xludf.DUMMYFUNCTION("""COMPUTED_VALUE"""),"Web of Science")</f>
        <v>Web of Science</v>
      </c>
      <c r="G2907" s="10" t="str">
        <f ca="1">IFERROR(__xludf.DUMMYFUNCTION("""COMPUTED_VALUE"""),"Stoyan Denchev, Irena Peteva")</f>
        <v>Stoyan Denchev, Irena Peteva</v>
      </c>
      <c r="H2907" s="10"/>
      <c r="I2907" s="10"/>
      <c r="J2907" s="10"/>
      <c r="K2907" s="10"/>
      <c r="L2907" s="10"/>
      <c r="M2907" s="10"/>
      <c r="N2907" s="10"/>
      <c r="O2907" s="10"/>
      <c r="P2907" s="10"/>
      <c r="Q2907" s="10"/>
      <c r="R2907" s="10"/>
      <c r="S2907" s="10"/>
      <c r="T2907" s="10"/>
      <c r="U2907" s="10"/>
      <c r="V2907" s="10"/>
      <c r="W2907" s="10"/>
      <c r="X2907" s="10"/>
      <c r="Y2907" s="10"/>
      <c r="Z2907" s="10"/>
    </row>
    <row r="2908" spans="1:26" ht="12.75">
      <c r="A2908" s="10" t="str">
        <f ca="1">IFERROR(__xludf.DUMMYFUNCTION("""COMPUTED_VALUE"""),"Елена Игнатова Савова (Игнатова)")</f>
        <v>Елена Игнатова Савова (Игнатова)</v>
      </c>
      <c r="B2908" s="10" t="str">
        <f ca="1">IFERROR(__xludf.DUMMYFUNCTION("""COMPUTED_VALUE"""),"Статия в списания и поредици")</f>
        <v>Статия в списания и поредици</v>
      </c>
      <c r="C2908" s="10" t="str">
        <f ca="1">IFERROR(__xludf.DUMMYFUNCTION("""COMPUTED_VALUE"""),"Италианските библиотеки и проектът Европейска дигитална библиотека (European digital library)")</f>
        <v>Италианските библиотеки и проектът Европейска дигитална библиотека (European digital library)</v>
      </c>
      <c r="D2908" s="10">
        <f ca="1">IFERROR(__xludf.DUMMYFUNCTION("""COMPUTED_VALUE"""),2015)</f>
        <v>2015</v>
      </c>
      <c r="E2908" s="10" t="str">
        <f ca="1">IFERROR(__xludf.DUMMYFUNCTION("""COMPUTED_VALUE"""),"Съвременни измерения на европейското образователно и научно пространство : сборник с доклади = Modern dimensions in European education and research area ISSN: 2367-7988.- T. 1 (2015), с. 129-137.")</f>
        <v>Съвременни измерения на европейското образователно и научно пространство : сборник с доклади = Modern dimensions in European education and research area ISSN: 2367-7988.- T. 1 (2015), с. 129-137.</v>
      </c>
      <c r="F2908" s="10"/>
      <c r="G2908" s="10" t="str">
        <f ca="1">IFERROR(__xludf.DUMMYFUNCTION("""COMPUTED_VALUE"""),"Иванка Павлова")</f>
        <v>Иванка Павлова</v>
      </c>
      <c r="H2908" s="10"/>
      <c r="I2908" s="10"/>
      <c r="J2908" s="10"/>
      <c r="K2908" s="10"/>
      <c r="L2908" s="10"/>
      <c r="M2908" s="10"/>
      <c r="N2908" s="10"/>
      <c r="O2908" s="10"/>
      <c r="P2908" s="10"/>
      <c r="Q2908" s="10"/>
      <c r="R2908" s="10"/>
      <c r="S2908" s="10"/>
      <c r="T2908" s="10"/>
      <c r="U2908" s="10"/>
      <c r="V2908" s="10"/>
      <c r="W2908" s="10"/>
      <c r="X2908" s="10"/>
      <c r="Y2908" s="10"/>
      <c r="Z2908" s="10"/>
    </row>
    <row r="2909" spans="1:26" ht="12.75">
      <c r="A2909" s="10" t="str">
        <f ca="1">IFERROR(__xludf.DUMMYFUNCTION("""COMPUTED_VALUE"""),"Елена Игнатова Савова (Игнатова)")</f>
        <v>Елена Игнатова Савова (Игнатова)</v>
      </c>
      <c r="B2909" s="10" t="str">
        <f ca="1">IFERROR(__xludf.DUMMYFUNCTION("""COMPUTED_VALUE"""),"Доклад от конференция")</f>
        <v>Доклад от конференция</v>
      </c>
      <c r="C2909" s="10" t="str">
        <f ca="1">IFERROR(__xludf.DUMMYFUNCTION("""COMPUTED_VALUE"""),"Университетската библиотека –стратегически партньор за „създаване на знание“ и формиране на интелектуална конкурентоспособност в своите потребители.")</f>
        <v>Университетската библиотека –стратегически партньор за „създаване на знание“ и формиране на интелектуална конкурентоспособност в своите потребители.</v>
      </c>
      <c r="D2909" s="10">
        <f ca="1">IFERROR(__xludf.DUMMYFUNCTION("""COMPUTED_VALUE"""),2015)</f>
        <v>2015</v>
      </c>
      <c r="E2909" s="10" t="str">
        <f ca="1">IFERROR(__xludf.DUMMYFUNCTION("""COMPUTED_VALUE"""),"Сб. Доклади от международна научна конференция „Младите учени в науката – инвестиция в бъдещето”, - София: УниБИТ, 2013, с. 189-193. ISBN 978-619-185-132-4.")</f>
        <v>Сб. Доклади от международна научна конференция „Младите учени в науката – инвестиция в бъдещето”, - София: УниБИТ, 2013, с. 189-193. ISBN 978-619-185-132-4.</v>
      </c>
      <c r="F2909" s="10"/>
      <c r="G2909" s="10"/>
      <c r="H2909" s="10"/>
      <c r="I2909" s="10"/>
      <c r="J2909" s="10"/>
      <c r="K2909" s="10"/>
      <c r="L2909" s="10"/>
      <c r="M2909" s="10"/>
      <c r="N2909" s="10"/>
      <c r="O2909" s="10"/>
      <c r="P2909" s="10"/>
      <c r="Q2909" s="10"/>
      <c r="R2909" s="10"/>
      <c r="S2909" s="10"/>
      <c r="T2909" s="10"/>
      <c r="U2909" s="10"/>
      <c r="V2909" s="10"/>
      <c r="W2909" s="10"/>
      <c r="X2909" s="10"/>
      <c r="Y2909" s="10"/>
      <c r="Z2909" s="10"/>
    </row>
    <row r="2910" spans="1:26" ht="12.75">
      <c r="A2910" s="10" t="str">
        <f ca="1">IFERROR(__xludf.DUMMYFUNCTION("""COMPUTED_VALUE"""),"Елена Игнатова Савова (Игнатова)")</f>
        <v>Елена Игнатова Савова (Игнатова)</v>
      </c>
      <c r="B2910" s="10" t="str">
        <f ca="1">IFERROR(__xludf.DUMMYFUNCTION("""COMPUTED_VALUE"""),"Доклад от конференция")</f>
        <v>Доклад от конференция</v>
      </c>
      <c r="C2910"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2910" s="10">
        <f ca="1">IFERROR(__xludf.DUMMYFUNCTION("""COMPUTED_VALUE"""),2015)</f>
        <v>2015</v>
      </c>
      <c r="E2910" s="10" t="str">
        <f ca="1">IFERROR(__xludf.DUMMYFUNCTION("""COMPUTED_VALUE"""),"Сборник Library and Information Science: Second Annual Conference on Library and Information Science, 27-30 July 2015.")</f>
        <v>Сборник Library and Information Science: Second Annual Conference on Library and Information Science, 27-30 July 2015.</v>
      </c>
      <c r="F2910" s="10" t="str">
        <f ca="1">IFERROR(__xludf.DUMMYFUNCTION("""COMPUTED_VALUE"""),"Web of Science")</f>
        <v>Web of Science</v>
      </c>
      <c r="G2910" s="10"/>
      <c r="H2910" s="10"/>
      <c r="I2910" s="10"/>
      <c r="J2910" s="10"/>
      <c r="K2910" s="10"/>
      <c r="L2910" s="10"/>
      <c r="M2910" s="10"/>
      <c r="N2910" s="10"/>
      <c r="O2910" s="10"/>
      <c r="P2910" s="10"/>
      <c r="Q2910" s="10"/>
      <c r="R2910" s="10"/>
      <c r="S2910" s="10"/>
      <c r="T2910" s="10"/>
      <c r="U2910" s="10"/>
      <c r="V2910" s="10"/>
      <c r="W2910" s="10"/>
      <c r="X2910" s="10"/>
      <c r="Y2910" s="10"/>
      <c r="Z2910" s="10"/>
    </row>
    <row r="2911" spans="1:26" ht="12.75">
      <c r="A2911" s="10" t="str">
        <f ca="1">IFERROR(__xludf.DUMMYFUNCTION("""COMPUTED_VALUE"""),"Елена Игнатова Савова (Игнатова)")</f>
        <v>Елена Игнатова Савова (Игнатова)</v>
      </c>
      <c r="B2911" s="10" t="str">
        <f ca="1">IFERROR(__xludf.DUMMYFUNCTION("""COMPUTED_VALUE"""),"Доклад от конференция")</f>
        <v>Доклад от конференция</v>
      </c>
      <c r="C2911" s="10" t="str">
        <f ca="1">IFERROR(__xludf.DUMMYFUNCTION("""COMPUTED_VALUE"""),"Пренос на култура и културни ценности в българо-чешките взаимоотношения")</f>
        <v>Пренос на култура и културни ценности в българо-чешките взаимоотношения</v>
      </c>
      <c r="D2911" s="10">
        <f ca="1">IFERROR(__xludf.DUMMYFUNCTION("""COMPUTED_VALUE"""),2015)</f>
        <v>2015</v>
      </c>
      <c r="E2911" s="10" t="str">
        <f ca="1">IFERROR(__xludf.DUMMYFUNCTION("""COMPUTED_VALUE"""),"Съвременни измерения на европейското образователно и научно пространство: Сборник с доклади, Т.2, Част VI: Съвременни измерения на европейското образователно и научно пространство. Българо-чешки културни общувания. България - Чехия, 17-22 април 2012 г. - "&amp;"София: За буквите - О писменехь, 2015, с. 391-394, ISSN 2367-7988.")</f>
        <v>Съвременни измерения на европейското образователно и научно пространство: Сборник с доклади, Т.2, Част VI: Съвременни измерения на европейското образователно и научно пространство. Българо-чешки културни общувания. България - Чехия, 17-22 април 2012 г. - София: За буквите - О писменехь, 2015, с. 391-394, ISSN 2367-7988.</v>
      </c>
      <c r="F2911" s="10"/>
      <c r="G2911" s="10" t="str">
        <f ca="1">IFERROR(__xludf.DUMMYFUNCTION("""COMPUTED_VALUE"""),"Диана Стоянова")</f>
        <v>Диана Стоянова</v>
      </c>
      <c r="H2911" s="10"/>
      <c r="I2911" s="10"/>
      <c r="J2911" s="10"/>
      <c r="K2911" s="10"/>
      <c r="L2911" s="10"/>
      <c r="M2911" s="10"/>
      <c r="N2911" s="10"/>
      <c r="O2911" s="10"/>
      <c r="P2911" s="10"/>
      <c r="Q2911" s="10"/>
      <c r="R2911" s="10"/>
      <c r="S2911" s="10"/>
      <c r="T2911" s="10"/>
      <c r="U2911" s="10"/>
      <c r="V2911" s="10"/>
      <c r="W2911" s="10"/>
      <c r="X2911" s="10"/>
      <c r="Y2911" s="10"/>
      <c r="Z2911" s="10"/>
    </row>
    <row r="2912" spans="1:26" ht="12.75">
      <c r="A2912" s="10" t="str">
        <f ca="1">IFERROR(__xludf.DUMMYFUNCTION("""COMPUTED_VALUE"""),"Елена Игнатова Савова (Игнатова)")</f>
        <v>Елена Игнатова Савова (Игнатова)</v>
      </c>
      <c r="B2912" s="10" t="str">
        <f ca="1">IFERROR(__xludf.DUMMYFUNCTION("""COMPUTED_VALUE"""),"Доклад от конференция")</f>
        <v>Доклад от конференция</v>
      </c>
      <c r="C2912" s="10" t="str">
        <f ca="1">IFERROR(__xludf.DUMMYFUNCTION("""COMPUTED_VALUE"""),"Затворническите библиотеки в България и Испания")</f>
        <v>Затворническите библиотеки в България и Испания</v>
      </c>
      <c r="D2912" s="10">
        <f ca="1">IFERROR(__xludf.DUMMYFUNCTION("""COMPUTED_VALUE"""),2015)</f>
        <v>2015</v>
      </c>
      <c r="E2912" s="10" t="str">
        <f ca="1">IFERROR(__xludf.DUMMYFUNCTION("""COMPUTED_VALUE"""),"Съвременни измерения на европейското образователно и научно пространство: Сборник с доклади, Т.2, Част V: Съвременни измерения на европейското образователно и научно пространство. Българо – испански културни общувания. – София: За буквите – О писменехь, 2"&amp;"015, с. 45-48. ISSN 2367-7988.")</f>
        <v>Съвременни измерения на европейското образователно и научно пространство: Сборник с доклади, Т.2, Част V: Съвременни измерения на европейското образователно и научно пространство. Българо – испански културни общувания. – София: За буквите – О писменехь, 2015, с. 45-48. ISSN 2367-7988.</v>
      </c>
      <c r="F2912" s="10"/>
      <c r="G2912" s="10" t="str">
        <f ca="1">IFERROR(__xludf.DUMMYFUNCTION("""COMPUTED_VALUE"""),"Елица Гърдева")</f>
        <v>Елица Гърдева</v>
      </c>
      <c r="H2912" s="10"/>
      <c r="I2912" s="10"/>
      <c r="J2912" s="10"/>
      <c r="K2912" s="10"/>
      <c r="L2912" s="10"/>
      <c r="M2912" s="10"/>
      <c r="N2912" s="10"/>
      <c r="O2912" s="10"/>
      <c r="P2912" s="10"/>
      <c r="Q2912" s="10"/>
      <c r="R2912" s="10"/>
      <c r="S2912" s="10"/>
      <c r="T2912" s="10"/>
      <c r="U2912" s="10"/>
      <c r="V2912" s="10"/>
      <c r="W2912" s="10"/>
      <c r="X2912" s="10"/>
      <c r="Y2912" s="10"/>
      <c r="Z2912" s="10"/>
    </row>
    <row r="2913" spans="1:26" ht="12.75">
      <c r="A2913" s="10" t="str">
        <f ca="1">IFERROR(__xludf.DUMMYFUNCTION("""COMPUTED_VALUE"""),"Елена Игнатова Савова (Игнатова)")</f>
        <v>Елена Игнатова Савова (Игнатова)</v>
      </c>
      <c r="B2913" s="10" t="str">
        <f ca="1">IFERROR(__xludf.DUMMYFUNCTION("""COMPUTED_VALUE"""),"Доклад от конференция")</f>
        <v>Доклад от конференция</v>
      </c>
      <c r="C2913" s="10" t="str">
        <f ca="1">IFERROR(__xludf.DUMMYFUNCTION("""COMPUTED_VALUE"""),"Университетската библиотека в света на знанието: на изток от филмите и на запад от лунната светлина")</f>
        <v>Университетската библиотека в света на знанието: на изток от филмите и на запад от лунната светлина</v>
      </c>
      <c r="D2913" s="10">
        <f ca="1">IFERROR(__xludf.DUMMYFUNCTION("""COMPUTED_VALUE"""),2015)</f>
        <v>2015</v>
      </c>
      <c r="E2913" s="10" t="str">
        <f ca="1">IFERROR(__xludf.DUMMYFUNCTION("""COMPUTED_VALUE"""),"Съвременни измерения на европейското образователно и научно пространство.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 "&amp;"Т. 1. – София : За буквите – О писменехь, 2015, с. 182-189, ISSN 2367-7988.")</f>
        <v>Съвременни измерения на европейското образователно и научно пространство.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 Т. 1. – София : За буквите – О писменехь, 2015, с. 182-189, ISSN 2367-7988.</v>
      </c>
      <c r="F2913" s="10"/>
      <c r="G2913" s="10"/>
      <c r="H2913" s="10"/>
      <c r="I2913" s="10"/>
      <c r="J2913" s="10"/>
      <c r="K2913" s="10"/>
      <c r="L2913" s="10"/>
      <c r="M2913" s="10"/>
      <c r="N2913" s="10"/>
      <c r="O2913" s="10"/>
      <c r="P2913" s="10"/>
      <c r="Q2913" s="10"/>
      <c r="R2913" s="10"/>
      <c r="S2913" s="10"/>
      <c r="T2913" s="10"/>
      <c r="U2913" s="10"/>
      <c r="V2913" s="10"/>
      <c r="W2913" s="10"/>
      <c r="X2913" s="10"/>
      <c r="Y2913" s="10"/>
      <c r="Z2913" s="10"/>
    </row>
    <row r="2914" spans="1:26" ht="12.75">
      <c r="A2914" s="10" t="str">
        <f ca="1">IFERROR(__xludf.DUMMYFUNCTION("""COMPUTED_VALUE"""),"Елена Игнатова Савова (Игнатова)")</f>
        <v>Елена Игнатова Савова (Игнатова)</v>
      </c>
      <c r="B2914" s="10" t="str">
        <f ca="1">IFERROR(__xludf.DUMMYFUNCTION("""COMPUTED_VALUE"""),"Доклад от конференция")</f>
        <v>Доклад от конференция</v>
      </c>
      <c r="C2914" s="10" t="str">
        <f ca="1">IFERROR(__xludf.DUMMYFUNCTION("""COMPUTED_VALUE"""),"Библиотека 2.0 и светът на информацията")</f>
        <v>Библиотека 2.0 и светът на информацията</v>
      </c>
      <c r="D2914" s="10">
        <f ca="1">IFERROR(__xludf.DUMMYFUNCTION("""COMPUTED_VALUE"""),2015)</f>
        <v>2015</v>
      </c>
      <c r="E2914" s="10" t="str">
        <f ca="1">IFERROR(__xludf.DUMMYFUNCTION("""COMPUTED_VALUE"""),"Съвременни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писменехь,"&amp;" 2015. – с. 357-359. ISSN 2367-7988.")</f>
        <v>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 2015. – с. 357-359. ISSN 2367-7988.</v>
      </c>
      <c r="F2914" s="10"/>
      <c r="G2914" s="10" t="str">
        <f ca="1">IFERROR(__xludf.DUMMYFUNCTION("""COMPUTED_VALUE"""),"Кристина Босакова")</f>
        <v>Кристина Босакова</v>
      </c>
      <c r="H2914" s="10"/>
      <c r="I2914" s="10"/>
      <c r="J2914" s="10"/>
      <c r="K2914" s="10"/>
      <c r="L2914" s="10"/>
      <c r="M2914" s="10"/>
      <c r="N2914" s="10"/>
      <c r="O2914" s="10"/>
      <c r="P2914" s="10"/>
      <c r="Q2914" s="10"/>
      <c r="R2914" s="10"/>
      <c r="S2914" s="10"/>
      <c r="T2914" s="10"/>
      <c r="U2914" s="10"/>
      <c r="V2914" s="10"/>
      <c r="W2914" s="10"/>
      <c r="X2914" s="10"/>
      <c r="Y2914" s="10"/>
      <c r="Z2914" s="10"/>
    </row>
    <row r="2915" spans="1:26" ht="12.75">
      <c r="A2915" s="10" t="str">
        <f ca="1">IFERROR(__xludf.DUMMYFUNCTION("""COMPUTED_VALUE"""),"Елена Игнатова Савова (Игнатова)")</f>
        <v>Елена Игнатова Савова (Игнатова)</v>
      </c>
      <c r="B2915" s="10" t="str">
        <f ca="1">IFERROR(__xludf.DUMMYFUNCTION("""COMPUTED_VALUE"""),"Доклад от конференция")</f>
        <v>Доклад от конференция</v>
      </c>
      <c r="C2915" s="10" t="str">
        <f ca="1">IFERROR(__xludf.DUMMYFUNCTION("""COMPUTED_VALUE"""),"Интелектуална конкурентоспособност – организация и управление на знания в университетските библиотеки")</f>
        <v>Интелектуална конкурентоспособност – организация и управление на знания в университетските библиотеки</v>
      </c>
      <c r="D2915" s="10">
        <f ca="1">IFERROR(__xludf.DUMMYFUNCTION("""COMPUTED_VALUE"""),2015)</f>
        <v>2015</v>
      </c>
      <c r="E2915" s="10" t="str">
        <f ca="1">IFERROR(__xludf.DUMMYFUNCTION("""COMPUTED_VALUE"""),"Съвременни измерения на европейското образователно и научно пространство: Сборник с доклади, Т.3, Част VII: Съвременни измерения на европейското образователно и научно пространство. Българо – английски културни общувания. – София: За буквите – О писменехь"&amp;", 2015. – с. 63-68. ISSN 2367-7988.")</f>
        <v>Съвременни измерения на европейското образователно и научно пространство: Сборник с доклади, Т.3, Част VII: Съвременни измерения на европейското образователно и научно пространство. Българо – английски културни общувания. – София: За буквите – О писменехь, 2015. – с. 63-68. ISSN 2367-7988.</v>
      </c>
      <c r="F2915" s="10"/>
      <c r="G2915" s="10"/>
      <c r="H2915" s="10"/>
      <c r="I2915" s="10"/>
      <c r="J2915" s="10"/>
      <c r="K2915" s="10"/>
      <c r="L2915" s="10"/>
      <c r="M2915" s="10"/>
      <c r="N2915" s="10"/>
      <c r="O2915" s="10"/>
      <c r="P2915" s="10"/>
      <c r="Q2915" s="10"/>
      <c r="R2915" s="10"/>
      <c r="S2915" s="10"/>
      <c r="T2915" s="10"/>
      <c r="U2915" s="10"/>
      <c r="V2915" s="10"/>
      <c r="W2915" s="10"/>
      <c r="X2915" s="10"/>
      <c r="Y2915" s="10"/>
      <c r="Z2915" s="10"/>
    </row>
    <row r="2916" spans="1:26" ht="12.75">
      <c r="A2916" s="10" t="str">
        <f ca="1">IFERROR(__xludf.DUMMYFUNCTION("""COMPUTED_VALUE"""),"Елена Игнатова Савова (Игнатова)")</f>
        <v>Елена Игнатова Савова (Игнатова)</v>
      </c>
      <c r="B2916" s="10" t="str">
        <f ca="1">IFERROR(__xludf.DUMMYFUNCTION("""COMPUTED_VALUE"""),"Доклад от конференция")</f>
        <v>Доклад от конференция</v>
      </c>
      <c r="C2916" s="10" t="str">
        <f ca="1">IFERROR(__xludf.DUMMYFUNCTION("""COMPUTED_VALUE"""),"Библиотеката в образователното пространство на Университета: Възможности и перспективи в изменящата се информационна среда")</f>
        <v>Библиотеката в образователното пространство на Университета: Възможности и перспективи в изменящата се информационна среда</v>
      </c>
      <c r="D2916" s="10">
        <f ca="1">IFERROR(__xludf.DUMMYFUNCTION("""COMPUTED_VALUE"""),2015)</f>
        <v>2015</v>
      </c>
      <c r="E2916" s="10" t="str">
        <f ca="1">IFERROR(__xludf.DUMMYFUNCTION("""COMPUTED_VALUE"""),"Нови информационни технологии в образователния процес: Сб. доклади и съобщения от Десетия научен семинар на УниБИТ, проведен в Истанбул на 4-8 април 2015 г. - София: За буквите - О писменехь, 2015, с. 40-52. ISSN 1313-2768.")</f>
        <v>Нови информационни технологии в образователния процес: Сб. доклади и съобщения от Десетия научен семинар на УниБИТ, проведен в Истанбул на 4-8 април 2015 г. - София: За буквите - О писменехь, 2015, с. 40-52. ISSN 1313-2768.</v>
      </c>
      <c r="F2916" s="10"/>
      <c r="G2916" s="10" t="str">
        <f ca="1">IFERROR(__xludf.DUMMYFUNCTION("""COMPUTED_VALUE"""),"Ирена Петева, Красимира Александрова")</f>
        <v>Ирена Петева, Красимира Александрова</v>
      </c>
      <c r="H2916" s="10"/>
      <c r="I2916" s="10"/>
      <c r="J2916" s="10"/>
      <c r="K2916" s="10"/>
      <c r="L2916" s="10"/>
      <c r="M2916" s="10"/>
      <c r="N2916" s="10"/>
      <c r="O2916" s="10"/>
      <c r="P2916" s="10"/>
      <c r="Q2916" s="10"/>
      <c r="R2916" s="10"/>
      <c r="S2916" s="10"/>
      <c r="T2916" s="10"/>
      <c r="U2916" s="10"/>
      <c r="V2916" s="10"/>
      <c r="W2916" s="10"/>
      <c r="X2916" s="10"/>
      <c r="Y2916" s="10"/>
      <c r="Z2916" s="10"/>
    </row>
    <row r="2917" spans="1:26" ht="12.75">
      <c r="A2917" s="10" t="str">
        <f ca="1">IFERROR(__xludf.DUMMYFUNCTION("""COMPUTED_VALUE"""),"Елена Игнатова Савова (Игнатова)")</f>
        <v>Елена Игнатова Савова (Игнатова)</v>
      </c>
      <c r="B2917" s="10" t="str">
        <f ca="1">IFERROR(__xludf.DUMMYFUNCTION("""COMPUTED_VALUE"""),"Доклад от конференция")</f>
        <v>Доклад от конференция</v>
      </c>
      <c r="C2917" s="10" t="str">
        <f ca="1">IFERROR(__xludf.DUMMYFUNCTION("""COMPUTED_VALUE"""),"Функции на университетската библиотека като специфичен информационен посредник в системата на е-правителство")</f>
        <v>Функции на университетската библиотека като специфичен информационен посредник в системата на е-правителство</v>
      </c>
      <c r="D2917" s="10">
        <f ca="1">IFERROR(__xludf.DUMMYFUNCTION("""COMPUTED_VALUE"""),2015)</f>
        <v>2015</v>
      </c>
      <c r="E2917" s="10" t="str">
        <f ca="1">IFERROR(__xludf.DUMMYFUNCTION("""COMPUTED_VALUE"""),"ИНТЕЛЕКТУАЛНАТА собственост - формула за успех, творчество и иновации = Intellectual property - formula for success, creativity and innovation: сборник с доклади от трети нац. семинар с международно участие, 27-28 апр. 2015 г., София. - София: За буквите "&amp;"- О писменехь, 2015, с. 249-256. ISBN 978-619-185-160-7.")</f>
        <v>ИНТЕЛЕКТУАЛНАТА собственост - формула за успех, творчество и иновации = Intellectual property - formula for success, creativity and innovation: сборник с доклади от трети нац. семинар с международно участие, 27-28 апр. 2015 г., София. - София: За буквите - О писменехь, 2015, с. 249-256. ISBN 978-619-185-160-7.</v>
      </c>
      <c r="F2917" s="10"/>
      <c r="G2917" s="10" t="str">
        <f ca="1">IFERROR(__xludf.DUMMYFUNCTION("""COMPUTED_VALUE"""),"Ирена Петева")</f>
        <v>Ирена Петева</v>
      </c>
      <c r="H2917" s="10"/>
      <c r="I2917" s="10"/>
      <c r="J2917" s="10"/>
      <c r="K2917" s="10"/>
      <c r="L2917" s="10"/>
      <c r="M2917" s="10"/>
      <c r="N2917" s="10"/>
      <c r="O2917" s="10"/>
      <c r="P2917" s="10"/>
      <c r="Q2917" s="10"/>
      <c r="R2917" s="10"/>
      <c r="S2917" s="10"/>
      <c r="T2917" s="10"/>
      <c r="U2917" s="10"/>
      <c r="V2917" s="10"/>
      <c r="W2917" s="10"/>
      <c r="X2917" s="10"/>
      <c r="Y2917" s="10"/>
      <c r="Z2917" s="10"/>
    </row>
    <row r="2918" spans="1:26" ht="12.75">
      <c r="A2918" s="10" t="str">
        <f ca="1">IFERROR(__xludf.DUMMYFUNCTION("""COMPUTED_VALUE"""),"Елена Игнатова Савова (Игнатова)")</f>
        <v>Елена Игнатова Савова (Игнатова)</v>
      </c>
      <c r="B2918" s="10" t="str">
        <f ca="1">IFERROR(__xludf.DUMMYFUNCTION("""COMPUTED_VALUE"""),"Статия в списания и поредици")</f>
        <v>Статия в списания и поредици</v>
      </c>
      <c r="C2918" s="10" t="str">
        <f ca="1">IFERROR(__xludf.DUMMYFUNCTION("""COMPUTED_VALUE"""),"Развитие на съвременните библиотехнологии в условията на формиране на новата информационно-технологическа парадигма")</f>
        <v>Развитие на съвременните библиотехнологии в условията на формиране на новата информационно-технологическа парадигма</v>
      </c>
      <c r="D2918" s="10">
        <f ca="1">IFERROR(__xludf.DUMMYFUNCTION("""COMPUTED_VALUE"""),2015)</f>
        <v>2015</v>
      </c>
      <c r="E2918" s="10" t="str">
        <f ca="1">IFERROR(__xludf.DUMMYFUNCTION("""COMPUTED_VALUE"""),"Образование и технологии. – 6/2015, с. 211-213, ISSN 1314-1791.")</f>
        <v>Образование и технологии. – 6/2015, с. 211-213, ISSN 1314-1791.</v>
      </c>
      <c r="F2918" s="10"/>
      <c r="G2918" s="10" t="str">
        <f ca="1">IFERROR(__xludf.DUMMYFUNCTION("""COMPUTED_VALUE"""),"Босакова, Кристина, Траяна Велкова")</f>
        <v>Босакова, Кристина, Траяна Велкова</v>
      </c>
      <c r="H2918" s="10"/>
      <c r="I2918" s="10"/>
      <c r="J2918" s="10"/>
      <c r="K2918" s="10"/>
      <c r="L2918" s="10"/>
      <c r="M2918" s="10"/>
      <c r="N2918" s="10"/>
      <c r="O2918" s="10"/>
      <c r="P2918" s="10"/>
      <c r="Q2918" s="10"/>
      <c r="R2918" s="10"/>
      <c r="S2918" s="10"/>
      <c r="T2918" s="10"/>
      <c r="U2918" s="10"/>
      <c r="V2918" s="10"/>
      <c r="W2918" s="10"/>
      <c r="X2918" s="10"/>
      <c r="Y2918" s="10"/>
      <c r="Z2918" s="10"/>
    </row>
    <row r="2919" spans="1:26" ht="12.75">
      <c r="A2919" s="10" t="str">
        <f ca="1">IFERROR(__xludf.DUMMYFUNCTION("""COMPUTED_VALUE"""),"Елена Игнатова Савова (Игнатова)")</f>
        <v>Елена Игнатова Савова (Игнатова)</v>
      </c>
      <c r="B2919" s="10" t="str">
        <f ca="1">IFERROR(__xludf.DUMMYFUNCTION("""COMPUTED_VALUE"""),"Доклад от конференция")</f>
        <v>Доклад от конференция</v>
      </c>
      <c r="C2919" s="10" t="str">
        <f ca="1">IFERROR(__xludf.DUMMYFUNCTION("""COMPUTED_VALUE"""),"Ролята на информационните технологии и автоматизацията в съвременната библиотечна дейност. Опитът на австрийските библиотеки")</f>
        <v>Ролята на информационните технологии и автоматизацията в съвременната библиотечна дейност. Опитът на австрийските библиотеки</v>
      </c>
      <c r="D2919" s="10">
        <f ca="1">IFERROR(__xludf.DUMMYFUNCTION("""COMPUTED_VALUE"""),2015)</f>
        <v>2015</v>
      </c>
      <c r="E2919" s="10" t="str">
        <f ca="1">IFERROR(__xludf.DUMMYFUNCTION("""COMPUTED_VALUE"""),"Съвременни измерения на европейското образователно и научно пространство: Сборник с доклади, Т.1, Част III: Съвременни измерения на европейското образователно и научно пространство. Българо-австрийски културни общувания. – София: За буквите – О писменехь,"&amp;" 2015. – с. 319-321. ISSN 2367-7988.")</f>
        <v>Съвременни измерения на европейското образователно и научно пространство: Сборник с доклади, Т.1, Част III: Съвременни измерения на европейското образователно и научно пространство. Българо-австрийски културни общувания. – София: За буквите – О писменехь, 2015. – с. 319-321. ISSN 2367-7988.</v>
      </c>
      <c r="F2919" s="10"/>
      <c r="G2919" s="10" t="str">
        <f ca="1">IFERROR(__xludf.DUMMYFUNCTION("""COMPUTED_VALUE"""),"Нина Янкова")</f>
        <v>Нина Янкова</v>
      </c>
      <c r="H2919" s="10"/>
      <c r="I2919" s="10"/>
      <c r="J2919" s="10"/>
      <c r="K2919" s="10"/>
      <c r="L2919" s="10"/>
      <c r="M2919" s="10"/>
      <c r="N2919" s="10"/>
      <c r="O2919" s="10"/>
      <c r="P2919" s="10"/>
      <c r="Q2919" s="10"/>
      <c r="R2919" s="10"/>
      <c r="S2919" s="10"/>
      <c r="T2919" s="10"/>
      <c r="U2919" s="10"/>
      <c r="V2919" s="10"/>
      <c r="W2919" s="10"/>
      <c r="X2919" s="10"/>
      <c r="Y2919" s="10"/>
      <c r="Z2919" s="10"/>
    </row>
    <row r="2920" spans="1:26" ht="12.75">
      <c r="A2920" s="10" t="str">
        <f ca="1">IFERROR(__xludf.DUMMYFUNCTION("""COMPUTED_VALUE"""),"Елена Игнатова Савова (Игнатова)")</f>
        <v>Елена Игнатова Савова (Игнатова)</v>
      </c>
      <c r="B2920" s="10" t="str">
        <f ca="1">IFERROR(__xludf.DUMMYFUNCTION("""COMPUTED_VALUE"""),"Книга")</f>
        <v>Книга</v>
      </c>
      <c r="C2920" s="10" t="str">
        <f ca="1">IFERROR(__xludf.DUMMYFUNCTION("""COMPUTED_VALUE"""),"The role of ego-documents in the history of science")</f>
        <v>The role of ego-documents in the history of science</v>
      </c>
      <c r="D2920" s="10">
        <f ca="1">IFERROR(__xludf.DUMMYFUNCTION("""COMPUTED_VALUE"""),2014)</f>
        <v>2014</v>
      </c>
      <c r="E2920" s="10" t="str">
        <f ca="1">IFERROR(__xludf.DUMMYFUNCTION("""COMPUTED_VALUE"""),"Sofia : За буквите - О писменехь, 2014. - 97 с. ISBN 978-619-185-017-4.")</f>
        <v>Sofia : За буквите - О писменехь, 2014. - 97 с. ISBN 978-619-185-017-4.</v>
      </c>
      <c r="F2920" s="10"/>
      <c r="G2920" s="10" t="str">
        <f ca="1">IFERROR(__xludf.DUMMYFUNCTION("""COMPUTED_VALUE"""),"Stojan Georgiev Denchev, Erika Georgieva Lazarova,")</f>
        <v>Stojan Georgiev Denchev, Erika Georgieva Lazarova,</v>
      </c>
      <c r="H2920" s="10"/>
      <c r="I2920" s="10"/>
      <c r="J2920" s="10"/>
      <c r="K2920" s="10"/>
      <c r="L2920" s="10"/>
      <c r="M2920" s="10"/>
      <c r="N2920" s="10"/>
      <c r="O2920" s="10"/>
      <c r="P2920" s="10"/>
      <c r="Q2920" s="10"/>
      <c r="R2920" s="10"/>
      <c r="S2920" s="10"/>
      <c r="T2920" s="10"/>
      <c r="U2920" s="10"/>
      <c r="V2920" s="10"/>
      <c r="W2920" s="10"/>
      <c r="X2920" s="10"/>
      <c r="Y2920" s="10"/>
      <c r="Z2920" s="10"/>
    </row>
    <row r="2921" spans="1:26" ht="12.75">
      <c r="A2921" s="10" t="str">
        <f ca="1">IFERROR(__xludf.DUMMYFUNCTION("""COMPUTED_VALUE"""),"Елена Игнатова Савова (Игнатова)")</f>
        <v>Елена Игнатова Савова (Игнатова)</v>
      </c>
      <c r="B2921" s="10" t="str">
        <f ca="1">IFERROR(__xludf.DUMMYFUNCTION("""COMPUTED_VALUE"""),"Учебник")</f>
        <v>Учебник</v>
      </c>
      <c r="C2921" s="10" t="str">
        <f ca="1">IFERROR(__xludf.DUMMYFUNCTION("""COMPUTED_VALUE"""),"Компютърни информационни технологии")</f>
        <v>Компютърни информационни технологии</v>
      </c>
      <c r="D2921" s="10">
        <f ca="1">IFERROR(__xludf.DUMMYFUNCTION("""COMPUTED_VALUE"""),2014)</f>
        <v>2014</v>
      </c>
      <c r="E2921" s="10" t="str">
        <f ca="1">IFERROR(__xludf.DUMMYFUNCTION("""COMPUTED_VALUE"""),"София : За буквите - О писменехь, 2014. - 184 с. ISBN 978-619-185-149-2.")</f>
        <v>София : За буквите - О писменехь, 2014. - 184 с. ISBN 978-619-185-149-2.</v>
      </c>
      <c r="F2921" s="10"/>
      <c r="G2921" s="10"/>
      <c r="H2921" s="10"/>
      <c r="I2921" s="10"/>
      <c r="J2921" s="10"/>
      <c r="K2921" s="10"/>
      <c r="L2921" s="10"/>
      <c r="M2921" s="10"/>
      <c r="N2921" s="10"/>
      <c r="O2921" s="10"/>
      <c r="P2921" s="10"/>
      <c r="Q2921" s="10"/>
      <c r="R2921" s="10"/>
      <c r="S2921" s="10"/>
      <c r="T2921" s="10"/>
      <c r="U2921" s="10"/>
      <c r="V2921" s="10"/>
      <c r="W2921" s="10"/>
      <c r="X2921" s="10"/>
      <c r="Y2921" s="10"/>
      <c r="Z2921" s="10"/>
    </row>
    <row r="2922" spans="1:26" ht="12.75">
      <c r="A2922" s="10" t="str">
        <f ca="1">IFERROR(__xludf.DUMMYFUNCTION("""COMPUTED_VALUE"""),"Елена Игнатова Савова (Игнатова)")</f>
        <v>Елена Игнатова Савова (Игнатова)</v>
      </c>
      <c r="B2922" s="10" t="str">
        <f ca="1">IFERROR(__xludf.DUMMYFUNCTION("""COMPUTED_VALUE"""),"Книга")</f>
        <v>Книга</v>
      </c>
      <c r="C2922" s="10" t="str">
        <f ca="1">IFERROR(__xludf.DUMMYFUNCTION("""COMPUTED_VALUE"""),"Културно-историческото наследство в съвременна информационна среда : тематичен библиографски справочник")</f>
        <v>Културно-историческото наследство в съвременна информационна среда : тематичен библиографски справочник</v>
      </c>
      <c r="D2922" s="10">
        <f ca="1">IFERROR(__xludf.DUMMYFUNCTION("""COMPUTED_VALUE"""),2013)</f>
        <v>2013</v>
      </c>
      <c r="E2922" s="10" t="str">
        <f ca="1">IFERROR(__xludf.DUMMYFUNCTION("""COMPUTED_VALUE"""),"София : За буквите - Ò писменехь, 2011. - 282 с. ISBN 978-954-8887-99-1.")</f>
        <v>София : За буквите - Ò писменехь, 2011. - 282 с. ISBN 978-954-8887-99-1.</v>
      </c>
      <c r="F2922" s="10"/>
      <c r="G2922" s="10" t="str">
        <f ca="1">IFERROR(__xludf.DUMMYFUNCTION("""COMPUTED_VALUE"""),"София Василева, Диана Стоянова")</f>
        <v>София Василева, Диана Стоянова</v>
      </c>
      <c r="H2922" s="10"/>
      <c r="I2922" s="10"/>
      <c r="J2922" s="10"/>
      <c r="K2922" s="10"/>
      <c r="L2922" s="10"/>
      <c r="M2922" s="10"/>
      <c r="N2922" s="10"/>
      <c r="O2922" s="10"/>
      <c r="P2922" s="10"/>
      <c r="Q2922" s="10"/>
      <c r="R2922" s="10"/>
      <c r="S2922" s="10"/>
      <c r="T2922" s="10"/>
      <c r="U2922" s="10"/>
      <c r="V2922" s="10"/>
      <c r="W2922" s="10"/>
      <c r="X2922" s="10"/>
      <c r="Y2922" s="10"/>
      <c r="Z2922" s="10"/>
    </row>
    <row r="2923" spans="1:26" ht="12.75">
      <c r="A2923" s="10" t="str">
        <f ca="1">IFERROR(__xludf.DUMMYFUNCTION("""COMPUTED_VALUE"""),"Елена Игнатова Савова (Игнатова)")</f>
        <v>Елена Игнатова Савова (Игнатова)</v>
      </c>
      <c r="B2923" s="10" t="str">
        <f ca="1">IFERROR(__xludf.DUMMYFUNCTION("""COMPUTED_VALUE"""),"Книга")</f>
        <v>Книга</v>
      </c>
      <c r="C2923" s="10" t="str">
        <f ca="1">IFERROR(__xludf.DUMMYFUNCTION("""COMPUTED_VALUE"""),"Библиографски указател за докторантски училища.")</f>
        <v>Библиографски указател за докторантски училища.</v>
      </c>
      <c r="D2923" s="10">
        <f ca="1">IFERROR(__xludf.DUMMYFUNCTION("""COMPUTED_VALUE"""),2013)</f>
        <v>2013</v>
      </c>
      <c r="E2923" s="10" t="str">
        <f ca="1">IFERROR(__xludf.DUMMYFUNCTION("""COMPUTED_VALUE"""),"София: За буквите - О писменехь, 2013. - 298 с. ISBN 978-954-2946-96-0.")</f>
        <v>София: За буквите - О писменехь, 2013. - 298 с. ISBN 978-954-2946-96-0.</v>
      </c>
      <c r="F2923" s="10"/>
      <c r="G2923" s="10"/>
      <c r="H2923" s="10"/>
      <c r="I2923" s="10"/>
      <c r="J2923" s="10"/>
      <c r="K2923" s="10"/>
      <c r="L2923" s="10"/>
      <c r="M2923" s="10"/>
      <c r="N2923" s="10"/>
      <c r="O2923" s="10"/>
      <c r="P2923" s="10"/>
      <c r="Q2923" s="10"/>
      <c r="R2923" s="10"/>
      <c r="S2923" s="10"/>
      <c r="T2923" s="10"/>
      <c r="U2923" s="10"/>
      <c r="V2923" s="10"/>
      <c r="W2923" s="10"/>
      <c r="X2923" s="10"/>
      <c r="Y2923" s="10"/>
      <c r="Z2923" s="10"/>
    </row>
    <row r="2924" spans="1:26" ht="12.75">
      <c r="A2924" s="10" t="str">
        <f ca="1">IFERROR(__xludf.DUMMYFUNCTION("""COMPUTED_VALUE"""),"Елена Игнатова Савова (Игнатова)")</f>
        <v>Елена Игнатова Савова (Игнатова)</v>
      </c>
      <c r="B2924" s="10" t="str">
        <f ca="1">IFERROR(__xludf.DUMMYFUNCTION("""COMPUTED_VALUE"""),"Книга")</f>
        <v>Книга</v>
      </c>
      <c r="C2924" s="10" t="str">
        <f ca="1">IFERROR(__xludf.DUMMYFUNCTION("""COMPUTED_VALUE"""),"Политики за управление на културно-историческото наследство – комуникация и социализация чрез образование. Библиографски указател.")</f>
        <v>Политики за управление на културно-историческото наследство – комуникация и социализация чрез образование. Библиографски указател.</v>
      </c>
      <c r="D2924" s="10">
        <f ca="1">IFERROR(__xludf.DUMMYFUNCTION("""COMPUTED_VALUE"""),2013)</f>
        <v>2013</v>
      </c>
      <c r="E2924" s="10" t="str">
        <f ca="1">IFERROR(__xludf.DUMMYFUNCTION("""COMPUTED_VALUE"""),"София : За буквите О писменехь, 2013, 300 с. ISBN: 978-954-2946-97-7.")</f>
        <v>София : За буквите О писменехь, 2013, 300 с. ISBN: 978-954-2946-97-7.</v>
      </c>
      <c r="F2924" s="10"/>
      <c r="G2924" s="10" t="str">
        <f ca="1">IFERROR(__xludf.DUMMYFUNCTION("""COMPUTED_VALUE"""),"София Василева, Стоян Денчев, Диана Стоянова.")</f>
        <v>София Василева, Стоян Денчев, Диана Стоянова.</v>
      </c>
      <c r="H2924" s="10"/>
      <c r="I2924" s="10"/>
      <c r="J2924" s="10"/>
      <c r="K2924" s="10"/>
      <c r="L2924" s="10"/>
      <c r="M2924" s="10"/>
      <c r="N2924" s="10"/>
      <c r="O2924" s="10"/>
      <c r="P2924" s="10"/>
      <c r="Q2924" s="10"/>
      <c r="R2924" s="10"/>
      <c r="S2924" s="10"/>
      <c r="T2924" s="10"/>
      <c r="U2924" s="10"/>
      <c r="V2924" s="10"/>
      <c r="W2924" s="10"/>
      <c r="X2924" s="10"/>
      <c r="Y2924" s="10"/>
      <c r="Z2924" s="10"/>
    </row>
    <row r="2925" spans="1:26" ht="12.75">
      <c r="A2925" s="10" t="str">
        <f ca="1">IFERROR(__xludf.DUMMYFUNCTION("""COMPUTED_VALUE"""),"Елена Игнатова Савова (Игнатова)")</f>
        <v>Елена Игнатова Савова (Игнатова)</v>
      </c>
      <c r="B2925" s="10" t="str">
        <f ca="1">IFERROR(__xludf.DUMMYFUNCTION("""COMPUTED_VALUE"""),"Статия в списания и поредици")</f>
        <v>Статия в списания и поредици</v>
      </c>
      <c r="C2925" s="10" t="str">
        <f ca="1">IFERROR(__xludf.DUMMYFUNCTION("""COMPUTED_VALUE"""),"E-Government services. Access to public information and the role of libraries and information centers.")</f>
        <v>E-Government services. Access to public information and the role of libraries and information centers.</v>
      </c>
      <c r="D2925" s="10">
        <f ca="1">IFERROR(__xludf.DUMMYFUNCTION("""COMPUTED_VALUE"""),2012)</f>
        <v>2012</v>
      </c>
      <c r="E2925" s="10" t="str">
        <f ca="1">IFERROR(__xludf.DUMMYFUNCTION("""COMPUTED_VALUE"""),"Library, Information and Cultural Heritage Managament. Textbook. Erasmus Intensive Program LibCMASS, Grant Agreement Reference Number: 2012-ERA-IP-11, p. 202-208. ISBN 978-954-2946-44-1.")</f>
        <v>Library, Information and Cultural Heritage Managament. Textbook. Erasmus Intensive Program LibCMASS, Grant Agreement Reference Number: 2012-ERA-IP-11, p. 202-208. ISBN 978-954-2946-44-1.</v>
      </c>
      <c r="F2925" s="10"/>
      <c r="G2925" s="10"/>
      <c r="H2925" s="10"/>
      <c r="I2925" s="10"/>
      <c r="J2925" s="10"/>
      <c r="K2925" s="10"/>
      <c r="L2925" s="10"/>
      <c r="M2925" s="10"/>
      <c r="N2925" s="10"/>
      <c r="O2925" s="10"/>
      <c r="P2925" s="10"/>
      <c r="Q2925" s="10"/>
      <c r="R2925" s="10"/>
      <c r="S2925" s="10"/>
      <c r="T2925" s="10"/>
      <c r="U2925" s="10"/>
      <c r="V2925" s="10"/>
      <c r="W2925" s="10"/>
      <c r="X2925" s="10"/>
      <c r="Y2925" s="10"/>
      <c r="Z2925" s="10"/>
    </row>
    <row r="2926" spans="1:26" ht="12.75">
      <c r="A2926" s="10" t="str">
        <f ca="1">IFERROR(__xludf.DUMMYFUNCTION("""COMPUTED_VALUE"""),"Елена Игнатова Савова (Игнатова)")</f>
        <v>Елена Игнатова Савова (Игнатова)</v>
      </c>
      <c r="B2926" s="10" t="str">
        <f ca="1">IFERROR(__xludf.DUMMYFUNCTION("""COMPUTED_VALUE"""),"Статия в списания и поредици")</f>
        <v>Статия в списания и поредици</v>
      </c>
      <c r="C2926" s="10" t="str">
        <f ca="1">IFERROR(__xludf.DUMMYFUNCTION("""COMPUTED_VALUE"""),"Иновационни процеси в библиотеките в съвременното информационно общество.")</f>
        <v>Иновационни процеси в библиотеките в съвременното информационно общество.</v>
      </c>
      <c r="D2926" s="10">
        <f ca="1">IFERROR(__xludf.DUMMYFUNCTION("""COMPUTED_VALUE"""),2011)</f>
        <v>2011</v>
      </c>
      <c r="E2926" s="10" t="str">
        <f ca="1">IFERROR(__xludf.DUMMYFUNCTION("""COMPUTED_VALUE"""),"1. Културно-историческото наследство: Образователни и научноизследователски аспекти. - София: За буквите - O писменехь, 2011. - с. 176-182. ISBN 978-954-294601-4.")</f>
        <v>1. Културно-историческото наследство: Образователни и научноизследователски аспекти. - София: За буквите - O писменехь, 2011. - с. 176-182. ISBN 978-954-294601-4.</v>
      </c>
      <c r="F2926" s="10"/>
      <c r="G2926" s="10"/>
      <c r="H2926" s="10"/>
      <c r="I2926" s="10"/>
      <c r="J2926" s="10"/>
      <c r="K2926" s="10"/>
      <c r="L2926" s="10"/>
      <c r="M2926" s="10"/>
      <c r="N2926" s="10"/>
      <c r="O2926" s="10"/>
      <c r="P2926" s="10"/>
      <c r="Q2926" s="10"/>
      <c r="R2926" s="10"/>
      <c r="S2926" s="10"/>
      <c r="T2926" s="10"/>
      <c r="U2926" s="10"/>
      <c r="V2926" s="10"/>
      <c r="W2926" s="10"/>
      <c r="X2926" s="10"/>
      <c r="Y2926" s="10"/>
      <c r="Z2926" s="10"/>
    </row>
    <row r="2927" spans="1:26" ht="12.75">
      <c r="A2927" s="10" t="str">
        <f ca="1">IFERROR(__xludf.DUMMYFUNCTION("""COMPUTED_VALUE"""),"Елена Игнатова Савова (Игнатова)")</f>
        <v>Елена Игнатова Савова (Игнатова)</v>
      </c>
      <c r="B2927" s="10" t="str">
        <f ca="1">IFERROR(__xludf.DUMMYFUNCTION("""COMPUTED_VALUE"""),"Доклад от конференция")</f>
        <v>Доклад от конференция</v>
      </c>
      <c r="C2927" s="10" t="str">
        <f ca="1">IFERROR(__xludf.DUMMYFUNCTION("""COMPUTED_VALUE"""),"Иновационните библиотечни процеси в обществото на знанието")</f>
        <v>Иновационните библиотечни процеси в обществото на знанието</v>
      </c>
      <c r="D2927" s="10">
        <f ca="1">IFERROR(__xludf.DUMMYFUNCTION("""COMPUTED_VALUE"""),2011)</f>
        <v>2011</v>
      </c>
      <c r="E2927" s="10" t="str">
        <f ca="1">IFERROR(__xludf.DUMMYFUNCTION("""COMPUTED_VALUE"""),"Книгата нашето по-смислено настояще.- София: За буквите – О писменехь, 2011, с.109-116. ISBN 978-954-2946-11-3.")</f>
        <v>Книгата нашето по-смислено настояще.- София: За буквите – О писменехь, 2011, с.109-116. ISBN 978-954-2946-11-3.</v>
      </c>
      <c r="F2927" s="10"/>
      <c r="G2927" s="10"/>
      <c r="H2927" s="10"/>
      <c r="I2927" s="10"/>
      <c r="J2927" s="10"/>
      <c r="K2927" s="10"/>
      <c r="L2927" s="10"/>
      <c r="M2927" s="10"/>
      <c r="N2927" s="10"/>
      <c r="O2927" s="10"/>
      <c r="P2927" s="10"/>
      <c r="Q2927" s="10"/>
      <c r="R2927" s="10"/>
      <c r="S2927" s="10"/>
      <c r="T2927" s="10"/>
      <c r="U2927" s="10"/>
      <c r="V2927" s="10"/>
      <c r="W2927" s="10"/>
      <c r="X2927" s="10"/>
      <c r="Y2927" s="10"/>
      <c r="Z2927" s="10"/>
    </row>
    <row r="2928" spans="1:26" ht="12.75">
      <c r="A2928" s="10" t="str">
        <f ca="1">IFERROR(__xludf.DUMMYFUNCTION("""COMPUTED_VALUE"""),"Елена Игнатова Савова (Игнатова)")</f>
        <v>Елена Игнатова Савова (Игнатова)</v>
      </c>
      <c r="B2928" s="10" t="str">
        <f ca="1">IFERROR(__xludf.DUMMYFUNCTION("""COMPUTED_VALUE"""),"Статия в списания и поредици")</f>
        <v>Статия в списания и поредици</v>
      </c>
      <c r="C2928" s="10" t="str">
        <f ca="1">IFERROR(__xludf.DUMMYFUNCTION("""COMPUTED_VALUE"""),"Предизвикателства и възможности на информационното обслужване в съвременната университетска библиотека.")</f>
        <v>Предизвикателства и възможности на информационното обслужване в съвременната университетска библиотека.</v>
      </c>
      <c r="D2928" s="10">
        <f ca="1">IFERROR(__xludf.DUMMYFUNCTION("""COMPUTED_VALUE"""),2010)</f>
        <v>2010</v>
      </c>
      <c r="E2928" s="10" t="str">
        <f ca="1">IFERROR(__xludf.DUMMYFUNCTION("""COMPUTED_VALUE"""),"Осма национална научна конференция „Библиотеки, четене, комуникации”, 17-18 ноември 2009, Велико Търново. – Велико Търново: Унив. изд. „Св.Св. Кирил и Методий“, 2010, с. 62-70. ISSN 1313-8138.")</f>
        <v>Осма национална научна конференция „Библиотеки, четене, комуникации”, 17-18 ноември 2009, Велико Търново. – Велико Търново: Унив. изд. „Св.Св. Кирил и Методий“, 2010, с. 62-70. ISSN 1313-8138.</v>
      </c>
      <c r="F2928" s="10"/>
      <c r="G2928" s="10" t="str">
        <f ca="1">IFERROR(__xludf.DUMMYFUNCTION("""COMPUTED_VALUE"""),"Иванка Янкова")</f>
        <v>Иванка Янкова</v>
      </c>
      <c r="H2928" s="10"/>
      <c r="I2928" s="10"/>
      <c r="J2928" s="10"/>
      <c r="K2928" s="10"/>
      <c r="L2928" s="10"/>
      <c r="M2928" s="10"/>
      <c r="N2928" s="10"/>
      <c r="O2928" s="10"/>
      <c r="P2928" s="10"/>
      <c r="Q2928" s="10"/>
      <c r="R2928" s="10"/>
      <c r="S2928" s="10"/>
      <c r="T2928" s="10"/>
      <c r="U2928" s="10"/>
      <c r="V2928" s="10"/>
      <c r="W2928" s="10"/>
      <c r="X2928" s="10"/>
      <c r="Y2928" s="10"/>
      <c r="Z2928" s="10"/>
    </row>
    <row r="2929" spans="1:26" ht="12.75">
      <c r="A2929" s="10" t="str">
        <f ca="1">IFERROR(__xludf.DUMMYFUNCTION("""COMPUTED_VALUE"""),"Елена Игнатова Савова (Игнатова)")</f>
        <v>Елена Игнатова Савова (Игнатова)</v>
      </c>
      <c r="B2929" s="10" t="str">
        <f ca="1">IFERROR(__xludf.DUMMYFUNCTION("""COMPUTED_VALUE"""),"Статия в списания и поредици")</f>
        <v>Статия в списания и поредици</v>
      </c>
      <c r="C2929" s="10" t="str">
        <f ca="1">IFERROR(__xludf.DUMMYFUNCTION("""COMPUTED_VALUE"""),"Конфликтологичната култура на библиотечния специалист като аспект от междуличностните отношения в съвременната библиотека.")</f>
        <v>Конфликтологичната култура на библиотечния специалист като аспект от междуличностните отношения в съвременната библиотека.</v>
      </c>
      <c r="D2929" s="10">
        <f ca="1">IFERROR(__xludf.DUMMYFUNCTION("""COMPUTED_VALUE"""),2010)</f>
        <v>2010</v>
      </c>
      <c r="E2929" s="10" t="str">
        <f ca="1">IFERROR(__xludf.DUMMYFUNCTION("""COMPUTED_VALUE"""),"Трудове на Специализираното висше училище по библиотекознание и информационни технологии, Том 8. - София : За буквите - О писменехь, 2010. - с. 433-442. ISSN 1312-5834.")</f>
        <v>Трудове на Специализираното висше училище по библиотекознание и информационни технологии, Том 8. - София : За буквите - О писменехь, 2010. - с. 433-442. ISSN 1312-5834.</v>
      </c>
      <c r="F2929" s="10"/>
      <c r="G2929" s="10" t="str">
        <f ca="1">IFERROR(__xludf.DUMMYFUNCTION("""COMPUTED_VALUE"""),"Събина Ефтимова")</f>
        <v>Събина Ефтимова</v>
      </c>
      <c r="H2929" s="10"/>
      <c r="I2929" s="10"/>
      <c r="J2929" s="10"/>
      <c r="K2929" s="10"/>
      <c r="L2929" s="10"/>
      <c r="M2929" s="10"/>
      <c r="N2929" s="10"/>
      <c r="O2929" s="10"/>
      <c r="P2929" s="10"/>
      <c r="Q2929" s="10"/>
      <c r="R2929" s="10"/>
      <c r="S2929" s="10"/>
      <c r="T2929" s="10"/>
      <c r="U2929" s="10"/>
      <c r="V2929" s="10"/>
      <c r="W2929" s="10"/>
      <c r="X2929" s="10"/>
      <c r="Y2929" s="10"/>
      <c r="Z2929" s="10"/>
    </row>
    <row r="2930" spans="1:26" ht="12.75">
      <c r="A2930" s="10" t="str">
        <f ca="1">IFERROR(__xludf.DUMMYFUNCTION("""COMPUTED_VALUE"""),"Елена Игнатова Савова (Игнатова)")</f>
        <v>Елена Игнатова Савова (Игнатова)</v>
      </c>
      <c r="B2930" s="10" t="str">
        <f ca="1">IFERROR(__xludf.DUMMYFUNCTION("""COMPUTED_VALUE"""),"Статия в списания и поредици")</f>
        <v>Статия в списания и поредици</v>
      </c>
      <c r="C2930" s="10" t="str">
        <f ca="1">IFERROR(__xludf.DUMMYFUNCTION("""COMPUTED_VALUE"""),"Полифункционална роля на комуникациите в библиотечно-информационна среда.")</f>
        <v>Полифункционална роля на комуникациите в библиотечно-информационна среда.</v>
      </c>
      <c r="D2930" s="10">
        <f ca="1">IFERROR(__xludf.DUMMYFUNCTION("""COMPUTED_VALUE"""),2010)</f>
        <v>2010</v>
      </c>
      <c r="E2930" s="10" t="str">
        <f ca="1">IFERROR(__xludf.DUMMYFUNCTION("""COMPUTED_VALUE"""),"Осма национална научна конференция „Библиотеки, четене, комуникации”, 17-18 ноември 2009, Велико Търново. – Велико Търново: Унив. изд. „Св.Св. Кирил и Методий“, 2010, с. 208-214. ISSN 1313-8138")</f>
        <v>Осма национална научна конференция „Библиотеки, четене, комуникации”, 17-18 ноември 2009, Велико Търново. – Велико Търново: Унив. изд. „Св.Св. Кирил и Методий“, 2010, с. 208-214. ISSN 1313-8138</v>
      </c>
      <c r="F2930" s="10"/>
      <c r="G2930" s="10" t="str">
        <f ca="1">IFERROR(__xludf.DUMMYFUNCTION("""COMPUTED_VALUE"""),"Събина Ефтимова")</f>
        <v>Събина Ефтимова</v>
      </c>
      <c r="H2930" s="10"/>
      <c r="I2930" s="10"/>
      <c r="J2930" s="10"/>
      <c r="K2930" s="10"/>
      <c r="L2930" s="10"/>
      <c r="M2930" s="10"/>
      <c r="N2930" s="10"/>
      <c r="O2930" s="10"/>
      <c r="P2930" s="10"/>
      <c r="Q2930" s="10"/>
      <c r="R2930" s="10"/>
      <c r="S2930" s="10"/>
      <c r="T2930" s="10"/>
      <c r="U2930" s="10"/>
      <c r="V2930" s="10"/>
      <c r="W2930" s="10"/>
      <c r="X2930" s="10"/>
      <c r="Y2930" s="10"/>
      <c r="Z2930" s="10"/>
    </row>
    <row r="2931" spans="1:26" ht="12.75">
      <c r="A2931" s="10" t="str">
        <f ca="1">IFERROR(__xludf.DUMMYFUNCTION("""COMPUTED_VALUE"""),"Елена Игнатова Савова (Игнатова)")</f>
        <v>Елена Игнатова Савова (Игнатова)</v>
      </c>
      <c r="B2931" s="10" t="str">
        <f ca="1">IFERROR(__xludf.DUMMYFUNCTION("""COMPUTED_VALUE"""),"Доклад от конференция")</f>
        <v>Доклад от конференция</v>
      </c>
      <c r="C2931" s="10" t="str">
        <f ca="1">IFERROR(__xludf.DUMMYFUNCTION("""COMPUTED_VALUE"""),"Приложение на съвременните библиотечно-информационни технологии в университетските библиотеки.")</f>
        <v>Приложение на съвременните библиотечно-информационни технологии в университетските библиотеки.</v>
      </c>
      <c r="D2931" s="10">
        <f ca="1">IFERROR(__xludf.DUMMYFUNCTION("""COMPUTED_VALUE"""),2010)</f>
        <v>2010</v>
      </c>
      <c r="E2931" s="10" t="str">
        <f ca="1">IFERROR(__xludf.DUMMYFUNCTION("""COMPUTED_VALUE"""),"VІІ Национална научна конференция с международно участие “България – кръстопът на култури и цивилизации”. - София: За буквите – О писменехь, 2010, с. 472-476. ISBN 978-954-8887-91-5.")</f>
        <v>VІІ Национална научна конференция с международно участие “България – кръстопът на култури и цивилизации”. - София: За буквите – О писменехь, 2010, с. 472-476. ISBN 978-954-8887-91-5.</v>
      </c>
      <c r="F2931" s="10"/>
      <c r="G2931" s="10" t="str">
        <f ca="1">IFERROR(__xludf.DUMMYFUNCTION("""COMPUTED_VALUE"""),"Събина Ефтимова")</f>
        <v>Събина Ефтимова</v>
      </c>
      <c r="H2931" s="10"/>
      <c r="I2931" s="10"/>
      <c r="J2931" s="10"/>
      <c r="K2931" s="10"/>
      <c r="L2931" s="10"/>
      <c r="M2931" s="10"/>
      <c r="N2931" s="10"/>
      <c r="O2931" s="10"/>
      <c r="P2931" s="10"/>
      <c r="Q2931" s="10"/>
      <c r="R2931" s="10"/>
      <c r="S2931" s="10"/>
      <c r="T2931" s="10"/>
      <c r="U2931" s="10"/>
      <c r="V2931" s="10"/>
      <c r="W2931" s="10"/>
      <c r="X2931" s="10"/>
      <c r="Y2931" s="10"/>
      <c r="Z2931" s="10"/>
    </row>
    <row r="2932" spans="1:26" ht="12.75">
      <c r="A2932" s="10" t="str">
        <f ca="1">IFERROR(__xludf.DUMMYFUNCTION("""COMPUTED_VALUE"""),"Елена Игнатова Савова (Игнатова)")</f>
        <v>Елена Игнатова Савова (Игнатова)</v>
      </c>
      <c r="B2932" s="10" t="str">
        <f ca="1">IFERROR(__xludf.DUMMYFUNCTION("""COMPUTED_VALUE"""),"Доклад от конференция")</f>
        <v>Доклад от конференция</v>
      </c>
      <c r="C2932" s="10" t="str">
        <f ca="1">IFERROR(__xludf.DUMMYFUNCTION("""COMPUTED_VALUE"""),"Специфика на междуличностните отношения в библиотеката.")</f>
        <v>Специфика на междуличностните отношения в библиотеката.</v>
      </c>
      <c r="D2932" s="10">
        <f ca="1">IFERROR(__xludf.DUMMYFUNCTION("""COMPUTED_VALUE"""),2010)</f>
        <v>2010</v>
      </c>
      <c r="E2932" s="10" t="str">
        <f ca="1">IFERROR(__xludf.DUMMYFUNCTION("""COMPUTED_VALUE"""),"Нови информационни технологии в образователния процес : Сб. от Доклади и съобщения от семинар на Специализираното висше у-ще по библиотекознание и информ. технологии, проведен в Хисаря на 27-29 март 2009 г. - София: За буквите - О писменехь, 2010, с. 97-1"&amp;"08. ISSN 1313-2768.")</f>
        <v>Нови информационни технологии в образователния процес : Сб. от Доклади и съобщения от семинар на Специализираното висше у-ще по библиотекознание и информ. технологии, проведен в Хисаря на 27-29 март 2009 г. - София: За буквите - О писменехь, 2010, с. 97-108. ISSN 1313-2768.</v>
      </c>
      <c r="F2932" s="10"/>
      <c r="G2932" s="10" t="str">
        <f ca="1">IFERROR(__xludf.DUMMYFUNCTION("""COMPUTED_VALUE"""),"Събина Ефтимова")</f>
        <v>Събина Ефтимова</v>
      </c>
      <c r="H2932" s="10"/>
      <c r="I2932" s="10"/>
      <c r="J2932" s="10"/>
      <c r="K2932" s="10"/>
      <c r="L2932" s="10"/>
      <c r="M2932" s="10"/>
      <c r="N2932" s="10"/>
      <c r="O2932" s="10"/>
      <c r="P2932" s="10"/>
      <c r="Q2932" s="10"/>
      <c r="R2932" s="10"/>
      <c r="S2932" s="10"/>
      <c r="T2932" s="10"/>
      <c r="U2932" s="10"/>
      <c r="V2932" s="10"/>
      <c r="W2932" s="10"/>
      <c r="X2932" s="10"/>
      <c r="Y2932" s="10"/>
      <c r="Z2932" s="10"/>
    </row>
    <row r="2933" spans="1:26" ht="12.75">
      <c r="A2933" s="10" t="str">
        <f ca="1">IFERROR(__xludf.DUMMYFUNCTION("""COMPUTED_VALUE"""),"Елена Игнатова Савова (Игнатова)")</f>
        <v>Елена Игнатова Савова (Игнатова)</v>
      </c>
      <c r="B2933" s="10" t="str">
        <f ca="1">IFERROR(__xludf.DUMMYFUNCTION("""COMPUTED_VALUE"""),"Доклад от конференция")</f>
        <v>Доклад от конференция</v>
      </c>
      <c r="C2933" s="10" t="str">
        <f ca="1">IFERROR(__xludf.DUMMYFUNCTION("""COMPUTED_VALUE"""),"Информационна картина на феномена ""личност"": Социалнопсихологичен и онтологичен дискурс (Емпирично изследване на Студентското научно общество при СВУБИТ).")</f>
        <v>Информационна картина на феномена "личност": Социалнопсихологичен и онтологичен дискурс (Емпирично изследване на Студентското научно общество при СВУБИТ).</v>
      </c>
      <c r="D2933" s="10">
        <f ca="1">IFERROR(__xludf.DUMMYFUNCTION("""COMPUTED_VALUE"""),2010)</f>
        <v>2010</v>
      </c>
      <c r="E2933" s="10" t="str">
        <f ca="1">IFERROR(__xludf.DUMMYFUNCTION("""COMPUTED_VALUE"""),"Нови информационни технологии в образователния процес : Сб. от Доклади и съобщения от семинар на Специализираното висше у-ще по библиотекознание и информ. технологии, проведен в Хисаря на 27-29 март 2009 г. - София: За буквите - О писменехь, 2010, с. 49-6"&amp;"0. ISSN 1313-2768.")</f>
        <v>Нови информационни технологии в образователния процес : Сб. от Доклади и съобщения от семинар на Специализираното висше у-ще по библиотекознание и информ. технологии, проведен в Хисаря на 27-29 март 2009 г. - София: За буквите - О писменехь, 2010, с. 49-60. ISSN 1313-2768.</v>
      </c>
      <c r="F2933" s="10"/>
      <c r="G2933" s="10" t="str">
        <f ca="1">IFERROR(__xludf.DUMMYFUNCTION("""COMPUTED_VALUE"""),"Александра Куманова, Пламена Златкова, Мария Никова.")</f>
        <v>Александра Куманова, Пламена Златкова, Мария Никова.</v>
      </c>
      <c r="H2933" s="10"/>
      <c r="I2933" s="10"/>
      <c r="J2933" s="10"/>
      <c r="K2933" s="10"/>
      <c r="L2933" s="10"/>
      <c r="M2933" s="10"/>
      <c r="N2933" s="10"/>
      <c r="O2933" s="10"/>
      <c r="P2933" s="10"/>
      <c r="Q2933" s="10"/>
      <c r="R2933" s="10"/>
      <c r="S2933" s="10"/>
      <c r="T2933" s="10"/>
      <c r="U2933" s="10"/>
      <c r="V2933" s="10"/>
      <c r="W2933" s="10"/>
      <c r="X2933" s="10"/>
      <c r="Y2933" s="10"/>
      <c r="Z2933" s="10"/>
    </row>
    <row r="2934" spans="1:26" ht="12.75">
      <c r="A2934" s="10" t="str">
        <f ca="1">IFERROR(__xludf.DUMMYFUNCTION("""COMPUTED_VALUE"""),"Елена Игнатова Савова (Игнатова)")</f>
        <v>Елена Игнатова Савова (Игнатова)</v>
      </c>
      <c r="B2934" s="10" t="str">
        <f ca="1">IFERROR(__xludf.DUMMYFUNCTION("""COMPUTED_VALUE"""),"Доклад от конференция")</f>
        <v>Доклад от конференция</v>
      </c>
      <c r="C2934" s="10" t="str">
        <f ca="1">IFERROR(__xludf.DUMMYFUNCTION("""COMPUTED_VALUE"""),"Специфика на управленските решения в библиотеката, интегрирани в съвременната информационна среда.")</f>
        <v>Специфика на управленските решения в библиотеката, интегрирани в съвременната информационна среда.</v>
      </c>
      <c r="D2934" s="10">
        <f ca="1">IFERROR(__xludf.DUMMYFUNCTION("""COMPUTED_VALUE"""),2010)</f>
        <v>2010</v>
      </c>
      <c r="E2934" s="10" t="str">
        <f ca="1">IFERROR(__xludf.DUMMYFUNCTION("""COMPUTED_VALUE"""),"Библиотечният мениджмънт – научни и практически аспекти: Сборник научни доклади и съобщения от втора научна конференция с международно участие,26-27 ноември 2009 г., ДИПКУ, гр. Варна, 2010. – с. 89-92. ISBN 978-954-400-249-7.")</f>
        <v>Библиотечният мениджмънт – научни и практически аспекти: Сборник научни доклади и съобщения от втора научна конференция с международно участие,26-27 ноември 2009 г., ДИПКУ, гр. Варна, 2010. – с. 89-92. ISBN 978-954-400-249-7.</v>
      </c>
      <c r="F2934" s="10"/>
      <c r="G2934" s="10" t="str">
        <f ca="1">IFERROR(__xludf.DUMMYFUNCTION("""COMPUTED_VALUE"""),"Събина Ефтимова")</f>
        <v>Събина Ефтимова</v>
      </c>
      <c r="H2934" s="10"/>
      <c r="I2934" s="10"/>
      <c r="J2934" s="10"/>
      <c r="K2934" s="10"/>
      <c r="L2934" s="10"/>
      <c r="M2934" s="10"/>
      <c r="N2934" s="10"/>
      <c r="O2934" s="10"/>
      <c r="P2934" s="10"/>
      <c r="Q2934" s="10"/>
      <c r="R2934" s="10"/>
      <c r="S2934" s="10"/>
      <c r="T2934" s="10"/>
      <c r="U2934" s="10"/>
      <c r="V2934" s="10"/>
      <c r="W2934" s="10"/>
      <c r="X2934" s="10"/>
      <c r="Y2934" s="10"/>
      <c r="Z2934" s="10"/>
    </row>
    <row r="2935" spans="1:26" ht="12.75">
      <c r="A2935" s="10" t="str">
        <f ca="1">IFERROR(__xludf.DUMMYFUNCTION("""COMPUTED_VALUE"""),"Елена Игнатова Савова (Игнатова)")</f>
        <v>Елена Игнатова Савова (Игнатова)</v>
      </c>
      <c r="B2935" s="10" t="str">
        <f ca="1">IFERROR(__xludf.DUMMYFUNCTION("""COMPUTED_VALUE"""),"Статия в списания и поредици")</f>
        <v>Статия в списания и поредици</v>
      </c>
      <c r="C2935" s="10" t="str">
        <f ca="1">IFERROR(__xludf.DUMMYFUNCTION("""COMPUTED_VALUE"""),"Библиотечно-информационният център.")</f>
        <v>Библиотечно-информационният център.</v>
      </c>
      <c r="D2935" s="10">
        <f ca="1">IFERROR(__xludf.DUMMYFUNCTION("""COMPUTED_VALUE"""),2010)</f>
        <v>2010</v>
      </c>
      <c r="E2935" s="10" t="str">
        <f ca="1">IFERROR(__xludf.DUMMYFUNCTION("""COMPUTED_VALUE"""),"Библиотека, 4/2010, с. 39-42. ISSN 0861-847X.")</f>
        <v>Библиотека, 4/2010, с. 39-42. ISSN 0861-847X.</v>
      </c>
      <c r="F2935" s="10"/>
      <c r="G2935" s="10" t="str">
        <f ca="1">IFERROR(__xludf.DUMMYFUNCTION("""COMPUTED_VALUE"""),"Ирена Петева")</f>
        <v>Ирена Петева</v>
      </c>
      <c r="H2935" s="10"/>
      <c r="I2935" s="10"/>
      <c r="J2935" s="10"/>
      <c r="K2935" s="10"/>
      <c r="L2935" s="10"/>
      <c r="M2935" s="10"/>
      <c r="N2935" s="10"/>
      <c r="O2935" s="10"/>
      <c r="P2935" s="10"/>
      <c r="Q2935" s="10"/>
      <c r="R2935" s="10"/>
      <c r="S2935" s="10"/>
      <c r="T2935" s="10"/>
      <c r="U2935" s="10"/>
      <c r="V2935" s="10"/>
      <c r="W2935" s="10"/>
      <c r="X2935" s="10"/>
      <c r="Y2935" s="10"/>
      <c r="Z2935" s="10"/>
    </row>
    <row r="2936" spans="1:26" ht="12.75">
      <c r="A2936" s="10" t="str">
        <f ca="1">IFERROR(__xludf.DUMMYFUNCTION("""COMPUTED_VALUE"""),"Елена Игнатова Савова (Игнатова)")</f>
        <v>Елена Игнатова Савова (Игнатова)</v>
      </c>
      <c r="B2936" s="10" t="str">
        <f ca="1">IFERROR(__xludf.DUMMYFUNCTION("""COMPUTED_VALUE"""),"Доклад от конференция")</f>
        <v>Доклад от конференция</v>
      </c>
      <c r="C2936" s="10" t="str">
        <f ca="1">IFERROR(__xludf.DUMMYFUNCTION("""COMPUTED_VALUE"""),"Изграждане на система за автоматизиране в библиотечно-информационния център на СВУБИТ.")</f>
        <v>Изграждане на система за автоматизиране в библиотечно-информационния център на СВУБИТ.</v>
      </c>
      <c r="D2936" s="10">
        <f ca="1">IFERROR(__xludf.DUMMYFUNCTION("""COMPUTED_VALUE"""),2010)</f>
        <v>2010</v>
      </c>
      <c r="E2936" s="10" t="str">
        <f ca="1">IFERROR(__xludf.DUMMYFUNCTION("""COMPUTED_VALUE"""),"Нови информационни технологии в образователния процес: Докл. и съобщ. семинар на СВУБИТ, Чифлика, Троянско. – София: За буквите – О писменехь, 2010. – с. 88-93. ISSN 1313-2768.")</f>
        <v>Нови информационни технологии в образователния процес: Докл. и съобщ. семинар на СВУБИТ, Чифлика, Троянско. – София: За буквите – О писменехь, 2010. – с. 88-93. ISSN 1313-2768.</v>
      </c>
      <c r="F2936" s="10"/>
      <c r="G2936" s="10" t="str">
        <f ca="1">IFERROR(__xludf.DUMMYFUNCTION("""COMPUTED_VALUE"""),"Събина Ефтимова")</f>
        <v>Събина Ефтимова</v>
      </c>
      <c r="H2936" s="10"/>
      <c r="I2936" s="10"/>
      <c r="J2936" s="10"/>
      <c r="K2936" s="10"/>
      <c r="L2936" s="10"/>
      <c r="M2936" s="10"/>
      <c r="N2936" s="10"/>
      <c r="O2936" s="10"/>
      <c r="P2936" s="10"/>
      <c r="Q2936" s="10"/>
      <c r="R2936" s="10"/>
      <c r="S2936" s="10"/>
      <c r="T2936" s="10"/>
      <c r="U2936" s="10"/>
      <c r="V2936" s="10"/>
      <c r="W2936" s="10"/>
      <c r="X2936" s="10"/>
      <c r="Y2936" s="10"/>
      <c r="Z2936" s="10"/>
    </row>
    <row r="2937" spans="1:26" ht="12.75">
      <c r="A2937" s="10" t="str">
        <f ca="1">IFERROR(__xludf.DUMMYFUNCTION("""COMPUTED_VALUE"""),"Елена Игнатова Савова (Игнатова)")</f>
        <v>Елена Игнатова Савова (Игнатова)</v>
      </c>
      <c r="B2937" s="10" t="str">
        <f ca="1">IFERROR(__xludf.DUMMYFUNCTION("""COMPUTED_VALUE"""),"Книга")</f>
        <v>Книга</v>
      </c>
      <c r="C2937" s="10" t="str">
        <f ca="1">IFERROR(__xludf.DUMMYFUNCTION("""COMPUTED_VALUE"""),"Международна политика и сигурност : Библиографски указател.")</f>
        <v>Международна политика и сигурност : Библиографски указател.</v>
      </c>
      <c r="D2937" s="10">
        <f ca="1">IFERROR(__xludf.DUMMYFUNCTION("""COMPUTED_VALUE"""),2009)</f>
        <v>2009</v>
      </c>
      <c r="E2937" s="10" t="str">
        <f ca="1">IFERROR(__xludf.DUMMYFUNCTION("""COMPUTED_VALUE"""),"София : За буквите - О писменехь, 2009. - 345 с. ISBN 978-954-8887-61-8.")</f>
        <v>София : За буквите - О писменехь, 2009. - 345 с. ISBN 978-954-8887-61-8.</v>
      </c>
      <c r="F2937" s="10"/>
      <c r="G2937" s="10" t="str">
        <f ca="1">IFERROR(__xludf.DUMMYFUNCTION("""COMPUTED_VALUE"""),"Ирена Петева, Стоян Денчев, Иван Попов, Стефка Дачева, Жана Йорданова")</f>
        <v>Ирена Петева, Стоян Денчев, Иван Попов, Стефка Дачева, Жана Йорданова</v>
      </c>
      <c r="H2937" s="10"/>
      <c r="I2937" s="10"/>
      <c r="J2937" s="10"/>
      <c r="K2937" s="10"/>
      <c r="L2937" s="10"/>
      <c r="M2937" s="10"/>
      <c r="N2937" s="10"/>
      <c r="O2937" s="10"/>
      <c r="P2937" s="10"/>
      <c r="Q2937" s="10"/>
      <c r="R2937" s="10"/>
      <c r="S2937" s="10"/>
      <c r="T2937" s="10"/>
      <c r="U2937" s="10"/>
      <c r="V2937" s="10"/>
      <c r="W2937" s="10"/>
      <c r="X2937" s="10"/>
      <c r="Y2937" s="10"/>
      <c r="Z2937" s="10"/>
    </row>
    <row r="2938" spans="1:26" ht="12.75">
      <c r="A2938" s="10" t="str">
        <f ca="1">IFERROR(__xludf.DUMMYFUNCTION("""COMPUTED_VALUE"""),"Елена Игнатова Савова (Игнатова)")</f>
        <v>Елена Игнатова Савова (Игнатова)</v>
      </c>
      <c r="B2938" s="10" t="str">
        <f ca="1">IFERROR(__xludf.DUMMYFUNCTION("""COMPUTED_VALUE"""),"Доклад от конференция")</f>
        <v>Доклад от конференция</v>
      </c>
      <c r="C2938" s="10" t="str">
        <f ca="1">IFERROR(__xludf.DUMMYFUNCTION("""COMPUTED_VALUE"""),"Научноизследователското творчество на членовете на Студентското научно общество на СВУБИТ.")</f>
        <v>Научноизследователското творчество на членовете на Студентското научно общество на СВУБИТ.</v>
      </c>
      <c r="D2938" s="10">
        <f ca="1">IFERROR(__xludf.DUMMYFUNCTION("""COMPUTED_VALUE"""),2009)</f>
        <v>2009</v>
      </c>
      <c r="E2938" s="10" t="str">
        <f ca="1">IFERROR(__xludf.DUMMYFUNCTION("""COMPUTED_VALUE"""),"Нови информационни технологии в образователния процес: Доклади и съобщения от Третия научен семинар на СВУБИТ, проведен в Слънчев бряг на 8-10 май 2008. - София: За буквите - О писменехь, 2009, с. 111-150. ISSN 1313-2768.")</f>
        <v>Нови информационни технологии в образователния процес: Доклади и съобщения от Третия научен семинар на СВУБИТ, проведен в Слънчев бряг на 8-10 май 2008. - София: За буквите - О писменехь, 2009, с. 111-150. ISSN 1313-2768.</v>
      </c>
      <c r="F2938" s="10"/>
      <c r="G2938" s="10" t="str">
        <f ca="1">IFERROR(__xludf.DUMMYFUNCTION("""COMPUTED_VALUE"""),"Стоян Денчев, Александра Куманова, Иглика Гетова-Златева, Пламена Попова, Светла Шапкалова, Пламена Златкова, Събина Ефтимова, Гергана Трифонова.")</f>
        <v>Стоян Денчев, Александра Куманова, Иглика Гетова-Златева, Пламена Попова, Светла Шапкалова, Пламена Златкова, Събина Ефтимова, Гергана Трифонова.</v>
      </c>
      <c r="H2938" s="10"/>
      <c r="I2938" s="10"/>
      <c r="J2938" s="10"/>
      <c r="K2938" s="10"/>
      <c r="L2938" s="10"/>
      <c r="M2938" s="10"/>
      <c r="N2938" s="10"/>
      <c r="O2938" s="10"/>
      <c r="P2938" s="10"/>
      <c r="Q2938" s="10"/>
      <c r="R2938" s="10"/>
      <c r="S2938" s="10"/>
      <c r="T2938" s="10"/>
      <c r="U2938" s="10"/>
      <c r="V2938" s="10"/>
      <c r="W2938" s="10"/>
      <c r="X2938" s="10"/>
      <c r="Y2938" s="10"/>
      <c r="Z2938" s="10"/>
    </row>
    <row r="2939" spans="1:26" ht="12.75">
      <c r="A2939" s="10" t="str">
        <f ca="1">IFERROR(__xludf.DUMMYFUNCTION("""COMPUTED_VALUE"""),"Елена Игнатова Савова (Игнатова)")</f>
        <v>Елена Игнатова Савова (Игнатова)</v>
      </c>
      <c r="B2939" s="10" t="str">
        <f ca="1">IFERROR(__xludf.DUMMYFUNCTION("""COMPUTED_VALUE"""),"Статия в списания и поредици")</f>
        <v>Статия в списания и поредици</v>
      </c>
      <c r="C2939" s="10" t="str">
        <f ca="1">IFERROR(__xludf.DUMMYFUNCTION("""COMPUTED_VALUE"""),"Ролята на библиотечния мениджър за формиране на ефективен екип.")</f>
        <v>Ролята на библиотечния мениджър за формиране на ефективен екип.</v>
      </c>
      <c r="D2939" s="10">
        <f ca="1">IFERROR(__xludf.DUMMYFUNCTION("""COMPUTED_VALUE"""),2009)</f>
        <v>2009</v>
      </c>
      <c r="E2939" s="10" t="str">
        <f ca="1">IFERROR(__xludf.DUMMYFUNCTION("""COMPUTED_VALUE"""),"Издател, 2009, № 1-2, с. 45-48, ISSN 1310-4624.")</f>
        <v>Издател, 2009, № 1-2, с. 45-48, ISSN 1310-4624.</v>
      </c>
      <c r="F2939" s="10"/>
      <c r="G2939" s="10" t="str">
        <f ca="1">IFERROR(__xludf.DUMMYFUNCTION("""COMPUTED_VALUE"""),"Събина Ефтимова")</f>
        <v>Събина Ефтимова</v>
      </c>
      <c r="H2939" s="10"/>
      <c r="I2939" s="10"/>
      <c r="J2939" s="10"/>
      <c r="K2939" s="10"/>
      <c r="L2939" s="10"/>
      <c r="M2939" s="10"/>
      <c r="N2939" s="10"/>
      <c r="O2939" s="10"/>
      <c r="P2939" s="10"/>
      <c r="Q2939" s="10"/>
      <c r="R2939" s="10"/>
      <c r="S2939" s="10"/>
      <c r="T2939" s="10"/>
      <c r="U2939" s="10"/>
      <c r="V2939" s="10"/>
      <c r="W2939" s="10"/>
      <c r="X2939" s="10"/>
      <c r="Y2939" s="10"/>
      <c r="Z2939" s="10"/>
    </row>
    <row r="2940" spans="1:26" ht="12.75">
      <c r="A2940" s="10" t="str">
        <f ca="1">IFERROR(__xludf.DUMMYFUNCTION("""COMPUTED_VALUE"""),"Елена Игнатова Савова (Игнатова)")</f>
        <v>Елена Игнатова Савова (Игнатова)</v>
      </c>
      <c r="B2940" s="10" t="str">
        <f ca="1">IFERROR(__xludf.DUMMYFUNCTION("""COMPUTED_VALUE"""),"Доклад от конференция")</f>
        <v>Доклад от конференция</v>
      </c>
      <c r="C2940" s="10" t="str">
        <f ca="1">IFERROR(__xludf.DUMMYFUNCTION("""COMPUTED_VALUE"""),"Мисията на БИЦ: Съхраняване на българската идентичност в европейското информационно пространство.")</f>
        <v>Мисията на БИЦ: Съхраняване на българската идентичност в европейското информационно пространство.</v>
      </c>
      <c r="D2940" s="10">
        <f ca="1">IFERROR(__xludf.DUMMYFUNCTION("""COMPUTED_VALUE"""),2009)</f>
        <v>2009</v>
      </c>
      <c r="E2940" s="10" t="str">
        <f ca="1">IFERROR(__xludf.DUMMYFUNCTION("""COMPUTED_VALUE"""),"Университетските библиотеки – мост към единното европейско образователно пространство: Сборник.- София: УИ „Св. Климент Охридски“, 2009, с. 132-135. ISBN 978-954-07-2984-8.")</f>
        <v>Университетските библиотеки – мост към единното европейско образователно пространство: Сборник.- София: УИ „Св. Климент Охридски“, 2009, с. 132-135. ISBN 978-954-07-2984-8.</v>
      </c>
      <c r="F2940" s="10"/>
      <c r="G2940" s="10" t="str">
        <f ca="1">IFERROR(__xludf.DUMMYFUNCTION("""COMPUTED_VALUE"""),"Ирена Петева")</f>
        <v>Ирена Петева</v>
      </c>
      <c r="H2940" s="10"/>
      <c r="I2940" s="10"/>
      <c r="J2940" s="10"/>
      <c r="K2940" s="10"/>
      <c r="L2940" s="10"/>
      <c r="M2940" s="10"/>
      <c r="N2940" s="10"/>
      <c r="O2940" s="10"/>
      <c r="P2940" s="10"/>
      <c r="Q2940" s="10"/>
      <c r="R2940" s="10"/>
      <c r="S2940" s="10"/>
      <c r="T2940" s="10"/>
      <c r="U2940" s="10"/>
      <c r="V2940" s="10"/>
      <c r="W2940" s="10"/>
      <c r="X2940" s="10"/>
      <c r="Y2940" s="10"/>
      <c r="Z2940" s="10"/>
    </row>
    <row r="2941" spans="1:26" ht="12.75">
      <c r="A2941" s="10" t="str">
        <f ca="1">IFERROR(__xludf.DUMMYFUNCTION("""COMPUTED_VALUE"""),"Елена Игнатова Савова (Игнатова)")</f>
        <v>Елена Игнатова Савова (Игнатова)</v>
      </c>
      <c r="B2941" s="10" t="str">
        <f ca="1">IFERROR(__xludf.DUMMYFUNCTION("""COMPUTED_VALUE"""),"Статия в списания и поредици")</f>
        <v>Статия в списания и поредици</v>
      </c>
      <c r="C2941" s="10" t="str">
        <f ca="1">IFERROR(__xludf.DUMMYFUNCTION("""COMPUTED_VALUE"""),"Библиотеката на ХХІ век – успешно съчетание между традиция и съвременност.")</f>
        <v>Библиотеката на ХХІ век – успешно съчетание между традиция и съвременност.</v>
      </c>
      <c r="D2941" s="10">
        <f ca="1">IFERROR(__xludf.DUMMYFUNCTION("""COMPUTED_VALUE"""),2009)</f>
        <v>2009</v>
      </c>
      <c r="E2941" s="10" t="str">
        <f ca="1">IFERROR(__xludf.DUMMYFUNCTION("""COMPUTED_VALUE"""),"Сборник Добри библиотечни практики. – София: За буквите – О писменехь, 2009, с. 108-112. ISBN 978-954-9437-09-6.")</f>
        <v>Сборник Добри библиотечни практики. – София: За буквите – О писменехь, 2009, с. 108-112. ISBN 978-954-9437-09-6.</v>
      </c>
      <c r="F2941" s="10"/>
      <c r="G2941" s="10"/>
      <c r="H2941" s="10"/>
      <c r="I2941" s="10"/>
      <c r="J2941" s="10"/>
      <c r="K2941" s="10"/>
      <c r="L2941" s="10"/>
      <c r="M2941" s="10"/>
      <c r="N2941" s="10"/>
      <c r="O2941" s="10"/>
      <c r="P2941" s="10"/>
      <c r="Q2941" s="10"/>
      <c r="R2941" s="10"/>
      <c r="S2941" s="10"/>
      <c r="T2941" s="10"/>
      <c r="U2941" s="10"/>
      <c r="V2941" s="10"/>
      <c r="W2941" s="10"/>
      <c r="X2941" s="10"/>
      <c r="Y2941" s="10"/>
      <c r="Z2941" s="10"/>
    </row>
    <row r="2942" spans="1:26" ht="12.75">
      <c r="A2942" s="10" t="str">
        <f ca="1">IFERROR(__xludf.DUMMYFUNCTION("""COMPUTED_VALUE"""),"Елена Игнатова Савова (Игнатова)")</f>
        <v>Елена Игнатова Савова (Игнатова)</v>
      </c>
      <c r="B2942" s="10" t="str">
        <f ca="1">IFERROR(__xludf.DUMMYFUNCTION("""COMPUTED_VALUE"""),"Статия в списания и поредици")</f>
        <v>Статия в списания и поредици</v>
      </c>
      <c r="C2942" s="10" t="str">
        <f ca="1">IFERROR(__xludf.DUMMYFUNCTION("""COMPUTED_VALUE"""),"Информационната компетентност, основана на RFID технологията в библиотечната дейност.")</f>
        <v>Информационната компетентност, основана на RFID технологията в библиотечната дейност.</v>
      </c>
      <c r="D2942" s="10">
        <f ca="1">IFERROR(__xludf.DUMMYFUNCTION("""COMPUTED_VALUE"""),2009)</f>
        <v>2009</v>
      </c>
      <c r="E2942" s="10" t="str">
        <f ca="1">IFERROR(__xludf.DUMMYFUNCTION("""COMPUTED_VALUE"""),"Наръчник по информационна компетентност.- София: “WINI- 1837”, 2009, с. 99-105. ISBN 978-954-9437-08-9.")</f>
        <v>Наръчник по информационна компетентност.- София: “WINI- 1837”, 2009, с. 99-105. ISBN 978-954-9437-08-9.</v>
      </c>
      <c r="F2942" s="10"/>
      <c r="G2942" s="10"/>
      <c r="H2942" s="10"/>
      <c r="I2942" s="10"/>
      <c r="J2942" s="10"/>
      <c r="K2942" s="10"/>
      <c r="L2942" s="10"/>
      <c r="M2942" s="10"/>
      <c r="N2942" s="10"/>
      <c r="O2942" s="10"/>
      <c r="P2942" s="10"/>
      <c r="Q2942" s="10"/>
      <c r="R2942" s="10"/>
      <c r="S2942" s="10"/>
      <c r="T2942" s="10"/>
      <c r="U2942" s="10"/>
      <c r="V2942" s="10"/>
      <c r="W2942" s="10"/>
      <c r="X2942" s="10"/>
      <c r="Y2942" s="10"/>
      <c r="Z2942" s="10"/>
    </row>
    <row r="2943" spans="1:26" ht="12.75">
      <c r="A2943" s="10" t="str">
        <f ca="1">IFERROR(__xludf.DUMMYFUNCTION("""COMPUTED_VALUE"""),"Елена Игнатова Савова (Игнатова)")</f>
        <v>Елена Игнатова Савова (Игнатова)</v>
      </c>
      <c r="B2943" s="10" t="str">
        <f ca="1">IFERROR(__xludf.DUMMYFUNCTION("""COMPUTED_VALUE"""),"Доклад от конференция")</f>
        <v>Доклад от конференция</v>
      </c>
      <c r="C2943" s="10" t="str">
        <f ca="1">IFERROR(__xludf.DUMMYFUNCTION("""COMPUTED_VALUE"""),"Ролята на PATLIB и IP Point в сферата на информационните услуги. База данни ""ESPACE - PRECES"", достъпна в IP Point-а на СВУБИТ.")</f>
        <v>Ролята на PATLIB и IP Point в сферата на информационните услуги. База данни "ESPACE - PRECES", достъпна в IP Point-а на СВУБИТ.</v>
      </c>
      <c r="D2943" s="10">
        <f ca="1">IFERROR(__xludf.DUMMYFUNCTION("""COMPUTED_VALUE"""),2009)</f>
        <v>2009</v>
      </c>
      <c r="E2943" s="10" t="str">
        <f ca="1">IFERROR(__xludf.DUMMYFUNCTION("""COMPUTED_VALUE"""),"Нови информационни технологии в образователния процес: Доклади и съобщения от Третия научен семинар на СВУБИТ, проведен в Слънчев бряг на 8-10 май 2008. - София: За буквите - О писменехь, 2009, с. 151-162. ISSN 1313-2768.")</f>
        <v>Нови информационни технологии в образователния процес: Доклади и съобщения от Третия научен семинар на СВУБИТ, проведен в Слънчев бряг на 8-10 май 2008. - София: За буквите - О писменехь, 2009, с. 151-162. ISSN 1313-2768.</v>
      </c>
      <c r="F2943" s="10"/>
      <c r="G2943" s="10" t="str">
        <f ca="1">IFERROR(__xludf.DUMMYFUNCTION("""COMPUTED_VALUE"""),"Севдалина Гълъбова")</f>
        <v>Севдалина Гълъбова</v>
      </c>
      <c r="H2943" s="10"/>
      <c r="I2943" s="10"/>
      <c r="J2943" s="10"/>
      <c r="K2943" s="10"/>
      <c r="L2943" s="10"/>
      <c r="M2943" s="10"/>
      <c r="N2943" s="10"/>
      <c r="O2943" s="10"/>
      <c r="P2943" s="10"/>
      <c r="Q2943" s="10"/>
      <c r="R2943" s="10"/>
      <c r="S2943" s="10"/>
      <c r="T2943" s="10"/>
      <c r="U2943" s="10"/>
      <c r="V2943" s="10"/>
      <c r="W2943" s="10"/>
      <c r="X2943" s="10"/>
      <c r="Y2943" s="10"/>
      <c r="Z2943" s="10"/>
    </row>
    <row r="2944" spans="1:26" ht="12.75">
      <c r="A2944" s="10" t="str">
        <f ca="1">IFERROR(__xludf.DUMMYFUNCTION("""COMPUTED_VALUE"""),"Елена Игнатова Савова (Игнатова)")</f>
        <v>Елена Игнатова Савова (Игнатова)</v>
      </c>
      <c r="B2944" s="10" t="str">
        <f ca="1">IFERROR(__xludf.DUMMYFUNCTION("""COMPUTED_VALUE"""),"Статия в списания и поредици")</f>
        <v>Статия в списания и поредици</v>
      </c>
      <c r="C2944" s="10" t="str">
        <f ca="1">IFERROR(__xludf.DUMMYFUNCTION("""COMPUTED_VALUE"""),"Информационното обслужване, базирано на RFID технологията.")</f>
        <v>Информационното обслужване, базирано на RFID технологията.</v>
      </c>
      <c r="D2944" s="10">
        <f ca="1">IFERROR(__xludf.DUMMYFUNCTION("""COMPUTED_VALUE"""),2008)</f>
        <v>2008</v>
      </c>
      <c r="E2944" s="10" t="str">
        <f ca="1">IFERROR(__xludf.DUMMYFUNCTION("""COMPUTED_VALUE"""),"Трудове на СВУБИТ. – Т. 7.- София: За буквите – О писменехь, 2008. с. 139-144. ISSN 1312-5834.")</f>
        <v>Трудове на СВУБИТ. – Т. 7.- София: За буквите – О писменехь, 2008. с. 139-144. ISSN 1312-5834.</v>
      </c>
      <c r="F2944" s="10"/>
      <c r="G2944" s="10" t="str">
        <f ca="1">IFERROR(__xludf.DUMMYFUNCTION("""COMPUTED_VALUE"""),"Събина Ефтимова")</f>
        <v>Събина Ефтимова</v>
      </c>
      <c r="H2944" s="10"/>
      <c r="I2944" s="10"/>
      <c r="J2944" s="10"/>
      <c r="K2944" s="10"/>
      <c r="L2944" s="10"/>
      <c r="M2944" s="10"/>
      <c r="N2944" s="10"/>
      <c r="O2944" s="10"/>
      <c r="P2944" s="10"/>
      <c r="Q2944" s="10"/>
      <c r="R2944" s="10"/>
      <c r="S2944" s="10"/>
      <c r="T2944" s="10"/>
      <c r="U2944" s="10"/>
      <c r="V2944" s="10"/>
      <c r="W2944" s="10"/>
      <c r="X2944" s="10"/>
      <c r="Y2944" s="10"/>
      <c r="Z2944" s="10"/>
    </row>
    <row r="2945" spans="1:26" ht="12.75">
      <c r="A2945" s="10" t="str">
        <f ca="1">IFERROR(__xludf.DUMMYFUNCTION("""COMPUTED_VALUE"""),"Елена Игнатова Савова (Игнатова)")</f>
        <v>Елена Игнатова Савова (Игнатова)</v>
      </c>
      <c r="B2945" s="10" t="str">
        <f ca="1">IFERROR(__xludf.DUMMYFUNCTION("""COMPUTED_VALUE"""),"Доклад от конференция")</f>
        <v>Доклад от конференция</v>
      </c>
      <c r="C2945" s="10" t="str">
        <f ca="1">IFERROR(__xludf.DUMMYFUNCTION("""COMPUTED_VALUE"""),"Application of RFID technologies in the library of the state university of library stadies and information technologies.")</f>
        <v>Application of RFID technologies in the library of the state university of library stadies and information technologies.</v>
      </c>
      <c r="D2945" s="10">
        <f ca="1">IFERROR(__xludf.DUMMYFUNCTION("""COMPUTED_VALUE"""),2008)</f>
        <v>2008</v>
      </c>
      <c r="E2945" s="10" t="str">
        <f ca="1">IFERROR(__xludf.DUMMYFUNCTION("""COMPUTED_VALUE"""),"""Information-Documentation Management and Cooperation Among the Libraries in the Balkan Countries"" Symposium papers, 5-7 June 2008, Edirne/Turkey, pp. 353-356. ISBN 9789753740906.")</f>
        <v>"Information-Documentation Management and Cooperation Among the Libraries in the Balkan Countries" Symposium papers, 5-7 June 2008, Edirne/Turkey, pp. 353-356. ISBN 9789753740906.</v>
      </c>
      <c r="F2945" s="10"/>
      <c r="G2945" s="10" t="str">
        <f ca="1">IFERROR(__xludf.DUMMYFUNCTION("""COMPUTED_VALUE"""),"S. Eftimova")</f>
        <v>S. Eftimova</v>
      </c>
      <c r="H2945" s="10"/>
      <c r="I2945" s="10"/>
      <c r="J2945" s="10"/>
      <c r="K2945" s="10"/>
      <c r="L2945" s="10"/>
      <c r="M2945" s="10"/>
      <c r="N2945" s="10"/>
      <c r="O2945" s="10"/>
      <c r="P2945" s="10"/>
      <c r="Q2945" s="10"/>
      <c r="R2945" s="10"/>
      <c r="S2945" s="10"/>
      <c r="T2945" s="10"/>
      <c r="U2945" s="10"/>
      <c r="V2945" s="10"/>
      <c r="W2945" s="10"/>
      <c r="X2945" s="10"/>
      <c r="Y2945" s="10"/>
      <c r="Z2945" s="10"/>
    </row>
    <row r="2946" spans="1:26" ht="12.75">
      <c r="A2946" s="10" t="str">
        <f ca="1">IFERROR(__xludf.DUMMYFUNCTION("""COMPUTED_VALUE"""),"Елисавета Димитрова Цветкова")</f>
        <v>Елисавета Димитрова Цветкова</v>
      </c>
      <c r="B2946" s="10" t="str">
        <f ca="1">IFERROR(__xludf.DUMMYFUNCTION("""COMPUTED_VALUE"""),"Доклад от конференция")</f>
        <v>Доклад от конференция</v>
      </c>
      <c r="C2946" s="10" t="str">
        <f ca="1">IFERROR(__xludf.DUMMYFUNCTION("""COMPUTED_VALUE"""),"E-lending: the Benefits and Opportunities for Libraries")</f>
        <v>E-lending: the Benefits and Opportunities for Libraries</v>
      </c>
      <c r="D2946" s="10">
        <f ca="1">IFERROR(__xludf.DUMMYFUNCTION("""COMPUTED_VALUE"""),2020)</f>
        <v>2020</v>
      </c>
      <c r="E2946" s="10" t="str">
        <f ca="1">IFERROR(__xludf.DUMMYFUNCTION("""COMPUTED_VALUE"""),"INTED2020 Proceedings: 14th International Technology, Education and Development Conference, 2nd-4th March, 2020, Valencia, Spain / Ed. by L. Gómez Chova, A. López Martínez, I. Candel Torres. – Valencia: IATED Academy, 2020, p. 5418-5422. ISBN: 978-84-09-1"&amp;"7939-8; ISSN: 2340-1079.")</f>
        <v>INTED2020 Proceedings: 14th International Technology, Education and Development Conference, 2nd-4th March, 2020, Valencia, Spain / Ed. by L. Gómez Chova, A. López Martínez, I. Candel Torres. – Valencia: IATED Academy, 2020, p. 5418-5422. ISBN: 978-84-09-17939-8; ISSN: 2340-1079.</v>
      </c>
      <c r="F2946" s="10" t="str">
        <f ca="1">IFERROR(__xludf.DUMMYFUNCTION("""COMPUTED_VALUE"""),"ISI Conference Proceedings Citation Index (Web of Science)")</f>
        <v>ISI Conference Proceedings Citation Index (Web of Science)</v>
      </c>
      <c r="G2946" s="10" t="str">
        <f ca="1">IFERROR(__xludf.DUMMYFUNCTION("""COMPUTED_VALUE"""),"I. Peteva, S. Denchev")</f>
        <v>I. Peteva, S. Denchev</v>
      </c>
      <c r="H2946" s="10"/>
      <c r="I2946" s="10"/>
      <c r="J2946" s="10"/>
      <c r="K2946" s="10"/>
      <c r="L2946" s="10"/>
      <c r="M2946" s="10"/>
      <c r="N2946" s="10"/>
      <c r="O2946" s="10"/>
      <c r="P2946" s="10"/>
      <c r="Q2946" s="10"/>
      <c r="R2946" s="10"/>
      <c r="S2946" s="10"/>
      <c r="T2946" s="10"/>
      <c r="U2946" s="10"/>
      <c r="V2946" s="10"/>
      <c r="W2946" s="10"/>
      <c r="X2946" s="10"/>
      <c r="Y2946" s="10"/>
      <c r="Z2946" s="10"/>
    </row>
    <row r="2947" spans="1:26" ht="12.75">
      <c r="A2947" s="10" t="str">
        <f ca="1">IFERROR(__xludf.DUMMYFUNCTION("""COMPUTED_VALUE"""),"Елисавета Димитрова Цветкова")</f>
        <v>Елисавета Димитрова Цветкова</v>
      </c>
      <c r="B2947" s="10" t="str">
        <f ca="1">IFERROR(__xludf.DUMMYFUNCTION("""COMPUTED_VALUE"""),"Доклад от конференция")</f>
        <v>Доклад от конференция</v>
      </c>
      <c r="C2947" s="10" t="str">
        <f ca="1">IFERROR(__xludf.DUMMYFUNCTION("""COMPUTED_VALUE"""),"Emerging Mobile and Tablet Technologies in Education: Access to Library Services and Resources")</f>
        <v>Emerging Mobile and Tablet Technologies in Education: Access to Library Services and Resources</v>
      </c>
      <c r="D2947" s="10">
        <f ca="1">IFERROR(__xludf.DUMMYFUNCTION("""COMPUTED_VALUE"""),2020)</f>
        <v>2020</v>
      </c>
      <c r="E2947" s="10" t="str">
        <f ca="1">IFERROR(__xludf.DUMMYFUNCTION("""COMPUTED_VALUE"""),"EDULEARN20 Proceedings: 12th International Conference on Education and New Learning Technologies, 6th-7th July, 2020, Spain / Ed. by L. Gómez Chova, A. López Martínez, I. Candel Torres. – Palma: IATED Academy, 2020, p. 681-690. 
 ISBN: 978-84-09-17979-4; "&amp;"ISSN: 2340-1117.")</f>
        <v>EDULEARN20 Proceedings: 12th International Conference on Education and New Learning Technologies, 6th-7th July, 2020, Spain / Ed. by L. Gómez Chova, A. López Martínez, I. Candel Torres. – Palma: IATED Academy, 2020, p. 681-690. 
 ISBN: 978-84-09-17979-4; ISSN: 2340-1117.</v>
      </c>
      <c r="F2947" s="10" t="str">
        <f ca="1">IFERROR(__xludf.DUMMYFUNCTION("""COMPUTED_VALUE"""),"Web of Science")</f>
        <v>Web of Science</v>
      </c>
      <c r="G2947" s="10" t="str">
        <f ca="1">IFERROR(__xludf.DUMMYFUNCTION("""COMPUTED_VALUE"""),"R. Manolova, K. Planska-Simeonova")</f>
        <v>R. Manolova, K. Planska-Simeonova</v>
      </c>
      <c r="H2947" s="10"/>
      <c r="I2947" s="10"/>
      <c r="J2947" s="10"/>
      <c r="K2947" s="10"/>
      <c r="L2947" s="10"/>
      <c r="M2947" s="10"/>
      <c r="N2947" s="10"/>
      <c r="O2947" s="10"/>
      <c r="P2947" s="10"/>
      <c r="Q2947" s="10"/>
      <c r="R2947" s="10"/>
      <c r="S2947" s="10"/>
      <c r="T2947" s="10"/>
      <c r="U2947" s="10"/>
      <c r="V2947" s="10"/>
      <c r="W2947" s="10"/>
      <c r="X2947" s="10"/>
      <c r="Y2947" s="10"/>
      <c r="Z2947" s="10"/>
    </row>
    <row r="2948" spans="1:26" ht="12.75">
      <c r="A2948" s="10" t="str">
        <f ca="1">IFERROR(__xludf.DUMMYFUNCTION("""COMPUTED_VALUE"""),"Елисавета Димитрова Цветкова")</f>
        <v>Елисавета Димитрова Цветкова</v>
      </c>
      <c r="B2948" s="10" t="str">
        <f ca="1">IFERROR(__xludf.DUMMYFUNCTION("""COMPUTED_VALUE"""),"Статия в списания и поредици")</f>
        <v>Статия в списания и поредици</v>
      </c>
      <c r="C2948" s="10" t="str">
        <f ca="1">IFERROR(__xludf.DUMMYFUNCTION("""COMPUTED_VALUE"""),"Мястото на библиотеките в глобалните цели за устойчиво развитие")</f>
        <v>Мястото на библиотеките в глобалните цели за устойчиво развитие</v>
      </c>
      <c r="D2948" s="10">
        <f ca="1">IFERROR(__xludf.DUMMYFUNCTION("""COMPUTED_VALUE"""),2020)</f>
        <v>2020</v>
      </c>
      <c r="E2948" s="10" t="str">
        <f ca="1">IFERROR(__xludf.DUMMYFUNCTION("""COMPUTED_VALUE"""),"Съвременни измерения на европейското образователно и научно пространство. Сборник с доклади в условията на COVID-19: Том 8 : Научен сборник с доклади от четиринадесети международен виртуален пътуващ семинар на УниБИТ. – София : Академично издателство „За "&amp;"буквите-О писменехь“, 2020, с. 50 -55. ISSN 2367-7988")</f>
        <v>Съвременни измерения на европейското образователно и научно пространство. Сборник с доклади в условията на COVID-19: Том 8 : Научен сборник с доклади от четиринадесети международен виртуален пътуващ семинар на УниБИТ. – София : Академично издателство „За буквите-О писменехь“, 2020, с. 50 -55. ISSN 2367-7988</v>
      </c>
      <c r="F2948" s="10"/>
      <c r="G2948" s="10" t="str">
        <f ca="1">IFERROR(__xludf.DUMMYFUNCTION("""COMPUTED_VALUE"""),"Елисавета Цветкова")</f>
        <v>Елисавета Цветкова</v>
      </c>
      <c r="H2948" s="10"/>
      <c r="I2948" s="10"/>
      <c r="J2948" s="10"/>
      <c r="K2948" s="10"/>
      <c r="L2948" s="10"/>
      <c r="M2948" s="10"/>
      <c r="N2948" s="10"/>
      <c r="O2948" s="10"/>
      <c r="P2948" s="10"/>
      <c r="Q2948" s="10"/>
      <c r="R2948" s="10"/>
      <c r="S2948" s="10"/>
      <c r="T2948" s="10"/>
      <c r="U2948" s="10"/>
      <c r="V2948" s="10"/>
      <c r="W2948" s="10"/>
      <c r="X2948" s="10"/>
      <c r="Y2948" s="10"/>
      <c r="Z2948" s="10"/>
    </row>
    <row r="2949" spans="1:26" ht="12.75">
      <c r="A2949" s="10" t="str">
        <f ca="1">IFERROR(__xludf.DUMMYFUNCTION("""COMPUTED_VALUE"""),"Елисавета Димитрова Цветкова")</f>
        <v>Елисавета Димитрова Цветкова</v>
      </c>
      <c r="B2949" s="10" t="str">
        <f ca="1">IFERROR(__xludf.DUMMYFUNCTION("""COMPUTED_VALUE"""),"Доклад от конференция")</f>
        <v>Доклад от конференция</v>
      </c>
      <c r="C2949" s="10" t="str">
        <f ca="1">IFERROR(__xludf.DUMMYFUNCTION("""COMPUTED_VALUE"""),"Bulgarian Libraries Faced the Challenges of Global Information Environment and Sustainable Development Goals")</f>
        <v>Bulgarian Libraries Faced the Challenges of Global Information Environment and Sustainable Development Goals</v>
      </c>
      <c r="D2949" s="10">
        <f ca="1">IFERROR(__xludf.DUMMYFUNCTION("""COMPUTED_VALUE"""),2020)</f>
        <v>2020</v>
      </c>
      <c r="E2949" s="10" t="str">
        <f ca="1">IFERROR(__xludf.DUMMYFUNCTION("""COMPUTED_VALUE"""),"ICERI2020 Proceedings : 13th International Conference of Education, Research and Innovation, 9th-10th November, 2020, Spain / Ed. by L. Gómez Chova, A. López Martínez, I. Candel Torres. – Spain: IATED Academy, 2020, p. 102-108. 
 ISBN: 978-84-09-24232-0, "&amp;"ISSN: 2340-1095")</f>
        <v>ICERI2020 Proceedings : 13th International Conference of Education, Research and Innovation, 9th-10th November, 2020, Spain / Ed. by L. Gómez Chova, A. López Martínez, I. Candel Torres. – Spain: IATED Academy, 2020, p. 102-108. 
 ISBN: 978-84-09-24232-0, ISSN: 2340-1095</v>
      </c>
      <c r="F2949" s="10" t="str">
        <f ca="1">IFERROR(__xludf.DUMMYFUNCTION("""COMPUTED_VALUE"""),"Web of Science")</f>
        <v>Web of Science</v>
      </c>
      <c r="G2949" s="10" t="str">
        <f ca="1">IFERROR(__xludf.DUMMYFUNCTION("""COMPUTED_VALUE"""),"E. Popova, Т. Todorova, E. Tsvetkova")</f>
        <v>E. Popova, Т. Todorova, E. Tsvetkova</v>
      </c>
      <c r="H2949" s="10"/>
      <c r="I2949" s="10"/>
      <c r="J2949" s="10"/>
      <c r="K2949" s="10"/>
      <c r="L2949" s="10"/>
      <c r="M2949" s="10"/>
      <c r="N2949" s="10"/>
      <c r="O2949" s="10"/>
      <c r="P2949" s="10"/>
      <c r="Q2949" s="10"/>
      <c r="R2949" s="10"/>
      <c r="S2949" s="10"/>
      <c r="T2949" s="10"/>
      <c r="U2949" s="10"/>
      <c r="V2949" s="10"/>
      <c r="W2949" s="10"/>
      <c r="X2949" s="10"/>
      <c r="Y2949" s="10"/>
      <c r="Z2949" s="10"/>
    </row>
    <row r="2950" spans="1:26" ht="12.75">
      <c r="A2950" s="10" t="str">
        <f ca="1">IFERROR(__xludf.DUMMYFUNCTION("""COMPUTED_VALUE"""),"Елисавета Димитрова Цветкова")</f>
        <v>Елисавета Димитрова Цветкова</v>
      </c>
      <c r="B2950" s="10" t="str">
        <f ca="1">IFERROR(__xludf.DUMMYFUNCTION("""COMPUTED_VALUE"""),"Доклад от конференция")</f>
        <v>Доклад от конференция</v>
      </c>
      <c r="C2950" s="10" t="str">
        <f ca="1">IFERROR(__xludf.DUMMYFUNCTION("""COMPUTED_VALUE"""),"Digitalisation of Cultural and Historical Heritage: Challenges and Prospects")</f>
        <v>Digitalisation of Cultural and Historical Heritage: Challenges and Prospects</v>
      </c>
      <c r="D2950" s="10">
        <f ca="1">IFERROR(__xludf.DUMMYFUNCTION("""COMPUTED_VALUE"""),2020)</f>
        <v>2020</v>
      </c>
      <c r="E2950" s="10" t="str">
        <f ca="1">IFERROR(__xludf.DUMMYFUNCTION("""COMPUTED_VALUE"""),"INTED2020 Proceedings: 14th International Technology, Education and Development Conference, 2nd-4th March, 2020, Valencia, Spain / Ed. by L. Gómez Chova, A. López Martínez, I. Candel Torres. – Valencia: IATED Academy, 2020, p. 5418-5422. ISBN: 978-84-09-1"&amp;"7939-8; ISSN: 2340-1079.")</f>
        <v>INTED2020 Proceedings: 14th International Technology, Education and Development Conference, 2nd-4th March, 2020, Valencia, Spain / Ed. by L. Gómez Chova, A. López Martínez, I. Candel Torres. – Valencia: IATED Academy, 2020, p. 5418-5422. ISBN: 978-84-09-17939-8; ISSN: 2340-1079.</v>
      </c>
      <c r="F2950" s="10" t="str">
        <f ca="1">IFERROR(__xludf.DUMMYFUNCTION("""COMPUTED_VALUE"""),"ISI Conference Proceedings Citation Index (Web of Science)")</f>
        <v>ISI Conference Proceedings Citation Index (Web of Science)</v>
      </c>
      <c r="G2950" s="10" t="str">
        <f ca="1">IFERROR(__xludf.DUMMYFUNCTION("""COMPUTED_VALUE"""),"E. Savova, H. Vasileva")</f>
        <v>E. Savova, H. Vasileva</v>
      </c>
      <c r="H2950" s="10"/>
      <c r="I2950" s="10"/>
      <c r="J2950" s="10"/>
      <c r="K2950" s="10"/>
      <c r="L2950" s="10"/>
      <c r="M2950" s="10"/>
      <c r="N2950" s="10"/>
      <c r="O2950" s="10"/>
      <c r="P2950" s="10"/>
      <c r="Q2950" s="10"/>
      <c r="R2950" s="10"/>
      <c r="S2950" s="10"/>
      <c r="T2950" s="10"/>
      <c r="U2950" s="10"/>
      <c r="V2950" s="10"/>
      <c r="W2950" s="10"/>
      <c r="X2950" s="10"/>
      <c r="Y2950" s="10"/>
      <c r="Z2950" s="10"/>
    </row>
    <row r="2951" spans="1:26" ht="12.75">
      <c r="A2951" s="10" t="str">
        <f ca="1">IFERROR(__xludf.DUMMYFUNCTION("""COMPUTED_VALUE"""),"Елисавета Димитрова Цветкова")</f>
        <v>Елисавета Димитрова Цветкова</v>
      </c>
      <c r="B2951" s="10" t="str">
        <f ca="1">IFERROR(__xludf.DUMMYFUNCTION("""COMPUTED_VALUE"""),"Доклад от конференция")</f>
        <v>Доклад от конференция</v>
      </c>
      <c r="C2951" s="10" t="str">
        <f ca="1">IFERROR(__xludf.DUMMYFUNCTION("""COMPUTED_VALUE"""),"Информационен портал относно мобилно обучение и мобилен достъп до библиотечни услуги и ресурси")</f>
        <v>Информационен портал относно мобилно обучение и мобилен достъп до библиотечни услуги и ресурси</v>
      </c>
      <c r="D2951" s="10">
        <f ca="1">IFERROR(__xludf.DUMMYFUNCTION("""COMPUTED_VALUE"""),2020)</f>
        <v>2020</v>
      </c>
      <c r="E2951" s="10" t="str">
        <f ca="1">IFERROR(__xludf.DUMMYFUNCTION("""COMPUTED_VALUE"""),"„Обществото на знанието и хуманизмът на XXI век“ – Сборник с научни доклади от ХVIII национална научна конференция с международно участие, София, 1 – 2 ноември, 2020 г. / Състав. Л. Парижкова. - София : За буквите-О писменехь, 2020, с. 259-266. ISSN 2683-"&amp;"0094")</f>
        <v>„Обществото на знанието и хуманизмът на XXI век“ – Сборник с научни доклади от ХVIII национална научна конференция с международно участие, София, 1 – 2 ноември, 2020 г. / Състав. Л. Парижкова. - София : За буквите-О писменехь, 2020, с. 259-266. ISSN 2683-0094</v>
      </c>
      <c r="F2951" s="10" t="str">
        <f ca="1">IFERROR(__xludf.DUMMYFUNCTION("""COMPUTED_VALUE"""),"Референтен списък на НАЦИД")</f>
        <v>Референтен списък на НАЦИД</v>
      </c>
      <c r="G2951" s="10"/>
      <c r="H2951" s="10"/>
      <c r="I2951" s="10"/>
      <c r="J2951" s="10"/>
      <c r="K2951" s="10"/>
      <c r="L2951" s="10"/>
      <c r="M2951" s="10"/>
      <c r="N2951" s="10"/>
      <c r="O2951" s="10"/>
      <c r="P2951" s="10"/>
      <c r="Q2951" s="10"/>
      <c r="R2951" s="10"/>
      <c r="S2951" s="10"/>
      <c r="T2951" s="10"/>
      <c r="U2951" s="10"/>
      <c r="V2951" s="10"/>
      <c r="W2951" s="10"/>
      <c r="X2951" s="10"/>
      <c r="Y2951" s="10"/>
      <c r="Z2951" s="10"/>
    </row>
    <row r="2952" spans="1:26" ht="12.75">
      <c r="A2952" s="10" t="str">
        <f ca="1">IFERROR(__xludf.DUMMYFUNCTION("""COMPUTED_VALUE"""),"Елисавета Димитрова Цветкова")</f>
        <v>Елисавета Димитрова Цветкова</v>
      </c>
      <c r="B2952" s="10" t="str">
        <f ca="1">IFERROR(__xludf.DUMMYFUNCTION("""COMPUTED_VALUE"""),"Доклад от конференция")</f>
        <v>Доклад от конференция</v>
      </c>
      <c r="C2952" s="10" t="str">
        <f ca="1">IFERROR(__xludf.DUMMYFUNCTION("""COMPUTED_VALUE"""),"Mobile Technologies in Support of Education and Library Provision")</f>
        <v>Mobile Technologies in Support of Education and Library Provision</v>
      </c>
      <c r="D2952" s="10">
        <f ca="1">IFERROR(__xludf.DUMMYFUNCTION("""COMPUTED_VALUE"""),2020)</f>
        <v>2020</v>
      </c>
      <c r="E2952" s="10" t="str">
        <f ca="1">IFERROR(__xludf.DUMMYFUNCTION("""COMPUTED_VALUE"""),"ICERI2020 Proceedings : 13th International Conference of Education, Research and Innovation, 9th-10th November, 2020, Spain / Ed. by L. Gómez Chova, A. López Martínez, I. Candel Torres. – Spain: IATED Academy, 2020, p. 2423-2430. 
 ISBN: 978-84-09-24232-0"&amp;", ISSN: 2340-1095")</f>
        <v>ICERI2020 Proceedings : 13th International Conference of Education, Research and Innovation, 9th-10th November, 2020, Spain / Ed. by L. Gómez Chova, A. López Martínez, I. Candel Torres. – Spain: IATED Academy, 2020, p. 2423-2430. 
 ISBN: 978-84-09-24232-0, ISSN: 2340-1095</v>
      </c>
      <c r="F2952" s="10" t="str">
        <f ca="1">IFERROR(__xludf.DUMMYFUNCTION("""COMPUTED_VALUE"""),"Web of Science")</f>
        <v>Web of Science</v>
      </c>
      <c r="G2952" s="10" t="str">
        <f ca="1">IFERROR(__xludf.DUMMYFUNCTION("""COMPUTED_VALUE"""),"I. Peteva,, S. Denchev, E. Tsvetkova")</f>
        <v>I. Peteva,, S. Denchev, E. Tsvetkova</v>
      </c>
      <c r="H2952" s="10"/>
      <c r="I2952" s="10"/>
      <c r="J2952" s="10"/>
      <c r="K2952" s="10"/>
      <c r="L2952" s="10"/>
      <c r="M2952" s="10"/>
      <c r="N2952" s="10"/>
      <c r="O2952" s="10"/>
      <c r="P2952" s="10"/>
      <c r="Q2952" s="10"/>
      <c r="R2952" s="10"/>
      <c r="S2952" s="10"/>
      <c r="T2952" s="10"/>
      <c r="U2952" s="10"/>
      <c r="V2952" s="10"/>
      <c r="W2952" s="10"/>
      <c r="X2952" s="10"/>
      <c r="Y2952" s="10"/>
      <c r="Z2952" s="10"/>
    </row>
    <row r="2953" spans="1:26" ht="12.75">
      <c r="A2953" s="10" t="str">
        <f ca="1">IFERROR(__xludf.DUMMYFUNCTION("""COMPUTED_VALUE"""),"Елисавета Димитрова Цветкова")</f>
        <v>Елисавета Димитрова Цветкова</v>
      </c>
      <c r="B2953" s="10" t="str">
        <f ca="1">IFERROR(__xludf.DUMMYFUNCTION("""COMPUTED_VALUE"""),"Доклад от конференция")</f>
        <v>Доклад от конференция</v>
      </c>
      <c r="C2953" s="10" t="str">
        <f ca="1">IFERROR(__xludf.DUMMYFUNCTION("""COMPUTED_VALUE"""),"Information Portal for Mobile Learning and Mobile Access to Library Services and Resources: New Research Project")</f>
        <v>Information Portal for Mobile Learning and Mobile Access to Library Services and Resources: New Research Project</v>
      </c>
      <c r="D2953" s="10">
        <f ca="1">IFERROR(__xludf.DUMMYFUNCTION("""COMPUTED_VALUE"""),2020)</f>
        <v>2020</v>
      </c>
      <c r="E2953" s="10" t="str">
        <f ca="1">IFERROR(__xludf.DUMMYFUNCTION("""COMPUTED_VALUE"""),"EDULEARN20 Proceedings: 12th International Conference on Education and New Learning Technologies, 6th-7th July, 2020, Spain / Ed. by L. Gómez Chova, A. López Martínez, I. Candel Torres. – Palma: IATED Academy, 2020, p. 669-675. 
 ISBN: 978-84-09-17979-4; "&amp;"ISSN: 2340-1117.")</f>
        <v>EDULEARN20 Proceedings: 12th International Conference on Education and New Learning Technologies, 6th-7th July, 2020, Spain / Ed. by L. Gómez Chova, A. López Martínez, I. Candel Torres. – Palma: IATED Academy, 2020, p. 669-675. 
 ISBN: 978-84-09-17979-4; ISSN: 2340-1117.</v>
      </c>
      <c r="F2953" s="10" t="str">
        <f ca="1">IFERROR(__xludf.DUMMYFUNCTION("""COMPUTED_VALUE"""),"Web of Science")</f>
        <v>Web of Science</v>
      </c>
      <c r="G2953" s="10" t="str">
        <f ca="1">IFERROR(__xludf.DUMMYFUNCTION("""COMPUTED_VALUE"""),"E. Tsvetkova, S. Denchev, I. Peteva.")</f>
        <v>E. Tsvetkova, S. Denchev, I. Peteva.</v>
      </c>
      <c r="H2953" s="10"/>
      <c r="I2953" s="10"/>
      <c r="J2953" s="10"/>
      <c r="K2953" s="10"/>
      <c r="L2953" s="10"/>
      <c r="M2953" s="10"/>
      <c r="N2953" s="10"/>
      <c r="O2953" s="10"/>
      <c r="P2953" s="10"/>
      <c r="Q2953" s="10"/>
      <c r="R2953" s="10"/>
      <c r="S2953" s="10"/>
      <c r="T2953" s="10"/>
      <c r="U2953" s="10"/>
      <c r="V2953" s="10"/>
      <c r="W2953" s="10"/>
      <c r="X2953" s="10"/>
      <c r="Y2953" s="10"/>
      <c r="Z2953" s="10"/>
    </row>
    <row r="2954" spans="1:26" ht="12.75">
      <c r="A2954" s="10" t="str">
        <f ca="1">IFERROR(__xludf.DUMMYFUNCTION("""COMPUTED_VALUE"""),"Елисавета Димитрова Цветкова")</f>
        <v>Елисавета Димитрова Цветкова</v>
      </c>
      <c r="B2954" s="10" t="str">
        <f ca="1">IFERROR(__xludf.DUMMYFUNCTION("""COMPUTED_VALUE"""),"Доклад от конференция")</f>
        <v>Доклад от конференция</v>
      </c>
      <c r="C2954" s="10" t="str">
        <f ca="1">IFERROR(__xludf.DUMMYFUNCTION("""COMPUTED_VALUE"""),"The Role of Libraries in Contemporary Information Environment")</f>
        <v>The Role of Libraries in Contemporary Information Environment</v>
      </c>
      <c r="D2954" s="10">
        <f ca="1">IFERROR(__xludf.DUMMYFUNCTION("""COMPUTED_VALUE"""),2019)</f>
        <v>2019</v>
      </c>
      <c r="E2954" s="10" t="str">
        <f ca="1">IFERROR(__xludf.DUMMYFUNCTION("""COMPUTED_VALUE"""),"INTED2019 Proceedings : 13th International Technology, Education and Development Conference, 11th-13th March, 2019, Valencia, SPAIN / Ed. by L. Gómez Chova, A. López Martínez, I. Candel Torres. – Valencia : IATED Academy, 2019, p. 2849-2855. ISBN: 978-84-"&amp;"09-08619-1; ISSN: 2340-1079")</f>
        <v>INTED2019 Proceedings : 13th International Technology, Education and Development Conference, 11th-13th March, 2019, Valencia, SPAIN / Ed. by L. Gómez Chova, A. López Martínez, I. Candel Torres. – Valencia : IATED Academy, 2019, p. 2849-2855. ISBN: 978-84-09-08619-1; ISSN: 2340-1079</v>
      </c>
      <c r="F2954" s="10" t="str">
        <f ca="1">IFERROR(__xludf.DUMMYFUNCTION("""COMPUTED_VALUE"""),"ISI Conference Proceedings Citation Index (Web of Science)")</f>
        <v>ISI Conference Proceedings Citation Index (Web of Science)</v>
      </c>
      <c r="G2954" s="10" t="str">
        <f ca="1">IFERROR(__xludf.DUMMYFUNCTION("""COMPUTED_VALUE"""),"Stoyan Denchev, Irena Peteva")</f>
        <v>Stoyan Denchev, Irena Peteva</v>
      </c>
      <c r="H2954" s="10"/>
      <c r="I2954" s="10"/>
      <c r="J2954" s="10"/>
      <c r="K2954" s="10"/>
      <c r="L2954" s="10"/>
      <c r="M2954" s="10"/>
      <c r="N2954" s="10"/>
      <c r="O2954" s="10"/>
      <c r="P2954" s="10"/>
      <c r="Q2954" s="10"/>
      <c r="R2954" s="10"/>
      <c r="S2954" s="10"/>
      <c r="T2954" s="10"/>
      <c r="U2954" s="10"/>
      <c r="V2954" s="10"/>
      <c r="W2954" s="10"/>
      <c r="X2954" s="10"/>
      <c r="Y2954" s="10"/>
      <c r="Z2954" s="10"/>
    </row>
    <row r="2955" spans="1:26" ht="12.75">
      <c r="A2955" s="10" t="str">
        <f ca="1">IFERROR(__xludf.DUMMYFUNCTION("""COMPUTED_VALUE"""),"Елисавета Димитрова Цветкова")</f>
        <v>Елисавета Димитрова Цветкова</v>
      </c>
      <c r="B2955" s="10" t="str">
        <f ca="1">IFERROR(__xludf.DUMMYFUNCTION("""COMPUTED_VALUE"""),"Доклад от конференция")</f>
        <v>Доклад от конференция</v>
      </c>
      <c r="C2955" s="10" t="str">
        <f ca="1">IFERROR(__xludf.DUMMYFUNCTION("""COMPUTED_VALUE"""),"The Effect of Mobile Access on Library Services")</f>
        <v>The Effect of Mobile Access on Library Services</v>
      </c>
      <c r="D2955" s="10">
        <f ca="1">IFERROR(__xludf.DUMMYFUNCTION("""COMPUTED_VALUE"""),2019)</f>
        <v>2019</v>
      </c>
      <c r="E2955" s="10" t="str">
        <f ca="1">IFERROR(__xludf.DUMMYFUNCTION("""COMPUTED_VALUE"""),"EDULEARN19 Proceedings : 11th International Conference on Education and New Learning Technologies, 1st-3rd July, 2019, Palma, Mallorca, Spain / Ed. by L. Gómez Chova, A. López Martínez, I. Candel Torres. - Palma : IATED Academy, 2019, p. 4827-4832. ISBN: "&amp;"978-84-09-12031-4; ISSN: 2340-1117")</f>
        <v>EDULEARN19 Proceedings : 11th International Conference on Education and New Learning Technologies, 1st-3rd July, 2019, Palma, Mallorca, Spain / Ed. by L. Gómez Chova, A. López Martínez, I. Candel Torres. - Palma : IATED Academy, 2019, p. 4827-4832. ISBN: 978-84-09-12031-4; ISSN: 2340-1117</v>
      </c>
      <c r="F2955" s="10" t="str">
        <f ca="1">IFERROR(__xludf.DUMMYFUNCTION("""COMPUTED_VALUE"""),"ISI Conference Proceedings Citation Index (Web of Science)")</f>
        <v>ISI Conference Proceedings Citation Index (Web of Science)</v>
      </c>
      <c r="G2955" s="10"/>
      <c r="H2955" s="10"/>
      <c r="I2955" s="10"/>
      <c r="J2955" s="10"/>
      <c r="K2955" s="10"/>
      <c r="L2955" s="10"/>
      <c r="M2955" s="10"/>
      <c r="N2955" s="10"/>
      <c r="O2955" s="10"/>
      <c r="P2955" s="10"/>
      <c r="Q2955" s="10"/>
      <c r="R2955" s="10"/>
      <c r="S2955" s="10"/>
      <c r="T2955" s="10"/>
      <c r="U2955" s="10"/>
      <c r="V2955" s="10"/>
      <c r="W2955" s="10"/>
      <c r="X2955" s="10"/>
      <c r="Y2955" s="10"/>
      <c r="Z2955" s="10"/>
    </row>
    <row r="2956" spans="1:26" ht="12.75">
      <c r="A2956" s="10" t="str">
        <f ca="1">IFERROR(__xludf.DUMMYFUNCTION("""COMPUTED_VALUE"""),"Елисавета Димитрова Цветкова")</f>
        <v>Елисавета Димитрова Цветкова</v>
      </c>
      <c r="B2956" s="10" t="str">
        <f ca="1">IFERROR(__xludf.DUMMYFUNCTION("""COMPUTED_VALUE"""),"Доклад от конференция")</f>
        <v>Доклад от конференция</v>
      </c>
      <c r="C2956" s="10" t="str">
        <f ca="1">IFERROR(__xludf.DUMMYFUNCTION("""COMPUTED_VALUE"""),"Data Literacy and Research Data Management: The Case at ULSIT")</f>
        <v>Data Literacy and Research Data Management: The Case at ULSIT</v>
      </c>
      <c r="D2956" s="10">
        <f ca="1">IFERROR(__xludf.DUMMYFUNCTION("""COMPUTED_VALUE"""),2019)</f>
        <v>2019</v>
      </c>
      <c r="E2956" s="10" t="str">
        <f ca="1">IFERROR(__xludf.DUMMYFUNCTION("""COMPUTED_VALUE"""),"The Sixth European Conference on Information Literacy, September 24th –27th, 2018, Oulu, Finland : (ECIL) : Abstracts / Editors Sonja Špiranec, Serap Kurbanoğlu, Maija-Leena Huotari, Esther Grassian, Diane Mizrachi, Loriene Roy, Denis Kos. - Oulu : Univer"&amp;"sity of Oulu, Department of Information and Communication Studies, 2018, p. 97. ISBN 978-952-62-2013-0 DOI: 10.1007/978-3-030-13472-3_50")</f>
        <v>The Sixth European Conference on Information Literacy, September 24th –27th, 2018, Oulu, Finland : (ECIL) : Abstracts / Editors Sonja Špiranec, Serap Kurbanoğlu, Maija-Leena Huotari, Esther Grassian, Diane Mizrachi, Loriene Roy, Denis Kos. - Oulu : University of Oulu, Department of Information and Communication Studies, 2018, p. 97. ISBN 978-952-62-2013-0 DOI: 10.1007/978-3-030-13472-3_50</v>
      </c>
      <c r="F2956" s="10" t="str">
        <f ca="1">IFERROR(__xludf.DUMMYFUNCTION("""COMPUTED_VALUE"""),"SCOPUS")</f>
        <v>SCOPUS</v>
      </c>
      <c r="G2956" s="10" t="str">
        <f ca="1">IFERROR(__xludf.DUMMYFUNCTION("""COMPUTED_VALUE"""),"Tania Todorova, Rositza Krasteva")</f>
        <v>Tania Todorova, Rositza Krasteva</v>
      </c>
      <c r="H2956" s="10"/>
      <c r="I2956" s="10"/>
      <c r="J2956" s="10"/>
      <c r="K2956" s="10"/>
      <c r="L2956" s="10"/>
      <c r="M2956" s="10"/>
      <c r="N2956" s="10"/>
      <c r="O2956" s="10"/>
      <c r="P2956" s="10"/>
      <c r="Q2956" s="10"/>
      <c r="R2956" s="10"/>
      <c r="S2956" s="10"/>
      <c r="T2956" s="10"/>
      <c r="U2956" s="10"/>
      <c r="V2956" s="10"/>
      <c r="W2956" s="10"/>
      <c r="X2956" s="10"/>
      <c r="Y2956" s="10"/>
      <c r="Z2956" s="10"/>
    </row>
    <row r="2957" spans="1:26" ht="12.75">
      <c r="A2957" s="10" t="str">
        <f ca="1">IFERROR(__xludf.DUMMYFUNCTION("""COMPUTED_VALUE"""),"Елисавета Димитрова Цветкова")</f>
        <v>Елисавета Димитрова Цветкова</v>
      </c>
      <c r="B2957" s="10" t="str">
        <f ca="1">IFERROR(__xludf.DUMMYFUNCTION("""COMPUTED_VALUE"""),"Доклад от конференция")</f>
        <v>Доклад от конференция</v>
      </c>
      <c r="C2957" s="10" t="str">
        <f ca="1">IFERROR(__xludf.DUMMYFUNCTION("""COMPUTED_VALUE"""),"Mobile Access to Digitalised Objects of Cultural and Historical Heritage")</f>
        <v>Mobile Access to Digitalised Objects of Cultural and Historical Heritage</v>
      </c>
      <c r="D2957" s="10">
        <f ca="1">IFERROR(__xludf.DUMMYFUNCTION("""COMPUTED_VALUE"""),2019)</f>
        <v>2019</v>
      </c>
      <c r="E2957" s="10" t="str">
        <f ca="1">IFERROR(__xludf.DUMMYFUNCTION("""COMPUTED_VALUE"""),"ICERI2019 Proceedings : 12th International Conference of Education, Research and Innovation, 11-13 November 2019, Seville (Spain) / Ed. by L. Gómez Chova, A. López Martínez, I. Candel Torres. – Seville : IATED Academy, 2019, p. 4814-4818. ISBN: 978-84-09-"&amp;"14755-7, ISSN: 2340-1095")</f>
        <v>ICERI2019 Proceedings : 12th International Conference of Education, Research and Innovation, 11-13 November 2019, Seville (Spain) / Ed. by L. Gómez Chova, A. López Martínez, I. Candel Torres. – Seville : IATED Academy, 2019, p. 4814-4818. ISBN: 978-84-09-14755-7, ISSN: 2340-1095</v>
      </c>
      <c r="F2957" s="10" t="str">
        <f ca="1">IFERROR(__xludf.DUMMYFUNCTION("""COMPUTED_VALUE"""),"ISI Conference Proceedings Citation Index (Web of Science)")</f>
        <v>ISI Conference Proceedings Citation Index (Web of Science)</v>
      </c>
      <c r="G2957" s="10"/>
      <c r="H2957" s="10"/>
      <c r="I2957" s="10"/>
      <c r="J2957" s="10"/>
      <c r="K2957" s="10"/>
      <c r="L2957" s="10"/>
      <c r="M2957" s="10"/>
      <c r="N2957" s="10"/>
      <c r="O2957" s="10"/>
      <c r="P2957" s="10"/>
      <c r="Q2957" s="10"/>
      <c r="R2957" s="10"/>
      <c r="S2957" s="10"/>
      <c r="T2957" s="10"/>
      <c r="U2957" s="10"/>
      <c r="V2957" s="10"/>
      <c r="W2957" s="10"/>
      <c r="X2957" s="10"/>
      <c r="Y2957" s="10"/>
      <c r="Z2957" s="10"/>
    </row>
    <row r="2958" spans="1:26" ht="12.75">
      <c r="A2958" s="10" t="str">
        <f ca="1">IFERROR(__xludf.DUMMYFUNCTION("""COMPUTED_VALUE"""),"Елисавета Димитрова Цветкова")</f>
        <v>Елисавета Димитрова Цветкова</v>
      </c>
      <c r="B2958" s="10" t="str">
        <f ca="1">IFERROR(__xludf.DUMMYFUNCTION("""COMPUTED_VALUE"""),"Доклад от конференция")</f>
        <v>Доклад от конференция</v>
      </c>
      <c r="C2958" s="10" t="str">
        <f ca="1">IFERROR(__xludf.DUMMYFUNCTION("""COMPUTED_VALUE"""),"Research Work and Practical Training of Students – Opportunities and Reality")</f>
        <v>Research Work and Practical Training of Students – Opportunities and Reality</v>
      </c>
      <c r="D2958" s="10">
        <f ca="1">IFERROR(__xludf.DUMMYFUNCTION("""COMPUTED_VALUE"""),2019)</f>
        <v>2019</v>
      </c>
      <c r="E2958" s="10" t="str">
        <f ca="1">IFERROR(__xludf.DUMMYFUNCTION("""COMPUTED_VALUE"""),"ICERI2019 Proceedings : 12th International Conference of Education, Research and Innovation, 11-13 November 2019, Seville (Spain) / Ed. by L. Gómez Chova, A. López Martínez, I. Candel Torres. – Seville : IATED Academy, 2019, p. 4832-4836. ISBN: 978-84-09-"&amp;"14755-7, ISSN: 2340-1095")</f>
        <v>ICERI2019 Proceedings : 12th International Conference of Education, Research and Innovation, 11-13 November 2019, Seville (Spain) / Ed. by L. Gómez Chova, A. López Martínez, I. Candel Torres. – Seville : IATED Academy, 2019, p. 4832-4836. ISBN: 978-84-09-14755-7, ISSN: 2340-1095</v>
      </c>
      <c r="F2958" s="10" t="str">
        <f ca="1">IFERROR(__xludf.DUMMYFUNCTION("""COMPUTED_VALUE"""),"ISI Conference Proceedings Citation Index (Web of Science)")</f>
        <v>ISI Conference Proceedings Citation Index (Web of Science)</v>
      </c>
      <c r="G2958" s="10" t="str">
        <f ca="1">IFERROR(__xludf.DUMMYFUNCTION("""COMPUTED_VALUE"""),"S. Eftimova, D. Stoyanova")</f>
        <v>S. Eftimova, D. Stoyanova</v>
      </c>
      <c r="H2958" s="10"/>
      <c r="I2958" s="10"/>
      <c r="J2958" s="10"/>
      <c r="K2958" s="10"/>
      <c r="L2958" s="10"/>
      <c r="M2958" s="10"/>
      <c r="N2958" s="10"/>
      <c r="O2958" s="10"/>
      <c r="P2958" s="10"/>
      <c r="Q2958" s="10"/>
      <c r="R2958" s="10"/>
      <c r="S2958" s="10"/>
      <c r="T2958" s="10"/>
      <c r="U2958" s="10"/>
      <c r="V2958" s="10"/>
      <c r="W2958" s="10"/>
      <c r="X2958" s="10"/>
      <c r="Y2958" s="10"/>
      <c r="Z2958" s="10"/>
    </row>
    <row r="2959" spans="1:26" ht="12.75">
      <c r="A2959" s="10" t="str">
        <f ca="1">IFERROR(__xludf.DUMMYFUNCTION("""COMPUTED_VALUE"""),"Елисавета Димитрова Цветкова")</f>
        <v>Елисавета Димитрова Цветкова</v>
      </c>
      <c r="B2959" s="10" t="str">
        <f ca="1">IFERROR(__xludf.DUMMYFUNCTION("""COMPUTED_VALUE"""),"Доклад от конференция")</f>
        <v>Доклад от конференция</v>
      </c>
      <c r="C2959" s="10" t="str">
        <f ca="1">IFERROR(__xludf.DUMMYFUNCTION("""COMPUTED_VALUE"""),"Modern Library in the Educational Space of the University")</f>
        <v>Modern Library in the Educational Space of the University</v>
      </c>
      <c r="D2959" s="10">
        <f ca="1">IFERROR(__xludf.DUMMYFUNCTION("""COMPUTED_VALUE"""),2019)</f>
        <v>2019</v>
      </c>
      <c r="E2959" s="10" t="str">
        <f ca="1">IFERROR(__xludf.DUMMYFUNCTION("""COMPUTED_VALUE"""),"EDULEARN19 Proceedings : 11th International Conference on Education and New Learning Technologies, 1st-3rd July, 2019, Palma, Mallorca, Spain / Ed. by L. Gómez Chova, A. López Martínez, I. Candel Torres. - Palma : IATED Academy, 2019, p. 4844-4848. ISBN: "&amp;"978-84-09-12031-4; ISSN: 2340-1117")</f>
        <v>EDULEARN19 Proceedings : 11th International Conference on Education and New Learning Technologies, 1st-3rd July, 2019, Palma, Mallorca, Spain / Ed. by L. Gómez Chova, A. López Martínez, I. Candel Torres. - Palma : IATED Academy, 2019, p. 4844-4848. ISBN: 978-84-09-12031-4; ISSN: 2340-1117</v>
      </c>
      <c r="F2959" s="10" t="str">
        <f ca="1">IFERROR(__xludf.DUMMYFUNCTION("""COMPUTED_VALUE"""),"ISI Conference Proceedings Citation Index (Web of Science)")</f>
        <v>ISI Conference Proceedings Citation Index (Web of Science)</v>
      </c>
      <c r="G2959" s="10" t="str">
        <f ca="1">IFERROR(__xludf.DUMMYFUNCTION("""COMPUTED_VALUE"""),"Elena Savova")</f>
        <v>Elena Savova</v>
      </c>
      <c r="H2959" s="10"/>
      <c r="I2959" s="10"/>
      <c r="J2959" s="10"/>
      <c r="K2959" s="10"/>
      <c r="L2959" s="10"/>
      <c r="M2959" s="10"/>
      <c r="N2959" s="10"/>
      <c r="O2959" s="10"/>
      <c r="P2959" s="10"/>
      <c r="Q2959" s="10"/>
      <c r="R2959" s="10"/>
      <c r="S2959" s="10"/>
      <c r="T2959" s="10"/>
      <c r="U2959" s="10"/>
      <c r="V2959" s="10"/>
      <c r="W2959" s="10"/>
      <c r="X2959" s="10"/>
      <c r="Y2959" s="10"/>
      <c r="Z2959" s="10"/>
    </row>
    <row r="2960" spans="1:26" ht="12.75">
      <c r="A2960" s="10" t="str">
        <f ca="1">IFERROR(__xludf.DUMMYFUNCTION("""COMPUTED_VALUE"""),"Елисавета Димитрова Цветкова")</f>
        <v>Елисавета Димитрова Цветкова</v>
      </c>
      <c r="B2960" s="10" t="str">
        <f ca="1">IFERROR(__xludf.DUMMYFUNCTION("""COMPUTED_VALUE"""),"Доклад от конференция")</f>
        <v>Доклад от конференция</v>
      </c>
      <c r="C2960" s="10" t="str">
        <f ca="1">IFERROR(__xludf.DUMMYFUNCTION("""COMPUTED_VALUE"""),"Libraries in Contemporary Social Environment")</f>
        <v>Libraries in Contemporary Social Environment</v>
      </c>
      <c r="D2960" s="10">
        <f ca="1">IFERROR(__xludf.DUMMYFUNCTION("""COMPUTED_VALUE"""),2019)</f>
        <v>2019</v>
      </c>
      <c r="E2960" s="10" t="str">
        <f ca="1">IFERROR(__xludf.DUMMYFUNCTION("""COMPUTED_VALUE"""),"Contemporary Strategies and Innovations in the Knowledge Management: Collection with Papers of the Fifth Scientific Conference, 26-30 August 2019, Geneva. – Sofia : Academic Publishing House “Za bukvite – O Pismenech”, № 5, 2019, pp. 9-18. ISSN 2535-0250")</f>
        <v>Contemporary Strategies and Innovations in the Knowledge Management: Collection with Papers of the Fifth Scientific Conference, 26-30 August 2019, Geneva. – Sofia : Academic Publishing House “Za bukvite – O Pismenech”, № 5, 2019, pp. 9-18. ISSN 2535-0250</v>
      </c>
      <c r="F2960" s="10" t="str">
        <f ca="1">IFERROR(__xludf.DUMMYFUNCTION("""COMPUTED_VALUE"""),"НАЦИД")</f>
        <v>НАЦИД</v>
      </c>
      <c r="G2960" s="10"/>
      <c r="H2960" s="10"/>
      <c r="I2960" s="10"/>
      <c r="J2960" s="10"/>
      <c r="K2960" s="10"/>
      <c r="L2960" s="10"/>
      <c r="M2960" s="10"/>
      <c r="N2960" s="10"/>
      <c r="O2960" s="10"/>
      <c r="P2960" s="10"/>
      <c r="Q2960" s="10"/>
      <c r="R2960" s="10"/>
      <c r="S2960" s="10"/>
      <c r="T2960" s="10"/>
      <c r="U2960" s="10"/>
      <c r="V2960" s="10"/>
      <c r="W2960" s="10"/>
      <c r="X2960" s="10"/>
      <c r="Y2960" s="10"/>
      <c r="Z2960" s="10"/>
    </row>
    <row r="2961" spans="1:26" ht="12.75">
      <c r="A2961" s="10" t="str">
        <f ca="1">IFERROR(__xludf.DUMMYFUNCTION("""COMPUTED_VALUE"""),"Елисавета Димитрова Цветкова")</f>
        <v>Елисавета Димитрова Цветкова</v>
      </c>
      <c r="B2961" s="10" t="str">
        <f ca="1">IFERROR(__xludf.DUMMYFUNCTION("""COMPUTED_VALUE"""),"Доклад от конференция")</f>
        <v>Доклад от конференция</v>
      </c>
      <c r="C2961" s="10" t="str">
        <f ca="1">IFERROR(__xludf.DUMMYFUNCTION("""COMPUTED_VALUE"""),"Initiatives of Regional Libraries in Bulgaria in the Sphere of Social and Cultural Integration : Examples from practice")</f>
        <v>Initiatives of Regional Libraries in Bulgaria in the Sphere of Social and Cultural Integration : Examples from practice</v>
      </c>
      <c r="D2961" s="10">
        <f ca="1">IFERROR(__xludf.DUMMYFUNCTION("""COMPUTED_VALUE"""),2019)</f>
        <v>2019</v>
      </c>
      <c r="E2961" s="10" t="str">
        <f ca="1">IFERROR(__xludf.DUMMYFUNCTION("""COMPUTED_VALUE"""),"INTED2019 Proceedings : 13th International Technology, Education and Development Conference, 11th-13th March, 2019, Valencia, Spain / Ed. by L. Gómez Chova, A. López Martínez, I. Candel Torres. – Valencia : IATED Academy, 2019, p. 3072-3079. ISBN: 978-84-"&amp;"09-08619-1; ISSN: 2340-1079")</f>
        <v>INTED2019 Proceedings : 13th International Technology, Education and Development Conference, 11th-13th March, 2019, Valencia, Spain / Ed. by L. Gómez Chova, A. López Martínez, I. Candel Torres. – Valencia : IATED Academy, 2019, p. 3072-3079. ISBN: 978-84-09-08619-1; ISSN: 2340-1079</v>
      </c>
      <c r="F2961" s="10" t="str">
        <f ca="1">IFERROR(__xludf.DUMMYFUNCTION("""COMPUTED_VALUE"""),"ISI Conference Proceedings Citation Index (Web of Science)")</f>
        <v>ISI Conference Proceedings Citation Index (Web of Science)</v>
      </c>
      <c r="G2961" s="10" t="str">
        <f ca="1">IFERROR(__xludf.DUMMYFUNCTION("""COMPUTED_VALUE"""),"Sabina Eftimova, Poly Mukanova")</f>
        <v>Sabina Eftimova, Poly Mukanova</v>
      </c>
      <c r="H2961" s="10"/>
      <c r="I2961" s="10"/>
      <c r="J2961" s="10"/>
      <c r="K2961" s="10"/>
      <c r="L2961" s="10"/>
      <c r="M2961" s="10"/>
      <c r="N2961" s="10"/>
      <c r="O2961" s="10"/>
      <c r="P2961" s="10"/>
      <c r="Q2961" s="10"/>
      <c r="R2961" s="10"/>
      <c r="S2961" s="10"/>
      <c r="T2961" s="10"/>
      <c r="U2961" s="10"/>
      <c r="V2961" s="10"/>
      <c r="W2961" s="10"/>
      <c r="X2961" s="10"/>
      <c r="Y2961" s="10"/>
      <c r="Z2961" s="10"/>
    </row>
    <row r="2962" spans="1:26" ht="12.75">
      <c r="A2962" s="10" t="str">
        <f ca="1">IFERROR(__xludf.DUMMYFUNCTION("""COMPUTED_VALUE"""),"Елисавета Димитрова Цветкова")</f>
        <v>Елисавета Димитрова Цветкова</v>
      </c>
      <c r="B2962" s="10" t="str">
        <f ca="1">IFERROR(__xludf.DUMMYFUNCTION("""COMPUTED_VALUE"""),"Доклад от конференция")</f>
        <v>Доклад от конференция</v>
      </c>
      <c r="C2962" s="10" t="str">
        <f ca="1">IFERROR(__xludf.DUMMYFUNCTION("""COMPUTED_VALUE"""),"Mobile Access to Information Services and Resources: the Library Experience")</f>
        <v>Mobile Access to Information Services and Resources: the Library Experience</v>
      </c>
      <c r="D2962" s="10">
        <f ca="1">IFERROR(__xludf.DUMMYFUNCTION("""COMPUTED_VALUE"""),2019)</f>
        <v>2019</v>
      </c>
      <c r="E2962" s="10" t="str">
        <f ca="1">IFERROR(__xludf.DUMMYFUNCTION("""COMPUTED_VALUE"""),"EDULEARN19 Proceedings : 11th International Conference on Education and New Learning Technologies, 1st-3rd July, 2019, Palma, Mallorca, Spain / Ed. by L. Gómez Chova, A. López Martínez, I. Candel Torres. - Palma : IATED Academy, 2019, p. 2974-2980. ISBN: "&amp;"978-84-09-12031-4; ISSN: 2340-1117")</f>
        <v>EDULEARN19 Proceedings : 11th International Conference on Education and New Learning Technologies, 1st-3rd July, 2019, Palma, Mallorca, Spain / Ed. by L. Gómez Chova, A. López Martínez, I. Candel Torres. - Palma : IATED Academy, 2019, p. 2974-2980. ISBN: 978-84-09-12031-4; ISSN: 2340-1117</v>
      </c>
      <c r="F2962" s="10" t="str">
        <f ca="1">IFERROR(__xludf.DUMMYFUNCTION("""COMPUTED_VALUE"""),"ISI Conference Proceedings Citation Index (Web of Science)")</f>
        <v>ISI Conference Proceedings Citation Index (Web of Science)</v>
      </c>
      <c r="G2962" s="10" t="str">
        <f ca="1">IFERROR(__xludf.DUMMYFUNCTION("""COMPUTED_VALUE"""),"Stoyan Denchev, Irena Peteva")</f>
        <v>Stoyan Denchev, Irena Peteva</v>
      </c>
      <c r="H2962" s="10"/>
      <c r="I2962" s="10"/>
      <c r="J2962" s="10"/>
      <c r="K2962" s="10"/>
      <c r="L2962" s="10"/>
      <c r="M2962" s="10"/>
      <c r="N2962" s="10"/>
      <c r="O2962" s="10"/>
      <c r="P2962" s="10"/>
      <c r="Q2962" s="10"/>
      <c r="R2962" s="10"/>
      <c r="S2962" s="10"/>
      <c r="T2962" s="10"/>
      <c r="U2962" s="10"/>
      <c r="V2962" s="10"/>
      <c r="W2962" s="10"/>
      <c r="X2962" s="10"/>
      <c r="Y2962" s="10"/>
      <c r="Z2962" s="10"/>
    </row>
    <row r="2963" spans="1:26" ht="12.75">
      <c r="A2963" s="10" t="str">
        <f ca="1">IFERROR(__xludf.DUMMYFUNCTION("""COMPUTED_VALUE"""),"Елисавета Димитрова Цветкова")</f>
        <v>Елисавета Димитрова Цветкова</v>
      </c>
      <c r="B2963" s="10" t="str">
        <f ca="1">IFERROR(__xludf.DUMMYFUNCTION("""COMPUTED_VALUE"""),"Доклад от конференция")</f>
        <v>Доклад от конференция</v>
      </c>
      <c r="C2963" s="10" t="str">
        <f ca="1">IFERROR(__xludf.DUMMYFUNCTION("""COMPUTED_VALUE"""),"Attitude of Bulgarian Library Specialists Towards Use of Library Resources for Mobile Learning")</f>
        <v>Attitude of Bulgarian Library Specialists Towards Use of Library Resources for Mobile Learning</v>
      </c>
      <c r="D2963" s="10">
        <f ca="1">IFERROR(__xludf.DUMMYFUNCTION("""COMPUTED_VALUE"""),2018)</f>
        <v>2018</v>
      </c>
      <c r="E2963" s="10" t="str">
        <f ca="1">IFERROR(__xludf.DUMMYFUNCTION("""COMPUTED_VALUE"""),"ICERI2018 Proceedings : 11th annual International Conference of Education, Research and Innovation (ICERI): Meeting the Challenges of 21st Century Learning. 12th - 14th of November, 2018, Seville, Spain / Ed. by L. Gómez Chova, A. López Martínez, I. Cande"&amp;"l Torresp. – Seville : IATED Academy, 2018, p. 838-842. ISBN 978-84-09-05948-5")</f>
        <v>ICERI2018 Proceedings : 11th annual International Conference of Education, Research and Innovation (ICERI): Meeting the Challenges of 21st Century Learning. 12th - 14th of November, 2018, Seville, Spain / Ed. by L. Gómez Chova, A. López Martínez, I. Candel Torresp. – Seville : IATED Academy, 2018, p. 838-842. ISBN 978-84-09-05948-5</v>
      </c>
      <c r="F2963" s="10" t="str">
        <f ca="1">IFERROR(__xludf.DUMMYFUNCTION("""COMPUTED_VALUE"""),"ISI Conference Proceedings Citation Index (Web of Science)")</f>
        <v>ISI Conference Proceedings Citation Index (Web of Science)</v>
      </c>
      <c r="G2963" s="10" t="str">
        <f ca="1">IFERROR(__xludf.DUMMYFUNCTION("""COMPUTED_VALUE"""),"Irena Peteva, Ivanka Pavlova")</f>
        <v>Irena Peteva, Ivanka Pavlova</v>
      </c>
      <c r="H2963" s="10"/>
      <c r="I2963" s="10"/>
      <c r="J2963" s="10"/>
      <c r="K2963" s="10"/>
      <c r="L2963" s="10"/>
      <c r="M2963" s="10"/>
      <c r="N2963" s="10"/>
      <c r="O2963" s="10"/>
      <c r="P2963" s="10"/>
      <c r="Q2963" s="10"/>
      <c r="R2963" s="10"/>
      <c r="S2963" s="10"/>
      <c r="T2963" s="10"/>
      <c r="U2963" s="10"/>
      <c r="V2963" s="10"/>
      <c r="W2963" s="10"/>
      <c r="X2963" s="10"/>
      <c r="Y2963" s="10"/>
      <c r="Z2963" s="10"/>
    </row>
    <row r="2964" spans="1:26" ht="12.75">
      <c r="A2964" s="10" t="str">
        <f ca="1">IFERROR(__xludf.DUMMYFUNCTION("""COMPUTED_VALUE"""),"Елисавета Димитрова Цветкова")</f>
        <v>Елисавета Димитрова Цветкова</v>
      </c>
      <c r="B2964" s="10" t="str">
        <f ca="1">IFERROR(__xludf.DUMMYFUNCTION("""COMPUTED_VALUE"""),"Книга")</f>
        <v>Книга</v>
      </c>
      <c r="C2964" s="10" t="str">
        <f ca="1">IFERROR(__xludf.DUMMYFUNCTION("""COMPUTED_VALUE"""),"Libraries Today and Tomorrow. The Contemporary Library as a Reautomated System Project: A Scientific Study")</f>
        <v>Libraries Today and Tomorrow. The Contemporary Library as a Reautomated System Project: A Scientific Study</v>
      </c>
      <c r="D2964" s="10">
        <f ca="1">IFERROR(__xludf.DUMMYFUNCTION("""COMPUTED_VALUE"""),2018)</f>
        <v>2018</v>
      </c>
      <c r="E2964" s="10" t="str">
        <f ca="1">IFERROR(__xludf.DUMMYFUNCTION("""COMPUTED_VALUE"""),"Sofia, Publishing House “Za Bukvite – O Pismeneh”, 2018. – 114 p. ISBN 978-619-185-310-6")</f>
        <v>Sofia, Publishing House “Za Bukvite – O Pismeneh”, 2018. – 114 p. ISBN 978-619-185-310-6</v>
      </c>
      <c r="F2964" s="10"/>
      <c r="G2964" s="10"/>
      <c r="H2964" s="10"/>
      <c r="I2964" s="10"/>
      <c r="J2964" s="10"/>
      <c r="K2964" s="10"/>
      <c r="L2964" s="10"/>
      <c r="M2964" s="10"/>
      <c r="N2964" s="10"/>
      <c r="O2964" s="10"/>
      <c r="P2964" s="10"/>
      <c r="Q2964" s="10"/>
      <c r="R2964" s="10"/>
      <c r="S2964" s="10"/>
      <c r="T2964" s="10"/>
      <c r="U2964" s="10"/>
      <c r="V2964" s="10"/>
      <c r="W2964" s="10"/>
      <c r="X2964" s="10"/>
      <c r="Y2964" s="10"/>
      <c r="Z2964" s="10"/>
    </row>
    <row r="2965" spans="1:26" ht="12.75">
      <c r="A2965" s="10" t="str">
        <f ca="1">IFERROR(__xludf.DUMMYFUNCTION("""COMPUTED_VALUE"""),"Елисавета Димитрова Цветкова")</f>
        <v>Елисавета Димитрова Цветкова</v>
      </c>
      <c r="B2965" s="10" t="str">
        <f ca="1">IFERROR(__xludf.DUMMYFUNCTION("""COMPUTED_VALUE"""),"Книга")</f>
        <v>Книга</v>
      </c>
      <c r="C2965" s="10" t="str">
        <f ca="1">IFERROR(__xludf.DUMMYFUNCTION("""COMPUTED_VALUE"""),"Лидерство в библиотечния мениджмънт")</f>
        <v>Лидерство в библиотечния мениджмънт</v>
      </c>
      <c r="D2965" s="10">
        <f ca="1">IFERROR(__xludf.DUMMYFUNCTION("""COMPUTED_VALUE"""),2018)</f>
        <v>2018</v>
      </c>
      <c r="E2965" s="10" t="str">
        <f ca="1">IFERROR(__xludf.DUMMYFUNCTION("""COMPUTED_VALUE"""),"Научна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2"&amp;"018, 336 с. ISBN 978-619-185-346-5")</f>
        <v>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2018, 336 с. ISBN 978-619-185-346-5</v>
      </c>
      <c r="F2965" s="10" t="str">
        <f ca="1">IFERROR(__xludf.DUMMYFUNCTION("""COMPUTED_VALUE"""),"Google Scholar")</f>
        <v>Google Scholar</v>
      </c>
      <c r="G2965" s="10" t="str">
        <f ca="1">IFERROR(__xludf.DUMMYFUNCTION("""COMPUTED_VALUE"""),"Иванка Янкова, Таня Тодорова, Мариела Модева, Искра Арсенова, Добринка Стойкова, Румелина Василева, Тереза Тренчева, Любомира Парижкова, Силвия Станчева, Елена Савова, Събина Ефтимова, Планска-Симеонова")</f>
        <v>Иванка Янкова, Таня Тодорова, Мариела Модева, Искра Арсенова, Добринка Стойкова, Румелина Василева, Тереза Тренчева, Любомира Парижкова, Силвия Станчева, Елена Савова, Събина Ефтимова, Планска-Симеонова</v>
      </c>
      <c r="H2965" s="10"/>
      <c r="I2965" s="10"/>
      <c r="J2965" s="10"/>
      <c r="K2965" s="10"/>
      <c r="L2965" s="10"/>
      <c r="M2965" s="10"/>
      <c r="N2965" s="10"/>
      <c r="O2965" s="10"/>
      <c r="P2965" s="10"/>
      <c r="Q2965" s="10"/>
      <c r="R2965" s="10"/>
      <c r="S2965" s="10"/>
      <c r="T2965" s="10"/>
      <c r="U2965" s="10"/>
      <c r="V2965" s="10"/>
      <c r="W2965" s="10"/>
      <c r="X2965" s="10"/>
      <c r="Y2965" s="10"/>
      <c r="Z2965" s="10"/>
    </row>
    <row r="2966" spans="1:26" ht="12.75">
      <c r="A2966" s="10" t="str">
        <f ca="1">IFERROR(__xludf.DUMMYFUNCTION("""COMPUTED_VALUE"""),"Елисавета Димитрова Цветкова")</f>
        <v>Елисавета Димитрова Цветкова</v>
      </c>
      <c r="B2966" s="10" t="str">
        <f ca="1">IFERROR(__xludf.DUMMYFUNCTION("""COMPUTED_VALUE"""),"Доклад от конференция")</f>
        <v>Доклад от конференция</v>
      </c>
      <c r="C2966" s="10" t="str">
        <f ca="1">IFERROR(__xludf.DUMMYFUNCTION("""COMPUTED_VALUE"""),"Data Literacy and Research Data Management: The Case at ULSIT")</f>
        <v>Data Literacy and Research Data Management: The Case at ULSIT</v>
      </c>
      <c r="D2966" s="10">
        <f ca="1">IFERROR(__xludf.DUMMYFUNCTION("""COMPUTED_VALUE"""),2018)</f>
        <v>2018</v>
      </c>
      <c r="E2966" s="10" t="str">
        <f ca="1">IFERROR(__xludf.DUMMYFUNCTION("""COMPUTED_VALUE"""),"Information Literacy in Everyday Life: Sixth European Conference on Information Literacy, ECIL 2018, Oulu, Finland, 24-27 September 2018: Revised Selected Papers. Cham: Springer International Publishing, pp. 535–544. – (Communication in Computer and Infor"&amp;"mation Science (CCIS), vol. 989) ISBN 978-3-030-13472-3; eBook ISBN 978-3-030-13472-3, DOI 10.1007/978-3-030-13472-3")</f>
        <v>Information Literacy in Everyday Life: Sixth European Conference on Information Literacy, ECIL 2018, Oulu, Finland, 24-27 September 2018: Revised Selected Papers. Cham: Springer International Publishing, pp. 535–544. – (Communication in Computer and Information Science (CCIS), vol. 989) ISBN 978-3-030-13472-3; eBook ISBN 978-3-030-13472-3, DOI 10.1007/978-3-030-13472-3</v>
      </c>
      <c r="F2966" s="10" t="str">
        <f ca="1">IFERROR(__xludf.DUMMYFUNCTION("""COMPUTED_VALUE"""),"SCOPUS")</f>
        <v>SCOPUS</v>
      </c>
      <c r="G2966" s="10" t="str">
        <f ca="1">IFERROR(__xludf.DUMMYFUNCTION("""COMPUTED_VALUE"""),"Tania Todorova, Rositza Krasteva")</f>
        <v>Tania Todorova, Rositza Krasteva</v>
      </c>
      <c r="H2966" s="10"/>
      <c r="I2966" s="10"/>
      <c r="J2966" s="10"/>
      <c r="K2966" s="10"/>
      <c r="L2966" s="10"/>
      <c r="M2966" s="10"/>
      <c r="N2966" s="10"/>
      <c r="O2966" s="10"/>
      <c r="P2966" s="10"/>
      <c r="Q2966" s="10"/>
      <c r="R2966" s="10"/>
      <c r="S2966" s="10"/>
      <c r="T2966" s="10"/>
      <c r="U2966" s="10"/>
      <c r="V2966" s="10"/>
      <c r="W2966" s="10"/>
      <c r="X2966" s="10"/>
      <c r="Y2966" s="10"/>
      <c r="Z2966" s="10"/>
    </row>
    <row r="2967" spans="1:26" ht="12.75">
      <c r="A2967" s="10" t="str">
        <f ca="1">IFERROR(__xludf.DUMMYFUNCTION("""COMPUTED_VALUE"""),"Елисавета Димитрова Цветкова")</f>
        <v>Елисавета Димитрова Цветкова</v>
      </c>
      <c r="B2967" s="10" t="str">
        <f ca="1">IFERROR(__xludf.DUMMYFUNCTION("""COMPUTED_VALUE"""),"Доклад от конференция")</f>
        <v>Доклад от конференция</v>
      </c>
      <c r="C2967" s="10" t="str">
        <f ca="1">IFERROR(__xludf.DUMMYFUNCTION("""COMPUTED_VALUE"""),"Партньорство с Областния информационен център - София в обучението по дисциплината „Проект мениджмънт“")</f>
        <v>Партньорство с Областния информационен център - София в обучението по дисциплината „Проект мениджмънт“</v>
      </c>
      <c r="D2967" s="10">
        <f ca="1">IFERROR(__xludf.DUMMYFUNCTION("""COMPUTED_VALUE"""),2018)</f>
        <v>2018</v>
      </c>
      <c r="E2967"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 г., УниБИТ / Състав. Т. Тодорова, Е. Цветкова. – София : За буквите-О писменехь, 2018, с. 278-288.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 Състав. Т. Тодорова, Е. Цветкова. – София : За буквите-О писменехь, 2018, с. 278-288. ISBN 978-619-185-347-2</v>
      </c>
      <c r="F2967" s="10" t="str">
        <f ca="1">IFERROR(__xludf.DUMMYFUNCTION("""COMPUTED_VALUE"""),"Google Scholar")</f>
        <v>Google Scholar</v>
      </c>
      <c r="G2967" s="10" t="str">
        <f ca="1">IFERROR(__xludf.DUMMYFUNCTION("""COMPUTED_VALUE"""),"Таня Тодорова")</f>
        <v>Таня Тодорова</v>
      </c>
      <c r="H2967" s="10"/>
      <c r="I2967" s="10"/>
      <c r="J2967" s="10"/>
      <c r="K2967" s="10"/>
      <c r="L2967" s="10"/>
      <c r="M2967" s="10"/>
      <c r="N2967" s="10"/>
      <c r="O2967" s="10"/>
      <c r="P2967" s="10"/>
      <c r="Q2967" s="10"/>
      <c r="R2967" s="10"/>
      <c r="S2967" s="10"/>
      <c r="T2967" s="10"/>
      <c r="U2967" s="10"/>
      <c r="V2967" s="10"/>
      <c r="W2967" s="10"/>
      <c r="X2967" s="10"/>
      <c r="Y2967" s="10"/>
      <c r="Z2967" s="10"/>
    </row>
    <row r="2968" spans="1:26" ht="12.75">
      <c r="A2968" s="10" t="str">
        <f ca="1">IFERROR(__xludf.DUMMYFUNCTION("""COMPUTED_VALUE"""),"Елисавета Димитрова Цветкова")</f>
        <v>Елисавета Димитрова Цветкова</v>
      </c>
      <c r="B2968" s="10" t="str">
        <f ca="1">IFERROR(__xludf.DUMMYFUNCTION("""COMPUTED_VALUE"""),"Доклад от конференция")</f>
        <v>Доклад от конференция</v>
      </c>
      <c r="C2968" s="10" t="str">
        <f ca="1">IFERROR(__xludf.DUMMYFUNCTION("""COMPUTED_VALUE"""),"Интеракция академично образование – работна среда : Опит по проект „Студентски практики“ на МОН")</f>
        <v>Интеракция академично образование – работна среда : Опит по проект „Студентски практики“ на МОН</v>
      </c>
      <c r="D2968" s="10">
        <f ca="1">IFERROR(__xludf.DUMMYFUNCTION("""COMPUTED_VALUE"""),2018)</f>
        <v>2018</v>
      </c>
      <c r="E2968" s="10" t="str">
        <f ca="1">IFERROR(__xludf.DUMMYFUNCTION("""COMPUTED_VALUE"""),"Обществото на знанието и хуманизмът на ХХІ век : Петнадесета национална научна конференция с международно участие, София, 1 ноември 2017. – София: За буквите – О писменехь, 2018, с. 427-431. ISSN 1314-7099")</f>
        <v>Обществото на знанието и хуманизмът на ХХІ век : Петнадесета национална научна конференция с международно участие, София, 1 ноември 2017. – София: За буквите – О писменехь, 2018, с. 427-431. ISSN 1314-7099</v>
      </c>
      <c r="F2968" s="10"/>
      <c r="G2968" s="10" t="str">
        <f ca="1">IFERROR(__xludf.DUMMYFUNCTION("""COMPUTED_VALUE"""),"Ваня Аврамова, Таня Тодорова")</f>
        <v>Ваня Аврамова, Таня Тодорова</v>
      </c>
      <c r="H2968" s="10"/>
      <c r="I2968" s="10"/>
      <c r="J2968" s="10"/>
      <c r="K2968" s="10"/>
      <c r="L2968" s="10"/>
      <c r="M2968" s="10"/>
      <c r="N2968" s="10"/>
      <c r="O2968" s="10"/>
      <c r="P2968" s="10"/>
      <c r="Q2968" s="10"/>
      <c r="R2968" s="10"/>
      <c r="S2968" s="10"/>
      <c r="T2968" s="10"/>
      <c r="U2968" s="10"/>
      <c r="V2968" s="10"/>
      <c r="W2968" s="10"/>
      <c r="X2968" s="10"/>
      <c r="Y2968" s="10"/>
      <c r="Z2968" s="10"/>
    </row>
    <row r="2969" spans="1:26" ht="12.75">
      <c r="A2969" s="10" t="str">
        <f ca="1">IFERROR(__xludf.DUMMYFUNCTION("""COMPUTED_VALUE"""),"Елисавета Димитрова Цветкова")</f>
        <v>Елисавета Димитрова Цветкова</v>
      </c>
      <c r="B2969" s="10" t="str">
        <f ca="1">IFERROR(__xludf.DUMMYFUNCTION("""COMPUTED_VALUE"""),"Книга")</f>
        <v>Книга</v>
      </c>
      <c r="C2969" s="10" t="str">
        <f ca="1">IFERROR(__xludf.DUMMYFUNCTION("""COMPUTED_VALUE"""),"Библиотечният и информационен мениджмънт: 10 години постижения и предизвикателства")</f>
        <v>Библиотечният и информационен мениджмънт: 10 години постижения и предизвикателства</v>
      </c>
      <c r="D2969" s="10">
        <f ca="1">IFERROR(__xludf.DUMMYFUNCTION("""COMPUTED_VALUE"""),2018)</f>
        <v>2018</v>
      </c>
      <c r="E2969" s="10" t="str">
        <f ca="1">IFERROR(__xludf.DUMMYFUNCTION("""COMPUTED_VALUE"""),"Научен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София) / Състав. Таня Тодорова, Елисавета Цве"&amp;"ткова; Науч. Ред. И. Янкова, Р. Василева; Науч. рец. Ст. Денчев, И. Петева. – София : За буквите-О писменехь, 2018, 292 с. ISBN 978-619-185-347-2")</f>
        <v>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София) / Състав. Таня Тодорова, Елисавета Цветкова; Науч. Ред. И. Янкова, Р. Василева; Науч. рец. Ст. Денчев, И. Петева. – София : За буквите-О писменехь, 2018, 292 с. ISBN 978-619-185-347-2</v>
      </c>
      <c r="F2969" s="10" t="str">
        <f ca="1">IFERROR(__xludf.DUMMYFUNCTION("""COMPUTED_VALUE"""),"Google Scholar")</f>
        <v>Google Scholar</v>
      </c>
      <c r="G2969" s="10" t="str">
        <f ca="1">IFERROR(__xludf.DUMMYFUNCTION("""COMPUTED_VALUE"""),"Таня Тодорова")</f>
        <v>Таня Тодорова</v>
      </c>
      <c r="H2969" s="10"/>
      <c r="I2969" s="10"/>
      <c r="J2969" s="10"/>
      <c r="K2969" s="10"/>
      <c r="L2969" s="10"/>
      <c r="M2969" s="10"/>
      <c r="N2969" s="10"/>
      <c r="O2969" s="10"/>
      <c r="P2969" s="10"/>
      <c r="Q2969" s="10"/>
      <c r="R2969" s="10"/>
      <c r="S2969" s="10"/>
      <c r="T2969" s="10"/>
      <c r="U2969" s="10"/>
      <c r="V2969" s="10"/>
      <c r="W2969" s="10"/>
      <c r="X2969" s="10"/>
      <c r="Y2969" s="10"/>
      <c r="Z2969" s="10"/>
    </row>
    <row r="2970" spans="1:26" ht="12.75">
      <c r="A2970" s="10" t="str">
        <f ca="1">IFERROR(__xludf.DUMMYFUNCTION("""COMPUTED_VALUE"""),"Елисавета Димитрова Цветкова")</f>
        <v>Елисавета Димитрова Цветкова</v>
      </c>
      <c r="B2970" s="10" t="str">
        <f ca="1">IFERROR(__xludf.DUMMYFUNCTION("""COMPUTED_VALUE"""),"Доклад от конференция")</f>
        <v>Доклад от конференция</v>
      </c>
      <c r="C2970" s="10" t="str">
        <f ca="1">IFERROR(__xludf.DUMMYFUNCTION("""COMPUTED_VALUE"""),"Universal Contemporary Information Center – Conceptual Model and Role in Community Building")</f>
        <v>Universal Contemporary Information Center – Conceptual Model and Role in Community Building</v>
      </c>
      <c r="D2970" s="10">
        <f ca="1">IFERROR(__xludf.DUMMYFUNCTION("""COMPUTED_VALUE"""),2018)</f>
        <v>2018</v>
      </c>
      <c r="E2970" s="10" t="str">
        <f ca="1">IFERROR(__xludf.DUMMYFUNCTION("""COMPUTED_VALUE"""),"Proceedings of EDULEARN18 : 10th annual International Conference on Education and New Learning Technologies, 2-4 July 2018, Palma, Mallorca, Spain, 2018, p. 3946-3957. ISBN 978-84-09-02709-5")</f>
        <v>Proceedings of EDULEARN18 : 10th annual International Conference on Education and New Learning Technologies, 2-4 July 2018, Palma, Mallorca, Spain, 2018, p. 3946-3957. ISBN 978-84-09-02709-5</v>
      </c>
      <c r="F2970" s="10" t="str">
        <f ca="1">IFERROR(__xludf.DUMMYFUNCTION("""COMPUTED_VALUE"""),"ISI Conference Proceedings Citation Index (Web of Science)")</f>
        <v>ISI Conference Proceedings Citation Index (Web of Science)</v>
      </c>
      <c r="G2970" s="10" t="str">
        <f ca="1">IFERROR(__xludf.DUMMYFUNCTION("""COMPUTED_VALUE"""),"Elisaveta Tsvetkova, Ivanka Pavlova, Krasimira Aleksandrova")</f>
        <v>Elisaveta Tsvetkova, Ivanka Pavlova, Krasimira Aleksandrova</v>
      </c>
      <c r="H2970" s="10"/>
      <c r="I2970" s="10"/>
      <c r="J2970" s="10"/>
      <c r="K2970" s="10"/>
      <c r="L2970" s="10"/>
      <c r="M2970" s="10"/>
      <c r="N2970" s="10"/>
      <c r="O2970" s="10"/>
      <c r="P2970" s="10"/>
      <c r="Q2970" s="10"/>
      <c r="R2970" s="10"/>
      <c r="S2970" s="10"/>
      <c r="T2970" s="10"/>
      <c r="U2970" s="10"/>
      <c r="V2970" s="10"/>
      <c r="W2970" s="10"/>
      <c r="X2970" s="10"/>
      <c r="Y2970" s="10"/>
      <c r="Z2970" s="10"/>
    </row>
    <row r="2971" spans="1:26" ht="12.75">
      <c r="A2971" s="10" t="str">
        <f ca="1">IFERROR(__xludf.DUMMYFUNCTION("""COMPUTED_VALUE"""),"Елисавета Димитрова Цветкова")</f>
        <v>Елисавета Димитрова Цветкова</v>
      </c>
      <c r="B2971" s="10" t="str">
        <f ca="1">IFERROR(__xludf.DUMMYFUNCTION("""COMPUTED_VALUE"""),"Доклад от конференция")</f>
        <v>Доклад от конференция</v>
      </c>
      <c r="C2971" s="10" t="str">
        <f ca="1">IFERROR(__xludf.DUMMYFUNCTION("""COMPUTED_VALUE"""),"Intellectual Property Training of Library and Information Management Bachelor’s Students")</f>
        <v>Intellectual Property Training of Library and Information Management Bachelor’s Students</v>
      </c>
      <c r="D2971" s="10">
        <f ca="1">IFERROR(__xludf.DUMMYFUNCTION("""COMPUTED_VALUE"""),2018)</f>
        <v>2018</v>
      </c>
      <c r="E2971" s="10" t="str">
        <f ca="1">IFERROR(__xludf.DUMMYFUNCTION("""COMPUTED_VALUE"""),"Information Literacy in the Workplace : The Fifth European Conference on Information Literacy (ECIL), Saint Malo, France, September 18-21, 2017 : Revised Selected Papers. Eds. by S. Kurbanoğlu et. al. : Springer, Cham, 2018, р. 294-302. (Communication in "&amp;"Computer and Information Science, Vol. 810). ISBN 978-3-319-74334-9")</f>
        <v>Information Literacy in the Workplace : The Fifth European Conference on Information Literacy (ECIL), Saint Malo, France, September 18-21, 2017 : Revised Selected Papers. Eds. by S. Kurbanoğlu et. al. : Springer, Cham, 2018, р. 294-302. (Communication in Computer and Information Science, Vol. 810). ISBN 978-3-319-74334-9</v>
      </c>
      <c r="F2971" s="10" t="str">
        <f ca="1">IFERROR(__xludf.DUMMYFUNCTION("""COMPUTED_VALUE"""),"SCOPUS")</f>
        <v>SCOPUS</v>
      </c>
      <c r="G2971" s="10"/>
      <c r="H2971" s="10"/>
      <c r="I2971" s="10"/>
      <c r="J2971" s="10"/>
      <c r="K2971" s="10"/>
      <c r="L2971" s="10"/>
      <c r="M2971" s="10"/>
      <c r="N2971" s="10"/>
      <c r="O2971" s="10"/>
      <c r="P2971" s="10"/>
      <c r="Q2971" s="10"/>
      <c r="R2971" s="10"/>
      <c r="S2971" s="10"/>
      <c r="T2971" s="10"/>
      <c r="U2971" s="10"/>
      <c r="V2971" s="10"/>
      <c r="W2971" s="10"/>
      <c r="X2971" s="10"/>
      <c r="Y2971" s="10"/>
      <c r="Z2971" s="10"/>
    </row>
    <row r="2972" spans="1:26" ht="12.75">
      <c r="A2972" s="10" t="str">
        <f ca="1">IFERROR(__xludf.DUMMYFUNCTION("""COMPUTED_VALUE"""),"Елисавета Димитрова Цветкова")</f>
        <v>Елисавета Димитрова Цветкова</v>
      </c>
      <c r="B2972" s="10" t="str">
        <f ca="1">IFERROR(__xludf.DUMMYFUNCTION("""COMPUTED_VALUE"""),"Статия в списания и поредици")</f>
        <v>Статия в списания и поредици</v>
      </c>
      <c r="C2972" s="10" t="str">
        <f ca="1">IFERROR(__xludf.DUMMYFUNCTION("""COMPUTED_VALUE"""),"Съвременни подходи в информационния мениджмънт на Европейския парламент")</f>
        <v>Съвременни подходи в информационния мениджмънт на Европейския парламент</v>
      </c>
      <c r="D2972" s="10">
        <f ca="1">IFERROR(__xludf.DUMMYFUNCTION("""COMPUTED_VALUE"""),2017)</f>
        <v>2017</v>
      </c>
      <c r="E2972" s="10" t="str">
        <f ca="1">IFERROR(__xludf.DUMMYFUNCTION("""COMPUTED_VALUE"""),"Съвременни стратегии и иновации в управление на знанието : Доклади от Третата научна конференция на УМЛАУЗ, Европейски парламент в Брюксел, 4 май 2017 г. / Състав. Стоян Денчев, Дияна Стоянова, Мирияна Павлова, Събина Ефтимова, Тереза Тренчева; Науч. ред."&amp;" Поли Муканова. – София : За буквите – О писменехь, 2017, с. 31-37. ISSN 2535-0250")</f>
        <v>Съвременни стратегии и иновации в управление на знанието : Доклади от Третата научна конференция на УМЛАУЗ, Европейски парламент в Брюксел, 4 май 2017 г. / Състав. Стоян Денчев, Дияна Стоянова, Мирияна Павлова, Събина Ефтимова, Тереза Тренчева; Науч. ред. Поли Муканова. – София : За буквите – О писменехь, 2017, с. 31-37. ISSN 2535-0250</v>
      </c>
      <c r="F2972" s="10"/>
      <c r="G2972" s="10" t="str">
        <f ca="1">IFERROR(__xludf.DUMMYFUNCTION("""COMPUTED_VALUE"""),"Ваня Аврамова")</f>
        <v>Ваня Аврамова</v>
      </c>
      <c r="H2972" s="10"/>
      <c r="I2972" s="10"/>
      <c r="J2972" s="10"/>
      <c r="K2972" s="10"/>
      <c r="L2972" s="10"/>
      <c r="M2972" s="10"/>
      <c r="N2972" s="10"/>
      <c r="O2972" s="10"/>
      <c r="P2972" s="10"/>
      <c r="Q2972" s="10"/>
      <c r="R2972" s="10"/>
      <c r="S2972" s="10"/>
      <c r="T2972" s="10"/>
      <c r="U2972" s="10"/>
      <c r="V2972" s="10"/>
      <c r="W2972" s="10"/>
      <c r="X2972" s="10"/>
      <c r="Y2972" s="10"/>
      <c r="Z2972" s="10"/>
    </row>
    <row r="2973" spans="1:26" ht="12.75">
      <c r="A2973" s="10" t="str">
        <f ca="1">IFERROR(__xludf.DUMMYFUNCTION("""COMPUTED_VALUE"""),"Елисавета Димитрова Цветкова")</f>
        <v>Елисавета Димитрова Цветкова</v>
      </c>
      <c r="B2973" s="10" t="str">
        <f ca="1">IFERROR(__xludf.DUMMYFUNCTION("""COMPUTED_VALUE"""),"Статия в списания и поредици")</f>
        <v>Статия в списания и поредици</v>
      </c>
      <c r="C2973" s="10" t="str">
        <f ca="1">IFERROR(__xludf.DUMMYFUNCTION("""COMPUTED_VALUE"""),"Ролята на мобилното обучение в Стратегията за ефективно прилагане на информационни и комуникационни технологии в образованието и науката на Република България (2014-2020г.)")</f>
        <v>Ролята на мобилното обучение в Стратегията за ефективно прилагане на информационни и комуникационни технологии в образованието и науката на Република България (2014-2020г.)</v>
      </c>
      <c r="D2973" s="10">
        <f ca="1">IFERROR(__xludf.DUMMYFUNCTION("""COMPUTED_VALUE"""),2017)</f>
        <v>2017</v>
      </c>
      <c r="E2973" s="10" t="str">
        <f ca="1">IFERROR(__xludf.DUMMYFUNCTION("""COMPUTED_VALUE"""),"Научни трудове на Съюза на учените в България – Пловдив : Серия А. Обществени науки, изкуство и култура. – Пловдив : СУБ, 2017, с. 226-229. ISSN 1311-9400 (Print) ISSN 2534-9368 (On line)")</f>
        <v>Научни трудове на Съюза на учените в България – Пловдив : Серия А. Обществени науки, изкуство и култура. – Пловдив : СУБ, 2017, с. 226-229. ISSN 1311-9400 (Print) ISSN 2534-9368 (On line)</v>
      </c>
      <c r="F2973" s="10"/>
      <c r="G2973" s="10"/>
      <c r="H2973" s="10"/>
      <c r="I2973" s="10"/>
      <c r="J2973" s="10"/>
      <c r="K2973" s="10"/>
      <c r="L2973" s="10"/>
      <c r="M2973" s="10"/>
      <c r="N2973" s="10"/>
      <c r="O2973" s="10"/>
      <c r="P2973" s="10"/>
      <c r="Q2973" s="10"/>
      <c r="R2973" s="10"/>
      <c r="S2973" s="10"/>
      <c r="T2973" s="10"/>
      <c r="U2973" s="10"/>
      <c r="V2973" s="10"/>
      <c r="W2973" s="10"/>
      <c r="X2973" s="10"/>
      <c r="Y2973" s="10"/>
      <c r="Z2973" s="10"/>
    </row>
    <row r="2974" spans="1:26" ht="12.75">
      <c r="A2974" s="10" t="str">
        <f ca="1">IFERROR(__xludf.DUMMYFUNCTION("""COMPUTED_VALUE"""),"Елисавета Димитрова Цветкова")</f>
        <v>Елисавета Димитрова Цветкова</v>
      </c>
      <c r="B2974" s="10" t="str">
        <f ca="1">IFERROR(__xludf.DUMMYFUNCTION("""COMPUTED_VALUE"""),"Статия в списания и поредици")</f>
        <v>Статия в списания и поредици</v>
      </c>
      <c r="C2974" s="10" t="str">
        <f ca="1">IFERROR(__xludf.DUMMYFUNCTION("""COMPUTED_VALUE"""),"Международната асоциация за мобилно обучение и идеи за сътрудничество с български партньори")</f>
        <v>Международната асоциация за мобилно обучение и идеи за сътрудничество с български партньори</v>
      </c>
      <c r="D2974" s="10">
        <f ca="1">IFERROR(__xludf.DUMMYFUNCTION("""COMPUTED_VALUE"""),2017)</f>
        <v>2017</v>
      </c>
      <c r="E2974" s="10" t="str">
        <f ca="1">IFERROR(__xludf.DUMMYFUNCTION("""COMPUTED_VALUE"""),"Обществото на знанието и хуманизмът на ХХІ век : Четринадесета национална научна конференция с международно участие, София, 1 ноември 2016 г. – София : За буквите – О писменехь, 2017, с. 85-92. ISSN 1314-7099")</f>
        <v>Обществото на знанието и хуманизмът на ХХІ век : Четринадесета национална научна конференция с международно участие, София, 1 ноември 2016 г. – София : За буквите – О писменехь, 2017, с. 85-92. ISSN 1314-7099</v>
      </c>
      <c r="F2974" s="10"/>
      <c r="G2974" s="10"/>
      <c r="H2974" s="10"/>
      <c r="I2974" s="10"/>
      <c r="J2974" s="10"/>
      <c r="K2974" s="10"/>
      <c r="L2974" s="10"/>
      <c r="M2974" s="10"/>
      <c r="N2974" s="10"/>
      <c r="O2974" s="10"/>
      <c r="P2974" s="10"/>
      <c r="Q2974" s="10"/>
      <c r="R2974" s="10"/>
      <c r="S2974" s="10"/>
      <c r="T2974" s="10"/>
      <c r="U2974" s="10"/>
      <c r="V2974" s="10"/>
      <c r="W2974" s="10"/>
      <c r="X2974" s="10"/>
      <c r="Y2974" s="10"/>
      <c r="Z2974" s="10"/>
    </row>
    <row r="2975" spans="1:26" ht="12.75">
      <c r="A2975" s="10" t="str">
        <f ca="1">IFERROR(__xludf.DUMMYFUNCTION("""COMPUTED_VALUE"""),"Елисавета Димитрова Цветкова")</f>
        <v>Елисавета Димитрова Цветкова</v>
      </c>
      <c r="B2975" s="10" t="str">
        <f ca="1">IFERROR(__xludf.DUMMYFUNCTION("""COMPUTED_VALUE"""),"Доклад от конференция")</f>
        <v>Доклад от конференция</v>
      </c>
      <c r="C2975" s="10" t="str">
        <f ca="1">IFERROR(__xludf.DUMMYFUNCTION("""COMPUTED_VALUE"""),"Mobile Digital Libraries Penetrate the Bulgarian Information Space")</f>
        <v>Mobile Digital Libraries Penetrate the Bulgarian Information Space</v>
      </c>
      <c r="D2975" s="10">
        <f ca="1">IFERROR(__xludf.DUMMYFUNCTION("""COMPUTED_VALUE"""),2017)</f>
        <v>2017</v>
      </c>
      <c r="E2975" s="10" t="str">
        <f ca="1">IFERROR(__xludf.DUMMYFUNCTION("""COMPUTED_VALUE"""),"International Symposium on Management of Cultural Heritage and Libraries in Local Governments, 6-8 September 2017, Bursa, Turkey : Abstracts. Eds. Nevzat Özel, Fikret Alkan : Bursa, 2017, p. 150.")</f>
        <v>International Symposium on Management of Cultural Heritage and Libraries in Local Governments, 6-8 September 2017, Bursa, Turkey : Abstracts. Eds. Nevzat Özel, Fikret Alkan : Bursa, 2017, p. 150.</v>
      </c>
      <c r="F2975" s="10"/>
      <c r="G2975" s="10"/>
      <c r="H2975" s="10"/>
      <c r="I2975" s="10"/>
      <c r="J2975" s="10"/>
      <c r="K2975" s="10"/>
      <c r="L2975" s="10"/>
      <c r="M2975" s="10"/>
      <c r="N2975" s="10"/>
      <c r="O2975" s="10"/>
      <c r="P2975" s="10"/>
      <c r="Q2975" s="10"/>
      <c r="R2975" s="10"/>
      <c r="S2975" s="10"/>
      <c r="T2975" s="10"/>
      <c r="U2975" s="10"/>
      <c r="V2975" s="10"/>
      <c r="W2975" s="10"/>
      <c r="X2975" s="10"/>
      <c r="Y2975" s="10"/>
      <c r="Z2975" s="10"/>
    </row>
    <row r="2976" spans="1:26" ht="12.75">
      <c r="A2976" s="10" t="str">
        <f ca="1">IFERROR(__xludf.DUMMYFUNCTION("""COMPUTED_VALUE"""),"Елисавета Димитрова Цветкова")</f>
        <v>Елисавета Димитрова Цветкова</v>
      </c>
      <c r="B2976" s="10" t="str">
        <f ca="1">IFERROR(__xludf.DUMMYFUNCTION("""COMPUTED_VALUE"""),"Доклад от конференция")</f>
        <v>Доклад от конференция</v>
      </c>
      <c r="C2976" s="10" t="str">
        <f ca="1">IFERROR(__xludf.DUMMYFUNCTION("""COMPUTED_VALUE"""),"Националният документален център на Република Гърция - съвременен достъп до знание")</f>
        <v>Националният документален център на Република Гърция - съвременен достъп до знание</v>
      </c>
      <c r="D2976" s="10">
        <f ca="1">IFERROR(__xludf.DUMMYFUNCTION("""COMPUTED_VALUE"""),2017)</f>
        <v>2017</v>
      </c>
      <c r="E2976" s="10" t="str">
        <f ca="1">IFERROR(__xludf.DUMMYFUNCTION("""COMPUTED_VALUE"""),"Съвременни измерения на европейското образователно и научно пространство : Сборник с доклади от XI, Международен пътуващ семинар на УниБИТ, България – Гърция, 29 май – 5 юни 2017 г., T. 5. – София : За буквите – О писменехь, 2017, с. 195-200. ISSN 2367-79"&amp;"88")</f>
        <v>Съвременни измерения на европейското образователно и научно пространство : Сборник с доклади от XI, Международен пътуващ семинар на УниБИТ, България – Гърция, 29 май – 5 юни 2017 г., T. 5. – София : За буквите – О писменехь, 2017, с. 195-200. ISSN 2367-7988</v>
      </c>
      <c r="F2976" s="10"/>
      <c r="G2976" s="10"/>
      <c r="H2976" s="10"/>
      <c r="I2976" s="10"/>
      <c r="J2976" s="10"/>
      <c r="K2976" s="10"/>
      <c r="L2976" s="10"/>
      <c r="M2976" s="10"/>
      <c r="N2976" s="10"/>
      <c r="O2976" s="10"/>
      <c r="P2976" s="10"/>
      <c r="Q2976" s="10"/>
      <c r="R2976" s="10"/>
      <c r="S2976" s="10"/>
      <c r="T2976" s="10"/>
      <c r="U2976" s="10"/>
      <c r="V2976" s="10"/>
      <c r="W2976" s="10"/>
      <c r="X2976" s="10"/>
      <c r="Y2976" s="10"/>
      <c r="Z2976" s="10"/>
    </row>
    <row r="2977" spans="1:26" ht="12.75">
      <c r="A2977" s="10" t="str">
        <f ca="1">IFERROR(__xludf.DUMMYFUNCTION("""COMPUTED_VALUE"""),"Елисавета Димитрова Цветкова")</f>
        <v>Елисавета Димитрова Цветкова</v>
      </c>
      <c r="B2977" s="10" t="str">
        <f ca="1">IFERROR(__xludf.DUMMYFUNCTION("""COMPUTED_VALUE"""),"Доклад от конференция")</f>
        <v>Доклад от конференция</v>
      </c>
      <c r="C2977" s="10" t="str">
        <f ca="1">IFERROR(__xludf.DUMMYFUNCTION("""COMPUTED_VALUE"""),"Модел на информационна концепция за популяризиране на мобилни дигитални библиотеки и образование в България")</f>
        <v>Модел на информационна концепция за популяризиране на мобилни дигитални библиотеки и образование в България</v>
      </c>
      <c r="D2977" s="10">
        <f ca="1">IFERROR(__xludf.DUMMYFUNCTION("""COMPUTED_VALUE"""),2017)</f>
        <v>2017</v>
      </c>
      <c r="E2977"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89-96. ISSN 2535-0250")</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89-96. ISSN 2535-0250</v>
      </c>
      <c r="F2977" s="10"/>
      <c r="G2977" s="10"/>
      <c r="H2977" s="10"/>
      <c r="I2977" s="10"/>
      <c r="J2977" s="10"/>
      <c r="K2977" s="10"/>
      <c r="L2977" s="10"/>
      <c r="M2977" s="10"/>
      <c r="N2977" s="10"/>
      <c r="O2977" s="10"/>
      <c r="P2977" s="10"/>
      <c r="Q2977" s="10"/>
      <c r="R2977" s="10"/>
      <c r="S2977" s="10"/>
      <c r="T2977" s="10"/>
      <c r="U2977" s="10"/>
      <c r="V2977" s="10"/>
      <c r="W2977" s="10"/>
      <c r="X2977" s="10"/>
      <c r="Y2977" s="10"/>
      <c r="Z2977" s="10"/>
    </row>
    <row r="2978" spans="1:26" ht="12.75">
      <c r="A2978" s="10" t="str">
        <f ca="1">IFERROR(__xludf.DUMMYFUNCTION("""COMPUTED_VALUE"""),"Елисавета Димитрова Цветкова")</f>
        <v>Елисавета Димитрова Цветкова</v>
      </c>
      <c r="B2978" s="10" t="str">
        <f ca="1">IFERROR(__xludf.DUMMYFUNCTION("""COMPUTED_VALUE"""),"Доклад от конференция")</f>
        <v>Доклад от конференция</v>
      </c>
      <c r="C2978" s="10" t="str">
        <f ca="1">IFERROR(__xludf.DUMMYFUNCTION("""COMPUTED_VALUE"""),"Проучване на възможностите за професионална реализация на студентите от специалност „Библиотечен и информационен мениджмънт”")</f>
        <v>Проучване на възможностите за професионална реализация на студентите от специалност „Библиотечен и информационен мениджмънт”</v>
      </c>
      <c r="D2978" s="10">
        <f ca="1">IFERROR(__xludf.DUMMYFUNCTION("""COMPUTED_VALUE"""),2017)</f>
        <v>2017</v>
      </c>
      <c r="E2978" s="10" t="str">
        <f ca="1">IFERROR(__xludf.DUMMYFUNCTION("""COMPUTED_VALUE"""),"Библиотеки, четене, комуникации : Петнадесета национална научна конференция с международно участие, Велико Търново, 17-18 ноем. 2016 г., на тема „Дигиталната конверсия на книжовното и културно-историческо наследство“. – Велико Търново : УИ „Св. Св. Кирил "&amp;"и Методий“, 2017, с. 263-271. ISSN 1313-8138")</f>
        <v>Библиотеки, четене, комуникации : Петнадесета национална научна конференция с международно участие, Велико Търново, 17-18 ноем. 2016 г., на тема „Дигиталната конверсия на книжовното и културно-историческо наследство“. – Велико Търново : УИ „Св. Св. Кирил и Методий“, 2017, с. 263-271. ISSN 1313-8138</v>
      </c>
      <c r="F2978" s="10"/>
      <c r="G2978" s="10" t="str">
        <f ca="1">IFERROR(__xludf.DUMMYFUNCTION("""COMPUTED_VALUE"""),"Силвия Станчева")</f>
        <v>Силвия Станчева</v>
      </c>
      <c r="H2978" s="10"/>
      <c r="I2978" s="10"/>
      <c r="J2978" s="10"/>
      <c r="K2978" s="10"/>
      <c r="L2978" s="10"/>
      <c r="M2978" s="10"/>
      <c r="N2978" s="10"/>
      <c r="O2978" s="10"/>
      <c r="P2978" s="10"/>
      <c r="Q2978" s="10"/>
      <c r="R2978" s="10"/>
      <c r="S2978" s="10"/>
      <c r="T2978" s="10"/>
      <c r="U2978" s="10"/>
      <c r="V2978" s="10"/>
      <c r="W2978" s="10"/>
      <c r="X2978" s="10"/>
      <c r="Y2978" s="10"/>
      <c r="Z2978" s="10"/>
    </row>
    <row r="2979" spans="1:26" ht="12.75">
      <c r="A2979" s="10" t="str">
        <f ca="1">IFERROR(__xludf.DUMMYFUNCTION("""COMPUTED_VALUE"""),"Елисавета Димитрова Цветкова")</f>
        <v>Елисавета Димитрова Цветкова</v>
      </c>
      <c r="B2979" s="10" t="str">
        <f ca="1">IFERROR(__xludf.DUMMYFUNCTION("""COMPUTED_VALUE"""),"Доклад от конференция")</f>
        <v>Доклад от конференция</v>
      </c>
      <c r="C2979" s="10" t="str">
        <f ca="1">IFERROR(__xludf.DUMMYFUNCTION("""COMPUTED_VALUE"""),"Academic Policy Reflections of Student’s Reading Behavior Study in SULSIT, Bulgaria")</f>
        <v>Academic Policy Reflections of Student’s Reading Behavior Study in SULSIT, Bulgaria</v>
      </c>
      <c r="D2979" s="10">
        <f ca="1">IFERROR(__xludf.DUMMYFUNCTION("""COMPUTED_VALUE"""),2016)</f>
        <v>2016</v>
      </c>
      <c r="E2979" s="10" t="str">
        <f ca="1">IFERROR(__xludf.DUMMYFUNCTION("""COMPUTED_VALUE"""),"Information Literacy : Key to an Inclusive Society : The Forth European Conference on Information Literacy (ECIL), Prague, Czech Republic, Oct. 10-13, 2016, Revised Selected Papers. Eds. by S. Kurbanoğlu et. al. : Springer-Verlag, Heidelberg, 2016, р. 256"&amp;"-264. (Communication in Computer and Information Science, Vol. 676). ISBN 978-3-319-52162-6 DOI 10.1007/978-3-319-52162-6")</f>
        <v>Information Literacy : Key to an Inclusive Society : The Forth European Conference on Information Literacy (ECIL), Prague, Czech Republic, Oct. 10-13, 2016, Revised Selected Papers. Eds. by S. Kurbanoğlu et. al. : Springer-Verlag, Heidelberg, 2016, р. 256-264. (Communication in Computer and Information Science, Vol. 676). ISBN 978-3-319-52162-6 DOI 10.1007/978-3-319-52162-6</v>
      </c>
      <c r="F2979" s="10" t="str">
        <f ca="1">IFERROR(__xludf.DUMMYFUNCTION("""COMPUTED_VALUE"""),"SCOPUS")</f>
        <v>SCOPUS</v>
      </c>
      <c r="G2979" s="10" t="str">
        <f ca="1">IFERROR(__xludf.DUMMYFUNCTION("""COMPUTED_VALUE"""),"T. Todorova, T. Trencheva, R. Krasteva")</f>
        <v>T. Todorova, T. Trencheva, R. Krasteva</v>
      </c>
      <c r="H2979" s="10"/>
      <c r="I2979" s="10"/>
      <c r="J2979" s="10"/>
      <c r="K2979" s="10"/>
      <c r="L2979" s="10"/>
      <c r="M2979" s="10"/>
      <c r="N2979" s="10"/>
      <c r="O2979" s="10"/>
      <c r="P2979" s="10"/>
      <c r="Q2979" s="10"/>
      <c r="R2979" s="10"/>
      <c r="S2979" s="10"/>
      <c r="T2979" s="10"/>
      <c r="U2979" s="10"/>
      <c r="V2979" s="10"/>
      <c r="W2979" s="10"/>
      <c r="X2979" s="10"/>
      <c r="Y2979" s="10"/>
      <c r="Z2979" s="10"/>
    </row>
    <row r="2980" spans="1:26" ht="12.75">
      <c r="A2980" s="10" t="str">
        <f ca="1">IFERROR(__xludf.DUMMYFUNCTION("""COMPUTED_VALUE"""),"Елисавета Димитрова Цветкова")</f>
        <v>Елисавета Димитрова Цветкова</v>
      </c>
      <c r="B2980" s="10" t="str">
        <f ca="1">IFERROR(__xludf.DUMMYFUNCTION("""COMPUTED_VALUE"""),"Доклад от конференция")</f>
        <v>Доклад от конференция</v>
      </c>
      <c r="C2980" s="10" t="str">
        <f ca="1">IFERROR(__xludf.DUMMYFUNCTION("""COMPUTED_VALUE"""),"Предизвикателства при навлизането на мобилното обучение в глобалните образователни политики")</f>
        <v>Предизвикателства при навлизането на мобилното обучение в глобалните образователни политики</v>
      </c>
      <c r="D2980" s="10">
        <f ca="1">IFERROR(__xludf.DUMMYFUNCTION("""COMPUTED_VALUE"""),2016)</f>
        <v>2016</v>
      </c>
      <c r="E2980" s="10" t="str">
        <f ca="1">IFERROR(__xludf.DUMMYFUNCTION("""COMPUTED_VALUE"""),"Научни комуникации в Югоизточна Европа : Българо-турски културни общувания : Сборник с доклади от Кръгла маса, 26-27 май 2016, Под печат.")</f>
        <v>Научни комуникации в Югоизточна Европа : Българо-турски културни общувания : Сборник с доклади от Кръгла маса, 26-27 май 2016, Под печат.</v>
      </c>
      <c r="F2980" s="10"/>
      <c r="G2980" s="10"/>
      <c r="H2980" s="10"/>
      <c r="I2980" s="10"/>
      <c r="J2980" s="10"/>
      <c r="K2980" s="10"/>
      <c r="L2980" s="10"/>
      <c r="M2980" s="10"/>
      <c r="N2980" s="10"/>
      <c r="O2980" s="10"/>
      <c r="P2980" s="10"/>
      <c r="Q2980" s="10"/>
      <c r="R2980" s="10"/>
      <c r="S2980" s="10"/>
      <c r="T2980" s="10"/>
      <c r="U2980" s="10"/>
      <c r="V2980" s="10"/>
      <c r="W2980" s="10"/>
      <c r="X2980" s="10"/>
      <c r="Y2980" s="10"/>
      <c r="Z2980" s="10"/>
    </row>
    <row r="2981" spans="1:26" ht="12.75">
      <c r="A2981" s="10" t="str">
        <f ca="1">IFERROR(__xludf.DUMMYFUNCTION("""COMPUTED_VALUE"""),"Елисавета Димитрова Цветкова")</f>
        <v>Елисавета Димитрова Цветкова</v>
      </c>
      <c r="B2981" s="10" t="str">
        <f ca="1">IFERROR(__xludf.DUMMYFUNCTION("""COMPUTED_VALUE"""),"Доклад от конференция")</f>
        <v>Доклад от конференция</v>
      </c>
      <c r="C2981" s="10" t="str">
        <f ca="1">IFERROR(__xludf.DUMMYFUNCTION("""COMPUTED_VALUE"""),"Мобилните библиотеки в политиката за развитие на библиотечната система в Унгария")</f>
        <v>Мобилните библиотеки в политиката за развитие на библиотечната система в Унгария</v>
      </c>
      <c r="D2981" s="10">
        <f ca="1">IFERROR(__xludf.DUMMYFUNCTION("""COMPUTED_VALUE"""),2016)</f>
        <v>2016</v>
      </c>
      <c r="E2981" s="10" t="str">
        <f ca="1">IFERROR(__xludf.DUMMYFUNCTION("""COMPUTED_VALUE"""),"Съвременни измерения на европейското образователно и научно пространство : Сборник с доклади от X, Международен пътуващ семинар на УниБИТ : Българо-унгарски културни общувания, България – Унгария, 30.05 – 5.06 2016 г., Т 4. – София : За буквите – О писмен"&amp;"ехь, 2016, с. 91-96. ISSN 2367-7988")</f>
        <v>Съвременни измерения на европейското образователно и научно пространство : Сборник с доклади от X, Международен пътуващ семинар на УниБИТ : Българо-унгарски културни общувания, България – Унгария, 30.05 – 5.06 2016 г., Т 4. – София : За буквите – О писменехь, 2016, с. 91-96. ISSN 2367-7988</v>
      </c>
      <c r="F2981" s="10"/>
      <c r="G2981" s="10"/>
      <c r="H2981" s="10"/>
      <c r="I2981" s="10"/>
      <c r="J2981" s="10"/>
      <c r="K2981" s="10"/>
      <c r="L2981" s="10"/>
      <c r="M2981" s="10"/>
      <c r="N2981" s="10"/>
      <c r="O2981" s="10"/>
      <c r="P2981" s="10"/>
      <c r="Q2981" s="10"/>
      <c r="R2981" s="10"/>
      <c r="S2981" s="10"/>
      <c r="T2981" s="10"/>
      <c r="U2981" s="10"/>
      <c r="V2981" s="10"/>
      <c r="W2981" s="10"/>
      <c r="X2981" s="10"/>
      <c r="Y2981" s="10"/>
      <c r="Z2981" s="10"/>
    </row>
    <row r="2982" spans="1:26" ht="12.75">
      <c r="A2982" s="10" t="str">
        <f ca="1">IFERROR(__xludf.DUMMYFUNCTION("""COMPUTED_VALUE"""),"Елисавета Димитрова Цветкова")</f>
        <v>Елисавета Димитрова Цветкова</v>
      </c>
      <c r="B2982" s="10" t="str">
        <f ca="1">IFERROR(__xludf.DUMMYFUNCTION("""COMPUTED_VALUE"""),"Статия в списания и поредици")</f>
        <v>Статия в списания и поредици</v>
      </c>
      <c r="C2982" s="10" t="str">
        <f ca="1">IFERROR(__xludf.DUMMYFUNCTION("""COMPUTED_VALUE"""),"Реализация на дипломантите от специалност „Библиотечен и информационен мениджмънт“ при УниБИТ")</f>
        <v>Реализация на дипломантите от специалност „Библиотечен и информационен мениджмънт“ при УниБИТ</v>
      </c>
      <c r="D2982" s="10">
        <f ca="1">IFERROR(__xludf.DUMMYFUNCTION("""COMPUTED_VALUE"""),2016)</f>
        <v>2016</v>
      </c>
      <c r="E2982" s="10" t="str">
        <f ca="1">IFERROR(__xludf.DUMMYFUNCTION("""COMPUTED_VALUE"""),"Професионалната реализация – възможности и реалност : Сборник със студии и статии по проблеми, свързани с професионалната реализация на студентите / Състав. Силвия Станчева. – София : За буквите – О Писменехь, 2016, с. 181-195. ISBN 978-619-185-259-8")</f>
        <v>Професионалната реализация – възможности и реалност : Сборник със студии и статии по проблеми, свързани с професионалната реализация на студентите / Състав. Силвия Станчева. – София : За буквите – О Писменехь, 2016, с. 181-195. ISBN 978-619-185-259-8</v>
      </c>
      <c r="F2982" s="10"/>
      <c r="G2982" s="10" t="str">
        <f ca="1">IFERROR(__xludf.DUMMYFUNCTION("""COMPUTED_VALUE"""),"Таня Тодорова, Събина Ефтимова")</f>
        <v>Таня Тодорова, Събина Ефтимова</v>
      </c>
      <c r="H2982" s="10"/>
      <c r="I2982" s="10"/>
      <c r="J2982" s="10"/>
      <c r="K2982" s="10"/>
      <c r="L2982" s="10"/>
      <c r="M2982" s="10"/>
      <c r="N2982" s="10"/>
      <c r="O2982" s="10"/>
      <c r="P2982" s="10"/>
      <c r="Q2982" s="10"/>
      <c r="R2982" s="10"/>
      <c r="S2982" s="10"/>
      <c r="T2982" s="10"/>
      <c r="U2982" s="10"/>
      <c r="V2982" s="10"/>
      <c r="W2982" s="10"/>
      <c r="X2982" s="10"/>
      <c r="Y2982" s="10"/>
      <c r="Z2982" s="10"/>
    </row>
    <row r="2983" spans="1:26" ht="12.75">
      <c r="A2983" s="10" t="str">
        <f ca="1">IFERROR(__xludf.DUMMYFUNCTION("""COMPUTED_VALUE"""),"Елисавета Димитрова Цветкова")</f>
        <v>Елисавета Димитрова Цветкова</v>
      </c>
      <c r="B2983" s="10" t="str">
        <f ca="1">IFERROR(__xludf.DUMMYFUNCTION("""COMPUTED_VALUE"""),"Доклад от конференция")</f>
        <v>Доклад от конференция</v>
      </c>
      <c r="C2983" s="10" t="str">
        <f ca="1">IFERROR(__xludf.DUMMYFUNCTION("""COMPUTED_VALUE"""),"Digital Preservation Policies in Bulgaria and Turkey")</f>
        <v>Digital Preservation Policies in Bulgaria and Turkey</v>
      </c>
      <c r="D2983" s="10">
        <f ca="1">IFERROR(__xludf.DUMMYFUNCTION("""COMPUTED_VALUE"""),2016)</f>
        <v>2016</v>
      </c>
      <c r="E2983" s="10" t="str">
        <f ca="1">IFERROR(__xludf.DUMMYFUNCTION("""COMPUTED_VALUE"""),"Uluslararası Kültürel Mirasın ve Kültürel Bellek Kurumlarının Yönetimi Kongresi: Bildiriler = International Congress on Management of Cultural Heritage and Cultural Memory Institutions : Proceedings / Uluslararası Kültürel Mirasın ve Kültürel Bellek Kurum"&amp;"larının Yönetimi Kongresi, 17-20 Eylül 2014, Osmanlı Arşivi Daire Başkanlığı, Kağıthane, İstanbul, Türkiye, Yayına Hazırlayanlar, Nevzat Özel, Tolga Çakmak. – Ankara : Üniversite ve Araştırma Kütüphanecileri Derneği, 2016, p. 175-182. ISBN 9786056634918")</f>
        <v>Uluslararası Kültürel Mirasın ve Kültürel Bellek Kurumlarının Yönetimi Kongresi: Bildiriler = International Congress on Management of Cultural Heritage and Cultural Memory Institutions : Proceedings / Uluslararası Kültürel Mirasın ve Kültürel Bellek Kurumlarının Yönetimi Kongresi, 17-20 Eylül 2014, Osmanlı Arşivi Daire Başkanlığı, Kağıthane, İstanbul, Türkiye, Yayına Hazırlayanlar, Nevzat Özel, Tolga Çakmak. – Ankara : Üniversite ve Araştırma Kütüphanecileri Derneği, 2016, p. 175-182. ISBN 9786056634918</v>
      </c>
      <c r="F2983" s="10"/>
      <c r="G2983" s="10" t="str">
        <f ca="1">IFERROR(__xludf.DUMMYFUNCTION("""COMPUTED_VALUE"""),"Tania Todorova, Bülent Yılmaz, Tolga Çakmak")</f>
        <v>Tania Todorova, Bülent Yılmaz, Tolga Çakmak</v>
      </c>
      <c r="H2983" s="10"/>
      <c r="I2983" s="10"/>
      <c r="J2983" s="10"/>
      <c r="K2983" s="10"/>
      <c r="L2983" s="10"/>
      <c r="M2983" s="10"/>
      <c r="N2983" s="10"/>
      <c r="O2983" s="10"/>
      <c r="P2983" s="10"/>
      <c r="Q2983" s="10"/>
      <c r="R2983" s="10"/>
      <c r="S2983" s="10"/>
      <c r="T2983" s="10"/>
      <c r="U2983" s="10"/>
      <c r="V2983" s="10"/>
      <c r="W2983" s="10"/>
      <c r="X2983" s="10"/>
      <c r="Y2983" s="10"/>
      <c r="Z2983" s="10"/>
    </row>
    <row r="2984" spans="1:26" ht="12.75">
      <c r="A2984" s="10" t="str">
        <f ca="1">IFERROR(__xludf.DUMMYFUNCTION("""COMPUTED_VALUE"""),"Елисавета Димитрова Цветкова")</f>
        <v>Елисавета Димитрова Цветкова</v>
      </c>
      <c r="B2984" s="10" t="str">
        <f ca="1">IFERROR(__xludf.DUMMYFUNCTION("""COMPUTED_VALUE"""),"Доклад от конференция")</f>
        <v>Доклад от конференция</v>
      </c>
      <c r="C2984" s="10" t="str">
        <f ca="1">IFERROR(__xludf.DUMMYFUNCTION("""COMPUTED_VALUE"""),"Бъдещето на мобилното обучение - благоприятни фактори за включването му в глобалните образователни процеси")</f>
        <v>Бъдещето на мобилното обучение - благоприятни фактори за включването му в глобалните образователни процеси</v>
      </c>
      <c r="D2984" s="10">
        <f ca="1">IFERROR(__xludf.DUMMYFUNCTION("""COMPUTED_VALUE"""),2016)</f>
        <v>2016</v>
      </c>
      <c r="E2984" s="10" t="str">
        <f ca="1">IFERROR(__xludf.DUMMYFUNCTION("""COMPUTED_VALUE"""),"Интернет либерализацията – предизвикателства и добри практики пред интелектуалната собственост : Сборник с доклади от Четвърти национален семинар с международно участие, 26-27 април 2016 г., Университет по библиотекознание и информационни технологии / Със"&amp;"тав. Тереза Тренчева; Науч. ред. Таня Тодорова; Науч. рец. Георги Димитров, Габриела Белова. – София : За буквите – О писменехь, 2016, с. 189-197. ISBN 978-619-185-231-4")</f>
        <v>Интернет либерализацията – предизвикателства и добри практики пред интелектуалната собственост : Сборник с доклади от Четвърти национален семинар с международно участие, 26-27 април 2016 г., Университет по библиотекознание и информационни технологии / Състав. Тереза Тренчева; Науч. ред. Таня Тодорова; Науч. рец. Георги Димитров, Габриела Белова. – София : За буквите – О писменехь, 2016, с. 189-197. ISBN 978-619-185-231-4</v>
      </c>
      <c r="F2984" s="10"/>
      <c r="G2984" s="10"/>
      <c r="H2984" s="10"/>
      <c r="I2984" s="10"/>
      <c r="J2984" s="10"/>
      <c r="K2984" s="10"/>
      <c r="L2984" s="10"/>
      <c r="M2984" s="10"/>
      <c r="N2984" s="10"/>
      <c r="O2984" s="10"/>
      <c r="P2984" s="10"/>
      <c r="Q2984" s="10"/>
      <c r="R2984" s="10"/>
      <c r="S2984" s="10"/>
      <c r="T2984" s="10"/>
      <c r="U2984" s="10"/>
      <c r="V2984" s="10"/>
      <c r="W2984" s="10"/>
      <c r="X2984" s="10"/>
      <c r="Y2984" s="10"/>
      <c r="Z2984" s="10"/>
    </row>
    <row r="2985" spans="1:26" ht="12.75">
      <c r="A2985" s="10" t="str">
        <f ca="1">IFERROR(__xludf.DUMMYFUNCTION("""COMPUTED_VALUE"""),"Елисавета Димитрова Цветкова")</f>
        <v>Елисавета Димитрова Цветкова</v>
      </c>
      <c r="B2985" s="10" t="str">
        <f ca="1">IFERROR(__xludf.DUMMYFUNCTION("""COMPUTED_VALUE"""),"Доклад от конференция")</f>
        <v>Доклад от конференция</v>
      </c>
      <c r="C2985" s="10" t="str">
        <f ca="1">IFERROR(__xludf.DUMMYFUNCTION("""COMPUTED_VALUE"""),"Information Literacy of LIS Students in SULSIT: Survey Results and Academic Reflections")</f>
        <v>Information Literacy of LIS Students in SULSIT: Survey Results and Academic Reflections</v>
      </c>
      <c r="D2985" s="10">
        <f ca="1">IFERROR(__xludf.DUMMYFUNCTION("""COMPUTED_VALUE"""),2016)</f>
        <v>2016</v>
      </c>
      <c r="E2985" s="10" t="str">
        <f ca="1">IFERROR(__xludf.DUMMYFUNCTION("""COMPUTED_VALUE"""),"Conference Proceedings : Fifth edition of the International Conference „New Perspectives in Science Education”, Florence, Italy, 17-18 March 2016. – Florence : Liberariauniversitaria, 2016, p. 180-184. ISBN: 978-88-6292-705-5")</f>
        <v>Conference Proceedings : Fifth edition of the International Conference „New Perspectives in Science Education”, Florence, Italy, 17-18 March 2016. – Florence : Liberariauniversitaria, 2016, p. 180-184. ISBN: 978-88-6292-705-5</v>
      </c>
      <c r="F2985" s="10" t="str">
        <f ca="1">IFERROR(__xludf.DUMMYFUNCTION("""COMPUTED_VALUE"""),"SCOPUS")</f>
        <v>SCOPUS</v>
      </c>
      <c r="G2985" s="10" t="str">
        <f ca="1">IFERROR(__xludf.DUMMYFUNCTION("""COMPUTED_VALUE"""),"Tania Todorova, Tereza Trencheva")</f>
        <v>Tania Todorova, Tereza Trencheva</v>
      </c>
      <c r="H2985" s="10"/>
      <c r="I2985" s="10"/>
      <c r="J2985" s="10"/>
      <c r="K2985" s="10"/>
      <c r="L2985" s="10"/>
      <c r="M2985" s="10"/>
      <c r="N2985" s="10"/>
      <c r="O2985" s="10"/>
      <c r="P2985" s="10"/>
      <c r="Q2985" s="10"/>
      <c r="R2985" s="10"/>
      <c r="S2985" s="10"/>
      <c r="T2985" s="10"/>
      <c r="U2985" s="10"/>
      <c r="V2985" s="10"/>
      <c r="W2985" s="10"/>
      <c r="X2985" s="10"/>
      <c r="Y2985" s="10"/>
      <c r="Z2985" s="10"/>
    </row>
    <row r="2986" spans="1:26" ht="12.75">
      <c r="A2986" s="10" t="str">
        <f ca="1">IFERROR(__xludf.DUMMYFUNCTION("""COMPUTED_VALUE"""),"Елисавета Димитрова Цветкова")</f>
        <v>Елисавета Димитрова Цветкова</v>
      </c>
      <c r="B2986" s="10" t="str">
        <f ca="1">IFERROR(__xludf.DUMMYFUNCTION("""COMPUTED_VALUE"""),"Доклад от конференция")</f>
        <v>Доклад от конференция</v>
      </c>
      <c r="C2986" s="10" t="str">
        <f ca="1">IFERROR(__xludf.DUMMYFUNCTION("""COMPUTED_VALUE"""),"Мобилно библиотечно-информационно обслужване в България")</f>
        <v>Мобилно библиотечно-информационно обслужване в България</v>
      </c>
      <c r="D2986" s="10">
        <f ca="1">IFERROR(__xludf.DUMMYFUNCTION("""COMPUTED_VALUE"""),2016)</f>
        <v>2016</v>
      </c>
      <c r="E2986" s="10" t="str">
        <f ca="1">IFERROR(__xludf.DUMMYFUNCTION("""COMPUTED_VALUE"""),"Обществото на знанието и хуманизмът на ХХІ век : ХІІІ национална научна конференция с международно участие, София: 1 ноември 2015 г. – София : За буквите – О Писменехь, 2016, с. 258-267. ISSN 1314-7099")</f>
        <v>Обществото на знанието и хуманизмът на ХХІ век : ХІІІ национална научна конференция с международно участие, София: 1 ноември 2015 г. – София : За буквите – О Писменехь, 2016, с. 258-267. ISSN 1314-7099</v>
      </c>
      <c r="F2986" s="10"/>
      <c r="G2986" s="10"/>
      <c r="H2986" s="10"/>
      <c r="I2986" s="10"/>
      <c r="J2986" s="10"/>
      <c r="K2986" s="10"/>
      <c r="L2986" s="10"/>
      <c r="M2986" s="10"/>
      <c r="N2986" s="10"/>
      <c r="O2986" s="10"/>
      <c r="P2986" s="10"/>
      <c r="Q2986" s="10"/>
      <c r="R2986" s="10"/>
      <c r="S2986" s="10"/>
      <c r="T2986" s="10"/>
      <c r="U2986" s="10"/>
      <c r="V2986" s="10"/>
      <c r="W2986" s="10"/>
      <c r="X2986" s="10"/>
      <c r="Y2986" s="10"/>
      <c r="Z2986" s="10"/>
    </row>
    <row r="2987" spans="1:26" ht="12.75">
      <c r="A2987" s="10" t="str">
        <f ca="1">IFERROR(__xludf.DUMMYFUNCTION("""COMPUTED_VALUE"""),"Елисавета Димитрова Цветкова")</f>
        <v>Елисавета Димитрова Цветкова</v>
      </c>
      <c r="B2987" s="10" t="str">
        <f ca="1">IFERROR(__xludf.DUMMYFUNCTION("""COMPUTED_VALUE"""),"Доклад от конференция")</f>
        <v>Доклад от конференция</v>
      </c>
      <c r="C2987" s="10" t="str">
        <f ca="1">IFERROR(__xludf.DUMMYFUNCTION("""COMPUTED_VALUE"""),"Мястото и ролята на библиотеките в стратегическите планове за развитие на ИФЛА и Европейския съюз за периода 2016-2021 година")</f>
        <v>Мястото и ролята на библиотеките в стратегическите планове за развитие на ИФЛА и Европейския съюз за периода 2016-2021 година</v>
      </c>
      <c r="D2987" s="10">
        <f ca="1">IFERROR(__xludf.DUMMYFUNCTION("""COMPUTED_VALUE"""),2016)</f>
        <v>2016</v>
      </c>
      <c r="E2987" s="10" t="str">
        <f ca="1">IFERROR(__xludf.DUMMYFUNCTION("""COMPUTED_VALUE"""),"Библиотеката на XXI век – практики, комуникации, ефективност : Сборник с доклади от Национална конференция с международно участие, 8-9 септември 2016, Шумен. – Шумен : РБ „Стилян Чилингиров“, 2016, с. 55-59. ISBN 978-954-2936-28-2")</f>
        <v>Библиотеката на XXI век – практики, комуникации, ефективност : Сборник с доклади от Национална конференция с международно участие, 8-9 септември 2016, Шумен. – Шумен : РБ „Стилян Чилингиров“, 2016, с. 55-59. ISBN 978-954-2936-28-2</v>
      </c>
      <c r="F2987" s="10"/>
      <c r="G2987" s="10"/>
      <c r="H2987" s="10"/>
      <c r="I2987" s="10"/>
      <c r="J2987" s="10"/>
      <c r="K2987" s="10"/>
      <c r="L2987" s="10"/>
      <c r="M2987" s="10"/>
      <c r="N2987" s="10"/>
      <c r="O2987" s="10"/>
      <c r="P2987" s="10"/>
      <c r="Q2987" s="10"/>
      <c r="R2987" s="10"/>
      <c r="S2987" s="10"/>
      <c r="T2987" s="10"/>
      <c r="U2987" s="10"/>
      <c r="V2987" s="10"/>
      <c r="W2987" s="10"/>
      <c r="X2987" s="10"/>
      <c r="Y2987" s="10"/>
      <c r="Z2987" s="10"/>
    </row>
    <row r="2988" spans="1:26" ht="12.75">
      <c r="A2988" s="10" t="str">
        <f ca="1">IFERROR(__xludf.DUMMYFUNCTION("""COMPUTED_VALUE"""),"Елисавета Димитрова Цветкова")</f>
        <v>Елисавета Димитрова Цветкова</v>
      </c>
      <c r="B2988" s="10" t="str">
        <f ca="1">IFERROR(__xludf.DUMMYFUNCTION("""COMPUTED_VALUE"""),"Статия в списания и поредици")</f>
        <v>Статия в списания и поредици</v>
      </c>
      <c r="C2988" s="10" t="str">
        <f ca="1">IFERROR(__xludf.DUMMYFUNCTION("""COMPUTED_VALUE"""),"Дигиталните мобилни библиотеки на OCLC и на водещи информационни доставчици – фактор в съвременната информационна среда")</f>
        <v>Дигиталните мобилни библиотеки на OCLC и на водещи информационни доставчици – фактор в съвременната информационна среда</v>
      </c>
      <c r="D2988" s="10">
        <f ca="1">IFERROR(__xludf.DUMMYFUNCTION("""COMPUTED_VALUE"""),2015)</f>
        <v>2015</v>
      </c>
      <c r="E2988" s="10" t="str">
        <f ca="1">IFERROR(__xludf.DUMMYFUNCTION("""COMPUTED_VALUE"""),"Научни трудове на Университета по библиотекознание и информационни технологии, Т. 12, 2014. – София : За буквите – О писменехь, 2015, с. 81-87. ISSN 1314-2623")</f>
        <v>Научни трудове на Университета по библиотекознание и информационни технологии, Т. 12, 2014. – София : За буквите – О писменехь, 2015, с. 81-87. ISSN 1314-2623</v>
      </c>
      <c r="F2988" s="10"/>
      <c r="G2988" s="10" t="str">
        <f ca="1">IFERROR(__xludf.DUMMYFUNCTION("""COMPUTED_VALUE"""),"Таня Тодорова")</f>
        <v>Таня Тодорова</v>
      </c>
      <c r="H2988" s="10"/>
      <c r="I2988" s="10"/>
      <c r="J2988" s="10"/>
      <c r="K2988" s="10"/>
      <c r="L2988" s="10"/>
      <c r="M2988" s="10"/>
      <c r="N2988" s="10"/>
      <c r="O2988" s="10"/>
      <c r="P2988" s="10"/>
      <c r="Q2988" s="10"/>
      <c r="R2988" s="10"/>
      <c r="S2988" s="10"/>
      <c r="T2988" s="10"/>
      <c r="U2988" s="10"/>
      <c r="V2988" s="10"/>
      <c r="W2988" s="10"/>
      <c r="X2988" s="10"/>
      <c r="Y2988" s="10"/>
      <c r="Z2988" s="10"/>
    </row>
    <row r="2989" spans="1:26" ht="12.75">
      <c r="A2989" s="10" t="str">
        <f ca="1">IFERROR(__xludf.DUMMYFUNCTION("""COMPUTED_VALUE"""),"Елисавета Димитрова Цветкова")</f>
        <v>Елисавета Димитрова Цветкова</v>
      </c>
      <c r="B2989" s="10" t="str">
        <f ca="1">IFERROR(__xludf.DUMMYFUNCTION("""COMPUTED_VALUE"""),"Доклад от конференция")</f>
        <v>Доклад от конференция</v>
      </c>
      <c r="C2989" s="10" t="str">
        <f ca="1">IFERROR(__xludf.DUMMYFUNCTION("""COMPUTED_VALUE"""),"Теория-практика и ''learning by doing"" в обучението по „Автоматизирани библиотеки“ на бакалаври по „Библиотечен и информационен мениджмънт“ в УниБИТ")</f>
        <v>Теория-практика и ''learning by doing" в обучението по „Автоматизирани библиотеки“ на бакалаври по „Библиотечен и информационен мениджмънт“ в УниБИТ</v>
      </c>
      <c r="D2989" s="10">
        <f ca="1">IFERROR(__xludf.DUMMYFUNCTION("""COMPUTED_VALUE"""),2015)</f>
        <v>2015</v>
      </c>
      <c r="E2989" s="10" t="str">
        <f ca="1">IFERROR(__xludf.DUMMYFUNCTION("""COMPUTED_VALUE"""),"Информационни и комуникационни технологии в библиотечно-информационните науки, образованието и културното наследство : Сборник с научни доклади и съобщения от Национална научна конференция в чест на 70 години от създаването на ЮНЕСКО и 65 години от създав"&amp;"ането на ДБИ (днес УниБИТ), 29 май 2015 г. / Състав. Таня Тодорова, Евгения Ковачева, Румен Николов. – София : За буквите – О писменехь, 2015, с. 103-112. ISBN 978-619-185-164-5")</f>
        <v>Информационни и комуникационни технологии в библиотечно-информационните науки, образованието и културното наследство : Сборник с научни доклади и съобщения от Национална научна конференция в чест на 70 години от създаването на ЮНЕСКО и 65 години от създаването на ДБИ (днес УниБИТ), 29 май 2015 г. / Състав. Таня Тодорова, Евгения Ковачева, Румен Николов. – София : За буквите – О писменехь, 2015, с. 103-112. ISBN 978-619-185-164-5</v>
      </c>
      <c r="F2989" s="10"/>
      <c r="G2989" s="10" t="str">
        <f ca="1">IFERROR(__xludf.DUMMYFUNCTION("""COMPUTED_VALUE"""),"Таня Тодорова, К. Александрова, В. Аврамова")</f>
        <v>Таня Тодорова, К. Александрова, В. Аврамова</v>
      </c>
      <c r="H2989" s="10"/>
      <c r="I2989" s="10"/>
      <c r="J2989" s="10"/>
      <c r="K2989" s="10"/>
      <c r="L2989" s="10"/>
      <c r="M2989" s="10"/>
      <c r="N2989" s="10"/>
      <c r="O2989" s="10"/>
      <c r="P2989" s="10"/>
      <c r="Q2989" s="10"/>
      <c r="R2989" s="10"/>
      <c r="S2989" s="10"/>
      <c r="T2989" s="10"/>
      <c r="U2989" s="10"/>
      <c r="V2989" s="10"/>
      <c r="W2989" s="10"/>
      <c r="X2989" s="10"/>
      <c r="Y2989" s="10"/>
      <c r="Z2989" s="10"/>
    </row>
    <row r="2990" spans="1:26" ht="12.75">
      <c r="A2990" s="10" t="str">
        <f ca="1">IFERROR(__xludf.DUMMYFUNCTION("""COMPUTED_VALUE"""),"Елисавета Димитрова Цветкова")</f>
        <v>Елисавета Димитрова Цветкова</v>
      </c>
      <c r="B2990" s="10" t="str">
        <f ca="1">IFERROR(__xludf.DUMMYFUNCTION("""COMPUTED_VALUE"""),"Доклад от конференция")</f>
        <v>Доклад от конференция</v>
      </c>
      <c r="C2990" s="10" t="str">
        <f ca="1">IFERROR(__xludf.DUMMYFUNCTION("""COMPUTED_VALUE"""),"Дигиталната библиотека на ХТМУ – иновативен подход към читателя на XXI век")</f>
        <v>Дигиталната библиотека на ХТМУ – иновативен подход към читателя на XXI век</v>
      </c>
      <c r="D2990" s="10">
        <f ca="1">IFERROR(__xludf.DUMMYFUNCTION("""COMPUTED_VALUE"""),2015)</f>
        <v>2015</v>
      </c>
      <c r="E2990" s="10" t="str">
        <f ca="1">IFERROR(__xludf.DUMMYFUNCTION("""COMPUTED_VALUE"""),"Визия за бъдещето на библиотеките в България : Доклади от XXV Национална конференция на ББИА, Стара Загора, 4–5 юни 2015 г. – София : ББИА, 2015, с. 101-103. ISBN 978-954-9837-29-2")</f>
        <v>Визия за бъдещето на библиотеките в България : Доклади от XXV Национална конференция на ББИА, Стара Загора, 4–5 юни 2015 г. – София : ББИА, 2015, с. 101-103. ISBN 978-954-9837-29-2</v>
      </c>
      <c r="F2990" s="10"/>
      <c r="G2990" s="10" t="str">
        <f ca="1">IFERROR(__xludf.DUMMYFUNCTION("""COMPUTED_VALUE"""),"Ваня Аврамова")</f>
        <v>Ваня Аврамова</v>
      </c>
      <c r="H2990" s="10"/>
      <c r="I2990" s="10"/>
      <c r="J2990" s="10"/>
      <c r="K2990" s="10"/>
      <c r="L2990" s="10"/>
      <c r="M2990" s="10"/>
      <c r="N2990" s="10"/>
      <c r="O2990" s="10"/>
      <c r="P2990" s="10"/>
      <c r="Q2990" s="10"/>
      <c r="R2990" s="10"/>
      <c r="S2990" s="10"/>
      <c r="T2990" s="10"/>
      <c r="U2990" s="10"/>
      <c r="V2990" s="10"/>
      <c r="W2990" s="10"/>
      <c r="X2990" s="10"/>
      <c r="Y2990" s="10"/>
      <c r="Z2990" s="10"/>
    </row>
    <row r="2991" spans="1:26" ht="12.75">
      <c r="A2991" s="10" t="str">
        <f ca="1">IFERROR(__xludf.DUMMYFUNCTION("""COMPUTED_VALUE"""),"Елисавета Димитрова Цветкова")</f>
        <v>Елисавета Димитрова Цветкова</v>
      </c>
      <c r="B2991" s="10" t="str">
        <f ca="1">IFERROR(__xludf.DUMMYFUNCTION("""COMPUTED_VALUE"""),"Статия в списания и поредици")</f>
        <v>Статия в списания и поредици</v>
      </c>
      <c r="C2991" s="10" t="str">
        <f ca="1">IFERROR(__xludf.DUMMYFUNCTION("""COMPUTED_VALUE"""),"Мобилното образование - адекватен отговор на съвременните образователни търсения")</f>
        <v>Мобилното образование - адекватен отговор на съвременните образователни търсения</v>
      </c>
      <c r="D2991" s="10">
        <f ca="1">IFERROR(__xludf.DUMMYFUNCTION("""COMPUTED_VALUE"""),2015)</f>
        <v>2015</v>
      </c>
      <c r="E2991" s="10" t="str">
        <f ca="1">IFERROR(__xludf.DUMMYFUNCTION("""COMPUTED_VALUE"""),"Образование и технологии. Иновации в обучението и познавателното развитие. Бр. 6, 2015, с. 151-152. ISSN 1314-1791")</f>
        <v>Образование и технологии. Иновации в обучението и познавателното развитие. Бр. 6, 2015, с. 151-152. ISSN 1314-1791</v>
      </c>
      <c r="F2991" s="10"/>
      <c r="G2991" s="10"/>
      <c r="H2991" s="10"/>
      <c r="I2991" s="10"/>
      <c r="J2991" s="10"/>
      <c r="K2991" s="10"/>
      <c r="L2991" s="10"/>
      <c r="M2991" s="10"/>
      <c r="N2991" s="10"/>
      <c r="O2991" s="10"/>
      <c r="P2991" s="10"/>
      <c r="Q2991" s="10"/>
      <c r="R2991" s="10"/>
      <c r="S2991" s="10"/>
      <c r="T2991" s="10"/>
      <c r="U2991" s="10"/>
      <c r="V2991" s="10"/>
      <c r="W2991" s="10"/>
      <c r="X2991" s="10"/>
      <c r="Y2991" s="10"/>
      <c r="Z2991" s="10"/>
    </row>
    <row r="2992" spans="1:26" ht="12.75">
      <c r="A2992" s="10" t="str">
        <f ca="1">IFERROR(__xludf.DUMMYFUNCTION("""COMPUTED_VALUE"""),"Елисавета Димитрова Цветкова")</f>
        <v>Елисавета Димитрова Цветкова</v>
      </c>
      <c r="B2992" s="10" t="str">
        <f ca="1">IFERROR(__xludf.DUMMYFUNCTION("""COMPUTED_VALUE"""),"Доклад от конференция")</f>
        <v>Доклад от конференция</v>
      </c>
      <c r="C2992" s="10" t="str">
        <f ca="1">IFERROR(__xludf.DUMMYFUNCTION("""COMPUTED_VALUE"""),"Информираност на българските библиотечни специалисти и потребители относно мобилните дигитални библиотеки и мобилното образование")</f>
        <v>Информираност на българските библиотечни специалисти и потребители относно мобилните дигитални библиотеки и мобилното образование</v>
      </c>
      <c r="D2992" s="10">
        <f ca="1">IFERROR(__xludf.DUMMYFUNCTION("""COMPUTED_VALUE"""),2015)</f>
        <v>2015</v>
      </c>
      <c r="E2992" s="10" t="str">
        <f ca="1">IFERROR(__xludf.DUMMYFUNCTION("""COMPUTED_VALUE"""),"Интелектуалната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Университет по библиотекознание и информационни технологии / Състав. Тереза Тренчева; Науч. р"&amp;"ед. Таня Тодорова; Науч. рец. Георги Димитров, Габриела Белова. – София : За буквите – О писменехь, 2015, с. 208-221. ISBN 978-619-185-160-7")</f>
        <v>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Университет по библиотекознание и информационни технологии / Състав. Тереза Тренчева; Науч. ред. Таня Тодорова; Науч. рец. Георги Димитров, Габриела Белова. – София : За буквите – О писменехь, 2015, с. 208-221. ISBN 978-619-185-160-7</v>
      </c>
      <c r="F2992" s="10"/>
      <c r="G2992" s="10"/>
      <c r="H2992" s="10"/>
      <c r="I2992" s="10"/>
      <c r="J2992" s="10"/>
      <c r="K2992" s="10"/>
      <c r="L2992" s="10"/>
      <c r="M2992" s="10"/>
      <c r="N2992" s="10"/>
      <c r="O2992" s="10"/>
      <c r="P2992" s="10"/>
      <c r="Q2992" s="10"/>
      <c r="R2992" s="10"/>
      <c r="S2992" s="10"/>
      <c r="T2992" s="10"/>
      <c r="U2992" s="10"/>
      <c r="V2992" s="10"/>
      <c r="W2992" s="10"/>
      <c r="X2992" s="10"/>
      <c r="Y2992" s="10"/>
      <c r="Z2992" s="10"/>
    </row>
    <row r="2993" spans="1:26" ht="12.75">
      <c r="A2993" s="10" t="str">
        <f ca="1">IFERROR(__xludf.DUMMYFUNCTION("""COMPUTED_VALUE"""),"Елисавета Димитрова Цветкова")</f>
        <v>Елисавета Димитрова Цветкова</v>
      </c>
      <c r="B2993" s="10" t="str">
        <f ca="1">IFERROR(__xludf.DUMMYFUNCTION("""COMPUTED_VALUE"""),"Доклад от конференция")</f>
        <v>Доклад от конференция</v>
      </c>
      <c r="C2993" s="10" t="str">
        <f ca="1">IFERROR(__xludf.DUMMYFUNCTION("""COMPUTED_VALUE"""),"Еразъм интензивните програми в УниБИТ - ефективна форма за международно образователно и професионално взаимодействие")</f>
        <v>Еразъм интензивните програми в УниБИТ - ефективна форма за международно образователно и професионално взаимодействие</v>
      </c>
      <c r="D2993" s="10">
        <f ca="1">IFERROR(__xludf.DUMMYFUNCTION("""COMPUTED_VALUE"""),2014)</f>
        <v>2014</v>
      </c>
      <c r="E2993" s="10" t="str">
        <f ca="1">IFERROR(__xludf.DUMMYFUNCTION("""COMPUTED_VALUE"""),"Ефективността на библиотеките и подготовката на библиотечнита кадри - залог за тяхното бъдеще : Доклади от XXIII Национална конференция на ББИА, София: 6-7 юни 2013 г. – София : ББИА, 2014, с. 35-41. ISBN 978-954-9837-27-8")</f>
        <v>Ефективността на библиотеките и подготовката на библиотечнита кадри - залог за тяхното бъдеще : Доклади от XXIII Национална конференция на ББИА, София: 6-7 юни 2013 г. – София : ББИА, 2014, с. 35-41. ISBN 978-954-9837-27-8</v>
      </c>
      <c r="F2993" s="10"/>
      <c r="G2993" s="10" t="str">
        <f ca="1">IFERROR(__xludf.DUMMYFUNCTION("""COMPUTED_VALUE"""),"Таня Тодорова, Д. Димитрова")</f>
        <v>Таня Тодорова, Д. Димитрова</v>
      </c>
      <c r="H2993" s="10"/>
      <c r="I2993" s="10"/>
      <c r="J2993" s="10"/>
      <c r="K2993" s="10"/>
      <c r="L2993" s="10"/>
      <c r="M2993" s="10"/>
      <c r="N2993" s="10"/>
      <c r="O2993" s="10"/>
      <c r="P2993" s="10"/>
      <c r="Q2993" s="10"/>
      <c r="R2993" s="10"/>
      <c r="S2993" s="10"/>
      <c r="T2993" s="10"/>
      <c r="U2993" s="10"/>
      <c r="V2993" s="10"/>
      <c r="W2993" s="10"/>
      <c r="X2993" s="10"/>
      <c r="Y2993" s="10"/>
      <c r="Z2993" s="10"/>
    </row>
    <row r="2994" spans="1:26" ht="12.75">
      <c r="A2994" s="10" t="str">
        <f ca="1">IFERROR(__xludf.DUMMYFUNCTION("""COMPUTED_VALUE"""),"Елисавета Димитрова Цветкова")</f>
        <v>Елисавета Димитрова Цветкова</v>
      </c>
      <c r="B2994" s="10" t="str">
        <f ca="1">IFERROR(__xludf.DUMMYFUNCTION("""COMPUTED_VALUE"""),"Доклад от конференция")</f>
        <v>Доклад от конференция</v>
      </c>
      <c r="C2994" s="10" t="str">
        <f ca="1">IFERROR(__xludf.DUMMYFUNCTION("""COMPUTED_VALUE"""),"Мрежата на градските библиотеки в Загреб - културни и образователни възможности в съвременния дигитален свят")</f>
        <v>Мрежата на градските библиотеки в Загреб - културни и образователни възможности в съвременния дигитален свят</v>
      </c>
      <c r="D2994" s="10">
        <f ca="1">IFERROR(__xludf.DUMMYFUNCTION("""COMPUTED_VALUE"""),2013)</f>
        <v>2013</v>
      </c>
      <c r="E2994" s="10" t="str">
        <f ca="1">IFERROR(__xludf.DUMMYFUNCTION("""COMPUTED_VALUE"""),"Дигиталното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Силви"&amp;"я Станчева; Науч. ред. Иванка Янкова; Ред. кол. Иванка Янкова, С. Райчевски, Таня Тодорова. – София : За буквите – О писменехь, 2013, с. 229-236. ISBN 978-954-2946-64-9")</f>
        <v>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Силвия Станчева; Науч. ред. Иванка Янкова; Ред. кол. Иванка Янкова, С. Райчевски, Таня Тодорова. – София : За буквите – О писменехь, 2013, с. 229-236. ISBN 978-954-2946-64-9</v>
      </c>
      <c r="F2994" s="10"/>
      <c r="G2994" s="10"/>
      <c r="H2994" s="10"/>
      <c r="I2994" s="10"/>
      <c r="J2994" s="10"/>
      <c r="K2994" s="10"/>
      <c r="L2994" s="10"/>
      <c r="M2994" s="10"/>
      <c r="N2994" s="10"/>
      <c r="O2994" s="10"/>
      <c r="P2994" s="10"/>
      <c r="Q2994" s="10"/>
      <c r="R2994" s="10"/>
      <c r="S2994" s="10"/>
      <c r="T2994" s="10"/>
      <c r="U2994" s="10"/>
      <c r="V2994" s="10"/>
      <c r="W2994" s="10"/>
      <c r="X2994" s="10"/>
      <c r="Y2994" s="10"/>
      <c r="Z2994" s="10"/>
    </row>
    <row r="2995" spans="1:26" ht="12.75">
      <c r="A2995" s="10" t="str">
        <f ca="1">IFERROR(__xludf.DUMMYFUNCTION("""COMPUTED_VALUE"""),"Елисавета Димитрова Цветкова")</f>
        <v>Елисавета Димитрова Цветкова</v>
      </c>
      <c r="B2995" s="10" t="str">
        <f ca="1">IFERROR(__xludf.DUMMYFUNCTION("""COMPUTED_VALUE"""),"Доклад от конференция")</f>
        <v>Доклад от конференция</v>
      </c>
      <c r="C2995" s="10" t="str">
        <f ca="1">IFERROR(__xludf.DUMMYFUNCTION("""COMPUTED_VALUE"""),"Библиотеката – нов шанс за бездомни хора. Опитът на градските библиотеки в Загреб, Хърватска")</f>
        <v>Библиотеката – нов шанс за бездомни хора. Опитът на градските библиотеки в Загреб, Хърватска</v>
      </c>
      <c r="D2995" s="10">
        <f ca="1">IFERROR(__xludf.DUMMYFUNCTION("""COMPUTED_VALUE"""),2013)</f>
        <v>2013</v>
      </c>
      <c r="E2995"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207-213. ISSN 1314-7323")</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207-213. ISSN 1314-7323</v>
      </c>
      <c r="F2995" s="10"/>
      <c r="G2995" s="10"/>
      <c r="H2995" s="10"/>
      <c r="I2995" s="10"/>
      <c r="J2995" s="10"/>
      <c r="K2995" s="10"/>
      <c r="L2995" s="10"/>
      <c r="M2995" s="10"/>
      <c r="N2995" s="10"/>
      <c r="O2995" s="10"/>
      <c r="P2995" s="10"/>
      <c r="Q2995" s="10"/>
      <c r="R2995" s="10"/>
      <c r="S2995" s="10"/>
      <c r="T2995" s="10"/>
      <c r="U2995" s="10"/>
      <c r="V2995" s="10"/>
      <c r="W2995" s="10"/>
      <c r="X2995" s="10"/>
      <c r="Y2995" s="10"/>
      <c r="Z2995" s="10"/>
    </row>
    <row r="2996" spans="1:26" ht="12.75">
      <c r="A2996" s="10" t="str">
        <f ca="1">IFERROR(__xludf.DUMMYFUNCTION("""COMPUTED_VALUE"""),"Елисавета Димитрова Цветкова")</f>
        <v>Елисавета Димитрова Цветкова</v>
      </c>
      <c r="B2996" s="10" t="str">
        <f ca="1">IFERROR(__xludf.DUMMYFUNCTION("""COMPUTED_VALUE"""),"Доклад от конференция")</f>
        <v>Доклад от конференция</v>
      </c>
      <c r="C2996" s="10" t="str">
        <f ca="1">IFERROR(__xludf.DUMMYFUNCTION("""COMPUTED_VALUE"""),"Мобилните дигитални библиотеки - нови възможности за достъп до информация")</f>
        <v>Мобилните дигитални библиотеки - нови възможности за достъп до информация</v>
      </c>
      <c r="D2996" s="10">
        <f ca="1">IFERROR(__xludf.DUMMYFUNCTION("""COMPUTED_VALUE"""),2012)</f>
        <v>2012</v>
      </c>
      <c r="E2996"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207-213. ISSN 1314-7323")</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207-213. ISSN 1314-7323</v>
      </c>
      <c r="F2996" s="10"/>
      <c r="G2996" s="10"/>
      <c r="H2996" s="10"/>
      <c r="I2996" s="10"/>
      <c r="J2996" s="10"/>
      <c r="K2996" s="10"/>
      <c r="L2996" s="10"/>
      <c r="M2996" s="10"/>
      <c r="N2996" s="10"/>
      <c r="O2996" s="10"/>
      <c r="P2996" s="10"/>
      <c r="Q2996" s="10"/>
      <c r="R2996" s="10"/>
      <c r="S2996" s="10"/>
      <c r="T2996" s="10"/>
      <c r="U2996" s="10"/>
      <c r="V2996" s="10"/>
      <c r="W2996" s="10"/>
      <c r="X2996" s="10"/>
      <c r="Y2996" s="10"/>
      <c r="Z2996" s="10"/>
    </row>
    <row r="2997" spans="1:26" ht="12.75">
      <c r="A2997" s="10" t="str">
        <f ca="1">IFERROR(__xludf.DUMMYFUNCTION("""COMPUTED_VALUE"""),"Елисавета Димитрова Цветкова")</f>
        <v>Елисавета Димитрова Цветкова</v>
      </c>
      <c r="B2997" s="10" t="str">
        <f ca="1">IFERROR(__xludf.DUMMYFUNCTION("""COMPUTED_VALUE"""),"Доклад от конференция")</f>
        <v>Доклад от конференция</v>
      </c>
      <c r="C2997" s="10" t="str">
        <f ca="1">IFERROR(__xludf.DUMMYFUNCTION("""COMPUTED_VALUE"""),"Мобилните технологии в подкрепа на образованието и социалното включване. Първа ЮНЕСКО седмица на мобилното образование")</f>
        <v>Мобилните технологии в подкрепа на образованието и социалното включване. Първа ЮНЕСКО седмица на мобилното образование</v>
      </c>
      <c r="D2997" s="10">
        <f ca="1">IFERROR(__xludf.DUMMYFUNCTION("""COMPUTED_VALUE"""),2012)</f>
        <v>2012</v>
      </c>
      <c r="E2997"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194-201. ISBN 978-954-2946-30-4")</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194-201. ISBN 978-954-2946-30-4</v>
      </c>
      <c r="F2997" s="10"/>
      <c r="G2997" s="10"/>
      <c r="H2997" s="10"/>
      <c r="I2997" s="10"/>
      <c r="J2997" s="10"/>
      <c r="K2997" s="10"/>
      <c r="L2997" s="10"/>
      <c r="M2997" s="10"/>
      <c r="N2997" s="10"/>
      <c r="O2997" s="10"/>
      <c r="P2997" s="10"/>
      <c r="Q2997" s="10"/>
      <c r="R2997" s="10"/>
      <c r="S2997" s="10"/>
      <c r="T2997" s="10"/>
      <c r="U2997" s="10"/>
      <c r="V2997" s="10"/>
      <c r="W2997" s="10"/>
      <c r="X2997" s="10"/>
      <c r="Y2997" s="10"/>
      <c r="Z2997" s="10"/>
    </row>
    <row r="2998" spans="1:26" ht="12.75">
      <c r="A2998" s="10" t="str">
        <f ca="1">IFERROR(__xludf.DUMMYFUNCTION("""COMPUTED_VALUE"""),"Елисавета Илиева Балабанова")</f>
        <v>Елисавета Илиева Балабанова</v>
      </c>
      <c r="B2998" s="10" t="str">
        <f ca="1">IFERROR(__xludf.DUMMYFUNCTION("""COMPUTED_VALUE"""),"Доклад от конференция")</f>
        <v>Доклад от конференция</v>
      </c>
      <c r="C2998" s="10" t="str">
        <f ca="1">IFERROR(__xludf.DUMMYFUNCTION("""COMPUTED_VALUE"""),"Словоредни модели с адюнкти за време в началото на изречението")</f>
        <v>Словоредни модели с адюнкти за време в началото на изречението</v>
      </c>
      <c r="D2998" s="10">
        <f ca="1">IFERROR(__xludf.DUMMYFUNCTION("""COMPUTED_VALUE"""),2020)</f>
        <v>2020</v>
      </c>
      <c r="E2998" s="10" t="str">
        <f ca="1">IFERROR(__xludf.DUMMYFUNCTION("""COMPUTED_VALUE"""),"Годишна конференция на ИБЕ, май 2020; Национално издателство за образование и наука ""Аз Буки"" (София)
 ISSN: 0205-1834 eISSN: 1314-8508")</f>
        <v>Годишна конференция на ИБЕ, май 2020; Национално издателство за образование и наука "Аз Буки" (София)
 ISSN: 0205-1834 eISSN: 1314-8508</v>
      </c>
      <c r="F2998" s="10" t="str">
        <f ca="1">IFERROR(__xludf.DUMMYFUNCTION("""COMPUTED_VALUE"""),"ERIH PLUS − (European Reference Index for the Humanities)
 BRILL – Linguistics Bibliography Online
 PROQUEST − Linguistics&amp;amp;Language Behavior Abstracts
 ANVUR − National Agency for the Evaluation of Universities and
 Research Institutes
 MIAR − Informa"&amp;"tion Matrix for the Analysis of Journals
 eLIBRARY.RU")</f>
        <v>ERIH PLUS − (European Reference Index for the Humanities)
 BRILL – Linguistics Bibliography Online
 PROQUEST − Linguistics&amp;amp;Language Behavior Abstracts
 ANVUR − National Agency for the Evaluation of Universities and
 Research Institutes
 MIAR − Information Matrix for the Analysis of Journals
 eLIBRARY.RU</v>
      </c>
      <c r="G2998" s="10"/>
      <c r="H2998" s="10"/>
      <c r="I2998" s="10"/>
      <c r="J2998" s="10"/>
      <c r="K2998" s="10"/>
      <c r="L2998" s="10"/>
      <c r="M2998" s="10"/>
      <c r="N2998" s="10"/>
      <c r="O2998" s="10"/>
      <c r="P2998" s="10"/>
      <c r="Q2998" s="10"/>
      <c r="R2998" s="10"/>
      <c r="S2998" s="10"/>
      <c r="T2998" s="10"/>
      <c r="U2998" s="10"/>
      <c r="V2998" s="10"/>
      <c r="W2998" s="10"/>
      <c r="X2998" s="10"/>
      <c r="Y2998" s="10"/>
      <c r="Z2998" s="10"/>
    </row>
    <row r="2999" spans="1:26" ht="12.75">
      <c r="A2999" s="10" t="str">
        <f ca="1">IFERROR(__xludf.DUMMYFUNCTION("""COMPUTED_VALUE"""),"Елисавета Илиева Балабанова")</f>
        <v>Елисавета Илиева Балабанова</v>
      </c>
      <c r="B2999" s="10" t="str">
        <f ca="1">IFERROR(__xludf.DUMMYFUNCTION("""COMPUTED_VALUE"""),"Монография")</f>
        <v>Монография</v>
      </c>
      <c r="C2999" s="10" t="str">
        <f ca="1">IFERROR(__xludf.DUMMYFUNCTION("""COMPUTED_VALUE"""),"Словоредни модели с адюнкти в българския език")</f>
        <v>Словоредни модели с адюнкти в българския език</v>
      </c>
      <c r="D2999" s="10">
        <f ca="1">IFERROR(__xludf.DUMMYFUNCTION("""COMPUTED_VALUE"""),2019)</f>
        <v>2019</v>
      </c>
      <c r="E2999" s="10" t="str">
        <f ca="1">IFERROR(__xludf.DUMMYFUNCTION("""COMPUTED_VALUE"""),"Академично издателство „За буквите – О писменехь“, 2019 ISBN 978-619-185-375-5 (online) ISBN 978-619-185-375-5 (print)")</f>
        <v>Академично издателство „За буквите – О писменехь“, 2019 ISBN 978-619-185-375-5 (online) ISBN 978-619-185-375-5 (print)</v>
      </c>
      <c r="F2999" s="10"/>
      <c r="G2999" s="10"/>
      <c r="H2999" s="10"/>
      <c r="I2999" s="10"/>
      <c r="J2999" s="10"/>
      <c r="K2999" s="10"/>
      <c r="L2999" s="10"/>
      <c r="M2999" s="10"/>
      <c r="N2999" s="10"/>
      <c r="O2999" s="10"/>
      <c r="P2999" s="10"/>
      <c r="Q2999" s="10"/>
      <c r="R2999" s="10"/>
      <c r="S2999" s="10"/>
      <c r="T2999" s="10"/>
      <c r="U2999" s="10"/>
      <c r="V2999" s="10"/>
      <c r="W2999" s="10"/>
      <c r="X2999" s="10"/>
      <c r="Y2999" s="10"/>
      <c r="Z2999" s="10"/>
    </row>
    <row r="3000" spans="1:26" ht="12.75">
      <c r="A3000" s="10" t="str">
        <f ca="1">IFERROR(__xludf.DUMMYFUNCTION("""COMPUTED_VALUE"""),"Елисавета Илиева Балабанова")</f>
        <v>Елисавета Илиева Балабанова</v>
      </c>
      <c r="B3000" s="10" t="str">
        <f ca="1">IFERROR(__xludf.DUMMYFUNCTION("""COMPUTED_VALUE"""),"Статия в списания и поредици")</f>
        <v>Статия в списания и поредици</v>
      </c>
      <c r="C3000" s="10" t="str">
        <f ca="1">IFERROR(__xludf.DUMMYFUNCTION("""COMPUTED_VALUE"""),"Езикът като система")</f>
        <v>Езикът като система</v>
      </c>
      <c r="D3000" s="10">
        <f ca="1">IFERROR(__xludf.DUMMYFUNCTION("""COMPUTED_VALUE"""),2019)</f>
        <v>2019</v>
      </c>
      <c r="E3000" s="10" t="str">
        <f ca="1">IFERROR(__xludf.DUMMYFUNCTION("""COMPUTED_VALUE"""),"В: Учебно помагало „Комуникации и политики”, том 2, Изд. „За буквите”, 2019, ISSN 1314-7323")</f>
        <v>В: Учебно помагало „Комуникации и политики”, том 2, Изд. „За буквите”, 2019, ISSN 1314-7323</v>
      </c>
      <c r="F3000" s="10"/>
      <c r="G3000" s="10"/>
      <c r="H3000" s="10"/>
      <c r="I3000" s="10"/>
      <c r="J3000" s="10"/>
      <c r="K3000" s="10"/>
      <c r="L3000" s="10"/>
      <c r="M3000" s="10"/>
      <c r="N3000" s="10"/>
      <c r="O3000" s="10"/>
      <c r="P3000" s="10"/>
      <c r="Q3000" s="10"/>
      <c r="R3000" s="10"/>
      <c r="S3000" s="10"/>
      <c r="T3000" s="10"/>
      <c r="U3000" s="10"/>
      <c r="V3000" s="10"/>
      <c r="W3000" s="10"/>
      <c r="X3000" s="10"/>
      <c r="Y3000" s="10"/>
      <c r="Z3000" s="10"/>
    </row>
    <row r="3001" spans="1:26" ht="12.75">
      <c r="A3001" s="10" t="str">
        <f ca="1">IFERROR(__xludf.DUMMYFUNCTION("""COMPUTED_VALUE"""),"Елисавета Илиева Балабанова")</f>
        <v>Елисавета Илиева Балабанова</v>
      </c>
      <c r="B3001" s="10" t="str">
        <f ca="1">IFERROR(__xludf.DUMMYFUNCTION("""COMPUTED_VALUE"""),"Статия в списания и поредици")</f>
        <v>Статия в списания и поредици</v>
      </c>
      <c r="C3001" s="10" t="str">
        <f ca="1">IFERROR(__xludf.DUMMYFUNCTION("""COMPUTED_VALUE"""),"Използване на електронни лексикални ресурси")</f>
        <v>Използване на електронни лексикални ресурси</v>
      </c>
      <c r="D3001" s="10">
        <f ca="1">IFERROR(__xludf.DUMMYFUNCTION("""COMPUTED_VALUE"""),2019)</f>
        <v>2019</v>
      </c>
      <c r="E3001" s="10" t="str">
        <f ca="1">IFERROR(__xludf.DUMMYFUNCTION("""COMPUTED_VALUE"""),"В: Учебно помагало „Комуникации и политики”, том 2, Изд. „За буквите”, 2019, ISSN 1314-7323")</f>
        <v>В: Учебно помагало „Комуникации и политики”, том 2, Изд. „За буквите”, 2019, ISSN 1314-7323</v>
      </c>
      <c r="F3001" s="10"/>
      <c r="G3001" s="10"/>
      <c r="H3001" s="10"/>
      <c r="I3001" s="10"/>
      <c r="J3001" s="10"/>
      <c r="K3001" s="10"/>
      <c r="L3001" s="10"/>
      <c r="M3001" s="10"/>
      <c r="N3001" s="10"/>
      <c r="O3001" s="10"/>
      <c r="P3001" s="10"/>
      <c r="Q3001" s="10"/>
      <c r="R3001" s="10"/>
      <c r="S3001" s="10"/>
      <c r="T3001" s="10"/>
      <c r="U3001" s="10"/>
      <c r="V3001" s="10"/>
      <c r="W3001" s="10"/>
      <c r="X3001" s="10"/>
      <c r="Y3001" s="10"/>
      <c r="Z3001" s="10"/>
    </row>
    <row r="3002" spans="1:26" ht="12.75">
      <c r="A3002" s="10" t="str">
        <f ca="1">IFERROR(__xludf.DUMMYFUNCTION("""COMPUTED_VALUE"""),"Елисавета Илиева Балабанова")</f>
        <v>Елисавета Илиева Балабанова</v>
      </c>
      <c r="B3002" s="10" t="str">
        <f ca="1">IFERROR(__xludf.DUMMYFUNCTION("""COMPUTED_VALUE"""),"Доклад от конференция")</f>
        <v>Доклад от конференция</v>
      </c>
      <c r="C3002" s="10" t="str">
        <f ca="1">IFERROR(__xludf.DUMMYFUNCTION("""COMPUTED_VALUE"""),"Знаковият характер на езика в системата на обществената комункация")</f>
        <v>Знаковият характер на езика в системата на обществената комункация</v>
      </c>
      <c r="D3002" s="10">
        <f ca="1">IFERROR(__xludf.DUMMYFUNCTION("""COMPUTED_VALUE"""),2019)</f>
        <v>2019</v>
      </c>
      <c r="E3002" s="10" t="str">
        <f ca="1">IFERROR(__xludf.DUMMYFUNCTION("""COMPUTED_VALUE"""),"доклад в „Кръгла маса по проблемите на обществената комуникация”, 2019, УниБИТ, София, под печат")</f>
        <v>доклад в „Кръгла маса по проблемите на обществената комуникация”, 2019, УниБИТ, София, под печат</v>
      </c>
      <c r="F3002" s="10"/>
      <c r="G3002" s="10"/>
      <c r="H3002" s="10"/>
      <c r="I3002" s="10"/>
      <c r="J3002" s="10"/>
      <c r="K3002" s="10"/>
      <c r="L3002" s="10"/>
      <c r="M3002" s="10"/>
      <c r="N3002" s="10"/>
      <c r="O3002" s="10"/>
      <c r="P3002" s="10"/>
      <c r="Q3002" s="10"/>
      <c r="R3002" s="10"/>
      <c r="S3002" s="10"/>
      <c r="T3002" s="10"/>
      <c r="U3002" s="10"/>
      <c r="V3002" s="10"/>
      <c r="W3002" s="10"/>
      <c r="X3002" s="10"/>
      <c r="Y3002" s="10"/>
      <c r="Z3002" s="10"/>
    </row>
    <row r="3003" spans="1:26" ht="12.75">
      <c r="A3003" s="10" t="str">
        <f ca="1">IFERROR(__xludf.DUMMYFUNCTION("""COMPUTED_VALUE"""),"Елисавета Илиева Балабанова")</f>
        <v>Елисавета Илиева Балабанова</v>
      </c>
      <c r="B3003" s="10" t="str">
        <f ca="1">IFERROR(__xludf.DUMMYFUNCTION("""COMPUTED_VALUE"""),"Доклад от конференция")</f>
        <v>Доклад от конференция</v>
      </c>
      <c r="C3003" s="10" t="str">
        <f ca="1">IFERROR(__xludf.DUMMYFUNCTION("""COMPUTED_VALUE"""),"Изследване на читателските нагласи по отношение четенето на книги на електронен и хартиен носител")</f>
        <v>Изследване на читателските нагласи по отношение четенето на книги на електронен и хартиен носител</v>
      </c>
      <c r="D3003" s="10">
        <f ca="1">IFERROR(__xludf.DUMMYFUNCTION("""COMPUTED_VALUE"""),2019)</f>
        <v>2019</v>
      </c>
      <c r="E3003" s="10" t="str">
        <f ca="1">IFERROR(__xludf.DUMMYFUNCTION("""COMPUTED_VALUE"""),"април 2019, Конференция, посветена на Деня на книгата и авторското право, под печат")</f>
        <v>април 2019, Конференция, посветена на Деня на книгата и авторското право, под печат</v>
      </c>
      <c r="F3003" s="10"/>
      <c r="G3003" s="10"/>
      <c r="H3003" s="10"/>
      <c r="I3003" s="10"/>
      <c r="J3003" s="10"/>
      <c r="K3003" s="10"/>
      <c r="L3003" s="10"/>
      <c r="M3003" s="10"/>
      <c r="N3003" s="10"/>
      <c r="O3003" s="10"/>
      <c r="P3003" s="10"/>
      <c r="Q3003" s="10"/>
      <c r="R3003" s="10"/>
      <c r="S3003" s="10"/>
      <c r="T3003" s="10"/>
      <c r="U3003" s="10"/>
      <c r="V3003" s="10"/>
      <c r="W3003" s="10"/>
      <c r="X3003" s="10"/>
      <c r="Y3003" s="10"/>
      <c r="Z3003" s="10"/>
    </row>
    <row r="3004" spans="1:26" ht="12.75">
      <c r="A3004" s="10" t="str">
        <f ca="1">IFERROR(__xludf.DUMMYFUNCTION("""COMPUTED_VALUE"""),"Елисавета Илиева Балабанова")</f>
        <v>Елисавета Илиева Балабанова</v>
      </c>
      <c r="B3004" s="10" t="str">
        <f ca="1">IFERROR(__xludf.DUMMYFUNCTION("""COMPUTED_VALUE"""),"Доклад от конференция")</f>
        <v>Доклад от конференция</v>
      </c>
      <c r="C3004" s="10" t="str">
        <f ca="1">IFERROR(__xludf.DUMMYFUNCTION("""COMPUTED_VALUE"""),"Синтаксис на адюнктите на Т. Ернст – една лингвистична теория от 21.век")</f>
        <v>Синтаксис на адюнктите на Т. Ернст – една лингвистична теория от 21.век</v>
      </c>
      <c r="D3004" s="10">
        <f ca="1">IFERROR(__xludf.DUMMYFUNCTION("""COMPUTED_VALUE"""),2018)</f>
        <v>2018</v>
      </c>
      <c r="E3004" s="10" t="str">
        <f ca="1">IFERROR(__xludf.DUMMYFUNCTION("""COMPUTED_VALUE"""),"Пълно библиографско описание + ISBN Сп. „Български език”, LXVI, 2019, Fith Forum Bulgarian Grammar, Supplement, Eds.: Svetla Koeva, Diana Blagoeva, p-ISSN 0005-4283, E-ISSN 2603-3372, pp. 151 - 158")</f>
        <v>Пълно библиографско описание + ISBN Сп. „Български език”, LXVI, 2019, Fith Forum Bulgarian Grammar, Supplement, Eds.: Svetla Koeva, Diana Blagoeva, p-ISSN 0005-4283, E-ISSN 2603-3372, pp. 151 - 158</v>
      </c>
      <c r="F3004" s="10" t="str">
        <f ca="1">IFERROR(__xludf.DUMMYFUNCTION("""COMPUTED_VALUE"""),"ERIH PLUS − (European Reference Index for the Humanities) 
 BRILL – Linguistics Bibliography Online 
 PROQUEST − Linguistics&amp;Language Behavior Abstracts 
 ANVUR − National Agency for the Evaluation of Universities and Research Institutes 
 MIAR − Informat"&amp;"ion Matrix for the Analysis of Journals
 eLIBRARY.RU")</f>
        <v>ERIH PLUS − (European Reference Index for the Humanities) 
 BRILL – Linguistics Bibliography Online 
 PROQUEST − Linguistics&amp;Language Behavior Abstracts 
 ANVUR − National Agency for the Evaluation of Universities and Research Institutes 
 MIAR − Information Matrix for the Analysis of Journals
 eLIBRARY.RU</v>
      </c>
      <c r="G3004" s="10"/>
      <c r="H3004" s="10"/>
      <c r="I3004" s="10"/>
      <c r="J3004" s="10"/>
      <c r="K3004" s="10"/>
      <c r="L3004" s="10"/>
      <c r="M3004" s="10"/>
      <c r="N3004" s="10"/>
      <c r="O3004" s="10"/>
      <c r="P3004" s="10"/>
      <c r="Q3004" s="10"/>
      <c r="R3004" s="10"/>
      <c r="S3004" s="10"/>
      <c r="T3004" s="10"/>
      <c r="U3004" s="10"/>
      <c r="V3004" s="10"/>
      <c r="W3004" s="10"/>
      <c r="X3004" s="10"/>
      <c r="Y3004" s="10"/>
      <c r="Z3004" s="10"/>
    </row>
    <row r="3005" spans="1:26" ht="12.75">
      <c r="A3005" s="10" t="str">
        <f ca="1">IFERROR(__xludf.DUMMYFUNCTION("""COMPUTED_VALUE"""),"Елисавета Илиева Балабанова")</f>
        <v>Елисавета Илиева Балабанова</v>
      </c>
      <c r="B3005" s="10" t="str">
        <f ca="1">IFERROR(__xludf.DUMMYFUNCTION("""COMPUTED_VALUE"""),"Доклад от конференция")</f>
        <v>Доклад от конференция</v>
      </c>
      <c r="C3005" s="10" t="str">
        <f ca="1">IFERROR(__xludf.DUMMYFUNCTION("""COMPUTED_VALUE"""),"Реализирани/нереализирани депенденти на предиката – съвременни семантико-синтактични подходи. Критерий за разграничаване между двете групи")</f>
        <v>Реализирани/нереализирани депенденти на предиката – съвременни семантико-синтактични подходи. Критерий за разграничаване между двете групи</v>
      </c>
      <c r="D3005" s="10">
        <f ca="1">IFERROR(__xludf.DUMMYFUNCTION("""COMPUTED_VALUE"""),2018)</f>
        <v>2018</v>
      </c>
      <c r="E3005" s="10" t="str">
        <f ca="1">IFERROR(__xludf.DUMMYFUNCTION("""COMPUTED_VALUE"""),"Българистични четения, СУ „Св. Климент Охридски“, ноември 2018, под печат")</f>
        <v>Българистични четения, СУ „Св. Климент Охридски“, ноември 2018, под печат</v>
      </c>
      <c r="F3005" s="10"/>
      <c r="G3005" s="10"/>
      <c r="H3005" s="10"/>
      <c r="I3005" s="10"/>
      <c r="J3005" s="10"/>
      <c r="K3005" s="10"/>
      <c r="L3005" s="10"/>
      <c r="M3005" s="10"/>
      <c r="N3005" s="10"/>
      <c r="O3005" s="10"/>
      <c r="P3005" s="10"/>
      <c r="Q3005" s="10"/>
      <c r="R3005" s="10"/>
      <c r="S3005" s="10"/>
      <c r="T3005" s="10"/>
      <c r="U3005" s="10"/>
      <c r="V3005" s="10"/>
      <c r="W3005" s="10"/>
      <c r="X3005" s="10"/>
      <c r="Y3005" s="10"/>
      <c r="Z3005" s="10"/>
    </row>
    <row r="3006" spans="1:26" ht="12.75">
      <c r="A3006" s="10" t="str">
        <f ca="1">IFERROR(__xludf.DUMMYFUNCTION("""COMPUTED_VALUE"""),"Елисавета Илиева Балабанова")</f>
        <v>Елисавета Илиева Балабанова</v>
      </c>
      <c r="B3006" s="10" t="str">
        <f ca="1">IFERROR(__xludf.DUMMYFUNCTION("""COMPUTED_VALUE"""),"Доклад от конференция")</f>
        <v>Доклад от конференция</v>
      </c>
      <c r="C3006" s="10" t="str">
        <f ca="1">IFERROR(__xludf.DUMMYFUNCTION("""COMPUTED_VALUE"""),"Интердисциплинарен подход за идентифициране на изречения с участието на адюнкти (върху корпус с XML описания)")</f>
        <v>Интердисциплинарен подход за идентифициране на изречения с участието на адюнкти (върху корпус с XML описания)</v>
      </c>
      <c r="D3006" s="10">
        <f ca="1">IFERROR(__xludf.DUMMYFUNCTION("""COMPUTED_VALUE"""),2018)</f>
        <v>2018</v>
      </c>
      <c r="E3006" s="10" t="str">
        <f ca="1">IFERROR(__xludf.DUMMYFUNCTION("""COMPUTED_VALUE"""),"Форум Българска граматика на тема „Интердисциплинарни подходи в лингвистиката“, В: сп. „Български език”, София, Год. 1.IV.2018, стр. 144-155, http://www.balgarskiezik.eu/p_2018.html")</f>
        <v>Форум Българска граматика на тема „Интердисциплинарни подходи в лингвистиката“, В: сп. „Български език”, София, Год. 1.IV.2018, стр. 144-155, http://www.balgarskiezik.eu/p_2018.html</v>
      </c>
      <c r="F3006" s="10" t="str">
        <f ca="1">IFERROR(__xludf.DUMMYFUNCTION("""COMPUTED_VALUE"""),"ERIH PLUS − (European Reference Index for the Humanities) 
 BRILL – Linguistics Bibliography Online 
 PROQUEST − Linguistics&amp;Language Behavior Abstracts 
 ANVUR − National Agency for the Evaluation of Universities and Research Institutes 
 MIAR − Informat"&amp;"ion Matrix for the Analysis of Journals
 eLIBRARY.RU")</f>
        <v>ERIH PLUS − (European Reference Index for the Humanities) 
 BRILL – Linguistics Bibliography Online 
 PROQUEST − Linguistics&amp;Language Behavior Abstracts 
 ANVUR − National Agency for the Evaluation of Universities and Research Institutes 
 MIAR − Information Matrix for the Analysis of Journals
 eLIBRARY.RU</v>
      </c>
      <c r="G3006" s="10"/>
      <c r="H3006" s="10"/>
      <c r="I3006" s="10"/>
      <c r="J3006" s="10"/>
      <c r="K3006" s="10"/>
      <c r="L3006" s="10"/>
      <c r="M3006" s="10"/>
      <c r="N3006" s="10"/>
      <c r="O3006" s="10"/>
      <c r="P3006" s="10"/>
      <c r="Q3006" s="10"/>
      <c r="R3006" s="10"/>
      <c r="S3006" s="10"/>
      <c r="T3006" s="10"/>
      <c r="U3006" s="10"/>
      <c r="V3006" s="10"/>
      <c r="W3006" s="10"/>
      <c r="X3006" s="10"/>
      <c r="Y3006" s="10"/>
      <c r="Z3006" s="10"/>
    </row>
    <row r="3007" spans="1:26" ht="12.75">
      <c r="A3007" s="10" t="str">
        <f ca="1">IFERROR(__xludf.DUMMYFUNCTION("""COMPUTED_VALUE"""),"Елисавета Илиева Балабанова")</f>
        <v>Елисавета Илиева Балабанова</v>
      </c>
      <c r="B3007" s="10" t="str">
        <f ca="1">IFERROR(__xludf.DUMMYFUNCTION("""COMPUTED_VALUE"""),"Доклад от конференция")</f>
        <v>Доклад от конференция</v>
      </c>
      <c r="C3007" s="10" t="str">
        <f ca="1">IFERROR(__xludf.DUMMYFUNCTION("""COMPUTED_VALUE"""),"Взаимодействие между прагматика, семантика и синтаксис в словоредните модели на глаголната фраза")</f>
        <v>Взаимодействие между прагматика, семантика и синтаксис в словоредните модели на глаголната фраза</v>
      </c>
      <c r="D3007" s="10">
        <f ca="1">IFERROR(__xludf.DUMMYFUNCTION("""COMPUTED_VALUE"""),2017)</f>
        <v>2017</v>
      </c>
      <c r="E3007" s="10" t="str">
        <f ca="1">IFERROR(__xludf.DUMMYFUNCTION("""COMPUTED_VALUE"""),"Годишна конференция на факултета по славянски филологии, СУ, 2017")</f>
        <v>Годишна конференция на факултета по славянски филологии, СУ, 2017</v>
      </c>
      <c r="F3007" s="10"/>
      <c r="G3007" s="10"/>
      <c r="H3007" s="10"/>
      <c r="I3007" s="10"/>
      <c r="J3007" s="10"/>
      <c r="K3007" s="10"/>
      <c r="L3007" s="10"/>
      <c r="M3007" s="10"/>
      <c r="N3007" s="10"/>
      <c r="O3007" s="10"/>
      <c r="P3007" s="10"/>
      <c r="Q3007" s="10"/>
      <c r="R3007" s="10"/>
      <c r="S3007" s="10"/>
      <c r="T3007" s="10"/>
      <c r="U3007" s="10"/>
      <c r="V3007" s="10"/>
      <c r="W3007" s="10"/>
      <c r="X3007" s="10"/>
      <c r="Y3007" s="10"/>
      <c r="Z3007" s="10"/>
    </row>
    <row r="3008" spans="1:26" ht="12.75">
      <c r="A3008" s="10" t="str">
        <f ca="1">IFERROR(__xludf.DUMMYFUNCTION("""COMPUTED_VALUE"""),"Елисавета Илиева Балабанова")</f>
        <v>Елисавета Илиева Балабанова</v>
      </c>
      <c r="B3008" s="10" t="str">
        <f ca="1">IFERROR(__xludf.DUMMYFUNCTION("""COMPUTED_VALUE"""),"Доклад от конференция")</f>
        <v>Доклад от конференция</v>
      </c>
      <c r="C3008" s="10" t="str">
        <f ca="1">IFERROR(__xludf.DUMMYFUNCTION("""COMPUTED_VALUE"""),"Discontinuous VP in Bulgarian")</f>
        <v>Discontinuous VP in Bulgarian</v>
      </c>
      <c r="D3008" s="10">
        <f ca="1">IFERROR(__xludf.DUMMYFUNCTION("""COMPUTED_VALUE"""),2016)</f>
        <v>2016</v>
      </c>
      <c r="E3008" s="10" t="str">
        <f ca="1">IFERROR(__xludf.DUMMYFUNCTION("""COMPUTED_VALUE"""),"In: Proceedings of Workshop on Discontinuous Structures in Natural Language Processing")</f>
        <v>In: Proceedings of Workshop on Discontinuous Structures in Natural Language Processing</v>
      </c>
      <c r="F3008" s="10"/>
      <c r="G3008" s="10"/>
      <c r="H3008" s="10"/>
      <c r="I3008" s="10"/>
      <c r="J3008" s="10"/>
      <c r="K3008" s="10"/>
      <c r="L3008" s="10"/>
      <c r="M3008" s="10"/>
      <c r="N3008" s="10"/>
      <c r="O3008" s="10"/>
      <c r="P3008" s="10"/>
      <c r="Q3008" s="10"/>
      <c r="R3008" s="10"/>
      <c r="S3008" s="10"/>
      <c r="T3008" s="10"/>
      <c r="U3008" s="10"/>
      <c r="V3008" s="10"/>
      <c r="W3008" s="10"/>
      <c r="X3008" s="10"/>
      <c r="Y3008" s="10"/>
      <c r="Z3008" s="10"/>
    </row>
    <row r="3009" spans="1:26" ht="12.75">
      <c r="A3009" s="10" t="str">
        <f ca="1">IFERROR(__xludf.DUMMYFUNCTION("""COMPUTED_VALUE"""),"Елисавета Илиева Балабанова")</f>
        <v>Елисавета Илиева Балабанова</v>
      </c>
      <c r="B3009" s="10" t="str">
        <f ca="1">IFERROR(__xludf.DUMMYFUNCTION("""COMPUTED_VALUE"""),"Доклад от конференция")</f>
        <v>Доклад от конференция</v>
      </c>
      <c r="C3009" s="10" t="str">
        <f ca="1">IFERROR(__xludf.DUMMYFUNCTION("""COMPUTED_VALUE"""),"Словоредни особености в глаголната фраза")</f>
        <v>Словоредни особености в глаголната фраза</v>
      </c>
      <c r="D3009" s="10">
        <f ca="1">IFERROR(__xludf.DUMMYFUNCTION("""COMPUTED_VALUE"""),2016)</f>
        <v>2016</v>
      </c>
      <c r="E3009" s="10" t="str">
        <f ca="1">IFERROR(__xludf.DUMMYFUNCTION("""COMPUTED_VALUE"""),"Паисиеви четения, Пловдивски университет „Паисий Хиленадарски“, 10-11.11.2016, Доклади от Юбилейната научна сесия „Съвременни тенденции в езиковедските изследвания“, посветена на 85 години от рождението на проф. д.ф.н. Йордан Пенчев, 10 – 11 ноември, 2016"&amp;" г. Св. Коева, П. Бъркалова (съст.), Издателство на БАН „Проф. Марин Дринов“, 2017, ISBN 978-954-322-917-8")</f>
        <v>Паисиеви четения, Пловдивски университет „Паисий Хиленадарски“, 10-11.11.2016, Доклади от Юбилейната научна сесия „Съвременни тенденции в езиковедските изследвания“, посветена на 85 години от рождението на проф. д.ф.н. Йордан Пенчев, 10 – 11 ноември, 2016 г. Св. Коева, П. Бъркалова (съст.), Издателство на БАН „Проф. Марин Дринов“, 2017, ISBN 978-954-322-917-8</v>
      </c>
      <c r="F3009" s="10"/>
      <c r="G3009" s="10"/>
      <c r="H3009" s="10"/>
      <c r="I3009" s="10"/>
      <c r="J3009" s="10"/>
      <c r="K3009" s="10"/>
      <c r="L3009" s="10"/>
      <c r="M3009" s="10"/>
      <c r="N3009" s="10"/>
      <c r="O3009" s="10"/>
      <c r="P3009" s="10"/>
      <c r="Q3009" s="10"/>
      <c r="R3009" s="10"/>
      <c r="S3009" s="10"/>
      <c r="T3009" s="10"/>
      <c r="U3009" s="10"/>
      <c r="V3009" s="10"/>
      <c r="W3009" s="10"/>
      <c r="X3009" s="10"/>
      <c r="Y3009" s="10"/>
      <c r="Z3009" s="10"/>
    </row>
    <row r="3010" spans="1:26" ht="12.75">
      <c r="A3010" s="10" t="str">
        <f ca="1">IFERROR(__xludf.DUMMYFUNCTION("""COMPUTED_VALUE"""),"Елисавета Илиева Балабанова")</f>
        <v>Елисавета Илиева Балабанова</v>
      </c>
      <c r="B3010" s="10" t="str">
        <f ca="1">IFERROR(__xludf.DUMMYFUNCTION("""COMPUTED_VALUE"""),"Доклад от конференция")</f>
        <v>Доклад от конференция</v>
      </c>
      <c r="C3010" s="10" t="str">
        <f ca="1">IFERROR(__xludf.DUMMYFUNCTION("""COMPUTED_VALUE"""),"Функционалната граматика на М. Халидей за определяне на елементите от тематичното поле в българското просто изречение")</f>
        <v>Функционалната граматика на М. Халидей за определяне на елементите от тематичното поле в българското просто изречение</v>
      </c>
      <c r="D3010" s="10">
        <f ca="1">IFERROR(__xludf.DUMMYFUNCTION("""COMPUTED_VALUE"""),2016)</f>
        <v>2016</v>
      </c>
      <c r="E3010" s="10" t="str">
        <f ca="1">IFERROR(__xludf.DUMMYFUNCTION("""COMPUTED_VALUE"""),"Форум Българска граматика на тема „Функционалната граматика – постижения и перспективи“. 20.11. 2016, 453-456 https://azbuki.bg/editions/journals/bulgarian/contents/325-bulgarian/bel2016-2/3039-4-lix-2017")</f>
        <v>Форум Българска граматика на тема „Функционалната граматика – постижения и перспективи“. 20.11. 2016, 453-456 https://azbuki.bg/editions/journals/bulgarian/contents/325-bulgarian/bel2016-2/3039-4-lix-2017</v>
      </c>
      <c r="F3010" s="10"/>
      <c r="G3010" s="10"/>
      <c r="H3010" s="10"/>
      <c r="I3010" s="10"/>
      <c r="J3010" s="10"/>
      <c r="K3010" s="10"/>
      <c r="L3010" s="10"/>
      <c r="M3010" s="10"/>
      <c r="N3010" s="10"/>
      <c r="O3010" s="10"/>
      <c r="P3010" s="10"/>
      <c r="Q3010" s="10"/>
      <c r="R3010" s="10"/>
      <c r="S3010" s="10"/>
      <c r="T3010" s="10"/>
      <c r="U3010" s="10"/>
      <c r="V3010" s="10"/>
      <c r="W3010" s="10"/>
      <c r="X3010" s="10"/>
      <c r="Y3010" s="10"/>
      <c r="Z3010" s="10"/>
    </row>
    <row r="3011" spans="1:26" ht="12.75">
      <c r="A3011" s="10" t="str">
        <f ca="1">IFERROR(__xludf.DUMMYFUNCTION("""COMPUTED_VALUE"""),"Елисавета Илиева Балабанова")</f>
        <v>Елисавета Илиева Балабанова</v>
      </c>
      <c r="B3011" s="10" t="str">
        <f ca="1">IFERROR(__xludf.DUMMYFUNCTION("""COMPUTED_VALUE"""),"Доклад от конференция")</f>
        <v>Доклад от конференция</v>
      </c>
      <c r="C3011" s="10" t="str">
        <f ca="1">IFERROR(__xludf.DUMMYFUNCTION("""COMPUTED_VALUE"""),"Опорна фразова граматика и Теория за управление и свързване – граматики,основани на ограничения и трансформационни граматики")</f>
        <v>Опорна фразова граматика и Теория за управление и свързване – граматики,основани на ограничения и трансформационни граматики</v>
      </c>
      <c r="D3011" s="10">
        <f ca="1">IFERROR(__xludf.DUMMYFUNCTION("""COMPUTED_VALUE"""),2016)</f>
        <v>2016</v>
      </c>
      <c r="E3011" s="10" t="str">
        <f ca="1">IFERROR(__xludf.DUMMYFUNCTION("""COMPUTED_VALUE"""),"Сб. от Национална научна конференция с международно участие „Обществото на знанието и хуманизмът на 21 век”, София, 2016, Изд. За буквите")</f>
        <v>Сб. от Национална научна конференция с международно участие „Обществото на знанието и хуманизмът на 21 век”, София, 2016, Изд. За буквите</v>
      </c>
      <c r="F3011" s="10"/>
      <c r="G3011" s="10"/>
      <c r="H3011" s="10"/>
      <c r="I3011" s="10"/>
      <c r="J3011" s="10"/>
      <c r="K3011" s="10"/>
      <c r="L3011" s="10"/>
      <c r="M3011" s="10"/>
      <c r="N3011" s="10"/>
      <c r="O3011" s="10"/>
      <c r="P3011" s="10"/>
      <c r="Q3011" s="10"/>
      <c r="R3011" s="10"/>
      <c r="S3011" s="10"/>
      <c r="T3011" s="10"/>
      <c r="U3011" s="10"/>
      <c r="V3011" s="10"/>
      <c r="W3011" s="10"/>
      <c r="X3011" s="10"/>
      <c r="Y3011" s="10"/>
      <c r="Z3011" s="10"/>
    </row>
    <row r="3012" spans="1:26" ht="12.75">
      <c r="A3012" s="10" t="str">
        <f ca="1">IFERROR(__xludf.DUMMYFUNCTION("""COMPUTED_VALUE"""),"Елисавета Илиева Балабанова")</f>
        <v>Елисавета Илиева Балабанова</v>
      </c>
      <c r="B3012" s="10" t="str">
        <f ca="1">IFERROR(__xludf.DUMMYFUNCTION("""COMPUTED_VALUE"""),"Доклад от конференция")</f>
        <v>Доклад от конференция</v>
      </c>
      <c r="C3012" s="10" t="str">
        <f ca="1">IFERROR(__xludf.DUMMYFUNCTION("""COMPUTED_VALUE"""),"Компютърната лингвистика – наука на информационното общество")</f>
        <v>Компютърната лингвистика – наука на информационното общество</v>
      </c>
      <c r="D3012" s="10">
        <f ca="1">IFERROR(__xludf.DUMMYFUNCTION("""COMPUTED_VALUE"""),2015)</f>
        <v>2015</v>
      </c>
      <c r="E3012" s="10" t="str">
        <f ca="1">IFERROR(__xludf.DUMMYFUNCTION("""COMPUTED_VALUE"""),"сб. от VIII национална научна конференция с международсно участие „Обществото на знанието и хуманизмът на XXI век”, София, 2011, Изд. „За буквите”, редактор на том IX проф. д.ф.н. Цветана Георгиева, стр 414- 423")</f>
        <v>сб. от VIII национална научна конференция с международсно участие „Обществото на знанието и хуманизмът на XXI век”, София, 2011, Изд. „За буквите”, редактор на том IX проф. д.ф.н. Цветана Георгиева, стр 414- 423</v>
      </c>
      <c r="F3012" s="10"/>
      <c r="G3012" s="10"/>
      <c r="H3012" s="10"/>
      <c r="I3012" s="10"/>
      <c r="J3012" s="10"/>
      <c r="K3012" s="10"/>
      <c r="L3012" s="10"/>
      <c r="M3012" s="10"/>
      <c r="N3012" s="10"/>
      <c r="O3012" s="10"/>
      <c r="P3012" s="10"/>
      <c r="Q3012" s="10"/>
      <c r="R3012" s="10"/>
      <c r="S3012" s="10"/>
      <c r="T3012" s="10"/>
      <c r="U3012" s="10"/>
      <c r="V3012" s="10"/>
      <c r="W3012" s="10"/>
      <c r="X3012" s="10"/>
      <c r="Y3012" s="10"/>
      <c r="Z3012" s="10"/>
    </row>
    <row r="3013" spans="1:26" ht="12.75">
      <c r="A3013" s="10" t="str">
        <f ca="1">IFERROR(__xludf.DUMMYFUNCTION("""COMPUTED_VALUE"""),"Елисавета Илиева Балабанова")</f>
        <v>Елисавета Илиева Балабанова</v>
      </c>
      <c r="B3013" s="10" t="str">
        <f ca="1">IFERROR(__xludf.DUMMYFUNCTION("""COMPUTED_VALUE"""),"Статия в списания и поредици")</f>
        <v>Статия в списания и поредици</v>
      </c>
      <c r="C3013" s="10" t="str">
        <f ca="1">IFERROR(__xludf.DUMMYFUNCTION("""COMPUTED_VALUE"""),"Корпусите – начин за организиране на лингвистичното знание: Университет по библиотекознание и информационни технологии")</f>
        <v>Корпусите – начин за организиране на лингвистичното знание: Университет по библиотекознание и информационни технологии</v>
      </c>
      <c r="D3013" s="10">
        <f ca="1">IFERROR(__xludf.DUMMYFUNCTION("""COMPUTED_VALUE"""),2015)</f>
        <v>2015</v>
      </c>
      <c r="E3013" s="10" t="str">
        <f ca="1">IFERROR(__xludf.DUMMYFUNCTION("""COMPUTED_VALUE"""),"Съвременни измерения на Европейското образование и научно пространство, сборник, т.2, Изд. „За буквите”, 2015, София, стр. 29 - 32")</f>
        <v>Съвременни измерения на Европейското образование и научно пространство, сборник, т.2, Изд. „За буквите”, 2015, София, стр. 29 - 32</v>
      </c>
      <c r="F3013" s="10"/>
      <c r="G3013" s="10"/>
      <c r="H3013" s="10"/>
      <c r="I3013" s="10"/>
      <c r="J3013" s="10"/>
      <c r="K3013" s="10"/>
      <c r="L3013" s="10"/>
      <c r="M3013" s="10"/>
      <c r="N3013" s="10"/>
      <c r="O3013" s="10"/>
      <c r="P3013" s="10"/>
      <c r="Q3013" s="10"/>
      <c r="R3013" s="10"/>
      <c r="S3013" s="10"/>
      <c r="T3013" s="10"/>
      <c r="U3013" s="10"/>
      <c r="V3013" s="10"/>
      <c r="W3013" s="10"/>
      <c r="X3013" s="10"/>
      <c r="Y3013" s="10"/>
      <c r="Z3013" s="10"/>
    </row>
    <row r="3014" spans="1:26" ht="12.75">
      <c r="A3014" s="10" t="str">
        <f ca="1">IFERROR(__xludf.DUMMYFUNCTION("""COMPUTED_VALUE"""),"Елисавета Илиева Балабанова")</f>
        <v>Елисавета Илиева Балабанова</v>
      </c>
      <c r="B3014" s="10" t="str">
        <f ca="1">IFERROR(__xludf.DUMMYFUNCTION("""COMPUTED_VALUE"""),"Доклад от конференция")</f>
        <v>Доклад от конференция</v>
      </c>
      <c r="C3014" s="10" t="str">
        <f ca="1">IFERROR(__xludf.DUMMYFUNCTION("""COMPUTED_VALUE"""),"Електронни езикови корпуси")</f>
        <v>Електронни езикови корпуси</v>
      </c>
      <c r="D3014" s="10">
        <f ca="1">IFERROR(__xludf.DUMMYFUNCTION("""COMPUTED_VALUE"""),2015)</f>
        <v>2015</v>
      </c>
      <c r="E3014" s="10" t="str">
        <f ca="1">IFERROR(__xludf.DUMMYFUNCTION("""COMPUTED_VALUE"""),"XII национална научна конференция с международно участие „Обществото на знанието и хуманизмът на ХХI век”, София, Издателство “За буквите”, 2015, ISSN 1314-7099, 341-348")</f>
        <v>XII национална научна конференция с международно участие „Обществото на знанието и хуманизмът на ХХI век”, София, Издателство “За буквите”, 2015, ISSN 1314-7099, 341-348</v>
      </c>
      <c r="F3014" s="10"/>
      <c r="G3014" s="10"/>
      <c r="H3014" s="10"/>
      <c r="I3014" s="10"/>
      <c r="J3014" s="10"/>
      <c r="K3014" s="10"/>
      <c r="L3014" s="10"/>
      <c r="M3014" s="10"/>
      <c r="N3014" s="10"/>
      <c r="O3014" s="10"/>
      <c r="P3014" s="10"/>
      <c r="Q3014" s="10"/>
      <c r="R3014" s="10"/>
      <c r="S3014" s="10"/>
      <c r="T3014" s="10"/>
      <c r="U3014" s="10"/>
      <c r="V3014" s="10"/>
      <c r="W3014" s="10"/>
      <c r="X3014" s="10"/>
      <c r="Y3014" s="10"/>
      <c r="Z3014" s="10"/>
    </row>
    <row r="3015" spans="1:26" ht="12.75">
      <c r="A3015" s="10" t="str">
        <f ca="1">IFERROR(__xludf.DUMMYFUNCTION("""COMPUTED_VALUE"""),"Елисавета Илиева Балабанова")</f>
        <v>Елисавета Илиева Балабанова</v>
      </c>
      <c r="B3015" s="10" t="str">
        <f ca="1">IFERROR(__xludf.DUMMYFUNCTION("""COMPUTED_VALUE"""),"Доклад от конференция")</f>
        <v>Доклад от конференция</v>
      </c>
      <c r="C3015" s="10" t="str">
        <f ca="1">IFERROR(__xludf.DUMMYFUNCTION("""COMPUTED_VALUE"""),"Обучението по компютърна лингвистика в УНИБИТ в контекста на обществото на знанието")</f>
        <v>Обучението по компютърна лингвистика в УНИБИТ в контекста на обществото на знанието</v>
      </c>
      <c r="D3015" s="10">
        <f ca="1">IFERROR(__xludf.DUMMYFUNCTION("""COMPUTED_VALUE"""),2010)</f>
        <v>2010</v>
      </c>
      <c r="E3015" s="10" t="str">
        <f ca="1">IFERROR(__xludf.DUMMYFUNCTION("""COMPUTED_VALUE"""),"VIII Национална научна конференция с международно участие „Обществото на знанието и хуманизмът на XXI век”, София, 2010, Изд. „За буквите”, ISBN 978-954-2946-09-0, стр 587- 593")</f>
        <v>VIII Национална научна конференция с международно участие „Обществото на знанието и хуманизмът на XXI век”, София, 2010, Изд. „За буквите”, ISBN 978-954-2946-09-0, стр 587- 593</v>
      </c>
      <c r="F3015" s="10"/>
      <c r="G3015" s="10" t="str">
        <f ca="1">IFERROR(__xludf.DUMMYFUNCTION("""COMPUTED_VALUE"""),"Йордан Балабанов")</f>
        <v>Йордан Балабанов</v>
      </c>
      <c r="H3015" s="10"/>
      <c r="I3015" s="10"/>
      <c r="J3015" s="10"/>
      <c r="K3015" s="10"/>
      <c r="L3015" s="10"/>
      <c r="M3015" s="10"/>
      <c r="N3015" s="10"/>
      <c r="O3015" s="10"/>
      <c r="P3015" s="10"/>
      <c r="Q3015" s="10"/>
      <c r="R3015" s="10"/>
      <c r="S3015" s="10"/>
      <c r="T3015" s="10"/>
      <c r="U3015" s="10"/>
      <c r="V3015" s="10"/>
      <c r="W3015" s="10"/>
      <c r="X3015" s="10"/>
      <c r="Y3015" s="10"/>
      <c r="Z3015" s="10"/>
    </row>
    <row r="3016" spans="1:26" ht="12.75">
      <c r="A3016" s="10" t="str">
        <f ca="1">IFERROR(__xludf.DUMMYFUNCTION("""COMPUTED_VALUE"""),"Елисавета Илиева Балабанова")</f>
        <v>Елисавета Илиева Балабанова</v>
      </c>
      <c r="B3016" s="10" t="str">
        <f ca="1">IFERROR(__xludf.DUMMYFUNCTION("""COMPUTED_VALUE"""),"Статия в списания и поредици")</f>
        <v>Статия в списания и поредици</v>
      </c>
      <c r="C3016" s="10" t="str">
        <f ca="1">IFERROR(__xludf.DUMMYFUNCTION("""COMPUTED_VALUE"""),"Дистантно разполагане във VP в резултат на подлога")</f>
        <v>Дистантно разполагане във VP в резултат на подлога</v>
      </c>
      <c r="D3016" s="10">
        <f ca="1">IFERROR(__xludf.DUMMYFUNCTION("""COMPUTED_VALUE"""),2009)</f>
        <v>2009</v>
      </c>
      <c r="E3016" s="10" t="str">
        <f ca="1">IFERROR(__xludf.DUMMYFUNCTION("""COMPUTED_VALUE"""),"В: сб. &amp;quot;Филологическият проект в началото на 21 век&amp;quot;, колектив, УИ &amp;quot;Св. Климент Охридски&amp;quot;, 2009, стр. 113-125")</f>
        <v>В: сб. &amp;quot;Филологическият проект в началото на 21 век&amp;quot;, колектив, УИ &amp;quot;Св. Климент Охридски&amp;quot;, 2009, стр. 113-125</v>
      </c>
      <c r="F3016" s="10"/>
      <c r="G3016" s="10"/>
      <c r="H3016" s="10"/>
      <c r="I3016" s="10"/>
      <c r="J3016" s="10"/>
      <c r="K3016" s="10"/>
      <c r="L3016" s="10"/>
      <c r="M3016" s="10"/>
      <c r="N3016" s="10"/>
      <c r="O3016" s="10"/>
      <c r="P3016" s="10"/>
      <c r="Q3016" s="10"/>
      <c r="R3016" s="10"/>
      <c r="S3016" s="10"/>
      <c r="T3016" s="10"/>
      <c r="U3016" s="10"/>
      <c r="V3016" s="10"/>
      <c r="W3016" s="10"/>
      <c r="X3016" s="10"/>
      <c r="Y3016" s="10"/>
      <c r="Z3016" s="10"/>
    </row>
    <row r="3017" spans="1:26" ht="12.75">
      <c r="A3017" s="10" t="str">
        <f ca="1">IFERROR(__xludf.DUMMYFUNCTION("""COMPUTED_VALUE"""),"Елисавета Илиева Балабанова")</f>
        <v>Елисавета Илиева Балабанова</v>
      </c>
      <c r="B3017" s="10" t="str">
        <f ca="1">IFERROR(__xludf.DUMMYFUNCTION("""COMPUTED_VALUE"""),"Статия в списания и поредици")</f>
        <v>Статия в списания и поредици</v>
      </c>
      <c r="C3017" s="10" t="str">
        <f ca="1">IFERROR(__xludf.DUMMYFUNCTION("""COMPUTED_VALUE"""),"Discontinuous VP in Bulgarian (An HPSG account)")</f>
        <v>Discontinuous VP in Bulgarian (An HPSG account)</v>
      </c>
      <c r="D3017" s="10">
        <f ca="1">IFERROR(__xludf.DUMMYFUNCTION("""COMPUTED_VALUE"""),2006)</f>
        <v>2006</v>
      </c>
      <c r="E3017" s="10" t="str">
        <f ca="1">IFERROR(__xludf.DUMMYFUNCTION("""COMPUTED_VALUE"""),"In: Proceedings of the 5 th International Conference Formal Approaches to South Slavic and Balkan Languages, Sofia, 2006, pp. 175-180")</f>
        <v>In: Proceedings of the 5 th International Conference Formal Approaches to South Slavic and Balkan Languages, Sofia, 2006, pp. 175-180</v>
      </c>
      <c r="F3017" s="10"/>
      <c r="G3017" s="10"/>
      <c r="H3017" s="10"/>
      <c r="I3017" s="10"/>
      <c r="J3017" s="10"/>
      <c r="K3017" s="10"/>
      <c r="L3017" s="10"/>
      <c r="M3017" s="10"/>
      <c r="N3017" s="10"/>
      <c r="O3017" s="10"/>
      <c r="P3017" s="10"/>
      <c r="Q3017" s="10"/>
      <c r="R3017" s="10"/>
      <c r="S3017" s="10"/>
      <c r="T3017" s="10"/>
      <c r="U3017" s="10"/>
      <c r="V3017" s="10"/>
      <c r="W3017" s="10"/>
      <c r="X3017" s="10"/>
      <c r="Y3017" s="10"/>
      <c r="Z3017" s="10"/>
    </row>
    <row r="3018" spans="1:26" ht="12.75">
      <c r="A3018" s="10" t="str">
        <f ca="1">IFERROR(__xludf.DUMMYFUNCTION("""COMPUTED_VALUE"""),"Елисавета Илиева Балабанова")</f>
        <v>Елисавета Илиева Балабанова</v>
      </c>
      <c r="B3018" s="10" t="str">
        <f ca="1">IFERROR(__xludf.DUMMYFUNCTION("""COMPUTED_VALUE"""),"Доклад от конференция")</f>
        <v>Доклад от конференция</v>
      </c>
      <c r="C3018" s="10" t="str">
        <f ca="1">IFERROR(__xludf.DUMMYFUNCTION("""COMPUTED_VALUE"""),"A constraint-based approach to the VP complements")</f>
        <v>A constraint-based approach to the VP complements</v>
      </c>
      <c r="D3018" s="10">
        <f ca="1">IFERROR(__xludf.DUMMYFUNCTION("""COMPUTED_VALUE"""),2005)</f>
        <v>2005</v>
      </c>
      <c r="E3018" s="10" t="str">
        <f ca="1">IFERROR(__xludf.DUMMYFUNCTION("""COMPUTED_VALUE"""),"In: Proceedings of the 2 nd Athens Postgraduate Conference in Linguistics, Department of Philology, Univeristy of Athens, 2005, pp. 52-58")</f>
        <v>In: Proceedings of the 2 nd Athens Postgraduate Conference in Linguistics, Department of Philology, Univeristy of Athens, 2005, pp. 52-58</v>
      </c>
      <c r="F3018" s="10"/>
      <c r="G3018" s="10"/>
      <c r="H3018" s="10"/>
      <c r="I3018" s="10"/>
      <c r="J3018" s="10"/>
      <c r="K3018" s="10"/>
      <c r="L3018" s="10"/>
      <c r="M3018" s="10"/>
      <c r="N3018" s="10"/>
      <c r="O3018" s="10"/>
      <c r="P3018" s="10"/>
      <c r="Q3018" s="10"/>
      <c r="R3018" s="10"/>
      <c r="S3018" s="10"/>
      <c r="T3018" s="10"/>
      <c r="U3018" s="10"/>
      <c r="V3018" s="10"/>
      <c r="W3018" s="10"/>
      <c r="X3018" s="10"/>
      <c r="Y3018" s="10"/>
      <c r="Z3018" s="10"/>
    </row>
    <row r="3019" spans="1:26" ht="12.75">
      <c r="A3019" s="10" t="str">
        <f ca="1">IFERROR(__xludf.DUMMYFUNCTION("""COMPUTED_VALUE"""),"Елисавета Илиева Балабанова")</f>
        <v>Елисавета Илиева Балабанова</v>
      </c>
      <c r="B3019" s="10" t="str">
        <f ca="1">IFERROR(__xludf.DUMMYFUNCTION("""COMPUTED_VALUE"""),"Статия в списания и поредици")</f>
        <v>Статия в списания и поредици</v>
      </c>
      <c r="C3019" s="10" t="str">
        <f ca="1">IFERROR(__xludf.DUMMYFUNCTION("""COMPUTED_VALUE"""),"A Language Resources Infrastructure for Bulgarian")</f>
        <v>A Language Resources Infrastructure for Bulgarian</v>
      </c>
      <c r="D3019" s="10">
        <f ca="1">IFERROR(__xludf.DUMMYFUNCTION("""COMPUTED_VALUE"""),2004)</f>
        <v>2004</v>
      </c>
      <c r="E3019" s="10" t="str">
        <f ca="1">IFERROR(__xludf.DUMMYFUNCTION("""COMPUTED_VALUE"""),"In: Proceedings of LREC 2004, Lisbon, Portugal, 2004, pp. 1685-1688")</f>
        <v>In: Proceedings of LREC 2004, Lisbon, Portugal, 2004, pp. 1685-1688</v>
      </c>
      <c r="F3019" s="10"/>
      <c r="G3019" s="10" t="str">
        <f ca="1">IFERROR(__xludf.DUMMYFUNCTION("""COMPUTED_VALUE"""),"Kiril Simov, Petya Osenova, Sia Kolkovska, Dimitar Doikoff")</f>
        <v>Kiril Simov, Petya Osenova, Sia Kolkovska, Dimitar Doikoff</v>
      </c>
      <c r="H3019" s="10"/>
      <c r="I3019" s="10"/>
      <c r="J3019" s="10"/>
      <c r="K3019" s="10"/>
      <c r="L3019" s="10"/>
      <c r="M3019" s="10"/>
      <c r="N3019" s="10"/>
      <c r="O3019" s="10"/>
      <c r="P3019" s="10"/>
      <c r="Q3019" s="10"/>
      <c r="R3019" s="10"/>
      <c r="S3019" s="10"/>
      <c r="T3019" s="10"/>
      <c r="U3019" s="10"/>
      <c r="V3019" s="10"/>
      <c r="W3019" s="10"/>
      <c r="X3019" s="10"/>
      <c r="Y3019" s="10"/>
      <c r="Z3019" s="10"/>
    </row>
    <row r="3020" spans="1:26" ht="12.75">
      <c r="A3020" s="10" t="str">
        <f ca="1">IFERROR(__xludf.DUMMYFUNCTION("""COMPUTED_VALUE"""),"Елисавета Илиева Балабанова")</f>
        <v>Елисавета Илиева Балабанова</v>
      </c>
      <c r="B3020" s="10" t="str">
        <f ca="1">IFERROR(__xludf.DUMMYFUNCTION("""COMPUTED_VALUE"""),"Доклад от конференция")</f>
        <v>Доклад от конференция</v>
      </c>
      <c r="C3020" s="10" t="str">
        <f ca="1">IFERROR(__xludf.DUMMYFUNCTION("""COMPUTED_VALUE"""),"Разкъсани конституенти и словоред в Опорната фразова граматика")</f>
        <v>Разкъсани конституенти и словоред в Опорната фразова граматика</v>
      </c>
      <c r="D3020" s="10">
        <f ca="1">IFERROR(__xludf.DUMMYFUNCTION("""COMPUTED_VALUE"""),2003)</f>
        <v>2003</v>
      </c>
      <c r="E3020" s="10" t="str">
        <f ca="1">IFERROR(__xludf.DUMMYFUNCTION("""COMPUTED_VALUE"""),"В: сб. Славистиката в началото на XXI век - традиции и очаквания, изд. СемаРШ, София, 2003, стр. 124-129, ISBN 954-8021-13-7")</f>
        <v>В: сб. Славистиката в началото на XXI век - традиции и очаквания, изд. СемаРШ, София, 2003, стр. 124-129, ISBN 954-8021-13-7</v>
      </c>
      <c r="F3020" s="10"/>
      <c r="G3020" s="10"/>
      <c r="H3020" s="10"/>
      <c r="I3020" s="10"/>
      <c r="J3020" s="10"/>
      <c r="K3020" s="10"/>
      <c r="L3020" s="10"/>
      <c r="M3020" s="10"/>
      <c r="N3020" s="10"/>
      <c r="O3020" s="10"/>
      <c r="P3020" s="10"/>
      <c r="Q3020" s="10"/>
      <c r="R3020" s="10"/>
      <c r="S3020" s="10"/>
      <c r="T3020" s="10"/>
      <c r="U3020" s="10"/>
      <c r="V3020" s="10"/>
      <c r="W3020" s="10"/>
      <c r="X3020" s="10"/>
      <c r="Y3020" s="10"/>
      <c r="Z3020" s="10"/>
    </row>
    <row r="3021" spans="1:26" ht="12.75">
      <c r="A3021" s="10" t="str">
        <f ca="1">IFERROR(__xludf.DUMMYFUNCTION("""COMPUTED_VALUE"""),"Елисавета Илиева Балабанова")</f>
        <v>Елисавета Илиева Балабанова</v>
      </c>
      <c r="B3021" s="10" t="str">
        <f ca="1">IFERROR(__xludf.DUMMYFUNCTION("""COMPUTED_VALUE"""),"Статия в списания и поредици")</f>
        <v>Статия в списания и поредици</v>
      </c>
      <c r="C3021" s="10" t="str">
        <f ca="1">IFERROR(__xludf.DUMMYFUNCTION("""COMPUTED_VALUE"""),"Language resources for the creation of a Bulgarian Treebank")</f>
        <v>Language resources for the creation of a Bulgarian Treebank</v>
      </c>
      <c r="D3021" s="10">
        <f ca="1">IFERROR(__xludf.DUMMYFUNCTION("""COMPUTED_VALUE"""),2003)</f>
        <v>2003</v>
      </c>
      <c r="E3021" s="10" t="str">
        <f ca="1">IFERROR(__xludf.DUMMYFUNCTION("""COMPUTED_VALUE"""),"In: International Workshop Balkan Language Resources and Tools, 2003, Shoumen : Incoma, 2003, ISBN 9549090671")</f>
        <v>In: International Workshop Balkan Language Resources and Tools, 2003, Shoumen : Incoma, 2003, ISBN 9549090671</v>
      </c>
      <c r="F3021" s="10"/>
      <c r="G3021" s="10" t="str">
        <f ca="1">IFERROR(__xludf.DUMMYFUNCTION("""COMPUTED_VALUE"""),"Kiril Simov, Petya Osenova, Sia Kolkovska, Dimitar Doikoff,")</f>
        <v>Kiril Simov, Petya Osenova, Sia Kolkovska, Dimitar Doikoff,</v>
      </c>
      <c r="H3021" s="10"/>
      <c r="I3021" s="10"/>
      <c r="J3021" s="10"/>
      <c r="K3021" s="10"/>
      <c r="L3021" s="10"/>
      <c r="M3021" s="10"/>
      <c r="N3021" s="10"/>
      <c r="O3021" s="10"/>
      <c r="P3021" s="10"/>
      <c r="Q3021" s="10"/>
      <c r="R3021" s="10"/>
      <c r="S3021" s="10"/>
      <c r="T3021" s="10"/>
      <c r="U3021" s="10"/>
      <c r="V3021" s="10"/>
      <c r="W3021" s="10"/>
      <c r="X3021" s="10"/>
      <c r="Y3021" s="10"/>
      <c r="Z3021" s="10"/>
    </row>
    <row r="3022" spans="1:26" ht="12.75">
      <c r="A3022" s="10" t="str">
        <f ca="1">IFERROR(__xludf.DUMMYFUNCTION("""COMPUTED_VALUE"""),"Елисавета Илиева Балабанова")</f>
        <v>Елисавета Илиева Балабанова</v>
      </c>
      <c r="B3022" s="10" t="str">
        <f ca="1">IFERROR(__xludf.DUMMYFUNCTION("""COMPUTED_VALUE"""),"Статия в списания и поредици")</f>
        <v>Статия в списания и поредици</v>
      </c>
      <c r="C3022" s="10" t="str">
        <f ca="1">IFERROR(__xludf.DUMMYFUNCTION("""COMPUTED_VALUE"""),"Типология на допълващите части в глаголната фраза в ОФГ")</f>
        <v>Типология на допълващите части в глаголната фраза в ОФГ</v>
      </c>
      <c r="D3022" s="10">
        <f ca="1">IFERROR(__xludf.DUMMYFUNCTION("""COMPUTED_VALUE"""),2003)</f>
        <v>2003</v>
      </c>
      <c r="E3022" s="10" t="str">
        <f ca="1">IFERROR(__xludf.DUMMYFUNCTION("""COMPUTED_VALUE"""),"сп. Български език, кн.4, 2003, ИК Емас, 33- 40")</f>
        <v>сп. Български език, кн.4, 2003, ИК Емас, 33- 40</v>
      </c>
      <c r="F3022" s="10"/>
      <c r="G3022" s="10"/>
      <c r="H3022" s="10"/>
      <c r="I3022" s="10"/>
      <c r="J3022" s="10"/>
      <c r="K3022" s="10"/>
      <c r="L3022" s="10"/>
      <c r="M3022" s="10"/>
      <c r="N3022" s="10"/>
      <c r="O3022" s="10"/>
      <c r="P3022" s="10"/>
      <c r="Q3022" s="10"/>
      <c r="R3022" s="10"/>
      <c r="S3022" s="10"/>
      <c r="T3022" s="10"/>
      <c r="U3022" s="10"/>
      <c r="V3022" s="10"/>
      <c r="W3022" s="10"/>
      <c r="X3022" s="10"/>
      <c r="Y3022" s="10"/>
      <c r="Z3022" s="10"/>
    </row>
    <row r="3023" spans="1:26" ht="12.75">
      <c r="A3023" s="10" t="str">
        <f ca="1">IFERROR(__xludf.DUMMYFUNCTION("""COMPUTED_VALUE"""),"Елисавета Илиева Балабанова")</f>
        <v>Елисавета Илиева Балабанова</v>
      </c>
      <c r="B3023" s="10" t="str">
        <f ca="1">IFERROR(__xludf.DUMMYFUNCTION("""COMPUTED_VALUE"""),"Статия в списания и поредици")</f>
        <v>Статия в списания и поредици</v>
      </c>
      <c r="C3023" s="10" t="str">
        <f ca="1">IFERROR(__xludf.DUMMYFUNCTION("""COMPUTED_VALUE"""),"Creating a machine-readable version of Bulgarian valence dictionary (A case study of CLaRK system application)")</f>
        <v>Creating a machine-readable version of Bulgarian valence dictionary (A case study of CLaRK system application)</v>
      </c>
      <c r="D3023" s="10">
        <f ca="1">IFERROR(__xludf.DUMMYFUNCTION("""COMPUTED_VALUE"""),2002)</f>
        <v>2002</v>
      </c>
      <c r="E3023" s="10" t="str">
        <f ca="1">IFERROR(__xludf.DUMMYFUNCTION("""COMPUTED_VALUE"""),"In: Proceedings of Workshop: Treebanks and Linguistic Theories 2002, 20 - 21 September Sozopol, Bulgaria, pp. 1-12")</f>
        <v>In: Proceedings of Workshop: Treebanks and Linguistic Theories 2002, 20 - 21 September Sozopol, Bulgaria, pp. 1-12</v>
      </c>
      <c r="F3023" s="10"/>
      <c r="G3023" s="10" t="str">
        <f ca="1">IFERROR(__xludf.DUMMYFUNCTION("""COMPUTED_VALUE"""),"Krasimira Ivanova,")</f>
        <v>Krasimira Ivanova,</v>
      </c>
      <c r="H3023" s="10"/>
      <c r="I3023" s="10"/>
      <c r="J3023" s="10"/>
      <c r="K3023" s="10"/>
      <c r="L3023" s="10"/>
      <c r="M3023" s="10"/>
      <c r="N3023" s="10"/>
      <c r="O3023" s="10"/>
      <c r="P3023" s="10"/>
      <c r="Q3023" s="10"/>
      <c r="R3023" s="10"/>
      <c r="S3023" s="10"/>
      <c r="T3023" s="10"/>
      <c r="U3023" s="10"/>
      <c r="V3023" s="10"/>
      <c r="W3023" s="10"/>
      <c r="X3023" s="10"/>
      <c r="Y3023" s="10"/>
      <c r="Z3023" s="10"/>
    </row>
    <row r="3024" spans="1:26" ht="12.75">
      <c r="A3024" s="10" t="str">
        <f ca="1">IFERROR(__xludf.DUMMYFUNCTION("""COMPUTED_VALUE"""),"Елисавета Илиева Балабанова")</f>
        <v>Елисавета Илиева Балабанова</v>
      </c>
      <c r="B3024" s="10" t="str">
        <f ca="1">IFERROR(__xludf.DUMMYFUNCTION("""COMPUTED_VALUE"""),"Доклад от конференция")</f>
        <v>Доклад от конференция</v>
      </c>
      <c r="C3024" s="10" t="str">
        <f ca="1">IFERROR(__xludf.DUMMYFUNCTION("""COMPUTED_VALUE"""),"Мотивът „Ибрахимова жертва” у българите мохамедани в областта Горен Рупчос, Средните Родопи")</f>
        <v>Мотивът „Ибрахимова жертва” у българите мохамедани в областта Горен Рупчос, Средните Родопи</v>
      </c>
      <c r="D3024" s="10">
        <f ca="1">IFERROR(__xludf.DUMMYFUNCTION("""COMPUTED_VALUE"""),2000)</f>
        <v>2000</v>
      </c>
      <c r="E3024" s="10" t="str">
        <f ca="1">IFERROR(__xludf.DUMMYFUNCTION("""COMPUTED_VALUE"""),"В: Годишник на Асоциация &amp;quot;ОНГЪЛ&amp;quot;, том 1, год. І, СВЕТЦИ И ФОЛКЛОР. София, ИИК &amp;quot;РОД&amp;quot;, 2000. ISSN 1311-493Х")</f>
        <v>В: Годишник на Асоциация &amp;quot;ОНГЪЛ&amp;quot;, том 1, год. І, СВЕТЦИ И ФОЛКЛОР. София, ИИК &amp;quot;РОД&amp;quot;, 2000. ISSN 1311-493Х</v>
      </c>
      <c r="F3024" s="10"/>
      <c r="G3024" s="10"/>
      <c r="H3024" s="10"/>
      <c r="I3024" s="10"/>
      <c r="J3024" s="10"/>
      <c r="K3024" s="10"/>
      <c r="L3024" s="10"/>
      <c r="M3024" s="10"/>
      <c r="N3024" s="10"/>
      <c r="O3024" s="10"/>
      <c r="P3024" s="10"/>
      <c r="Q3024" s="10"/>
      <c r="R3024" s="10"/>
      <c r="S3024" s="10"/>
      <c r="T3024" s="10"/>
      <c r="U3024" s="10"/>
      <c r="V3024" s="10"/>
      <c r="W3024" s="10"/>
      <c r="X3024" s="10"/>
      <c r="Y3024" s="10"/>
      <c r="Z3024" s="10"/>
    </row>
    <row r="3025" spans="1:26" ht="12.75">
      <c r="A3025" s="10" t="str">
        <f ca="1">IFERROR(__xludf.DUMMYFUNCTION("""COMPUTED_VALUE"""),"Елисавета Илиева Балабанова")</f>
        <v>Елисавета Илиева Балабанова</v>
      </c>
      <c r="B3025" s="10" t="str">
        <f ca="1">IFERROR(__xludf.DUMMYFUNCTION("""COMPUTED_VALUE"""),"Доклад от конференция")</f>
        <v>Доклад от конференция</v>
      </c>
      <c r="C3025" s="10" t="str">
        <f ca="1">IFERROR(__xludf.DUMMYFUNCTION("""COMPUTED_VALUE"""),"Родство на представите за сакралните персонажи Енихан И Герге (по материали от българомохамеданските села в областта Горен Рупчос, Средните Родопи)")</f>
        <v>Родство на представите за сакралните персонажи Енихан И Герге (по материали от българомохамеданските села в областта Горен Рупчос, Средните Родопи)</v>
      </c>
      <c r="D3025" s="10">
        <f ca="1">IFERROR(__xludf.DUMMYFUNCTION("""COMPUTED_VALUE"""),1999)</f>
        <v>1999</v>
      </c>
      <c r="E3025" s="10" t="str">
        <f ca="1">IFERROR(__xludf.DUMMYFUNCTION("""COMPUTED_VALUE"""),"В:сб. „Фолклорното родство”. Тезиси. Съст. Росен Р. Малчев, Константин Рангочев, Николай Ненов. София, ИИК &amp;quot;РОД&amp;quot;, 1999, ISBN 954-476-018-0")</f>
        <v>В:сб. „Фолклорното родство”. Тезиси. Съст. Росен Р. Малчев, Константин Рангочев, Николай Ненов. София, ИИК &amp;quot;РОД&amp;quot;, 1999, ISBN 954-476-018-0</v>
      </c>
      <c r="F3025" s="10"/>
      <c r="G3025" s="10"/>
      <c r="H3025" s="10"/>
      <c r="I3025" s="10"/>
      <c r="J3025" s="10"/>
      <c r="K3025" s="10"/>
      <c r="L3025" s="10"/>
      <c r="M3025" s="10"/>
      <c r="N3025" s="10"/>
      <c r="O3025" s="10"/>
      <c r="P3025" s="10"/>
      <c r="Q3025" s="10"/>
      <c r="R3025" s="10"/>
      <c r="S3025" s="10"/>
      <c r="T3025" s="10"/>
      <c r="U3025" s="10"/>
      <c r="V3025" s="10"/>
      <c r="W3025" s="10"/>
      <c r="X3025" s="10"/>
      <c r="Y3025" s="10"/>
      <c r="Z3025" s="10"/>
    </row>
    <row r="3026" spans="1:26" ht="12.75">
      <c r="A3026" s="10" t="str">
        <f ca="1">IFERROR(__xludf.DUMMYFUNCTION("""COMPUTED_VALUE"""),"Елисавета Илиева Балабанова")</f>
        <v>Елисавета Илиева Балабанова</v>
      </c>
      <c r="B3026" s="10" t="str">
        <f ca="1">IFERROR(__xludf.DUMMYFUNCTION("""COMPUTED_VALUE"""),"Доклад от конференция")</f>
        <v>Доклад от конференция</v>
      </c>
      <c r="C3026" s="10" t="str">
        <f ca="1">IFERROR(__xludf.DUMMYFUNCTION("""COMPUTED_VALUE"""),"Аспекти на представата за Бог у българите мохамедани в областта Горен Рупчос (Средните Родопи)")</f>
        <v>Аспекти на представата за Бог у българите мохамедани в областта Горен Рупчос (Средните Родопи)</v>
      </c>
      <c r="D3026" s="10">
        <f ca="1">IFERROR(__xludf.DUMMYFUNCTION("""COMPUTED_VALUE"""),1997)</f>
        <v>1997</v>
      </c>
      <c r="E3026" s="10" t="str">
        <f ca="1">IFERROR(__xludf.DUMMYFUNCTION("""COMPUTED_VALUE"""),"В: сб. „Конфесия и фолклор”, 1996 г. Тезиси. Съст. Росен Р. Малчев, Константин Рангочев. София, ИИК &amp;quot;РОД&amp;quot;, 1997, ISBN 954-476-013-Х, 26-28")</f>
        <v>В: сб. „Конфесия и фолклор”, 1996 г. Тезиси. Съст. Росен Р. Малчев, Константин Рангочев. София, ИИК &amp;quot;РОД&amp;quot;, 1997, ISBN 954-476-013-Х, 26-28</v>
      </c>
      <c r="F3026" s="10"/>
      <c r="G3026" s="10"/>
      <c r="H3026" s="10"/>
      <c r="I3026" s="10"/>
      <c r="J3026" s="10"/>
      <c r="K3026" s="10"/>
      <c r="L3026" s="10"/>
      <c r="M3026" s="10"/>
      <c r="N3026" s="10"/>
      <c r="O3026" s="10"/>
      <c r="P3026" s="10"/>
      <c r="Q3026" s="10"/>
      <c r="R3026" s="10"/>
      <c r="S3026" s="10"/>
      <c r="T3026" s="10"/>
      <c r="U3026" s="10"/>
      <c r="V3026" s="10"/>
      <c r="W3026" s="10"/>
      <c r="X3026" s="10"/>
      <c r="Y3026" s="10"/>
      <c r="Z3026" s="10"/>
    </row>
    <row r="3027" spans="1:26" ht="12.75">
      <c r="A3027" s="10" t="str">
        <f ca="1">IFERROR(__xludf.DUMMYFUNCTION("""COMPUTED_VALUE"""),"Елисавета Илиева Балабанова")</f>
        <v>Елисавета Илиева Балабанова</v>
      </c>
      <c r="B3027" s="10" t="str">
        <f ca="1">IFERROR(__xludf.DUMMYFUNCTION("""COMPUTED_VALUE"""),"Доклад от конференция")</f>
        <v>Доклад от конференция</v>
      </c>
      <c r="C3027" s="10" t="str">
        <f ca="1">IFERROR(__xludf.DUMMYFUNCTION("""COMPUTED_VALUE"""),"Моделът за сакралните владетели на света – център и периферия")</f>
        <v>Моделът за сакралните владетели на света – център и периферия</v>
      </c>
      <c r="D3027" s="10">
        <f ca="1">IFERROR(__xludf.DUMMYFUNCTION("""COMPUTED_VALUE"""),1997)</f>
        <v>1997</v>
      </c>
      <c r="E3027" s="10" t="str">
        <f ca="1">IFERROR(__xludf.DUMMYFUNCTION("""COMPUTED_VALUE"""),"Доклад, изнесен на XV четения на младите етнолози, антрополози и фолклористи „Културните йерархии”. Пловдив, 16-17 май 1997 , машинопис")</f>
        <v>Доклад, изнесен на XV четения на младите етнолози, антрополози и фолклористи „Културните йерархии”. Пловдив, 16-17 май 1997 , машинопис</v>
      </c>
      <c r="F3027" s="10"/>
      <c r="G3027" s="10"/>
      <c r="H3027" s="10"/>
      <c r="I3027" s="10"/>
      <c r="J3027" s="10"/>
      <c r="K3027" s="10"/>
      <c r="L3027" s="10"/>
      <c r="M3027" s="10"/>
      <c r="N3027" s="10"/>
      <c r="O3027" s="10"/>
      <c r="P3027" s="10"/>
      <c r="Q3027" s="10"/>
      <c r="R3027" s="10"/>
      <c r="S3027" s="10"/>
      <c r="T3027" s="10"/>
      <c r="U3027" s="10"/>
      <c r="V3027" s="10"/>
      <c r="W3027" s="10"/>
      <c r="X3027" s="10"/>
      <c r="Y3027" s="10"/>
      <c r="Z3027" s="10"/>
    </row>
    <row r="3028" spans="1:26" ht="12.75">
      <c r="A3028" s="10" t="str">
        <f ca="1">IFERROR(__xludf.DUMMYFUNCTION("""COMPUTED_VALUE"""),"Жоржета Димитрова Назърска")</f>
        <v>Жоржета Димитрова Назърска</v>
      </c>
      <c r="B3028" s="10" t="str">
        <f ca="1">IFERROR(__xludf.DUMMYFUNCTION("""COMPUTED_VALUE"""),"Доклад от конференция")</f>
        <v>Доклад от конференция</v>
      </c>
      <c r="C3028" s="10" t="str">
        <f ca="1">IFERROR(__xludf.DUMMYFUNCTION("""COMPUTED_VALUE"""),"Визуална педагогическа комуникация в условия на криза: добри практики от дистанционно обучение в УниБИТ, София")</f>
        <v>Визуална педагогическа комуникация в условия на криза: добри практики от дистанционно обучение в УниБИТ, София</v>
      </c>
      <c r="D3028" s="10">
        <f ca="1">IFERROR(__xludf.DUMMYFUNCTION("""COMPUTED_VALUE"""),2020)</f>
        <v>2020</v>
      </c>
      <c r="E3028" s="10" t="str">
        <f ca="1">IFERROR(__xludf.DUMMYFUNCTION("""COMPUTED_VALUE"""),"// Педагогическата комуникация: вербална и визуална. – София: Фабер, 2020, с. 157-164. ISBN 978-619-00-1190-3")</f>
        <v>// Педагогическата комуникация: вербална и визуална. – София: Фабер, 2020, с. 157-164. ISBN 978-619-00-1190-3</v>
      </c>
      <c r="F3028" s="10"/>
      <c r="G3028" s="10" t="str">
        <f ca="1">IFERROR(__xludf.DUMMYFUNCTION("""COMPUTED_VALUE"""),"С. Шапкалова")</f>
        <v>С. Шапкалова</v>
      </c>
      <c r="H3028" s="10"/>
      <c r="I3028" s="10"/>
      <c r="J3028" s="10"/>
      <c r="K3028" s="10"/>
      <c r="L3028" s="10"/>
      <c r="M3028" s="10"/>
      <c r="N3028" s="10"/>
      <c r="O3028" s="10"/>
      <c r="P3028" s="10"/>
      <c r="Q3028" s="10"/>
      <c r="R3028" s="10"/>
      <c r="S3028" s="10"/>
      <c r="T3028" s="10"/>
      <c r="U3028" s="10"/>
      <c r="V3028" s="10"/>
      <c r="W3028" s="10"/>
      <c r="X3028" s="10"/>
      <c r="Y3028" s="10"/>
      <c r="Z3028" s="10"/>
    </row>
    <row r="3029" spans="1:26" ht="12.75">
      <c r="A3029" s="10" t="str">
        <f ca="1">IFERROR(__xludf.DUMMYFUNCTION("""COMPUTED_VALUE"""),"Жоржета Димитрова Назърска")</f>
        <v>Жоржета Димитрова Назърска</v>
      </c>
      <c r="B3029" s="10" t="str">
        <f ca="1">IFERROR(__xludf.DUMMYFUNCTION("""COMPUTED_VALUE"""),"Статия в списания и поредици")</f>
        <v>Статия в списания и поредици</v>
      </c>
      <c r="C3029" s="10" t="str">
        <f ca="1">IFERROR(__xludf.DUMMYFUNCTION("""COMPUTED_VALUE"""),"Културно наследство, религиозни ценности, екология на човешкото тяло: един проект на УниБИТ")</f>
        <v>Културно наследство, религиозни ценности, екология на човешкото тяло: един проект на УниБИТ</v>
      </c>
      <c r="D3029" s="10">
        <f ca="1">IFERROR(__xludf.DUMMYFUNCTION("""COMPUTED_VALUE"""),2020)</f>
        <v>2020</v>
      </c>
      <c r="E3029" s="10" t="str">
        <f ca="1">IFERROR(__xludf.DUMMYFUNCTION("""COMPUTED_VALUE"""),"/ Образование и технологии, год. 11, 2020, №1, с. 62-64.(= http://www.edutechjournal.org). ISSN 1314-1791 принт, ISSN 2535-1214 он лайн")</f>
        <v>/ Образование и технологии, год. 11, 2020, №1, с. 62-64.(= http://www.edutechjournal.org). ISSN 1314-1791 принт, ISSN 2535-1214 он лайн</v>
      </c>
      <c r="F3029" s="10"/>
      <c r="G3029" s="10" t="str">
        <f ca="1">IFERROR(__xludf.DUMMYFUNCTION("""COMPUTED_VALUE"""),"Шапкалова, Св., Ж. Назърска.")</f>
        <v>Шапкалова, Св., Ж. Назърска.</v>
      </c>
      <c r="H3029" s="10"/>
      <c r="I3029" s="10"/>
      <c r="J3029" s="10"/>
      <c r="K3029" s="10"/>
      <c r="L3029" s="10"/>
      <c r="M3029" s="10"/>
      <c r="N3029" s="10"/>
      <c r="O3029" s="10"/>
      <c r="P3029" s="10"/>
      <c r="Q3029" s="10"/>
      <c r="R3029" s="10"/>
      <c r="S3029" s="10"/>
      <c r="T3029" s="10"/>
      <c r="U3029" s="10"/>
      <c r="V3029" s="10"/>
      <c r="W3029" s="10"/>
      <c r="X3029" s="10"/>
      <c r="Y3029" s="10"/>
      <c r="Z3029" s="10"/>
    </row>
    <row r="3030" spans="1:26" ht="12.75">
      <c r="A3030" s="10" t="str">
        <f ca="1">IFERROR(__xludf.DUMMYFUNCTION("""COMPUTED_VALUE"""),"Жоржета Димитрова Назърска")</f>
        <v>Жоржета Димитрова Назърска</v>
      </c>
      <c r="B3030" s="10" t="str">
        <f ca="1">IFERROR(__xludf.DUMMYFUNCTION("""COMPUTED_VALUE"""),"Доклад от конференция")</f>
        <v>Доклад от конференция</v>
      </c>
      <c r="C3030" s="10" t="str">
        <f ca="1">IFERROR(__xludf.DUMMYFUNCTION("""COMPUTED_VALUE"""),"Пътища към Йерусалим, пътища към Мека: поклонници от България през късния османски период.")</f>
        <v>Пътища към Йерусалим, пътища към Мека: поклонници от България през късния османски период.</v>
      </c>
      <c r="D3030" s="10">
        <f ca="1">IFERROR(__xludf.DUMMYFUNCTION("""COMPUTED_VALUE"""),2020)</f>
        <v>2020</v>
      </c>
      <c r="E3030" s="10" t="str">
        <f ca="1">IFERROR(__xludf.DUMMYFUNCTION("""COMPUTED_VALUE"""),"// Бужашка, Б., съст. Българските общности в Турция – исторически аспекти и съвременно състояние. – София: За буквите – О писменехь, 2020, с. 76-98. 
 ISBN 978-619-185-415-8")</f>
        <v>// Бужашка, Б., съст. Българските общности в Турция – исторически аспекти и съвременно състояние. – София: За буквите – О писменехь, 2020, с. 76-98. 
 ISBN 978-619-185-415-8</v>
      </c>
      <c r="F3030" s="10"/>
      <c r="G3030" s="10"/>
      <c r="H3030" s="10"/>
      <c r="I3030" s="10"/>
      <c r="J3030" s="10"/>
      <c r="K3030" s="10"/>
      <c r="L3030" s="10"/>
      <c r="M3030" s="10"/>
      <c r="N3030" s="10"/>
      <c r="O3030" s="10"/>
      <c r="P3030" s="10"/>
      <c r="Q3030" s="10"/>
      <c r="R3030" s="10"/>
      <c r="S3030" s="10"/>
      <c r="T3030" s="10"/>
      <c r="U3030" s="10"/>
      <c r="V3030" s="10"/>
      <c r="W3030" s="10"/>
      <c r="X3030" s="10"/>
      <c r="Y3030" s="10"/>
      <c r="Z3030" s="10"/>
    </row>
    <row r="3031" spans="1:26" ht="12.75">
      <c r="A3031" s="10" t="str">
        <f ca="1">IFERROR(__xludf.DUMMYFUNCTION("""COMPUTED_VALUE"""),"Жоржета Димитрова Назърска")</f>
        <v>Жоржета Димитрова Назърска</v>
      </c>
      <c r="B3031" s="10" t="str">
        <f ca="1">IFERROR(__xludf.DUMMYFUNCTION("""COMPUTED_VALUE"""),"Статия в списания и поредици")</f>
        <v>Статия в списания и поредици</v>
      </c>
      <c r="C3031" s="10" t="str">
        <f ca="1">IFERROR(__xludf.DUMMYFUNCTION("""COMPUTED_VALUE"""),"Faith, Sacraments and Emotions: Projections of Religiosity in Contemporary Bulgaria")</f>
        <v>Faith, Sacraments and Emotions: Projections of Religiosity in Contemporary Bulgaria</v>
      </c>
      <c r="D3031" s="10">
        <f ca="1">IFERROR(__xludf.DUMMYFUNCTION("""COMPUTED_VALUE"""),2020)</f>
        <v>2020</v>
      </c>
      <c r="E3031" s="10" t="str">
        <f ca="1">IFERROR(__xludf.DUMMYFUNCTION("""COMPUTED_VALUE"""),"Roth, Kl., ed. Emotions, Senses and Affects in the Context of Southeast Europe: Part 1 (=Ethnologia Balkanica), 2020, vol. 22,pp. 165-178.ISSN 1111-0411,ISBN 978-3-643-91319-7 (paperback), ISBN 978-3-643-96319-2 (PDF)")</f>
        <v>Roth, Kl., ed. Emotions, Senses and Affects in the Context of Southeast Europe: Part 1 (=Ethnologia Balkanica), 2020, vol. 22,pp. 165-178.ISSN 1111-0411,ISBN 978-3-643-91319-7 (paperback), ISBN 978-3-643-96319-2 (PDF)</v>
      </c>
      <c r="F3031" s="10" t="str">
        <f ca="1">IFERROR(__xludf.DUMMYFUNCTION("""COMPUTED_VALUE"""),"CEEOL")</f>
        <v>CEEOL</v>
      </c>
      <c r="G3031" s="10" t="str">
        <f ca="1">IFERROR(__xludf.DUMMYFUNCTION("""COMPUTED_VALUE"""),"С. Шапкалова")</f>
        <v>С. Шапкалова</v>
      </c>
      <c r="H3031" s="10"/>
      <c r="I3031" s="10"/>
      <c r="J3031" s="10"/>
      <c r="K3031" s="10"/>
      <c r="L3031" s="10"/>
      <c r="M3031" s="10"/>
      <c r="N3031" s="10"/>
      <c r="O3031" s="10"/>
      <c r="P3031" s="10"/>
      <c r="Q3031" s="10"/>
      <c r="R3031" s="10"/>
      <c r="S3031" s="10"/>
      <c r="T3031" s="10"/>
      <c r="U3031" s="10"/>
      <c r="V3031" s="10"/>
      <c r="W3031" s="10"/>
      <c r="X3031" s="10"/>
      <c r="Y3031" s="10"/>
      <c r="Z3031" s="10"/>
    </row>
    <row r="3032" spans="1:26" ht="12.75">
      <c r="A3032" s="10" t="str">
        <f ca="1">IFERROR(__xludf.DUMMYFUNCTION("""COMPUTED_VALUE"""),"Жоржета Димитрова Назърска")</f>
        <v>Жоржета Димитрова Назърска</v>
      </c>
      <c r="B3032" s="10" t="str">
        <f ca="1">IFERROR(__xludf.DUMMYFUNCTION("""COMPUTED_VALUE"""),"Доклад от конференция")</f>
        <v>Доклад от конференция</v>
      </c>
      <c r="C3032" s="10" t="str">
        <f ca="1">IFERROR(__xludf.DUMMYFUNCTION("""COMPUTED_VALUE"""),"Обучението по религия в българските светски висши училища")</f>
        <v>Обучението по религия в българските светски висши училища</v>
      </c>
      <c r="D3032" s="10">
        <f ca="1">IFERROR(__xludf.DUMMYFUNCTION("""COMPUTED_VALUE"""),2020)</f>
        <v>2020</v>
      </c>
      <c r="E3032" s="10" t="str">
        <f ca="1">IFERROR(__xludf.DUMMYFUNCTION("""COMPUTED_VALUE"""),"// Шнитер, М., Е. Ковачева, съст. Религия и образование: история, традиции, съвременни тенденции. – Пловдив: Студио 18, 2020, с.172-177. ISBN 978-619-7249-60-6")</f>
        <v>// Шнитер, М., Е. Ковачева, съст. Религия и образование: история, традиции, съвременни тенденции. – Пловдив: Студио 18, 2020, с.172-177. ISBN 978-619-7249-60-6</v>
      </c>
      <c r="F3032" s="10"/>
      <c r="G3032" s="10" t="str">
        <f ca="1">IFERROR(__xludf.DUMMYFUNCTION("""COMPUTED_VALUE"""),"Шапкалова, С., Ж. Назърска")</f>
        <v>Шапкалова, С., Ж. Назърска</v>
      </c>
      <c r="H3032" s="10"/>
      <c r="I3032" s="10"/>
      <c r="J3032" s="10"/>
      <c r="K3032" s="10"/>
      <c r="L3032" s="10"/>
      <c r="M3032" s="10"/>
      <c r="N3032" s="10"/>
      <c r="O3032" s="10"/>
      <c r="P3032" s="10"/>
      <c r="Q3032" s="10"/>
      <c r="R3032" s="10"/>
      <c r="S3032" s="10"/>
      <c r="T3032" s="10"/>
      <c r="U3032" s="10"/>
      <c r="V3032" s="10"/>
      <c r="W3032" s="10"/>
      <c r="X3032" s="10"/>
      <c r="Y3032" s="10"/>
      <c r="Z3032" s="10"/>
    </row>
    <row r="3033" spans="1:26" ht="12.75">
      <c r="A3033" s="10" t="str">
        <f ca="1">IFERROR(__xludf.DUMMYFUNCTION("""COMPUTED_VALUE"""),"Жоржета Димитрова Назърска")</f>
        <v>Жоржета Димитрова Назърска</v>
      </c>
      <c r="B3033" s="10" t="str">
        <f ca="1">IFERROR(__xludf.DUMMYFUNCTION("""COMPUTED_VALUE"""),"Статия в списания и поредици")</f>
        <v>Статия в списания и поредици</v>
      </c>
      <c r="C3033" s="10" t="str">
        <f ca="1">IFERROR(__xludf.DUMMYFUNCTION("""COMPUTED_VALUE"""),"„Свещената планина“ в сакралната география на София: практики на езотерични общества през първата половина на ХХ в.")</f>
        <v>„Свещената планина“ в сакралната география на София: практики на езотерични общества през първата половина на ХХ в.</v>
      </c>
      <c r="D3033" s="10">
        <f ca="1">IFERROR(__xludf.DUMMYFUNCTION("""COMPUTED_VALUE"""),2020)</f>
        <v>2020</v>
      </c>
      <c r="E3033" s="10" t="str">
        <f ca="1">IFERROR(__xludf.DUMMYFUNCTION("""COMPUTED_VALUE"""),"// Балкани, 2020, №9, с.75-92. ISSN 1314-4103")</f>
        <v>// Балкани, 2020, №9, с.75-92. ISSN 1314-4103</v>
      </c>
      <c r="F3033" s="10" t="str">
        <f ca="1">IFERROR(__xludf.DUMMYFUNCTION("""COMPUTED_VALUE"""),"Национален референтен списък, CEEOL")</f>
        <v>Национален референтен списък, CEEOL</v>
      </c>
      <c r="G3033" s="10"/>
      <c r="H3033" s="10"/>
      <c r="I3033" s="10"/>
      <c r="J3033" s="10"/>
      <c r="K3033" s="10"/>
      <c r="L3033" s="10"/>
      <c r="M3033" s="10"/>
      <c r="N3033" s="10"/>
      <c r="O3033" s="10"/>
      <c r="P3033" s="10"/>
      <c r="Q3033" s="10"/>
      <c r="R3033" s="10"/>
      <c r="S3033" s="10"/>
      <c r="T3033" s="10"/>
      <c r="U3033" s="10"/>
      <c r="V3033" s="10"/>
      <c r="W3033" s="10"/>
      <c r="X3033" s="10"/>
      <c r="Y3033" s="10"/>
      <c r="Z3033" s="10"/>
    </row>
    <row r="3034" spans="1:26" ht="12.75">
      <c r="A3034" s="10" t="str">
        <f ca="1">IFERROR(__xludf.DUMMYFUNCTION("""COMPUTED_VALUE"""),"Жоржета Димитрова Назърска")</f>
        <v>Жоржета Димитрова Назърска</v>
      </c>
      <c r="B3034" s="10" t="str">
        <f ca="1">IFERROR(__xludf.DUMMYFUNCTION("""COMPUTED_VALUE"""),"Статия в списания и поредици")</f>
        <v>Статия в списания и поредици</v>
      </c>
      <c r="C3034" s="10" t="str">
        <f ca="1">IFERROR(__xludf.DUMMYFUNCTION("""COMPUTED_VALUE"""),"Use of Electronic Resources in Teaching Religion in Higher Education: Best Practices from the SULSIT, Bulgaria.")</f>
        <v>Use of Electronic Resources in Teaching Religion in Higher Education: Best Practices from the SULSIT, Bulgaria.</v>
      </c>
      <c r="D3034" s="10">
        <f ca="1">IFERROR(__xludf.DUMMYFUNCTION("""COMPUTED_VALUE"""),2020)</f>
        <v>2020</v>
      </c>
      <c r="E3034" s="10" t="str">
        <f ca="1">IFERROR(__xludf.DUMMYFUNCTION("""COMPUTED_VALUE"""),"// Central European Journal of Educational Research, 2020, volume 2, №2, pр. 56-60, https://doi.org/10.37441/CEJER/2020/2/2/7914
 ISSN 2677-0326")</f>
        <v>// Central European Journal of Educational Research, 2020, volume 2, №2, pр. 56-60, https://doi.org/10.37441/CEJER/2020/2/2/7914
 ISSN 2677-0326</v>
      </c>
      <c r="F3034" s="10"/>
      <c r="G3034" s="10" t="str">
        <f ca="1">IFERROR(__xludf.DUMMYFUNCTION("""COMPUTED_VALUE"""),"Shapkalova, S., G. Nazarska.")</f>
        <v>Shapkalova, S., G. Nazarska.</v>
      </c>
      <c r="H3034" s="10"/>
      <c r="I3034" s="10"/>
      <c r="J3034" s="10"/>
      <c r="K3034" s="10"/>
      <c r="L3034" s="10"/>
      <c r="M3034" s="10"/>
      <c r="N3034" s="10"/>
      <c r="O3034" s="10"/>
      <c r="P3034" s="10"/>
      <c r="Q3034" s="10"/>
      <c r="R3034" s="10"/>
      <c r="S3034" s="10"/>
      <c r="T3034" s="10"/>
      <c r="U3034" s="10"/>
      <c r="V3034" s="10"/>
      <c r="W3034" s="10"/>
      <c r="X3034" s="10"/>
      <c r="Y3034" s="10"/>
      <c r="Z3034" s="10"/>
    </row>
    <row r="3035" spans="1:26" ht="12.75">
      <c r="A3035" s="10" t="str">
        <f ca="1">IFERROR(__xludf.DUMMYFUNCTION("""COMPUTED_VALUE"""),"Жоржета Димитрова Назърска")</f>
        <v>Жоржета Димитрова Назърска</v>
      </c>
      <c r="B3035" s="10" t="str">
        <f ca="1">IFERROR(__xludf.DUMMYFUNCTION("""COMPUTED_VALUE"""),"Статия в списания и поредици")</f>
        <v>Статия в списания и поредици</v>
      </c>
      <c r="C3035" s="10" t="str">
        <f ca="1">IFERROR(__xludf.DUMMYFUNCTION("""COMPUTED_VALUE"""),"Домакинският печат в модернизацията на българското село: изследване на случай от 30–40-те години на ХХ в.")</f>
        <v>Домакинският печат в модернизацията на българското село: изследване на случай от 30–40-те години на ХХ в.</v>
      </c>
      <c r="D3035" s="10">
        <f ca="1">IFERROR(__xludf.DUMMYFUNCTION("""COMPUTED_VALUE"""),2020)</f>
        <v>2020</v>
      </c>
      <c r="E3035" s="10" t="str">
        <f ca="1">IFERROR(__xludf.DUMMYFUNCTION("""COMPUTED_VALUE"""),"// Балканистичен форум (брой Transformation of the village spaces. Village between modernity and museum), 2020, №1, с. 28-47. ISSN 1310-3970")</f>
        <v>// Балканистичен форум (брой Transformation of the village spaces. Village between modernity and museum), 2020, №1, с. 28-47. ISSN 1310-3970</v>
      </c>
      <c r="F3035" s="10" t="str">
        <f ca="1">IFERROR(__xludf.DUMMYFUNCTION("""COMPUTED_VALUE"""),"Web of Science и Scopus
 CEEOL,Erih Plus,РИНЦ")</f>
        <v>Web of Science и Scopus
 CEEOL,Erih Plus,РИНЦ</v>
      </c>
      <c r="G3035" s="10"/>
      <c r="H3035" s="10"/>
      <c r="I3035" s="10"/>
      <c r="J3035" s="10"/>
      <c r="K3035" s="10"/>
      <c r="L3035" s="10"/>
      <c r="M3035" s="10"/>
      <c r="N3035" s="10"/>
      <c r="O3035" s="10"/>
      <c r="P3035" s="10"/>
      <c r="Q3035" s="10"/>
      <c r="R3035" s="10"/>
      <c r="S3035" s="10"/>
      <c r="T3035" s="10"/>
      <c r="U3035" s="10"/>
      <c r="V3035" s="10"/>
      <c r="W3035" s="10"/>
      <c r="X3035" s="10"/>
      <c r="Y3035" s="10"/>
      <c r="Z3035" s="10"/>
    </row>
    <row r="3036" spans="1:26" ht="12.75">
      <c r="A3036" s="10" t="str">
        <f ca="1">IFERROR(__xludf.DUMMYFUNCTION("""COMPUTED_VALUE"""),"Жоржета Димитрова Назърска")</f>
        <v>Жоржета Димитрова Назърска</v>
      </c>
      <c r="B3036" s="10" t="str">
        <f ca="1">IFERROR(__xludf.DUMMYFUNCTION("""COMPUTED_VALUE"""),"Монография")</f>
        <v>Монография</v>
      </c>
      <c r="C3036" s="10" t="str">
        <f ca="1">IFERROR(__xludf.DUMMYFUNCTION("""COMPUTED_VALUE"""),"Опазване на нематериалното културно наследство: религиозните ценности в съвременна България, т.2.")</f>
        <v>Опазване на нематериалното културно наследство: религиозните ценности в съвременна България, т.2.</v>
      </c>
      <c r="D3036" s="10">
        <f ca="1">IFERROR(__xludf.DUMMYFUNCTION("""COMPUTED_VALUE"""),2020)</f>
        <v>2020</v>
      </c>
      <c r="E3036" s="10" t="str">
        <f ca="1">IFERROR(__xludf.DUMMYFUNCTION("""COMPUTED_VALUE"""),"София: За буквите – О писменехь, 2020. с.272
 ISBN 978-619-185-423-3")</f>
        <v>София: За буквите – О писменехь, 2020. с.272
 ISBN 978-619-185-423-3</v>
      </c>
      <c r="F3036" s="10"/>
      <c r="G3036" s="10" t="str">
        <f ca="1">IFERROR(__xludf.DUMMYFUNCTION("""COMPUTED_VALUE"""),"Шапкалова, С., М. Гарванова, Ж. Назърска.")</f>
        <v>Шапкалова, С., М. Гарванова, Ж. Назърска.</v>
      </c>
      <c r="H3036" s="10"/>
      <c r="I3036" s="10"/>
      <c r="J3036" s="10"/>
      <c r="K3036" s="10"/>
      <c r="L3036" s="10"/>
      <c r="M3036" s="10"/>
      <c r="N3036" s="10"/>
      <c r="O3036" s="10"/>
      <c r="P3036" s="10"/>
      <c r="Q3036" s="10"/>
      <c r="R3036" s="10"/>
      <c r="S3036" s="10"/>
      <c r="T3036" s="10"/>
      <c r="U3036" s="10"/>
      <c r="V3036" s="10"/>
      <c r="W3036" s="10"/>
      <c r="X3036" s="10"/>
      <c r="Y3036" s="10"/>
      <c r="Z3036" s="10"/>
    </row>
    <row r="3037" spans="1:26" ht="12.75">
      <c r="A3037" s="10" t="str">
        <f ca="1">IFERROR(__xludf.DUMMYFUNCTION("""COMPUTED_VALUE"""),"Жоржета Димитрова Назърска")</f>
        <v>Жоржета Димитрова Назърска</v>
      </c>
      <c r="B3037" s="10" t="str">
        <f ca="1">IFERROR(__xludf.DUMMYFUNCTION("""COMPUTED_VALUE"""),"Доклад от конференция")</f>
        <v>Доклад от конференция</v>
      </c>
      <c r="C3037" s="10" t="str">
        <f ca="1">IFERROR(__xludf.DUMMYFUNCTION("""COMPUTED_VALUE"""),"Studying the Orthodox Cultural Heritage in the Context of Interreligious Dialogue: Best Academic Practices from Bulgaria.")</f>
        <v>Studying the Orthodox Cultural Heritage in the Context of Interreligious Dialogue: Best Academic Practices from Bulgaria.</v>
      </c>
      <c r="D3037" s="10">
        <f ca="1">IFERROR(__xludf.DUMMYFUNCTION("""COMPUTED_VALUE"""),2020)</f>
        <v>2020</v>
      </c>
      <c r="E3037" s="10" t="str">
        <f ca="1">IFERROR(__xludf.DUMMYFUNCTION("""COMPUTED_VALUE"""),"// Морозова, И. Н., съст. Мир славянской писмености и культуры в православии, социогуманитарном познании. – Челябинск: ЧГИК, 2020, с. 200-206 ISBN 978-5-94839-741-2")</f>
        <v>// Морозова, И. Н., съст. Мир славянской писмености и культуры в православии, социогуманитарном познании. – Челябинск: ЧГИК, 2020, с. 200-206 ISBN 978-5-94839-741-2</v>
      </c>
      <c r="F3037" s="10" t="str">
        <f ca="1">IFERROR(__xludf.DUMMYFUNCTION("""COMPUTED_VALUE"""),"РИНЦ")</f>
        <v>РИНЦ</v>
      </c>
      <c r="G3037" s="10" t="str">
        <f ca="1">IFERROR(__xludf.DUMMYFUNCTION("""COMPUTED_VALUE"""),"С. Шапкалова")</f>
        <v>С. Шапкалова</v>
      </c>
      <c r="H3037" s="10"/>
      <c r="I3037" s="10"/>
      <c r="J3037" s="10"/>
      <c r="K3037" s="10"/>
      <c r="L3037" s="10"/>
      <c r="M3037" s="10"/>
      <c r="N3037" s="10"/>
      <c r="O3037" s="10"/>
      <c r="P3037" s="10"/>
      <c r="Q3037" s="10"/>
      <c r="R3037" s="10"/>
      <c r="S3037" s="10"/>
      <c r="T3037" s="10"/>
      <c r="U3037" s="10"/>
      <c r="V3037" s="10"/>
      <c r="W3037" s="10"/>
      <c r="X3037" s="10"/>
      <c r="Y3037" s="10"/>
      <c r="Z3037" s="10"/>
    </row>
    <row r="3038" spans="1:26" ht="12.75">
      <c r="A3038" s="10" t="str">
        <f ca="1">IFERROR(__xludf.DUMMYFUNCTION("""COMPUTED_VALUE"""),"Жоржета Димитрова Назърска")</f>
        <v>Жоржета Димитрова Назърска</v>
      </c>
      <c r="B3038" s="10" t="str">
        <f ca="1">IFERROR(__xludf.DUMMYFUNCTION("""COMPUTED_VALUE"""),"Монография")</f>
        <v>Монография</v>
      </c>
      <c r="C3038" s="10" t="str">
        <f ca="1">IFERROR(__xludf.DUMMYFUNCTION("""COMPUTED_VALUE"""),"Теренната работа в академичното обучение по религия: Иновативни методични практики")</f>
        <v>Теренната работа в академичното обучение по религия: Иновативни методични практики</v>
      </c>
      <c r="D3038" s="10">
        <f ca="1">IFERROR(__xludf.DUMMYFUNCTION("""COMPUTED_VALUE"""),2020)</f>
        <v>2020</v>
      </c>
      <c r="E3038" s="10" t="str">
        <f ca="1">IFERROR(__xludf.DUMMYFUNCTION("""COMPUTED_VALUE"""),"София:За буквите – О писменехь, 2020. ISBN 978-619-185-434-9")</f>
        <v>София:За буквите – О писменехь, 2020. ISBN 978-619-185-434-9</v>
      </c>
      <c r="F3038" s="10" t="str">
        <f ca="1">IFERROR(__xludf.DUMMYFUNCTION("""COMPUTED_VALUE"""),"ISBN 978-619-185-434-9 (под печат).")</f>
        <v>ISBN 978-619-185-434-9 (под печат).</v>
      </c>
      <c r="G3038" s="10" t="str">
        <f ca="1">IFERROR(__xludf.DUMMYFUNCTION("""COMPUTED_VALUE"""),"Назърска, Ж., Св. Шапкалова.")</f>
        <v>Назърска, Ж., Св. Шапкалова.</v>
      </c>
      <c r="H3038" s="10"/>
      <c r="I3038" s="10"/>
      <c r="J3038" s="10"/>
      <c r="K3038" s="10"/>
      <c r="L3038" s="10"/>
      <c r="M3038" s="10"/>
      <c r="N3038" s="10"/>
      <c r="O3038" s="10"/>
      <c r="P3038" s="10"/>
      <c r="Q3038" s="10"/>
      <c r="R3038" s="10"/>
      <c r="S3038" s="10"/>
      <c r="T3038" s="10"/>
      <c r="U3038" s="10"/>
      <c r="V3038" s="10"/>
      <c r="W3038" s="10"/>
      <c r="X3038" s="10"/>
      <c r="Y3038" s="10"/>
      <c r="Z3038" s="10"/>
    </row>
    <row r="3039" spans="1:26" ht="12.75">
      <c r="A3039" s="10" t="str">
        <f ca="1">IFERROR(__xludf.DUMMYFUNCTION("""COMPUTED_VALUE"""),"Жоржета Димитрова Назърска")</f>
        <v>Жоржета Димитрова Назърска</v>
      </c>
      <c r="B3039" s="10" t="str">
        <f ca="1">IFERROR(__xludf.DUMMYFUNCTION("""COMPUTED_VALUE"""),"Доклад от конференция")</f>
        <v>Доклад от конференция</v>
      </c>
      <c r="C3039" s="10" t="str">
        <f ca="1">IFERROR(__xludf.DUMMYFUNCTION("""COMPUTED_VALUE"""),"Опазване на нематериалното културно наследство: религиозните ценности в съвременна България.")</f>
        <v>Опазване на нематериалното културно наследство: религиозните ценности в съвременна България.</v>
      </c>
      <c r="D3039" s="10">
        <f ca="1">IFERROR(__xludf.DUMMYFUNCTION("""COMPUTED_VALUE"""),2020)</f>
        <v>2020</v>
      </c>
      <c r="E3039" s="10" t="str">
        <f ca="1">IFERROR(__xludf.DUMMYFUNCTION("""COMPUTED_VALUE"""),"// Дебрюне, Н., Д. Маджаров, съст. Проблеми на КН, т.1, 2020 (НКН: самобитност, приемственост, опорочаване). – София: За буквите-О писменехь, 2020, с.150-159. 
 ISBN 978-619-185-414-1")</f>
        <v>// Дебрюне, Н., Д. Маджаров, съст. Проблеми на КН, т.1, 2020 (НКН: самобитност, приемственост, опорочаване). – София: За буквите-О писменехь, 2020, с.150-159. 
 ISBN 978-619-185-414-1</v>
      </c>
      <c r="F3039" s="10"/>
      <c r="G3039" s="10" t="str">
        <f ca="1">IFERROR(__xludf.DUMMYFUNCTION("""COMPUTED_VALUE"""),"Шапкалова, Св., Ж. Назърска")</f>
        <v>Шапкалова, Св., Ж. Назърска</v>
      </c>
      <c r="H3039" s="10"/>
      <c r="I3039" s="10"/>
      <c r="J3039" s="10"/>
      <c r="K3039" s="10"/>
      <c r="L3039" s="10"/>
      <c r="M3039" s="10"/>
      <c r="N3039" s="10"/>
      <c r="O3039" s="10"/>
      <c r="P3039" s="10"/>
      <c r="Q3039" s="10"/>
      <c r="R3039" s="10"/>
      <c r="S3039" s="10"/>
      <c r="T3039" s="10"/>
      <c r="U3039" s="10"/>
      <c r="V3039" s="10"/>
      <c r="W3039" s="10"/>
      <c r="X3039" s="10"/>
      <c r="Y3039" s="10"/>
      <c r="Z3039" s="10"/>
    </row>
    <row r="3040" spans="1:26" ht="12.75">
      <c r="A3040" s="10" t="str">
        <f ca="1">IFERROR(__xludf.DUMMYFUNCTION("""COMPUTED_VALUE"""),"Жоржета Димитрова Назърска")</f>
        <v>Жоржета Димитрова Назърска</v>
      </c>
      <c r="B3040" s="10" t="str">
        <f ca="1">IFERROR(__xludf.DUMMYFUNCTION("""COMPUTED_VALUE"""),"Книга")</f>
        <v>Книга</v>
      </c>
      <c r="C3040" s="10" t="str">
        <f ca="1">IFERROR(__xludf.DUMMYFUNCTION("""COMPUTED_VALUE"""),"Хармония в различията, т. 6")</f>
        <v>Хармония в различията, т. 6</v>
      </c>
      <c r="D3040" s="10">
        <f ca="1">IFERROR(__xludf.DUMMYFUNCTION("""COMPUTED_VALUE"""),2019)</f>
        <v>2019</v>
      </c>
      <c r="E3040" s="10" t="str">
        <f ca="1">IFERROR(__xludf.DUMMYFUNCTION("""COMPUTED_VALUE"""),"Хармония в различията, т. 6. - София: За буквите – О писменехь, 2019.ISBN 2367-7899")</f>
        <v>Хармония в различията, т. 6. - София: За буквите – О писменехь, 2019.ISBN 2367-7899</v>
      </c>
      <c r="F3040" s="10" t="str">
        <f ca="1">IFERROR(__xludf.DUMMYFUNCTION("""COMPUTED_VALUE"""),"Национален референтен списък")</f>
        <v>Национален референтен списък</v>
      </c>
      <c r="G3040" s="10" t="str">
        <f ca="1">IFERROR(__xludf.DUMMYFUNCTION("""COMPUTED_VALUE"""),"Св. Шапкалова")</f>
        <v>Св. Шапкалова</v>
      </c>
      <c r="H3040" s="10"/>
      <c r="I3040" s="10"/>
      <c r="J3040" s="10"/>
      <c r="K3040" s="10"/>
      <c r="L3040" s="10"/>
      <c r="M3040" s="10"/>
      <c r="N3040" s="10"/>
      <c r="O3040" s="10"/>
      <c r="P3040" s="10"/>
      <c r="Q3040" s="10"/>
      <c r="R3040" s="10"/>
      <c r="S3040" s="10"/>
      <c r="T3040" s="10"/>
      <c r="U3040" s="10"/>
      <c r="V3040" s="10"/>
      <c r="W3040" s="10"/>
      <c r="X3040" s="10"/>
      <c r="Y3040" s="10"/>
      <c r="Z3040" s="10"/>
    </row>
    <row r="3041" spans="1:26" ht="12.75">
      <c r="A3041" s="10" t="str">
        <f ca="1">IFERROR(__xludf.DUMMYFUNCTION("""COMPUTED_VALUE"""),"Жоржета Димитрова Назърска")</f>
        <v>Жоржета Димитрова Назърска</v>
      </c>
      <c r="B3041" s="10" t="str">
        <f ca="1">IFERROR(__xludf.DUMMYFUNCTION("""COMPUTED_VALUE"""),"Статия в списания и поредици")</f>
        <v>Статия в списания и поредици</v>
      </c>
      <c r="C3041" s="10" t="str">
        <f ca="1">IFERROR(__xludf.DUMMYFUNCTION("""COMPUTED_VALUE"""),"Интелектуалката Вера Бояджиева-Фол (1893–1989)")</f>
        <v>Интелектуалката Вера Бояджиева-Фол (1893–1989)</v>
      </c>
      <c r="D3041" s="10">
        <f ca="1">IFERROR(__xludf.DUMMYFUNCTION("""COMPUTED_VALUE"""),2019)</f>
        <v>2019</v>
      </c>
      <c r="E3041" s="10" t="str">
        <f ca="1">IFERROR(__xludf.DUMMYFUNCTION("""COMPUTED_VALUE"""),"Thracia, vol. 24, 2019, с. 46-85. ISSN: 0204-9872")</f>
        <v>Thracia, vol. 24, 2019, с. 46-85. ISSN: 0204-9872</v>
      </c>
      <c r="F3041" s="10" t="str">
        <f ca="1">IFERROR(__xludf.DUMMYFUNCTION("""COMPUTED_VALUE"""),"Central andEastEuropeanOnlineLibrary
 Национален референтен списък на НАЦИД")</f>
        <v>Central andEastEuropeanOnlineLibrary
 Национален референтен списък на НАЦИД</v>
      </c>
      <c r="G3041" s="10"/>
      <c r="H3041" s="10"/>
      <c r="I3041" s="10"/>
      <c r="J3041" s="10"/>
      <c r="K3041" s="10"/>
      <c r="L3041" s="10"/>
      <c r="M3041" s="10"/>
      <c r="N3041" s="10"/>
      <c r="O3041" s="10"/>
      <c r="P3041" s="10"/>
      <c r="Q3041" s="10"/>
      <c r="R3041" s="10"/>
      <c r="S3041" s="10"/>
      <c r="T3041" s="10"/>
      <c r="U3041" s="10"/>
      <c r="V3041" s="10"/>
      <c r="W3041" s="10"/>
      <c r="X3041" s="10"/>
      <c r="Y3041" s="10"/>
      <c r="Z3041" s="10"/>
    </row>
    <row r="3042" spans="1:26" ht="12.75">
      <c r="A3042" s="10" t="str">
        <f ca="1">IFERROR(__xludf.DUMMYFUNCTION("""COMPUTED_VALUE"""),"Жоржета Димитрова Назърска")</f>
        <v>Жоржета Димитрова Назърска</v>
      </c>
      <c r="B3042" s="10" t="str">
        <f ca="1">IFERROR(__xludf.DUMMYFUNCTION("""COMPUTED_VALUE"""),"Доклад от конференция")</f>
        <v>Доклад от конференция</v>
      </c>
      <c r="C3042" s="10" t="str">
        <f ca="1">IFERROR(__xludf.DUMMYFUNCTION("""COMPUTED_VALUE"""),"Празнуването на Деня на майката в България: традиция и промяна през ХХ в.")</f>
        <v>Празнуването на Деня на майката в България: традиция и промяна през ХХ в.</v>
      </c>
      <c r="D3042" s="10">
        <f ca="1">IFERROR(__xludf.DUMMYFUNCTION("""COMPUTED_VALUE"""),2019)</f>
        <v>2019</v>
      </c>
      <c r="E3042" s="10" t="str">
        <f ca="1">IFERROR(__xludf.DUMMYFUNCTION("""COMPUTED_VALUE"""),"// Дебрюне, Н., съст. Проблеми на КН, т.3, 2019 (Пролетта в празничния обреден календар). – София: За буквите-О писменехь, 2019, с.90-104. ISBN 978-619-185-388-5")</f>
        <v>// Дебрюне, Н., съст. Проблеми на КН, т.3, 2019 (Пролетта в празничния обреден календар). – София: За буквите-О писменехь, 2019, с.90-104. ISBN 978-619-185-388-5</v>
      </c>
      <c r="F3042" s="10"/>
      <c r="G3042" s="10" t="str">
        <f ca="1">IFERROR(__xludf.DUMMYFUNCTION("""COMPUTED_VALUE"""),"Шапкалова, Св., Ж. Назърска.")</f>
        <v>Шапкалова, Св., Ж. Назърска.</v>
      </c>
      <c r="H3042" s="10"/>
      <c r="I3042" s="10"/>
      <c r="J3042" s="10"/>
      <c r="K3042" s="10"/>
      <c r="L3042" s="10"/>
      <c r="M3042" s="10"/>
      <c r="N3042" s="10"/>
      <c r="O3042" s="10"/>
      <c r="P3042" s="10"/>
      <c r="Q3042" s="10"/>
      <c r="R3042" s="10"/>
      <c r="S3042" s="10"/>
      <c r="T3042" s="10"/>
      <c r="U3042" s="10"/>
      <c r="V3042" s="10"/>
      <c r="W3042" s="10"/>
      <c r="X3042" s="10"/>
      <c r="Y3042" s="10"/>
      <c r="Z3042" s="10"/>
    </row>
    <row r="3043" spans="1:26" ht="12.75">
      <c r="A3043" s="10" t="str">
        <f ca="1">IFERROR(__xludf.DUMMYFUNCTION("""COMPUTED_VALUE"""),"Жоржета Димитрова Назърска")</f>
        <v>Жоржета Димитрова Назърска</v>
      </c>
      <c r="B3043" s="10" t="str">
        <f ca="1">IFERROR(__xludf.DUMMYFUNCTION("""COMPUTED_VALUE"""),"Статия в списания и поредици")</f>
        <v>Статия в списания и поредици</v>
      </c>
      <c r="C3043" s="10" t="str">
        <f ca="1">IFERROR(__xludf.DUMMYFUNCTION("""COMPUTED_VALUE"""),"Окултизъм, благотворителност и обществено служене: моменти от ранната история на Бялото Братство")</f>
        <v>Окултизъм, благотворителност и обществено служене: моменти от ранната история на Бялото Братство</v>
      </c>
      <c r="D3043" s="10">
        <f ca="1">IFERROR(__xludf.DUMMYFUNCTION("""COMPUTED_VALUE"""),2019)</f>
        <v>2019</v>
      </c>
      <c r="E3043" s="10" t="str">
        <f ca="1">IFERROR(__xludf.DUMMYFUNCTION("""COMPUTED_VALUE"""),"Рускова, Ст., съст. П. Дънов, Учителя, в културното пространство на България. – Варна: Арт Трейсър, 2019, с. 7-24. ISSN 2534-8736")</f>
        <v>Рускова, Ст., съст. П. Дънов, Учителя, в културното пространство на България. – Варна: Арт Трейсър, 2019, с. 7-24. ISSN 2534-8736</v>
      </c>
      <c r="F3043" s="10"/>
      <c r="G3043" s="10"/>
      <c r="H3043" s="10"/>
      <c r="I3043" s="10"/>
      <c r="J3043" s="10"/>
      <c r="K3043" s="10"/>
      <c r="L3043" s="10"/>
      <c r="M3043" s="10"/>
      <c r="N3043" s="10"/>
      <c r="O3043" s="10"/>
      <c r="P3043" s="10"/>
      <c r="Q3043" s="10"/>
      <c r="R3043" s="10"/>
      <c r="S3043" s="10"/>
      <c r="T3043" s="10"/>
      <c r="U3043" s="10"/>
      <c r="V3043" s="10"/>
      <c r="W3043" s="10"/>
      <c r="X3043" s="10"/>
      <c r="Y3043" s="10"/>
      <c r="Z3043" s="10"/>
    </row>
    <row r="3044" spans="1:26" ht="12.75">
      <c r="A3044" s="10" t="str">
        <f ca="1">IFERROR(__xludf.DUMMYFUNCTION("""COMPUTED_VALUE"""),"Жоржета Димитрова Назърска")</f>
        <v>Жоржета Димитрова Назърска</v>
      </c>
      <c r="B3044" s="10" t="str">
        <f ca="1">IFERROR(__xludf.DUMMYFUNCTION("""COMPUTED_VALUE"""),"Статия в списания и поредици")</f>
        <v>Статия в списания и поредици</v>
      </c>
      <c r="C3044" s="10" t="str">
        <f ca="1">IFERROR(__xludf.DUMMYFUNCTION("""COMPUTED_VALUE"""),"Esoteric Practices of Bulgarian Intellectuals in the 1920s and 1930s: a Case Study")</f>
        <v>Esoteric Practices of Bulgarian Intellectuals in the 1920s and 1930s: a Case Study</v>
      </c>
      <c r="D3044" s="10">
        <f ca="1">IFERROR(__xludf.DUMMYFUNCTION("""COMPUTED_VALUE"""),2019)</f>
        <v>2019</v>
      </c>
      <c r="E3044" s="10" t="str">
        <f ca="1">IFERROR(__xludf.DUMMYFUNCTION("""COMPUTED_VALUE"""),"Etudes balkaniques, 2019, №1, pp. 139-166. ISSN: 0324-1645")</f>
        <v>Etudes balkaniques, 2019, №1, pp. 139-166. ISSN: 0324-1645</v>
      </c>
      <c r="F3044" s="10" t="str">
        <f ca="1">IFERROR(__xludf.DUMMYFUNCTION("""COMPUTED_VALUE"""),"AmH@L - America: History and Life
 BHA - Bibliographie of the History of Art
 BiblLing - Linguistic Bibliography
 CurCont - Current Contents
 ERIH Plus
 ERIH
 HistAb - History Abstracts
 IBR - Internationale Bibliographie der Rezensionen
 IBSS - Internati"&amp;"onal Bibliography of the Social Sciences
 MLA-IB - Modern Language Association of America: Bibliography of Books and Articles on Modern Languages and Literatures
 NumL - Numismatic Literature
 PerIslam - Periodica Islamica
 Ulrich's Periodicals Directory "&amp;"
 Национален референтен списък на НАЦИД")</f>
        <v>AmH@L - America: History and Life
 BHA - Bibliographie of the History of Art
 BiblLing - Linguistic Bibliography
 CurCont - Current Contents
 ERIH Plus
 ERIH
 HistAb - History Abstracts
 IBR - Internationale Bibliographie der Rezensionen
 IBSS - International Bibliography of the Social Sciences
 MLA-IB - Modern Language Association of America: Bibliography of Books and Articles on Modern Languages and Literatures
 NumL - Numismatic Literature
 PerIslam - Periodica Islamica
 Ulrich's Periodicals Directory 
 Национален референтен списък на НАЦИД</v>
      </c>
      <c r="G3044" s="10"/>
      <c r="H3044" s="10"/>
      <c r="I3044" s="10"/>
      <c r="J3044" s="10"/>
      <c r="K3044" s="10"/>
      <c r="L3044" s="10"/>
      <c r="M3044" s="10"/>
      <c r="N3044" s="10"/>
      <c r="O3044" s="10"/>
      <c r="P3044" s="10"/>
      <c r="Q3044" s="10"/>
      <c r="R3044" s="10"/>
      <c r="S3044" s="10"/>
      <c r="T3044" s="10"/>
      <c r="U3044" s="10"/>
      <c r="V3044" s="10"/>
      <c r="W3044" s="10"/>
      <c r="X3044" s="10"/>
      <c r="Y3044" s="10"/>
      <c r="Z3044" s="10"/>
    </row>
    <row r="3045" spans="1:26" ht="12.75">
      <c r="A3045" s="10" t="str">
        <f ca="1">IFERROR(__xludf.DUMMYFUNCTION("""COMPUTED_VALUE"""),"Жоржета Димитрова Назърска")</f>
        <v>Жоржета Димитрова Назърска</v>
      </c>
      <c r="B3045" s="10" t="str">
        <f ca="1">IFERROR(__xludf.DUMMYFUNCTION("""COMPUTED_VALUE"""),"Статия в списания и поредици")</f>
        <v>Статия в списания и поредици</v>
      </c>
      <c r="C3045" s="10" t="str">
        <f ca="1">IFERROR(__xludf.DUMMYFUNCTION("""COMPUTED_VALUE"""),"Нематериальное культурное наследие на пороге риска: религиозные и семейные ценности в современной Болгари")</f>
        <v>Нематериальное культурное наследие на пороге риска: религиозные и семейные ценности в современной Болгари</v>
      </c>
      <c r="D3045" s="10">
        <f ca="1">IFERROR(__xludf.DUMMYFUNCTION("""COMPUTED_VALUE"""),2019)</f>
        <v>2019</v>
      </c>
      <c r="E3045" s="10" t="str">
        <f ca="1">IFERROR(__xludf.DUMMYFUNCTION("""COMPUTED_VALUE"""),"Мир славянской письменности и культуры в православии, социогуманитарном познании. Материалы международной научно-практической конференции. – Челябинск: ЧГИК, 2019, с. 383-389. ISBN 978-5-94839-708-5")</f>
        <v>Мир славянской письменности и культуры в православии, социогуманитарном познании. Материалы международной научно-практической конференции. – Челябинск: ЧГИК, 2019, с. 383-389. ISBN 978-5-94839-708-5</v>
      </c>
      <c r="F3045" s="10"/>
      <c r="G3045" s="10" t="str">
        <f ca="1">IFERROR(__xludf.DUMMYFUNCTION("""COMPUTED_VALUE"""),"Шапкалова, С.")</f>
        <v>Шапкалова, С.</v>
      </c>
      <c r="H3045" s="10"/>
      <c r="I3045" s="10"/>
      <c r="J3045" s="10"/>
      <c r="K3045" s="10"/>
      <c r="L3045" s="10"/>
      <c r="M3045" s="10"/>
      <c r="N3045" s="10"/>
      <c r="O3045" s="10"/>
      <c r="P3045" s="10"/>
      <c r="Q3045" s="10"/>
      <c r="R3045" s="10"/>
      <c r="S3045" s="10"/>
      <c r="T3045" s="10"/>
      <c r="U3045" s="10"/>
      <c r="V3045" s="10"/>
      <c r="W3045" s="10"/>
      <c r="X3045" s="10"/>
      <c r="Y3045" s="10"/>
      <c r="Z3045" s="10"/>
    </row>
    <row r="3046" spans="1:26" ht="12.75">
      <c r="A3046" s="10" t="str">
        <f ca="1">IFERROR(__xludf.DUMMYFUNCTION("""COMPUTED_VALUE"""),"Жоржета Димитрова Назърска")</f>
        <v>Жоржета Димитрова Назърска</v>
      </c>
      <c r="B3046" s="10" t="str">
        <f ca="1">IFERROR(__xludf.DUMMYFUNCTION("""COMPUTED_VALUE"""),"Статия в списания и поредици")</f>
        <v>Статия в списания и поредици</v>
      </c>
      <c r="C3046" s="10" t="str">
        <f ca="1">IFERROR(__xludf.DUMMYFUNCTION("""COMPUTED_VALUE"""),"Теренната работа и педагогическата комуникация в академична среда")</f>
        <v>Теренната работа и педагогическата комуникация в академична среда</v>
      </c>
      <c r="D3046" s="10">
        <f ca="1">IFERROR(__xludf.DUMMYFUNCTION("""COMPUTED_VALUE"""),2019)</f>
        <v>2019</v>
      </c>
      <c r="E3046" s="10" t="str">
        <f ca="1">IFERROR(__xludf.DUMMYFUNCTION("""COMPUTED_VALUE"""),"Тоцева, Я., И. Мавродиева, съст. Педагогическата комуникация: традиционна и дигитална. – София, 2019, с. 134-143. ISBN 978-619-00-0929-0")</f>
        <v>Тоцева, Я., И. Мавродиева, съст. Педагогическата комуникация: традиционна и дигитална. – София, 2019, с. 134-143. ISBN 978-619-00-0929-0</v>
      </c>
      <c r="F3046" s="10"/>
      <c r="G3046" s="10" t="str">
        <f ca="1">IFERROR(__xludf.DUMMYFUNCTION("""COMPUTED_VALUE"""),"Шапкалова, С.")</f>
        <v>Шапкалова, С.</v>
      </c>
      <c r="H3046" s="10"/>
      <c r="I3046" s="10"/>
      <c r="J3046" s="10"/>
      <c r="K3046" s="10"/>
      <c r="L3046" s="10"/>
      <c r="M3046" s="10"/>
      <c r="N3046" s="10"/>
      <c r="O3046" s="10"/>
      <c r="P3046" s="10"/>
      <c r="Q3046" s="10"/>
      <c r="R3046" s="10"/>
      <c r="S3046" s="10"/>
      <c r="T3046" s="10"/>
      <c r="U3046" s="10"/>
      <c r="V3046" s="10"/>
      <c r="W3046" s="10"/>
      <c r="X3046" s="10"/>
      <c r="Y3046" s="10"/>
      <c r="Z3046" s="10"/>
    </row>
    <row r="3047" spans="1:26" ht="12.75">
      <c r="A3047" s="10" t="str">
        <f ca="1">IFERROR(__xludf.DUMMYFUNCTION("""COMPUTED_VALUE"""),"Жоржета Димитрова Назърска")</f>
        <v>Жоржета Димитрова Назърска</v>
      </c>
      <c r="B3047" s="10" t="str">
        <f ca="1">IFERROR(__xludf.DUMMYFUNCTION("""COMPUTED_VALUE"""),"Статия в списания и поредици")</f>
        <v>Статия в списания и поредици</v>
      </c>
      <c r="C3047" s="10" t="str">
        <f ca="1">IFERROR(__xludf.DUMMYFUNCTION("""COMPUTED_VALUE"""),"Девическите занаятчийски практически училища – един успешен социален и държавен експеримент в България (90-те год. ХІХ – 40-те год. на ХХ в.).")</f>
        <v>Девическите занаятчийски практически училища – един успешен социален и държавен експеримент в България (90-те год. ХІХ – 40-те год. на ХХ в.).</v>
      </c>
      <c r="D3047" s="10">
        <f ca="1">IFERROR(__xludf.DUMMYFUNCTION("""COMPUTED_VALUE"""),2019)</f>
        <v>2019</v>
      </c>
      <c r="E3047" s="10" t="str">
        <f ca="1">IFERROR(__xludf.DUMMYFUNCTION("""COMPUTED_VALUE"""),"Балканистичен форум, 2019, №1, с. 218-238. ISSN 0861-8429")</f>
        <v>Балканистичен форум, 2019, №1, с. 218-238. ISSN 0861-8429</v>
      </c>
      <c r="F3047" s="10" t="str">
        <f ca="1">IFERROR(__xludf.DUMMYFUNCTION("""COMPUTED_VALUE"""),"Scopus
  ERIH PLUS
  eLibrary.ru
 Central andEastEuropeanOnlineLibrary")</f>
        <v>Scopus
  ERIH PLUS
  eLibrary.ru
 Central andEastEuropeanOnlineLibrary</v>
      </c>
      <c r="G3047" s="10"/>
      <c r="H3047" s="10"/>
      <c r="I3047" s="10"/>
      <c r="J3047" s="10"/>
      <c r="K3047" s="10"/>
      <c r="L3047" s="10"/>
      <c r="M3047" s="10"/>
      <c r="N3047" s="10"/>
      <c r="O3047" s="10"/>
      <c r="P3047" s="10"/>
      <c r="Q3047" s="10"/>
      <c r="R3047" s="10"/>
      <c r="S3047" s="10"/>
      <c r="T3047" s="10"/>
      <c r="U3047" s="10"/>
      <c r="V3047" s="10"/>
      <c r="W3047" s="10"/>
      <c r="X3047" s="10"/>
      <c r="Y3047" s="10"/>
      <c r="Z3047" s="10"/>
    </row>
    <row r="3048" spans="1:26" ht="12.75">
      <c r="A3048" s="10" t="str">
        <f ca="1">IFERROR(__xludf.DUMMYFUNCTION("""COMPUTED_VALUE"""),"Жоржета Димитрова Назърска")</f>
        <v>Жоржета Димитрова Назърска</v>
      </c>
      <c r="B3048" s="10" t="str">
        <f ca="1">IFERROR(__xludf.DUMMYFUNCTION("""COMPUTED_VALUE"""),"Книга")</f>
        <v>Книга</v>
      </c>
      <c r="C3048" s="10" t="str">
        <f ca="1">IFERROR(__xludf.DUMMYFUNCTION("""COMPUTED_VALUE"""),"// The Lady in Violet: Olga Shehanova-Shishkova/ Дамата във виолетово: Олга Шеханова-Шишкова")</f>
        <v>// The Lady in Violet: Olga Shehanova-Shishkova/ Дамата във виолетово: Олга Шеханова-Шишкова</v>
      </c>
      <c r="D3048" s="10">
        <f ca="1">IFERROR(__xludf.DUMMYFUNCTION("""COMPUTED_VALUE"""),2019)</f>
        <v>2019</v>
      </c>
      <c r="E3048" s="10" t="str">
        <f ca="1">IFERROR(__xludf.DUMMYFUNCTION("""COMPUTED_VALUE"""),"София: Логис, 2019, с. 7-29. ISBN 978-954-8289-16-0")</f>
        <v>София: Логис, 2019, с. 7-29. ISBN 978-954-8289-16-0</v>
      </c>
      <c r="F3048" s="10"/>
      <c r="G3048" s="10" t="str">
        <f ca="1">IFERROR(__xludf.DUMMYFUNCTION("""COMPUTED_VALUE"""),"Назърска, Ж. Олга Шеханова-Shishkova")</f>
        <v>Назърска, Ж. Олга Шеханова-Shishkova</v>
      </c>
      <c r="H3048" s="10"/>
      <c r="I3048" s="10"/>
      <c r="J3048" s="10"/>
      <c r="K3048" s="10"/>
      <c r="L3048" s="10"/>
      <c r="M3048" s="10"/>
      <c r="N3048" s="10"/>
      <c r="O3048" s="10"/>
      <c r="P3048" s="10"/>
      <c r="Q3048" s="10"/>
      <c r="R3048" s="10"/>
      <c r="S3048" s="10"/>
      <c r="T3048" s="10"/>
      <c r="U3048" s="10"/>
      <c r="V3048" s="10"/>
      <c r="W3048" s="10"/>
      <c r="X3048" s="10"/>
      <c r="Y3048" s="10"/>
      <c r="Z3048" s="10"/>
    </row>
    <row r="3049" spans="1:26" ht="12.75">
      <c r="A3049" s="10" t="str">
        <f ca="1">IFERROR(__xludf.DUMMYFUNCTION("""COMPUTED_VALUE"""),"Жоржета Димитрова Назърска")</f>
        <v>Жоржета Димитрова Назърска</v>
      </c>
      <c r="B3049" s="10" t="str">
        <f ca="1">IFERROR(__xludf.DUMMYFUNCTION("""COMPUTED_VALUE"""),"Статия в списания и поредици")</f>
        <v>Статия в списания и поредици</v>
      </c>
      <c r="C3049" s="10" t="str">
        <f ca="1">IFERROR(__xludf.DUMMYFUNCTION("""COMPUTED_VALUE"""),"Американските възпитаници в „кривото огледало“ на досиетата (30-60-те год. на ХХ в.).")</f>
        <v>Американските възпитаници в „кривото огледало“ на досиетата (30-60-те год. на ХХ в.).</v>
      </c>
      <c r="D3049" s="10">
        <f ca="1">IFERROR(__xludf.DUMMYFUNCTION("""COMPUTED_VALUE"""),2019)</f>
        <v>2019</v>
      </c>
      <c r="E3049" s="10" t="str">
        <f ca="1">IFERROR(__xludf.DUMMYFUNCTION("""COMPUTED_VALUE"""),"// Балканистичен форум (брой Дисидентство, промяна, компромиси на прехода), 2019, №3, с. 289-310. 
 ISSN 1310-3970")</f>
        <v>// Балканистичен форум (брой Дисидентство, промяна, компромиси на прехода), 2019, №3, с. 289-310. 
 ISSN 1310-3970</v>
      </c>
      <c r="F3049" s="10" t="str">
        <f ca="1">IFERROR(__xludf.DUMMYFUNCTION("""COMPUTED_VALUE"""),"Web of Science и Scopus
 CEEOL,Erih Plus,РИНЦ")</f>
        <v>Web of Science и Scopus
 CEEOL,Erih Plus,РИНЦ</v>
      </c>
      <c r="G3049" s="10"/>
      <c r="H3049" s="10"/>
      <c r="I3049" s="10"/>
      <c r="J3049" s="10"/>
      <c r="K3049" s="10"/>
      <c r="L3049" s="10"/>
      <c r="M3049" s="10"/>
      <c r="N3049" s="10"/>
      <c r="O3049" s="10"/>
      <c r="P3049" s="10"/>
      <c r="Q3049" s="10"/>
      <c r="R3049" s="10"/>
      <c r="S3049" s="10"/>
      <c r="T3049" s="10"/>
      <c r="U3049" s="10"/>
      <c r="V3049" s="10"/>
      <c r="W3049" s="10"/>
      <c r="X3049" s="10"/>
      <c r="Y3049" s="10"/>
      <c r="Z3049" s="10"/>
    </row>
    <row r="3050" spans="1:26" ht="12.75">
      <c r="A3050" s="10" t="str">
        <f ca="1">IFERROR(__xludf.DUMMYFUNCTION("""COMPUTED_VALUE"""),"Жоржета Димитрова Назърска")</f>
        <v>Жоржета Димитрова Назърска</v>
      </c>
      <c r="B3050" s="10" t="str">
        <f ca="1">IFERROR(__xludf.DUMMYFUNCTION("""COMPUTED_VALUE"""),"Доклад от конференция")</f>
        <v>Доклад от конференция</v>
      </c>
      <c r="C3050" s="10" t="str">
        <f ca="1">IFERROR(__xludf.DUMMYFUNCTION("""COMPUTED_VALUE"""),"Теренната работа на студенти от УниБИТ в Скопие (2018): комплексен подход в изучаването на културното наследство")</f>
        <v>Теренната работа на студенти от УниБИТ в Скопие (2018): комплексен подход в изучаването на културното наследство</v>
      </c>
      <c r="D3050" s="10">
        <f ca="1">IFERROR(__xludf.DUMMYFUNCTION("""COMPUTED_VALUE"""),2019)</f>
        <v>2019</v>
      </c>
      <c r="E3050" s="10" t="str">
        <f ca="1">IFERROR(__xludf.DUMMYFUNCTION("""COMPUTED_VALUE"""),"Обществото на знанието и хуманизмът на 21 в. – София: За буквите-О писменехь, 2019, с. 310-318. ISSN 1314-7099")</f>
        <v>Обществото на знанието и хуманизмът на 21 в. – София: За буквите-О писменехь, 2019, с. 310-318. ISSN 1314-7099</v>
      </c>
      <c r="F3050" s="10"/>
      <c r="G3050" s="10" t="str">
        <f ca="1">IFERROR(__xludf.DUMMYFUNCTION("""COMPUTED_VALUE"""),"С. Шапкалова")</f>
        <v>С. Шапкалова</v>
      </c>
      <c r="H3050" s="10"/>
      <c r="I3050" s="10"/>
      <c r="J3050" s="10"/>
      <c r="K3050" s="10"/>
      <c r="L3050" s="10"/>
      <c r="M3050" s="10"/>
      <c r="N3050" s="10"/>
      <c r="O3050" s="10"/>
      <c r="P3050" s="10"/>
      <c r="Q3050" s="10"/>
      <c r="R3050" s="10"/>
      <c r="S3050" s="10"/>
      <c r="T3050" s="10"/>
      <c r="U3050" s="10"/>
      <c r="V3050" s="10"/>
      <c r="W3050" s="10"/>
      <c r="X3050" s="10"/>
      <c r="Y3050" s="10"/>
      <c r="Z3050" s="10"/>
    </row>
    <row r="3051" spans="1:26" ht="12.75">
      <c r="A3051" s="10" t="str">
        <f ca="1">IFERROR(__xludf.DUMMYFUNCTION("""COMPUTED_VALUE"""),"Жоржета Димитрова Назърска")</f>
        <v>Жоржета Димитрова Назърска</v>
      </c>
      <c r="B3051" s="10" t="str">
        <f ca="1">IFERROR(__xludf.DUMMYFUNCTION("""COMPUTED_VALUE"""),"Статия в списания и поредици")</f>
        <v>Статия в списания и поредици</v>
      </c>
      <c r="C3051" s="10" t="str">
        <f ca="1">IFERROR(__xludf.DUMMYFUNCTION("""COMPUTED_VALUE"""),"Религиозната идентичност срещу атеистичната пропаганда в България: свидетелства от 50-60-те год. на ХХ в.")</f>
        <v>Религиозната идентичност срещу атеистичната пропаганда в България: свидетелства от 50-60-те год. на ХХ в.</v>
      </c>
      <c r="D3051" s="10">
        <f ca="1">IFERROR(__xludf.DUMMYFUNCTION("""COMPUTED_VALUE"""),2019)</f>
        <v>2019</v>
      </c>
      <c r="E3051" s="10" t="str">
        <f ca="1">IFERROR(__xludf.DUMMYFUNCTION("""COMPUTED_VALUE"""),"// Назърска, Ж., С. Шапкалова, съст. Форум за междурелигиозен диалог и сътрудничество, т.1. – София: БФМРДС, 2019, с.87-112. ISSN 2683-0760")</f>
        <v>// Назърска, Ж., С. Шапкалова, съст. Форум за междурелигиозен диалог и сътрудничество, т.1. – София: БФМРДС, 2019, с.87-112. ISSN 2683-0760</v>
      </c>
      <c r="F3051" s="10"/>
      <c r="G3051" s="10"/>
      <c r="H3051" s="10"/>
      <c r="I3051" s="10"/>
      <c r="J3051" s="10"/>
      <c r="K3051" s="10"/>
      <c r="L3051" s="10"/>
      <c r="M3051" s="10"/>
      <c r="N3051" s="10"/>
      <c r="O3051" s="10"/>
      <c r="P3051" s="10"/>
      <c r="Q3051" s="10"/>
      <c r="R3051" s="10"/>
      <c r="S3051" s="10"/>
      <c r="T3051" s="10"/>
      <c r="U3051" s="10"/>
      <c r="V3051" s="10"/>
      <c r="W3051" s="10"/>
      <c r="X3051" s="10"/>
      <c r="Y3051" s="10"/>
      <c r="Z3051" s="10"/>
    </row>
    <row r="3052" spans="1:26" ht="12.75">
      <c r="A3052" s="10" t="str">
        <f ca="1">IFERROR(__xludf.DUMMYFUNCTION("""COMPUTED_VALUE"""),"Жоржета Димитрова Назърска")</f>
        <v>Жоржета Димитрова Назърска</v>
      </c>
      <c r="B3052" s="10" t="str">
        <f ca="1">IFERROR(__xludf.DUMMYFUNCTION("""COMPUTED_VALUE"""),"Книга")</f>
        <v>Книга</v>
      </c>
      <c r="C3052" s="10" t="str">
        <f ca="1">IFERROR(__xludf.DUMMYFUNCTION("""COMPUTED_VALUE"""),"Форум за междурелигиозен диалог и сътрудничество")</f>
        <v>Форум за междурелигиозен диалог и сътрудничество</v>
      </c>
      <c r="D3052" s="10">
        <f ca="1">IFERROR(__xludf.DUMMYFUNCTION("""COMPUTED_VALUE"""),2019)</f>
        <v>2019</v>
      </c>
      <c r="E3052" s="10" t="str">
        <f ca="1">IFERROR(__xludf.DUMMYFUNCTION("""COMPUTED_VALUE"""),"Форум за междурелигиозен диалог и сътрудничество, т.1. – София: БФМРДС, 2019. ISSN 2683-0760")</f>
        <v>Форум за междурелигиозен диалог и сътрудничество, т.1. – София: БФМРДС, 2019. ISSN 2683-0760</v>
      </c>
      <c r="F3052" s="10"/>
      <c r="G3052" s="10" t="str">
        <f ca="1">IFERROR(__xludf.DUMMYFUNCTION("""COMPUTED_VALUE"""),"С. Шапкалова,")</f>
        <v>С. Шапкалова,</v>
      </c>
      <c r="H3052" s="10"/>
      <c r="I3052" s="10"/>
      <c r="J3052" s="10"/>
      <c r="K3052" s="10"/>
      <c r="L3052" s="10"/>
      <c r="M3052" s="10"/>
      <c r="N3052" s="10"/>
      <c r="O3052" s="10"/>
      <c r="P3052" s="10"/>
      <c r="Q3052" s="10"/>
      <c r="R3052" s="10"/>
      <c r="S3052" s="10"/>
      <c r="T3052" s="10"/>
      <c r="U3052" s="10"/>
      <c r="V3052" s="10"/>
      <c r="W3052" s="10"/>
      <c r="X3052" s="10"/>
      <c r="Y3052" s="10"/>
      <c r="Z3052" s="10"/>
    </row>
    <row r="3053" spans="1:26" ht="12.75">
      <c r="A3053" s="10" t="str">
        <f ca="1">IFERROR(__xludf.DUMMYFUNCTION("""COMPUTED_VALUE"""),"Жоржета Димитрова Назърска")</f>
        <v>Жоржета Димитрова Назърска</v>
      </c>
      <c r="B3053" s="10" t="str">
        <f ca="1">IFERROR(__xludf.DUMMYFUNCTION("""COMPUTED_VALUE"""),"Статия в списания и поредици")</f>
        <v>Статия в списания и поредици</v>
      </c>
      <c r="C3053" s="10" t="str">
        <f ca="1">IFERROR(__xludf.DUMMYFUNCTION("""COMPUTED_VALUE"""),"Теренната работа – иновативен метод в съвременното академично обучение по религия.")</f>
        <v>Теренната работа – иновативен метод в съвременното академично обучение по религия.</v>
      </c>
      <c r="D3053" s="10">
        <f ca="1">IFERROR(__xludf.DUMMYFUNCTION("""COMPUTED_VALUE"""),2018)</f>
        <v>2018</v>
      </c>
      <c r="E3053" s="10" t="str">
        <f ca="1">IFERROR(__xludf.DUMMYFUNCTION("""COMPUTED_VALUE"""),"Научни доклади. VІІ международна научна конференция Образование, наука, иновации. – Перник: ЕПУ, 2018, с. 374-379. ISSN 1314-5711")</f>
        <v>Научни доклади. VІІ международна научна конференция Образование, наука, иновации. – Перник: ЕПУ, 2018, с. 374-379. ISSN 1314-5711</v>
      </c>
      <c r="F3053" s="10"/>
      <c r="G3053" s="10" t="str">
        <f ca="1">IFERROR(__xludf.DUMMYFUNCTION("""COMPUTED_VALUE"""),"С. Шапкалова.")</f>
        <v>С. Шапкалова.</v>
      </c>
      <c r="H3053" s="10"/>
      <c r="I3053" s="10"/>
      <c r="J3053" s="10"/>
      <c r="K3053" s="10"/>
      <c r="L3053" s="10"/>
      <c r="M3053" s="10"/>
      <c r="N3053" s="10"/>
      <c r="O3053" s="10"/>
      <c r="P3053" s="10"/>
      <c r="Q3053" s="10"/>
      <c r="R3053" s="10"/>
      <c r="S3053" s="10"/>
      <c r="T3053" s="10"/>
      <c r="U3053" s="10"/>
      <c r="V3053" s="10"/>
      <c r="W3053" s="10"/>
      <c r="X3053" s="10"/>
      <c r="Y3053" s="10"/>
      <c r="Z3053" s="10"/>
    </row>
    <row r="3054" spans="1:26" ht="12.75">
      <c r="A3054" s="10" t="str">
        <f ca="1">IFERROR(__xludf.DUMMYFUNCTION("""COMPUTED_VALUE"""),"Жоржета Димитрова Назърска")</f>
        <v>Жоржета Димитрова Назърска</v>
      </c>
      <c r="B3054" s="10" t="str">
        <f ca="1">IFERROR(__xludf.DUMMYFUNCTION("""COMPUTED_VALUE"""),"Книга")</f>
        <v>Книга</v>
      </c>
      <c r="C3054" s="10" t="str">
        <f ca="1">IFERROR(__xludf.DUMMYFUNCTION("""COMPUTED_VALUE"""),"Хармония в различията, т.5.")</f>
        <v>Хармония в различията, т.5.</v>
      </c>
      <c r="D3054" s="10">
        <f ca="1">IFERROR(__xludf.DUMMYFUNCTION("""COMPUTED_VALUE"""),2018)</f>
        <v>2018</v>
      </c>
      <c r="E3054" s="10" t="str">
        <f ca="1">IFERROR(__xludf.DUMMYFUNCTION("""COMPUTED_VALUE"""),"Sofia: За буквите-О писменехь, 2018")</f>
        <v>Sofia: За буквите-О писменехь, 2018</v>
      </c>
      <c r="F3054" s="10" t="str">
        <f ca="1">IFERROR(__xludf.DUMMYFUNCTION("""COMPUTED_VALUE"""),"Национален референтен списък на НАЦИД")</f>
        <v>Национален референтен списък на НАЦИД</v>
      </c>
      <c r="G3054" s="10" t="str">
        <f ca="1">IFERROR(__xludf.DUMMYFUNCTION("""COMPUTED_VALUE"""),"С. Шапкалова")</f>
        <v>С. Шапкалова</v>
      </c>
      <c r="H3054" s="10"/>
      <c r="I3054" s="10"/>
      <c r="J3054" s="10"/>
      <c r="K3054" s="10"/>
      <c r="L3054" s="10"/>
      <c r="M3054" s="10"/>
      <c r="N3054" s="10"/>
      <c r="O3054" s="10"/>
      <c r="P3054" s="10"/>
      <c r="Q3054" s="10"/>
      <c r="R3054" s="10"/>
      <c r="S3054" s="10"/>
      <c r="T3054" s="10"/>
      <c r="U3054" s="10"/>
      <c r="V3054" s="10"/>
      <c r="W3054" s="10"/>
      <c r="X3054" s="10"/>
      <c r="Y3054" s="10"/>
      <c r="Z3054" s="10"/>
    </row>
    <row r="3055" spans="1:26" ht="12.75">
      <c r="A3055" s="10" t="str">
        <f ca="1">IFERROR(__xludf.DUMMYFUNCTION("""COMPUTED_VALUE"""),"Жоржета Димитрова Назърска")</f>
        <v>Жоржета Димитрова Назърска</v>
      </c>
      <c r="B3055" s="10" t="str">
        <f ca="1">IFERROR(__xludf.DUMMYFUNCTION("""COMPUTED_VALUE"""),"Статия в списания и поредици")</f>
        <v>Статия в списания и поредици</v>
      </c>
      <c r="C3055" s="10" t="str">
        <f ca="1">IFERROR(__xludf.DUMMYFUNCTION("""COMPUTED_VALUE"""),"Секцията на художничките към Дружеството на българките с висше образование (1944-1950).")</f>
        <v>Секцията на художничките към Дружеството на българките с висше образование (1944-1950).</v>
      </c>
      <c r="D3055" s="10">
        <f ca="1">IFERROR(__xludf.DUMMYFUNCTION("""COMPUTED_VALUE"""),2018)</f>
        <v>2018</v>
      </c>
      <c r="E3055" s="10" t="str">
        <f ca="1">IFERROR(__xludf.DUMMYFUNCTION("""COMPUTED_VALUE"""),"Малинова, Л., Кр. Йорданова, М. Димитрова, съст. Жените в българската литература и култура. – София: УИ, 2018, 418-426. ISBN 978-954-07-4428-5")</f>
        <v>Малинова, Л., Кр. Йорданова, М. Димитрова, съст. Жените в българската литература и култура. – София: УИ, 2018, 418-426. ISBN 978-954-07-4428-5</v>
      </c>
      <c r="F3055" s="10"/>
      <c r="G3055" s="10"/>
      <c r="H3055" s="10"/>
      <c r="I3055" s="10"/>
      <c r="J3055" s="10"/>
      <c r="K3055" s="10"/>
      <c r="L3055" s="10"/>
      <c r="M3055" s="10"/>
      <c r="N3055" s="10"/>
      <c r="O3055" s="10"/>
      <c r="P3055" s="10"/>
      <c r="Q3055" s="10"/>
      <c r="R3055" s="10"/>
      <c r="S3055" s="10"/>
      <c r="T3055" s="10"/>
      <c r="U3055" s="10"/>
      <c r="V3055" s="10"/>
      <c r="W3055" s="10"/>
      <c r="X3055" s="10"/>
      <c r="Y3055" s="10"/>
      <c r="Z3055" s="10"/>
    </row>
    <row r="3056" spans="1:26" ht="12.75">
      <c r="A3056" s="10" t="str">
        <f ca="1">IFERROR(__xludf.DUMMYFUNCTION("""COMPUTED_VALUE"""),"Жоржета Димитрова Назърска")</f>
        <v>Жоржета Димитрова Назърска</v>
      </c>
      <c r="B3056" s="10" t="str">
        <f ca="1">IFERROR(__xludf.DUMMYFUNCTION("""COMPUTED_VALUE"""),"Книга")</f>
        <v>Книга</v>
      </c>
      <c r="C3056" s="10" t="str">
        <f ca="1">IFERROR(__xludf.DUMMYFUNCTION("""COMPUTED_VALUE"""),"Жените в историята на академичната наука в България. Хабилитираните жени в БАН")</f>
        <v>Жените в историята на академичната наука в България. Хабилитираните жени в БАН</v>
      </c>
      <c r="D3056" s="10">
        <f ca="1">IFERROR(__xludf.DUMMYFUNCTION("""COMPUTED_VALUE"""),2018)</f>
        <v>2018</v>
      </c>
      <c r="E3056" s="10" t="str">
        <f ca="1">IFERROR(__xludf.DUMMYFUNCTION("""COMPUTED_VALUE"""),"София: Ропринт, 2018 (ISBN 978-619-90373-7-9)")</f>
        <v>София: Ропринт, 2018 (ISBN 978-619-90373-7-9)</v>
      </c>
      <c r="F3056" s="10"/>
      <c r="G3056" s="10" t="str">
        <f ca="1">IFERROR(__xludf.DUMMYFUNCTION("""COMPUTED_VALUE"""),"В. Кацунов, Дж. Иванова, Цв. Величкова, Р. Стоянова, Н. Казански, А. Стезова, Ц. Радулов, М. Николова")</f>
        <v>В. Кацунов, Дж. Иванова, Цв. Величкова, Р. Стоянова, Н. Казански, А. Стезова, Ц. Радулов, М. Николова</v>
      </c>
      <c r="H3056" s="10"/>
      <c r="I3056" s="10"/>
      <c r="J3056" s="10"/>
      <c r="K3056" s="10"/>
      <c r="L3056" s="10"/>
      <c r="M3056" s="10"/>
      <c r="N3056" s="10"/>
      <c r="O3056" s="10"/>
      <c r="P3056" s="10"/>
      <c r="Q3056" s="10"/>
      <c r="R3056" s="10"/>
      <c r="S3056" s="10"/>
      <c r="T3056" s="10"/>
      <c r="U3056" s="10"/>
      <c r="V3056" s="10"/>
      <c r="W3056" s="10"/>
      <c r="X3056" s="10"/>
      <c r="Y3056" s="10"/>
      <c r="Z3056" s="10"/>
    </row>
    <row r="3057" spans="1:26" ht="12.75">
      <c r="A3057" s="10" t="str">
        <f ca="1">IFERROR(__xludf.DUMMYFUNCTION("""COMPUTED_VALUE"""),"Жоржета Димитрова Назърска")</f>
        <v>Жоржета Димитрова Назърска</v>
      </c>
      <c r="B3057" s="10" t="str">
        <f ca="1">IFERROR(__xludf.DUMMYFUNCTION("""COMPUTED_VALUE"""),"Статия в списания и поредици")</f>
        <v>Статия в списания и поредици</v>
      </c>
      <c r="C3057" s="10" t="str">
        <f ca="1">IFERROR(__xludf.DUMMYFUNCTION("""COMPUTED_VALUE"""),"Християнски тайнства и религиозни емоции: поглед към религиозността в съвременна България")</f>
        <v>Християнски тайнства и религиозни емоции: поглед към религиозността в съвременна България</v>
      </c>
      <c r="D3057" s="10">
        <f ca="1">IFERROR(__xludf.DUMMYFUNCTION("""COMPUTED_VALUE"""),2018)</f>
        <v>2018</v>
      </c>
      <c r="E3057" s="10" t="str">
        <f ca="1">IFERROR(__xludf.DUMMYFUNCTION("""COMPUTED_VALUE"""),"Назърска, Ж., С. Шапкалова, съст. Хармония в различията, т.5, 2018, с. 123-129. ISSN 2367-7899")</f>
        <v>Назърска, Ж., С. Шапкалова, съст. Хармония в различията, т.5, 2018, с. 123-129. ISSN 2367-7899</v>
      </c>
      <c r="F3057" s="10" t="str">
        <f ca="1">IFERROR(__xludf.DUMMYFUNCTION("""COMPUTED_VALUE"""),"Национален референтен списък на НАЦИД")</f>
        <v>Национален референтен списък на НАЦИД</v>
      </c>
      <c r="G3057" s="10" t="str">
        <f ca="1">IFERROR(__xludf.DUMMYFUNCTION("""COMPUTED_VALUE"""),"С. Шапкалова")</f>
        <v>С. Шапкалова</v>
      </c>
      <c r="H3057" s="10"/>
      <c r="I3057" s="10"/>
      <c r="J3057" s="10"/>
      <c r="K3057" s="10"/>
      <c r="L3057" s="10"/>
      <c r="M3057" s="10"/>
      <c r="N3057" s="10"/>
      <c r="O3057" s="10"/>
      <c r="P3057" s="10"/>
      <c r="Q3057" s="10"/>
      <c r="R3057" s="10"/>
      <c r="S3057" s="10"/>
      <c r="T3057" s="10"/>
      <c r="U3057" s="10"/>
      <c r="V3057" s="10"/>
      <c r="W3057" s="10"/>
      <c r="X3057" s="10"/>
      <c r="Y3057" s="10"/>
      <c r="Z3057" s="10"/>
    </row>
    <row r="3058" spans="1:26" ht="12.75">
      <c r="A3058" s="10" t="str">
        <f ca="1">IFERROR(__xludf.DUMMYFUNCTION("""COMPUTED_VALUE"""),"Жоржета Димитрова Назърска")</f>
        <v>Жоржета Димитрова Назърска</v>
      </c>
      <c r="B3058" s="10" t="str">
        <f ca="1">IFERROR(__xludf.DUMMYFUNCTION("""COMPUTED_VALUE"""),"Студия")</f>
        <v>Студия</v>
      </c>
      <c r="C3058" s="10" t="str">
        <f ca="1">IFERROR(__xludf.DUMMYFUNCTION("""COMPUTED_VALUE"""),"Дневник на Еленка Димитриева, ученичка в АДК – Цариград, 12.11.1881-25.04.1882.")</f>
        <v>Дневник на Еленка Димитриева, ученичка в АДК – Цариград, 12.11.1881-25.04.1882.</v>
      </c>
      <c r="D3058" s="10">
        <f ca="1">IFERROR(__xludf.DUMMYFUNCTION("""COMPUTED_VALUE"""),2018)</f>
        <v>2018</v>
      </c>
      <c r="E3058" s="10" t="str">
        <f ca="1">IFERROR(__xludf.DUMMYFUNCTION("""COMPUTED_VALUE"""),"Балканистичен форум, 2018, №1, с.14-27 ISSN 0861-8429")</f>
        <v>Балканистичен форум, 2018, №1, с.14-27 ISSN 0861-8429</v>
      </c>
      <c r="F3058" s="10" t="str">
        <f ca="1">IFERROR(__xludf.DUMMYFUNCTION("""COMPUTED_VALUE"""),"Scopus
  ERIH PLUS
  eLibrary.ru
 Central andEastEuropeanOnlineLibrary")</f>
        <v>Scopus
  ERIH PLUS
  eLibrary.ru
 Central andEastEuropeanOnlineLibrary</v>
      </c>
      <c r="G3058" s="10"/>
      <c r="H3058" s="10"/>
      <c r="I3058" s="10"/>
      <c r="J3058" s="10"/>
      <c r="K3058" s="10"/>
      <c r="L3058" s="10"/>
      <c r="M3058" s="10"/>
      <c r="N3058" s="10"/>
      <c r="O3058" s="10"/>
      <c r="P3058" s="10"/>
      <c r="Q3058" s="10"/>
      <c r="R3058" s="10"/>
      <c r="S3058" s="10"/>
      <c r="T3058" s="10"/>
      <c r="U3058" s="10"/>
      <c r="V3058" s="10"/>
      <c r="W3058" s="10"/>
      <c r="X3058" s="10"/>
      <c r="Y3058" s="10"/>
      <c r="Z3058" s="10"/>
    </row>
    <row r="3059" spans="1:26" ht="12.75">
      <c r="A3059" s="10" t="str">
        <f ca="1">IFERROR(__xludf.DUMMYFUNCTION("""COMPUTED_VALUE"""),"Жоржета Димитрова Назърска")</f>
        <v>Жоржета Димитрова Назърска</v>
      </c>
      <c r="B3059" s="10" t="str">
        <f ca="1">IFERROR(__xludf.DUMMYFUNCTION("""COMPUTED_VALUE"""),"Статия в списания и поредици")</f>
        <v>Статия в списания и поредици</v>
      </c>
      <c r="C3059" s="10" t="str">
        <f ca="1">IFERROR(__xludf.DUMMYFUNCTION("""COMPUTED_VALUE"""),"A Narrative of Displacement: the Collective Memory of Few Armenian Clans in Bulgaria.")</f>
        <v>A Narrative of Displacement: the Collective Memory of Few Armenian Clans in Bulgaria.</v>
      </c>
      <c r="D3059" s="10">
        <f ca="1">IFERROR(__xludf.DUMMYFUNCTION("""COMPUTED_VALUE"""),2018)</f>
        <v>2018</v>
      </c>
      <c r="E3059" s="10" t="str">
        <f ca="1">IFERROR(__xludf.DUMMYFUNCTION("""COMPUTED_VALUE"""),"Karatzas, K., ed. Time, Space and Mobility. – Warsaw: IRF Press, 2018, 43-54. ISBN 978-83-949577-1-1")</f>
        <v>Karatzas, K., ed. Time, Space and Mobility. – Warsaw: IRF Press, 2018, 43-54. ISBN 978-83-949577-1-1</v>
      </c>
      <c r="F3059" s="10"/>
      <c r="G3059" s="10" t="str">
        <f ca="1">IFERROR(__xludf.DUMMYFUNCTION("""COMPUTED_VALUE"""),"S.Yavashchev")</f>
        <v>S.Yavashchev</v>
      </c>
      <c r="H3059" s="10"/>
      <c r="I3059" s="10"/>
      <c r="J3059" s="10"/>
      <c r="K3059" s="10"/>
      <c r="L3059" s="10"/>
      <c r="M3059" s="10"/>
      <c r="N3059" s="10"/>
      <c r="O3059" s="10"/>
      <c r="P3059" s="10"/>
      <c r="Q3059" s="10"/>
      <c r="R3059" s="10"/>
      <c r="S3059" s="10"/>
      <c r="T3059" s="10"/>
      <c r="U3059" s="10"/>
      <c r="V3059" s="10"/>
      <c r="W3059" s="10"/>
      <c r="X3059" s="10"/>
      <c r="Y3059" s="10"/>
      <c r="Z3059" s="10"/>
    </row>
    <row r="3060" spans="1:26" ht="12.75">
      <c r="A3060" s="10" t="str">
        <f ca="1">IFERROR(__xludf.DUMMYFUNCTION("""COMPUTED_VALUE"""),"Жоржета Димитрова Назърска")</f>
        <v>Жоржета Димитрова Назърска</v>
      </c>
      <c r="B3060" s="10" t="str">
        <f ca="1">IFERROR(__xludf.DUMMYFUNCTION("""COMPUTED_VALUE"""),"Статия в списания и поредици")</f>
        <v>Статия в списания и поредици</v>
      </c>
      <c r="C3060" s="10" t="str">
        <f ca="1">IFERROR(__xludf.DUMMYFUNCTION("""COMPUTED_VALUE"""),"Участие на българи в трансгранични религиозни мрежи в Близкия изток (първата половина на ХХ в.)")</f>
        <v>Участие на българи в трансгранични религиозни мрежи в Близкия изток (първата половина на ХХ в.)</v>
      </c>
      <c r="D3060" s="10">
        <f ca="1">IFERROR(__xludf.DUMMYFUNCTION("""COMPUTED_VALUE"""),2018)</f>
        <v>2018</v>
      </c>
      <c r="E3060" s="10" t="str">
        <f ca="1">IFERROR(__xludf.DUMMYFUNCTION("""COMPUTED_VALUE"""),"Хармония в различията, т.5, 2018, с. 71-82. ISSN 2367-7899")</f>
        <v>Хармония в различията, т.5, 2018, с. 71-82. ISSN 2367-7899</v>
      </c>
      <c r="F3060" s="10"/>
      <c r="G3060" s="10"/>
      <c r="H3060" s="10"/>
      <c r="I3060" s="10"/>
      <c r="J3060" s="10"/>
      <c r="K3060" s="10"/>
      <c r="L3060" s="10"/>
      <c r="M3060" s="10"/>
      <c r="N3060" s="10"/>
      <c r="O3060" s="10"/>
      <c r="P3060" s="10"/>
      <c r="Q3060" s="10"/>
      <c r="R3060" s="10"/>
      <c r="S3060" s="10"/>
      <c r="T3060" s="10"/>
      <c r="U3060" s="10"/>
      <c r="V3060" s="10"/>
      <c r="W3060" s="10"/>
      <c r="X3060" s="10"/>
      <c r="Y3060" s="10"/>
      <c r="Z3060" s="10"/>
    </row>
    <row r="3061" spans="1:26" ht="12.75">
      <c r="A3061" s="10" t="str">
        <f ca="1">IFERROR(__xludf.DUMMYFUNCTION("""COMPUTED_VALUE"""),"Жоржета Димитрова Назърска")</f>
        <v>Жоржета Димитрова Назърска</v>
      </c>
      <c r="B3061" s="10" t="str">
        <f ca="1">IFERROR(__xludf.DUMMYFUNCTION("""COMPUTED_VALUE"""),"Статия в списания и поредици")</f>
        <v>Статия в списания и поредици</v>
      </c>
      <c r="C3061" s="10" t="str">
        <f ca="1">IFERROR(__xludf.DUMMYFUNCTION("""COMPUTED_VALUE"""),"Професионалните медици в Бялото братство с висше образование: следистории.")</f>
        <v>Професионалните медици в Бялото братство с висше образование: следистории.</v>
      </c>
      <c r="D3061" s="10">
        <f ca="1">IFERROR(__xludf.DUMMYFUNCTION("""COMPUTED_VALUE"""),2018)</f>
        <v>2018</v>
      </c>
      <c r="E3061" s="10" t="str">
        <f ca="1">IFERROR(__xludf.DUMMYFUNCTION("""COMPUTED_VALUE"""),"Muharska, R., ed. Meeting Western Eyes: Comparisons, Receptions, Translations. Festschrift for Prof. Tatyana Stoicheva, D Litt. On her 70-th birtday. – София: УИ, 2018, с. 286-298. ISBN 2534-8736")</f>
        <v>Muharska, R., ed. Meeting Western Eyes: Comparisons, Receptions, Translations. Festschrift for Prof. Tatyana Stoicheva, D Litt. On her 70-th birtday. – София: УИ, 2018, с. 286-298. ISBN 2534-8736</v>
      </c>
      <c r="F3061" s="10"/>
      <c r="G3061" s="10"/>
      <c r="H3061" s="10"/>
      <c r="I3061" s="10"/>
      <c r="J3061" s="10"/>
      <c r="K3061" s="10"/>
      <c r="L3061" s="10"/>
      <c r="M3061" s="10"/>
      <c r="N3061" s="10"/>
      <c r="O3061" s="10"/>
      <c r="P3061" s="10"/>
      <c r="Q3061" s="10"/>
      <c r="R3061" s="10"/>
      <c r="S3061" s="10"/>
      <c r="T3061" s="10"/>
      <c r="U3061" s="10"/>
      <c r="V3061" s="10"/>
      <c r="W3061" s="10"/>
      <c r="X3061" s="10"/>
      <c r="Y3061" s="10"/>
      <c r="Z3061" s="10"/>
    </row>
    <row r="3062" spans="1:26" ht="12.75">
      <c r="A3062" s="10" t="str">
        <f ca="1">IFERROR(__xludf.DUMMYFUNCTION("""COMPUTED_VALUE"""),"Жоржета Димитрова Назърска")</f>
        <v>Жоржета Димитрова Назърска</v>
      </c>
      <c r="B3062" s="10" t="str">
        <f ca="1">IFERROR(__xludf.DUMMYFUNCTION("""COMPUTED_VALUE"""),"Статия в списания и поредици")</f>
        <v>Статия в списания и поредици</v>
      </c>
      <c r="C3062" s="10" t="str">
        <f ca="1">IFERROR(__xludf.DUMMYFUNCTION("""COMPUTED_VALUE"""),"Религия и культурное наследие в образовательном процессе: методические практики болгарских университетов.")</f>
        <v>Религия и культурное наследие в образовательном процессе: методические практики болгарских университетов.</v>
      </c>
      <c r="D3062" s="10">
        <f ca="1">IFERROR(__xludf.DUMMYFUNCTION("""COMPUTED_VALUE"""),2018)</f>
        <v>2018</v>
      </c>
      <c r="E3062" s="10" t="str">
        <f ca="1">IFERROR(__xludf.DUMMYFUNCTION("""COMPUTED_VALUE"""),"Урал, религия, православие. – Челябинск, 2018, с. 291-295. ISBN 978-5-94839-649-1")</f>
        <v>Урал, религия, православие. – Челябинск, 2018, с. 291-295. ISBN 978-5-94839-649-1</v>
      </c>
      <c r="F3062" s="10" t="str">
        <f ca="1">IFERROR(__xludf.DUMMYFUNCTION("""COMPUTED_VALUE"""),"РИНЦ - российский индекс научного цитирования")</f>
        <v>РИНЦ - российский индекс научного цитирования</v>
      </c>
      <c r="G3062" s="10" t="str">
        <f ca="1">IFERROR(__xludf.DUMMYFUNCTION("""COMPUTED_VALUE"""),"С. Шапкалова.")</f>
        <v>С. Шапкалова.</v>
      </c>
      <c r="H3062" s="10"/>
      <c r="I3062" s="10"/>
      <c r="J3062" s="10"/>
      <c r="K3062" s="10"/>
      <c r="L3062" s="10"/>
      <c r="M3062" s="10"/>
      <c r="N3062" s="10"/>
      <c r="O3062" s="10"/>
      <c r="P3062" s="10"/>
      <c r="Q3062" s="10"/>
      <c r="R3062" s="10"/>
      <c r="S3062" s="10"/>
      <c r="T3062" s="10"/>
      <c r="U3062" s="10"/>
      <c r="V3062" s="10"/>
      <c r="W3062" s="10"/>
      <c r="X3062" s="10"/>
      <c r="Y3062" s="10"/>
      <c r="Z3062" s="10"/>
    </row>
    <row r="3063" spans="1:26" ht="12.75">
      <c r="A3063" s="10" t="str">
        <f ca="1">IFERROR(__xludf.DUMMYFUNCTION("""COMPUTED_VALUE"""),"Жоржета Димитрова Назърска")</f>
        <v>Жоржета Димитрова Назърска</v>
      </c>
      <c r="B3063" s="10" t="str">
        <f ca="1">IFERROR(__xludf.DUMMYFUNCTION("""COMPUTED_VALUE"""),"Статия в списания и поредици")</f>
        <v>Статия в списания и поредици</v>
      </c>
      <c r="C3063" s="10" t="str">
        <f ca="1">IFERROR(__xludf.DUMMYFUNCTION("""COMPUTED_VALUE"""),"Graduates of the Protestant School for Girls at Samokov in the Bulgarian Social Modernization.")</f>
        <v>Graduates of the Protestant School for Girls at Samokov in the Bulgarian Social Modernization.</v>
      </c>
      <c r="D3063" s="10">
        <f ca="1">IFERROR(__xludf.DUMMYFUNCTION("""COMPUTED_VALUE"""),2018)</f>
        <v>2018</v>
      </c>
      <c r="E3063" s="10" t="str">
        <f ca="1">IFERROR(__xludf.DUMMYFUNCTION("""COMPUTED_VALUE"""),"Hosaflock, D., ed. Conference Proceedings from the Balkan Conference on the 500th Anniversary of the Protestant Reformation. - Skopje, 2018, 127-144. ISBN 978-9928-104-85-4")</f>
        <v>Hosaflock, D., ed. Conference Proceedings from the Balkan Conference on the 500th Anniversary of the Protestant Reformation. - Skopje, 2018, 127-144. ISBN 978-9928-104-85-4</v>
      </c>
      <c r="F3063" s="10"/>
      <c r="G3063" s="10"/>
      <c r="H3063" s="10"/>
      <c r="I3063" s="10"/>
      <c r="J3063" s="10"/>
      <c r="K3063" s="10"/>
      <c r="L3063" s="10"/>
      <c r="M3063" s="10"/>
      <c r="N3063" s="10"/>
      <c r="O3063" s="10"/>
      <c r="P3063" s="10"/>
      <c r="Q3063" s="10"/>
      <c r="R3063" s="10"/>
      <c r="S3063" s="10"/>
      <c r="T3063" s="10"/>
      <c r="U3063" s="10"/>
      <c r="V3063" s="10"/>
      <c r="W3063" s="10"/>
      <c r="X3063" s="10"/>
      <c r="Y3063" s="10"/>
      <c r="Z3063" s="10"/>
    </row>
    <row r="3064" spans="1:26" ht="12.75">
      <c r="A3064" s="10" t="str">
        <f ca="1">IFERROR(__xludf.DUMMYFUNCTION("""COMPUTED_VALUE"""),"Жоржета Димитрова Назърска")</f>
        <v>Жоржета Димитрова Назърска</v>
      </c>
      <c r="B3064" s="10" t="str">
        <f ca="1">IFERROR(__xludf.DUMMYFUNCTION("""COMPUTED_VALUE"""),"Статия в списания и поредици")</f>
        <v>Статия в списания и поредици</v>
      </c>
      <c r="C3064" s="10" t="str">
        <f ca="1">IFERROR(__xludf.DUMMYFUNCTION("""COMPUTED_VALUE"""),"Семейство Стоянови и Бялото братство")</f>
        <v>Семейство Стоянови и Бялото братство</v>
      </c>
      <c r="D3064" s="10">
        <f ca="1">IFERROR(__xludf.DUMMYFUNCTION("""COMPUTED_VALUE"""),2018)</f>
        <v>2018</v>
      </c>
      <c r="E3064" s="10" t="str">
        <f ca="1">IFERROR(__xludf.DUMMYFUNCTION("""COMPUTED_VALUE"""),"Рускова, Ст., съст. Петър Дънов в културното пространство на България, т.4. – Варна: Арт Трейсър, 2018, с. 43-60. ISBN 2534-8736")</f>
        <v>Рускова, Ст., съст. Петър Дънов в културното пространство на България, т.4. – Варна: Арт Трейсър, 2018, с. 43-60. ISBN 2534-8736</v>
      </c>
      <c r="F3064" s="10"/>
      <c r="G3064" s="10"/>
      <c r="H3064" s="10"/>
      <c r="I3064" s="10"/>
      <c r="J3064" s="10"/>
      <c r="K3064" s="10"/>
      <c r="L3064" s="10"/>
      <c r="M3064" s="10"/>
      <c r="N3064" s="10"/>
      <c r="O3064" s="10"/>
      <c r="P3064" s="10"/>
      <c r="Q3064" s="10"/>
      <c r="R3064" s="10"/>
      <c r="S3064" s="10"/>
      <c r="T3064" s="10"/>
      <c r="U3064" s="10"/>
      <c r="V3064" s="10"/>
      <c r="W3064" s="10"/>
      <c r="X3064" s="10"/>
      <c r="Y3064" s="10"/>
      <c r="Z3064" s="10"/>
    </row>
    <row r="3065" spans="1:26" ht="12.75">
      <c r="A3065" s="10" t="str">
        <f ca="1">IFERROR(__xludf.DUMMYFUNCTION("""COMPUTED_VALUE"""),"Жоржета Димитрова Назърска")</f>
        <v>Жоржета Димитрова Назърска</v>
      </c>
      <c r="B3065" s="10" t="str">
        <f ca="1">IFERROR(__xludf.DUMMYFUNCTION("""COMPUTED_VALUE"""),"Статия в списания и поредици")</f>
        <v>Статия в списания и поредици</v>
      </c>
      <c r="C3065" s="10" t="str">
        <f ca="1">IFERROR(__xludf.DUMMYFUNCTION("""COMPUTED_VALUE"""),"Педагогическа комуникация и технологии: електронни ресурси в обучението по религия в УниБИТ.")</f>
        <v>Педагогическа комуникация и технологии: електронни ресурси в обучението по религия в УниБИТ.</v>
      </c>
      <c r="D3065" s="10">
        <f ca="1">IFERROR(__xludf.DUMMYFUNCTION("""COMPUTED_VALUE"""),2018)</f>
        <v>2018</v>
      </c>
      <c r="E3065" s="10" t="str">
        <f ca="1">IFERROR(__xludf.DUMMYFUNCTION("""COMPUTED_VALUE"""),"Педагогическата комунакицаия: насотяще и бъдеще. – София: Фабер, 2018, с. 61-68. ISBN 978-619-00-0712-8")</f>
        <v>Педагогическата комунакицаия: насотяще и бъдеще. – София: Фабер, 2018, с. 61-68. ISBN 978-619-00-0712-8</v>
      </c>
      <c r="F3065" s="10"/>
      <c r="G3065" s="10" t="str">
        <f ca="1">IFERROR(__xludf.DUMMYFUNCTION("""COMPUTED_VALUE"""),"С. Шапкалова")</f>
        <v>С. Шапкалова</v>
      </c>
      <c r="H3065" s="10"/>
      <c r="I3065" s="10"/>
      <c r="J3065" s="10"/>
      <c r="K3065" s="10"/>
      <c r="L3065" s="10"/>
      <c r="M3065" s="10"/>
      <c r="N3065" s="10"/>
      <c r="O3065" s="10"/>
      <c r="P3065" s="10"/>
      <c r="Q3065" s="10"/>
      <c r="R3065" s="10"/>
      <c r="S3065" s="10"/>
      <c r="T3065" s="10"/>
      <c r="U3065" s="10"/>
      <c r="V3065" s="10"/>
      <c r="W3065" s="10"/>
      <c r="X3065" s="10"/>
      <c r="Y3065" s="10"/>
      <c r="Z3065" s="10"/>
    </row>
    <row r="3066" spans="1:26" ht="12.75">
      <c r="A3066" s="10" t="str">
        <f ca="1">IFERROR(__xludf.DUMMYFUNCTION("""COMPUTED_VALUE"""),"Жоржета Димитрова Назърска")</f>
        <v>Жоржета Димитрова Назърска</v>
      </c>
      <c r="B3066" s="10" t="str">
        <f ca="1">IFERROR(__xludf.DUMMYFUNCTION("""COMPUTED_VALUE"""),"Статия в списания и поредици")</f>
        <v>Статия в списания и поредици</v>
      </c>
      <c r="C3066" s="10" t="str">
        <f ca="1">IFERROR(__xludf.DUMMYFUNCTION("""COMPUTED_VALUE"""),"Религиозното образование в дискурса на културното наследство – една добра българска практика.")</f>
        <v>Религиозното образование в дискурса на културното наследство – една добра българска практика.</v>
      </c>
      <c r="D3066" s="10">
        <f ca="1">IFERROR(__xludf.DUMMYFUNCTION("""COMPUTED_VALUE"""),2018)</f>
        <v>2018</v>
      </c>
      <c r="E3066" s="10" t="str">
        <f ca="1">IFERROR(__xludf.DUMMYFUNCTION("""COMPUTED_VALUE"""),"Пенов, С., Р. Крикорян, съст. Хуманизъм. Наука. Религия. Религиозното образование и възпитание в конфесионален и институционален дискурс. – София: НСРОБ, 2018, с. 36-39. ISBN 978-954-509-512-2")</f>
        <v>Пенов, С., Р. Крикорян, съст. Хуманизъм. Наука. Религия. Религиозното образование и възпитание в конфесионален и институционален дискурс. – София: НСРОБ, 2018, с. 36-39. ISBN 978-954-509-512-2</v>
      </c>
      <c r="F3066" s="10"/>
      <c r="G3066" s="10" t="str">
        <f ca="1">IFERROR(__xludf.DUMMYFUNCTION("""COMPUTED_VALUE"""),"С. Шапкалова")</f>
        <v>С. Шапкалова</v>
      </c>
      <c r="H3066" s="10"/>
      <c r="I3066" s="10"/>
      <c r="J3066" s="10"/>
      <c r="K3066" s="10"/>
      <c r="L3066" s="10"/>
      <c r="M3066" s="10"/>
      <c r="N3066" s="10"/>
      <c r="O3066" s="10"/>
      <c r="P3066" s="10"/>
      <c r="Q3066" s="10"/>
      <c r="R3066" s="10"/>
      <c r="S3066" s="10"/>
      <c r="T3066" s="10"/>
      <c r="U3066" s="10"/>
      <c r="V3066" s="10"/>
      <c r="W3066" s="10"/>
      <c r="X3066" s="10"/>
      <c r="Y3066" s="10"/>
      <c r="Z3066" s="10"/>
    </row>
    <row r="3067" spans="1:26" ht="12.75">
      <c r="A3067" s="10" t="str">
        <f ca="1">IFERROR(__xludf.DUMMYFUNCTION("""COMPUTED_VALUE"""),"Жоржета Димитрова Назърска")</f>
        <v>Жоржета Димитрова Назърска</v>
      </c>
      <c r="B3067" s="10" t="str">
        <f ca="1">IFERROR(__xludf.DUMMYFUNCTION("""COMPUTED_VALUE"""),"Статия в списания и поредици")</f>
        <v>Статия в списания и поредици</v>
      </c>
      <c r="C3067" s="10" t="str">
        <f ca="1">IFERROR(__xludf.DUMMYFUNCTION("""COMPUTED_VALUE"""),"Стари и нови „жизнени светове“: биографични реконструкции и социално инженерство в личния архивен фонд на Ана Хранова.")</f>
        <v>Стари и нови „жизнени светове“: биографични реконструкции и социално инженерство в личния архивен фонд на Ана Хранова.</v>
      </c>
      <c r="D3067" s="10">
        <f ca="1">IFERROR(__xludf.DUMMYFUNCTION("""COMPUTED_VALUE"""),2018)</f>
        <v>2018</v>
      </c>
      <c r="E3067" s="10" t="str">
        <f ca="1">IFERROR(__xludf.DUMMYFUNCTION("""COMPUTED_VALUE"""),"Балканистичен форум, 2018, №1, с. 63-74. ISSN 0861-8429")</f>
        <v>Балканистичен форум, 2018, №1, с. 63-74. ISSN 0861-8429</v>
      </c>
      <c r="F3067" s="10" t="str">
        <f ca="1">IFERROR(__xludf.DUMMYFUNCTION("""COMPUTED_VALUE"""),"Scopus,
  ERIH PLUS,
  eLibrary.ru
 Central andEastEuropeanOnlineLibrary")</f>
        <v>Scopus,
  ERIH PLUS,
  eLibrary.ru
 Central andEastEuropeanOnlineLibrary</v>
      </c>
      <c r="G3067" s="10"/>
      <c r="H3067" s="10"/>
      <c r="I3067" s="10"/>
      <c r="J3067" s="10"/>
      <c r="K3067" s="10"/>
      <c r="L3067" s="10"/>
      <c r="M3067" s="10"/>
      <c r="N3067" s="10"/>
      <c r="O3067" s="10"/>
      <c r="P3067" s="10"/>
      <c r="Q3067" s="10"/>
      <c r="R3067" s="10"/>
      <c r="S3067" s="10"/>
      <c r="T3067" s="10"/>
      <c r="U3067" s="10"/>
      <c r="V3067" s="10"/>
      <c r="W3067" s="10"/>
      <c r="X3067" s="10"/>
      <c r="Y3067" s="10"/>
      <c r="Z3067" s="10"/>
    </row>
    <row r="3068" spans="1:26" ht="12.75">
      <c r="A3068" s="10" t="str">
        <f ca="1">IFERROR(__xludf.DUMMYFUNCTION("""COMPUTED_VALUE"""),"Жоржета Димитрова Назърска")</f>
        <v>Жоржета Димитрова Назърска</v>
      </c>
      <c r="B3068" s="10" t="str">
        <f ca="1">IFERROR(__xludf.DUMMYFUNCTION("""COMPUTED_VALUE"""),"Статия в списания и поредици")</f>
        <v>Статия в списания и поредици</v>
      </c>
      <c r="C3068" s="10" t="str">
        <f ca="1">IFERROR(__xludf.DUMMYFUNCTION("""COMPUTED_VALUE"""),"Дружеството на българките с висше образование: следистории")</f>
        <v>Дружеството на българките с висше образование: следистории</v>
      </c>
      <c r="D3068" s="10">
        <f ca="1">IFERROR(__xludf.DUMMYFUNCTION("""COMPUTED_VALUE"""),2018)</f>
        <v>2018</v>
      </c>
      <c r="E3068" s="10" t="str">
        <f ca="1">IFERROR(__xludf.DUMMYFUNCTION("""COMPUTED_VALUE"""),"Muharska, R., ed. Meeting Western Eyes: Comparisons, Receptions, Translations. Festschrift for Prof. Tatyana Stoicheva, D Litt. On her 70-th birtday. – София: УИ, 2018, с. 286-298.")</f>
        <v>Muharska, R., ed. Meeting Western Eyes: Comparisons, Receptions, Translations. Festschrift for Prof. Tatyana Stoicheva, D Litt. On her 70-th birtday. – София: УИ, 2018, с. 286-298.</v>
      </c>
      <c r="F3068" s="10"/>
      <c r="G3068" s="10"/>
      <c r="H3068" s="10"/>
      <c r="I3068" s="10"/>
      <c r="J3068" s="10"/>
      <c r="K3068" s="10"/>
      <c r="L3068" s="10"/>
      <c r="M3068" s="10"/>
      <c r="N3068" s="10"/>
      <c r="O3068" s="10"/>
      <c r="P3068" s="10"/>
      <c r="Q3068" s="10"/>
      <c r="R3068" s="10"/>
      <c r="S3068" s="10"/>
      <c r="T3068" s="10"/>
      <c r="U3068" s="10"/>
      <c r="V3068" s="10"/>
      <c r="W3068" s="10"/>
      <c r="X3068" s="10"/>
      <c r="Y3068" s="10"/>
      <c r="Z3068" s="10"/>
    </row>
    <row r="3069" spans="1:26" ht="12.75">
      <c r="A3069" s="10" t="str">
        <f ca="1">IFERROR(__xludf.DUMMYFUNCTION("""COMPUTED_VALUE"""),"Жоржета Димитрова Назърска")</f>
        <v>Жоржета Димитрова Назърска</v>
      </c>
      <c r="B3069" s="10" t="str">
        <f ca="1">IFERROR(__xludf.DUMMYFUNCTION("""COMPUTED_VALUE"""),"Статия в списания и поредици")</f>
        <v>Статия в списания и поредици</v>
      </c>
      <c r="C3069" s="10" t="str">
        <f ca="1">IFERROR(__xludf.DUMMYFUNCTION("""COMPUTED_VALUE"""),"Дневникът на Еленка Димитриева-Енчева")</f>
        <v>Дневникът на Еленка Димитриева-Енчева</v>
      </c>
      <c r="D3069" s="10">
        <f ca="1">IFERROR(__xludf.DUMMYFUNCTION("""COMPUTED_VALUE"""),2018)</f>
        <v>2018</v>
      </c>
      <c r="E3069" s="10" t="str">
        <f ca="1">IFERROR(__xludf.DUMMYFUNCTION("""COMPUTED_VALUE"""),"Балканистичен форум, 2018, №1, с.355-372. ISSN 0861-8429")</f>
        <v>Балканистичен форум, 2018, №1, с.355-372. ISSN 0861-8429</v>
      </c>
      <c r="F3069" s="10" t="str">
        <f ca="1">IFERROR(__xludf.DUMMYFUNCTION("""COMPUTED_VALUE"""),"Scopus,
  ERIH PLUS,
  eLibrary.ru
 Central andEastEuropeanOnlineLibrary")</f>
        <v>Scopus,
  ERIH PLUS,
  eLibrary.ru
 Central andEastEuropeanOnlineLibrary</v>
      </c>
      <c r="G3069" s="10"/>
      <c r="H3069" s="10"/>
      <c r="I3069" s="10"/>
      <c r="J3069" s="10"/>
      <c r="K3069" s="10"/>
      <c r="L3069" s="10"/>
      <c r="M3069" s="10"/>
      <c r="N3069" s="10"/>
      <c r="O3069" s="10"/>
      <c r="P3069" s="10"/>
      <c r="Q3069" s="10"/>
      <c r="R3069" s="10"/>
      <c r="S3069" s="10"/>
      <c r="T3069" s="10"/>
      <c r="U3069" s="10"/>
      <c r="V3069" s="10"/>
      <c r="W3069" s="10"/>
      <c r="X3069" s="10"/>
      <c r="Y3069" s="10"/>
      <c r="Z3069" s="10"/>
    </row>
    <row r="3070" spans="1:26" ht="12.75">
      <c r="A3070" s="10" t="str">
        <f ca="1">IFERROR(__xludf.DUMMYFUNCTION("""COMPUTED_VALUE"""),"Жоржета Димитрова Назърска")</f>
        <v>Жоржета Димитрова Назърска</v>
      </c>
      <c r="B3070" s="10" t="str">
        <f ca="1">IFERROR(__xludf.DUMMYFUNCTION("""COMPUTED_VALUE"""),"Статия в списания и поредици")</f>
        <v>Статия в списания и поредици</v>
      </c>
      <c r="C3070" s="10" t="str">
        <f ca="1">IFERROR(__xludf.DUMMYFUNCTION("""COMPUTED_VALUE"""),"Girls as Members of an Educated Elite: The Bulgarian Case, c. 1850–1950.")</f>
        <v>Girls as Members of an Educated Elite: The Bulgarian Case, c. 1850–1950.</v>
      </c>
      <c r="D3070" s="10">
        <f ca="1">IFERROR(__xludf.DUMMYFUNCTION("""COMPUTED_VALUE"""),2018)</f>
        <v>2018</v>
      </c>
      <c r="E3070" s="10" t="str">
        <f ca="1">IFERROR(__xludf.DUMMYFUNCTION("""COMPUTED_VALUE"""),"O'Dowd, M., J. Purvis, eds. A History of the Girl: Formation, Education and Identity. – Palgrave Macmillan, 2018, 131-161. ISBN 978-3-319-69278-4")</f>
        <v>O'Dowd, M., J. Purvis, eds. A History of the Girl: Formation, Education and Identity. – Palgrave Macmillan, 2018, 131-161. ISBN 978-3-319-69278-4</v>
      </c>
      <c r="F3070" s="10"/>
      <c r="G3070" s="10"/>
      <c r="H3070" s="10"/>
      <c r="I3070" s="10"/>
      <c r="J3070" s="10"/>
      <c r="K3070" s="10"/>
      <c r="L3070" s="10"/>
      <c r="M3070" s="10"/>
      <c r="N3070" s="10"/>
      <c r="O3070" s="10"/>
      <c r="P3070" s="10"/>
      <c r="Q3070" s="10"/>
      <c r="R3070" s="10"/>
      <c r="S3070" s="10"/>
      <c r="T3070" s="10"/>
      <c r="U3070" s="10"/>
      <c r="V3070" s="10"/>
      <c r="W3070" s="10"/>
      <c r="X3070" s="10"/>
      <c r="Y3070" s="10"/>
      <c r="Z3070" s="10"/>
    </row>
    <row r="3071" spans="1:26" ht="12.75">
      <c r="A3071" s="10" t="str">
        <f ca="1">IFERROR(__xludf.DUMMYFUNCTION("""COMPUTED_VALUE"""),"Жоржета Димитрова Назърска")</f>
        <v>Жоржета Димитрова Назърска</v>
      </c>
      <c r="B3071" s="10" t="str">
        <f ca="1">IFERROR(__xludf.DUMMYFUNCTION("""COMPUTED_VALUE"""),"Статия в списания и поредици")</f>
        <v>Статия в списания и поредици</v>
      </c>
      <c r="C3071" s="10" t="str">
        <f ca="1">IFERROR(__xludf.DUMMYFUNCTION("""COMPUTED_VALUE"""),"Степень религиозности в Софийской епархии согласно данным существующих реестров в храмах в период 1989-2015 гг.")</f>
        <v>Степень религиозности в Софийской епархии согласно данным существующих реестров в храмах в период 1989-2015 гг.</v>
      </c>
      <c r="D3071" s="10">
        <f ca="1">IFERROR(__xludf.DUMMYFUNCTION("""COMPUTED_VALUE"""),2017)</f>
        <v>2017</v>
      </c>
      <c r="E3071" s="10" t="str">
        <f ca="1">IFERROR(__xludf.DUMMYFUNCTION("""COMPUTED_VALUE"""),"Урал. Православие. Культура. Кирилло-Мефодиевская традиция в культуре России: укрепление духовного единства. – Челябинск, 2017, с. 68-71. ISBN 978-5-94839-604-0")</f>
        <v>Урал. Православие. Культура. Кирилло-Мефодиевская традиция в культуре России: укрепление духовного единства. – Челябинск, 2017, с. 68-71. ISBN 978-5-94839-604-0</v>
      </c>
      <c r="F3071" s="10" t="str">
        <f ca="1">IFERROR(__xludf.DUMMYFUNCTION("""COMPUTED_VALUE"""),"РИНЦ - российский индекс научного цитирования")</f>
        <v>РИНЦ - российский индекс научного цитирования</v>
      </c>
      <c r="G3071" s="10" t="str">
        <f ca="1">IFERROR(__xludf.DUMMYFUNCTION("""COMPUTED_VALUE"""),"С. Шапкалова")</f>
        <v>С. Шапкалова</v>
      </c>
      <c r="H3071" s="10"/>
      <c r="I3071" s="10"/>
      <c r="J3071" s="10"/>
      <c r="K3071" s="10"/>
      <c r="L3071" s="10"/>
      <c r="M3071" s="10"/>
      <c r="N3071" s="10"/>
      <c r="O3071" s="10"/>
      <c r="P3071" s="10"/>
      <c r="Q3071" s="10"/>
      <c r="R3071" s="10"/>
      <c r="S3071" s="10"/>
      <c r="T3071" s="10"/>
      <c r="U3071" s="10"/>
      <c r="V3071" s="10"/>
      <c r="W3071" s="10"/>
      <c r="X3071" s="10"/>
      <c r="Y3071" s="10"/>
      <c r="Z3071" s="10"/>
    </row>
    <row r="3072" spans="1:26" ht="12.75">
      <c r="A3072" s="10" t="str">
        <f ca="1">IFERROR(__xludf.DUMMYFUNCTION("""COMPUTED_VALUE"""),"Жоржета Димитрова Назърска")</f>
        <v>Жоржета Димитрова Назърска</v>
      </c>
      <c r="B3072" s="10" t="str">
        <f ca="1">IFERROR(__xludf.DUMMYFUNCTION("""COMPUTED_VALUE"""),"Статия в списания и поредици")</f>
        <v>Статия в списания и поредици</v>
      </c>
      <c r="C3072" s="10" t="str">
        <f ca="1">IFERROR(__xludf.DUMMYFUNCTION("""COMPUTED_VALUE"""),"Религиозни символи и религиозност на православните българи (средата на ХХ – началото на ХХІ в.).")</f>
        <v>Религиозни символи и религиозност на православните българи (средата на ХХ – началото на ХХІ в.).</v>
      </c>
      <c r="D3072" s="10">
        <f ca="1">IFERROR(__xludf.DUMMYFUNCTION("""COMPUTED_VALUE"""),2017)</f>
        <v>2017</v>
      </c>
      <c r="E3072" s="10" t="str">
        <f ca="1">IFERROR(__xludf.DUMMYFUNCTION("""COMPUTED_VALUE"""),"Крикорян, Р., Ст. Пенов, съст. Хуманизъм. Наука. Религия. Религиозните символи като послание. – София: НСРОБ, 2017, с. 38-45. ISBN 978-954-509-576-4")</f>
        <v>Крикорян, Р., Ст. Пенов, съст. Хуманизъм. Наука. Религия. Религиозните символи като послание. – София: НСРОБ, 2017, с. 38-45. ISBN 978-954-509-576-4</v>
      </c>
      <c r="F3072" s="10"/>
      <c r="G3072" s="10" t="str">
        <f ca="1">IFERROR(__xludf.DUMMYFUNCTION("""COMPUTED_VALUE"""),"Св. Шапкалова")</f>
        <v>Св. Шапкалова</v>
      </c>
      <c r="H3072" s="10"/>
      <c r="I3072" s="10"/>
      <c r="J3072" s="10"/>
      <c r="K3072" s="10"/>
      <c r="L3072" s="10"/>
      <c r="M3072" s="10"/>
      <c r="N3072" s="10"/>
      <c r="O3072" s="10"/>
      <c r="P3072" s="10"/>
      <c r="Q3072" s="10"/>
      <c r="R3072" s="10"/>
      <c r="S3072" s="10"/>
      <c r="T3072" s="10"/>
      <c r="U3072" s="10"/>
      <c r="V3072" s="10"/>
      <c r="W3072" s="10"/>
      <c r="X3072" s="10"/>
      <c r="Y3072" s="10"/>
      <c r="Z3072" s="10"/>
    </row>
    <row r="3073" spans="1:26" ht="12.75">
      <c r="A3073" s="10" t="str">
        <f ca="1">IFERROR(__xludf.DUMMYFUNCTION("""COMPUTED_VALUE"""),"Жоржета Димитрова Назърска")</f>
        <v>Жоржета Димитрова Назърска</v>
      </c>
      <c r="B3073" s="10" t="str">
        <f ca="1">IFERROR(__xludf.DUMMYFUNCTION("""COMPUTED_VALUE"""),"Статия в списания и поредици")</f>
        <v>Статия в списания и поредици</v>
      </c>
      <c r="C3073" s="10" t="str">
        <f ca="1">IFERROR(__xludf.DUMMYFUNCTION("""COMPUTED_VALUE"""),"Самарянките през Първата световна война в спомените на Соня Краева-Кикименова.")</f>
        <v>Самарянките през Първата световна война в спомените на Соня Краева-Кикименова.</v>
      </c>
      <c r="D3073" s="10">
        <f ca="1">IFERROR(__xludf.DUMMYFUNCTION("""COMPUTED_VALUE"""),2017)</f>
        <v>2017</v>
      </c>
      <c r="E3073" s="10" t="str">
        <f ca="1">IFERROR(__xludf.DUMMYFUNCTION("""COMPUTED_VALUE"""),"Недялков, Д., С. Елдъров, С. Явашчев, съст. България в Първата световна война, 1917-1918. Сборник със студии и статии. – София: Пропелер, 2017, с. 183-193. ISBN 978-954-392-467-7")</f>
        <v>Недялков, Д., С. Елдъров, С. Явашчев, съст. България в Първата световна война, 1917-1918. Сборник със студии и статии. – София: Пропелер, 2017, с. 183-193. ISBN 978-954-392-467-7</v>
      </c>
      <c r="F3073" s="10"/>
      <c r="G3073" s="10"/>
      <c r="H3073" s="10"/>
      <c r="I3073" s="10"/>
      <c r="J3073" s="10"/>
      <c r="K3073" s="10"/>
      <c r="L3073" s="10"/>
      <c r="M3073" s="10"/>
      <c r="N3073" s="10"/>
      <c r="O3073" s="10"/>
      <c r="P3073" s="10"/>
      <c r="Q3073" s="10"/>
      <c r="R3073" s="10"/>
      <c r="S3073" s="10"/>
      <c r="T3073" s="10"/>
      <c r="U3073" s="10"/>
      <c r="V3073" s="10"/>
      <c r="W3073" s="10"/>
      <c r="X3073" s="10"/>
      <c r="Y3073" s="10"/>
      <c r="Z3073" s="10"/>
    </row>
    <row r="3074" spans="1:26" ht="12.75">
      <c r="A3074" s="10" t="str">
        <f ca="1">IFERROR(__xludf.DUMMYFUNCTION("""COMPUTED_VALUE"""),"Жоржета Димитрова Назърска")</f>
        <v>Жоржета Димитрова Назърска</v>
      </c>
      <c r="B3074" s="10" t="str">
        <f ca="1">IFERROR(__xludf.DUMMYFUNCTION("""COMPUTED_VALUE"""),"Статия в списания и поредици")</f>
        <v>Статия в списания и поредици</v>
      </c>
      <c r="C3074" s="10" t="str">
        <f ca="1">IFERROR(__xludf.DUMMYFUNCTION("""COMPUTED_VALUE"""),"The Image of the Religious Other through the Eyes of Bulgarian Cartoonists (1960-1970s).")</f>
        <v>The Image of the Religious Other through the Eyes of Bulgarian Cartoonists (1960-1970s).</v>
      </c>
      <c r="D3074" s="10">
        <f ca="1">IFERROR(__xludf.DUMMYFUNCTION("""COMPUTED_VALUE"""),2017)</f>
        <v>2017</v>
      </c>
      <c r="E3074" s="10" t="str">
        <f ca="1">IFERROR(__xludf.DUMMYFUNCTION("""COMPUTED_VALUE"""),"Demski, D. et al. eds. The Multi-Mediatized Other. The Construction of Reality in East-Central Europe, 1945 – 1980. – Budapest: L’Harmattan, 2017, pp. 356-381. ISBN 978-2-343-11863-5")</f>
        <v>Demski, D. et al. eds. The Multi-Mediatized Other. The Construction of Reality in East-Central Europe, 1945 – 1980. – Budapest: L’Harmattan, 2017, pp. 356-381. ISBN 978-2-343-11863-5</v>
      </c>
      <c r="F3074" s="10"/>
      <c r="G3074" s="10"/>
      <c r="H3074" s="10"/>
      <c r="I3074" s="10"/>
      <c r="J3074" s="10"/>
      <c r="K3074" s="10"/>
      <c r="L3074" s="10"/>
      <c r="M3074" s="10"/>
      <c r="N3074" s="10"/>
      <c r="O3074" s="10"/>
      <c r="P3074" s="10"/>
      <c r="Q3074" s="10"/>
      <c r="R3074" s="10"/>
      <c r="S3074" s="10"/>
      <c r="T3074" s="10"/>
      <c r="U3074" s="10"/>
      <c r="V3074" s="10"/>
      <c r="W3074" s="10"/>
      <c r="X3074" s="10"/>
      <c r="Y3074" s="10"/>
      <c r="Z3074" s="10"/>
    </row>
    <row r="3075" spans="1:26" ht="12.75">
      <c r="A3075" s="10" t="str">
        <f ca="1">IFERROR(__xludf.DUMMYFUNCTION("""COMPUTED_VALUE"""),"Жоржета Димитрова Назърска")</f>
        <v>Жоржета Димитрова Назърска</v>
      </c>
      <c r="B3075" s="10" t="str">
        <f ca="1">IFERROR(__xludf.DUMMYFUNCTION("""COMPUTED_VALUE"""),"Статия в списания и поредици")</f>
        <v>Статия в списания и поредици</v>
      </c>
      <c r="C3075" s="10" t="str">
        <f ca="1">IFERROR(__xludf.DUMMYFUNCTION("""COMPUTED_VALUE"""),"Опити за държавно регулиране на религиозното разнообразие в България (10-40-те год. ХХ в.).")</f>
        <v>Опити за държавно регулиране на религиозното разнообразие в България (10-40-те год. ХХ в.).</v>
      </c>
      <c r="D3075" s="10">
        <f ca="1">IFERROR(__xludf.DUMMYFUNCTION("""COMPUTED_VALUE"""),2017)</f>
        <v>2017</v>
      </c>
      <c r="E3075" s="10" t="str">
        <f ca="1">IFERROR(__xludf.DUMMYFUNCTION("""COMPUTED_VALUE"""),"Абдуллах, А., съст. Междурелигиозните отношения: теории, практики и предизвикателства. – София: ВИИ, НИЦ, 2017, с. 26-54. ISBN 978-954-92197-4-6")</f>
        <v>Абдуллах, А., съст. Междурелигиозните отношения: теории, практики и предизвикателства. – София: ВИИ, НИЦ, 2017, с. 26-54. ISBN 978-954-92197-4-6</v>
      </c>
      <c r="F3075" s="10"/>
      <c r="G3075" s="10"/>
      <c r="H3075" s="10"/>
      <c r="I3075" s="10"/>
      <c r="J3075" s="10"/>
      <c r="K3075" s="10"/>
      <c r="L3075" s="10"/>
      <c r="M3075" s="10"/>
      <c r="N3075" s="10"/>
      <c r="O3075" s="10"/>
      <c r="P3075" s="10"/>
      <c r="Q3075" s="10"/>
      <c r="R3075" s="10"/>
      <c r="S3075" s="10"/>
      <c r="T3075" s="10"/>
      <c r="U3075" s="10"/>
      <c r="V3075" s="10"/>
      <c r="W3075" s="10"/>
      <c r="X3075" s="10"/>
      <c r="Y3075" s="10"/>
      <c r="Z3075" s="10"/>
    </row>
    <row r="3076" spans="1:26" ht="12.75">
      <c r="A3076" s="10" t="str">
        <f ca="1">IFERROR(__xludf.DUMMYFUNCTION("""COMPUTED_VALUE"""),"Жоржета Димитрова Назърска")</f>
        <v>Жоржета Димитрова Назърска</v>
      </c>
      <c r="B3076" s="10" t="str">
        <f ca="1">IFERROR(__xludf.DUMMYFUNCTION("""COMPUTED_VALUE"""),"Книга")</f>
        <v>Книга</v>
      </c>
      <c r="C3076" s="10" t="str">
        <f ca="1">IFERROR(__xludf.DUMMYFUNCTION("""COMPUTED_VALUE"""),"Хармония в различията, т.7.")</f>
        <v>Хармония в различията, т.7.</v>
      </c>
      <c r="D3076" s="10">
        <f ca="1">IFERROR(__xludf.DUMMYFUNCTION("""COMPUTED_VALUE"""),2017)</f>
        <v>2017</v>
      </c>
      <c r="E3076" s="10" t="str">
        <f ca="1">IFERROR(__xludf.DUMMYFUNCTION("""COMPUTED_VALUE"""),"Sofia: За буквите-О писменехь, 2017.")</f>
        <v>Sofia: За буквите-О писменехь, 2017.</v>
      </c>
      <c r="F3076" s="10" t="str">
        <f ca="1">IFERROR(__xludf.DUMMYFUNCTION("""COMPUTED_VALUE"""),"Национален референтен списък на НАЦИД")</f>
        <v>Национален референтен списък на НАЦИД</v>
      </c>
      <c r="G3076" s="10" t="str">
        <f ca="1">IFERROR(__xludf.DUMMYFUNCTION("""COMPUTED_VALUE"""),"С. Шапкалова")</f>
        <v>С. Шапкалова</v>
      </c>
      <c r="H3076" s="10"/>
      <c r="I3076" s="10"/>
      <c r="J3076" s="10"/>
      <c r="K3076" s="10"/>
      <c r="L3076" s="10"/>
      <c r="M3076" s="10"/>
      <c r="N3076" s="10"/>
      <c r="O3076" s="10"/>
      <c r="P3076" s="10"/>
      <c r="Q3076" s="10"/>
      <c r="R3076" s="10"/>
      <c r="S3076" s="10"/>
      <c r="T3076" s="10"/>
      <c r="U3076" s="10"/>
      <c r="V3076" s="10"/>
      <c r="W3076" s="10"/>
      <c r="X3076" s="10"/>
      <c r="Y3076" s="10"/>
      <c r="Z3076" s="10"/>
    </row>
    <row r="3077" spans="1:26" ht="12.75">
      <c r="A3077" s="10" t="str">
        <f ca="1">IFERROR(__xludf.DUMMYFUNCTION("""COMPUTED_VALUE"""),"Жоржета Димитрова Назърска")</f>
        <v>Жоржета Димитрова Назърска</v>
      </c>
      <c r="B3077" s="10" t="str">
        <f ca="1">IFERROR(__xludf.DUMMYFUNCTION("""COMPUTED_VALUE"""),"Статия в списания и поредици")</f>
        <v>Статия в списания и поредици</v>
      </c>
      <c r="C3077" s="10" t="str">
        <f ca="1">IFERROR(__xludf.DUMMYFUNCTION("""COMPUTED_VALUE"""),"Професионалните медици в Бялото братство (първата половина на ХХ в.).")</f>
        <v>Професионалните медици в Бялото братство (първата половина на ХХ в.).</v>
      </c>
      <c r="D3077" s="10">
        <f ca="1">IFERROR(__xludf.DUMMYFUNCTION("""COMPUTED_VALUE"""),2017)</f>
        <v>2017</v>
      </c>
      <c r="E3077" s="10" t="str">
        <f ca="1">IFERROR(__xludf.DUMMYFUNCTION("""COMPUTED_VALUE"""),"Рускова, С., съст. Петър Дънов в културното пространство на България, т.3. – Варна: Арт Трейсър, 2017, с. 49-56. ISBN 2534-8736")</f>
        <v>Рускова, С., съст. Петър Дънов в културното пространство на България, т.3. – Варна: Арт Трейсър, 2017, с. 49-56. ISBN 2534-8736</v>
      </c>
      <c r="F3077" s="10"/>
      <c r="G3077" s="10"/>
      <c r="H3077" s="10"/>
      <c r="I3077" s="10"/>
      <c r="J3077" s="10"/>
      <c r="K3077" s="10"/>
      <c r="L3077" s="10"/>
      <c r="M3077" s="10"/>
      <c r="N3077" s="10"/>
      <c r="O3077" s="10"/>
      <c r="P3077" s="10"/>
      <c r="Q3077" s="10"/>
      <c r="R3077" s="10"/>
      <c r="S3077" s="10"/>
      <c r="T3077" s="10"/>
      <c r="U3077" s="10"/>
      <c r="V3077" s="10"/>
      <c r="W3077" s="10"/>
      <c r="X3077" s="10"/>
      <c r="Y3077" s="10"/>
      <c r="Z3077" s="10"/>
    </row>
    <row r="3078" spans="1:26" ht="12.75">
      <c r="A3078" s="10" t="str">
        <f ca="1">IFERROR(__xludf.DUMMYFUNCTION("""COMPUTED_VALUE"""),"Жоржета Димитрова Назърска")</f>
        <v>Жоржета Димитрова Назърска</v>
      </c>
      <c r="B3078" s="10" t="str">
        <f ca="1">IFERROR(__xludf.DUMMYFUNCTION("""COMPUTED_VALUE"""),"Статия в списания и поредици")</f>
        <v>Статия в списания и поредици</v>
      </c>
      <c r="C3078" s="10" t="str">
        <f ca="1">IFERROR(__xludf.DUMMYFUNCTION("""COMPUTED_VALUE"""),"Миграциите в колективната памет на няколко арменски рода.")</f>
        <v>Миграциите в колективната памет на няколко арменски рода.</v>
      </c>
      <c r="D3078" s="10">
        <f ca="1">IFERROR(__xludf.DUMMYFUNCTION("""COMPUTED_VALUE"""),2017)</f>
        <v>2017</v>
      </c>
      <c r="E3078" s="10" t="str">
        <f ca="1">IFERROR(__xludf.DUMMYFUNCTION("""COMPUTED_VALUE"""),"Балкани, 2017, №6.2., с.49-60. ISSN 1314-4103")</f>
        <v>Балкани, 2017, №6.2., с.49-60. ISSN 1314-4103</v>
      </c>
      <c r="F3078" s="10" t="str">
        <f ca="1">IFERROR(__xludf.DUMMYFUNCTION("""COMPUTED_VALUE"""),"CEEOL Central andEastEuropeanOnlineLibrary")</f>
        <v>CEEOL Central andEastEuropeanOnlineLibrary</v>
      </c>
      <c r="G3078" s="10" t="str">
        <f ca="1">IFERROR(__xludf.DUMMYFUNCTION("""COMPUTED_VALUE"""),"С. Явашчев")</f>
        <v>С. Явашчев</v>
      </c>
      <c r="H3078" s="10"/>
      <c r="I3078" s="10"/>
      <c r="J3078" s="10"/>
      <c r="K3078" s="10"/>
      <c r="L3078" s="10"/>
      <c r="M3078" s="10"/>
      <c r="N3078" s="10"/>
      <c r="O3078" s="10"/>
      <c r="P3078" s="10"/>
      <c r="Q3078" s="10"/>
      <c r="R3078" s="10"/>
      <c r="S3078" s="10"/>
      <c r="T3078" s="10"/>
      <c r="U3078" s="10"/>
      <c r="V3078" s="10"/>
      <c r="W3078" s="10"/>
      <c r="X3078" s="10"/>
      <c r="Y3078" s="10"/>
      <c r="Z3078" s="10"/>
    </row>
    <row r="3079" spans="1:26" ht="12.75">
      <c r="A3079" s="10" t="str">
        <f ca="1">IFERROR(__xludf.DUMMYFUNCTION("""COMPUTED_VALUE"""),"Жоржета Димитрова Назърска")</f>
        <v>Жоржета Димитрова Назърска</v>
      </c>
      <c r="B3079" s="10" t="str">
        <f ca="1">IFERROR(__xludf.DUMMYFUNCTION("""COMPUTED_VALUE"""),"Учебно пособие")</f>
        <v>Учебно пособие</v>
      </c>
      <c r="C3079" s="10" t="str">
        <f ca="1">IFERROR(__xludf.DUMMYFUNCTION("""COMPUTED_VALUE"""),"Студентски дигитален архив по религиозно културно-историческо наследство,т. 6. Учебно помагало.")</f>
        <v>Студентски дигитален архив по религиозно културно-историческо наследство,т. 6. Учебно помагало.</v>
      </c>
      <c r="D3079" s="10">
        <f ca="1">IFERROR(__xludf.DUMMYFUNCTION("""COMPUTED_VALUE"""),2017)</f>
        <v>2017</v>
      </c>
      <c r="E3079" s="10" t="str">
        <f ca="1">IFERROR(__xludf.DUMMYFUNCTION("""COMPUTED_VALUE"""),"София: За буквите - О писменехь, 2017. ISBN 978-619-185-269-7")</f>
        <v>София: За буквите - О писменехь, 2017. ISBN 978-619-185-269-7</v>
      </c>
      <c r="F3079" s="10"/>
      <c r="G3079" s="10" t="str">
        <f ca="1">IFERROR(__xludf.DUMMYFUNCTION("""COMPUTED_VALUE"""),"Св. Шапкалова")</f>
        <v>Св. Шапкалова</v>
      </c>
      <c r="H3079" s="10"/>
      <c r="I3079" s="10"/>
      <c r="J3079" s="10"/>
      <c r="K3079" s="10"/>
      <c r="L3079" s="10"/>
      <c r="M3079" s="10"/>
      <c r="N3079" s="10"/>
      <c r="O3079" s="10"/>
      <c r="P3079" s="10"/>
      <c r="Q3079" s="10"/>
      <c r="R3079" s="10"/>
      <c r="S3079" s="10"/>
      <c r="T3079" s="10"/>
      <c r="U3079" s="10"/>
      <c r="V3079" s="10"/>
      <c r="W3079" s="10"/>
      <c r="X3079" s="10"/>
      <c r="Y3079" s="10"/>
      <c r="Z3079" s="10"/>
    </row>
    <row r="3080" spans="1:26" ht="12.75">
      <c r="A3080" s="10" t="str">
        <f ca="1">IFERROR(__xludf.DUMMYFUNCTION("""COMPUTED_VALUE"""),"Жоржета Димитрова Назърска")</f>
        <v>Жоржета Димитрова Назърска</v>
      </c>
      <c r="B3080" s="10" t="str">
        <f ca="1">IFERROR(__xludf.DUMMYFUNCTION("""COMPUTED_VALUE"""),"Статия в списания и поредици")</f>
        <v>Статия в списания и поредици</v>
      </c>
      <c r="C3080" s="10" t="str">
        <f ca="1">IFERROR(__xludf.DUMMYFUNCTION("""COMPUTED_VALUE"""),"Приносът на частните дарителски фондове за висшето образование на българките (края на ХІХ - средата на ХХ в.).")</f>
        <v>Приносът на частните дарителски фондове за висшето образование на българките (края на ХІХ - средата на ХХ в.).</v>
      </c>
      <c r="D3080" s="10">
        <f ca="1">IFERROR(__xludf.DUMMYFUNCTION("""COMPUTED_VALUE"""),2017)</f>
        <v>2017</v>
      </c>
      <c r="E3080" s="10" t="str">
        <f ca="1">IFERROR(__xludf.DUMMYFUNCTION("""COMPUTED_VALUE"""),"Стоянова, Р., съст. Дар и култури на дарителство за образование: теории, институции, личности. – София: Изток – Запад, 2017, с. 263-282. ISBN 978-619-01-0126-0")</f>
        <v>Стоянова, Р., съст. Дар и култури на дарителство за образование: теории, институции, личности. – София: Изток – Запад, 2017, с. 263-282. ISBN 978-619-01-0126-0</v>
      </c>
      <c r="F3080" s="10"/>
      <c r="G3080" s="10"/>
      <c r="H3080" s="10"/>
      <c r="I3080" s="10"/>
      <c r="J3080" s="10"/>
      <c r="K3080" s="10"/>
      <c r="L3080" s="10"/>
      <c r="M3080" s="10"/>
      <c r="N3080" s="10"/>
      <c r="O3080" s="10"/>
      <c r="P3080" s="10"/>
      <c r="Q3080" s="10"/>
      <c r="R3080" s="10"/>
      <c r="S3080" s="10"/>
      <c r="T3080" s="10"/>
      <c r="U3080" s="10"/>
      <c r="V3080" s="10"/>
      <c r="W3080" s="10"/>
      <c r="X3080" s="10"/>
      <c r="Y3080" s="10"/>
      <c r="Z3080" s="10"/>
    </row>
    <row r="3081" spans="1:26" ht="12.75">
      <c r="A3081" s="10" t="str">
        <f ca="1">IFERROR(__xludf.DUMMYFUNCTION("""COMPUTED_VALUE"""),"Жоржета Димитрова Назърска")</f>
        <v>Жоржета Димитрова Назърска</v>
      </c>
      <c r="B3081" s="10" t="str">
        <f ca="1">IFERROR(__xludf.DUMMYFUNCTION("""COMPUTED_VALUE"""),"Статия в списания и поредици")</f>
        <v>Статия в списания и поредици</v>
      </c>
      <c r="C3081" s="10" t="str">
        <f ca="1">IFERROR(__xludf.DUMMYFUNCTION("""COMPUTED_VALUE"""),"Охрана еврейского религиозного нематериального наследия в условиях атеистического режима: праздники болгарских евреев в 60-70-е годы ХХ века.")</f>
        <v>Охрана еврейского религиозного нематериального наследия в условиях атеистического режима: праздники болгарских евреев в 60-70-е годы ХХ века.</v>
      </c>
      <c r="D3081" s="10">
        <f ca="1">IFERROR(__xludf.DUMMYFUNCTION("""COMPUTED_VALUE"""),2016)</f>
        <v>2016</v>
      </c>
      <c r="E3081" s="10" t="str">
        <f ca="1">IFERROR(__xludf.DUMMYFUNCTION("""COMPUTED_VALUE"""),"Труды по иудаике Петербургский институт иудаики, История и этнография, 2016, Выпуск 11, СПб, с. 288-293.")</f>
        <v>Труды по иудаике Петербургский институт иудаики, История и этнография, 2016, Выпуск 11, СПб, с. 288-293.</v>
      </c>
      <c r="F3081" s="10" t="str">
        <f ca="1">IFERROR(__xludf.DUMMYFUNCTION("""COMPUTED_VALUE"""),"РИНЦ - российский индекс научного цитирования")</f>
        <v>РИНЦ - российский индекс научного цитирования</v>
      </c>
      <c r="G3081" s="10"/>
      <c r="H3081" s="10"/>
      <c r="I3081" s="10"/>
      <c r="J3081" s="10"/>
      <c r="K3081" s="10"/>
      <c r="L3081" s="10"/>
      <c r="M3081" s="10"/>
      <c r="N3081" s="10"/>
      <c r="O3081" s="10"/>
      <c r="P3081" s="10"/>
      <c r="Q3081" s="10"/>
      <c r="R3081" s="10"/>
      <c r="S3081" s="10"/>
      <c r="T3081" s="10"/>
      <c r="U3081" s="10"/>
      <c r="V3081" s="10"/>
      <c r="W3081" s="10"/>
      <c r="X3081" s="10"/>
      <c r="Y3081" s="10"/>
      <c r="Z3081" s="10"/>
    </row>
    <row r="3082" spans="1:26" ht="12.75">
      <c r="A3082" s="10" t="str">
        <f ca="1">IFERROR(__xludf.DUMMYFUNCTION("""COMPUTED_VALUE"""),"Жоржета Димитрова Назърска")</f>
        <v>Жоржета Димитрова Назърска</v>
      </c>
      <c r="B3082" s="10" t="str">
        <f ca="1">IFERROR(__xludf.DUMMYFUNCTION("""COMPUTED_VALUE"""),"Статия в списания и поредици")</f>
        <v>Статия в списания и поредици</v>
      </c>
      <c r="C3082" s="10" t="str">
        <f ca="1">IFERROR(__xludf.DUMMYFUNCTION("""COMPUTED_VALUE"""),"Образованите жени в творчеството на българските сатирици (края на ХІХ – средата на ХХ в.).")</f>
        <v>Образованите жени в творчеството на българските сатирици (края на ХІХ – средата на ХХ в.).</v>
      </c>
      <c r="D3082" s="10">
        <f ca="1">IFERROR(__xludf.DUMMYFUNCTION("""COMPUTED_VALUE"""),2016)</f>
        <v>2016</v>
      </c>
      <c r="E3082" s="10" t="str">
        <f ca="1">IFERROR(__xludf.DUMMYFUNCTION("""COMPUTED_VALUE"""),"Василев, Н., съст. Gloria Bibliospherae (Нишката на Ариадна). Изследвания в чест на акад. проф. Александра Куманова. – София: За буквите-О писменехь, 2016, с. 721-726. ISBN 978-619-185-211-6")</f>
        <v>Василев, Н., съст. Gloria Bibliospherae (Нишката на Ариадна). Изследвания в чест на акад. проф. Александра Куманова. – София: За буквите-О писменехь, 2016, с. 721-726. ISBN 978-619-185-211-6</v>
      </c>
      <c r="F3082" s="10"/>
      <c r="G3082" s="10"/>
      <c r="H3082" s="10"/>
      <c r="I3082" s="10"/>
      <c r="J3082" s="10"/>
      <c r="K3082" s="10"/>
      <c r="L3082" s="10"/>
      <c r="M3082" s="10"/>
      <c r="N3082" s="10"/>
      <c r="O3082" s="10"/>
      <c r="P3082" s="10"/>
      <c r="Q3082" s="10"/>
      <c r="R3082" s="10"/>
      <c r="S3082" s="10"/>
      <c r="T3082" s="10"/>
      <c r="U3082" s="10"/>
      <c r="V3082" s="10"/>
      <c r="W3082" s="10"/>
      <c r="X3082" s="10"/>
      <c r="Y3082" s="10"/>
      <c r="Z3082" s="10"/>
    </row>
    <row r="3083" spans="1:26" ht="12.75">
      <c r="A3083" s="10" t="str">
        <f ca="1">IFERROR(__xludf.DUMMYFUNCTION("""COMPUTED_VALUE"""),"Жоржета Димитрова Назърска")</f>
        <v>Жоржета Димитрова Назърска</v>
      </c>
      <c r="B3083" s="10" t="str">
        <f ca="1">IFERROR(__xludf.DUMMYFUNCTION("""COMPUTED_VALUE"""),"Статия в списания и поредици")</f>
        <v>Статия в списания и поредици</v>
      </c>
      <c r="C3083" s="10" t="str">
        <f ca="1">IFERROR(__xludf.DUMMYFUNCTION("""COMPUTED_VALUE"""),"„Женският интелектуален кръг“ на проф. Петър Мутафчиев.")</f>
        <v>„Женският интелектуален кръг“ на проф. Петър Мутафчиев.</v>
      </c>
      <c r="D3083" s="10">
        <f ca="1">IFERROR(__xludf.DUMMYFUNCTION("""COMPUTED_VALUE"""),2016)</f>
        <v>2016</v>
      </c>
      <c r="E3083" s="10" t="str">
        <f ca="1">IFERROR(__xludf.DUMMYFUNCTION("""COMPUTED_VALUE"""),"Историкът Петър Мутафчиев. София: НБУ, 2016, с. 218-230 ISBN 978-954-535-932-3.")</f>
        <v>Историкът Петър Мутафчиев. София: НБУ, 2016, с. 218-230 ISBN 978-954-535-932-3.</v>
      </c>
      <c r="F3083" s="10"/>
      <c r="G3083" s="10"/>
      <c r="H3083" s="10"/>
      <c r="I3083" s="10"/>
      <c r="J3083" s="10"/>
      <c r="K3083" s="10"/>
      <c r="L3083" s="10"/>
      <c r="M3083" s="10"/>
      <c r="N3083" s="10"/>
      <c r="O3083" s="10"/>
      <c r="P3083" s="10"/>
      <c r="Q3083" s="10"/>
      <c r="R3083" s="10"/>
      <c r="S3083" s="10"/>
      <c r="T3083" s="10"/>
      <c r="U3083" s="10"/>
      <c r="V3083" s="10"/>
      <c r="W3083" s="10"/>
      <c r="X3083" s="10"/>
      <c r="Y3083" s="10"/>
      <c r="Z3083" s="10"/>
    </row>
    <row r="3084" spans="1:26" ht="12.75">
      <c r="A3084" s="10" t="str">
        <f ca="1">IFERROR(__xludf.DUMMYFUNCTION("""COMPUTED_VALUE"""),"Жоржета Димитрова Назърска")</f>
        <v>Жоржета Димитрова Назърска</v>
      </c>
      <c r="B3084" s="10" t="str">
        <f ca="1">IFERROR(__xludf.DUMMYFUNCTION("""COMPUTED_VALUE"""),"Учебно пособие")</f>
        <v>Учебно пособие</v>
      </c>
      <c r="C3084" s="10" t="str">
        <f ca="1">IFERROR(__xludf.DUMMYFUNCTION("""COMPUTED_VALUE"""),"Студентски дигитален архив по религиозно културно-историческо наследство,т. 5. Учебно помагало.")</f>
        <v>Студентски дигитален архив по религиозно културно-историческо наследство,т. 5. Учебно помагало.</v>
      </c>
      <c r="D3084" s="10">
        <f ca="1">IFERROR(__xludf.DUMMYFUNCTION("""COMPUTED_VALUE"""),2016)</f>
        <v>2016</v>
      </c>
      <c r="E3084" s="10" t="str">
        <f ca="1">IFERROR(__xludf.DUMMYFUNCTION("""COMPUTED_VALUE"""),"София: За буквите - О писменехь, 2016. ISBN 978-619-185-269-7")</f>
        <v>София: За буквите - О писменехь, 2016. ISBN 978-619-185-269-7</v>
      </c>
      <c r="F3084" s="10"/>
      <c r="G3084" s="10" t="str">
        <f ca="1">IFERROR(__xludf.DUMMYFUNCTION("""COMPUTED_VALUE"""),"Св. Шапкалова")</f>
        <v>Св. Шапкалова</v>
      </c>
      <c r="H3084" s="10"/>
      <c r="I3084" s="10"/>
      <c r="J3084" s="10"/>
      <c r="K3084" s="10"/>
      <c r="L3084" s="10"/>
      <c r="M3084" s="10"/>
      <c r="N3084" s="10"/>
      <c r="O3084" s="10"/>
      <c r="P3084" s="10"/>
      <c r="Q3084" s="10"/>
      <c r="R3084" s="10"/>
      <c r="S3084" s="10"/>
      <c r="T3084" s="10"/>
      <c r="U3084" s="10"/>
      <c r="V3084" s="10"/>
      <c r="W3084" s="10"/>
      <c r="X3084" s="10"/>
      <c r="Y3084" s="10"/>
      <c r="Z3084" s="10"/>
    </row>
    <row r="3085" spans="1:26" ht="12.75">
      <c r="A3085" s="10" t="str">
        <f ca="1">IFERROR(__xludf.DUMMYFUNCTION("""COMPUTED_VALUE"""),"Жоржета Димитрова Назърска")</f>
        <v>Жоржета Димитрова Назърска</v>
      </c>
      <c r="B3085" s="10" t="str">
        <f ca="1">IFERROR(__xludf.DUMMYFUNCTION("""COMPUTED_VALUE"""),"Статия в списания и поредици")</f>
        <v>Статия в списания и поредици</v>
      </c>
      <c r="C3085" s="10" t="str">
        <f ca="1">IFERROR(__xludf.DUMMYFUNCTION("""COMPUTED_VALUE"""),"Women in War – Mechanisms of Oblivion")</f>
        <v>Women in War – Mechanisms of Oblivion</v>
      </c>
      <c r="D3085" s="10">
        <f ca="1">IFERROR(__xludf.DUMMYFUNCTION("""COMPUTED_VALUE"""),2016)</f>
        <v>2016</v>
      </c>
      <c r="E3085" s="10" t="str">
        <f ca="1">IFERROR(__xludf.DUMMYFUNCTION("""COMPUTED_VALUE"""),"Balkanistic forum, 2016, №3, с. 13-19. ISSN 0861-8429")</f>
        <v>Balkanistic forum, 2016, №3, с. 13-19. ISSN 0861-8429</v>
      </c>
      <c r="F3085" s="10" t="str">
        <f ca="1">IFERROR(__xludf.DUMMYFUNCTION("""COMPUTED_VALUE"""),"Scopus
  ERIH PLUS
  eLibrary.ru
 Central andEastEuropeanOnlineLibrary")</f>
        <v>Scopus
  ERIH PLUS
  eLibrary.ru
 Central andEastEuropeanOnlineLibrary</v>
      </c>
      <c r="G3085" s="10"/>
      <c r="H3085" s="10"/>
      <c r="I3085" s="10"/>
      <c r="J3085" s="10"/>
      <c r="K3085" s="10"/>
      <c r="L3085" s="10"/>
      <c r="M3085" s="10"/>
      <c r="N3085" s="10"/>
      <c r="O3085" s="10"/>
      <c r="P3085" s="10"/>
      <c r="Q3085" s="10"/>
      <c r="R3085" s="10"/>
      <c r="S3085" s="10"/>
      <c r="T3085" s="10"/>
      <c r="U3085" s="10"/>
      <c r="V3085" s="10"/>
      <c r="W3085" s="10"/>
      <c r="X3085" s="10"/>
      <c r="Y3085" s="10"/>
      <c r="Z3085" s="10"/>
    </row>
    <row r="3086" spans="1:26" ht="12.75">
      <c r="A3086" s="10" t="str">
        <f ca="1">IFERROR(__xludf.DUMMYFUNCTION("""COMPUTED_VALUE"""),"Жоржета Димитрова Назърска")</f>
        <v>Жоржета Димитрова Назърска</v>
      </c>
      <c r="B3086" s="10" t="str">
        <f ca="1">IFERROR(__xludf.DUMMYFUNCTION("""COMPUTED_VALUE"""),"Статия в списания и поредици")</f>
        <v>Статия в списания и поредици</v>
      </c>
      <c r="C3086" s="10" t="str">
        <f ca="1">IFERROR(__xludf.DUMMYFUNCTION("""COMPUTED_VALUE"""),"Muslim Cultural Heritage in Bulgaria: Preservation, Conservation and Socialization during the European Integration Process (1990s-2014).")</f>
        <v>Muslim Cultural Heritage in Bulgaria: Preservation, Conservation and Socialization during the European Integration Process (1990s-2014).</v>
      </c>
      <c r="D3086" s="10">
        <f ca="1">IFERROR(__xludf.DUMMYFUNCTION("""COMPUTED_VALUE"""),2016)</f>
        <v>2016</v>
      </c>
      <c r="E3086" s="10" t="str">
        <f ca="1">IFERROR(__xludf.DUMMYFUNCTION("""COMPUTED_VALUE"""),"Études balkaniques, 2016, №3, pp. 527-546. ISSN 0324-1645")</f>
        <v>Études balkaniques, 2016, №3, pp. 527-546. ISSN 0324-1645</v>
      </c>
      <c r="F3086" s="10" t="str">
        <f ca="1">IFERROR(__xludf.DUMMYFUNCTION("""COMPUTED_VALUE"""),"Central andEastEuropeanOnlineLibrary
 AmH@L - America: History and Life
 BHA - Bibliographie of the History of Art
 BiblLing - Linguistic Bibliography
 CurCont - Current Contents
 ERIH Plus
 ERIH
 HistAb - History Abstracts
 IBR - Internationale Bibliogra"&amp;"phie der Rezensionen
 IBSS - International Bibliography of the Social Sciences
 MLA-IB - Modern Language Association of America: Bibliography of Books and Articles on Modern Languages and Literatures
 NumL - Numismatic Literature
 PerIslam - Periodica Isl"&amp;"amica
 Ulrich's Periodicals Directory.")</f>
        <v>Central andEastEuropeanOnlineLibrary
 AmH@L - America: History and Life
 BHA - Bibliographie of the History of Art
 BiblLing - Linguistic Bibliography
 CurCont - Current Contents
 ERIH Plus
 ERIH
 HistAb - History Abstracts
 IBR - Internationale Bibliographie der Rezensionen
 IBSS - International Bibliography of the Social Sciences
 MLA-IB - Modern Language Association of America: Bibliography of Books and Articles on Modern Languages and Literatures
 NumL - Numismatic Literature
 PerIslam - Periodica Islamica
 Ulrich's Periodicals Directory.</v>
      </c>
      <c r="G3086" s="10"/>
      <c r="H3086" s="10"/>
      <c r="I3086" s="10"/>
      <c r="J3086" s="10"/>
      <c r="K3086" s="10"/>
      <c r="L3086" s="10"/>
      <c r="M3086" s="10"/>
      <c r="N3086" s="10"/>
      <c r="O3086" s="10"/>
      <c r="P3086" s="10"/>
      <c r="Q3086" s="10"/>
      <c r="R3086" s="10"/>
      <c r="S3086" s="10"/>
      <c r="T3086" s="10"/>
      <c r="U3086" s="10"/>
      <c r="V3086" s="10"/>
      <c r="W3086" s="10"/>
      <c r="X3086" s="10"/>
      <c r="Y3086" s="10"/>
      <c r="Z3086" s="10"/>
    </row>
    <row r="3087" spans="1:26" ht="12.75">
      <c r="A3087" s="10" t="str">
        <f ca="1">IFERROR(__xludf.DUMMYFUNCTION("""COMPUTED_VALUE"""),"Жоржета Димитрова Назърска")</f>
        <v>Жоржета Димитрова Назърска</v>
      </c>
      <c r="B3087" s="10" t="str">
        <f ca="1">IFERROR(__xludf.DUMMYFUNCTION("""COMPUTED_VALUE"""),"Книга")</f>
        <v>Книга</v>
      </c>
      <c r="C3087" s="10" t="str">
        <f ca="1">IFERROR(__xludf.DUMMYFUNCTION("""COMPUTED_VALUE"""),"Опазване на нематериалното културно наследство: религиозните ценности в съвременна България")</f>
        <v>Опазване на нематериалното културно наследство: религиозните ценности в съвременна България</v>
      </c>
      <c r="D3087" s="10">
        <f ca="1">IFERROR(__xludf.DUMMYFUNCTION("""COMPUTED_VALUE"""),2016)</f>
        <v>2016</v>
      </c>
      <c r="E3087" s="10" t="str">
        <f ca="1">IFERROR(__xludf.DUMMYFUNCTION("""COMPUTED_VALUE"""),"София: За буквите – О писменехь, 2016. (ISBN 978-619-185-254-3)")</f>
        <v>София: За буквите – О писменехь, 2016. (ISBN 978-619-185-254-3)</v>
      </c>
      <c r="F3087" s="10"/>
      <c r="G3087" s="10" t="str">
        <f ca="1">IFERROR(__xludf.DUMMYFUNCTION("""COMPUTED_VALUE"""),"М. Гарванова, С. Шапкалова")</f>
        <v>М. Гарванова, С. Шапкалова</v>
      </c>
      <c r="H3087" s="10"/>
      <c r="I3087" s="10"/>
      <c r="J3087" s="10"/>
      <c r="K3087" s="10"/>
      <c r="L3087" s="10"/>
      <c r="M3087" s="10"/>
      <c r="N3087" s="10"/>
      <c r="O3087" s="10"/>
      <c r="P3087" s="10"/>
      <c r="Q3087" s="10"/>
      <c r="R3087" s="10"/>
      <c r="S3087" s="10"/>
      <c r="T3087" s="10"/>
      <c r="U3087" s="10"/>
      <c r="V3087" s="10"/>
      <c r="W3087" s="10"/>
      <c r="X3087" s="10"/>
      <c r="Y3087" s="10"/>
      <c r="Z3087" s="10"/>
    </row>
    <row r="3088" spans="1:26" ht="12.75">
      <c r="A3088" s="10" t="str">
        <f ca="1">IFERROR(__xludf.DUMMYFUNCTION("""COMPUTED_VALUE"""),"Жоржета Димитрова Назърска")</f>
        <v>Жоржета Димитрова Назърска</v>
      </c>
      <c r="B3088" s="10" t="str">
        <f ca="1">IFERROR(__xludf.DUMMYFUNCTION("""COMPUTED_VALUE"""),"Статия в списания и поредици")</f>
        <v>Статия в списания и поредици</v>
      </c>
      <c r="C3088" s="10" t="str">
        <f ca="1">IFERROR(__xludf.DUMMYFUNCTION("""COMPUTED_VALUE"""),"Женски роли, професионални дилеми и обществено служене: акушер-гинеколожки, педиатърки и учителки-лекари в България (края на ХІХ-средата на ХХ в.).")</f>
        <v>Женски роли, професионални дилеми и обществено служене: акушер-гинеколожки, педиатърки и учителки-лекари в България (края на ХІХ-средата на ХХ в.).</v>
      </c>
      <c r="D3088" s="10">
        <f ca="1">IFERROR(__xludf.DUMMYFUNCTION("""COMPUTED_VALUE"""),2016)</f>
        <v>2016</v>
      </c>
      <c r="E3088" s="10" t="str">
        <f ca="1">IFERROR(__xludf.DUMMYFUNCTION("""COMPUTED_VALUE"""),"Балканистичен форум, 2016, №1-2, с. 134-158. ISSN 0861-8429")</f>
        <v>Балканистичен форум, 2016, №1-2, с. 134-158. ISSN 0861-8429</v>
      </c>
      <c r="F3088" s="10" t="str">
        <f ca="1">IFERROR(__xludf.DUMMYFUNCTION("""COMPUTED_VALUE"""),"Scopus,
  ERIH PLUS,
  eLibrary.ru
 Central andEastEuropeanOnlineLibrary")</f>
        <v>Scopus,
  ERIH PLUS,
  eLibrary.ru
 Central andEastEuropeanOnlineLibrary</v>
      </c>
      <c r="G3088" s="10"/>
      <c r="H3088" s="10"/>
      <c r="I3088" s="10"/>
      <c r="J3088" s="10"/>
      <c r="K3088" s="10"/>
      <c r="L3088" s="10"/>
      <c r="M3088" s="10"/>
      <c r="N3088" s="10"/>
      <c r="O3088" s="10"/>
      <c r="P3088" s="10"/>
      <c r="Q3088" s="10"/>
      <c r="R3088" s="10"/>
      <c r="S3088" s="10"/>
      <c r="T3088" s="10"/>
      <c r="U3088" s="10"/>
      <c r="V3088" s="10"/>
      <c r="W3088" s="10"/>
      <c r="X3088" s="10"/>
      <c r="Y3088" s="10"/>
      <c r="Z3088" s="10"/>
    </row>
    <row r="3089" spans="1:26" ht="12.75">
      <c r="A3089" s="10" t="str">
        <f ca="1">IFERROR(__xludf.DUMMYFUNCTION("""COMPUTED_VALUE"""),"Жоржета Димитрова Назърска")</f>
        <v>Жоржета Димитрова Назърска</v>
      </c>
      <c r="B3089" s="10" t="str">
        <f ca="1">IFERROR(__xludf.DUMMYFUNCTION("""COMPUTED_VALUE"""),"Статия в списания и поредици")</f>
        <v>Статия в списания и поредици</v>
      </c>
      <c r="C3089" s="10" t="str">
        <f ca="1">IFERROR(__xludf.DUMMYFUNCTION("""COMPUTED_VALUE"""),"Охрана еврейского религиозного нематериального наследия в условиях атеистического режима: праздники болгарских евреев в 60–70-е гг. ХХ в.")</f>
        <v>Охрана еврейского религиозного нематериального наследия в условиях атеистического режима: праздники болгарских евреев в 60–70-е гг. ХХ в.</v>
      </c>
      <c r="D3089" s="10">
        <f ca="1">IFERROR(__xludf.DUMMYFUNCTION("""COMPUTED_VALUE"""),2016)</f>
        <v>2016</v>
      </c>
      <c r="E3089" s="10" t="str">
        <f ca="1">IFERROR(__xludf.DUMMYFUNCTION("""COMPUTED_VALUE"""),"Труды по иудаике Петербургский институт иудаики, История и этнография, 2016, Выпуск 11, СПб, с. 288-293. ISBN 978-5-906841-26-1")</f>
        <v>Труды по иудаике Петербургский институт иудаики, История и этнография, 2016, Выпуск 11, СПб, с. 288-293. ISBN 978-5-906841-26-1</v>
      </c>
      <c r="F3089" s="10" t="str">
        <f ca="1">IFERROR(__xludf.DUMMYFUNCTION("""COMPUTED_VALUE"""),"РИНЦ - российский индекс научного цитирования")</f>
        <v>РИНЦ - российский индекс научного цитирования</v>
      </c>
      <c r="G3089" s="10"/>
      <c r="H3089" s="10"/>
      <c r="I3089" s="10"/>
      <c r="J3089" s="10"/>
      <c r="K3089" s="10"/>
      <c r="L3089" s="10"/>
      <c r="M3089" s="10"/>
      <c r="N3089" s="10"/>
      <c r="O3089" s="10"/>
      <c r="P3089" s="10"/>
      <c r="Q3089" s="10"/>
      <c r="R3089" s="10"/>
      <c r="S3089" s="10"/>
      <c r="T3089" s="10"/>
      <c r="U3089" s="10"/>
      <c r="V3089" s="10"/>
      <c r="W3089" s="10"/>
      <c r="X3089" s="10"/>
      <c r="Y3089" s="10"/>
      <c r="Z3089" s="10"/>
    </row>
    <row r="3090" spans="1:26" ht="12.75">
      <c r="A3090" s="10" t="str">
        <f ca="1">IFERROR(__xludf.DUMMYFUNCTION("""COMPUTED_VALUE"""),"Жоржета Димитрова Назърска")</f>
        <v>Жоржета Димитрова Назърска</v>
      </c>
      <c r="B3090" s="10" t="str">
        <f ca="1">IFERROR(__xludf.DUMMYFUNCTION("""COMPUTED_VALUE"""),"Статия в списания и поредици")</f>
        <v>Статия в списания и поредици</v>
      </c>
      <c r="C3090" s="10" t="str">
        <f ca="1">IFERROR(__xludf.DUMMYFUNCTION("""COMPUTED_VALUE"""),"Биоетични възгледи и религиозни ценности в съвременна България.")</f>
        <v>Биоетични възгледи и религиозни ценности в съвременна България.</v>
      </c>
      <c r="D3090" s="10">
        <f ca="1">IFERROR(__xludf.DUMMYFUNCTION("""COMPUTED_VALUE"""),2016)</f>
        <v>2016</v>
      </c>
      <c r="E3090" s="10" t="str">
        <f ca="1">IFERROR(__xludf.DUMMYFUNCTION("""COMPUTED_VALUE"""),"Назърска, Ж., С. Шапкалова, съст. Хармония в различията. – София: За буквите-О писменехь, 2016, с. 205-217. ISSN 2367-7899")</f>
        <v>Назърска, Ж., С. Шапкалова, съст. Хармония в различията. – София: За буквите-О писменехь, 2016, с. 205-217. ISSN 2367-7899</v>
      </c>
      <c r="F3090" s="10" t="str">
        <f ca="1">IFERROR(__xludf.DUMMYFUNCTION("""COMPUTED_VALUE"""),"Национален референтен списък на НАЦИД")</f>
        <v>Национален референтен списък на НАЦИД</v>
      </c>
      <c r="G3090" s="10" t="str">
        <f ca="1">IFERROR(__xludf.DUMMYFUNCTION("""COMPUTED_VALUE"""),"С. Шапкалова")</f>
        <v>С. Шапкалова</v>
      </c>
      <c r="H3090" s="10"/>
      <c r="I3090" s="10"/>
      <c r="J3090" s="10"/>
      <c r="K3090" s="10"/>
      <c r="L3090" s="10"/>
      <c r="M3090" s="10"/>
      <c r="N3090" s="10"/>
      <c r="O3090" s="10"/>
      <c r="P3090" s="10"/>
      <c r="Q3090" s="10"/>
      <c r="R3090" s="10"/>
      <c r="S3090" s="10"/>
      <c r="T3090" s="10"/>
      <c r="U3090" s="10"/>
      <c r="V3090" s="10"/>
      <c r="W3090" s="10"/>
      <c r="X3090" s="10"/>
      <c r="Y3090" s="10"/>
      <c r="Z3090" s="10"/>
    </row>
    <row r="3091" spans="1:26" ht="12.75">
      <c r="A3091" s="10" t="str">
        <f ca="1">IFERROR(__xludf.DUMMYFUNCTION("""COMPUTED_VALUE"""),"Жоржета Димитрова Назърска")</f>
        <v>Жоржета Димитрова Назърска</v>
      </c>
      <c r="B3091" s="10" t="str">
        <f ca="1">IFERROR(__xludf.DUMMYFUNCTION("""COMPUTED_VALUE"""),"Статия в списания и поредици")</f>
        <v>Статия в списания и поредици</v>
      </c>
      <c r="C3091" s="10" t="str">
        <f ca="1">IFERROR(__xludf.DUMMYFUNCTION("""COMPUTED_VALUE"""),"Използване на интердисциплинарния и на културно-историческия подход в обучението по религия: теренна работа в Пловдив (2015).")</f>
        <v>Използване на интердисциплинарния и на културно-историческия подход в обучението по религия: теренна работа в Пловдив (2015).</v>
      </c>
      <c r="D3091" s="10">
        <f ca="1">IFERROR(__xludf.DUMMYFUNCTION("""COMPUTED_VALUE"""),2016)</f>
        <v>2016</v>
      </c>
      <c r="E3091" s="10" t="str">
        <f ca="1">IFERROR(__xludf.DUMMYFUNCTION("""COMPUTED_VALUE"""),"Обществото на знанието и хуманизмът на ХХІ в. – София: За буквите-О писменехь, 2016, с. 323-331. ISSN 1314-7099")</f>
        <v>Обществото на знанието и хуманизмът на ХХІ в. – София: За буквите-О писменехь, 2016, с. 323-331. ISSN 1314-7099</v>
      </c>
      <c r="F3091" s="10" t="str">
        <f ca="1">IFERROR(__xludf.DUMMYFUNCTION("""COMPUTED_VALUE"""),"Национален референтен списък на НАЦИД")</f>
        <v>Национален референтен списък на НАЦИД</v>
      </c>
      <c r="G3091" s="10" t="str">
        <f ca="1">IFERROR(__xludf.DUMMYFUNCTION("""COMPUTED_VALUE"""),"С. Шапкалова")</f>
        <v>С. Шапкалова</v>
      </c>
      <c r="H3091" s="10"/>
      <c r="I3091" s="10"/>
      <c r="J3091" s="10"/>
      <c r="K3091" s="10"/>
      <c r="L3091" s="10"/>
      <c r="M3091" s="10"/>
      <c r="N3091" s="10"/>
      <c r="O3091" s="10"/>
      <c r="P3091" s="10"/>
      <c r="Q3091" s="10"/>
      <c r="R3091" s="10"/>
      <c r="S3091" s="10"/>
      <c r="T3091" s="10"/>
      <c r="U3091" s="10"/>
      <c r="V3091" s="10"/>
      <c r="W3091" s="10"/>
      <c r="X3091" s="10"/>
      <c r="Y3091" s="10"/>
      <c r="Z3091" s="10"/>
    </row>
    <row r="3092" spans="1:26" ht="12.75">
      <c r="A3092" s="10" t="str">
        <f ca="1">IFERROR(__xludf.DUMMYFUNCTION("""COMPUTED_VALUE"""),"Жоржета Димитрова Назърска")</f>
        <v>Жоржета Димитрова Назърска</v>
      </c>
      <c r="B3092" s="10" t="str">
        <f ca="1">IFERROR(__xludf.DUMMYFUNCTION("""COMPUTED_VALUE"""),"Книга")</f>
        <v>Книга</v>
      </c>
      <c r="C3092" s="10" t="str">
        <f ca="1">IFERROR(__xludf.DUMMYFUNCTION("""COMPUTED_VALUE"""),"Архиви на жени и малцинства, т. 4. (Да излезеш от сянката. Непубликувани произведения на Златка Чолакова и Олга Чавова)")</f>
        <v>Архиви на жени и малцинства, т. 4. (Да излезеш от сянката. Непубликувани произведения на Златка Чолакова и Олга Чавова)</v>
      </c>
      <c r="D3092" s="10">
        <f ca="1">IFERROR(__xludf.DUMMYFUNCTION("""COMPUTED_VALUE"""),2016)</f>
        <v>2016</v>
      </c>
      <c r="E3092" s="10" t="str">
        <f ca="1">IFERROR(__xludf.DUMMYFUNCTION("""COMPUTED_VALUE"""),"Благоевград: УИ „Н. Рилски“, 2016. с. 324 (ISBN 978-954-000069-5)")</f>
        <v>Благоевград: УИ „Н. Рилски“, 2016. с. 324 (ISBN 978-954-000069-5)</v>
      </c>
      <c r="F3092" s="10" t="str">
        <f ca="1">IFERROR(__xludf.DUMMYFUNCTION("""COMPUTED_VALUE"""),"CEEOL Central andEastEuropeanOnlineLibrary")</f>
        <v>CEEOL Central andEastEuropeanOnlineLibrary</v>
      </c>
      <c r="G3092" s="10" t="str">
        <f ca="1">IFERROR(__xludf.DUMMYFUNCTION("""COMPUTED_VALUE"""),"Н. Муратова, Кр. Попова")</f>
        <v>Н. Муратова, Кр. Попова</v>
      </c>
      <c r="H3092" s="10"/>
      <c r="I3092" s="10"/>
      <c r="J3092" s="10"/>
      <c r="K3092" s="10"/>
      <c r="L3092" s="10"/>
      <c r="M3092" s="10"/>
      <c r="N3092" s="10"/>
      <c r="O3092" s="10"/>
      <c r="P3092" s="10"/>
      <c r="Q3092" s="10"/>
      <c r="R3092" s="10"/>
      <c r="S3092" s="10"/>
      <c r="T3092" s="10"/>
      <c r="U3092" s="10"/>
      <c r="V3092" s="10"/>
      <c r="W3092" s="10"/>
      <c r="X3092" s="10"/>
      <c r="Y3092" s="10"/>
      <c r="Z3092" s="10"/>
    </row>
    <row r="3093" spans="1:26" ht="12.75">
      <c r="A3093" s="10" t="str">
        <f ca="1">IFERROR(__xludf.DUMMYFUNCTION("""COMPUTED_VALUE"""),"Жоржета Димитрова Назърска")</f>
        <v>Жоржета Димитрова Назърска</v>
      </c>
      <c r="B3093" s="10" t="str">
        <f ca="1">IFERROR(__xludf.DUMMYFUNCTION("""COMPUTED_VALUE"""),"Статия в списания и поредици")</f>
        <v>Статия в списания и поредици</v>
      </c>
      <c r="C3093" s="10" t="str">
        <f ca="1">IFERROR(__xludf.DUMMYFUNCTION("""COMPUTED_VALUE"""),"Съхраняване на религиозното културно наследство на Бялото братство (60-70-те год. на ХХ в.): случаят с гроба на Учителя.")</f>
        <v>Съхраняване на религиозното културно наследство на Бялото братство (60-70-те год. на ХХ в.): случаят с гроба на Учителя.</v>
      </c>
      <c r="D3093" s="10">
        <f ca="1">IFERROR(__xludf.DUMMYFUNCTION("""COMPUTED_VALUE"""),2016)</f>
        <v>2016</v>
      </c>
      <c r="E3093" s="10" t="str">
        <f ca="1">IFERROR(__xludf.DUMMYFUNCTION("""COMPUTED_VALUE"""),"Петър Дънов в културното пространство на България. – Варна: Бяло братство, 2016, с.63-72. ISBN 2534-8736")</f>
        <v>Петър Дънов в културното пространство на България. – Варна: Бяло братство, 2016, с.63-72. ISBN 2534-8736</v>
      </c>
      <c r="F3093" s="10"/>
      <c r="G3093" s="10"/>
      <c r="H3093" s="10"/>
      <c r="I3093" s="10"/>
      <c r="J3093" s="10"/>
      <c r="K3093" s="10"/>
      <c r="L3093" s="10"/>
      <c r="M3093" s="10"/>
      <c r="N3093" s="10"/>
      <c r="O3093" s="10"/>
      <c r="P3093" s="10"/>
      <c r="Q3093" s="10"/>
      <c r="R3093" s="10"/>
      <c r="S3093" s="10"/>
      <c r="T3093" s="10"/>
      <c r="U3093" s="10"/>
      <c r="V3093" s="10"/>
      <c r="W3093" s="10"/>
      <c r="X3093" s="10"/>
      <c r="Y3093" s="10"/>
      <c r="Z3093" s="10"/>
    </row>
    <row r="3094" spans="1:26" ht="12.75">
      <c r="A3094" s="10" t="str">
        <f ca="1">IFERROR(__xludf.DUMMYFUNCTION("""COMPUTED_VALUE"""),"Жоржета Димитрова Назърска")</f>
        <v>Жоржета Димитрова Назърска</v>
      </c>
      <c r="B3094" s="10" t="str">
        <f ca="1">IFERROR(__xludf.DUMMYFUNCTION("""COMPUTED_VALUE"""),"Книга")</f>
        <v>Книга</v>
      </c>
      <c r="C3094" s="10" t="str">
        <f ca="1">IFERROR(__xludf.DUMMYFUNCTION("""COMPUTED_VALUE"""),"Хармония в различията, т.3.")</f>
        <v>Хармония в различията, т.3.</v>
      </c>
      <c r="D3094" s="10">
        <f ca="1">IFERROR(__xludf.DUMMYFUNCTION("""COMPUTED_VALUE"""),2016)</f>
        <v>2016</v>
      </c>
      <c r="E3094" s="10" t="str">
        <f ca="1">IFERROR(__xludf.DUMMYFUNCTION("""COMPUTED_VALUE"""),"Sofia: За буквите-О писменехь, 2016.")</f>
        <v>Sofia: За буквите-О писменехь, 2016.</v>
      </c>
      <c r="F3094" s="10" t="str">
        <f ca="1">IFERROR(__xludf.DUMMYFUNCTION("""COMPUTED_VALUE"""),"Национален референтен списък на НАЦИД")</f>
        <v>Национален референтен списък на НАЦИД</v>
      </c>
      <c r="G3094" s="10" t="str">
        <f ca="1">IFERROR(__xludf.DUMMYFUNCTION("""COMPUTED_VALUE"""),"С. Шапкалова")</f>
        <v>С. Шапкалова</v>
      </c>
      <c r="H3094" s="10"/>
      <c r="I3094" s="10"/>
      <c r="J3094" s="10"/>
      <c r="K3094" s="10"/>
      <c r="L3094" s="10"/>
      <c r="M3094" s="10"/>
      <c r="N3094" s="10"/>
      <c r="O3094" s="10"/>
      <c r="P3094" s="10"/>
      <c r="Q3094" s="10"/>
      <c r="R3094" s="10"/>
      <c r="S3094" s="10"/>
      <c r="T3094" s="10"/>
      <c r="U3094" s="10"/>
      <c r="V3094" s="10"/>
      <c r="W3094" s="10"/>
      <c r="X3094" s="10"/>
      <c r="Y3094" s="10"/>
      <c r="Z3094" s="10"/>
    </row>
    <row r="3095" spans="1:26" ht="12.75">
      <c r="A3095" s="10" t="str">
        <f ca="1">IFERROR(__xludf.DUMMYFUNCTION("""COMPUTED_VALUE"""),"Жоржета Димитрова Назърска")</f>
        <v>Жоржета Димитрова Назърска</v>
      </c>
      <c r="B3095" s="10" t="str">
        <f ca="1">IFERROR(__xludf.DUMMYFUNCTION("""COMPUTED_VALUE"""),"Статия в списания и поредици")</f>
        <v>Статия в списания и поредици</v>
      </c>
      <c r="C3095" s="10" t="str">
        <f ca="1">IFERROR(__xludf.DUMMYFUNCTION("""COMPUTED_VALUE"""),"Съвременните български музеи – една джендър перспектива.")</f>
        <v>Съвременните български музеи – една джендър перспектива.</v>
      </c>
      <c r="D3095" s="10">
        <f ca="1">IFERROR(__xludf.DUMMYFUNCTION("""COMPUTED_VALUE"""),2016)</f>
        <v>2016</v>
      </c>
      <c r="E3095" s="10" t="str">
        <f ca="1">IFERROR(__xludf.DUMMYFUNCTION("""COMPUTED_VALUE"""),"Вуков, Н., С. Казаларска, И. Мишкова, съст. Музеят отвъд нацията? Дебати в музеологията. – София: Гутенберг, 2016, с.255-280. ISBN 978-619-176-086-2")</f>
        <v>Вуков, Н., С. Казаларска, И. Мишкова, съст. Музеят отвъд нацията? Дебати в музеологията. – София: Гутенберг, 2016, с.255-280. ISBN 978-619-176-086-2</v>
      </c>
      <c r="F3095" s="10"/>
      <c r="G3095" s="10"/>
      <c r="H3095" s="10"/>
      <c r="I3095" s="10"/>
      <c r="J3095" s="10"/>
      <c r="K3095" s="10"/>
      <c r="L3095" s="10"/>
      <c r="M3095" s="10"/>
      <c r="N3095" s="10"/>
      <c r="O3095" s="10"/>
      <c r="P3095" s="10"/>
      <c r="Q3095" s="10"/>
      <c r="R3095" s="10"/>
      <c r="S3095" s="10"/>
      <c r="T3095" s="10"/>
      <c r="U3095" s="10"/>
      <c r="V3095" s="10"/>
      <c r="W3095" s="10"/>
      <c r="X3095" s="10"/>
      <c r="Y3095" s="10"/>
      <c r="Z3095" s="10"/>
    </row>
    <row r="3096" spans="1:26" ht="12.75">
      <c r="A3096" s="10" t="str">
        <f ca="1">IFERROR(__xludf.DUMMYFUNCTION("""COMPUTED_VALUE"""),"Жоржета Димитрова Назърска")</f>
        <v>Жоржета Димитрова Назърска</v>
      </c>
      <c r="B3096" s="10" t="str">
        <f ca="1">IFERROR(__xludf.DUMMYFUNCTION("""COMPUTED_VALUE"""),"Статия в списания и поредици")</f>
        <v>Статия в списания и поредици</v>
      </c>
      <c r="C3096" s="10" t="str">
        <f ca="1">IFERROR(__xludf.DUMMYFUNCTION("""COMPUTED_VALUE"""),"Възможности за кариерен растеж на българските лекарки през първата половина на ХХ век.")</f>
        <v>Възможности за кариерен растеж на българските лекарки през първата половина на ХХ век.</v>
      </c>
      <c r="D3096" s="10">
        <f ca="1">IFERROR(__xludf.DUMMYFUNCTION("""COMPUTED_VALUE"""),2016)</f>
        <v>2016</v>
      </c>
      <c r="E3096" s="10" t="str">
        <f ca="1">IFERROR(__xludf.DUMMYFUNCTION("""COMPUTED_VALUE"""),"Асклепий, 2016, №1-2, с. 259-270. ISSN 1310-0637")</f>
        <v>Асклепий, 2016, №1-2, с. 259-270. ISSN 1310-0637</v>
      </c>
      <c r="F3096" s="10" t="str">
        <f ca="1">IFERROR(__xludf.DUMMYFUNCTION("""COMPUTED_VALUE"""),"CEEOL Central andEastEuropeanOnlineLibrary")</f>
        <v>CEEOL Central andEastEuropeanOnlineLibrary</v>
      </c>
      <c r="G3096" s="10"/>
      <c r="H3096" s="10"/>
      <c r="I3096" s="10"/>
      <c r="J3096" s="10"/>
      <c r="K3096" s="10"/>
      <c r="L3096" s="10"/>
      <c r="M3096" s="10"/>
      <c r="N3096" s="10"/>
      <c r="O3096" s="10"/>
      <c r="P3096" s="10"/>
      <c r="Q3096" s="10"/>
      <c r="R3096" s="10"/>
      <c r="S3096" s="10"/>
      <c r="T3096" s="10"/>
      <c r="U3096" s="10"/>
      <c r="V3096" s="10"/>
      <c r="W3096" s="10"/>
      <c r="X3096" s="10"/>
      <c r="Y3096" s="10"/>
      <c r="Z3096" s="10"/>
    </row>
    <row r="3097" spans="1:26" ht="12.75">
      <c r="A3097" s="10" t="str">
        <f ca="1">IFERROR(__xludf.DUMMYFUNCTION("""COMPUTED_VALUE"""),"Жоржета Димитрова Назърска")</f>
        <v>Жоржета Димитрова Назърска</v>
      </c>
      <c r="B3097" s="10" t="str">
        <f ca="1">IFERROR(__xludf.DUMMYFUNCTION("""COMPUTED_VALUE"""),"Статия в списания и поредици")</f>
        <v>Статия в списания и поредици</v>
      </c>
      <c r="C3097" s="10" t="str">
        <f ca="1">IFERROR(__xludf.DUMMYFUNCTION("""COMPUTED_VALUE"""),"Секуларизация или десекуларизация: ниво на религиозност в България според храмовите регистри (1989-2014).")</f>
        <v>Секуларизация или десекуларизация: ниво на религиозност в България според храмовите регистри (1989-2014).</v>
      </c>
      <c r="D3097" s="10">
        <f ca="1">IFERROR(__xludf.DUMMYFUNCTION("""COMPUTED_VALUE"""),2016)</f>
        <v>2016</v>
      </c>
      <c r="E3097" s="10" t="str">
        <f ca="1">IFERROR(__xludf.DUMMYFUNCTION("""COMPUTED_VALUE"""),"Взаимоотношенията Бог - Човек - среда. – София: НСРОБ, 2016, с. 49-62.")</f>
        <v>Взаимоотношенията Бог - Човек - среда. – София: НСРОБ, 2016, с. 49-62.</v>
      </c>
      <c r="F3097" s="10"/>
      <c r="G3097" s="10" t="str">
        <f ca="1">IFERROR(__xludf.DUMMYFUNCTION("""COMPUTED_VALUE"""),"С. Шапкалова")</f>
        <v>С. Шапкалова</v>
      </c>
      <c r="H3097" s="10"/>
      <c r="I3097" s="10"/>
      <c r="J3097" s="10"/>
      <c r="K3097" s="10"/>
      <c r="L3097" s="10"/>
      <c r="M3097" s="10"/>
      <c r="N3097" s="10"/>
      <c r="O3097" s="10"/>
      <c r="P3097" s="10"/>
      <c r="Q3097" s="10"/>
      <c r="R3097" s="10"/>
      <c r="S3097" s="10"/>
      <c r="T3097" s="10"/>
      <c r="U3097" s="10"/>
      <c r="V3097" s="10"/>
      <c r="W3097" s="10"/>
      <c r="X3097" s="10"/>
      <c r="Y3097" s="10"/>
      <c r="Z3097" s="10"/>
    </row>
    <row r="3098" spans="1:26" ht="12.75">
      <c r="A3098" s="10" t="str">
        <f ca="1">IFERROR(__xludf.DUMMYFUNCTION("""COMPUTED_VALUE"""),"Жоржета Димитрова Назърска")</f>
        <v>Жоржета Димитрова Назърска</v>
      </c>
      <c r="B3098" s="10" t="str">
        <f ca="1">IFERROR(__xludf.DUMMYFUNCTION("""COMPUTED_VALUE"""),"Статия в списания и поредици")</f>
        <v>Статия в списания и поредици</v>
      </c>
      <c r="C3098" s="10" t="str">
        <f ca="1">IFERROR(__xludf.DUMMYFUNCTION("""COMPUTED_VALUE"""),"Съхраняване на религиозното културно наследство в условията на атеистична офанзива в комунистическа България (60-70-те год. на ХХ в.).")</f>
        <v>Съхраняване на религиозното културно наследство в условията на атеистична офанзива в комунистическа България (60-70-те год. на ХХ в.).</v>
      </c>
      <c r="D3098" s="10">
        <f ca="1">IFERROR(__xludf.DUMMYFUNCTION("""COMPUTED_VALUE"""),2016)</f>
        <v>2016</v>
      </c>
      <c r="E3098" s="10" t="str">
        <f ca="1">IFERROR(__xludf.DUMMYFUNCTION("""COMPUTED_VALUE"""),"Обществото на знанието и хуманизмът на ХХІ в. – София: За буквите-О писменехь, 2016, с. 305-322. ISSN 1314-7099")</f>
        <v>Обществото на знанието и хуманизмът на ХХІ в. – София: За буквите-О писменехь, 2016, с. 305-322. ISSN 1314-7099</v>
      </c>
      <c r="F3098" s="10" t="str">
        <f ca="1">IFERROR(__xludf.DUMMYFUNCTION("""COMPUTED_VALUE"""),"Национален референтен списък на НАЦИД")</f>
        <v>Национален референтен списък на НАЦИД</v>
      </c>
      <c r="G3098" s="10"/>
      <c r="H3098" s="10"/>
      <c r="I3098" s="10"/>
      <c r="J3098" s="10"/>
      <c r="K3098" s="10"/>
      <c r="L3098" s="10"/>
      <c r="M3098" s="10"/>
      <c r="N3098" s="10"/>
      <c r="O3098" s="10"/>
      <c r="P3098" s="10"/>
      <c r="Q3098" s="10"/>
      <c r="R3098" s="10"/>
      <c r="S3098" s="10"/>
      <c r="T3098" s="10"/>
      <c r="U3098" s="10"/>
      <c r="V3098" s="10"/>
      <c r="W3098" s="10"/>
      <c r="X3098" s="10"/>
      <c r="Y3098" s="10"/>
      <c r="Z3098" s="10"/>
    </row>
    <row r="3099" spans="1:26" ht="12.75">
      <c r="A3099" s="10" t="str">
        <f ca="1">IFERROR(__xludf.DUMMYFUNCTION("""COMPUTED_VALUE"""),"Жоржета Димитрова Назърска")</f>
        <v>Жоржета Димитрова Назърска</v>
      </c>
      <c r="B3099" s="10" t="str">
        <f ca="1">IFERROR(__xludf.DUMMYFUNCTION("""COMPUTED_VALUE"""),"Статия в списания и поредици")</f>
        <v>Статия в списания и поредици</v>
      </c>
      <c r="C3099" s="10" t="str">
        <f ca="1">IFERROR(__xludf.DUMMYFUNCTION("""COMPUTED_VALUE"""),"Анастасия Ганчева-Зографова в българско-полската интеркултурна комунакация.")</f>
        <v>Анастасия Ганчева-Зографова в българско-полската интеркултурна комунакация.</v>
      </c>
      <c r="D3099" s="10">
        <f ca="1">IFERROR(__xludf.DUMMYFUNCTION("""COMPUTED_VALUE"""),2015)</f>
        <v>2015</v>
      </c>
      <c r="E3099" s="10" t="str">
        <f ca="1">IFERROR(__xludf.DUMMYFUNCTION("""COMPUTED_VALUE"""),"Известия на Института за исторически изследвания, 2015, т. 32, с. 284-296.")</f>
        <v>Известия на Института за исторически изследвания, 2015, т. 32, с. 284-296.</v>
      </c>
      <c r="F3099" s="10"/>
      <c r="G3099" s="10"/>
      <c r="H3099" s="10"/>
      <c r="I3099" s="10"/>
      <c r="J3099" s="10"/>
      <c r="K3099" s="10"/>
      <c r="L3099" s="10"/>
      <c r="M3099" s="10"/>
      <c r="N3099" s="10"/>
      <c r="O3099" s="10"/>
      <c r="P3099" s="10"/>
      <c r="Q3099" s="10"/>
      <c r="R3099" s="10"/>
      <c r="S3099" s="10"/>
      <c r="T3099" s="10"/>
      <c r="U3099" s="10"/>
      <c r="V3099" s="10"/>
      <c r="W3099" s="10"/>
      <c r="X3099" s="10"/>
      <c r="Y3099" s="10"/>
      <c r="Z3099" s="10"/>
    </row>
    <row r="3100" spans="1:26" ht="12.75">
      <c r="A3100" s="10" t="str">
        <f ca="1">IFERROR(__xludf.DUMMYFUNCTION("""COMPUTED_VALUE"""),"Жоржета Димитрова Назърска")</f>
        <v>Жоржета Димитрова Назърска</v>
      </c>
      <c r="B3100" s="10" t="str">
        <f ca="1">IFERROR(__xludf.DUMMYFUNCTION("""COMPUTED_VALUE"""),"Книга")</f>
        <v>Книга</v>
      </c>
      <c r="C3100" s="10" t="str">
        <f ca="1">IFERROR(__xludf.DUMMYFUNCTION("""COMPUTED_VALUE"""),"Хармония в различията, т.2.")</f>
        <v>Хармония в различията, т.2.</v>
      </c>
      <c r="D3100" s="10">
        <f ca="1">IFERROR(__xludf.DUMMYFUNCTION("""COMPUTED_VALUE"""),2015)</f>
        <v>2015</v>
      </c>
      <c r="E3100" s="10" t="str">
        <f ca="1">IFERROR(__xludf.DUMMYFUNCTION("""COMPUTED_VALUE"""),"Sofia: За буквите-О писменехь, 2015. ISSN 2367-7899")</f>
        <v>Sofia: За буквите-О писменехь, 2015. ISSN 2367-7899</v>
      </c>
      <c r="F3100" s="10" t="str">
        <f ca="1">IFERROR(__xludf.DUMMYFUNCTION("""COMPUTED_VALUE"""),"Национален референтен списък на НАЦИД")</f>
        <v>Национален референтен списък на НАЦИД</v>
      </c>
      <c r="G3100" s="10" t="str">
        <f ca="1">IFERROR(__xludf.DUMMYFUNCTION("""COMPUTED_VALUE"""),"С. Шапкалова")</f>
        <v>С. Шапкалова</v>
      </c>
      <c r="H3100" s="10"/>
      <c r="I3100" s="10"/>
      <c r="J3100" s="10"/>
      <c r="K3100" s="10"/>
      <c r="L3100" s="10"/>
      <c r="M3100" s="10"/>
      <c r="N3100" s="10"/>
      <c r="O3100" s="10"/>
      <c r="P3100" s="10"/>
      <c r="Q3100" s="10"/>
      <c r="R3100" s="10"/>
      <c r="S3100" s="10"/>
      <c r="T3100" s="10"/>
      <c r="U3100" s="10"/>
      <c r="V3100" s="10"/>
      <c r="W3100" s="10"/>
      <c r="X3100" s="10"/>
      <c r="Y3100" s="10"/>
      <c r="Z3100" s="10"/>
    </row>
    <row r="3101" spans="1:26" ht="12.75">
      <c r="A3101" s="10" t="str">
        <f ca="1">IFERROR(__xludf.DUMMYFUNCTION("""COMPUTED_VALUE"""),"Жоржета Димитрова Назърска")</f>
        <v>Жоржета Димитрова Назърска</v>
      </c>
      <c r="B3101" s="10" t="str">
        <f ca="1">IFERROR(__xludf.DUMMYFUNCTION("""COMPUTED_VALUE"""),"Учебно пособие")</f>
        <v>Учебно пособие</v>
      </c>
      <c r="C3101" s="10" t="str">
        <f ca="1">IFERROR(__xludf.DUMMYFUNCTION("""COMPUTED_VALUE"""),"Студентски дигитален архив по религиозно културно-историческо наследство,т. 4. Учебно помагало.")</f>
        <v>Студентски дигитален архив по религиозно културно-историческо наследство,т. 4. Учебно помагало.</v>
      </c>
      <c r="D3101" s="10">
        <f ca="1">IFERROR(__xludf.DUMMYFUNCTION("""COMPUTED_VALUE"""),2015)</f>
        <v>2015</v>
      </c>
      <c r="E3101" s="10" t="str">
        <f ca="1">IFERROR(__xludf.DUMMYFUNCTION("""COMPUTED_VALUE"""),"София: За буквите - О писменехь, 2015. ISBN 978-619-185-204-8")</f>
        <v>София: За буквите - О писменехь, 2015. ISBN 978-619-185-204-8</v>
      </c>
      <c r="F3101" s="10"/>
      <c r="G3101" s="10" t="str">
        <f ca="1">IFERROR(__xludf.DUMMYFUNCTION("""COMPUTED_VALUE"""),"С. Шапкалова")</f>
        <v>С. Шапкалова</v>
      </c>
      <c r="H3101" s="10"/>
      <c r="I3101" s="10"/>
      <c r="J3101" s="10"/>
      <c r="K3101" s="10"/>
      <c r="L3101" s="10"/>
      <c r="M3101" s="10"/>
      <c r="N3101" s="10"/>
      <c r="O3101" s="10"/>
      <c r="P3101" s="10"/>
      <c r="Q3101" s="10"/>
      <c r="R3101" s="10"/>
      <c r="S3101" s="10"/>
      <c r="T3101" s="10"/>
      <c r="U3101" s="10"/>
      <c r="V3101" s="10"/>
      <c r="W3101" s="10"/>
      <c r="X3101" s="10"/>
      <c r="Y3101" s="10"/>
      <c r="Z3101" s="10"/>
    </row>
    <row r="3102" spans="1:26" ht="12.75">
      <c r="A3102" s="10" t="str">
        <f ca="1">IFERROR(__xludf.DUMMYFUNCTION("""COMPUTED_VALUE"""),"Жоржета Димитрова Назърска")</f>
        <v>Жоржета Димитрова Назърска</v>
      </c>
      <c r="B3102" s="10" t="str">
        <f ca="1">IFERROR(__xludf.DUMMYFUNCTION("""COMPUTED_VALUE"""),"Статия в списания и поредици")</f>
        <v>Статия в списания и поредици</v>
      </c>
      <c r="C3102" s="10" t="str">
        <f ca="1">IFERROR(__xludf.DUMMYFUNCTION("""COMPUTED_VALUE"""),"„Феминистка разходка“ в София: крачка към създаване на herstory.")</f>
        <v>„Феминистка разходка“ в София: крачка към създаване на herstory.</v>
      </c>
      <c r="D3102" s="10">
        <f ca="1">IFERROR(__xludf.DUMMYFUNCTION("""COMPUTED_VALUE"""),2015)</f>
        <v>2015</v>
      </c>
      <c r="E3102" s="10" t="str">
        <f ca="1">IFERROR(__xludf.DUMMYFUNCTION("""COMPUTED_VALUE"""),"Балканистичен форум, 2015, №2, с. 349-360.")</f>
        <v>Балканистичен форум, 2015, №2, с. 349-360.</v>
      </c>
      <c r="F3102" s="10" t="str">
        <f ca="1">IFERROR(__xludf.DUMMYFUNCTION("""COMPUTED_VALUE"""),"Scopus
  ERIH PLUS
  eLibrary.ru
 Central andEastEuropeanOnlineLibrary")</f>
        <v>Scopus
  ERIH PLUS
  eLibrary.ru
 Central andEastEuropeanOnlineLibrary</v>
      </c>
      <c r="G3102" s="10"/>
      <c r="H3102" s="10"/>
      <c r="I3102" s="10"/>
      <c r="J3102" s="10"/>
      <c r="K3102" s="10"/>
      <c r="L3102" s="10"/>
      <c r="M3102" s="10"/>
      <c r="N3102" s="10"/>
      <c r="O3102" s="10"/>
      <c r="P3102" s="10"/>
      <c r="Q3102" s="10"/>
      <c r="R3102" s="10"/>
      <c r="S3102" s="10"/>
      <c r="T3102" s="10"/>
      <c r="U3102" s="10"/>
      <c r="V3102" s="10"/>
      <c r="W3102" s="10"/>
      <c r="X3102" s="10"/>
      <c r="Y3102" s="10"/>
      <c r="Z3102" s="10"/>
    </row>
    <row r="3103" spans="1:26" ht="12.75">
      <c r="A3103" s="10" t="str">
        <f ca="1">IFERROR(__xludf.DUMMYFUNCTION("""COMPUTED_VALUE"""),"Жоржета Димитрова Назърска")</f>
        <v>Жоржета Димитрова Назърска</v>
      </c>
      <c r="B3103" s="10" t="str">
        <f ca="1">IFERROR(__xludf.DUMMYFUNCTION("""COMPUTED_VALUE"""),"Статия в списания и поредици")</f>
        <v>Статия в списания и поредици</v>
      </c>
      <c r="C3103" s="10" t="str">
        <f ca="1">IFERROR(__xludf.DUMMYFUNCTION("""COMPUTED_VALUE"""),"Програмата на професор Пенчо Райков за реформиране на Софийския университет през 1932 г.")</f>
        <v>Програмата на професор Пенчо Райков за реформиране на Софийския университет през 1932 г.</v>
      </c>
      <c r="D3103" s="10">
        <f ca="1">IFERROR(__xludf.DUMMYFUNCTION("""COMPUTED_VALUE"""),2015)</f>
        <v>2015</v>
      </c>
      <c r="E3103" s="10" t="str">
        <f ca="1">IFERROR(__xludf.DUMMYFUNCTION("""COMPUTED_VALUE"""),"Известия на Специализирания музей за резбарско и зографско изкуство – Трявна, 2015, т.4, с. 473-495.")</f>
        <v>Известия на Специализирания музей за резбарско и зографско изкуство – Трявна, 2015, т.4, с. 473-495.</v>
      </c>
      <c r="F3103" s="10"/>
      <c r="G3103" s="10"/>
      <c r="H3103" s="10"/>
      <c r="I3103" s="10"/>
      <c r="J3103" s="10"/>
      <c r="K3103" s="10"/>
      <c r="L3103" s="10"/>
      <c r="M3103" s="10"/>
      <c r="N3103" s="10"/>
      <c r="O3103" s="10"/>
      <c r="P3103" s="10"/>
      <c r="Q3103" s="10"/>
      <c r="R3103" s="10"/>
      <c r="S3103" s="10"/>
      <c r="T3103" s="10"/>
      <c r="U3103" s="10"/>
      <c r="V3103" s="10"/>
      <c r="W3103" s="10"/>
      <c r="X3103" s="10"/>
      <c r="Y3103" s="10"/>
      <c r="Z3103" s="10"/>
    </row>
    <row r="3104" spans="1:26" ht="12.75">
      <c r="A3104" s="10" t="str">
        <f ca="1">IFERROR(__xludf.DUMMYFUNCTION("""COMPUTED_VALUE"""),"Жоржета Димитрова Назърска")</f>
        <v>Жоржета Димитрова Назърска</v>
      </c>
      <c r="B3104" s="10" t="str">
        <f ca="1">IFERROR(__xludf.DUMMYFUNCTION("""COMPUTED_VALUE"""),"Статия в списания и поредици")</f>
        <v>Статия в списания и поредици</v>
      </c>
      <c r="C3104" s="10" t="str">
        <f ca="1">IFERROR(__xludf.DUMMYFUNCTION("""COMPUTED_VALUE"""),"Българските зъболекарки като женски образовани елити: проблеми на селектирането и функционирането.")</f>
        <v>Българските зъболекарки като женски образовани елити: проблеми на селектирането и функционирането.</v>
      </c>
      <c r="D3104" s="10">
        <f ca="1">IFERROR(__xludf.DUMMYFUNCTION("""COMPUTED_VALUE"""),2015)</f>
        <v>2015</v>
      </c>
      <c r="E3104" s="10" t="str">
        <f ca="1">IFERROR(__xludf.DUMMYFUNCTION("""COMPUTED_VALUE"""),"Балканистичен форум, 2015, №1, с. 100-113.")</f>
        <v>Балканистичен форум, 2015, №1, с. 100-113.</v>
      </c>
      <c r="F3104" s="10" t="str">
        <f ca="1">IFERROR(__xludf.DUMMYFUNCTION("""COMPUTED_VALUE"""),"Scopus
  ERIH PLUS
  eLibrary.ru
 Central andEastEuropeanOnlineLibrary")</f>
        <v>Scopus
  ERIH PLUS
  eLibrary.ru
 Central andEastEuropeanOnlineLibrary</v>
      </c>
      <c r="G3104" s="10"/>
      <c r="H3104" s="10"/>
      <c r="I3104" s="10"/>
      <c r="J3104" s="10"/>
      <c r="K3104" s="10"/>
      <c r="L3104" s="10"/>
      <c r="M3104" s="10"/>
      <c r="N3104" s="10"/>
      <c r="O3104" s="10"/>
      <c r="P3104" s="10"/>
      <c r="Q3104" s="10"/>
      <c r="R3104" s="10"/>
      <c r="S3104" s="10"/>
      <c r="T3104" s="10"/>
      <c r="U3104" s="10"/>
      <c r="V3104" s="10"/>
      <c r="W3104" s="10"/>
      <c r="X3104" s="10"/>
      <c r="Y3104" s="10"/>
      <c r="Z3104" s="10"/>
    </row>
    <row r="3105" spans="1:26" ht="12.75">
      <c r="A3105" s="10" t="str">
        <f ca="1">IFERROR(__xludf.DUMMYFUNCTION("""COMPUTED_VALUE"""),"Жоржета Димитрова Назърска")</f>
        <v>Жоржета Димитрова Назърска</v>
      </c>
      <c r="B3105" s="10" t="str">
        <f ca="1">IFERROR(__xludf.DUMMYFUNCTION("""COMPUTED_VALUE"""),"Статия в списания и поредици")</f>
        <v>Статия в списания и поредици</v>
      </c>
      <c r="C3105" s="10" t="str">
        <f ca="1">IFERROR(__xludf.DUMMYFUNCTION("""COMPUTED_VALUE"""),"Социодемографско проучване на Софийската ашкеназка община (1917–1932).")</f>
        <v>Социодемографско проучване на Софийската ашкеназка община (1917–1932).</v>
      </c>
      <c r="D3105" s="10">
        <f ca="1">IFERROR(__xludf.DUMMYFUNCTION("""COMPUTED_VALUE"""),2015)</f>
        <v>2015</v>
      </c>
      <c r="E3105" s="10" t="str">
        <f ca="1">IFERROR(__xludf.DUMMYFUNCTION("""COMPUTED_VALUE"""),"Назърска, Ж., С. Шапкалова, съст. Хармония в различията, т.2. – София: За буквите-О писменехь, 2015, с. 211-220.")</f>
        <v>Назърска, Ж., С. Шапкалова, съст. Хармония в различията, т.2. – София: За буквите-О писменехь, 2015, с. 211-220.</v>
      </c>
      <c r="F3105" s="10" t="str">
        <f ca="1">IFERROR(__xludf.DUMMYFUNCTION("""COMPUTED_VALUE"""),"Национален референтен списък на НАЦИД")</f>
        <v>Национален референтен списък на НАЦИД</v>
      </c>
      <c r="G3105" s="10"/>
      <c r="H3105" s="10"/>
      <c r="I3105" s="10"/>
      <c r="J3105" s="10"/>
      <c r="K3105" s="10"/>
      <c r="L3105" s="10"/>
      <c r="M3105" s="10"/>
      <c r="N3105" s="10"/>
      <c r="O3105" s="10"/>
      <c r="P3105" s="10"/>
      <c r="Q3105" s="10"/>
      <c r="R3105" s="10"/>
      <c r="S3105" s="10"/>
      <c r="T3105" s="10"/>
      <c r="U3105" s="10"/>
      <c r="V3105" s="10"/>
      <c r="W3105" s="10"/>
      <c r="X3105" s="10"/>
      <c r="Y3105" s="10"/>
      <c r="Z3105" s="10"/>
    </row>
    <row r="3106" spans="1:26" ht="12.75">
      <c r="A3106" s="10" t="str">
        <f ca="1">IFERROR(__xludf.DUMMYFUNCTION("""COMPUTED_VALUE"""),"Жоржета Димитрова Назърска")</f>
        <v>Жоржета Димитрова Назърска</v>
      </c>
      <c r="B3106" s="10" t="str">
        <f ca="1">IFERROR(__xludf.DUMMYFUNCTION("""COMPUTED_VALUE"""),"Монография")</f>
        <v>Монография</v>
      </c>
      <c r="C3106" s="10" t="str">
        <f ca="1">IFERROR(__xludf.DUMMYFUNCTION("""COMPUTED_VALUE"""),"Методика на обучението по религия във висшите светски училища")</f>
        <v>Методика на обучението по религия във висшите светски училища</v>
      </c>
      <c r="D3106" s="10">
        <f ca="1">IFERROR(__xludf.DUMMYFUNCTION("""COMPUTED_VALUE"""),2015)</f>
        <v>2015</v>
      </c>
      <c r="E3106" s="10" t="str">
        <f ca="1">IFERROR(__xludf.DUMMYFUNCTION("""COMPUTED_VALUE"""),"София: За буквите – О писменехь, 2015, с. 264. ISBN 978-619-185-202-4")</f>
        <v>София: За буквите – О писменехь, 2015, с. 264. ISBN 978-619-185-202-4</v>
      </c>
      <c r="F3106" s="10"/>
      <c r="G3106" s="10" t="str">
        <f ca="1">IFERROR(__xludf.DUMMYFUNCTION("""COMPUTED_VALUE"""),"Светла Шапкалова")</f>
        <v>Светла Шапкалова</v>
      </c>
      <c r="H3106" s="10"/>
      <c r="I3106" s="10"/>
      <c r="J3106" s="10"/>
      <c r="K3106" s="10"/>
      <c r="L3106" s="10"/>
      <c r="M3106" s="10"/>
      <c r="N3106" s="10"/>
      <c r="O3106" s="10"/>
      <c r="P3106" s="10"/>
      <c r="Q3106" s="10"/>
      <c r="R3106" s="10"/>
      <c r="S3106" s="10"/>
      <c r="T3106" s="10"/>
      <c r="U3106" s="10"/>
      <c r="V3106" s="10"/>
      <c r="W3106" s="10"/>
      <c r="X3106" s="10"/>
      <c r="Y3106" s="10"/>
      <c r="Z3106" s="10"/>
    </row>
    <row r="3107" spans="1:26" ht="12.75">
      <c r="A3107" s="10" t="str">
        <f ca="1">IFERROR(__xludf.DUMMYFUNCTION("""COMPUTED_VALUE"""),"Жоржета Димитрова Назърска")</f>
        <v>Жоржета Димитрова Назърска</v>
      </c>
      <c r="B3107" s="10" t="str">
        <f ca="1">IFERROR(__xludf.DUMMYFUNCTION("""COMPUTED_VALUE"""),"Статия в списания и поредици")</f>
        <v>Статия в списания и поредици</v>
      </c>
      <c r="C3107" s="10" t="str">
        <f ca="1">IFERROR(__xludf.DUMMYFUNCTION("""COMPUTED_VALUE"""),"Ниво на религиозност на православното население в България според данни от православните храмови регистри (1989-2014).")</f>
        <v>Ниво на религиозност на православното население в България според данни от православните храмови регистри (1989-2014).</v>
      </c>
      <c r="D3107" s="10">
        <f ca="1">IFERROR(__xludf.DUMMYFUNCTION("""COMPUTED_VALUE"""),2015)</f>
        <v>2015</v>
      </c>
      <c r="E3107" s="10" t="str">
        <f ca="1">IFERROR(__xludf.DUMMYFUNCTION("""COMPUTED_VALUE"""),"Християнство и култура, 2015, №9(106), с. 77-89.")</f>
        <v>Християнство и култура, 2015, №9(106), с. 77-89.</v>
      </c>
      <c r="F3107" s="10" t="str">
        <f ca="1">IFERROR(__xludf.DUMMYFUNCTION("""COMPUTED_VALUE"""),"Национален референтен списък на НАЦИД")</f>
        <v>Национален референтен списък на НАЦИД</v>
      </c>
      <c r="G3107" s="10" t="str">
        <f ca="1">IFERROR(__xludf.DUMMYFUNCTION("""COMPUTED_VALUE"""),"Светла Шапкалова")</f>
        <v>Светла Шапкалова</v>
      </c>
      <c r="H3107" s="10"/>
      <c r="I3107" s="10"/>
      <c r="J3107" s="10"/>
      <c r="K3107" s="10"/>
      <c r="L3107" s="10"/>
      <c r="M3107" s="10"/>
      <c r="N3107" s="10"/>
      <c r="O3107" s="10"/>
      <c r="P3107" s="10"/>
      <c r="Q3107" s="10"/>
      <c r="R3107" s="10"/>
      <c r="S3107" s="10"/>
      <c r="T3107" s="10"/>
      <c r="U3107" s="10"/>
      <c r="V3107" s="10"/>
      <c r="W3107" s="10"/>
      <c r="X3107" s="10"/>
      <c r="Y3107" s="10"/>
      <c r="Z3107" s="10"/>
    </row>
    <row r="3108" spans="1:26" ht="12.75">
      <c r="A3108" s="10" t="str">
        <f ca="1">IFERROR(__xludf.DUMMYFUNCTION("""COMPUTED_VALUE"""),"Жоржета Димитрова Назърска")</f>
        <v>Жоржета Димитрова Назърска</v>
      </c>
      <c r="B3108" s="10" t="str">
        <f ca="1">IFERROR(__xludf.DUMMYFUNCTION("""COMPUTED_VALUE"""),"Студия")</f>
        <v>Студия</v>
      </c>
      <c r="C3108" s="10" t="str">
        <f ca="1">IFERROR(__xludf.DUMMYFUNCTION("""COMPUTED_VALUE"""),"Криза на религиозните ценности в съвременна България: емпирично изследване сред духовници и миряни (2014).")</f>
        <v>Криза на религиозните ценности в съвременна България: емпирично изследване сред духовници и миряни (2014).</v>
      </c>
      <c r="D3108" s="10">
        <f ca="1">IFERROR(__xludf.DUMMYFUNCTION("""COMPUTED_VALUE"""),2015)</f>
        <v>2015</v>
      </c>
      <c r="E3108" s="10" t="str">
        <f ca="1">IFERROR(__xludf.DUMMYFUNCTION("""COMPUTED_VALUE"""),"Назърска, Ж., Св. Шапкалова, съст. Хармония в различията. – София: За буквите-О писменехь, 2015, с. 54-74.")</f>
        <v>Назърска, Ж., Св. Шапкалова, съст. Хармония в различията. – София: За буквите-О писменехь, 2015, с. 54-74.</v>
      </c>
      <c r="F3108" s="10" t="str">
        <f ca="1">IFERROR(__xludf.DUMMYFUNCTION("""COMPUTED_VALUE"""),"Национален референтен списък на НАЦИД")</f>
        <v>Национален референтен списък на НАЦИД</v>
      </c>
      <c r="G3108" s="10" t="str">
        <f ca="1">IFERROR(__xludf.DUMMYFUNCTION("""COMPUTED_VALUE"""),"Светла Шапкалова")</f>
        <v>Светла Шапкалова</v>
      </c>
      <c r="H3108" s="10"/>
      <c r="I3108" s="10"/>
      <c r="J3108" s="10"/>
      <c r="K3108" s="10"/>
      <c r="L3108" s="10"/>
      <c r="M3108" s="10"/>
      <c r="N3108" s="10"/>
      <c r="O3108" s="10"/>
      <c r="P3108" s="10"/>
      <c r="Q3108" s="10"/>
      <c r="R3108" s="10"/>
      <c r="S3108" s="10"/>
      <c r="T3108" s="10"/>
      <c r="U3108" s="10"/>
      <c r="V3108" s="10"/>
      <c r="W3108" s="10"/>
      <c r="X3108" s="10"/>
      <c r="Y3108" s="10"/>
      <c r="Z3108" s="10"/>
    </row>
    <row r="3109" spans="1:26" ht="12.75">
      <c r="A3109" s="10" t="str">
        <f ca="1">IFERROR(__xludf.DUMMYFUNCTION("""COMPUTED_VALUE"""),"Жоржета Димитрова Назърска")</f>
        <v>Жоржета Димитрова Назърска</v>
      </c>
      <c r="B3109" s="10" t="str">
        <f ca="1">IFERROR(__xludf.DUMMYFUNCTION("""COMPUTED_VALUE"""),"Статия в списания и поредици")</f>
        <v>Статия в списания и поредици</v>
      </c>
      <c r="C3109" s="10" t="str">
        <f ca="1">IFERROR(__xludf.DUMMYFUNCTION("""COMPUTED_VALUE"""),"Френските възпитанички в българския женски интелектуален елит (1878 – 1944).")</f>
        <v>Френските възпитанички в българския женски интелектуален елит (1878 – 1944).</v>
      </c>
      <c r="D3109" s="10">
        <f ca="1">IFERROR(__xludf.DUMMYFUNCTION("""COMPUTED_VALUE"""),2015)</f>
        <v>2015</v>
      </c>
      <c r="E3109" s="10" t="str">
        <f ca="1">IFERROR(__xludf.DUMMYFUNCTION("""COMPUTED_VALUE"""),"Съвременни измерения на европейското образователно и научно пространство, т.2. – София: За буквите-О писменехь, 2015, с. 232-236.")</f>
        <v>Съвременни измерения на европейското образователно и научно пространство, т.2. – София: За буквите-О писменехь, 2015, с. 232-236.</v>
      </c>
      <c r="F3109" s="10" t="str">
        <f ca="1">IFERROR(__xludf.DUMMYFUNCTION("""COMPUTED_VALUE"""),"Национален референтен списък на НАЦИД")</f>
        <v>Национален референтен списък на НАЦИД</v>
      </c>
      <c r="G3109" s="10"/>
      <c r="H3109" s="10"/>
      <c r="I3109" s="10"/>
      <c r="J3109" s="10"/>
      <c r="K3109" s="10"/>
      <c r="L3109" s="10"/>
      <c r="M3109" s="10"/>
      <c r="N3109" s="10"/>
      <c r="O3109" s="10"/>
      <c r="P3109" s="10"/>
      <c r="Q3109" s="10"/>
      <c r="R3109" s="10"/>
      <c r="S3109" s="10"/>
      <c r="T3109" s="10"/>
      <c r="U3109" s="10"/>
      <c r="V3109" s="10"/>
      <c r="W3109" s="10"/>
      <c r="X3109" s="10"/>
      <c r="Y3109" s="10"/>
      <c r="Z3109" s="10"/>
    </row>
    <row r="3110" spans="1:26" ht="12.75">
      <c r="A3110" s="10" t="str">
        <f ca="1">IFERROR(__xludf.DUMMYFUNCTION("""COMPUTED_VALUE"""),"Жоржета Димитрова Назърска")</f>
        <v>Жоржета Димитрова Назърска</v>
      </c>
      <c r="B3110" s="10" t="str">
        <f ca="1">IFERROR(__xludf.DUMMYFUNCTION("""COMPUTED_VALUE"""),"Статия в списания и поредици")</f>
        <v>Статия в списания и поредици</v>
      </c>
      <c r="C3110" s="10" t="str">
        <f ca="1">IFERROR(__xludf.DUMMYFUNCTION("""COMPUTED_VALUE"""),"Религиозни социални мрежи на женските образовани елити в България: по примера на Бялото братство (20-70-те год. ХХ в.).")</f>
        <v>Религиозни социални мрежи на женските образовани елити в България: по примера на Бялото братство (20-70-те год. ХХ в.).</v>
      </c>
      <c r="D3110" s="10">
        <f ca="1">IFERROR(__xludf.DUMMYFUNCTION("""COMPUTED_VALUE"""),2015)</f>
        <v>2015</v>
      </c>
      <c r="E3110" s="10" t="str">
        <f ca="1">IFERROR(__xludf.DUMMYFUNCTION("""COMPUTED_VALUE"""),"Петър Дънов, Учителя, в културното пространство на България. – Варна: Бяло братство, 2015, с. 109-118.")</f>
        <v>Петър Дънов, Учителя, в културното пространство на България. – Варна: Бяло братство, 2015, с. 109-118.</v>
      </c>
      <c r="F3110" s="10"/>
      <c r="G3110" s="10"/>
      <c r="H3110" s="10"/>
      <c r="I3110" s="10"/>
      <c r="J3110" s="10"/>
      <c r="K3110" s="10"/>
      <c r="L3110" s="10"/>
      <c r="M3110" s="10"/>
      <c r="N3110" s="10"/>
      <c r="O3110" s="10"/>
      <c r="P3110" s="10"/>
      <c r="Q3110" s="10"/>
      <c r="R3110" s="10"/>
      <c r="S3110" s="10"/>
      <c r="T3110" s="10"/>
      <c r="U3110" s="10"/>
      <c r="V3110" s="10"/>
      <c r="W3110" s="10"/>
      <c r="X3110" s="10"/>
      <c r="Y3110" s="10"/>
      <c r="Z3110" s="10"/>
    </row>
    <row r="3111" spans="1:26" ht="12.75">
      <c r="A3111" s="10" t="str">
        <f ca="1">IFERROR(__xludf.DUMMYFUNCTION("""COMPUTED_VALUE"""),"Жоржета Димитрова Назърска")</f>
        <v>Жоржета Димитрова Назърска</v>
      </c>
      <c r="B3111" s="10" t="str">
        <f ca="1">IFERROR(__xludf.DUMMYFUNCTION("""COMPUTED_VALUE"""),"Статия в списания и поредици")</f>
        <v>Статия в списания и поредици</v>
      </c>
      <c r="C3111" s="10" t="str">
        <f ca="1">IFERROR(__xludf.DUMMYFUNCTION("""COMPUTED_VALUE"""),"Чешките възпитанички в българския женски интелектуален елит (ХІХ – средата на ХХ в.): групов портрет и биографични скици.")</f>
        <v>Чешките възпитанички в българския женски интелектуален елит (ХІХ – средата на ХХ в.): групов портрет и биографични скици.</v>
      </c>
      <c r="D3111" s="10">
        <f ca="1">IFERROR(__xludf.DUMMYFUNCTION("""COMPUTED_VALUE"""),2015)</f>
        <v>2015</v>
      </c>
      <c r="E3111" s="10" t="str">
        <f ca="1">IFERROR(__xludf.DUMMYFUNCTION("""COMPUTED_VALUE"""),"Съвременни измерения на европейското образователно и научно пространство, т.2. – София: За буквите-О писменехь, 2015, с. 376-379.")</f>
        <v>Съвременни измерения на европейското образователно и научно пространство, т.2. – София: За буквите-О писменехь, 2015, с. 376-379.</v>
      </c>
      <c r="F3111" s="10" t="str">
        <f ca="1">IFERROR(__xludf.DUMMYFUNCTION("""COMPUTED_VALUE"""),"Национален референтен списък на НАЦИД")</f>
        <v>Национален референтен списък на НАЦИД</v>
      </c>
      <c r="G3111" s="10"/>
      <c r="H3111" s="10"/>
      <c r="I3111" s="10"/>
      <c r="J3111" s="10"/>
      <c r="K3111" s="10"/>
      <c r="L3111" s="10"/>
      <c r="M3111" s="10"/>
      <c r="N3111" s="10"/>
      <c r="O3111" s="10"/>
      <c r="P3111" s="10"/>
      <c r="Q3111" s="10"/>
      <c r="R3111" s="10"/>
      <c r="S3111" s="10"/>
      <c r="T3111" s="10"/>
      <c r="U3111" s="10"/>
      <c r="V3111" s="10"/>
      <c r="W3111" s="10"/>
      <c r="X3111" s="10"/>
      <c r="Y3111" s="10"/>
      <c r="Z3111" s="10"/>
    </row>
    <row r="3112" spans="1:26" ht="12.75">
      <c r="A3112" s="10" t="str">
        <f ca="1">IFERROR(__xludf.DUMMYFUNCTION("""COMPUTED_VALUE"""),"Жоржета Димитрова Назърска")</f>
        <v>Жоржета Димитрова Назърска</v>
      </c>
      <c r="B3112" s="10" t="str">
        <f ca="1">IFERROR(__xludf.DUMMYFUNCTION("""COMPUTED_VALUE"""),"Статия в списания и поредици")</f>
        <v>Статия в списания и поредици</v>
      </c>
      <c r="C3112" s="10" t="str">
        <f ca="1">IFERROR(__xludf.DUMMYFUNCTION("""COMPUTED_VALUE"""),"Великобритания и българските женски образовани елити (Х1Х – ХХ в.).")</f>
        <v>Великобритания и българските женски образовани елити (Х1Х – ХХ в.).</v>
      </c>
      <c r="D3112" s="10">
        <f ca="1">IFERROR(__xludf.DUMMYFUNCTION("""COMPUTED_VALUE"""),2015)</f>
        <v>2015</v>
      </c>
      <c r="E3112" s="10" t="str">
        <f ca="1">IFERROR(__xludf.DUMMYFUNCTION("""COMPUTED_VALUE"""),"Съвременни измерения на европейското образователно и научно пространство, т.3. – София: За буквите-О писменехь, 2015, с. 155-162.")</f>
        <v>Съвременни измерения на европейското образователно и научно пространство, т.3. – София: За буквите-О писменехь, 2015, с. 155-162.</v>
      </c>
      <c r="F3112" s="10"/>
      <c r="G3112" s="10"/>
      <c r="H3112" s="10"/>
      <c r="I3112" s="10"/>
      <c r="J3112" s="10"/>
      <c r="K3112" s="10"/>
      <c r="L3112" s="10"/>
      <c r="M3112" s="10"/>
      <c r="N3112" s="10"/>
      <c r="O3112" s="10"/>
      <c r="P3112" s="10"/>
      <c r="Q3112" s="10"/>
      <c r="R3112" s="10"/>
      <c r="S3112" s="10"/>
      <c r="T3112" s="10"/>
      <c r="U3112" s="10"/>
      <c r="V3112" s="10"/>
      <c r="W3112" s="10"/>
      <c r="X3112" s="10"/>
      <c r="Y3112" s="10"/>
      <c r="Z3112" s="10"/>
    </row>
    <row r="3113" spans="1:26" ht="12.75">
      <c r="A3113" s="10" t="str">
        <f ca="1">IFERROR(__xludf.DUMMYFUNCTION("""COMPUTED_VALUE"""),"Жоржета Димитрова Назърска")</f>
        <v>Жоржета Димитрова Назърска</v>
      </c>
      <c r="B3113" s="10" t="str">
        <f ca="1">IFERROR(__xludf.DUMMYFUNCTION("""COMPUTED_VALUE"""),"Статия в списания и поредици")</f>
        <v>Статия в списания и поредици</v>
      </c>
      <c r="C3113" s="10" t="str">
        <f ca="1">IFERROR(__xludf.DUMMYFUNCTION("""COMPUTED_VALUE"""),"(Само)наложени мълчания: „Пренаписване“ на биографиите на българските интелектуалки след 1944 г.")</f>
        <v>(Само)наложени мълчания: „Пренаписване“ на биографиите на българските интелектуалки след 1944 г.</v>
      </c>
      <c r="D3113" s="10">
        <f ca="1">IFERROR(__xludf.DUMMYFUNCTION("""COMPUTED_VALUE"""),2015)</f>
        <v>2015</v>
      </c>
      <c r="E3113" s="10" t="str">
        <f ca="1">IFERROR(__xludf.DUMMYFUNCTION("""COMPUTED_VALUE"""),"Балканистичен форум, 2015, №2, с. 176-184.")</f>
        <v>Балканистичен форум, 2015, №2, с. 176-184.</v>
      </c>
      <c r="F3113" s="10" t="str">
        <f ca="1">IFERROR(__xludf.DUMMYFUNCTION("""COMPUTED_VALUE"""),"Scopus
  ERIH PLUS
  eLibrary.ru
 Central andEastEuropeanOnlineLibrary")</f>
        <v>Scopus
  ERIH PLUS
  eLibrary.ru
 Central andEastEuropeanOnlineLibrary</v>
      </c>
      <c r="G3113" s="10"/>
      <c r="H3113" s="10"/>
      <c r="I3113" s="10"/>
      <c r="J3113" s="10"/>
      <c r="K3113" s="10"/>
      <c r="L3113" s="10"/>
      <c r="M3113" s="10"/>
      <c r="N3113" s="10"/>
      <c r="O3113" s="10"/>
      <c r="P3113" s="10"/>
      <c r="Q3113" s="10"/>
      <c r="R3113" s="10"/>
      <c r="S3113" s="10"/>
      <c r="T3113" s="10"/>
      <c r="U3113" s="10"/>
      <c r="V3113" s="10"/>
      <c r="W3113" s="10"/>
      <c r="X3113" s="10"/>
      <c r="Y3113" s="10"/>
      <c r="Z3113" s="10"/>
    </row>
    <row r="3114" spans="1:26" ht="12.75">
      <c r="A3114" s="10" t="str">
        <f ca="1">IFERROR(__xludf.DUMMYFUNCTION("""COMPUTED_VALUE"""),"Жоржета Димитрова Назърска")</f>
        <v>Жоржета Димитрова Назърска</v>
      </c>
      <c r="B3114" s="10" t="str">
        <f ca="1">IFERROR(__xludf.DUMMYFUNCTION("""COMPUTED_VALUE"""),"Статия в списания и поредици")</f>
        <v>Статия в списания и поредици</v>
      </c>
      <c r="C3114" s="10" t="str">
        <f ca="1">IFERROR(__xludf.DUMMYFUNCTION("""COMPUTED_VALUE"""),"Опазване и съхраняване на нематериалното културно наследство на етническите малцинства в България: проблемът с майчиния език.")</f>
        <v>Опазване и съхраняване на нематериалното културно наследство на етническите малцинства в България: проблемът с майчиния език.</v>
      </c>
      <c r="D3114" s="10">
        <f ca="1">IFERROR(__xludf.DUMMYFUNCTION("""COMPUTED_VALUE"""),2015)</f>
        <v>2015</v>
      </c>
      <c r="E3114" s="10" t="str">
        <f ca="1">IFERROR(__xludf.DUMMYFUNCTION("""COMPUTED_VALUE"""),"Съвременни измерения на европейското образователно и научно пространство, т.3. – София: За буквите-О писменехь, 2015, с. 314-320.")</f>
        <v>Съвременни измерения на европейското образователно и научно пространство, т.3. – София: За буквите-О писменехь, 2015, с. 314-320.</v>
      </c>
      <c r="F3114" s="10"/>
      <c r="G3114" s="10"/>
      <c r="H3114" s="10"/>
      <c r="I3114" s="10"/>
      <c r="J3114" s="10"/>
      <c r="K3114" s="10"/>
      <c r="L3114" s="10"/>
      <c r="M3114" s="10"/>
      <c r="N3114" s="10"/>
      <c r="O3114" s="10"/>
      <c r="P3114" s="10"/>
      <c r="Q3114" s="10"/>
      <c r="R3114" s="10"/>
      <c r="S3114" s="10"/>
      <c r="T3114" s="10"/>
      <c r="U3114" s="10"/>
      <c r="V3114" s="10"/>
      <c r="W3114" s="10"/>
      <c r="X3114" s="10"/>
      <c r="Y3114" s="10"/>
      <c r="Z3114" s="10"/>
    </row>
    <row r="3115" spans="1:26" ht="12.75">
      <c r="A3115" s="10" t="str">
        <f ca="1">IFERROR(__xludf.DUMMYFUNCTION("""COMPUTED_VALUE"""),"Жоржета Димитрова Назърска")</f>
        <v>Жоржета Димитрова Назърска</v>
      </c>
      <c r="B3115" s="10" t="str">
        <f ca="1">IFERROR(__xludf.DUMMYFUNCTION("""COMPUTED_VALUE"""),"Статия в списания и поредици")</f>
        <v>Статия в списания и поредици</v>
      </c>
      <c r="C3115" s="10" t="str">
        <f ca="1">IFERROR(__xludf.DUMMYFUNCTION("""COMPUTED_VALUE"""),"Охрана, сохранение и социализация культурно-исторического наследия евреев в Болгарии: актуальное состояние и проблемы.")</f>
        <v>Охрана, сохранение и социализация культурно-исторического наследия евреев в Болгарии: актуальное состояние и проблемы.</v>
      </c>
      <c r="D3115" s="10">
        <f ca="1">IFERROR(__xludf.DUMMYFUNCTION("""COMPUTED_VALUE"""),2015)</f>
        <v>2015</v>
      </c>
      <c r="E3115" s="10" t="str">
        <f ca="1">IFERROR(__xludf.DUMMYFUNCTION("""COMPUTED_VALUE"""),"Евреи Европы и Ближнего Востока: история, языки, традиция, культура. (Труды по иудаике, вып. 10). – Санкт-Петербург: Петербургский институт иудаики, 2015, с. 255-261.")</f>
        <v>Евреи Европы и Ближнего Востока: история, языки, традиция, культура. (Труды по иудаике, вып. 10). – Санкт-Петербург: Петербургский институт иудаики, 2015, с. 255-261.</v>
      </c>
      <c r="F3115" s="10"/>
      <c r="G3115" s="10"/>
      <c r="H3115" s="10"/>
      <c r="I3115" s="10"/>
      <c r="J3115" s="10"/>
      <c r="K3115" s="10"/>
      <c r="L3115" s="10"/>
      <c r="M3115" s="10"/>
      <c r="N3115" s="10"/>
      <c r="O3115" s="10"/>
      <c r="P3115" s="10"/>
      <c r="Q3115" s="10"/>
      <c r="R3115" s="10"/>
      <c r="S3115" s="10"/>
      <c r="T3115" s="10"/>
      <c r="U3115" s="10"/>
      <c r="V3115" s="10"/>
      <c r="W3115" s="10"/>
      <c r="X3115" s="10"/>
      <c r="Y3115" s="10"/>
      <c r="Z3115" s="10"/>
    </row>
    <row r="3116" spans="1:26" ht="12.75">
      <c r="A3116" s="10" t="str">
        <f ca="1">IFERROR(__xludf.DUMMYFUNCTION("""COMPUTED_VALUE"""),"Жоржета Димитрова Назърска")</f>
        <v>Жоржета Димитрова Назърска</v>
      </c>
      <c r="B3116" s="10" t="str">
        <f ca="1">IFERROR(__xludf.DUMMYFUNCTION("""COMPUTED_VALUE"""),"Статия в списания и поредици")</f>
        <v>Статия в списания и поредици</v>
      </c>
      <c r="C3116" s="10" t="str">
        <f ca="1">IFERROR(__xludf.DUMMYFUNCTION("""COMPUTED_VALUE"""),"Лекция приглашенных специалистов: актуальный метод в академическом обучении по религии.")</f>
        <v>Лекция приглашенных специалистов: актуальный метод в академическом обучении по религии.</v>
      </c>
      <c r="D3116" s="10">
        <f ca="1">IFERROR(__xludf.DUMMYFUNCTION("""COMPUTED_VALUE"""),2014)</f>
        <v>2014</v>
      </c>
      <c r="E3116" s="10" t="str">
        <f ca="1">IFERROR(__xludf.DUMMYFUNCTION("""COMPUTED_VALUE"""),"Урал. Православие. Культура. Кирилло-Мефодиевская традиция в культуре России: История в современности. – Челябинск: ЧГАКИ, 2014, с. 286-291")</f>
        <v>Урал. Православие. Культура. Кирилло-Мефодиевская традиция в культуре России: История в современности. – Челябинск: ЧГАКИ, 2014, с. 286-291</v>
      </c>
      <c r="F3116" s="10" t="str">
        <f ca="1">IFERROR(__xludf.DUMMYFUNCTION("""COMPUTED_VALUE"""),"РИНЦ - российский индекс научного цитирования")</f>
        <v>РИНЦ - российский индекс научного цитирования</v>
      </c>
      <c r="G3116" s="10" t="str">
        <f ca="1">IFERROR(__xludf.DUMMYFUNCTION("""COMPUTED_VALUE"""),"С.Шапкалова")</f>
        <v>С.Шапкалова</v>
      </c>
      <c r="H3116" s="10"/>
      <c r="I3116" s="10"/>
      <c r="J3116" s="10"/>
      <c r="K3116" s="10"/>
      <c r="L3116" s="10"/>
      <c r="M3116" s="10"/>
      <c r="N3116" s="10"/>
      <c r="O3116" s="10"/>
      <c r="P3116" s="10"/>
      <c r="Q3116" s="10"/>
      <c r="R3116" s="10"/>
      <c r="S3116" s="10"/>
      <c r="T3116" s="10"/>
      <c r="U3116" s="10"/>
      <c r="V3116" s="10"/>
      <c r="W3116" s="10"/>
      <c r="X3116" s="10"/>
      <c r="Y3116" s="10"/>
      <c r="Z3116" s="10"/>
    </row>
    <row r="3117" spans="1:26" ht="12.75">
      <c r="A3117" s="10" t="str">
        <f ca="1">IFERROR(__xludf.DUMMYFUNCTION("""COMPUTED_VALUE"""),"Жоржета Димитрова Назърска")</f>
        <v>Жоржета Димитрова Назърска</v>
      </c>
      <c r="B3117" s="10" t="str">
        <f ca="1">IFERROR(__xludf.DUMMYFUNCTION("""COMPUTED_VALUE"""),"Статия в списания и поредици")</f>
        <v>Статия в списания и поредици</v>
      </c>
      <c r="C3117" s="10" t="str">
        <f ca="1">IFERROR(__xludf.DUMMYFUNCTION("""COMPUTED_VALUE"""),"Елити и символен капитал: българските жени като част от националните елити с репутация, ХХ-ХХІ в")</f>
        <v>Елити и символен капитал: българските жени като част от националните елити с репутация, ХХ-ХХІ в</v>
      </c>
      <c r="D3117" s="10">
        <f ca="1">IFERROR(__xludf.DUMMYFUNCTION("""COMPUTED_VALUE"""),2014)</f>
        <v>2014</v>
      </c>
      <c r="E3117" s="10" t="str">
        <f ca="1">IFERROR(__xludf.DUMMYFUNCTION("""COMPUTED_VALUE"""),"Обществото на знанието и хуманизмът на ХХІ век. - София: За буквите-О писменехь, 2014, с. 230-237")</f>
        <v>Обществото на знанието и хуманизмът на ХХІ век. - София: За буквите-О писменехь, 2014, с. 230-237</v>
      </c>
      <c r="F3117" s="10"/>
      <c r="G3117" s="10"/>
      <c r="H3117" s="10"/>
      <c r="I3117" s="10"/>
      <c r="J3117" s="10"/>
      <c r="K3117" s="10"/>
      <c r="L3117" s="10"/>
      <c r="M3117" s="10"/>
      <c r="N3117" s="10"/>
      <c r="O3117" s="10"/>
      <c r="P3117" s="10"/>
      <c r="Q3117" s="10"/>
      <c r="R3117" s="10"/>
      <c r="S3117" s="10"/>
      <c r="T3117" s="10"/>
      <c r="U3117" s="10"/>
      <c r="V3117" s="10"/>
      <c r="W3117" s="10"/>
      <c r="X3117" s="10"/>
      <c r="Y3117" s="10"/>
      <c r="Z3117" s="10"/>
    </row>
    <row r="3118" spans="1:26" ht="12.75">
      <c r="A3118" s="10" t="str">
        <f ca="1">IFERROR(__xludf.DUMMYFUNCTION("""COMPUTED_VALUE"""),"Жоржета Димитрова Назърска")</f>
        <v>Жоржета Димитрова Назърска</v>
      </c>
      <c r="B3118" s="10" t="str">
        <f ca="1">IFERROR(__xludf.DUMMYFUNCTION("""COMPUTED_VALUE"""),"Книга")</f>
        <v>Книга</v>
      </c>
      <c r="C3118" s="10" t="str">
        <f ca="1">IFERROR(__xludf.DUMMYFUNCTION("""COMPUTED_VALUE"""),"Съвременни визии за изследване, преподаване и популяризиране на българското културно-историческо наследство")</f>
        <v>Съвременни визии за изследване, преподаване и популяризиране на българското културно-историческо наследство</v>
      </c>
      <c r="D3118" s="10">
        <f ca="1">IFERROR(__xludf.DUMMYFUNCTION("""COMPUTED_VALUE"""),2014)</f>
        <v>2014</v>
      </c>
      <c r="E3118" s="10" t="str">
        <f ca="1">IFERROR(__xludf.DUMMYFUNCTION("""COMPUTED_VALUE"""),"София: За буквите - О писменехь, 2014.")</f>
        <v>София: За буквите - О писменехь, 2014.</v>
      </c>
      <c r="F3118" s="10"/>
      <c r="G3118" s="10" t="str">
        <f ca="1">IFERROR(__xludf.DUMMYFUNCTION("""COMPUTED_VALUE"""),"С. Явашчев, М. Станева")</f>
        <v>С. Явашчев, М. Станева</v>
      </c>
      <c r="H3118" s="10"/>
      <c r="I3118" s="10"/>
      <c r="J3118" s="10"/>
      <c r="K3118" s="10"/>
      <c r="L3118" s="10"/>
      <c r="M3118" s="10"/>
      <c r="N3118" s="10"/>
      <c r="O3118" s="10"/>
      <c r="P3118" s="10"/>
      <c r="Q3118" s="10"/>
      <c r="R3118" s="10"/>
      <c r="S3118" s="10"/>
      <c r="T3118" s="10"/>
      <c r="U3118" s="10"/>
      <c r="V3118" s="10"/>
      <c r="W3118" s="10"/>
      <c r="X3118" s="10"/>
      <c r="Y3118" s="10"/>
      <c r="Z3118" s="10"/>
    </row>
    <row r="3119" spans="1:26" ht="12.75">
      <c r="A3119" s="10" t="str">
        <f ca="1">IFERROR(__xludf.DUMMYFUNCTION("""COMPUTED_VALUE"""),"Жоржета Димитрова Назърска")</f>
        <v>Жоржета Димитрова Назърска</v>
      </c>
      <c r="B3119" s="10" t="str">
        <f ca="1">IFERROR(__xludf.DUMMYFUNCTION("""COMPUTED_VALUE"""),"Статия в списания и поредици")</f>
        <v>Статия в списания и поредици</v>
      </c>
      <c r="C3119" s="10" t="str">
        <f ca="1">IFERROR(__xludf.DUMMYFUNCTION("""COMPUTED_VALUE"""),"Transferring Knowledge: Bulgarian Women Scientists in Bulgarian-German Scientific Networks (1920-1950s).")</f>
        <v>Transferring Knowledge: Bulgarian Women Scientists in Bulgarian-German Scientific Networks (1920-1950s).</v>
      </c>
      <c r="D3119" s="10">
        <f ca="1">IFERROR(__xludf.DUMMYFUNCTION("""COMPUTED_VALUE"""),2014)</f>
        <v>2014</v>
      </c>
      <c r="E3119" s="10" t="str">
        <f ca="1">IFERROR(__xludf.DUMMYFUNCTION("""COMPUTED_VALUE"""),"Zeitschrift fur Balkanologie, 2014, vol. 50, №1 (Special Issue: “Mainstream and Dissident Scientific Networks between the Balkan) pp. 13-41. ISSN 0044-2356")</f>
        <v>Zeitschrift fur Balkanologie, 2014, vol. 50, №1 (Special Issue: “Mainstream and Dissident Scientific Networks between the Balkan) pp. 13-41. ISSN 0044-2356</v>
      </c>
      <c r="F3119" s="10"/>
      <c r="G3119" s="10"/>
      <c r="H3119" s="10"/>
      <c r="I3119" s="10"/>
      <c r="J3119" s="10"/>
      <c r="K3119" s="10"/>
      <c r="L3119" s="10"/>
      <c r="M3119" s="10"/>
      <c r="N3119" s="10"/>
      <c r="O3119" s="10"/>
      <c r="P3119" s="10"/>
      <c r="Q3119" s="10"/>
      <c r="R3119" s="10"/>
      <c r="S3119" s="10"/>
      <c r="T3119" s="10"/>
      <c r="U3119" s="10"/>
      <c r="V3119" s="10"/>
      <c r="W3119" s="10"/>
      <c r="X3119" s="10"/>
      <c r="Y3119" s="10"/>
      <c r="Z3119" s="10"/>
    </row>
    <row r="3120" spans="1:26" ht="12.75">
      <c r="A3120" s="10" t="str">
        <f ca="1">IFERROR(__xludf.DUMMYFUNCTION("""COMPUTED_VALUE"""),"Жоржета Димитрова Назърска")</f>
        <v>Жоржета Димитрова Назърска</v>
      </c>
      <c r="B3120" s="10" t="str">
        <f ca="1">IFERROR(__xludf.DUMMYFUNCTION("""COMPUTED_VALUE"""),"Книга")</f>
        <v>Книга</v>
      </c>
      <c r="C3120" s="10" t="str">
        <f ca="1">IFERROR(__xludf.DUMMYFUNCTION("""COMPUTED_VALUE"""),"Науката за КИН – Scientia incognita")</f>
        <v>Науката за КИН – Scientia incognita</v>
      </c>
      <c r="D3120" s="10">
        <f ca="1">IFERROR(__xludf.DUMMYFUNCTION("""COMPUTED_VALUE"""),2014)</f>
        <v>2014</v>
      </c>
      <c r="E3120" s="10" t="str">
        <f ca="1">IFERROR(__xludf.DUMMYFUNCTION("""COMPUTED_VALUE"""),"София: За буквите - О писменехь, 2014.")</f>
        <v>София: За буквите - О писменехь, 2014.</v>
      </c>
      <c r="F3120" s="10"/>
      <c r="G3120" s="10"/>
      <c r="H3120" s="10"/>
      <c r="I3120" s="10"/>
      <c r="J3120" s="10"/>
      <c r="K3120" s="10"/>
      <c r="L3120" s="10"/>
      <c r="M3120" s="10"/>
      <c r="N3120" s="10"/>
      <c r="O3120" s="10"/>
      <c r="P3120" s="10"/>
      <c r="Q3120" s="10"/>
      <c r="R3120" s="10"/>
      <c r="S3120" s="10"/>
      <c r="T3120" s="10"/>
      <c r="U3120" s="10"/>
      <c r="V3120" s="10"/>
      <c r="W3120" s="10"/>
      <c r="X3120" s="10"/>
      <c r="Y3120" s="10"/>
      <c r="Z3120" s="10"/>
    </row>
    <row r="3121" spans="1:26" ht="12.75">
      <c r="A3121" s="10" t="str">
        <f ca="1">IFERROR(__xludf.DUMMYFUNCTION("""COMPUTED_VALUE"""),"Жоржета Димитрова Назърска")</f>
        <v>Жоржета Димитрова Назърска</v>
      </c>
      <c r="B3121" s="10" t="str">
        <f ca="1">IFERROR(__xludf.DUMMYFUNCTION("""COMPUTED_VALUE"""),"Статия в списания и поредици")</f>
        <v>Статия в списания и поредици</v>
      </c>
      <c r="C3121" s="10" t="str">
        <f ca="1">IFERROR(__xludf.DUMMYFUNCTION("""COMPUTED_VALUE"""),"Социални мрежи на българските женски образовани елити: „Римският кръг” (20-50-те години на ХХ в.).")</f>
        <v>Социални мрежи на българските женски образовани елити: „Римският кръг” (20-50-те години на ХХ в.).</v>
      </c>
      <c r="D3121" s="10">
        <f ca="1">IFERROR(__xludf.DUMMYFUNCTION("""COMPUTED_VALUE"""),2014)</f>
        <v>2014</v>
      </c>
      <c r="E3121" s="10" t="str">
        <f ca="1">IFERROR(__xludf.DUMMYFUNCTION("""COMPUTED_VALUE"""),"Научен семинар „Нови информационни технологии в образователния процес” (Камчия, 15-18.06.2013) - София: За буквите-О писменехь, 2014.")</f>
        <v>Научен семинар „Нови информационни технологии в образователния процес” (Камчия, 15-18.06.2013) - София: За буквите-О писменехь, 2014.</v>
      </c>
      <c r="F3121" s="10"/>
      <c r="G3121" s="10"/>
      <c r="H3121" s="10"/>
      <c r="I3121" s="10"/>
      <c r="J3121" s="10"/>
      <c r="K3121" s="10"/>
      <c r="L3121" s="10"/>
      <c r="M3121" s="10"/>
      <c r="N3121" s="10"/>
      <c r="O3121" s="10"/>
      <c r="P3121" s="10"/>
      <c r="Q3121" s="10"/>
      <c r="R3121" s="10"/>
      <c r="S3121" s="10"/>
      <c r="T3121" s="10"/>
      <c r="U3121" s="10"/>
      <c r="V3121" s="10"/>
      <c r="W3121" s="10"/>
      <c r="X3121" s="10"/>
      <c r="Y3121" s="10"/>
      <c r="Z3121" s="10"/>
    </row>
    <row r="3122" spans="1:26" ht="12.75">
      <c r="A3122" s="10" t="str">
        <f ca="1">IFERROR(__xludf.DUMMYFUNCTION("""COMPUTED_VALUE"""),"Жоржета Димитрова Назърска")</f>
        <v>Жоржета Димитрова Назърска</v>
      </c>
      <c r="B3122" s="10" t="str">
        <f ca="1">IFERROR(__xludf.DUMMYFUNCTION("""COMPUTED_VALUE"""),"Монография")</f>
        <v>Монография</v>
      </c>
      <c r="C3122" s="10" t="str">
        <f ca="1">IFERROR(__xludf.DUMMYFUNCTION("""COMPUTED_VALUE"""),"Културно-историческото наследство на етническите и религиозните малцинства в България: опазване, съхраняване и социализация")</f>
        <v>Културно-историческото наследство на етническите и религиозните малцинства в България: опазване, съхраняване и социализация</v>
      </c>
      <c r="D3122" s="10">
        <f ca="1">IFERROR(__xludf.DUMMYFUNCTION("""COMPUTED_VALUE"""),2014)</f>
        <v>2014</v>
      </c>
      <c r="E3122" s="10" t="str">
        <f ca="1">IFERROR(__xludf.DUMMYFUNCTION("""COMPUTED_VALUE"""),"София: За буквите-О писменехь, 2014, с. 382. ISBN 978-619-185-024-2")</f>
        <v>София: За буквите-О писменехь, 2014, с. 382. ISBN 978-619-185-024-2</v>
      </c>
      <c r="F3122" s="10"/>
      <c r="G3122" s="10"/>
      <c r="H3122" s="10"/>
      <c r="I3122" s="10"/>
      <c r="J3122" s="10"/>
      <c r="K3122" s="10"/>
      <c r="L3122" s="10"/>
      <c r="M3122" s="10"/>
      <c r="N3122" s="10"/>
      <c r="O3122" s="10"/>
      <c r="P3122" s="10"/>
      <c r="Q3122" s="10"/>
      <c r="R3122" s="10"/>
      <c r="S3122" s="10"/>
      <c r="T3122" s="10"/>
      <c r="U3122" s="10"/>
      <c r="V3122" s="10"/>
      <c r="W3122" s="10"/>
      <c r="X3122" s="10"/>
      <c r="Y3122" s="10"/>
      <c r="Z3122" s="10"/>
    </row>
    <row r="3123" spans="1:26" ht="12.75">
      <c r="A3123" s="10" t="str">
        <f ca="1">IFERROR(__xludf.DUMMYFUNCTION("""COMPUTED_VALUE"""),"Жоржета Димитрова Назърска")</f>
        <v>Жоржета Димитрова Назърска</v>
      </c>
      <c r="B3123" s="10" t="str">
        <f ca="1">IFERROR(__xludf.DUMMYFUNCTION("""COMPUTED_VALUE"""),"Учебно пособие")</f>
        <v>Учебно пособие</v>
      </c>
      <c r="C3123" s="10" t="str">
        <f ca="1">IFERROR(__xludf.DUMMYFUNCTION("""COMPUTED_VALUE"""),"Студентски дигитален архив по религиозно културно-историческо наследство,т. 3. Учебно помагало.")</f>
        <v>Студентски дигитален архив по религиозно културно-историческо наследство,т. 3. Учебно помагало.</v>
      </c>
      <c r="D3123" s="10">
        <f ca="1">IFERROR(__xludf.DUMMYFUNCTION("""COMPUTED_VALUE"""),2014)</f>
        <v>2014</v>
      </c>
      <c r="E3123" s="10" t="str">
        <f ca="1">IFERROR(__xludf.DUMMYFUNCTION("""COMPUTED_VALUE"""),"София: За буквите - О писменехь, 2014. ISBN 978-954-2946-89-2")</f>
        <v>София: За буквите - О писменехь, 2014. ISBN 978-954-2946-89-2</v>
      </c>
      <c r="F3123" s="10"/>
      <c r="G3123" s="10" t="str">
        <f ca="1">IFERROR(__xludf.DUMMYFUNCTION("""COMPUTED_VALUE"""),"С. Шапкалова")</f>
        <v>С. Шапкалова</v>
      </c>
      <c r="H3123" s="10"/>
      <c r="I3123" s="10"/>
      <c r="J3123" s="10"/>
      <c r="K3123" s="10"/>
      <c r="L3123" s="10"/>
      <c r="M3123" s="10"/>
      <c r="N3123" s="10"/>
      <c r="O3123" s="10"/>
      <c r="P3123" s="10"/>
      <c r="Q3123" s="10"/>
      <c r="R3123" s="10"/>
      <c r="S3123" s="10"/>
      <c r="T3123" s="10"/>
      <c r="U3123" s="10"/>
      <c r="V3123" s="10"/>
      <c r="W3123" s="10"/>
      <c r="X3123" s="10"/>
      <c r="Y3123" s="10"/>
      <c r="Z3123" s="10"/>
    </row>
    <row r="3124" spans="1:26" ht="12.75">
      <c r="A3124" s="10" t="str">
        <f ca="1">IFERROR(__xludf.DUMMYFUNCTION("""COMPUTED_VALUE"""),"Жоржета Димитрова Назърска")</f>
        <v>Жоржета Димитрова Назърска</v>
      </c>
      <c r="B3124" s="10" t="str">
        <f ca="1">IFERROR(__xludf.DUMMYFUNCTION("""COMPUTED_VALUE"""),"Статия в списания и поредици")</f>
        <v>Статия в списания и поредици</v>
      </c>
      <c r="C3124" s="10" t="str">
        <f ca="1">IFERROR(__xludf.DUMMYFUNCTION("""COMPUTED_VALUE"""),"Teaching Religious Pluralism and Study of Religious Cultural Heritage in Bulgarian Universities")</f>
        <v>Teaching Religious Pluralism and Study of Religious Cultural Heritage in Bulgarian Universities</v>
      </c>
      <c r="D3124" s="10">
        <f ca="1">IFERROR(__xludf.DUMMYFUNCTION("""COMPUTED_VALUE"""),2014)</f>
        <v>2014</v>
      </c>
      <c r="E3124" s="10" t="str">
        <f ca="1">IFERROR(__xludf.DUMMYFUNCTION("""COMPUTED_VALUE"""),"Open Journal of Social Sciences, 2014, vol.2, №4, pp. 184-190")</f>
        <v>Open Journal of Social Sciences, 2014, vol.2, №4, pp. 184-190</v>
      </c>
      <c r="F3124" s="10"/>
      <c r="G3124" s="10" t="str">
        <f ca="1">IFERROR(__xludf.DUMMYFUNCTION("""COMPUTED_VALUE"""),"Sv. Shapkalova")</f>
        <v>Sv. Shapkalova</v>
      </c>
      <c r="H3124" s="10"/>
      <c r="I3124" s="10"/>
      <c r="J3124" s="10"/>
      <c r="K3124" s="10"/>
      <c r="L3124" s="10"/>
      <c r="M3124" s="10"/>
      <c r="N3124" s="10"/>
      <c r="O3124" s="10"/>
      <c r="P3124" s="10"/>
      <c r="Q3124" s="10"/>
      <c r="R3124" s="10"/>
      <c r="S3124" s="10"/>
      <c r="T3124" s="10"/>
      <c r="U3124" s="10"/>
      <c r="V3124" s="10"/>
      <c r="W3124" s="10"/>
      <c r="X3124" s="10"/>
      <c r="Y3124" s="10"/>
      <c r="Z3124" s="10"/>
    </row>
    <row r="3125" spans="1:26" ht="12.75">
      <c r="A3125" s="10" t="str">
        <f ca="1">IFERROR(__xludf.DUMMYFUNCTION("""COMPUTED_VALUE"""),"Жоржета Димитрова Назърска")</f>
        <v>Жоржета Димитрова Назърска</v>
      </c>
      <c r="B3125" s="10" t="str">
        <f ca="1">IFERROR(__xludf.DUMMYFUNCTION("""COMPUTED_VALUE"""),"Статия в списания и поредици")</f>
        <v>Статия в списания и поредици</v>
      </c>
      <c r="C3125" s="10" t="str">
        <f ca="1">IFERROR(__xludf.DUMMYFUNCTION("""COMPUTED_VALUE"""),"Архивите като топографски места на памет за българските женски елити.")</f>
        <v>Архивите като топографски места на памет за българските женски елити.</v>
      </c>
      <c r="D3125" s="10">
        <f ca="1">IFERROR(__xludf.DUMMYFUNCTION("""COMPUTED_VALUE"""),2014)</f>
        <v>2014</v>
      </c>
      <c r="E3125" s="10" t="str">
        <f ca="1">IFERROR(__xludf.DUMMYFUNCTION("""COMPUTED_VALUE"""),"Научни трудове на УниБИТ, 2014, т.12, с. 199-208")</f>
        <v>Научни трудове на УниБИТ, 2014, т.12, с. 199-208</v>
      </c>
      <c r="F3125" s="10"/>
      <c r="G3125" s="10"/>
      <c r="H3125" s="10"/>
      <c r="I3125" s="10"/>
      <c r="J3125" s="10"/>
      <c r="K3125" s="10"/>
      <c r="L3125" s="10"/>
      <c r="M3125" s="10"/>
      <c r="N3125" s="10"/>
      <c r="O3125" s="10"/>
      <c r="P3125" s="10"/>
      <c r="Q3125" s="10"/>
      <c r="R3125" s="10"/>
      <c r="S3125" s="10"/>
      <c r="T3125" s="10"/>
      <c r="U3125" s="10"/>
      <c r="V3125" s="10"/>
      <c r="W3125" s="10"/>
      <c r="X3125" s="10"/>
      <c r="Y3125" s="10"/>
      <c r="Z3125" s="10"/>
    </row>
    <row r="3126" spans="1:26" ht="12.75">
      <c r="A3126" s="10" t="str">
        <f ca="1">IFERROR(__xludf.DUMMYFUNCTION("""COMPUTED_VALUE"""),"Жоржета Димитрова Назърска")</f>
        <v>Жоржета Димитрова Назърска</v>
      </c>
      <c r="B3126" s="10" t="str">
        <f ca="1">IFERROR(__xludf.DUMMYFUNCTION("""COMPUTED_VALUE"""),"Статия в списания и поредици")</f>
        <v>Статия в списания и поредици</v>
      </c>
      <c r="C3126" s="10" t="str">
        <f ca="1">IFERROR(__xludf.DUMMYFUNCTION("""COMPUTED_VALUE"""),"Искуства у очувању и заштити сакралних објеката етничких и верских мањина у Бугарској")</f>
        <v>Искуства у очувању и заштити сакралних објеката етничких и верских мањина у Бугарској</v>
      </c>
      <c r="D3126" s="10">
        <f ca="1">IFERROR(__xludf.DUMMYFUNCTION("""COMPUTED_VALUE"""),2014)</f>
        <v>2014</v>
      </c>
      <c r="E3126" s="10" t="str">
        <f ca="1">IFERROR(__xludf.DUMMYFUNCTION("""COMPUTED_VALUE"""),"Илић, Д., В. Бојков, съст. Слобода као вредност или слобода као фактор смисла живота. – Сокобањ: Народна библиотека „Стеван Сремац“, 2014, с. 7-30")</f>
        <v>Илић, Д., В. Бојков, съст. Слобода као вредност или слобода као фактор смисла живота. – Сокобањ: Народна библиотека „Стеван Сремац“, 2014, с. 7-30</v>
      </c>
      <c r="F3126" s="10"/>
      <c r="G3126" s="10"/>
      <c r="H3126" s="10"/>
      <c r="I3126" s="10"/>
      <c r="J3126" s="10"/>
      <c r="K3126" s="10"/>
      <c r="L3126" s="10"/>
      <c r="M3126" s="10"/>
      <c r="N3126" s="10"/>
      <c r="O3126" s="10"/>
      <c r="P3126" s="10"/>
      <c r="Q3126" s="10"/>
      <c r="R3126" s="10"/>
      <c r="S3126" s="10"/>
      <c r="T3126" s="10"/>
      <c r="U3126" s="10"/>
      <c r="V3126" s="10"/>
      <c r="W3126" s="10"/>
      <c r="X3126" s="10"/>
      <c r="Y3126" s="10"/>
      <c r="Z3126" s="10"/>
    </row>
    <row r="3127" spans="1:26" ht="12.75">
      <c r="A3127" s="10" t="str">
        <f ca="1">IFERROR(__xludf.DUMMYFUNCTION("""COMPUTED_VALUE"""),"Жоржета Димитрова Назърска")</f>
        <v>Жоржета Димитрова Назърска</v>
      </c>
      <c r="B3127" s="10" t="str">
        <f ca="1">IFERROR(__xludf.DUMMYFUNCTION("""COMPUTED_VALUE"""),"Статия в списания и поредици")</f>
        <v>Статия в списания и поредици</v>
      </c>
      <c r="C3127" s="10" t="str">
        <f ca="1">IFERROR(__xludf.DUMMYFUNCTION("""COMPUTED_VALUE"""),"Формирование христианских ценностей в процессе преподавании знаний о религии")</f>
        <v>Формирование христианских ценностей в процессе преподавании знаний о религии</v>
      </c>
      <c r="D3127" s="10">
        <f ca="1">IFERROR(__xludf.DUMMYFUNCTION("""COMPUTED_VALUE"""),2013)</f>
        <v>2013</v>
      </c>
      <c r="E3127" s="10" t="str">
        <f ca="1">IFERROR(__xludf.DUMMYFUNCTION("""COMPUTED_VALUE"""),"Морозова, И. Н., съст. Православное наследие в культуре России: история, актуальность диалога. Материалы Всероссийской научно-практической конференции , Челябинск, 2013, с. 367-371")</f>
        <v>Морозова, И. Н., съст. Православное наследие в культуре России: история, актуальность диалога. Материалы Всероссийской научно-практической конференции , Челябинск, 2013, с. 367-371</v>
      </c>
      <c r="F3127" s="10" t="str">
        <f ca="1">IFERROR(__xludf.DUMMYFUNCTION("""COMPUTED_VALUE"""),"РИНЦ - российский индекс научного цитирования")</f>
        <v>РИНЦ - российский индекс научного цитирования</v>
      </c>
      <c r="G3127" s="10" t="str">
        <f ca="1">IFERROR(__xludf.DUMMYFUNCTION("""COMPUTED_VALUE"""),"С.А. Шапкалова")</f>
        <v>С.А. Шапкалова</v>
      </c>
      <c r="H3127" s="10"/>
      <c r="I3127" s="10"/>
      <c r="J3127" s="10"/>
      <c r="K3127" s="10"/>
      <c r="L3127" s="10"/>
      <c r="M3127" s="10"/>
      <c r="N3127" s="10"/>
      <c r="O3127" s="10"/>
      <c r="P3127" s="10"/>
      <c r="Q3127" s="10"/>
      <c r="R3127" s="10"/>
      <c r="S3127" s="10"/>
      <c r="T3127" s="10"/>
      <c r="U3127" s="10"/>
      <c r="V3127" s="10"/>
      <c r="W3127" s="10"/>
      <c r="X3127" s="10"/>
      <c r="Y3127" s="10"/>
      <c r="Z3127" s="10"/>
    </row>
    <row r="3128" spans="1:26" ht="12.75">
      <c r="A3128" s="10" t="str">
        <f ca="1">IFERROR(__xludf.DUMMYFUNCTION("""COMPUTED_VALUE"""),"Жоржета Димитрова Назърска")</f>
        <v>Жоржета Димитрова Назърска</v>
      </c>
      <c r="B3128" s="10" t="str">
        <f ca="1">IFERROR(__xludf.DUMMYFUNCTION("""COMPUTED_VALUE"""),"Статия в списания и поредици")</f>
        <v>Статия в списания и поредици</v>
      </c>
      <c r="C3128" s="10" t="str">
        <f ca="1">IFERROR(__xludf.DUMMYFUNCTION("""COMPUTED_VALUE"""),"Bulgarian Women Intellectuals in the Collective Memory (19th-21st century).")</f>
        <v>Bulgarian Women Intellectuals in the Collective Memory (19th-21st century).</v>
      </c>
      <c r="D3128" s="10">
        <f ca="1">IFERROR(__xludf.DUMMYFUNCTION("""COMPUTED_VALUE"""),2013)</f>
        <v>2013</v>
      </c>
      <c r="E3128" s="10" t="str">
        <f ca="1">IFERROR(__xludf.DUMMYFUNCTION("""COMPUTED_VALUE"""),"Academic Journal of Interdisciplinary Studies, 2013, vol. 2, № 11, pp.48-52")</f>
        <v>Academic Journal of Interdisciplinary Studies, 2013, vol. 2, № 11, pp.48-52</v>
      </c>
      <c r="F3128" s="10"/>
      <c r="G3128" s="10"/>
      <c r="H3128" s="10"/>
      <c r="I3128" s="10"/>
      <c r="J3128" s="10"/>
      <c r="K3128" s="10"/>
      <c r="L3128" s="10"/>
      <c r="M3128" s="10"/>
      <c r="N3128" s="10"/>
      <c r="O3128" s="10"/>
      <c r="P3128" s="10"/>
      <c r="Q3128" s="10"/>
      <c r="R3128" s="10"/>
      <c r="S3128" s="10"/>
      <c r="T3128" s="10"/>
      <c r="U3128" s="10"/>
      <c r="V3128" s="10"/>
      <c r="W3128" s="10"/>
      <c r="X3128" s="10"/>
      <c r="Y3128" s="10"/>
      <c r="Z3128" s="10"/>
    </row>
    <row r="3129" spans="1:26" ht="12.75">
      <c r="A3129" s="10" t="str">
        <f ca="1">IFERROR(__xludf.DUMMYFUNCTION("""COMPUTED_VALUE"""),"Жоржета Димитрова Назърска")</f>
        <v>Жоржета Димитрова Назърска</v>
      </c>
      <c r="B3129" s="10" t="str">
        <f ca="1">IFERROR(__xludf.DUMMYFUNCTION("""COMPUTED_VALUE"""),"Статия в списания и поредици")</f>
        <v>Статия в списания и поредици</v>
      </c>
      <c r="C3129" s="10" t="str">
        <f ca="1">IFERROR(__xludf.DUMMYFUNCTION("""COMPUTED_VALUE"""),"Различната жена“: Непълноценната женственост в българския културен контекст (ХІХ-средата на ХХ в.).")</f>
        <v>Различната жена“: Непълноценната женственост в българския културен контекст (ХІХ-средата на ХХ в.).</v>
      </c>
      <c r="D3129" s="10">
        <f ca="1">IFERROR(__xludf.DUMMYFUNCTION("""COMPUTED_VALUE"""),2013)</f>
        <v>2013</v>
      </c>
      <c r="E3129" s="10" t="str">
        <f ca="1">IFERROR(__xludf.DUMMYFUNCTION("""COMPUTED_VALUE"""),"Известия на РИМ-Русе, 2013, т.17, с.89-107")</f>
        <v>Известия на РИМ-Русе, 2013, т.17, с.89-107</v>
      </c>
      <c r="F3129" s="10"/>
      <c r="G3129" s="10"/>
      <c r="H3129" s="10"/>
      <c r="I3129" s="10"/>
      <c r="J3129" s="10"/>
      <c r="K3129" s="10"/>
      <c r="L3129" s="10"/>
      <c r="M3129" s="10"/>
      <c r="N3129" s="10"/>
      <c r="O3129" s="10"/>
      <c r="P3129" s="10"/>
      <c r="Q3129" s="10"/>
      <c r="R3129" s="10"/>
      <c r="S3129" s="10"/>
      <c r="T3129" s="10"/>
      <c r="U3129" s="10"/>
      <c r="V3129" s="10"/>
      <c r="W3129" s="10"/>
      <c r="X3129" s="10"/>
      <c r="Y3129" s="10"/>
      <c r="Z3129" s="10"/>
    </row>
    <row r="3130" spans="1:26" ht="12.75">
      <c r="A3130" s="10" t="str">
        <f ca="1">IFERROR(__xludf.DUMMYFUNCTION("""COMPUTED_VALUE"""),"Жоржета Димитрова Назърска")</f>
        <v>Жоржета Димитрова Назърска</v>
      </c>
      <c r="B3130" s="10" t="str">
        <f ca="1">IFERROR(__xludf.DUMMYFUNCTION("""COMPUTED_VALUE"""),"Статия в списания и поредици")</f>
        <v>Статия в списания и поредици</v>
      </c>
      <c r="C3130" s="10" t="str">
        <f ca="1">IFERROR(__xludf.DUMMYFUNCTION("""COMPUTED_VALUE"""),"Бащи, съпрузи, любовници, ментори: мъжете в живота и кариерата на женските образовани елити в България (ХІХ-ХХ в.)")</f>
        <v>Бащи, съпрузи, любовници, ментори: мъжете в живота и кариерата на женските образовани елити в България (ХІХ-ХХ в.)</v>
      </c>
      <c r="D3130" s="10">
        <f ca="1">IFERROR(__xludf.DUMMYFUNCTION("""COMPUTED_VALUE"""),2013)</f>
        <v>2013</v>
      </c>
      <c r="E3130" s="10" t="str">
        <f ca="1">IFERROR(__xludf.DUMMYFUNCTION("""COMPUTED_VALUE"""),"Балканистичен форум, 2013, № 3, с.76-92.")</f>
        <v>Балканистичен форум, 2013, № 3, с.76-92.</v>
      </c>
      <c r="F3130" s="10" t="str">
        <f ca="1">IFERROR(__xludf.DUMMYFUNCTION("""COMPUTED_VALUE"""),"Scopus
  ERIH PLUS
  eLibrary.ru
 Central andEastEuropeanOnlineLibrary")</f>
        <v>Scopus
  ERIH PLUS
  eLibrary.ru
 Central andEastEuropeanOnlineLibrary</v>
      </c>
      <c r="G3130" s="10"/>
      <c r="H3130" s="10"/>
      <c r="I3130" s="10"/>
      <c r="J3130" s="10"/>
      <c r="K3130" s="10"/>
      <c r="L3130" s="10"/>
      <c r="M3130" s="10"/>
      <c r="N3130" s="10"/>
      <c r="O3130" s="10"/>
      <c r="P3130" s="10"/>
      <c r="Q3130" s="10"/>
      <c r="R3130" s="10"/>
      <c r="S3130" s="10"/>
      <c r="T3130" s="10"/>
      <c r="U3130" s="10"/>
      <c r="V3130" s="10"/>
      <c r="W3130" s="10"/>
      <c r="X3130" s="10"/>
      <c r="Y3130" s="10"/>
      <c r="Z3130" s="10"/>
    </row>
    <row r="3131" spans="1:26" ht="12.75">
      <c r="A3131" s="10" t="str">
        <f ca="1">IFERROR(__xludf.DUMMYFUNCTION("""COMPUTED_VALUE"""),"Жоржета Димитрова Назърска")</f>
        <v>Жоржета Димитрова Назърска</v>
      </c>
      <c r="B3131" s="10" t="str">
        <f ca="1">IFERROR(__xludf.DUMMYFUNCTION("""COMPUTED_VALUE"""),"Статия в списания и поредици")</f>
        <v>Статия в списания и поредици</v>
      </c>
      <c r="C3131" s="10" t="str">
        <f ca="1">IFERROR(__xludf.DUMMYFUNCTION("""COMPUTED_VALUE"""),"Изучение и социализации религиозного культурного и исторического наследия в вузах.")</f>
        <v>Изучение и социализации религиозного культурного и исторического наследия в вузах.</v>
      </c>
      <c r="D3131" s="10">
        <f ca="1">IFERROR(__xludf.DUMMYFUNCTION("""COMPUTED_VALUE"""),2013)</f>
        <v>2013</v>
      </c>
      <c r="E3131" s="10" t="str">
        <f ca="1">IFERROR(__xludf.DUMMYFUNCTION("""COMPUTED_VALUE"""),"Лазарева, Л.Н., съст. Шестые Лазаревские чтения „Лики традиционный культуры в начале ХХІ столетия“, ч.2. – Челябинск: ЧГАКИ, 2013, с. 85-87.")</f>
        <v>Лазарева, Л.Н., съст. Шестые Лазаревские чтения „Лики традиционный культуры в начале ХХІ столетия“, ч.2. – Челябинск: ЧГАКИ, 2013, с. 85-87.</v>
      </c>
      <c r="F3131" s="10" t="str">
        <f ca="1">IFERROR(__xludf.DUMMYFUNCTION("""COMPUTED_VALUE"""),"РИНЦ - российский индекс научного цитирования")</f>
        <v>РИНЦ - российский индекс научного цитирования</v>
      </c>
      <c r="G3131" s="10" t="str">
        <f ca="1">IFERROR(__xludf.DUMMYFUNCTION("""COMPUTED_VALUE"""),"С.А. Шапкалова")</f>
        <v>С.А. Шапкалова</v>
      </c>
      <c r="H3131" s="10"/>
      <c r="I3131" s="10"/>
      <c r="J3131" s="10"/>
      <c r="K3131" s="10"/>
      <c r="L3131" s="10"/>
      <c r="M3131" s="10"/>
      <c r="N3131" s="10"/>
      <c r="O3131" s="10"/>
      <c r="P3131" s="10"/>
      <c r="Q3131" s="10"/>
      <c r="R3131" s="10"/>
      <c r="S3131" s="10"/>
      <c r="T3131" s="10"/>
      <c r="U3131" s="10"/>
      <c r="V3131" s="10"/>
      <c r="W3131" s="10"/>
      <c r="X3131" s="10"/>
      <c r="Y3131" s="10"/>
      <c r="Z3131" s="10"/>
    </row>
    <row r="3132" spans="1:26" ht="12.75">
      <c r="A3132" s="10" t="str">
        <f ca="1">IFERROR(__xludf.DUMMYFUNCTION("""COMPUTED_VALUE"""),"Жоржета Димитрова Назърска")</f>
        <v>Жоржета Димитрова Назърска</v>
      </c>
      <c r="B3132" s="10" t="str">
        <f ca="1">IFERROR(__xludf.DUMMYFUNCTION("""COMPUTED_VALUE"""),"Статия в списания и поредици")</f>
        <v>Статия в списания и поредици</v>
      </c>
      <c r="C3132" s="10" t="str">
        <f ca="1">IFERROR(__xludf.DUMMYFUNCTION("""COMPUTED_VALUE"""),"Избирателна система и избори в Източна Румелия")</f>
        <v>Избирателна система и избори в Източна Румелия</v>
      </c>
      <c r="D3132" s="10">
        <f ca="1">IFERROR(__xludf.DUMMYFUNCTION("""COMPUTED_VALUE"""),2013)</f>
        <v>2013</v>
      </c>
      <c r="E3132" s="10" t="str">
        <f ca="1">IFERROR(__xludf.DUMMYFUNCTION("""COMPUTED_VALUE"""),"Василева, Р., С. Станчева, съст. Дигиталното настояще и дигиталното бъдеще: Икономически, културни, образователни, правни и технологични въздействия. – София: За буквите-О писменехь, 2013, с. 266-274.")</f>
        <v>Василева, Р., С. Станчева, съст. Дигиталното настояще и дигиталното бъдеще: Икономически, културни, образователни, правни и технологични въздействия. – София: За буквите-О писменехь, 2013, с. 266-274.</v>
      </c>
      <c r="F3132" s="10"/>
      <c r="G3132" s="10"/>
      <c r="H3132" s="10"/>
      <c r="I3132" s="10"/>
      <c r="J3132" s="10"/>
      <c r="K3132" s="10"/>
      <c r="L3132" s="10"/>
      <c r="M3132" s="10"/>
      <c r="N3132" s="10"/>
      <c r="O3132" s="10"/>
      <c r="P3132" s="10"/>
      <c r="Q3132" s="10"/>
      <c r="R3132" s="10"/>
      <c r="S3132" s="10"/>
      <c r="T3132" s="10"/>
      <c r="U3132" s="10"/>
      <c r="V3132" s="10"/>
      <c r="W3132" s="10"/>
      <c r="X3132" s="10"/>
      <c r="Y3132" s="10"/>
      <c r="Z3132" s="10"/>
    </row>
    <row r="3133" spans="1:26" ht="12.75">
      <c r="A3133" s="10" t="str">
        <f ca="1">IFERROR(__xludf.DUMMYFUNCTION("""COMPUTED_VALUE"""),"Жоржета Димитрова Назърска")</f>
        <v>Жоржета Димитрова Назърска</v>
      </c>
      <c r="B3133" s="10" t="str">
        <f ca="1">IFERROR(__xludf.DUMMYFUNCTION("""COMPUTED_VALUE"""),"Учебно пособие")</f>
        <v>Учебно пособие</v>
      </c>
      <c r="C3133" s="10" t="str">
        <f ca="1">IFERROR(__xludf.DUMMYFUNCTION("""COMPUTED_VALUE"""),"Студентски дигитален архив по религиозно културно-историческо наследство,т. 2. Учебно помагало.")</f>
        <v>Студентски дигитален архив по религиозно културно-историческо наследство,т. 2. Учебно помагало.</v>
      </c>
      <c r="D3133" s="10">
        <f ca="1">IFERROR(__xludf.DUMMYFUNCTION("""COMPUTED_VALUE"""),2013)</f>
        <v>2013</v>
      </c>
      <c r="E3133" s="10" t="str">
        <f ca="1">IFERROR(__xludf.DUMMYFUNCTION("""COMPUTED_VALUE"""),"София: За буквите - О писменехь, 2013 ISBN 978-954-2946-89-2")</f>
        <v>София: За буквите - О писменехь, 2013 ISBN 978-954-2946-89-2</v>
      </c>
      <c r="F3133" s="10"/>
      <c r="G3133" s="10"/>
      <c r="H3133" s="10"/>
      <c r="I3133" s="10"/>
      <c r="J3133" s="10"/>
      <c r="K3133" s="10"/>
      <c r="L3133" s="10"/>
      <c r="M3133" s="10"/>
      <c r="N3133" s="10"/>
      <c r="O3133" s="10"/>
      <c r="P3133" s="10"/>
      <c r="Q3133" s="10"/>
      <c r="R3133" s="10"/>
      <c r="S3133" s="10"/>
      <c r="T3133" s="10"/>
      <c r="U3133" s="10"/>
      <c r="V3133" s="10"/>
      <c r="W3133" s="10"/>
      <c r="X3133" s="10"/>
      <c r="Y3133" s="10"/>
      <c r="Z3133" s="10"/>
    </row>
    <row r="3134" spans="1:26" ht="12.75">
      <c r="A3134" s="10" t="str">
        <f ca="1">IFERROR(__xludf.DUMMYFUNCTION("""COMPUTED_VALUE"""),"Жоржета Димитрова Назърска")</f>
        <v>Жоржета Димитрова Назърска</v>
      </c>
      <c r="B3134" s="10" t="str">
        <f ca="1">IFERROR(__xludf.DUMMYFUNCTION("""COMPUTED_VALUE"""),"Статия в списания и поредици")</f>
        <v>Статия в списания и поредици</v>
      </c>
      <c r="C3134" s="10" t="str">
        <f ca="1">IFERROR(__xludf.DUMMYFUNCTION("""COMPUTED_VALUE"""),"Религия и комунизъм в България: Устни свидетелства за религията, Православната църква и личната религиозност през втората половина на ХХ в")</f>
        <v>Религия и комунизъм в България: Устни свидетелства за религията, Православната църква и личната религиозност през втората половина на ХХ в</v>
      </c>
      <c r="D3134" s="10">
        <f ca="1">IFERROR(__xludf.DUMMYFUNCTION("""COMPUTED_VALUE"""),2013)</f>
        <v>2013</v>
      </c>
      <c r="E3134" s="10" t="str">
        <f ca="1">IFERROR(__xludf.DUMMYFUNCTION("""COMPUTED_VALUE"""),"Лулева, А., съст. Българският ХХ век. Колективна памет и национална идентичност. – София: Гутенберг, 2013, с. 240-251")</f>
        <v>Лулева, А., съст. Българският ХХ век. Колективна памет и национална идентичност. – София: Гутенберг, 2013, с. 240-251</v>
      </c>
      <c r="F3134" s="10"/>
      <c r="G3134" s="10"/>
      <c r="H3134" s="10"/>
      <c r="I3134" s="10"/>
      <c r="J3134" s="10"/>
      <c r="K3134" s="10"/>
      <c r="L3134" s="10"/>
      <c r="M3134" s="10"/>
      <c r="N3134" s="10"/>
      <c r="O3134" s="10"/>
      <c r="P3134" s="10"/>
      <c r="Q3134" s="10"/>
      <c r="R3134" s="10"/>
      <c r="S3134" s="10"/>
      <c r="T3134" s="10"/>
      <c r="U3134" s="10"/>
      <c r="V3134" s="10"/>
      <c r="W3134" s="10"/>
      <c r="X3134" s="10"/>
      <c r="Y3134" s="10"/>
      <c r="Z3134" s="10"/>
    </row>
    <row r="3135" spans="1:26" ht="12.75">
      <c r="A3135" s="10" t="str">
        <f ca="1">IFERROR(__xludf.DUMMYFUNCTION("""COMPUTED_VALUE"""),"Жоржета Димитрова Назърска")</f>
        <v>Жоржета Димитрова Назърска</v>
      </c>
      <c r="B3135" s="10" t="str">
        <f ca="1">IFERROR(__xludf.DUMMYFUNCTION("""COMPUTED_VALUE"""),"Книга")</f>
        <v>Книга</v>
      </c>
      <c r="C3135" s="10" t="str">
        <f ca="1">IFERROR(__xludf.DUMMYFUNCTION("""COMPUTED_VALUE"""),"Нови информационни технологии в образователния процес")</f>
        <v>Нови информационни технологии в образователния процес</v>
      </c>
      <c r="D3135" s="10">
        <f ca="1">IFERROR(__xludf.DUMMYFUNCTION("""COMPUTED_VALUE"""),2013)</f>
        <v>2013</v>
      </c>
      <c r="E3135" s="10" t="str">
        <f ca="1">IFERROR(__xludf.DUMMYFUNCTION("""COMPUTED_VALUE"""),"София: За буквите - О писменехь, 2013.")</f>
        <v>София: За буквите - О писменехь, 2013.</v>
      </c>
      <c r="F3135" s="10"/>
      <c r="G3135" s="10" t="str">
        <f ca="1">IFERROR(__xludf.DUMMYFUNCTION("""COMPUTED_VALUE"""),"Б. Хинкова")</f>
        <v>Б. Хинкова</v>
      </c>
      <c r="H3135" s="10"/>
      <c r="I3135" s="10"/>
      <c r="J3135" s="10"/>
      <c r="K3135" s="10"/>
      <c r="L3135" s="10"/>
      <c r="M3135" s="10"/>
      <c r="N3135" s="10"/>
      <c r="O3135" s="10"/>
      <c r="P3135" s="10"/>
      <c r="Q3135" s="10"/>
      <c r="R3135" s="10"/>
      <c r="S3135" s="10"/>
      <c r="T3135" s="10"/>
      <c r="U3135" s="10"/>
      <c r="V3135" s="10"/>
      <c r="W3135" s="10"/>
      <c r="X3135" s="10"/>
      <c r="Y3135" s="10"/>
      <c r="Z3135" s="10"/>
    </row>
    <row r="3136" spans="1:26" ht="12.75">
      <c r="A3136" s="10" t="str">
        <f ca="1">IFERROR(__xludf.DUMMYFUNCTION("""COMPUTED_VALUE"""),"Жоржета Димитрова Назърска")</f>
        <v>Жоржета Димитрова Назърска</v>
      </c>
      <c r="B3136" s="10" t="str">
        <f ca="1">IFERROR(__xludf.DUMMYFUNCTION("""COMPUTED_VALUE"""),"Учебник")</f>
        <v>Учебник</v>
      </c>
      <c r="C3136" s="10" t="str">
        <f ca="1">IFERROR(__xludf.DUMMYFUNCTION("""COMPUTED_VALUE"""),"Религиозен плурализъм. Учебник с компакт диск за студентите от УниБИТ")</f>
        <v>Религиозен плурализъм. Учебник с компакт диск за студентите от УниБИТ</v>
      </c>
      <c r="D3136" s="10">
        <f ca="1">IFERROR(__xludf.DUMMYFUNCTION("""COMPUTED_VALUE"""),2013)</f>
        <v>2013</v>
      </c>
      <c r="E3136" s="10" t="str">
        <f ca="1">IFERROR(__xludf.DUMMYFUNCTION("""COMPUTED_VALUE"""),"За буквите-О писменехь,2013, с. 207, ISBN 978-954-2946-88-5")</f>
        <v>За буквите-О писменехь,2013, с. 207, ISBN 978-954-2946-88-5</v>
      </c>
      <c r="F3136" s="10"/>
      <c r="G3136" s="10"/>
      <c r="H3136" s="10"/>
      <c r="I3136" s="10"/>
      <c r="J3136" s="10"/>
      <c r="K3136" s="10"/>
      <c r="L3136" s="10"/>
      <c r="M3136" s="10"/>
      <c r="N3136" s="10"/>
      <c r="O3136" s="10"/>
      <c r="P3136" s="10"/>
      <c r="Q3136" s="10"/>
      <c r="R3136" s="10"/>
      <c r="S3136" s="10"/>
      <c r="T3136" s="10"/>
      <c r="U3136" s="10"/>
      <c r="V3136" s="10"/>
      <c r="W3136" s="10"/>
      <c r="X3136" s="10"/>
      <c r="Y3136" s="10"/>
      <c r="Z3136" s="10"/>
    </row>
    <row r="3137" spans="1:26" ht="12.75">
      <c r="A3137" s="10" t="str">
        <f ca="1">IFERROR(__xludf.DUMMYFUNCTION("""COMPUTED_VALUE"""),"Жоржета Димитрова Назърска")</f>
        <v>Жоржета Димитрова Назърска</v>
      </c>
      <c r="B3137" s="10" t="str">
        <f ca="1">IFERROR(__xludf.DUMMYFUNCTION("""COMPUTED_VALUE"""),"Статия в списания и поредици")</f>
        <v>Статия в списания и поредици</v>
      </c>
      <c r="C3137" s="10" t="str">
        <f ca="1">IFERROR(__xludf.DUMMYFUNCTION("""COMPUTED_VALUE"""),"Change of Gender Roles: The Participation of Bulgarian Women in World War II.")</f>
        <v>Change of Gender Roles: The Participation of Bulgarian Women in World War II.</v>
      </c>
      <c r="D3137" s="10">
        <f ca="1">IFERROR(__xludf.DUMMYFUNCTION("""COMPUTED_VALUE"""),2012)</f>
        <v>2012</v>
      </c>
      <c r="E3137" s="10" t="str">
        <f ca="1">IFERROR(__xludf.DUMMYFUNCTION("""COMPUTED_VALUE"""),"Roger, M., R. Leiserowitz, eds. Women and Men at War. A Gender Perspective on World War II and its Aftermath in Central and Eastern Europe. – Osnabruck: Fibre, 2012, pp. 179-198. ISBN-13: 978-3938400838")</f>
        <v>Roger, M., R. Leiserowitz, eds. Women and Men at War. A Gender Perspective on World War II and its Aftermath in Central and Eastern Europe. – Osnabruck: Fibre, 2012, pp. 179-198. ISBN-13: 978-3938400838</v>
      </c>
      <c r="F3137" s="10"/>
      <c r="G3137" s="10" t="str">
        <f ca="1">IFERROR(__xludf.DUMMYFUNCTION("""COMPUTED_VALUE"""),"S. Yavashchev")</f>
        <v>S. Yavashchev</v>
      </c>
      <c r="H3137" s="10"/>
      <c r="I3137" s="10"/>
      <c r="J3137" s="10"/>
      <c r="K3137" s="10"/>
      <c r="L3137" s="10"/>
      <c r="M3137" s="10"/>
      <c r="N3137" s="10"/>
      <c r="O3137" s="10"/>
      <c r="P3137" s="10"/>
      <c r="Q3137" s="10"/>
      <c r="R3137" s="10"/>
      <c r="S3137" s="10"/>
      <c r="T3137" s="10"/>
      <c r="U3137" s="10"/>
      <c r="V3137" s="10"/>
      <c r="W3137" s="10"/>
      <c r="X3137" s="10"/>
      <c r="Y3137" s="10"/>
      <c r="Z3137" s="10"/>
    </row>
    <row r="3138" spans="1:26" ht="12.75">
      <c r="A3138" s="10" t="str">
        <f ca="1">IFERROR(__xludf.DUMMYFUNCTION("""COMPUTED_VALUE"""),"Жоржета Димитрова Назърска")</f>
        <v>Жоржета Димитрова Назърска</v>
      </c>
      <c r="B3138" s="10" t="str">
        <f ca="1">IFERROR(__xludf.DUMMYFUNCTION("""COMPUTED_VALUE"""),"Учебно пособие")</f>
        <v>Учебно пособие</v>
      </c>
      <c r="C3138" s="10" t="str">
        <f ca="1">IFERROR(__xludf.DUMMYFUNCTION("""COMPUTED_VALUE"""),"Речник на религиозни понятия, термини и имена: Юдаизъм, християнство, ислям. Учебен речник")</f>
        <v>Речник на религиозни понятия, термини и имена: Юдаизъм, християнство, ислям. Учебен речник</v>
      </c>
      <c r="D3138" s="10">
        <f ca="1">IFERROR(__xludf.DUMMYFUNCTION("""COMPUTED_VALUE"""),2012)</f>
        <v>2012</v>
      </c>
      <c r="E3138" s="10" t="str">
        <f ca="1">IFERROR(__xludf.DUMMYFUNCTION("""COMPUTED_VALUE"""),"София: За буквите - О писменехь, 2012 ISBN 978-954-2946-38-0")</f>
        <v>София: За буквите - О писменехь, 2012 ISBN 978-954-2946-38-0</v>
      </c>
      <c r="F3138" s="10"/>
      <c r="G3138" s="10" t="str">
        <f ca="1">IFERROR(__xludf.DUMMYFUNCTION("""COMPUTED_VALUE"""),"С. Шапкалова")</f>
        <v>С. Шапкалова</v>
      </c>
      <c r="H3138" s="10"/>
      <c r="I3138" s="10"/>
      <c r="J3138" s="10"/>
      <c r="K3138" s="10"/>
      <c r="L3138" s="10"/>
      <c r="M3138" s="10"/>
      <c r="N3138" s="10"/>
      <c r="O3138" s="10"/>
      <c r="P3138" s="10"/>
      <c r="Q3138" s="10"/>
      <c r="R3138" s="10"/>
      <c r="S3138" s="10"/>
      <c r="T3138" s="10"/>
      <c r="U3138" s="10"/>
      <c r="V3138" s="10"/>
      <c r="W3138" s="10"/>
      <c r="X3138" s="10"/>
      <c r="Y3138" s="10"/>
      <c r="Z3138" s="10"/>
    </row>
    <row r="3139" spans="1:26" ht="12.75">
      <c r="A3139" s="10" t="str">
        <f ca="1">IFERROR(__xludf.DUMMYFUNCTION("""COMPUTED_VALUE"""),"Жоржета Димитрова Назърска")</f>
        <v>Жоржета Димитрова Назърска</v>
      </c>
      <c r="B3139" s="10" t="str">
        <f ca="1">IFERROR(__xludf.DUMMYFUNCTION("""COMPUTED_VALUE"""),"Статия в списания и поредици")</f>
        <v>Статия в списания и поредици</v>
      </c>
      <c r="C3139" s="10" t="str">
        <f ca="1">IFERROR(__xludf.DUMMYFUNCTION("""COMPUTED_VALUE"""),"Балканите като „научна периферия” или „научен център”: Академичните миграции на жените учени от Балканите (ХІХ-ХХ в.).")</f>
        <v>Балканите като „научна периферия” или „научен център”: Академичните миграции на жените учени от Балканите (ХІХ-ХХ в.).</v>
      </c>
      <c r="D3139" s="10">
        <f ca="1">IFERROR(__xludf.DUMMYFUNCTION("""COMPUTED_VALUE"""),2012)</f>
        <v>2012</v>
      </c>
      <c r="E3139" s="10" t="str">
        <f ca="1">IFERROR(__xludf.DUMMYFUNCTION("""COMPUTED_VALUE"""),"Балканистичен форум, 2012, №1, с. 37-50. ISSN 0861-8429")</f>
        <v>Балканистичен форум, 2012, №1, с. 37-50. ISSN 0861-8429</v>
      </c>
      <c r="F3139" s="10" t="str">
        <f ca="1">IFERROR(__xludf.DUMMYFUNCTION("""COMPUTED_VALUE"""),"Scopus
  ERIH PLUS
  eLibrary.ru
 Central andEastEuropeanOnlineLibrary")</f>
        <v>Scopus
  ERIH PLUS
  eLibrary.ru
 Central andEastEuropeanOnlineLibrary</v>
      </c>
      <c r="G3139" s="10"/>
      <c r="H3139" s="10"/>
      <c r="I3139" s="10"/>
      <c r="J3139" s="10"/>
      <c r="K3139" s="10"/>
      <c r="L3139" s="10"/>
      <c r="M3139" s="10"/>
      <c r="N3139" s="10"/>
      <c r="O3139" s="10"/>
      <c r="P3139" s="10"/>
      <c r="Q3139" s="10"/>
      <c r="R3139" s="10"/>
      <c r="S3139" s="10"/>
      <c r="T3139" s="10"/>
      <c r="U3139" s="10"/>
      <c r="V3139" s="10"/>
      <c r="W3139" s="10"/>
      <c r="X3139" s="10"/>
      <c r="Y3139" s="10"/>
      <c r="Z3139" s="10"/>
    </row>
    <row r="3140" spans="1:26" ht="12.75">
      <c r="A3140" s="10" t="str">
        <f ca="1">IFERROR(__xludf.DUMMYFUNCTION("""COMPUTED_VALUE"""),"Жоржета Димитрова Назърска")</f>
        <v>Жоржета Димитрова Назърска</v>
      </c>
      <c r="B3140" s="10" t="str">
        <f ca="1">IFERROR(__xludf.DUMMYFUNCTION("""COMPUTED_VALUE"""),"Статия в списания и поредици")</f>
        <v>Статия в списания и поредици</v>
      </c>
      <c r="C3140" s="10" t="str">
        <f ca="1">IFERROR(__xludf.DUMMYFUNCTION("""COMPUTED_VALUE"""),"Религиозното културно-историческо наследство в политиката на Софийската община (края на ХІХ-средата на ХХ в.).")</f>
        <v>Религиозното културно-историческо наследство в политиката на Софийската община (края на ХІХ-средата на ХХ в.).</v>
      </c>
      <c r="D3140" s="10">
        <f ca="1">IFERROR(__xludf.DUMMYFUNCTION("""COMPUTED_VALUE"""),2012)</f>
        <v>2012</v>
      </c>
      <c r="E3140" s="10" t="str">
        <f ca="1">IFERROR(__xludf.DUMMYFUNCTION("""COMPUTED_VALUE"""),"Обществото на знанието и хуманизмът на ХХІ век. - София: За буквите-О писменехь, 2012, с. 222-229. ISSN 1314-7099")</f>
        <v>Обществото на знанието и хуманизмът на ХХІ век. - София: За буквите-О писменехь, 2012, с. 222-229. ISSN 1314-7099</v>
      </c>
      <c r="F3140" s="10"/>
      <c r="G3140" s="10"/>
      <c r="H3140" s="10"/>
      <c r="I3140" s="10"/>
      <c r="J3140" s="10"/>
      <c r="K3140" s="10"/>
      <c r="L3140" s="10"/>
      <c r="M3140" s="10"/>
      <c r="N3140" s="10"/>
      <c r="O3140" s="10"/>
      <c r="P3140" s="10"/>
      <c r="Q3140" s="10"/>
      <c r="R3140" s="10"/>
      <c r="S3140" s="10"/>
      <c r="T3140" s="10"/>
      <c r="U3140" s="10"/>
      <c r="V3140" s="10"/>
      <c r="W3140" s="10"/>
      <c r="X3140" s="10"/>
      <c r="Y3140" s="10"/>
      <c r="Z3140" s="10"/>
    </row>
    <row r="3141" spans="1:26" ht="12.75">
      <c r="A3141" s="10" t="str">
        <f ca="1">IFERROR(__xludf.DUMMYFUNCTION("""COMPUTED_VALUE"""),"Жоржета Димитрова Назърска")</f>
        <v>Жоржета Димитрова Назърска</v>
      </c>
      <c r="B3141" s="10" t="str">
        <f ca="1">IFERROR(__xludf.DUMMYFUNCTION("""COMPUTED_VALUE"""),"Статия в списания и поредици")</f>
        <v>Статия в списания и поредици</v>
      </c>
      <c r="C3141" s="10" t="str">
        <f ca="1">IFERROR(__xludf.DUMMYFUNCTION("""COMPUTED_VALUE"""),"Формиране на женски интелектуални елити в България, 1879-1944: case study на Първа софийска девическа гимназия.")</f>
        <v>Формиране на женски интелектуални елити в България, 1879-1944: case study на Първа софийска девическа гимназия.</v>
      </c>
      <c r="D3141" s="10">
        <f ca="1">IFERROR(__xludf.DUMMYFUNCTION("""COMPUTED_VALUE"""),2012)</f>
        <v>2012</v>
      </c>
      <c r="E3141" s="10" t="str">
        <f ca="1">IFERROR(__xludf.DUMMYFUNCTION("""COMPUTED_VALUE"""),"Нови информационни технологии в образователния процес. - София: За буквите - О писменехь, 2012, с. 218-236. ISSN 1313-2768")</f>
        <v>Нови информационни технологии в образователния процес. - София: За буквите - О писменехь, 2012, с. 218-236. ISSN 1313-2768</v>
      </c>
      <c r="F3141" s="10"/>
      <c r="G3141" s="10"/>
      <c r="H3141" s="10"/>
      <c r="I3141" s="10"/>
      <c r="J3141" s="10"/>
      <c r="K3141" s="10"/>
      <c r="L3141" s="10"/>
      <c r="M3141" s="10"/>
      <c r="N3141" s="10"/>
      <c r="O3141" s="10"/>
      <c r="P3141" s="10"/>
      <c r="Q3141" s="10"/>
      <c r="R3141" s="10"/>
      <c r="S3141" s="10"/>
      <c r="T3141" s="10"/>
      <c r="U3141" s="10"/>
      <c r="V3141" s="10"/>
      <c r="W3141" s="10"/>
      <c r="X3141" s="10"/>
      <c r="Y3141" s="10"/>
      <c r="Z3141" s="10"/>
    </row>
    <row r="3142" spans="1:26" ht="12.75">
      <c r="A3142" s="10" t="str">
        <f ca="1">IFERROR(__xludf.DUMMYFUNCTION("""COMPUTED_VALUE"""),"Жоржета Димитрова Назърска")</f>
        <v>Жоржета Димитрова Назърска</v>
      </c>
      <c r="B3142" s="10" t="str">
        <f ca="1">IFERROR(__xludf.DUMMYFUNCTION("""COMPUTED_VALUE"""),"Учебно пособие")</f>
        <v>Учебно пособие</v>
      </c>
      <c r="C3142" s="10" t="str">
        <f ca="1">IFERROR(__xludf.DUMMYFUNCTION("""COMPUTED_VALUE"""),"Студентски дигитален архив по религиозно културно-историческо наследство,т. 1. Учебно помагало")</f>
        <v>Студентски дигитален архив по религиозно културно-историческо наследство,т. 1. Учебно помагало</v>
      </c>
      <c r="D3142" s="10">
        <f ca="1">IFERROR(__xludf.DUMMYFUNCTION("""COMPUTED_VALUE"""),2012)</f>
        <v>2012</v>
      </c>
      <c r="E3142" s="10" t="str">
        <f ca="1">IFERROR(__xludf.DUMMYFUNCTION("""COMPUTED_VALUE"""),"София: За буквите - О писменехь, 2012. ISBN 978-954-2946-37-3")</f>
        <v>София: За буквите - О писменехь, 2012. ISBN 978-954-2946-37-3</v>
      </c>
      <c r="F3142" s="10"/>
      <c r="G3142" s="10"/>
      <c r="H3142" s="10"/>
      <c r="I3142" s="10"/>
      <c r="J3142" s="10"/>
      <c r="K3142" s="10"/>
      <c r="L3142" s="10"/>
      <c r="M3142" s="10"/>
      <c r="N3142" s="10"/>
      <c r="O3142" s="10"/>
      <c r="P3142" s="10"/>
      <c r="Q3142" s="10"/>
      <c r="R3142" s="10"/>
      <c r="S3142" s="10"/>
      <c r="T3142" s="10"/>
      <c r="U3142" s="10"/>
      <c r="V3142" s="10"/>
      <c r="W3142" s="10"/>
      <c r="X3142" s="10"/>
      <c r="Y3142" s="10"/>
      <c r="Z3142" s="10"/>
    </row>
    <row r="3143" spans="1:26" ht="12.75">
      <c r="A3143" s="10" t="str">
        <f ca="1">IFERROR(__xludf.DUMMYFUNCTION("""COMPUTED_VALUE"""),"Жоржета Димитрова Назърска")</f>
        <v>Жоржета Димитрова Назърска</v>
      </c>
      <c r="B3143" s="10" t="str">
        <f ca="1">IFERROR(__xludf.DUMMYFUNCTION("""COMPUTED_VALUE"""),"Статия в списания и поредици")</f>
        <v>Статия в списания и поредици</v>
      </c>
      <c r="C3143" s="10" t="str">
        <f ca="1">IFERROR(__xludf.DUMMYFUNCTION("""COMPUTED_VALUE"""),"Работата на терен – конкурентноспособен метод в академичната подготовка по религия.")</f>
        <v>Работата на терен – конкурентноспособен метод в академичната подготовка по религия.</v>
      </c>
      <c r="D3143" s="10">
        <f ca="1">IFERROR(__xludf.DUMMYFUNCTION("""COMPUTED_VALUE"""),2012)</f>
        <v>2012</v>
      </c>
      <c r="E3143" s="10" t="str">
        <f ca="1">IFERROR(__xludf.DUMMYFUNCTION("""COMPUTED_VALUE"""),"Педагогическото образование – кариерно развитие и конкорентнособност. - Бургас, 2012, с. 82-89 ISBN 978-954-92349-9-2")</f>
        <v>Педагогическото образование – кариерно развитие и конкорентнособност. - Бургас, 2012, с. 82-89 ISBN 978-954-92349-9-2</v>
      </c>
      <c r="F3143" s="10"/>
      <c r="G3143" s="10" t="str">
        <f ca="1">IFERROR(__xludf.DUMMYFUNCTION("""COMPUTED_VALUE"""),"Св. Шапкалова")</f>
        <v>Св. Шапкалова</v>
      </c>
      <c r="H3143" s="10"/>
      <c r="I3143" s="10"/>
      <c r="J3143" s="10"/>
      <c r="K3143" s="10"/>
      <c r="L3143" s="10"/>
      <c r="M3143" s="10"/>
      <c r="N3143" s="10"/>
      <c r="O3143" s="10"/>
      <c r="P3143" s="10"/>
      <c r="Q3143" s="10"/>
      <c r="R3143" s="10"/>
      <c r="S3143" s="10"/>
      <c r="T3143" s="10"/>
      <c r="U3143" s="10"/>
      <c r="V3143" s="10"/>
      <c r="W3143" s="10"/>
      <c r="X3143" s="10"/>
      <c r="Y3143" s="10"/>
      <c r="Z3143" s="10"/>
    </row>
    <row r="3144" spans="1:26" ht="12.75">
      <c r="A3144" s="10" t="str">
        <f ca="1">IFERROR(__xludf.DUMMYFUNCTION("""COMPUTED_VALUE"""),"Жоржета Димитрова Назърска")</f>
        <v>Жоржета Димитрова Назърска</v>
      </c>
      <c r="B3144" s="10" t="str">
        <f ca="1">IFERROR(__xludf.DUMMYFUNCTION("""COMPUTED_VALUE"""),"Статия в списания и поредици")</f>
        <v>Статия в списания и поредици</v>
      </c>
      <c r="C3144" s="10" t="str">
        <f ca="1">IFERROR(__xludf.DUMMYFUNCTION("""COMPUTED_VALUE"""),"Students’ Digital Archive at the State University of Library Studies and Information Technologies, Sofia.")</f>
        <v>Students’ Digital Archive at the State University of Library Studies and Information Technologies, Sofia.</v>
      </c>
      <c r="D3144" s="10">
        <f ca="1">IFERROR(__xludf.DUMMYFUNCTION("""COMPUTED_VALUE"""),2012)</f>
        <v>2012</v>
      </c>
      <c r="E3144" s="10" t="str">
        <f ca="1">IFERROR(__xludf.DUMMYFUNCTION("""COMPUTED_VALUE"""),"Digital Presentation and Preservation of Cultural and Scientific Heritage, 2012, vol. 2, pp. 183-186. ISSN 1314-4006")</f>
        <v>Digital Presentation and Preservation of Cultural and Scientific Heritage, 2012, vol. 2, pp. 183-186. ISSN 1314-4006</v>
      </c>
      <c r="F3144" s="10"/>
      <c r="G3144" s="10"/>
      <c r="H3144" s="10"/>
      <c r="I3144" s="10"/>
      <c r="J3144" s="10"/>
      <c r="K3144" s="10"/>
      <c r="L3144" s="10"/>
      <c r="M3144" s="10"/>
      <c r="N3144" s="10"/>
      <c r="O3144" s="10"/>
      <c r="P3144" s="10"/>
      <c r="Q3144" s="10"/>
      <c r="R3144" s="10"/>
      <c r="S3144" s="10"/>
      <c r="T3144" s="10"/>
      <c r="U3144" s="10"/>
      <c r="V3144" s="10"/>
      <c r="W3144" s="10"/>
      <c r="X3144" s="10"/>
      <c r="Y3144" s="10"/>
      <c r="Z3144" s="10"/>
    </row>
    <row r="3145" spans="1:26" ht="12.75">
      <c r="A3145" s="10" t="str">
        <f ca="1">IFERROR(__xludf.DUMMYFUNCTION("""COMPUTED_VALUE"""),"Жоржета Димитрова Назърска")</f>
        <v>Жоржета Димитрова Назърска</v>
      </c>
      <c r="B3145" s="10" t="str">
        <f ca="1">IFERROR(__xludf.DUMMYFUNCTION("""COMPUTED_VALUE"""),"Статия в списания и поредици")</f>
        <v>Статия в списания и поредици</v>
      </c>
      <c r="C3145" s="10" t="str">
        <f ca="1">IFERROR(__xludf.DUMMYFUNCTION("""COMPUTED_VALUE"""),"The Balkan Medical Education and Bulgarian Physicians (1840s-1920s): Transfer of Knowledge.")</f>
        <v>The Balkan Medical Education and Bulgarian Physicians (1840s-1920s): Transfer of Knowledge.</v>
      </c>
      <c r="D3145" s="10">
        <f ca="1">IFERROR(__xludf.DUMMYFUNCTION("""COMPUTED_VALUE"""),2012)</f>
        <v>2012</v>
      </c>
      <c r="E3145" s="10" t="str">
        <f ca="1">IFERROR(__xludf.DUMMYFUNCTION("""COMPUTED_VALUE"""),"Deltos: Journal of the History of Hellenic Medicine, 2012, special issue, pp. 22-27. ISSN: 1109-3080")</f>
        <v>Deltos: Journal of the History of Hellenic Medicine, 2012, special issue, pp. 22-27. ISSN: 1109-3080</v>
      </c>
      <c r="F3145" s="10"/>
      <c r="G3145" s="10"/>
      <c r="H3145" s="10"/>
      <c r="I3145" s="10"/>
      <c r="J3145" s="10"/>
      <c r="K3145" s="10"/>
      <c r="L3145" s="10"/>
      <c r="M3145" s="10"/>
      <c r="N3145" s="10"/>
      <c r="O3145" s="10"/>
      <c r="P3145" s="10"/>
      <c r="Q3145" s="10"/>
      <c r="R3145" s="10"/>
      <c r="S3145" s="10"/>
      <c r="T3145" s="10"/>
      <c r="U3145" s="10"/>
      <c r="V3145" s="10"/>
      <c r="W3145" s="10"/>
      <c r="X3145" s="10"/>
      <c r="Y3145" s="10"/>
      <c r="Z3145" s="10"/>
    </row>
    <row r="3146" spans="1:26" ht="12.75">
      <c r="A3146" s="10" t="str">
        <f ca="1">IFERROR(__xludf.DUMMYFUNCTION("""COMPUTED_VALUE"""),"Жоржета Димитрова Назърска")</f>
        <v>Жоржета Димитрова Назърска</v>
      </c>
      <c r="B3146" s="10" t="str">
        <f ca="1">IFERROR(__xludf.DUMMYFUNCTION("""COMPUTED_VALUE"""),"Статия в списания и поредици")</f>
        <v>Статия в списания и поредици</v>
      </c>
      <c r="C3146" s="10" t="str">
        <f ca="1">IFERROR(__xludf.DUMMYFUNCTION("""COMPUTED_VALUE"""),"Youth Cultures, the Orthodox Church and Nationalist Formations in Bulgaria: Coexistence in the Postmodern Situation.")</f>
        <v>Youth Cultures, the Orthodox Church and Nationalist Formations in Bulgaria: Coexistence in the Postmodern Situation.</v>
      </c>
      <c r="D3146" s="10">
        <f ca="1">IFERROR(__xludf.DUMMYFUNCTION("""COMPUTED_VALUE"""),2012)</f>
        <v>2012</v>
      </c>
      <c r="E3146" s="10" t="str">
        <f ca="1">IFERROR(__xludf.DUMMYFUNCTION("""COMPUTED_VALUE"""),"Roth, Kl., J.Cash, J. Lauth Bacas, eds. Southeast European (Post)Modernities, part 2. Changing Forms of Identity, Religiosity, Law and Labour ( = Ethnologia Balkanica, 2012, Bd. 16), pp.179-192. ISSN 1111-0411")</f>
        <v>Roth, Kl., J.Cash, J. Lauth Bacas, eds. Southeast European (Post)Modernities, part 2. Changing Forms of Identity, Religiosity, Law and Labour ( = Ethnologia Balkanica, 2012, Bd. 16), pp.179-192. ISSN 1111-0411</v>
      </c>
      <c r="F3146" s="10" t="str">
        <f ca="1">IFERROR(__xludf.DUMMYFUNCTION("""COMPUTED_VALUE"""),"Central andEastEuropeanOnlineLibrary")</f>
        <v>Central andEastEuropeanOnlineLibrary</v>
      </c>
      <c r="G3146" s="10"/>
      <c r="H3146" s="10"/>
      <c r="I3146" s="10"/>
      <c r="J3146" s="10"/>
      <c r="K3146" s="10"/>
      <c r="L3146" s="10"/>
      <c r="M3146" s="10"/>
      <c r="N3146" s="10"/>
      <c r="O3146" s="10"/>
      <c r="P3146" s="10"/>
      <c r="Q3146" s="10"/>
      <c r="R3146" s="10"/>
      <c r="S3146" s="10"/>
      <c r="T3146" s="10"/>
      <c r="U3146" s="10"/>
      <c r="V3146" s="10"/>
      <c r="W3146" s="10"/>
      <c r="X3146" s="10"/>
      <c r="Y3146" s="10"/>
      <c r="Z3146" s="10"/>
    </row>
    <row r="3147" spans="1:26" ht="12.75">
      <c r="A3147" s="10" t="str">
        <f ca="1">IFERROR(__xludf.DUMMYFUNCTION("""COMPUTED_VALUE"""),"Жоржета Димитрова Назърска")</f>
        <v>Жоржета Димитрова Назърска</v>
      </c>
      <c r="B3147" s="10" t="str">
        <f ca="1">IFERROR(__xludf.DUMMYFUNCTION("""COMPUTED_VALUE"""),"Статия в списания и поредици")</f>
        <v>Статия в списания и поредици</v>
      </c>
      <c r="C3147" s="10" t="str">
        <f ca="1">IFERROR(__xludf.DUMMYFUNCTION("""COMPUTED_VALUE"""),"Академична и научна кариера на българските жени в чужбина.")</f>
        <v>Академична и научна кариера на българските жени в чужбина.</v>
      </c>
      <c r="D3147" s="10">
        <f ca="1">IFERROR(__xludf.DUMMYFUNCTION("""COMPUTED_VALUE"""),2012)</f>
        <v>2012</v>
      </c>
      <c r="E3147" s="10" t="str">
        <f ca="1">IFERROR(__xludf.DUMMYFUNCTION("""COMPUTED_VALUE"""),"Трудове на УниБИТ, 2012, т. 10, с. 209-226. ISSN 1314-2623")</f>
        <v>Трудове на УниБИТ, 2012, т. 10, с. 209-226. ISSN 1314-2623</v>
      </c>
      <c r="F3147" s="10"/>
      <c r="G3147" s="10"/>
      <c r="H3147" s="10"/>
      <c r="I3147" s="10"/>
      <c r="J3147" s="10"/>
      <c r="K3147" s="10"/>
      <c r="L3147" s="10"/>
      <c r="M3147" s="10"/>
      <c r="N3147" s="10"/>
      <c r="O3147" s="10"/>
      <c r="P3147" s="10"/>
      <c r="Q3147" s="10"/>
      <c r="R3147" s="10"/>
      <c r="S3147" s="10"/>
      <c r="T3147" s="10"/>
      <c r="U3147" s="10"/>
      <c r="V3147" s="10"/>
      <c r="W3147" s="10"/>
      <c r="X3147" s="10"/>
      <c r="Y3147" s="10"/>
      <c r="Z3147" s="10"/>
    </row>
    <row r="3148" spans="1:26" ht="12.75">
      <c r="A3148" s="10" t="str">
        <f ca="1">IFERROR(__xludf.DUMMYFUNCTION("""COMPUTED_VALUE"""),"Жоржета Димитрова Назърска")</f>
        <v>Жоржета Димитрова Назърска</v>
      </c>
      <c r="B3148" s="10" t="str">
        <f ca="1">IFERROR(__xludf.DUMMYFUNCTION("""COMPUTED_VALUE"""),"Статия в списания и поредици")</f>
        <v>Статия в списания и поредици</v>
      </c>
      <c r="C3148" s="10" t="str">
        <f ca="1">IFERROR(__xludf.DUMMYFUNCTION("""COMPUTED_VALUE"""),"Нощта като личен опит в автобиографичните наративи на българските жени.")</f>
        <v>Нощта като личен опит в автобиографичните наративи на българските жени.</v>
      </c>
      <c r="D3148" s="10">
        <f ca="1">IFERROR(__xludf.DUMMYFUNCTION("""COMPUTED_VALUE"""),2012)</f>
        <v>2012</v>
      </c>
      <c r="E3148" s="10" t="str">
        <f ca="1">IFERROR(__xludf.DUMMYFUNCTION("""COMPUTED_VALUE"""),"Балканистичен форум, 2012, №3, с. 150-158. ISSN 0861-8429")</f>
        <v>Балканистичен форум, 2012, №3, с. 150-158. ISSN 0861-8429</v>
      </c>
      <c r="F3148" s="10" t="str">
        <f ca="1">IFERROR(__xludf.DUMMYFUNCTION("""COMPUTED_VALUE"""),"Scopus
  ERIH PLUS
  eLibrary.ru
 Central andEastEuropeanOnlineLibrary")</f>
        <v>Scopus
  ERIH PLUS
  eLibrary.ru
 Central andEastEuropeanOnlineLibrary</v>
      </c>
      <c r="G3148" s="10"/>
      <c r="H3148" s="10"/>
      <c r="I3148" s="10"/>
      <c r="J3148" s="10"/>
      <c r="K3148" s="10"/>
      <c r="L3148" s="10"/>
      <c r="M3148" s="10"/>
      <c r="N3148" s="10"/>
      <c r="O3148" s="10"/>
      <c r="P3148" s="10"/>
      <c r="Q3148" s="10"/>
      <c r="R3148" s="10"/>
      <c r="S3148" s="10"/>
      <c r="T3148" s="10"/>
      <c r="U3148" s="10"/>
      <c r="V3148" s="10"/>
      <c r="W3148" s="10"/>
      <c r="X3148" s="10"/>
      <c r="Y3148" s="10"/>
      <c r="Z3148" s="10"/>
    </row>
    <row r="3149" spans="1:26" ht="12.75">
      <c r="A3149" s="10" t="str">
        <f ca="1">IFERROR(__xludf.DUMMYFUNCTION("""COMPUTED_VALUE"""),"Жоржета Димитрова Назърска")</f>
        <v>Жоржета Димитрова Назърска</v>
      </c>
      <c r="B3149" s="10" t="str">
        <f ca="1">IFERROR(__xludf.DUMMYFUNCTION("""COMPUTED_VALUE"""),"Книга")</f>
        <v>Книга</v>
      </c>
      <c r="C3149" s="10" t="str">
        <f ca="1">IFERROR(__xludf.DUMMYFUNCTION("""COMPUTED_VALUE"""),"Нови информационни технологии в образователния процес")</f>
        <v>Нови информационни технологии в образователния процес</v>
      </c>
      <c r="D3149" s="10">
        <f ca="1">IFERROR(__xludf.DUMMYFUNCTION("""COMPUTED_VALUE"""),2012)</f>
        <v>2012</v>
      </c>
      <c r="E3149" s="10" t="str">
        <f ca="1">IFERROR(__xludf.DUMMYFUNCTION("""COMPUTED_VALUE"""),"София: За буквите - О писменехь, 2012.")</f>
        <v>София: За буквите - О писменехь, 2012.</v>
      </c>
      <c r="F3149" s="10"/>
      <c r="G3149" s="10" t="str">
        <f ca="1">IFERROR(__xludf.DUMMYFUNCTION("""COMPUTED_VALUE"""),"Б. Хинкова")</f>
        <v>Б. Хинкова</v>
      </c>
      <c r="H3149" s="10"/>
      <c r="I3149" s="10"/>
      <c r="J3149" s="10"/>
      <c r="K3149" s="10"/>
      <c r="L3149" s="10"/>
      <c r="M3149" s="10"/>
      <c r="N3149" s="10"/>
      <c r="O3149" s="10"/>
      <c r="P3149" s="10"/>
      <c r="Q3149" s="10"/>
      <c r="R3149" s="10"/>
      <c r="S3149" s="10"/>
      <c r="T3149" s="10"/>
      <c r="U3149" s="10"/>
      <c r="V3149" s="10"/>
      <c r="W3149" s="10"/>
      <c r="X3149" s="10"/>
      <c r="Y3149" s="10"/>
      <c r="Z3149" s="10"/>
    </row>
    <row r="3150" spans="1:26" ht="12.75">
      <c r="A3150" s="10" t="str">
        <f ca="1">IFERROR(__xludf.DUMMYFUNCTION("""COMPUTED_VALUE"""),"Жоржета Димитрова Назърска")</f>
        <v>Жоржета Димитрова Назърска</v>
      </c>
      <c r="B3150" s="10" t="str">
        <f ca="1">IFERROR(__xludf.DUMMYFUNCTION("""COMPUTED_VALUE"""),"Книга")</f>
        <v>Книга</v>
      </c>
      <c r="C3150" s="10" t="str">
        <f ca="1">IFERROR(__xludf.DUMMYFUNCTION("""COMPUTED_VALUE"""),"Чуждестранни иновативни модели и добри практики от областта на библиотекознанието, печатните комуникации и културно-историческото наследство")</f>
        <v>Чуждестранни иновативни модели и добри практики от областта на библиотекознанието, печатните комуникации и културно-историческото наследство</v>
      </c>
      <c r="D3150" s="10">
        <f ca="1">IFERROR(__xludf.DUMMYFUNCTION("""COMPUTED_VALUE"""),2012)</f>
        <v>2012</v>
      </c>
      <c r="E3150" s="10" t="str">
        <f ca="1">IFERROR(__xludf.DUMMYFUNCTION("""COMPUTED_VALUE"""),"София: За буквите - О писменехь, 2012.")</f>
        <v>София: За буквите - О писменехь, 2012.</v>
      </c>
      <c r="F3150" s="10"/>
      <c r="G3150" s="10" t="str">
        <f ca="1">IFERROR(__xludf.DUMMYFUNCTION("""COMPUTED_VALUE"""),"И. Янкова")</f>
        <v>И. Янкова</v>
      </c>
      <c r="H3150" s="10"/>
      <c r="I3150" s="10"/>
      <c r="J3150" s="10"/>
      <c r="K3150" s="10"/>
      <c r="L3150" s="10"/>
      <c r="M3150" s="10"/>
      <c r="N3150" s="10"/>
      <c r="O3150" s="10"/>
      <c r="P3150" s="10"/>
      <c r="Q3150" s="10"/>
      <c r="R3150" s="10"/>
      <c r="S3150" s="10"/>
      <c r="T3150" s="10"/>
      <c r="U3150" s="10"/>
      <c r="V3150" s="10"/>
      <c r="W3150" s="10"/>
      <c r="X3150" s="10"/>
      <c r="Y3150" s="10"/>
      <c r="Z3150" s="10"/>
    </row>
    <row r="3151" spans="1:26" ht="12.75">
      <c r="A3151" s="10" t="str">
        <f ca="1">IFERROR(__xludf.DUMMYFUNCTION("""COMPUTED_VALUE"""),"Жоржета Димитрова Назърска")</f>
        <v>Жоржета Димитрова Назърска</v>
      </c>
      <c r="B3151" s="10" t="str">
        <f ca="1">IFERROR(__xludf.DUMMYFUNCTION("""COMPUTED_VALUE"""),"Студия")</f>
        <v>Студия</v>
      </c>
      <c r="C3151" s="10" t="str">
        <f ca="1">IFERROR(__xludf.DUMMYFUNCTION("""COMPUTED_VALUE"""),"Gender, Migrations and Intercultural Interactions: Policy Analysis on Bulgaria (1990-2010).")</f>
        <v>Gender, Migrations and Intercultural Interactions: Policy Analysis on Bulgaria (1990-2010).</v>
      </c>
      <c r="D3151" s="10">
        <f ca="1">IFERROR(__xludf.DUMMYFUNCTION("""COMPUTED_VALUE"""),2011)</f>
        <v>2011</v>
      </c>
      <c r="E3151" s="10" t="str">
        <f ca="1">IFERROR(__xludf.DUMMYFUNCTION("""COMPUTED_VALUE"""),"Hajdinjak, M., ed. Migrations, Gender and Intercultural Interactions in Bulgaria. – Sofia: IMIR, 2011, pр. 61-111")</f>
        <v>Hajdinjak, M., ed. Migrations, Gender and Intercultural Interactions in Bulgaria. – Sofia: IMIR, 2011, pр. 61-111</v>
      </c>
      <c r="F3151" s="10"/>
      <c r="G3151" s="10" t="str">
        <f ca="1">IFERROR(__xludf.DUMMYFUNCTION("""COMPUTED_VALUE"""),"M. Hajdinjak")</f>
        <v>M. Hajdinjak</v>
      </c>
      <c r="H3151" s="10"/>
      <c r="I3151" s="10"/>
      <c r="J3151" s="10"/>
      <c r="K3151" s="10"/>
      <c r="L3151" s="10"/>
      <c r="M3151" s="10"/>
      <c r="N3151" s="10"/>
      <c r="O3151" s="10"/>
      <c r="P3151" s="10"/>
      <c r="Q3151" s="10"/>
      <c r="R3151" s="10"/>
      <c r="S3151" s="10"/>
      <c r="T3151" s="10"/>
      <c r="U3151" s="10"/>
      <c r="V3151" s="10"/>
      <c r="W3151" s="10"/>
      <c r="X3151" s="10"/>
      <c r="Y3151" s="10"/>
      <c r="Z3151" s="10"/>
    </row>
    <row r="3152" spans="1:26" ht="12.75">
      <c r="A3152" s="10" t="str">
        <f ca="1">IFERROR(__xludf.DUMMYFUNCTION("""COMPUTED_VALUE"""),"Жоржета Димитрова Назърска")</f>
        <v>Жоржета Димитрова Назърска</v>
      </c>
      <c r="B3152" s="10" t="str">
        <f ca="1">IFERROR(__xludf.DUMMYFUNCTION("""COMPUTED_VALUE"""),"Книга")</f>
        <v>Книга</v>
      </c>
      <c r="C3152" s="10" t="str">
        <f ca="1">IFERROR(__xludf.DUMMYFUNCTION("""COMPUTED_VALUE"""),"Ethnic and Religious Tolerance. Civil Society in South East Europe")</f>
        <v>Ethnic and Religious Tolerance. Civil Society in South East Europe</v>
      </c>
      <c r="D3152" s="10">
        <f ca="1">IFERROR(__xludf.DUMMYFUNCTION("""COMPUTED_VALUE"""),2011)</f>
        <v>2011</v>
      </c>
      <c r="E3152" s="10" t="str">
        <f ca="1">IFERROR(__xludf.DUMMYFUNCTION("""COMPUTED_VALUE"""),"Sofia: За буквите-О писменехь, 2011. ISBN 978-954-2946-02-1")</f>
        <v>Sofia: За буквите-О писменехь, 2011. ISBN 978-954-2946-02-1</v>
      </c>
      <c r="F3152" s="10"/>
      <c r="G3152" s="10" t="str">
        <f ca="1">IFERROR(__xludf.DUMMYFUNCTION("""COMPUTED_VALUE"""),"Denchev, S., B. Rama, D. Ivanov, M. Mizov")</f>
        <v>Denchev, S., B. Rama, D. Ivanov, M. Mizov</v>
      </c>
      <c r="H3152" s="10"/>
      <c r="I3152" s="10"/>
      <c r="J3152" s="10"/>
      <c r="K3152" s="10"/>
      <c r="L3152" s="10"/>
      <c r="M3152" s="10"/>
      <c r="N3152" s="10"/>
      <c r="O3152" s="10"/>
      <c r="P3152" s="10"/>
      <c r="Q3152" s="10"/>
      <c r="R3152" s="10"/>
      <c r="S3152" s="10"/>
      <c r="T3152" s="10"/>
      <c r="U3152" s="10"/>
      <c r="V3152" s="10"/>
      <c r="W3152" s="10"/>
      <c r="X3152" s="10"/>
      <c r="Y3152" s="10"/>
      <c r="Z3152" s="10"/>
    </row>
    <row r="3153" spans="1:26" ht="12.75">
      <c r="A3153" s="10" t="str">
        <f ca="1">IFERROR(__xludf.DUMMYFUNCTION("""COMPUTED_VALUE"""),"Жоржета Димитрова Назърска")</f>
        <v>Жоржета Димитрова Назърска</v>
      </c>
      <c r="B3153" s="10" t="str">
        <f ca="1">IFERROR(__xludf.DUMMYFUNCTION("""COMPUTED_VALUE"""),"Книга")</f>
        <v>Книга</v>
      </c>
      <c r="C3153" s="10" t="str">
        <f ca="1">IFERROR(__xludf.DUMMYFUNCTION("""COMPUTED_VALUE"""),"Нови информационни технологии в образователния процес")</f>
        <v>Нови информационни технологии в образователния процес</v>
      </c>
      <c r="D3153" s="10">
        <f ca="1">IFERROR(__xludf.DUMMYFUNCTION("""COMPUTED_VALUE"""),2011)</f>
        <v>2011</v>
      </c>
      <c r="E3153" s="10" t="str">
        <f ca="1">IFERROR(__xludf.DUMMYFUNCTION("""COMPUTED_VALUE"""),"София: За буквите - О писменехь, 2011.")</f>
        <v>София: За буквите - О писменехь, 2011.</v>
      </c>
      <c r="F3153" s="10"/>
      <c r="G3153" s="10" t="str">
        <f ca="1">IFERROR(__xludf.DUMMYFUNCTION("""COMPUTED_VALUE"""),"Б. Хинкова")</f>
        <v>Б. Хинкова</v>
      </c>
      <c r="H3153" s="10"/>
      <c r="I3153" s="10"/>
      <c r="J3153" s="10"/>
      <c r="K3153" s="10"/>
      <c r="L3153" s="10"/>
      <c r="M3153" s="10"/>
      <c r="N3153" s="10"/>
      <c r="O3153" s="10"/>
      <c r="P3153" s="10"/>
      <c r="Q3153" s="10"/>
      <c r="R3153" s="10"/>
      <c r="S3153" s="10"/>
      <c r="T3153" s="10"/>
      <c r="U3153" s="10"/>
      <c r="V3153" s="10"/>
      <c r="W3153" s="10"/>
      <c r="X3153" s="10"/>
      <c r="Y3153" s="10"/>
      <c r="Z3153" s="10"/>
    </row>
    <row r="3154" spans="1:26" ht="12.75">
      <c r="A3154" s="10" t="str">
        <f ca="1">IFERROR(__xludf.DUMMYFUNCTION("""COMPUTED_VALUE"""),"Жоржета Димитрова Назърска")</f>
        <v>Жоржета Димитрова Назърска</v>
      </c>
      <c r="B3154" s="10" t="str">
        <f ca="1">IFERROR(__xludf.DUMMYFUNCTION("""COMPUTED_VALUE"""),"Учебно пособие")</f>
        <v>Учебно пособие</v>
      </c>
      <c r="C3154" s="10" t="str">
        <f ca="1">IFERROR(__xludf.DUMMYFUNCTION("""COMPUTED_VALUE"""),"Академично писане. Учебно помагало")</f>
        <v>Академично писане. Учебно помагало</v>
      </c>
      <c r="D3154" s="10">
        <f ca="1">IFERROR(__xludf.DUMMYFUNCTION("""COMPUTED_VALUE"""),2011)</f>
        <v>2011</v>
      </c>
      <c r="E3154" s="10" t="str">
        <f ca="1">IFERROR(__xludf.DUMMYFUNCTION("""COMPUTED_VALUE"""),"София: За буквите - О писменехь, 2011, с. 102, ISBN 978-954-2946-03-8")</f>
        <v>София: За буквите - О писменехь, 2011, с. 102, ISBN 978-954-2946-03-8</v>
      </c>
      <c r="F3154" s="10"/>
      <c r="G3154" s="10"/>
      <c r="H3154" s="10"/>
      <c r="I3154" s="10"/>
      <c r="J3154" s="10"/>
      <c r="K3154" s="10"/>
      <c r="L3154" s="10"/>
      <c r="M3154" s="10"/>
      <c r="N3154" s="10"/>
      <c r="O3154" s="10"/>
      <c r="P3154" s="10"/>
      <c r="Q3154" s="10"/>
      <c r="R3154" s="10"/>
      <c r="S3154" s="10"/>
      <c r="T3154" s="10"/>
      <c r="U3154" s="10"/>
      <c r="V3154" s="10"/>
      <c r="W3154" s="10"/>
      <c r="X3154" s="10"/>
      <c r="Y3154" s="10"/>
      <c r="Z3154" s="10"/>
    </row>
    <row r="3155" spans="1:26" ht="12.75">
      <c r="A3155" s="10" t="str">
        <f ca="1">IFERROR(__xludf.DUMMYFUNCTION("""COMPUTED_VALUE"""),"Жоржета Димитрова Назърска")</f>
        <v>Жоржета Димитрова Назърска</v>
      </c>
      <c r="B3155" s="10" t="str">
        <f ca="1">IFERROR(__xludf.DUMMYFUNCTION("""COMPUTED_VALUE"""),"Статия в списания и поредици")</f>
        <v>Статия в списания и поредици</v>
      </c>
      <c r="C3155" s="10" t="str">
        <f ca="1">IFERROR(__xludf.DUMMYFUNCTION("""COMPUTED_VALUE"""),"Време на академична несвобода: Катедрата по немска филология в Софийския университет (1946-1956)")</f>
        <v>Време на академична несвобода: Катедрата по немска филология в Софийския университет (1946-1956)</v>
      </c>
      <c r="D3155" s="10">
        <f ca="1">IFERROR(__xludf.DUMMYFUNCTION("""COMPUTED_VALUE"""),2011)</f>
        <v>2011</v>
      </c>
      <c r="E3155" s="10" t="str">
        <f ca="1">IFERROR(__xludf.DUMMYFUNCTION("""COMPUTED_VALUE"""),"Балканистичен форум, 2011, № 1, с. 98-112")</f>
        <v>Балканистичен форум, 2011, № 1, с. 98-112</v>
      </c>
      <c r="F3155" s="10" t="str">
        <f ca="1">IFERROR(__xludf.DUMMYFUNCTION("""COMPUTED_VALUE"""),"Scopus
  ERIH PLUS
  eLibrary.ru
 Central andEastEuropeanOnlineLibrary")</f>
        <v>Scopus
  ERIH PLUS
  eLibrary.ru
 Central andEastEuropeanOnlineLibrary</v>
      </c>
      <c r="G3155" s="10"/>
      <c r="H3155" s="10"/>
      <c r="I3155" s="10"/>
      <c r="J3155" s="10"/>
      <c r="K3155" s="10"/>
      <c r="L3155" s="10"/>
      <c r="M3155" s="10"/>
      <c r="N3155" s="10"/>
      <c r="O3155" s="10"/>
      <c r="P3155" s="10"/>
      <c r="Q3155" s="10"/>
      <c r="R3155" s="10"/>
      <c r="S3155" s="10"/>
      <c r="T3155" s="10"/>
      <c r="U3155" s="10"/>
      <c r="V3155" s="10"/>
      <c r="W3155" s="10"/>
      <c r="X3155" s="10"/>
      <c r="Y3155" s="10"/>
      <c r="Z3155" s="10"/>
    </row>
    <row r="3156" spans="1:26" ht="12.75">
      <c r="A3156" s="10" t="str">
        <f ca="1">IFERROR(__xludf.DUMMYFUNCTION("""COMPUTED_VALUE"""),"Жоржета Димитрова Назърска")</f>
        <v>Жоржета Димитрова Назърска</v>
      </c>
      <c r="B3156" s="10" t="str">
        <f ca="1">IFERROR(__xludf.DUMMYFUNCTION("""COMPUTED_VALUE"""),"Статия в списания и поредици")</f>
        <v>Статия в списания и поредици</v>
      </c>
      <c r="C3156" s="10" t="str">
        <f ca="1">IFERROR(__xludf.DUMMYFUNCTION("""COMPUTED_VALUE"""),"Четири рода, четири поколения, пет жени: предаване на културната традиция в родовете Шилеви, Чардафонови, Акрабови и Жандови")</f>
        <v>Четири рода, четири поколения, пет жени: предаване на културната традиция в родовете Шилеви, Чардафонови, Акрабови и Жандови</v>
      </c>
      <c r="D3156" s="10">
        <f ca="1">IFERROR(__xludf.DUMMYFUNCTION("""COMPUTED_VALUE"""),2011)</f>
        <v>2011</v>
      </c>
      <c r="E3156" s="10" t="str">
        <f ca="1">IFERROR(__xludf.DUMMYFUNCTION("""COMPUTED_VALUE"""),"Известия на РИМ-Ст. Загора, 2011, т. 4 (Личността в историята), с. 507-520.")</f>
        <v>Известия на РИМ-Ст. Загора, 2011, т. 4 (Личността в историята), с. 507-520.</v>
      </c>
      <c r="F3156" s="10"/>
      <c r="G3156" s="10"/>
      <c r="H3156" s="10"/>
      <c r="I3156" s="10"/>
      <c r="J3156" s="10"/>
      <c r="K3156" s="10"/>
      <c r="L3156" s="10"/>
      <c r="M3156" s="10"/>
      <c r="N3156" s="10"/>
      <c r="O3156" s="10"/>
      <c r="P3156" s="10"/>
      <c r="Q3156" s="10"/>
      <c r="R3156" s="10"/>
      <c r="S3156" s="10"/>
      <c r="T3156" s="10"/>
      <c r="U3156" s="10"/>
      <c r="V3156" s="10"/>
      <c r="W3156" s="10"/>
      <c r="X3156" s="10"/>
      <c r="Y3156" s="10"/>
      <c r="Z3156" s="10"/>
    </row>
    <row r="3157" spans="1:26" ht="12.75">
      <c r="A3157" s="10" t="str">
        <f ca="1">IFERROR(__xludf.DUMMYFUNCTION("""COMPUTED_VALUE"""),"Жоржета Димитрова Назърска")</f>
        <v>Жоржета Димитрова Назърска</v>
      </c>
      <c r="B3157" s="10"/>
      <c r="C3157" s="10" t="str">
        <f ca="1">IFERROR(__xludf.DUMMYFUNCTION("""COMPUTED_VALUE"""),"Social Distances and Social Stereotypes towards Immigrants: the Example of Mixed Marriages in Present Bulgaria")</f>
        <v>Social Distances and Social Stereotypes towards Immigrants: the Example of Mixed Marriages in Present Bulgaria</v>
      </c>
      <c r="D3157" s="10">
        <f ca="1">IFERROR(__xludf.DUMMYFUNCTION("""COMPUTED_VALUE"""),2011)</f>
        <v>2011</v>
      </c>
      <c r="E3157" s="10" t="str">
        <f ca="1">IFERROR(__xludf.DUMMYFUNCTION("""COMPUTED_VALUE"""),"Denchev, S., B. Rama, D. Ivanov, M. Mizov, G. Nazarska, eds. Ethnic and Religious Tolerance. Civil Society in South East Europe. – Sofia: За буквите-О писменехь, 2011, pp. 102-110")</f>
        <v>Denchev, S., B. Rama, D. Ivanov, M. Mizov, G. Nazarska, eds. Ethnic and Religious Tolerance. Civil Society in South East Europe. – Sofia: За буквите-О писменехь, 2011, pp. 102-110</v>
      </c>
      <c r="F3157" s="10"/>
      <c r="G3157" s="10" t="str">
        <f ca="1">IFERROR(__xludf.DUMMYFUNCTION("""COMPUTED_VALUE"""),"Denchev, S., B. Rama, D. Ivanov, M. Mizov")</f>
        <v>Denchev, S., B. Rama, D. Ivanov, M. Mizov</v>
      </c>
      <c r="H3157" s="10"/>
      <c r="I3157" s="10"/>
      <c r="J3157" s="10"/>
      <c r="K3157" s="10"/>
      <c r="L3157" s="10"/>
      <c r="M3157" s="10"/>
      <c r="N3157" s="10"/>
      <c r="O3157" s="10"/>
      <c r="P3157" s="10"/>
      <c r="Q3157" s="10"/>
      <c r="R3157" s="10"/>
      <c r="S3157" s="10"/>
      <c r="T3157" s="10"/>
      <c r="U3157" s="10"/>
      <c r="V3157" s="10"/>
      <c r="W3157" s="10"/>
      <c r="X3157" s="10"/>
      <c r="Y3157" s="10"/>
      <c r="Z3157" s="10"/>
    </row>
    <row r="3158" spans="1:26" ht="12.75">
      <c r="A3158" s="10" t="str">
        <f ca="1">IFERROR(__xludf.DUMMYFUNCTION("""COMPUTED_VALUE"""),"Жоржета Димитрова Назърска")</f>
        <v>Жоржета Димитрова Назърска</v>
      </c>
      <c r="B3158" s="10" t="str">
        <f ca="1">IFERROR(__xludf.DUMMYFUNCTION("""COMPUTED_VALUE"""),"Студия")</f>
        <v>Студия</v>
      </c>
      <c r="C3158" s="10" t="str">
        <f ca="1">IFERROR(__xludf.DUMMYFUNCTION("""COMPUTED_VALUE"""),"Invisible Engines of Change and Self-Sacrificing Tradition-Breakers: Mixed and Transnational Families in Bulgaria, Greece And Turkey")</f>
        <v>Invisible Engines of Change and Self-Sacrificing Tradition-Breakers: Mixed and Transnational Families in Bulgaria, Greece And Turkey</v>
      </c>
      <c r="D3158" s="10">
        <f ca="1">IFERROR(__xludf.DUMMYFUNCTION("""COMPUTED_VALUE"""),2011)</f>
        <v>2011</v>
      </c>
      <c r="E3158" s="10" t="str">
        <f ca="1">IFERROR(__xludf.DUMMYFUNCTION("""COMPUTED_VALUE"""),"Hajdinjak, M., ed. Migrations, Gender and Intercultural Interactions in Bulgaria. – Sofia: IMIR, 2011, pр. 193-253")</f>
        <v>Hajdinjak, M., ed. Migrations, Gender and Intercultural Interactions in Bulgaria. – Sofia: IMIR, 2011, pр. 193-253</v>
      </c>
      <c r="F3158" s="10"/>
      <c r="G3158" s="10" t="str">
        <f ca="1">IFERROR(__xludf.DUMMYFUNCTION("""COMPUTED_VALUE"""),"Hajdinjak, M.,")</f>
        <v>Hajdinjak, M.,</v>
      </c>
      <c r="H3158" s="10"/>
      <c r="I3158" s="10"/>
      <c r="J3158" s="10"/>
      <c r="K3158" s="10"/>
      <c r="L3158" s="10"/>
      <c r="M3158" s="10"/>
      <c r="N3158" s="10"/>
      <c r="O3158" s="10"/>
      <c r="P3158" s="10"/>
      <c r="Q3158" s="10"/>
      <c r="R3158" s="10"/>
      <c r="S3158" s="10"/>
      <c r="T3158" s="10"/>
      <c r="U3158" s="10"/>
      <c r="V3158" s="10"/>
      <c r="W3158" s="10"/>
      <c r="X3158" s="10"/>
      <c r="Y3158" s="10"/>
      <c r="Z3158" s="10"/>
    </row>
    <row r="3159" spans="1:26" ht="12.75">
      <c r="A3159" s="10" t="str">
        <f ca="1">IFERROR(__xludf.DUMMYFUNCTION("""COMPUTED_VALUE"""),"Жоржета Димитрова Назърска")</f>
        <v>Жоржета Димитрова Назърска</v>
      </c>
      <c r="B3159" s="10" t="str">
        <f ca="1">IFERROR(__xludf.DUMMYFUNCTION("""COMPUTED_VALUE"""),"Статия в списания и поредици")</f>
        <v>Статия в списания и поредици</v>
      </c>
      <c r="C3159" s="10" t="str">
        <f ca="1">IFERROR(__xludf.DUMMYFUNCTION("""COMPUTED_VALUE"""),"Участие на българските жени учени в научни мрежи (1919 - 1944)")</f>
        <v>Участие на българските жени учени в научни мрежи (1919 - 1944)</v>
      </c>
      <c r="D3159" s="10">
        <f ca="1">IFERROR(__xludf.DUMMYFUNCTION("""COMPUTED_VALUE"""),2011)</f>
        <v>2011</v>
      </c>
      <c r="E3159" s="10" t="str">
        <f ca="1">IFERROR(__xludf.DUMMYFUNCTION("""COMPUTED_VALUE"""),"История, 2011, № 2, с. 24-33.")</f>
        <v>История, 2011, № 2, с. 24-33.</v>
      </c>
      <c r="F3159" s="10"/>
      <c r="G3159" s="10"/>
      <c r="H3159" s="10"/>
      <c r="I3159" s="10"/>
      <c r="J3159" s="10"/>
      <c r="K3159" s="10"/>
      <c r="L3159" s="10"/>
      <c r="M3159" s="10"/>
      <c r="N3159" s="10"/>
      <c r="O3159" s="10"/>
      <c r="P3159" s="10"/>
      <c r="Q3159" s="10"/>
      <c r="R3159" s="10"/>
      <c r="S3159" s="10"/>
      <c r="T3159" s="10"/>
      <c r="U3159" s="10"/>
      <c r="V3159" s="10"/>
      <c r="W3159" s="10"/>
      <c r="X3159" s="10"/>
      <c r="Y3159" s="10"/>
      <c r="Z3159" s="10"/>
    </row>
    <row r="3160" spans="1:26" ht="12.75">
      <c r="A3160" s="10" t="str">
        <f ca="1">IFERROR(__xludf.DUMMYFUNCTION("""COMPUTED_VALUE"""),"Жоржета Димитрова Назърска")</f>
        <v>Жоржета Димитрова Назърска</v>
      </c>
      <c r="B3160" s="10" t="str">
        <f ca="1">IFERROR(__xludf.DUMMYFUNCTION("""COMPUTED_VALUE"""),"Статия в списания и поредици")</f>
        <v>Статия в списания и поредици</v>
      </c>
      <c r="C3160" s="10" t="str">
        <f ca="1">IFERROR(__xludf.DUMMYFUNCTION("""COMPUTED_VALUE"""),"Information Literacy in a Multicultural Society: the Role of Libraries in Present Bulgaria")</f>
        <v>Information Literacy in a Multicultural Society: the Role of Libraries in Present Bulgaria</v>
      </c>
      <c r="D3160" s="10">
        <f ca="1">IFERROR(__xludf.DUMMYFUNCTION("""COMPUTED_VALUE"""),2011)</f>
        <v>2011</v>
      </c>
      <c r="E3160" s="10" t="str">
        <f ca="1">IFERROR(__xludf.DUMMYFUNCTION("""COMPUTED_VALUE"""),"IFLA, 2011, ˂http://conference.ifla.org/ifla77˃")</f>
        <v>IFLA, 2011, ˂http://conference.ifla.org/ifla77˃</v>
      </c>
      <c r="F3160" s="10"/>
      <c r="G3160" s="10" t="str">
        <f ca="1">IFERROR(__xludf.DUMMYFUNCTION("""COMPUTED_VALUE"""),"E. Rusinova")</f>
        <v>E. Rusinova</v>
      </c>
      <c r="H3160" s="10"/>
      <c r="I3160" s="10"/>
      <c r="J3160" s="10"/>
      <c r="K3160" s="10"/>
      <c r="L3160" s="10"/>
      <c r="M3160" s="10"/>
      <c r="N3160" s="10"/>
      <c r="O3160" s="10"/>
      <c r="P3160" s="10"/>
      <c r="Q3160" s="10"/>
      <c r="R3160" s="10"/>
      <c r="S3160" s="10"/>
      <c r="T3160" s="10"/>
      <c r="U3160" s="10"/>
      <c r="V3160" s="10"/>
      <c r="W3160" s="10"/>
      <c r="X3160" s="10"/>
      <c r="Y3160" s="10"/>
      <c r="Z3160" s="10"/>
    </row>
    <row r="3161" spans="1:26" ht="12.75">
      <c r="A3161" s="10" t="str">
        <f ca="1">IFERROR(__xludf.DUMMYFUNCTION("""COMPUTED_VALUE"""),"Жоржета Димитрова Назърска")</f>
        <v>Жоржета Димитрова Назърска</v>
      </c>
      <c r="B3161" s="10" t="str">
        <f ca="1">IFERROR(__xludf.DUMMYFUNCTION("""COMPUTED_VALUE"""),"Студия")</f>
        <v>Студия</v>
      </c>
      <c r="C3161" s="10" t="str">
        <f ca="1">IFERROR(__xludf.DUMMYFUNCTION("""COMPUTED_VALUE"""),"Mixed and Transnational Families in Bulgaria")</f>
        <v>Mixed and Transnational Families in Bulgaria</v>
      </c>
      <c r="D3161" s="10">
        <f ca="1">IFERROR(__xludf.DUMMYFUNCTION("""COMPUTED_VALUE"""),2011)</f>
        <v>2011</v>
      </c>
      <c r="E3161" s="10" t="str">
        <f ca="1">IFERROR(__xludf.DUMMYFUNCTION("""COMPUTED_VALUE"""),"Hajdinjak, M., ed. Migrations, Gender and Intercultural Interactions in Bulgaria. – Sofia: IMIR, 2011, pр. 111-155")</f>
        <v>Hajdinjak, M., ed. Migrations, Gender and Intercultural Interactions in Bulgaria. – Sofia: IMIR, 2011, pр. 111-155</v>
      </c>
      <c r="F3161" s="10"/>
      <c r="G3161" s="10" t="str">
        <f ca="1">IFERROR(__xludf.DUMMYFUNCTION("""COMPUTED_VALUE"""),"M. Hajdinjak")</f>
        <v>M. Hajdinjak</v>
      </c>
      <c r="H3161" s="10"/>
      <c r="I3161" s="10"/>
      <c r="J3161" s="10"/>
      <c r="K3161" s="10"/>
      <c r="L3161" s="10"/>
      <c r="M3161" s="10"/>
      <c r="N3161" s="10"/>
      <c r="O3161" s="10"/>
      <c r="P3161" s="10"/>
      <c r="Q3161" s="10"/>
      <c r="R3161" s="10"/>
      <c r="S3161" s="10"/>
      <c r="T3161" s="10"/>
      <c r="U3161" s="10"/>
      <c r="V3161" s="10"/>
      <c r="W3161" s="10"/>
      <c r="X3161" s="10"/>
      <c r="Y3161" s="10"/>
      <c r="Z3161" s="10"/>
    </row>
    <row r="3162" spans="1:26" ht="12.75">
      <c r="A3162" s="10" t="str">
        <f ca="1">IFERROR(__xludf.DUMMYFUNCTION("""COMPUTED_VALUE"""),"Жоржета Димитрова Назърска")</f>
        <v>Жоржета Димитрова Назърска</v>
      </c>
      <c r="B3162" s="10" t="str">
        <f ca="1">IFERROR(__xludf.DUMMYFUNCTION("""COMPUTED_VALUE"""),"Студия")</f>
        <v>Студия</v>
      </c>
      <c r="C3162" s="10" t="str">
        <f ca="1">IFERROR(__xludf.DUMMYFUNCTION("""COMPUTED_VALUE"""),"Социален пол, миграции и интеркултурни взаимодействия: анализ на политиките в България, 1990-2010")</f>
        <v>Социален пол, миграции и интеркултурни взаимодействия: анализ на политиките в България, 1990-2010</v>
      </c>
      <c r="D3162" s="10">
        <f ca="1">IFERROR(__xludf.DUMMYFUNCTION("""COMPUTED_VALUE"""),2011)</f>
        <v>2011</v>
      </c>
      <c r="E3162" s="10" t="str">
        <f ca="1">IFERROR(__xludf.DUMMYFUNCTION("""COMPUTED_VALUE"""),"Хайдиняк, М., съст. Миграции, пол и междукултурни взаимодействия в България. – София: ИМИР, 2011, с. 69-119")</f>
        <v>Хайдиняк, М., съст. Миграции, пол и междукултурни взаимодействия в България. – София: ИМИР, 2011, с. 69-119</v>
      </c>
      <c r="F3162" s="10"/>
      <c r="G3162" s="10" t="str">
        <f ca="1">IFERROR(__xludf.DUMMYFUNCTION("""COMPUTED_VALUE"""),"М. Хайдиняк")</f>
        <v>М. Хайдиняк</v>
      </c>
      <c r="H3162" s="10"/>
      <c r="I3162" s="10"/>
      <c r="J3162" s="10"/>
      <c r="K3162" s="10"/>
      <c r="L3162" s="10"/>
      <c r="M3162" s="10"/>
      <c r="N3162" s="10"/>
      <c r="O3162" s="10"/>
      <c r="P3162" s="10"/>
      <c r="Q3162" s="10"/>
      <c r="R3162" s="10"/>
      <c r="S3162" s="10"/>
      <c r="T3162" s="10"/>
      <c r="U3162" s="10"/>
      <c r="V3162" s="10"/>
      <c r="W3162" s="10"/>
      <c r="X3162" s="10"/>
      <c r="Y3162" s="10"/>
      <c r="Z3162" s="10"/>
    </row>
    <row r="3163" spans="1:26" ht="12.75">
      <c r="A3163" s="10" t="str">
        <f ca="1">IFERROR(__xludf.DUMMYFUNCTION("""COMPUTED_VALUE"""),"Жоржета Димитрова Назърска")</f>
        <v>Жоржета Димитрова Назърска</v>
      </c>
      <c r="B3163" s="10" t="str">
        <f ca="1">IFERROR(__xludf.DUMMYFUNCTION("""COMPUTED_VALUE"""),"Статия в списания и поредици")</f>
        <v>Статия в списания и поредици</v>
      </c>
      <c r="C3163" s="10" t="str">
        <f ca="1">IFERROR(__xludf.DUMMYFUNCTION("""COMPUTED_VALUE"""),"Жените в наградната система на България (30-50-те години на ХХ в.).")</f>
        <v>Жените в наградната система на България (30-50-те години на ХХ в.).</v>
      </c>
      <c r="D3163" s="10">
        <f ca="1">IFERROR(__xludf.DUMMYFUNCTION("""COMPUTED_VALUE"""),2011)</f>
        <v>2011</v>
      </c>
      <c r="E3163" s="10" t="str">
        <f ca="1">IFERROR(__xludf.DUMMYFUNCTION("""COMPUTED_VALUE"""),"Даскалова, Кр., Т. Кметова, съст. Пол и преход: 1938-1958. – София: ЦИПЖ, 2011, с. 53-77.")</f>
        <v>Даскалова, Кр., Т. Кметова, съст. Пол и преход: 1938-1958. – София: ЦИПЖ, 2011, с. 53-77.</v>
      </c>
      <c r="F3163" s="10"/>
      <c r="G3163" s="10"/>
      <c r="H3163" s="10"/>
      <c r="I3163" s="10"/>
      <c r="J3163" s="10"/>
      <c r="K3163" s="10"/>
      <c r="L3163" s="10"/>
      <c r="M3163" s="10"/>
      <c r="N3163" s="10"/>
      <c r="O3163" s="10"/>
      <c r="P3163" s="10"/>
      <c r="Q3163" s="10"/>
      <c r="R3163" s="10"/>
      <c r="S3163" s="10"/>
      <c r="T3163" s="10"/>
      <c r="U3163" s="10"/>
      <c r="V3163" s="10"/>
      <c r="W3163" s="10"/>
      <c r="X3163" s="10"/>
      <c r="Y3163" s="10"/>
      <c r="Z3163" s="10"/>
    </row>
    <row r="3164" spans="1:26" ht="12.75">
      <c r="A3164" s="10" t="str">
        <f ca="1">IFERROR(__xludf.DUMMYFUNCTION("""COMPUTED_VALUE"""),"Жоржета Димитрова Назърска")</f>
        <v>Жоржета Димитрова Назърска</v>
      </c>
      <c r="B3164" s="10" t="str">
        <f ca="1">IFERROR(__xludf.DUMMYFUNCTION("""COMPUTED_VALUE"""),"Статия в списания и поредици")</f>
        <v>Статия в списания и поредици</v>
      </c>
      <c r="C3164" s="10" t="str">
        <f ca="1">IFERROR(__xludf.DUMMYFUNCTION("""COMPUTED_VALUE"""),"The Vienna School of Medicine and Bulgarian Medicine and Health Care (the 1840s-1910s): Transfer of Knowledge.")</f>
        <v>The Vienna School of Medicine and Bulgarian Medicine and Health Care (the 1840s-1910s): Transfer of Knowledge.</v>
      </c>
      <c r="D3164" s="10">
        <f ca="1">IFERROR(__xludf.DUMMYFUNCTION("""COMPUTED_VALUE"""),2011)</f>
        <v>2011</v>
      </c>
      <c r="E3164" s="10" t="str">
        <f ca="1">IFERROR(__xludf.DUMMYFUNCTION("""COMPUTED_VALUE"""),"Sechel, T. D., ed. Medicine Within and Between the Habsburg and Ottoman Empires. 18th -19th centuries. - Bochum: Dr. Dieter Winkler Verlag, 2011, pp. 37-51. ISBN-13: 978-3899111446")</f>
        <v>Sechel, T. D., ed. Medicine Within and Between the Habsburg and Ottoman Empires. 18th -19th centuries. - Bochum: Dr. Dieter Winkler Verlag, 2011, pp. 37-51. ISBN-13: 978-3899111446</v>
      </c>
      <c r="F3164" s="10"/>
      <c r="G3164" s="10" t="str">
        <f ca="1">IFERROR(__xludf.DUMMYFUNCTION("""COMPUTED_VALUE"""),"Sechel, T. D")</f>
        <v>Sechel, T. D</v>
      </c>
      <c r="H3164" s="10"/>
      <c r="I3164" s="10"/>
      <c r="J3164" s="10"/>
      <c r="K3164" s="10"/>
      <c r="L3164" s="10"/>
      <c r="M3164" s="10"/>
      <c r="N3164" s="10"/>
      <c r="O3164" s="10"/>
      <c r="P3164" s="10"/>
      <c r="Q3164" s="10"/>
      <c r="R3164" s="10"/>
      <c r="S3164" s="10"/>
      <c r="T3164" s="10"/>
      <c r="U3164" s="10"/>
      <c r="V3164" s="10"/>
      <c r="W3164" s="10"/>
      <c r="X3164" s="10"/>
      <c r="Y3164" s="10"/>
      <c r="Z3164" s="10"/>
    </row>
    <row r="3165" spans="1:26" ht="12.75">
      <c r="A3165" s="10" t="str">
        <f ca="1">IFERROR(__xludf.DUMMYFUNCTION("""COMPUTED_VALUE"""),"Жоржета Димитрова Назърска")</f>
        <v>Жоржета Димитрова Назърска</v>
      </c>
      <c r="B3165" s="10" t="str">
        <f ca="1">IFERROR(__xludf.DUMMYFUNCTION("""COMPUTED_VALUE"""),"Статия в списания и поредици")</f>
        <v>Статия в списания и поредици</v>
      </c>
      <c r="C3165" s="10" t="str">
        <f ca="1">IFERROR(__xludf.DUMMYFUNCTION("""COMPUTED_VALUE"""),"Digitization of Literary Heritage in the Bulgarian Libraries: Facing Problems and Challenges")</f>
        <v>Digitization of Literary Heritage in the Bulgarian Libraries: Facing Problems and Challenges</v>
      </c>
      <c r="D3165" s="10">
        <f ca="1">IFERROR(__xludf.DUMMYFUNCTION("""COMPUTED_VALUE"""),2011)</f>
        <v>2011</v>
      </c>
      <c r="E3165" s="10" t="str">
        <f ca="1">IFERROR(__xludf.DUMMYFUNCTION("""COMPUTED_VALUE"""),"Digital Preservation and Presentation of Cultural and Scientific Heritage. Proceedings, 2011, vol.1, pp. 161-164.")</f>
        <v>Digital Preservation and Presentation of Cultural and Scientific Heritage. Proceedings, 2011, vol.1, pp. 161-164.</v>
      </c>
      <c r="F3165" s="10"/>
      <c r="G3165" s="10" t="str">
        <f ca="1">IFERROR(__xludf.DUMMYFUNCTION("""COMPUTED_VALUE"""),"E. Rusinova")</f>
        <v>E. Rusinova</v>
      </c>
      <c r="H3165" s="10"/>
      <c r="I3165" s="10"/>
      <c r="J3165" s="10"/>
      <c r="K3165" s="10"/>
      <c r="L3165" s="10"/>
      <c r="M3165" s="10"/>
      <c r="N3165" s="10"/>
      <c r="O3165" s="10"/>
      <c r="P3165" s="10"/>
      <c r="Q3165" s="10"/>
      <c r="R3165" s="10"/>
      <c r="S3165" s="10"/>
      <c r="T3165" s="10"/>
      <c r="U3165" s="10"/>
      <c r="V3165" s="10"/>
      <c r="W3165" s="10"/>
      <c r="X3165" s="10"/>
      <c r="Y3165" s="10"/>
      <c r="Z3165" s="10"/>
    </row>
    <row r="3166" spans="1:26" ht="12.75">
      <c r="A3166" s="10" t="str">
        <f ca="1">IFERROR(__xludf.DUMMYFUNCTION("""COMPUTED_VALUE"""),"Жоржета Димитрова Назърска")</f>
        <v>Жоржета Димитрова Назърска</v>
      </c>
      <c r="B3166" s="10" t="str">
        <f ca="1">IFERROR(__xludf.DUMMYFUNCTION("""COMPUTED_VALUE"""),"Статия в списания и поредици")</f>
        <v>Статия в списания и поредици</v>
      </c>
      <c r="C3166" s="10" t="str">
        <f ca="1">IFERROR(__xludf.DUMMYFUNCTION("""COMPUTED_VALUE"""),"Преименуване на населени места и местности в Шуменския регион (1878-1944).")</f>
        <v>Преименуване на населени места и местности в Шуменския регион (1878-1944).</v>
      </c>
      <c r="D3166" s="10">
        <f ca="1">IFERROR(__xludf.DUMMYFUNCTION("""COMPUTED_VALUE"""),2011)</f>
        <v>2011</v>
      </c>
      <c r="E3166" s="10" t="str">
        <f ca="1">IFERROR(__xludf.DUMMYFUNCTION("""COMPUTED_VALUE"""),"Оттука започва България. – Шумен: УИ, 2011, с. 572-586")</f>
        <v>Оттука започва България. – Шумен: УИ, 2011, с. 572-586</v>
      </c>
      <c r="F3166" s="10"/>
      <c r="G3166" s="10"/>
      <c r="H3166" s="10"/>
      <c r="I3166" s="10"/>
      <c r="J3166" s="10"/>
      <c r="K3166" s="10"/>
      <c r="L3166" s="10"/>
      <c r="M3166" s="10"/>
      <c r="N3166" s="10"/>
      <c r="O3166" s="10"/>
      <c r="P3166" s="10"/>
      <c r="Q3166" s="10"/>
      <c r="R3166" s="10"/>
      <c r="S3166" s="10"/>
      <c r="T3166" s="10"/>
      <c r="U3166" s="10"/>
      <c r="V3166" s="10"/>
      <c r="W3166" s="10"/>
      <c r="X3166" s="10"/>
      <c r="Y3166" s="10"/>
      <c r="Z3166" s="10"/>
    </row>
    <row r="3167" spans="1:26" ht="12.75">
      <c r="A3167" s="10" t="str">
        <f ca="1">IFERROR(__xludf.DUMMYFUNCTION("""COMPUTED_VALUE"""),"Жоржета Димитрова Назърска")</f>
        <v>Жоржета Димитрова Назърска</v>
      </c>
      <c r="B3167" s="10" t="str">
        <f ca="1">IFERROR(__xludf.DUMMYFUNCTION("""COMPUTED_VALUE"""),"Студия")</f>
        <v>Студия</v>
      </c>
      <c r="C3167" s="10" t="str">
        <f ca="1">IFERROR(__xludf.DUMMYFUNCTION("""COMPUTED_VALUE"""),"Смесени и транснационални семейства в България")</f>
        <v>Смесени и транснационални семейства в България</v>
      </c>
      <c r="D3167" s="10">
        <f ca="1">IFERROR(__xludf.DUMMYFUNCTION("""COMPUTED_VALUE"""),2011)</f>
        <v>2011</v>
      </c>
      <c r="E3167" s="10" t="str">
        <f ca="1">IFERROR(__xludf.DUMMYFUNCTION("""COMPUTED_VALUE"""),"Хайдиняк, М., съст. Миграции, пол и междукултурни взаимодействия в България. – София: ИМИР, 2011, с. 119-177.")</f>
        <v>Хайдиняк, М., съст. Миграции, пол и междукултурни взаимодействия в България. – София: ИМИР, 2011, с. 119-177.</v>
      </c>
      <c r="F3167" s="10"/>
      <c r="G3167" s="10" t="str">
        <f ca="1">IFERROR(__xludf.DUMMYFUNCTION("""COMPUTED_VALUE"""),"Хайдиняк, М")</f>
        <v>Хайдиняк, М</v>
      </c>
      <c r="H3167" s="10"/>
      <c r="I3167" s="10"/>
      <c r="J3167" s="10"/>
      <c r="K3167" s="10"/>
      <c r="L3167" s="10"/>
      <c r="M3167" s="10"/>
      <c r="N3167" s="10"/>
      <c r="O3167" s="10"/>
      <c r="P3167" s="10"/>
      <c r="Q3167" s="10"/>
      <c r="R3167" s="10"/>
      <c r="S3167" s="10"/>
      <c r="T3167" s="10"/>
      <c r="U3167" s="10"/>
      <c r="V3167" s="10"/>
      <c r="W3167" s="10"/>
      <c r="X3167" s="10"/>
      <c r="Y3167" s="10"/>
      <c r="Z3167" s="10"/>
    </row>
    <row r="3168" spans="1:26" ht="12.75">
      <c r="A3168" s="10" t="str">
        <f ca="1">IFERROR(__xludf.DUMMYFUNCTION("""COMPUTED_VALUE"""),"Жоржета Димитрова Назърска")</f>
        <v>Жоржета Димитрова Назърска</v>
      </c>
      <c r="B3168" s="10" t="str">
        <f ca="1">IFERROR(__xludf.DUMMYFUNCTION("""COMPUTED_VALUE"""),"Статия в списания и поредици")</f>
        <v>Статия в списания и поредици</v>
      </c>
      <c r="C3168" s="10" t="str">
        <f ca="1">IFERROR(__xludf.DUMMYFUNCTION("""COMPUTED_VALUE"""),"Улицата като място на памет: една балканска перспектива")</f>
        <v>Улицата като място на памет: една балканска перспектива</v>
      </c>
      <c r="D3168" s="10">
        <f ca="1">IFERROR(__xludf.DUMMYFUNCTION("""COMPUTED_VALUE"""),2011)</f>
        <v>2011</v>
      </c>
      <c r="E3168" s="10" t="str">
        <f ca="1">IFERROR(__xludf.DUMMYFUNCTION("""COMPUTED_VALUE"""),"Балканистичен форум, 2011, №3, с. 78-96")</f>
        <v>Балканистичен форум, 2011, №3, с. 78-96</v>
      </c>
      <c r="F3168" s="10" t="str">
        <f ca="1">IFERROR(__xludf.DUMMYFUNCTION("""COMPUTED_VALUE"""),"Scopus
  ERIH PLUS
  eLibrary.ru
 Central andEastEuropeanOnlineLibrary")</f>
        <v>Scopus
  ERIH PLUS
  eLibrary.ru
 Central andEastEuropeanOnlineLibrary</v>
      </c>
      <c r="G3168" s="10"/>
      <c r="H3168" s="10"/>
      <c r="I3168" s="10"/>
      <c r="J3168" s="10"/>
      <c r="K3168" s="10"/>
      <c r="L3168" s="10"/>
      <c r="M3168" s="10"/>
      <c r="N3168" s="10"/>
      <c r="O3168" s="10"/>
      <c r="P3168" s="10"/>
      <c r="Q3168" s="10"/>
      <c r="R3168" s="10"/>
      <c r="S3168" s="10"/>
      <c r="T3168" s="10"/>
      <c r="U3168" s="10"/>
      <c r="V3168" s="10"/>
      <c r="W3168" s="10"/>
      <c r="X3168" s="10"/>
      <c r="Y3168" s="10"/>
      <c r="Z3168" s="10"/>
    </row>
    <row r="3169" spans="1:26" ht="12.75">
      <c r="A3169" s="10" t="str">
        <f ca="1">IFERROR(__xludf.DUMMYFUNCTION("""COMPUTED_VALUE"""),"Жоржета Димитрова Назърска")</f>
        <v>Жоржета Димитрова Назърска</v>
      </c>
      <c r="B3169" s="10" t="str">
        <f ca="1">IFERROR(__xludf.DUMMYFUNCTION("""COMPUTED_VALUE"""),"Статия в списания и поредици")</f>
        <v>Статия в списания и поредици</v>
      </c>
      <c r="C3169" s="10" t="str">
        <f ca="1">IFERROR(__xludf.DUMMYFUNCTION("""COMPUTED_VALUE"""),"Културното наследство на религиозните малцинства в София: наследство в риск?")</f>
        <v>Културното наследство на религиозните малцинства в София: наследство в риск?</v>
      </c>
      <c r="D3169" s="10">
        <f ca="1">IFERROR(__xludf.DUMMYFUNCTION("""COMPUTED_VALUE"""),2010)</f>
        <v>2010</v>
      </c>
      <c r="E3169" s="10" t="str">
        <f ca="1">IFERROR(__xludf.DUMMYFUNCTION("""COMPUTED_VALUE"""),"Сердика – Средец – София, т.5. Културно-историческото наследство на София: проблеми и перспективи. – София, 2010, с. 181-186")</f>
        <v>Сердика – Средец – София, т.5. Културно-историческото наследство на София: проблеми и перспективи. – София, 2010, с. 181-186</v>
      </c>
      <c r="F3169" s="10"/>
      <c r="G3169" s="10"/>
      <c r="H3169" s="10"/>
      <c r="I3169" s="10"/>
      <c r="J3169" s="10"/>
      <c r="K3169" s="10"/>
      <c r="L3169" s="10"/>
      <c r="M3169" s="10"/>
      <c r="N3169" s="10"/>
      <c r="O3169" s="10"/>
      <c r="P3169" s="10"/>
      <c r="Q3169" s="10"/>
      <c r="R3169" s="10"/>
      <c r="S3169" s="10"/>
      <c r="T3169" s="10"/>
      <c r="U3169" s="10"/>
      <c r="V3169" s="10"/>
      <c r="W3169" s="10"/>
      <c r="X3169" s="10"/>
      <c r="Y3169" s="10"/>
      <c r="Z3169" s="10"/>
    </row>
    <row r="3170" spans="1:26" ht="12.75">
      <c r="A3170" s="10" t="str">
        <f ca="1">IFERROR(__xludf.DUMMYFUNCTION("""COMPUTED_VALUE"""),"Жоржета Димитрова Назърска")</f>
        <v>Жоржета Димитрова Назърска</v>
      </c>
      <c r="B3170" s="10" t="str">
        <f ca="1">IFERROR(__xludf.DUMMYFUNCTION("""COMPUTED_VALUE"""),"Статия в списания и поредици")</f>
        <v>Статия в списания и поредици</v>
      </c>
      <c r="C3170" s="10" t="str">
        <f ca="1">IFERROR(__xludf.DUMMYFUNCTION("""COMPUTED_VALUE"""),"Жените и академичната власт: по примера на българските висши училища (20-50-те год. на ХХ в.).")</f>
        <v>Жените и академичната власт: по примера на българските висши училища (20-50-те год. на ХХ в.).</v>
      </c>
      <c r="D3170" s="10">
        <f ca="1">IFERROR(__xludf.DUMMYFUNCTION("""COMPUTED_VALUE"""),2010)</f>
        <v>2010</v>
      </c>
      <c r="E3170" s="10" t="str">
        <f ca="1">IFERROR(__xludf.DUMMYFUNCTION("""COMPUTED_VALUE"""),"Исторически преглед, 2010, №5-6, с.110-136")</f>
        <v>Исторически преглед, 2010, №5-6, с.110-136</v>
      </c>
      <c r="F3170" s="10"/>
      <c r="G3170" s="10"/>
      <c r="H3170" s="10"/>
      <c r="I3170" s="10"/>
      <c r="J3170" s="10"/>
      <c r="K3170" s="10"/>
      <c r="L3170" s="10"/>
      <c r="M3170" s="10"/>
      <c r="N3170" s="10"/>
      <c r="O3170" s="10"/>
      <c r="P3170" s="10"/>
      <c r="Q3170" s="10"/>
      <c r="R3170" s="10"/>
      <c r="S3170" s="10"/>
      <c r="T3170" s="10"/>
      <c r="U3170" s="10"/>
      <c r="V3170" s="10"/>
      <c r="W3170" s="10"/>
      <c r="X3170" s="10"/>
      <c r="Y3170" s="10"/>
      <c r="Z3170" s="10"/>
    </row>
    <row r="3171" spans="1:26" ht="12.75">
      <c r="A3171" s="10" t="str">
        <f ca="1">IFERROR(__xludf.DUMMYFUNCTION("""COMPUTED_VALUE"""),"Жоржета Димитрова Назърска")</f>
        <v>Жоржета Димитрова Назърска</v>
      </c>
      <c r="B3171" s="10" t="str">
        <f ca="1">IFERROR(__xludf.DUMMYFUNCTION("""COMPUTED_VALUE"""),"Книга")</f>
        <v>Книга</v>
      </c>
      <c r="C3171" s="10" t="str">
        <f ca="1">IFERROR(__xludf.DUMMYFUNCTION("""COMPUTED_VALUE"""),"Нови информационни технологии в образователния процес")</f>
        <v>Нови информационни технологии в образователния процес</v>
      </c>
      <c r="D3171" s="10">
        <f ca="1">IFERROR(__xludf.DUMMYFUNCTION("""COMPUTED_VALUE"""),2010)</f>
        <v>2010</v>
      </c>
      <c r="E3171" s="10" t="str">
        <f ca="1">IFERROR(__xludf.DUMMYFUNCTION("""COMPUTED_VALUE"""),"София: За буквите - О писменехь, 2010")</f>
        <v>София: За буквите - О писменехь, 2010</v>
      </c>
      <c r="F3171" s="10"/>
      <c r="G3171" s="10" t="str">
        <f ca="1">IFERROR(__xludf.DUMMYFUNCTION("""COMPUTED_VALUE"""),"Б. Хинкова")</f>
        <v>Б. Хинкова</v>
      </c>
      <c r="H3171" s="10"/>
      <c r="I3171" s="10"/>
      <c r="J3171" s="10"/>
      <c r="K3171" s="10"/>
      <c r="L3171" s="10"/>
      <c r="M3171" s="10"/>
      <c r="N3171" s="10"/>
      <c r="O3171" s="10"/>
      <c r="P3171" s="10"/>
      <c r="Q3171" s="10"/>
      <c r="R3171" s="10"/>
      <c r="S3171" s="10"/>
      <c r="T3171" s="10"/>
      <c r="U3171" s="10"/>
      <c r="V3171" s="10"/>
      <c r="W3171" s="10"/>
      <c r="X3171" s="10"/>
      <c r="Y3171" s="10"/>
      <c r="Z3171" s="10"/>
    </row>
    <row r="3172" spans="1:26" ht="12.75">
      <c r="A3172" s="10" t="str">
        <f ca="1">IFERROR(__xludf.DUMMYFUNCTION("""COMPUTED_VALUE"""),"Жоржета Димитрова Назърска")</f>
        <v>Жоржета Димитрова Назърска</v>
      </c>
      <c r="B3172" s="10" t="str">
        <f ca="1">IFERROR(__xludf.DUMMYFUNCTION("""COMPUTED_VALUE"""),"Статия в списания и поредици")</f>
        <v>Статия в списания и поредици</v>
      </c>
      <c r="C3172" s="10" t="str">
        <f ca="1">IFERROR(__xludf.DUMMYFUNCTION("""COMPUTED_VALUE"""),"Печатът като средство за интеркултурна комуникация: изданията на двустранните културни дружества в България (20-40-те год. на ХХ в.).")</f>
        <v>Печатът като средство за интеркултурна комуникация: изданията на двустранните културни дружества в България (20-40-те год. на ХХ в.).</v>
      </c>
      <c r="D3172" s="10">
        <f ca="1">IFERROR(__xludf.DUMMYFUNCTION("""COMPUTED_VALUE"""),2010)</f>
        <v>2010</v>
      </c>
      <c r="E3172" s="10" t="str">
        <f ca="1">IFERROR(__xludf.DUMMYFUNCTION("""COMPUTED_VALUE"""),"VIIІ Национална научна конференция „Библиотеки – четене - комуникации”. - В.Търново, 2010, с. 214-220")</f>
        <v>VIIІ Национална научна конференция „Библиотеки – четене - комуникации”. - В.Търново, 2010, с. 214-220</v>
      </c>
      <c r="F3172" s="10"/>
      <c r="G3172" s="10"/>
      <c r="H3172" s="10"/>
      <c r="I3172" s="10"/>
      <c r="J3172" s="10"/>
      <c r="K3172" s="10"/>
      <c r="L3172" s="10"/>
      <c r="M3172" s="10"/>
      <c r="N3172" s="10"/>
      <c r="O3172" s="10"/>
      <c r="P3172" s="10"/>
      <c r="Q3172" s="10"/>
      <c r="R3172" s="10"/>
      <c r="S3172" s="10"/>
      <c r="T3172" s="10"/>
      <c r="U3172" s="10"/>
      <c r="V3172" s="10"/>
      <c r="W3172" s="10"/>
      <c r="X3172" s="10"/>
      <c r="Y3172" s="10"/>
      <c r="Z3172" s="10"/>
    </row>
    <row r="3173" spans="1:26" ht="12.75">
      <c r="A3173" s="10" t="str">
        <f ca="1">IFERROR(__xludf.DUMMYFUNCTION("""COMPUTED_VALUE"""),"Жоржета Димитрова Назърска")</f>
        <v>Жоржета Димитрова Назърска</v>
      </c>
      <c r="B3173" s="10" t="str">
        <f ca="1">IFERROR(__xludf.DUMMYFUNCTION("""COMPUTED_VALUE"""),"Статия в списания и поредици")</f>
        <v>Статия в списания и поредици</v>
      </c>
      <c r="C3173" s="10" t="str">
        <f ca="1">IFERROR(__xludf.DUMMYFUNCTION("""COMPUTED_VALUE"""),"Интеграция на малцинствата в гражданското общество: Естонският модел за социално включване.")</f>
        <v>Интеграция на малцинствата в гражданското общество: Естонският модел за социално включване.</v>
      </c>
      <c r="D3173" s="10">
        <f ca="1">IFERROR(__xludf.DUMMYFUNCTION("""COMPUTED_VALUE"""),2010)</f>
        <v>2010</v>
      </c>
      <c r="E3173" s="10" t="str">
        <f ca="1">IFERROR(__xludf.DUMMYFUNCTION("""COMPUTED_VALUE"""),"Обществото на знанието и хуманизмът на ХХІ век. – София: За Буквите-О Писменехь, 2010 , с. 304-312")</f>
        <v>Обществото на знанието и хуманизмът на ХХІ век. – София: За Буквите-О Писменехь, 2010 , с. 304-312</v>
      </c>
      <c r="F3173" s="10"/>
      <c r="G3173" s="10"/>
      <c r="H3173" s="10"/>
      <c r="I3173" s="10"/>
      <c r="J3173" s="10"/>
      <c r="K3173" s="10"/>
      <c r="L3173" s="10"/>
      <c r="M3173" s="10"/>
      <c r="N3173" s="10"/>
      <c r="O3173" s="10"/>
      <c r="P3173" s="10"/>
      <c r="Q3173" s="10"/>
      <c r="R3173" s="10"/>
      <c r="S3173" s="10"/>
      <c r="T3173" s="10"/>
      <c r="U3173" s="10"/>
      <c r="V3173" s="10"/>
      <c r="W3173" s="10"/>
      <c r="X3173" s="10"/>
      <c r="Y3173" s="10"/>
      <c r="Z3173" s="10"/>
    </row>
    <row r="3174" spans="1:26" ht="12.75">
      <c r="A3174" s="10" t="str">
        <f ca="1">IFERROR(__xludf.DUMMYFUNCTION("""COMPUTED_VALUE"""),"Жоржета Димитрова Назърска")</f>
        <v>Жоржета Димитрова Назърска</v>
      </c>
      <c r="B3174" s="10" t="str">
        <f ca="1">IFERROR(__xludf.DUMMYFUNCTION("""COMPUTED_VALUE"""),"Статия в списания и поредици")</f>
        <v>Статия в списания и поредици</v>
      </c>
      <c r="C3174" s="10" t="str">
        <f ca="1">IFERROR(__xludf.DUMMYFUNCTION("""COMPUTED_VALUE"""),"Централните софийски гробища: кръстопът на култури.")</f>
        <v>Централните софийски гробища: кръстопът на култури.</v>
      </c>
      <c r="D3174" s="10">
        <f ca="1">IFERROR(__xludf.DUMMYFUNCTION("""COMPUTED_VALUE"""),2010)</f>
        <v>2010</v>
      </c>
      <c r="E3174" s="10" t="str">
        <f ca="1">IFERROR(__xludf.DUMMYFUNCTION("""COMPUTED_VALUE"""),"България – кръстопът на цивилизации и култури. - София: За буквите-О писменехь, 2010, с. 631-636.")</f>
        <v>България – кръстопът на цивилизации и култури. - София: За буквите-О писменехь, 2010, с. 631-636.</v>
      </c>
      <c r="F3174" s="10"/>
      <c r="G3174" s="10"/>
      <c r="H3174" s="10"/>
      <c r="I3174" s="10"/>
      <c r="J3174" s="10"/>
      <c r="K3174" s="10"/>
      <c r="L3174" s="10"/>
      <c r="M3174" s="10"/>
      <c r="N3174" s="10"/>
      <c r="O3174" s="10"/>
      <c r="P3174" s="10"/>
      <c r="Q3174" s="10"/>
      <c r="R3174" s="10"/>
      <c r="S3174" s="10"/>
      <c r="T3174" s="10"/>
      <c r="U3174" s="10"/>
      <c r="V3174" s="10"/>
      <c r="W3174" s="10"/>
      <c r="X3174" s="10"/>
      <c r="Y3174" s="10"/>
      <c r="Z3174" s="10"/>
    </row>
    <row r="3175" spans="1:26" ht="12.75">
      <c r="A3175" s="10" t="str">
        <f ca="1">IFERROR(__xludf.DUMMYFUNCTION("""COMPUTED_VALUE"""),"Жоржета Димитрова Назърска")</f>
        <v>Жоржета Димитрова Назърска</v>
      </c>
      <c r="B3175" s="10" t="str">
        <f ca="1">IFERROR(__xludf.DUMMYFUNCTION("""COMPUTED_VALUE"""),"Статия в списания и поредици")</f>
        <v>Статия в списания и поредици</v>
      </c>
      <c r="C3175" s="10" t="str">
        <f ca="1">IFERROR(__xludf.DUMMYFUNCTION("""COMPUTED_VALUE"""),"Методы изучения культурного наследия как средства воспитания в межрелигиозном диалоге")</f>
        <v>Методы изучения культурного наследия как средства воспитания в межрелигиозном диалоге</v>
      </c>
      <c r="D3175" s="10">
        <f ca="1">IFERROR(__xludf.DUMMYFUNCTION("""COMPUTED_VALUE"""),2009)</f>
        <v>2009</v>
      </c>
      <c r="E3175" s="10" t="str">
        <f ca="1">IFERROR(__xludf.DUMMYFUNCTION("""COMPUTED_VALUE"""),"Социально-культурная деятельность: инновационные подходы к развитию. – Челябинск, 2009, с. 204-207.")</f>
        <v>Социально-культурная деятельность: инновационные подходы к развитию. – Челябинск, 2009, с. 204-207.</v>
      </c>
      <c r="F3175" s="10" t="str">
        <f ca="1">IFERROR(__xludf.DUMMYFUNCTION("""COMPUTED_VALUE"""),"РИНЦ - российский индекс научного цитирования")</f>
        <v>РИНЦ - российский индекс научного цитирования</v>
      </c>
      <c r="G3175" s="10" t="str">
        <f ca="1">IFERROR(__xludf.DUMMYFUNCTION("""COMPUTED_VALUE"""),"С.А. Шапкалова")</f>
        <v>С.А. Шапкалова</v>
      </c>
      <c r="H3175" s="10"/>
      <c r="I3175" s="10"/>
      <c r="J3175" s="10"/>
      <c r="K3175" s="10"/>
      <c r="L3175" s="10"/>
      <c r="M3175" s="10"/>
      <c r="N3175" s="10"/>
      <c r="O3175" s="10"/>
      <c r="P3175" s="10"/>
      <c r="Q3175" s="10"/>
      <c r="R3175" s="10"/>
      <c r="S3175" s="10"/>
      <c r="T3175" s="10"/>
      <c r="U3175" s="10"/>
      <c r="V3175" s="10"/>
      <c r="W3175" s="10"/>
      <c r="X3175" s="10"/>
      <c r="Y3175" s="10"/>
      <c r="Z3175" s="10"/>
    </row>
    <row r="3176" spans="1:26" ht="12.75">
      <c r="A3176" s="10" t="str">
        <f ca="1">IFERROR(__xludf.DUMMYFUNCTION("""COMPUTED_VALUE"""),"Жоржета Димитрова Назърска")</f>
        <v>Жоржета Димитрова Назърска</v>
      </c>
      <c r="B3176" s="10" t="str">
        <f ca="1">IFERROR(__xludf.DUMMYFUNCTION("""COMPUTED_VALUE"""),"Статия в списания и поредици")</f>
        <v>Статия в списания и поредици</v>
      </c>
      <c r="C3176" s="10" t="str">
        <f ca="1">IFERROR(__xludf.DUMMYFUNCTION("""COMPUTED_VALUE"""),"Globalization, Religious Pluralism and Policy: the Majority versus the New Religious Movements in Present Bulgaria.")</f>
        <v>Globalization, Religious Pluralism and Policy: the Majority versus the New Religious Movements in Present Bulgaria.</v>
      </c>
      <c r="D3176" s="10">
        <f ca="1">IFERROR(__xludf.DUMMYFUNCTION("""COMPUTED_VALUE"""),2009)</f>
        <v>2009</v>
      </c>
      <c r="E3176" s="10" t="str">
        <f ca="1">IFERROR(__xludf.DUMMYFUNCTION("""COMPUTED_VALUE"""),"Globalization and Security. - Sofia: Za bukvite, 2009, рр. 125-134")</f>
        <v>Globalization and Security. - Sofia: Za bukvite, 2009, рр. 125-134</v>
      </c>
      <c r="F3176" s="10"/>
      <c r="G3176" s="10"/>
      <c r="H3176" s="10"/>
      <c r="I3176" s="10"/>
      <c r="J3176" s="10"/>
      <c r="K3176" s="10"/>
      <c r="L3176" s="10"/>
      <c r="M3176" s="10"/>
      <c r="N3176" s="10"/>
      <c r="O3176" s="10"/>
      <c r="P3176" s="10"/>
      <c r="Q3176" s="10"/>
      <c r="R3176" s="10"/>
      <c r="S3176" s="10"/>
      <c r="T3176" s="10"/>
      <c r="U3176" s="10"/>
      <c r="V3176" s="10"/>
      <c r="W3176" s="10"/>
      <c r="X3176" s="10"/>
      <c r="Y3176" s="10"/>
      <c r="Z3176" s="10"/>
    </row>
    <row r="3177" spans="1:26" ht="12.75">
      <c r="A3177" s="10" t="str">
        <f ca="1">IFERROR(__xludf.DUMMYFUNCTION("""COMPUTED_VALUE"""),"Жоржета Димитрова Назърска")</f>
        <v>Жоржета Димитрова Назърска</v>
      </c>
      <c r="B3177" s="10" t="str">
        <f ca="1">IFERROR(__xludf.DUMMYFUNCTION("""COMPUTED_VALUE"""),"Статия в списания и поредици")</f>
        <v>Статия в списания и поредици</v>
      </c>
      <c r="C3177" s="10" t="str">
        <f ca="1">IFERROR(__xludf.DUMMYFUNCTION("""COMPUTED_VALUE"""),"Muslim Women and Women’s Movement in Bulgaria (1940-1960s).")</f>
        <v>Muslim Women and Women’s Movement in Bulgaria (1940-1960s).</v>
      </c>
      <c r="D3177" s="10">
        <f ca="1">IFERROR(__xludf.DUMMYFUNCTION("""COMPUTED_VALUE"""),2009)</f>
        <v>2009</v>
      </c>
      <c r="E3177" s="10" t="str">
        <f ca="1">IFERROR(__xludf.DUMMYFUNCTION("""COMPUTED_VALUE"""),"Popova, Kr., M. Piskova, M. Lanzinger, N. Langreiter, P. Vodenicharov, eds. Women and Minorities Archives: Ways of Archiving. vol.1. - Sofia-Vienna, 2009, рр. 123-132")</f>
        <v>Popova, Kr., M. Piskova, M. Lanzinger, N. Langreiter, P. Vodenicharov, eds. Women and Minorities Archives: Ways of Archiving. vol.1. - Sofia-Vienna, 2009, рр. 123-132</v>
      </c>
      <c r="F3177" s="10"/>
      <c r="G3177" s="10"/>
      <c r="H3177" s="10"/>
      <c r="I3177" s="10"/>
      <c r="J3177" s="10"/>
      <c r="K3177" s="10"/>
      <c r="L3177" s="10"/>
      <c r="M3177" s="10"/>
      <c r="N3177" s="10"/>
      <c r="O3177" s="10"/>
      <c r="P3177" s="10"/>
      <c r="Q3177" s="10"/>
      <c r="R3177" s="10"/>
      <c r="S3177" s="10"/>
      <c r="T3177" s="10"/>
      <c r="U3177" s="10"/>
      <c r="V3177" s="10"/>
      <c r="W3177" s="10"/>
      <c r="X3177" s="10"/>
      <c r="Y3177" s="10"/>
      <c r="Z3177" s="10"/>
    </row>
    <row r="3178" spans="1:26" ht="12.75">
      <c r="A3178" s="10" t="str">
        <f ca="1">IFERROR(__xludf.DUMMYFUNCTION("""COMPUTED_VALUE"""),"Жоржета Димитрова Назърска")</f>
        <v>Жоржета Димитрова Назърска</v>
      </c>
      <c r="B3178" s="10" t="str">
        <f ca="1">IFERROR(__xludf.DUMMYFUNCTION("""COMPUTED_VALUE"""),"Статия в списания и поредици")</f>
        <v>Статия в списания и поредици</v>
      </c>
      <c r="C3178" s="10" t="str">
        <f ca="1">IFERROR(__xludf.DUMMYFUNCTION("""COMPUTED_VALUE"""),"The Veneration of Miraculous Icons and Relics of Saints in Contemporary Bulgaria: the New Social Life of Ancient Religious Objects")</f>
        <v>The Veneration of Miraculous Icons and Relics of Saints in Contemporary Bulgaria: the New Social Life of Ancient Religious Objects</v>
      </c>
      <c r="D3178" s="10">
        <f ca="1">IFERROR(__xludf.DUMMYFUNCTION("""COMPUTED_VALUE"""),2009)</f>
        <v>2009</v>
      </c>
      <c r="E3178" s="10" t="str">
        <f ca="1">IFERROR(__xludf.DUMMYFUNCTION("""COMPUTED_VALUE"""),"Svetieva, Ashtalkovska, eds. Социјални и духовни аспекти на материјалната култура/Social and Spiritual Aspects of Material Culture. – Скопје/Skopje: Институт за етнологија и антропологија, 2009, рр. 449-463")</f>
        <v>Svetieva, Ashtalkovska, eds. Социјални и духовни аспекти на материјалната култура/Social and Spiritual Aspects of Material Culture. – Скопје/Skopje: Институт за етнологија и антропологија, 2009, рр. 449-463</v>
      </c>
      <c r="F3178" s="10"/>
      <c r="G3178" s="10" t="str">
        <f ca="1">IFERROR(__xludf.DUMMYFUNCTION("""COMPUTED_VALUE"""),"S. Shapkalova")</f>
        <v>S. Shapkalova</v>
      </c>
      <c r="H3178" s="10"/>
      <c r="I3178" s="10"/>
      <c r="J3178" s="10"/>
      <c r="K3178" s="10"/>
      <c r="L3178" s="10"/>
      <c r="M3178" s="10"/>
      <c r="N3178" s="10"/>
      <c r="O3178" s="10"/>
      <c r="P3178" s="10"/>
      <c r="Q3178" s="10"/>
      <c r="R3178" s="10"/>
      <c r="S3178" s="10"/>
      <c r="T3178" s="10"/>
      <c r="U3178" s="10"/>
      <c r="V3178" s="10"/>
      <c r="W3178" s="10"/>
      <c r="X3178" s="10"/>
      <c r="Y3178" s="10"/>
      <c r="Z3178" s="10"/>
    </row>
    <row r="3179" spans="1:26" ht="12.75">
      <c r="A3179" s="10" t="str">
        <f ca="1">IFERROR(__xludf.DUMMYFUNCTION("""COMPUTED_VALUE"""),"Жоржета Димитрова Назърска")</f>
        <v>Жоржета Димитрова Назърска</v>
      </c>
      <c r="B3179" s="10" t="str">
        <f ca="1">IFERROR(__xludf.DUMMYFUNCTION("""COMPUTED_VALUE"""),"Учебник")</f>
        <v>Учебник</v>
      </c>
      <c r="C3179" s="10" t="str">
        <f ca="1">IFERROR(__xludf.DUMMYFUNCTION("""COMPUTED_VALUE"""),"История на религиозните деноминации в България. Учебник с компакт-диск")</f>
        <v>История на религиозните деноминации в България. Учебник с компакт-диск</v>
      </c>
      <c r="D3179" s="10">
        <f ca="1">IFERROR(__xludf.DUMMYFUNCTION("""COMPUTED_VALUE"""),2009)</f>
        <v>2009</v>
      </c>
      <c r="E3179" s="10" t="str">
        <f ca="1">IFERROR(__xludf.DUMMYFUNCTION("""COMPUTED_VALUE"""),"София: За буквите - О писменехь, 2009, ISBN 978-954-8887-52-6")</f>
        <v>София: За буквите - О писменехь, 2009, ISBN 978-954-8887-52-6</v>
      </c>
      <c r="F3179" s="10"/>
      <c r="G3179" s="10" t="str">
        <f ca="1">IFERROR(__xludf.DUMMYFUNCTION("""COMPUTED_VALUE"""),"С. Шапкалова")</f>
        <v>С. Шапкалова</v>
      </c>
      <c r="H3179" s="10"/>
      <c r="I3179" s="10"/>
      <c r="J3179" s="10"/>
      <c r="K3179" s="10"/>
      <c r="L3179" s="10"/>
      <c r="M3179" s="10"/>
      <c r="N3179" s="10"/>
      <c r="O3179" s="10"/>
      <c r="P3179" s="10"/>
      <c r="Q3179" s="10"/>
      <c r="R3179" s="10"/>
      <c r="S3179" s="10"/>
      <c r="T3179" s="10"/>
      <c r="U3179" s="10"/>
      <c r="V3179" s="10"/>
      <c r="W3179" s="10"/>
      <c r="X3179" s="10"/>
      <c r="Y3179" s="10"/>
      <c r="Z3179" s="10"/>
    </row>
    <row r="3180" spans="1:26" ht="12.75">
      <c r="A3180" s="10" t="str">
        <f ca="1">IFERROR(__xludf.DUMMYFUNCTION("""COMPUTED_VALUE"""),"Жоржета Димитрова Назърска")</f>
        <v>Жоржета Димитрова Назърска</v>
      </c>
      <c r="B3180" s="10" t="str">
        <f ca="1">IFERROR(__xludf.DUMMYFUNCTION("""COMPUTED_VALUE"""),"Статия в списания и поредици")</f>
        <v>Статия в списания и поредици</v>
      </c>
      <c r="C3180" s="10" t="str">
        <f ca="1">IFERROR(__xludf.DUMMYFUNCTION("""COMPUTED_VALUE"""),"Политики на помнене, политики на забрава: Юбилеите на културни дейци (20-40-те год. на XX век)")</f>
        <v>Политики на помнене, политики на забрава: Юбилеите на културни дейци (20-40-те год. на XX век)</v>
      </c>
      <c r="D3180" s="10">
        <f ca="1">IFERROR(__xludf.DUMMYFUNCTION("""COMPUTED_VALUE"""),2009)</f>
        <v>2009</v>
      </c>
      <c r="E3180" s="10" t="str">
        <f ca="1">IFERROR(__xludf.DUMMYFUNCTION("""COMPUTED_VALUE"""),"Балканистичен форум, 2009, №1-2-3, с. 47-58.")</f>
        <v>Балканистичен форум, 2009, №1-2-3, с. 47-58.</v>
      </c>
      <c r="F3180" s="10" t="str">
        <f ca="1">IFERROR(__xludf.DUMMYFUNCTION("""COMPUTED_VALUE"""),"Scopus
  ERIH PLUS
  eLibrary.ru
 Central andEastEuropeanOnlineLibrary")</f>
        <v>Scopus
  ERIH PLUS
  eLibrary.ru
 Central andEastEuropeanOnlineLibrary</v>
      </c>
      <c r="G3180" s="10"/>
      <c r="H3180" s="10"/>
      <c r="I3180" s="10"/>
      <c r="J3180" s="10"/>
      <c r="K3180" s="10"/>
      <c r="L3180" s="10"/>
      <c r="M3180" s="10"/>
      <c r="N3180" s="10"/>
      <c r="O3180" s="10"/>
      <c r="P3180" s="10"/>
      <c r="Q3180" s="10"/>
      <c r="R3180" s="10"/>
      <c r="S3180" s="10"/>
      <c r="T3180" s="10"/>
      <c r="U3180" s="10"/>
      <c r="V3180" s="10"/>
      <c r="W3180" s="10"/>
      <c r="X3180" s="10"/>
      <c r="Y3180" s="10"/>
      <c r="Z3180" s="10"/>
    </row>
    <row r="3181" spans="1:26" ht="12.75">
      <c r="A3181" s="10" t="str">
        <f ca="1">IFERROR(__xludf.DUMMYFUNCTION("""COMPUTED_VALUE"""),"Жоржета Димитрова Назърска")</f>
        <v>Жоржета Димитрова Назърска</v>
      </c>
      <c r="B3181" s="10" t="str">
        <f ca="1">IFERROR(__xludf.DUMMYFUNCTION("""COMPUTED_VALUE"""),"Статия в списания и поредици")</f>
        <v>Статия в списания и поредици</v>
      </c>
      <c r="C3181" s="10" t="str">
        <f ca="1">IFERROR(__xludf.DUMMYFUNCTION("""COMPUTED_VALUE"""),"Kadin ve Azinliklara Ait Dokumanlarin Dijital Sunumu icin Yeni Bir Balkan Projesi /A New Balkan Project on Digital Presentation of Women and Minorities’ Documentation.")</f>
        <v>Kadin ve Azinliklara Ait Dokumanlarin Dijital Sunumu icin Yeni Bir Balkan Projesi /A New Balkan Project on Digital Presentation of Women and Minorities’ Documentation.</v>
      </c>
      <c r="D3181" s="10">
        <f ca="1">IFERROR(__xludf.DUMMYFUNCTION("""COMPUTED_VALUE"""),2008)</f>
        <v>2008</v>
      </c>
      <c r="E3181" s="10" t="str">
        <f ca="1">IFERROR(__xludf.DUMMYFUNCTION("""COMPUTED_VALUE"""),"Information/Documentation Management and Co-operation among the Libraries in the Balkan Countries. Symposium Papers. – Edirne, 2008, рр. 64-66.")</f>
        <v>Information/Documentation Management and Co-operation among the Libraries in the Balkan Countries. Symposium Papers. – Edirne, 2008, рр. 64-66.</v>
      </c>
      <c r="F3181" s="10"/>
      <c r="G3181" s="10"/>
      <c r="H3181" s="10"/>
      <c r="I3181" s="10"/>
      <c r="J3181" s="10"/>
      <c r="K3181" s="10"/>
      <c r="L3181" s="10"/>
      <c r="M3181" s="10"/>
      <c r="N3181" s="10"/>
      <c r="O3181" s="10"/>
      <c r="P3181" s="10"/>
      <c r="Q3181" s="10"/>
      <c r="R3181" s="10"/>
      <c r="S3181" s="10"/>
      <c r="T3181" s="10"/>
      <c r="U3181" s="10"/>
      <c r="V3181" s="10"/>
      <c r="W3181" s="10"/>
      <c r="X3181" s="10"/>
      <c r="Y3181" s="10"/>
      <c r="Z3181" s="10"/>
    </row>
    <row r="3182" spans="1:26" ht="12.75">
      <c r="A3182" s="10" t="str">
        <f ca="1">IFERROR(__xludf.DUMMYFUNCTION("""COMPUTED_VALUE"""),"Жоржета Димитрова Назърска")</f>
        <v>Жоржета Димитрова Назърска</v>
      </c>
      <c r="B3182" s="10" t="str">
        <f ca="1">IFERROR(__xludf.DUMMYFUNCTION("""COMPUTED_VALUE"""),"Учебник")</f>
        <v>Учебник</v>
      </c>
      <c r="C3182" s="10" t="str">
        <f ca="1">IFERROR(__xludf.DUMMYFUNCTION("""COMPUTED_VALUE"""),"История на България. Мултимедиен DVD. - София: Сиела, 2008.")</f>
        <v>История на България. Мултимедиен DVD. - София: Сиела, 2008.</v>
      </c>
      <c r="D3182" s="10">
        <f ca="1">IFERROR(__xludf.DUMMYFUNCTION("""COMPUTED_VALUE"""),2008)</f>
        <v>2008</v>
      </c>
      <c r="E3182" s="10" t="str">
        <f ca="1">IFERROR(__xludf.DUMMYFUNCTION("""COMPUTED_VALUE"""),"София: Сиела, 2008. ISBN 978-954-28-0377-5")</f>
        <v>София: Сиела, 2008. ISBN 978-954-28-0377-5</v>
      </c>
      <c r="F3182" s="10"/>
      <c r="G3182" s="10" t="str">
        <f ca="1">IFERROR(__xludf.DUMMYFUNCTION("""COMPUTED_VALUE"""),"Г.Якимов")</f>
        <v>Г.Якимов</v>
      </c>
      <c r="H3182" s="10"/>
      <c r="I3182" s="10"/>
      <c r="J3182" s="10"/>
      <c r="K3182" s="10"/>
      <c r="L3182" s="10"/>
      <c r="M3182" s="10"/>
      <c r="N3182" s="10"/>
      <c r="O3182" s="10"/>
      <c r="P3182" s="10"/>
      <c r="Q3182" s="10"/>
      <c r="R3182" s="10"/>
      <c r="S3182" s="10"/>
      <c r="T3182" s="10"/>
      <c r="U3182" s="10"/>
      <c r="V3182" s="10"/>
      <c r="W3182" s="10"/>
      <c r="X3182" s="10"/>
      <c r="Y3182" s="10"/>
      <c r="Z3182" s="10"/>
    </row>
    <row r="3183" spans="1:26" ht="12.75">
      <c r="A3183" s="10" t="str">
        <f ca="1">IFERROR(__xludf.DUMMYFUNCTION("""COMPUTED_VALUE"""),"Жоржета Димитрова Назърска")</f>
        <v>Жоржета Димитрова Назърска</v>
      </c>
      <c r="B3183" s="10" t="str">
        <f ca="1">IFERROR(__xludf.DUMMYFUNCTION("""COMPUTED_VALUE"""),"Статия в списания и поредици")</f>
        <v>Статия в списания и поредици</v>
      </c>
      <c r="C3183" s="10" t="str">
        <f ca="1">IFERROR(__xludf.DUMMYFUNCTION("""COMPUTED_VALUE"""),"Жизнеописанието на Соня Краева-Кикименова и женската автобиографична традиция на Балканите")</f>
        <v>Жизнеописанието на Соня Краева-Кикименова и женската автобиографична традиция на Балканите</v>
      </c>
      <c r="D3183" s="10">
        <f ca="1">IFERROR(__xludf.DUMMYFUNCTION("""COMPUTED_VALUE"""),2008)</f>
        <v>2008</v>
      </c>
      <c r="E3183" s="10" t="str">
        <f ca="1">IFERROR(__xludf.DUMMYFUNCTION("""COMPUTED_VALUE"""),"Балканистичен форум, 2008, № 1-2, с. 73-87")</f>
        <v>Балканистичен форум, 2008, № 1-2, с. 73-87</v>
      </c>
      <c r="F3183" s="10" t="str">
        <f ca="1">IFERROR(__xludf.DUMMYFUNCTION("""COMPUTED_VALUE"""),"Scopus
  ERIH PLUS
  eLibrary.ru
 Central andEastEuropeanOnlineLibrary")</f>
        <v>Scopus
  ERIH PLUS
  eLibrary.ru
 Central andEastEuropeanOnlineLibrary</v>
      </c>
      <c r="G3183" s="10"/>
      <c r="H3183" s="10"/>
      <c r="I3183" s="10"/>
      <c r="J3183" s="10"/>
      <c r="K3183" s="10"/>
      <c r="L3183" s="10"/>
      <c r="M3183" s="10"/>
      <c r="N3183" s="10"/>
      <c r="O3183" s="10"/>
      <c r="P3183" s="10"/>
      <c r="Q3183" s="10"/>
      <c r="R3183" s="10"/>
      <c r="S3183" s="10"/>
      <c r="T3183" s="10"/>
      <c r="U3183" s="10"/>
      <c r="V3183" s="10"/>
      <c r="W3183" s="10"/>
      <c r="X3183" s="10"/>
      <c r="Y3183" s="10"/>
      <c r="Z3183" s="10"/>
    </row>
    <row r="3184" spans="1:26" ht="12.75">
      <c r="A3184" s="10" t="str">
        <f ca="1">IFERROR(__xludf.DUMMYFUNCTION("""COMPUTED_VALUE"""),"Жоржета Димитрова Назърска")</f>
        <v>Жоржета Димитрова Назърска</v>
      </c>
      <c r="B3184" s="10" t="str">
        <f ca="1">IFERROR(__xludf.DUMMYFUNCTION("""COMPUTED_VALUE"""),"Статия в списания и поредици")</f>
        <v>Статия в списания и поредици</v>
      </c>
      <c r="C3184" s="10" t="str">
        <f ca="1">IFERROR(__xludf.DUMMYFUNCTION("""COMPUTED_VALUE"""),"Bulgarian Women Medical Doctors in the Social Modernization of the Bulgarian Nation State (1878-1944).")</f>
        <v>Bulgarian Women Medical Doctors in the Social Modernization of the Bulgarian Nation State (1878-1944).</v>
      </c>
      <c r="D3184" s="10">
        <f ca="1">IFERROR(__xludf.DUMMYFUNCTION("""COMPUTED_VALUE"""),2008)</f>
        <v>2008</v>
      </c>
      <c r="E3184" s="10" t="str">
        <f ca="1">IFERROR(__xludf.DUMMYFUNCTION("""COMPUTED_VALUE"""),"Historical Social Research/ Historische Sozialforschung (Köln), 2008, vol.33, ser. 2, рр. 232-248 ISSN 0172-6404")</f>
        <v>Historical Social Research/ Historische Sozialforschung (Köln), 2008, vol.33, ser. 2, рр. 232-248 ISSN 0172-6404</v>
      </c>
      <c r="F3184" s="10"/>
      <c r="G3184" s="10"/>
      <c r="H3184" s="10"/>
      <c r="I3184" s="10"/>
      <c r="J3184" s="10"/>
      <c r="K3184" s="10"/>
      <c r="L3184" s="10"/>
      <c r="M3184" s="10"/>
      <c r="N3184" s="10"/>
      <c r="O3184" s="10"/>
      <c r="P3184" s="10"/>
      <c r="Q3184" s="10"/>
      <c r="R3184" s="10"/>
      <c r="S3184" s="10"/>
      <c r="T3184" s="10"/>
      <c r="U3184" s="10"/>
      <c r="V3184" s="10"/>
      <c r="W3184" s="10"/>
      <c r="X3184" s="10"/>
      <c r="Y3184" s="10"/>
      <c r="Z3184" s="10"/>
    </row>
    <row r="3185" spans="1:26" ht="12.75">
      <c r="A3185" s="10" t="str">
        <f ca="1">IFERROR(__xludf.DUMMYFUNCTION("""COMPUTED_VALUE"""),"Жоржета Димитрова Назърска")</f>
        <v>Жоржета Димитрова Назърска</v>
      </c>
      <c r="B3185" s="10" t="str">
        <f ca="1">IFERROR(__xludf.DUMMYFUNCTION("""COMPUTED_VALUE"""),"Статия в списания и поредици")</f>
        <v>Статия в списания и поредици</v>
      </c>
      <c r="C3185" s="10" t="str">
        <f ca="1">IFERROR(__xludf.DUMMYFUNCTION("""COMPUTED_VALUE"""),"Младежта, социалният пол и социалната промяна в България (началото на ХХ в.): два опита за портрет")</f>
        <v>Младежта, социалният пол и социалната промяна в България (началото на ХХ в.): два опита за портрет</v>
      </c>
      <c r="D3185" s="10">
        <f ca="1">IFERROR(__xludf.DUMMYFUNCTION("""COMPUTED_VALUE"""),2008)</f>
        <v>2008</v>
      </c>
      <c r="E3185" s="10" t="str">
        <f ca="1">IFERROR(__xludf.DUMMYFUNCTION("""COMPUTED_VALUE"""),"Костов, А., Д. Парушева, Р. Прешленова, съст. И настъпи време за промяна. Образование и възпитание в България, XIX-XX в. – София, 2008, с. 87-105")</f>
        <v>Костов, А., Д. Парушева, Р. Прешленова, съст. И настъпи време за промяна. Образование и възпитание в България, XIX-XX в. – София, 2008, с. 87-105</v>
      </c>
      <c r="F3185" s="10"/>
      <c r="G3185" s="10" t="str">
        <f ca="1">IFERROR(__xludf.DUMMYFUNCTION("""COMPUTED_VALUE"""),"Костов, А., Д. Парушева, Р. Прешленова")</f>
        <v>Костов, А., Д. Парушева, Р. Прешленова</v>
      </c>
      <c r="H3185" s="10"/>
      <c r="I3185" s="10"/>
      <c r="J3185" s="10"/>
      <c r="K3185" s="10"/>
      <c r="L3185" s="10"/>
      <c r="M3185" s="10"/>
      <c r="N3185" s="10"/>
      <c r="O3185" s="10"/>
      <c r="P3185" s="10"/>
      <c r="Q3185" s="10"/>
      <c r="R3185" s="10"/>
      <c r="S3185" s="10"/>
      <c r="T3185" s="10"/>
      <c r="U3185" s="10"/>
      <c r="V3185" s="10"/>
      <c r="W3185" s="10"/>
      <c r="X3185" s="10"/>
      <c r="Y3185" s="10"/>
      <c r="Z3185" s="10"/>
    </row>
    <row r="3186" spans="1:26" ht="12.75">
      <c r="A3186" s="10" t="str">
        <f ca="1">IFERROR(__xludf.DUMMYFUNCTION("""COMPUTED_VALUE"""),"Жоржета Димитрова Назърска")</f>
        <v>Жоржета Димитрова Назърска</v>
      </c>
      <c r="B3186" s="10" t="str">
        <f ca="1">IFERROR(__xludf.DUMMYFUNCTION("""COMPUTED_VALUE"""),"Статия в списания и поредици")</f>
        <v>Статия в списания и поредици</v>
      </c>
      <c r="C3186" s="10" t="str">
        <f ca="1">IFERROR(__xludf.DUMMYFUNCTION("""COMPUTED_VALUE"""),"Лекарките в българската социална модернизация (1878-1944).")</f>
        <v>Лекарките в българската социална модернизация (1878-1944).</v>
      </c>
      <c r="D3186" s="10">
        <f ca="1">IFERROR(__xludf.DUMMYFUNCTION("""COMPUTED_VALUE"""),2007)</f>
        <v>2007</v>
      </c>
      <c r="E3186" s="10" t="str">
        <f ca="1">IFERROR(__xludf.DUMMYFUNCTION("""COMPUTED_VALUE"""),"Трудове на СВУБИТ, 2007, т. 6, с. 395-411.")</f>
        <v>Трудове на СВУБИТ, 2007, т. 6, с. 395-411.</v>
      </c>
      <c r="F3186" s="10"/>
      <c r="G3186" s="10"/>
      <c r="H3186" s="10"/>
      <c r="I3186" s="10"/>
      <c r="J3186" s="10"/>
      <c r="K3186" s="10"/>
      <c r="L3186" s="10"/>
      <c r="M3186" s="10"/>
      <c r="N3186" s="10"/>
      <c r="O3186" s="10"/>
      <c r="P3186" s="10"/>
      <c r="Q3186" s="10"/>
      <c r="R3186" s="10"/>
      <c r="S3186" s="10"/>
      <c r="T3186" s="10"/>
      <c r="U3186" s="10"/>
      <c r="V3186" s="10"/>
      <c r="W3186" s="10"/>
      <c r="X3186" s="10"/>
      <c r="Y3186" s="10"/>
      <c r="Z3186" s="10"/>
    </row>
    <row r="3187" spans="1:26" ht="12.75">
      <c r="A3187" s="10" t="str">
        <f ca="1">IFERROR(__xludf.DUMMYFUNCTION("""COMPUTED_VALUE"""),"Жоржета Димитрова Назърска")</f>
        <v>Жоржета Димитрова Назърска</v>
      </c>
      <c r="B3187" s="10" t="str">
        <f ca="1">IFERROR(__xludf.DUMMYFUNCTION("""COMPUTED_VALUE"""),"Статия в списания и поредици")</f>
        <v>Статия в списания и поредици</v>
      </c>
      <c r="C3187" s="10" t="str">
        <f ca="1">IFERROR(__xludf.DUMMYFUNCTION("""COMPUTED_VALUE"""),"Women, Gender and Women's Education. Early through Late Modern: South Eastern Europe")</f>
        <v>Women, Gender and Women's Education. Early through Late Modern: South Eastern Europe</v>
      </c>
      <c r="D3187" s="10">
        <f ca="1">IFERROR(__xludf.DUMMYFUNCTION("""COMPUTED_VALUE"""),2007)</f>
        <v>2007</v>
      </c>
      <c r="E3187" s="10" t="str">
        <f ca="1">IFERROR(__xludf.DUMMYFUNCTION("""COMPUTED_VALUE"""),"Encyclopedia of Women and Islamic Cultures. - Leiden: Brill Academic Publishers, 2007, vol. 6, рр. 200-204. ISSN: 1872-5309")</f>
        <v>Encyclopedia of Women and Islamic Cultures. - Leiden: Brill Academic Publishers, 2007, vol. 6, рр. 200-204. ISSN: 1872-5309</v>
      </c>
      <c r="F3187" s="10"/>
      <c r="G3187" s="10"/>
      <c r="H3187" s="10"/>
      <c r="I3187" s="10"/>
      <c r="J3187" s="10"/>
      <c r="K3187" s="10"/>
      <c r="L3187" s="10"/>
      <c r="M3187" s="10"/>
      <c r="N3187" s="10"/>
      <c r="O3187" s="10"/>
      <c r="P3187" s="10"/>
      <c r="Q3187" s="10"/>
      <c r="R3187" s="10"/>
      <c r="S3187" s="10"/>
      <c r="T3187" s="10"/>
      <c r="U3187" s="10"/>
      <c r="V3187" s="10"/>
      <c r="W3187" s="10"/>
      <c r="X3187" s="10"/>
      <c r="Y3187" s="10"/>
      <c r="Z3187" s="10"/>
    </row>
    <row r="3188" spans="1:26" ht="12.75">
      <c r="A3188" s="10" t="str">
        <f ca="1">IFERROR(__xludf.DUMMYFUNCTION("""COMPUTED_VALUE"""),"Жоржета Димитрова Назърска")</f>
        <v>Жоржета Димитрова Назърска</v>
      </c>
      <c r="B3188" s="10" t="str">
        <f ca="1">IFERROR(__xludf.DUMMYFUNCTION("""COMPUTED_VALUE"""),"Статия в списания и поредици")</f>
        <v>Статия в списания и поредици</v>
      </c>
      <c r="C3188" s="10" t="str">
        <f ca="1">IFERROR(__xludf.DUMMYFUNCTION("""COMPUTED_VALUE"""),"Regions, Minorities and European Integration. A Case Study on Muslim Minorities (Turks and Muslim Bulgarians). In the SCR of Bulgaria")</f>
        <v>Regions, Minorities and European Integration. A Case Study on Muslim Minorities (Turks and Muslim Bulgarians). In the SCR of Bulgaria</v>
      </c>
      <c r="D3188" s="10">
        <f ca="1">IFERROR(__xludf.DUMMYFUNCTION("""COMPUTED_VALUE"""),2007)</f>
        <v>2007</v>
      </c>
      <c r="E3188" s="10" t="str">
        <f ca="1">IFERROR(__xludf.DUMMYFUNCTION("""COMPUTED_VALUE"""),"Romanian Journal of Political Science, Bucharest: Romanian Academic Society, vol. 6, No 1, Spring 2006 (2007), рр. 24-58. ISSN 2068-7613")</f>
        <v>Romanian Journal of Political Science, Bucharest: Romanian Academic Society, vol. 6, No 1, Spring 2006 (2007), рр. 24-58. ISSN 2068-7613</v>
      </c>
      <c r="F3188" s="10"/>
      <c r="G3188" s="10" t="str">
        <f ca="1">IFERROR(__xludf.DUMMYFUNCTION("""COMPUTED_VALUE"""),"Lozanova, G., B. Alexiev, E. Troeva-Grigorova, I. Kyurkchieva")</f>
        <v>Lozanova, G., B. Alexiev, E. Troeva-Grigorova, I. Kyurkchieva</v>
      </c>
      <c r="H3188" s="10"/>
      <c r="I3188" s="10"/>
      <c r="J3188" s="10"/>
      <c r="K3188" s="10"/>
      <c r="L3188" s="10"/>
      <c r="M3188" s="10"/>
      <c r="N3188" s="10"/>
      <c r="O3188" s="10"/>
      <c r="P3188" s="10"/>
      <c r="Q3188" s="10"/>
      <c r="R3188" s="10"/>
      <c r="S3188" s="10"/>
      <c r="T3188" s="10"/>
      <c r="U3188" s="10"/>
      <c r="V3188" s="10"/>
      <c r="W3188" s="10"/>
      <c r="X3188" s="10"/>
      <c r="Y3188" s="10"/>
      <c r="Z3188" s="10"/>
    </row>
    <row r="3189" spans="1:26" ht="12.75">
      <c r="A3189" s="10" t="str">
        <f ca="1">IFERROR(__xludf.DUMMYFUNCTION("""COMPUTED_VALUE"""),"Жоржета Димитрова Назърска")</f>
        <v>Жоржета Димитрова Назърска</v>
      </c>
      <c r="B3189" s="10" t="str">
        <f ca="1">IFERROR(__xludf.DUMMYFUNCTION("""COMPUTED_VALUE"""),"Статия в списания и поредици")</f>
        <v>Статия в списания и поредици</v>
      </c>
      <c r="C3189" s="10" t="str">
        <f ca="1">IFERROR(__xludf.DUMMYFUNCTION("""COMPUTED_VALUE"""),"Women, Gender and Post-Secondary Education: South Eastern Europe")</f>
        <v>Women, Gender and Post-Secondary Education: South Eastern Europe</v>
      </c>
      <c r="D3189" s="10">
        <f ca="1">IFERROR(__xludf.DUMMYFUNCTION("""COMPUTED_VALUE"""),2007)</f>
        <v>2007</v>
      </c>
      <c r="E3189" s="10" t="str">
        <f ca="1">IFERROR(__xludf.DUMMYFUNCTION("""COMPUTED_VALUE"""),"Encyclopedia of Women and Islamic Cultures. - Leiden-Boston: Brill Academic Publishers, 2007, vol. 4, рр. 326-330 ISSN: 1872-5309")</f>
        <v>Encyclopedia of Women and Islamic Cultures. - Leiden-Boston: Brill Academic Publishers, 2007, vol. 4, рр. 326-330 ISSN: 1872-5309</v>
      </c>
      <c r="F3189" s="10"/>
      <c r="G3189" s="10"/>
      <c r="H3189" s="10"/>
      <c r="I3189" s="10"/>
      <c r="J3189" s="10"/>
      <c r="K3189" s="10"/>
      <c r="L3189" s="10"/>
      <c r="M3189" s="10"/>
      <c r="N3189" s="10"/>
      <c r="O3189" s="10"/>
      <c r="P3189" s="10"/>
      <c r="Q3189" s="10"/>
      <c r="R3189" s="10"/>
      <c r="S3189" s="10"/>
      <c r="T3189" s="10"/>
      <c r="U3189" s="10"/>
      <c r="V3189" s="10"/>
      <c r="W3189" s="10"/>
      <c r="X3189" s="10"/>
      <c r="Y3189" s="10"/>
      <c r="Z3189" s="10"/>
    </row>
    <row r="3190" spans="1:26" ht="12.75">
      <c r="A3190" s="10" t="str">
        <f ca="1">IFERROR(__xludf.DUMMYFUNCTION("""COMPUTED_VALUE"""),"Жоржета Димитрова Назърска")</f>
        <v>Жоржета Димитрова Назърска</v>
      </c>
      <c r="B3190" s="10" t="str">
        <f ca="1">IFERROR(__xludf.DUMMYFUNCTION("""COMPUTED_VALUE"""),"Статия в списания и поредици")</f>
        <v>Статия в списания и поредици</v>
      </c>
      <c r="C3190" s="10" t="str">
        <f ca="1">IFERROR(__xludf.DUMMYFUNCTION("""COMPUTED_VALUE"""),"Формиране на интелектуален елит на етническите и религиозните малцинства в България (1879-1944).")</f>
        <v>Формиране на интелектуален елит на етническите и религиозните малцинства в България (1879-1944).</v>
      </c>
      <c r="D3190" s="10">
        <f ca="1">IFERROR(__xludf.DUMMYFUNCTION("""COMPUTED_VALUE"""),2007)</f>
        <v>2007</v>
      </c>
      <c r="E3190" s="10" t="str">
        <f ca="1">IFERROR(__xludf.DUMMYFUNCTION("""COMPUTED_VALUE"""),"Педагогика, 2007, № 9, с. 100-109 .")</f>
        <v>Педагогика, 2007, № 9, с. 100-109 .</v>
      </c>
      <c r="F3190" s="10"/>
      <c r="G3190" s="10"/>
      <c r="H3190" s="10"/>
      <c r="I3190" s="10"/>
      <c r="J3190" s="10"/>
      <c r="K3190" s="10"/>
      <c r="L3190" s="10"/>
      <c r="M3190" s="10"/>
      <c r="N3190" s="10"/>
      <c r="O3190" s="10"/>
      <c r="P3190" s="10"/>
      <c r="Q3190" s="10"/>
      <c r="R3190" s="10"/>
      <c r="S3190" s="10"/>
      <c r="T3190" s="10"/>
      <c r="U3190" s="10"/>
      <c r="V3190" s="10"/>
      <c r="W3190" s="10"/>
      <c r="X3190" s="10"/>
      <c r="Y3190" s="10"/>
      <c r="Z3190" s="10"/>
    </row>
    <row r="3191" spans="1:26" ht="12.75">
      <c r="A3191" s="10" t="str">
        <f ca="1">IFERROR(__xludf.DUMMYFUNCTION("""COMPUTED_VALUE"""),"Жоржета Димитрова Назърска")</f>
        <v>Жоржета Димитрова Назърска</v>
      </c>
      <c r="B3191" s="10" t="str">
        <f ca="1">IFERROR(__xludf.DUMMYFUNCTION("""COMPUTED_VALUE"""),"Статия в списания и поредици")</f>
        <v>Статия в списания и поредици</v>
      </c>
      <c r="C3191" s="10" t="str">
        <f ca="1">IFERROR(__xludf.DUMMYFUNCTION("""COMPUTED_VALUE"""),"Културната рецепция на женския периодичен печат в България (30-60-те години на ХХ в.): Опит за реконструкция по данни от частен архив")</f>
        <v>Културната рецепция на женския периодичен печат в България (30-60-те години на ХХ в.): Опит за реконструкция по данни от частен архив</v>
      </c>
      <c r="D3191" s="10">
        <f ca="1">IFERROR(__xludf.DUMMYFUNCTION("""COMPUTED_VALUE"""),2007)</f>
        <v>2007</v>
      </c>
      <c r="E3191" s="10" t="str">
        <f ca="1">IFERROR(__xludf.DUMMYFUNCTION("""COMPUTED_VALUE"""),"Издател, 2007, №3-4, с. 11-20")</f>
        <v>Издател, 2007, №3-4, с. 11-20</v>
      </c>
      <c r="F3191" s="10"/>
      <c r="G3191" s="10"/>
      <c r="H3191" s="10"/>
      <c r="I3191" s="10"/>
      <c r="J3191" s="10"/>
      <c r="K3191" s="10"/>
      <c r="L3191" s="10"/>
      <c r="M3191" s="10"/>
      <c r="N3191" s="10"/>
      <c r="O3191" s="10"/>
      <c r="P3191" s="10"/>
      <c r="Q3191" s="10"/>
      <c r="R3191" s="10"/>
      <c r="S3191" s="10"/>
      <c r="T3191" s="10"/>
      <c r="U3191" s="10"/>
      <c r="V3191" s="10"/>
      <c r="W3191" s="10"/>
      <c r="X3191" s="10"/>
      <c r="Y3191" s="10"/>
      <c r="Z3191" s="10"/>
    </row>
    <row r="3192" spans="1:26" ht="12.75">
      <c r="A3192" s="10" t="str">
        <f ca="1">IFERROR(__xludf.DUMMYFUNCTION("""COMPUTED_VALUE"""),"Жоржета Димитрова Назърска")</f>
        <v>Жоржета Димитрова Назърска</v>
      </c>
      <c r="B3192" s="10" t="str">
        <f ca="1">IFERROR(__xludf.DUMMYFUNCTION("""COMPUTED_VALUE"""),"Статия в списания и поредици")</f>
        <v>Статия в списания и поредици</v>
      </c>
      <c r="C3192" s="10" t="str">
        <f ca="1">IFERROR(__xludf.DUMMYFUNCTION("""COMPUTED_VALUE"""),"„Държавата на духа” в паметта на града: „места на памет” за български културни дейци в София.")</f>
        <v>„Държавата на духа” в паметта на града: „места на памет” за български културни дейци в София.</v>
      </c>
      <c r="D3192" s="10">
        <f ca="1">IFERROR(__xludf.DUMMYFUNCTION("""COMPUTED_VALUE"""),2007)</f>
        <v>2007</v>
      </c>
      <c r="E3192" s="10" t="str">
        <f ca="1">IFERROR(__xludf.DUMMYFUNCTION("""COMPUTED_VALUE"""),"Държавата на духа. - София: За буквите-О писменехь, 2007, с. 411-422.")</f>
        <v>Държавата на духа. - София: За буквите-О писменехь, 2007, с. 411-422.</v>
      </c>
      <c r="F3192" s="10"/>
      <c r="G3192" s="10"/>
      <c r="H3192" s="10"/>
      <c r="I3192" s="10"/>
      <c r="J3192" s="10"/>
      <c r="K3192" s="10"/>
      <c r="L3192" s="10"/>
      <c r="M3192" s="10"/>
      <c r="N3192" s="10"/>
      <c r="O3192" s="10"/>
      <c r="P3192" s="10"/>
      <c r="Q3192" s="10"/>
      <c r="R3192" s="10"/>
      <c r="S3192" s="10"/>
      <c r="T3192" s="10"/>
      <c r="U3192" s="10"/>
      <c r="V3192" s="10"/>
      <c r="W3192" s="10"/>
      <c r="X3192" s="10"/>
      <c r="Y3192" s="10"/>
      <c r="Z3192" s="10"/>
    </row>
    <row r="3193" spans="1:26" ht="12.75">
      <c r="A3193" s="10" t="str">
        <f ca="1">IFERROR(__xludf.DUMMYFUNCTION("""COMPUTED_VALUE"""),"Жоржета Димитрова Назърска")</f>
        <v>Жоржета Димитрова Назърска</v>
      </c>
      <c r="B3193" s="10" t="str">
        <f ca="1">IFERROR(__xludf.DUMMYFUNCTION("""COMPUTED_VALUE"""),"Статия в списания и поредици")</f>
        <v>Статия в списания и поредици</v>
      </c>
      <c r="C3193" s="10" t="str">
        <f ca="1">IFERROR(__xludf.DUMMYFUNCTION("""COMPUTED_VALUE"""),"Bulgarian Association of University Women, 1924-1950.")</f>
        <v>Bulgarian Association of University Women, 1924-1950.</v>
      </c>
      <c r="D3193" s="10">
        <f ca="1">IFERROR(__xludf.DUMMYFUNCTION("""COMPUTED_VALUE"""),2007)</f>
        <v>2007</v>
      </c>
      <c r="E3193" s="10" t="str">
        <f ca="1">IFERROR(__xludf.DUMMYFUNCTION("""COMPUTED_VALUE"""),"Aspasia. International Yearbook for Women’s and Gender History of Central, Eastern and South Eastern Europe, 2007, vol. 1, рр. 153-175. ISSN 1933-2882")</f>
        <v>Aspasia. International Yearbook for Women’s and Gender History of Central, Eastern and South Eastern Europe, 2007, vol. 1, рр. 153-175. ISSN 1933-2882</v>
      </c>
      <c r="F3193" s="10"/>
      <c r="G3193" s="10"/>
      <c r="H3193" s="10"/>
      <c r="I3193" s="10"/>
      <c r="J3193" s="10"/>
      <c r="K3193" s="10"/>
      <c r="L3193" s="10"/>
      <c r="M3193" s="10"/>
      <c r="N3193" s="10"/>
      <c r="O3193" s="10"/>
      <c r="P3193" s="10"/>
      <c r="Q3193" s="10"/>
      <c r="R3193" s="10"/>
      <c r="S3193" s="10"/>
      <c r="T3193" s="10"/>
      <c r="U3193" s="10"/>
      <c r="V3193" s="10"/>
      <c r="W3193" s="10"/>
      <c r="X3193" s="10"/>
      <c r="Y3193" s="10"/>
      <c r="Z3193" s="10"/>
    </row>
    <row r="3194" spans="1:26" ht="12.75">
      <c r="A3194" s="10" t="str">
        <f ca="1">IFERROR(__xludf.DUMMYFUNCTION("""COMPUTED_VALUE"""),"Жоржета Димитрова Назърска")</f>
        <v>Жоржета Димитрова Назърска</v>
      </c>
      <c r="B3194" s="10" t="str">
        <f ca="1">IFERROR(__xludf.DUMMYFUNCTION("""COMPUTED_VALUE"""),"Статия в списания и поредици")</f>
        <v>Статия в списания и поредици</v>
      </c>
      <c r="C3194" s="10" t="str">
        <f ca="1">IFERROR(__xludf.DUMMYFUNCTION("""COMPUTED_VALUE"""),"Bridges over the Frontier: the Cultural Contacts between the Bulgarian and the Yugoslavian Female Intellectual Elite in the Interwar Period.")</f>
        <v>Bridges over the Frontier: the Cultural Contacts between the Bulgarian and the Yugoslavian Female Intellectual Elite in the Interwar Period.</v>
      </c>
      <c r="D3194" s="10">
        <f ca="1">IFERROR(__xludf.DUMMYFUNCTION("""COMPUTED_VALUE"""),2007)</f>
        <v>2007</v>
      </c>
      <c r="E3194" s="10" t="str">
        <f ca="1">IFERROR(__xludf.DUMMYFUNCTION("""COMPUTED_VALUE"""),"Bibliotekar (Serbia), 2007, № 3-4, pp. 375-384 ISSN 0006-1816")</f>
        <v>Bibliotekar (Serbia), 2007, № 3-4, pp. 375-384 ISSN 0006-1816</v>
      </c>
      <c r="F3194" s="10"/>
      <c r="G3194" s="10"/>
      <c r="H3194" s="10"/>
      <c r="I3194" s="10"/>
      <c r="J3194" s="10"/>
      <c r="K3194" s="10"/>
      <c r="L3194" s="10"/>
      <c r="M3194" s="10"/>
      <c r="N3194" s="10"/>
      <c r="O3194" s="10"/>
      <c r="P3194" s="10"/>
      <c r="Q3194" s="10"/>
      <c r="R3194" s="10"/>
      <c r="S3194" s="10"/>
      <c r="T3194" s="10"/>
      <c r="U3194" s="10"/>
      <c r="V3194" s="10"/>
      <c r="W3194" s="10"/>
      <c r="X3194" s="10"/>
      <c r="Y3194" s="10"/>
      <c r="Z3194" s="10"/>
    </row>
    <row r="3195" spans="1:26" ht="12.75">
      <c r="A3195" s="10" t="str">
        <f ca="1">IFERROR(__xludf.DUMMYFUNCTION("""COMPUTED_VALUE"""),"Жоржета Димитрова Назърска")</f>
        <v>Жоржета Димитрова Назърска</v>
      </c>
      <c r="B3195" s="10" t="str">
        <f ca="1">IFERROR(__xludf.DUMMYFUNCTION("""COMPUTED_VALUE"""),"Статия в списания и поредици")</f>
        <v>Статия в списания и поредици</v>
      </c>
      <c r="C3195" s="10" t="str">
        <f ca="1">IFERROR(__xludf.DUMMYFUNCTION("""COMPUTED_VALUE"""),"Ekaterina Zlatoustova")</f>
        <v>Ekaterina Zlatoustova</v>
      </c>
      <c r="D3195" s="10">
        <f ca="1">IFERROR(__xludf.DUMMYFUNCTION("""COMPUTED_VALUE"""),2006)</f>
        <v>2006</v>
      </c>
      <c r="E3195" s="10" t="str">
        <f ca="1">IFERROR(__xludf.DUMMYFUNCTION("""COMPUTED_VALUE"""),"De Haan, Fr., Kr. Daskalova, A. Loutfi, eds. A Biographical Dictionary of Women’s Movements and Feminisms. Central, Eastern, and Southeastern Europe: 19th – 20th Centuries. Budapest, New York: CEU Press. 2006, рр. 624 - 627. ISBN: 978-963-7326-39-4")</f>
        <v>De Haan, Fr., Kr. Daskalova, A. Loutfi, eds. A Biographical Dictionary of Women’s Movements and Feminisms. Central, Eastern, and Southeastern Europe: 19th – 20th Centuries. Budapest, New York: CEU Press. 2006, рр. 624 - 627. ISBN: 978-963-7326-39-4</v>
      </c>
      <c r="F3195" s="10"/>
      <c r="G3195" s="10"/>
      <c r="H3195" s="10"/>
      <c r="I3195" s="10"/>
      <c r="J3195" s="10"/>
      <c r="K3195" s="10"/>
      <c r="L3195" s="10"/>
      <c r="M3195" s="10"/>
      <c r="N3195" s="10"/>
      <c r="O3195" s="10"/>
      <c r="P3195" s="10"/>
      <c r="Q3195" s="10"/>
      <c r="R3195" s="10"/>
      <c r="S3195" s="10"/>
      <c r="T3195" s="10"/>
      <c r="U3195" s="10"/>
      <c r="V3195" s="10"/>
      <c r="W3195" s="10"/>
      <c r="X3195" s="10"/>
      <c r="Y3195" s="10"/>
      <c r="Z3195" s="10"/>
    </row>
    <row r="3196" spans="1:26" ht="12.75">
      <c r="A3196" s="10" t="str">
        <f ca="1">IFERROR(__xludf.DUMMYFUNCTION("""COMPUTED_VALUE"""),"Жоржета Димитрова Назърска")</f>
        <v>Жоржета Димитрова Назърска</v>
      </c>
      <c r="B3196" s="10" t="str">
        <f ca="1">IFERROR(__xludf.DUMMYFUNCTION("""COMPUTED_VALUE"""),"Монография")</f>
        <v>Монография</v>
      </c>
      <c r="C3196" s="10" t="str">
        <f ca="1">IFERROR(__xludf.DUMMYFUNCTION("""COMPUTED_VALUE"""),"Женско движение и феминизми в България (средата на XIX- средата на XX век)/Women’s Movement and Feminisms in Modern Bulgaria (1850s-1940s).")</f>
        <v>Женско движение и феминизми в България (средата на XIX- средата на XX век)/Women’s Movement and Feminisms in Modern Bulgaria (1850s-1940s).</v>
      </c>
      <c r="D3196" s="10">
        <f ca="1">IFERROR(__xludf.DUMMYFUNCTION("""COMPUTED_VALUE"""),2006)</f>
        <v>2006</v>
      </c>
      <c r="E3196" s="10" t="str">
        <f ca="1">IFERROR(__xludf.DUMMYFUNCTION("""COMPUTED_VALUE"""),"София: Полис, 2006 ISBN 978-954-796-018-3")</f>
        <v>София: Полис, 2006 ISBN 978-954-796-018-3</v>
      </c>
      <c r="F3196" s="10"/>
      <c r="G3196" s="10" t="str">
        <f ca="1">IFERROR(__xludf.DUMMYFUNCTION("""COMPUTED_VALUE"""),"Даскалова, Кр., Daskalova, Kr.")</f>
        <v>Даскалова, Кр., Daskalova, Kr.</v>
      </c>
      <c r="H3196" s="10"/>
      <c r="I3196" s="10"/>
      <c r="J3196" s="10"/>
      <c r="K3196" s="10"/>
      <c r="L3196" s="10"/>
      <c r="M3196" s="10"/>
      <c r="N3196" s="10"/>
      <c r="O3196" s="10"/>
      <c r="P3196" s="10"/>
      <c r="Q3196" s="10"/>
      <c r="R3196" s="10"/>
      <c r="S3196" s="10"/>
      <c r="T3196" s="10"/>
      <c r="U3196" s="10"/>
      <c r="V3196" s="10"/>
      <c r="W3196" s="10"/>
      <c r="X3196" s="10"/>
      <c r="Y3196" s="10"/>
      <c r="Z3196" s="10"/>
    </row>
    <row r="3197" spans="1:26" ht="12.75">
      <c r="A3197" s="10" t="str">
        <f ca="1">IFERROR(__xludf.DUMMYFUNCTION("""COMPUTED_VALUE"""),"Жоржета Димитрова Назърска")</f>
        <v>Жоржета Димитрова Назърска</v>
      </c>
      <c r="B3197" s="10" t="str">
        <f ca="1">IFERROR(__xludf.DUMMYFUNCTION("""COMPUTED_VALUE"""),"Статия в списания и поредици")</f>
        <v>Статия в списания и поредици</v>
      </c>
      <c r="C3197" s="10" t="str">
        <f ca="1">IFERROR(__xludf.DUMMYFUNCTION("""COMPUTED_VALUE"""),"Elissaveta Karamichailova")</f>
        <v>Elissaveta Karamichailova</v>
      </c>
      <c r="D3197" s="10">
        <f ca="1">IFERROR(__xludf.DUMMYFUNCTION("""COMPUTED_VALUE"""),2006)</f>
        <v>2006</v>
      </c>
      <c r="E3197" s="10" t="str">
        <f ca="1">IFERROR(__xludf.DUMMYFUNCTION("""COMPUTED_VALUE"""),"De Haan, Fr., Kr. Daskalova, A. Loutfi, eds. A Biographical Dictionary of Women’s Movements and Feminisms. Central, Eastern, and Southeastern Europe: 19th – 20th Centuries. Budapest, New York: CEU Press. 2006, рр. 222 - 225. ISBN: 978-963-7326-39-4")</f>
        <v>De Haan, Fr., Kr. Daskalova, A. Loutfi, eds. A Biographical Dictionary of Women’s Movements and Feminisms. Central, Eastern, and Southeastern Europe: 19th – 20th Centuries. Budapest, New York: CEU Press. 2006, рр. 222 - 225. ISBN: 978-963-7326-39-4</v>
      </c>
      <c r="F3197" s="10"/>
      <c r="G3197" s="10"/>
      <c r="H3197" s="10"/>
      <c r="I3197" s="10"/>
      <c r="J3197" s="10"/>
      <c r="K3197" s="10"/>
      <c r="L3197" s="10"/>
      <c r="M3197" s="10"/>
      <c r="N3197" s="10"/>
      <c r="O3197" s="10"/>
      <c r="P3197" s="10"/>
      <c r="Q3197" s="10"/>
      <c r="R3197" s="10"/>
      <c r="S3197" s="10"/>
      <c r="T3197" s="10"/>
      <c r="U3197" s="10"/>
      <c r="V3197" s="10"/>
      <c r="W3197" s="10"/>
      <c r="X3197" s="10"/>
      <c r="Y3197" s="10"/>
      <c r="Z3197" s="10"/>
    </row>
    <row r="3198" spans="1:26" ht="12.75">
      <c r="A3198" s="10" t="str">
        <f ca="1">IFERROR(__xludf.DUMMYFUNCTION("""COMPUTED_VALUE"""),"Жоржета Димитрова Назърска")</f>
        <v>Жоржета Димитрова Назърска</v>
      </c>
      <c r="B3198" s="10" t="str">
        <f ca="1">IFERROR(__xludf.DUMMYFUNCTION("""COMPUTED_VALUE"""),"Статия в списания и поредици")</f>
        <v>Статия в списания и поредици</v>
      </c>
      <c r="C3198" s="10" t="str">
        <f ca="1">IFERROR(__xludf.DUMMYFUNCTION("""COMPUTED_VALUE"""),"Ljuben Karavelov")</f>
        <v>Ljuben Karavelov</v>
      </c>
      <c r="D3198" s="10">
        <f ca="1">IFERROR(__xludf.DUMMYFUNCTION("""COMPUTED_VALUE"""),2006)</f>
        <v>2006</v>
      </c>
      <c r="E3198" s="10" t="str">
        <f ca="1">IFERROR(__xludf.DUMMYFUNCTION("""COMPUTED_VALUE"""),"De Haan, Fr., Kr. Daskalova, A. Loutfi, eds. A Biographical Dictionary of Women’s Movements and Feminisms. Central, Eastern, and Southeastern Europe: 19th – 20th Centuries. Budapest, New York: CEU Press. 2006, рр. 226 - 229. ISBN: 978-963-7326-39-4")</f>
        <v>De Haan, Fr., Kr. Daskalova, A. Loutfi, eds. A Biographical Dictionary of Women’s Movements and Feminisms. Central, Eastern, and Southeastern Europe: 19th – 20th Centuries. Budapest, New York: CEU Press. 2006, рр. 226 - 229. ISBN: 978-963-7326-39-4</v>
      </c>
      <c r="F3198" s="10"/>
      <c r="G3198" s="10"/>
      <c r="H3198" s="10"/>
      <c r="I3198" s="10"/>
      <c r="J3198" s="10"/>
      <c r="K3198" s="10"/>
      <c r="L3198" s="10"/>
      <c r="M3198" s="10"/>
      <c r="N3198" s="10"/>
      <c r="O3198" s="10"/>
      <c r="P3198" s="10"/>
      <c r="Q3198" s="10"/>
      <c r="R3198" s="10"/>
      <c r="S3198" s="10"/>
      <c r="T3198" s="10"/>
      <c r="U3198" s="10"/>
      <c r="V3198" s="10"/>
      <c r="W3198" s="10"/>
      <c r="X3198" s="10"/>
      <c r="Y3198" s="10"/>
      <c r="Z3198" s="10"/>
    </row>
    <row r="3199" spans="1:26" ht="12.75">
      <c r="A3199" s="10" t="str">
        <f ca="1">IFERROR(__xludf.DUMMYFUNCTION("""COMPUTED_VALUE"""),"Жоржета Димитрова Назърска")</f>
        <v>Жоржета Димитрова Назърска</v>
      </c>
      <c r="B3199" s="10" t="str">
        <f ca="1">IFERROR(__xludf.DUMMYFUNCTION("""COMPUTED_VALUE"""),"Статия в списания и поредици")</f>
        <v>Статия в списания и поредици</v>
      </c>
      <c r="C3199" s="10" t="str">
        <f ca="1">IFERROR(__xludf.DUMMYFUNCTION("""COMPUTED_VALUE"""),"Внедряване на иновативни модели и добри практики в академичното обучение в УниБИТ.")</f>
        <v>Внедряване на иновативни модели и добри практики в академичното обучение в УниБИТ.</v>
      </c>
      <c r="D3199" s="10">
        <f ca="1">IFERROR(__xludf.DUMMYFUNCTION("""COMPUTED_VALUE"""),2005)</f>
        <v>2005</v>
      </c>
      <c r="E3199" s="10" t="str">
        <f ca="1">IFERROR(__xludf.DUMMYFUNCTION("""COMPUTED_VALUE"""),"Тодорова, Т., Д. Стойкова, съст. Информационната грамотност - модели за обучение и добри практики. Сборник. – София: За буквите-О писменехь, 2012, с. 24-28. ISBN 978-954-2946-30-4")</f>
        <v>Тодорова, Т., Д. Стойкова, съст. Информационната грамотност - модели за обучение и добри практики. Сборник. – София: За буквите-О писменехь, 2012, с. 24-28. ISBN 978-954-2946-30-4</v>
      </c>
      <c r="F3199" s="10"/>
      <c r="G3199" s="10" t="str">
        <f ca="1">IFERROR(__xludf.DUMMYFUNCTION("""COMPUTED_VALUE"""),"И. Янкова")</f>
        <v>И. Янкова</v>
      </c>
      <c r="H3199" s="10"/>
      <c r="I3199" s="10"/>
      <c r="J3199" s="10"/>
      <c r="K3199" s="10"/>
      <c r="L3199" s="10"/>
      <c r="M3199" s="10"/>
      <c r="N3199" s="10"/>
      <c r="O3199" s="10"/>
      <c r="P3199" s="10"/>
      <c r="Q3199" s="10"/>
      <c r="R3199" s="10"/>
      <c r="S3199" s="10"/>
      <c r="T3199" s="10"/>
      <c r="U3199" s="10"/>
      <c r="V3199" s="10"/>
      <c r="W3199" s="10"/>
      <c r="X3199" s="10"/>
      <c r="Y3199" s="10"/>
      <c r="Z3199" s="10"/>
    </row>
    <row r="3200" spans="1:26" ht="12.75">
      <c r="A3200" s="10" t="str">
        <f ca="1">IFERROR(__xludf.DUMMYFUNCTION("""COMPUTED_VALUE"""),"Жоржета Димитрова Назърска")</f>
        <v>Жоржета Димитрова Назърска</v>
      </c>
      <c r="B3200" s="10" t="str">
        <f ca="1">IFERROR(__xludf.DUMMYFUNCTION("""COMPUTED_VALUE"""),"Студия")</f>
        <v>Студия</v>
      </c>
      <c r="C3200" s="10" t="str">
        <f ca="1">IFERROR(__xludf.DUMMYFUNCTION("""COMPUTED_VALUE"""),"Достъпът на жените до българската университетска наука, 1918-1944.")</f>
        <v>Достъпът на жените до българската университетска наука, 1918-1944.</v>
      </c>
      <c r="D3200" s="10">
        <f ca="1">IFERROR(__xludf.DUMMYFUNCTION("""COMPUTED_VALUE"""),2005)</f>
        <v>2005</v>
      </c>
      <c r="E3200" s="10" t="str">
        <f ca="1">IFERROR(__xludf.DUMMYFUNCTION("""COMPUTED_VALUE"""),"Исторически преглед, 2005, № 5-6, с. 116 - 147.")</f>
        <v>Исторически преглед, 2005, № 5-6, с. 116 - 147.</v>
      </c>
      <c r="F3200" s="10"/>
      <c r="G3200" s="10"/>
      <c r="H3200" s="10"/>
      <c r="I3200" s="10"/>
      <c r="J3200" s="10"/>
      <c r="K3200" s="10"/>
      <c r="L3200" s="10"/>
      <c r="M3200" s="10"/>
      <c r="N3200" s="10"/>
      <c r="O3200" s="10"/>
      <c r="P3200" s="10"/>
      <c r="Q3200" s="10"/>
      <c r="R3200" s="10"/>
      <c r="S3200" s="10"/>
      <c r="T3200" s="10"/>
      <c r="U3200" s="10"/>
      <c r="V3200" s="10"/>
      <c r="W3200" s="10"/>
      <c r="X3200" s="10"/>
      <c r="Y3200" s="10"/>
      <c r="Z3200" s="10"/>
    </row>
    <row r="3201" spans="1:26" ht="12.75">
      <c r="A3201" s="10" t="str">
        <f ca="1">IFERROR(__xludf.DUMMYFUNCTION("""COMPUTED_VALUE"""),"Жоржета Димитрова Назърска")</f>
        <v>Жоржета Димитрова Назърска</v>
      </c>
      <c r="B3201" s="10" t="str">
        <f ca="1">IFERROR(__xludf.DUMMYFUNCTION("""COMPUTED_VALUE"""),"Статия в списания и поредици")</f>
        <v>Статия в списания и поредици</v>
      </c>
      <c r="C3201" s="10" t="str">
        <f ca="1">IFERROR(__xludf.DUMMYFUNCTION("""COMPUTED_VALUE"""),"L’Association des Femmes Bulgares à l’Instruction Superieure (L’AFBIS) 1924-1950")</f>
        <v>L’Association des Femmes Bulgares à l’Instruction Superieure (L’AFBIS) 1924-1950</v>
      </c>
      <c r="D3201" s="10">
        <f ca="1">IFERROR(__xludf.DUMMYFUNCTION("""COMPUTED_VALUE"""),2005)</f>
        <v>2005</v>
      </c>
      <c r="E3201" s="10" t="str">
        <f ca="1">IFERROR(__xludf.DUMMYFUNCTION("""COMPUTED_VALUE"""),"Bulgarian Historical Review, 2005, № 1-2, с. 120 - 147 ISSN 0204-8906")</f>
        <v>Bulgarian Historical Review, 2005, № 1-2, с. 120 - 147 ISSN 0204-8906</v>
      </c>
      <c r="F3201" s="10"/>
      <c r="G3201" s="10"/>
      <c r="H3201" s="10"/>
      <c r="I3201" s="10"/>
      <c r="J3201" s="10"/>
      <c r="K3201" s="10"/>
      <c r="L3201" s="10"/>
      <c r="M3201" s="10"/>
      <c r="N3201" s="10"/>
      <c r="O3201" s="10"/>
      <c r="P3201" s="10"/>
      <c r="Q3201" s="10"/>
      <c r="R3201" s="10"/>
      <c r="S3201" s="10"/>
      <c r="T3201" s="10"/>
      <c r="U3201" s="10"/>
      <c r="V3201" s="10"/>
      <c r="W3201" s="10"/>
      <c r="X3201" s="10"/>
      <c r="Y3201" s="10"/>
      <c r="Z3201" s="10"/>
    </row>
    <row r="3202" spans="1:26" ht="12.75">
      <c r="A3202" s="10" t="str">
        <f ca="1">IFERROR(__xludf.DUMMYFUNCTION("""COMPUTED_VALUE"""),"Жоржета Димитрова Назърска")</f>
        <v>Жоржета Димитрова Назърска</v>
      </c>
      <c r="B3202" s="10" t="str">
        <f ca="1">IFERROR(__xludf.DUMMYFUNCTION("""COMPUTED_VALUE"""),"Статия в списания и поредици")</f>
        <v>Статия в списания и поредици</v>
      </c>
      <c r="C3202" s="10" t="str">
        <f ca="1">IFERROR(__xludf.DUMMYFUNCTION("""COMPUTED_VALUE"""),"Историята като професия на българските жени, 1879-50-те год. на XX в")</f>
        <v>Историята като професия на българските жени, 1879-50-те год. на XX в</v>
      </c>
      <c r="D3202" s="10">
        <f ca="1">IFERROR(__xludf.DUMMYFUNCTION("""COMPUTED_VALUE"""),2005)</f>
        <v>2005</v>
      </c>
      <c r="E3202" s="10" t="str">
        <f ca="1">IFERROR(__xludf.DUMMYFUNCTION("""COMPUTED_VALUE"""),"История, 2005, № 2-3, с. 42-64.")</f>
        <v>История, 2005, № 2-3, с. 42-64.</v>
      </c>
      <c r="F3202" s="10"/>
      <c r="G3202" s="10"/>
      <c r="H3202" s="10"/>
      <c r="I3202" s="10"/>
      <c r="J3202" s="10"/>
      <c r="K3202" s="10"/>
      <c r="L3202" s="10"/>
      <c r="M3202" s="10"/>
      <c r="N3202" s="10"/>
      <c r="O3202" s="10"/>
      <c r="P3202" s="10"/>
      <c r="Q3202" s="10"/>
      <c r="R3202" s="10"/>
      <c r="S3202" s="10"/>
      <c r="T3202" s="10"/>
      <c r="U3202" s="10"/>
      <c r="V3202" s="10"/>
      <c r="W3202" s="10"/>
      <c r="X3202" s="10"/>
      <c r="Y3202" s="10"/>
      <c r="Z3202" s="10"/>
    </row>
    <row r="3203" spans="1:26" ht="12.75">
      <c r="A3203" s="10" t="str">
        <f ca="1">IFERROR(__xludf.DUMMYFUNCTION("""COMPUTED_VALUE"""),"Жоржета Димитрова Назърска")</f>
        <v>Жоржета Димитрова Назърска</v>
      </c>
      <c r="B3203" s="10" t="str">
        <f ca="1">IFERROR(__xludf.DUMMYFUNCTION("""COMPUTED_VALUE"""),"Статия в списания и поредици")</f>
        <v>Статия в списания и поредици</v>
      </c>
      <c r="C3203" s="10" t="str">
        <f ca="1">IFERROR(__xludf.DUMMYFUNCTION("""COMPUTED_VALUE"""),"Интелектуалка от “подранило поколение” – Екатерина Златоустова, 1881-1952")</f>
        <v>Интелектуалка от “подранило поколение” – Екатерина Златоустова, 1881-1952</v>
      </c>
      <c r="D3203" s="10">
        <f ca="1">IFERROR(__xludf.DUMMYFUNCTION("""COMPUTED_VALUE"""),2005)</f>
        <v>2005</v>
      </c>
      <c r="E3203" s="10" t="str">
        <f ca="1">IFERROR(__xludf.DUMMYFUNCTION("""COMPUTED_VALUE"""),"Минало, 2005, № 1, с. 84 - 94")</f>
        <v>Минало, 2005, № 1, с. 84 - 94</v>
      </c>
      <c r="F3203" s="10"/>
      <c r="G3203" s="10"/>
      <c r="H3203" s="10"/>
      <c r="I3203" s="10"/>
      <c r="J3203" s="10"/>
      <c r="K3203" s="10"/>
      <c r="L3203" s="10"/>
      <c r="M3203" s="10"/>
      <c r="N3203" s="10"/>
      <c r="O3203" s="10"/>
      <c r="P3203" s="10"/>
      <c r="Q3203" s="10"/>
      <c r="R3203" s="10"/>
      <c r="S3203" s="10"/>
      <c r="T3203" s="10"/>
      <c r="U3203" s="10"/>
      <c r="V3203" s="10"/>
      <c r="W3203" s="10"/>
      <c r="X3203" s="10"/>
      <c r="Y3203" s="10"/>
      <c r="Z3203" s="10"/>
    </row>
    <row r="3204" spans="1:26" ht="12.75">
      <c r="A3204" s="10" t="str">
        <f ca="1">IFERROR(__xludf.DUMMYFUNCTION("""COMPUTED_VALUE"""),"Жоржета Димитрова Назърска")</f>
        <v>Жоржета Димитрова Назърска</v>
      </c>
      <c r="B3204" s="10" t="str">
        <f ca="1">IFERROR(__xludf.DUMMYFUNCTION("""COMPUTED_VALUE"""),"Статия в списания и поредици")</f>
        <v>Статия в списания и поредици</v>
      </c>
      <c r="C3204" s="10" t="str">
        <f ca="1">IFERROR(__xludf.DUMMYFUNCTION("""COMPUTED_VALUE"""),"Нежелани, неудобни, неприспособими: пионерките в българската наука, 20-50-те год. на XX в.")</f>
        <v>Нежелани, неудобни, неприспособими: пионерките в българската наука, 20-50-те год. на XX в.</v>
      </c>
      <c r="D3204" s="10">
        <f ca="1">IFERROR(__xludf.DUMMYFUNCTION("""COMPUTED_VALUE"""),2005)</f>
        <v>2005</v>
      </c>
      <c r="E3204" s="10" t="str">
        <f ca="1">IFERROR(__xludf.DUMMYFUNCTION("""COMPUTED_VALUE"""),"Кирова, М., К. Славова, съст. Род и ред в българската култура. – София, 2005, с. 10-26.")</f>
        <v>Кирова, М., К. Славова, съст. Род и ред в българската култура. – София, 2005, с. 10-26.</v>
      </c>
      <c r="F3204" s="10"/>
      <c r="G3204" s="10" t="str">
        <f ca="1">IFERROR(__xludf.DUMMYFUNCTION("""COMPUTED_VALUE"""),"Кирова, М., К. Славова")</f>
        <v>Кирова, М., К. Славова</v>
      </c>
      <c r="H3204" s="10"/>
      <c r="I3204" s="10"/>
      <c r="J3204" s="10"/>
      <c r="K3204" s="10"/>
      <c r="L3204" s="10"/>
      <c r="M3204" s="10"/>
      <c r="N3204" s="10"/>
      <c r="O3204" s="10"/>
      <c r="P3204" s="10"/>
      <c r="Q3204" s="10"/>
      <c r="R3204" s="10"/>
      <c r="S3204" s="10"/>
      <c r="T3204" s="10"/>
      <c r="U3204" s="10"/>
      <c r="V3204" s="10"/>
      <c r="W3204" s="10"/>
      <c r="X3204" s="10"/>
      <c r="Y3204" s="10"/>
      <c r="Z3204" s="10"/>
    </row>
    <row r="3205" spans="1:26" ht="12.75">
      <c r="A3205" s="10" t="str">
        <f ca="1">IFERROR(__xludf.DUMMYFUNCTION("""COMPUTED_VALUE"""),"Жоржета Димитрова Назърска")</f>
        <v>Жоржета Димитрова Назърска</v>
      </c>
      <c r="B3205" s="10" t="str">
        <f ca="1">IFERROR(__xludf.DUMMYFUNCTION("""COMPUTED_VALUE"""),"Глава от колективна монография")</f>
        <v>Глава от колективна монография</v>
      </c>
      <c r="C3205" s="10" t="str">
        <f ca="1">IFERROR(__xludf.DUMMYFUNCTION("""COMPUTED_VALUE"""),"Развитие на отраслите строителство, текстил и тютюнева промишленост и синдикалното движение. Дискриминационни практики и нагласи на работното място и в обществото. // Даскалова, Н., съст. Синдикатите срещу расизма и дискриминацията. Наръчник.")</f>
        <v>Развитие на отраслите строителство, текстил и тютюнева промишленост и синдикалното движение. Дискриминационни практики и нагласи на работното място и в обществото. // Даскалова, Н., съст. Синдикатите срещу расизма и дискриминацията. Наръчник.</v>
      </c>
      <c r="D3205" s="10">
        <f ca="1">IFERROR(__xludf.DUMMYFUNCTION("""COMPUTED_VALUE"""),2005)</f>
        <v>2005</v>
      </c>
      <c r="E3205" s="10" t="str">
        <f ca="1">IFERROR(__xludf.DUMMYFUNCTION("""COMPUTED_VALUE"""),"София: IMIR, 2005,с. 60 - 90. ISBN 954-8872-59-5")</f>
        <v>София: IMIR, 2005,с. 60 - 90. ISBN 954-8872-59-5</v>
      </c>
      <c r="F3205" s="10"/>
      <c r="G3205" s="10" t="str">
        <f ca="1">IFERROR(__xludf.DUMMYFUNCTION("""COMPUTED_VALUE"""),"Н. Даскалова, О.Аврамов")</f>
        <v>Н. Даскалова, О.Аврамов</v>
      </c>
      <c r="H3205" s="10"/>
      <c r="I3205" s="10"/>
      <c r="J3205" s="10"/>
      <c r="K3205" s="10"/>
      <c r="L3205" s="10"/>
      <c r="M3205" s="10"/>
      <c r="N3205" s="10"/>
      <c r="O3205" s="10"/>
      <c r="P3205" s="10"/>
      <c r="Q3205" s="10"/>
      <c r="R3205" s="10"/>
      <c r="S3205" s="10"/>
      <c r="T3205" s="10"/>
      <c r="U3205" s="10"/>
      <c r="V3205" s="10"/>
      <c r="W3205" s="10"/>
      <c r="X3205" s="10"/>
      <c r="Y3205" s="10"/>
      <c r="Z3205" s="10"/>
    </row>
    <row r="3206" spans="1:26" ht="12.75">
      <c r="A3206" s="10" t="str">
        <f ca="1">IFERROR(__xludf.DUMMYFUNCTION("""COMPUTED_VALUE"""),"Жоржета Димитрова Назърска")</f>
        <v>Жоржета Димитрова Назърска</v>
      </c>
      <c r="B3206" s="10" t="str">
        <f ca="1">IFERROR(__xludf.DUMMYFUNCTION("""COMPUTED_VALUE"""),"Монография")</f>
        <v>Монография</v>
      </c>
      <c r="C3206" s="10" t="str">
        <f ca="1">IFERROR(__xludf.DUMMYFUNCTION("""COMPUTED_VALUE"""),"Университетското образование и българските жени, 1879-1944.")</f>
        <v>Университетското образование и българските жени, 1879-1944.</v>
      </c>
      <c r="D3206" s="10">
        <f ca="1">IFERROR(__xludf.DUMMYFUNCTION("""COMPUTED_VALUE"""),2003)</f>
        <v>2003</v>
      </c>
      <c r="E3206" s="10" t="str">
        <f ca="1">IFERROR(__xludf.DUMMYFUNCTION("""COMPUTED_VALUE"""),"София: IMIR, 2003, с. 312. ISBN 954-8872-46-3")</f>
        <v>София: IMIR, 2003, с. 312. ISBN 954-8872-46-3</v>
      </c>
      <c r="F3206" s="10"/>
      <c r="G3206" s="10"/>
      <c r="H3206" s="10"/>
      <c r="I3206" s="10"/>
      <c r="J3206" s="10"/>
      <c r="K3206" s="10"/>
      <c r="L3206" s="10"/>
      <c r="M3206" s="10"/>
      <c r="N3206" s="10"/>
      <c r="O3206" s="10"/>
      <c r="P3206" s="10"/>
      <c r="Q3206" s="10"/>
      <c r="R3206" s="10"/>
      <c r="S3206" s="10"/>
      <c r="T3206" s="10"/>
      <c r="U3206" s="10"/>
      <c r="V3206" s="10"/>
      <c r="W3206" s="10"/>
      <c r="X3206" s="10"/>
      <c r="Y3206" s="10"/>
      <c r="Z3206" s="10"/>
    </row>
    <row r="3207" spans="1:26" ht="12.75">
      <c r="A3207" s="10" t="str">
        <f ca="1">IFERROR(__xludf.DUMMYFUNCTION("""COMPUTED_VALUE"""),"Жоржета Димитрова Назърска")</f>
        <v>Жоржета Димитрова Назърска</v>
      </c>
      <c r="B3207" s="10" t="str">
        <f ca="1">IFERROR(__xludf.DUMMYFUNCTION("""COMPUTED_VALUE"""),"Монография")</f>
        <v>Монография</v>
      </c>
      <c r="C3207" s="10" t="str">
        <f ca="1">IFERROR(__xludf.DUMMYFUNCTION("""COMPUTED_VALUE"""),"Българската държава и нейните малцинства, 1879-1885.")</f>
        <v>Българската държава и нейните малцинства, 1879-1885.</v>
      </c>
      <c r="D3207" s="10">
        <f ca="1">IFERROR(__xludf.DUMMYFUNCTION("""COMPUTED_VALUE"""),1999)</f>
        <v>1999</v>
      </c>
      <c r="E3207" s="10" t="str">
        <f ca="1">IFERROR(__xludf.DUMMYFUNCTION("""COMPUTED_VALUE"""),"София: ЛИК, 1999., с.272. ISBN 954-607-275-3")</f>
        <v>София: ЛИК, 1999., с.272. ISBN 954-607-275-3</v>
      </c>
      <c r="F3207" s="10"/>
      <c r="G3207" s="10"/>
      <c r="H3207" s="10"/>
      <c r="I3207" s="10"/>
      <c r="J3207" s="10"/>
      <c r="K3207" s="10"/>
      <c r="L3207" s="10"/>
      <c r="M3207" s="10"/>
      <c r="N3207" s="10"/>
      <c r="O3207" s="10"/>
      <c r="P3207" s="10"/>
      <c r="Q3207" s="10"/>
      <c r="R3207" s="10"/>
      <c r="S3207" s="10"/>
      <c r="T3207" s="10"/>
      <c r="U3207" s="10"/>
      <c r="V3207" s="10"/>
      <c r="W3207" s="10"/>
      <c r="X3207" s="10"/>
      <c r="Y3207" s="10"/>
      <c r="Z3207" s="10"/>
    </row>
    <row r="3208" spans="1:26" ht="12.75">
      <c r="A3208" s="10" t="str">
        <f ca="1">IFERROR(__xludf.DUMMYFUNCTION("""COMPUTED_VALUE"""),"Жоржета Димитрова Назърска")</f>
        <v>Жоржета Димитрова Назърска</v>
      </c>
      <c r="B3208" s="10" t="str">
        <f ca="1">IFERROR(__xludf.DUMMYFUNCTION("""COMPUTED_VALUE"""),"Статия в списания и поредици")</f>
        <v>Статия в списания и поредици</v>
      </c>
      <c r="C3208" s="10" t="str">
        <f ca="1">IFERROR(__xludf.DUMMYFUNCTION("""COMPUTED_VALUE"""),"Етническите и религиозните малцинства в българския парламент, 1879-1885")</f>
        <v>Етническите и религиозните малцинства в българския парламент, 1879-1885</v>
      </c>
      <c r="D3208" s="10">
        <f ca="1">IFERROR(__xludf.DUMMYFUNCTION("""COMPUTED_VALUE"""),1999)</f>
        <v>1999</v>
      </c>
      <c r="E3208" s="10" t="str">
        <f ca="1">IFERROR(__xludf.DUMMYFUNCTION("""COMPUTED_VALUE"""),"Исторически преглед, 1999, № 1-2, с. 3-22")</f>
        <v>Исторически преглед, 1999, № 1-2, с. 3-22</v>
      </c>
      <c r="F3208" s="10"/>
      <c r="G3208" s="10"/>
      <c r="H3208" s="10"/>
      <c r="I3208" s="10"/>
      <c r="J3208" s="10"/>
      <c r="K3208" s="10"/>
      <c r="L3208" s="10"/>
      <c r="M3208" s="10"/>
      <c r="N3208" s="10"/>
      <c r="O3208" s="10"/>
      <c r="P3208" s="10"/>
      <c r="Q3208" s="10"/>
      <c r="R3208" s="10"/>
      <c r="S3208" s="10"/>
      <c r="T3208" s="10"/>
      <c r="U3208" s="10"/>
      <c r="V3208" s="10"/>
      <c r="W3208" s="10"/>
      <c r="X3208" s="10"/>
      <c r="Y3208" s="10"/>
      <c r="Z3208" s="10"/>
    </row>
    <row r="3209" spans="1:26" ht="12.75">
      <c r="A3209" s="10" t="str">
        <f ca="1">IFERROR(__xludf.DUMMYFUNCTION("""COMPUTED_VALUE"""),"Жоржета Димитрова Назърска")</f>
        <v>Жоржета Димитрова Назърска</v>
      </c>
      <c r="B3209" s="10" t="str">
        <f ca="1">IFERROR(__xludf.DUMMYFUNCTION("""COMPUTED_VALUE"""),"Книга")</f>
        <v>Книга</v>
      </c>
      <c r="C3209" s="10" t="str">
        <f ca="1">IFERROR(__xludf.DUMMYFUNCTION("""COMPUTED_VALUE"""),"Малцинствено-религиозна политика в Източна Румелия 1879-1885. // Желязкова, А., Б. Алексиев, Ж. Назърска. Мюсюлманските общности на Балканите и в България")</f>
        <v>Малцинствено-религиозна политика в Източна Румелия 1879-1885. // Желязкова, А., Б. Алексиев, Ж. Назърска. Мюсюлманските общности на Балканите и в България</v>
      </c>
      <c r="D3209" s="10">
        <f ca="1">IFERROR(__xludf.DUMMYFUNCTION("""COMPUTED_VALUE"""),1997)</f>
        <v>1997</v>
      </c>
      <c r="E3209" s="10" t="str">
        <f ca="1">IFERROR(__xludf.DUMMYFUNCTION("""COMPUTED_VALUE"""),"София: МЦПМКВ, 1997, с. 113 - 235, ISBN 954-8872-10-2")</f>
        <v>София: МЦПМКВ, 1997, с. 113 - 235, ISBN 954-8872-10-2</v>
      </c>
      <c r="F3209" s="10"/>
      <c r="G3209" s="10" t="str">
        <f ca="1">IFERROR(__xludf.DUMMYFUNCTION("""COMPUTED_VALUE"""),"А. Желязкова, Б. Алексиев")</f>
        <v>А. Желязкова, Б. Алексиев</v>
      </c>
      <c r="H3209" s="10"/>
      <c r="I3209" s="10"/>
      <c r="J3209" s="10"/>
      <c r="K3209" s="10"/>
      <c r="L3209" s="10"/>
      <c r="M3209" s="10"/>
      <c r="N3209" s="10"/>
      <c r="O3209" s="10"/>
      <c r="P3209" s="10"/>
      <c r="Q3209" s="10"/>
      <c r="R3209" s="10"/>
      <c r="S3209" s="10"/>
      <c r="T3209" s="10"/>
      <c r="U3209" s="10"/>
      <c r="V3209" s="10"/>
      <c r="W3209" s="10"/>
      <c r="X3209" s="10"/>
      <c r="Y3209" s="10"/>
      <c r="Z3209" s="10"/>
    </row>
    <row r="3210" spans="1:26" ht="12.75">
      <c r="A3210" s="10" t="str">
        <f ca="1">IFERROR(__xludf.DUMMYFUNCTION("""COMPUTED_VALUE"""),"Ива Стоилова Костадинова")</f>
        <v>Ива Стоилова Костадинова</v>
      </c>
      <c r="B3210" s="10" t="str">
        <f ca="1">IFERROR(__xludf.DUMMYFUNCTION("""COMPUTED_VALUE"""),"Книга")</f>
        <v>Книга</v>
      </c>
      <c r="C3210" s="10" t="str">
        <f ca="1">IFERROR(__xludf.DUMMYFUNCTION("""COMPUTED_VALUE"""),"Обектно-ориентирано програмиране част 3")</f>
        <v>Обектно-ориентирано програмиране част 3</v>
      </c>
      <c r="D3210" s="10">
        <f ca="1">IFERROR(__xludf.DUMMYFUNCTION("""COMPUTED_VALUE"""),2020)</f>
        <v>2020</v>
      </c>
      <c r="E3210" s="10" t="str">
        <f ca="1">IFERROR(__xludf.DUMMYFUNCTION("""COMPUTED_VALUE"""),"София: Авангард Прима, 2020, 155 с. ISBN 978-619-239-373-1")</f>
        <v>София: Авангард Прима, 2020, 155 с. ISBN 978-619-239-373-1</v>
      </c>
      <c r="F3210" s="10"/>
      <c r="G3210" s="10" t="str">
        <f ca="1">IFERROR(__xludf.DUMMYFUNCTION("""COMPUTED_VALUE"""),"В.Тотев, И.Костадинова")</f>
        <v>В.Тотев, И.Костадинова</v>
      </c>
      <c r="H3210" s="10"/>
      <c r="I3210" s="10"/>
      <c r="J3210" s="10"/>
      <c r="K3210" s="10"/>
      <c r="L3210" s="10"/>
      <c r="M3210" s="10"/>
      <c r="N3210" s="10"/>
      <c r="O3210" s="10"/>
      <c r="P3210" s="10"/>
      <c r="Q3210" s="10"/>
      <c r="R3210" s="10"/>
      <c r="S3210" s="10"/>
      <c r="T3210" s="10"/>
      <c r="U3210" s="10"/>
      <c r="V3210" s="10"/>
      <c r="W3210" s="10"/>
      <c r="X3210" s="10"/>
      <c r="Y3210" s="10"/>
      <c r="Z3210" s="10"/>
    </row>
    <row r="3211" spans="1:26" ht="12.75">
      <c r="A3211" s="10" t="str">
        <f ca="1">IFERROR(__xludf.DUMMYFUNCTION("""COMPUTED_VALUE"""),"Ива Стоилова Костадинова")</f>
        <v>Ива Стоилова Костадинова</v>
      </c>
      <c r="B3211" s="10" t="str">
        <f ca="1">IFERROR(__xludf.DUMMYFUNCTION("""COMPUTED_VALUE"""),"Книга")</f>
        <v>Книга</v>
      </c>
      <c r="C3211" s="10" t="str">
        <f ca="1">IFERROR(__xludf.DUMMYFUNCTION("""COMPUTED_VALUE"""),"Обектно-ориентирано програмиране част 2")</f>
        <v>Обектно-ориентирано програмиране част 2</v>
      </c>
      <c r="D3211" s="10">
        <f ca="1">IFERROR(__xludf.DUMMYFUNCTION("""COMPUTED_VALUE"""),2020)</f>
        <v>2020</v>
      </c>
      <c r="E3211" s="10" t="str">
        <f ca="1">IFERROR(__xludf.DUMMYFUNCTION("""COMPUTED_VALUE"""),"София: Авангард Прима, 2020, 187 с. ISBN 978-619-239-354-0")</f>
        <v>София: Авангард Прима, 2020, 187 с. ISBN 978-619-239-354-0</v>
      </c>
      <c r="F3211" s="10"/>
      <c r="G3211" s="10" t="str">
        <f ca="1">IFERROR(__xludf.DUMMYFUNCTION("""COMPUTED_VALUE"""),"В.Тотев, И.Костадинова")</f>
        <v>В.Тотев, И.Костадинова</v>
      </c>
      <c r="H3211" s="10"/>
      <c r="I3211" s="10"/>
      <c r="J3211" s="10"/>
      <c r="K3211" s="10"/>
      <c r="L3211" s="10"/>
      <c r="M3211" s="10"/>
      <c r="N3211" s="10"/>
      <c r="O3211" s="10"/>
      <c r="P3211" s="10"/>
      <c r="Q3211" s="10"/>
      <c r="R3211" s="10"/>
      <c r="S3211" s="10"/>
      <c r="T3211" s="10"/>
      <c r="U3211" s="10"/>
      <c r="V3211" s="10"/>
      <c r="W3211" s="10"/>
      <c r="X3211" s="10"/>
      <c r="Y3211" s="10"/>
      <c r="Z3211" s="10"/>
    </row>
    <row r="3212" spans="1:26" ht="12.75">
      <c r="A3212" s="10" t="str">
        <f ca="1">IFERROR(__xludf.DUMMYFUNCTION("""COMPUTED_VALUE"""),"Ива Стоилова Костадинова")</f>
        <v>Ива Стоилова Костадинова</v>
      </c>
      <c r="B3212" s="10" t="str">
        <f ca="1">IFERROR(__xludf.DUMMYFUNCTION("""COMPUTED_VALUE"""),"Доклад от конференция")</f>
        <v>Доклад от конференция</v>
      </c>
      <c r="C3212" s="10" t="str">
        <f ca="1">IFERROR(__xludf.DUMMYFUNCTION("""COMPUTED_VALUE"""),"COMPETENCY IN NUGGETS FOR CYBER SECURITY TRAININGS")</f>
        <v>COMPETENCY IN NUGGETS FOR CYBER SECURITY TRAININGS</v>
      </c>
      <c r="D3212" s="10">
        <f ca="1">IFERROR(__xludf.DUMMYFUNCTION("""COMPUTED_VALUE"""),2019)</f>
        <v>2019</v>
      </c>
      <c r="E3212" s="10" t="str">
        <f ca="1">IFERROR(__xludf.DUMMYFUNCTION("""COMPUTED_VALUE"""),"Proceedings of EDULEARN19 Conference 1-st-3rd July 2019, Palma, Mallorca, Spain, 4311 - 4318pp. , ISBN: 978-84-09-12031-4")</f>
        <v>Proceedings of EDULEARN19 Conference 1-st-3rd July 2019, Palma, Mallorca, Spain, 4311 - 4318pp. , ISBN: 978-84-09-12031-4</v>
      </c>
      <c r="F3212" s="10"/>
      <c r="G3212" s="10" t="str">
        <f ca="1">IFERROR(__xludf.DUMMYFUNCTION("""COMPUTED_VALUE"""),"Eugenia Kovatcheva, Willam Dimitrov, Iva Kostadinova, Iglika Getova")</f>
        <v>Eugenia Kovatcheva, Willam Dimitrov, Iva Kostadinova, Iglika Getova</v>
      </c>
      <c r="H3212" s="10"/>
      <c r="I3212" s="10"/>
      <c r="J3212" s="10"/>
      <c r="K3212" s="10"/>
      <c r="L3212" s="10"/>
      <c r="M3212" s="10"/>
      <c r="N3212" s="10"/>
      <c r="O3212" s="10"/>
      <c r="P3212" s="10"/>
      <c r="Q3212" s="10"/>
      <c r="R3212" s="10"/>
      <c r="S3212" s="10"/>
      <c r="T3212" s="10"/>
      <c r="U3212" s="10"/>
      <c r="V3212" s="10"/>
      <c r="W3212" s="10"/>
      <c r="X3212" s="10"/>
      <c r="Y3212" s="10"/>
      <c r="Z3212" s="10"/>
    </row>
    <row r="3213" spans="1:26" ht="12.75">
      <c r="A3213" s="10" t="str">
        <f ca="1">IFERROR(__xludf.DUMMYFUNCTION("""COMPUTED_VALUE"""),"Ива Стоилова Костадинова")</f>
        <v>Ива Стоилова Костадинова</v>
      </c>
      <c r="B3213" s="10" t="str">
        <f ca="1">IFERROR(__xludf.DUMMYFUNCTION("""COMPUTED_VALUE"""),"Доклад от конференция")</f>
        <v>Доклад от конференция</v>
      </c>
      <c r="C3213" s="10" t="str">
        <f ca="1">IFERROR(__xludf.DUMMYFUNCTION("""COMPUTED_VALUE"""),"A Comparative Study on Web Security Technologies Used in Bulgarian and Serbian Banks")</f>
        <v>A Comparative Study on Web Security Technologies Used in Bulgarian and Serbian Banks</v>
      </c>
      <c r="D3213" s="10">
        <f ca="1">IFERROR(__xludf.DUMMYFUNCTION("""COMPUTED_VALUE"""),2019)</f>
        <v>2019</v>
      </c>
      <c r="E3213" s="10" t="str">
        <f ca="1">IFERROR(__xludf.DUMMYFUNCTION("""COMPUTED_VALUE"""),"Conference Proceedings of 19 International Multidisciplinary Scientific Geoconference SGEM 2019, 28 June - 7 July 2019, Albena, Bulgaria : Vol. 19. Informatics, Iss. 2.1, Sofia: STEF92 Technology Ltd., 2019, pp.3-10. ISSN 1314-2704")</f>
        <v>Conference Proceedings of 19 International Multidisciplinary Scientific Geoconference SGEM 2019, 28 June - 7 July 2019, Albena, Bulgaria : Vol. 19. Informatics, Iss. 2.1, Sofia: STEF92 Technology Ltd., 2019, pp.3-10. ISSN 1314-2704</v>
      </c>
      <c r="F3213" s="10"/>
      <c r="G3213" s="10" t="str">
        <f ca="1">IFERROR(__xludf.DUMMYFUNCTION("""COMPUTED_VALUE"""),"Petar Petrov, A. Buevich, Georgi Dimitrov, Iva Kostadinova, Dimityr Dimitrov")</f>
        <v>Petar Petrov, A. Buevich, Georgi Dimitrov, Iva Kostadinova, Dimityr Dimitrov</v>
      </c>
      <c r="H3213" s="10"/>
      <c r="I3213" s="10"/>
      <c r="J3213" s="10"/>
      <c r="K3213" s="10"/>
      <c r="L3213" s="10"/>
      <c r="M3213" s="10"/>
      <c r="N3213" s="10"/>
      <c r="O3213" s="10"/>
      <c r="P3213" s="10"/>
      <c r="Q3213" s="10"/>
      <c r="R3213" s="10"/>
      <c r="S3213" s="10"/>
      <c r="T3213" s="10"/>
      <c r="U3213" s="10"/>
      <c r="V3213" s="10"/>
      <c r="W3213" s="10"/>
      <c r="X3213" s="10"/>
      <c r="Y3213" s="10"/>
      <c r="Z3213" s="10"/>
    </row>
    <row r="3214" spans="1:26" ht="12.75">
      <c r="A3214" s="10" t="str">
        <f ca="1">IFERROR(__xludf.DUMMYFUNCTION("""COMPUTED_VALUE"""),"Ива Стоилова Костадинова")</f>
        <v>Ива Стоилова Костадинова</v>
      </c>
      <c r="B3214" s="10" t="str">
        <f ca="1">IFERROR(__xludf.DUMMYFUNCTION("""COMPUTED_VALUE"""),"Доклад от конференция")</f>
        <v>Доклад от конференция</v>
      </c>
      <c r="C3214" s="10" t="str">
        <f ca="1">IFERROR(__xludf.DUMMYFUNCTION("""COMPUTED_VALUE"""),"OPENING A NEW SPECIALITY IN A UNIVERSITY - AN OPERATIONAL ESTIMATE")</f>
        <v>OPENING A NEW SPECIALITY IN A UNIVERSITY - AN OPERATIONAL ESTIMATE</v>
      </c>
      <c r="D3214" s="10">
        <f ca="1">IFERROR(__xludf.DUMMYFUNCTION("""COMPUTED_VALUE"""),2019)</f>
        <v>2019</v>
      </c>
      <c r="E3214" s="10" t="str">
        <f ca="1">IFERROR(__xludf.DUMMYFUNCTION("""COMPUTED_VALUE"""),"Proceedings of ICERI2019 Conference 11th-13th November 2019, Seville, Spain, pp.2819-2826. ISBN: 978-84-09-14755-7")</f>
        <v>Proceedings of ICERI2019 Conference 11th-13th November 2019, Seville, Spain, pp.2819-2826. ISBN: 978-84-09-14755-7</v>
      </c>
      <c r="F3214" s="10"/>
      <c r="G3214" s="10" t="str">
        <f ca="1">IFERROR(__xludf.DUMMYFUNCTION("""COMPUTED_VALUE"""),"I. Ivanov, V. Totev, I. Kostadinova")</f>
        <v>I. Ivanov, V. Totev, I. Kostadinova</v>
      </c>
      <c r="H3214" s="10"/>
      <c r="I3214" s="10"/>
      <c r="J3214" s="10"/>
      <c r="K3214" s="10"/>
      <c r="L3214" s="10"/>
      <c r="M3214" s="10"/>
      <c r="N3214" s="10"/>
      <c r="O3214" s="10"/>
      <c r="P3214" s="10"/>
      <c r="Q3214" s="10"/>
      <c r="R3214" s="10"/>
      <c r="S3214" s="10"/>
      <c r="T3214" s="10"/>
      <c r="U3214" s="10"/>
      <c r="V3214" s="10"/>
      <c r="W3214" s="10"/>
      <c r="X3214" s="10"/>
      <c r="Y3214" s="10"/>
      <c r="Z3214" s="10"/>
    </row>
    <row r="3215" spans="1:26" ht="12.75">
      <c r="A3215" s="10" t="str">
        <f ca="1">IFERROR(__xludf.DUMMYFUNCTION("""COMPUTED_VALUE"""),"Ива Стоилова Костадинова")</f>
        <v>Ива Стоилова Костадинова</v>
      </c>
      <c r="B3215" s="10" t="str">
        <f ca="1">IFERROR(__xludf.DUMMYFUNCTION("""COMPUTED_VALUE"""),"Доклад от конференция")</f>
        <v>Доклад от конференция</v>
      </c>
      <c r="C3215" s="10" t="str">
        <f ca="1">IFERROR(__xludf.DUMMYFUNCTION("""COMPUTED_VALUE"""),"Откриване на нова специалност във висше учебно заведение - оперативен рачет")</f>
        <v>Откриване на нова специалност във висше учебно заведение - оперативен рачет</v>
      </c>
      <c r="D3215" s="10">
        <f ca="1">IFERROR(__xludf.DUMMYFUNCTION("""COMPUTED_VALUE"""),2019)</f>
        <v>2019</v>
      </c>
      <c r="E3215" s="10" t="str">
        <f ca="1">IFERROR(__xludf.DUMMYFUNCTION("""COMPUTED_VALUE"""),"XVII Национална научна конференция „Обществото на знанието и хуманизмът на ХХІ век” – 1 ноември 2018 УниБИТ. ISSN 26830094")</f>
        <v>XVII Национална научна конференция „Обществото на знанието и хуманизмът на ХХІ век” – 1 ноември 2018 УниБИТ. ISSN 26830094</v>
      </c>
      <c r="F3215" s="10"/>
      <c r="G3215" s="10" t="str">
        <f ca="1">IFERROR(__xludf.DUMMYFUNCTION("""COMPUTED_VALUE"""),"Иванов, Иван, В.Тотев, И.Костадинова")</f>
        <v>Иванов, Иван, В.Тотев, И.Костадинова</v>
      </c>
      <c r="H3215" s="10"/>
      <c r="I3215" s="10"/>
      <c r="J3215" s="10"/>
      <c r="K3215" s="10"/>
      <c r="L3215" s="10"/>
      <c r="M3215" s="10"/>
      <c r="N3215" s="10"/>
      <c r="O3215" s="10"/>
      <c r="P3215" s="10"/>
      <c r="Q3215" s="10"/>
      <c r="R3215" s="10"/>
      <c r="S3215" s="10"/>
      <c r="T3215" s="10"/>
      <c r="U3215" s="10"/>
      <c r="V3215" s="10"/>
      <c r="W3215" s="10"/>
      <c r="X3215" s="10"/>
      <c r="Y3215" s="10"/>
      <c r="Z3215" s="10"/>
    </row>
    <row r="3216" spans="1:26" ht="12.75">
      <c r="A3216" s="10" t="str">
        <f ca="1">IFERROR(__xludf.DUMMYFUNCTION("""COMPUTED_VALUE"""),"Ива Стоилова Костадинова")</f>
        <v>Ива Стоилова Костадинова</v>
      </c>
      <c r="B3216" s="10" t="str">
        <f ca="1">IFERROR(__xludf.DUMMYFUNCTION("""COMPUTED_VALUE"""),"Книга")</f>
        <v>Книга</v>
      </c>
      <c r="C3216" s="10" t="str">
        <f ca="1">IFERROR(__xludf.DUMMYFUNCTION("""COMPUTED_VALUE"""),"Технологии за User Interface. jQueryUI.")</f>
        <v>Технологии за User Interface. jQueryUI.</v>
      </c>
      <c r="D3216" s="10">
        <f ca="1">IFERROR(__xludf.DUMMYFUNCTION("""COMPUTED_VALUE"""),2019)</f>
        <v>2019</v>
      </c>
      <c r="E3216" s="10" t="str">
        <f ca="1">IFERROR(__xludf.DUMMYFUNCTION("""COMPUTED_VALUE"""),"Авангард Прима, София 2019,ISBN 978-619-239-170-6,")</f>
        <v>Авангард Прима, София 2019,ISBN 978-619-239-170-6,</v>
      </c>
      <c r="F3216" s="10"/>
      <c r="G3216" s="10" t="str">
        <f ca="1">IFERROR(__xludf.DUMMYFUNCTION("""COMPUTED_VALUE"""),"Васил Тотев, К.Рашева - Йорданова, И.Костадинова")</f>
        <v>Васил Тотев, К.Рашева - Йорданова, И.Костадинова</v>
      </c>
      <c r="H3216" s="10"/>
      <c r="I3216" s="10"/>
      <c r="J3216" s="10"/>
      <c r="K3216" s="10"/>
      <c r="L3216" s="10"/>
      <c r="M3216" s="10"/>
      <c r="N3216" s="10"/>
      <c r="O3216" s="10"/>
      <c r="P3216" s="10"/>
      <c r="Q3216" s="10"/>
      <c r="R3216" s="10"/>
      <c r="S3216" s="10"/>
      <c r="T3216" s="10"/>
      <c r="U3216" s="10"/>
      <c r="V3216" s="10"/>
      <c r="W3216" s="10"/>
      <c r="X3216" s="10"/>
      <c r="Y3216" s="10"/>
      <c r="Z3216" s="10"/>
    </row>
    <row r="3217" spans="1:26" ht="12.75">
      <c r="A3217" s="10" t="str">
        <f ca="1">IFERROR(__xludf.DUMMYFUNCTION("""COMPUTED_VALUE"""),"Ива Стоилова Костадинова")</f>
        <v>Ива Стоилова Костадинова</v>
      </c>
      <c r="B3217" s="10" t="str">
        <f ca="1">IFERROR(__xludf.DUMMYFUNCTION("""COMPUTED_VALUE"""),"Доклад от конференция")</f>
        <v>Доклад от конференция</v>
      </c>
      <c r="C3217" s="10" t="str">
        <f ca="1">IFERROR(__xludf.DUMMYFUNCTION("""COMPUTED_VALUE"""),"ANALYSIS OF ALGORITHMS FOR GENERATING TEST QUESTIONS IN E-TESTING SYSTEMS")</f>
        <v>ANALYSIS OF ALGORITHMS FOR GENERATING TEST QUESTIONS IN E-TESTING SYSTEMS</v>
      </c>
      <c r="D3217" s="10">
        <f ca="1">IFERROR(__xludf.DUMMYFUNCTION("""COMPUTED_VALUE"""),2019)</f>
        <v>2019</v>
      </c>
      <c r="E3217" s="10" t="str">
        <f ca="1">IFERROR(__xludf.DUMMYFUNCTION("""COMPUTED_VALUE"""),"Proceedings of EDULEARN19 Conference 1-st-3rd July 2019, Palma, Mallorca, Spain, 1714 - 1719, ISBN: 978-84-09-12031-4")</f>
        <v>Proceedings of EDULEARN19 Conference 1-st-3rd July 2019, Palma, Mallorca, Spain, 1714 - 1719, ISBN: 978-84-09-12031-4</v>
      </c>
      <c r="F3217" s="10"/>
      <c r="G3217" s="10" t="str">
        <f ca="1">IFERROR(__xludf.DUMMYFUNCTION("""COMPUTED_VALUE"""),"Iva Kostadinova, K. Rasheva-Yordanova, M. Garvanova")</f>
        <v>Iva Kostadinova, K. Rasheva-Yordanova, M. Garvanova</v>
      </c>
      <c r="H3217" s="10"/>
      <c r="I3217" s="10"/>
      <c r="J3217" s="10"/>
      <c r="K3217" s="10"/>
      <c r="L3217" s="10"/>
      <c r="M3217" s="10"/>
      <c r="N3217" s="10"/>
      <c r="O3217" s="10"/>
      <c r="P3217" s="10"/>
      <c r="Q3217" s="10"/>
      <c r="R3217" s="10"/>
      <c r="S3217" s="10"/>
      <c r="T3217" s="10"/>
      <c r="U3217" s="10"/>
      <c r="V3217" s="10"/>
      <c r="W3217" s="10"/>
      <c r="X3217" s="10"/>
      <c r="Y3217" s="10"/>
      <c r="Z3217" s="10"/>
    </row>
    <row r="3218" spans="1:26" ht="12.75">
      <c r="A3218" s="10" t="str">
        <f ca="1">IFERROR(__xludf.DUMMYFUNCTION("""COMPUTED_VALUE"""),"Ива Стоилова Костадинова")</f>
        <v>Ива Стоилова Костадинова</v>
      </c>
      <c r="B3218" s="10" t="str">
        <f ca="1">IFERROR(__xludf.DUMMYFUNCTION("""COMPUTED_VALUE"""),"Доклад от конференция")</f>
        <v>Доклад от конференция</v>
      </c>
      <c r="C3218" s="10" t="str">
        <f ca="1">IFERROR(__xludf.DUMMYFUNCTION("""COMPUTED_VALUE"""),"Using Mixed Linear Programming to Classify BCI Signals")</f>
        <v>Using Mixed Linear Programming to Classify BCI Signals</v>
      </c>
      <c r="D3218" s="10">
        <f ca="1">IFERROR(__xludf.DUMMYFUNCTION("""COMPUTED_VALUE"""),2019)</f>
        <v>2019</v>
      </c>
      <c r="E3218" s="10" t="str">
        <f ca="1">IFERROR(__xludf.DUMMYFUNCTION("""COMPUTED_VALUE"""),"Proceeding of 60th International Scientific Conference on Power and Electrical Engineering of Riga Technical University (RTUCON) October 7-9, 2019,")</f>
        <v>Proceeding of 60th International Scientific Conference on Power and Electrical Engineering of Riga Technical University (RTUCON) October 7-9, 2019,</v>
      </c>
      <c r="F3218" s="10"/>
      <c r="G3218" s="10" t="str">
        <f ca="1">IFERROR(__xludf.DUMMYFUNCTION("""COMPUTED_VALUE"""),"Georgi Dimitrov, Galina Panayotova, Kristiyan Aleksiev, Iva Kostadinova, Pepa Petrova, Oleksii Bychkov and Viktor Shevchenko")</f>
        <v>Georgi Dimitrov, Galina Panayotova, Kristiyan Aleksiev, Iva Kostadinova, Pepa Petrova, Oleksii Bychkov and Viktor Shevchenko</v>
      </c>
      <c r="H3218" s="10"/>
      <c r="I3218" s="10"/>
      <c r="J3218" s="10"/>
      <c r="K3218" s="10"/>
      <c r="L3218" s="10"/>
      <c r="M3218" s="10"/>
      <c r="N3218" s="10"/>
      <c r="O3218" s="10"/>
      <c r="P3218" s="10"/>
      <c r="Q3218" s="10"/>
      <c r="R3218" s="10"/>
      <c r="S3218" s="10"/>
      <c r="T3218" s="10"/>
      <c r="U3218" s="10"/>
      <c r="V3218" s="10"/>
      <c r="W3218" s="10"/>
      <c r="X3218" s="10"/>
      <c r="Y3218" s="10"/>
      <c r="Z3218" s="10"/>
    </row>
    <row r="3219" spans="1:26" ht="12.75">
      <c r="A3219" s="10" t="str">
        <f ca="1">IFERROR(__xludf.DUMMYFUNCTION("""COMPUTED_VALUE"""),"Ива Стоилова Костадинова")</f>
        <v>Ива Стоилова Костадинова</v>
      </c>
      <c r="B3219" s="10" t="str">
        <f ca="1">IFERROR(__xludf.DUMMYFUNCTION("""COMPUTED_VALUE"""),"Доклад от конференция")</f>
        <v>Доклад от конференция</v>
      </c>
      <c r="C3219" s="10" t="str">
        <f ca="1">IFERROR(__xludf.DUMMYFUNCTION("""COMPUTED_VALUE"""),"ASSESSING THE ENTRY COMPETENCES OF DATA SCIENCE MASTER PROGRAM POTENTIAL STUDENTS: EMPIRICAL STUDY")</f>
        <v>ASSESSING THE ENTRY COMPETENCES OF DATA SCIENCE MASTER PROGRAM POTENTIAL STUDENTS: EMPIRICAL STUDY</v>
      </c>
      <c r="D3219" s="10">
        <f ca="1">IFERROR(__xludf.DUMMYFUNCTION("""COMPUTED_VALUE"""),2019)</f>
        <v>2019</v>
      </c>
      <c r="E3219" s="10" t="str">
        <f ca="1">IFERROR(__xludf.DUMMYFUNCTION("""COMPUTED_VALUE"""),"Proceedings of EDULEARN19 Conference 1-st-3rd July 2019, Palma, Mallorca, Spain, 4389 - 4394, ISBN: 978-84-09-12031-4")</f>
        <v>Proceedings of EDULEARN19 Conference 1-st-3rd July 2019, Palma, Mallorca, Spain, 4389 - 4394, ISBN: 978-84-09-12031-4</v>
      </c>
      <c r="F3219" s="10"/>
      <c r="G3219" s="10" t="str">
        <f ca="1">IFERROR(__xludf.DUMMYFUNCTION("""COMPUTED_VALUE"""),"Boryana Nikolova, Iva Kostadinova, Katya Rasheva-Yordanova, Stefka Toleva-Stoimenova, Dimityr Christozov")</f>
        <v>Boryana Nikolova, Iva Kostadinova, Katya Rasheva-Yordanova, Stefka Toleva-Stoimenova, Dimityr Christozov</v>
      </c>
      <c r="H3219" s="10"/>
      <c r="I3219" s="10"/>
      <c r="J3219" s="10"/>
      <c r="K3219" s="10"/>
      <c r="L3219" s="10"/>
      <c r="M3219" s="10"/>
      <c r="N3219" s="10"/>
      <c r="O3219" s="10"/>
      <c r="P3219" s="10"/>
      <c r="Q3219" s="10"/>
      <c r="R3219" s="10"/>
      <c r="S3219" s="10"/>
      <c r="T3219" s="10"/>
      <c r="U3219" s="10"/>
      <c r="V3219" s="10"/>
      <c r="W3219" s="10"/>
      <c r="X3219" s="10"/>
      <c r="Y3219" s="10"/>
      <c r="Z3219" s="10"/>
    </row>
    <row r="3220" spans="1:26" ht="12.75">
      <c r="A3220" s="10" t="str">
        <f ca="1">IFERROR(__xludf.DUMMYFUNCTION("""COMPUTED_VALUE"""),"Ива Стоилова Костадинова")</f>
        <v>Ива Стоилова Костадинова</v>
      </c>
      <c r="B3220" s="10" t="str">
        <f ca="1">IFERROR(__xludf.DUMMYFUNCTION("""COMPUTED_VALUE"""),"Доклад от конференция")</f>
        <v>Доклад от конференция</v>
      </c>
      <c r="C3220" s="10" t="str">
        <f ca="1">IFERROR(__xludf.DUMMYFUNCTION("""COMPUTED_VALUE"""),"ONLINE PUBLIC ACCESS CATALOGS IN BULGARIAN UNIVERSITY LIBRARIES AN EMPIRICAL STUDY OF SEVEN-YEAR EVOLUTION")</f>
        <v>ONLINE PUBLIC ACCESS CATALOGS IN BULGARIAN UNIVERSITY LIBRARIES AN EMPIRICAL STUDY OF SEVEN-YEAR EVOLUTION</v>
      </c>
      <c r="D3220" s="10">
        <f ca="1">IFERROR(__xludf.DUMMYFUNCTION("""COMPUTED_VALUE"""),2019)</f>
        <v>2019</v>
      </c>
      <c r="E3220" s="10" t="str">
        <f ca="1">IFERROR(__xludf.DUMMYFUNCTION("""COMPUTED_VALUE"""),"Proceedings of ICERI2019 Conference 11th-13th November 2019, Seville, Spain, pp.0230 - 0236. ISBN: 978-84-09-14755-7 / ISSN: 2340-1095")</f>
        <v>Proceedings of ICERI2019 Conference 11th-13th November 2019, Seville, Spain, pp.0230 - 0236. ISBN: 978-84-09-14755-7 / ISSN: 2340-1095</v>
      </c>
      <c r="F3220" s="10"/>
      <c r="G3220" s="10" t="str">
        <f ca="1">IFERROR(__xludf.DUMMYFUNCTION("""COMPUTED_VALUE"""),"Stefka Petrova, A. Sergeev, I. Getova, I. Kostadinova")</f>
        <v>Stefka Petrova, A. Sergeev, I. Getova, I. Kostadinova</v>
      </c>
      <c r="H3220" s="10"/>
      <c r="I3220" s="10"/>
      <c r="J3220" s="10"/>
      <c r="K3220" s="10"/>
      <c r="L3220" s="10"/>
      <c r="M3220" s="10"/>
      <c r="N3220" s="10"/>
      <c r="O3220" s="10"/>
      <c r="P3220" s="10"/>
      <c r="Q3220" s="10"/>
      <c r="R3220" s="10"/>
      <c r="S3220" s="10"/>
      <c r="T3220" s="10"/>
      <c r="U3220" s="10"/>
      <c r="V3220" s="10"/>
      <c r="W3220" s="10"/>
      <c r="X3220" s="10"/>
      <c r="Y3220" s="10"/>
      <c r="Z3220" s="10"/>
    </row>
    <row r="3221" spans="1:26" ht="12.75">
      <c r="A3221" s="10" t="str">
        <f ca="1">IFERROR(__xludf.DUMMYFUNCTION("""COMPUTED_VALUE"""),"Ива Стоилова Костадинова")</f>
        <v>Ива Стоилова Костадинова</v>
      </c>
      <c r="B3221" s="10" t="str">
        <f ca="1">IFERROR(__xludf.DUMMYFUNCTION("""COMPUTED_VALUE"""),"Доклад от конференция")</f>
        <v>Доклад от конференция</v>
      </c>
      <c r="C3221" s="10" t="str">
        <f ca="1">IFERROR(__xludf.DUMMYFUNCTION("""COMPUTED_VALUE"""),"Temporal analysis of the pedagogical adoption use and application of the augmented and virtual reality technologies in technical subject areas")</f>
        <v>Temporal analysis of the pedagogical adoption use and application of the augmented and virtual reality technologies in technical subject areas</v>
      </c>
      <c r="D3221" s="10">
        <f ca="1">IFERROR(__xludf.DUMMYFUNCTION("""COMPUTED_VALUE"""),2018)</f>
        <v>2018</v>
      </c>
      <c r="E3221" s="10" t="str">
        <f ca="1">IFERROR(__xludf.DUMMYFUNCTION("""COMPUTED_VALUE"""),"International Conference of Education, Research and Innovation (ICERI2018) Conference 12th-14th November 2018, Seville, Spain")</f>
        <v>International Conference of Education, Research and Innovation (ICERI2018) Conference 12th-14th November 2018, Seville, Spain</v>
      </c>
      <c r="F3221" s="10"/>
      <c r="G3221" s="10" t="str">
        <f ca="1">IFERROR(__xludf.DUMMYFUNCTION("""COMPUTED_VALUE"""),"R. Toshev, Pavel Petrov, K. Aleksiev, I.Getova")</f>
        <v>R. Toshev, Pavel Petrov, K. Aleksiev, I.Getova</v>
      </c>
      <c r="H3221" s="10"/>
      <c r="I3221" s="10"/>
      <c r="J3221" s="10"/>
      <c r="K3221" s="10"/>
      <c r="L3221" s="10"/>
      <c r="M3221" s="10"/>
      <c r="N3221" s="10"/>
      <c r="O3221" s="10"/>
      <c r="P3221" s="10"/>
      <c r="Q3221" s="10"/>
      <c r="R3221" s="10"/>
      <c r="S3221" s="10"/>
      <c r="T3221" s="10"/>
      <c r="U3221" s="10"/>
      <c r="V3221" s="10"/>
      <c r="W3221" s="10"/>
      <c r="X3221" s="10"/>
      <c r="Y3221" s="10"/>
      <c r="Z3221" s="10"/>
    </row>
    <row r="3222" spans="1:26" ht="12.75">
      <c r="A3222" s="10" t="str">
        <f ca="1">IFERROR(__xludf.DUMMYFUNCTION("""COMPUTED_VALUE"""),"Ива Стоилова Костадинова")</f>
        <v>Ива Стоилова Костадинова</v>
      </c>
      <c r="B3222" s="10" t="str">
        <f ca="1">IFERROR(__xludf.DUMMYFUNCTION("""COMPUTED_VALUE"""),"Доклад от конференция")</f>
        <v>Доклад от конференция</v>
      </c>
      <c r="C3222" s="10" t="str">
        <f ca="1">IFERROR(__xludf.DUMMYFUNCTION("""COMPUTED_VALUE"""),"Optimization of the management and access to administrative resources in a training organization")</f>
        <v>Optimization of the management and access to administrative resources in a training organization</v>
      </c>
      <c r="D3222" s="10">
        <f ca="1">IFERROR(__xludf.DUMMYFUNCTION("""COMPUTED_VALUE"""),2018)</f>
        <v>2018</v>
      </c>
      <c r="E3222" s="10" t="str">
        <f ca="1">IFERROR(__xludf.DUMMYFUNCTION("""COMPUTED_VALUE"""),"Proceedings of MSTIoE 2018 : East European Conference on Mathematical Foundations and Software Technology of Internet of Everything (21-22.12.2017, Киев, Украйна, пп.16-19, tom 2")</f>
        <v>Proceedings of MSTIoE 2018 : East European Conference on Mathematical Foundations and Software Technology of Internet of Everything (21-22.12.2017, Киев, Украйна, пп.16-19, tom 2</v>
      </c>
      <c r="F3222" s="10"/>
      <c r="G3222" s="10" t="str">
        <f ca="1">IFERROR(__xludf.DUMMYFUNCTION("""COMPUTED_VALUE"""),"Iva Kostadinova")</f>
        <v>Iva Kostadinova</v>
      </c>
      <c r="H3222" s="10"/>
      <c r="I3222" s="10"/>
      <c r="J3222" s="10"/>
      <c r="K3222" s="10"/>
      <c r="L3222" s="10"/>
      <c r="M3222" s="10"/>
      <c r="N3222" s="10"/>
      <c r="O3222" s="10"/>
      <c r="P3222" s="10"/>
      <c r="Q3222" s="10"/>
      <c r="R3222" s="10"/>
      <c r="S3222" s="10"/>
      <c r="T3222" s="10"/>
      <c r="U3222" s="10"/>
      <c r="V3222" s="10"/>
      <c r="W3222" s="10"/>
      <c r="X3222" s="10"/>
      <c r="Y3222" s="10"/>
      <c r="Z3222" s="10"/>
    </row>
    <row r="3223" spans="1:26" ht="12.75">
      <c r="A3223" s="10" t="str">
        <f ca="1">IFERROR(__xludf.DUMMYFUNCTION("""COMPUTED_VALUE"""),"Ива Стоилова Костадинова")</f>
        <v>Ива Стоилова Костадинова</v>
      </c>
      <c r="B3223" s="10" t="str">
        <f ca="1">IFERROR(__xludf.DUMMYFUNCTION("""COMPUTED_VALUE"""),"Доклад от конференция")</f>
        <v>Доклад от конференция</v>
      </c>
      <c r="C3223" s="10" t="str">
        <f ca="1">IFERROR(__xludf.DUMMYFUNCTION("""COMPUTED_VALUE"""),"ANALYSIS OF ONLINE COURSES TO ACQUIRE DATA SCIENCE LITERACY")</f>
        <v>ANALYSIS OF ONLINE COURSES TO ACQUIRE DATA SCIENCE LITERACY</v>
      </c>
      <c r="D3223" s="10">
        <f ca="1">IFERROR(__xludf.DUMMYFUNCTION("""COMPUTED_VALUE"""),2018)</f>
        <v>2018</v>
      </c>
      <c r="E3223" s="10" t="str">
        <f ca="1">IFERROR(__xludf.DUMMYFUNCTION("""COMPUTED_VALUE"""),"Proceedings of International Conference on Education and New Learning Technologies (EDULEARN 2017), 2-4 July 2018, Palma de Mallorca Spain")</f>
        <v>Proceedings of International Conference on Education and New Learning Technologies (EDULEARN 2017), 2-4 July 2018, Palma de Mallorca Spain</v>
      </c>
      <c r="F3223" s="10" t="str">
        <f ca="1">IFERROR(__xludf.DUMMYFUNCTION("""COMPUTED_VALUE"""),"Web of science")</f>
        <v>Web of science</v>
      </c>
      <c r="G3223" s="10" t="str">
        <f ca="1">IFERROR(__xludf.DUMMYFUNCTION("""COMPUTED_VALUE"""),"Pepa Petrova, Veselin Chantov")</f>
        <v>Pepa Petrova, Veselin Chantov</v>
      </c>
      <c r="H3223" s="10"/>
      <c r="I3223" s="10"/>
      <c r="J3223" s="10"/>
      <c r="K3223" s="10"/>
      <c r="L3223" s="10"/>
      <c r="M3223" s="10"/>
      <c r="N3223" s="10"/>
      <c r="O3223" s="10"/>
      <c r="P3223" s="10"/>
      <c r="Q3223" s="10"/>
      <c r="R3223" s="10"/>
      <c r="S3223" s="10"/>
      <c r="T3223" s="10"/>
      <c r="U3223" s="10"/>
      <c r="V3223" s="10"/>
      <c r="W3223" s="10"/>
      <c r="X3223" s="10"/>
      <c r="Y3223" s="10"/>
      <c r="Z3223" s="10"/>
    </row>
    <row r="3224" spans="1:26" ht="12.75">
      <c r="A3224" s="10" t="str">
        <f ca="1">IFERROR(__xludf.DUMMYFUNCTION("""COMPUTED_VALUE"""),"Ива Стоилова Костадинова")</f>
        <v>Ива Стоилова Костадинова</v>
      </c>
      <c r="B3224" s="10" t="str">
        <f ca="1">IFERROR(__xludf.DUMMYFUNCTION("""COMPUTED_VALUE"""),"Доклад от конференция")</f>
        <v>Доклад от конференция</v>
      </c>
      <c r="C3224" s="10" t="str">
        <f ca="1">IFERROR(__xludf.DUMMYFUNCTION("""COMPUTED_VALUE"""),"Уеб-сайтът – предизвикателство или прозорец към модерното университетско образование")</f>
        <v>Уеб-сайтът – предизвикателство или прозорец към модерното университетско образование</v>
      </c>
      <c r="D3224" s="10">
        <f ca="1">IFERROR(__xludf.DUMMYFUNCTION("""COMPUTED_VALUE"""),2018)</f>
        <v>2018</v>
      </c>
      <c r="E3224" s="10" t="str">
        <f ca="1">IFERROR(__xludf.DUMMYFUNCTION("""COMPUTED_VALUE"""),"XVI Национална научна конференция „Обществото на знанието и хуманизмът на ХХІ век” – 1 ноември 2018 УниБИТ")</f>
        <v>XVI Национална научна конференция „Обществото на знанието и хуманизмът на ХХІ век” – 1 ноември 2018 УниБИТ</v>
      </c>
      <c r="F3224" s="10"/>
      <c r="G3224" s="10" t="str">
        <f ca="1">IFERROR(__xludf.DUMMYFUNCTION("""COMPUTED_VALUE"""),"Панайот Гиндев, Даниела Павлова")</f>
        <v>Панайот Гиндев, Даниела Павлова</v>
      </c>
      <c r="H3224" s="10"/>
      <c r="I3224" s="10"/>
      <c r="J3224" s="10"/>
      <c r="K3224" s="10"/>
      <c r="L3224" s="10"/>
      <c r="M3224" s="10"/>
      <c r="N3224" s="10"/>
      <c r="O3224" s="10"/>
      <c r="P3224" s="10"/>
      <c r="Q3224" s="10"/>
      <c r="R3224" s="10"/>
      <c r="S3224" s="10"/>
      <c r="T3224" s="10"/>
      <c r="U3224" s="10"/>
      <c r="V3224" s="10"/>
      <c r="W3224" s="10"/>
      <c r="X3224" s="10"/>
      <c r="Y3224" s="10"/>
      <c r="Z3224" s="10"/>
    </row>
    <row r="3225" spans="1:26" ht="12.75">
      <c r="A3225" s="10" t="str">
        <f ca="1">IFERROR(__xludf.DUMMYFUNCTION("""COMPUTED_VALUE"""),"Ива Стоилова Костадинова")</f>
        <v>Ива Стоилова Костадинова</v>
      </c>
      <c r="B3225" s="10" t="str">
        <f ca="1">IFERROR(__xludf.DUMMYFUNCTION("""COMPUTED_VALUE"""),"Доклад от конференция")</f>
        <v>Доклад от конференция</v>
      </c>
      <c r="C3225" s="10" t="str">
        <f ca="1">IFERROR(__xludf.DUMMYFUNCTION("""COMPUTED_VALUE"""),"ANALYSIS OF DATA SCIENCE COURSES THROUGH THE PRISM OF THE DIGITAL DIVIDE")</f>
        <v>ANALYSIS OF DATA SCIENCE COURSES THROUGH THE PRISM OF THE DIGITAL DIVIDE</v>
      </c>
      <c r="D3225" s="10">
        <f ca="1">IFERROR(__xludf.DUMMYFUNCTION("""COMPUTED_VALUE"""),2018)</f>
        <v>2018</v>
      </c>
      <c r="E3225" s="10" t="str">
        <f ca="1">IFERROR(__xludf.DUMMYFUNCTION("""COMPUTED_VALUE"""),"Proceedings of International Conference on Education and New Learning Technologies (EDULEARN 2018), 2-4 July 2018, Palma de Mallorca Spain")</f>
        <v>Proceedings of International Conference on Education and New Learning Technologies (EDULEARN 2018), 2-4 July 2018, Palma de Mallorca Spain</v>
      </c>
      <c r="F3225" s="10" t="str">
        <f ca="1">IFERROR(__xludf.DUMMYFUNCTION("""COMPUTED_VALUE"""),"Web of science")</f>
        <v>Web of science</v>
      </c>
      <c r="G3225" s="10" t="str">
        <f ca="1">IFERROR(__xludf.DUMMYFUNCTION("""COMPUTED_VALUE"""),"P. Petrova, E. Iliev")</f>
        <v>P. Petrova, E. Iliev</v>
      </c>
      <c r="H3225" s="10"/>
      <c r="I3225" s="10"/>
      <c r="J3225" s="10"/>
      <c r="K3225" s="10"/>
      <c r="L3225" s="10"/>
      <c r="M3225" s="10"/>
      <c r="N3225" s="10"/>
      <c r="O3225" s="10"/>
      <c r="P3225" s="10"/>
      <c r="Q3225" s="10"/>
      <c r="R3225" s="10"/>
      <c r="S3225" s="10"/>
      <c r="T3225" s="10"/>
      <c r="U3225" s="10"/>
      <c r="V3225" s="10"/>
      <c r="W3225" s="10"/>
      <c r="X3225" s="10"/>
      <c r="Y3225" s="10"/>
      <c r="Z3225" s="10"/>
    </row>
    <row r="3226" spans="1:26" ht="12.75">
      <c r="A3226" s="10" t="str">
        <f ca="1">IFERROR(__xludf.DUMMYFUNCTION("""COMPUTED_VALUE"""),"Ива Стоилова Костадинова")</f>
        <v>Ива Стоилова Костадинова</v>
      </c>
      <c r="B3226" s="10" t="str">
        <f ca="1">IFERROR(__xludf.DUMMYFUNCTION("""COMPUTED_VALUE"""),"Доклад от конференция")</f>
        <v>Доклад от конференция</v>
      </c>
      <c r="C3226" s="10" t="str">
        <f ca="1">IFERROR(__xludf.DUMMYFUNCTION("""COMPUTED_VALUE"""),"Forming of Data Science Competence for Bridging the Digital Divide")</f>
        <v>Forming of Data Science Competence for Bridging the Digital Divide</v>
      </c>
      <c r="D3226" s="10">
        <f ca="1">IFERROR(__xludf.DUMMYFUNCTION("""COMPUTED_VALUE"""),2018)</f>
        <v>2018</v>
      </c>
      <c r="E3226" s="10" t="str">
        <f ca="1">IFERROR(__xludf.DUMMYFUNCTION("""COMPUTED_VALUE"""),"8th edition of the ""The Future of Education"" conference, PIXEL, Florence, 2018")</f>
        <v>8th edition of the "The Future of Education" conference, PIXEL, Florence, 2018</v>
      </c>
      <c r="F3226" s="10"/>
      <c r="G3226" s="10" t="str">
        <f ca="1">IFERROR(__xludf.DUMMYFUNCTION("""COMPUTED_VALUE"""),"Katia Rasheva-Yordanova, Veselin Chantov, Evtim Iliev, Pepa Petrova, Boryana Nikolova")</f>
        <v>Katia Rasheva-Yordanova, Veselin Chantov, Evtim Iliev, Pepa Petrova, Boryana Nikolova</v>
      </c>
      <c r="H3226" s="10"/>
      <c r="I3226" s="10"/>
      <c r="J3226" s="10"/>
      <c r="K3226" s="10"/>
      <c r="L3226" s="10"/>
      <c r="M3226" s="10"/>
      <c r="N3226" s="10"/>
      <c r="O3226" s="10"/>
      <c r="P3226" s="10"/>
      <c r="Q3226" s="10"/>
      <c r="R3226" s="10"/>
      <c r="S3226" s="10"/>
      <c r="T3226" s="10"/>
      <c r="U3226" s="10"/>
      <c r="V3226" s="10"/>
      <c r="W3226" s="10"/>
      <c r="X3226" s="10"/>
      <c r="Y3226" s="10"/>
      <c r="Z3226" s="10"/>
    </row>
    <row r="3227" spans="1:26" ht="12.75">
      <c r="A3227" s="10" t="str">
        <f ca="1">IFERROR(__xludf.DUMMYFUNCTION("""COMPUTED_VALUE"""),"Ива Стоилова Костадинова")</f>
        <v>Ива Стоилова Костадинова</v>
      </c>
      <c r="B3227" s="10" t="str">
        <f ca="1">IFERROR(__xludf.DUMMYFUNCTION("""COMPUTED_VALUE"""),"Доклад от конференция")</f>
        <v>Доклад от конференция</v>
      </c>
      <c r="C3227" s="10" t="str">
        <f ca="1">IFERROR(__xludf.DUMMYFUNCTION("""COMPUTED_VALUE"""),"Оptimization of the e-test pages in the е-testing system")</f>
        <v>Оptimization of the e-test pages in the е-testing system</v>
      </c>
      <c r="D3227" s="10">
        <f ca="1">IFERROR(__xludf.DUMMYFUNCTION("""COMPUTED_VALUE"""),2018)</f>
        <v>2018</v>
      </c>
      <c r="E3227" s="10" t="str">
        <f ca="1">IFERROR(__xludf.DUMMYFUNCTION("""COMPUTED_VALUE"""),"Proccedings of CONTEMPORARY STRATEGIES AND INNOVATIONS IN THE KNOWLEDGE MANAGEMENT COLLECTION with Papers of the Fourth Scientific Conference 27th November, 2018, European Parliament in Brussels. Academic Publishing House “Za bukvite – O Pismeneh”, Sofia,"&amp;"2018, p. 140-147,")</f>
        <v>Proccedings of CONTEMPORARY STRATEGIES AND INNOVATIONS IN THE KNOWLEDGE MANAGEMENT COLLECTION with Papers of the Fourth Scientific Conference 27th November, 2018, European Parliament in Brussels. Academic Publishing House “Za bukvite – O Pismeneh”, Sofia,2018, p. 140-147,</v>
      </c>
      <c r="F3227" s="10"/>
      <c r="G3227" s="10" t="str">
        <f ca="1">IFERROR(__xludf.DUMMYFUNCTION("""COMPUTED_VALUE"""),"Iva Kostadinova, Kristiyan Aleksiev")</f>
        <v>Iva Kostadinova, Kristiyan Aleksiev</v>
      </c>
      <c r="H3227" s="10"/>
      <c r="I3227" s="10"/>
      <c r="J3227" s="10"/>
      <c r="K3227" s="10"/>
      <c r="L3227" s="10"/>
      <c r="M3227" s="10"/>
      <c r="N3227" s="10"/>
      <c r="O3227" s="10"/>
      <c r="P3227" s="10"/>
      <c r="Q3227" s="10"/>
      <c r="R3227" s="10"/>
      <c r="S3227" s="10"/>
      <c r="T3227" s="10"/>
      <c r="U3227" s="10"/>
      <c r="V3227" s="10"/>
      <c r="W3227" s="10"/>
      <c r="X3227" s="10"/>
      <c r="Y3227" s="10"/>
      <c r="Z3227" s="10"/>
    </row>
    <row r="3228" spans="1:26" ht="12.75">
      <c r="A3228" s="10" t="str">
        <f ca="1">IFERROR(__xludf.DUMMYFUNCTION("""COMPUTED_VALUE"""),"Ива Стоилова Костадинова")</f>
        <v>Ива Стоилова Костадинова</v>
      </c>
      <c r="B3228" s="10" t="str">
        <f ca="1">IFERROR(__xludf.DUMMYFUNCTION("""COMPUTED_VALUE"""),"Книга")</f>
        <v>Книга</v>
      </c>
      <c r="C3228" s="10" t="str">
        <f ca="1">IFERROR(__xludf.DUMMYFUNCTION("""COMPUTED_VALUE"""),"Обектно-ориентирано програмиране")</f>
        <v>Обектно-ориентирано програмиране</v>
      </c>
      <c r="D3228" s="10">
        <f ca="1">IFERROR(__xludf.DUMMYFUNCTION("""COMPUTED_VALUE"""),2018)</f>
        <v>2018</v>
      </c>
      <c r="E3228" s="10" t="str">
        <f ca="1">IFERROR(__xludf.DUMMYFUNCTION("""COMPUTED_VALUE"""),"Авангард Прима, София, 2018, 268 с.")</f>
        <v>Авангард Прима, София, 2018, 268 с.</v>
      </c>
      <c r="F3228" s="10"/>
      <c r="G3228" s="10" t="str">
        <f ca="1">IFERROR(__xludf.DUMMYFUNCTION("""COMPUTED_VALUE"""),"Иван Иванов, Петър Стойков, Васил Тотев, Ива Костадинова,")</f>
        <v>Иван Иванов, Петър Стойков, Васил Тотев, Ива Костадинова,</v>
      </c>
      <c r="H3228" s="10"/>
      <c r="I3228" s="10"/>
      <c r="J3228" s="10"/>
      <c r="K3228" s="10"/>
      <c r="L3228" s="10"/>
      <c r="M3228" s="10"/>
      <c r="N3228" s="10"/>
      <c r="O3228" s="10"/>
      <c r="P3228" s="10"/>
      <c r="Q3228" s="10"/>
      <c r="R3228" s="10"/>
      <c r="S3228" s="10"/>
      <c r="T3228" s="10"/>
      <c r="U3228" s="10"/>
      <c r="V3228" s="10"/>
      <c r="W3228" s="10"/>
      <c r="X3228" s="10"/>
      <c r="Y3228" s="10"/>
      <c r="Z3228" s="10"/>
    </row>
    <row r="3229" spans="1:26" ht="12.75">
      <c r="A3229" s="10" t="str">
        <f ca="1">IFERROR(__xludf.DUMMYFUNCTION("""COMPUTED_VALUE"""),"Ива Стоилова Костадинова")</f>
        <v>Ива Стоилова Костадинова</v>
      </c>
      <c r="B3229" s="10" t="str">
        <f ca="1">IFERROR(__xludf.DUMMYFUNCTION("""COMPUTED_VALUE"""),"Доклад от конференция")</f>
        <v>Доклад от конференция</v>
      </c>
      <c r="C3229" s="10" t="str">
        <f ca="1">IFERROR(__xludf.DUMMYFUNCTION("""COMPUTED_VALUE"""),"Researching and analyzing different models for verifying knowledge in the process of acquiring skills.")</f>
        <v>Researching and analyzing different models for verifying knowledge in the process of acquiring skills.</v>
      </c>
      <c r="D3229" s="10">
        <f ca="1">IFERROR(__xludf.DUMMYFUNCTION("""COMPUTED_VALUE"""),2018)</f>
        <v>2018</v>
      </c>
      <c r="E3229" s="10" t="str">
        <f ca="1">IFERROR(__xludf.DUMMYFUNCTION("""COMPUTED_VALUE"""),"Proceedings of International Technology, Education and Development Conference (INTED 2018) 5-7 March 2018 Valencia Spain, ISBN: 978-84-697-9480-7 ‎‎, pp.2617-2624, 2018.")</f>
        <v>Proceedings of International Technology, Education and Development Conference (INTED 2018) 5-7 March 2018 Valencia Spain, ISBN: 978-84-697-9480-7 ‎‎, pp.2617-2624, 2018.</v>
      </c>
      <c r="F3229" s="10" t="str">
        <f ca="1">IFERROR(__xludf.DUMMYFUNCTION("""COMPUTED_VALUE"""),"Web of science")</f>
        <v>Web of science</v>
      </c>
      <c r="G3229" s="10" t="str">
        <f ca="1">IFERROR(__xludf.DUMMYFUNCTION("""COMPUTED_VALUE"""),"Iglika Getova,")</f>
        <v>Iglika Getova,</v>
      </c>
      <c r="H3229" s="10"/>
      <c r="I3229" s="10"/>
      <c r="J3229" s="10"/>
      <c r="K3229" s="10"/>
      <c r="L3229" s="10"/>
      <c r="M3229" s="10"/>
      <c r="N3229" s="10"/>
      <c r="O3229" s="10"/>
      <c r="P3229" s="10"/>
      <c r="Q3229" s="10"/>
      <c r="R3229" s="10"/>
      <c r="S3229" s="10"/>
      <c r="T3229" s="10"/>
      <c r="U3229" s="10"/>
      <c r="V3229" s="10"/>
      <c r="W3229" s="10"/>
      <c r="X3229" s="10"/>
      <c r="Y3229" s="10"/>
      <c r="Z3229" s="10"/>
    </row>
    <row r="3230" spans="1:26" ht="12.75">
      <c r="A3230" s="10" t="str">
        <f ca="1">IFERROR(__xludf.DUMMYFUNCTION("""COMPUTED_VALUE"""),"Ива Стоилова Костадинова")</f>
        <v>Ива Стоилова Костадинова</v>
      </c>
      <c r="B3230" s="10" t="str">
        <f ca="1">IFERROR(__xludf.DUMMYFUNCTION("""COMPUTED_VALUE"""),"Доклад от конференция")</f>
        <v>Доклад от конференция</v>
      </c>
      <c r="C3230" s="10" t="str">
        <f ca="1">IFERROR(__xludf.DUMMYFUNCTION("""COMPUTED_VALUE"""),"Aspect of the Designing and Developed Integrated Information Systems in Large Organizations")</f>
        <v>Aspect of the Designing and Developed Integrated Information Systems in Large Organizations</v>
      </c>
      <c r="D3230" s="10">
        <f ca="1">IFERROR(__xludf.DUMMYFUNCTION("""COMPUTED_VALUE"""),2018)</f>
        <v>2018</v>
      </c>
      <c r="E3230" s="10" t="str">
        <f ca="1">IFERROR(__xludf.DUMMYFUNCTION("""COMPUTED_VALUE"""),"Journal of Software vol. 13, no. 2, pp. 138-145, 2018.")</f>
        <v>Journal of Software vol. 13, no. 2, pp. 138-145, 2018.</v>
      </c>
      <c r="F3230" s="10"/>
      <c r="G3230" s="10" t="str">
        <f ca="1">IFERROR(__xludf.DUMMYFUNCTION("""COMPUTED_VALUE"""),"Georgi P. Dimitrov, Galina S. Panayotova")</f>
        <v>Georgi P. Dimitrov, Galina S. Panayotova</v>
      </c>
      <c r="H3230" s="10"/>
      <c r="I3230" s="10"/>
      <c r="J3230" s="10"/>
      <c r="K3230" s="10"/>
      <c r="L3230" s="10"/>
      <c r="M3230" s="10"/>
      <c r="N3230" s="10"/>
      <c r="O3230" s="10"/>
      <c r="P3230" s="10"/>
      <c r="Q3230" s="10"/>
      <c r="R3230" s="10"/>
      <c r="S3230" s="10"/>
      <c r="T3230" s="10"/>
      <c r="U3230" s="10"/>
      <c r="V3230" s="10"/>
      <c r="W3230" s="10"/>
      <c r="X3230" s="10"/>
      <c r="Y3230" s="10"/>
      <c r="Z3230" s="10"/>
    </row>
    <row r="3231" spans="1:26" ht="12.75">
      <c r="A3231" s="10" t="str">
        <f ca="1">IFERROR(__xludf.DUMMYFUNCTION("""COMPUTED_VALUE"""),"Ива Стоилова Костадинова")</f>
        <v>Ива Стоилова Костадинова</v>
      </c>
      <c r="B3231" s="10" t="str">
        <f ca="1">IFERROR(__xludf.DUMMYFUNCTION("""COMPUTED_VALUE"""),"Доклад от конференция")</f>
        <v>Доклад от конференция</v>
      </c>
      <c r="C3231" s="10" t="str">
        <f ca="1">IFERROR(__xludf.DUMMYFUNCTION("""COMPUTED_VALUE"""),"Remote e-self-learning system via CMS")</f>
        <v>Remote e-self-learning system via CMS</v>
      </c>
      <c r="D3231" s="10">
        <f ca="1">IFERROR(__xludf.DUMMYFUNCTION("""COMPUTED_VALUE"""),2018)</f>
        <v>2018</v>
      </c>
      <c r="E3231" s="10" t="str">
        <f ca="1">IFERROR(__xludf.DUMMYFUNCTION("""COMPUTED_VALUE"""),"Седма национална конференция „Електронното обучение във висшите училища“ 20 - 23 септември 2018, Боровец, Унв. изд. „Св. Климент Охридски“, София, 2018,")</f>
        <v>Седма национална конференция „Електронното обучение във висшите училища“ 20 - 23 септември 2018, Боровец, Унв. изд. „Св. Климент Охридски“, София, 2018,</v>
      </c>
      <c r="F3231" s="10"/>
      <c r="G3231" s="10" t="str">
        <f ca="1">IFERROR(__xludf.DUMMYFUNCTION("""COMPUTED_VALUE"""),"Katya Rasheva – Yordanova, Pepa Petrova")</f>
        <v>Katya Rasheva – Yordanova, Pepa Petrova</v>
      </c>
      <c r="H3231" s="10"/>
      <c r="I3231" s="10"/>
      <c r="J3231" s="10"/>
      <c r="K3231" s="10"/>
      <c r="L3231" s="10"/>
      <c r="M3231" s="10"/>
      <c r="N3231" s="10"/>
      <c r="O3231" s="10"/>
      <c r="P3231" s="10"/>
      <c r="Q3231" s="10"/>
      <c r="R3231" s="10"/>
      <c r="S3231" s="10"/>
      <c r="T3231" s="10"/>
      <c r="U3231" s="10"/>
      <c r="V3231" s="10"/>
      <c r="W3231" s="10"/>
      <c r="X3231" s="10"/>
      <c r="Y3231" s="10"/>
      <c r="Z3231" s="10"/>
    </row>
    <row r="3232" spans="1:26" ht="12.75">
      <c r="A3232" s="10" t="str">
        <f ca="1">IFERROR(__xludf.DUMMYFUNCTION("""COMPUTED_VALUE"""),"Ива Стоилова Костадинова")</f>
        <v>Ива Стоилова Костадинова</v>
      </c>
      <c r="B3232" s="10" t="str">
        <f ca="1">IFERROR(__xludf.DUMMYFUNCTION("""COMPUTED_VALUE"""),"Доклад от конференция")</f>
        <v>Доклад от конференция</v>
      </c>
      <c r="C3232" s="10" t="str">
        <f ca="1">IFERROR(__xludf.DUMMYFUNCTION("""COMPUTED_VALUE"""),"Combined neural network model for real estate market range value estimation")</f>
        <v>Combined neural network model for real estate market range value estimation</v>
      </c>
      <c r="D3232" s="10">
        <f ca="1">IFERROR(__xludf.DUMMYFUNCTION("""COMPUTED_VALUE"""),2017)</f>
        <v>2017</v>
      </c>
      <c r="E3232" s="10" t="str">
        <f ca="1">IFERROR(__xludf.DUMMYFUNCTION("""COMPUTED_VALUE"""),"Proceedings of The Fourth International Conference on Artificial Intelligence and Pattern Recognition (AIPR2017), Lodz, Poland,")</f>
        <v>Proceedings of The Fourth International Conference on Artificial Intelligence and Pattern Recognition (AIPR2017), Lodz, Poland,</v>
      </c>
      <c r="F3232" s="10"/>
      <c r="G3232" s="10"/>
      <c r="H3232" s="10"/>
      <c r="I3232" s="10"/>
      <c r="J3232" s="10"/>
      <c r="K3232" s="10"/>
      <c r="L3232" s="10"/>
      <c r="M3232" s="10"/>
      <c r="N3232" s="10"/>
      <c r="O3232" s="10"/>
      <c r="P3232" s="10"/>
      <c r="Q3232" s="10"/>
      <c r="R3232" s="10"/>
      <c r="S3232" s="10"/>
      <c r="T3232" s="10"/>
      <c r="U3232" s="10"/>
      <c r="V3232" s="10"/>
      <c r="W3232" s="10"/>
      <c r="X3232" s="10"/>
      <c r="Y3232" s="10"/>
      <c r="Z3232" s="10"/>
    </row>
    <row r="3233" spans="1:26" ht="12.75">
      <c r="A3233" s="10" t="str">
        <f ca="1">IFERROR(__xludf.DUMMYFUNCTION("""COMPUTED_VALUE"""),"Ива Стоилова Костадинова")</f>
        <v>Ива Стоилова Костадинова</v>
      </c>
      <c r="B3233" s="10" t="str">
        <f ca="1">IFERROR(__xludf.DUMMYFUNCTION("""COMPUTED_VALUE"""),"Доклад от конференция")</f>
        <v>Доклад от конференция</v>
      </c>
      <c r="C3233" s="10" t="str">
        <f ca="1">IFERROR(__xludf.DUMMYFUNCTION("""COMPUTED_VALUE"""),"Model of stimulating the motivation as a key factor in overcoming the Digital Divide phenomenon")</f>
        <v>Model of stimulating the motivation as a key factor in overcoming the Digital Divide phenomenon</v>
      </c>
      <c r="D3233" s="10">
        <f ca="1">IFERROR(__xludf.DUMMYFUNCTION("""COMPUTED_VALUE"""),2017)</f>
        <v>2017</v>
      </c>
      <c r="E3233" s="10" t="str">
        <f ca="1">IFERROR(__xludf.DUMMYFUNCTION("""COMPUTED_VALUE"""),"Proceedings of International Technology, Education and Development Conference (INTED 2017) 6-8 March 2017 Valencia Spain, ISBN: ‎‎978-84-617-8491-2, pp. ‎‎8361-8368, 2017.")</f>
        <v>Proceedings of International Technology, Education and Development Conference (INTED 2017) 6-8 March 2017 Valencia Spain, ISBN: ‎‎978-84-617-8491-2, pp. ‎‎8361-8368, 2017.</v>
      </c>
      <c r="F3233" s="10" t="str">
        <f ca="1">IFERROR(__xludf.DUMMYFUNCTION("""COMPUTED_VALUE"""),"Web of science")</f>
        <v>Web of science</v>
      </c>
      <c r="G3233" s="10" t="str">
        <f ca="1">IFERROR(__xludf.DUMMYFUNCTION("""COMPUTED_VALUE"""),"Katia Rasheva-Yordanova, Dimitar Christozov,")</f>
        <v>Katia Rasheva-Yordanova, Dimitar Christozov,</v>
      </c>
      <c r="H3233" s="10"/>
      <c r="I3233" s="10"/>
      <c r="J3233" s="10"/>
      <c r="K3233" s="10"/>
      <c r="L3233" s="10"/>
      <c r="M3233" s="10"/>
      <c r="N3233" s="10"/>
      <c r="O3233" s="10"/>
      <c r="P3233" s="10"/>
      <c r="Q3233" s="10"/>
      <c r="R3233" s="10"/>
      <c r="S3233" s="10"/>
      <c r="T3233" s="10"/>
      <c r="U3233" s="10"/>
      <c r="V3233" s="10"/>
      <c r="W3233" s="10"/>
      <c r="X3233" s="10"/>
      <c r="Y3233" s="10"/>
      <c r="Z3233" s="10"/>
    </row>
    <row r="3234" spans="1:26" ht="12.75">
      <c r="A3234" s="10" t="str">
        <f ca="1">IFERROR(__xludf.DUMMYFUNCTION("""COMPUTED_VALUE"""),"Ива Стоилова Костадинова")</f>
        <v>Ива Стоилова Костадинова</v>
      </c>
      <c r="B3234" s="10" t="str">
        <f ca="1">IFERROR(__xludf.DUMMYFUNCTION("""COMPUTED_VALUE"""),"Доклад от конференция")</f>
        <v>Доклад от конференция</v>
      </c>
      <c r="C3234" s="10" t="str">
        <f ca="1">IFERROR(__xludf.DUMMYFUNCTION("""COMPUTED_VALUE"""),"Подходи за изграждане на интегрирана система за административна обработка на данни")</f>
        <v>Подходи за изграждане на интегрирана система за административна обработка на данни</v>
      </c>
      <c r="D3234" s="10">
        <f ca="1">IFERROR(__xludf.DUMMYFUNCTION("""COMPUTED_VALUE"""),2017)</f>
        <v>2017</v>
      </c>
      <c r="E3234" s="10" t="str">
        <f ca="1">IFERROR(__xludf.DUMMYFUNCTION("""COMPUTED_VALUE"""),"Кръгла маса на тема: „Предизвикателства и перспективи за развитие на ИКТ в съвременното информационно общество” УниБИТ – 04.10.2017")</f>
        <v>Кръгла маса на тема: „Предизвикателства и перспективи за развитие на ИКТ в съвременното информационно общество” УниБИТ – 04.10.2017</v>
      </c>
      <c r="F3234" s="10"/>
      <c r="G3234" s="10" t="str">
        <f ca="1">IFERROR(__xludf.DUMMYFUNCTION("""COMPUTED_VALUE"""),"Кристиян Алексиев")</f>
        <v>Кристиян Алексиев</v>
      </c>
      <c r="H3234" s="10"/>
      <c r="I3234" s="10"/>
      <c r="J3234" s="10"/>
      <c r="K3234" s="10"/>
      <c r="L3234" s="10"/>
      <c r="M3234" s="10"/>
      <c r="N3234" s="10"/>
      <c r="O3234" s="10"/>
      <c r="P3234" s="10"/>
      <c r="Q3234" s="10"/>
      <c r="R3234" s="10"/>
      <c r="S3234" s="10"/>
      <c r="T3234" s="10"/>
      <c r="U3234" s="10"/>
      <c r="V3234" s="10"/>
      <c r="W3234" s="10"/>
      <c r="X3234" s="10"/>
      <c r="Y3234" s="10"/>
      <c r="Z3234" s="10"/>
    </row>
    <row r="3235" spans="1:26" ht="12.75">
      <c r="A3235" s="10" t="str">
        <f ca="1">IFERROR(__xludf.DUMMYFUNCTION("""COMPUTED_VALUE"""),"Ива Стоилова Костадинова")</f>
        <v>Ива Стоилова Костадинова</v>
      </c>
      <c r="B3235" s="10" t="str">
        <f ca="1">IFERROR(__xludf.DUMMYFUNCTION("""COMPUTED_VALUE"""),"Доклад от конференция")</f>
        <v>Доклад от конференция</v>
      </c>
      <c r="C3235" s="10" t="str">
        <f ca="1">IFERROR(__xludf.DUMMYFUNCTION("""COMPUTED_VALUE"""),"Approaches for optimization of WEB pages loading via analysis of the speed of requests to the database")</f>
        <v>Approaches for optimization of WEB pages loading via analysis of the speed of requests to the database</v>
      </c>
      <c r="D3235" s="10">
        <f ca="1">IFERROR(__xludf.DUMMYFUNCTION("""COMPUTED_VALUE"""),2017)</f>
        <v>2017</v>
      </c>
      <c r="E3235" s="10" t="str">
        <f ca="1">IFERROR(__xludf.DUMMYFUNCTION("""COMPUTED_VALUE"""),"Proceedings of The Fourth International Conference on Artificial Intelligence and Pattern Recognition (AIPR2017), Lodz, Poland, 2017, ISBN: 978-1-941968-43-7©2017 SDIWC, pp.58-63")</f>
        <v>Proceedings of The Fourth International Conference on Artificial Intelligence and Pattern Recognition (AIPR2017), Lodz, Poland, 2017, ISBN: 978-1-941968-43-7©2017 SDIWC, pp.58-63</v>
      </c>
      <c r="F3235" s="10"/>
      <c r="G3235" s="10" t="str">
        <f ca="1">IFERROR(__xludf.DUMMYFUNCTION("""COMPUTED_VALUE"""),"Dimitrov, G.P. Galina Panayotova,")</f>
        <v>Dimitrov, G.P. Galina Panayotova,</v>
      </c>
      <c r="H3235" s="10"/>
      <c r="I3235" s="10"/>
      <c r="J3235" s="10"/>
      <c r="K3235" s="10"/>
      <c r="L3235" s="10"/>
      <c r="M3235" s="10"/>
      <c r="N3235" s="10"/>
      <c r="O3235" s="10"/>
      <c r="P3235" s="10"/>
      <c r="Q3235" s="10"/>
      <c r="R3235" s="10"/>
      <c r="S3235" s="10"/>
      <c r="T3235" s="10"/>
      <c r="U3235" s="10"/>
      <c r="V3235" s="10"/>
      <c r="W3235" s="10"/>
      <c r="X3235" s="10"/>
      <c r="Y3235" s="10"/>
      <c r="Z3235" s="10"/>
    </row>
    <row r="3236" spans="1:26" ht="12.75">
      <c r="A3236" s="10" t="str">
        <f ca="1">IFERROR(__xludf.DUMMYFUNCTION("""COMPUTED_VALUE"""),"Ива Стоилова Костадинова")</f>
        <v>Ива Стоилова Костадинова</v>
      </c>
      <c r="B3236" s="10" t="str">
        <f ca="1">IFERROR(__xludf.DUMMYFUNCTION("""COMPUTED_VALUE"""),"Доклад от конференция")</f>
        <v>Доклад от конференция</v>
      </c>
      <c r="C3236" s="10" t="str">
        <f ca="1">IFERROR(__xludf.DUMMYFUNCTION("""COMPUTED_VALUE"""),"Model for building competencies trouth an electronic system for assessment of lnowledge")</f>
        <v>Model for building competencies trouth an electronic system for assessment of lnowledge</v>
      </c>
      <c r="D3236" s="10">
        <f ca="1">IFERROR(__xludf.DUMMYFUNCTION("""COMPUTED_VALUE"""),2017)</f>
        <v>2017</v>
      </c>
      <c r="E3236" s="10" t="str">
        <f ca="1">IFERROR(__xludf.DUMMYFUNCTION("""COMPUTED_VALUE"""),"Proceedings of International Conference of Education, Research and Innovation (ICERI2017) Conference 14th-16th November 2017, Seville, Spain, ISBN ISBN: 978-84-697-6957-7 , pp-0430 - 0436")</f>
        <v>Proceedings of International Conference of Education, Research and Innovation (ICERI2017) Conference 14th-16th November 2017, Seville, Spain, ISBN ISBN: 978-84-697-6957-7 , pp-0430 - 0436</v>
      </c>
      <c r="F3236" s="10" t="str">
        <f ca="1">IFERROR(__xludf.DUMMYFUNCTION("""COMPUTED_VALUE"""),"Web of science")</f>
        <v>Web of science</v>
      </c>
      <c r="G3236" s="10" t="str">
        <f ca="1">IFERROR(__xludf.DUMMYFUNCTION("""COMPUTED_VALUE"""),"Iglika Getova, G.P.Dimitrov, Boryana Nikolova.")</f>
        <v>Iglika Getova, G.P.Dimitrov, Boryana Nikolova.</v>
      </c>
      <c r="H3236" s="10"/>
      <c r="I3236" s="10"/>
      <c r="J3236" s="10"/>
      <c r="K3236" s="10"/>
      <c r="L3236" s="10"/>
      <c r="M3236" s="10"/>
      <c r="N3236" s="10"/>
      <c r="O3236" s="10"/>
      <c r="P3236" s="10"/>
      <c r="Q3236" s="10"/>
      <c r="R3236" s="10"/>
      <c r="S3236" s="10"/>
      <c r="T3236" s="10"/>
      <c r="U3236" s="10"/>
      <c r="V3236" s="10"/>
      <c r="W3236" s="10"/>
      <c r="X3236" s="10"/>
      <c r="Y3236" s="10"/>
      <c r="Z3236" s="10"/>
    </row>
    <row r="3237" spans="1:26" ht="12.75">
      <c r="A3237" s="10" t="str">
        <f ca="1">IFERROR(__xludf.DUMMYFUNCTION("""COMPUTED_VALUE"""),"Ива Стоилова Костадинова")</f>
        <v>Ива Стоилова Костадинова</v>
      </c>
      <c r="B3237" s="10" t="str">
        <f ca="1">IFERROR(__xludf.DUMMYFUNCTION("""COMPUTED_VALUE"""),"Доклад от конференция")</f>
        <v>Доклад от конференция</v>
      </c>
      <c r="C3237" s="10" t="str">
        <f ca="1">IFERROR(__xludf.DUMMYFUNCTION("""COMPUTED_VALUE"""),"INFORMING AND DIGITAL LITERACY IN CONDITIONS OF DIGITAL DIVIDE")</f>
        <v>INFORMING AND DIGITAL LITERACY IN CONDITIONS OF DIGITAL DIVIDE</v>
      </c>
      <c r="D3237" s="10">
        <f ca="1">IFERROR(__xludf.DUMMYFUNCTION("""COMPUTED_VALUE"""),2017)</f>
        <v>2017</v>
      </c>
      <c r="E3237" s="10" t="str">
        <f ca="1">IFERROR(__xludf.DUMMYFUNCTION("""COMPUTED_VALUE"""),"Proceedings of International Conference of Education, Research and Innovation (ICERI2017) Conference 14th-16th November 2017, Seville, Spain, ISBN: 978-84-697-6957-7 , pp-6827 - 6832")</f>
        <v>Proceedings of International Conference of Education, Research and Innovation (ICERI2017) Conference 14th-16th November 2017, Seville, Spain, ISBN: 978-84-697-6957-7 , pp-6827 - 6832</v>
      </c>
      <c r="F3237" s="10" t="str">
        <f ca="1">IFERROR(__xludf.DUMMYFUNCTION("""COMPUTED_VALUE"""),"Web of science")</f>
        <v>Web of science</v>
      </c>
      <c r="G3237" s="10" t="str">
        <f ca="1">IFERROR(__xludf.DUMMYFUNCTION("""COMPUTED_VALUE"""),"Rasheva – Yordanova Katia, Stefka Toleva-Stoimenova, Boriana Nikolova")</f>
        <v>Rasheva – Yordanova Katia, Stefka Toleva-Stoimenova, Boriana Nikolova</v>
      </c>
      <c r="H3237" s="10"/>
      <c r="I3237" s="10"/>
      <c r="J3237" s="10"/>
      <c r="K3237" s="10"/>
      <c r="L3237" s="10"/>
      <c r="M3237" s="10"/>
      <c r="N3237" s="10"/>
      <c r="O3237" s="10"/>
      <c r="P3237" s="10"/>
      <c r="Q3237" s="10"/>
      <c r="R3237" s="10"/>
      <c r="S3237" s="10"/>
      <c r="T3237" s="10"/>
      <c r="U3237" s="10"/>
      <c r="V3237" s="10"/>
      <c r="W3237" s="10"/>
      <c r="X3237" s="10"/>
      <c r="Y3237" s="10"/>
      <c r="Z3237" s="10"/>
    </row>
    <row r="3238" spans="1:26" ht="12.75">
      <c r="A3238" s="10" t="str">
        <f ca="1">IFERROR(__xludf.DUMMYFUNCTION("""COMPUTED_VALUE"""),"Ива Стоилова Костадинова")</f>
        <v>Ива Стоилова Костадинова</v>
      </c>
      <c r="B3238" s="10" t="str">
        <f ca="1">IFERROR(__xludf.DUMMYFUNCTION("""COMPUTED_VALUE"""),"Доклад от конференция")</f>
        <v>Доклад от конференция</v>
      </c>
      <c r="C3238" s="10" t="str">
        <f ca="1">IFERROR(__xludf.DUMMYFUNCTION("""COMPUTED_VALUE"""),"Higher education in the era of digital transformation")</f>
        <v>Higher education in the era of digital transformation</v>
      </c>
      <c r="D3238" s="10">
        <f ca="1">IFERROR(__xludf.DUMMYFUNCTION("""COMPUTED_VALUE"""),2017)</f>
        <v>2017</v>
      </c>
      <c r="E3238" s="10" t="str">
        <f ca="1">IFERROR(__xludf.DUMMYFUNCTION("""COMPUTED_VALUE"""),"Proceedings of International Conference on Education and New Learning Technologies (EDULEARN 2017), 3-5 July 2017, Barselona Spain, ISBN: 978-84-697-3777-4, pp. 2073 - 2077")</f>
        <v>Proceedings of International Conference on Education and New Learning Technologies (EDULEARN 2017), 3-5 July 2017, Barselona Spain, ISBN: 978-84-697-3777-4, pp. 2073 - 2077</v>
      </c>
      <c r="F3238" s="10" t="str">
        <f ca="1">IFERROR(__xludf.DUMMYFUNCTION("""COMPUTED_VALUE"""),"Web of science")</f>
        <v>Web of science</v>
      </c>
      <c r="G3238" s="10" t="str">
        <f ca="1">IFERROR(__xludf.DUMMYFUNCTION("""COMPUTED_VALUE"""),"Pepa Petrova")</f>
        <v>Pepa Petrova</v>
      </c>
      <c r="H3238" s="10"/>
      <c r="I3238" s="10"/>
      <c r="J3238" s="10"/>
      <c r="K3238" s="10"/>
      <c r="L3238" s="10"/>
      <c r="M3238" s="10"/>
      <c r="N3238" s="10"/>
      <c r="O3238" s="10"/>
      <c r="P3238" s="10"/>
      <c r="Q3238" s="10"/>
      <c r="R3238" s="10"/>
      <c r="S3238" s="10"/>
      <c r="T3238" s="10"/>
      <c r="U3238" s="10"/>
      <c r="V3238" s="10"/>
      <c r="W3238" s="10"/>
      <c r="X3238" s="10"/>
      <c r="Y3238" s="10"/>
      <c r="Z3238" s="10"/>
    </row>
    <row r="3239" spans="1:26" ht="12.75">
      <c r="A3239" s="10" t="str">
        <f ca="1">IFERROR(__xludf.DUMMYFUNCTION("""COMPUTED_VALUE"""),"Ива Стоилова Костадинова")</f>
        <v>Ива Стоилова Костадинова</v>
      </c>
      <c r="B3239" s="10" t="str">
        <f ca="1">IFERROR(__xludf.DUMMYFUNCTION("""COMPUTED_VALUE"""),"Доклад от конференция")</f>
        <v>Доклад от конференция</v>
      </c>
      <c r="C3239" s="10" t="str">
        <f ca="1">IFERROR(__xludf.DUMMYFUNCTION("""COMPUTED_VALUE"""),"Analysis of the possibilities for enhancing students training performance in hard skills subjects.")</f>
        <v>Analysis of the possibilities for enhancing students training performance in hard skills subjects.</v>
      </c>
      <c r="D3239" s="10">
        <f ca="1">IFERROR(__xludf.DUMMYFUNCTION("""COMPUTED_VALUE"""),2017)</f>
        <v>2017</v>
      </c>
      <c r="E3239" s="10" t="str">
        <f ca="1">IFERROR(__xludf.DUMMYFUNCTION("""COMPUTED_VALUE"""),"Proceedings of International Conference on Education and New Learning Technologies (EDULEARN 2017), 3-5 July 2017, Barselona Spain, ISBN: 978-84-697-3777-4, pp. 2058 - 2063")</f>
        <v>Proceedings of International Conference on Education and New Learning Technologies (EDULEARN 2017), 3-5 July 2017, Barselona Spain, ISBN: 978-84-697-3777-4, pp. 2058 - 2063</v>
      </c>
      <c r="F3239" s="10" t="str">
        <f ca="1">IFERROR(__xludf.DUMMYFUNCTION("""COMPUTED_VALUE"""),"Web of science")</f>
        <v>Web of science</v>
      </c>
      <c r="G3239" s="10" t="str">
        <f ca="1">IFERROR(__xludf.DUMMYFUNCTION("""COMPUTED_VALUE"""),"Katia Rasheva – Yordanova, Boryana Nikolova, Yoana Hadzhiyska.")</f>
        <v>Katia Rasheva – Yordanova, Boryana Nikolova, Yoana Hadzhiyska.</v>
      </c>
      <c r="H3239" s="10"/>
      <c r="I3239" s="10"/>
      <c r="J3239" s="10"/>
      <c r="K3239" s="10"/>
      <c r="L3239" s="10"/>
      <c r="M3239" s="10"/>
      <c r="N3239" s="10"/>
      <c r="O3239" s="10"/>
      <c r="P3239" s="10"/>
      <c r="Q3239" s="10"/>
      <c r="R3239" s="10"/>
      <c r="S3239" s="10"/>
      <c r="T3239" s="10"/>
      <c r="U3239" s="10"/>
      <c r="V3239" s="10"/>
      <c r="W3239" s="10"/>
      <c r="X3239" s="10"/>
      <c r="Y3239" s="10"/>
      <c r="Z3239" s="10"/>
    </row>
    <row r="3240" spans="1:26" ht="12.75">
      <c r="A3240" s="10" t="str">
        <f ca="1">IFERROR(__xludf.DUMMYFUNCTION("""COMPUTED_VALUE"""),"Ива Стоилова Костадинова")</f>
        <v>Ива Стоилова Костадинова</v>
      </c>
      <c r="B3240" s="10" t="str">
        <f ca="1">IFERROR(__xludf.DUMMYFUNCTION("""COMPUTED_VALUE"""),"Доклад от конференция")</f>
        <v>Доклад от конференция</v>
      </c>
      <c r="C3240" s="10" t="str">
        <f ca="1">IFERROR(__xludf.DUMMYFUNCTION("""COMPUTED_VALUE"""),"Approaches for optimization of WEB pages loading via analysis of the speed of requests to the database")</f>
        <v>Approaches for optimization of WEB pages loading via analysis of the speed of requests to the database</v>
      </c>
      <c r="D3240" s="10">
        <f ca="1">IFERROR(__xludf.DUMMYFUNCTION("""COMPUTED_VALUE"""),2017)</f>
        <v>2017</v>
      </c>
      <c r="E3240" s="10" t="str">
        <f ca="1">IFERROR(__xludf.DUMMYFUNCTION("""COMPUTED_VALUE"""),"Proceedings of The Fourth International Conference on Artificial Intelligence and Pattern Recognition (AIPR2017), Lodz, Poland,")</f>
        <v>Proceedings of The Fourth International Conference on Artificial Intelligence and Pattern Recognition (AIPR2017), Lodz, Poland,</v>
      </c>
      <c r="F3240" s="10"/>
      <c r="G3240" s="10"/>
      <c r="H3240" s="10"/>
      <c r="I3240" s="10"/>
      <c r="J3240" s="10"/>
      <c r="K3240" s="10"/>
      <c r="L3240" s="10"/>
      <c r="M3240" s="10"/>
      <c r="N3240" s="10"/>
      <c r="O3240" s="10"/>
      <c r="P3240" s="10"/>
      <c r="Q3240" s="10"/>
      <c r="R3240" s="10"/>
      <c r="S3240" s="10"/>
      <c r="T3240" s="10"/>
      <c r="U3240" s="10"/>
      <c r="V3240" s="10"/>
      <c r="W3240" s="10"/>
      <c r="X3240" s="10"/>
      <c r="Y3240" s="10"/>
      <c r="Z3240" s="10"/>
    </row>
    <row r="3241" spans="1:26" ht="12.75">
      <c r="A3241" s="10" t="str">
        <f ca="1">IFERROR(__xludf.DUMMYFUNCTION("""COMPUTED_VALUE"""),"Ива Стоилова Костадинова")</f>
        <v>Ива Стоилова Костадинова</v>
      </c>
      <c r="B3241" s="10" t="str">
        <f ca="1">IFERROR(__xludf.DUMMYFUNCTION("""COMPUTED_VALUE"""),"Доклад от конференция")</f>
        <v>Доклад от конференция</v>
      </c>
      <c r="C3241" s="10" t="str">
        <f ca="1">IFERROR(__xludf.DUMMYFUNCTION("""COMPUTED_VALUE"""),"Подход за създаване на система за автоматизирано генериране на тестове.")</f>
        <v>Подход за създаване на система за автоматизирано генериране на тестове.</v>
      </c>
      <c r="D3241" s="10">
        <f ca="1">IFERROR(__xludf.DUMMYFUNCTION("""COMPUTED_VALUE"""),2017)</f>
        <v>2017</v>
      </c>
      <c r="E3241" s="10" t="str">
        <f ca="1">IFERROR(__xludf.DUMMYFUNCTION("""COMPUTED_VALUE"""),"Сборник с доклади от 14-та Национална научна конференция с международно участие „Обществото на знанието и хуманизмът на XXI век”, 1 Ноември 2016 г, „За буквите – О писменехь“, София, 2017, ISSN 1314-7099, с.591-598")</f>
        <v>Сборник с доклади от 14-та Национална научна конференция с международно участие „Обществото на знанието и хуманизмът на XXI век”, 1 Ноември 2016 г, „За буквите – О писменехь“, София, 2017, ISSN 1314-7099, с.591-598</v>
      </c>
      <c r="F3241" s="10"/>
      <c r="G3241" s="10"/>
      <c r="H3241" s="10"/>
      <c r="I3241" s="10"/>
      <c r="J3241" s="10"/>
      <c r="K3241" s="10"/>
      <c r="L3241" s="10"/>
      <c r="M3241" s="10"/>
      <c r="N3241" s="10"/>
      <c r="O3241" s="10"/>
      <c r="P3241" s="10"/>
      <c r="Q3241" s="10"/>
      <c r="R3241" s="10"/>
      <c r="S3241" s="10"/>
      <c r="T3241" s="10"/>
      <c r="U3241" s="10"/>
      <c r="V3241" s="10"/>
      <c r="W3241" s="10"/>
      <c r="X3241" s="10"/>
      <c r="Y3241" s="10"/>
      <c r="Z3241" s="10"/>
    </row>
    <row r="3242" spans="1:26" ht="12.75">
      <c r="A3242" s="10" t="str">
        <f ca="1">IFERROR(__xludf.DUMMYFUNCTION("""COMPUTED_VALUE"""),"Ива Стоилова Костадинова")</f>
        <v>Ива Стоилова Костадинова</v>
      </c>
      <c r="B3242" s="10" t="str">
        <f ca="1">IFERROR(__xludf.DUMMYFUNCTION("""COMPUTED_VALUE"""),"Доклад от конференция")</f>
        <v>Доклад от конференция</v>
      </c>
      <c r="C3242" s="10" t="str">
        <f ca="1">IFERROR(__xludf.DUMMYFUNCTION("""COMPUTED_VALUE"""),"Analysis of the Growth Perspectives of the Early Stages of Technological Innovation in the Case of the Augmented and Virtual Reality Application")</f>
        <v>Analysis of the Growth Perspectives of the Early Stages of Technological Innovation in the Case of the Augmented and Virtual Reality Application</v>
      </c>
      <c r="D3242" s="10">
        <f ca="1">IFERROR(__xludf.DUMMYFUNCTION("""COMPUTED_VALUE"""),2017)</f>
        <v>2017</v>
      </c>
      <c r="E3242" s="10" t="str">
        <f ca="1">IFERROR(__xludf.DUMMYFUNCTION("""COMPUTED_VALUE"""),"10th International Conference on Computer Science and Information Technology (ICCSIT 2017) October 23-25, 2017, Florence, Italy 2017 DOI 10.7763/ IJCTE. 2017. V9.1183")</f>
        <v>10th International Conference on Computer Science and Information Technology (ICCSIT 2017) October 23-25, 2017, Florence, Italy 2017 DOI 10.7763/ IJCTE. 2017. V9.1183</v>
      </c>
      <c r="F3242" s="10"/>
      <c r="G3242" s="10" t="str">
        <f ca="1">IFERROR(__xludf.DUMMYFUNCTION("""COMPUTED_VALUE"""),"G.P. Dimitrov, G.Panayotova, Rosen Toshev")</f>
        <v>G.P. Dimitrov, G.Panayotova, Rosen Toshev</v>
      </c>
      <c r="H3242" s="10"/>
      <c r="I3242" s="10"/>
      <c r="J3242" s="10"/>
      <c r="K3242" s="10"/>
      <c r="L3242" s="10"/>
      <c r="M3242" s="10"/>
      <c r="N3242" s="10"/>
      <c r="O3242" s="10"/>
      <c r="P3242" s="10"/>
      <c r="Q3242" s="10"/>
      <c r="R3242" s="10"/>
      <c r="S3242" s="10"/>
      <c r="T3242" s="10"/>
      <c r="U3242" s="10"/>
      <c r="V3242" s="10"/>
      <c r="W3242" s="10"/>
      <c r="X3242" s="10"/>
      <c r="Y3242" s="10"/>
      <c r="Z3242" s="10"/>
    </row>
    <row r="3243" spans="1:26" ht="12.75">
      <c r="A3243" s="10" t="str">
        <f ca="1">IFERROR(__xludf.DUMMYFUNCTION("""COMPUTED_VALUE"""),"Ива Стоилова Костадинова")</f>
        <v>Ива Стоилова Костадинова</v>
      </c>
      <c r="B3243" s="10" t="str">
        <f ca="1">IFERROR(__xludf.DUMMYFUNCTION("""COMPUTED_VALUE"""),"Доклад от конференция")</f>
        <v>Доклад от конференция</v>
      </c>
      <c r="C3243" s="10" t="str">
        <f ca="1">IFERROR(__xludf.DUMMYFUNCTION("""COMPUTED_VALUE"""),"Automated system for generating and validation a learning tests")</f>
        <v>Automated system for generating and validation a learning tests</v>
      </c>
      <c r="D3243" s="10">
        <f ca="1">IFERROR(__xludf.DUMMYFUNCTION("""COMPUTED_VALUE"""),2017)</f>
        <v>2017</v>
      </c>
      <c r="E3243" s="10" t="str">
        <f ca="1">IFERROR(__xludf.DUMMYFUNCTION("""COMPUTED_VALUE"""),"Proceedings of International Conference of Education, Research and Innovation (ICERI2017) Conference 14th-16th November 2017, Seville, Spain, ISBN ISBN: 978-84-697-6957-7 , pp-0414 - 0424")</f>
        <v>Proceedings of International Conference of Education, Research and Innovation (ICERI2017) Conference 14th-16th November 2017, Seville, Spain, ISBN ISBN: 978-84-697-6957-7 , pp-0414 - 0424</v>
      </c>
      <c r="F3243" s="10" t="str">
        <f ca="1">IFERROR(__xludf.DUMMYFUNCTION("""COMPUTED_VALUE"""),"Web of science")</f>
        <v>Web of science</v>
      </c>
      <c r="G3243" s="10" t="str">
        <f ca="1">IFERROR(__xludf.DUMMYFUNCTION("""COMPUTED_VALUE"""),"K.Rasheva-Yordanova, Ivan Ivanov, Pepa Petrova.")</f>
        <v>K.Rasheva-Yordanova, Ivan Ivanov, Pepa Petrova.</v>
      </c>
      <c r="H3243" s="10"/>
      <c r="I3243" s="10"/>
      <c r="J3243" s="10"/>
      <c r="K3243" s="10"/>
      <c r="L3243" s="10"/>
      <c r="M3243" s="10"/>
      <c r="N3243" s="10"/>
      <c r="O3243" s="10"/>
      <c r="P3243" s="10"/>
      <c r="Q3243" s="10"/>
      <c r="R3243" s="10"/>
      <c r="S3243" s="10"/>
      <c r="T3243" s="10"/>
      <c r="U3243" s="10"/>
      <c r="V3243" s="10"/>
      <c r="W3243" s="10"/>
      <c r="X3243" s="10"/>
      <c r="Y3243" s="10"/>
      <c r="Z3243" s="10"/>
    </row>
    <row r="3244" spans="1:26" ht="12.75">
      <c r="A3244" s="10" t="str">
        <f ca="1">IFERROR(__xludf.DUMMYFUNCTION("""COMPUTED_VALUE"""),"Ива Стоилова Костадинова")</f>
        <v>Ива Стоилова Костадинова</v>
      </c>
      <c r="B3244" s="10" t="str">
        <f ca="1">IFERROR(__xludf.DUMMYFUNCTION("""COMPUTED_VALUE"""),"Доклад от конференция")</f>
        <v>Доклад от конференция</v>
      </c>
      <c r="C3244" s="10" t="str">
        <f ca="1">IFERROR(__xludf.DUMMYFUNCTION("""COMPUTED_VALUE"""),"Optimization of the management and access to administrative resources in a training organization")</f>
        <v>Optimization of the management and access to administrative resources in a training organization</v>
      </c>
      <c r="D3244" s="10">
        <f ca="1">IFERROR(__xludf.DUMMYFUNCTION("""COMPUTED_VALUE"""),2017)</f>
        <v>2017</v>
      </c>
      <c r="E3244" s="10" t="str">
        <f ca="1">IFERROR(__xludf.DUMMYFUNCTION("""COMPUTED_VALUE"""),"Proceedings of MSTIoE 2018 : East European Conference on Mathematical Foundations and Software Technology of Internet of Everything (21-22.12.2017, Киев, Украйна, пп.16-19, tom 2")</f>
        <v>Proceedings of MSTIoE 2018 : East European Conference on Mathematical Foundations and Software Technology of Internet of Everything (21-22.12.2017, Киев, Украйна, пп.16-19, tom 2</v>
      </c>
      <c r="F3244" s="10"/>
      <c r="G3244" s="10"/>
      <c r="H3244" s="10"/>
      <c r="I3244" s="10"/>
      <c r="J3244" s="10"/>
      <c r="K3244" s="10"/>
      <c r="L3244" s="10"/>
      <c r="M3244" s="10"/>
      <c r="N3244" s="10"/>
      <c r="O3244" s="10"/>
      <c r="P3244" s="10"/>
      <c r="Q3244" s="10"/>
      <c r="R3244" s="10"/>
      <c r="S3244" s="10"/>
      <c r="T3244" s="10"/>
      <c r="U3244" s="10"/>
      <c r="V3244" s="10"/>
      <c r="W3244" s="10"/>
      <c r="X3244" s="10"/>
      <c r="Y3244" s="10"/>
      <c r="Z3244" s="10"/>
    </row>
    <row r="3245" spans="1:26" ht="12.75">
      <c r="A3245" s="10" t="str">
        <f ca="1">IFERROR(__xludf.DUMMYFUNCTION("""COMPUTED_VALUE"""),"Ива Стоилова Костадинова")</f>
        <v>Ива Стоилова Костадинова</v>
      </c>
      <c r="B3245" s="10" t="str">
        <f ca="1">IFERROR(__xludf.DUMMYFUNCTION("""COMPUTED_VALUE"""),"Доклад от конференция")</f>
        <v>Доклад от конференция</v>
      </c>
      <c r="C3245" s="10" t="str">
        <f ca="1">IFERROR(__xludf.DUMMYFUNCTION("""COMPUTED_VALUE"""),"Oптимизация на WEB – тестови страници в система за е-тестове")</f>
        <v>Oптимизация на WEB – тестови страници в система за е-тестове</v>
      </c>
      <c r="D3245" s="10">
        <f ca="1">IFERROR(__xludf.DUMMYFUNCTION("""COMPUTED_VALUE"""),2017)</f>
        <v>2017</v>
      </c>
      <c r="E3245" s="10" t="str">
        <f ca="1">IFERROR(__xludf.DUMMYFUNCTION("""COMPUTED_VALUE"""),"XV Национална научна конференция „Обществото на знанието и хуманизмът на ХХІ век” – 1 ноември 2017 УниБИТ")</f>
        <v>XV Национална научна конференция „Обществото на знанието и хуманизмът на ХХІ век” – 1 ноември 2017 УниБИТ</v>
      </c>
      <c r="F3245" s="10"/>
      <c r="G3245" s="10" t="str">
        <f ca="1">IFERROR(__xludf.DUMMYFUNCTION("""COMPUTED_VALUE"""),"Кристиян Алексиев")</f>
        <v>Кристиян Алексиев</v>
      </c>
      <c r="H3245" s="10"/>
      <c r="I3245" s="10"/>
      <c r="J3245" s="10"/>
      <c r="K3245" s="10"/>
      <c r="L3245" s="10"/>
      <c r="M3245" s="10"/>
      <c r="N3245" s="10"/>
      <c r="O3245" s="10"/>
      <c r="P3245" s="10"/>
      <c r="Q3245" s="10"/>
      <c r="R3245" s="10"/>
      <c r="S3245" s="10"/>
      <c r="T3245" s="10"/>
      <c r="U3245" s="10"/>
      <c r="V3245" s="10"/>
      <c r="W3245" s="10"/>
      <c r="X3245" s="10"/>
      <c r="Y3245" s="10"/>
      <c r="Z3245" s="10"/>
    </row>
    <row r="3246" spans="1:26" ht="12.75">
      <c r="A3246" s="10" t="str">
        <f ca="1">IFERROR(__xludf.DUMMYFUNCTION("""COMPUTED_VALUE"""),"Ива Стоилова Костадинова")</f>
        <v>Ива Стоилова Костадинова</v>
      </c>
      <c r="B3246" s="10" t="str">
        <f ca="1">IFERROR(__xludf.DUMMYFUNCTION("""COMPUTED_VALUE"""),"Доклад от конференция")</f>
        <v>Доклад от конференция</v>
      </c>
      <c r="C3246" s="10" t="str">
        <f ca="1">IFERROR(__xludf.DUMMYFUNCTION("""COMPUTED_VALUE"""),"Online Access to Systematized Knowledge – a Means and a Stimulus for Raising Qualification")</f>
        <v>Online Access to Systematized Knowledge – a Means and a Stimulus for Raising Qualification</v>
      </c>
      <c r="D3246" s="10">
        <f ca="1">IFERROR(__xludf.DUMMYFUNCTION("""COMPUTED_VALUE"""),2017)</f>
        <v>2017</v>
      </c>
      <c r="E3246" s="10" t="str">
        <f ca="1">IFERROR(__xludf.DUMMYFUNCTION("""COMPUTED_VALUE"""),"Proceedings of The 5th QUAESTI Scientific Conference - Multidisciplinary Studies and Approaches (QUAESTI 2017) . December 9 - 16, 2017, ISBN: 978-80-554-1407-2, pp.77-80")</f>
        <v>Proceedings of The 5th QUAESTI Scientific Conference - Multidisciplinary Studies and Approaches (QUAESTI 2017) . December 9 - 16, 2017, ISBN: 978-80-554-1407-2, pp.77-80</v>
      </c>
      <c r="F3246" s="10"/>
      <c r="G3246" s="10"/>
      <c r="H3246" s="10"/>
      <c r="I3246" s="10"/>
      <c r="J3246" s="10"/>
      <c r="K3246" s="10"/>
      <c r="L3246" s="10"/>
      <c r="M3246" s="10"/>
      <c r="N3246" s="10"/>
      <c r="O3246" s="10"/>
      <c r="P3246" s="10"/>
      <c r="Q3246" s="10"/>
      <c r="R3246" s="10"/>
      <c r="S3246" s="10"/>
      <c r="T3246" s="10"/>
      <c r="U3246" s="10"/>
      <c r="V3246" s="10"/>
      <c r="W3246" s="10"/>
      <c r="X3246" s="10"/>
      <c r="Y3246" s="10"/>
      <c r="Z3246" s="10"/>
    </row>
    <row r="3247" spans="1:26" ht="12.75">
      <c r="A3247" s="10" t="str">
        <f ca="1">IFERROR(__xludf.DUMMYFUNCTION("""COMPUTED_VALUE"""),"Ива Стоилова Костадинова")</f>
        <v>Ива Стоилова Костадинова</v>
      </c>
      <c r="B3247" s="10" t="str">
        <f ca="1">IFERROR(__xludf.DUMMYFUNCTION("""COMPUTED_VALUE"""),"Доклад от конференция")</f>
        <v>Доклад от конференция</v>
      </c>
      <c r="C3247" s="10" t="str">
        <f ca="1">IFERROR(__xludf.DUMMYFUNCTION("""COMPUTED_VALUE"""),"APPROACHES TO BUILDING AN INTEGRATED SYSTEM FOR ADMINISTRATIVE DATA PROCESSING IN AN EDUCATIONAL ORGANIZATION")</f>
        <v>APPROACHES TO BUILDING AN INTEGRATED SYSTEM FOR ADMINISTRATIVE DATA PROCESSING IN AN EDUCATIONAL ORGANIZATION</v>
      </c>
      <c r="D3247" s="10">
        <f ca="1">IFERROR(__xludf.DUMMYFUNCTION("""COMPUTED_VALUE"""),2017)</f>
        <v>2017</v>
      </c>
      <c r="E3247" s="10" t="str">
        <f ca="1">IFERROR(__xludf.DUMMYFUNCTION("""COMPUTED_VALUE"""),"Proceedings of MSTIoE 2017 : East European Conference on Mathematical Foundations and Software Technology of Internet of Everything (21-22.12.2017, Киев, Украйна, пп.16-19, УДК 002.5:004")</f>
        <v>Proceedings of MSTIoE 2017 : East European Conference on Mathematical Foundations and Software Technology of Internet of Everything (21-22.12.2017, Киев, Украйна, пп.16-19, УДК 002.5:004</v>
      </c>
      <c r="F3247" s="10"/>
      <c r="G3247" s="10" t="str">
        <f ca="1">IFERROR(__xludf.DUMMYFUNCTION("""COMPUTED_VALUE"""),"Kristiyn Aleksiev")</f>
        <v>Kristiyn Aleksiev</v>
      </c>
      <c r="H3247" s="10"/>
      <c r="I3247" s="10"/>
      <c r="J3247" s="10"/>
      <c r="K3247" s="10"/>
      <c r="L3247" s="10"/>
      <c r="M3247" s="10"/>
      <c r="N3247" s="10"/>
      <c r="O3247" s="10"/>
      <c r="P3247" s="10"/>
      <c r="Q3247" s="10"/>
      <c r="R3247" s="10"/>
      <c r="S3247" s="10"/>
      <c r="T3247" s="10"/>
      <c r="U3247" s="10"/>
      <c r="V3247" s="10"/>
      <c r="W3247" s="10"/>
      <c r="X3247" s="10"/>
      <c r="Y3247" s="10"/>
      <c r="Z3247" s="10"/>
    </row>
    <row r="3248" spans="1:26" ht="12.75">
      <c r="A3248" s="10" t="str">
        <f ca="1">IFERROR(__xludf.DUMMYFUNCTION("""COMPUTED_VALUE"""),"Ива Стоилова Костадинова")</f>
        <v>Ива Стоилова Костадинова</v>
      </c>
      <c r="B3248" s="10" t="str">
        <f ca="1">IFERROR(__xludf.DUMMYFUNCTION("""COMPUTED_VALUE"""),"Доклад от конференция")</f>
        <v>Доклад от конференция</v>
      </c>
      <c r="C3248" s="10" t="str">
        <f ca="1">IFERROR(__xludf.DUMMYFUNCTION("""COMPUTED_VALUE"""),"Свободнен достъп до систематизирано знание – средство и стимул за повишаване на квалификацията")</f>
        <v>Свободнен достъп до систематизирано знание – средство и стимул за повишаване на квалификацията</v>
      </c>
      <c r="D3248" s="10">
        <f ca="1">IFERROR(__xludf.DUMMYFUNCTION("""COMPUTED_VALUE"""),2016)</f>
        <v>2016</v>
      </c>
      <c r="E3248" s="10" t="str">
        <f ca="1">IFERROR(__xludf.DUMMYFUNCTION("""COMPUTED_VALUE"""),"Четвърти национален семинар с международно участие «Интернет либерализацията – предизвикателства и добри практики пред интелекту")</f>
        <v>Четвърти национален семинар с международно участие «Интернет либерализацията – предизвикателства и добри практики пред интелекту</v>
      </c>
      <c r="F3248" s="10"/>
      <c r="G3248" s="10"/>
      <c r="H3248" s="10"/>
      <c r="I3248" s="10"/>
      <c r="J3248" s="10"/>
      <c r="K3248" s="10"/>
      <c r="L3248" s="10"/>
      <c r="M3248" s="10"/>
      <c r="N3248" s="10"/>
      <c r="O3248" s="10"/>
      <c r="P3248" s="10"/>
      <c r="Q3248" s="10"/>
      <c r="R3248" s="10"/>
      <c r="S3248" s="10"/>
      <c r="T3248" s="10"/>
      <c r="U3248" s="10"/>
      <c r="V3248" s="10"/>
      <c r="W3248" s="10"/>
      <c r="X3248" s="10"/>
      <c r="Y3248" s="10"/>
      <c r="Z3248" s="10"/>
    </row>
    <row r="3249" spans="1:26" ht="12.75">
      <c r="A3249" s="10" t="str">
        <f ca="1">IFERROR(__xludf.DUMMYFUNCTION("""COMPUTED_VALUE"""),"Ива Стоилова Костадинова")</f>
        <v>Ива Стоилова Костадинова</v>
      </c>
      <c r="B3249" s="10" t="str">
        <f ca="1">IFERROR(__xludf.DUMMYFUNCTION("""COMPUTED_VALUE"""),"Доклад от конференция")</f>
        <v>Доклад от конференция</v>
      </c>
      <c r="C3249" s="10" t="str">
        <f ca="1">IFERROR(__xludf.DUMMYFUNCTION("""COMPUTED_VALUE"""),"Онлайн достъп до систематизирани знания като средство за самообучение")</f>
        <v>Онлайн достъп до систематизирани знания като средство за самообучение</v>
      </c>
      <c r="D3249" s="10">
        <f ca="1">IFERROR(__xludf.DUMMYFUNCTION("""COMPUTED_VALUE"""),2016)</f>
        <v>2016</v>
      </c>
      <c r="E3249" s="10" t="str">
        <f ca="1">IFERROR(__xludf.DUMMYFUNCTION("""COMPUTED_VALUE"""),"ВЕЛИКОТЪРНОВСКИ УНИВЕРСИТЕТ. СБОРНИК ДОКЛАДИ")</f>
        <v>ВЕЛИКОТЪРНОВСКИ УНИВЕРСИТЕТ. СБОРНИК ДОКЛАДИ</v>
      </c>
      <c r="F3249" s="10"/>
      <c r="G3249" s="10" t="str">
        <f ca="1">IFERROR(__xludf.DUMMYFUNCTION("""COMPUTED_VALUE"""),"Катя Рашева-Йорданова")</f>
        <v>Катя Рашева-Йорданова</v>
      </c>
      <c r="H3249" s="10"/>
      <c r="I3249" s="10"/>
      <c r="J3249" s="10"/>
      <c r="K3249" s="10"/>
      <c r="L3249" s="10"/>
      <c r="M3249" s="10"/>
      <c r="N3249" s="10"/>
      <c r="O3249" s="10"/>
      <c r="P3249" s="10"/>
      <c r="Q3249" s="10"/>
      <c r="R3249" s="10"/>
      <c r="S3249" s="10"/>
      <c r="T3249" s="10"/>
      <c r="U3249" s="10"/>
      <c r="V3249" s="10"/>
      <c r="W3249" s="10"/>
      <c r="X3249" s="10"/>
      <c r="Y3249" s="10"/>
      <c r="Z3249" s="10"/>
    </row>
    <row r="3250" spans="1:26" ht="12.75">
      <c r="A3250" s="10" t="str">
        <f ca="1">IFERROR(__xludf.DUMMYFUNCTION("""COMPUTED_VALUE"""),"Ива Стоилова Костадинова")</f>
        <v>Ива Стоилова Костадинова</v>
      </c>
      <c r="B3250" s="10" t="str">
        <f ca="1">IFERROR(__xludf.DUMMYFUNCTION("""COMPUTED_VALUE"""),"Доклад от конференция")</f>
        <v>Доклад от конференция</v>
      </c>
      <c r="C3250" s="10" t="str">
        <f ca="1">IFERROR(__xludf.DUMMYFUNCTION("""COMPUTED_VALUE"""),"Challenges in teaching "" digital "" generation in Bulgaria")</f>
        <v>Challenges in teaching " digital " generation in Bulgaria</v>
      </c>
      <c r="D3250" s="10">
        <f ca="1">IFERROR(__xludf.DUMMYFUNCTION("""COMPUTED_VALUE"""),2016)</f>
        <v>2016</v>
      </c>
      <c r="E3250" s="10" t="str">
        <f ca="1">IFERROR(__xludf.DUMMYFUNCTION("""COMPUTED_VALUE"""),"PROCEEDINGS of the The 5th Virtual International Conference on Advanced Research in Scientific Areas (ARSA-2016) Slovakia, November 7 - 11, 2016, pp.144-147, eISSN: 2453-6962, cdISSN: 1338-9831, ISBN: 978-80-554-1284-9")</f>
        <v>PROCEEDINGS of the The 5th Virtual International Conference on Advanced Research in Scientific Areas (ARSA-2016) Slovakia, November 7 - 11, 2016, pp.144-147, eISSN: 2453-6962, cdISSN: 1338-9831, ISBN: 978-80-554-1284-9</v>
      </c>
      <c r="F3250" s="10"/>
      <c r="G3250" s="10" t="str">
        <f ca="1">IFERROR(__xludf.DUMMYFUNCTION("""COMPUTED_VALUE"""),"G.P.Dimitrov, Bychkov OS")</f>
        <v>G.P.Dimitrov, Bychkov OS</v>
      </c>
      <c r="H3250" s="10"/>
      <c r="I3250" s="10"/>
      <c r="J3250" s="10"/>
      <c r="K3250" s="10"/>
      <c r="L3250" s="10"/>
      <c r="M3250" s="10"/>
      <c r="N3250" s="10"/>
      <c r="O3250" s="10"/>
      <c r="P3250" s="10"/>
      <c r="Q3250" s="10"/>
      <c r="R3250" s="10"/>
      <c r="S3250" s="10"/>
      <c r="T3250" s="10"/>
      <c r="U3250" s="10"/>
      <c r="V3250" s="10"/>
      <c r="W3250" s="10"/>
      <c r="X3250" s="10"/>
      <c r="Y3250" s="10"/>
      <c r="Z3250" s="10"/>
    </row>
    <row r="3251" spans="1:26" ht="12.75">
      <c r="A3251" s="10" t="str">
        <f ca="1">IFERROR(__xludf.DUMMYFUNCTION("""COMPUTED_VALUE"""),"Ива Стоилова Костадинова")</f>
        <v>Ива Стоилова Костадинова</v>
      </c>
      <c r="B3251" s="10" t="str">
        <f ca="1">IFERROR(__xludf.DUMMYFUNCTION("""COMPUTED_VALUE"""),"Доклад от конференция")</f>
        <v>Доклад от конференция</v>
      </c>
      <c r="C3251" s="10" t="str">
        <f ca="1">IFERROR(__xludf.DUMMYFUNCTION("""COMPUTED_VALUE"""),"RESIDENCE AND THE SOCIAL INVIRONMENT AS A FACTOR AFFECTING DIGITAL SKILLS AND COMPETENCE IN BULGARIA. STEPS AND METHODS TO OVERCOME THE PROBLEM")</f>
        <v>RESIDENCE AND THE SOCIAL INVIRONMENT AS A FACTOR AFFECTING DIGITAL SKILLS AND COMPETENCE IN BULGARIA. STEPS AND METHODS TO OVERCOME THE PROBLEM</v>
      </c>
      <c r="D3251" s="10">
        <f ca="1">IFERROR(__xludf.DUMMYFUNCTION("""COMPUTED_VALUE"""),2016)</f>
        <v>2016</v>
      </c>
      <c r="E3251" s="10" t="str">
        <f ca="1">IFERROR(__xludf.DUMMYFUNCTION("""COMPUTED_VALUE"""),"Proceedings of ICERI2016 Conference 14th-16th November 2016, Seville, Spain, pp. 1689-1695, ISBN: 978-84-617-5895-1")</f>
        <v>Proceedings of ICERI2016 Conference 14th-16th November 2016, Seville, Spain, pp. 1689-1695, ISBN: 978-84-617-5895-1</v>
      </c>
      <c r="F3251" s="10" t="str">
        <f ca="1">IFERROR(__xludf.DUMMYFUNCTION("""COMPUTED_VALUE"""),"Web of science")</f>
        <v>Web of science</v>
      </c>
      <c r="G3251" s="10" t="str">
        <f ca="1">IFERROR(__xludf.DUMMYFUNCTION("""COMPUTED_VALUE"""),"Katia Rasheva - Yordanova,G.P. Dimitrov,")</f>
        <v>Katia Rasheva - Yordanova,G.P. Dimitrov,</v>
      </c>
      <c r="H3251" s="10"/>
      <c r="I3251" s="10"/>
      <c r="J3251" s="10"/>
      <c r="K3251" s="10"/>
      <c r="L3251" s="10"/>
      <c r="M3251" s="10"/>
      <c r="N3251" s="10"/>
      <c r="O3251" s="10"/>
      <c r="P3251" s="10"/>
      <c r="Q3251" s="10"/>
      <c r="R3251" s="10"/>
      <c r="S3251" s="10"/>
      <c r="T3251" s="10"/>
      <c r="U3251" s="10"/>
      <c r="V3251" s="10"/>
      <c r="W3251" s="10"/>
      <c r="X3251" s="10"/>
      <c r="Y3251" s="10"/>
      <c r="Z3251" s="10"/>
    </row>
    <row r="3252" spans="1:26" ht="12.75">
      <c r="A3252" s="10" t="str">
        <f ca="1">IFERROR(__xludf.DUMMYFUNCTION("""COMPUTED_VALUE"""),"Ива Стоилова Костадинова")</f>
        <v>Ива Стоилова Костадинова</v>
      </c>
      <c r="B3252" s="10" t="str">
        <f ca="1">IFERROR(__xludf.DUMMYFUNCTION("""COMPUTED_VALUE"""),"Доклад от конференция")</f>
        <v>Доклад от конференция</v>
      </c>
      <c r="C3252" s="10" t="str">
        <f ca="1">IFERROR(__xludf.DUMMYFUNCTION("""COMPUTED_VALUE"""),"Нови измерения на дигиталното неравенство")</f>
        <v>Нови измерения на дигиталното неравенство</v>
      </c>
      <c r="D3252" s="10">
        <f ca="1">IFERROR(__xludf.DUMMYFUNCTION("""COMPUTED_VALUE"""),2016)</f>
        <v>2016</v>
      </c>
      <c r="E3252" s="10" t="str">
        <f ca="1">IFERROR(__xludf.DUMMYFUNCTION("""COMPUTED_VALUE"""),"НАУЧНА КОНФЕРЕНЦИЯ НА МЛАДИТЕ ИЗСЛЕДОВАТЕЛИ, 13 МАЙ 2016 г. ВЕЛИКОТЪРНОВСКИ УНИВЕРСИТЕТ. СБОРНИК ДОКЛАДИ")</f>
        <v>НАУЧНА КОНФЕРЕНЦИЯ НА МЛАДИТЕ ИЗСЛЕДОВАТЕЛИ, 13 МАЙ 2016 г. ВЕЛИКОТЪРНОВСКИ УНИВЕРСИТЕТ. СБОРНИК ДОКЛАДИ</v>
      </c>
      <c r="F3252" s="10"/>
      <c r="G3252" s="10" t="str">
        <f ca="1">IFERROR(__xludf.DUMMYFUNCTION("""COMPUTED_VALUE"""),"Катя Рашева-Йорданова")</f>
        <v>Катя Рашева-Йорданова</v>
      </c>
      <c r="H3252" s="10"/>
      <c r="I3252" s="10"/>
      <c r="J3252" s="10"/>
      <c r="K3252" s="10"/>
      <c r="L3252" s="10"/>
      <c r="M3252" s="10"/>
      <c r="N3252" s="10"/>
      <c r="O3252" s="10"/>
      <c r="P3252" s="10"/>
      <c r="Q3252" s="10"/>
      <c r="R3252" s="10"/>
      <c r="S3252" s="10"/>
      <c r="T3252" s="10"/>
      <c r="U3252" s="10"/>
      <c r="V3252" s="10"/>
      <c r="W3252" s="10"/>
      <c r="X3252" s="10"/>
      <c r="Y3252" s="10"/>
      <c r="Z3252" s="10"/>
    </row>
    <row r="3253" spans="1:26" ht="12.75">
      <c r="A3253" s="10" t="str">
        <f ca="1">IFERROR(__xludf.DUMMYFUNCTION("""COMPUTED_VALUE"""),"Ива Стоилова Костадинова")</f>
        <v>Ива Стоилова Костадинова</v>
      </c>
      <c r="B3253" s="10" t="str">
        <f ca="1">IFERROR(__xludf.DUMMYFUNCTION("""COMPUTED_VALUE"""),"Статия в списания и поредици")</f>
        <v>Статия в списания и поредици</v>
      </c>
      <c r="C3253" s="10" t="str">
        <f ca="1">IFERROR(__xludf.DUMMYFUNCTION("""COMPUTED_VALUE"""),"Good practices in the learning process of ""digital"" generation in Bulgaria")</f>
        <v>Good practices in the learning process of "digital" generation in Bulgaria</v>
      </c>
      <c r="D3253" s="10">
        <f ca="1">IFERROR(__xludf.DUMMYFUNCTION("""COMPUTED_VALUE"""),2016)</f>
        <v>2016</v>
      </c>
      <c r="E3253" s="10" t="str">
        <f ca="1">IFERROR(__xludf.DUMMYFUNCTION("""COMPUTED_VALUE"""),"PROCEEDINGS of the Union of Scientists – Ruse. Book 5 Mathematics, Informatics and Physics, Volume 13, 2016 - ISSN 1314-3077, с. 99-105")</f>
        <v>PROCEEDINGS of the Union of Scientists – Ruse. Book 5 Mathematics, Informatics and Physics, Volume 13, 2016 - ISSN 1314-3077, с. 99-105</v>
      </c>
      <c r="F3253" s="10"/>
      <c r="G3253" s="10" t="str">
        <f ca="1">IFERROR(__xludf.DUMMYFUNCTION("""COMPUTED_VALUE"""),"G.P. Dimitrov, Svetlozar Tsankov")</f>
        <v>G.P. Dimitrov, Svetlozar Tsankov</v>
      </c>
      <c r="H3253" s="10"/>
      <c r="I3253" s="10"/>
      <c r="J3253" s="10"/>
      <c r="K3253" s="10"/>
      <c r="L3253" s="10"/>
      <c r="M3253" s="10"/>
      <c r="N3253" s="10"/>
      <c r="O3253" s="10"/>
      <c r="P3253" s="10"/>
      <c r="Q3253" s="10"/>
      <c r="R3253" s="10"/>
      <c r="S3253" s="10"/>
      <c r="T3253" s="10"/>
      <c r="U3253" s="10"/>
      <c r="V3253" s="10"/>
      <c r="W3253" s="10"/>
      <c r="X3253" s="10"/>
      <c r="Y3253" s="10"/>
      <c r="Z3253" s="10"/>
    </row>
    <row r="3254" spans="1:26" ht="12.75">
      <c r="A3254" s="10" t="str">
        <f ca="1">IFERROR(__xludf.DUMMYFUNCTION("""COMPUTED_VALUE"""),"Ива Стоилова Костадинова")</f>
        <v>Ива Стоилова Костадинова</v>
      </c>
      <c r="B3254" s="10" t="str">
        <f ca="1">IFERROR(__xludf.DUMMYFUNCTION("""COMPUTED_VALUE"""),"Доклад от конференция")</f>
        <v>Доклад от конференция</v>
      </c>
      <c r="C3254" s="10" t="str">
        <f ca="1">IFERROR(__xludf.DUMMYFUNCTION("""COMPUTED_VALUE"""),"Нови измерения на дигиталното неравенство")</f>
        <v>Нови измерения на дигиталното неравенство</v>
      </c>
      <c r="D3254" s="10">
        <f ca="1">IFERROR(__xludf.DUMMYFUNCTION("""COMPUTED_VALUE"""),2016)</f>
        <v>2016</v>
      </c>
      <c r="E3254" s="10" t="str">
        <f ca="1">IFERROR(__xludf.DUMMYFUNCTION("""COMPUTED_VALUE"""),"НАУЧНА КОНФЕРЕНЦИЯ НА МЛАДИТЕ ИЗСЛЕДОВАТЕЛИ – 13 май 2016 – ВЕЛИКОТЪРНОВСКИ УНИВЕРСИТЕТ“СВ. СВ. КИРИЛ И МЕТОДИЙ”, ФАКУЛТЕТ “МАТЕ")</f>
        <v>НАУЧНА КОНФЕРЕНЦИЯ НА МЛАДИТЕ ИЗСЛЕДОВАТЕЛИ – 13 май 2016 – ВЕЛИКОТЪРНОВСКИ УНИВЕРСИТЕТ“СВ. СВ. КИРИЛ И МЕТОДИЙ”, ФАКУЛТЕТ “МАТЕ</v>
      </c>
      <c r="F3254" s="10"/>
      <c r="G3254" s="10" t="str">
        <f ca="1">IFERROR(__xludf.DUMMYFUNCTION("""COMPUTED_VALUE"""),"Катя Рашева")</f>
        <v>Катя Рашева</v>
      </c>
      <c r="H3254" s="10"/>
      <c r="I3254" s="10"/>
      <c r="J3254" s="10"/>
      <c r="K3254" s="10"/>
      <c r="L3254" s="10"/>
      <c r="M3254" s="10"/>
      <c r="N3254" s="10"/>
      <c r="O3254" s="10"/>
      <c r="P3254" s="10"/>
      <c r="Q3254" s="10"/>
      <c r="R3254" s="10"/>
      <c r="S3254" s="10"/>
      <c r="T3254" s="10"/>
      <c r="U3254" s="10"/>
      <c r="V3254" s="10"/>
      <c r="W3254" s="10"/>
      <c r="X3254" s="10"/>
      <c r="Y3254" s="10"/>
      <c r="Z3254" s="10"/>
    </row>
    <row r="3255" spans="1:26" ht="12.75">
      <c r="A3255" s="10" t="str">
        <f ca="1">IFERROR(__xludf.DUMMYFUNCTION("""COMPUTED_VALUE"""),"Ива Стоилова Костадинова")</f>
        <v>Ива Стоилова Костадинова</v>
      </c>
      <c r="B3255" s="10" t="str">
        <f ca="1">IFERROR(__xludf.DUMMYFUNCTION("""COMPUTED_VALUE"""),"Доклад от конференция")</f>
        <v>Доклад от конференция</v>
      </c>
      <c r="C3255" s="10" t="str">
        <f ca="1">IFERROR(__xludf.DUMMYFUNCTION("""COMPUTED_VALUE"""),"On-line достъп до систематизирани знания като средство за самообучение")</f>
        <v>On-line достъп до систематизирани знания като средство за самообучение</v>
      </c>
      <c r="D3255" s="10">
        <f ca="1">IFERROR(__xludf.DUMMYFUNCTION("""COMPUTED_VALUE"""),2016)</f>
        <v>2016</v>
      </c>
      <c r="E3255" s="10" t="str">
        <f ca="1">IFERROR(__xludf.DUMMYFUNCTION("""COMPUTED_VALUE"""),"НАУЧНА КОНФЕРЕНЦИЯ НА МЛАДИТЕ ИЗСЛЕДОВАТЕЛИ – 13 май 2016 – ВЕЛИКОТЪРНОВСКИ УНИВЕРСИТЕТ“СВ. СВ. КИРИЛ И МЕТОДИЙ”, ФАКУЛТЕТ “МАТЕ")</f>
        <v>НАУЧНА КОНФЕРЕНЦИЯ НА МЛАДИТЕ ИЗСЛЕДОВАТЕЛИ – 13 май 2016 – ВЕЛИКОТЪРНОВСКИ УНИВЕРСИТЕТ“СВ. СВ. КИРИЛ И МЕТОДИЙ”, ФАКУЛТЕТ “МАТЕ</v>
      </c>
      <c r="F3255" s="10"/>
      <c r="G3255" s="10"/>
      <c r="H3255" s="10"/>
      <c r="I3255" s="10"/>
      <c r="J3255" s="10"/>
      <c r="K3255" s="10"/>
      <c r="L3255" s="10"/>
      <c r="M3255" s="10"/>
      <c r="N3255" s="10"/>
      <c r="O3255" s="10"/>
      <c r="P3255" s="10"/>
      <c r="Q3255" s="10"/>
      <c r="R3255" s="10"/>
      <c r="S3255" s="10"/>
      <c r="T3255" s="10"/>
      <c r="U3255" s="10"/>
      <c r="V3255" s="10"/>
      <c r="W3255" s="10"/>
      <c r="X3255" s="10"/>
      <c r="Y3255" s="10"/>
      <c r="Z3255" s="10"/>
    </row>
    <row r="3256" spans="1:26" ht="12.75">
      <c r="A3256" s="10" t="str">
        <f ca="1">IFERROR(__xludf.DUMMYFUNCTION("""COMPUTED_VALUE"""),"Ива Стоилова Костадинова")</f>
        <v>Ива Стоилова Костадинова</v>
      </c>
      <c r="B3256" s="10" t="str">
        <f ca="1">IFERROR(__xludf.DUMMYFUNCTION("""COMPUTED_VALUE"""),"Доклад от конференция")</f>
        <v>Доклад от конференция</v>
      </c>
      <c r="C3256" s="10" t="str">
        <f ca="1">IFERROR(__xludf.DUMMYFUNCTION("""COMPUTED_VALUE"""),"ROLE OF THE INSTITUTION CHITALISHTE FOR BRIDGING THE DIGITAL DIVIDE IN BULGARIA")</f>
        <v>ROLE OF THE INSTITUTION CHITALISHTE FOR BRIDGING THE DIGITAL DIVIDE IN BULGARIA</v>
      </c>
      <c r="D3256" s="10">
        <f ca="1">IFERROR(__xludf.DUMMYFUNCTION("""COMPUTED_VALUE"""),2016)</f>
        <v>2016</v>
      </c>
      <c r="E3256" s="10" t="str">
        <f ca="1">IFERROR(__xludf.DUMMYFUNCTION("""COMPUTED_VALUE"""),"Proceedings of ICERI2016 Conference 14th-16th November 2016, Seville, Spain")</f>
        <v>Proceedings of ICERI2016 Conference 14th-16th November 2016, Seville, Spain</v>
      </c>
      <c r="F3256" s="10" t="str">
        <f ca="1">IFERROR(__xludf.DUMMYFUNCTION("""COMPUTED_VALUE"""),"Web of science")</f>
        <v>Web of science</v>
      </c>
      <c r="G3256" s="10" t="str">
        <f ca="1">IFERROR(__xludf.DUMMYFUNCTION("""COMPUTED_VALUE"""),"Katia Rasheva Dimitar Christozov")</f>
        <v>Katia Rasheva Dimitar Christozov</v>
      </c>
      <c r="H3256" s="10"/>
      <c r="I3256" s="10"/>
      <c r="J3256" s="10"/>
      <c r="K3256" s="10"/>
      <c r="L3256" s="10"/>
      <c r="M3256" s="10"/>
      <c r="N3256" s="10"/>
      <c r="O3256" s="10"/>
      <c r="P3256" s="10"/>
      <c r="Q3256" s="10"/>
      <c r="R3256" s="10"/>
      <c r="S3256" s="10"/>
      <c r="T3256" s="10"/>
      <c r="U3256" s="10"/>
      <c r="V3256" s="10"/>
      <c r="W3256" s="10"/>
      <c r="X3256" s="10"/>
      <c r="Y3256" s="10"/>
      <c r="Z3256" s="10"/>
    </row>
    <row r="3257" spans="1:26" ht="12.75">
      <c r="A3257" s="10" t="str">
        <f ca="1">IFERROR(__xludf.DUMMYFUNCTION("""COMPUTED_VALUE"""),"Ива Стоилова Костадинова")</f>
        <v>Ива Стоилова Костадинова</v>
      </c>
      <c r="B3257" s="10" t="str">
        <f ca="1">IFERROR(__xludf.DUMMYFUNCTION("""COMPUTED_VALUE"""),"Доклад от конференция")</f>
        <v>Доклад от конференция</v>
      </c>
      <c r="C3257" s="10" t="str">
        <f ca="1">IFERROR(__xludf.DUMMYFUNCTION("""COMPUTED_VALUE"""),"An Approach to constructing a model for creating a system for automated generation of tests")</f>
        <v>An Approach to constructing a model for creating a system for automated generation of tests</v>
      </c>
      <c r="D3257" s="10">
        <f ca="1">IFERROR(__xludf.DUMMYFUNCTION("""COMPUTED_VALUE"""),2016)</f>
        <v>2016</v>
      </c>
      <c r="E3257" s="10" t="str">
        <f ca="1">IFERROR(__xludf.DUMMYFUNCTION("""COMPUTED_VALUE"""),"Proceedings of the 2nd world multi conference on global science (ATTENTIS 2016) 14-16 Dec. 2016, , Publishing Institution of University of Zilina, 2017, pp 35-41, ISBN 978-80-554-1302-0")</f>
        <v>Proceedings of the 2nd world multi conference on global science (ATTENTIS 2016) 14-16 Dec. 2016, , Publishing Institution of University of Zilina, 2017, pp 35-41, ISBN 978-80-554-1302-0</v>
      </c>
      <c r="F3257" s="10"/>
      <c r="G3257" s="10" t="str">
        <f ca="1">IFERROR(__xludf.DUMMYFUNCTION("""COMPUTED_VALUE"""),"Ivan Ivanov, Katia Rasheva")</f>
        <v>Ivan Ivanov, Katia Rasheva</v>
      </c>
      <c r="H3257" s="10"/>
      <c r="I3257" s="10"/>
      <c r="J3257" s="10"/>
      <c r="K3257" s="10"/>
      <c r="L3257" s="10"/>
      <c r="M3257" s="10"/>
      <c r="N3257" s="10"/>
      <c r="O3257" s="10"/>
      <c r="P3257" s="10"/>
      <c r="Q3257" s="10"/>
      <c r="R3257" s="10"/>
      <c r="S3257" s="10"/>
      <c r="T3257" s="10"/>
      <c r="U3257" s="10"/>
      <c r="V3257" s="10"/>
      <c r="W3257" s="10"/>
      <c r="X3257" s="10"/>
      <c r="Y3257" s="10"/>
      <c r="Z3257" s="10"/>
    </row>
    <row r="3258" spans="1:26" ht="12.75">
      <c r="A3258" s="10" t="str">
        <f ca="1">IFERROR(__xludf.DUMMYFUNCTION("""COMPUTED_VALUE"""),"Ива Стоилова Костадинова")</f>
        <v>Ива Стоилова Костадинова</v>
      </c>
      <c r="B3258" s="10" t="str">
        <f ca="1">IFERROR(__xludf.DUMMYFUNCTION("""COMPUTED_VALUE"""),"Доклад от конференция")</f>
        <v>Доклад от конференция</v>
      </c>
      <c r="C3258" s="10" t="str">
        <f ca="1">IFERROR(__xludf.DUMMYFUNCTION("""COMPUTED_VALUE"""),"Overcoming the Digital Divide in Bulgaria via usage of Smartphone device")</f>
        <v>Overcoming the Digital Divide in Bulgaria via usage of Smartphone device</v>
      </c>
      <c r="D3258" s="10">
        <f ca="1">IFERROR(__xludf.DUMMYFUNCTION("""COMPUTED_VALUE"""),2016)</f>
        <v>2016</v>
      </c>
      <c r="E3258" s="10" t="str">
        <f ca="1">IFERROR(__xludf.DUMMYFUNCTION("""COMPUTED_VALUE"""),"Proceedings of 2nd International Scientific Multi-Conference ATTENTIS 2016, 14-16 Dec. 2016, , Publishing Institution of University of Zilina, 2017, pp 31-34, ISBN 978-80-554-1302-0")</f>
        <v>Proceedings of 2nd International Scientific Multi-Conference ATTENTIS 2016, 14-16 Dec. 2016, , Publishing Institution of University of Zilina, 2017, pp 31-34, ISBN 978-80-554-1302-0</v>
      </c>
      <c r="F3258" s="10"/>
      <c r="G3258" s="10" t="str">
        <f ca="1">IFERROR(__xludf.DUMMYFUNCTION("""COMPUTED_VALUE"""),"Katya Rasheva-Yordanova, Stefka Toleva-Stoimenova")</f>
        <v>Katya Rasheva-Yordanova, Stefka Toleva-Stoimenova</v>
      </c>
      <c r="H3258" s="10"/>
      <c r="I3258" s="10"/>
      <c r="J3258" s="10"/>
      <c r="K3258" s="10"/>
      <c r="L3258" s="10"/>
      <c r="M3258" s="10"/>
      <c r="N3258" s="10"/>
      <c r="O3258" s="10"/>
      <c r="P3258" s="10"/>
      <c r="Q3258" s="10"/>
      <c r="R3258" s="10"/>
      <c r="S3258" s="10"/>
      <c r="T3258" s="10"/>
      <c r="U3258" s="10"/>
      <c r="V3258" s="10"/>
      <c r="W3258" s="10"/>
      <c r="X3258" s="10"/>
      <c r="Y3258" s="10"/>
      <c r="Z3258" s="10"/>
    </row>
    <row r="3259" spans="1:26" ht="12.75">
      <c r="A3259" s="10" t="str">
        <f ca="1">IFERROR(__xludf.DUMMYFUNCTION("""COMPUTED_VALUE"""),"Ива Стоилова Костадинова")</f>
        <v>Ива Стоилова Костадинова</v>
      </c>
      <c r="B3259" s="10" t="str">
        <f ca="1">IFERROR(__xludf.DUMMYFUNCTION("""COMPUTED_VALUE"""),"Доклад от конференция")</f>
        <v>Доклад от конференция</v>
      </c>
      <c r="C3259" s="10" t="str">
        <f ca="1">IFERROR(__xludf.DUMMYFUNCTION("""COMPUTED_VALUE"""),"GREENSTONE – програма за разработка на електронни библиотеки")</f>
        <v>GREENSTONE – програма за разработка на електронни библиотеки</v>
      </c>
      <c r="D3259" s="10">
        <f ca="1">IFERROR(__xludf.DUMMYFUNCTION("""COMPUTED_VALUE"""),2015)</f>
        <v>2015</v>
      </c>
      <c r="E3259" s="10" t="str">
        <f ca="1">IFERROR(__xludf.DUMMYFUNCTION("""COMPUTED_VALUE"""),"Съвременните измерения на Европейското образование и научното пространство. Сборник с доклади (Италия, 28 април – 6 май 2008 г.)")</f>
        <v>Съвременните измерения на Европейското образование и научното пространство. Сборник с доклади (Италия, 28 април – 6 май 2008 г.)</v>
      </c>
      <c r="F3259" s="10"/>
      <c r="G3259" s="10"/>
      <c r="H3259" s="10"/>
      <c r="I3259" s="10"/>
      <c r="J3259" s="10"/>
      <c r="K3259" s="10"/>
      <c r="L3259" s="10"/>
      <c r="M3259" s="10"/>
      <c r="N3259" s="10"/>
      <c r="O3259" s="10"/>
      <c r="P3259" s="10"/>
      <c r="Q3259" s="10"/>
      <c r="R3259" s="10"/>
      <c r="S3259" s="10"/>
      <c r="T3259" s="10"/>
      <c r="U3259" s="10"/>
      <c r="V3259" s="10"/>
      <c r="W3259" s="10"/>
      <c r="X3259" s="10"/>
      <c r="Y3259" s="10"/>
      <c r="Z3259" s="10"/>
    </row>
    <row r="3260" spans="1:26" ht="12.75">
      <c r="A3260" s="10" t="str">
        <f ca="1">IFERROR(__xludf.DUMMYFUNCTION("""COMPUTED_VALUE"""),"Ива Стоилова Костадинова")</f>
        <v>Ива Стоилова Костадинова</v>
      </c>
      <c r="B3260" s="10" t="str">
        <f ca="1">IFERROR(__xludf.DUMMYFUNCTION("""COMPUTED_VALUE"""),"Доклад от конференция")</f>
        <v>Доклад от конференция</v>
      </c>
      <c r="C3260" s="10" t="str">
        <f ca="1">IFERROR(__xludf.DUMMYFUNCTION("""COMPUTED_VALUE"""),"Същност и специфики на явлението „валидиране на компетентности”")</f>
        <v>Същност и специфики на явлението „валидиране на компетентности”</v>
      </c>
      <c r="D3260" s="10">
        <f ca="1">IFERROR(__xludf.DUMMYFUNCTION("""COMPUTED_VALUE"""),2014)</f>
        <v>2014</v>
      </c>
      <c r="E3260" s="10" t="str">
        <f ca="1">IFERROR(__xludf.DUMMYFUNCTION("""COMPUTED_VALUE"""),"Научни трудове на УНИБИТ – том 12, софия, 2014, за буквите, с.343 - 348")</f>
        <v>Научни трудове на УНИБИТ – том 12, софия, 2014, за буквите, с.343 - 348</v>
      </c>
      <c r="F3260" s="10"/>
      <c r="G3260" s="10"/>
      <c r="H3260" s="10"/>
      <c r="I3260" s="10"/>
      <c r="J3260" s="10"/>
      <c r="K3260" s="10"/>
      <c r="L3260" s="10"/>
      <c r="M3260" s="10"/>
      <c r="N3260" s="10"/>
      <c r="O3260" s="10"/>
      <c r="P3260" s="10"/>
      <c r="Q3260" s="10"/>
      <c r="R3260" s="10"/>
      <c r="S3260" s="10"/>
      <c r="T3260" s="10"/>
      <c r="U3260" s="10"/>
      <c r="V3260" s="10"/>
      <c r="W3260" s="10"/>
      <c r="X3260" s="10"/>
      <c r="Y3260" s="10"/>
      <c r="Z3260" s="10"/>
    </row>
    <row r="3261" spans="1:26" ht="12.75">
      <c r="A3261" s="10" t="str">
        <f ca="1">IFERROR(__xludf.DUMMYFUNCTION("""COMPUTED_VALUE"""),"Ива Стоилова Костадинова")</f>
        <v>Ива Стоилова Костадинова</v>
      </c>
      <c r="B3261" s="10" t="str">
        <f ca="1">IFERROR(__xludf.DUMMYFUNCTION("""COMPUTED_VALUE"""),"Доклад от конференция")</f>
        <v>Доклад от конференция</v>
      </c>
      <c r="C3261" s="10" t="str">
        <f ca="1">IFERROR(__xludf.DUMMYFUNCTION("""COMPUTED_VALUE"""),"Challenges in teaching "" digital "" generation in Bulgaria")</f>
        <v>Challenges in teaching " digital " generation in Bulgaria</v>
      </c>
      <c r="D3261" s="10">
        <f ca="1">IFERROR(__xludf.DUMMYFUNCTION("""COMPUTED_VALUE"""),2014)</f>
        <v>2014</v>
      </c>
      <c r="E3261" s="10"/>
      <c r="F3261" s="10"/>
      <c r="G3261" s="10"/>
      <c r="H3261" s="10"/>
      <c r="I3261" s="10"/>
      <c r="J3261" s="10"/>
      <c r="K3261" s="10"/>
      <c r="L3261" s="10"/>
      <c r="M3261" s="10"/>
      <c r="N3261" s="10"/>
      <c r="O3261" s="10"/>
      <c r="P3261" s="10"/>
      <c r="Q3261" s="10"/>
      <c r="R3261" s="10"/>
      <c r="S3261" s="10"/>
      <c r="T3261" s="10"/>
      <c r="U3261" s="10"/>
      <c r="V3261" s="10"/>
      <c r="W3261" s="10"/>
      <c r="X3261" s="10"/>
      <c r="Y3261" s="10"/>
      <c r="Z3261" s="10"/>
    </row>
    <row r="3262" spans="1:26" ht="12.75">
      <c r="A3262" s="10" t="str">
        <f ca="1">IFERROR(__xludf.DUMMYFUNCTION("""COMPUTED_VALUE"""),"Иван Ганчев Гарванов")</f>
        <v>Иван Ганчев Гарванов</v>
      </c>
      <c r="B3262" s="10" t="str">
        <f ca="1">IFERROR(__xludf.DUMMYFUNCTION("""COMPUTED_VALUE"""),"Доклад от конференция")</f>
        <v>Доклад от конференция</v>
      </c>
      <c r="C3262" s="10" t="str">
        <f ca="1">IFERROR(__xludf.DUMMYFUNCTION("""COMPUTED_VALUE"""),"Дифракционен модел на астероидно затъмнение")</f>
        <v>Дифракционен модел на астероидно затъмнение</v>
      </c>
      <c r="D3262" s="10">
        <f ca="1">IFERROR(__xludf.DUMMYFUNCTION("""COMPUTED_VALUE"""),2020)</f>
        <v>2020</v>
      </c>
      <c r="E3262" s="10" t="str">
        <f ca="1">IFERROR(__xludf.DUMMYFUNCTION("""COMPUTED_VALUE"""),"INTERNATIONAL Scientific Conference High Technologies. Business. Society – Sofia: Scientific Technical Union of Mechanical Engineering Industry, 2016, ISSN 2535-0005; ISSN 2535-0013, 09-12.03.2020, BOROVETS, BULGARIA, pp.60-63")</f>
        <v>INTERNATIONAL Scientific Conference High Technologies. Business. Society – Sofia: Scientific Technical Union of Mechanical Engineering Industry, 2016, ISSN 2535-0005; ISSN 2535-0013, 09-12.03.2020, BOROVETS, BULGARIA, pp.60-63</v>
      </c>
      <c r="F3262" s="10"/>
      <c r="G3262" s="10" t="str">
        <f ca="1">IFERROR(__xludf.DUMMYFUNCTION("""COMPUTED_VALUE"""),"Гарванов И., Владимиров С.")</f>
        <v>Гарванов И., Владимиров С.</v>
      </c>
      <c r="H3262" s="10"/>
      <c r="I3262" s="10"/>
      <c r="J3262" s="10"/>
      <c r="K3262" s="10"/>
      <c r="L3262" s="10"/>
      <c r="M3262" s="10"/>
      <c r="N3262" s="10"/>
      <c r="O3262" s="10"/>
      <c r="P3262" s="10"/>
      <c r="Q3262" s="10"/>
      <c r="R3262" s="10"/>
      <c r="S3262" s="10"/>
      <c r="T3262" s="10"/>
      <c r="U3262" s="10"/>
      <c r="V3262" s="10"/>
      <c r="W3262" s="10"/>
      <c r="X3262" s="10"/>
      <c r="Y3262" s="10"/>
      <c r="Z3262" s="10"/>
    </row>
    <row r="3263" spans="1:26" ht="12.75">
      <c r="A3263" s="10" t="str">
        <f ca="1">IFERROR(__xludf.DUMMYFUNCTION("""COMPUTED_VALUE"""),"Иван Ганчев Гарванов")</f>
        <v>Иван Ганчев Гарванов</v>
      </c>
      <c r="B3263" s="10" t="str">
        <f ca="1">IFERROR(__xludf.DUMMYFUNCTION("""COMPUTED_VALUE"""),"Статия в списания и поредици")</f>
        <v>Статия в списания и поредици</v>
      </c>
      <c r="C3263" s="10" t="str">
        <f ca="1">IFERROR(__xludf.DUMMYFUNCTION("""COMPUTED_VALUE"""),"Data security model in cloud computing")</f>
        <v>Data security model in cloud computing</v>
      </c>
      <c r="D3263" s="10">
        <f ca="1">IFERROR(__xludf.DUMMYFUNCTION("""COMPUTED_VALUE"""),2020)</f>
        <v>2020</v>
      </c>
      <c r="E3263" s="10" t="str">
        <f ca="1">IFERROR(__xludf.DUMMYFUNCTION("""COMPUTED_VALUE"""),"INTERNATIONAL Scientific Journal Industry 4.0 – Sofia: Scientific Technical Union of Mechanical Engineering Industry, 2016, ISSN 2534-8582; ISSN 2534-997X, Year V, issue 2 / 2020, pp. 55-58.")</f>
        <v>INTERNATIONAL Scientific Journal Industry 4.0 – Sofia: Scientific Technical Union of Mechanical Engineering Industry, 2016, ISSN 2534-8582; ISSN 2534-997X, Year V, issue 2 / 2020, pp. 55-58.</v>
      </c>
      <c r="F3263" s="10"/>
      <c r="G3263" s="10" t="str">
        <f ca="1">IFERROR(__xludf.DUMMYFUNCTION("""COMPUTED_VALUE"""),"Kashukeev I., Denchev S., Garvanov I.")</f>
        <v>Kashukeev I., Denchev S., Garvanov I.</v>
      </c>
      <c r="H3263" s="10"/>
      <c r="I3263" s="10"/>
      <c r="J3263" s="10"/>
      <c r="K3263" s="10"/>
      <c r="L3263" s="10"/>
      <c r="M3263" s="10"/>
      <c r="N3263" s="10"/>
      <c r="O3263" s="10"/>
      <c r="P3263" s="10"/>
      <c r="Q3263" s="10"/>
      <c r="R3263" s="10"/>
      <c r="S3263" s="10"/>
      <c r="T3263" s="10"/>
      <c r="U3263" s="10"/>
      <c r="V3263" s="10"/>
      <c r="W3263" s="10"/>
      <c r="X3263" s="10"/>
      <c r="Y3263" s="10"/>
      <c r="Z3263" s="10"/>
    </row>
    <row r="3264" spans="1:26" ht="12.75">
      <c r="A3264" s="10" t="str">
        <f ca="1">IFERROR(__xludf.DUMMYFUNCTION("""COMPUTED_VALUE"""),"Иван Ганчев Гарванов")</f>
        <v>Иван Ганчев Гарванов</v>
      </c>
      <c r="B3264" s="10" t="str">
        <f ca="1">IFERROR(__xludf.DUMMYFUNCTION("""COMPUTED_VALUE"""),"Доклад от конференция")</f>
        <v>Доклад от конференция</v>
      </c>
      <c r="C3264" s="10" t="str">
        <f ca="1">IFERROR(__xludf.DUMMYFUNCTION("""COMPUTED_VALUE"""),"Вторично използване на безжичните технологии")</f>
        <v>Вторично използване на безжичните технологии</v>
      </c>
      <c r="D3264" s="10">
        <f ca="1">IFERROR(__xludf.DUMMYFUNCTION("""COMPUTED_VALUE"""),2020)</f>
        <v>2020</v>
      </c>
      <c r="E3264" s="10" t="str">
        <f ca="1">IFERROR(__xludf.DUMMYFUNCTION("""COMPUTED_VALUE"""),"INTERNATIONAL Scientific Congress Machines. Technologies. Materials – Sofia: Scientific Technical Union of Mechanical Engineering Industry, 2011, ISSN 2535-0021; ISSN 2535-003X, 11-14.03.2020, BOROVETS, BULGARIA, pp.85-88.")</f>
        <v>INTERNATIONAL Scientific Congress Machines. Technologies. Materials – Sofia: Scientific Technical Union of Mechanical Engineering Industry, 2011, ISSN 2535-0021; ISSN 2535-003X, 11-14.03.2020, BOROVETS, BULGARIA, pp.85-88.</v>
      </c>
      <c r="F3264" s="10"/>
      <c r="G3264" s="10" t="str">
        <f ca="1">IFERROR(__xludf.DUMMYFUNCTION("""COMPUTED_VALUE"""),"Гарванова М., Станева К., Гарванов И.")</f>
        <v>Гарванова М., Станева К., Гарванов И.</v>
      </c>
      <c r="H3264" s="10"/>
      <c r="I3264" s="10"/>
      <c r="J3264" s="10"/>
      <c r="K3264" s="10"/>
      <c r="L3264" s="10"/>
      <c r="M3264" s="10"/>
      <c r="N3264" s="10"/>
      <c r="O3264" s="10"/>
      <c r="P3264" s="10"/>
      <c r="Q3264" s="10"/>
      <c r="R3264" s="10"/>
      <c r="S3264" s="10"/>
      <c r="T3264" s="10"/>
      <c r="U3264" s="10"/>
      <c r="V3264" s="10"/>
      <c r="W3264" s="10"/>
      <c r="X3264" s="10"/>
      <c r="Y3264" s="10"/>
      <c r="Z3264" s="10"/>
    </row>
    <row r="3265" spans="1:26" ht="12.75">
      <c r="A3265" s="10" t="str">
        <f ca="1">IFERROR(__xludf.DUMMYFUNCTION("""COMPUTED_VALUE"""),"Иван Ганчев Гарванов")</f>
        <v>Иван Ганчев Гарванов</v>
      </c>
      <c r="B3265" s="10" t="str">
        <f ca="1">IFERROR(__xludf.DUMMYFUNCTION("""COMPUTED_VALUE"""),"Доклад от конференция")</f>
        <v>Доклад от конференция</v>
      </c>
      <c r="C3265" s="10" t="str">
        <f ca="1">IFERROR(__xludf.DUMMYFUNCTION("""COMPUTED_VALUE"""),"Detection and parameters estimation of moving objects via video surveillance")</f>
        <v>Detection and parameters estimation of moving objects via video surveillance</v>
      </c>
      <c r="D3265" s="10">
        <f ca="1">IFERROR(__xludf.DUMMYFUNCTION("""COMPUTED_VALUE"""),2019)</f>
        <v>2019</v>
      </c>
      <c r="E3265" s="10" t="str">
        <f ca="1">IFERROR(__xludf.DUMMYFUNCTION("""COMPUTED_VALUE"""),"3rd International Conference on Automation, Control and Robots, Prague, Czech Republic, October 11 - 13, 2019, p. 109. ISBN: 978-1-4503-7288-6")</f>
        <v>3rd International Conference on Automation, Control and Robots, Prague, Czech Republic, October 11 - 13, 2019, p. 109. ISBN: 978-1-4503-7288-6</v>
      </c>
      <c r="F3265" s="10"/>
      <c r="G3265" s="10" t="str">
        <f ca="1">IFERROR(__xludf.DUMMYFUNCTION("""COMPUTED_VALUE"""),"V. Ivanov")</f>
        <v>V. Ivanov</v>
      </c>
      <c r="H3265" s="10"/>
      <c r="I3265" s="10"/>
      <c r="J3265" s="10"/>
      <c r="K3265" s="10"/>
      <c r="L3265" s="10"/>
      <c r="M3265" s="10"/>
      <c r="N3265" s="10"/>
      <c r="O3265" s="10"/>
      <c r="P3265" s="10"/>
      <c r="Q3265" s="10"/>
      <c r="R3265" s="10"/>
      <c r="S3265" s="10"/>
      <c r="T3265" s="10"/>
      <c r="U3265" s="10"/>
      <c r="V3265" s="10"/>
      <c r="W3265" s="10"/>
      <c r="X3265" s="10"/>
      <c r="Y3265" s="10"/>
      <c r="Z3265" s="10"/>
    </row>
    <row r="3266" spans="1:26" ht="12.75">
      <c r="A3266" s="10" t="str">
        <f ca="1">IFERROR(__xludf.DUMMYFUNCTION("""COMPUTED_VALUE"""),"Иван Ганчев Гарванов")</f>
        <v>Иван Ганчев Гарванов</v>
      </c>
      <c r="B3266" s="10" t="str">
        <f ca="1">IFERROR(__xludf.DUMMYFUNCTION("""COMPUTED_VALUE"""),"Доклад от конференция")</f>
        <v>Доклад от конференция</v>
      </c>
      <c r="C3266" s="10" t="str">
        <f ca="1">IFERROR(__xludf.DUMMYFUNCTION("""COMPUTED_VALUE"""),"Using GIS in Forest Fire Risk Assessment with Serbian experience")</f>
        <v>Using GIS in Forest Fire Risk Assessment with Serbian experience</v>
      </c>
      <c r="D3266" s="10">
        <f ca="1">IFERROR(__xludf.DUMMYFUNCTION("""COMPUTED_VALUE"""),2019)</f>
        <v>2019</v>
      </c>
      <c r="E3266" s="10" t="str">
        <f ca="1">IFERROR(__xludf.DUMMYFUNCTION("""COMPUTED_VALUE"""),"International Conference on Multimedia and Expo (ICME) 2019, July 8-12, 2019, Shanghai, China.")</f>
        <v>International Conference on Multimedia and Expo (ICME) 2019, July 8-12, 2019, Shanghai, China.</v>
      </c>
      <c r="F3266" s="10"/>
      <c r="G3266" s="10" t="str">
        <f ca="1">IFERROR(__xludf.DUMMYFUNCTION("""COMPUTED_VALUE"""),"Petković M., B. Nikolić, D. Knežević, S. Aleksić")</f>
        <v>Petković M., B. Nikolić, D. Knežević, S. Aleksić</v>
      </c>
      <c r="H3266" s="10"/>
      <c r="I3266" s="10"/>
      <c r="J3266" s="10"/>
      <c r="K3266" s="10"/>
      <c r="L3266" s="10"/>
      <c r="M3266" s="10"/>
      <c r="N3266" s="10"/>
      <c r="O3266" s="10"/>
      <c r="P3266" s="10"/>
      <c r="Q3266" s="10"/>
      <c r="R3266" s="10"/>
      <c r="S3266" s="10"/>
      <c r="T3266" s="10"/>
      <c r="U3266" s="10"/>
      <c r="V3266" s="10"/>
      <c r="W3266" s="10"/>
      <c r="X3266" s="10"/>
      <c r="Y3266" s="10"/>
      <c r="Z3266" s="10"/>
    </row>
    <row r="3267" spans="1:26" ht="12.75">
      <c r="A3267" s="10" t="str">
        <f ca="1">IFERROR(__xludf.DUMMYFUNCTION("""COMPUTED_VALUE"""),"Иван Ганчев Гарванов")</f>
        <v>Иван Ганчев Гарванов</v>
      </c>
      <c r="B3267" s="10" t="str">
        <f ca="1">IFERROR(__xludf.DUMMYFUNCTION("""COMPUTED_VALUE"""),"Статия в списания и поредици")</f>
        <v>Статия в списания и поредици</v>
      </c>
      <c r="C3267" s="10" t="str">
        <f ca="1">IFERROR(__xludf.DUMMYFUNCTION("""COMPUTED_VALUE"""),"Multi-Channel Target Shadow Detection in GPS FSR")</f>
        <v>Multi-Channel Target Shadow Detection in GPS FSR</v>
      </c>
      <c r="D3267" s="10">
        <f ca="1">IFERROR(__xludf.DUMMYFUNCTION("""COMPUTED_VALUE"""),2019)</f>
        <v>2019</v>
      </c>
      <c r="E3267" s="10" t="str">
        <f ca="1">IFERROR(__xludf.DUMMYFUNCTION("""COMPUTED_VALUE"""),"CYBERNETICS AND INFORMATION TECHNOLOGIES, Volume 19, No 1, Sofia, 2019 Print ISSN: 1311-9702; Online ISSN: 1314-4081, DOI: 10.2478/cait-2019-0007, pp. 116-132. Q3, SJR:0.22. Print ISSN: 1311-9702; Online ISSN: 1314-4081, DOI: 10.2478/cait-2019-0007")</f>
        <v>CYBERNETICS AND INFORMATION TECHNOLOGIES, Volume 19, No 1, Sofia, 2019 Print ISSN: 1311-9702; Online ISSN: 1314-4081, DOI: 10.2478/cait-2019-0007, pp. 116-132. Q3, SJR:0.22. Print ISSN: 1311-9702; Online ISSN: 1314-4081, DOI: 10.2478/cait-2019-0007</v>
      </c>
      <c r="F3267" s="10" t="str">
        <f ca="1">IFERROR(__xludf.DUMMYFUNCTION("""COMPUTED_VALUE"""),"Web of Science и Scopus")</f>
        <v>Web of Science и Scopus</v>
      </c>
      <c r="G3267" s="10" t="str">
        <f ca="1">IFERROR(__xludf.DUMMYFUNCTION("""COMPUTED_VALUE"""),"Kabakchiev H., V. Behar, D. Kabakchieva, K. Kabakchiev, H. Rohling, K. Kulpa, A. Yarovoy")</f>
        <v>Kabakchiev H., V. Behar, D. Kabakchieva, K. Kabakchiev, H. Rohling, K. Kulpa, A. Yarovoy</v>
      </c>
      <c r="H3267" s="10"/>
      <c r="I3267" s="10"/>
      <c r="J3267" s="10"/>
      <c r="K3267" s="10"/>
      <c r="L3267" s="10"/>
      <c r="M3267" s="10"/>
      <c r="N3267" s="10"/>
      <c r="O3267" s="10"/>
      <c r="P3267" s="10"/>
      <c r="Q3267" s="10"/>
      <c r="R3267" s="10"/>
      <c r="S3267" s="10"/>
      <c r="T3267" s="10"/>
      <c r="U3267" s="10"/>
      <c r="V3267" s="10"/>
      <c r="W3267" s="10"/>
      <c r="X3267" s="10"/>
      <c r="Y3267" s="10"/>
      <c r="Z3267" s="10"/>
    </row>
    <row r="3268" spans="1:26" ht="12.75">
      <c r="A3268" s="10" t="str">
        <f ca="1">IFERROR(__xludf.DUMMYFUNCTION("""COMPUTED_VALUE"""),"Иван Ганчев Гарванов")</f>
        <v>Иван Ганчев Гарванов</v>
      </c>
      <c r="B3268" s="10" t="str">
        <f ca="1">IFERROR(__xludf.DUMMYFUNCTION("""COMPUTED_VALUE"""),"Доклад от конференция")</f>
        <v>Доклад от конференция</v>
      </c>
      <c r="C3268" s="10" t="str">
        <f ca="1">IFERROR(__xludf.DUMMYFUNCTION("""COMPUTED_VALUE"""),"Denoising of pulsar signal using wavelet transform")</f>
        <v>Denoising of pulsar signal using wavelet transform</v>
      </c>
      <c r="D3268" s="10">
        <f ca="1">IFERROR(__xludf.DUMMYFUNCTION("""COMPUTED_VALUE"""),2019)</f>
        <v>2019</v>
      </c>
      <c r="E3268" s="10" t="str">
        <f ca="1">IFERROR(__xludf.DUMMYFUNCTION("""COMPUTED_VALUE"""),"XVI-th International Conference on Electrical Machines, Drives and Power Systems ELMA 2019, 6-8 June 2019, Varna, Bulgaria, ISBN: 978-172811413-2, DOI: 10.1109/ELMA.2019.8771495. ISBN: 978-172811413-2, DOI: 10.1109/ELMA.2019.8771495.")</f>
        <v>XVI-th International Conference on Electrical Machines, Drives and Power Systems ELMA 2019, 6-8 June 2019, Varna, Bulgaria, ISBN: 978-172811413-2, DOI: 10.1109/ELMA.2019.8771495. ISBN: 978-172811413-2, DOI: 10.1109/ELMA.2019.8771495.</v>
      </c>
      <c r="F3268" s="10" t="str">
        <f ca="1">IFERROR(__xludf.DUMMYFUNCTION("""COMPUTED_VALUE"""),"Web of Science и Scopus
 IEEE Xplore")</f>
        <v>Web of Science и Scopus
 IEEE Xplore</v>
      </c>
      <c r="G3268" s="10" t="str">
        <f ca="1">IFERROR(__xludf.DUMMYFUNCTION("""COMPUTED_VALUE"""),"R. IYINBOR, M. GARVANOVA, N. GESHEV")</f>
        <v>R. IYINBOR, M. GARVANOVA, N. GESHEV</v>
      </c>
      <c r="H3268" s="10"/>
      <c r="I3268" s="10"/>
      <c r="J3268" s="10"/>
      <c r="K3268" s="10"/>
      <c r="L3268" s="10"/>
      <c r="M3268" s="10"/>
      <c r="N3268" s="10"/>
      <c r="O3268" s="10"/>
      <c r="P3268" s="10"/>
      <c r="Q3268" s="10"/>
      <c r="R3268" s="10"/>
      <c r="S3268" s="10"/>
      <c r="T3268" s="10"/>
      <c r="U3268" s="10"/>
      <c r="V3268" s="10"/>
      <c r="W3268" s="10"/>
      <c r="X3268" s="10"/>
      <c r="Y3268" s="10"/>
      <c r="Z3268" s="10"/>
    </row>
    <row r="3269" spans="1:26" ht="12.75">
      <c r="A3269" s="10" t="str">
        <f ca="1">IFERROR(__xludf.DUMMYFUNCTION("""COMPUTED_VALUE"""),"Иван Ганчев Гарванов")</f>
        <v>Иван Ганчев Гарванов</v>
      </c>
      <c r="B3269" s="10" t="str">
        <f ca="1">IFERROR(__xludf.DUMMYFUNCTION("""COMPUTED_VALUE"""),"Доклад от конференция")</f>
        <v>Доклад от конференция</v>
      </c>
      <c r="C3269" s="10" t="str">
        <f ca="1">IFERROR(__xludf.DUMMYFUNCTION("""COMPUTED_VALUE"""),"Feasibility of Cosmic Object Detection Using an X-ray FSR System")</f>
        <v>Feasibility of Cosmic Object Detection Using an X-ray FSR System</v>
      </c>
      <c r="D3269" s="10">
        <f ca="1">IFERROR(__xludf.DUMMYFUNCTION("""COMPUTED_VALUE"""),2019)</f>
        <v>2019</v>
      </c>
      <c r="E3269" s="10" t="str">
        <f ca="1">IFERROR(__xludf.DUMMYFUNCTION("""COMPUTED_VALUE"""),"The International Radar Symposium IRS 2019, June 26-28, 2019, Ulm, Germany, ISSN: 21555753, ISBN: 978-3-7369-9860-5, DOI: 10.23919/IRS.2019.8768195 pp. 1-8. SJR:0.285, ISSN: 21555753, ISBN: 978-3-7369-9860-5, DOI: 10.23919/IRS.2019.8768195")</f>
        <v>The International Radar Symposium IRS 2019, June 26-28, 2019, Ulm, Germany, ISSN: 21555753, ISBN: 978-3-7369-9860-5, DOI: 10.23919/IRS.2019.8768195 pp. 1-8. SJR:0.285, ISSN: 21555753, ISBN: 978-3-7369-9860-5, DOI: 10.23919/IRS.2019.8768195</v>
      </c>
      <c r="F3269" s="10" t="str">
        <f ca="1">IFERROR(__xludf.DUMMYFUNCTION("""COMPUTED_VALUE"""),"Web of Science и Scopus
 IEEE Xplore")</f>
        <v>Web of Science и Scopus
 IEEE Xplore</v>
      </c>
      <c r="G3269" s="10" t="str">
        <f ca="1">IFERROR(__xludf.DUMMYFUNCTION("""COMPUTED_VALUE"""),"Kabakchiev H., V. Behar, D. Kabakchieva, A. Kabakchiev, H. Rohling, M. Bentum, J. Fernandes")</f>
        <v>Kabakchiev H., V. Behar, D. Kabakchieva, A. Kabakchiev, H. Rohling, M. Bentum, J. Fernandes</v>
      </c>
      <c r="H3269" s="10"/>
      <c r="I3269" s="10"/>
      <c r="J3269" s="10"/>
      <c r="K3269" s="10"/>
      <c r="L3269" s="10"/>
      <c r="M3269" s="10"/>
      <c r="N3269" s="10"/>
      <c r="O3269" s="10"/>
      <c r="P3269" s="10"/>
      <c r="Q3269" s="10"/>
      <c r="R3269" s="10"/>
      <c r="S3269" s="10"/>
      <c r="T3269" s="10"/>
      <c r="U3269" s="10"/>
      <c r="V3269" s="10"/>
      <c r="W3269" s="10"/>
      <c r="X3269" s="10"/>
      <c r="Y3269" s="10"/>
      <c r="Z3269" s="10"/>
    </row>
    <row r="3270" spans="1:26" ht="12.75">
      <c r="A3270" s="10" t="str">
        <f ca="1">IFERROR(__xludf.DUMMYFUNCTION("""COMPUTED_VALUE"""),"Иван Ганчев Гарванов")</f>
        <v>Иван Ганчев Гарванов</v>
      </c>
      <c r="B3270" s="10" t="str">
        <f ca="1">IFERROR(__xludf.DUMMYFUNCTION("""COMPUTED_VALUE"""),"Глава от колективна монография")</f>
        <v>Глава от колективна монография</v>
      </c>
      <c r="C3270" s="10" t="str">
        <f ca="1">IFERROR(__xludf.DUMMYFUNCTION("""COMPUTED_VALUE"""),"On the Modeling of Innovative Navigation Systems")</f>
        <v>On the Modeling of Innovative Navigation Systems</v>
      </c>
      <c r="D3270" s="10">
        <f ca="1">IFERROR(__xludf.DUMMYFUNCTION("""COMPUTED_VALUE"""),2019)</f>
        <v>2019</v>
      </c>
      <c r="E3270" s="10" t="str">
        <f ca="1">IFERROR(__xludf.DUMMYFUNCTION("""COMPUTED_VALUE"""),"Business Modeling and Software Design, BMSD 2019. Lecture Notes in Business Information Processing, vol 356. Springer, Cham, pp. 299-306, 2019. ISSN: 18651348, ISBN: 978-3-030-24853-6, DOI: 10.1007/978-3-030-24854-3_23, Q3, SJR:0.24. ISSN: 18651348, ISBN:"&amp;" 978-3-030-24853-6, DOI: 10.1007/978-3-030-24854-3_23")</f>
        <v>Business Modeling and Software Design, BMSD 2019. Lecture Notes in Business Information Processing, vol 356. Springer, Cham, pp. 299-306, 2019. ISSN: 18651348, ISBN: 978-3-030-24853-6, DOI: 10.1007/978-3-030-24854-3_23, Q3, SJR:0.24. ISSN: 18651348, ISBN: 978-3-030-24853-6, DOI: 10.1007/978-3-030-24854-3_23</v>
      </c>
      <c r="F3270" s="10" t="str">
        <f ca="1">IFERROR(__xludf.DUMMYFUNCTION("""COMPUTED_VALUE"""),"Web of Science и Scopus")</f>
        <v>Web of Science и Scopus</v>
      </c>
      <c r="G3270" s="10" t="str">
        <f ca="1">IFERROR(__xludf.DUMMYFUNCTION("""COMPUTED_VALUE"""),"H. Kabakchiev, V. Behar, M. Garvanova, R. Iyinbor,")</f>
        <v>H. Kabakchiev, V. Behar, M. Garvanova, R. Iyinbor,</v>
      </c>
      <c r="H3270" s="10"/>
      <c r="I3270" s="10"/>
      <c r="J3270" s="10"/>
      <c r="K3270" s="10"/>
      <c r="L3270" s="10"/>
      <c r="M3270" s="10"/>
      <c r="N3270" s="10"/>
      <c r="O3270" s="10"/>
      <c r="P3270" s="10"/>
      <c r="Q3270" s="10"/>
      <c r="R3270" s="10"/>
      <c r="S3270" s="10"/>
      <c r="T3270" s="10"/>
      <c r="U3270" s="10"/>
      <c r="V3270" s="10"/>
      <c r="W3270" s="10"/>
      <c r="X3270" s="10"/>
      <c r="Y3270" s="10"/>
      <c r="Z3270" s="10"/>
    </row>
    <row r="3271" spans="1:26" ht="12.75">
      <c r="A3271" s="10" t="str">
        <f ca="1">IFERROR(__xludf.DUMMYFUNCTION("""COMPUTED_VALUE"""),"Иван Ганчев Гарванов")</f>
        <v>Иван Ганчев Гарванов</v>
      </c>
      <c r="B3271" s="10" t="str">
        <f ca="1">IFERROR(__xludf.DUMMYFUNCTION("""COMPUTED_VALUE"""),"Доклад от конференция")</f>
        <v>Доклад от конференция</v>
      </c>
      <c r="C3271" s="10" t="str">
        <f ca="1">IFERROR(__xludf.DUMMYFUNCTION("""COMPUTED_VALUE"""),"Pulsar Signal Detection and Recognition")</f>
        <v>Pulsar Signal Detection and Recognition</v>
      </c>
      <c r="D3271" s="10">
        <f ca="1">IFERROR(__xludf.DUMMYFUNCTION("""COMPUTED_VALUE"""),2019)</f>
        <v>2019</v>
      </c>
      <c r="E3271" s="10" t="str">
        <f ca="1">IFERROR(__xludf.DUMMYFUNCTION("""COMPUTED_VALUE"""),"ACM International Conference Proceeding Series16 September 2019, 8th International Conference on Telecommunications and Remote Sensing, ICTRS 2019; Rhodes; Greece; 16 - 17 September 2019, ACM ISBN 978-1-4503-7669-3/19/09, ISBN: 978-145036580-2, ISBN: 978-"&amp;"145037669-3, DOI: 10.1145/3357767.3357771, pp.30-34. ISBN 978-1-4503-7669-3/19/09, ISBN: 978-145036580-2, ISBN: 978-145037669-3, DOI: 10.1145/3357767.3357771")</f>
        <v>ACM International Conference Proceeding Series16 September 2019, 8th International Conference on Telecommunications and Remote Sensing, ICTRS 2019; Rhodes; Greece; 16 - 17 September 2019, ACM ISBN 978-1-4503-7669-3/19/09, ISBN: 978-145036580-2, ISBN: 978-145037669-3, DOI: 10.1145/3357767.3357771, pp.30-34. ISBN 978-1-4503-7669-3/19/09, ISBN: 978-145036580-2, ISBN: 978-145037669-3, DOI: 10.1145/3357767.3357771</v>
      </c>
      <c r="F3271" s="10" t="str">
        <f ca="1">IFERROR(__xludf.DUMMYFUNCTION("""COMPUTED_VALUE"""),"Web of Science и Scopus")</f>
        <v>Web of Science и Scopus</v>
      </c>
      <c r="G3271" s="10" t="str">
        <f ca="1">IFERROR(__xludf.DUMMYFUNCTION("""COMPUTED_VALUE"""),"Garvanova M., Kabakchiev C.")</f>
        <v>Garvanova M., Kabakchiev C.</v>
      </c>
      <c r="H3271" s="10"/>
      <c r="I3271" s="10"/>
      <c r="J3271" s="10"/>
      <c r="K3271" s="10"/>
      <c r="L3271" s="10"/>
      <c r="M3271" s="10"/>
      <c r="N3271" s="10"/>
      <c r="O3271" s="10"/>
      <c r="P3271" s="10"/>
      <c r="Q3271" s="10"/>
      <c r="R3271" s="10"/>
      <c r="S3271" s="10"/>
      <c r="T3271" s="10"/>
      <c r="U3271" s="10"/>
      <c r="V3271" s="10"/>
      <c r="W3271" s="10"/>
      <c r="X3271" s="10"/>
      <c r="Y3271" s="10"/>
      <c r="Z3271" s="10"/>
    </row>
    <row r="3272" spans="1:26" ht="12.75">
      <c r="A3272" s="10" t="str">
        <f ca="1">IFERROR(__xludf.DUMMYFUNCTION("""COMPUTED_VALUE"""),"Иван Ганчев Гарванов")</f>
        <v>Иван Ганчев Гарванов</v>
      </c>
      <c r="B3272" s="10" t="str">
        <f ca="1">IFERROR(__xludf.DUMMYFUNCTION("""COMPUTED_VALUE"""),"Доклад от конференция")</f>
        <v>Доклад от конференция</v>
      </c>
      <c r="C3272" s="10" t="str">
        <f ca="1">IFERROR(__xludf.DUMMYFUNCTION("""COMPUTED_VALUE"""),"Measuring and Clustering Moving Objects")</f>
        <v>Measuring and Clustering Moving Objects</v>
      </c>
      <c r="D3272" s="10">
        <f ca="1">IFERROR(__xludf.DUMMYFUNCTION("""COMPUTED_VALUE"""),2019)</f>
        <v>2019</v>
      </c>
      <c r="E3272" s="10" t="str">
        <f ca="1">IFERROR(__xludf.DUMMYFUNCTION("""COMPUTED_VALUE"""),"ACM International Conference Proceeding Series16 September 2019, 8th International Conference on Telecommunications and Remote Sensing, ICTRS 2019; Rhodes; Greece; 16 - 17 September 2019, ACM ISBN 978-1-4503-7669-3/19/09, ISBN: 978-145036580-2, ISBN: 978-"&amp;"145037669-3, DOI: 10.1145/3357767.3357776, pp.66-70. ISBN 978-1-4503-7669-3/19/09, ISBN: 978-145036580-2, ISBN: 978-145037669-3, DOI: 10.1145/3357767.3357776")</f>
        <v>ACM International Conference Proceeding Series16 September 2019, 8th International Conference on Telecommunications and Remote Sensing, ICTRS 2019; Rhodes; Greece; 16 - 17 September 2019, ACM ISBN 978-1-4503-7669-3/19/09, ISBN: 978-145036580-2, ISBN: 978-145037669-3, DOI: 10.1145/3357767.3357776, pp.66-70. ISBN 978-1-4503-7669-3/19/09, ISBN: 978-145036580-2, ISBN: 978-145037669-3, DOI: 10.1145/3357767.3357776</v>
      </c>
      <c r="F3272" s="10" t="str">
        <f ca="1">IFERROR(__xludf.DUMMYFUNCTION("""COMPUTED_VALUE"""),"Web of Science и Scopus")</f>
        <v>Web of Science и Scopus</v>
      </c>
      <c r="G3272" s="10" t="str">
        <f ca="1">IFERROR(__xludf.DUMMYFUNCTION("""COMPUTED_VALUE"""),"Garvanova M., Kabakchiev C., Shishkov B.")</f>
        <v>Garvanova M., Kabakchiev C., Shishkov B.</v>
      </c>
      <c r="H3272" s="10"/>
      <c r="I3272" s="10"/>
      <c r="J3272" s="10"/>
      <c r="K3272" s="10"/>
      <c r="L3272" s="10"/>
      <c r="M3272" s="10"/>
      <c r="N3272" s="10"/>
      <c r="O3272" s="10"/>
      <c r="P3272" s="10"/>
      <c r="Q3272" s="10"/>
      <c r="R3272" s="10"/>
      <c r="S3272" s="10"/>
      <c r="T3272" s="10"/>
      <c r="U3272" s="10"/>
      <c r="V3272" s="10"/>
      <c r="W3272" s="10"/>
      <c r="X3272" s="10"/>
      <c r="Y3272" s="10"/>
      <c r="Z3272" s="10"/>
    </row>
    <row r="3273" spans="1:26" ht="12.75">
      <c r="A3273" s="10" t="str">
        <f ca="1">IFERROR(__xludf.DUMMYFUNCTION("""COMPUTED_VALUE"""),"Иван Ганчев Гарванов")</f>
        <v>Иван Ганчев Гарванов</v>
      </c>
      <c r="B3273" s="10" t="str">
        <f ca="1">IFERROR(__xludf.DUMMYFUNCTION("""COMPUTED_VALUE"""),"Доклад от конференция")</f>
        <v>Доклад от конференция</v>
      </c>
      <c r="C3273" s="10" t="str">
        <f ca="1">IFERROR(__xludf.DUMMYFUNCTION("""COMPUTED_VALUE"""),"Feasibility of Cosmic Object Detection Using a Solar FSR System")</f>
        <v>Feasibility of Cosmic Object Detection Using a Solar FSR System</v>
      </c>
      <c r="D3273" s="10">
        <f ca="1">IFERROR(__xludf.DUMMYFUNCTION("""COMPUTED_VALUE"""),2019)</f>
        <v>2019</v>
      </c>
      <c r="E3273" s="10" t="str">
        <f ca="1">IFERROR(__xludf.DUMMYFUNCTION("""COMPUTED_VALUE"""),"Proc of the Signal Processing Symposium SPS-2019, Krakov, Poland, 17-19 sept. 2019, ISBN:978-1-7281-1714-0, ISBN:978-1-7281-1714-0")</f>
        <v>Proc of the Signal Processing Symposium SPS-2019, Krakov, Poland, 17-19 sept. 2019, ISBN:978-1-7281-1714-0, ISBN:978-1-7281-1714-0</v>
      </c>
      <c r="F3273" s="10" t="str">
        <f ca="1">IFERROR(__xludf.DUMMYFUNCTION("""COMPUTED_VALUE"""),"Web of Science и Scopus
 IEEE Xplore")</f>
        <v>Web of Science и Scopus
 IEEE Xplore</v>
      </c>
      <c r="G3273" s="10" t="str">
        <f ca="1">IFERROR(__xludf.DUMMYFUNCTION("""COMPUTED_VALUE"""),"Kabakchiev H., V. Behar, D. Kabakchieva, A. Kabakchiev, P. Daskalov, H. Rohling, M. Bentum, J. Fernandes")</f>
        <v>Kabakchiev H., V. Behar, D. Kabakchieva, A. Kabakchiev, P. Daskalov, H. Rohling, M. Bentum, J. Fernandes</v>
      </c>
      <c r="H3273" s="10"/>
      <c r="I3273" s="10"/>
      <c r="J3273" s="10"/>
      <c r="K3273" s="10"/>
      <c r="L3273" s="10"/>
      <c r="M3273" s="10"/>
      <c r="N3273" s="10"/>
      <c r="O3273" s="10"/>
      <c r="P3273" s="10"/>
      <c r="Q3273" s="10"/>
      <c r="R3273" s="10"/>
      <c r="S3273" s="10"/>
      <c r="T3273" s="10"/>
      <c r="U3273" s="10"/>
      <c r="V3273" s="10"/>
      <c r="W3273" s="10"/>
      <c r="X3273" s="10"/>
      <c r="Y3273" s="10"/>
      <c r="Z3273" s="10"/>
    </row>
    <row r="3274" spans="1:26" ht="12.75">
      <c r="A3274" s="10" t="str">
        <f ca="1">IFERROR(__xludf.DUMMYFUNCTION("""COMPUTED_VALUE"""),"Иван Ганчев Гарванов")</f>
        <v>Иван Ганчев Гарванов</v>
      </c>
      <c r="B3274" s="10" t="str">
        <f ca="1">IFERROR(__xludf.DUMMYFUNCTION("""COMPUTED_VALUE"""),"Доклад от конференция")</f>
        <v>Доклад от конференция</v>
      </c>
      <c r="C3274" s="10" t="str">
        <f ca="1">IFERROR(__xludf.DUMMYFUNCTION("""COMPUTED_VALUE"""),"Jumping Average Filter Parameter Optimization for Pulsar Signal Detection")</f>
        <v>Jumping Average Filter Parameter Optimization for Pulsar Signal Detection</v>
      </c>
      <c r="D3274" s="10">
        <f ca="1">IFERROR(__xludf.DUMMYFUNCTION("""COMPUTED_VALUE"""),2019)</f>
        <v>2019</v>
      </c>
      <c r="E3274" s="10" t="str">
        <f ca="1">IFERROR(__xludf.DUMMYFUNCTION("""COMPUTED_VALUE"""),"The 12th International Conference on Large-Scale Scientific Computations - LSSC'19, June 10 - 14, 2019, Sozopol, Bulgaria, Springer LNCS 11958, pp. 490-495.")</f>
        <v>The 12th International Conference on Large-Scale Scientific Computations - LSSC'19, June 10 - 14, 2019, Sozopol, Bulgaria, Springer LNCS 11958, pp. 490-495.</v>
      </c>
      <c r="F3274" s="10" t="str">
        <f ca="1">IFERROR(__xludf.DUMMYFUNCTION("""COMPUTED_VALUE"""),"Web of Science и Scopus")</f>
        <v>Web of Science и Scopus</v>
      </c>
      <c r="G3274" s="10" t="str">
        <f ca="1">IFERROR(__xludf.DUMMYFUNCTION("""COMPUTED_VALUE"""),"V. Ivanov")</f>
        <v>V. Ivanov</v>
      </c>
      <c r="H3274" s="10"/>
      <c r="I3274" s="10"/>
      <c r="J3274" s="10"/>
      <c r="K3274" s="10"/>
      <c r="L3274" s="10"/>
      <c r="M3274" s="10"/>
      <c r="N3274" s="10"/>
      <c r="O3274" s="10"/>
      <c r="P3274" s="10"/>
      <c r="Q3274" s="10"/>
      <c r="R3274" s="10"/>
      <c r="S3274" s="10"/>
      <c r="T3274" s="10"/>
      <c r="U3274" s="10"/>
      <c r="V3274" s="10"/>
      <c r="W3274" s="10"/>
      <c r="X3274" s="10"/>
      <c r="Y3274" s="10"/>
      <c r="Z3274" s="10"/>
    </row>
    <row r="3275" spans="1:26" ht="12.75">
      <c r="A3275" s="10" t="str">
        <f ca="1">IFERROR(__xludf.DUMMYFUNCTION("""COMPUTED_VALUE"""),"Иван Ганчев Гарванов")</f>
        <v>Иван Ганчев Гарванов</v>
      </c>
      <c r="B3275" s="10" t="str">
        <f ca="1">IFERROR(__xludf.DUMMYFUNCTION("""COMPUTED_VALUE"""),"Доклад от конференция")</f>
        <v>Доклад от конференция</v>
      </c>
      <c r="C3275" s="10" t="str">
        <f ca="1">IFERROR(__xludf.DUMMYFUNCTION("""COMPUTED_VALUE"""),"Откриване и оценка на параметрите на подвижни обекти чрез видеонаблюдение")</f>
        <v>Откриване и оценка на параметрите на подвижни обекти чрез видеонаблюдение</v>
      </c>
      <c r="D3275" s="10">
        <f ca="1">IFERROR(__xludf.DUMMYFUNCTION("""COMPUTED_VALUE"""),2019)</f>
        <v>2019</v>
      </c>
      <c r="E3275" s="10" t="str">
        <f ca="1">IFERROR(__xludf.DUMMYFUNCTION("""COMPUTED_VALUE"""),"Тринадесети международен пътуващ семинар „Съвременни измерения на европейското образователно и научно пространство. Българо-австрийски културни общувания”. България – Австия, 26.05 – 31.05.2019 г., „За буквите – О писменехь” ISSN 2367-7988.")</f>
        <v>Тринадесети международен пътуващ семинар „Съвременни измерения на европейското образователно и научно пространство. Българо-австрийски културни общувания”. България – Австия, 26.05 – 31.05.2019 г., „За буквите – О писменехь” ISSN 2367-7988.</v>
      </c>
      <c r="F3275" s="10"/>
      <c r="G3275" s="10" t="str">
        <f ca="1">IFERROR(__xludf.DUMMYFUNCTION("""COMPUTED_VALUE"""),"В. Иванов, С. Владимиров")</f>
        <v>В. Иванов, С. Владимиров</v>
      </c>
      <c r="H3275" s="10"/>
      <c r="I3275" s="10"/>
      <c r="J3275" s="10"/>
      <c r="K3275" s="10"/>
      <c r="L3275" s="10"/>
      <c r="M3275" s="10"/>
      <c r="N3275" s="10"/>
      <c r="O3275" s="10"/>
      <c r="P3275" s="10"/>
      <c r="Q3275" s="10"/>
      <c r="R3275" s="10"/>
      <c r="S3275" s="10"/>
      <c r="T3275" s="10"/>
      <c r="U3275" s="10"/>
      <c r="V3275" s="10"/>
      <c r="W3275" s="10"/>
      <c r="X3275" s="10"/>
      <c r="Y3275" s="10"/>
      <c r="Z3275" s="10"/>
    </row>
    <row r="3276" spans="1:26" ht="12.75">
      <c r="A3276" s="10" t="str">
        <f ca="1">IFERROR(__xludf.DUMMYFUNCTION("""COMPUTED_VALUE"""),"Иван Ганчев Гарванов")</f>
        <v>Иван Ганчев Гарванов</v>
      </c>
      <c r="B3276" s="10" t="str">
        <f ca="1">IFERROR(__xludf.DUMMYFUNCTION("""COMPUTED_VALUE"""),"Доклад от конференция")</f>
        <v>Доклад от конференция</v>
      </c>
      <c r="C3276" s="10" t="str">
        <f ca="1">IFERROR(__xludf.DUMMYFUNCTION("""COMPUTED_VALUE"""),"Use of information technologies for calculation of multi risk in The Municipality of Knjaževac, Serbia")</f>
        <v>Use of information technologies for calculation of multi risk in The Municipality of Knjaževac, Serbia</v>
      </c>
      <c r="D3276" s="10">
        <f ca="1">IFERROR(__xludf.DUMMYFUNCTION("""COMPUTED_VALUE"""),2019)</f>
        <v>2019</v>
      </c>
      <c r="E3276" s="10" t="str">
        <f ca="1">IFERROR(__xludf.DUMMYFUNCTION("""COMPUTED_VALUE"""),"8-th International Conference on Advanced Technologies, E-ISBN: 978-605-68537-4-6, August 26-30, 2019, Sarajevo, Bosnia and Herzegovina, pp. 388-392, E-ISBN: 978-605-68537-4-6")</f>
        <v>8-th International Conference on Advanced Technologies, E-ISBN: 978-605-68537-4-6, August 26-30, 2019, Sarajevo, Bosnia and Herzegovina, pp. 388-392, E-ISBN: 978-605-68537-4-6</v>
      </c>
      <c r="F3276" s="10"/>
      <c r="G3276" s="10" t="str">
        <f ca="1">IFERROR(__xludf.DUMMYFUNCTION("""COMPUTED_VALUE"""),"M. Petković, B. Nikolić, D. Knežević, S. Aleksić, L. Milošević, N. Haznadarević")</f>
        <v>M. Petković, B. Nikolić, D. Knežević, S. Aleksić, L. Milošević, N. Haznadarević</v>
      </c>
      <c r="H3276" s="10"/>
      <c r="I3276" s="10"/>
      <c r="J3276" s="10"/>
      <c r="K3276" s="10"/>
      <c r="L3276" s="10"/>
      <c r="M3276" s="10"/>
      <c r="N3276" s="10"/>
      <c r="O3276" s="10"/>
      <c r="P3276" s="10"/>
      <c r="Q3276" s="10"/>
      <c r="R3276" s="10"/>
      <c r="S3276" s="10"/>
      <c r="T3276" s="10"/>
      <c r="U3276" s="10"/>
      <c r="V3276" s="10"/>
      <c r="W3276" s="10"/>
      <c r="X3276" s="10"/>
      <c r="Y3276" s="10"/>
      <c r="Z3276" s="10"/>
    </row>
    <row r="3277" spans="1:26" ht="12.75">
      <c r="A3277" s="10" t="str">
        <f ca="1">IFERROR(__xludf.DUMMYFUNCTION("""COMPUTED_VALUE"""),"Иван Ганчев Гарванов")</f>
        <v>Иван Ганчев Гарванов</v>
      </c>
      <c r="B3277" s="10" t="str">
        <f ca="1">IFERROR(__xludf.DUMMYFUNCTION("""COMPUTED_VALUE"""),"Доклад от конференция")</f>
        <v>Доклад от конференция</v>
      </c>
      <c r="C3277" s="10" t="str">
        <f ca="1">IFERROR(__xludf.DUMMYFUNCTION("""COMPUTED_VALUE"""),"USE OF INFORMATION SYSTEMS IN FOREST FIRE RISK REDUCTION")</f>
        <v>USE OF INFORMATION SYSTEMS IN FOREST FIRE RISK REDUCTION</v>
      </c>
      <c r="D3277" s="10">
        <f ca="1">IFERROR(__xludf.DUMMYFUNCTION("""COMPUTED_VALUE"""),2019)</f>
        <v>2019</v>
      </c>
      <c r="E3277" s="10" t="str">
        <f ca="1">IFERROR(__xludf.DUMMYFUNCTION("""COMPUTED_VALUE"""),"10th International Conference on Life Cycle Engineering and Management ICDQM, 27-28. Jun, 2019, Prijevor, Srbija, ISBN 978-86-86355-40-9, pp. 285-288.ISBN 978-86-86355-40-9")</f>
        <v>10th International Conference on Life Cycle Engineering and Management ICDQM, 27-28. Jun, 2019, Prijevor, Srbija, ISBN 978-86-86355-40-9, pp. 285-288.ISBN 978-86-86355-40-9</v>
      </c>
      <c r="F3277" s="10"/>
      <c r="G3277" s="10" t="str">
        <f ca="1">IFERROR(__xludf.DUMMYFUNCTION("""COMPUTED_VALUE"""),"Martina PETKOVIĆ, Biljana NIKOLIĆ, Marijola BOŽOVIĆ")</f>
        <v>Martina PETKOVIĆ, Biljana NIKOLIĆ, Marijola BOŽOVIĆ</v>
      </c>
      <c r="H3277" s="10"/>
      <c r="I3277" s="10"/>
      <c r="J3277" s="10"/>
      <c r="K3277" s="10"/>
      <c r="L3277" s="10"/>
      <c r="M3277" s="10"/>
      <c r="N3277" s="10"/>
      <c r="O3277" s="10"/>
      <c r="P3277" s="10"/>
      <c r="Q3277" s="10"/>
      <c r="R3277" s="10"/>
      <c r="S3277" s="10"/>
      <c r="T3277" s="10"/>
      <c r="U3277" s="10"/>
      <c r="V3277" s="10"/>
      <c r="W3277" s="10"/>
      <c r="X3277" s="10"/>
      <c r="Y3277" s="10"/>
      <c r="Z3277" s="10"/>
    </row>
    <row r="3278" spans="1:26" ht="12.75">
      <c r="A3278" s="10" t="str">
        <f ca="1">IFERROR(__xludf.DUMMYFUNCTION("""COMPUTED_VALUE"""),"Иван Ганчев Гарванов")</f>
        <v>Иван Ганчев Гарванов</v>
      </c>
      <c r="B3278" s="10" t="str">
        <f ca="1">IFERROR(__xludf.DUMMYFUNCTION("""COMPUTED_VALUE"""),"Доклад от конференция")</f>
        <v>Доклад от конференция</v>
      </c>
      <c r="C3278" s="10" t="str">
        <f ca="1">IFERROR(__xludf.DUMMYFUNCTION("""COMPUTED_VALUE"""),"Forest Fire Risk Reduction Using Fire Detection and Alarm Systems")</f>
        <v>Forest Fire Risk Reduction Using Fire Detection and Alarm Systems</v>
      </c>
      <c r="D3278" s="10">
        <f ca="1">IFERROR(__xludf.DUMMYFUNCTION("""COMPUTED_VALUE"""),2019)</f>
        <v>2019</v>
      </c>
      <c r="E3278" s="10" t="str">
        <f ca="1">IFERROR(__xludf.DUMMYFUNCTION("""COMPUTED_VALUE"""),"XX International Symposium on Theoretical Electrical Engineering (ISTET-2019), TECHNICAL UNIVERSITY OF SOFIA, BULGARIA, 21-24 JULY 2019.")</f>
        <v>XX International Symposium on Theoretical Electrical Engineering (ISTET-2019), TECHNICAL UNIVERSITY OF SOFIA, BULGARIA, 21-24 JULY 2019.</v>
      </c>
      <c r="F3278" s="10" t="str">
        <f ca="1">IFERROR(__xludf.DUMMYFUNCTION("""COMPUTED_VALUE"""),"IEEE Xplore")</f>
        <v>IEEE Xplore</v>
      </c>
      <c r="G3278" s="10" t="str">
        <f ca="1">IFERROR(__xludf.DUMMYFUNCTION("""COMPUTED_VALUE"""),"M. Petković, B.Nikolić, D.Knežević, S. Aleksić")</f>
        <v>M. Petković, B.Nikolić, D.Knežević, S. Aleksić</v>
      </c>
      <c r="H3278" s="10"/>
      <c r="I3278" s="10"/>
      <c r="J3278" s="10"/>
      <c r="K3278" s="10"/>
      <c r="L3278" s="10"/>
      <c r="M3278" s="10"/>
      <c r="N3278" s="10"/>
      <c r="O3278" s="10"/>
      <c r="P3278" s="10"/>
      <c r="Q3278" s="10"/>
      <c r="R3278" s="10"/>
      <c r="S3278" s="10"/>
      <c r="T3278" s="10"/>
      <c r="U3278" s="10"/>
      <c r="V3278" s="10"/>
      <c r="W3278" s="10"/>
      <c r="X3278" s="10"/>
      <c r="Y3278" s="10"/>
      <c r="Z3278" s="10"/>
    </row>
    <row r="3279" spans="1:26" ht="12.75">
      <c r="A3279" s="10" t="str">
        <f ca="1">IFERROR(__xludf.DUMMYFUNCTION("""COMPUTED_VALUE"""),"Иван Ганчев Гарванов")</f>
        <v>Иван Ганчев Гарванов</v>
      </c>
      <c r="B3279" s="10" t="str">
        <f ca="1">IFERROR(__xludf.DUMMYFUNCTION("""COMPUTED_VALUE"""),"Доклад от конференция")</f>
        <v>Доклад от конференция</v>
      </c>
      <c r="C3279" s="10" t="str">
        <f ca="1">IFERROR(__xludf.DUMMYFUNCTION("""COMPUTED_VALUE"""),"Оптимизация на осредняващ скачащ филтър за откриване на пулсарен сигнал")</f>
        <v>Оптимизация на осредняващ скачащ филтър за откриване на пулсарен сигнал</v>
      </c>
      <c r="D3279" s="10">
        <f ca="1">IFERROR(__xludf.DUMMYFUNCTION("""COMPUTED_VALUE"""),2019)</f>
        <v>2019</v>
      </c>
      <c r="E3279" s="10" t="str">
        <f ca="1">IFERROR(__xludf.DUMMYFUNCTION("""COMPUTED_VALUE"""),"ОБЩЕСТВОТО на знанието и хуманизмът на XXI век – София: За буквите - О писменехь, 2012, ISSN 1314-7099 ; ISSN 2683-0094, София, 1.11.2019 г., “За буквите – О писменех”, стр. 364-374.")</f>
        <v>ОБЩЕСТВОТО на знанието и хуманизмът на XXI век – София: За буквите - О писменехь, 2012, ISSN 1314-7099 ; ISSN 2683-0094, София, 1.11.2019 г., “За буквите – О писменех”, стр. 364-374.</v>
      </c>
      <c r="F3279" s="10"/>
      <c r="G3279" s="10" t="str">
        <f ca="1">IFERROR(__xludf.DUMMYFUNCTION("""COMPUTED_VALUE"""),"Гарванов И., Иванов В.")</f>
        <v>Гарванов И., Иванов В.</v>
      </c>
      <c r="H3279" s="10"/>
      <c r="I3279" s="10"/>
      <c r="J3279" s="10"/>
      <c r="K3279" s="10"/>
      <c r="L3279" s="10"/>
      <c r="M3279" s="10"/>
      <c r="N3279" s="10"/>
      <c r="O3279" s="10"/>
      <c r="P3279" s="10"/>
      <c r="Q3279" s="10"/>
      <c r="R3279" s="10"/>
      <c r="S3279" s="10"/>
      <c r="T3279" s="10"/>
      <c r="U3279" s="10"/>
      <c r="V3279" s="10"/>
      <c r="W3279" s="10"/>
      <c r="X3279" s="10"/>
      <c r="Y3279" s="10"/>
      <c r="Z3279" s="10"/>
    </row>
    <row r="3280" spans="1:26" ht="12.75">
      <c r="A3280" s="10" t="str">
        <f ca="1">IFERROR(__xludf.DUMMYFUNCTION("""COMPUTED_VALUE"""),"Иван Ганчев Гарванов")</f>
        <v>Иван Ганчев Гарванов</v>
      </c>
      <c r="B3280" s="10" t="str">
        <f ca="1">IFERROR(__xludf.DUMMYFUNCTION("""COMPUTED_VALUE"""),"Доклад от конференция")</f>
        <v>Доклад от конференция</v>
      </c>
      <c r="C3280" s="10" t="str">
        <f ca="1">IFERROR(__xludf.DUMMYFUNCTION("""COMPUTED_VALUE"""),"Vehicle Classification based on their GPS signal shadows")</f>
        <v>Vehicle Classification based on their GPS signal shadows</v>
      </c>
      <c r="D3280" s="10">
        <f ca="1">IFERROR(__xludf.DUMMYFUNCTION("""COMPUTED_VALUE"""),2019)</f>
        <v>2019</v>
      </c>
      <c r="E3280" s="10" t="str">
        <f ca="1">IFERROR(__xludf.DUMMYFUNCTION("""COMPUTED_VALUE"""),"INTERNATIONAL Scientific Conference Industry 4.0 – Sofia: Scientific Technical Union of Mechanical Engineering Industry, 2016, ISSN 2535-0153; ISSN 2535-0161, 11-14.12.2019, BOROVETS, BULGARIA, pp. 229-232.")</f>
        <v>INTERNATIONAL Scientific Conference Industry 4.0 – Sofia: Scientific Technical Union of Mechanical Engineering Industry, 2016, ISSN 2535-0153; ISSN 2535-0161, 11-14.12.2019, BOROVETS, BULGARIA, pp. 229-232.</v>
      </c>
      <c r="F3280" s="10"/>
      <c r="G3280" s="10" t="str">
        <f ca="1">IFERROR(__xludf.DUMMYFUNCTION("""COMPUTED_VALUE"""),"Garvanova M., Garvanov I., Vladimirov S.")</f>
        <v>Garvanova M., Garvanov I., Vladimirov S.</v>
      </c>
      <c r="H3280" s="10"/>
      <c r="I3280" s="10"/>
      <c r="J3280" s="10"/>
      <c r="K3280" s="10"/>
      <c r="L3280" s="10"/>
      <c r="M3280" s="10"/>
      <c r="N3280" s="10"/>
      <c r="O3280" s="10"/>
      <c r="P3280" s="10"/>
      <c r="Q3280" s="10"/>
      <c r="R3280" s="10"/>
      <c r="S3280" s="10"/>
      <c r="T3280" s="10"/>
      <c r="U3280" s="10"/>
      <c r="V3280" s="10"/>
      <c r="W3280" s="10"/>
      <c r="X3280" s="10"/>
      <c r="Y3280" s="10"/>
      <c r="Z3280" s="10"/>
    </row>
    <row r="3281" spans="1:26" ht="12.75">
      <c r="A3281" s="10" t="str">
        <f ca="1">IFERROR(__xludf.DUMMYFUNCTION("""COMPUTED_VALUE"""),"Иван Ганчев Гарванов")</f>
        <v>Иван Ганчев Гарванов</v>
      </c>
      <c r="B3281" s="10" t="str">
        <f ca="1">IFERROR(__xludf.DUMMYFUNCTION("""COMPUTED_VALUE"""),"Доклад от конференция")</f>
        <v>Доклад от конференция</v>
      </c>
      <c r="C3281" s="10" t="str">
        <f ca="1">IFERROR(__xludf.DUMMYFUNCTION("""COMPUTED_VALUE"""),"Comparative Analysis of Two GPS Forward Scattering Systems For Cars Parameter Estimation")</f>
        <v>Comparative Analysis of Two GPS Forward Scattering Systems For Cars Parameter Estimation</v>
      </c>
      <c r="D3281" s="10">
        <f ca="1">IFERROR(__xludf.DUMMYFUNCTION("""COMPUTED_VALUE"""),2018)</f>
        <v>2018</v>
      </c>
      <c r="E3281" s="10" t="str">
        <f ca="1">IFERROR(__xludf.DUMMYFUNCTION("""COMPUTED_VALUE"""),"The 19th International Radar Symposium IRS 2018, June 20-22, 2018, Bonn, Germany, 978-3-7369-9545-1.")</f>
        <v>The 19th International Radar Symposium IRS 2018, June 20-22, 2018, Bonn, Germany, 978-3-7369-9545-1.</v>
      </c>
      <c r="F3281" s="10" t="str">
        <f ca="1">IFERROR(__xludf.DUMMYFUNCTION("""COMPUTED_VALUE"""),"Scopus
 Web of Science
 IEEE")</f>
        <v>Scopus
 Web of Science
 IEEE</v>
      </c>
      <c r="G3281" s="10" t="str">
        <f ca="1">IFERROR(__xludf.DUMMYFUNCTION("""COMPUTED_VALUE"""),"Kabakchiev C., V. Behar, A. Kabakchiev, D. Kabakchieva, H. Rohling, K. Kulpa, A. Yarovoy")</f>
        <v>Kabakchiev C., V. Behar, A. Kabakchiev, D. Kabakchieva, H. Rohling, K. Kulpa, A. Yarovoy</v>
      </c>
      <c r="H3281" s="10"/>
      <c r="I3281" s="10"/>
      <c r="J3281" s="10"/>
      <c r="K3281" s="10"/>
      <c r="L3281" s="10"/>
      <c r="M3281" s="10"/>
      <c r="N3281" s="10"/>
      <c r="O3281" s="10"/>
      <c r="P3281" s="10"/>
      <c r="Q3281" s="10"/>
      <c r="R3281" s="10"/>
      <c r="S3281" s="10"/>
      <c r="T3281" s="10"/>
      <c r="U3281" s="10"/>
      <c r="V3281" s="10"/>
      <c r="W3281" s="10"/>
      <c r="X3281" s="10"/>
      <c r="Y3281" s="10"/>
      <c r="Z3281" s="10"/>
    </row>
    <row r="3282" spans="1:26" ht="12.75">
      <c r="A3282" s="10" t="str">
        <f ca="1">IFERROR(__xludf.DUMMYFUNCTION("""COMPUTED_VALUE"""),"Иван Ганчев Гарванов")</f>
        <v>Иван Ганчев Гарванов</v>
      </c>
      <c r="B3282" s="10" t="str">
        <f ca="1">IFERROR(__xludf.DUMMYFUNCTION("""COMPUTED_VALUE"""),"Доклад от конференция")</f>
        <v>Доклад от конференция</v>
      </c>
      <c r="C3282" s="10" t="str">
        <f ca="1">IFERROR(__xludf.DUMMYFUNCTION("""COMPUTED_VALUE"""),"Towards Context-Aware Vehicle Navigation in Urban Environments: Modeling Challenges")</f>
        <v>Towards Context-Aware Vehicle Navigation in Urban Environments: Modeling Challenges</v>
      </c>
      <c r="D3282" s="10">
        <f ca="1">IFERROR(__xludf.DUMMYFUNCTION("""COMPUTED_VALUE"""),2018)</f>
        <v>2018</v>
      </c>
      <c r="E3282" s="10" t="str">
        <f ca="1">IFERROR(__xludf.DUMMYFUNCTION("""COMPUTED_VALUE"""),"8 th International Symposium on Business Modeling &amp; Software Design – BMSD’18, 2-4 July 2018, Vienna, Austria.")</f>
        <v>8 th International Symposium on Business Modeling &amp; Software Design – BMSD’18, 2-4 July 2018, Vienna, Austria.</v>
      </c>
      <c r="F3282" s="10" t="str">
        <f ca="1">IFERROR(__xludf.DUMMYFUNCTION("""COMPUTED_VALUE"""),"Scopus
 Web of Science")</f>
        <v>Scopus
 Web of Science</v>
      </c>
      <c r="G3282" s="10" t="str">
        <f ca="1">IFERROR(__xludf.DUMMYFUNCTION("""COMPUTED_VALUE"""),"Chr. Kabakchiev, B. Shishkov, M. Garvanova")</f>
        <v>Chr. Kabakchiev, B. Shishkov, M. Garvanova</v>
      </c>
      <c r="H3282" s="10"/>
      <c r="I3282" s="10"/>
      <c r="J3282" s="10"/>
      <c r="K3282" s="10"/>
      <c r="L3282" s="10"/>
      <c r="M3282" s="10"/>
      <c r="N3282" s="10"/>
      <c r="O3282" s="10"/>
      <c r="P3282" s="10"/>
      <c r="Q3282" s="10"/>
      <c r="R3282" s="10"/>
      <c r="S3282" s="10"/>
      <c r="T3282" s="10"/>
      <c r="U3282" s="10"/>
      <c r="V3282" s="10"/>
      <c r="W3282" s="10"/>
      <c r="X3282" s="10"/>
      <c r="Y3282" s="10"/>
      <c r="Z3282" s="10"/>
    </row>
    <row r="3283" spans="1:26" ht="12.75">
      <c r="A3283" s="10" t="str">
        <f ca="1">IFERROR(__xludf.DUMMYFUNCTION("""COMPUTED_VALUE"""),"Иван Ганчев Гарванов")</f>
        <v>Иван Ганчев Гарванов</v>
      </c>
      <c r="B3283" s="10" t="str">
        <f ca="1">IFERROR(__xludf.DUMMYFUNCTION("""COMPUTED_VALUE"""),"Доклад от конференция")</f>
        <v>Доклад от конференция</v>
      </c>
      <c r="C3283" s="10" t="str">
        <f ca="1">IFERROR(__xludf.DUMMYFUNCTION("""COMPUTED_VALUE"""),"Air Target Detection in Pulsar FSR System")</f>
        <v>Air Target Detection in Pulsar FSR System</v>
      </c>
      <c r="D3283" s="10">
        <f ca="1">IFERROR(__xludf.DUMMYFUNCTION("""COMPUTED_VALUE"""),2018)</f>
        <v>2018</v>
      </c>
      <c r="E3283" s="10" t="str">
        <f ca="1">IFERROR(__xludf.DUMMYFUNCTION("""COMPUTED_VALUE"""),"2018 Engineering and Telecommunication (EnT-MIPT), Moscow, Russia, 2018, pp. 108-112. doi: 10.1109/EnT-MIPT.2018.00031. Electronic ISBN: 978-1-7281-0432-4, ISBN: 978-1-7281-0433-1, ISBN: 978-172810431-7, ISBN: 978-1-7281-0432-4, ISBN: 978-1-7281-0433-1")</f>
        <v>2018 Engineering and Telecommunication (EnT-MIPT), Moscow, Russia, 2018, pp. 108-112. doi: 10.1109/EnT-MIPT.2018.00031. Electronic ISBN: 978-1-7281-0432-4, ISBN: 978-1-7281-0433-1, ISBN: 978-172810431-7, ISBN: 978-1-7281-0432-4, ISBN: 978-1-7281-0433-1</v>
      </c>
      <c r="F3283" s="10" t="str">
        <f ca="1">IFERROR(__xludf.DUMMYFUNCTION("""COMPUTED_VALUE"""),"Web of Science и Scopus")</f>
        <v>Web of Science и Scopus</v>
      </c>
      <c r="G3283" s="10" t="str">
        <f ca="1">IFERROR(__xludf.DUMMYFUNCTION("""COMPUTED_VALUE"""),"Kabakchiev H., V. Behar, D. Kabakchieva, M. Garvanova, H. Rohling")</f>
        <v>Kabakchiev H., V. Behar, D. Kabakchieva, M. Garvanova, H. Rohling</v>
      </c>
      <c r="H3283" s="10"/>
      <c r="I3283" s="10"/>
      <c r="J3283" s="10"/>
      <c r="K3283" s="10"/>
      <c r="L3283" s="10"/>
      <c r="M3283" s="10"/>
      <c r="N3283" s="10"/>
      <c r="O3283" s="10"/>
      <c r="P3283" s="10"/>
      <c r="Q3283" s="10"/>
      <c r="R3283" s="10"/>
      <c r="S3283" s="10"/>
      <c r="T3283" s="10"/>
      <c r="U3283" s="10"/>
      <c r="V3283" s="10"/>
      <c r="W3283" s="10"/>
      <c r="X3283" s="10"/>
      <c r="Y3283" s="10"/>
      <c r="Z3283" s="10"/>
    </row>
    <row r="3284" spans="1:26" ht="12.75">
      <c r="A3284" s="10" t="str">
        <f ca="1">IFERROR(__xludf.DUMMYFUNCTION("""COMPUTED_VALUE"""),"Иван Ганчев Гарванов")</f>
        <v>Иван Ганчев Гарванов</v>
      </c>
      <c r="B3284" s="10" t="str">
        <f ca="1">IFERROR(__xludf.DUMMYFUNCTION("""COMPUTED_VALUE"""),"Доклад от конференция")</f>
        <v>Доклад от конференция</v>
      </c>
      <c r="C3284" s="10" t="str">
        <f ca="1">IFERROR(__xludf.DUMMYFUNCTION("""COMPUTED_VALUE"""),"Система за мониторинг на пътен трафик")</f>
        <v>Система за мониторинг на пътен трафик</v>
      </c>
      <c r="D3284" s="10">
        <f ca="1">IFERROR(__xludf.DUMMYFUNCTION("""COMPUTED_VALUE"""),2018)</f>
        <v>2018</v>
      </c>
      <c r="E3284" s="10" t="str">
        <f ca="1">IFERROR(__xludf.DUMMYFUNCTION("""COMPUTED_VALUE"""),"Общество на знанието и хуманизмът на ХХІ век, Шестнадесета юбилейна национална научна конференция с международно участие, София, 01-02 Ноември 2018 г., “За буквите – О писменех”.")</f>
        <v>Общество на знанието и хуманизмът на ХХІ век, Шестнадесета юбилейна национална научна конференция с международно участие, София, 01-02 Ноември 2018 г., “За буквите – О писменех”.</v>
      </c>
      <c r="F3284" s="10"/>
      <c r="G3284" s="10" t="str">
        <f ca="1">IFERROR(__xludf.DUMMYFUNCTION("""COMPUTED_VALUE"""),"Димитров Д., И. Гарванов")</f>
        <v>Димитров Д., И. Гарванов</v>
      </c>
      <c r="H3284" s="10"/>
      <c r="I3284" s="10"/>
      <c r="J3284" s="10"/>
      <c r="K3284" s="10"/>
      <c r="L3284" s="10"/>
      <c r="M3284" s="10"/>
      <c r="N3284" s="10"/>
      <c r="O3284" s="10"/>
      <c r="P3284" s="10"/>
      <c r="Q3284" s="10"/>
      <c r="R3284" s="10"/>
      <c r="S3284" s="10"/>
      <c r="T3284" s="10"/>
      <c r="U3284" s="10"/>
      <c r="V3284" s="10"/>
      <c r="W3284" s="10"/>
      <c r="X3284" s="10"/>
      <c r="Y3284" s="10"/>
      <c r="Z3284" s="10"/>
    </row>
    <row r="3285" spans="1:26" ht="12.75">
      <c r="A3285" s="10" t="str">
        <f ca="1">IFERROR(__xludf.DUMMYFUNCTION("""COMPUTED_VALUE"""),"Иван Ганчев Гарванов")</f>
        <v>Иван Ганчев Гарванов</v>
      </c>
      <c r="B3285" s="10" t="str">
        <f ca="1">IFERROR(__xludf.DUMMYFUNCTION("""COMPUTED_VALUE"""),"Доклад от конференция")</f>
        <v>Доклад от конференция</v>
      </c>
      <c r="C3285" s="10" t="str">
        <f ca="1">IFERROR(__xludf.DUMMYFUNCTION("""COMPUTED_VALUE"""),"Имплементиране на осредняващ скачащ прозорец в FPGA прибор")</f>
        <v>Имплементиране на осредняващ скачащ прозорец в FPGA прибор</v>
      </c>
      <c r="D3285" s="10">
        <f ca="1">IFERROR(__xludf.DUMMYFUNCTION("""COMPUTED_VALUE"""),2018)</f>
        <v>2018</v>
      </c>
      <c r="E3285" s="10" t="str">
        <f ca="1">IFERROR(__xludf.DUMMYFUNCTION("""COMPUTED_VALUE"""),"VI Международна научна конференция „ТЕХНИКА. ТЕХНОЛОГИИ. ОБРАЗОВАНИЕ. СИГУРНОСТ”, 30 май – 2 юни 2018 г. в гр. Велико Търново, България, стр. 194-197.")</f>
        <v>VI Международна научна конференция „ТЕХНИКА. ТЕХНОЛОГИИ. ОБРАЗОВАНИЕ. СИГУРНОСТ”, 30 май – 2 юни 2018 г. в гр. Велико Търново, България, стр. 194-197.</v>
      </c>
      <c r="F3285" s="10"/>
      <c r="G3285" s="10" t="str">
        <f ca="1">IFERROR(__xludf.DUMMYFUNCTION("""COMPUTED_VALUE"""),"Иванов Вл.")</f>
        <v>Иванов Вл.</v>
      </c>
      <c r="H3285" s="10"/>
      <c r="I3285" s="10"/>
      <c r="J3285" s="10"/>
      <c r="K3285" s="10"/>
      <c r="L3285" s="10"/>
      <c r="M3285" s="10"/>
      <c r="N3285" s="10"/>
      <c r="O3285" s="10"/>
      <c r="P3285" s="10"/>
      <c r="Q3285" s="10"/>
      <c r="R3285" s="10"/>
      <c r="S3285" s="10"/>
      <c r="T3285" s="10"/>
      <c r="U3285" s="10"/>
      <c r="V3285" s="10"/>
      <c r="W3285" s="10"/>
      <c r="X3285" s="10"/>
      <c r="Y3285" s="10"/>
      <c r="Z3285" s="10"/>
    </row>
    <row r="3286" spans="1:26" ht="12.75">
      <c r="A3286" s="10" t="str">
        <f ca="1">IFERROR(__xludf.DUMMYFUNCTION("""COMPUTED_VALUE"""),"Иван Ганчев Гарванов")</f>
        <v>Иван Ганчев Гарванов</v>
      </c>
      <c r="B3286" s="10" t="str">
        <f ca="1">IFERROR(__xludf.DUMMYFUNCTION("""COMPUTED_VALUE"""),"Доклад от конференция")</f>
        <v>Доклад от конференция</v>
      </c>
      <c r="C3286" s="10" t="str">
        <f ca="1">IFERROR(__xludf.DUMMYFUNCTION("""COMPUTED_VALUE"""),"Автономна навигационна система използваща милисекундни пулсари")</f>
        <v>Автономна навигационна система използваща милисекундни пулсари</v>
      </c>
      <c r="D3286" s="10">
        <f ca="1">IFERROR(__xludf.DUMMYFUNCTION("""COMPUTED_VALUE"""),2018)</f>
        <v>2018</v>
      </c>
      <c r="E3286" s="10" t="str">
        <f ca="1">IFERROR(__xludf.DUMMYFUNCTION("""COMPUTED_VALUE"""),"Mеждународна научна конференция „Стратегии, хора и технологии в корабоплаването“, гр. Варна, 10-11 май, 2018.”")</f>
        <v>Mеждународна научна конференция „Стратегии, хора и технологии в корабоплаването“, гр. Варна, 10-11 май, 2018.”</v>
      </c>
      <c r="F3286" s="10"/>
      <c r="G3286" s="10" t="str">
        <f ca="1">IFERROR(__xludf.DUMMYFUNCTION("""COMPUTED_VALUE"""),"Владимиров, С.")</f>
        <v>Владимиров, С.</v>
      </c>
      <c r="H3286" s="10"/>
      <c r="I3286" s="10"/>
      <c r="J3286" s="10"/>
      <c r="K3286" s="10"/>
      <c r="L3286" s="10"/>
      <c r="M3286" s="10"/>
      <c r="N3286" s="10"/>
      <c r="O3286" s="10"/>
      <c r="P3286" s="10"/>
      <c r="Q3286" s="10"/>
      <c r="R3286" s="10"/>
      <c r="S3286" s="10"/>
      <c r="T3286" s="10"/>
      <c r="U3286" s="10"/>
      <c r="V3286" s="10"/>
      <c r="W3286" s="10"/>
      <c r="X3286" s="10"/>
      <c r="Y3286" s="10"/>
      <c r="Z3286" s="10"/>
    </row>
    <row r="3287" spans="1:26" ht="12.75">
      <c r="A3287" s="10" t="str">
        <f ca="1">IFERROR(__xludf.DUMMYFUNCTION("""COMPUTED_VALUE"""),"Иван Ганчев Гарванов")</f>
        <v>Иван Ганчев Гарванов</v>
      </c>
      <c r="B3287" s="10" t="str">
        <f ca="1">IFERROR(__xludf.DUMMYFUNCTION("""COMPUTED_VALUE"""),"Доклад от конференция")</f>
        <v>Доклад от конференция</v>
      </c>
      <c r="C3287" s="10" t="str">
        <f ca="1">IFERROR(__xludf.DUMMYFUNCTION("""COMPUTED_VALUE"""),"Observation of Falling Cosmic Objects Using GPS-Based FSR")</f>
        <v>Observation of Falling Cosmic Objects Using GPS-Based FSR</v>
      </c>
      <c r="D3287" s="10">
        <f ca="1">IFERROR(__xludf.DUMMYFUNCTION("""COMPUTED_VALUE"""),2018)</f>
        <v>2018</v>
      </c>
      <c r="E3287" s="10" t="str">
        <f ca="1">IFERROR(__xludf.DUMMYFUNCTION("""COMPUTED_VALUE"""),"The 19th International Radar Symposium IRS 2018, June 20-22, 2018, Bonn, Germany, 978-3-7369-9545-1.")</f>
        <v>The 19th International Radar Symposium IRS 2018, June 20-22, 2018, Bonn, Germany, 978-3-7369-9545-1.</v>
      </c>
      <c r="F3287" s="10" t="str">
        <f ca="1">IFERROR(__xludf.DUMMYFUNCTION("""COMPUTED_VALUE"""),"Scopus
 Web of Science
 IEEE")</f>
        <v>Scopus
 Web of Science
 IEEE</v>
      </c>
      <c r="G3287" s="10" t="str">
        <f ca="1">IFERROR(__xludf.DUMMYFUNCTION("""COMPUTED_VALUE"""),"Kabakchiev H., V. Behar, D. Kabakchieva, K. Kabakchiev, H. Rohling, K. Kulpa, A. Yarovoy")</f>
        <v>Kabakchiev H., V. Behar, D. Kabakchieva, K. Kabakchiev, H. Rohling, K. Kulpa, A. Yarovoy</v>
      </c>
      <c r="H3287" s="10"/>
      <c r="I3287" s="10"/>
      <c r="J3287" s="10"/>
      <c r="K3287" s="10"/>
      <c r="L3287" s="10"/>
      <c r="M3287" s="10"/>
      <c r="N3287" s="10"/>
      <c r="O3287" s="10"/>
      <c r="P3287" s="10"/>
      <c r="Q3287" s="10"/>
      <c r="R3287" s="10"/>
      <c r="S3287" s="10"/>
      <c r="T3287" s="10"/>
      <c r="U3287" s="10"/>
      <c r="V3287" s="10"/>
      <c r="W3287" s="10"/>
      <c r="X3287" s="10"/>
      <c r="Y3287" s="10"/>
      <c r="Z3287" s="10"/>
    </row>
    <row r="3288" spans="1:26" ht="12.75">
      <c r="A3288" s="10" t="str">
        <f ca="1">IFERROR(__xludf.DUMMYFUNCTION("""COMPUTED_VALUE"""),"Иван Ганчев Гарванов")</f>
        <v>Иван Ганчев Гарванов</v>
      </c>
      <c r="B3288" s="10" t="str">
        <f ca="1">IFERROR(__xludf.DUMMYFUNCTION("""COMPUTED_VALUE"""),"Доклад от конференция")</f>
        <v>Доклад от конференция</v>
      </c>
      <c r="C3288" s="10" t="str">
        <f ca="1">IFERROR(__xludf.DUMMYFUNCTION("""COMPUTED_VALUE"""),"Passive Aperture Synthesis Using Pulsar’s Emissions")</f>
        <v>Passive Aperture Synthesis Using Pulsar’s Emissions</v>
      </c>
      <c r="D3288" s="10">
        <f ca="1">IFERROR(__xludf.DUMMYFUNCTION("""COMPUTED_VALUE"""),2018)</f>
        <v>2018</v>
      </c>
      <c r="E3288" s="10" t="str">
        <f ca="1">IFERROR(__xludf.DUMMYFUNCTION("""COMPUTED_VALUE"""),"The 19th International Radar Symposium IRS 2018, June 20-22, 2018, Bonn, Germany, 978-3-7369-9545-1.")</f>
        <v>The 19th International Radar Symposium IRS 2018, June 20-22, 2018, Bonn, Germany, 978-3-7369-9545-1.</v>
      </c>
      <c r="F3288" s="10" t="str">
        <f ca="1">IFERROR(__xludf.DUMMYFUNCTION("""COMPUTED_VALUE"""),"Scopus
 Web of Science
 IEEE")</f>
        <v>Scopus
 Web of Science
 IEEE</v>
      </c>
      <c r="G3288" s="10" t="str">
        <f ca="1">IFERROR(__xludf.DUMMYFUNCTION("""COMPUTED_VALUE"""),"Lazarov A., Chr. Kabakchiev, Ch. Minchev")</f>
        <v>Lazarov A., Chr. Kabakchiev, Ch. Minchev</v>
      </c>
      <c r="H3288" s="10"/>
      <c r="I3288" s="10"/>
      <c r="J3288" s="10"/>
      <c r="K3288" s="10"/>
      <c r="L3288" s="10"/>
      <c r="M3288" s="10"/>
      <c r="N3288" s="10"/>
      <c r="O3288" s="10"/>
      <c r="P3288" s="10"/>
      <c r="Q3288" s="10"/>
      <c r="R3288" s="10"/>
      <c r="S3288" s="10"/>
      <c r="T3288" s="10"/>
      <c r="U3288" s="10"/>
      <c r="V3288" s="10"/>
      <c r="W3288" s="10"/>
      <c r="X3288" s="10"/>
      <c r="Y3288" s="10"/>
      <c r="Z3288" s="10"/>
    </row>
    <row r="3289" spans="1:26" ht="12.75">
      <c r="A3289" s="10" t="str">
        <f ca="1">IFERROR(__xludf.DUMMYFUNCTION("""COMPUTED_VALUE"""),"Иван Ганчев Гарванов")</f>
        <v>Иван Ганчев Гарванов</v>
      </c>
      <c r="B3289" s="10" t="str">
        <f ca="1">IFERROR(__xludf.DUMMYFUNCTION("""COMPUTED_VALUE"""),"Доклад от конференция")</f>
        <v>Доклад от конференция</v>
      </c>
      <c r="C3289" s="10" t="str">
        <f ca="1">IFERROR(__xludf.DUMMYFUNCTION("""COMPUTED_VALUE"""),"Pulsar Signal Detection Using Hough Transform")</f>
        <v>Pulsar Signal Detection Using Hough Transform</v>
      </c>
      <c r="D3289" s="10">
        <f ca="1">IFERROR(__xludf.DUMMYFUNCTION("""COMPUTED_VALUE"""),2018)</f>
        <v>2018</v>
      </c>
      <c r="E3289" s="10" t="str">
        <f ca="1">IFERROR(__xludf.DUMMYFUNCTION("""COMPUTED_VALUE"""),"The Fourteenth Advanced International Conference on Telecommunications – 2018, July 22, 2018 to July 26, 2018 - Barcelona, Spain.")</f>
        <v>The Fourteenth Advanced International Conference on Telecommunications – 2018, July 22, 2018 to July 26, 2018 - Barcelona, Spain.</v>
      </c>
      <c r="F3289" s="10"/>
      <c r="G3289" s="10"/>
      <c r="H3289" s="10"/>
      <c r="I3289" s="10"/>
      <c r="J3289" s="10"/>
      <c r="K3289" s="10"/>
      <c r="L3289" s="10"/>
      <c r="M3289" s="10"/>
      <c r="N3289" s="10"/>
      <c r="O3289" s="10"/>
      <c r="P3289" s="10"/>
      <c r="Q3289" s="10"/>
      <c r="R3289" s="10"/>
      <c r="S3289" s="10"/>
      <c r="T3289" s="10"/>
      <c r="U3289" s="10"/>
      <c r="V3289" s="10"/>
      <c r="W3289" s="10"/>
      <c r="X3289" s="10"/>
      <c r="Y3289" s="10"/>
      <c r="Z3289" s="10"/>
    </row>
    <row r="3290" spans="1:26" ht="12.75">
      <c r="A3290" s="10" t="str">
        <f ca="1">IFERROR(__xludf.DUMMYFUNCTION("""COMPUTED_VALUE"""),"Иван Ганчев Гарванов")</f>
        <v>Иван Ганчев Гарванов</v>
      </c>
      <c r="B3290" s="10" t="str">
        <f ca="1">IFERROR(__xludf.DUMMYFUNCTION("""COMPUTED_VALUE"""),"Доклад от конференция")</f>
        <v>Доклад от конференция</v>
      </c>
      <c r="C3290" s="10" t="str">
        <f ca="1">IFERROR(__xludf.DUMMYFUNCTION("""COMPUTED_VALUE"""),"Vehicle Navigation in Urban Environments: Overcoming GPS Shadows")</f>
        <v>Vehicle Navigation in Urban Environments: Overcoming GPS Shadows</v>
      </c>
      <c r="D3290" s="10">
        <f ca="1">IFERROR(__xludf.DUMMYFUNCTION("""COMPUTED_VALUE"""),2018)</f>
        <v>2018</v>
      </c>
      <c r="E3290" s="10" t="str">
        <f ca="1">IFERROR(__xludf.DUMMYFUNCTION("""COMPUTED_VALUE"""),"Proc. of Seventh International Conference on Telecommunications and Remote Sensing (ICTRS 2018), Barselona, Spain, pp.77-80, ACM ISBN 978-1-4503-6364-8/17/11")</f>
        <v>Proc. of Seventh International Conference on Telecommunications and Remote Sensing (ICTRS 2018), Barselona, Spain, pp.77-80, ACM ISBN 978-1-4503-6364-8/17/11</v>
      </c>
      <c r="F3290" s="10" t="str">
        <f ca="1">IFERROR(__xludf.DUMMYFUNCTION("""COMPUTED_VALUE"""),"Scopus")</f>
        <v>Scopus</v>
      </c>
      <c r="G3290" s="10" t="str">
        <f ca="1">IFERROR(__xludf.DUMMYFUNCTION("""COMPUTED_VALUE"""),"Kabakchiev C., Shishkov B., Garvanova M.")</f>
        <v>Kabakchiev C., Shishkov B., Garvanova M.</v>
      </c>
      <c r="H3290" s="10"/>
      <c r="I3290" s="10"/>
      <c r="J3290" s="10"/>
      <c r="K3290" s="10"/>
      <c r="L3290" s="10"/>
      <c r="M3290" s="10"/>
      <c r="N3290" s="10"/>
      <c r="O3290" s="10"/>
      <c r="P3290" s="10"/>
      <c r="Q3290" s="10"/>
      <c r="R3290" s="10"/>
      <c r="S3290" s="10"/>
      <c r="T3290" s="10"/>
      <c r="U3290" s="10"/>
      <c r="V3290" s="10"/>
      <c r="W3290" s="10"/>
      <c r="X3290" s="10"/>
      <c r="Y3290" s="10"/>
      <c r="Z3290" s="10"/>
    </row>
    <row r="3291" spans="1:26" ht="12.75">
      <c r="A3291" s="10" t="str">
        <f ca="1">IFERROR(__xludf.DUMMYFUNCTION("""COMPUTED_VALUE"""),"Иван Ганчев Гарванов")</f>
        <v>Иван Ганчев Гарванов</v>
      </c>
      <c r="B3291" s="10" t="str">
        <f ca="1">IFERROR(__xludf.DUMMYFUNCTION("""COMPUTED_VALUE"""),"Доклад от конференция")</f>
        <v>Доклад от конференция</v>
      </c>
      <c r="C3291" s="10" t="str">
        <f ca="1">IFERROR(__xludf.DUMMYFUNCTION("""COMPUTED_VALUE"""),"Separation of GPS Signals in FSR System")</f>
        <v>Separation of GPS Signals in FSR System</v>
      </c>
      <c r="D3291" s="10">
        <f ca="1">IFERROR(__xludf.DUMMYFUNCTION("""COMPUTED_VALUE"""),2018)</f>
        <v>2018</v>
      </c>
      <c r="E3291" s="10" t="str">
        <f ca="1">IFERROR(__xludf.DUMMYFUNCTION("""COMPUTED_VALUE"""),"The 8th Microwave and Radar Week - MRW 2018, May 14-17, Poznań, Poland, pp.248-252.")</f>
        <v>The 8th Microwave and Radar Week - MRW 2018, May 14-17, Poznań, Poland, pp.248-252.</v>
      </c>
      <c r="F3291" s="10" t="str">
        <f ca="1">IFERROR(__xludf.DUMMYFUNCTION("""COMPUTED_VALUE"""),"Scopus
 Web of Science
 IEEE")</f>
        <v>Scopus
 Web of Science
 IEEE</v>
      </c>
      <c r="G3291" s="10" t="str">
        <f ca="1">IFERROR(__xludf.DUMMYFUNCTION("""COMPUTED_VALUE"""),"Kabakchiev C., V. Behar, D. Kabakchieva, K. Kabakchiev, H. Rohling, K. Kulpa, A. Yarovoy")</f>
        <v>Kabakchiev C., V. Behar, D. Kabakchieva, K. Kabakchiev, H. Rohling, K. Kulpa, A. Yarovoy</v>
      </c>
      <c r="H3291" s="10"/>
      <c r="I3291" s="10"/>
      <c r="J3291" s="10"/>
      <c r="K3291" s="10"/>
      <c r="L3291" s="10"/>
      <c r="M3291" s="10"/>
      <c r="N3291" s="10"/>
      <c r="O3291" s="10"/>
      <c r="P3291" s="10"/>
      <c r="Q3291" s="10"/>
      <c r="R3291" s="10"/>
      <c r="S3291" s="10"/>
      <c r="T3291" s="10"/>
      <c r="U3291" s="10"/>
      <c r="V3291" s="10"/>
      <c r="W3291" s="10"/>
      <c r="X3291" s="10"/>
      <c r="Y3291" s="10"/>
      <c r="Z3291" s="10"/>
    </row>
    <row r="3292" spans="1:26" ht="12.75">
      <c r="A3292" s="10" t="str">
        <f ca="1">IFERROR(__xludf.DUMMYFUNCTION("""COMPUTED_VALUE"""),"Иван Ганчев Гарванов")</f>
        <v>Иван Ганчев Гарванов</v>
      </c>
      <c r="B3292" s="10" t="str">
        <f ca="1">IFERROR(__xludf.DUMMYFUNCTION("""COMPUTED_VALUE"""),"Доклад от конференция")</f>
        <v>Доклад от конференция</v>
      </c>
      <c r="C3292" s="10" t="str">
        <f ca="1">IFERROR(__xludf.DUMMYFUNCTION("""COMPUTED_VALUE"""),"Separation of Pulsar Signals in FSR System")</f>
        <v>Separation of Pulsar Signals in FSR System</v>
      </c>
      <c r="D3292" s="10">
        <f ca="1">IFERROR(__xludf.DUMMYFUNCTION("""COMPUTED_VALUE"""),2018)</f>
        <v>2018</v>
      </c>
      <c r="E3292" s="10" t="str">
        <f ca="1">IFERROR(__xludf.DUMMYFUNCTION("""COMPUTED_VALUE"""),"The 19th International Radar Symposium IRS 2018, June 20-22, 2018, Bonn, Germany, 978-3-7369-9545-1.")</f>
        <v>The 19th International Radar Symposium IRS 2018, June 20-22, 2018, Bonn, Germany, 978-3-7369-9545-1.</v>
      </c>
      <c r="F3292" s="10" t="str">
        <f ca="1">IFERROR(__xludf.DUMMYFUNCTION("""COMPUTED_VALUE"""),"Scopus
 Web of Science
 IEEE")</f>
        <v>Scopus
 Web of Science
 IEEE</v>
      </c>
      <c r="G3292" s="10" t="str">
        <f ca="1">IFERROR(__xludf.DUMMYFUNCTION("""COMPUTED_VALUE"""),"Kabakchiev H., V. Behar, D. Kabakchieva, A. Kabakchiev, H. Rohling, M. Bentum, J. Fernandes")</f>
        <v>Kabakchiev H., V. Behar, D. Kabakchieva, A. Kabakchiev, H. Rohling, M. Bentum, J. Fernandes</v>
      </c>
      <c r="H3292" s="10"/>
      <c r="I3292" s="10"/>
      <c r="J3292" s="10"/>
      <c r="K3292" s="10"/>
      <c r="L3292" s="10"/>
      <c r="M3292" s="10"/>
      <c r="N3292" s="10"/>
      <c r="O3292" s="10"/>
      <c r="P3292" s="10"/>
      <c r="Q3292" s="10"/>
      <c r="R3292" s="10"/>
      <c r="S3292" s="10"/>
      <c r="T3292" s="10"/>
      <c r="U3292" s="10"/>
      <c r="V3292" s="10"/>
      <c r="W3292" s="10"/>
      <c r="X3292" s="10"/>
      <c r="Y3292" s="10"/>
      <c r="Z3292" s="10"/>
    </row>
    <row r="3293" spans="1:26" ht="12.75">
      <c r="A3293" s="10" t="str">
        <f ca="1">IFERROR(__xludf.DUMMYFUNCTION("""COMPUTED_VALUE"""),"Иван Ганчев Гарванов")</f>
        <v>Иван Ганчев Гарванов</v>
      </c>
      <c r="B3293" s="10" t="str">
        <f ca="1">IFERROR(__xludf.DUMMYFUNCTION("""COMPUTED_VALUE"""),"Доклад от конференция")</f>
        <v>Доклад от конференция</v>
      </c>
      <c r="C3293" s="10" t="str">
        <f ca="1">IFERROR(__xludf.DUMMYFUNCTION("""COMPUTED_VALUE"""),"Multisensor Data Association by Using the Polar Hough Transform, Book Title “Practical Issues of Intelligent Innovations")</f>
        <v>Multisensor Data Association by Using the Polar Hough Transform, Book Title “Practical Issues of Intelligent Innovations</v>
      </c>
      <c r="D3293" s="10">
        <f ca="1">IFERROR(__xludf.DUMMYFUNCTION("""COMPUTED_VALUE"""),2018)</f>
        <v>2018</v>
      </c>
      <c r="E3293" s="10" t="str">
        <f ca="1">IFERROR(__xludf.DUMMYFUNCTION("""COMPUTED_VALUE"""),"Springer International Publishing, Editors: Sgurev, Vassil, Jotsov, Vladimir, Kacprzyk, Janusz, Book ISBN: 978-3-319-78436-6, Book DOI:10.1007/978-3-319-78437-3, Chapter No.: 11, pp. 255-276, 2018")</f>
        <v>Springer International Publishing, Editors: Sgurev, Vassil, Jotsov, Vladimir, Kacprzyk, Janusz, Book ISBN: 978-3-319-78436-6, Book DOI:10.1007/978-3-319-78437-3, Chapter No.: 11, pp. 255-276, 2018</v>
      </c>
      <c r="F3293" s="10" t="str">
        <f ca="1">IFERROR(__xludf.DUMMYFUNCTION("""COMPUTED_VALUE"""),"Scopus
 Web of Science")</f>
        <v>Scopus
 Web of Science</v>
      </c>
      <c r="G3293" s="10"/>
      <c r="H3293" s="10"/>
      <c r="I3293" s="10"/>
      <c r="J3293" s="10"/>
      <c r="K3293" s="10"/>
      <c r="L3293" s="10"/>
      <c r="M3293" s="10"/>
      <c r="N3293" s="10"/>
      <c r="O3293" s="10"/>
      <c r="P3293" s="10"/>
      <c r="Q3293" s="10"/>
      <c r="R3293" s="10"/>
      <c r="S3293" s="10"/>
      <c r="T3293" s="10"/>
      <c r="U3293" s="10"/>
      <c r="V3293" s="10"/>
      <c r="W3293" s="10"/>
      <c r="X3293" s="10"/>
      <c r="Y3293" s="10"/>
      <c r="Z3293" s="10"/>
    </row>
    <row r="3294" spans="1:26" ht="12.75">
      <c r="A3294" s="10" t="str">
        <f ca="1">IFERROR(__xludf.DUMMYFUNCTION("""COMPUTED_VALUE"""),"Иван Ганчев Гарванов")</f>
        <v>Иван Ганчев Гарванов</v>
      </c>
      <c r="B3294" s="10" t="str">
        <f ca="1">IFERROR(__xludf.DUMMYFUNCTION("""COMPUTED_VALUE"""),"Доклад от конференция")</f>
        <v>Доклад от конференция</v>
      </c>
      <c r="C3294" s="10" t="str">
        <f ca="1">IFERROR(__xludf.DUMMYFUNCTION("""COMPUTED_VALUE"""),"Метод за обезшумяване на пулсарен сигнал посредством уейвлет трансформация")</f>
        <v>Метод за обезшумяване на пулсарен сигнал посредством уейвлет трансформация</v>
      </c>
      <c r="D3294" s="10">
        <f ca="1">IFERROR(__xludf.DUMMYFUNCTION("""COMPUTED_VALUE"""),2018)</f>
        <v>2018</v>
      </c>
      <c r="E3294" s="10" t="str">
        <f ca="1">IFERROR(__xludf.DUMMYFUNCTION("""COMPUTED_VALUE"""),"ТРЕТА МЕЖДУНАРОДНА НАУЧНА КОНФЕРЕНЦИЯ, ""INDUSTRY 4.0 '18"", стр. 143-147, ISSN (Print) - 2535-0153")</f>
        <v>ТРЕТА МЕЖДУНАРОДНА НАУЧНА КОНФЕРЕНЦИЯ, "INDUSTRY 4.0 '18", стр. 143-147, ISSN (Print) - 2535-0153</v>
      </c>
      <c r="F3294" s="10"/>
      <c r="G3294" s="10" t="str">
        <f ca="1">IFERROR(__xludf.DUMMYFUNCTION("""COMPUTED_VALUE"""),"Р. Ийнбор, Н. Гешев")</f>
        <v>Р. Ийнбор, Н. Гешев</v>
      </c>
      <c r="H3294" s="10"/>
      <c r="I3294" s="10"/>
      <c r="J3294" s="10"/>
      <c r="K3294" s="10"/>
      <c r="L3294" s="10"/>
      <c r="M3294" s="10"/>
      <c r="N3294" s="10"/>
      <c r="O3294" s="10"/>
      <c r="P3294" s="10"/>
      <c r="Q3294" s="10"/>
      <c r="R3294" s="10"/>
      <c r="S3294" s="10"/>
      <c r="T3294" s="10"/>
      <c r="U3294" s="10"/>
      <c r="V3294" s="10"/>
      <c r="W3294" s="10"/>
      <c r="X3294" s="10"/>
      <c r="Y3294" s="10"/>
      <c r="Z3294" s="10"/>
    </row>
    <row r="3295" spans="1:26" ht="12.75">
      <c r="A3295" s="10" t="str">
        <f ca="1">IFERROR(__xludf.DUMMYFUNCTION("""COMPUTED_VALUE"""),"Иван Ганчев Гарванов")</f>
        <v>Иван Ганчев Гарванов</v>
      </c>
      <c r="B3295" s="10" t="str">
        <f ca="1">IFERROR(__xludf.DUMMYFUNCTION("""COMPUTED_VALUE"""),"Доклад от конференция")</f>
        <v>Доклад от конференция</v>
      </c>
      <c r="C3295" s="10" t="str">
        <f ca="1">IFERROR(__xludf.DUMMYFUNCTION("""COMPUTED_VALUE"""),"Serbia Risk management in the field electrostatic charge")</f>
        <v>Serbia Risk management in the field electrostatic charge</v>
      </c>
      <c r="D3295" s="10">
        <f ca="1">IFERROR(__xludf.DUMMYFUNCTION("""COMPUTED_VALUE"""),2018)</f>
        <v>2018</v>
      </c>
      <c r="E3295" s="10" t="str">
        <f ca="1">IFERROR(__xludf.DUMMYFUNCTION("""COMPUTED_VALUE"""),"XX-th International Symposium on Electrical Apparatus and Technologies SIELA 2018, 3 - 6 June 2018, Bourgas, Bulgaria.")</f>
        <v>XX-th International Symposium on Electrical Apparatus and Technologies SIELA 2018, 3 - 6 June 2018, Bourgas, Bulgaria.</v>
      </c>
      <c r="F3295" s="10" t="str">
        <f ca="1">IFERROR(__xludf.DUMMYFUNCTION("""COMPUTED_VALUE"""),"Scopus
 Web of Science
 IEEE")</f>
        <v>Scopus
 Web of Science
 IEEE</v>
      </c>
      <c r="G3295" s="10" t="str">
        <f ca="1">IFERROR(__xludf.DUMMYFUNCTION("""COMPUTED_VALUE"""),"Dimitrov L., B. Rakovic, M. Ljubic, S. Aleksic")</f>
        <v>Dimitrov L., B. Rakovic, M. Ljubic, S. Aleksic</v>
      </c>
      <c r="H3295" s="10"/>
      <c r="I3295" s="10"/>
      <c r="J3295" s="10"/>
      <c r="K3295" s="10"/>
      <c r="L3295" s="10"/>
      <c r="M3295" s="10"/>
      <c r="N3295" s="10"/>
      <c r="O3295" s="10"/>
      <c r="P3295" s="10"/>
      <c r="Q3295" s="10"/>
      <c r="R3295" s="10"/>
      <c r="S3295" s="10"/>
      <c r="T3295" s="10"/>
      <c r="U3295" s="10"/>
      <c r="V3295" s="10"/>
      <c r="W3295" s="10"/>
      <c r="X3295" s="10"/>
      <c r="Y3295" s="10"/>
      <c r="Z3295" s="10"/>
    </row>
    <row r="3296" spans="1:26" ht="12.75">
      <c r="A3296" s="10" t="str">
        <f ca="1">IFERROR(__xludf.DUMMYFUNCTION("""COMPUTED_VALUE"""),"Иван Ганчев Гарванов")</f>
        <v>Иван Ганчев Гарванов</v>
      </c>
      <c r="B3296" s="10" t="str">
        <f ca="1">IFERROR(__xludf.DUMMYFUNCTION("""COMPUTED_VALUE"""),"Доклад от конференция")</f>
        <v>Доклад от конференция</v>
      </c>
      <c r="C3296" s="10" t="str">
        <f ca="1">IFERROR(__xludf.DUMMYFUNCTION("""COMPUTED_VALUE"""),"Comparison of Two Algorithms for Signal Detection in Pulsar based FSR")</f>
        <v>Comparison of Two Algorithms for Signal Detection in Pulsar based FSR</v>
      </c>
      <c r="D3296" s="10">
        <f ca="1">IFERROR(__xludf.DUMMYFUNCTION("""COMPUTED_VALUE"""),2018)</f>
        <v>2018</v>
      </c>
      <c r="E3296" s="10" t="str">
        <f ca="1">IFERROR(__xludf.DUMMYFUNCTION("""COMPUTED_VALUE"""),"The 19th International Radar Symposium IRS 2018, June 20-22, 2018, Bonn, Germany, 978-3-7369-9545-1.")</f>
        <v>The 19th International Radar Symposium IRS 2018, June 20-22, 2018, Bonn, Germany, 978-3-7369-9545-1.</v>
      </c>
      <c r="F3296" s="10" t="str">
        <f ca="1">IFERROR(__xludf.DUMMYFUNCTION("""COMPUTED_VALUE"""),"Scopus
 Web of Science
 IEEE")</f>
        <v>Scopus
 Web of Science
 IEEE</v>
      </c>
      <c r="G3296" s="10" t="str">
        <f ca="1">IFERROR(__xludf.DUMMYFUNCTION("""COMPUTED_VALUE"""),"Kabakchiev H., V. Behar, D. Kabakchieva, A. Kabakchiev, H. Rohling, M. Bentum, J. Fernandes")</f>
        <v>Kabakchiev H., V. Behar, D. Kabakchieva, A. Kabakchiev, H. Rohling, M. Bentum, J. Fernandes</v>
      </c>
      <c r="H3296" s="10"/>
      <c r="I3296" s="10"/>
      <c r="J3296" s="10"/>
      <c r="K3296" s="10"/>
      <c r="L3296" s="10"/>
      <c r="M3296" s="10"/>
      <c r="N3296" s="10"/>
      <c r="O3296" s="10"/>
      <c r="P3296" s="10"/>
      <c r="Q3296" s="10"/>
      <c r="R3296" s="10"/>
      <c r="S3296" s="10"/>
      <c r="T3296" s="10"/>
      <c r="U3296" s="10"/>
      <c r="V3296" s="10"/>
      <c r="W3296" s="10"/>
      <c r="X3296" s="10"/>
      <c r="Y3296" s="10"/>
      <c r="Z3296" s="10"/>
    </row>
    <row r="3297" spans="1:26" ht="12.75">
      <c r="A3297" s="10" t="str">
        <f ca="1">IFERROR(__xludf.DUMMYFUNCTION("""COMPUTED_VALUE"""),"Иван Ганчев Гарванов")</f>
        <v>Иван Ганчев Гарванов</v>
      </c>
      <c r="B3297" s="10" t="str">
        <f ca="1">IFERROR(__xludf.DUMMYFUNCTION("""COMPUTED_VALUE"""),"Доклад от конференция")</f>
        <v>Доклад от конференция</v>
      </c>
      <c r="C3297" s="10" t="str">
        <f ca="1">IFERROR(__xludf.DUMMYFUNCTION("""COMPUTED_VALUE"""),"Изследване на ценностните измерения на българската култура в европейски контекст")</f>
        <v>Изследване на ценностните измерения на българската култура в европейски контекст</v>
      </c>
      <c r="D3297" s="10">
        <f ca="1">IFERROR(__xludf.DUMMYFUNCTION("""COMPUTED_VALUE"""),2017)</f>
        <v>2017</v>
      </c>
      <c r="E3297" s="10" t="str">
        <f ca="1">IFERROR(__xludf.DUMMYFUNCTION("""COMPUTED_VALUE"""),"Научни доклади от Третамеждународна кръгла маса “Проблеми на обществената комуникация” 2017. С., Издателство “За буквите – О писменехь”, 157-176, ISSN 2534-9430.")</f>
        <v>Научни доклади от Третамеждународна кръгла маса “Проблеми на обществената комуникация” 2017. С., Издателство “За буквите – О писменехь”, 157-176, ISSN 2534-9430.</v>
      </c>
      <c r="F3297" s="10"/>
      <c r="G3297" s="10" t="str">
        <f ca="1">IFERROR(__xludf.DUMMYFUNCTION("""COMPUTED_VALUE"""),"Гарванова, М.")</f>
        <v>Гарванова, М.</v>
      </c>
      <c r="H3297" s="10"/>
      <c r="I3297" s="10"/>
      <c r="J3297" s="10"/>
      <c r="K3297" s="10"/>
      <c r="L3297" s="10"/>
      <c r="M3297" s="10"/>
      <c r="N3297" s="10"/>
      <c r="O3297" s="10"/>
      <c r="P3297" s="10"/>
      <c r="Q3297" s="10"/>
      <c r="R3297" s="10"/>
      <c r="S3297" s="10"/>
      <c r="T3297" s="10"/>
      <c r="U3297" s="10"/>
      <c r="V3297" s="10"/>
      <c r="W3297" s="10"/>
      <c r="X3297" s="10"/>
      <c r="Y3297" s="10"/>
      <c r="Z3297" s="10"/>
    </row>
    <row r="3298" spans="1:26" ht="12.75">
      <c r="A3298" s="10" t="str">
        <f ca="1">IFERROR(__xludf.DUMMYFUNCTION("""COMPUTED_VALUE"""),"Иван Ганчев Гарванов")</f>
        <v>Иван Ганчев Гарванов</v>
      </c>
      <c r="B3298" s="10" t="str">
        <f ca="1">IFERROR(__xludf.DUMMYFUNCTION("""COMPUTED_VALUE"""),"Доклад от конференция")</f>
        <v>Доклад от конференция</v>
      </c>
      <c r="C3298" s="10" t="str">
        <f ca="1">IFERROR(__xludf.DUMMYFUNCTION("""COMPUTED_VALUE"""),"Aircraft Detection at Short Distances by GPS FSR System")</f>
        <v>Aircraft Detection at Short Distances by GPS FSR System</v>
      </c>
      <c r="D3298" s="10">
        <f ca="1">IFERROR(__xludf.DUMMYFUNCTION("""COMPUTED_VALUE"""),2017)</f>
        <v>2017</v>
      </c>
      <c r="E3298" s="10" t="str">
        <f ca="1">IFERROR(__xludf.DUMMYFUNCTION("""COMPUTED_VALUE"""),"Eighth International Conference on Sensor Device Technologies and Applications, SENSORDEVICES 2017")</f>
        <v>Eighth International Conference on Sensor Device Technologies and Applications, SENSORDEVICES 2017</v>
      </c>
      <c r="F3298" s="10"/>
      <c r="G3298" s="10" t="str">
        <f ca="1">IFERROR(__xludf.DUMMYFUNCTION("""COMPUTED_VALUE"""),"Kabakchiev C., V. Behar, D. Kabakchieva")</f>
        <v>Kabakchiev C., V. Behar, D. Kabakchieva</v>
      </c>
      <c r="H3298" s="10"/>
      <c r="I3298" s="10"/>
      <c r="J3298" s="10"/>
      <c r="K3298" s="10"/>
      <c r="L3298" s="10"/>
      <c r="M3298" s="10"/>
      <c r="N3298" s="10"/>
      <c r="O3298" s="10"/>
      <c r="P3298" s="10"/>
      <c r="Q3298" s="10"/>
      <c r="R3298" s="10"/>
      <c r="S3298" s="10"/>
      <c r="T3298" s="10"/>
      <c r="U3298" s="10"/>
      <c r="V3298" s="10"/>
      <c r="W3298" s="10"/>
      <c r="X3298" s="10"/>
      <c r="Y3298" s="10"/>
      <c r="Z3298" s="10"/>
    </row>
    <row r="3299" spans="1:26" ht="12.75">
      <c r="A3299" s="10" t="str">
        <f ca="1">IFERROR(__xludf.DUMMYFUNCTION("""COMPUTED_VALUE"""),"Иван Ганчев Гарванов")</f>
        <v>Иван Ганчев Гарванов</v>
      </c>
      <c r="B3299" s="10" t="str">
        <f ca="1">IFERROR(__xludf.DUMMYFUNCTION("""COMPUTED_VALUE"""),"Доклад от конференция")</f>
        <v>Доклад от конференция</v>
      </c>
      <c r="C3299" s="10" t="str">
        <f ca="1">IFERROR(__xludf.DUMMYFUNCTION("""COMPUTED_VALUE"""),"Feasibility of Air Target Detection using Pulsar FSR Net")</f>
        <v>Feasibility of Air Target Detection using Pulsar FSR Net</v>
      </c>
      <c r="D3299" s="10">
        <f ca="1">IFERROR(__xludf.DUMMYFUNCTION("""COMPUTED_VALUE"""),2017)</f>
        <v>2017</v>
      </c>
      <c r="E3299" s="10" t="str">
        <f ca="1">IFERROR(__xludf.DUMMYFUNCTION("""COMPUTED_VALUE"""),"European Radar Conference 2017, 11th – 13th October 2017, Nuremberg, Germany")</f>
        <v>European Radar Conference 2017, 11th – 13th October 2017, Nuremberg, Germany</v>
      </c>
      <c r="F3299" s="10" t="str">
        <f ca="1">IFERROR(__xludf.DUMMYFUNCTION("""COMPUTED_VALUE"""),"Scopus
 Web of Science
 IEEE IEEE")</f>
        <v>Scopus
 Web of Science
 IEEE IEEE</v>
      </c>
      <c r="G3299" s="10" t="str">
        <f ca="1">IFERROR(__xludf.DUMMYFUNCTION("""COMPUTED_VALUE"""),"Kabakchiev C., V. Behar, D. Kabakchieva, A. Kabakchiev, H. Rohling, M. Bentum, J.Fernandes")</f>
        <v>Kabakchiev C., V. Behar, D. Kabakchieva, A. Kabakchiev, H. Rohling, M. Bentum, J.Fernandes</v>
      </c>
      <c r="H3299" s="10"/>
      <c r="I3299" s="10"/>
      <c r="J3299" s="10"/>
      <c r="K3299" s="10"/>
      <c r="L3299" s="10"/>
      <c r="M3299" s="10"/>
      <c r="N3299" s="10"/>
      <c r="O3299" s="10"/>
      <c r="P3299" s="10"/>
      <c r="Q3299" s="10"/>
      <c r="R3299" s="10"/>
      <c r="S3299" s="10"/>
      <c r="T3299" s="10"/>
      <c r="U3299" s="10"/>
      <c r="V3299" s="10"/>
      <c r="W3299" s="10"/>
      <c r="X3299" s="10"/>
      <c r="Y3299" s="10"/>
      <c r="Z3299" s="10"/>
    </row>
    <row r="3300" spans="1:26" ht="12.75">
      <c r="A3300" s="10" t="str">
        <f ca="1">IFERROR(__xludf.DUMMYFUNCTION("""COMPUTED_VALUE"""),"Иван Ганчев Гарванов")</f>
        <v>Иван Ганчев Гарванов</v>
      </c>
      <c r="B3300" s="10" t="str">
        <f ca="1">IFERROR(__xludf.DUMMYFUNCTION("""COMPUTED_VALUE"""),"Доклад от конференция")</f>
        <v>Доклад от конференция</v>
      </c>
      <c r="C3300" s="10" t="str">
        <f ca="1">IFERROR(__xludf.DUMMYFUNCTION("""COMPUTED_VALUE"""),"Feasibility of asteroid detection using pulsar signals")</f>
        <v>Feasibility of asteroid detection using pulsar signals</v>
      </c>
      <c r="D3300" s="10">
        <f ca="1">IFERROR(__xludf.DUMMYFUNCTION("""COMPUTED_VALUE"""),2017)</f>
        <v>2017</v>
      </c>
      <c r="E3300" s="10" t="str">
        <f ca="1">IFERROR(__xludf.DUMMYFUNCTION("""COMPUTED_VALUE"""),"International conference on radar systems, 23 – 26 October 2017, Belfast Waterfront Conference Centre, UK.")</f>
        <v>International conference on radar systems, 23 – 26 October 2017, Belfast Waterfront Conference Centre, UK.</v>
      </c>
      <c r="F3300" s="10" t="str">
        <f ca="1">IFERROR(__xludf.DUMMYFUNCTION("""COMPUTED_VALUE"""),"Scopus
 Web of Science
 IEEE")</f>
        <v>Scopus
 Web of Science
 IEEE</v>
      </c>
      <c r="G3300" s="10" t="str">
        <f ca="1">IFERROR(__xludf.DUMMYFUNCTION("""COMPUTED_VALUE"""),"Kabakchiev C., V. Behar, D. Kabakchieva, A. Kabakchiev, H. Rohling, M. Bentum, J. Fernandes")</f>
        <v>Kabakchiev C., V. Behar, D. Kabakchieva, A. Kabakchiev, H. Rohling, M. Bentum, J. Fernandes</v>
      </c>
      <c r="H3300" s="10"/>
      <c r="I3300" s="10"/>
      <c r="J3300" s="10"/>
      <c r="K3300" s="10"/>
      <c r="L3300" s="10"/>
      <c r="M3300" s="10"/>
      <c r="N3300" s="10"/>
      <c r="O3300" s="10"/>
      <c r="P3300" s="10"/>
      <c r="Q3300" s="10"/>
      <c r="R3300" s="10"/>
      <c r="S3300" s="10"/>
      <c r="T3300" s="10"/>
      <c r="U3300" s="10"/>
      <c r="V3300" s="10"/>
      <c r="W3300" s="10"/>
      <c r="X3300" s="10"/>
      <c r="Y3300" s="10"/>
      <c r="Z3300" s="10"/>
    </row>
    <row r="3301" spans="1:26" ht="12.75">
      <c r="A3301" s="10" t="str">
        <f ca="1">IFERROR(__xludf.DUMMYFUNCTION("""COMPUTED_VALUE"""),"Иван Ганчев Гарванов")</f>
        <v>Иван Ганчев Гарванов</v>
      </c>
      <c r="B3301" s="10" t="str">
        <f ca="1">IFERROR(__xludf.DUMMYFUNCTION("""COMPUTED_VALUE"""),"Доклад от конференция")</f>
        <v>Доклад от конференция</v>
      </c>
      <c r="C3301" s="10" t="str">
        <f ca="1">IFERROR(__xludf.DUMMYFUNCTION("""COMPUTED_VALUE"""),"Target Detection by GPS Forward-Scattering System")</f>
        <v>Target Detection by GPS Forward-Scattering System</v>
      </c>
      <c r="D3301" s="10">
        <f ca="1">IFERROR(__xludf.DUMMYFUNCTION("""COMPUTED_VALUE"""),2017)</f>
        <v>2017</v>
      </c>
      <c r="E3301" s="10" t="str">
        <f ca="1">IFERROR(__xludf.DUMMYFUNCTION("""COMPUTED_VALUE"""),"25th European Signal Processing Conference (EUSIPCO)")</f>
        <v>25th European Signal Processing Conference (EUSIPCO)</v>
      </c>
      <c r="F3301" s="10" t="str">
        <f ca="1">IFERROR(__xludf.DUMMYFUNCTION("""COMPUTED_VALUE"""),"IEEE")</f>
        <v>IEEE</v>
      </c>
      <c r="G3301" s="10" t="str">
        <f ca="1">IFERROR(__xludf.DUMMYFUNCTION("""COMPUTED_VALUE"""),"S. Vladimirov")</f>
        <v>S. Vladimirov</v>
      </c>
      <c r="H3301" s="10"/>
      <c r="I3301" s="10"/>
      <c r="J3301" s="10"/>
      <c r="K3301" s="10"/>
      <c r="L3301" s="10"/>
      <c r="M3301" s="10"/>
      <c r="N3301" s="10"/>
      <c r="O3301" s="10"/>
      <c r="P3301" s="10"/>
      <c r="Q3301" s="10"/>
      <c r="R3301" s="10"/>
      <c r="S3301" s="10"/>
      <c r="T3301" s="10"/>
      <c r="U3301" s="10"/>
      <c r="V3301" s="10"/>
      <c r="W3301" s="10"/>
      <c r="X3301" s="10"/>
      <c r="Y3301" s="10"/>
      <c r="Z3301" s="10"/>
    </row>
    <row r="3302" spans="1:26" ht="12.75">
      <c r="A3302" s="10" t="str">
        <f ca="1">IFERROR(__xludf.DUMMYFUNCTION("""COMPUTED_VALUE"""),"Иван Ганчев Гарванов")</f>
        <v>Иван Ганчев Гарванов</v>
      </c>
      <c r="B3302" s="10" t="str">
        <f ca="1">IFERROR(__xludf.DUMMYFUNCTION("""COMPUTED_VALUE"""),"Доклад от конференция")</f>
        <v>Доклад от конференция</v>
      </c>
      <c r="C3302" s="10" t="str">
        <f ca="1">IFERROR(__xludf.DUMMYFUNCTION("""COMPUTED_VALUE"""),"Detection of Very Weak Radio Pulsar Signal")</f>
        <v>Detection of Very Weak Radio Pulsar Signal</v>
      </c>
      <c r="D3302" s="10">
        <f ca="1">IFERROR(__xludf.DUMMYFUNCTION("""COMPUTED_VALUE"""),2017)</f>
        <v>2017</v>
      </c>
      <c r="E3302" s="10" t="str">
        <f ca="1">IFERROR(__xludf.DUMMYFUNCTION("""COMPUTED_VALUE"""),"14th International Conference on Informatics and Information Technologies")</f>
        <v>14th International Conference on Informatics and Information Technologies</v>
      </c>
      <c r="F3302" s="10"/>
      <c r="G3302" s="10" t="str">
        <f ca="1">IFERROR(__xludf.DUMMYFUNCTION("""COMPUTED_VALUE"""),"S. Vladimirov")</f>
        <v>S. Vladimirov</v>
      </c>
      <c r="H3302" s="10"/>
      <c r="I3302" s="10"/>
      <c r="J3302" s="10"/>
      <c r="K3302" s="10"/>
      <c r="L3302" s="10"/>
      <c r="M3302" s="10"/>
      <c r="N3302" s="10"/>
      <c r="O3302" s="10"/>
      <c r="P3302" s="10"/>
      <c r="Q3302" s="10"/>
      <c r="R3302" s="10"/>
      <c r="S3302" s="10"/>
      <c r="T3302" s="10"/>
      <c r="U3302" s="10"/>
      <c r="V3302" s="10"/>
      <c r="W3302" s="10"/>
      <c r="X3302" s="10"/>
      <c r="Y3302" s="10"/>
      <c r="Z3302" s="10"/>
    </row>
    <row r="3303" spans="1:26" ht="12.75">
      <c r="A3303" s="10" t="str">
        <f ca="1">IFERROR(__xludf.DUMMYFUNCTION("""COMPUTED_VALUE"""),"Иван Ганчев Гарванов")</f>
        <v>Иван Ганчев Гарванов</v>
      </c>
      <c r="B3303" s="10" t="str">
        <f ca="1">IFERROR(__xludf.DUMMYFUNCTION("""COMPUTED_VALUE"""),"Доклад от конференция")</f>
        <v>Доклад от конференция</v>
      </c>
      <c r="C3303" s="10" t="str">
        <f ca="1">IFERROR(__xludf.DUMMYFUNCTION("""COMPUTED_VALUE"""),"Влиянието на съвременните информационни и комуникационни технологии върху човека")</f>
        <v>Влиянието на съвременните информационни и комуникационни технологии върху човека</v>
      </c>
      <c r="D3303" s="10">
        <f ca="1">IFERROR(__xludf.DUMMYFUNCTION("""COMPUTED_VALUE"""),2017)</f>
        <v>2017</v>
      </c>
      <c r="E3303" s="10" t="str">
        <f ca="1">IFERROR(__xludf.DUMMYFUNCTION("""COMPUTED_VALUE"""),"Международен пътуващ семинар на УниБИТ ""Съвременни измерения на европейското образователно и научно пространство. Българо-гръцки")</f>
        <v>Международен пътуващ семинар на УниБИТ "Съвременни измерения на европейското образователно и научно пространство. Българо-гръцки</v>
      </c>
      <c r="F3303" s="10"/>
      <c r="G3303" s="10" t="str">
        <f ca="1">IFERROR(__xludf.DUMMYFUNCTION("""COMPUTED_VALUE"""),"Магдалена Гарванова")</f>
        <v>Магдалена Гарванова</v>
      </c>
      <c r="H3303" s="10"/>
      <c r="I3303" s="10"/>
      <c r="J3303" s="10"/>
      <c r="K3303" s="10"/>
      <c r="L3303" s="10"/>
      <c r="M3303" s="10"/>
      <c r="N3303" s="10"/>
      <c r="O3303" s="10"/>
      <c r="P3303" s="10"/>
      <c r="Q3303" s="10"/>
      <c r="R3303" s="10"/>
      <c r="S3303" s="10"/>
      <c r="T3303" s="10"/>
      <c r="U3303" s="10"/>
      <c r="V3303" s="10"/>
      <c r="W3303" s="10"/>
      <c r="X3303" s="10"/>
      <c r="Y3303" s="10"/>
      <c r="Z3303" s="10"/>
    </row>
    <row r="3304" spans="1:26" ht="12.75">
      <c r="A3304" s="10" t="str">
        <f ca="1">IFERROR(__xludf.DUMMYFUNCTION("""COMPUTED_VALUE"""),"Иван Ганчев Гарванов")</f>
        <v>Иван Ганчев Гарванов</v>
      </c>
      <c r="B3304" s="10" t="str">
        <f ca="1">IFERROR(__xludf.DUMMYFUNCTION("""COMPUTED_VALUE"""),"Доклад от конференция")</f>
        <v>Доклад от конференция</v>
      </c>
      <c r="C3304" s="10" t="str">
        <f ca="1">IFERROR(__xludf.DUMMYFUNCTION("""COMPUTED_VALUE"""),"Откриване на нисколетящи самолети чрез GPS сигнали")</f>
        <v>Откриване на нисколетящи самолети чрез GPS сигнали</v>
      </c>
      <c r="D3304" s="10">
        <f ca="1">IFERROR(__xludf.DUMMYFUNCTION("""COMPUTED_VALUE"""),2017)</f>
        <v>2017</v>
      </c>
      <c r="E3304" s="10" t="str">
        <f ca="1">IFERROR(__xludf.DUMMYFUNCTION("""COMPUTED_VALUE"""),"Единно европейско въздушно пространство - същност и предизвикателства пред въздушния суверенитет и бизнеса")</f>
        <v>Единно европейско въздушно пространство - същност и предизвикателства пред въздушния суверенитет и бизнеса</v>
      </c>
      <c r="F3304" s="10"/>
      <c r="G3304" s="10" t="str">
        <f ca="1">IFERROR(__xludf.DUMMYFUNCTION("""COMPUTED_VALUE"""),"Хр. Кабакчиев, В. Бехар, М. Владимирова, К. Димитров, С. Владимиров")</f>
        <v>Хр. Кабакчиев, В. Бехар, М. Владимирова, К. Димитров, С. Владимиров</v>
      </c>
      <c r="H3304" s="10"/>
      <c r="I3304" s="10"/>
      <c r="J3304" s="10"/>
      <c r="K3304" s="10"/>
      <c r="L3304" s="10"/>
      <c r="M3304" s="10"/>
      <c r="N3304" s="10"/>
      <c r="O3304" s="10"/>
      <c r="P3304" s="10"/>
      <c r="Q3304" s="10"/>
      <c r="R3304" s="10"/>
      <c r="S3304" s="10"/>
      <c r="T3304" s="10"/>
      <c r="U3304" s="10"/>
      <c r="V3304" s="10"/>
      <c r="W3304" s="10"/>
      <c r="X3304" s="10"/>
      <c r="Y3304" s="10"/>
      <c r="Z3304" s="10"/>
    </row>
    <row r="3305" spans="1:26" ht="12.75">
      <c r="A3305" s="10" t="str">
        <f ca="1">IFERROR(__xludf.DUMMYFUNCTION("""COMPUTED_VALUE"""),"Иван Ганчев Гарванов")</f>
        <v>Иван Ганчев Гарванов</v>
      </c>
      <c r="B3305" s="10" t="str">
        <f ca="1">IFERROR(__xludf.DUMMYFUNCTION("""COMPUTED_VALUE"""),"Доклад от конференция")</f>
        <v>Доклад от конференция</v>
      </c>
      <c r="C3305" s="10" t="str">
        <f ca="1">IFERROR(__xludf.DUMMYFUNCTION("""COMPUTED_VALUE"""),"Откриване на сигнали от пулсари")</f>
        <v>Откриване на сигнали от пулсари</v>
      </c>
      <c r="D3305" s="10">
        <f ca="1">IFERROR(__xludf.DUMMYFUNCTION("""COMPUTED_VALUE"""),2017)</f>
        <v>2017</v>
      </c>
      <c r="E3305" s="10" t="str">
        <f ca="1">IFERROR(__xludf.DUMMYFUNCTION("""COMPUTED_VALUE"""),"V Международна научна конференция „ТЕХНИКА. ТЕХНОЛОГИИ. ОБРАЗОВАНИЕ. СИГУРНОСТ”")</f>
        <v>V Международна научна конференция „ТЕХНИКА. ТЕХНОЛОГИИ. ОБРАЗОВАНИЕ. СИГУРНОСТ”</v>
      </c>
      <c r="F3305" s="10"/>
      <c r="G3305" s="10" t="str">
        <f ca="1">IFERROR(__xludf.DUMMYFUNCTION("""COMPUTED_VALUE"""),"Хр. Кабакчиев, В. Бехар, М. Владимирова")</f>
        <v>Хр. Кабакчиев, В. Бехар, М. Владимирова</v>
      </c>
      <c r="H3305" s="10"/>
      <c r="I3305" s="10"/>
      <c r="J3305" s="10"/>
      <c r="K3305" s="10"/>
      <c r="L3305" s="10"/>
      <c r="M3305" s="10"/>
      <c r="N3305" s="10"/>
      <c r="O3305" s="10"/>
      <c r="P3305" s="10"/>
      <c r="Q3305" s="10"/>
      <c r="R3305" s="10"/>
      <c r="S3305" s="10"/>
      <c r="T3305" s="10"/>
      <c r="U3305" s="10"/>
      <c r="V3305" s="10"/>
      <c r="W3305" s="10"/>
      <c r="X3305" s="10"/>
      <c r="Y3305" s="10"/>
      <c r="Z3305" s="10"/>
    </row>
    <row r="3306" spans="1:26" ht="12.75">
      <c r="A3306" s="10" t="str">
        <f ca="1">IFERROR(__xludf.DUMMYFUNCTION("""COMPUTED_VALUE"""),"Иван Ганчев Гарванов")</f>
        <v>Иван Ганчев Гарванов</v>
      </c>
      <c r="B3306" s="10" t="str">
        <f ca="1">IFERROR(__xludf.DUMMYFUNCTION("""COMPUTED_VALUE"""),"Доклад от конференция")</f>
        <v>Доклад от конференция</v>
      </c>
      <c r="C3306" s="10" t="str">
        <f ca="1">IFERROR(__xludf.DUMMYFUNCTION("""COMPUTED_VALUE"""),"The importance of standardization for risk management on Seveso site")</f>
        <v>The importance of standardization for risk management on Seveso site</v>
      </c>
      <c r="D3306" s="10">
        <f ca="1">IFERROR(__xludf.DUMMYFUNCTION("""COMPUTED_VALUE"""),2017)</f>
        <v>2017</v>
      </c>
      <c r="E3306" s="10" t="str">
        <f ca="1">IFERROR(__xludf.DUMMYFUNCTION("""COMPUTED_VALUE"""),"15th International Conference on Electrical Machines, Drives and Power Systems (ELMA), Sofia, Bulgaria, 2017, pp. 419-422. doi: 10.1109/ELMA.2017.7955476")</f>
        <v>15th International Conference on Electrical Machines, Drives and Power Systems (ELMA), Sofia, Bulgaria, 2017, pp. 419-422. doi: 10.1109/ELMA.2017.7955476</v>
      </c>
      <c r="F3306" s="10" t="str">
        <f ca="1">IFERROR(__xludf.DUMMYFUNCTION("""COMPUTED_VALUE"""),"Scopus
 Web of Science
 IEEE")</f>
        <v>Scopus
 Web of Science
 IEEE</v>
      </c>
      <c r="G3306" s="10" t="str">
        <f ca="1">IFERROR(__xludf.DUMMYFUNCTION("""COMPUTED_VALUE"""),"M. Ljubić, B. Raković, L. Dimitrov, S. Aleksić")</f>
        <v>M. Ljubić, B. Raković, L. Dimitrov, S. Aleksić</v>
      </c>
      <c r="H3306" s="10"/>
      <c r="I3306" s="10"/>
      <c r="J3306" s="10"/>
      <c r="K3306" s="10"/>
      <c r="L3306" s="10"/>
      <c r="M3306" s="10"/>
      <c r="N3306" s="10"/>
      <c r="O3306" s="10"/>
      <c r="P3306" s="10"/>
      <c r="Q3306" s="10"/>
      <c r="R3306" s="10"/>
      <c r="S3306" s="10"/>
      <c r="T3306" s="10"/>
      <c r="U3306" s="10"/>
      <c r="V3306" s="10"/>
      <c r="W3306" s="10"/>
      <c r="X3306" s="10"/>
      <c r="Y3306" s="10"/>
      <c r="Z3306" s="10"/>
    </row>
    <row r="3307" spans="1:26" ht="12.75">
      <c r="A3307" s="10" t="str">
        <f ca="1">IFERROR(__xludf.DUMMYFUNCTION("""COMPUTED_VALUE"""),"Иван Ганчев Гарванов")</f>
        <v>Иван Ганчев Гарванов</v>
      </c>
      <c r="B3307" s="10" t="str">
        <f ca="1">IFERROR(__xludf.DUMMYFUNCTION("""COMPUTED_VALUE"""),"Доклад от конференция")</f>
        <v>Доклад от конференция</v>
      </c>
      <c r="C3307" s="10" t="str">
        <f ca="1">IFERROR(__xludf.DUMMYFUNCTION("""COMPUTED_VALUE"""),"Experimental study of moving man detection by acoustic forward scattering radar system")</f>
        <v>Experimental study of moving man detection by acoustic forward scattering radar system</v>
      </c>
      <c r="D3307" s="10">
        <f ca="1">IFERROR(__xludf.DUMMYFUNCTION("""COMPUTED_VALUE"""),2017)</f>
        <v>2017</v>
      </c>
      <c r="E3307" s="10" t="str">
        <f ca="1">IFERROR(__xludf.DUMMYFUNCTION("""COMPUTED_VALUE"""),"International Conference on Telecommunications and Remote Sensing - ICTRS'17, Delft, Nederland, 06-08.11.2017.")</f>
        <v>International Conference on Telecommunications and Remote Sensing - ICTRS'17, Delft, Nederland, 06-08.11.2017.</v>
      </c>
      <c r="F3307" s="10" t="str">
        <f ca="1">IFERROR(__xludf.DUMMYFUNCTION("""COMPUTED_VALUE"""),"Scopus")</f>
        <v>Scopus</v>
      </c>
      <c r="G3307" s="10" t="str">
        <f ca="1">IFERROR(__xludf.DUMMYFUNCTION("""COMPUTED_VALUE"""),"C. Kabakchiev, V. Behar, H. Rohling")</f>
        <v>C. Kabakchiev, V. Behar, H. Rohling</v>
      </c>
      <c r="H3307" s="10"/>
      <c r="I3307" s="10"/>
      <c r="J3307" s="10"/>
      <c r="K3307" s="10"/>
      <c r="L3307" s="10"/>
      <c r="M3307" s="10"/>
      <c r="N3307" s="10"/>
      <c r="O3307" s="10"/>
      <c r="P3307" s="10"/>
      <c r="Q3307" s="10"/>
      <c r="R3307" s="10"/>
      <c r="S3307" s="10"/>
      <c r="T3307" s="10"/>
      <c r="U3307" s="10"/>
      <c r="V3307" s="10"/>
      <c r="W3307" s="10"/>
      <c r="X3307" s="10"/>
      <c r="Y3307" s="10"/>
      <c r="Z3307" s="10"/>
    </row>
    <row r="3308" spans="1:26" ht="12.75">
      <c r="A3308" s="10" t="str">
        <f ca="1">IFERROR(__xludf.DUMMYFUNCTION("""COMPUTED_VALUE"""),"Иван Ганчев Гарванов")</f>
        <v>Иван Ганчев Гарванов</v>
      </c>
      <c r="B3308" s="10" t="str">
        <f ca="1">IFERROR(__xludf.DUMMYFUNCTION("""COMPUTED_VALUE"""),"Доклад от конференция")</f>
        <v>Доклад от конференция</v>
      </c>
      <c r="C3308" s="10" t="str">
        <f ca="1">IFERROR(__xludf.DUMMYFUNCTION("""COMPUTED_VALUE"""),"Moving Target Detection by Acoustic Forward Scattering Radar System")</f>
        <v>Moving Target Detection by Acoustic Forward Scattering Radar System</v>
      </c>
      <c r="D3308" s="10">
        <f ca="1">IFERROR(__xludf.DUMMYFUNCTION("""COMPUTED_VALUE"""),2017)</f>
        <v>2017</v>
      </c>
      <c r="E3308" s="10" t="str">
        <f ca="1">IFERROR(__xludf.DUMMYFUNCTION("""COMPUTED_VALUE"""),"Second International Scientific Conference ""industry 4.0"", 13-16.12.2017, Borovets, Bulgaria")</f>
        <v>Second International Scientific Conference "industry 4.0", 13-16.12.2017, Borovets, Bulgaria</v>
      </c>
      <c r="F3308" s="10"/>
      <c r="G3308" s="10" t="str">
        <f ca="1">IFERROR(__xludf.DUMMYFUNCTION("""COMPUTED_VALUE"""),"S. Vladimirov, N. Geshev")</f>
        <v>S. Vladimirov, N. Geshev</v>
      </c>
      <c r="H3308" s="10"/>
      <c r="I3308" s="10"/>
      <c r="J3308" s="10"/>
      <c r="K3308" s="10"/>
      <c r="L3308" s="10"/>
      <c r="M3308" s="10"/>
      <c r="N3308" s="10"/>
      <c r="O3308" s="10"/>
      <c r="P3308" s="10"/>
      <c r="Q3308" s="10"/>
      <c r="R3308" s="10"/>
      <c r="S3308" s="10"/>
      <c r="T3308" s="10"/>
      <c r="U3308" s="10"/>
      <c r="V3308" s="10"/>
      <c r="W3308" s="10"/>
      <c r="X3308" s="10"/>
      <c r="Y3308" s="10"/>
      <c r="Z3308" s="10"/>
    </row>
    <row r="3309" spans="1:26" ht="12.75">
      <c r="A3309" s="10" t="str">
        <f ca="1">IFERROR(__xludf.DUMMYFUNCTION("""COMPUTED_VALUE"""),"Иван Ганчев Гарванов")</f>
        <v>Иван Ганчев Гарванов</v>
      </c>
      <c r="B3309" s="10" t="str">
        <f ca="1">IFERROR(__xludf.DUMMYFUNCTION("""COMPUTED_VALUE"""),"Доклад от конференция")</f>
        <v>Доклад от конференция</v>
      </c>
      <c r="C3309" s="10" t="str">
        <f ca="1">IFERROR(__xludf.DUMMYFUNCTION("""COMPUTED_VALUE"""),"Навигационна система с пулсари")</f>
        <v>Навигационна система с пулсари</v>
      </c>
      <c r="D3309" s="10">
        <f ca="1">IFERROR(__xludf.DUMMYFUNCTION("""COMPUTED_VALUE"""),2017)</f>
        <v>2017</v>
      </c>
      <c r="E3309" s="10" t="str">
        <f ca="1">IFERROR(__xludf.DUMMYFUNCTION("""COMPUTED_VALUE"""),"Трета международна научна конференция „Единно европейско въздушно пространство – предизвикателства пред въздушния суверенитет и бизнеса“, 11 октомври 2017.")</f>
        <v>Трета международна научна конференция „Единно европейско въздушно пространство – предизвикателства пред въздушния суверенитет и бизнеса“, 11 октомври 2017.</v>
      </c>
      <c r="F3309" s="10"/>
      <c r="G3309" s="10" t="str">
        <f ca="1">IFERROR(__xludf.DUMMYFUNCTION("""COMPUTED_VALUE"""),"С. Владимиров, Н. Гешев")</f>
        <v>С. Владимиров, Н. Гешев</v>
      </c>
      <c r="H3309" s="10"/>
      <c r="I3309" s="10"/>
      <c r="J3309" s="10"/>
      <c r="K3309" s="10"/>
      <c r="L3309" s="10"/>
      <c r="M3309" s="10"/>
      <c r="N3309" s="10"/>
      <c r="O3309" s="10"/>
      <c r="P3309" s="10"/>
      <c r="Q3309" s="10"/>
      <c r="R3309" s="10"/>
      <c r="S3309" s="10"/>
      <c r="T3309" s="10"/>
      <c r="U3309" s="10"/>
      <c r="V3309" s="10"/>
      <c r="W3309" s="10"/>
      <c r="X3309" s="10"/>
      <c r="Y3309" s="10"/>
      <c r="Z3309" s="10"/>
    </row>
    <row r="3310" spans="1:26" ht="12.75">
      <c r="A3310" s="10" t="str">
        <f ca="1">IFERROR(__xludf.DUMMYFUNCTION("""COMPUTED_VALUE"""),"Иван Ганчев Гарванов")</f>
        <v>Иван Ганчев Гарванов</v>
      </c>
      <c r="B3310" s="10" t="str">
        <f ca="1">IFERROR(__xludf.DUMMYFUNCTION("""COMPUTED_VALUE"""),"Доклад от конференция")</f>
        <v>Доклад от конференция</v>
      </c>
      <c r="C3310" s="10" t="str">
        <f ca="1">IFERROR(__xludf.DUMMYFUNCTION("""COMPUTED_VALUE"""),"Comparative analysis of object shadows obtained by GPS and sound signals")</f>
        <v>Comparative analysis of object shadows obtained by GPS and sound signals</v>
      </c>
      <c r="D3310" s="10">
        <f ca="1">IFERROR(__xludf.DUMMYFUNCTION("""COMPUTED_VALUE"""),2017)</f>
        <v>2017</v>
      </c>
      <c r="E3310" s="10" t="str">
        <f ca="1">IFERROR(__xludf.DUMMYFUNCTION("""COMPUTED_VALUE"""),"Signal Processing Symposium SPS-2017, September 12 - 14, Jachranka, Poland, 2017, pp. 1-4, DOI: 10.1109/SPS.2017.8053681")</f>
        <v>Signal Processing Symposium SPS-2017, September 12 - 14, Jachranka, Poland, 2017, pp. 1-4, DOI: 10.1109/SPS.2017.8053681</v>
      </c>
      <c r="F3310" s="10" t="str">
        <f ca="1">IFERROR(__xludf.DUMMYFUNCTION("""COMPUTED_VALUE"""),"Scopus
 Web of Science
 IEEE")</f>
        <v>Scopus
 Web of Science
 IEEE</v>
      </c>
      <c r="G3310" s="10" t="str">
        <f ca="1">IFERROR(__xludf.DUMMYFUNCTION("""COMPUTED_VALUE"""),"K. Dimitrov, V. Behar, C. Kabakchiev")</f>
        <v>K. Dimitrov, V. Behar, C. Kabakchiev</v>
      </c>
      <c r="H3310" s="10"/>
      <c r="I3310" s="10"/>
      <c r="J3310" s="10"/>
      <c r="K3310" s="10"/>
      <c r="L3310" s="10"/>
      <c r="M3310" s="10"/>
      <c r="N3310" s="10"/>
      <c r="O3310" s="10"/>
      <c r="P3310" s="10"/>
      <c r="Q3310" s="10"/>
      <c r="R3310" s="10"/>
      <c r="S3310" s="10"/>
      <c r="T3310" s="10"/>
      <c r="U3310" s="10"/>
      <c r="V3310" s="10"/>
      <c r="W3310" s="10"/>
      <c r="X3310" s="10"/>
      <c r="Y3310" s="10"/>
      <c r="Z3310" s="10"/>
    </row>
    <row r="3311" spans="1:26" ht="12.75">
      <c r="A3311" s="10" t="str">
        <f ca="1">IFERROR(__xludf.DUMMYFUNCTION("""COMPUTED_VALUE"""),"Иван Ганчев Гарванов")</f>
        <v>Иван Ганчев Гарванов</v>
      </c>
      <c r="B3311" s="10" t="str">
        <f ca="1">IFERROR(__xludf.DUMMYFUNCTION("""COMPUTED_VALUE"""),"Доклад от конференция")</f>
        <v>Доклад от конференция</v>
      </c>
      <c r="C3311" s="10" t="str">
        <f ca="1">IFERROR(__xludf.DUMMYFUNCTION("""COMPUTED_VALUE"""),"Feasibility of Asteroid Detection using Pulsar FSR-Network")</f>
        <v>Feasibility of Asteroid Detection using Pulsar FSR-Network</v>
      </c>
      <c r="D3311" s="10">
        <f ca="1">IFERROR(__xludf.DUMMYFUNCTION("""COMPUTED_VALUE"""),2017)</f>
        <v>2017</v>
      </c>
      <c r="E3311" s="10" t="str">
        <f ca="1">IFERROR(__xludf.DUMMYFUNCTION("""COMPUTED_VALUE"""),"Signal Processing Symposium SPS-2017, September 12 - 14, Jachranka, Poland, 2017, pp. 137-141, DOI: 10.1109/SPS.2017.8053661.")</f>
        <v>Signal Processing Symposium SPS-2017, September 12 - 14, Jachranka, Poland, 2017, pp. 137-141, DOI: 10.1109/SPS.2017.8053661.</v>
      </c>
      <c r="F3311" s="10" t="str">
        <f ca="1">IFERROR(__xludf.DUMMYFUNCTION("""COMPUTED_VALUE"""),"Scopus
 Web of Science
 IEEE")</f>
        <v>Scopus
 Web of Science
 IEEE</v>
      </c>
      <c r="G3311" s="10" t="str">
        <f ca="1">IFERROR(__xludf.DUMMYFUNCTION("""COMPUTED_VALUE"""),"Kabakchiev H., V. Behar, D. Kabakchieva, A. Kabakchiev, H. Rohling, M. Bentum , J. Fernandes")</f>
        <v>Kabakchiev H., V. Behar, D. Kabakchieva, A. Kabakchiev, H. Rohling, M. Bentum , J. Fernandes</v>
      </c>
      <c r="H3311" s="10"/>
      <c r="I3311" s="10"/>
      <c r="J3311" s="10"/>
      <c r="K3311" s="10"/>
      <c r="L3311" s="10"/>
      <c r="M3311" s="10"/>
      <c r="N3311" s="10"/>
      <c r="O3311" s="10"/>
      <c r="P3311" s="10"/>
      <c r="Q3311" s="10"/>
      <c r="R3311" s="10"/>
      <c r="S3311" s="10"/>
      <c r="T3311" s="10"/>
      <c r="U3311" s="10"/>
      <c r="V3311" s="10"/>
      <c r="W3311" s="10"/>
      <c r="X3311" s="10"/>
      <c r="Y3311" s="10"/>
      <c r="Z3311" s="10"/>
    </row>
    <row r="3312" spans="1:26" ht="12.75">
      <c r="A3312" s="10" t="str">
        <f ca="1">IFERROR(__xludf.DUMMYFUNCTION("""COMPUTED_VALUE"""),"Иван Ганчев Гарванов")</f>
        <v>Иван Ганчев Гарванов</v>
      </c>
      <c r="B3312" s="10" t="str">
        <f ca="1">IFERROR(__xludf.DUMMYFUNCTION("""COMPUTED_VALUE"""),"Доклад от конференция")</f>
        <v>Доклад от конференция</v>
      </c>
      <c r="C3312" s="10" t="str">
        <f ca="1">IFERROR(__xludf.DUMMYFUNCTION("""COMPUTED_VALUE"""),"Air Target Detection using Pulsar FSR")</f>
        <v>Air Target Detection using Pulsar FSR</v>
      </c>
      <c r="D3312" s="10">
        <f ca="1">IFERROR(__xludf.DUMMYFUNCTION("""COMPUTED_VALUE"""),2017)</f>
        <v>2017</v>
      </c>
      <c r="E3312" s="10" t="str">
        <f ca="1">IFERROR(__xludf.DUMMYFUNCTION("""COMPUTED_VALUE"""),"International Radar Symposium 2017, 28-30 June, 2017, Prague, Czech Republic, pp. 1-7, DOI: 10.23919/IRS.2017.8008187")</f>
        <v>International Radar Symposium 2017, 28-30 June, 2017, Prague, Czech Republic, pp. 1-7, DOI: 10.23919/IRS.2017.8008187</v>
      </c>
      <c r="F3312" s="10" t="str">
        <f ca="1">IFERROR(__xludf.DUMMYFUNCTION("""COMPUTED_VALUE"""),"Scopus
 Web of Science
 IEEE")</f>
        <v>Scopus
 Web of Science
 IEEE</v>
      </c>
      <c r="G3312" s="10" t="str">
        <f ca="1">IFERROR(__xludf.DUMMYFUNCTION("""COMPUTED_VALUE"""),"Kabakchiev C., V. Behar, D. Kabakchieva, A. Kabakchiev, H. Rohling, M. Bentum, J. Fernandes")</f>
        <v>Kabakchiev C., V. Behar, D. Kabakchieva, A. Kabakchiev, H. Rohling, M. Bentum, J. Fernandes</v>
      </c>
      <c r="H3312" s="10"/>
      <c r="I3312" s="10"/>
      <c r="J3312" s="10"/>
      <c r="K3312" s="10"/>
      <c r="L3312" s="10"/>
      <c r="M3312" s="10"/>
      <c r="N3312" s="10"/>
      <c r="O3312" s="10"/>
      <c r="P3312" s="10"/>
      <c r="Q3312" s="10"/>
      <c r="R3312" s="10"/>
      <c r="S3312" s="10"/>
      <c r="T3312" s="10"/>
      <c r="U3312" s="10"/>
      <c r="V3312" s="10"/>
      <c r="W3312" s="10"/>
      <c r="X3312" s="10"/>
      <c r="Y3312" s="10"/>
      <c r="Z3312" s="10"/>
    </row>
    <row r="3313" spans="1:26" ht="12.75">
      <c r="A3313" s="10" t="str">
        <f ca="1">IFERROR(__xludf.DUMMYFUNCTION("""COMPUTED_VALUE"""),"Иван Ганчев Гарванов")</f>
        <v>Иван Ганчев Гарванов</v>
      </c>
      <c r="B3313" s="10" t="str">
        <f ca="1">IFERROR(__xludf.DUMMYFUNCTION("""COMPUTED_VALUE"""),"Доклад от конференция")</f>
        <v>Доклад от конференция</v>
      </c>
      <c r="C3313" s="10" t="str">
        <f ca="1">IFERROR(__xludf.DUMMYFUNCTION("""COMPUTED_VALUE"""),"Improvement in SNR of Signal Detection using Filtering in Pulsar-Based Navigation Systems")</f>
        <v>Improvement in SNR of Signal Detection using Filtering in Pulsar-Based Navigation Systems</v>
      </c>
      <c r="D3313" s="10">
        <f ca="1">IFERROR(__xludf.DUMMYFUNCTION("""COMPUTED_VALUE"""),2017)</f>
        <v>2017</v>
      </c>
      <c r="E3313" s="10" t="str">
        <f ca="1">IFERROR(__xludf.DUMMYFUNCTION("""COMPUTED_VALUE"""),"International Radar Symposium 2017, 28-30 June, 2017, Prague, Czech Republic, pp. 1-10, DOI: 10.23919/IRS.2017.8008258")</f>
        <v>International Radar Symposium 2017, 28-30 June, 2017, Prague, Czech Republic, pp. 1-10, DOI: 10.23919/IRS.2017.8008258</v>
      </c>
      <c r="F3313" s="10" t="str">
        <f ca="1">IFERROR(__xludf.DUMMYFUNCTION("""COMPUTED_VALUE"""),"Scopus
 Web of Science
 IEEE")</f>
        <v>Scopus
 Web of Science
 IEEE</v>
      </c>
      <c r="G3313" s="10" t="str">
        <f ca="1">IFERROR(__xludf.DUMMYFUNCTION("""COMPUTED_VALUE"""),"Kabakchiev C., V. Behar, P. Buist, D. Kabakchieva, M. Bentum , J. Fernandes")</f>
        <v>Kabakchiev C., V. Behar, P. Buist, D. Kabakchieva, M. Bentum , J. Fernandes</v>
      </c>
      <c r="H3313" s="10"/>
      <c r="I3313" s="10"/>
      <c r="J3313" s="10"/>
      <c r="K3313" s="10"/>
      <c r="L3313" s="10"/>
      <c r="M3313" s="10"/>
      <c r="N3313" s="10"/>
      <c r="O3313" s="10"/>
      <c r="P3313" s="10"/>
      <c r="Q3313" s="10"/>
      <c r="R3313" s="10"/>
      <c r="S3313" s="10"/>
      <c r="T3313" s="10"/>
      <c r="U3313" s="10"/>
      <c r="V3313" s="10"/>
      <c r="W3313" s="10"/>
      <c r="X3313" s="10"/>
      <c r="Y3313" s="10"/>
      <c r="Z3313" s="10"/>
    </row>
    <row r="3314" spans="1:26" ht="12.75">
      <c r="A3314" s="10" t="str">
        <f ca="1">IFERROR(__xludf.DUMMYFUNCTION("""COMPUTED_VALUE"""),"Иван Ганчев Гарванов")</f>
        <v>Иван Ганчев Гарванов</v>
      </c>
      <c r="B3314" s="10" t="str">
        <f ca="1">IFERROR(__xludf.DUMMYFUNCTION("""COMPUTED_VALUE"""),"Доклад от конференция")</f>
        <v>Доклад от конференция</v>
      </c>
      <c r="C3314" s="10" t="str">
        <f ca="1">IFERROR(__xludf.DUMMYFUNCTION("""COMPUTED_VALUE"""),"Experimental Parameter Estimation of Vehicles GPS Shadows by Forward Scattering Systems")</f>
        <v>Experimental Parameter Estimation of Vehicles GPS Shadows by Forward Scattering Systems</v>
      </c>
      <c r="D3314" s="10">
        <f ca="1">IFERROR(__xludf.DUMMYFUNCTION("""COMPUTED_VALUE"""),2017)</f>
        <v>2017</v>
      </c>
      <c r="E3314" s="10" t="str">
        <f ca="1">IFERROR(__xludf.DUMMYFUNCTION("""COMPUTED_VALUE"""),"International Radar Symposium 2017, 28-30 June, 2017, Prague, Czech Republic, pp.1-7, DOI: 10.23919/IRS.2017.8008216")</f>
        <v>International Radar Symposium 2017, 28-30 June, 2017, Prague, Czech Republic, pp.1-7, DOI: 10.23919/IRS.2017.8008216</v>
      </c>
      <c r="F3314" s="10" t="str">
        <f ca="1">IFERROR(__xludf.DUMMYFUNCTION("""COMPUTED_VALUE"""),"Scopus
 Web of Science
 IEEE")</f>
        <v>Scopus
 Web of Science
 IEEE</v>
      </c>
      <c r="G3314" s="10" t="str">
        <f ca="1">IFERROR(__xludf.DUMMYFUNCTION("""COMPUTED_VALUE"""),"Kabakchiev C., V. Behar, D. Kabakchieva, K. Kabakchiev, K. Dimitrov, H. Rohling, K. Kulpa, A. Jarovoy")</f>
        <v>Kabakchiev C., V. Behar, D. Kabakchieva, K. Kabakchiev, K. Dimitrov, H. Rohling, K. Kulpa, A. Jarovoy</v>
      </c>
      <c r="H3314" s="10"/>
      <c r="I3314" s="10"/>
      <c r="J3314" s="10"/>
      <c r="K3314" s="10"/>
      <c r="L3314" s="10"/>
      <c r="M3314" s="10"/>
      <c r="N3314" s="10"/>
      <c r="O3314" s="10"/>
      <c r="P3314" s="10"/>
      <c r="Q3314" s="10"/>
      <c r="R3314" s="10"/>
      <c r="S3314" s="10"/>
      <c r="T3314" s="10"/>
      <c r="U3314" s="10"/>
      <c r="V3314" s="10"/>
      <c r="W3314" s="10"/>
      <c r="X3314" s="10"/>
      <c r="Y3314" s="10"/>
      <c r="Z3314" s="10"/>
    </row>
    <row r="3315" spans="1:26" ht="12.75">
      <c r="A3315" s="10" t="str">
        <f ca="1">IFERROR(__xludf.DUMMYFUNCTION("""COMPUTED_VALUE"""),"Иван Ганчев Гарванов")</f>
        <v>Иван Ганчев Гарванов</v>
      </c>
      <c r="B3315" s="10" t="str">
        <f ca="1">IFERROR(__xludf.DUMMYFUNCTION("""COMPUTED_VALUE"""),"Доклад от конференция")</f>
        <v>Доклад от конференция</v>
      </c>
      <c r="C3315" s="10" t="str">
        <f ca="1">IFERROR(__xludf.DUMMYFUNCTION("""COMPUTED_VALUE"""),"Data Mining Classification of Cars Based on the GPS Shadows in Forward Scatter Radar Systems")</f>
        <v>Data Mining Classification of Cars Based on the GPS Shadows in Forward Scatter Radar Systems</v>
      </c>
      <c r="D3315" s="10">
        <f ca="1">IFERROR(__xludf.DUMMYFUNCTION("""COMPUTED_VALUE"""),2017)</f>
        <v>2017</v>
      </c>
      <c r="E3315" s="10" t="str">
        <f ca="1">IFERROR(__xludf.DUMMYFUNCTION("""COMPUTED_VALUE"""),"International Radar Symposium 2017, 28-30 June, 2017, Prague, Czech Republic, pp. 1-9, DOI: 10.23919/IRS.2017.8008217.")</f>
        <v>International Radar Symposium 2017, 28-30 June, 2017, Prague, Czech Republic, pp. 1-9, DOI: 10.23919/IRS.2017.8008217.</v>
      </c>
      <c r="F3315" s="10" t="str">
        <f ca="1">IFERROR(__xludf.DUMMYFUNCTION("""COMPUTED_VALUE"""),"Scopus
 Web of Science
 IEEE")</f>
        <v>Scopus
 Web of Science
 IEEE</v>
      </c>
      <c r="G3315" s="10" t="str">
        <f ca="1">IFERROR(__xludf.DUMMYFUNCTION("""COMPUTED_VALUE"""),"Kabakchiev C., D. Kabakchieva, V. Behar, K. Kabakchiev, H. Rohling, K. Kulpa, A. Yarovoy")</f>
        <v>Kabakchiev C., D. Kabakchieva, V. Behar, K. Kabakchiev, H. Rohling, K. Kulpa, A. Yarovoy</v>
      </c>
      <c r="H3315" s="10"/>
      <c r="I3315" s="10"/>
      <c r="J3315" s="10"/>
      <c r="K3315" s="10"/>
      <c r="L3315" s="10"/>
      <c r="M3315" s="10"/>
      <c r="N3315" s="10"/>
      <c r="O3315" s="10"/>
      <c r="P3315" s="10"/>
      <c r="Q3315" s="10"/>
      <c r="R3315" s="10"/>
      <c r="S3315" s="10"/>
      <c r="T3315" s="10"/>
      <c r="U3315" s="10"/>
      <c r="V3315" s="10"/>
      <c r="W3315" s="10"/>
      <c r="X3315" s="10"/>
      <c r="Y3315" s="10"/>
      <c r="Z3315" s="10"/>
    </row>
    <row r="3316" spans="1:26" ht="12.75">
      <c r="A3316" s="10" t="str">
        <f ca="1">IFERROR(__xludf.DUMMYFUNCTION("""COMPUTED_VALUE"""),"Иван Ганчев Гарванов")</f>
        <v>Иван Ганчев Гарванов</v>
      </c>
      <c r="B3316" s="10" t="str">
        <f ca="1">IFERROR(__xludf.DUMMYFUNCTION("""COMPUTED_VALUE"""),"Доклад от конференция")</f>
        <v>Доклад от конференция</v>
      </c>
      <c r="C3316" s="10" t="str">
        <f ca="1">IFERROR(__xludf.DUMMYFUNCTION("""COMPUTED_VALUE"""),"Performance Analysis of the Method for Social Search of Information in University Information Systems")</f>
        <v>Performance Analysis of the Method for Social Search of Information in University Information Systems</v>
      </c>
      <c r="D3316" s="10">
        <f ca="1">IFERROR(__xludf.DUMMYFUNCTION("""COMPUTED_VALUE"""),2016)</f>
        <v>2016</v>
      </c>
      <c r="E3316" s="10" t="str">
        <f ca="1">IFERROR(__xludf.DUMMYFUNCTION("""COMPUTED_VALUE"""),"The Third International Conference on Artificial Intelligence and Pattern Recognition (AIPR2016), Lodz University of Technology, Lodz, Poland, pp. 149-153, 2016.")</f>
        <v>The Third International Conference on Artificial Intelligence and Pattern Recognition (AIPR2016), Lodz University of Technology, Lodz, Poland, pp. 149-153, 2016.</v>
      </c>
      <c r="F3316" s="10" t="str">
        <f ca="1">IFERROR(__xludf.DUMMYFUNCTION("""COMPUTED_VALUE"""),"Scopus
 Web of Science
 IEEE")</f>
        <v>Scopus
 Web of Science
 IEEE</v>
      </c>
      <c r="G3316" s="10" t="str">
        <f ca="1">IFERROR(__xludf.DUMMYFUNCTION("""COMPUTED_VALUE"""),"Dimitrov G., G. Panayotova, Bychkov O, P. Petrov, A. Angelov")</f>
        <v>Dimitrov G., G. Panayotova, Bychkov O, P. Petrov, A. Angelov</v>
      </c>
      <c r="H3316" s="10"/>
      <c r="I3316" s="10"/>
      <c r="J3316" s="10"/>
      <c r="K3316" s="10"/>
      <c r="L3316" s="10"/>
      <c r="M3316" s="10"/>
      <c r="N3316" s="10"/>
      <c r="O3316" s="10"/>
      <c r="P3316" s="10"/>
      <c r="Q3316" s="10"/>
      <c r="R3316" s="10"/>
      <c r="S3316" s="10"/>
      <c r="T3316" s="10"/>
      <c r="U3316" s="10"/>
      <c r="V3316" s="10"/>
      <c r="W3316" s="10"/>
      <c r="X3316" s="10"/>
      <c r="Y3316" s="10"/>
      <c r="Z3316" s="10"/>
    </row>
    <row r="3317" spans="1:26" ht="12.75">
      <c r="A3317" s="10" t="str">
        <f ca="1">IFERROR(__xludf.DUMMYFUNCTION("""COMPUTED_VALUE"""),"Иван Ганчев Гарванов")</f>
        <v>Иван Ганчев Гарванов</v>
      </c>
      <c r="B3317" s="10" t="str">
        <f ca="1">IFERROR(__xludf.DUMMYFUNCTION("""COMPUTED_VALUE"""),"Доклад от конференция")</f>
        <v>Доклад от конференция</v>
      </c>
      <c r="C3317" s="10" t="str">
        <f ca="1">IFERROR(__xludf.DUMMYFUNCTION("""COMPUTED_VALUE"""),"Training of workers as an important safety measures for risk menagment")</f>
        <v>Training of workers as an important safety measures for risk menagment</v>
      </c>
      <c r="D3317" s="10">
        <f ca="1">IFERROR(__xludf.DUMMYFUNCTION("""COMPUTED_VALUE"""),2016)</f>
        <v>2016</v>
      </c>
      <c r="E3317" s="10" t="str">
        <f ca="1">IFERROR(__xludf.DUMMYFUNCTION("""COMPUTED_VALUE"""),"XVIII-th International Symposium on Electrical Apparatus and Technologies SIELA 2016, 29 May - 1 June 2016, Bourgas, Bulgaria.")</f>
        <v>XVIII-th International Symposium on Electrical Apparatus and Technologies SIELA 2016, 29 May - 1 June 2016, Bourgas, Bulgaria.</v>
      </c>
      <c r="F3317" s="10" t="str">
        <f ca="1">IFERROR(__xludf.DUMMYFUNCTION("""COMPUTED_VALUE"""),"Scopus
 Web of Science
 IEEE")</f>
        <v>Scopus
 Web of Science
 IEEE</v>
      </c>
      <c r="G3317" s="10" t="str">
        <f ca="1">IFERROR(__xludf.DUMMYFUNCTION("""COMPUTED_VALUE"""),"Maja Ljubić, Božidar Raković, Ljubomir Dimitrov")</f>
        <v>Maja Ljubić, Božidar Raković, Ljubomir Dimitrov</v>
      </c>
      <c r="H3317" s="10"/>
      <c r="I3317" s="10"/>
      <c r="J3317" s="10"/>
      <c r="K3317" s="10"/>
      <c r="L3317" s="10"/>
      <c r="M3317" s="10"/>
      <c r="N3317" s="10"/>
      <c r="O3317" s="10"/>
      <c r="P3317" s="10"/>
      <c r="Q3317" s="10"/>
      <c r="R3317" s="10"/>
      <c r="S3317" s="10"/>
      <c r="T3317" s="10"/>
      <c r="U3317" s="10"/>
      <c r="V3317" s="10"/>
      <c r="W3317" s="10"/>
      <c r="X3317" s="10"/>
      <c r="Y3317" s="10"/>
      <c r="Z3317" s="10"/>
    </row>
    <row r="3318" spans="1:26" ht="12.75">
      <c r="A3318" s="10" t="str">
        <f ca="1">IFERROR(__xludf.DUMMYFUNCTION("""COMPUTED_VALUE"""),"Иван Ганчев Гарванов")</f>
        <v>Иван Ганчев Гарванов</v>
      </c>
      <c r="B3318" s="10" t="str">
        <f ca="1">IFERROR(__xludf.DUMMYFUNCTION("""COMPUTED_VALUE"""),"Доклад от конференция")</f>
        <v>Доклад от конференция</v>
      </c>
      <c r="C3318" s="10" t="str">
        <f ca="1">IFERROR(__xludf.DUMMYFUNCTION("""COMPUTED_VALUE"""),"CFAR Processors in the Presence of Randomly Arriving Impulse Interference")</f>
        <v>CFAR Processors in the Presence of Randomly Arriving Impulse Interference</v>
      </c>
      <c r="D3318" s="10">
        <f ca="1">IFERROR(__xludf.DUMMYFUNCTION("""COMPUTED_VALUE"""),2016)</f>
        <v>2016</v>
      </c>
      <c r="E3318" s="10" t="str">
        <f ca="1">IFERROR(__xludf.DUMMYFUNCTION("""COMPUTED_VALUE"""),"13th International Conference on Informatics and Information Technologies")</f>
        <v>13th International Conference on Informatics and Information Technologies</v>
      </c>
      <c r="F3318" s="10"/>
      <c r="G3318" s="10" t="str">
        <f ca="1">IFERROR(__xludf.DUMMYFUNCTION("""COMPUTED_VALUE"""),"M. Vladimirova")</f>
        <v>M. Vladimirova</v>
      </c>
      <c r="H3318" s="10"/>
      <c r="I3318" s="10"/>
      <c r="J3318" s="10"/>
      <c r="K3318" s="10"/>
      <c r="L3318" s="10"/>
      <c r="M3318" s="10"/>
      <c r="N3318" s="10"/>
      <c r="O3318" s="10"/>
      <c r="P3318" s="10"/>
      <c r="Q3318" s="10"/>
      <c r="R3318" s="10"/>
      <c r="S3318" s="10"/>
      <c r="T3318" s="10"/>
      <c r="U3318" s="10"/>
      <c r="V3318" s="10"/>
      <c r="W3318" s="10"/>
      <c r="X3318" s="10"/>
      <c r="Y3318" s="10"/>
      <c r="Z3318" s="10"/>
    </row>
    <row r="3319" spans="1:26" ht="12.75">
      <c r="A3319" s="10" t="str">
        <f ca="1">IFERROR(__xludf.DUMMYFUNCTION("""COMPUTED_VALUE"""),"Иван Ганчев Гарванов")</f>
        <v>Иван Ганчев Гарванов</v>
      </c>
      <c r="B3319" s="10" t="str">
        <f ca="1">IFERROR(__xludf.DUMMYFUNCTION("""COMPUTED_VALUE"""),"Доклад от конференция")</f>
        <v>Доклад от конференция</v>
      </c>
      <c r="C3319" s="10" t="str">
        <f ca="1">IFERROR(__xludf.DUMMYFUNCTION("""COMPUTED_VALUE"""),"Polar Hough Detector in the Presence of Randomly Arriving Impulse Interference")</f>
        <v>Polar Hough Detector in the Presence of Randomly Arriving Impulse Interference</v>
      </c>
      <c r="D3319" s="10">
        <f ca="1">IFERROR(__xludf.DUMMYFUNCTION("""COMPUTED_VALUE"""),2016)</f>
        <v>2016</v>
      </c>
      <c r="E3319" s="10" t="str">
        <f ca="1">IFERROR(__xludf.DUMMYFUNCTION("""COMPUTED_VALUE"""),"13th International Conference on Informatics and Information Technologies, April 22-24, 2016, Bitola, Macedonia, 2016.")</f>
        <v>13th International Conference on Informatics and Information Technologies, April 22-24, 2016, Bitola, Macedonia, 2016.</v>
      </c>
      <c r="F3319" s="10"/>
      <c r="G3319" s="10" t="str">
        <f ca="1">IFERROR(__xludf.DUMMYFUNCTION("""COMPUTED_VALUE"""),"S. Vladimirov, M. Garvanova")</f>
        <v>S. Vladimirov, M. Garvanova</v>
      </c>
      <c r="H3319" s="10"/>
      <c r="I3319" s="10"/>
      <c r="J3319" s="10"/>
      <c r="K3319" s="10"/>
      <c r="L3319" s="10"/>
      <c r="M3319" s="10"/>
      <c r="N3319" s="10"/>
      <c r="O3319" s="10"/>
      <c r="P3319" s="10"/>
      <c r="Q3319" s="10"/>
      <c r="R3319" s="10"/>
      <c r="S3319" s="10"/>
      <c r="T3319" s="10"/>
      <c r="U3319" s="10"/>
      <c r="V3319" s="10"/>
      <c r="W3319" s="10"/>
      <c r="X3319" s="10"/>
      <c r="Y3319" s="10"/>
      <c r="Z3319" s="10"/>
    </row>
    <row r="3320" spans="1:26" ht="12.75">
      <c r="A3320" s="10" t="str">
        <f ca="1">IFERROR(__xludf.DUMMYFUNCTION("""COMPUTED_VALUE"""),"Иван Ганчев Гарванов")</f>
        <v>Иван Ганчев Гарванов</v>
      </c>
      <c r="B3320" s="10" t="str">
        <f ca="1">IFERROR(__xludf.DUMMYFUNCTION("""COMPUTED_VALUE"""),"Доклад от конференция")</f>
        <v>Доклад от конференция</v>
      </c>
      <c r="C3320" s="10" t="str">
        <f ca="1">IFERROR(__xludf.DUMMYFUNCTION("""COMPUTED_VALUE"""),"Експериментално изследване на навигационна система с цел откриване на подвижни обекти")</f>
        <v>Експериментално изследване на навигационна система с цел откриване на подвижни обекти</v>
      </c>
      <c r="D3320" s="10">
        <f ca="1">IFERROR(__xludf.DUMMYFUNCTION("""COMPUTED_VALUE"""),2016)</f>
        <v>2016</v>
      </c>
      <c r="E3320" s="10" t="str">
        <f ca="1">IFERROR(__xludf.DUMMYFUNCTION("""COMPUTED_VALUE"""),"Съвременни измерения на европейското образователно и научно пространство. Българо-унгарски културни общувания")</f>
        <v>Съвременни измерения на европейското образователно и научно пространство. Българо-унгарски културни общувания</v>
      </c>
      <c r="F3320" s="10"/>
      <c r="G3320" s="10" t="str">
        <f ca="1">IFERROR(__xludf.DUMMYFUNCTION("""COMPUTED_VALUE"""),"Димитров К.")</f>
        <v>Димитров К.</v>
      </c>
      <c r="H3320" s="10"/>
      <c r="I3320" s="10"/>
      <c r="J3320" s="10"/>
      <c r="K3320" s="10"/>
      <c r="L3320" s="10"/>
      <c r="M3320" s="10"/>
      <c r="N3320" s="10"/>
      <c r="O3320" s="10"/>
      <c r="P3320" s="10"/>
      <c r="Q3320" s="10"/>
      <c r="R3320" s="10"/>
      <c r="S3320" s="10"/>
      <c r="T3320" s="10"/>
      <c r="U3320" s="10"/>
      <c r="V3320" s="10"/>
      <c r="W3320" s="10"/>
      <c r="X3320" s="10"/>
      <c r="Y3320" s="10"/>
      <c r="Z3320" s="10"/>
    </row>
    <row r="3321" spans="1:26" ht="12.75">
      <c r="A3321" s="10" t="str">
        <f ca="1">IFERROR(__xludf.DUMMYFUNCTION("""COMPUTED_VALUE"""),"Иван Ганчев Гарванов")</f>
        <v>Иван Ганчев Гарванов</v>
      </c>
      <c r="B3321" s="10" t="str">
        <f ca="1">IFERROR(__xludf.DUMMYFUNCTION("""COMPUTED_VALUE"""),"Доклад от конференция")</f>
        <v>Доклад от конференция</v>
      </c>
      <c r="C3321" s="10" t="str">
        <f ca="1">IFERROR(__xludf.DUMMYFUNCTION("""COMPUTED_VALUE"""),"Приложение на Хаф трансформацията в автоматични откриватели на движещи се цели и траектории")</f>
        <v>Приложение на Хаф трансформацията в автоматични откриватели на движещи се цели и траектории</v>
      </c>
      <c r="D3321" s="10">
        <f ca="1">IFERROR(__xludf.DUMMYFUNCTION("""COMPUTED_VALUE"""),2016)</f>
        <v>2016</v>
      </c>
      <c r="E3321" s="10"/>
      <c r="F3321" s="10"/>
      <c r="G3321" s="10"/>
      <c r="H3321" s="10"/>
      <c r="I3321" s="10"/>
      <c r="J3321" s="10"/>
      <c r="K3321" s="10"/>
      <c r="L3321" s="10"/>
      <c r="M3321" s="10"/>
      <c r="N3321" s="10"/>
      <c r="O3321" s="10"/>
      <c r="P3321" s="10"/>
      <c r="Q3321" s="10"/>
      <c r="R3321" s="10"/>
      <c r="S3321" s="10"/>
      <c r="T3321" s="10"/>
      <c r="U3321" s="10"/>
      <c r="V3321" s="10"/>
      <c r="W3321" s="10"/>
      <c r="X3321" s="10"/>
      <c r="Y3321" s="10"/>
      <c r="Z3321" s="10"/>
    </row>
    <row r="3322" spans="1:26" ht="12.75">
      <c r="A3322" s="10" t="str">
        <f ca="1">IFERROR(__xludf.DUMMYFUNCTION("""COMPUTED_VALUE"""),"Иван Ганчев Гарванов")</f>
        <v>Иван Ганчев Гарванов</v>
      </c>
      <c r="B3322" s="10" t="str">
        <f ca="1">IFERROR(__xludf.DUMMYFUNCTION("""COMPUTED_VALUE"""),"Доклад от конференция")</f>
        <v>Доклад от конференция</v>
      </c>
      <c r="C3322" s="10" t="str">
        <f ca="1">IFERROR(__xludf.DUMMYFUNCTION("""COMPUTED_VALUE"""),"Откриване на въздушни цели с GPS приемник")</f>
        <v>Откриване на въздушни цели с GPS приемник</v>
      </c>
      <c r="D3322" s="10">
        <f ca="1">IFERROR(__xludf.DUMMYFUNCTION("""COMPUTED_VALUE"""),2016)</f>
        <v>2016</v>
      </c>
      <c r="E3322" s="10" t="str">
        <f ca="1">IFERROR(__xludf.DUMMYFUNCTION("""COMPUTED_VALUE"""),"IV Международна научна конференция „ТЕХНИКА. ТЕХНОЛОГИИ. ОБРАЗОВАНИЕ. СИГУРНОСТ”, 01-03 юни 2016 г. в гр. Велико Търново, България, 2016.")</f>
        <v>IV Международна научна конференция „ТЕХНИКА. ТЕХНОЛОГИИ. ОБРАЗОВАНИЕ. СИГУРНОСТ”, 01-03 юни 2016 г. в гр. Велико Търново, България, 2016.</v>
      </c>
      <c r="F3322" s="10"/>
      <c r="G3322" s="10" t="str">
        <f ca="1">IFERROR(__xludf.DUMMYFUNCTION("""COMPUTED_VALUE"""),"М. Владимирова, П. Даскалов")</f>
        <v>М. Владимирова, П. Даскалов</v>
      </c>
      <c r="H3322" s="10"/>
      <c r="I3322" s="10"/>
      <c r="J3322" s="10"/>
      <c r="K3322" s="10"/>
      <c r="L3322" s="10"/>
      <c r="M3322" s="10"/>
      <c r="N3322" s="10"/>
      <c r="O3322" s="10"/>
      <c r="P3322" s="10"/>
      <c r="Q3322" s="10"/>
      <c r="R3322" s="10"/>
      <c r="S3322" s="10"/>
      <c r="T3322" s="10"/>
      <c r="U3322" s="10"/>
      <c r="V3322" s="10"/>
      <c r="W3322" s="10"/>
      <c r="X3322" s="10"/>
      <c r="Y3322" s="10"/>
      <c r="Z3322" s="10"/>
    </row>
    <row r="3323" spans="1:26" ht="12.75">
      <c r="A3323" s="10" t="str">
        <f ca="1">IFERROR(__xludf.DUMMYFUNCTION("""COMPUTED_VALUE"""),"Иван Ганчев Гарванов")</f>
        <v>Иван Ганчев Гарванов</v>
      </c>
      <c r="B3323" s="10" t="str">
        <f ca="1">IFERROR(__xludf.DUMMYFUNCTION("""COMPUTED_VALUE"""),"Доклад от конференция")</f>
        <v>Доклад от конференция</v>
      </c>
      <c r="C3323" s="10" t="str">
        <f ca="1">IFERROR(__xludf.DUMMYFUNCTION("""COMPUTED_VALUE"""),"Air target detection with a GPS forward-scattering radar")</f>
        <v>Air target detection with a GPS forward-scattering radar</v>
      </c>
      <c r="D3323" s="10">
        <f ca="1">IFERROR(__xludf.DUMMYFUNCTION("""COMPUTED_VALUE"""),2016)</f>
        <v>2016</v>
      </c>
      <c r="E3323" s="10" t="str">
        <f ca="1">IFERROR(__xludf.DUMMYFUNCTION("""COMPUTED_VALUE"""),"XVIII-th International Symposium on Electrical Apparatus and Technologies SIELA 2016, 29 May - 1 June 2016, Bourgas, Bulgaria.")</f>
        <v>XVIII-th International Symposium on Electrical Apparatus and Technologies SIELA 2016, 29 May - 1 June 2016, Bourgas, Bulgaria.</v>
      </c>
      <c r="F3323" s="10" t="str">
        <f ca="1">IFERROR(__xludf.DUMMYFUNCTION("""COMPUTED_VALUE"""),"Scopus
 Web of Science
 IEEE")</f>
        <v>Scopus
 Web of Science
 IEEE</v>
      </c>
      <c r="G3323" s="10" t="str">
        <f ca="1">IFERROR(__xludf.DUMMYFUNCTION("""COMPUTED_VALUE"""),"C. Kabakchiev, V. Behar, P. Daskalov")</f>
        <v>C. Kabakchiev, V. Behar, P. Daskalov</v>
      </c>
      <c r="H3323" s="10"/>
      <c r="I3323" s="10"/>
      <c r="J3323" s="10"/>
      <c r="K3323" s="10"/>
      <c r="L3323" s="10"/>
      <c r="M3323" s="10"/>
      <c r="N3323" s="10"/>
      <c r="O3323" s="10"/>
      <c r="P3323" s="10"/>
      <c r="Q3323" s="10"/>
      <c r="R3323" s="10"/>
      <c r="S3323" s="10"/>
      <c r="T3323" s="10"/>
      <c r="U3323" s="10"/>
      <c r="V3323" s="10"/>
      <c r="W3323" s="10"/>
      <c r="X3323" s="10"/>
      <c r="Y3323" s="10"/>
      <c r="Z3323" s="10"/>
    </row>
    <row r="3324" spans="1:26" ht="12.75">
      <c r="A3324" s="10" t="str">
        <f ca="1">IFERROR(__xludf.DUMMYFUNCTION("""COMPUTED_VALUE"""),"Иван Ганчев Гарванов")</f>
        <v>Иван Ганчев Гарванов</v>
      </c>
      <c r="B3324" s="10" t="str">
        <f ca="1">IFERROR(__xludf.DUMMYFUNCTION("""COMPUTED_VALUE"""),"Доклад от конференция")</f>
        <v>Доклад от конференция</v>
      </c>
      <c r="C3324" s="10" t="str">
        <f ca="1">IFERROR(__xludf.DUMMYFUNCTION("""COMPUTED_VALUE"""),"The Experimental Study of Possibility for Pulsar Signal Detection")</f>
        <v>The Experimental Study of Possibility for Pulsar Signal Detection</v>
      </c>
      <c r="D3324" s="10">
        <f ca="1">IFERROR(__xludf.DUMMYFUNCTION("""COMPUTED_VALUE"""),2016)</f>
        <v>2016</v>
      </c>
      <c r="E3324" s="10" t="str">
        <f ca="1">IFERROR(__xludf.DUMMYFUNCTION("""COMPUTED_VALUE"""),"The Second International Conference “Engineering &amp; Telecommunications – En&amp;T 2016”, Noevember 28-30, Moscow-Dolgoprudny, Russia, 2016, pp. 68-72, DOI: 10.1109/EnT.2016.023")</f>
        <v>The Second International Conference “Engineering &amp; Telecommunications – En&amp;T 2016”, Noevember 28-30, Moscow-Dolgoprudny, Russia, 2016, pp. 68-72, DOI: 10.1109/EnT.2016.023</v>
      </c>
      <c r="F3324" s="10" t="str">
        <f ca="1">IFERROR(__xludf.DUMMYFUNCTION("""COMPUTED_VALUE"""),"Scopus
 Web of Science
 IEEE")</f>
        <v>Scopus
 Web of Science
 IEEE</v>
      </c>
      <c r="G3324" s="10" t="str">
        <f ca="1">IFERROR(__xludf.DUMMYFUNCTION("""COMPUTED_VALUE"""),"Kabakchiev, Ch., Behar, V., Garvanova, M.")</f>
        <v>Kabakchiev, Ch., Behar, V., Garvanova, M.</v>
      </c>
      <c r="H3324" s="10"/>
      <c r="I3324" s="10"/>
      <c r="J3324" s="10"/>
      <c r="K3324" s="10"/>
      <c r="L3324" s="10"/>
      <c r="M3324" s="10"/>
      <c r="N3324" s="10"/>
      <c r="O3324" s="10"/>
      <c r="P3324" s="10"/>
      <c r="Q3324" s="10"/>
      <c r="R3324" s="10"/>
      <c r="S3324" s="10"/>
      <c r="T3324" s="10"/>
      <c r="U3324" s="10"/>
      <c r="V3324" s="10"/>
      <c r="W3324" s="10"/>
      <c r="X3324" s="10"/>
      <c r="Y3324" s="10"/>
      <c r="Z3324" s="10"/>
    </row>
    <row r="3325" spans="1:26" ht="12.75">
      <c r="A3325" s="10" t="str">
        <f ca="1">IFERROR(__xludf.DUMMYFUNCTION("""COMPUTED_VALUE"""),"Иван Ганчев Гарванов")</f>
        <v>Иван Ганчев Гарванов</v>
      </c>
      <c r="B3325" s="10" t="str">
        <f ca="1">IFERROR(__xludf.DUMMYFUNCTION("""COMPUTED_VALUE"""),"Доклад от конференция")</f>
        <v>Доклад от конференция</v>
      </c>
      <c r="C3325" s="10" t="str">
        <f ca="1">IFERROR(__xludf.DUMMYFUNCTION("""COMPUTED_VALUE"""),"Експериментално изследване на влиянието на съвременните комуникационни технологии върху здравето на човека")</f>
        <v>Експериментално изследване на влиянието на съвременните комуникационни технологии върху здравето на човека</v>
      </c>
      <c r="D3325" s="10">
        <f ca="1">IFERROR(__xludf.DUMMYFUNCTION("""COMPUTED_VALUE"""),2016)</f>
        <v>2016</v>
      </c>
      <c r="E3325" s="10" t="str">
        <f ca="1">IFERROR(__xludf.DUMMYFUNCTION("""COMPUTED_VALUE"""),"Втора кръгла маса на тема: “Проблеми на обществената комуникация”")</f>
        <v>Втора кръгла маса на тема: “Проблеми на обществената комуникация”</v>
      </c>
      <c r="F3325" s="10"/>
      <c r="G3325" s="10" t="str">
        <f ca="1">IFERROR(__xludf.DUMMYFUNCTION("""COMPUTED_VALUE"""),"М. Гарванова")</f>
        <v>М. Гарванова</v>
      </c>
      <c r="H3325" s="10"/>
      <c r="I3325" s="10"/>
      <c r="J3325" s="10"/>
      <c r="K3325" s="10"/>
      <c r="L3325" s="10"/>
      <c r="M3325" s="10"/>
      <c r="N3325" s="10"/>
      <c r="O3325" s="10"/>
      <c r="P3325" s="10"/>
      <c r="Q3325" s="10"/>
      <c r="R3325" s="10"/>
      <c r="S3325" s="10"/>
      <c r="T3325" s="10"/>
      <c r="U3325" s="10"/>
      <c r="V3325" s="10"/>
      <c r="W3325" s="10"/>
      <c r="X3325" s="10"/>
      <c r="Y3325" s="10"/>
      <c r="Z3325" s="10"/>
    </row>
    <row r="3326" spans="1:26" ht="12.75">
      <c r="A3326" s="10" t="str">
        <f ca="1">IFERROR(__xludf.DUMMYFUNCTION("""COMPUTED_VALUE"""),"Иван Ганчев Гарванов")</f>
        <v>Иван Ганчев Гарванов</v>
      </c>
      <c r="B3326" s="10" t="str">
        <f ca="1">IFERROR(__xludf.DUMMYFUNCTION("""COMPUTED_VALUE"""),"Доклад от конференция")</f>
        <v>Доклад от конференция</v>
      </c>
      <c r="C3326" s="10" t="str">
        <f ca="1">IFERROR(__xludf.DUMMYFUNCTION("""COMPUTED_VALUE"""),"Design and optimisation of technologies, selection of materials for reducing risk in the workplace")</f>
        <v>Design and optimisation of technologies, selection of materials for reducing risk in the workplace</v>
      </c>
      <c r="D3326" s="10">
        <f ca="1">IFERROR(__xludf.DUMMYFUNCTION("""COMPUTED_VALUE"""),2016)</f>
        <v>2016</v>
      </c>
      <c r="E3326" s="10" t="str">
        <f ca="1">IFERROR(__xludf.DUMMYFUNCTION("""COMPUTED_VALUE"""),"XVIII-th International Symposium on Electrical Apparatus and Technologies SIELA 2016, 29 May - 1 June 2016, Bourgas, Bulgaria.")</f>
        <v>XVIII-th International Symposium on Electrical Apparatus and Technologies SIELA 2016, 29 May - 1 June 2016, Bourgas, Bulgaria.</v>
      </c>
      <c r="F3326" s="10" t="str">
        <f ca="1">IFERROR(__xludf.DUMMYFUNCTION("""COMPUTED_VALUE"""),"Scopus
 Web of Science
 IEEE")</f>
        <v>Scopus
 Web of Science
 IEEE</v>
      </c>
      <c r="G3326" s="10" t="str">
        <f ca="1">IFERROR(__xludf.DUMMYFUNCTION("""COMPUTED_VALUE"""),"Maja Ljubić, Božidar Raković, Ljubomir Dimitrov")</f>
        <v>Maja Ljubić, Božidar Raković, Ljubomir Dimitrov</v>
      </c>
      <c r="H3326" s="10"/>
      <c r="I3326" s="10"/>
      <c r="J3326" s="10"/>
      <c r="K3326" s="10"/>
      <c r="L3326" s="10"/>
      <c r="M3326" s="10"/>
      <c r="N3326" s="10"/>
      <c r="O3326" s="10"/>
      <c r="P3326" s="10"/>
      <c r="Q3326" s="10"/>
      <c r="R3326" s="10"/>
      <c r="S3326" s="10"/>
      <c r="T3326" s="10"/>
      <c r="U3326" s="10"/>
      <c r="V3326" s="10"/>
      <c r="W3326" s="10"/>
      <c r="X3326" s="10"/>
      <c r="Y3326" s="10"/>
      <c r="Z3326" s="10"/>
    </row>
    <row r="3327" spans="1:26" ht="12.75">
      <c r="A3327" s="10" t="str">
        <f ca="1">IFERROR(__xludf.DUMMYFUNCTION("""COMPUTED_VALUE"""),"Иван Ганчев Гарванов")</f>
        <v>Иван Ганчев Гарванов</v>
      </c>
      <c r="B3327" s="10" t="str">
        <f ca="1">IFERROR(__xludf.DUMMYFUNCTION("""COMPUTED_VALUE"""),"Книга")</f>
        <v>Книга</v>
      </c>
      <c r="C3327" s="10" t="str">
        <f ca="1">IFERROR(__xludf.DUMMYFUNCTION("""COMPUTED_VALUE"""),"Multisensor Data Association by Using the Polar Hough Transform")</f>
        <v>Multisensor Data Association by Using the Polar Hough Transform</v>
      </c>
      <c r="D3327" s="10">
        <f ca="1">IFERROR(__xludf.DUMMYFUNCTION("""COMPUTED_VALUE"""),2016)</f>
        <v>2016</v>
      </c>
      <c r="E3327" s="10" t="str">
        <f ca="1">IFERROR(__xludf.DUMMYFUNCTION("""COMPUTED_VALUE"""),"SMART INNOVATION, SYSTEMS AND TECHNOLOGIES")</f>
        <v>SMART INNOVATION, SYSTEMS AND TECHNOLOGIES</v>
      </c>
      <c r="F3327" s="10"/>
      <c r="G3327" s="10"/>
      <c r="H3327" s="10"/>
      <c r="I3327" s="10"/>
      <c r="J3327" s="10"/>
      <c r="K3327" s="10"/>
      <c r="L3327" s="10"/>
      <c r="M3327" s="10"/>
      <c r="N3327" s="10"/>
      <c r="O3327" s="10"/>
      <c r="P3327" s="10"/>
      <c r="Q3327" s="10"/>
      <c r="R3327" s="10"/>
      <c r="S3327" s="10"/>
      <c r="T3327" s="10"/>
      <c r="U3327" s="10"/>
      <c r="V3327" s="10"/>
      <c r="W3327" s="10"/>
      <c r="X3327" s="10"/>
      <c r="Y3327" s="10"/>
      <c r="Z3327" s="10"/>
    </row>
    <row r="3328" spans="1:26" ht="12.75">
      <c r="A3328" s="10" t="str">
        <f ca="1">IFERROR(__xludf.DUMMYFUNCTION("""COMPUTED_VALUE"""),"Иван Ганчев Гарванов")</f>
        <v>Иван Ганчев Гарванов</v>
      </c>
      <c r="B3328" s="10" t="str">
        <f ca="1">IFERROR(__xludf.DUMMYFUNCTION("""COMPUTED_VALUE"""),"Доклад от конференция")</f>
        <v>Доклад от конференция</v>
      </c>
      <c r="C3328" s="10" t="str">
        <f ca="1">IFERROR(__xludf.DUMMYFUNCTION("""COMPUTED_VALUE"""),"Experimental Verification of Target Shadow Parameter Estimation in GPS FSR")</f>
        <v>Experimental Verification of Target Shadow Parameter Estimation in GPS FSR</v>
      </c>
      <c r="D3328" s="10">
        <f ca="1">IFERROR(__xludf.DUMMYFUNCTION("""COMPUTED_VALUE"""),2016)</f>
        <v>2016</v>
      </c>
      <c r="E3328" s="10" t="str">
        <f ca="1">IFERROR(__xludf.DUMMYFUNCTION("""COMPUTED_VALUE"""),"Proc. of the 17th International Radar Symposium IRS-2016, may 10 - 12, 2016, Krakow, Poland, 2016.")</f>
        <v>Proc. of the 17th International Radar Symposium IRS-2016, may 10 - 12, 2016, Krakow, Poland, 2016.</v>
      </c>
      <c r="F3328" s="10" t="str">
        <f ca="1">IFERROR(__xludf.DUMMYFUNCTION("""COMPUTED_VALUE"""),"Scopus
 Web of Science
 IEEE")</f>
        <v>Scopus
 Web of Science
 IEEE</v>
      </c>
      <c r="G3328" s="10" t="str">
        <f ca="1">IFERROR(__xludf.DUMMYFUNCTION("""COMPUTED_VALUE"""),"Kabakchiev C., V. Behar, D. Kabakchieva, K. Kabakchiev, H. Rohling. K. Kulpa. A. Yarovoy")</f>
        <v>Kabakchiev C., V. Behar, D. Kabakchieva, K. Kabakchiev, H. Rohling. K. Kulpa. A. Yarovoy</v>
      </c>
      <c r="H3328" s="10"/>
      <c r="I3328" s="10"/>
      <c r="J3328" s="10"/>
      <c r="K3328" s="10"/>
      <c r="L3328" s="10"/>
      <c r="M3328" s="10"/>
      <c r="N3328" s="10"/>
      <c r="O3328" s="10"/>
      <c r="P3328" s="10"/>
      <c r="Q3328" s="10"/>
      <c r="R3328" s="10"/>
      <c r="S3328" s="10"/>
      <c r="T3328" s="10"/>
      <c r="U3328" s="10"/>
      <c r="V3328" s="10"/>
      <c r="W3328" s="10"/>
      <c r="X3328" s="10"/>
      <c r="Y3328" s="10"/>
      <c r="Z3328" s="10"/>
    </row>
    <row r="3329" spans="1:26" ht="12.75">
      <c r="A3329" s="10" t="str">
        <f ca="1">IFERROR(__xludf.DUMMYFUNCTION("""COMPUTED_VALUE"""),"Иван Ганчев Гарванов")</f>
        <v>Иван Ганчев Гарванов</v>
      </c>
      <c r="B3329" s="10" t="str">
        <f ca="1">IFERROR(__xludf.DUMMYFUNCTION("""COMPUTED_VALUE"""),"Доклад от конференция")</f>
        <v>Доклад от конференция</v>
      </c>
      <c r="C3329" s="10" t="str">
        <f ca="1">IFERROR(__xludf.DUMMYFUNCTION("""COMPUTED_VALUE"""),"Target detection using a GPS Forward-Scattering Radar")</f>
        <v>Target detection using a GPS Forward-Scattering Radar</v>
      </c>
      <c r="D3329" s="10">
        <f ca="1">IFERROR(__xludf.DUMMYFUNCTION("""COMPUTED_VALUE"""),2015)</f>
        <v>2015</v>
      </c>
      <c r="E3329" s="10" t="str">
        <f ca="1">IFERROR(__xludf.DUMMYFUNCTION("""COMPUTED_VALUE"""),"TIEEE Pros. of the Second International Conference “Engineering &amp; Telecommunications – En&amp;T 2015”, Noevember 18-19, Moscow-Dolgoprudny, Russia, 2015, DOI: 10.1109/EnT.2015.20, pp. 29-33, (Invited paper).")</f>
        <v>TIEEE Pros. of the Second International Conference “Engineering &amp; Telecommunications – En&amp;T 2015”, Noevember 18-19, Moscow-Dolgoprudny, Russia, 2015, DOI: 10.1109/EnT.2015.20, pp. 29-33, (Invited paper).</v>
      </c>
      <c r="F3329" s="10" t="str">
        <f ca="1">IFERROR(__xludf.DUMMYFUNCTION("""COMPUTED_VALUE"""),"Scopus
 Web of Science
 IEEE")</f>
        <v>Scopus
 Web of Science
 IEEE</v>
      </c>
      <c r="G3329" s="10" t="str">
        <f ca="1">IFERROR(__xludf.DUMMYFUNCTION("""COMPUTED_VALUE"""),"Kabakchiev, Ch., Behar, V., Garvanova, M")</f>
        <v>Kabakchiev, Ch., Behar, V., Garvanova, M</v>
      </c>
      <c r="H3329" s="10"/>
      <c r="I3329" s="10"/>
      <c r="J3329" s="10"/>
      <c r="K3329" s="10"/>
      <c r="L3329" s="10"/>
      <c r="M3329" s="10"/>
      <c r="N3329" s="10"/>
      <c r="O3329" s="10"/>
      <c r="P3329" s="10"/>
      <c r="Q3329" s="10"/>
      <c r="R3329" s="10"/>
      <c r="S3329" s="10"/>
      <c r="T3329" s="10"/>
      <c r="U3329" s="10"/>
      <c r="V3329" s="10"/>
      <c r="W3329" s="10"/>
      <c r="X3329" s="10"/>
      <c r="Y3329" s="10"/>
      <c r="Z3329" s="10"/>
    </row>
    <row r="3330" spans="1:26" ht="12.75">
      <c r="A3330" s="10" t="str">
        <f ca="1">IFERROR(__xludf.DUMMYFUNCTION("""COMPUTED_VALUE"""),"Иван Ганчев Гарванов")</f>
        <v>Иван Ганчев Гарванов</v>
      </c>
      <c r="B3330" s="10" t="str">
        <f ca="1">IFERROR(__xludf.DUMMYFUNCTION("""COMPUTED_VALUE"""),"Доклад от конференция")</f>
        <v>Доклад от конференция</v>
      </c>
      <c r="C3330" s="10" t="str">
        <f ca="1">IFERROR(__xludf.DUMMYFUNCTION("""COMPUTED_VALUE"""),"Извличане на информация от радио сенки на GPS сигнали")</f>
        <v>Извличане на информация от радио сенки на GPS сигнали</v>
      </c>
      <c r="D3330" s="10">
        <f ca="1">IFERROR(__xludf.DUMMYFUNCTION("""COMPUTED_VALUE"""),2015)</f>
        <v>2015</v>
      </c>
      <c r="E3330" s="10" t="str">
        <f ca="1">IFERROR(__xludf.DUMMYFUNCTION("""COMPUTED_VALUE"""),"III Международна научна конференция „ТЕХНИКА. ТЕХНОЛОГИИ. ОБРАЗОВАНИЕ. СИГУРНОСТ”, 28-29 май 2015 г. в гр. Велико Търново, България. стр. 75-76, ISBN: 1310-3946, 2015.")</f>
        <v>III Международна научна конференция „ТЕХНИКА. ТЕХНОЛОГИИ. ОБРАЗОВАНИЕ. СИГУРНОСТ”, 28-29 май 2015 г. в гр. Велико Търново, България. стр. 75-76, ISBN: 1310-3946, 2015.</v>
      </c>
      <c r="F3330" s="10"/>
      <c r="G3330" s="10" t="str">
        <f ca="1">IFERROR(__xludf.DUMMYFUNCTION("""COMPUTED_VALUE"""),"М. Владимирова, С. Владимиров")</f>
        <v>М. Владимирова, С. Владимиров</v>
      </c>
      <c r="H3330" s="10"/>
      <c r="I3330" s="10"/>
      <c r="J3330" s="10"/>
      <c r="K3330" s="10"/>
      <c r="L3330" s="10"/>
      <c r="M3330" s="10"/>
      <c r="N3330" s="10"/>
      <c r="O3330" s="10"/>
      <c r="P3330" s="10"/>
      <c r="Q3330" s="10"/>
      <c r="R3330" s="10"/>
      <c r="S3330" s="10"/>
      <c r="T3330" s="10"/>
      <c r="U3330" s="10"/>
      <c r="V3330" s="10"/>
      <c r="W3330" s="10"/>
      <c r="X3330" s="10"/>
      <c r="Y3330" s="10"/>
      <c r="Z3330" s="10"/>
    </row>
    <row r="3331" spans="1:26" ht="12.75">
      <c r="A3331" s="10" t="str">
        <f ca="1">IFERROR(__xludf.DUMMYFUNCTION("""COMPUTED_VALUE"""),"Иван Ганчев Гарванов")</f>
        <v>Иван Ганчев Гарванов</v>
      </c>
      <c r="B3331" s="10" t="str">
        <f ca="1">IFERROR(__xludf.DUMMYFUNCTION("""COMPUTED_VALUE"""),"Доклад от конференция")</f>
        <v>Доклад от конференция</v>
      </c>
      <c r="C3331" s="10" t="str">
        <f ca="1">IFERROR(__xludf.DUMMYFUNCTION("""COMPUTED_VALUE"""),"Значај испитивања хемијских штетности у радној околини у процени ризика на радном месту")</f>
        <v>Значај испитивања хемијских штетности у радној околини у процени ризика на радном месту</v>
      </c>
      <c r="D3331" s="10">
        <f ca="1">IFERROR(__xludf.DUMMYFUNCTION("""COMPUTED_VALUE"""),2015)</f>
        <v>2015</v>
      </c>
      <c r="E3331" s="10" t="str">
        <f ca="1">IFERROR(__xludf.DUMMYFUNCTION("""COMPUTED_VALUE"""),"2015. Зборник радова, X МЕЂУНАРОДНО САВЕТОВАЊЕ на тему РИЗИК И БЕЗБЕДНОСНИ ИНЖЕЊЕРИНГ, 26 – 30. ЈАНУАР 2015. године, Копаоник, Нови Сад, Школска бр. 1, ISBN 978-86-6211-097-8 , 139-147")</f>
        <v>2015. Зборник радова, X МЕЂУНАРОДНО САВЕТОВАЊЕ на тему РИЗИК И БЕЗБЕДНОСНИ ИНЖЕЊЕРИНГ, 26 – 30. ЈАНУАР 2015. године, Копаоник, Нови Сад, Школска бр. 1, ISBN 978-86-6211-097-8 , 139-147</v>
      </c>
      <c r="F3331" s="10"/>
      <c r="G3331" s="10" t="str">
        <f ca="1">IFERROR(__xludf.DUMMYFUNCTION("""COMPUTED_VALUE"""),"Маја Љубић, Божидар Раковић")</f>
        <v>Маја Љубић, Божидар Раковић</v>
      </c>
      <c r="H3331" s="10"/>
      <c r="I3331" s="10"/>
      <c r="J3331" s="10"/>
      <c r="K3331" s="10"/>
      <c r="L3331" s="10"/>
      <c r="M3331" s="10"/>
      <c r="N3331" s="10"/>
      <c r="O3331" s="10"/>
      <c r="P3331" s="10"/>
      <c r="Q3331" s="10"/>
      <c r="R3331" s="10"/>
      <c r="S3331" s="10"/>
      <c r="T3331" s="10"/>
      <c r="U3331" s="10"/>
      <c r="V3331" s="10"/>
      <c r="W3331" s="10"/>
      <c r="X3331" s="10"/>
      <c r="Y3331" s="10"/>
      <c r="Z3331" s="10"/>
    </row>
    <row r="3332" spans="1:26" ht="12.75">
      <c r="A3332" s="10" t="str">
        <f ca="1">IFERROR(__xludf.DUMMYFUNCTION("""COMPUTED_VALUE"""),"Иван Ганчев Гарванов")</f>
        <v>Иван Ганчев Гарванов</v>
      </c>
      <c r="B3332" s="10" t="str">
        <f ca="1">IFERROR(__xludf.DUMMYFUNCTION("""COMPUTED_VALUE"""),"Доклад от конференция")</f>
        <v>Доклад от конференция</v>
      </c>
      <c r="C3332" s="10" t="str">
        <f ca="1">IFERROR(__xludf.DUMMYFUNCTION("""COMPUTED_VALUE"""),"Signal Processing of GPS Radio Shadows Formed by Moving Targets")</f>
        <v>Signal Processing of GPS Radio Shadows Formed by Moving Targets</v>
      </c>
      <c r="D3332" s="10">
        <f ca="1">IFERROR(__xludf.DUMMYFUNCTION("""COMPUTED_VALUE"""),2015)</f>
        <v>2015</v>
      </c>
      <c r="E3332" s="10" t="str">
        <f ca="1">IFERROR(__xludf.DUMMYFUNCTION("""COMPUTED_VALUE"""),"Proc. of the Signal Processing Symposium SPS-2015, Debe, Poland, DOI: 10.1109/SPS.2015.7168302")</f>
        <v>Proc. of the Signal Processing Symposium SPS-2015, Debe, Poland, DOI: 10.1109/SPS.2015.7168302</v>
      </c>
      <c r="F3332" s="10" t="str">
        <f ca="1">IFERROR(__xludf.DUMMYFUNCTION("""COMPUTED_VALUE"""),"Scopus
 Web of Science
 IEEE")</f>
        <v>Scopus
 Web of Science
 IEEE</v>
      </c>
      <c r="G3332" s="10" t="str">
        <f ca="1">IFERROR(__xludf.DUMMYFUNCTION("""COMPUTED_VALUE"""),"Kabakchiev C., V. Behar, D. Kabakchieva, K. Kabakchiev, H. Rohling, K. Kulpa, A. Yarovoy")</f>
        <v>Kabakchiev C., V. Behar, D. Kabakchieva, K. Kabakchiev, H. Rohling, K. Kulpa, A. Yarovoy</v>
      </c>
      <c r="H3332" s="10"/>
      <c r="I3332" s="10"/>
      <c r="J3332" s="10"/>
      <c r="K3332" s="10"/>
      <c r="L3332" s="10"/>
      <c r="M3332" s="10"/>
      <c r="N3332" s="10"/>
      <c r="O3332" s="10"/>
      <c r="P3332" s="10"/>
      <c r="Q3332" s="10"/>
      <c r="R3332" s="10"/>
      <c r="S3332" s="10"/>
      <c r="T3332" s="10"/>
      <c r="U3332" s="10"/>
      <c r="V3332" s="10"/>
      <c r="W3332" s="10"/>
      <c r="X3332" s="10"/>
      <c r="Y3332" s="10"/>
      <c r="Z3332" s="10"/>
    </row>
    <row r="3333" spans="1:26" ht="12.75">
      <c r="A3333" s="10" t="str">
        <f ca="1">IFERROR(__xludf.DUMMYFUNCTION("""COMPUTED_VALUE"""),"Иван Ганчев Гарванов")</f>
        <v>Иван Ганчев Гарванов</v>
      </c>
      <c r="B3333" s="10" t="str">
        <f ca="1">IFERROR(__xludf.DUMMYFUNCTION("""COMPUTED_VALUE"""),"Доклад от конференция")</f>
        <v>Доклад от конференция</v>
      </c>
      <c r="C3333" s="10" t="str">
        <f ca="1">IFERROR(__xludf.DUMMYFUNCTION("""COMPUTED_VALUE"""),"Time of Arrival Estimation in Pulsar Based Navigation Systems")</f>
        <v>Time of Arrival Estimation in Pulsar Based Navigation Systems</v>
      </c>
      <c r="D3333" s="10">
        <f ca="1">IFERROR(__xludf.DUMMYFUNCTION("""COMPUTED_VALUE"""),2015)</f>
        <v>2015</v>
      </c>
      <c r="E3333" s="10" t="str">
        <f ca="1">IFERROR(__xludf.DUMMYFUNCTION("""COMPUTED_VALUE"""),"Proc. of the Signal Processing Symposium SPS-2015, 10-12 June, Debe, Poland, 2015")</f>
        <v>Proc. of the Signal Processing Symposium SPS-2015, 10-12 June, Debe, Poland, 2015</v>
      </c>
      <c r="F3333" s="10" t="str">
        <f ca="1">IFERROR(__xludf.DUMMYFUNCTION("""COMPUTED_VALUE"""),"Scopus
 Web of Science
 IEEE")</f>
        <v>Scopus
 Web of Science
 IEEE</v>
      </c>
      <c r="G3333" s="10" t="str">
        <f ca="1">IFERROR(__xludf.DUMMYFUNCTION("""COMPUTED_VALUE"""),"Kabakchiev C., V. Behar, P. Buist, D. Kabakchieva, M. Bentum")</f>
        <v>Kabakchiev C., V. Behar, P. Buist, D. Kabakchieva, M. Bentum</v>
      </c>
      <c r="H3333" s="10"/>
      <c r="I3333" s="10"/>
      <c r="J3333" s="10"/>
      <c r="K3333" s="10"/>
      <c r="L3333" s="10"/>
      <c r="M3333" s="10"/>
      <c r="N3333" s="10"/>
      <c r="O3333" s="10"/>
      <c r="P3333" s="10"/>
      <c r="Q3333" s="10"/>
      <c r="R3333" s="10"/>
      <c r="S3333" s="10"/>
      <c r="T3333" s="10"/>
      <c r="U3333" s="10"/>
      <c r="V3333" s="10"/>
      <c r="W3333" s="10"/>
      <c r="X3333" s="10"/>
      <c r="Y3333" s="10"/>
      <c r="Z3333" s="10"/>
    </row>
    <row r="3334" spans="1:26" ht="12.75">
      <c r="A3334" s="10" t="str">
        <f ca="1">IFERROR(__xludf.DUMMYFUNCTION("""COMPUTED_VALUE"""),"Иван Ганчев Гарванов")</f>
        <v>Иван Ганчев Гарванов</v>
      </c>
      <c r="B3334" s="10" t="str">
        <f ca="1">IFERROR(__xludf.DUMMYFUNCTION("""COMPUTED_VALUE"""),"Доклад от конференция")</f>
        <v>Доклад от конференция</v>
      </c>
      <c r="C3334" s="10" t="str">
        <f ca="1">IFERROR(__xludf.DUMMYFUNCTION("""COMPUTED_VALUE"""),"Joint CFAR Detection and Parameter Estimation of Different Marine Targets using Forward Scatter Radar")</f>
        <v>Joint CFAR Detection and Parameter Estimation of Different Marine Targets using Forward Scatter Radar</v>
      </c>
      <c r="D3334" s="10">
        <f ca="1">IFERROR(__xludf.DUMMYFUNCTION("""COMPUTED_VALUE"""),2015)</f>
        <v>2015</v>
      </c>
      <c r="E3334" s="10" t="str">
        <f ca="1">IFERROR(__xludf.DUMMYFUNCTION("""COMPUTED_VALUE"""),"Proc. of the International Radar Symposium IRS-2015, June 24 - 26, 2015, Dresden, Germany, pp. 640-645, ISBN: 978-3-95404-853-3, 2015")</f>
        <v>Proc. of the International Radar Symposium IRS-2015, June 24 - 26, 2015, Dresden, Germany, pp. 640-645, ISBN: 978-3-95404-853-3, 2015</v>
      </c>
      <c r="F3334" s="10" t="str">
        <f ca="1">IFERROR(__xludf.DUMMYFUNCTION("""COMPUTED_VALUE"""),"Scopus
 Web of Science
 IEEE")</f>
        <v>Scopus
 Web of Science
 IEEE</v>
      </c>
      <c r="G3334" s="10" t="str">
        <f ca="1">IFERROR(__xludf.DUMMYFUNCTION("""COMPUTED_VALUE"""),"Kabakchiev A., C. Kabakchiev, V. Behar, D. Kabakchieva")</f>
        <v>Kabakchiev A., C. Kabakchiev, V. Behar, D. Kabakchieva</v>
      </c>
      <c r="H3334" s="10"/>
      <c r="I3334" s="10"/>
      <c r="J3334" s="10"/>
      <c r="K3334" s="10"/>
      <c r="L3334" s="10"/>
      <c r="M3334" s="10"/>
      <c r="N3334" s="10"/>
      <c r="O3334" s="10"/>
      <c r="P3334" s="10"/>
      <c r="Q3334" s="10"/>
      <c r="R3334" s="10"/>
      <c r="S3334" s="10"/>
      <c r="T3334" s="10"/>
      <c r="U3334" s="10"/>
      <c r="V3334" s="10"/>
      <c r="W3334" s="10"/>
      <c r="X3334" s="10"/>
      <c r="Y3334" s="10"/>
      <c r="Z3334" s="10"/>
    </row>
    <row r="3335" spans="1:26" ht="12.75">
      <c r="A3335" s="10" t="str">
        <f ca="1">IFERROR(__xludf.DUMMYFUNCTION("""COMPUTED_VALUE"""),"Иван Ганчев Гарванов")</f>
        <v>Иван Ганчев Гарванов</v>
      </c>
      <c r="B3335" s="10" t="str">
        <f ca="1">IFERROR(__xludf.DUMMYFUNCTION("""COMPUTED_VALUE"""),"Доклад от конференция")</f>
        <v>Доклад от конференция</v>
      </c>
      <c r="C3335" s="10" t="str">
        <f ca="1">IFERROR(__xludf.DUMMYFUNCTION("""COMPUTED_VALUE"""),"Detection and Estimation of Pulsar Signals for Navigation")</f>
        <v>Detection and Estimation of Pulsar Signals for Navigation</v>
      </c>
      <c r="D3335" s="10">
        <f ca="1">IFERROR(__xludf.DUMMYFUNCTION("""COMPUTED_VALUE"""),2015)</f>
        <v>2015</v>
      </c>
      <c r="E3335" s="10" t="str">
        <f ca="1">IFERROR(__xludf.DUMMYFUNCTION("""COMPUTED_VALUE"""),"Proc. of the International Radar Symposium IRS-2015, June 24 - 26, 2015, Dresden, Germany, pp. 688-693, ISBN: 978-3-95404-853-3, 2015")</f>
        <v>Proc. of the International Radar Symposium IRS-2015, June 24 - 26, 2015, Dresden, Germany, pp. 688-693, ISBN: 978-3-95404-853-3, 2015</v>
      </c>
      <c r="F3335" s="10" t="str">
        <f ca="1">IFERROR(__xludf.DUMMYFUNCTION("""COMPUTED_VALUE"""),"Scopus
 Web of Science
 IEEE")</f>
        <v>Scopus
 Web of Science
 IEEE</v>
      </c>
      <c r="G3335" s="10" t="str">
        <f ca="1">IFERROR(__xludf.DUMMYFUNCTION("""COMPUTED_VALUE"""),"Kabakchiev C., V. Behar, P. Buist, R. Heusdens, D. Kabakchieva")</f>
        <v>Kabakchiev C., V. Behar, P. Buist, R. Heusdens, D. Kabakchieva</v>
      </c>
      <c r="H3335" s="10"/>
      <c r="I3335" s="10"/>
      <c r="J3335" s="10"/>
      <c r="K3335" s="10"/>
      <c r="L3335" s="10"/>
      <c r="M3335" s="10"/>
      <c r="N3335" s="10"/>
      <c r="O3335" s="10"/>
      <c r="P3335" s="10"/>
      <c r="Q3335" s="10"/>
      <c r="R3335" s="10"/>
      <c r="S3335" s="10"/>
      <c r="T3335" s="10"/>
      <c r="U3335" s="10"/>
      <c r="V3335" s="10"/>
      <c r="W3335" s="10"/>
      <c r="X3335" s="10"/>
      <c r="Y3335" s="10"/>
      <c r="Z3335" s="10"/>
    </row>
    <row r="3336" spans="1:26" ht="12.75">
      <c r="A3336" s="10" t="str">
        <f ca="1">IFERROR(__xludf.DUMMYFUNCTION("""COMPUTED_VALUE"""),"Иван Ганчев Гарванов")</f>
        <v>Иван Ганчев Гарванов</v>
      </c>
      <c r="B3336" s="10" t="str">
        <f ca="1">IFERROR(__xludf.DUMMYFUNCTION("""COMPUTED_VALUE"""),"Доклад от конференция")</f>
        <v>Доклад от конференция</v>
      </c>
      <c r="C3336" s="10" t="str">
        <f ca="1">IFERROR(__xludf.DUMMYFUNCTION("""COMPUTED_VALUE"""),"Detection and Classification of Objects from Their Radio Shadows of GPS Signals")</f>
        <v>Detection and Classification of Objects from Their Radio Shadows of GPS Signals</v>
      </c>
      <c r="D3336" s="10">
        <f ca="1">IFERROR(__xludf.DUMMYFUNCTION("""COMPUTED_VALUE"""),2015)</f>
        <v>2015</v>
      </c>
      <c r="E3336" s="10" t="str">
        <f ca="1">IFERROR(__xludf.DUMMYFUNCTION("""COMPUTED_VALUE"""),"Proc. of the International Radar Symposium IRS-2015, June 24 - 26, 2015, Dresden, Germany, pp. 906-911, ISBN: 978-3-95404-853-3, 2015.")</f>
        <v>Proc. of the International Radar Symposium IRS-2015, June 24 - 26, 2015, Dresden, Germany, pp. 906-911, ISBN: 978-3-95404-853-3, 2015.</v>
      </c>
      <c r="F3336" s="10" t="str">
        <f ca="1">IFERROR(__xludf.DUMMYFUNCTION("""COMPUTED_VALUE"""),"Scopus
 Web of Science
 IEEE")</f>
        <v>Scopus
 Web of Science
 IEEE</v>
      </c>
      <c r="G3336" s="10" t="str">
        <f ca="1">IFERROR(__xludf.DUMMYFUNCTION("""COMPUTED_VALUE"""),"Kabakchiev C., V. Behar, D. Kabakchieva, K. Kabakchiev, H. Rohling. K. Kulpa. A. Yarovoy")</f>
        <v>Kabakchiev C., V. Behar, D. Kabakchieva, K. Kabakchiev, H. Rohling. K. Kulpa. A. Yarovoy</v>
      </c>
      <c r="H3336" s="10"/>
      <c r="I3336" s="10"/>
      <c r="J3336" s="10"/>
      <c r="K3336" s="10"/>
      <c r="L3336" s="10"/>
      <c r="M3336" s="10"/>
      <c r="N3336" s="10"/>
      <c r="O3336" s="10"/>
      <c r="P3336" s="10"/>
      <c r="Q3336" s="10"/>
      <c r="R3336" s="10"/>
      <c r="S3336" s="10"/>
      <c r="T3336" s="10"/>
      <c r="U3336" s="10"/>
      <c r="V3336" s="10"/>
      <c r="W3336" s="10"/>
      <c r="X3336" s="10"/>
      <c r="Y3336" s="10"/>
      <c r="Z3336" s="10"/>
    </row>
    <row r="3337" spans="1:26" ht="12.75">
      <c r="A3337" s="10" t="str">
        <f ca="1">IFERROR(__xludf.DUMMYFUNCTION("""COMPUTED_VALUE"""),"Иван Ганчев Гарванов")</f>
        <v>Иван Ганчев Гарванов</v>
      </c>
      <c r="B3337" s="10" t="str">
        <f ca="1">IFERROR(__xludf.DUMMYFUNCTION("""COMPUTED_VALUE"""),"Доклад от конференция")</f>
        <v>Доклад от конференция</v>
      </c>
      <c r="C3337" s="10" t="str">
        <f ca="1">IFERROR(__xludf.DUMMYFUNCTION("""COMPUTED_VALUE"""),"The Experimental Study of Moving Targets Radio Shadows using GPS Signals")</f>
        <v>The Experimental Study of Moving Targets Radio Shadows using GPS Signals</v>
      </c>
      <c r="D3337" s="10">
        <f ca="1">IFERROR(__xludf.DUMMYFUNCTION("""COMPUTED_VALUE"""),2015)</f>
        <v>2015</v>
      </c>
      <c r="E3337" s="10" t="str">
        <f ca="1">IFERROR(__xludf.DUMMYFUNCTION("""COMPUTED_VALUE"""),"The Sixth International Conference on Sensor Device Technologies and Applications SENSORDEVICES 2015, August 23 - 28, 2015, Venice, Italy, ISSN: 2308-3514, ISBN: 978-1-61208-426-8, pp. 138-141, 2015")</f>
        <v>The Sixth International Conference on Sensor Device Technologies and Applications SENSORDEVICES 2015, August 23 - 28, 2015, Venice, Italy, ISSN: 2308-3514, ISBN: 978-1-61208-426-8, pp. 138-141, 2015</v>
      </c>
      <c r="F3337" s="10"/>
      <c r="G3337" s="10" t="str">
        <f ca="1">IFERROR(__xludf.DUMMYFUNCTION("""COMPUTED_VALUE"""),"Kabakchiev C., V. Behar, D. Kabakchieva")</f>
        <v>Kabakchiev C., V. Behar, D. Kabakchieva</v>
      </c>
      <c r="H3337" s="10"/>
      <c r="I3337" s="10"/>
      <c r="J3337" s="10"/>
      <c r="K3337" s="10"/>
      <c r="L3337" s="10"/>
      <c r="M3337" s="10"/>
      <c r="N3337" s="10"/>
      <c r="O3337" s="10"/>
      <c r="P3337" s="10"/>
      <c r="Q3337" s="10"/>
      <c r="R3337" s="10"/>
      <c r="S3337" s="10"/>
      <c r="T3337" s="10"/>
      <c r="U3337" s="10"/>
      <c r="V3337" s="10"/>
      <c r="W3337" s="10"/>
      <c r="X3337" s="10"/>
      <c r="Y3337" s="10"/>
      <c r="Z3337" s="10"/>
    </row>
    <row r="3338" spans="1:26" ht="12.75">
      <c r="A3338" s="10" t="str">
        <f ca="1">IFERROR(__xludf.DUMMYFUNCTION("""COMPUTED_VALUE"""),"Иван Ганчев Гарванов")</f>
        <v>Иван Ганчев Гарванов</v>
      </c>
      <c r="B3338" s="10" t="str">
        <f ca="1">IFERROR(__xludf.DUMMYFUNCTION("""COMPUTED_VALUE"""),"Доклад от конференция")</f>
        <v>Доклад от конференция</v>
      </c>
      <c r="C3338" s="10" t="str">
        <f ca="1">IFERROR(__xludf.DUMMYFUNCTION("""COMPUTED_VALUE"""),"Secondary Applications of GPS Technology in Urban Environment")</f>
        <v>Secondary Applications of GPS Technology in Urban Environment</v>
      </c>
      <c r="D3338" s="10">
        <f ca="1">IFERROR(__xludf.DUMMYFUNCTION("""COMPUTED_VALUE"""),2015)</f>
        <v>2015</v>
      </c>
      <c r="E3338" s="10" t="str">
        <f ca="1">IFERROR(__xludf.DUMMYFUNCTION("""COMPUTED_VALUE"""),"VII Научно-стручна Конференција са међународним учешћем, ЗАШТИТА ПРИРОДНИХ РЕСУРСА КРОЗ ЗАШТИТУ ЖИВОТНЕ СРЕДИНЕ У УРБАНИМ СИСТЕМИМА, 21 мај 2015, Београд, Сърбия, ISBN: 978-86-915671-3-2, pp.164-172")</f>
        <v>VII Научно-стручна Конференција са међународним учешћем, ЗАШТИТА ПРИРОДНИХ РЕСУРСА КРОЗ ЗАШТИТУ ЖИВОТНЕ СРЕДИНЕ У УРБАНИМ СИСТЕМИМА, 21 мај 2015, Београд, Сърбия, ISBN: 978-86-915671-3-2, pp.164-172</v>
      </c>
      <c r="F3338" s="10"/>
      <c r="G3338" s="10" t="str">
        <f ca="1">IFERROR(__xludf.DUMMYFUNCTION("""COMPUTED_VALUE"""),"V. Bojkov, M. Garvanova")</f>
        <v>V. Bojkov, M. Garvanova</v>
      </c>
      <c r="H3338" s="10"/>
      <c r="I3338" s="10"/>
      <c r="J3338" s="10"/>
      <c r="K3338" s="10"/>
      <c r="L3338" s="10"/>
      <c r="M3338" s="10"/>
      <c r="N3338" s="10"/>
      <c r="O3338" s="10"/>
      <c r="P3338" s="10"/>
      <c r="Q3338" s="10"/>
      <c r="R3338" s="10"/>
      <c r="S3338" s="10"/>
      <c r="T3338" s="10"/>
      <c r="U3338" s="10"/>
      <c r="V3338" s="10"/>
      <c r="W3338" s="10"/>
      <c r="X3338" s="10"/>
      <c r="Y3338" s="10"/>
      <c r="Z3338" s="10"/>
    </row>
    <row r="3339" spans="1:26" ht="12.75">
      <c r="A3339" s="10" t="str">
        <f ca="1">IFERROR(__xludf.DUMMYFUNCTION("""COMPUTED_VALUE"""),"Иван Ганчев Гарванов")</f>
        <v>Иван Ганчев Гарванов</v>
      </c>
      <c r="B3339" s="10" t="str">
        <f ca="1">IFERROR(__xludf.DUMMYFUNCTION("""COMPUTED_VALUE"""),"Статия в списания и поредици")</f>
        <v>Статия в списания и поредици</v>
      </c>
      <c r="C3339" s="10" t="str">
        <f ca="1">IFERROR(__xludf.DUMMYFUNCTION("""COMPUTED_VALUE"""),"Experimental verification of maritime target parameter evaluation in FSR")</f>
        <v>Experimental verification of maritime target parameter evaluation in FSR</v>
      </c>
      <c r="D3339" s="10">
        <f ca="1">IFERROR(__xludf.DUMMYFUNCTION("""COMPUTED_VALUE"""),2015)</f>
        <v>2015</v>
      </c>
      <c r="E3339" s="10" t="str">
        <f ca="1">IFERROR(__xludf.DUMMYFUNCTION("""COMPUTED_VALUE"""),"IET Radar, Sonar &amp; Navigation")</f>
        <v>IET Radar, Sonar &amp; Navigation</v>
      </c>
      <c r="F3339" s="10"/>
      <c r="G3339" s="10"/>
      <c r="H3339" s="10"/>
      <c r="I3339" s="10"/>
      <c r="J3339" s="10"/>
      <c r="K3339" s="10"/>
      <c r="L3339" s="10"/>
      <c r="M3339" s="10"/>
      <c r="N3339" s="10"/>
      <c r="O3339" s="10"/>
      <c r="P3339" s="10"/>
      <c r="Q3339" s="10"/>
      <c r="R3339" s="10"/>
      <c r="S3339" s="10"/>
      <c r="T3339" s="10"/>
      <c r="U3339" s="10"/>
      <c r="V3339" s="10"/>
      <c r="W3339" s="10"/>
      <c r="X3339" s="10"/>
      <c r="Y3339" s="10"/>
      <c r="Z3339" s="10"/>
    </row>
    <row r="3340" spans="1:26" ht="12.75">
      <c r="A3340" s="10" t="str">
        <f ca="1">IFERROR(__xludf.DUMMYFUNCTION("""COMPUTED_VALUE"""),"Иван Ганчев Гарванов")</f>
        <v>Иван Ганчев Гарванов</v>
      </c>
      <c r="B3340" s="10" t="str">
        <f ca="1">IFERROR(__xludf.DUMMYFUNCTION("""COMPUTED_VALUE"""),"Доклад от конференция")</f>
        <v>Доклад от конференция</v>
      </c>
      <c r="C3340" s="10" t="str">
        <f ca="1">IFERROR(__xludf.DUMMYFUNCTION("""COMPUTED_VALUE"""),"The Study of Target Shadows Using Passive FSR Systems")</f>
        <v>The Study of Target Shadows Using Passive FSR Systems</v>
      </c>
      <c r="D3340" s="10">
        <f ca="1">IFERROR(__xludf.DUMMYFUNCTION("""COMPUTED_VALUE"""),2015)</f>
        <v>2015</v>
      </c>
      <c r="E3340" s="10" t="str">
        <f ca="1">IFERROR(__xludf.DUMMYFUNCTION("""COMPUTED_VALUE"""),"Proc. of the International Radar Symposium IRS-2015, June 24 - 26, 2015, Dresden, Germany, pp. 628-631, ISBN: 978-3-95404-853-3, 2015")</f>
        <v>Proc. of the International Radar Symposium IRS-2015, June 24 - 26, 2015, Dresden, Germany, pp. 628-631, ISBN: 978-3-95404-853-3, 2015</v>
      </c>
      <c r="F3340" s="10" t="str">
        <f ca="1">IFERROR(__xludf.DUMMYFUNCTION("""COMPUTED_VALUE"""),"Scopus
 Web of Science
 IEEE")</f>
        <v>Scopus
 Web of Science
 IEEE</v>
      </c>
      <c r="G3340" s="10" t="str">
        <f ca="1">IFERROR(__xludf.DUMMYFUNCTION("""COMPUTED_VALUE"""),"Kabakchiev C., V. Behar, D. Kabakchieva, K. Kabakchiev, H.Rohling, K. Kulpa, A. Yarovoy")</f>
        <v>Kabakchiev C., V. Behar, D. Kabakchieva, K. Kabakchiev, H.Rohling, K. Kulpa, A. Yarovoy</v>
      </c>
      <c r="H3340" s="10"/>
      <c r="I3340" s="10"/>
      <c r="J3340" s="10"/>
      <c r="K3340" s="10"/>
      <c r="L3340" s="10"/>
      <c r="M3340" s="10"/>
      <c r="N3340" s="10"/>
      <c r="O3340" s="10"/>
      <c r="P3340" s="10"/>
      <c r="Q3340" s="10"/>
      <c r="R3340" s="10"/>
      <c r="S3340" s="10"/>
      <c r="T3340" s="10"/>
      <c r="U3340" s="10"/>
      <c r="V3340" s="10"/>
      <c r="W3340" s="10"/>
      <c r="X3340" s="10"/>
      <c r="Y3340" s="10"/>
      <c r="Z3340" s="10"/>
    </row>
    <row r="3341" spans="1:26" ht="12.75">
      <c r="A3341" s="10" t="str">
        <f ca="1">IFERROR(__xludf.DUMMYFUNCTION("""COMPUTED_VALUE"""),"Иван Ганчев Гарванов")</f>
        <v>Иван Ганчев Гарванов</v>
      </c>
      <c r="B3341" s="10" t="str">
        <f ca="1">IFERROR(__xludf.DUMMYFUNCTION("""COMPUTED_VALUE"""),"Доклад от конференция")</f>
        <v>Доклад от конференция</v>
      </c>
      <c r="C3341" s="10" t="str">
        <f ca="1">IFERROR(__xludf.DUMMYFUNCTION("""COMPUTED_VALUE"""),"Проценa ризика на радном месту и у радној околини у експлозивним атмосферама")</f>
        <v>Проценa ризика на радном месту и у радној околини у експлозивним атмосферама</v>
      </c>
      <c r="D3341" s="10">
        <f ca="1">IFERROR(__xludf.DUMMYFUNCTION("""COMPUTED_VALUE"""),2015)</f>
        <v>2015</v>
      </c>
      <c r="E3341" s="10" t="str">
        <f ca="1">IFERROR(__xludf.DUMMYFUNCTION("""COMPUTED_VALUE"""),"Зборник радова, X МЕЂУНАРОДНО САВЕТОВАЊЕ на тему РИЗИК И БЕЗБЕДНОСНИ, 26 – 30. ЈАНУАР 2015. године, Копаоник, Нови Сад, Школска бр. 1, ISBN 978-86-6211-097-8 , 129-138.")</f>
        <v>Зборник радова, X МЕЂУНАРОДНО САВЕТОВАЊЕ на тему РИЗИК И БЕЗБЕДНОСНИ, 26 – 30. ЈАНУАР 2015. године, Копаоник, Нови Сад, Школска бр. 1, ISBN 978-86-6211-097-8 , 129-138.</v>
      </c>
      <c r="F3341" s="10"/>
      <c r="G3341" s="10" t="str">
        <f ca="1">IFERROR(__xludf.DUMMYFUNCTION("""COMPUTED_VALUE"""),"Маја Љубић, Божидар Раковић")</f>
        <v>Маја Љубић, Божидар Раковић</v>
      </c>
      <c r="H3341" s="10"/>
      <c r="I3341" s="10"/>
      <c r="J3341" s="10"/>
      <c r="K3341" s="10"/>
      <c r="L3341" s="10"/>
      <c r="M3341" s="10"/>
      <c r="N3341" s="10"/>
      <c r="O3341" s="10"/>
      <c r="P3341" s="10"/>
      <c r="Q3341" s="10"/>
      <c r="R3341" s="10"/>
      <c r="S3341" s="10"/>
      <c r="T3341" s="10"/>
      <c r="U3341" s="10"/>
      <c r="V3341" s="10"/>
      <c r="W3341" s="10"/>
      <c r="X3341" s="10"/>
      <c r="Y3341" s="10"/>
      <c r="Z3341" s="10"/>
    </row>
    <row r="3342" spans="1:26" ht="12.75">
      <c r="A3342" s="10" t="str">
        <f ca="1">IFERROR(__xludf.DUMMYFUNCTION("""COMPUTED_VALUE"""),"Иван Ганчев Гарванов")</f>
        <v>Иван Ганчев Гарванов</v>
      </c>
      <c r="B3342" s="10" t="str">
        <f ca="1">IFERROR(__xludf.DUMMYFUNCTION("""COMPUTED_VALUE"""),"Доклад от конференция")</f>
        <v>Доклад от конференция</v>
      </c>
      <c r="C3342" s="10" t="str">
        <f ca="1">IFERROR(__xludf.DUMMYFUNCTION("""COMPUTED_VALUE"""),"Target detection using a GPS Forward-Scattering Radar. Book of abstracts")</f>
        <v>Target detection using a GPS Forward-Scattering Radar. Book of abstracts</v>
      </c>
      <c r="D3342" s="10">
        <f ca="1">IFERROR(__xludf.DUMMYFUNCTION("""COMPUTED_VALUE"""),2015)</f>
        <v>2015</v>
      </c>
      <c r="E3342" s="10" t="str">
        <f ca="1">IFERROR(__xludf.DUMMYFUNCTION("""COMPUTED_VALUE"""),"The Second International Conference “Engineering &amp; Telecommunications – En&amp;T 2015”, Noevember 18-19, Moscow-Dolgoprudny, Russia, 2015 ISBN 978-5-7417-0581-0, pp. 83-97.")</f>
        <v>The Second International Conference “Engineering &amp; Telecommunications – En&amp;T 2015”, Noevember 18-19, Moscow-Dolgoprudny, Russia, 2015 ISBN 978-5-7417-0581-0, pp. 83-97.</v>
      </c>
      <c r="F3342" s="10"/>
      <c r="G3342" s="10" t="str">
        <f ca="1">IFERROR(__xludf.DUMMYFUNCTION("""COMPUTED_VALUE"""),"Kabakchiev, Ch., Behar, V., Garvanova, M.")</f>
        <v>Kabakchiev, Ch., Behar, V., Garvanova, M.</v>
      </c>
      <c r="H3342" s="10"/>
      <c r="I3342" s="10"/>
      <c r="J3342" s="10"/>
      <c r="K3342" s="10"/>
      <c r="L3342" s="10"/>
      <c r="M3342" s="10"/>
      <c r="N3342" s="10"/>
      <c r="O3342" s="10"/>
      <c r="P3342" s="10"/>
      <c r="Q3342" s="10"/>
      <c r="R3342" s="10"/>
      <c r="S3342" s="10"/>
      <c r="T3342" s="10"/>
      <c r="U3342" s="10"/>
      <c r="V3342" s="10"/>
      <c r="W3342" s="10"/>
      <c r="X3342" s="10"/>
      <c r="Y3342" s="10"/>
      <c r="Z3342" s="10"/>
    </row>
    <row r="3343" spans="1:26" ht="12.75">
      <c r="A3343" s="10" t="str">
        <f ca="1">IFERROR(__xludf.DUMMYFUNCTION("""COMPUTED_VALUE"""),"Иван Ганчев Гарванов")</f>
        <v>Иван Ганчев Гарванов</v>
      </c>
      <c r="B3343" s="10" t="str">
        <f ca="1">IFERROR(__xludf.DUMMYFUNCTION("""COMPUTED_VALUE"""),"Доклад от конференция")</f>
        <v>Доклад от конференция</v>
      </c>
      <c r="C3343" s="10" t="str">
        <f ca="1">IFERROR(__xludf.DUMMYFUNCTION("""COMPUTED_VALUE"""),"Развитие на ислямския геометричен орнамент през периода VІІ век – средата на ХІІІ век")</f>
        <v>Развитие на ислямския геометричен орнамент през периода VІІ век – средата на ХІІІ век</v>
      </c>
      <c r="D3343" s="10">
        <f ca="1">IFERROR(__xludf.DUMMYFUNCTION("""COMPUTED_VALUE"""),2015)</f>
        <v>2015</v>
      </c>
      <c r="E3343" s="10" t="str">
        <f ca="1">IFERROR(__xludf.DUMMYFUNCTION("""COMPUTED_VALUE"""),"Нови информационни технологии в образователния процес X, Доклади и съобщения от Десетия научен семинар на УниБИТ проведен в Истанбул, Турция, на 4–8 април 2015 г., Издателство “За буквите – О писменехь”, стр. 87-104, ISBN 1313-2768, 2015.")</f>
        <v>Нови информационни технологии в образователния процес X, Доклади и съобщения от Десетия научен семинар на УниБИТ проведен в Истанбул, Турция, на 4–8 април 2015 г., Издателство “За буквите – О писменехь”, стр. 87-104, ISBN 1313-2768, 2015.</v>
      </c>
      <c r="F3343" s="10"/>
      <c r="G3343" s="10" t="str">
        <f ca="1">IFERROR(__xludf.DUMMYFUNCTION("""COMPUTED_VALUE"""),"Хасанова-Ахмед М., Славова С.")</f>
        <v>Хасанова-Ахмед М., Славова С.</v>
      </c>
      <c r="H3343" s="10"/>
      <c r="I3343" s="10"/>
      <c r="J3343" s="10"/>
      <c r="K3343" s="10"/>
      <c r="L3343" s="10"/>
      <c r="M3343" s="10"/>
      <c r="N3343" s="10"/>
      <c r="O3343" s="10"/>
      <c r="P3343" s="10"/>
      <c r="Q3343" s="10"/>
      <c r="R3343" s="10"/>
      <c r="S3343" s="10"/>
      <c r="T3343" s="10"/>
      <c r="U3343" s="10"/>
      <c r="V3343" s="10"/>
      <c r="W3343" s="10"/>
      <c r="X3343" s="10"/>
      <c r="Y3343" s="10"/>
      <c r="Z3343" s="10"/>
    </row>
    <row r="3344" spans="1:26" ht="12.75">
      <c r="A3344" s="10" t="str">
        <f ca="1">IFERROR(__xludf.DUMMYFUNCTION("""COMPUTED_VALUE"""),"Иван Ганчев Гарванов")</f>
        <v>Иван Ганчев Гарванов</v>
      </c>
      <c r="B3344" s="10" t="str">
        <f ca="1">IFERROR(__xludf.DUMMYFUNCTION("""COMPUTED_VALUE"""),"Доклад от конференция")</f>
        <v>Доклад от конференция</v>
      </c>
      <c r="C3344" s="10" t="str">
        <f ca="1">IFERROR(__xludf.DUMMYFUNCTION("""COMPUTED_VALUE"""),"Развитие на ислямския геометричен орнамент в селджукската архитектура (ХІ – ХІІІ век)")</f>
        <v>Развитие на ислямския геометричен орнамент в селджукската архитектура (ХІ – ХІІІ век)</v>
      </c>
      <c r="D3344" s="10">
        <f ca="1">IFERROR(__xludf.DUMMYFUNCTION("""COMPUTED_VALUE"""),2015)</f>
        <v>2015</v>
      </c>
      <c r="E3344" s="10" t="str">
        <f ca="1">IFERROR(__xludf.DUMMYFUNCTION("""COMPUTED_VALUE"""),"Общество на знанието и хуманизмът на ХХІ век, XII национална научна конференция с международно участие, София, 01-02 Ноември 201")</f>
        <v>Общество на знанието и хуманизмът на ХХІ век, XII национална научна конференция с международно участие, София, 01-02 Ноември 201</v>
      </c>
      <c r="F3344" s="10"/>
      <c r="G3344" s="10" t="str">
        <f ca="1">IFERROR(__xludf.DUMMYFUNCTION("""COMPUTED_VALUE"""),"С. Славова, М. Хасанова– Ахмед")</f>
        <v>С. Славова, М. Хасанова– Ахмед</v>
      </c>
      <c r="H3344" s="10"/>
      <c r="I3344" s="10"/>
      <c r="J3344" s="10"/>
      <c r="K3344" s="10"/>
      <c r="L3344" s="10"/>
      <c r="M3344" s="10"/>
      <c r="N3344" s="10"/>
      <c r="O3344" s="10"/>
      <c r="P3344" s="10"/>
      <c r="Q3344" s="10"/>
      <c r="R3344" s="10"/>
      <c r="S3344" s="10"/>
      <c r="T3344" s="10"/>
      <c r="U3344" s="10"/>
      <c r="V3344" s="10"/>
      <c r="W3344" s="10"/>
      <c r="X3344" s="10"/>
      <c r="Y3344" s="10"/>
      <c r="Z3344" s="10"/>
    </row>
    <row r="3345" spans="1:26" ht="12.75">
      <c r="A3345" s="10" t="str">
        <f ca="1">IFERROR(__xludf.DUMMYFUNCTION("""COMPUTED_VALUE"""),"Иван Ганчев Гарванов")</f>
        <v>Иван Ганчев Гарванов</v>
      </c>
      <c r="B3345" s="10" t="str">
        <f ca="1">IFERROR(__xludf.DUMMYFUNCTION("""COMPUTED_VALUE"""),"Статия в списания и поредици")</f>
        <v>Статия в списания и поредици</v>
      </c>
      <c r="C3345" s="10" t="str">
        <f ca="1">IFERROR(__xludf.DUMMYFUNCTION("""COMPUTED_VALUE"""),"Възможности за ускоряване на изчислителния процес чрез паралелна обработка")</f>
        <v>Възможности за ускоряване на изчислителния процес чрез паралелна обработка</v>
      </c>
      <c r="D3345" s="10">
        <f ca="1">IFERROR(__xludf.DUMMYFUNCTION("""COMPUTED_VALUE"""),2015)</f>
        <v>2015</v>
      </c>
      <c r="E3345" s="10" t="str">
        <f ca="1">IFERROR(__xludf.DUMMYFUNCTION("""COMPUTED_VALUE"""),"Съвременни измерения на европейското образователно и научно пространство, том 3, 2015, ІХ. „Съвременни измерения на европейското образователно и научно пространство. Българо-малтийски културни общувания”. България – Малта, 1 – 6 юни 2015 г., „За буквите –"&amp;" О писменехь”, ISSN 2367-7988, pp. 451-454.")</f>
        <v>Съвременни измерения на европейското образователно и научно пространство, том 3, 2015, ІХ. „Съвременни измерения на европейското образователно и научно пространство. Българо-малтийски културни общувания”. България – Малта, 1 – 6 юни 2015 г., „За буквите – О писменехь”, ISSN 2367-7988, pp. 451-454.</v>
      </c>
      <c r="F3345" s="10"/>
      <c r="G3345" s="10" t="str">
        <f ca="1">IFERROR(__xludf.DUMMYFUNCTION("""COMPUTED_VALUE"""),"Димитров К., Д. Бояджиев")</f>
        <v>Димитров К., Д. Бояджиев</v>
      </c>
      <c r="H3345" s="10"/>
      <c r="I3345" s="10"/>
      <c r="J3345" s="10"/>
      <c r="K3345" s="10"/>
      <c r="L3345" s="10"/>
      <c r="M3345" s="10"/>
      <c r="N3345" s="10"/>
      <c r="O3345" s="10"/>
      <c r="P3345" s="10"/>
      <c r="Q3345" s="10"/>
      <c r="R3345" s="10"/>
      <c r="S3345" s="10"/>
      <c r="T3345" s="10"/>
      <c r="U3345" s="10"/>
      <c r="V3345" s="10"/>
      <c r="W3345" s="10"/>
      <c r="X3345" s="10"/>
      <c r="Y3345" s="10"/>
      <c r="Z3345" s="10"/>
    </row>
    <row r="3346" spans="1:26" ht="12.75">
      <c r="A3346" s="10" t="str">
        <f ca="1">IFERROR(__xludf.DUMMYFUNCTION("""COMPUTED_VALUE"""),"Иван Ганчев Гарванов")</f>
        <v>Иван Ганчев Гарванов</v>
      </c>
      <c r="B3346" s="10" t="str">
        <f ca="1">IFERROR(__xludf.DUMMYFUNCTION("""COMPUTED_VALUE"""),"Доклад от конференция")</f>
        <v>Доклад от конференция</v>
      </c>
      <c r="C3346" s="10" t="str">
        <f ca="1">IFERROR(__xludf.DUMMYFUNCTION("""COMPUTED_VALUE"""),"Извличане на информация от радио сенки на GPS сигнали")</f>
        <v>Извличане на информация от радио сенки на GPS сигнали</v>
      </c>
      <c r="D3346" s="10">
        <f ca="1">IFERROR(__xludf.DUMMYFUNCTION("""COMPUTED_VALUE"""),2015)</f>
        <v>2015</v>
      </c>
      <c r="E3346" s="10" t="str">
        <f ca="1">IFERROR(__xludf.DUMMYFUNCTION("""COMPUTED_VALUE"""),"III Международна научна конференция „ТЕХНИКА. ТЕХНОЛОГИИ. ОБРАЗОВАНИЕ. СИГУРНОСТ”")</f>
        <v>III Международна научна конференция „ТЕХНИКА. ТЕХНОЛОГИИ. ОБРАЗОВАНИЕ. СИГУРНОСТ”</v>
      </c>
      <c r="F3346" s="10"/>
      <c r="G3346" s="10" t="str">
        <f ca="1">IFERROR(__xludf.DUMMYFUNCTION("""COMPUTED_VALUE"""),"М. Владимирова, С. Владимиров")</f>
        <v>М. Владимирова, С. Владимиров</v>
      </c>
      <c r="H3346" s="10"/>
      <c r="I3346" s="10"/>
      <c r="J3346" s="10"/>
      <c r="K3346" s="10"/>
      <c r="L3346" s="10"/>
      <c r="M3346" s="10"/>
      <c r="N3346" s="10"/>
      <c r="O3346" s="10"/>
      <c r="P3346" s="10"/>
      <c r="Q3346" s="10"/>
      <c r="R3346" s="10"/>
      <c r="S3346" s="10"/>
      <c r="T3346" s="10"/>
      <c r="U3346" s="10"/>
      <c r="V3346" s="10"/>
      <c r="W3346" s="10"/>
      <c r="X3346" s="10"/>
      <c r="Y3346" s="10"/>
      <c r="Z3346" s="10"/>
    </row>
    <row r="3347" spans="1:26" ht="12.75">
      <c r="A3347" s="10" t="str">
        <f ca="1">IFERROR(__xludf.DUMMYFUNCTION("""COMPUTED_VALUE"""),"Иван Ганчев Гарванов")</f>
        <v>Иван Ганчев Гарванов</v>
      </c>
      <c r="B3347" s="10" t="str">
        <f ca="1">IFERROR(__xludf.DUMMYFUNCTION("""COMPUTED_VALUE"""),"Доклад от конференция")</f>
        <v>Доклад от конференция</v>
      </c>
      <c r="C3347" s="10" t="str">
        <f ca="1">IFERROR(__xludf.DUMMYFUNCTION("""COMPUTED_VALUE"""),"Възможности за ускоряване на изчислителния процес чрез паралелна обработка")</f>
        <v>Възможности за ускоряване на изчислителния процес чрез паралелна обработка</v>
      </c>
      <c r="D3347" s="10">
        <f ca="1">IFERROR(__xludf.DUMMYFUNCTION("""COMPUTED_VALUE"""),2015)</f>
        <v>2015</v>
      </c>
      <c r="E3347" s="10" t="str">
        <f ca="1">IFERROR(__xludf.DUMMYFUNCTION("""COMPUTED_VALUE"""),"Съвременни измерения на европейското образователно и научно пространство. Българо-малтийски културни общувания")</f>
        <v>Съвременни измерения на европейското образователно и научно пространство. Българо-малтийски културни общувания</v>
      </c>
      <c r="F3347" s="10"/>
      <c r="G3347" s="10" t="str">
        <f ca="1">IFERROR(__xludf.DUMMYFUNCTION("""COMPUTED_VALUE"""),"Димитров К., Д. Бояджиев")</f>
        <v>Димитров К., Д. Бояджиев</v>
      </c>
      <c r="H3347" s="10"/>
      <c r="I3347" s="10"/>
      <c r="J3347" s="10"/>
      <c r="K3347" s="10"/>
      <c r="L3347" s="10"/>
      <c r="M3347" s="10"/>
      <c r="N3347" s="10"/>
      <c r="O3347" s="10"/>
      <c r="P3347" s="10"/>
      <c r="Q3347" s="10"/>
      <c r="R3347" s="10"/>
      <c r="S3347" s="10"/>
      <c r="T3347" s="10"/>
      <c r="U3347" s="10"/>
      <c r="V3347" s="10"/>
      <c r="W3347" s="10"/>
      <c r="X3347" s="10"/>
      <c r="Y3347" s="10"/>
      <c r="Z3347" s="10"/>
    </row>
    <row r="3348" spans="1:26" ht="12.75">
      <c r="A3348" s="10" t="str">
        <f ca="1">IFERROR(__xludf.DUMMYFUNCTION("""COMPUTED_VALUE"""),"Иван Ганчев Гарванов")</f>
        <v>Иван Ганчев Гарванов</v>
      </c>
      <c r="B3348" s="10" t="str">
        <f ca="1">IFERROR(__xludf.DUMMYFUNCTION("""COMPUTED_VALUE"""),"Доклад от конференция")</f>
        <v>Доклад от конференция</v>
      </c>
      <c r="C3348" s="10" t="str">
        <f ca="1">IFERROR(__xludf.DUMMYFUNCTION("""COMPUTED_VALUE"""),"Изследване на възможността за създаване на GPS радио бариера")</f>
        <v>Изследване на възможността за създаване на GPS радио бариера</v>
      </c>
      <c r="D3348" s="10">
        <f ca="1">IFERROR(__xludf.DUMMYFUNCTION("""COMPUTED_VALUE"""),2015)</f>
        <v>2015</v>
      </c>
      <c r="E3348" s="10" t="str">
        <f ca="1">IFERROR(__xludf.DUMMYFUNCTION("""COMPUTED_VALUE"""),"Нови информационни технологии в образователния процес X, Доклади и съобщения от Десетия научен семинар на УниБИТ проведен в Истанбул, Турция, на 4–8 април 2015 г., Издателство “За буквите – О писменехь”, стр. 69-76, ISBN 1313-2768, 2015.")</f>
        <v>Нови информационни технологии в образователния процес X, Доклади и съобщения от Десетия научен семинар на УниБИТ проведен в Истанбул, Турция, на 4–8 април 2015 г., Издателство “За буквите – О писменехь”, стр. 69-76, ISBN 1313-2768, 2015.</v>
      </c>
      <c r="F3348" s="10"/>
      <c r="G3348" s="10" t="str">
        <f ca="1">IFERROR(__xludf.DUMMYFUNCTION("""COMPUTED_VALUE"""),"М. Владимирова, С. Владимиров, Ракович Б., Любич М.")</f>
        <v>М. Владимирова, С. Владимиров, Ракович Б., Любич М.</v>
      </c>
      <c r="H3348" s="10"/>
      <c r="I3348" s="10"/>
      <c r="J3348" s="10"/>
      <c r="K3348" s="10"/>
      <c r="L3348" s="10"/>
      <c r="M3348" s="10"/>
      <c r="N3348" s="10"/>
      <c r="O3348" s="10"/>
      <c r="P3348" s="10"/>
      <c r="Q3348" s="10"/>
      <c r="R3348" s="10"/>
      <c r="S3348" s="10"/>
      <c r="T3348" s="10"/>
      <c r="U3348" s="10"/>
      <c r="V3348" s="10"/>
      <c r="W3348" s="10"/>
      <c r="X3348" s="10"/>
      <c r="Y3348" s="10"/>
      <c r="Z3348" s="10"/>
    </row>
    <row r="3349" spans="1:26" ht="12.75">
      <c r="A3349" s="10" t="str">
        <f ca="1">IFERROR(__xludf.DUMMYFUNCTION("""COMPUTED_VALUE"""),"Иван Ганчев Гарванов")</f>
        <v>Иван Ганчев Гарванов</v>
      </c>
      <c r="B3349" s="10" t="str">
        <f ca="1">IFERROR(__xludf.DUMMYFUNCTION("""COMPUTED_VALUE"""),"Доклад от конференция")</f>
        <v>Доклад от конференция</v>
      </c>
      <c r="C3349" s="10" t="str">
        <f ca="1">IFERROR(__xludf.DUMMYFUNCTION("""COMPUTED_VALUE"""),"Методи и алгоритми за възстановяване на разфокусирано изображение")</f>
        <v>Методи и алгоритми за възстановяване на разфокусирано изображение</v>
      </c>
      <c r="D3349" s="10">
        <f ca="1">IFERROR(__xludf.DUMMYFUNCTION("""COMPUTED_VALUE"""),2015)</f>
        <v>2015</v>
      </c>
      <c r="E3349" s="10" t="str">
        <f ca="1">IFERROR(__xludf.DUMMYFUNCTION("""COMPUTED_VALUE"""),"Научни трудове на Университета по библиотекознание и информационни технологии. Том 12")</f>
        <v>Научни трудове на Университета по библиотекознание и информационни технологии. Том 12</v>
      </c>
      <c r="F3349" s="10"/>
      <c r="G3349" s="10"/>
      <c r="H3349" s="10"/>
      <c r="I3349" s="10"/>
      <c r="J3349" s="10"/>
      <c r="K3349" s="10"/>
      <c r="L3349" s="10"/>
      <c r="M3349" s="10"/>
      <c r="N3349" s="10"/>
      <c r="O3349" s="10"/>
      <c r="P3349" s="10"/>
      <c r="Q3349" s="10"/>
      <c r="R3349" s="10"/>
      <c r="S3349" s="10"/>
      <c r="T3349" s="10"/>
      <c r="U3349" s="10"/>
      <c r="V3349" s="10"/>
      <c r="W3349" s="10"/>
      <c r="X3349" s="10"/>
      <c r="Y3349" s="10"/>
      <c r="Z3349" s="10"/>
    </row>
    <row r="3350" spans="1:26" ht="12.75">
      <c r="A3350" s="10" t="str">
        <f ca="1">IFERROR(__xludf.DUMMYFUNCTION("""COMPUTED_VALUE"""),"Иван Ганчев Гарванов")</f>
        <v>Иван Ганчев Гарванов</v>
      </c>
      <c r="B3350" s="10" t="str">
        <f ca="1">IFERROR(__xludf.DUMMYFUNCTION("""COMPUTED_VALUE"""),"Доклад от конференция")</f>
        <v>Доклад от конференция</v>
      </c>
      <c r="C3350" s="10" t="str">
        <f ca="1">IFERROR(__xludf.DUMMYFUNCTION("""COMPUTED_VALUE"""),"Оценка на качеството на алгоритми за възстановяване на разфокусирано изображение")</f>
        <v>Оценка на качеството на алгоритми за възстановяване на разфокусирано изображение</v>
      </c>
      <c r="D3350" s="10">
        <f ca="1">IFERROR(__xludf.DUMMYFUNCTION("""COMPUTED_VALUE"""),2015)</f>
        <v>2015</v>
      </c>
      <c r="E3350" s="10" t="str">
        <f ca="1">IFERROR(__xludf.DUMMYFUNCTION("""COMPUTED_VALUE"""),"Доклади и съобщения от Деветия научен семинар на УниБИТ, проведен в Камчия, България")</f>
        <v>Доклади и съобщения от Деветия научен семинар на УниБИТ, проведен в Камчия, България</v>
      </c>
      <c r="F3350" s="10"/>
      <c r="G3350" s="10"/>
      <c r="H3350" s="10"/>
      <c r="I3350" s="10"/>
      <c r="J3350" s="10"/>
      <c r="K3350" s="10"/>
      <c r="L3350" s="10"/>
      <c r="M3350" s="10"/>
      <c r="N3350" s="10"/>
      <c r="O3350" s="10"/>
      <c r="P3350" s="10"/>
      <c r="Q3350" s="10"/>
      <c r="R3350" s="10"/>
      <c r="S3350" s="10"/>
      <c r="T3350" s="10"/>
      <c r="U3350" s="10"/>
      <c r="V3350" s="10"/>
      <c r="W3350" s="10"/>
      <c r="X3350" s="10"/>
      <c r="Y3350" s="10"/>
      <c r="Z3350" s="10"/>
    </row>
    <row r="3351" spans="1:26" ht="12.75">
      <c r="A3351" s="10" t="str">
        <f ca="1">IFERROR(__xludf.DUMMYFUNCTION("""COMPUTED_VALUE"""),"Иван Ганчев Гарванов")</f>
        <v>Иван Ганчев Гарванов</v>
      </c>
      <c r="B3351" s="10" t="str">
        <f ca="1">IFERROR(__xludf.DUMMYFUNCTION("""COMPUTED_VALUE"""),"Статия в списания и поредици")</f>
        <v>Статия в списания и поредици</v>
      </c>
      <c r="C3351" s="10" t="str">
        <f ca="1">IFERROR(__xludf.DUMMYFUNCTION("""COMPUTED_VALUE"""),"Sound Source Localization and Parameter Estimation in a Security System")</f>
        <v>Sound Source Localization and Parameter Estimation in a Security System</v>
      </c>
      <c r="D3351" s="10">
        <f ca="1">IFERROR(__xludf.DUMMYFUNCTION("""COMPUTED_VALUE"""),2014)</f>
        <v>2014</v>
      </c>
      <c r="E3351" s="10" t="str">
        <f ca="1">IFERROR(__xludf.DUMMYFUNCTION("""COMPUTED_VALUE"""),"Pogledi")</f>
        <v>Pogledi</v>
      </c>
      <c r="F3351" s="10"/>
      <c r="G3351" s="10"/>
      <c r="H3351" s="10"/>
      <c r="I3351" s="10"/>
      <c r="J3351" s="10"/>
      <c r="K3351" s="10"/>
      <c r="L3351" s="10"/>
      <c r="M3351" s="10"/>
      <c r="N3351" s="10"/>
      <c r="O3351" s="10"/>
      <c r="P3351" s="10"/>
      <c r="Q3351" s="10"/>
      <c r="R3351" s="10"/>
      <c r="S3351" s="10"/>
      <c r="T3351" s="10"/>
      <c r="U3351" s="10"/>
      <c r="V3351" s="10"/>
      <c r="W3351" s="10"/>
      <c r="X3351" s="10"/>
      <c r="Y3351" s="10"/>
      <c r="Z3351" s="10"/>
    </row>
    <row r="3352" spans="1:26" ht="12.75">
      <c r="A3352" s="10" t="str">
        <f ca="1">IFERROR(__xludf.DUMMYFUNCTION("""COMPUTED_VALUE"""),"Иван Ганчев Гарванов")</f>
        <v>Иван Ганчев Гарванов</v>
      </c>
      <c r="B3352" s="10" t="str">
        <f ca="1">IFERROR(__xludf.DUMMYFUNCTION("""COMPUTED_VALUE"""),"Доклад от конференция")</f>
        <v>Доклад от конференция</v>
      </c>
      <c r="C3352" s="10" t="str">
        <f ca="1">IFERROR(__xludf.DUMMYFUNCTION("""COMPUTED_VALUE"""),"Откриване на пулсарни сигнали")</f>
        <v>Откриване на пулсарни сигнали</v>
      </c>
      <c r="D3352" s="10">
        <f ca="1">IFERROR(__xludf.DUMMYFUNCTION("""COMPUTED_VALUE"""),2014)</f>
        <v>2014</v>
      </c>
      <c r="E3352" s="10" t="str">
        <f ca="1">IFERROR(__xludf.DUMMYFUNCTION("""COMPUTED_VALUE"""),"Съвременни измерения на европейското образователно и научно пространство. Българо-албански културни общувания")</f>
        <v>Съвременни измерения на европейското образователно и научно пространство. Българо-албански културни общувания</v>
      </c>
      <c r="F3352" s="10"/>
      <c r="G3352" s="10"/>
      <c r="H3352" s="10"/>
      <c r="I3352" s="10"/>
      <c r="J3352" s="10"/>
      <c r="K3352" s="10"/>
      <c r="L3352" s="10"/>
      <c r="M3352" s="10"/>
      <c r="N3352" s="10"/>
      <c r="O3352" s="10"/>
      <c r="P3352" s="10"/>
      <c r="Q3352" s="10"/>
      <c r="R3352" s="10"/>
      <c r="S3352" s="10"/>
      <c r="T3352" s="10"/>
      <c r="U3352" s="10"/>
      <c r="V3352" s="10"/>
      <c r="W3352" s="10"/>
      <c r="X3352" s="10"/>
      <c r="Y3352" s="10"/>
      <c r="Z3352" s="10"/>
    </row>
    <row r="3353" spans="1:26" ht="12.75">
      <c r="A3353" s="10" t="str">
        <f ca="1">IFERROR(__xludf.DUMMYFUNCTION("""COMPUTED_VALUE"""),"Иван Ганчев Гарванов")</f>
        <v>Иван Ганчев Гарванов</v>
      </c>
      <c r="B3353" s="10" t="str">
        <f ca="1">IFERROR(__xludf.DUMMYFUNCTION("""COMPUTED_VALUE"""),"Монография")</f>
        <v>Монография</v>
      </c>
      <c r="C3353" s="10" t="str">
        <f ca="1">IFERROR(__xludf.DUMMYFUNCTION("""COMPUTED_VALUE"""),"Методи и алгоритми и откриване на цели")</f>
        <v>Методи и алгоритми и откриване на цели</v>
      </c>
      <c r="D3353" s="10">
        <f ca="1">IFERROR(__xludf.DUMMYFUNCTION("""COMPUTED_VALUE"""),2014)</f>
        <v>2014</v>
      </c>
      <c r="E3353" s="10" t="str">
        <f ca="1">IFERROR(__xludf.DUMMYFUNCTION("""COMPUTED_VALUE"""),"София, “Авангард Прима”, ISBN 978-619-160-317-6, 276 стр., 2014 г.")</f>
        <v>София, “Авангард Прима”, ISBN 978-619-160-317-6, 276 стр., 2014 г.</v>
      </c>
      <c r="F3353" s="10"/>
      <c r="G3353" s="10"/>
      <c r="H3353" s="10"/>
      <c r="I3353" s="10"/>
      <c r="J3353" s="10"/>
      <c r="K3353" s="10"/>
      <c r="L3353" s="10"/>
      <c r="M3353" s="10"/>
      <c r="N3353" s="10"/>
      <c r="O3353" s="10"/>
      <c r="P3353" s="10"/>
      <c r="Q3353" s="10"/>
      <c r="R3353" s="10"/>
      <c r="S3353" s="10"/>
      <c r="T3353" s="10"/>
      <c r="U3353" s="10"/>
      <c r="V3353" s="10"/>
      <c r="W3353" s="10"/>
      <c r="X3353" s="10"/>
      <c r="Y3353" s="10"/>
      <c r="Z3353" s="10"/>
    </row>
    <row r="3354" spans="1:26" ht="12.75">
      <c r="A3354" s="10" t="str">
        <f ca="1">IFERROR(__xludf.DUMMYFUNCTION("""COMPUTED_VALUE"""),"Иван Ганчев Гарванов")</f>
        <v>Иван Ганчев Гарванов</v>
      </c>
      <c r="B3354" s="10" t="str">
        <f ca="1">IFERROR(__xludf.DUMMYFUNCTION("""COMPUTED_VALUE"""),"Доклад от конференция")</f>
        <v>Доклад от конференция</v>
      </c>
      <c r="C3354" s="10" t="str">
        <f ca="1">IFERROR(__xludf.DUMMYFUNCTION("""COMPUTED_VALUE"""),"Определяне на координатите на източник на звук генериран от сигнално охранителни датчици")</f>
        <v>Определяне на координатите на източник на звук генериран от сигнално охранителни датчици</v>
      </c>
      <c r="D3354" s="10">
        <f ca="1">IFERROR(__xludf.DUMMYFUNCTION("""COMPUTED_VALUE"""),2014)</f>
        <v>2014</v>
      </c>
      <c r="E3354" s="10" t="str">
        <f ca="1">IFERROR(__xludf.DUMMYFUNCTION("""COMPUTED_VALUE"""),"Доклади и съобщения от Осмия научен семинар на УниБИТ, проведен в Камчия, България")</f>
        <v>Доклади и съобщения от Осмия научен семинар на УниБИТ, проведен в Камчия, България</v>
      </c>
      <c r="F3354" s="10"/>
      <c r="G3354" s="10"/>
      <c r="H3354" s="10"/>
      <c r="I3354" s="10"/>
      <c r="J3354" s="10"/>
      <c r="K3354" s="10"/>
      <c r="L3354" s="10"/>
      <c r="M3354" s="10"/>
      <c r="N3354" s="10"/>
      <c r="O3354" s="10"/>
      <c r="P3354" s="10"/>
      <c r="Q3354" s="10"/>
      <c r="R3354" s="10"/>
      <c r="S3354" s="10"/>
      <c r="T3354" s="10"/>
      <c r="U3354" s="10"/>
      <c r="V3354" s="10"/>
      <c r="W3354" s="10"/>
      <c r="X3354" s="10"/>
      <c r="Y3354" s="10"/>
      <c r="Z3354" s="10"/>
    </row>
    <row r="3355" spans="1:26" ht="12.75">
      <c r="A3355" s="10" t="str">
        <f ca="1">IFERROR(__xludf.DUMMYFUNCTION("""COMPUTED_VALUE"""),"Иван Ганчев Гарванов")</f>
        <v>Иван Ганчев Гарванов</v>
      </c>
      <c r="B3355" s="10" t="str">
        <f ca="1">IFERROR(__xludf.DUMMYFUNCTION("""COMPUTED_VALUE"""),"Книга")</f>
        <v>Книга</v>
      </c>
      <c r="C3355" s="10" t="str">
        <f ca="1">IFERROR(__xludf.DUMMYFUNCTION("""COMPUTED_VALUE"""),"Компютърни архитектури")</f>
        <v>Компютърни архитектури</v>
      </c>
      <c r="D3355" s="10">
        <f ca="1">IFERROR(__xludf.DUMMYFUNCTION("""COMPUTED_VALUE"""),2014)</f>
        <v>2014</v>
      </c>
      <c r="E3355" s="10"/>
      <c r="F3355" s="10"/>
      <c r="G3355" s="10"/>
      <c r="H3355" s="10"/>
      <c r="I3355" s="10"/>
      <c r="J3355" s="10"/>
      <c r="K3355" s="10"/>
      <c r="L3355" s="10"/>
      <c r="M3355" s="10"/>
      <c r="N3355" s="10"/>
      <c r="O3355" s="10"/>
      <c r="P3355" s="10"/>
      <c r="Q3355" s="10"/>
      <c r="R3355" s="10"/>
      <c r="S3355" s="10"/>
      <c r="T3355" s="10"/>
      <c r="U3355" s="10"/>
      <c r="V3355" s="10"/>
      <c r="W3355" s="10"/>
      <c r="X3355" s="10"/>
      <c r="Y3355" s="10"/>
      <c r="Z3355" s="10"/>
    </row>
    <row r="3356" spans="1:26" ht="12.75">
      <c r="A3356" s="10" t="str">
        <f ca="1">IFERROR(__xludf.DUMMYFUNCTION("""COMPUTED_VALUE"""),"Иван Ганчев Гарванов")</f>
        <v>Иван Ганчев Гарванов</v>
      </c>
      <c r="B3356" s="10" t="str">
        <f ca="1">IFERROR(__xludf.DUMMYFUNCTION("""COMPUTED_VALUE"""),"Доклад от конференция")</f>
        <v>Доклад от конференция</v>
      </c>
      <c r="C3356" s="10" t="str">
        <f ca="1">IFERROR(__xludf.DUMMYFUNCTION("""COMPUTED_VALUE"""),"Нагласи на ученици към висшето образование в страната и оценка на образователно мероприятие, проведено от УниБИТ (Резултати от емпирично изследване)")</f>
        <v>Нагласи на ученици към висшето образование в страната и оценка на образователно мероприятие, проведено от УниБИТ (Резултати от емпирично изследване)</v>
      </c>
      <c r="D3356" s="10">
        <f ca="1">IFERROR(__xludf.DUMMYFUNCTION("""COMPUTED_VALUE"""),2014)</f>
        <v>2014</v>
      </c>
      <c r="E3356" s="10" t="str">
        <f ca="1">IFERROR(__xludf.DUMMYFUNCTION("""COMPUTED_VALUE"""),"http://euaq.com/, стр. 13, 2014")</f>
        <v>http://euaq.com/, стр. 13, 2014</v>
      </c>
      <c r="F3356" s="10"/>
      <c r="G3356" s="10" t="str">
        <f ca="1">IFERROR(__xludf.DUMMYFUNCTION("""COMPUTED_VALUE"""),"Магдалена Гарванова")</f>
        <v>Магдалена Гарванова</v>
      </c>
      <c r="H3356" s="10"/>
      <c r="I3356" s="10"/>
      <c r="J3356" s="10"/>
      <c r="K3356" s="10"/>
      <c r="L3356" s="10"/>
      <c r="M3356" s="10"/>
      <c r="N3356" s="10"/>
      <c r="O3356" s="10"/>
      <c r="P3356" s="10"/>
      <c r="Q3356" s="10"/>
      <c r="R3356" s="10"/>
      <c r="S3356" s="10"/>
      <c r="T3356" s="10"/>
      <c r="U3356" s="10"/>
      <c r="V3356" s="10"/>
      <c r="W3356" s="10"/>
      <c r="X3356" s="10"/>
      <c r="Y3356" s="10"/>
      <c r="Z3356" s="10"/>
    </row>
    <row r="3357" spans="1:26" ht="12.75">
      <c r="A3357" s="10" t="str">
        <f ca="1">IFERROR(__xludf.DUMMYFUNCTION("""COMPUTED_VALUE"""),"Иван Ганчев Гарванов")</f>
        <v>Иван Ганчев Гарванов</v>
      </c>
      <c r="B3357" s="10" t="str">
        <f ca="1">IFERROR(__xludf.DUMMYFUNCTION("""COMPUTED_VALUE"""),"Книга")</f>
        <v>Книга</v>
      </c>
      <c r="C3357" s="10" t="str">
        <f ca="1">IFERROR(__xludf.DUMMYFUNCTION("""COMPUTED_VALUE"""),"Въведение в MATLAB и SIMULINK")</f>
        <v>Въведение в MATLAB и SIMULINK</v>
      </c>
      <c r="D3357" s="10">
        <f ca="1">IFERROR(__xludf.DUMMYFUNCTION("""COMPUTED_VALUE"""),2014)</f>
        <v>2014</v>
      </c>
      <c r="E3357" s="10" t="str">
        <f ca="1">IFERROR(__xludf.DUMMYFUNCTION("""COMPUTED_VALUE"""),"Гарванов, И., М. Гарванова, „Въведение в MATLAB и SIMULINK“, София, “За буквите – О писменех”, ISBN 978-619-185-121-8, стр. 121,")</f>
        <v>Гарванов, И., М. Гарванова, „Въведение в MATLAB и SIMULINK“, София, “За буквите – О писменех”, ISBN 978-619-185-121-8, стр. 121,</v>
      </c>
      <c r="F3357" s="10"/>
      <c r="G3357" s="10" t="str">
        <f ca="1">IFERROR(__xludf.DUMMYFUNCTION("""COMPUTED_VALUE"""),"Магдалена Гарванова")</f>
        <v>Магдалена Гарванова</v>
      </c>
      <c r="H3357" s="10"/>
      <c r="I3357" s="10"/>
      <c r="J3357" s="10"/>
      <c r="K3357" s="10"/>
      <c r="L3357" s="10"/>
      <c r="M3357" s="10"/>
      <c r="N3357" s="10"/>
      <c r="O3357" s="10"/>
      <c r="P3357" s="10"/>
      <c r="Q3357" s="10"/>
      <c r="R3357" s="10"/>
      <c r="S3357" s="10"/>
      <c r="T3357" s="10"/>
      <c r="U3357" s="10"/>
      <c r="V3357" s="10"/>
      <c r="W3357" s="10"/>
      <c r="X3357" s="10"/>
      <c r="Y3357" s="10"/>
      <c r="Z3357" s="10"/>
    </row>
    <row r="3358" spans="1:26" ht="12.75">
      <c r="A3358" s="10" t="str">
        <f ca="1">IFERROR(__xludf.DUMMYFUNCTION("""COMPUTED_VALUE"""),"Иван Ганчев Гарванов")</f>
        <v>Иван Ганчев Гарванов</v>
      </c>
      <c r="B3358" s="10" t="str">
        <f ca="1">IFERROR(__xludf.DUMMYFUNCTION("""COMPUTED_VALUE"""),"Книга")</f>
        <v>Книга</v>
      </c>
      <c r="C3358" s="10" t="str">
        <f ca="1">IFERROR(__xludf.DUMMYFUNCTION("""COMPUTED_VALUE"""),"Моделиране на процеси и системи")</f>
        <v>Моделиране на процеси и системи</v>
      </c>
      <c r="D3358" s="10">
        <f ca="1">IFERROR(__xludf.DUMMYFUNCTION("""COMPUTED_VALUE"""),2014)</f>
        <v>2014</v>
      </c>
      <c r="E3358" s="10" t="str">
        <f ca="1">IFERROR(__xludf.DUMMYFUNCTION("""COMPUTED_VALUE"""),"Гарванов, И., “Моделиране на процеси и системи”, София, “За буквите – О писменех”, ISBN 978-619-185-096-9, 197 стр., 2014 г.")</f>
        <v>Гарванов, И., “Моделиране на процеси и системи”, София, “За буквите – О писменех”, ISBN 978-619-185-096-9, 197 стр., 2014 г.</v>
      </c>
      <c r="F3358" s="10"/>
      <c r="G3358" s="10"/>
      <c r="H3358" s="10"/>
      <c r="I3358" s="10"/>
      <c r="J3358" s="10"/>
      <c r="K3358" s="10"/>
      <c r="L3358" s="10"/>
      <c r="M3358" s="10"/>
      <c r="N3358" s="10"/>
      <c r="O3358" s="10"/>
      <c r="P3358" s="10"/>
      <c r="Q3358" s="10"/>
      <c r="R3358" s="10"/>
      <c r="S3358" s="10"/>
      <c r="T3358" s="10"/>
      <c r="U3358" s="10"/>
      <c r="V3358" s="10"/>
      <c r="W3358" s="10"/>
      <c r="X3358" s="10"/>
      <c r="Y3358" s="10"/>
      <c r="Z3358" s="10"/>
    </row>
    <row r="3359" spans="1:26" ht="12.75">
      <c r="A3359" s="10" t="str">
        <f ca="1">IFERROR(__xludf.DUMMYFUNCTION("""COMPUTED_VALUE"""),"Иван Ганчев Гарванов")</f>
        <v>Иван Ганчев Гарванов</v>
      </c>
      <c r="B3359" s="10" t="str">
        <f ca="1">IFERROR(__xludf.DUMMYFUNCTION("""COMPUTED_VALUE"""),"Доклад от конференция")</f>
        <v>Доклад от конференция</v>
      </c>
      <c r="C3359" s="10" t="str">
        <f ca="1">IFERROR(__xludf.DUMMYFUNCTION("""COMPUTED_VALUE"""),"Фрактални структури в древните градове на Индия")</f>
        <v>Фрактални структури в древните градове на Индия</v>
      </c>
      <c r="D3359" s="10">
        <f ca="1">IFERROR(__xludf.DUMMYFUNCTION("""COMPUTED_VALUE"""),2014)</f>
        <v>2014</v>
      </c>
      <c r="E3359" s="10" t="str">
        <f ca="1">IFERROR(__xludf.DUMMYFUNCTION("""COMPUTED_VALUE"""),"Доклади и съобщения от Осмия научен семинар на УниБИТ")</f>
        <v>Доклади и съобщения от Осмия научен семинар на УниБИТ</v>
      </c>
      <c r="F3359" s="10"/>
      <c r="G3359" s="10" t="str">
        <f ca="1">IFERROR(__xludf.DUMMYFUNCTION("""COMPUTED_VALUE"""),"Славова С., З. Маринков, Г. Момчилов")</f>
        <v>Славова С., З. Маринков, Г. Момчилов</v>
      </c>
      <c r="H3359" s="10"/>
      <c r="I3359" s="10"/>
      <c r="J3359" s="10"/>
      <c r="K3359" s="10"/>
      <c r="L3359" s="10"/>
      <c r="M3359" s="10"/>
      <c r="N3359" s="10"/>
      <c r="O3359" s="10"/>
      <c r="P3359" s="10"/>
      <c r="Q3359" s="10"/>
      <c r="R3359" s="10"/>
      <c r="S3359" s="10"/>
      <c r="T3359" s="10"/>
      <c r="U3359" s="10"/>
      <c r="V3359" s="10"/>
      <c r="W3359" s="10"/>
      <c r="X3359" s="10"/>
      <c r="Y3359" s="10"/>
      <c r="Z3359" s="10"/>
    </row>
    <row r="3360" spans="1:26" ht="12.75">
      <c r="A3360" s="10" t="str">
        <f ca="1">IFERROR(__xludf.DUMMYFUNCTION("""COMPUTED_VALUE"""),"Иван Ганчев Гарванов")</f>
        <v>Иван Ганчев Гарванов</v>
      </c>
      <c r="B3360" s="10" t="str">
        <f ca="1">IFERROR(__xludf.DUMMYFUNCTION("""COMPUTED_VALUE"""),"Доклад от конференция")</f>
        <v>Доклад от конференция</v>
      </c>
      <c r="C3360" s="10" t="str">
        <f ca="1">IFERROR(__xludf.DUMMYFUNCTION("""COMPUTED_VALUE"""),"Оценка на азимута на пристигане на звуков сигнал, генериран от сигнално охранителни датчици")</f>
        <v>Оценка на азимута на пристигане на звуков сигнал, генериран от сигнално охранителни датчици</v>
      </c>
      <c r="D3360" s="10">
        <f ca="1">IFERROR(__xludf.DUMMYFUNCTION("""COMPUTED_VALUE"""),2014)</f>
        <v>2014</v>
      </c>
      <c r="E3360" s="10" t="str">
        <f ca="1">IFERROR(__xludf.DUMMYFUNCTION("""COMPUTED_VALUE"""),"Научни трудове на Университета по библиотекознание и информационни технологии. Том 11")</f>
        <v>Научни трудове на Университета по библиотекознание и информационни технологии. Том 11</v>
      </c>
      <c r="F3360" s="10"/>
      <c r="G3360" s="10"/>
      <c r="H3360" s="10"/>
      <c r="I3360" s="10"/>
      <c r="J3360" s="10"/>
      <c r="K3360" s="10"/>
      <c r="L3360" s="10"/>
      <c r="M3360" s="10"/>
      <c r="N3360" s="10"/>
      <c r="O3360" s="10"/>
      <c r="P3360" s="10"/>
      <c r="Q3360" s="10"/>
      <c r="R3360" s="10"/>
      <c r="S3360" s="10"/>
      <c r="T3360" s="10"/>
      <c r="U3360" s="10"/>
      <c r="V3360" s="10"/>
      <c r="W3360" s="10"/>
      <c r="X3360" s="10"/>
      <c r="Y3360" s="10"/>
      <c r="Z3360" s="10"/>
    </row>
    <row r="3361" spans="1:26" ht="12.75">
      <c r="A3361" s="10" t="str">
        <f ca="1">IFERROR(__xludf.DUMMYFUNCTION("""COMPUTED_VALUE"""),"Иван Ганчев Гарванов")</f>
        <v>Иван Ганчев Гарванов</v>
      </c>
      <c r="B3361" s="10" t="str">
        <f ca="1">IFERROR(__xludf.DUMMYFUNCTION("""COMPUTED_VALUE"""),"Доклад от конференция")</f>
        <v>Доклад от конференция</v>
      </c>
      <c r="C3361" s="10" t="str">
        <f ca="1">IFERROR(__xludf.DUMMYFUNCTION("""COMPUTED_VALUE"""),"L – системи и тяхното приложение в дизайна")</f>
        <v>L – системи и тяхното приложение в дизайна</v>
      </c>
      <c r="D3361" s="10">
        <f ca="1">IFERROR(__xludf.DUMMYFUNCTION("""COMPUTED_VALUE"""),2014)</f>
        <v>2014</v>
      </c>
      <c r="E3361" s="10" t="str">
        <f ca="1">IFERROR(__xludf.DUMMYFUNCTION("""COMPUTED_VALUE"""),"Доклади и съобщения от Осмия научен семинар на УниБИТ")</f>
        <v>Доклади и съобщения от Осмия научен семинар на УниБИТ</v>
      </c>
      <c r="F3361" s="10"/>
      <c r="G3361" s="10" t="str">
        <f ca="1">IFERROR(__xludf.DUMMYFUNCTION("""COMPUTED_VALUE"""),"Хасанова М., И. Павлова, С. Славова")</f>
        <v>Хасанова М., И. Павлова, С. Славова</v>
      </c>
      <c r="H3361" s="10"/>
      <c r="I3361" s="10"/>
      <c r="J3361" s="10"/>
      <c r="K3361" s="10"/>
      <c r="L3361" s="10"/>
      <c r="M3361" s="10"/>
      <c r="N3361" s="10"/>
      <c r="O3361" s="10"/>
      <c r="P3361" s="10"/>
      <c r="Q3361" s="10"/>
      <c r="R3361" s="10"/>
      <c r="S3361" s="10"/>
      <c r="T3361" s="10"/>
      <c r="U3361" s="10"/>
      <c r="V3361" s="10"/>
      <c r="W3361" s="10"/>
      <c r="X3361" s="10"/>
      <c r="Y3361" s="10"/>
      <c r="Z3361" s="10"/>
    </row>
    <row r="3362" spans="1:26" ht="12.75">
      <c r="A3362" s="10" t="str">
        <f ca="1">IFERROR(__xludf.DUMMYFUNCTION("""COMPUTED_VALUE"""),"Иван Ганчев Гарванов")</f>
        <v>Иван Ганчев Гарванов</v>
      </c>
      <c r="B3362" s="10" t="str">
        <f ca="1">IFERROR(__xludf.DUMMYFUNCTION("""COMPUTED_VALUE"""),"Доклад от конференция")</f>
        <v>Доклад от конференция</v>
      </c>
      <c r="C3362" s="10" t="str">
        <f ca="1">IFERROR(__xludf.DUMMYFUNCTION("""COMPUTED_VALUE"""),"Исследование ценностей в современной психологии")</f>
        <v>Исследование ценностей в современной психологии</v>
      </c>
      <c r="D3362" s="10">
        <f ca="1">IFERROR(__xludf.DUMMYFUNCTION("""COMPUTED_VALUE"""),2014)</f>
        <v>2014</v>
      </c>
      <c r="E3362" s="10" t="str">
        <f ca="1">IFERROR(__xludf.DUMMYFUNCTION("""COMPUTED_VALUE"""),"III Международная научная конференция")</f>
        <v>III Международная научная конференция</v>
      </c>
      <c r="F3362" s="10"/>
      <c r="G3362" s="10" t="str">
        <f ca="1">IFERROR(__xludf.DUMMYFUNCTION("""COMPUTED_VALUE"""),"Магдалена Гарванова")</f>
        <v>Магдалена Гарванова</v>
      </c>
      <c r="H3362" s="10"/>
      <c r="I3362" s="10"/>
      <c r="J3362" s="10"/>
      <c r="K3362" s="10"/>
      <c r="L3362" s="10"/>
      <c r="M3362" s="10"/>
      <c r="N3362" s="10"/>
      <c r="O3362" s="10"/>
      <c r="P3362" s="10"/>
      <c r="Q3362" s="10"/>
      <c r="R3362" s="10"/>
      <c r="S3362" s="10"/>
      <c r="T3362" s="10"/>
      <c r="U3362" s="10"/>
      <c r="V3362" s="10"/>
      <c r="W3362" s="10"/>
      <c r="X3362" s="10"/>
      <c r="Y3362" s="10"/>
      <c r="Z3362" s="10"/>
    </row>
    <row r="3363" spans="1:26" ht="12.75">
      <c r="A3363" s="10" t="str">
        <f ca="1">IFERROR(__xludf.DUMMYFUNCTION("""COMPUTED_VALUE"""),"Иван Ганчев Гарванов")</f>
        <v>Иван Ганчев Гарванов</v>
      </c>
      <c r="B3363" s="10" t="str">
        <f ca="1">IFERROR(__xludf.DUMMYFUNCTION("""COMPUTED_VALUE"""),"Доклад от конференция")</f>
        <v>Доклад от конференция</v>
      </c>
      <c r="C3363" s="10" t="str">
        <f ca="1">IFERROR(__xludf.DUMMYFUNCTION("""COMPUTED_VALUE"""),"Detection, Parametric Imaging and Classification of Very Small Marine Targets Emerged in Heavy Sea Clutter Utilizing GPS-Based Forward Scattering Radar")</f>
        <v>Detection, Parametric Imaging and Classification of Very Small Marine Targets Emerged in Heavy Sea Clutter Utilizing GPS-Based Forward Scattering Radar</v>
      </c>
      <c r="D3363" s="10">
        <f ca="1">IFERROR(__xludf.DUMMYFUNCTION("""COMPUTED_VALUE"""),2014)</f>
        <v>2014</v>
      </c>
      <c r="E3363" s="10" t="str">
        <f ca="1">IFERROR(__xludf.DUMMYFUNCTION("""COMPUTED_VALUE"""),"The 39th International Conference on Acoustics, Speech, and Signal Processing, ICASSP 2014, Florence, Italy, May 4-9, pp. 793-797, 2014. SJR (SCImago Journal Rank) (2014): 0.465, IPP (Impact per Publication) (2014) : 0.576, SNIP (Source Normalized Impact "&amp;"per Paper) (2014) : 0.590, ISSN: 15206149, ISBN: 978-147992892-7")</f>
        <v>The 39th International Conference on Acoustics, Speech, and Signal Processing, ICASSP 2014, Florence, Italy, May 4-9, pp. 793-797, 2014. SJR (SCImago Journal Rank) (2014): 0.465, IPP (Impact per Publication) (2014) : 0.576, SNIP (Source Normalized Impact per Paper) (2014) : 0.590, ISSN: 15206149, ISBN: 978-147992892-7</v>
      </c>
      <c r="F3363" s="10" t="str">
        <f ca="1">IFERROR(__xludf.DUMMYFUNCTION("""COMPUTED_VALUE"""),"SCOPUS")</f>
        <v>SCOPUS</v>
      </c>
      <c r="G3363" s="10" t="str">
        <f ca="1">IFERROR(__xludf.DUMMYFUNCTION("""COMPUTED_VALUE"""),"Kabakchiev C., V. Behar, I, Garvanov, D. Kabakchieva, H. Rohling")</f>
        <v>Kabakchiev C., V. Behar, I, Garvanov, D. Kabakchieva, H. Rohling</v>
      </c>
      <c r="H3363" s="10"/>
      <c r="I3363" s="10"/>
      <c r="J3363" s="10"/>
      <c r="K3363" s="10"/>
      <c r="L3363" s="10"/>
      <c r="M3363" s="10"/>
      <c r="N3363" s="10"/>
      <c r="O3363" s="10"/>
      <c r="P3363" s="10"/>
      <c r="Q3363" s="10"/>
      <c r="R3363" s="10"/>
      <c r="S3363" s="10"/>
      <c r="T3363" s="10"/>
      <c r="U3363" s="10"/>
      <c r="V3363" s="10"/>
      <c r="W3363" s="10"/>
      <c r="X3363" s="10"/>
      <c r="Y3363" s="10"/>
      <c r="Z3363" s="10"/>
    </row>
    <row r="3364" spans="1:26" ht="12.75">
      <c r="A3364" s="10" t="str">
        <f ca="1">IFERROR(__xludf.DUMMYFUNCTION("""COMPUTED_VALUE"""),"Иван Ганчев Гарванов")</f>
        <v>Иван Ганчев Гарванов</v>
      </c>
      <c r="B3364" s="10" t="str">
        <f ca="1">IFERROR(__xludf.DUMMYFUNCTION("""COMPUTED_VALUE"""),"Доклад от конференция")</f>
        <v>Доклад от конференция</v>
      </c>
      <c r="C3364" s="10" t="str">
        <f ca="1">IFERROR(__xludf.DUMMYFUNCTION("""COMPUTED_VALUE"""),"Study of CFAR Algorithms for Signal Acquisition in Radio Pulsar-Based Navigation")</f>
        <v>Study of CFAR Algorithms for Signal Acquisition in Radio Pulsar-Based Navigation</v>
      </c>
      <c r="D3364" s="10">
        <f ca="1">IFERROR(__xludf.DUMMYFUNCTION("""COMPUTED_VALUE"""),2014)</f>
        <v>2014</v>
      </c>
      <c r="E3364" s="10" t="str">
        <f ca="1">IFERROR(__xludf.DUMMYFUNCTION("""COMPUTED_VALUE"""),"21st Saint Petersburg International Conference on Integrated Navigation Systems 2014, Saint Petersburg, Russian Federation, May 26-28, pp/ 186-194, 2014, ISBN: 978-591995032-5")</f>
        <v>21st Saint Petersburg International Conference on Integrated Navigation Systems 2014, Saint Petersburg, Russian Federation, May 26-28, pp/ 186-194, 2014, ISBN: 978-591995032-5</v>
      </c>
      <c r="F3364" s="10" t="str">
        <f ca="1">IFERROR(__xludf.DUMMYFUNCTION("""COMPUTED_VALUE"""),"SCOPUS")</f>
        <v>SCOPUS</v>
      </c>
      <c r="G3364" s="10" t="str">
        <f ca="1">IFERROR(__xludf.DUMMYFUNCTION("""COMPUTED_VALUE"""),"26. Kabakchiev C., V. Behar, P. Buist, I, Garvanov, D. Kabakchieva, N. Gaubich, M. Bentum")</f>
        <v>26. Kabakchiev C., V. Behar, P. Buist, I, Garvanov, D. Kabakchieva, N. Gaubich, M. Bentum</v>
      </c>
      <c r="H3364" s="10"/>
      <c r="I3364" s="10"/>
      <c r="J3364" s="10"/>
      <c r="K3364" s="10"/>
      <c r="L3364" s="10"/>
      <c r="M3364" s="10"/>
      <c r="N3364" s="10"/>
      <c r="O3364" s="10"/>
      <c r="P3364" s="10"/>
      <c r="Q3364" s="10"/>
      <c r="R3364" s="10"/>
      <c r="S3364" s="10"/>
      <c r="T3364" s="10"/>
      <c r="U3364" s="10"/>
      <c r="V3364" s="10"/>
      <c r="W3364" s="10"/>
      <c r="X3364" s="10"/>
      <c r="Y3364" s="10"/>
      <c r="Z3364" s="10"/>
    </row>
    <row r="3365" spans="1:26" ht="12.75">
      <c r="A3365" s="10" t="str">
        <f ca="1">IFERROR(__xludf.DUMMYFUNCTION("""COMPUTED_VALUE"""),"Иван Ганчев Гарванов")</f>
        <v>Иван Ганчев Гарванов</v>
      </c>
      <c r="B3365" s="10" t="str">
        <f ca="1">IFERROR(__xludf.DUMMYFUNCTION("""COMPUTED_VALUE"""),"Доклад от конференция")</f>
        <v>Доклад от конференция</v>
      </c>
      <c r="C3365" s="10" t="str">
        <f ca="1">IFERROR(__xludf.DUMMYFUNCTION("""COMPUTED_VALUE"""),"Moving Target FSR Shadow Detection using GPS signals")</f>
        <v>Moving Target FSR Shadow Detection using GPS signals</v>
      </c>
      <c r="D3365" s="10">
        <f ca="1">IFERROR(__xludf.DUMMYFUNCTION("""COMPUTED_VALUE"""),2014)</f>
        <v>2014</v>
      </c>
      <c r="E3365" s="10" t="str">
        <f ca="1">IFERROR(__xludf.DUMMYFUNCTION("""COMPUTED_VALUE"""),"Third International Conference on Telecommunications and Remote Sensing (ICTRS 2014)")</f>
        <v>Third International Conference on Telecommunications and Remote Sensing (ICTRS 2014)</v>
      </c>
      <c r="F3365" s="10"/>
      <c r="G3365" s="10"/>
      <c r="H3365" s="10"/>
      <c r="I3365" s="10"/>
      <c r="J3365" s="10"/>
      <c r="K3365" s="10"/>
      <c r="L3365" s="10"/>
      <c r="M3365" s="10"/>
      <c r="N3365" s="10"/>
      <c r="O3365" s="10"/>
      <c r="P3365" s="10"/>
      <c r="Q3365" s="10"/>
      <c r="R3365" s="10"/>
      <c r="S3365" s="10"/>
      <c r="T3365" s="10"/>
      <c r="U3365" s="10"/>
      <c r="V3365" s="10"/>
      <c r="W3365" s="10"/>
      <c r="X3365" s="10"/>
      <c r="Y3365" s="10"/>
      <c r="Z3365" s="10"/>
    </row>
    <row r="3366" spans="1:26" ht="12.75">
      <c r="A3366" s="10" t="str">
        <f ca="1">IFERROR(__xludf.DUMMYFUNCTION("""COMPUTED_VALUE"""),"Иван Ганчев Гарванов")</f>
        <v>Иван Ганчев Гарванов</v>
      </c>
      <c r="B3366" s="10" t="str">
        <f ca="1">IFERROR(__xludf.DUMMYFUNCTION("""COMPUTED_VALUE"""),"Доклад от конференция")</f>
        <v>Доклад от конференция</v>
      </c>
      <c r="C3366" s="10" t="str">
        <f ca="1">IFERROR(__xludf.DUMMYFUNCTION("""COMPUTED_VALUE"""),"Study of Moving Target Shadows using Passive Forward Scatter Radar Systems")</f>
        <v>Study of Moving Target Shadows using Passive Forward Scatter Radar Systems</v>
      </c>
      <c r="D3366" s="10">
        <f ca="1">IFERROR(__xludf.DUMMYFUNCTION("""COMPUTED_VALUE"""),2014)</f>
        <v>2014</v>
      </c>
      <c r="E3366" s="10" t="str">
        <f ca="1">IFERROR(__xludf.DUMMYFUNCTION("""COMPUTED_VALUE"""),"Proc. of the International Radar Symposium – IRS’14, Poland, Gdansk, June 16-18, ISBN 978-83-931525-3-7, pp. 345-348, 2014.")</f>
        <v>Proc. of the International Radar Symposium – IRS’14, Poland, Gdansk, June 16-18, ISBN 978-83-931525-3-7, pp. 345-348, 2014.</v>
      </c>
      <c r="F3366" s="10" t="str">
        <f ca="1">IFERROR(__xludf.DUMMYFUNCTION("""COMPUTED_VALUE"""),"SCOPUS")</f>
        <v>SCOPUS</v>
      </c>
      <c r="G3366" s="10" t="str">
        <f ca="1">IFERROR(__xludf.DUMMYFUNCTION("""COMPUTED_VALUE"""),"Kabakchiev C., I. Garvanov, V. Behar")</f>
        <v>Kabakchiev C., I. Garvanov, V. Behar</v>
      </c>
      <c r="H3366" s="10"/>
      <c r="I3366" s="10"/>
      <c r="J3366" s="10"/>
      <c r="K3366" s="10"/>
      <c r="L3366" s="10"/>
      <c r="M3366" s="10"/>
      <c r="N3366" s="10"/>
      <c r="O3366" s="10"/>
      <c r="P3366" s="10"/>
      <c r="Q3366" s="10"/>
      <c r="R3366" s="10"/>
      <c r="S3366" s="10"/>
      <c r="T3366" s="10"/>
      <c r="U3366" s="10"/>
      <c r="V3366" s="10"/>
      <c r="W3366" s="10"/>
      <c r="X3366" s="10"/>
      <c r="Y3366" s="10"/>
      <c r="Z3366" s="10"/>
    </row>
    <row r="3367" spans="1:26" ht="12.75">
      <c r="A3367" s="10" t="str">
        <f ca="1">IFERROR(__xludf.DUMMYFUNCTION("""COMPUTED_VALUE"""),"Иван Ганчев Гарванов")</f>
        <v>Иван Ганчев Гарванов</v>
      </c>
      <c r="B3367" s="10" t="str">
        <f ca="1">IFERROR(__xludf.DUMMYFUNCTION("""COMPUTED_VALUE"""),"Доклад от конференция")</f>
        <v>Доклад от конференция</v>
      </c>
      <c r="C3367" s="10" t="str">
        <f ca="1">IFERROR(__xludf.DUMMYFUNCTION("""COMPUTED_VALUE"""),"Corona EHV AC Transmission Lines as noise source in environment")</f>
        <v>Corona EHV AC Transmission Lines as noise source in environment</v>
      </c>
      <c r="D3367" s="10">
        <f ca="1">IFERROR(__xludf.DUMMYFUNCTION("""COMPUTED_VALUE"""),2014)</f>
        <v>2014</v>
      </c>
      <c r="E3367" s="10" t="str">
        <f ca="1">IFERROR(__xludf.DUMMYFUNCTION("""COMPUTED_VALUE"""),"XVIII-th International Symposium on Electrical Apparatus and Technologies SIELA 2014, 29-31 May 2014, Bourgas, Bulgaria, ISBN: 978-147995817-7")</f>
        <v>XVIII-th International Symposium on Electrical Apparatus and Technologies SIELA 2014, 29-31 May 2014, Bourgas, Bulgaria, ISBN: 978-147995817-7</v>
      </c>
      <c r="F3367" s="10" t="str">
        <f ca="1">IFERROR(__xludf.DUMMYFUNCTION("""COMPUTED_VALUE"""),"SCOPUS")</f>
        <v>SCOPUS</v>
      </c>
      <c r="G3367" s="10" t="str">
        <f ca="1">IFERROR(__xludf.DUMMYFUNCTION("""COMPUTED_VALUE"""),"Garvanov I., Dimitrov L., Milojevic Z.")</f>
        <v>Garvanov I., Dimitrov L., Milojevic Z.</v>
      </c>
      <c r="H3367" s="10"/>
      <c r="I3367" s="10"/>
      <c r="J3367" s="10"/>
      <c r="K3367" s="10"/>
      <c r="L3367" s="10"/>
      <c r="M3367" s="10"/>
      <c r="N3367" s="10"/>
      <c r="O3367" s="10"/>
      <c r="P3367" s="10"/>
      <c r="Q3367" s="10"/>
      <c r="R3367" s="10"/>
      <c r="S3367" s="10"/>
      <c r="T3367" s="10"/>
      <c r="U3367" s="10"/>
      <c r="V3367" s="10"/>
      <c r="W3367" s="10"/>
      <c r="X3367" s="10"/>
      <c r="Y3367" s="10"/>
      <c r="Z3367" s="10"/>
    </row>
    <row r="3368" spans="1:26" ht="12.75">
      <c r="A3368" s="10" t="str">
        <f ca="1">IFERROR(__xludf.DUMMYFUNCTION("""COMPUTED_VALUE"""),"Иван Ганчев Гарванов")</f>
        <v>Иван Ганчев Гарванов</v>
      </c>
      <c r="B3368" s="10" t="str">
        <f ca="1">IFERROR(__xludf.DUMMYFUNCTION("""COMPUTED_VALUE"""),"Доклад от конференция")</f>
        <v>Доклад от конференция</v>
      </c>
      <c r="C3368" s="10" t="str">
        <f ca="1">IFERROR(__xludf.DUMMYFUNCTION("""COMPUTED_VALUE"""),"The Influence of temperature to the regularity of Live Cycle")</f>
        <v>The Influence of temperature to the regularity of Live Cycle</v>
      </c>
      <c r="D3368" s="10">
        <f ca="1">IFERROR(__xludf.DUMMYFUNCTION("""COMPUTED_VALUE"""),2014)</f>
        <v>2014</v>
      </c>
      <c r="E3368" s="10" t="str">
        <f ca="1">IFERROR(__xludf.DUMMYFUNCTION("""COMPUTED_VALUE"""),"XVIII-th International Symposium on Electrical Apparatus and Technologies SIELA 2014")</f>
        <v>XVIII-th International Symposium on Electrical Apparatus and Technologies SIELA 2014</v>
      </c>
      <c r="F3368" s="10"/>
      <c r="G3368" s="10"/>
      <c r="H3368" s="10"/>
      <c r="I3368" s="10"/>
      <c r="J3368" s="10"/>
      <c r="K3368" s="10"/>
      <c r="L3368" s="10"/>
      <c r="M3368" s="10"/>
      <c r="N3368" s="10"/>
      <c r="O3368" s="10"/>
      <c r="P3368" s="10"/>
      <c r="Q3368" s="10"/>
      <c r="R3368" s="10"/>
      <c r="S3368" s="10"/>
      <c r="T3368" s="10"/>
      <c r="U3368" s="10"/>
      <c r="V3368" s="10"/>
      <c r="W3368" s="10"/>
      <c r="X3368" s="10"/>
      <c r="Y3368" s="10"/>
      <c r="Z3368" s="10"/>
    </row>
    <row r="3369" spans="1:26" ht="12.75">
      <c r="A3369" s="10" t="str">
        <f ca="1">IFERROR(__xludf.DUMMYFUNCTION("""COMPUTED_VALUE"""),"Иван Ганчев Гарванов")</f>
        <v>Иван Ганчев Гарванов</v>
      </c>
      <c r="B3369" s="10" t="str">
        <f ca="1">IFERROR(__xludf.DUMMYFUNCTION("""COMPUTED_VALUE"""),"Доклад от конференция")</f>
        <v>Доклад от конференция</v>
      </c>
      <c r="C3369" s="10" t="str">
        <f ca="1">IFERROR(__xludf.DUMMYFUNCTION("""COMPUTED_VALUE"""),"Геометрические Формьзы – Компонент Моделирования в Дизайне")</f>
        <v>Геометрические Формьзы – Компонент Моделирования в Дизайне</v>
      </c>
      <c r="D3369" s="10">
        <f ca="1">IFERROR(__xludf.DUMMYFUNCTION("""COMPUTED_VALUE"""),2014)</f>
        <v>2014</v>
      </c>
      <c r="E3369" s="10" t="str">
        <f ca="1">IFERROR(__xludf.DUMMYFUNCTION("""COMPUTED_VALUE"""),"IV Международная научно-практическая конференция Реализация принципа непрерывности в системе учебных предметов в образовательны")</f>
        <v>IV Международная научно-практическая конференция Реализация принципа непрерывности в системе учебных предметов в образовательны</v>
      </c>
      <c r="F3369" s="10"/>
      <c r="G3369" s="10" t="str">
        <f ca="1">IFERROR(__xludf.DUMMYFUNCTION("""COMPUTED_VALUE"""),"Изворска Д., Славова С.")</f>
        <v>Изворска Д., Славова С.</v>
      </c>
      <c r="H3369" s="10"/>
      <c r="I3369" s="10"/>
      <c r="J3369" s="10"/>
      <c r="K3369" s="10"/>
      <c r="L3369" s="10"/>
      <c r="M3369" s="10"/>
      <c r="N3369" s="10"/>
      <c r="O3369" s="10"/>
      <c r="P3369" s="10"/>
      <c r="Q3369" s="10"/>
      <c r="R3369" s="10"/>
      <c r="S3369" s="10"/>
      <c r="T3369" s="10"/>
      <c r="U3369" s="10"/>
      <c r="V3369" s="10"/>
      <c r="W3369" s="10"/>
      <c r="X3369" s="10"/>
      <c r="Y3369" s="10"/>
      <c r="Z3369" s="10"/>
    </row>
    <row r="3370" spans="1:26" ht="12.75">
      <c r="A3370" s="10" t="str">
        <f ca="1">IFERROR(__xludf.DUMMYFUNCTION("""COMPUTED_VALUE"""),"Иван Ганчев Гарванов")</f>
        <v>Иван Ганчев Гарванов</v>
      </c>
      <c r="B3370" s="10" t="str">
        <f ca="1">IFERROR(__xludf.DUMMYFUNCTION("""COMPUTED_VALUE"""),"Доклад от конференция")</f>
        <v>Доклад от конференция</v>
      </c>
      <c r="C3370" s="10" t="str">
        <f ca="1">IFERROR(__xludf.DUMMYFUNCTION("""COMPUTED_VALUE"""),"Фрактальный Дизайн Как Элемент Продуктового Дизайна")</f>
        <v>Фрактальный Дизайн Как Элемент Продуктового Дизайна</v>
      </c>
      <c r="D3370" s="10">
        <f ca="1">IFERROR(__xludf.DUMMYFUNCTION("""COMPUTED_VALUE"""),2014)</f>
        <v>2014</v>
      </c>
      <c r="E3370" s="10" t="str">
        <f ca="1">IFERROR(__xludf.DUMMYFUNCTION("""COMPUTED_VALUE"""),"IV Международная научно-практическая конференция Реализация принципа непрерывности в системе учебных предметов в образовательны")</f>
        <v>IV Международная научно-практическая конференция Реализация принципа непрерывности в системе учебных предметов в образовательны</v>
      </c>
      <c r="F3370" s="10"/>
      <c r="G3370" s="10" t="str">
        <f ca="1">IFERROR(__xludf.DUMMYFUNCTION("""COMPUTED_VALUE"""),"Изворска Д., Славова С.")</f>
        <v>Изворска Д., Славова С.</v>
      </c>
      <c r="H3370" s="10"/>
      <c r="I3370" s="10"/>
      <c r="J3370" s="10"/>
      <c r="K3370" s="10"/>
      <c r="L3370" s="10"/>
      <c r="M3370" s="10"/>
      <c r="N3370" s="10"/>
      <c r="O3370" s="10"/>
      <c r="P3370" s="10"/>
      <c r="Q3370" s="10"/>
      <c r="R3370" s="10"/>
      <c r="S3370" s="10"/>
      <c r="T3370" s="10"/>
      <c r="U3370" s="10"/>
      <c r="V3370" s="10"/>
      <c r="W3370" s="10"/>
      <c r="X3370" s="10"/>
      <c r="Y3370" s="10"/>
      <c r="Z3370" s="10"/>
    </row>
    <row r="3371" spans="1:26" ht="12.75">
      <c r="A3371" s="10" t="str">
        <f ca="1">IFERROR(__xludf.DUMMYFUNCTION("""COMPUTED_VALUE"""),"Иван Ганчев Гарванов")</f>
        <v>Иван Ганчев Гарванов</v>
      </c>
      <c r="B3371" s="10" t="str">
        <f ca="1">IFERROR(__xludf.DUMMYFUNCTION("""COMPUTED_VALUE"""),"Книга")</f>
        <v>Книга</v>
      </c>
      <c r="C3371" s="10" t="str">
        <f ca="1">IFERROR(__xludf.DUMMYFUNCTION("""COMPUTED_VALUE"""),"Мобилни технологии")</f>
        <v>Мобилни технологии</v>
      </c>
      <c r="D3371" s="10">
        <f ca="1">IFERROR(__xludf.DUMMYFUNCTION("""COMPUTED_VALUE"""),2014)</f>
        <v>2014</v>
      </c>
      <c r="E3371" s="10" t="str">
        <f ca="1">IFERROR(__xludf.DUMMYFUNCTION("""COMPUTED_VALUE"""),"Гарванов, И., “Мобилни технологии”, София, “За буквите – О писменех”, ISBN 978-619-185-097-6, 198 стр., 2014 г.")</f>
        <v>Гарванов, И., “Мобилни технологии”, София, “За буквите – О писменех”, ISBN 978-619-185-097-6, 198 стр., 2014 г.</v>
      </c>
      <c r="F3371" s="10"/>
      <c r="G3371" s="10"/>
      <c r="H3371" s="10"/>
      <c r="I3371" s="10"/>
      <c r="J3371" s="10"/>
      <c r="K3371" s="10"/>
      <c r="L3371" s="10"/>
      <c r="M3371" s="10"/>
      <c r="N3371" s="10"/>
      <c r="O3371" s="10"/>
      <c r="P3371" s="10"/>
      <c r="Q3371" s="10"/>
      <c r="R3371" s="10"/>
      <c r="S3371" s="10"/>
      <c r="T3371" s="10"/>
      <c r="U3371" s="10"/>
      <c r="V3371" s="10"/>
      <c r="W3371" s="10"/>
      <c r="X3371" s="10"/>
      <c r="Y3371" s="10"/>
      <c r="Z3371" s="10"/>
    </row>
    <row r="3372" spans="1:26" ht="12.75">
      <c r="A3372" s="10" t="str">
        <f ca="1">IFERROR(__xludf.DUMMYFUNCTION("""COMPUTED_VALUE"""),"Иван Ганчев Гарванов")</f>
        <v>Иван Ганчев Гарванов</v>
      </c>
      <c r="B3372" s="10" t="str">
        <f ca="1">IFERROR(__xludf.DUMMYFUNCTION("""COMPUTED_VALUE"""),"Доклад от конференция")</f>
        <v>Доклад от конференция</v>
      </c>
      <c r="C3372" s="10" t="str">
        <f ca="1">IFERROR(__xludf.DUMMYFUNCTION("""COMPUTED_VALUE"""),"Извличане на информация от радио сенки на сателитни сигнали")</f>
        <v>Извличане на информация от радио сенки на сателитни сигнали</v>
      </c>
      <c r="D3372" s="10">
        <f ca="1">IFERROR(__xludf.DUMMYFUNCTION("""COMPUTED_VALUE"""),2014)</f>
        <v>2014</v>
      </c>
      <c r="E3372" s="10" t="str">
        <f ca="1">IFERROR(__xludf.DUMMYFUNCTION("""COMPUTED_VALUE"""),"Съвременни измерения на европейското образователно и научно пространство. Българо-албански културни общувания")</f>
        <v>Съвременни измерения на европейското образователно и научно пространство. Българо-албански културни общувания</v>
      </c>
      <c r="F3372" s="10"/>
      <c r="G3372" s="10" t="str">
        <f ca="1">IFERROR(__xludf.DUMMYFUNCTION("""COMPUTED_VALUE"""),"Хр. Кабакчиев, В. Бехар")</f>
        <v>Хр. Кабакчиев, В. Бехар</v>
      </c>
      <c r="H3372" s="10"/>
      <c r="I3372" s="10"/>
      <c r="J3372" s="10"/>
      <c r="K3372" s="10"/>
      <c r="L3372" s="10"/>
      <c r="M3372" s="10"/>
      <c r="N3372" s="10"/>
      <c r="O3372" s="10"/>
      <c r="P3372" s="10"/>
      <c r="Q3372" s="10"/>
      <c r="R3372" s="10"/>
      <c r="S3372" s="10"/>
      <c r="T3372" s="10"/>
      <c r="U3372" s="10"/>
      <c r="V3372" s="10"/>
      <c r="W3372" s="10"/>
      <c r="X3372" s="10"/>
      <c r="Y3372" s="10"/>
      <c r="Z3372" s="10"/>
    </row>
    <row r="3373" spans="1:26" ht="12.75">
      <c r="A3373" s="10" t="str">
        <f ca="1">IFERROR(__xludf.DUMMYFUNCTION("""COMPUTED_VALUE"""),"Иван Ганчев Гарванов")</f>
        <v>Иван Ганчев Гарванов</v>
      </c>
      <c r="B3373" s="10" t="str">
        <f ca="1">IFERROR(__xludf.DUMMYFUNCTION("""COMPUTED_VALUE"""),"Доклад от конференция")</f>
        <v>Доклад от конференция</v>
      </c>
      <c r="C3373" s="10" t="str">
        <f ca="1">IFERROR(__xludf.DUMMYFUNCTION("""COMPUTED_VALUE"""),"Обединяване на данни в многосензорни радарни системи чрез полярна Хаф трансформация")</f>
        <v>Обединяване на данни в многосензорни радарни системи чрез полярна Хаф трансформация</v>
      </c>
      <c r="D3373" s="10">
        <f ca="1">IFERROR(__xludf.DUMMYFUNCTION("""COMPUTED_VALUE"""),2013)</f>
        <v>2013</v>
      </c>
      <c r="E3373" s="10" t="str">
        <f ca="1">IFERROR(__xludf.DUMMYFUNCTION("""COMPUTED_VALUE"""),"Доклади и съобщения от Седмия научен семинар на УниБИТ")</f>
        <v>Доклади и съобщения от Седмия научен семинар на УниБИТ</v>
      </c>
      <c r="F3373" s="10"/>
      <c r="G3373" s="10"/>
      <c r="H3373" s="10"/>
      <c r="I3373" s="10"/>
      <c r="J3373" s="10"/>
      <c r="K3373" s="10"/>
      <c r="L3373" s="10"/>
      <c r="M3373" s="10"/>
      <c r="N3373" s="10"/>
      <c r="O3373" s="10"/>
      <c r="P3373" s="10"/>
      <c r="Q3373" s="10"/>
      <c r="R3373" s="10"/>
      <c r="S3373" s="10"/>
      <c r="T3373" s="10"/>
      <c r="U3373" s="10"/>
      <c r="V3373" s="10"/>
      <c r="W3373" s="10"/>
      <c r="X3373" s="10"/>
      <c r="Y3373" s="10"/>
      <c r="Z3373" s="10"/>
    </row>
    <row r="3374" spans="1:26" ht="12.75">
      <c r="A3374" s="10" t="str">
        <f ca="1">IFERROR(__xludf.DUMMYFUNCTION("""COMPUTED_VALUE"""),"Иван Ганчев Гарванов")</f>
        <v>Иван Ганчев Гарванов</v>
      </c>
      <c r="B3374" s="10" t="str">
        <f ca="1">IFERROR(__xludf.DUMMYFUNCTION("""COMPUTED_VALUE"""),"Доклад от конференция")</f>
        <v>Доклад от конференция</v>
      </c>
      <c r="C3374" s="10" t="str">
        <f ca="1">IFERROR(__xludf.DUMMYFUNCTION("""COMPUTED_VALUE"""),"Анализ на процеси за проектиране и дизайн на промишлени продукти")</f>
        <v>Анализ на процеси за проектиране и дизайн на промишлени продукти</v>
      </c>
      <c r="D3374" s="10">
        <f ca="1">IFERROR(__xludf.DUMMYFUNCTION("""COMPUTED_VALUE"""),2013)</f>
        <v>2013</v>
      </c>
      <c r="E3374" s="10" t="str">
        <f ca="1">IFERROR(__xludf.DUMMYFUNCTION("""COMPUTED_VALUE"""),"Общество на знанието и хуманизмът на ХХІ век, Девета юбилейна национална научна конференция с международно участие, София, стр. 459-471, “За буквите – О писменех”, ISBN: 1314-7099")</f>
        <v>Общество на знанието и хуманизмът на ХХІ век, Девета юбилейна национална научна конференция с международно участие, София, стр. 459-471, “За буквите – О писменех”, ISBN: 1314-7099</v>
      </c>
      <c r="F3374" s="10"/>
      <c r="G3374" s="10" t="str">
        <f ca="1">IFERROR(__xludf.DUMMYFUNCTION("""COMPUTED_VALUE"""),"Павлова И., М. Хасанова")</f>
        <v>Павлова И., М. Хасанова</v>
      </c>
      <c r="H3374" s="10"/>
      <c r="I3374" s="10"/>
      <c r="J3374" s="10"/>
      <c r="K3374" s="10"/>
      <c r="L3374" s="10"/>
      <c r="M3374" s="10"/>
      <c r="N3374" s="10"/>
      <c r="O3374" s="10"/>
      <c r="P3374" s="10"/>
      <c r="Q3374" s="10"/>
      <c r="R3374" s="10"/>
      <c r="S3374" s="10"/>
      <c r="T3374" s="10"/>
      <c r="U3374" s="10"/>
      <c r="V3374" s="10"/>
      <c r="W3374" s="10"/>
      <c r="X3374" s="10"/>
      <c r="Y3374" s="10"/>
      <c r="Z3374" s="10"/>
    </row>
    <row r="3375" spans="1:26" ht="12.75">
      <c r="A3375" s="10" t="str">
        <f ca="1">IFERROR(__xludf.DUMMYFUNCTION("""COMPUTED_VALUE"""),"Иван Ганчев Гарванов")</f>
        <v>Иван Ганчев Гарванов</v>
      </c>
      <c r="B3375" s="10" t="str">
        <f ca="1">IFERROR(__xludf.DUMMYFUNCTION("""COMPUTED_VALUE"""),"Доклад от конференция")</f>
        <v>Доклад от конференция</v>
      </c>
      <c r="C3375" s="10" t="str">
        <f ca="1">IFERROR(__xludf.DUMMYFUNCTION("""COMPUTED_VALUE"""),"Дизайн на дрехи с фрактали")</f>
        <v>Дизайн на дрехи с фрактали</v>
      </c>
      <c r="D3375" s="10">
        <f ca="1">IFERROR(__xludf.DUMMYFUNCTION("""COMPUTED_VALUE"""),2013)</f>
        <v>2013</v>
      </c>
      <c r="E3375" s="10" t="str">
        <f ca="1">IFERROR(__xludf.DUMMYFUNCTION("""COMPUTED_VALUE"""),"Съвременни измерения на европейското образователно и научно пространство. Българо-английски културни общувания")</f>
        <v>Съвременни измерения на европейското образователно и научно пространство. Българо-английски културни общувания</v>
      </c>
      <c r="F3375" s="10"/>
      <c r="G3375" s="10" t="str">
        <f ca="1">IFERROR(__xludf.DUMMYFUNCTION("""COMPUTED_VALUE"""),"Хасанова. M, И. Павлова")</f>
        <v>Хасанова. M, И. Павлова</v>
      </c>
      <c r="H3375" s="10"/>
      <c r="I3375" s="10"/>
      <c r="J3375" s="10"/>
      <c r="K3375" s="10"/>
      <c r="L3375" s="10"/>
      <c r="M3375" s="10"/>
      <c r="N3375" s="10"/>
      <c r="O3375" s="10"/>
      <c r="P3375" s="10"/>
      <c r="Q3375" s="10"/>
      <c r="R3375" s="10"/>
      <c r="S3375" s="10"/>
      <c r="T3375" s="10"/>
      <c r="U3375" s="10"/>
      <c r="V3375" s="10"/>
      <c r="W3375" s="10"/>
      <c r="X3375" s="10"/>
      <c r="Y3375" s="10"/>
      <c r="Z3375" s="10"/>
    </row>
    <row r="3376" spans="1:26" ht="12.75">
      <c r="A3376" s="10" t="str">
        <f ca="1">IFERROR(__xludf.DUMMYFUNCTION("""COMPUTED_VALUE"""),"Иван Ганчев Гарванов")</f>
        <v>Иван Ганчев Гарванов</v>
      </c>
      <c r="B3376" s="10" t="str">
        <f ca="1">IFERROR(__xludf.DUMMYFUNCTION("""COMPUTED_VALUE"""),"Доклад от конференция")</f>
        <v>Доклад от конференция</v>
      </c>
      <c r="C3376" s="10" t="str">
        <f ca="1">IFERROR(__xludf.DUMMYFUNCTION("""COMPUTED_VALUE"""),"Фракталната графика в съвременното изобразително изкуство (Фрактали на Манделброт и жулиа)")</f>
        <v>Фракталната графика в съвременното изобразително изкуство (Фрактали на Манделброт и жулиа)</v>
      </c>
      <c r="D3376" s="10">
        <f ca="1">IFERROR(__xludf.DUMMYFUNCTION("""COMPUTED_VALUE"""),2013)</f>
        <v>2013</v>
      </c>
      <c r="E3376" s="10" t="str">
        <f ca="1">IFERROR(__xludf.DUMMYFUNCTION("""COMPUTED_VALUE"""),"Доклади и съобщения от Седмия научен семинар на УниБИТ")</f>
        <v>Доклади и съобщения от Седмия научен семинар на УниБИТ</v>
      </c>
      <c r="F3376" s="10"/>
      <c r="G3376" s="10" t="str">
        <f ca="1">IFERROR(__xludf.DUMMYFUNCTION("""COMPUTED_VALUE"""),"Иванов И., С. Славова, Д. Бояджиев")</f>
        <v>Иванов И., С. Славова, Д. Бояджиев</v>
      </c>
      <c r="H3376" s="10"/>
      <c r="I3376" s="10"/>
      <c r="J3376" s="10"/>
      <c r="K3376" s="10"/>
      <c r="L3376" s="10"/>
      <c r="M3376" s="10"/>
      <c r="N3376" s="10"/>
      <c r="O3376" s="10"/>
      <c r="P3376" s="10"/>
      <c r="Q3376" s="10"/>
      <c r="R3376" s="10"/>
      <c r="S3376" s="10"/>
      <c r="T3376" s="10"/>
      <c r="U3376" s="10"/>
      <c r="V3376" s="10"/>
      <c r="W3376" s="10"/>
      <c r="X3376" s="10"/>
      <c r="Y3376" s="10"/>
      <c r="Z3376" s="10"/>
    </row>
    <row r="3377" spans="1:26" ht="12.75">
      <c r="A3377" s="10" t="str">
        <f ca="1">IFERROR(__xludf.DUMMYFUNCTION("""COMPUTED_VALUE"""),"Иван Ганчев Гарванов")</f>
        <v>Иван Ганчев Гарванов</v>
      </c>
      <c r="B3377" s="10" t="str">
        <f ca="1">IFERROR(__xludf.DUMMYFUNCTION("""COMPUTED_VALUE"""),"Доклад от конференция")</f>
        <v>Доклад от конференция</v>
      </c>
      <c r="C3377" s="10" t="str">
        <f ca="1">IFERROR(__xludf.DUMMYFUNCTION("""COMPUTED_VALUE"""),"Идеалният град на бъдещето в контекста на принципа на фракталност")</f>
        <v>Идеалният град на бъдещето в контекста на принципа на фракталност</v>
      </c>
      <c r="D3377" s="10">
        <f ca="1">IFERROR(__xludf.DUMMYFUNCTION("""COMPUTED_VALUE"""),2013)</f>
        <v>2013</v>
      </c>
      <c r="E3377" s="10" t="str">
        <f ca="1">IFERROR(__xludf.DUMMYFUNCTION("""COMPUTED_VALUE"""),"Десета национална научна конференция с международно участие")</f>
        <v>Десета национална научна конференция с международно участие</v>
      </c>
      <c r="F3377" s="10"/>
      <c r="G3377" s="10" t="str">
        <f ca="1">IFERROR(__xludf.DUMMYFUNCTION("""COMPUTED_VALUE"""),"С. Славова, Д. Изворска, Г. Момчилов, З. Маринков")</f>
        <v>С. Славова, Д. Изворска, Г. Момчилов, З. Маринков</v>
      </c>
      <c r="H3377" s="10"/>
      <c r="I3377" s="10"/>
      <c r="J3377" s="10"/>
      <c r="K3377" s="10"/>
      <c r="L3377" s="10"/>
      <c r="M3377" s="10"/>
      <c r="N3377" s="10"/>
      <c r="O3377" s="10"/>
      <c r="P3377" s="10"/>
      <c r="Q3377" s="10"/>
      <c r="R3377" s="10"/>
      <c r="S3377" s="10"/>
      <c r="T3377" s="10"/>
      <c r="U3377" s="10"/>
      <c r="V3377" s="10"/>
      <c r="W3377" s="10"/>
      <c r="X3377" s="10"/>
      <c r="Y3377" s="10"/>
      <c r="Z3377" s="10"/>
    </row>
    <row r="3378" spans="1:26" ht="12.75">
      <c r="A3378" s="10" t="str">
        <f ca="1">IFERROR(__xludf.DUMMYFUNCTION("""COMPUTED_VALUE"""),"Иван Ганчев Гарванов")</f>
        <v>Иван Ганчев Гарванов</v>
      </c>
      <c r="B3378" s="10" t="str">
        <f ca="1">IFERROR(__xludf.DUMMYFUNCTION("""COMPUTED_VALUE"""),"Доклад от конференция")</f>
        <v>Доклад от конференция</v>
      </c>
      <c r="C3378" s="10" t="str">
        <f ca="1">IFERROR(__xludf.DUMMYFUNCTION("""COMPUTED_VALUE"""),"Фрактални модели в Африканската архитектура")</f>
        <v>Фрактални модели в Африканската архитектура</v>
      </c>
      <c r="D3378" s="10">
        <f ca="1">IFERROR(__xludf.DUMMYFUNCTION("""COMPUTED_VALUE"""),2013)</f>
        <v>2013</v>
      </c>
      <c r="E3378" s="10" t="str">
        <f ca="1">IFERROR(__xludf.DUMMYFUNCTION("""COMPUTED_VALUE"""),"Десета национална научна конференция с международно участие")</f>
        <v>Десета национална научна конференция с международно участие</v>
      </c>
      <c r="F3378" s="10"/>
      <c r="G3378" s="10" t="str">
        <f ca="1">IFERROR(__xludf.DUMMYFUNCTION("""COMPUTED_VALUE"""),"И. Иванов, С. Славова, Д. Изворска, З. Маринков")</f>
        <v>И. Иванов, С. Славова, Д. Изворска, З. Маринков</v>
      </c>
      <c r="H3378" s="10"/>
      <c r="I3378" s="10"/>
      <c r="J3378" s="10"/>
      <c r="K3378" s="10"/>
      <c r="L3378" s="10"/>
      <c r="M3378" s="10"/>
      <c r="N3378" s="10"/>
      <c r="O3378" s="10"/>
      <c r="P3378" s="10"/>
      <c r="Q3378" s="10"/>
      <c r="R3378" s="10"/>
      <c r="S3378" s="10"/>
      <c r="T3378" s="10"/>
      <c r="U3378" s="10"/>
      <c r="V3378" s="10"/>
      <c r="W3378" s="10"/>
      <c r="X3378" s="10"/>
      <c r="Y3378" s="10"/>
      <c r="Z3378" s="10"/>
    </row>
    <row r="3379" spans="1:26" ht="12.75">
      <c r="A3379" s="10" t="str">
        <f ca="1">IFERROR(__xludf.DUMMYFUNCTION("""COMPUTED_VALUE"""),"Иван Ганчев Гарванов")</f>
        <v>Иван Ганчев Гарванов</v>
      </c>
      <c r="B3379" s="10" t="str">
        <f ca="1">IFERROR(__xludf.DUMMYFUNCTION("""COMPUTED_VALUE"""),"Доклад от конференция")</f>
        <v>Доклад от конференция</v>
      </c>
      <c r="C3379" s="10" t="str">
        <f ca="1">IFERROR(__xludf.DUMMYFUNCTION("""COMPUTED_VALUE"""),"FSR Marine Target Classification With Data Mining Approach")</f>
        <v>FSR Marine Target Classification With Data Mining Approach</v>
      </c>
      <c r="D3379" s="10">
        <f ca="1">IFERROR(__xludf.DUMMYFUNCTION("""COMPUTED_VALUE"""),2013)</f>
        <v>2013</v>
      </c>
      <c r="E3379" s="10" t="str">
        <f ca="1">IFERROR(__xludf.DUMMYFUNCTION("""COMPUTED_VALUE"""),"Second International Conference on Telecommunications and Remote Sensing (ICTRS 2013)")</f>
        <v>Second International Conference on Telecommunications and Remote Sensing (ICTRS 2013)</v>
      </c>
      <c r="F3379" s="10"/>
      <c r="G3379" s="10"/>
      <c r="H3379" s="10"/>
      <c r="I3379" s="10"/>
      <c r="J3379" s="10"/>
      <c r="K3379" s="10"/>
      <c r="L3379" s="10"/>
      <c r="M3379" s="10"/>
      <c r="N3379" s="10"/>
      <c r="O3379" s="10"/>
      <c r="P3379" s="10"/>
      <c r="Q3379" s="10"/>
      <c r="R3379" s="10"/>
      <c r="S3379" s="10"/>
      <c r="T3379" s="10"/>
      <c r="U3379" s="10"/>
      <c r="V3379" s="10"/>
      <c r="W3379" s="10"/>
      <c r="X3379" s="10"/>
      <c r="Y3379" s="10"/>
      <c r="Z3379" s="10"/>
    </row>
    <row r="3380" spans="1:26" ht="12.75">
      <c r="A3380" s="10" t="str">
        <f ca="1">IFERROR(__xludf.DUMMYFUNCTION("""COMPUTED_VALUE"""),"Иван Ганчев Гарванов")</f>
        <v>Иван Ганчев Гарванов</v>
      </c>
      <c r="B3380" s="10" t="str">
        <f ca="1">IFERROR(__xludf.DUMMYFUNCTION("""COMPUTED_VALUE"""),"Доклад от конференция")</f>
        <v>Доклад от конференция</v>
      </c>
      <c r="C3380" s="10" t="str">
        <f ca="1">IFERROR(__xludf.DUMMYFUNCTION("""COMPUTED_VALUE"""),"Sound parameter estimation in a security systems")</f>
        <v>Sound parameter estimation in a security systems</v>
      </c>
      <c r="D3380" s="10">
        <f ca="1">IFERROR(__xludf.DUMMYFUNCTION("""COMPUTED_VALUE"""),2013)</f>
        <v>2013</v>
      </c>
      <c r="E3380" s="10" t="str">
        <f ca="1">IFERROR(__xludf.DUMMYFUNCTION("""COMPUTED_VALUE"""),"Second International Conference on Telecommunications and Remote Sensing (ICTRS 2013)")</f>
        <v>Second International Conference on Telecommunications and Remote Sensing (ICTRS 2013)</v>
      </c>
      <c r="F3380" s="10"/>
      <c r="G3380" s="10"/>
      <c r="H3380" s="10"/>
      <c r="I3380" s="10"/>
      <c r="J3380" s="10"/>
      <c r="K3380" s="10"/>
      <c r="L3380" s="10"/>
      <c r="M3380" s="10"/>
      <c r="N3380" s="10"/>
      <c r="O3380" s="10"/>
      <c r="P3380" s="10"/>
      <c r="Q3380" s="10"/>
      <c r="R3380" s="10"/>
      <c r="S3380" s="10"/>
      <c r="T3380" s="10"/>
      <c r="U3380" s="10"/>
      <c r="V3380" s="10"/>
      <c r="W3380" s="10"/>
      <c r="X3380" s="10"/>
      <c r="Y3380" s="10"/>
      <c r="Z3380" s="10"/>
    </row>
    <row r="3381" spans="1:26" ht="12.75">
      <c r="A3381" s="10" t="str">
        <f ca="1">IFERROR(__xludf.DUMMYFUNCTION("""COMPUTED_VALUE"""),"Иван Ганчев Гарванов")</f>
        <v>Иван Ганчев Гарванов</v>
      </c>
      <c r="B3381" s="10" t="str">
        <f ca="1">IFERROR(__xludf.DUMMYFUNCTION("""COMPUTED_VALUE"""),"Доклад от конференция")</f>
        <v>Доклад от конференция</v>
      </c>
      <c r="C3381" s="10" t="str">
        <f ca="1">IFERROR(__xludf.DUMMYFUNCTION("""COMPUTED_VALUE"""),"Simple Algorithms for Target Detection in FSR Using Local Statistics")</f>
        <v>Simple Algorithms for Target Detection in FSR Using Local Statistics</v>
      </c>
      <c r="D3381" s="10">
        <f ca="1">IFERROR(__xludf.DUMMYFUNCTION("""COMPUTED_VALUE"""),2013)</f>
        <v>2013</v>
      </c>
      <c r="E3381" s="10" t="str">
        <f ca="1">IFERROR(__xludf.DUMMYFUNCTION("""COMPUTED_VALUE"""),"Proc. of the International Radar Symposium – IRS’13, Dresden, Germany, pp.631-636, ISBN: 978-3-95404-223-4, 2013.")</f>
        <v>Proc. of the International Radar Symposium – IRS’13, Dresden, Germany, pp.631-636, ISBN: 978-3-95404-223-4, 2013.</v>
      </c>
      <c r="F3381" s="10" t="str">
        <f ca="1">IFERROR(__xludf.DUMMYFUNCTION("""COMPUTED_VALUE"""),"SCOPUS")</f>
        <v>SCOPUS</v>
      </c>
      <c r="G3381" s="10" t="str">
        <f ca="1">IFERROR(__xludf.DUMMYFUNCTION("""COMPUTED_VALUE"""),"20. Behar V., C. Kabakchiev, I. Garvanov")</f>
        <v>20. Behar V., C. Kabakchiev, I. Garvanov</v>
      </c>
      <c r="H3381" s="10"/>
      <c r="I3381" s="10"/>
      <c r="J3381" s="10"/>
      <c r="K3381" s="10"/>
      <c r="L3381" s="10"/>
      <c r="M3381" s="10"/>
      <c r="N3381" s="10"/>
      <c r="O3381" s="10"/>
      <c r="P3381" s="10"/>
      <c r="Q3381" s="10"/>
      <c r="R3381" s="10"/>
      <c r="S3381" s="10"/>
      <c r="T3381" s="10"/>
      <c r="U3381" s="10"/>
      <c r="V3381" s="10"/>
      <c r="W3381" s="10"/>
      <c r="X3381" s="10"/>
      <c r="Y3381" s="10"/>
      <c r="Z3381" s="10"/>
    </row>
    <row r="3382" spans="1:26" ht="12.75">
      <c r="A3382" s="10" t="str">
        <f ca="1">IFERROR(__xludf.DUMMYFUNCTION("""COMPUTED_VALUE"""),"Иван Ганчев Гарванов")</f>
        <v>Иван Ганчев Гарванов</v>
      </c>
      <c r="B3382" s="10" t="str">
        <f ca="1">IFERROR(__xludf.DUMMYFUNCTION("""COMPUTED_VALUE"""),"Доклад от конференция")</f>
        <v>Доклад от конференция</v>
      </c>
      <c r="C3382" s="10" t="str">
        <f ca="1">IFERROR(__xludf.DUMMYFUNCTION("""COMPUTED_VALUE"""),"Оценка на точността на измерване на координатите на хора намиращи се в мрежа от комуникационни сензори")</f>
        <v>Оценка на точността на измерване на координатите на хора намиращи се в мрежа от комуникационни сензори</v>
      </c>
      <c r="D3382" s="10">
        <f ca="1">IFERROR(__xludf.DUMMYFUNCTION("""COMPUTED_VALUE"""),2013)</f>
        <v>2013</v>
      </c>
      <c r="E3382" s="10" t="str">
        <f ca="1">IFERROR(__xludf.DUMMYFUNCTION("""COMPUTED_VALUE"""),"Девета юбилейна национална научна конференция с международно участие")</f>
        <v>Девета юбилейна национална научна конференция с международно участие</v>
      </c>
      <c r="F3382" s="10"/>
      <c r="G3382" s="10" t="str">
        <f ca="1">IFERROR(__xludf.DUMMYFUNCTION("""COMPUTED_VALUE"""),"М. Владимировa, С. Владимиров")</f>
        <v>М. Владимировa, С. Владимиров</v>
      </c>
      <c r="H3382" s="10"/>
      <c r="I3382" s="10"/>
      <c r="J3382" s="10"/>
      <c r="K3382" s="10"/>
      <c r="L3382" s="10"/>
      <c r="M3382" s="10"/>
      <c r="N3382" s="10"/>
      <c r="O3382" s="10"/>
      <c r="P3382" s="10"/>
      <c r="Q3382" s="10"/>
      <c r="R3382" s="10"/>
      <c r="S3382" s="10"/>
      <c r="T3382" s="10"/>
      <c r="U3382" s="10"/>
      <c r="V3382" s="10"/>
      <c r="W3382" s="10"/>
      <c r="X3382" s="10"/>
      <c r="Y3382" s="10"/>
      <c r="Z3382" s="10"/>
    </row>
    <row r="3383" spans="1:26" ht="12.75">
      <c r="A3383" s="10" t="str">
        <f ca="1">IFERROR(__xludf.DUMMYFUNCTION("""COMPUTED_VALUE"""),"Иван Ганчев Гарванов")</f>
        <v>Иван Ганчев Гарванов</v>
      </c>
      <c r="B3383" s="10" t="str">
        <f ca="1">IFERROR(__xludf.DUMMYFUNCTION("""COMPUTED_VALUE"""),"Книга")</f>
        <v>Книга</v>
      </c>
      <c r="C3383" s="10" t="str">
        <f ca="1">IFERROR(__xludf.DUMMYFUNCTION("""COMPUTED_VALUE"""),"Радиоохрана на граници и обекти")</f>
        <v>Радиоохрана на граници и обекти</v>
      </c>
      <c r="D3383" s="10">
        <f ca="1">IFERROR(__xludf.DUMMYFUNCTION("""COMPUTED_VALUE"""),2013)</f>
        <v>2013</v>
      </c>
      <c r="E3383" s="10" t="str">
        <f ca="1">IFERROR(__xludf.DUMMYFUNCTION("""COMPUTED_VALUE"""),"Управление при кризи")</f>
        <v>Управление при кризи</v>
      </c>
      <c r="F3383" s="10"/>
      <c r="G3383" s="10"/>
      <c r="H3383" s="10"/>
      <c r="I3383" s="10"/>
      <c r="J3383" s="10"/>
      <c r="K3383" s="10"/>
      <c r="L3383" s="10"/>
      <c r="M3383" s="10"/>
      <c r="N3383" s="10"/>
      <c r="O3383" s="10"/>
      <c r="P3383" s="10"/>
      <c r="Q3383" s="10"/>
      <c r="R3383" s="10"/>
      <c r="S3383" s="10"/>
      <c r="T3383" s="10"/>
      <c r="U3383" s="10"/>
      <c r="V3383" s="10"/>
      <c r="W3383" s="10"/>
      <c r="X3383" s="10"/>
      <c r="Y3383" s="10"/>
      <c r="Z3383" s="10"/>
    </row>
    <row r="3384" spans="1:26" ht="12.75">
      <c r="A3384" s="10" t="str">
        <f ca="1">IFERROR(__xludf.DUMMYFUNCTION("""COMPUTED_VALUE"""),"Иван Ганчев Гарванов")</f>
        <v>Иван Ганчев Гарванов</v>
      </c>
      <c r="B3384" s="10" t="str">
        <f ca="1">IFERROR(__xludf.DUMMYFUNCTION("""COMPUTED_VALUE"""),"Учебник")</f>
        <v>Учебник</v>
      </c>
      <c r="C3384" s="10" t="str">
        <f ca="1">IFERROR(__xludf.DUMMYFUNCTION("""COMPUTED_VALUE"""),"Ръководство за работа със SPSS")</f>
        <v>Ръководство за работа със SPSS</v>
      </c>
      <c r="D3384" s="10">
        <f ca="1">IFERROR(__xludf.DUMMYFUNCTION("""COMPUTED_VALUE"""),2013)</f>
        <v>2013</v>
      </c>
      <c r="E3384" s="10" t="str">
        <f ca="1">IFERROR(__xludf.DUMMYFUNCTION("""COMPUTED_VALUE"""),"София, “За буквите – О писменех”, ISBN 978-954-2946-91-5, 192 стр., 2013 г.")</f>
        <v>София, “За буквите – О писменех”, ISBN 978-954-2946-91-5, 192 стр., 2013 г.</v>
      </c>
      <c r="F3384" s="10"/>
      <c r="G3384" s="10" t="str">
        <f ca="1">IFERROR(__xludf.DUMMYFUNCTION("""COMPUTED_VALUE"""),"Магдалена Гарванова")</f>
        <v>Магдалена Гарванова</v>
      </c>
      <c r="H3384" s="10"/>
      <c r="I3384" s="10"/>
      <c r="J3384" s="10"/>
      <c r="K3384" s="10"/>
      <c r="L3384" s="10"/>
      <c r="M3384" s="10"/>
      <c r="N3384" s="10"/>
      <c r="O3384" s="10"/>
      <c r="P3384" s="10"/>
      <c r="Q3384" s="10"/>
      <c r="R3384" s="10"/>
      <c r="S3384" s="10"/>
      <c r="T3384" s="10"/>
      <c r="U3384" s="10"/>
      <c r="V3384" s="10"/>
      <c r="W3384" s="10"/>
      <c r="X3384" s="10"/>
      <c r="Y3384" s="10"/>
      <c r="Z3384" s="10"/>
    </row>
    <row r="3385" spans="1:26" ht="12.75">
      <c r="A3385" s="10" t="str">
        <f ca="1">IFERROR(__xludf.DUMMYFUNCTION("""COMPUTED_VALUE"""),"Иван Ганчев Гарванов")</f>
        <v>Иван Ганчев Гарванов</v>
      </c>
      <c r="B3385" s="10" t="str">
        <f ca="1">IFERROR(__xludf.DUMMYFUNCTION("""COMPUTED_VALUE"""),"Доклад от конференция")</f>
        <v>Доклад от конференция</v>
      </c>
      <c r="C3385" s="10" t="str">
        <f ca="1">IFERROR(__xludf.DUMMYFUNCTION("""COMPUTED_VALUE"""),"Average Decision Threshold of CFAR BI Processor with Polar Hough Transform in the Presence of Randomly Arriving Impulse Interference")</f>
        <v>Average Decision Threshold of CFAR BI Processor with Polar Hough Transform in the Presence of Randomly Arriving Impulse Interference</v>
      </c>
      <c r="D3385" s="10">
        <f ca="1">IFERROR(__xludf.DUMMYFUNCTION("""COMPUTED_VALUE"""),2013)</f>
        <v>2013</v>
      </c>
      <c r="E3385" s="10" t="str">
        <f ca="1">IFERROR(__xludf.DUMMYFUNCTION("""COMPUTED_VALUE"""),"Съвременни измерения на европейското образователно и научно пространство, том 3, 2015, VІІ.")</f>
        <v>Съвременни измерения на европейското образователно и научно пространство, том 3, 2015, VІІ.</v>
      </c>
      <c r="F3385" s="10"/>
      <c r="G3385" s="10"/>
      <c r="H3385" s="10"/>
      <c r="I3385" s="10"/>
      <c r="J3385" s="10"/>
      <c r="K3385" s="10"/>
      <c r="L3385" s="10"/>
      <c r="M3385" s="10"/>
      <c r="N3385" s="10"/>
      <c r="O3385" s="10"/>
      <c r="P3385" s="10"/>
      <c r="Q3385" s="10"/>
      <c r="R3385" s="10"/>
      <c r="S3385" s="10"/>
      <c r="T3385" s="10"/>
      <c r="U3385" s="10"/>
      <c r="V3385" s="10"/>
      <c r="W3385" s="10"/>
      <c r="X3385" s="10"/>
      <c r="Y3385" s="10"/>
      <c r="Z3385" s="10"/>
    </row>
    <row r="3386" spans="1:26" ht="12.75">
      <c r="A3386" s="10" t="str">
        <f ca="1">IFERROR(__xludf.DUMMYFUNCTION("""COMPUTED_VALUE"""),"Иван Ганчев Гарванов")</f>
        <v>Иван Ганчев Гарванов</v>
      </c>
      <c r="B3386" s="10" t="str">
        <f ca="1">IFERROR(__xludf.DUMMYFUNCTION("""COMPUTED_VALUE"""),"Доклад от конференция")</f>
        <v>Доклад от конференция</v>
      </c>
      <c r="C3386" s="10" t="str">
        <f ca="1">IFERROR(__xludf.DUMMYFUNCTION("""COMPUTED_VALUE"""),"Detection Probability of Multisencor Hough Detector")</f>
        <v>Detection Probability of Multisencor Hough Detector</v>
      </c>
      <c r="D3386" s="10">
        <f ca="1">IFERROR(__xludf.DUMMYFUNCTION("""COMPUTED_VALUE"""),2013)</f>
        <v>2013</v>
      </c>
      <c r="E3386" s="10" t="str">
        <f ca="1">IFERROR(__xludf.DUMMYFUNCTION("""COMPUTED_VALUE"""),"Съвременни измерения на европейското образователно и научно пространство, том 3, 2015, VІІ. „Съвременни измерения на европейското образователно и научно пространство. Българо-английски културни общувания”. България – Великобритания, 25 – 31 май 2013 г., „"&amp;"За буквите – О писменехь”, pp. 139-143, ISSN 2367-7988")</f>
        <v>Съвременни измерения на европейското образователно и научно пространство, том 3, 2015, VІІ. „Съвременни измерения на европейското образователно и научно пространство. Българо-английски културни общувания”. България – Великобритания, 25 – 31 май 2013 г., „За буквите – О писменехь”, pp. 139-143, ISSN 2367-7988</v>
      </c>
      <c r="F3386" s="10"/>
      <c r="G3386" s="10"/>
      <c r="H3386" s="10"/>
      <c r="I3386" s="10"/>
      <c r="J3386" s="10"/>
      <c r="K3386" s="10"/>
      <c r="L3386" s="10"/>
      <c r="M3386" s="10"/>
      <c r="N3386" s="10"/>
      <c r="O3386" s="10"/>
      <c r="P3386" s="10"/>
      <c r="Q3386" s="10"/>
      <c r="R3386" s="10"/>
      <c r="S3386" s="10"/>
      <c r="T3386" s="10"/>
      <c r="U3386" s="10"/>
      <c r="V3386" s="10"/>
      <c r="W3386" s="10"/>
      <c r="X3386" s="10"/>
      <c r="Y3386" s="10"/>
      <c r="Z3386" s="10"/>
    </row>
    <row r="3387" spans="1:26" ht="12.75">
      <c r="A3387" s="10" t="str">
        <f ca="1">IFERROR(__xludf.DUMMYFUNCTION("""COMPUTED_VALUE"""),"Иван Ганчев Гарванов")</f>
        <v>Иван Ганчев Гарванов</v>
      </c>
      <c r="B3387" s="10" t="str">
        <f ca="1">IFERROR(__xludf.DUMMYFUNCTION("""COMPUTED_VALUE"""),"Доклад от конференция")</f>
        <v>Доклад от конференция</v>
      </c>
      <c r="C3387" s="10" t="str">
        <f ca="1">IFERROR(__xludf.DUMMYFUNCTION("""COMPUTED_VALUE"""),"EXC CFAR BI Processor with Polar Hough Transform in the Presence of Binominal Impulse Interference")</f>
        <v>EXC CFAR BI Processor with Polar Hough Transform in the Presence of Binominal Impulse Interference</v>
      </c>
      <c r="D3387" s="10">
        <f ca="1">IFERROR(__xludf.DUMMYFUNCTION("""COMPUTED_VALUE"""),2013)</f>
        <v>2013</v>
      </c>
      <c r="E3387" s="10" t="str">
        <f ca="1">IFERROR(__xludf.DUMMYFUNCTION("""COMPUTED_VALUE"""),"Proc of the Signal Processing Symposium SPS-2013, Jachranka, Poland, pp. 1-4, DOI: 10.1109/SPS.2013.6623594")</f>
        <v>Proc of the Signal Processing Symposium SPS-2013, Jachranka, Poland, pp. 1-4, DOI: 10.1109/SPS.2013.6623594</v>
      </c>
      <c r="F3387" s="10" t="str">
        <f ca="1">IFERROR(__xludf.DUMMYFUNCTION("""COMPUTED_VALUE"""),"Scopus, Web of science, IEEE")</f>
        <v>Scopus, Web of science, IEEE</v>
      </c>
      <c r="G3387" s="10"/>
      <c r="H3387" s="10"/>
      <c r="I3387" s="10"/>
      <c r="J3387" s="10"/>
      <c r="K3387" s="10"/>
      <c r="L3387" s="10"/>
      <c r="M3387" s="10"/>
      <c r="N3387" s="10"/>
      <c r="O3387" s="10"/>
      <c r="P3387" s="10"/>
      <c r="Q3387" s="10"/>
      <c r="R3387" s="10"/>
      <c r="S3387" s="10"/>
      <c r="T3387" s="10"/>
      <c r="U3387" s="10"/>
      <c r="V3387" s="10"/>
      <c r="W3387" s="10"/>
      <c r="X3387" s="10"/>
      <c r="Y3387" s="10"/>
      <c r="Z3387" s="10"/>
    </row>
    <row r="3388" spans="1:26" ht="12.75">
      <c r="A3388" s="10" t="str">
        <f ca="1">IFERROR(__xludf.DUMMYFUNCTION("""COMPUTED_VALUE"""),"Иван Ганчев Гарванов")</f>
        <v>Иван Ганчев Гарванов</v>
      </c>
      <c r="B3388" s="10" t="str">
        <f ca="1">IFERROR(__xludf.DUMMYFUNCTION("""COMPUTED_VALUE"""),"Доклад от конференция")</f>
        <v>Доклад от конференция</v>
      </c>
      <c r="C3388" s="10" t="str">
        <f ca="1">IFERROR(__xludf.DUMMYFUNCTION("""COMPUTED_VALUE"""),"Изследване на алгоритъм за откриване на подвижни морски цели за радио охранителна система")</f>
        <v>Изследване на алгоритъм за откриване на подвижни морски цели за радио охранителна система</v>
      </c>
      <c r="D3388" s="10">
        <f ca="1">IFERROR(__xludf.DUMMYFUNCTION("""COMPUTED_VALUE"""),2013)</f>
        <v>2013</v>
      </c>
      <c r="E3388" s="10" t="str">
        <f ca="1">IFERROR(__xludf.DUMMYFUNCTION("""COMPUTED_VALUE"""),"Доклади и съобщения от Седмия научен семинар на УниБИТ")</f>
        <v>Доклади и съобщения от Седмия научен семинар на УниБИТ</v>
      </c>
      <c r="F3388" s="10"/>
      <c r="G3388" s="10" t="str">
        <f ca="1">IFERROR(__xludf.DUMMYFUNCTION("""COMPUTED_VALUE"""),"М. Владимирова, Н. Гарванов, С. Владимиров")</f>
        <v>М. Владимирова, Н. Гарванов, С. Владимиров</v>
      </c>
      <c r="H3388" s="10"/>
      <c r="I3388" s="10"/>
      <c r="J3388" s="10"/>
      <c r="K3388" s="10"/>
      <c r="L3388" s="10"/>
      <c r="M3388" s="10"/>
      <c r="N3388" s="10"/>
      <c r="O3388" s="10"/>
      <c r="P3388" s="10"/>
      <c r="Q3388" s="10"/>
      <c r="R3388" s="10"/>
      <c r="S3388" s="10"/>
      <c r="T3388" s="10"/>
      <c r="U3388" s="10"/>
      <c r="V3388" s="10"/>
      <c r="W3388" s="10"/>
      <c r="X3388" s="10"/>
      <c r="Y3388" s="10"/>
      <c r="Z3388" s="10"/>
    </row>
    <row r="3389" spans="1:26" ht="12.75">
      <c r="A3389" s="10" t="str">
        <f ca="1">IFERROR(__xludf.DUMMYFUNCTION("""COMPUTED_VALUE"""),"Иван Ганчев Гарванов")</f>
        <v>Иван Ганчев Гарванов</v>
      </c>
      <c r="B3389" s="10" t="str">
        <f ca="1">IFERROR(__xludf.DUMMYFUNCTION("""COMPUTED_VALUE"""),"Доклад от конференция")</f>
        <v>Доклад от конференция</v>
      </c>
      <c r="C3389" s="10" t="str">
        <f ca="1">IFERROR(__xludf.DUMMYFUNCTION("""COMPUTED_VALUE"""),"The Experimental Study of Possibility for Radar Target Detection in FSR Using L1-Based Non-Cooperative Transmitter")</f>
        <v>The Experimental Study of Possibility for Radar Target Detection in FSR Using L1-Based Non-Cooperative Transmitter</v>
      </c>
      <c r="D3389" s="10">
        <f ca="1">IFERROR(__xludf.DUMMYFUNCTION("""COMPUTED_VALUE"""),2013)</f>
        <v>2013</v>
      </c>
      <c r="E3389" s="10" t="str">
        <f ca="1">IFERROR(__xludf.DUMMYFUNCTION("""COMPUTED_VALUE"""),"Proc. of the International Radar Symposium – IRS’13, Dresden, Germany, pp.625-630, ISBN: 978-3-95404-223-4, 2013.")</f>
        <v>Proc. of the International Radar Symposium – IRS’13, Dresden, Germany, pp.625-630, ISBN: 978-3-95404-223-4, 2013.</v>
      </c>
      <c r="F3389" s="10" t="str">
        <f ca="1">IFERROR(__xludf.DUMMYFUNCTION("""COMPUTED_VALUE"""),"SCOPUS")</f>
        <v>SCOPUS</v>
      </c>
      <c r="G3389" s="10" t="str">
        <f ca="1">IFERROR(__xludf.DUMMYFUNCTION("""COMPUTED_VALUE"""),"19. Kabakchiev C., I. Garvanov, V. Behar, H. Rohling")</f>
        <v>19. Kabakchiev C., I. Garvanov, V. Behar, H. Rohling</v>
      </c>
      <c r="H3389" s="10"/>
      <c r="I3389" s="10"/>
      <c r="J3389" s="10"/>
      <c r="K3389" s="10"/>
      <c r="L3389" s="10"/>
      <c r="M3389" s="10"/>
      <c r="N3389" s="10"/>
      <c r="O3389" s="10"/>
      <c r="P3389" s="10"/>
      <c r="Q3389" s="10"/>
      <c r="R3389" s="10"/>
      <c r="S3389" s="10"/>
      <c r="T3389" s="10"/>
      <c r="U3389" s="10"/>
      <c r="V3389" s="10"/>
      <c r="W3389" s="10"/>
      <c r="X3389" s="10"/>
      <c r="Y3389" s="10"/>
      <c r="Z3389" s="10"/>
    </row>
    <row r="3390" spans="1:26" ht="12.75">
      <c r="A3390" s="10" t="str">
        <f ca="1">IFERROR(__xludf.DUMMYFUNCTION("""COMPUTED_VALUE"""),"Иван Ганчев Гарванов")</f>
        <v>Иван Ганчев Гарванов</v>
      </c>
      <c r="B3390" s="10" t="str">
        <f ca="1">IFERROR(__xludf.DUMMYFUNCTION("""COMPUTED_VALUE"""),"Доклад от конференция")</f>
        <v>Доклад от конференция</v>
      </c>
      <c r="C3390" s="10" t="str">
        <f ca="1">IFERROR(__xludf.DUMMYFUNCTION("""COMPUTED_VALUE"""),"Оценяване на параметрите на подвижна цел в система за радио охрана")</f>
        <v>Оценяване на параметрите на подвижна цел в система за радио охрана</v>
      </c>
      <c r="D3390" s="10">
        <f ca="1">IFERROR(__xludf.DUMMYFUNCTION("""COMPUTED_VALUE"""),2013)</f>
        <v>2013</v>
      </c>
      <c r="E3390" s="10" t="str">
        <f ca="1">IFERROR(__xludf.DUMMYFUNCTION("""COMPUTED_VALUE"""),"Доклади и съобщения от Седмия научен семинар на УниБИТ")</f>
        <v>Доклади и съобщения от Седмия научен семинар на УниБИТ</v>
      </c>
      <c r="F3390" s="10"/>
      <c r="G3390" s="10" t="str">
        <f ca="1">IFERROR(__xludf.DUMMYFUNCTION("""COMPUTED_VALUE"""),"Х. Кабакчиев, М. Владимирова, П. Даскалов, С. Владимиров")</f>
        <v>Х. Кабакчиев, М. Владимирова, П. Даскалов, С. Владимиров</v>
      </c>
      <c r="H3390" s="10"/>
      <c r="I3390" s="10"/>
      <c r="J3390" s="10"/>
      <c r="K3390" s="10"/>
      <c r="L3390" s="10"/>
      <c r="M3390" s="10"/>
      <c r="N3390" s="10"/>
      <c r="O3390" s="10"/>
      <c r="P3390" s="10"/>
      <c r="Q3390" s="10"/>
      <c r="R3390" s="10"/>
      <c r="S3390" s="10"/>
      <c r="T3390" s="10"/>
      <c r="U3390" s="10"/>
      <c r="V3390" s="10"/>
      <c r="W3390" s="10"/>
      <c r="X3390" s="10"/>
      <c r="Y3390" s="10"/>
      <c r="Z3390" s="10"/>
    </row>
    <row r="3391" spans="1:26" ht="12.75">
      <c r="A3391" s="10" t="str">
        <f ca="1">IFERROR(__xludf.DUMMYFUNCTION("""COMPUTED_VALUE"""),"Иван Ганчев Гарванов")</f>
        <v>Иван Ганчев Гарванов</v>
      </c>
      <c r="B3391" s="10" t="str">
        <f ca="1">IFERROR(__xludf.DUMMYFUNCTION("""COMPUTED_VALUE"""),"Доклад от конференция")</f>
        <v>Доклад от конференция</v>
      </c>
      <c r="C3391" s="10" t="str">
        <f ca="1">IFERROR(__xludf.DUMMYFUNCTION("""COMPUTED_VALUE"""),"Sound source localization in a security system using a microphone array")</f>
        <v>Sound source localization in a security system using a microphone array</v>
      </c>
      <c r="D3391" s="10">
        <f ca="1">IFERROR(__xludf.DUMMYFUNCTION("""COMPUTED_VALUE"""),2013)</f>
        <v>2013</v>
      </c>
      <c r="E3391" s="10" t="str">
        <f ca="1">IFERROR(__xludf.DUMMYFUNCTION("""COMPUTED_VALUE"""),"Second International Conference on Telecommunications and Remote Sensing (ICTRS 2013)")</f>
        <v>Second International Conference on Telecommunications and Remote Sensing (ICTRS 2013)</v>
      </c>
      <c r="F3391" s="10"/>
      <c r="G3391" s="10"/>
      <c r="H3391" s="10"/>
      <c r="I3391" s="10"/>
      <c r="J3391" s="10"/>
      <c r="K3391" s="10"/>
      <c r="L3391" s="10"/>
      <c r="M3391" s="10"/>
      <c r="N3391" s="10"/>
      <c r="O3391" s="10"/>
      <c r="P3391" s="10"/>
      <c r="Q3391" s="10"/>
      <c r="R3391" s="10"/>
      <c r="S3391" s="10"/>
      <c r="T3391" s="10"/>
      <c r="U3391" s="10"/>
      <c r="V3391" s="10"/>
      <c r="W3391" s="10"/>
      <c r="X3391" s="10"/>
      <c r="Y3391" s="10"/>
      <c r="Z3391" s="10"/>
    </row>
    <row r="3392" spans="1:26" ht="12.75">
      <c r="A3392" s="10" t="str">
        <f ca="1">IFERROR(__xludf.DUMMYFUNCTION("""COMPUTED_VALUE"""),"Иван Ганчев Гарванов")</f>
        <v>Иван Ганчев Гарванов</v>
      </c>
      <c r="B3392" s="10" t="str">
        <f ca="1">IFERROR(__xludf.DUMMYFUNCTION("""COMPUTED_VALUE"""),"Доклад от конференция")</f>
        <v>Доклад от конференция</v>
      </c>
      <c r="C3392" s="10" t="str">
        <f ca="1">IFERROR(__xludf.DUMMYFUNCTION("""COMPUTED_VALUE"""),"The Experimental Study of Target FSR Shadows Detection using GPS signals")</f>
        <v>The Experimental Study of Target FSR Shadows Detection using GPS signals</v>
      </c>
      <c r="D3392" s="10">
        <f ca="1">IFERROR(__xludf.DUMMYFUNCTION("""COMPUTED_VALUE"""),2013)</f>
        <v>2013</v>
      </c>
      <c r="E3392" s="10" t="str">
        <f ca="1">IFERROR(__xludf.DUMMYFUNCTION("""COMPUTED_VALUE"""),"Third International Symposium on Radio Systems and Space Plasma")</f>
        <v>Third International Symposium on Radio Systems and Space Plasma</v>
      </c>
      <c r="F3392" s="10"/>
      <c r="G3392" s="10"/>
      <c r="H3392" s="10"/>
      <c r="I3392" s="10"/>
      <c r="J3392" s="10"/>
      <c r="K3392" s="10"/>
      <c r="L3392" s="10"/>
      <c r="M3392" s="10"/>
      <c r="N3392" s="10"/>
      <c r="O3392" s="10"/>
      <c r="P3392" s="10"/>
      <c r="Q3392" s="10"/>
      <c r="R3392" s="10"/>
      <c r="S3392" s="10"/>
      <c r="T3392" s="10"/>
      <c r="U3392" s="10"/>
      <c r="V3392" s="10"/>
      <c r="W3392" s="10"/>
      <c r="X3392" s="10"/>
      <c r="Y3392" s="10"/>
      <c r="Z3392" s="10"/>
    </row>
    <row r="3393" spans="1:26" ht="12.75">
      <c r="A3393" s="10" t="str">
        <f ca="1">IFERROR(__xludf.DUMMYFUNCTION("""COMPUTED_VALUE"""),"Иван Ганчев Гарванов")</f>
        <v>Иван Ганчев Гарванов</v>
      </c>
      <c r="B3393" s="10" t="str">
        <f ca="1">IFERROR(__xludf.DUMMYFUNCTION("""COMPUTED_VALUE"""),"Книга")</f>
        <v>Книга</v>
      </c>
      <c r="C3393" s="10" t="str">
        <f ca="1">IFERROR(__xludf.DUMMYFUNCTION("""COMPUTED_VALUE"""),"Откриване на подвижни цели и траектории")</f>
        <v>Откриване на подвижни цели и траектории</v>
      </c>
      <c r="D3393" s="10">
        <f ca="1">IFERROR(__xludf.DUMMYFUNCTION("""COMPUTED_VALUE"""),2013)</f>
        <v>2013</v>
      </c>
      <c r="E3393" s="10"/>
      <c r="F3393" s="10"/>
      <c r="G3393" s="10"/>
      <c r="H3393" s="10"/>
      <c r="I3393" s="10"/>
      <c r="J3393" s="10"/>
      <c r="K3393" s="10"/>
      <c r="L3393" s="10"/>
      <c r="M3393" s="10"/>
      <c r="N3393" s="10"/>
      <c r="O3393" s="10"/>
      <c r="P3393" s="10"/>
      <c r="Q3393" s="10"/>
      <c r="R3393" s="10"/>
      <c r="S3393" s="10"/>
      <c r="T3393" s="10"/>
      <c r="U3393" s="10"/>
      <c r="V3393" s="10"/>
      <c r="W3393" s="10"/>
      <c r="X3393" s="10"/>
      <c r="Y3393" s="10"/>
      <c r="Z3393" s="10"/>
    </row>
    <row r="3394" spans="1:26" ht="12.75">
      <c r="A3394" s="10" t="str">
        <f ca="1">IFERROR(__xludf.DUMMYFUNCTION("""COMPUTED_VALUE"""),"Иван Ганчев Гарванов")</f>
        <v>Иван Ганчев Гарванов</v>
      </c>
      <c r="B3394" s="10" t="str">
        <f ca="1">IFERROR(__xludf.DUMMYFUNCTION("""COMPUTED_VALUE"""),"Книга")</f>
        <v>Книга</v>
      </c>
      <c r="C3394" s="10" t="str">
        <f ca="1">IFERROR(__xludf.DUMMYFUNCTION("""COMPUTED_VALUE"""),"Радар с пряко разсейване. Принципи и приложения")</f>
        <v>Радар с пряко разсейване. Принципи и приложения</v>
      </c>
      <c r="D3394" s="10">
        <f ca="1">IFERROR(__xludf.DUMMYFUNCTION("""COMPUTED_VALUE"""),2012)</f>
        <v>2012</v>
      </c>
      <c r="E3394" s="10" t="str">
        <f ca="1">IFERROR(__xludf.DUMMYFUNCTION("""COMPUTED_VALUE"""),"“За буквите – О писменех”, 117 стр., ISBN 978-954-2946-45-8")</f>
        <v>“За буквите – О писменех”, 117 стр., ISBN 978-954-2946-45-8</v>
      </c>
      <c r="F3394" s="10"/>
      <c r="G3394" s="10"/>
      <c r="H3394" s="10"/>
      <c r="I3394" s="10"/>
      <c r="J3394" s="10"/>
      <c r="K3394" s="10"/>
      <c r="L3394" s="10"/>
      <c r="M3394" s="10"/>
      <c r="N3394" s="10"/>
      <c r="O3394" s="10"/>
      <c r="P3394" s="10"/>
      <c r="Q3394" s="10"/>
      <c r="R3394" s="10"/>
      <c r="S3394" s="10"/>
      <c r="T3394" s="10"/>
      <c r="U3394" s="10"/>
      <c r="V3394" s="10"/>
      <c r="W3394" s="10"/>
      <c r="X3394" s="10"/>
      <c r="Y3394" s="10"/>
      <c r="Z3394" s="10"/>
    </row>
    <row r="3395" spans="1:26" ht="12.75">
      <c r="A3395" s="10" t="str">
        <f ca="1">IFERROR(__xludf.DUMMYFUNCTION("""COMPUTED_VALUE"""),"Иван Ганчев Гарванов")</f>
        <v>Иван Ганчев Гарванов</v>
      </c>
      <c r="B3395" s="10" t="str">
        <f ca="1">IFERROR(__xludf.DUMMYFUNCTION("""COMPUTED_VALUE"""),"Доклад от конференция")</f>
        <v>Доклад от конференция</v>
      </c>
      <c r="C3395" s="10" t="str">
        <f ca="1">IFERROR(__xludf.DUMMYFUNCTION("""COMPUTED_VALUE"""),"Локализиране на хора намиращи се в мрежа от комуникационни сензори")</f>
        <v>Локализиране на хора намиращи се в мрежа от комуникационни сензори</v>
      </c>
      <c r="D3395" s="10">
        <f ca="1">IFERROR(__xludf.DUMMYFUNCTION("""COMPUTED_VALUE"""),2012)</f>
        <v>2012</v>
      </c>
      <c r="E3395" s="10" t="str">
        <f ca="1">IFERROR(__xludf.DUMMYFUNCTION("""COMPUTED_VALUE"""),"Нови информационни технологии в образователния процес VI. Доклади и съобщения от Шестия научен семинар на УниБИТ, проведен в Костенец на 24-26 март 2011 г., София: “За буквите – О писменех”, стр. 149-159, ISSN 1313-2768")</f>
        <v>Нови информационни технологии в образователния процес VI. Доклади и съобщения от Шестия научен семинар на УниБИТ, проведен в Костенец на 24-26 март 2011 г., София: “За буквите – О писменех”, стр. 149-159, ISSN 1313-2768</v>
      </c>
      <c r="F3395" s="10"/>
      <c r="G3395" s="10" t="str">
        <f ca="1">IFERROR(__xludf.DUMMYFUNCTION("""COMPUTED_VALUE"""),"М. Владимирова")</f>
        <v>М. Владимирова</v>
      </c>
      <c r="H3395" s="10"/>
      <c r="I3395" s="10"/>
      <c r="J3395" s="10"/>
      <c r="K3395" s="10"/>
      <c r="L3395" s="10"/>
      <c r="M3395" s="10"/>
      <c r="N3395" s="10"/>
      <c r="O3395" s="10"/>
      <c r="P3395" s="10"/>
      <c r="Q3395" s="10"/>
      <c r="R3395" s="10"/>
      <c r="S3395" s="10"/>
      <c r="T3395" s="10"/>
      <c r="U3395" s="10"/>
      <c r="V3395" s="10"/>
      <c r="W3395" s="10"/>
      <c r="X3395" s="10"/>
      <c r="Y3395" s="10"/>
      <c r="Z3395" s="10"/>
    </row>
    <row r="3396" spans="1:26" ht="12.75">
      <c r="A3396" s="10" t="str">
        <f ca="1">IFERROR(__xludf.DUMMYFUNCTION("""COMPUTED_VALUE"""),"Иван Ганчев Гарванов")</f>
        <v>Иван Ганчев Гарванов</v>
      </c>
      <c r="B3396" s="10" t="str">
        <f ca="1">IFERROR(__xludf.DUMMYFUNCTION("""COMPUTED_VALUE"""),"Доклад от конференция")</f>
        <v>Доклад от конференция</v>
      </c>
      <c r="C3396" s="10" t="str">
        <f ca="1">IFERROR(__xludf.DUMMYFUNCTION("""COMPUTED_VALUE"""),"Forward Scatter Radar Detection and Estimation of Marine Targets")</f>
        <v>Forward Scatter Radar Detection and Estimation of Marine Targets</v>
      </c>
      <c r="D3396" s="10">
        <f ca="1">IFERROR(__xludf.DUMMYFUNCTION("""COMPUTED_VALUE"""),2012)</f>
        <v>2012</v>
      </c>
      <c r="E3396" s="10" t="str">
        <f ca="1">IFERROR(__xludf.DUMMYFUNCTION("""COMPUTED_VALUE"""),"Proc. of the International Radar Symposium – IRS’12, Warsaw, Poland, pp. 533-538, ISBN 978-1-4577-1835-9")</f>
        <v>Proc. of the International Radar Symposium – IRS’12, Warsaw, Poland, pp. 533-538, ISBN 978-1-4577-1835-9</v>
      </c>
      <c r="F3396" s="10" t="str">
        <f ca="1">IFERROR(__xludf.DUMMYFUNCTION("""COMPUTED_VALUE"""),"Scopus, Web of science, IEEE")</f>
        <v>Scopus, Web of science, IEEE</v>
      </c>
      <c r="G3396" s="10" t="str">
        <f ca="1">IFERROR(__xludf.DUMMYFUNCTION("""COMPUTED_VALUE"""),"Kabakchiev C., V. Behar, A. Kabakchiev, D. Kabakcueva")</f>
        <v>Kabakchiev C., V. Behar, A. Kabakchiev, D. Kabakcueva</v>
      </c>
      <c r="H3396" s="10"/>
      <c r="I3396" s="10"/>
      <c r="J3396" s="10"/>
      <c r="K3396" s="10"/>
      <c r="L3396" s="10"/>
      <c r="M3396" s="10"/>
      <c r="N3396" s="10"/>
      <c r="O3396" s="10"/>
      <c r="P3396" s="10"/>
      <c r="Q3396" s="10"/>
      <c r="R3396" s="10"/>
      <c r="S3396" s="10"/>
      <c r="T3396" s="10"/>
      <c r="U3396" s="10"/>
      <c r="V3396" s="10"/>
      <c r="W3396" s="10"/>
      <c r="X3396" s="10"/>
      <c r="Y3396" s="10"/>
      <c r="Z3396" s="10"/>
    </row>
    <row r="3397" spans="1:26" ht="12.75">
      <c r="A3397" s="10" t="str">
        <f ca="1">IFERROR(__xludf.DUMMYFUNCTION("""COMPUTED_VALUE"""),"Иван Ганчев Гарванов")</f>
        <v>Иван Ганчев Гарванов</v>
      </c>
      <c r="B3397" s="10" t="str">
        <f ca="1">IFERROR(__xludf.DUMMYFUNCTION("""COMPUTED_VALUE"""),"Доклад от конференция")</f>
        <v>Доклад от конференция</v>
      </c>
      <c r="C3397" s="10" t="str">
        <f ca="1">IFERROR(__xludf.DUMMYFUNCTION("""COMPUTED_VALUE"""),"Алгоритми за откриване на подвижни цели на фона на пасивни и активни смущения в Доплеров радар")</f>
        <v>Алгоритми за откриване на подвижни цели на фона на пасивни и активни смущения в Доплеров радар</v>
      </c>
      <c r="D3397" s="10">
        <f ca="1">IFERROR(__xludf.DUMMYFUNCTION("""COMPUTED_VALUE"""),2012)</f>
        <v>2012</v>
      </c>
      <c r="E3397" s="10" t="str">
        <f ca="1">IFERROR(__xludf.DUMMYFUNCTION("""COMPUTED_VALUE"""),"Нови информационни технологии в образователния процес. Доклади и съобщения на УниБИТ, проведен в Костенец на 24-27 март 2011 г., София: “За буквите – О писменех”, стр. 90-99, ISSN 1313-2768")</f>
        <v>Нови информационни технологии в образователния процес. Доклади и съобщения на УниБИТ, проведен в Костенец на 24-27 март 2011 г., София: “За буквите – О писменех”, стр. 90-99, ISSN 1313-2768</v>
      </c>
      <c r="F3397" s="10"/>
      <c r="G3397" s="10" t="str">
        <f ca="1">IFERROR(__xludf.DUMMYFUNCTION("""COMPUTED_VALUE"""),"Х. Кабакчиев, М. Владимирова, В. Кьовторив, П. Даскалов")</f>
        <v>Х. Кабакчиев, М. Владимирова, В. Кьовторив, П. Даскалов</v>
      </c>
      <c r="H3397" s="10"/>
      <c r="I3397" s="10"/>
      <c r="J3397" s="10"/>
      <c r="K3397" s="10"/>
      <c r="L3397" s="10"/>
      <c r="M3397" s="10"/>
      <c r="N3397" s="10"/>
      <c r="O3397" s="10"/>
      <c r="P3397" s="10"/>
      <c r="Q3397" s="10"/>
      <c r="R3397" s="10"/>
      <c r="S3397" s="10"/>
      <c r="T3397" s="10"/>
      <c r="U3397" s="10"/>
      <c r="V3397" s="10"/>
      <c r="W3397" s="10"/>
      <c r="X3397" s="10"/>
      <c r="Y3397" s="10"/>
      <c r="Z3397" s="10"/>
    </row>
    <row r="3398" spans="1:26" ht="12.75">
      <c r="A3398" s="10" t="str">
        <f ca="1">IFERROR(__xludf.DUMMYFUNCTION("""COMPUTED_VALUE"""),"Иван Ганчев Гарванов")</f>
        <v>Иван Ганчев Гарванов</v>
      </c>
      <c r="B3398" s="10" t="str">
        <f ca="1">IFERROR(__xludf.DUMMYFUNCTION("""COMPUTED_VALUE"""),"Доклад от конференция")</f>
        <v>Доклад от конференция</v>
      </c>
      <c r="C3398" s="10" t="str">
        <f ca="1">IFERROR(__xludf.DUMMYFUNCTION("""COMPUTED_VALUE"""),"Sub-optimal signal processing in marine forward scatter radar")</f>
        <v>Sub-optimal signal processing in marine forward scatter radar</v>
      </c>
      <c r="D3398" s="10">
        <f ca="1">IFERROR(__xludf.DUMMYFUNCTION("""COMPUTED_VALUE"""),2012)</f>
        <v>2012</v>
      </c>
      <c r="E3398" s="10" t="str">
        <f ca="1">IFERROR(__xludf.DUMMYFUNCTION("""COMPUTED_VALUE"""),"Proc. of the IEEE Radar Conference – RADAR’12, Glasgow, UK, pp. 5, ISBN 978-1-84919-676-5, ISSN 0537-9989 Reference PEP0603Z")</f>
        <v>Proc. of the IEEE Radar Conference – RADAR’12, Glasgow, UK, pp. 5, ISBN 978-1-84919-676-5, ISSN 0537-9989 Reference PEP0603Z</v>
      </c>
      <c r="F3398" s="10" t="str">
        <f ca="1">IFERROR(__xludf.DUMMYFUNCTION("""COMPUTED_VALUE"""),"Scopus, IEEE")</f>
        <v>Scopus, IEEE</v>
      </c>
      <c r="G3398" s="10" t="str">
        <f ca="1">IFERROR(__xludf.DUMMYFUNCTION("""COMPUTED_VALUE"""),"Behar V., C. Kabakchiev, D. Kabakchieva, L. Daniel, M. Gashinova, M. Cherniakov")</f>
        <v>Behar V., C. Kabakchiev, D. Kabakchieva, L. Daniel, M. Gashinova, M. Cherniakov</v>
      </c>
      <c r="H3398" s="10"/>
      <c r="I3398" s="10"/>
      <c r="J3398" s="10"/>
      <c r="K3398" s="10"/>
      <c r="L3398" s="10"/>
      <c r="M3398" s="10"/>
      <c r="N3398" s="10"/>
      <c r="O3398" s="10"/>
      <c r="P3398" s="10"/>
      <c r="Q3398" s="10"/>
      <c r="R3398" s="10"/>
      <c r="S3398" s="10"/>
      <c r="T3398" s="10"/>
      <c r="U3398" s="10"/>
      <c r="V3398" s="10"/>
      <c r="W3398" s="10"/>
      <c r="X3398" s="10"/>
      <c r="Y3398" s="10"/>
      <c r="Z3398" s="10"/>
    </row>
    <row r="3399" spans="1:26" ht="12.75">
      <c r="A3399" s="10" t="str">
        <f ca="1">IFERROR(__xludf.DUMMYFUNCTION("""COMPUTED_VALUE"""),"Иван Ганчев Гарванов")</f>
        <v>Иван Ганчев Гарванов</v>
      </c>
      <c r="B3399" s="10" t="str">
        <f ca="1">IFERROR(__xludf.DUMMYFUNCTION("""COMPUTED_VALUE"""),"Доклад от конференция")</f>
        <v>Доклад от конференция</v>
      </c>
      <c r="C3399" s="10" t="str">
        <f ca="1">IFERROR(__xludf.DUMMYFUNCTION("""COMPUTED_VALUE"""),"Marine Target Classification and Parameter Estimation using Forward Scattering Radar")</f>
        <v>Marine Target Classification and Parameter Estimation using Forward Scattering Radar</v>
      </c>
      <c r="D3399" s="10">
        <f ca="1">IFERROR(__xludf.DUMMYFUNCTION("""COMPUTED_VALUE"""),2012)</f>
        <v>2012</v>
      </c>
      <c r="E3399" s="10" t="str">
        <f ca="1">IFERROR(__xludf.DUMMYFUNCTION("""COMPUTED_VALUE"""),"Proc. of the International Radar Symposium – IRS’12, Warsaw, Poland, pp. 539-542, ISBN 978-1-4577-1835-9")</f>
        <v>Proc. of the International Radar Symposium – IRS’12, Warsaw, Poland, pp. 539-542, ISBN 978-1-4577-1835-9</v>
      </c>
      <c r="F3399" s="10" t="str">
        <f ca="1">IFERROR(__xludf.DUMMYFUNCTION("""COMPUTED_VALUE"""),"Scopus, Web of science, IEEE")</f>
        <v>Scopus, Web of science, IEEE</v>
      </c>
      <c r="G3399" s="10" t="str">
        <f ca="1">IFERROR(__xludf.DUMMYFUNCTION("""COMPUTED_VALUE"""),"Kabakchiev C., V. Behar")</f>
        <v>Kabakchiev C., V. Behar</v>
      </c>
      <c r="H3399" s="10"/>
      <c r="I3399" s="10"/>
      <c r="J3399" s="10"/>
      <c r="K3399" s="10"/>
      <c r="L3399" s="10"/>
      <c r="M3399" s="10"/>
      <c r="N3399" s="10"/>
      <c r="O3399" s="10"/>
      <c r="P3399" s="10"/>
      <c r="Q3399" s="10"/>
      <c r="R3399" s="10"/>
      <c r="S3399" s="10"/>
      <c r="T3399" s="10"/>
      <c r="U3399" s="10"/>
      <c r="V3399" s="10"/>
      <c r="W3399" s="10"/>
      <c r="X3399" s="10"/>
      <c r="Y3399" s="10"/>
      <c r="Z3399" s="10"/>
    </row>
    <row r="3400" spans="1:26" ht="12.75">
      <c r="A3400" s="10" t="str">
        <f ca="1">IFERROR(__xludf.DUMMYFUNCTION("""COMPUTED_VALUE"""),"Иван Ганчев Гарванов")</f>
        <v>Иван Ганчев Гарванов</v>
      </c>
      <c r="B3400" s="10" t="str">
        <f ca="1">IFERROR(__xludf.DUMMYFUNCTION("""COMPUTED_VALUE"""),"Глава от колективна монография")</f>
        <v>Глава от колективна монография</v>
      </c>
      <c r="C3400" s="10" t="str">
        <f ca="1">IFERROR(__xludf.DUMMYFUNCTION("""COMPUTED_VALUE"""),"Performance Analysis of Adaptive GPS Signal Detection in Urban Interference Environment using the Monte Carlo Approach")</f>
        <v>Performance Analysis of Adaptive GPS Signal Detection in Urban Interference Environment using the Monte Carlo Approach</v>
      </c>
      <c r="D3400" s="10">
        <f ca="1">IFERROR(__xludf.DUMMYFUNCTION("""COMPUTED_VALUE"""),2011)</f>
        <v>2011</v>
      </c>
      <c r="E3400" s="10" t="str">
        <f ca="1">IFERROR(__xludf.DUMMYFUNCTION("""COMPUTED_VALUE"""),"Chapter of the book “Applications of Monte Carlo Method in Science and Engineering”, INTECH, pp. 735-756, (ISBN 978-953-307-691-1)")</f>
        <v>Chapter of the book “Applications of Monte Carlo Method in Science and Engineering”, INTECH, pp. 735-756, (ISBN 978-953-307-691-1)</v>
      </c>
      <c r="F3400" s="10"/>
      <c r="G3400" s="10" t="str">
        <f ca="1">IFERROR(__xludf.DUMMYFUNCTION("""COMPUTED_VALUE"""),"Behar V., C. Kabakchiev, H. Rohling")</f>
        <v>Behar V., C. Kabakchiev, H. Rohling</v>
      </c>
      <c r="H3400" s="10"/>
      <c r="I3400" s="10"/>
      <c r="J3400" s="10"/>
      <c r="K3400" s="10"/>
      <c r="L3400" s="10"/>
      <c r="M3400" s="10"/>
      <c r="N3400" s="10"/>
      <c r="O3400" s="10"/>
      <c r="P3400" s="10"/>
      <c r="Q3400" s="10"/>
      <c r="R3400" s="10"/>
      <c r="S3400" s="10"/>
      <c r="T3400" s="10"/>
      <c r="U3400" s="10"/>
      <c r="V3400" s="10"/>
      <c r="W3400" s="10"/>
      <c r="X3400" s="10"/>
      <c r="Y3400" s="10"/>
      <c r="Z3400" s="10"/>
    </row>
    <row r="3401" spans="1:26" ht="12.75">
      <c r="A3401" s="10" t="str">
        <f ca="1">IFERROR(__xludf.DUMMYFUNCTION("""COMPUTED_VALUE"""),"Иван Ганчев Гарванов")</f>
        <v>Иван Ганчев Гарванов</v>
      </c>
      <c r="B3401" s="10" t="str">
        <f ca="1">IFERROR(__xludf.DUMMYFUNCTION("""COMPUTED_VALUE"""),"Доклад от конференция")</f>
        <v>Доклад от конференция</v>
      </c>
      <c r="C3401" s="10" t="str">
        <f ca="1">IFERROR(__xludf.DUMMYFUNCTION("""COMPUTED_VALUE"""),"CFAR Detection and Parameter Estimation of Moving Marine Targets using Forward Scattering Radar")</f>
        <v>CFAR Detection and Parameter Estimation of Moving Marine Targets using Forward Scattering Radar</v>
      </c>
      <c r="D3401" s="10">
        <f ca="1">IFERROR(__xludf.DUMMYFUNCTION("""COMPUTED_VALUE"""),2011)</f>
        <v>2011</v>
      </c>
      <c r="E3401" s="10" t="str">
        <f ca="1">IFERROR(__xludf.DUMMYFUNCTION("""COMPUTED_VALUE"""),"Proc. of the International Radar Symposium – IRS’11, Leipzig, Germany, pp. 85-90, INSPEC Accession Number: 12305070, ISBN: 978-392753528-2")</f>
        <v>Proc. of the International Radar Symposium – IRS’11, Leipzig, Germany, pp. 85-90, INSPEC Accession Number: 12305070, ISBN: 978-392753528-2</v>
      </c>
      <c r="F3401" s="10" t="str">
        <f ca="1">IFERROR(__xludf.DUMMYFUNCTION("""COMPUTED_VALUE"""),"IEEE, SCOPUS")</f>
        <v>IEEE, SCOPUS</v>
      </c>
      <c r="G3401" s="10" t="str">
        <f ca="1">IFERROR(__xludf.DUMMYFUNCTION("""COMPUTED_VALUE"""),"Kabakchiev, C., V. Behar, M. Cherniakov, M. Gashinova, A. Kabakchiev")</f>
        <v>Kabakchiev, C., V. Behar, M. Cherniakov, M. Gashinova, A. Kabakchiev</v>
      </c>
      <c r="H3401" s="10"/>
      <c r="I3401" s="10"/>
      <c r="J3401" s="10"/>
      <c r="K3401" s="10"/>
      <c r="L3401" s="10"/>
      <c r="M3401" s="10"/>
      <c r="N3401" s="10"/>
      <c r="O3401" s="10"/>
      <c r="P3401" s="10"/>
      <c r="Q3401" s="10"/>
      <c r="R3401" s="10"/>
      <c r="S3401" s="10"/>
      <c r="T3401" s="10"/>
      <c r="U3401" s="10"/>
      <c r="V3401" s="10"/>
      <c r="W3401" s="10"/>
      <c r="X3401" s="10"/>
      <c r="Y3401" s="10"/>
      <c r="Z3401" s="10"/>
    </row>
    <row r="3402" spans="1:26" ht="12.75">
      <c r="A3402" s="10" t="str">
        <f ca="1">IFERROR(__xludf.DUMMYFUNCTION("""COMPUTED_VALUE"""),"Иван Ганчев Гарванов")</f>
        <v>Иван Ганчев Гарванов</v>
      </c>
      <c r="B3402" s="10" t="str">
        <f ca="1">IFERROR(__xludf.DUMMYFUNCTION("""COMPUTED_VALUE"""),"Статия в списания и поредици")</f>
        <v>Статия в списания и поредици</v>
      </c>
      <c r="C3402" s="10" t="str">
        <f ca="1">IFERROR(__xludf.DUMMYFUNCTION("""COMPUTED_VALUE"""),"CFAR BI Detector for Mariner Targets in Time Domain for Bistatic Forward Scattering Radar")</f>
        <v>CFAR BI Detector for Mariner Targets in Time Domain for Bistatic Forward Scattering Radar</v>
      </c>
      <c r="D3402" s="10">
        <f ca="1">IFERROR(__xludf.DUMMYFUNCTION("""COMPUTED_VALUE"""),2011)</f>
        <v>2011</v>
      </c>
      <c r="E3402" s="10" t="str">
        <f ca="1">IFERROR(__xludf.DUMMYFUNCTION("""COMPUTED_VALUE"""),"Proceedings of SPIE, 0277-786X, v. 8008, Photonics Applications in Astronomy, Communications, Industry, and High-Energy Physics Experiments, pp. 8008 1U, ISSN 0277-786X, ISBN 9780819485823")</f>
        <v>Proceedings of SPIE, 0277-786X, v. 8008, Photonics Applications in Astronomy, Communications, Industry, and High-Energy Physics Experiments, pp. 8008 1U, ISSN 0277-786X, ISBN 9780819485823</v>
      </c>
      <c r="F3402" s="10" t="str">
        <f ca="1">IFERROR(__xludf.DUMMYFUNCTION("""COMPUTED_VALUE"""),"Scopus, Web of science")</f>
        <v>Scopus, Web of science</v>
      </c>
      <c r="G3402" s="10" t="str">
        <f ca="1">IFERROR(__xludf.DUMMYFUNCTION("""COMPUTED_VALUE"""),"Kabakchiev C., M. Cherniakov, M. Gashinova, A. Kabakchiev, V. Kiovtorov, M. Vladimirova, P. Daskalov")</f>
        <v>Kabakchiev C., M. Cherniakov, M. Gashinova, A. Kabakchiev, V. Kiovtorov, M. Vladimirova, P. Daskalov</v>
      </c>
      <c r="H3402" s="10"/>
      <c r="I3402" s="10"/>
      <c r="J3402" s="10"/>
      <c r="K3402" s="10"/>
      <c r="L3402" s="10"/>
      <c r="M3402" s="10"/>
      <c r="N3402" s="10"/>
      <c r="O3402" s="10"/>
      <c r="P3402" s="10"/>
      <c r="Q3402" s="10"/>
      <c r="R3402" s="10"/>
      <c r="S3402" s="10"/>
      <c r="T3402" s="10"/>
      <c r="U3402" s="10"/>
      <c r="V3402" s="10"/>
      <c r="W3402" s="10"/>
      <c r="X3402" s="10"/>
      <c r="Y3402" s="10"/>
      <c r="Z3402" s="10"/>
    </row>
    <row r="3403" spans="1:26" ht="12.75">
      <c r="A3403" s="10" t="str">
        <f ca="1">IFERROR(__xludf.DUMMYFUNCTION("""COMPUTED_VALUE"""),"Иван Ганчев Гарванов")</f>
        <v>Иван Ганчев Гарванов</v>
      </c>
      <c r="B3403" s="10" t="str">
        <f ca="1">IFERROR(__xludf.DUMMYFUNCTION("""COMPUTED_VALUE"""),"Доклад от конференция")</f>
        <v>Доклад от конференция</v>
      </c>
      <c r="C3403" s="10" t="str">
        <f ca="1">IFERROR(__xludf.DUMMYFUNCTION("""COMPUTED_VALUE"""),"Bistatic UWB FSR CFAR for Maritime Target Detection and Estimation in Frequency Domain")</f>
        <v>Bistatic UWB FSR CFAR for Maritime Target Detection and Estimation in Frequency Domain</v>
      </c>
      <c r="D3403" s="10">
        <f ca="1">IFERROR(__xludf.DUMMYFUNCTION("""COMPUTED_VALUE"""),2011)</f>
        <v>2011</v>
      </c>
      <c r="E3403" s="10" t="str">
        <f ca="1">IFERROR(__xludf.DUMMYFUNCTION("""COMPUTED_VALUE"""),"Proc. of the International Radar Symposium – IRS’11, Leipzig, Germany, pp. 73-78, INSPEC Accession Number: 12305068. ISBN: 978-392753528-2")</f>
        <v>Proc. of the International Radar Symposium – IRS’11, Leipzig, Germany, pp. 73-78, INSPEC Accession Number: 12305068. ISBN: 978-392753528-2</v>
      </c>
      <c r="F3403" s="10" t="str">
        <f ca="1">IFERROR(__xludf.DUMMYFUNCTION("""COMPUTED_VALUE"""),"IEEE, SCOPUS")</f>
        <v>IEEE, SCOPUS</v>
      </c>
      <c r="G3403" s="10" t="str">
        <f ca="1">IFERROR(__xludf.DUMMYFUNCTION("""COMPUTED_VALUE"""),"Kabakchiev C., M. Cherniakov, M. Gashinova, V. Behar, A. Kabakchiev, V. Kiovtorov")</f>
        <v>Kabakchiev C., M. Cherniakov, M. Gashinova, V. Behar, A. Kabakchiev, V. Kiovtorov</v>
      </c>
      <c r="H3403" s="10"/>
      <c r="I3403" s="10"/>
      <c r="J3403" s="10"/>
      <c r="K3403" s="10"/>
      <c r="L3403" s="10"/>
      <c r="M3403" s="10"/>
      <c r="N3403" s="10"/>
      <c r="O3403" s="10"/>
      <c r="P3403" s="10"/>
      <c r="Q3403" s="10"/>
      <c r="R3403" s="10"/>
      <c r="S3403" s="10"/>
      <c r="T3403" s="10"/>
      <c r="U3403" s="10"/>
      <c r="V3403" s="10"/>
      <c r="W3403" s="10"/>
      <c r="X3403" s="10"/>
      <c r="Y3403" s="10"/>
      <c r="Z3403" s="10"/>
    </row>
    <row r="3404" spans="1:26" ht="12.75">
      <c r="A3404" s="10" t="str">
        <f ca="1">IFERROR(__xludf.DUMMYFUNCTION("""COMPUTED_VALUE"""),"Иван Ганчев Гарванов")</f>
        <v>Иван Ганчев Гарванов</v>
      </c>
      <c r="B3404" s="10" t="str">
        <f ca="1">IFERROR(__xludf.DUMMYFUNCTION("""COMPUTED_VALUE"""),"Доклад от конференция")</f>
        <v>Доклад от конференция</v>
      </c>
      <c r="C3404" s="10" t="str">
        <f ca="1">IFERROR(__xludf.DUMMYFUNCTION("""COMPUTED_VALUE"""),"Maritime Target Detection, Estimation and Classification in Bistatic Ultra Wideband Forward Scattering Radar")</f>
        <v>Maritime Target Detection, Estimation and Classification in Bistatic Ultra Wideband Forward Scattering Radar</v>
      </c>
      <c r="D3404" s="10">
        <f ca="1">IFERROR(__xludf.DUMMYFUNCTION("""COMPUTED_VALUE"""),2011)</f>
        <v>2011</v>
      </c>
      <c r="E3404" s="10" t="str">
        <f ca="1">IFERROR(__xludf.DUMMYFUNCTION("""COMPUTED_VALUE"""),"Proc. of the International Radar Symposium – IRS’11, Leipzig, Germany, pp. 79-84, INSPEC Accession Number: 12305069, ISBN: 978-392753528-2")</f>
        <v>Proc. of the International Radar Symposium – IRS’11, Leipzig, Germany, pp. 79-84, INSPEC Accession Number: 12305069, ISBN: 978-392753528-2</v>
      </c>
      <c r="F3404" s="10" t="str">
        <f ca="1">IFERROR(__xludf.DUMMYFUNCTION("""COMPUTED_VALUE"""),"IEEE, SCOPUS")</f>
        <v>IEEE, SCOPUS</v>
      </c>
      <c r="G3404" s="10" t="str">
        <f ca="1">IFERROR(__xludf.DUMMYFUNCTION("""COMPUTED_VALUE"""),"Kabakchiev C., D. Kabakchieva, M. Cherniakov, M. Gashinova, V. Behar")</f>
        <v>Kabakchiev C., D. Kabakchieva, M. Cherniakov, M. Gashinova, V. Behar</v>
      </c>
      <c r="H3404" s="10"/>
      <c r="I3404" s="10"/>
      <c r="J3404" s="10"/>
      <c r="K3404" s="10"/>
      <c r="L3404" s="10"/>
      <c r="M3404" s="10"/>
      <c r="N3404" s="10"/>
      <c r="O3404" s="10"/>
      <c r="P3404" s="10"/>
      <c r="Q3404" s="10"/>
      <c r="R3404" s="10"/>
      <c r="S3404" s="10"/>
      <c r="T3404" s="10"/>
      <c r="U3404" s="10"/>
      <c r="V3404" s="10"/>
      <c r="W3404" s="10"/>
      <c r="X3404" s="10"/>
      <c r="Y3404" s="10"/>
      <c r="Z3404" s="10"/>
    </row>
    <row r="3405" spans="1:26" ht="12.75">
      <c r="A3405" s="10" t="str">
        <f ca="1">IFERROR(__xludf.DUMMYFUNCTION("""COMPUTED_VALUE"""),"Иван Ганчев Гарванов")</f>
        <v>Иван Ганчев Гарванов</v>
      </c>
      <c r="B3405" s="10" t="str">
        <f ca="1">IFERROR(__xludf.DUMMYFUNCTION("""COMPUTED_VALUE"""),"Глава от колективна монография")</f>
        <v>Глава от колективна монография</v>
      </c>
      <c r="C3405" s="10" t="str">
        <f ca="1">IFERROR(__xludf.DUMMYFUNCTION("""COMPUTED_VALUE"""),"Multisensor Detection in Randomly Arriving Impulse Interference using the Hough Transform")</f>
        <v>Multisensor Detection in Randomly Arriving Impulse Interference using the Hough Transform</v>
      </c>
      <c r="D3405" s="10">
        <f ca="1">IFERROR(__xludf.DUMMYFUNCTION("""COMPUTED_VALUE"""),2010)</f>
        <v>2010</v>
      </c>
      <c r="E3405" s="10" t="str">
        <f ca="1">IFERROR(__xludf.DUMMYFUNCTION("""COMPUTED_VALUE"""),"Chapter of the book “Radar Technology”, INTECH, pp. 179-204 (ISBN 978-953-307-029-2)")</f>
        <v>Chapter of the book “Radar Technology”, INTECH, pp. 179-204 (ISBN 978-953-307-029-2)</v>
      </c>
      <c r="F3405" s="10"/>
      <c r="G3405" s="10" t="str">
        <f ca="1">IFERROR(__xludf.DUMMYFUNCTION("""COMPUTED_VALUE"""),"Kabakchiev C., H. Rohling, V. Behar, V. Kyovtorov")</f>
        <v>Kabakchiev C., H. Rohling, V. Behar, V. Kyovtorov</v>
      </c>
      <c r="H3405" s="10"/>
      <c r="I3405" s="10"/>
      <c r="J3405" s="10"/>
      <c r="K3405" s="10"/>
      <c r="L3405" s="10"/>
      <c r="M3405" s="10"/>
      <c r="N3405" s="10"/>
      <c r="O3405" s="10"/>
      <c r="P3405" s="10"/>
      <c r="Q3405" s="10"/>
      <c r="R3405" s="10"/>
      <c r="S3405" s="10"/>
      <c r="T3405" s="10"/>
      <c r="U3405" s="10"/>
      <c r="V3405" s="10"/>
      <c r="W3405" s="10"/>
      <c r="X3405" s="10"/>
      <c r="Y3405" s="10"/>
      <c r="Z3405" s="10"/>
    </row>
    <row r="3406" spans="1:26" ht="12.75">
      <c r="A3406" s="10" t="str">
        <f ca="1">IFERROR(__xludf.DUMMYFUNCTION("""COMPUTED_VALUE"""),"Иван Ганчев Гарванов")</f>
        <v>Иван Ганчев Гарванов</v>
      </c>
      <c r="B3406" s="10" t="str">
        <f ca="1">IFERROR(__xludf.DUMMYFUNCTION("""COMPUTED_VALUE"""),"Доклад от конференция")</f>
        <v>Доклад от конференция</v>
      </c>
      <c r="C3406" s="10" t="str">
        <f ca="1">IFERROR(__xludf.DUMMYFUNCTION("""COMPUTED_VALUE"""),"Comparison of Target Detection Schemes in Doppler Radar with PSK Signals")</f>
        <v>Comparison of Target Detection Schemes in Doppler Radar with PSK Signals</v>
      </c>
      <c r="D3406" s="10">
        <f ca="1">IFERROR(__xludf.DUMMYFUNCTION("""COMPUTED_VALUE"""),2010)</f>
        <v>2010</v>
      </c>
      <c r="E3406" s="10" t="str">
        <f ca="1">IFERROR(__xludf.DUMMYFUNCTION("""COMPUTED_VALUE"""),"Proc. of the European Radar Conference EuRAD-2010, Parish, France 2010, pp. 268-271, ISBN 978-2-87487-015-6")</f>
        <v>Proc. of the European Radar Conference EuRAD-2010, Parish, France 2010, pp. 268-271, ISBN 978-2-87487-015-6</v>
      </c>
      <c r="F3406" s="10" t="str">
        <f ca="1">IFERROR(__xludf.DUMMYFUNCTION("""COMPUTED_VALUE"""),"Scopus, Web of science, IEEE")</f>
        <v>Scopus, Web of science, IEEE</v>
      </c>
      <c r="G3406" s="10" t="str">
        <f ca="1">IFERROR(__xludf.DUMMYFUNCTION("""COMPUTED_VALUE"""),"Kabakchiev C., P. Daskalov, P. Donkov, D. Kabakchieva")</f>
        <v>Kabakchiev C., P. Daskalov, P. Donkov, D. Kabakchieva</v>
      </c>
      <c r="H3406" s="10"/>
      <c r="I3406" s="10"/>
      <c r="J3406" s="10"/>
      <c r="K3406" s="10"/>
      <c r="L3406" s="10"/>
      <c r="M3406" s="10"/>
      <c r="N3406" s="10"/>
      <c r="O3406" s="10"/>
      <c r="P3406" s="10"/>
      <c r="Q3406" s="10"/>
      <c r="R3406" s="10"/>
      <c r="S3406" s="10"/>
      <c r="T3406" s="10"/>
      <c r="U3406" s="10"/>
      <c r="V3406" s="10"/>
      <c r="W3406" s="10"/>
      <c r="X3406" s="10"/>
      <c r="Y3406" s="10"/>
      <c r="Z3406" s="10"/>
    </row>
    <row r="3407" spans="1:26" ht="12.75">
      <c r="A3407" s="10" t="str">
        <f ca="1">IFERROR(__xludf.DUMMYFUNCTION("""COMPUTED_VALUE"""),"Иван Ганчев Гарванов")</f>
        <v>Иван Ганчев Гарванов</v>
      </c>
      <c r="B3407" s="10" t="str">
        <f ca="1">IFERROR(__xludf.DUMMYFUNCTION("""COMPUTED_VALUE"""),"Доклад от конференция")</f>
        <v>Доклад от конференция</v>
      </c>
      <c r="C3407" s="10" t="str">
        <f ca="1">IFERROR(__xludf.DUMMYFUNCTION("""COMPUTED_VALUE"""),"Multisensor Data Fusion and Track in Presence of Randomly Arriving Impulse Interference by Using the Polar Hough Transform")</f>
        <v>Multisensor Data Fusion and Track in Presence of Randomly Arriving Impulse Interference by Using the Polar Hough Transform</v>
      </c>
      <c r="D3407" s="10">
        <f ca="1">IFERROR(__xludf.DUMMYFUNCTION("""COMPUTED_VALUE"""),2010)</f>
        <v>2010</v>
      </c>
      <c r="E3407" s="10" t="str">
        <f ca="1">IFERROR(__xludf.DUMMYFUNCTION("""COMPUTED_VALUE"""),"Proc. of the International Symposium Enhanced Solutions for Aircraft and Vehicle Surveillance Applications “ESAVS 2010”, Berlin, Germany")</f>
        <v>Proc. of the International Symposium Enhanced Solutions for Aircraft and Vehicle Surveillance Applications “ESAVS 2010”, Berlin, Germany</v>
      </c>
      <c r="F3407" s="10"/>
      <c r="G3407" s="10" t="str">
        <f ca="1">IFERROR(__xludf.DUMMYFUNCTION("""COMPUTED_VALUE"""),"C. Kabakchiev, M. Vladimirova")</f>
        <v>C. Kabakchiev, M. Vladimirova</v>
      </c>
      <c r="H3407" s="10"/>
      <c r="I3407" s="10"/>
      <c r="J3407" s="10"/>
      <c r="K3407" s="10"/>
      <c r="L3407" s="10"/>
      <c r="M3407" s="10"/>
      <c r="N3407" s="10"/>
      <c r="O3407" s="10"/>
      <c r="P3407" s="10"/>
      <c r="Q3407" s="10"/>
      <c r="R3407" s="10"/>
      <c r="S3407" s="10"/>
      <c r="T3407" s="10"/>
      <c r="U3407" s="10"/>
      <c r="V3407" s="10"/>
      <c r="W3407" s="10"/>
      <c r="X3407" s="10"/>
      <c r="Y3407" s="10"/>
      <c r="Z3407" s="10"/>
    </row>
    <row r="3408" spans="1:26" ht="12.75">
      <c r="A3408" s="10" t="str">
        <f ca="1">IFERROR(__xludf.DUMMYFUNCTION("""COMPUTED_VALUE"""),"Иван Ганчев Гарванов")</f>
        <v>Иван Ганчев Гарванов</v>
      </c>
      <c r="B3408" s="10" t="str">
        <f ca="1">IFERROR(__xludf.DUMMYFUNCTION("""COMPUTED_VALUE"""),"Статия в списания и поредици")</f>
        <v>Статия в списания и поредици</v>
      </c>
      <c r="C3408" s="10" t="str">
        <f ca="1">IFERROR(__xludf.DUMMYFUNCTION("""COMPUTED_VALUE"""),"Hough Detector Threshold Analysis in the Presence of a Randomly Arriving Impulse Interference")</f>
        <v>Hough Detector Threshold Analysis in the Presence of a Randomly Arriving Impulse Interference</v>
      </c>
      <c r="D3408" s="10">
        <f ca="1">IFERROR(__xludf.DUMMYFUNCTION("""COMPUTED_VALUE"""),2010)</f>
        <v>2010</v>
      </c>
      <c r="E3408" s="10" t="str">
        <f ca="1">IFERROR(__xludf.DUMMYFUNCTION("""COMPUTED_VALUE"""),"Cybernetics and Information Technologies, Volume 10, 1, pp. 37-48 (ISSN 1311-9702)")</f>
        <v>Cybernetics and Information Technologies, Volume 10, 1, pp. 37-48 (ISSN 1311-9702)</v>
      </c>
      <c r="F3408" s="10"/>
      <c r="G3408" s="10" t="str">
        <f ca="1">IFERROR(__xludf.DUMMYFUNCTION("""COMPUTED_VALUE"""),"Doukovska L.")</f>
        <v>Doukovska L.</v>
      </c>
      <c r="H3408" s="10"/>
      <c r="I3408" s="10"/>
      <c r="J3408" s="10"/>
      <c r="K3408" s="10"/>
      <c r="L3408" s="10"/>
      <c r="M3408" s="10"/>
      <c r="N3408" s="10"/>
      <c r="O3408" s="10"/>
      <c r="P3408" s="10"/>
      <c r="Q3408" s="10"/>
      <c r="R3408" s="10"/>
      <c r="S3408" s="10"/>
      <c r="T3408" s="10"/>
      <c r="U3408" s="10"/>
      <c r="V3408" s="10"/>
      <c r="W3408" s="10"/>
      <c r="X3408" s="10"/>
      <c r="Y3408" s="10"/>
      <c r="Z3408" s="10"/>
    </row>
    <row r="3409" spans="1:26" ht="12.75">
      <c r="A3409" s="10" t="str">
        <f ca="1">IFERROR(__xludf.DUMMYFUNCTION("""COMPUTED_VALUE"""),"Иван Ганчев Гарванов")</f>
        <v>Иван Ганчев Гарванов</v>
      </c>
      <c r="B3409" s="10" t="str">
        <f ca="1">IFERROR(__xludf.DUMMYFUNCTION("""COMPUTED_VALUE"""),"Доклад от конференция")</f>
        <v>Доклад от конференция</v>
      </c>
      <c r="C3409" s="10" t="str">
        <f ca="1">IFERROR(__xludf.DUMMYFUNCTION("""COMPUTED_VALUE"""),"Analysis of Multi-Sensor Radar Detection based on the TBD-HT Approach in ECM Environment")</f>
        <v>Analysis of Multi-Sensor Radar Detection based on the TBD-HT Approach in ECM Environment</v>
      </c>
      <c r="D3409" s="10">
        <f ca="1">IFERROR(__xludf.DUMMYFUNCTION("""COMPUTED_VALUE"""),2010)</f>
        <v>2010</v>
      </c>
      <c r="E3409" s="10" t="str">
        <f ca="1">IFERROR(__xludf.DUMMYFUNCTION("""COMPUTED_VALUE"""),"Proc. of the IEEE Radar Conference – RADAR’10, Washington DC, USA, pp. 651-656 (ISBN 978-1-4244-5813-4)")</f>
        <v>Proc. of the IEEE Radar Conference – RADAR’10, Washington DC, USA, pp. 651-656 (ISBN 978-1-4244-5813-4)</v>
      </c>
      <c r="F3409" s="10" t="str">
        <f ca="1">IFERROR(__xludf.DUMMYFUNCTION("""COMPUTED_VALUE"""),"Scopus, Web of science, IEEE")</f>
        <v>Scopus, Web of science, IEEE</v>
      </c>
      <c r="G3409" s="10" t="str">
        <f ca="1">IFERROR(__xludf.DUMMYFUNCTION("""COMPUTED_VALUE"""),"Kabakchiev C., V. Behar, H. Rohling, V. Kyovtorov, D. Kabakchieva")</f>
        <v>Kabakchiev C., V. Behar, H. Rohling, V. Kyovtorov, D. Kabakchieva</v>
      </c>
      <c r="H3409" s="10"/>
      <c r="I3409" s="10"/>
      <c r="J3409" s="10"/>
      <c r="K3409" s="10"/>
      <c r="L3409" s="10"/>
      <c r="M3409" s="10"/>
      <c r="N3409" s="10"/>
      <c r="O3409" s="10"/>
      <c r="P3409" s="10"/>
      <c r="Q3409" s="10"/>
      <c r="R3409" s="10"/>
      <c r="S3409" s="10"/>
      <c r="T3409" s="10"/>
      <c r="U3409" s="10"/>
      <c r="V3409" s="10"/>
      <c r="W3409" s="10"/>
      <c r="X3409" s="10"/>
      <c r="Y3409" s="10"/>
      <c r="Z3409" s="10"/>
    </row>
    <row r="3410" spans="1:26" ht="12.75">
      <c r="A3410" s="10" t="str">
        <f ca="1">IFERROR(__xludf.DUMMYFUNCTION("""COMPUTED_VALUE"""),"Иван Ганчев Гарванов")</f>
        <v>Иван Ганчев Гарванов</v>
      </c>
      <c r="B3410" s="10" t="str">
        <f ca="1">IFERROR(__xludf.DUMMYFUNCTION("""COMPUTED_VALUE"""),"Доклад от конференция")</f>
        <v>Доклад от конференция</v>
      </c>
      <c r="C3410" s="10" t="str">
        <f ca="1">IFERROR(__xludf.DUMMYFUNCTION("""COMPUTED_VALUE"""),"Target Detection in Doppler Radar with PSK Signals")</f>
        <v>Target Detection in Doppler Radar with PSK Signals</v>
      </c>
      <c r="D3410" s="10">
        <f ca="1">IFERROR(__xludf.DUMMYFUNCTION("""COMPUTED_VALUE"""),2010)</f>
        <v>2010</v>
      </c>
      <c r="E3410" s="10" t="str">
        <f ca="1">IFERROR(__xludf.DUMMYFUNCTION("""COMPUTED_VALUE"""),"Proc. of the 18th International Conference on Microwave, Radar and Wireless Communications MIKON-2010, Vilnius, Lithuania, pp.780-783, ISBN 978-9955-690-20-7")</f>
        <v>Proc. of the 18th International Conference on Microwave, Radar and Wireless Communications MIKON-2010, Vilnius, Lithuania, pp.780-783, ISBN 978-9955-690-20-7</v>
      </c>
      <c r="F3410" s="10" t="str">
        <f ca="1">IFERROR(__xludf.DUMMYFUNCTION("""COMPUTED_VALUE"""),"Scopus, Web of science, IEEE")</f>
        <v>Scopus, Web of science, IEEE</v>
      </c>
      <c r="G3410" s="10" t="str">
        <f ca="1">IFERROR(__xludf.DUMMYFUNCTION("""COMPUTED_VALUE"""),"Kabakchiev C., P. Daskalov")</f>
        <v>Kabakchiev C., P. Daskalov</v>
      </c>
      <c r="H3410" s="10"/>
      <c r="I3410" s="10"/>
      <c r="J3410" s="10"/>
      <c r="K3410" s="10"/>
      <c r="L3410" s="10"/>
      <c r="M3410" s="10"/>
      <c r="N3410" s="10"/>
      <c r="O3410" s="10"/>
      <c r="P3410" s="10"/>
      <c r="Q3410" s="10"/>
      <c r="R3410" s="10"/>
      <c r="S3410" s="10"/>
      <c r="T3410" s="10"/>
      <c r="U3410" s="10"/>
      <c r="V3410" s="10"/>
      <c r="W3410" s="10"/>
      <c r="X3410" s="10"/>
      <c r="Y3410" s="10"/>
      <c r="Z3410" s="10"/>
    </row>
    <row r="3411" spans="1:26" ht="12.75">
      <c r="A3411" s="10" t="str">
        <f ca="1">IFERROR(__xludf.DUMMYFUNCTION("""COMPUTED_VALUE"""),"Иван Ганчев Гарванов")</f>
        <v>Иван Ганчев Гарванов</v>
      </c>
      <c r="B3411" s="10" t="str">
        <f ca="1">IFERROR(__xludf.DUMMYFUNCTION("""COMPUTED_VALUE"""),"Доклад от конференция")</f>
        <v>Доклад от конференция</v>
      </c>
      <c r="C3411" s="10" t="str">
        <f ca="1">IFERROR(__xludf.DUMMYFUNCTION("""COMPUTED_VALUE"""),"Analysis of Track-Before Detect Algorithms with Hough Transform")</f>
        <v>Analysis of Track-Before Detect Algorithms with Hough Transform</v>
      </c>
      <c r="D3411" s="10">
        <f ca="1">IFERROR(__xludf.DUMMYFUNCTION("""COMPUTED_VALUE"""),2009)</f>
        <v>2009</v>
      </c>
      <c r="E3411" s="10" t="str">
        <f ca="1">IFERROR(__xludf.DUMMYFUNCTION("""COMPUTED_VALUE"""),"Proc. of the International Radar Symposium – IRS’09, Hamburg, Germany, pp. 207-211")</f>
        <v>Proc. of the International Radar Symposium – IRS’09, Hamburg, Germany, pp. 207-211</v>
      </c>
      <c r="F3411" s="10"/>
      <c r="G3411" s="10" t="str">
        <f ca="1">IFERROR(__xludf.DUMMYFUNCTION("""COMPUTED_VALUE"""),"Kabakchiev C., D. Angelova, V. Behar, H. Rohling")</f>
        <v>Kabakchiev C., D. Angelova, V. Behar, H. Rohling</v>
      </c>
      <c r="H3411" s="10"/>
      <c r="I3411" s="10"/>
      <c r="J3411" s="10"/>
      <c r="K3411" s="10"/>
      <c r="L3411" s="10"/>
      <c r="M3411" s="10"/>
      <c r="N3411" s="10"/>
      <c r="O3411" s="10"/>
      <c r="P3411" s="10"/>
      <c r="Q3411" s="10"/>
      <c r="R3411" s="10"/>
      <c r="S3411" s="10"/>
      <c r="T3411" s="10"/>
      <c r="U3411" s="10"/>
      <c r="V3411" s="10"/>
      <c r="W3411" s="10"/>
      <c r="X3411" s="10"/>
      <c r="Y3411" s="10"/>
      <c r="Z3411" s="10"/>
    </row>
    <row r="3412" spans="1:26" ht="12.75">
      <c r="A3412" s="10" t="str">
        <f ca="1">IFERROR(__xludf.DUMMYFUNCTION("""COMPUTED_VALUE"""),"Иван Ганчев Гарванов")</f>
        <v>Иван Ганчев Гарванов</v>
      </c>
      <c r="B3412" s="10" t="str">
        <f ca="1">IFERROR(__xludf.DUMMYFUNCTION("""COMPUTED_VALUE"""),"Статия в списания и поредици")</f>
        <v>Статия в списания и поредици</v>
      </c>
      <c r="C3412" s="10" t="str">
        <f ca="1">IFERROR(__xludf.DUMMYFUNCTION("""COMPUTED_VALUE"""),"Comparative Analysis of CFAR Structures for GPS Signals in Conditions of Intensive Urban Pulse Interference")</f>
        <v>Comparative Analysis of CFAR Structures for GPS Signals in Conditions of Intensive Urban Pulse Interference</v>
      </c>
      <c r="D3412" s="10">
        <f ca="1">IFERROR(__xludf.DUMMYFUNCTION("""COMPUTED_VALUE"""),2009)</f>
        <v>2009</v>
      </c>
      <c r="E3412" s="10" t="str">
        <f ca="1">IFERROR(__xludf.DUMMYFUNCTION("""COMPUTED_VALUE"""),"Problems of Engineering Cybernetics and Robotics, vol. 60, pp.34-41 (ISSN 0204-9848)")</f>
        <v>Problems of Engineering Cybernetics and Robotics, vol. 60, pp.34-41 (ISSN 0204-9848)</v>
      </c>
      <c r="F3412" s="10"/>
      <c r="G3412" s="10" t="str">
        <f ca="1">IFERROR(__xludf.DUMMYFUNCTION("""COMPUTED_VALUE"""),"L. Doukovska, V. Kyovtorov, Chr. Kabakchiev")</f>
        <v>L. Doukovska, V. Kyovtorov, Chr. Kabakchiev</v>
      </c>
      <c r="H3412" s="10"/>
      <c r="I3412" s="10"/>
      <c r="J3412" s="10"/>
      <c r="K3412" s="10"/>
      <c r="L3412" s="10"/>
      <c r="M3412" s="10"/>
      <c r="N3412" s="10"/>
      <c r="O3412" s="10"/>
      <c r="P3412" s="10"/>
      <c r="Q3412" s="10"/>
      <c r="R3412" s="10"/>
      <c r="S3412" s="10"/>
      <c r="T3412" s="10"/>
      <c r="U3412" s="10"/>
      <c r="V3412" s="10"/>
      <c r="W3412" s="10"/>
      <c r="X3412" s="10"/>
      <c r="Y3412" s="10"/>
      <c r="Z3412" s="10"/>
    </row>
    <row r="3413" spans="1:26" ht="12.75">
      <c r="A3413" s="10" t="str">
        <f ca="1">IFERROR(__xludf.DUMMYFUNCTION("""COMPUTED_VALUE"""),"Иван Ганчев Гарванов")</f>
        <v>Иван Ганчев Гарванов</v>
      </c>
      <c r="B3413" s="10" t="str">
        <f ca="1">IFERROR(__xludf.DUMMYFUNCTION("""COMPUTED_VALUE"""),"Доклад от конференция")</f>
        <v>Доклад от конференция</v>
      </c>
      <c r="C3413" s="10" t="str">
        <f ca="1">IFERROR(__xludf.DUMMYFUNCTION("""COMPUTED_VALUE"""),"TBD Netted Radar System in Presence of Multi False Alarms")</f>
        <v>TBD Netted Radar System in Presence of Multi False Alarms</v>
      </c>
      <c r="D3413" s="10">
        <f ca="1">IFERROR(__xludf.DUMMYFUNCTION("""COMPUTED_VALUE"""),2009)</f>
        <v>2009</v>
      </c>
      <c r="E3413" s="10" t="str">
        <f ca="1">IFERROR(__xludf.DUMMYFUNCTION("""COMPUTED_VALUE"""),"Proc. of the 6-th European Radar Conference – EuRAD’09, Rome, Italy, pp.509-512 (ISBN 978-2-87487-014-9)")</f>
        <v>Proc. of the 6-th European Radar Conference – EuRAD’09, Rome, Italy, pp.509-512 (ISBN 978-2-87487-014-9)</v>
      </c>
      <c r="F3413" s="10" t="str">
        <f ca="1">IFERROR(__xludf.DUMMYFUNCTION("""COMPUTED_VALUE"""),"Scopus, Web of science, IEEE")</f>
        <v>Scopus, Web of science, IEEE</v>
      </c>
      <c r="G3413" s="10" t="str">
        <f ca="1">IFERROR(__xludf.DUMMYFUNCTION("""COMPUTED_VALUE"""),"Kabakchiev C., L. Doukovska, V. Kyovtorov")</f>
        <v>Kabakchiev C., L. Doukovska, V. Kyovtorov</v>
      </c>
      <c r="H3413" s="10"/>
      <c r="I3413" s="10"/>
      <c r="J3413" s="10"/>
      <c r="K3413" s="10"/>
      <c r="L3413" s="10"/>
      <c r="M3413" s="10"/>
      <c r="N3413" s="10"/>
      <c r="O3413" s="10"/>
      <c r="P3413" s="10"/>
      <c r="Q3413" s="10"/>
      <c r="R3413" s="10"/>
      <c r="S3413" s="10"/>
      <c r="T3413" s="10"/>
      <c r="U3413" s="10"/>
      <c r="V3413" s="10"/>
      <c r="W3413" s="10"/>
      <c r="X3413" s="10"/>
      <c r="Y3413" s="10"/>
      <c r="Z3413" s="10"/>
    </row>
    <row r="3414" spans="1:26" ht="12.75">
      <c r="A3414" s="10" t="str">
        <f ca="1">IFERROR(__xludf.DUMMYFUNCTION("""COMPUTED_VALUE"""),"Иван Ганчев Гарванов")</f>
        <v>Иван Ганчев Гарванов</v>
      </c>
      <c r="B3414" s="10" t="str">
        <f ca="1">IFERROR(__xludf.DUMMYFUNCTION("""COMPUTED_VALUE"""),"Статия в списания и поредици")</f>
        <v>Статия в списания и поредици</v>
      </c>
      <c r="C3414" s="10" t="str">
        <f ca="1">IFERROR(__xludf.DUMMYFUNCTION("""COMPUTED_VALUE"""),"Adaptive Binary Integration CFAR Processing for Secondary Surveillance")</f>
        <v>Adaptive Binary Integration CFAR Processing for Secondary Surveillance</v>
      </c>
      <c r="D3414" s="10">
        <f ca="1">IFERROR(__xludf.DUMMYFUNCTION("""COMPUTED_VALUE"""),2009)</f>
        <v>2009</v>
      </c>
      <c r="E3414" s="10" t="str">
        <f ca="1">IFERROR(__xludf.DUMMYFUNCTION("""COMPUTED_VALUE"""),"Cybernetics and Information Technologies, Volume 9, № 1, pp. 46-54 (ISSN 1311-9702)")</f>
        <v>Cybernetics and Information Technologies, Volume 9, № 1, pp. 46-54 (ISSN 1311-9702)</v>
      </c>
      <c r="F3414" s="10"/>
      <c r="G3414" s="10" t="str">
        <f ca="1">IFERROR(__xludf.DUMMYFUNCTION("""COMPUTED_VALUE"""),"C. Kabakchiev")</f>
        <v>C. Kabakchiev</v>
      </c>
      <c r="H3414" s="10"/>
      <c r="I3414" s="10"/>
      <c r="J3414" s="10"/>
      <c r="K3414" s="10"/>
      <c r="L3414" s="10"/>
      <c r="M3414" s="10"/>
      <c r="N3414" s="10"/>
      <c r="O3414" s="10"/>
      <c r="P3414" s="10"/>
      <c r="Q3414" s="10"/>
      <c r="R3414" s="10"/>
      <c r="S3414" s="10"/>
      <c r="T3414" s="10"/>
      <c r="U3414" s="10"/>
      <c r="V3414" s="10"/>
      <c r="W3414" s="10"/>
      <c r="X3414" s="10"/>
      <c r="Y3414" s="10"/>
      <c r="Z3414" s="10"/>
    </row>
    <row r="3415" spans="1:26" ht="12.75">
      <c r="A3415" s="10" t="str">
        <f ca="1">IFERROR(__xludf.DUMMYFUNCTION("""COMPUTED_VALUE"""),"Иван Ганчев Гарванов")</f>
        <v>Иван Ганчев Гарванов</v>
      </c>
      <c r="B3415" s="10" t="str">
        <f ca="1">IFERROR(__xludf.DUMMYFUNCTION("""COMPUTED_VALUE"""),"Доклад от конференция")</f>
        <v>Доклад от конференция</v>
      </c>
      <c r="C3415" s="10" t="str">
        <f ca="1">IFERROR(__xludf.DUMMYFUNCTION("""COMPUTED_VALUE"""),"Multi-cannel polar TBD Hough detector with a CFAR processor for multi-antennae track elevation measurement")</f>
        <v>Multi-cannel polar TBD Hough detector with a CFAR processor for multi-antennae track elevation measurement</v>
      </c>
      <c r="D3415" s="10">
        <f ca="1">IFERROR(__xludf.DUMMYFUNCTION("""COMPUTED_VALUE"""),2009)</f>
        <v>2009</v>
      </c>
      <c r="E3415" s="10" t="str">
        <f ca="1">IFERROR(__xludf.DUMMYFUNCTION("""COMPUTED_VALUE"""),"Proc. of the International Radar Symposium – IRS’09, Hamburg, Germany, pp. 175-179")</f>
        <v>Proc. of the International Radar Symposium – IRS’09, Hamburg, Germany, pp. 175-179</v>
      </c>
      <c r="F3415" s="10"/>
      <c r="G3415" s="10" t="str">
        <f ca="1">IFERROR(__xludf.DUMMYFUNCTION("""COMPUTED_VALUE"""),"Kabakchiev C., V. Kyovtorov, H. Rohling")</f>
        <v>Kabakchiev C., V. Kyovtorov, H. Rohling</v>
      </c>
      <c r="H3415" s="10"/>
      <c r="I3415" s="10"/>
      <c r="J3415" s="10"/>
      <c r="K3415" s="10"/>
      <c r="L3415" s="10"/>
      <c r="M3415" s="10"/>
      <c r="N3415" s="10"/>
      <c r="O3415" s="10"/>
      <c r="P3415" s="10"/>
      <c r="Q3415" s="10"/>
      <c r="R3415" s="10"/>
      <c r="S3415" s="10"/>
      <c r="T3415" s="10"/>
      <c r="U3415" s="10"/>
      <c r="V3415" s="10"/>
      <c r="W3415" s="10"/>
      <c r="X3415" s="10"/>
      <c r="Y3415" s="10"/>
      <c r="Z3415" s="10"/>
    </row>
    <row r="3416" spans="1:26" ht="12.75">
      <c r="A3416" s="10" t="str">
        <f ca="1">IFERROR(__xludf.DUMMYFUNCTION("""COMPUTED_VALUE"""),"Иван Ганчев Гарванов")</f>
        <v>Иван Ганчев Гарванов</v>
      </c>
      <c r="B3416" s="10" t="str">
        <f ca="1">IFERROR(__xludf.DUMMYFUNCTION("""COMPUTED_VALUE"""),"Доклад от конференция")</f>
        <v>Доклад от конференция</v>
      </c>
      <c r="C3416" s="10" t="str">
        <f ca="1">IFERROR(__xludf.DUMMYFUNCTION("""COMPUTED_VALUE"""),"CFAR BI technique for Secondary Surveillance Radar")</f>
        <v>CFAR BI technique for Secondary Surveillance Radar</v>
      </c>
      <c r="D3416" s="10">
        <f ca="1">IFERROR(__xludf.DUMMYFUNCTION("""COMPUTED_VALUE"""),2008)</f>
        <v>2008</v>
      </c>
      <c r="E3416" s="10" t="str">
        <f ca="1">IFERROR(__xludf.DUMMYFUNCTION("""COMPUTED_VALUE"""),"Proc. of the Tyrrhenian International Workshop on Digital Communications/ Enhanced Surveillance of Aircraft and Vehicles (TIWDC/ESAV'08), Island of Capri, Italy, pp.150-153 (ISBN: 978-88-903482-0-4)")</f>
        <v>Proc. of the Tyrrhenian International Workshop on Digital Communications/ Enhanced Surveillance of Aircraft and Vehicles (TIWDC/ESAV'08), Island of Capri, Italy, pp.150-153 (ISBN: 978-88-903482-0-4)</v>
      </c>
      <c r="F3416" s="10" t="str">
        <f ca="1">IFERROR(__xludf.DUMMYFUNCTION("""COMPUTED_VALUE"""),"Scopus, Web of science, IEEE")</f>
        <v>Scopus, Web of science, IEEE</v>
      </c>
      <c r="G3416" s="10" t="str">
        <f ca="1">IFERROR(__xludf.DUMMYFUNCTION("""COMPUTED_VALUE"""),"Kabakchiev C.")</f>
        <v>Kabakchiev C.</v>
      </c>
      <c r="H3416" s="10"/>
      <c r="I3416" s="10"/>
      <c r="J3416" s="10"/>
      <c r="K3416" s="10"/>
      <c r="L3416" s="10"/>
      <c r="M3416" s="10"/>
      <c r="N3416" s="10"/>
      <c r="O3416" s="10"/>
      <c r="P3416" s="10"/>
      <c r="Q3416" s="10"/>
      <c r="R3416" s="10"/>
      <c r="S3416" s="10"/>
      <c r="T3416" s="10"/>
      <c r="U3416" s="10"/>
      <c r="V3416" s="10"/>
      <c r="W3416" s="10"/>
      <c r="X3416" s="10"/>
      <c r="Y3416" s="10"/>
      <c r="Z3416" s="10"/>
    </row>
    <row r="3417" spans="1:26" ht="12.75">
      <c r="A3417" s="10" t="str">
        <f ca="1">IFERROR(__xludf.DUMMYFUNCTION("""COMPUTED_VALUE"""),"Иван Ганчев Гарванов")</f>
        <v>Иван Ганчев Гарванов</v>
      </c>
      <c r="B3417" s="10" t="str">
        <f ca="1">IFERROR(__xludf.DUMMYFUNCTION("""COMPUTED_VALUE"""),"Доклад от конференция")</f>
        <v>Доклад от конференция</v>
      </c>
      <c r="C3417" s="10" t="str">
        <f ca="1">IFERROR(__xludf.DUMMYFUNCTION("""COMPUTED_VALUE"""),"FPGA Implementation of Low-Frequency GPR signal algorithm using Frequency Stepped Chirp Signals in the time domain")</f>
        <v>FPGA Implementation of Low-Frequency GPR signal algorithm using Frequency Stepped Chirp Signals in the time domain</v>
      </c>
      <c r="D3417" s="10">
        <f ca="1">IFERROR(__xludf.DUMMYFUNCTION("""COMPUTED_VALUE"""),2008)</f>
        <v>2008</v>
      </c>
      <c r="E3417" s="10" t="str">
        <f ca="1">IFERROR(__xludf.DUMMYFUNCTION("""COMPUTED_VALUE"""),"Proc. of the International Radar Symposium – IRS’08, Wroclaw, Poland, May 21-23, pp.297-300 (ISBN: 978-83-7207-757-8, IEEE Catalog Number: CFP08RAS-PRT)")</f>
        <v>Proc. of the International Radar Symposium – IRS’08, Wroclaw, Poland, May 21-23, pp.297-300 (ISBN: 978-83-7207-757-8, IEEE Catalog Number: CFP08RAS-PRT)</v>
      </c>
      <c r="F3417" s="10"/>
      <c r="G3417" s="10" t="str">
        <f ca="1">IFERROR(__xludf.DUMMYFUNCTION("""COMPUTED_VALUE"""),"Kyovtorov V., C Kabakchiev, V. Behar, G. Kuzmanov, L. Doukovska")</f>
        <v>Kyovtorov V., C Kabakchiev, V. Behar, G. Kuzmanov, L. Doukovska</v>
      </c>
      <c r="H3417" s="10"/>
      <c r="I3417" s="10"/>
      <c r="J3417" s="10"/>
      <c r="K3417" s="10"/>
      <c r="L3417" s="10"/>
      <c r="M3417" s="10"/>
      <c r="N3417" s="10"/>
      <c r="O3417" s="10"/>
      <c r="P3417" s="10"/>
      <c r="Q3417" s="10"/>
      <c r="R3417" s="10"/>
      <c r="S3417" s="10"/>
      <c r="T3417" s="10"/>
      <c r="U3417" s="10"/>
      <c r="V3417" s="10"/>
      <c r="W3417" s="10"/>
      <c r="X3417" s="10"/>
      <c r="Y3417" s="10"/>
      <c r="Z3417" s="10"/>
    </row>
    <row r="3418" spans="1:26" ht="12.75">
      <c r="A3418" s="10" t="str">
        <f ca="1">IFERROR(__xludf.DUMMYFUNCTION("""COMPUTED_VALUE"""),"Иван Ганчев Гарванов")</f>
        <v>Иван Ганчев Гарванов</v>
      </c>
      <c r="B3418" s="10" t="str">
        <f ca="1">IFERROR(__xludf.DUMMYFUNCTION("""COMPUTED_VALUE"""),"Доклад от конференция")</f>
        <v>Доклад от конференция</v>
      </c>
      <c r="C3418" s="10" t="str">
        <f ca="1">IFERROR(__xludf.DUMMYFUNCTION("""COMPUTED_VALUE"""),"Error Estimation of Target Parameters in Track before Detect Multiradar System")</f>
        <v>Error Estimation of Target Parameters in Track before Detect Multiradar System</v>
      </c>
      <c r="D3418" s="10">
        <f ca="1">IFERROR(__xludf.DUMMYFUNCTION("""COMPUTED_VALUE"""),2008)</f>
        <v>2008</v>
      </c>
      <c r="E3418" s="10" t="str">
        <f ca="1">IFERROR(__xludf.DUMMYFUNCTION("""COMPUTED_VALUE"""),"Proc. of International Workshop Distributed Computer and Communication Networks – DCCN 2008, Sofia, Bulgaria, pp. 179-186 (ISBN: 978-5-901158-09-8)")</f>
        <v>Proc. of International Workshop Distributed Computer and Communication Networks – DCCN 2008, Sofia, Bulgaria, pp. 179-186 (ISBN: 978-5-901158-09-8)</v>
      </c>
      <c r="F3418" s="10"/>
      <c r="G3418" s="10" t="str">
        <f ca="1">IFERROR(__xludf.DUMMYFUNCTION("""COMPUTED_VALUE"""),"V. Kyovtorov, C. Kabakchiev")</f>
        <v>V. Kyovtorov, C. Kabakchiev</v>
      </c>
      <c r="H3418" s="10"/>
      <c r="I3418" s="10"/>
      <c r="J3418" s="10"/>
      <c r="K3418" s="10"/>
      <c r="L3418" s="10"/>
      <c r="M3418" s="10"/>
      <c r="N3418" s="10"/>
      <c r="O3418" s="10"/>
      <c r="P3418" s="10"/>
      <c r="Q3418" s="10"/>
      <c r="R3418" s="10"/>
      <c r="S3418" s="10"/>
      <c r="T3418" s="10"/>
      <c r="U3418" s="10"/>
      <c r="V3418" s="10"/>
      <c r="W3418" s="10"/>
      <c r="X3418" s="10"/>
      <c r="Y3418" s="10"/>
      <c r="Z3418" s="10"/>
    </row>
    <row r="3419" spans="1:26" ht="12.75">
      <c r="A3419" s="10" t="str">
        <f ca="1">IFERROR(__xludf.DUMMYFUNCTION("""COMPUTED_VALUE"""),"Иван Ганчев Гарванов")</f>
        <v>Иван Ганчев Гарванов</v>
      </c>
      <c r="B3419" s="10" t="str">
        <f ca="1">IFERROR(__xludf.DUMMYFUNCTION("""COMPUTED_VALUE"""),"Глава от колективна монография")</f>
        <v>Глава от колективна монография</v>
      </c>
      <c r="C3419" s="10" t="str">
        <f ca="1">IFERROR(__xludf.DUMMYFUNCTION("""COMPUTED_VALUE"""),"UXO Signal Multi Sensor Detection and Estimation, Proceedings of the NATO Advanced Study Institute on Unexploded Ordnance Detection and Mitigation")</f>
        <v>UXO Signal Multi Sensor Detection and Estimation, Proceedings of the NATO Advanced Study Institute on Unexploded Ordnance Detection and Mitigation</v>
      </c>
      <c r="D3419" s="10">
        <f ca="1">IFERROR(__xludf.DUMMYFUNCTION("""COMPUTED_VALUE"""),2008)</f>
        <v>2008</v>
      </c>
      <c r="E3419" s="10" t="str">
        <f ca="1">IFERROR(__xludf.DUMMYFUNCTION("""COMPUTED_VALUE"""),"Chapter of the book “NATO Science for Peace and Security Series”, Subseries “NATO Science for Peace and Security”, Series B: Physics and Biophysics, James Byrnes (Ed.), Approx. 330 p., Hardcover, pp. 141-164 (ISBN: 978-1-4020-9251-0)")</f>
        <v>Chapter of the book “NATO Science for Peace and Security Series”, Subseries “NATO Science for Peace and Security”, Series B: Physics and Biophysics, James Byrnes (Ed.), Approx. 330 p., Hardcover, pp. 141-164 (ISBN: 978-1-4020-9251-0)</v>
      </c>
      <c r="F3419" s="10"/>
      <c r="G3419" s="10" t="str">
        <f ca="1">IFERROR(__xludf.DUMMYFUNCTION("""COMPUTED_VALUE"""),"Kabakchiev C., V. Behar, B. Vassileva, D. Angelova, K. Aleksiev, V. Kyovtorov, L. Doukovska, P. Daskalov")</f>
        <v>Kabakchiev C., V. Behar, B. Vassileva, D. Angelova, K. Aleksiev, V. Kyovtorov, L. Doukovska, P. Daskalov</v>
      </c>
      <c r="H3419" s="10"/>
      <c r="I3419" s="10"/>
      <c r="J3419" s="10"/>
      <c r="K3419" s="10"/>
      <c r="L3419" s="10"/>
      <c r="M3419" s="10"/>
      <c r="N3419" s="10"/>
      <c r="O3419" s="10"/>
      <c r="P3419" s="10"/>
      <c r="Q3419" s="10"/>
      <c r="R3419" s="10"/>
      <c r="S3419" s="10"/>
      <c r="T3419" s="10"/>
      <c r="U3419" s="10"/>
      <c r="V3419" s="10"/>
      <c r="W3419" s="10"/>
      <c r="X3419" s="10"/>
      <c r="Y3419" s="10"/>
      <c r="Z3419" s="10"/>
    </row>
    <row r="3420" spans="1:26" ht="12.75">
      <c r="A3420" s="10" t="str">
        <f ca="1">IFERROR(__xludf.DUMMYFUNCTION("""COMPUTED_VALUE"""),"Иван Ганчев Гарванов")</f>
        <v>Иван Ганчев Гарванов</v>
      </c>
      <c r="B3420" s="10" t="str">
        <f ca="1">IFERROR(__xludf.DUMMYFUNCTION("""COMPUTED_VALUE"""),"Статия в списания и поредици")</f>
        <v>Статия в списания и поредици</v>
      </c>
      <c r="C3420" s="10" t="str">
        <f ca="1">IFERROR(__xludf.DUMMYFUNCTION("""COMPUTED_VALUE"""),"CFAR Pulse Detectors in the Presence of Impulse Interference Noise")</f>
        <v>CFAR Pulse Detectors in the Presence of Impulse Interference Noise</v>
      </c>
      <c r="D3420" s="10">
        <f ca="1">IFERROR(__xludf.DUMMYFUNCTION("""COMPUTED_VALUE"""),2008)</f>
        <v>2008</v>
      </c>
      <c r="E3420" s="10" t="str">
        <f ca="1">IFERROR(__xludf.DUMMYFUNCTION("""COMPUTED_VALUE"""),"Cybernetics and Information Technologies, Volume 9, № 1, pp. 46-54 (ISSN 1311-9702)")</f>
        <v>Cybernetics and Information Technologies, Volume 9, № 1, pp. 46-54 (ISSN 1311-9702)</v>
      </c>
      <c r="F3420" s="10"/>
      <c r="G3420" s="10"/>
      <c r="H3420" s="10"/>
      <c r="I3420" s="10"/>
      <c r="J3420" s="10"/>
      <c r="K3420" s="10"/>
      <c r="L3420" s="10"/>
      <c r="M3420" s="10"/>
      <c r="N3420" s="10"/>
      <c r="O3420" s="10"/>
      <c r="P3420" s="10"/>
      <c r="Q3420" s="10"/>
      <c r="R3420" s="10"/>
      <c r="S3420" s="10"/>
      <c r="T3420" s="10"/>
      <c r="U3420" s="10"/>
      <c r="V3420" s="10"/>
      <c r="W3420" s="10"/>
      <c r="X3420" s="10"/>
      <c r="Y3420" s="10"/>
      <c r="Z3420" s="10"/>
    </row>
    <row r="3421" spans="1:26" ht="12.75">
      <c r="A3421" s="10" t="str">
        <f ca="1">IFERROR(__xludf.DUMMYFUNCTION("""COMPUTED_VALUE"""),"Иван Ганчев Гарванов")</f>
        <v>Иван Ганчев Гарванов</v>
      </c>
      <c r="B3421" s="10" t="str">
        <f ca="1">IFERROR(__xludf.DUMMYFUNCTION("""COMPUTED_VALUE"""),"Доклад от конференция")</f>
        <v>Доклад от конференция</v>
      </c>
      <c r="C3421" s="10" t="str">
        <f ca="1">IFERROR(__xludf.DUMMYFUNCTION("""COMPUTED_VALUE"""),"Average Decision Threshold of Excision CFAR Processor in the Presence of Binominal Distribution Flow from Impulse Noise")</f>
        <v>Average Decision Threshold of Excision CFAR Processor in the Presence of Binominal Distribution Flow from Impulse Noise</v>
      </c>
      <c r="D3421" s="10">
        <f ca="1">IFERROR(__xludf.DUMMYFUNCTION("""COMPUTED_VALUE"""),2008)</f>
        <v>2008</v>
      </c>
      <c r="E3421" s="10" t="str">
        <f ca="1">IFERROR(__xludf.DUMMYFUNCTION("""COMPUTED_VALUE"""),"Proc. of the international conference Computer methods in science and education, 12-14 sept. 2008, Varna, Bulgaria. pp. 71-78, ISBN 978-954-577-569-7")</f>
        <v>Proc. of the international conference Computer methods in science and education, 12-14 sept. 2008, Varna, Bulgaria. pp. 71-78, ISBN 978-954-577-569-7</v>
      </c>
      <c r="F3421" s="10"/>
      <c r="G3421" s="10" t="str">
        <f ca="1">IFERROR(__xludf.DUMMYFUNCTION("""COMPUTED_VALUE"""),"M. Vladimirova")</f>
        <v>M. Vladimirova</v>
      </c>
      <c r="H3421" s="10"/>
      <c r="I3421" s="10"/>
      <c r="J3421" s="10"/>
      <c r="K3421" s="10"/>
      <c r="L3421" s="10"/>
      <c r="M3421" s="10"/>
      <c r="N3421" s="10"/>
      <c r="O3421" s="10"/>
      <c r="P3421" s="10"/>
      <c r="Q3421" s="10"/>
      <c r="R3421" s="10"/>
      <c r="S3421" s="10"/>
      <c r="T3421" s="10"/>
      <c r="U3421" s="10"/>
      <c r="V3421" s="10"/>
      <c r="W3421" s="10"/>
      <c r="X3421" s="10"/>
      <c r="Y3421" s="10"/>
      <c r="Z3421" s="10"/>
    </row>
    <row r="3422" spans="1:26" ht="12.75">
      <c r="A3422" s="10" t="str">
        <f ca="1">IFERROR(__xludf.DUMMYFUNCTION("""COMPUTED_VALUE"""),"Иван Ганчев Гарванов")</f>
        <v>Иван Ганчев Гарванов</v>
      </c>
      <c r="B3422" s="10" t="str">
        <f ca="1">IFERROR(__xludf.DUMMYFUNCTION("""COMPUTED_VALUE"""),"Доклад от конференция")</f>
        <v>Доклад от конференция</v>
      </c>
      <c r="C3422" s="10" t="str">
        <f ca="1">IFERROR(__xludf.DUMMYFUNCTION("""COMPUTED_VALUE"""),"Обединяване на данни в много-сензорни системи за откриване на траектории")</f>
        <v>Обединяване на данни в много-сензорни системи за откриване на траектории</v>
      </c>
      <c r="D3422" s="10">
        <f ca="1">IFERROR(__xludf.DUMMYFUNCTION("""COMPUTED_VALUE"""),2008)</f>
        <v>2008</v>
      </c>
      <c r="E3422" s="10" t="str">
        <f ca="1">IFERROR(__xludf.DUMMYFUNCTION("""COMPUTED_VALUE"""),"Сборник с доклади от национална конференция „Европейската интеграция, Младежта на България и Иновационното и Информационно Общество”, ст.317-323 (ISSN 1313-5589)")</f>
        <v>Сборник с доклади от национална конференция „Европейската интеграция, Младежта на България и Иновационното и Информационно Общество”, ст.317-323 (ISSN 1313-5589)</v>
      </c>
      <c r="F3422" s="10"/>
      <c r="G3422" s="10" t="str">
        <f ca="1">IFERROR(__xludf.DUMMYFUNCTION("""COMPUTED_VALUE"""),"Л. Дуковска, В. Кьовторов, Х. Кабакчиев")</f>
        <v>Л. Дуковска, В. Кьовторов, Х. Кабакчиев</v>
      </c>
      <c r="H3422" s="10"/>
      <c r="I3422" s="10"/>
      <c r="J3422" s="10"/>
      <c r="K3422" s="10"/>
      <c r="L3422" s="10"/>
      <c r="M3422" s="10"/>
      <c r="N3422" s="10"/>
      <c r="O3422" s="10"/>
      <c r="P3422" s="10"/>
      <c r="Q3422" s="10"/>
      <c r="R3422" s="10"/>
      <c r="S3422" s="10"/>
      <c r="T3422" s="10"/>
      <c r="U3422" s="10"/>
      <c r="V3422" s="10"/>
      <c r="W3422" s="10"/>
      <c r="X3422" s="10"/>
      <c r="Y3422" s="10"/>
      <c r="Z3422" s="10"/>
    </row>
    <row r="3423" spans="1:26" ht="12.75">
      <c r="A3423" s="10" t="str">
        <f ca="1">IFERROR(__xludf.DUMMYFUNCTION("""COMPUTED_VALUE"""),"Иван Ганчев Гарванов")</f>
        <v>Иван Ганчев Гарванов</v>
      </c>
      <c r="B3423" s="10" t="str">
        <f ca="1">IFERROR(__xludf.DUMMYFUNCTION("""COMPUTED_VALUE"""),"Доклад от конференция")</f>
        <v>Доклад от конференция</v>
      </c>
      <c r="C3423" s="10" t="str">
        <f ca="1">IFERROR(__xludf.DUMMYFUNCTION("""COMPUTED_VALUE"""),"Improvement in Radar Detection Through Window Processing in the Hough Space")</f>
        <v>Improvement in Radar Detection Through Window Processing in the Hough Space</v>
      </c>
      <c r="D3423" s="10">
        <f ca="1">IFERROR(__xludf.DUMMYFUNCTION("""COMPUTED_VALUE"""),2008)</f>
        <v>2008</v>
      </c>
      <c r="E3423" s="10" t="str">
        <f ca="1">IFERROR(__xludf.DUMMYFUNCTION("""COMPUTED_VALUE"""),"Proc. of the International Radar Symposium – IRS’08, Wroclaw, Poland, pp. 139-144 (ISBN: 978-83-7207-757-8, IEEE Catalog Number: CFP08RAS-PRT)")</f>
        <v>Proc. of the International Radar Symposium – IRS’08, Wroclaw, Poland, pp. 139-144 (ISBN: 978-83-7207-757-8, IEEE Catalog Number: CFP08RAS-PRT)</v>
      </c>
      <c r="F3423" s="10" t="str">
        <f ca="1">IFERROR(__xludf.DUMMYFUNCTION("""COMPUTED_VALUE"""),"Scopus, Web of science, IEEE")</f>
        <v>Scopus, Web of science, IEEE</v>
      </c>
      <c r="G3423" s="10" t="str">
        <f ca="1">IFERROR(__xludf.DUMMYFUNCTION("""COMPUTED_VALUE"""),"C. Kabakchiev, L. Doukovska, V. Kyovtorov, H. Rohling")</f>
        <v>C. Kabakchiev, L. Doukovska, V. Kyovtorov, H. Rohling</v>
      </c>
      <c r="H3423" s="10"/>
      <c r="I3423" s="10"/>
      <c r="J3423" s="10"/>
      <c r="K3423" s="10"/>
      <c r="L3423" s="10"/>
      <c r="M3423" s="10"/>
      <c r="N3423" s="10"/>
      <c r="O3423" s="10"/>
      <c r="P3423" s="10"/>
      <c r="Q3423" s="10"/>
      <c r="R3423" s="10"/>
      <c r="S3423" s="10"/>
      <c r="T3423" s="10"/>
      <c r="U3423" s="10"/>
      <c r="V3423" s="10"/>
      <c r="W3423" s="10"/>
      <c r="X3423" s="10"/>
      <c r="Y3423" s="10"/>
      <c r="Z3423" s="10"/>
    </row>
    <row r="3424" spans="1:26" ht="12.75">
      <c r="A3424" s="10" t="str">
        <f ca="1">IFERROR(__xludf.DUMMYFUNCTION("""COMPUTED_VALUE"""),"Иван Ганчев Гарванов")</f>
        <v>Иван Ганчев Гарванов</v>
      </c>
      <c r="B3424" s="10" t="str">
        <f ca="1">IFERROR(__xludf.DUMMYFUNCTION("""COMPUTED_VALUE"""),"Доклад от конференция")</f>
        <v>Доклад от конференция</v>
      </c>
      <c r="C3424" s="10" t="str">
        <f ca="1">IFERROR(__xludf.DUMMYFUNCTION("""COMPUTED_VALUE"""),"Hough Detector with an OS CFAR Processor in Presence of Randomly Arriving Impulse Interference")</f>
        <v>Hough Detector with an OS CFAR Processor in Presence of Randomly Arriving Impulse Interference</v>
      </c>
      <c r="D3424" s="10">
        <f ca="1">IFERROR(__xludf.DUMMYFUNCTION("""COMPUTED_VALUE"""),2008)</f>
        <v>2008</v>
      </c>
      <c r="E3424" s="10" t="str">
        <f ca="1">IFERROR(__xludf.DUMMYFUNCTION("""COMPUTED_VALUE"""),"Proc. of the 5-th European Radar Conference – EuRAD’08, Amsterdam, Holland, pp.332-335 (ISBN: 978-2-87487-009-5)")</f>
        <v>Proc. of the 5-th European Radar Conference – EuRAD’08, Amsterdam, Holland, pp.332-335 (ISBN: 978-2-87487-009-5)</v>
      </c>
      <c r="F3424" s="10" t="str">
        <f ca="1">IFERROR(__xludf.DUMMYFUNCTION("""COMPUTED_VALUE"""),"Scopus, Web of science, IEEE")</f>
        <v>Scopus, Web of science, IEEE</v>
      </c>
      <c r="G3424" s="10" t="str">
        <f ca="1">IFERROR(__xludf.DUMMYFUNCTION("""COMPUTED_VALUE"""),"Doukovska L., C. Kabakchiev, V. Kyovtorov")</f>
        <v>Doukovska L., C. Kabakchiev, V. Kyovtorov</v>
      </c>
      <c r="H3424" s="10"/>
      <c r="I3424" s="10"/>
      <c r="J3424" s="10"/>
      <c r="K3424" s="10"/>
      <c r="L3424" s="10"/>
      <c r="M3424" s="10"/>
      <c r="N3424" s="10"/>
      <c r="O3424" s="10"/>
      <c r="P3424" s="10"/>
      <c r="Q3424" s="10"/>
      <c r="R3424" s="10"/>
      <c r="S3424" s="10"/>
      <c r="T3424" s="10"/>
      <c r="U3424" s="10"/>
      <c r="V3424" s="10"/>
      <c r="W3424" s="10"/>
      <c r="X3424" s="10"/>
      <c r="Y3424" s="10"/>
      <c r="Z3424" s="10"/>
    </row>
    <row r="3425" spans="1:26" ht="12.75">
      <c r="A3425" s="10" t="str">
        <f ca="1">IFERROR(__xludf.DUMMYFUNCTION("""COMPUTED_VALUE"""),"Иван Ганчев Гарванов")</f>
        <v>Иван Ганчев Гарванов</v>
      </c>
      <c r="B3425" s="10" t="str">
        <f ca="1">IFERROR(__xludf.DUMMYFUNCTION("""COMPUTED_VALUE"""),"Доклад от конференция")</f>
        <v>Доклад от конференция</v>
      </c>
      <c r="C3425" s="10" t="str">
        <f ca="1">IFERROR(__xludf.DUMMYFUNCTION("""COMPUTED_VALUE"""),"Data Association Algorithm in Multiradar System")</f>
        <v>Data Association Algorithm in Multiradar System</v>
      </c>
      <c r="D3425" s="10">
        <f ca="1">IFERROR(__xludf.DUMMYFUNCTION("""COMPUTED_VALUE"""),2008)</f>
        <v>2008</v>
      </c>
      <c r="E3425" s="10" t="str">
        <f ca="1">IFERROR(__xludf.DUMMYFUNCTION("""COMPUTED_VALUE"""),"Proc. of the 2008 IEEE Radar Conference, Rome, Italy, pp. 1771-1774 (ISSN: 1097-5659, ISBN: 1-4244-1593-X, IEEE Catalog N- 08CH37940C)")</f>
        <v>Proc. of the 2008 IEEE Radar Conference, Rome, Italy, pp. 1771-1774 (ISSN: 1097-5659, ISBN: 1-4244-1593-X, IEEE Catalog N- 08CH37940C)</v>
      </c>
      <c r="F3425" s="10" t="str">
        <f ca="1">IFERROR(__xludf.DUMMYFUNCTION("""COMPUTED_VALUE"""),"Scopus, Web of science, IEEE")</f>
        <v>Scopus, Web of science, IEEE</v>
      </c>
      <c r="G3425" s="10" t="str">
        <f ca="1">IFERROR(__xludf.DUMMYFUNCTION("""COMPUTED_VALUE"""),"Kabakchiev C., L. Doukovska, V. Kyovtorov, H. Rohling")</f>
        <v>Kabakchiev C., L. Doukovska, V. Kyovtorov, H. Rohling</v>
      </c>
      <c r="H3425" s="10"/>
      <c r="I3425" s="10"/>
      <c r="J3425" s="10"/>
      <c r="K3425" s="10"/>
      <c r="L3425" s="10"/>
      <c r="M3425" s="10"/>
      <c r="N3425" s="10"/>
      <c r="O3425" s="10"/>
      <c r="P3425" s="10"/>
      <c r="Q3425" s="10"/>
      <c r="R3425" s="10"/>
      <c r="S3425" s="10"/>
      <c r="T3425" s="10"/>
      <c r="U3425" s="10"/>
      <c r="V3425" s="10"/>
      <c r="W3425" s="10"/>
      <c r="X3425" s="10"/>
      <c r="Y3425" s="10"/>
      <c r="Z3425" s="10"/>
    </row>
    <row r="3426" spans="1:26" ht="12.75">
      <c r="A3426" s="10" t="str">
        <f ca="1">IFERROR(__xludf.DUMMYFUNCTION("""COMPUTED_VALUE"""),"Иван Ганчев Гарванов")</f>
        <v>Иван Ганчев Гарванов</v>
      </c>
      <c r="B3426" s="10" t="str">
        <f ca="1">IFERROR(__xludf.DUMMYFUNCTION("""COMPUTED_VALUE"""),"Доклад от конференция")</f>
        <v>Доклад от конференция</v>
      </c>
      <c r="C3426" s="10" t="str">
        <f ca="1">IFERROR(__xludf.DUMMYFUNCTION("""COMPUTED_VALUE"""),"Data Association Algorithm in TBD Multiradar System")</f>
        <v>Data Association Algorithm in TBD Multiradar System</v>
      </c>
      <c r="D3426" s="10">
        <f ca="1">IFERROR(__xludf.DUMMYFUNCTION("""COMPUTED_VALUE"""),2007)</f>
        <v>2007</v>
      </c>
      <c r="E3426" s="10" t="str">
        <f ca="1">IFERROR(__xludf.DUMMYFUNCTION("""COMPUTED_VALUE"""),"Proc. of the International Radar Symposium – IRS’07, Cologne, Germany, pp. 521-525 (ISBN 0885-8985)")</f>
        <v>Proc. of the International Radar Symposium – IRS’07, Cologne, Germany, pp. 521-525 (ISBN 0885-8985)</v>
      </c>
      <c r="F3426" s="10" t="str">
        <f ca="1">IFERROR(__xludf.DUMMYFUNCTION("""COMPUTED_VALUE"""),"Scopus")</f>
        <v>Scopus</v>
      </c>
      <c r="G3426" s="10" t="str">
        <f ca="1">IFERROR(__xludf.DUMMYFUNCTION("""COMPUTED_VALUE"""),"Kabakchiev C., L. Doukovska, V. Kyovtorov, H. Rohling")</f>
        <v>Kabakchiev C., L. Doukovska, V. Kyovtorov, H. Rohling</v>
      </c>
      <c r="H3426" s="10"/>
      <c r="I3426" s="10"/>
      <c r="J3426" s="10"/>
      <c r="K3426" s="10"/>
      <c r="L3426" s="10"/>
      <c r="M3426" s="10"/>
      <c r="N3426" s="10"/>
      <c r="O3426" s="10"/>
      <c r="P3426" s="10"/>
      <c r="Q3426" s="10"/>
      <c r="R3426" s="10"/>
      <c r="S3426" s="10"/>
      <c r="T3426" s="10"/>
      <c r="U3426" s="10"/>
      <c r="V3426" s="10"/>
      <c r="W3426" s="10"/>
      <c r="X3426" s="10"/>
      <c r="Y3426" s="10"/>
      <c r="Z3426" s="10"/>
    </row>
    <row r="3427" spans="1:26" ht="12.75">
      <c r="A3427" s="10" t="str">
        <f ca="1">IFERROR(__xludf.DUMMYFUNCTION("""COMPUTED_VALUE"""),"Иван Ганчев Гарванов")</f>
        <v>Иван Ганчев Гарванов</v>
      </c>
      <c r="B3427" s="10" t="str">
        <f ca="1">IFERROR(__xludf.DUMMYFUNCTION("""COMPUTED_VALUE"""),"Статия в списания и поредици")</f>
        <v>Статия в списания и поредици</v>
      </c>
      <c r="C3427" s="10" t="str">
        <f ca="1">IFERROR(__xludf.DUMMYFUNCTION("""COMPUTED_VALUE"""),"Sensitivity of Track Before Detect Multiradar System Toward the Error Measurements of Target Parameters")</f>
        <v>Sensitivity of Track Before Detect Multiradar System Toward the Error Measurements of Target Parameters</v>
      </c>
      <c r="D3427" s="10">
        <f ca="1">IFERROR(__xludf.DUMMYFUNCTION("""COMPUTED_VALUE"""),2007)</f>
        <v>2007</v>
      </c>
      <c r="E3427" s="10" t="str">
        <f ca="1">IFERROR(__xludf.DUMMYFUNCTION("""COMPUTED_VALUE"""),"Cybernetics and Information Technologies, Volume 8, № 2, pp. 85-92 (ISSN 1311-9702)")</f>
        <v>Cybernetics and Information Technologies, Volume 8, № 2, pp. 85-92 (ISSN 1311-9702)</v>
      </c>
      <c r="F3427" s="10"/>
      <c r="G3427" s="10" t="str">
        <f ca="1">IFERROR(__xludf.DUMMYFUNCTION("""COMPUTED_VALUE"""),"C. Kabakchiev")</f>
        <v>C. Kabakchiev</v>
      </c>
      <c r="H3427" s="10"/>
      <c r="I3427" s="10"/>
      <c r="J3427" s="10"/>
      <c r="K3427" s="10"/>
      <c r="L3427" s="10"/>
      <c r="M3427" s="10"/>
      <c r="N3427" s="10"/>
      <c r="O3427" s="10"/>
      <c r="P3427" s="10"/>
      <c r="Q3427" s="10"/>
      <c r="R3427" s="10"/>
      <c r="S3427" s="10"/>
      <c r="T3427" s="10"/>
      <c r="U3427" s="10"/>
      <c r="V3427" s="10"/>
      <c r="W3427" s="10"/>
      <c r="X3427" s="10"/>
      <c r="Y3427" s="10"/>
      <c r="Z3427" s="10"/>
    </row>
    <row r="3428" spans="1:26" ht="12.75">
      <c r="A3428" s="10" t="str">
        <f ca="1">IFERROR(__xludf.DUMMYFUNCTION("""COMPUTED_VALUE"""),"Иван Ганчев Гарванов")</f>
        <v>Иван Ганчев Гарванов</v>
      </c>
      <c r="B3428" s="10" t="str">
        <f ca="1">IFERROR(__xludf.DUMMYFUNCTION("""COMPUTED_VALUE"""),"Статия в списания и поредици")</f>
        <v>Статия в списания и поредици</v>
      </c>
      <c r="C3428" s="10" t="str">
        <f ca="1">IFERROR(__xludf.DUMMYFUNCTION("""COMPUTED_VALUE"""),"Comparative Analysis Between Hough Detector and CA CFAR Detector in Conditions of pulse Jamming")</f>
        <v>Comparative Analysis Between Hough Detector and CA CFAR Detector in Conditions of pulse Jamming</v>
      </c>
      <c r="D3428" s="10">
        <f ca="1">IFERROR(__xludf.DUMMYFUNCTION("""COMPUTED_VALUE"""),2007)</f>
        <v>2007</v>
      </c>
      <c r="E3428" s="10" t="str">
        <f ca="1">IFERROR(__xludf.DUMMYFUNCTION("""COMPUTED_VALUE"""),"Problems of Engineering Cybernetics and Robotics, vol. 58, pp.41-52 (ISSN 0204-9848)")</f>
        <v>Problems of Engineering Cybernetics and Robotics, vol. 58, pp.41-52 (ISSN 0204-9848)</v>
      </c>
      <c r="F3428" s="10"/>
      <c r="G3428" s="10" t="str">
        <f ca="1">IFERROR(__xludf.DUMMYFUNCTION("""COMPUTED_VALUE"""),"Doukovska L., V. Kyovtorov")</f>
        <v>Doukovska L., V. Kyovtorov</v>
      </c>
      <c r="H3428" s="10"/>
      <c r="I3428" s="10"/>
      <c r="J3428" s="10"/>
      <c r="K3428" s="10"/>
      <c r="L3428" s="10"/>
      <c r="M3428" s="10"/>
      <c r="N3428" s="10"/>
      <c r="O3428" s="10"/>
      <c r="P3428" s="10"/>
      <c r="Q3428" s="10"/>
      <c r="R3428" s="10"/>
      <c r="S3428" s="10"/>
      <c r="T3428" s="10"/>
      <c r="U3428" s="10"/>
      <c r="V3428" s="10"/>
      <c r="W3428" s="10"/>
      <c r="X3428" s="10"/>
      <c r="Y3428" s="10"/>
      <c r="Z3428" s="10"/>
    </row>
    <row r="3429" spans="1:26" ht="12.75">
      <c r="A3429" s="10" t="str">
        <f ca="1">IFERROR(__xludf.DUMMYFUNCTION("""COMPUTED_VALUE"""),"Иван Ганчев Гарванов")</f>
        <v>Иван Ганчев Гарванов</v>
      </c>
      <c r="B3429" s="10" t="str">
        <f ca="1">IFERROR(__xludf.DUMMYFUNCTION("""COMPUTED_VALUE"""),"Статия в списания и поредици")</f>
        <v>Статия в списания и поредици</v>
      </c>
      <c r="C3429" s="10" t="str">
        <f ca="1">IFERROR(__xludf.DUMMYFUNCTION("""COMPUTED_VALUE"""),"Detection Acceleration in Hough Parameter Space by K-stage Detector")</f>
        <v>Detection Acceleration in Hough Parameter Space by K-stage Detector</v>
      </c>
      <c r="D3429" s="10">
        <f ca="1">IFERROR(__xludf.DUMMYFUNCTION("""COMPUTED_VALUE"""),2007)</f>
        <v>2007</v>
      </c>
      <c r="E3429" s="10" t="str">
        <f ca="1">IFERROR(__xludf.DUMMYFUNCTION("""COMPUTED_VALUE"""),"6th International Conference “Numerical Methods and Applications” NM&amp;A-2006, Springer-Verlag Berlin Heidelberg, Lecture Notes in Computer Science, LNCS 4310, pp. 558-565 (ISBN 978-3-540-70940-4)")</f>
        <v>6th International Conference “Numerical Methods and Applications” NM&amp;A-2006, Springer-Verlag Berlin Heidelberg, Lecture Notes in Computer Science, LNCS 4310, pp. 558-565 (ISBN 978-3-540-70940-4)</v>
      </c>
      <c r="F3429" s="10" t="str">
        <f ca="1">IFERROR(__xludf.DUMMYFUNCTION("""COMPUTED_VALUE"""),"Scopus, Web of science")</f>
        <v>Scopus, Web of science</v>
      </c>
      <c r="G3429" s="10" t="str">
        <f ca="1">IFERROR(__xludf.DUMMYFUNCTION("""COMPUTED_VALUE"""),"C. Kabakchiev, H. Rohling")</f>
        <v>C. Kabakchiev, H. Rohling</v>
      </c>
      <c r="H3429" s="10"/>
      <c r="I3429" s="10"/>
      <c r="J3429" s="10"/>
      <c r="K3429" s="10"/>
      <c r="L3429" s="10"/>
      <c r="M3429" s="10"/>
      <c r="N3429" s="10"/>
      <c r="O3429" s="10"/>
      <c r="P3429" s="10"/>
      <c r="Q3429" s="10"/>
      <c r="R3429" s="10"/>
      <c r="S3429" s="10"/>
      <c r="T3429" s="10"/>
      <c r="U3429" s="10"/>
      <c r="V3429" s="10"/>
      <c r="W3429" s="10"/>
      <c r="X3429" s="10"/>
      <c r="Y3429" s="10"/>
      <c r="Z3429" s="10"/>
    </row>
    <row r="3430" spans="1:26" ht="12.75">
      <c r="A3430" s="10" t="str">
        <f ca="1">IFERROR(__xludf.DUMMYFUNCTION("""COMPUTED_VALUE"""),"Иван Ганчев Гарванов")</f>
        <v>Иван Ганчев Гарванов</v>
      </c>
      <c r="B3430" s="10" t="str">
        <f ca="1">IFERROR(__xludf.DUMMYFUNCTION("""COMPUTED_VALUE"""),"Доклад от конференция")</f>
        <v>Доклад от конференция</v>
      </c>
      <c r="C3430" s="10" t="str">
        <f ca="1">IFERROR(__xludf.DUMMYFUNCTION("""COMPUTED_VALUE"""),"Много-сензорно откриване и оценяване на движещи се цели")</f>
        <v>Много-сензорно откриване и оценяване на движещи се цели</v>
      </c>
      <c r="D3430" s="10">
        <f ca="1">IFERROR(__xludf.DUMMYFUNCTION("""COMPUTED_VALUE"""),2007)</f>
        <v>2007</v>
      </c>
      <c r="E3430" s="10" t="str">
        <f ca="1">IFERROR(__xludf.DUMMYFUNCTION("""COMPUTED_VALUE"""),"Национална конференция „Европейската интеграция, Младежта на България и Иновационното и Информационно Общество, с.50-55")</f>
        <v>Национална конференция „Европейската интеграция, Младежта на България и Иновационното и Информационно Общество, с.50-55</v>
      </c>
      <c r="F3430" s="10"/>
      <c r="G3430" s="10" t="str">
        <f ca="1">IFERROR(__xludf.DUMMYFUNCTION("""COMPUTED_VALUE"""),"Кьовторов В., Х. Кабакчиев, Л. Дуковска")</f>
        <v>Кьовторов В., Х. Кабакчиев, Л. Дуковска</v>
      </c>
      <c r="H3430" s="10"/>
      <c r="I3430" s="10"/>
      <c r="J3430" s="10"/>
      <c r="K3430" s="10"/>
      <c r="L3430" s="10"/>
      <c r="M3430" s="10"/>
      <c r="N3430" s="10"/>
      <c r="O3430" s="10"/>
      <c r="P3430" s="10"/>
      <c r="Q3430" s="10"/>
      <c r="R3430" s="10"/>
      <c r="S3430" s="10"/>
      <c r="T3430" s="10"/>
      <c r="U3430" s="10"/>
      <c r="V3430" s="10"/>
      <c r="W3430" s="10"/>
      <c r="X3430" s="10"/>
      <c r="Y3430" s="10"/>
      <c r="Z3430" s="10"/>
    </row>
    <row r="3431" spans="1:26" ht="12.75">
      <c r="A3431" s="10" t="str">
        <f ca="1">IFERROR(__xludf.DUMMYFUNCTION("""COMPUTED_VALUE"""),"Иван Ганчев Гарванов")</f>
        <v>Иван Ганчев Гарванов</v>
      </c>
      <c r="B3431" s="10" t="str">
        <f ca="1">IFERROR(__xludf.DUMMYFUNCTION("""COMPUTED_VALUE"""),"Доклад от конференция")</f>
        <v>Доклад от конференция</v>
      </c>
      <c r="C3431" s="10" t="str">
        <f ca="1">IFERROR(__xludf.DUMMYFUNCTION("""COMPUTED_VALUE"""),"Netted Radar Hough Detector in Randomly Arriving Impulse Interference")</f>
        <v>Netted Radar Hough Detector in Randomly Arriving Impulse Interference</v>
      </c>
      <c r="D3431" s="10">
        <f ca="1">IFERROR(__xludf.DUMMYFUNCTION("""COMPUTED_VALUE"""),2007)</f>
        <v>2007</v>
      </c>
      <c r="E3431" s="10" t="str">
        <f ca="1">IFERROR(__xludf.DUMMYFUNCTION("""COMPUTED_VALUE"""),"Proc. of the IET International Conference on Radar Systems, RADAR 2007, 5 pp., ISBN: 978-0-86341-848-8, ISSN: 0537-9989, DOI: 10.1049/cp:20070610")</f>
        <v>Proc. of the IET International Conference on Radar Systems, RADAR 2007, 5 pp., ISBN: 978-0-86341-848-8, ISSN: 0537-9989, DOI: 10.1049/cp:20070610</v>
      </c>
      <c r="F3431" s="10" t="str">
        <f ca="1">IFERROR(__xludf.DUMMYFUNCTION("""COMPUTED_VALUE"""),"Scopus, IEEE")</f>
        <v>Scopus, IEEE</v>
      </c>
      <c r="G3431" s="10" t="str">
        <f ca="1">IFERROR(__xludf.DUMMYFUNCTION("""COMPUTED_VALUE"""),"Kabakchiev C., H. Rohling")</f>
        <v>Kabakchiev C., H. Rohling</v>
      </c>
      <c r="H3431" s="10"/>
      <c r="I3431" s="10"/>
      <c r="J3431" s="10"/>
      <c r="K3431" s="10"/>
      <c r="L3431" s="10"/>
      <c r="M3431" s="10"/>
      <c r="N3431" s="10"/>
      <c r="O3431" s="10"/>
      <c r="P3431" s="10"/>
      <c r="Q3431" s="10"/>
      <c r="R3431" s="10"/>
      <c r="S3431" s="10"/>
      <c r="T3431" s="10"/>
      <c r="U3431" s="10"/>
      <c r="V3431" s="10"/>
      <c r="W3431" s="10"/>
      <c r="X3431" s="10"/>
      <c r="Y3431" s="10"/>
      <c r="Z3431" s="10"/>
    </row>
    <row r="3432" spans="1:26" ht="12.75">
      <c r="A3432" s="10" t="str">
        <f ca="1">IFERROR(__xludf.DUMMYFUNCTION("""COMPUTED_VALUE"""),"Иван Ганчев Гарванов")</f>
        <v>Иван Ганчев Гарванов</v>
      </c>
      <c r="B3432" s="10" t="str">
        <f ca="1">IFERROR(__xludf.DUMMYFUNCTION("""COMPUTED_VALUE"""),"Глава от колективна монография")</f>
        <v>Глава от колективна монография</v>
      </c>
      <c r="C3432" s="10" t="str">
        <f ca="1">IFERROR(__xludf.DUMMYFUNCTION("""COMPUTED_VALUE"""),"Secondary Application Wireless Technologies Increasing the Information Potential for Defense Against Terrorism")</f>
        <v>Secondary Application Wireless Technologies Increasing the Information Potential for Defense Against Terrorism</v>
      </c>
      <c r="D3432" s="10">
        <f ca="1">IFERROR(__xludf.DUMMYFUNCTION("""COMPUTED_VALUE"""),2007)</f>
        <v>2007</v>
      </c>
      <c r="E3432" s="10" t="str">
        <f ca="1">IFERROR(__xludf.DUMMYFUNCTION("""COMPUTED_VALUE"""),"Chapter of the book “Advances and Challenges in Mulitsensor Data and Information Processing”, NATO Security though Science Series: Information and Communication Security , (ISBN: 978-1-58603-727-7), IOS press Inc., vol. 8, pp. 236-242")</f>
        <v>Chapter of the book “Advances and Challenges in Mulitsensor Data and Information Processing”, NATO Security though Science Series: Information and Communication Security , (ISBN: 978-1-58603-727-7), IOS press Inc., vol. 8, pp. 236-242</v>
      </c>
      <c r="F3432" s="10"/>
      <c r="G3432" s="10" t="str">
        <f ca="1">IFERROR(__xludf.DUMMYFUNCTION("""COMPUTED_VALUE"""),"Kabakchiev C., V. Kyovtorov")</f>
        <v>Kabakchiev C., V. Kyovtorov</v>
      </c>
      <c r="H3432" s="10"/>
      <c r="I3432" s="10"/>
      <c r="J3432" s="10"/>
      <c r="K3432" s="10"/>
      <c r="L3432" s="10"/>
      <c r="M3432" s="10"/>
      <c r="N3432" s="10"/>
      <c r="O3432" s="10"/>
      <c r="P3432" s="10"/>
      <c r="Q3432" s="10"/>
      <c r="R3432" s="10"/>
      <c r="S3432" s="10"/>
      <c r="T3432" s="10"/>
      <c r="U3432" s="10"/>
      <c r="V3432" s="10"/>
      <c r="W3432" s="10"/>
      <c r="X3432" s="10"/>
      <c r="Y3432" s="10"/>
      <c r="Z3432" s="10"/>
    </row>
    <row r="3433" spans="1:26" ht="12.75">
      <c r="A3433" s="10" t="str">
        <f ca="1">IFERROR(__xludf.DUMMYFUNCTION("""COMPUTED_VALUE"""),"Иван Ганчев Гарванов")</f>
        <v>Иван Ганчев Гарванов</v>
      </c>
      <c r="B3433" s="10" t="str">
        <f ca="1">IFERROR(__xludf.DUMMYFUNCTION("""COMPUTED_VALUE"""),"Доклад от конференция")</f>
        <v>Доклад от конференция</v>
      </c>
      <c r="C3433" s="10" t="str">
        <f ca="1">IFERROR(__xludf.DUMMYFUNCTION("""COMPUTED_VALUE"""),"Съвременни алгоритми за съвместно откриване на движещи се цели и траекторията им в условията на интензивни импулсни смущения")</f>
        <v>Съвременни алгоритми за съвместно откриване на движещи се цели и траекторията им в условията на интензивни импулсни смущения</v>
      </c>
      <c r="D3433" s="10">
        <f ca="1">IFERROR(__xludf.DUMMYFUNCTION("""COMPUTED_VALUE"""),2007)</f>
        <v>2007</v>
      </c>
      <c r="E3433" s="10" t="str">
        <f ca="1">IFERROR(__xludf.DUMMYFUNCTION("""COMPUTED_VALUE"""),"Национална конференция „Европейската интеграция, Младежта на България и Иновационното и Информационно Общество”, с.103-108")</f>
        <v>Национална конференция „Европейската интеграция, Младежта на България и Иновационното и Информационно Общество”, с.103-108</v>
      </c>
      <c r="F3433" s="10"/>
      <c r="G3433" s="10" t="str">
        <f ca="1">IFERROR(__xludf.DUMMYFUNCTION("""COMPUTED_VALUE"""),"Дуковска Л., Х. Кабакчиев, В. Кьовторов")</f>
        <v>Дуковска Л., Х. Кабакчиев, В. Кьовторов</v>
      </c>
      <c r="H3433" s="10"/>
      <c r="I3433" s="10"/>
      <c r="J3433" s="10"/>
      <c r="K3433" s="10"/>
      <c r="L3433" s="10"/>
      <c r="M3433" s="10"/>
      <c r="N3433" s="10"/>
      <c r="O3433" s="10"/>
      <c r="P3433" s="10"/>
      <c r="Q3433" s="10"/>
      <c r="R3433" s="10"/>
      <c r="S3433" s="10"/>
      <c r="T3433" s="10"/>
      <c r="U3433" s="10"/>
      <c r="V3433" s="10"/>
      <c r="W3433" s="10"/>
      <c r="X3433" s="10"/>
      <c r="Y3433" s="10"/>
      <c r="Z3433" s="10"/>
    </row>
    <row r="3434" spans="1:26" ht="12.75">
      <c r="A3434" s="10" t="str">
        <f ca="1">IFERROR(__xludf.DUMMYFUNCTION("""COMPUTED_VALUE"""),"Иван Ганчев Гарванов")</f>
        <v>Иван Ганчев Гарванов</v>
      </c>
      <c r="B3434" s="10" t="str">
        <f ca="1">IFERROR(__xludf.DUMMYFUNCTION("""COMPUTED_VALUE"""),"Доклад от конференция")</f>
        <v>Доклад от конференция</v>
      </c>
      <c r="C3434" s="10" t="str">
        <f ca="1">IFERROR(__xludf.DUMMYFUNCTION("""COMPUTED_VALUE"""),"Comparison Between Two Multi-Sensor Fusion Techniques for Target Height Finding")</f>
        <v>Comparison Between Two Multi-Sensor Fusion Techniques for Target Height Finding</v>
      </c>
      <c r="D3434" s="10">
        <f ca="1">IFERROR(__xludf.DUMMYFUNCTION("""COMPUTED_VALUE"""),2007)</f>
        <v>2007</v>
      </c>
      <c r="E3434" s="10" t="str">
        <f ca="1">IFERROR(__xludf.DUMMYFUNCTION("""COMPUTED_VALUE"""),"Proc. of the International Radar Symposium – IRS’07, Cologne, Germany, pp. 809-813 (ISBN 0885-8985)")</f>
        <v>Proc. of the International Radar Symposium – IRS’07, Cologne, Germany, pp. 809-813 (ISBN 0885-8985)</v>
      </c>
      <c r="F3434" s="10" t="str">
        <f ca="1">IFERROR(__xludf.DUMMYFUNCTION("""COMPUTED_VALUE"""),"Scopus")</f>
        <v>Scopus</v>
      </c>
      <c r="G3434" s="10" t="str">
        <f ca="1">IFERROR(__xludf.DUMMYFUNCTION("""COMPUTED_VALUE"""),"Kabakchiev C., L. Doukovska, V. Kyovtorov")</f>
        <v>Kabakchiev C., L. Doukovska, V. Kyovtorov</v>
      </c>
      <c r="H3434" s="10"/>
      <c r="I3434" s="10"/>
      <c r="J3434" s="10"/>
      <c r="K3434" s="10"/>
      <c r="L3434" s="10"/>
      <c r="M3434" s="10"/>
      <c r="N3434" s="10"/>
      <c r="O3434" s="10"/>
      <c r="P3434" s="10"/>
      <c r="Q3434" s="10"/>
      <c r="R3434" s="10"/>
      <c r="S3434" s="10"/>
      <c r="T3434" s="10"/>
      <c r="U3434" s="10"/>
      <c r="V3434" s="10"/>
      <c r="W3434" s="10"/>
      <c r="X3434" s="10"/>
      <c r="Y3434" s="10"/>
      <c r="Z3434" s="10"/>
    </row>
    <row r="3435" spans="1:26" ht="12.75">
      <c r="A3435" s="10" t="str">
        <f ca="1">IFERROR(__xludf.DUMMYFUNCTION("""COMPUTED_VALUE"""),"Иван Ганчев Гарванов")</f>
        <v>Иван Ганчев Гарванов</v>
      </c>
      <c r="B3435" s="10" t="str">
        <f ca="1">IFERROR(__xludf.DUMMYFUNCTION("""COMPUTED_VALUE"""),"Статия в списания и поредици")</f>
        <v>Статия в списания и поредици</v>
      </c>
      <c r="C3435" s="10" t="str">
        <f ca="1">IFERROR(__xludf.DUMMYFUNCTION("""COMPUTED_VALUE"""),"Radar Detection and Track in Presence of Impulse Interference by using the Polar Hough Transform")</f>
        <v>Radar Detection and Track in Presence of Impulse Interference by using the Polar Hough Transform</v>
      </c>
      <c r="D3435" s="10">
        <f ca="1">IFERROR(__xludf.DUMMYFUNCTION("""COMPUTED_VALUE"""),2007)</f>
        <v>2007</v>
      </c>
      <c r="E3435" s="10" t="str">
        <f ca="1">IFERROR(__xludf.DUMMYFUNCTION("""COMPUTED_VALUE"""),"Journal of the European Microwave Association, Vol. 3, March 2007, pp. 170-175 (ISBN 88-8492-324-7)")</f>
        <v>Journal of the European Microwave Association, Vol. 3, March 2007, pp. 170-175 (ISBN 88-8492-324-7)</v>
      </c>
      <c r="F3435" s="10"/>
      <c r="G3435" s="10" t="str">
        <f ca="1">IFERROR(__xludf.DUMMYFUNCTION("""COMPUTED_VALUE"""),"C. Kabakchiev")</f>
        <v>C. Kabakchiev</v>
      </c>
      <c r="H3435" s="10"/>
      <c r="I3435" s="10"/>
      <c r="J3435" s="10"/>
      <c r="K3435" s="10"/>
      <c r="L3435" s="10"/>
      <c r="M3435" s="10"/>
      <c r="N3435" s="10"/>
      <c r="O3435" s="10"/>
      <c r="P3435" s="10"/>
      <c r="Q3435" s="10"/>
      <c r="R3435" s="10"/>
      <c r="S3435" s="10"/>
      <c r="T3435" s="10"/>
      <c r="U3435" s="10"/>
      <c r="V3435" s="10"/>
      <c r="W3435" s="10"/>
      <c r="X3435" s="10"/>
      <c r="Y3435" s="10"/>
      <c r="Z3435" s="10"/>
    </row>
    <row r="3436" spans="1:26" ht="12.75">
      <c r="A3436" s="10" t="str">
        <f ca="1">IFERROR(__xludf.DUMMYFUNCTION("""COMPUTED_VALUE"""),"Иван Ганчев Гарванов")</f>
        <v>Иван Ганчев Гарванов</v>
      </c>
      <c r="B3436" s="10" t="str">
        <f ca="1">IFERROR(__xludf.DUMMYFUNCTION("""COMPUTED_VALUE"""),"Доклад от конференция")</f>
        <v>Доклад от конференция</v>
      </c>
      <c r="C3436" s="10" t="str">
        <f ca="1">IFERROR(__xludf.DUMMYFUNCTION("""COMPUTED_VALUE"""),"Rank CFAR Detector in Presence of Randomly Arriving Impulse Interference")</f>
        <v>Rank CFAR Detector in Presence of Randomly Arriving Impulse Interference</v>
      </c>
      <c r="D3436" s="10">
        <f ca="1">IFERROR(__xludf.DUMMYFUNCTION("""COMPUTED_VALUE"""),2006)</f>
        <v>2006</v>
      </c>
      <c r="E3436" s="10" t="str">
        <f ca="1">IFERROR(__xludf.DUMMYFUNCTION("""COMPUTED_VALUE"""),"Proc. of CIE International Conference on Radar – RADAR 2006, Shanghai, China, pp. 220-223 (ISSN_ISBN 978-0-7803-9582-4)")</f>
        <v>Proc. of CIE International Conference on Radar – RADAR 2006, Shanghai, China, pp. 220-223 (ISSN_ISBN 978-0-7803-9582-4)</v>
      </c>
      <c r="F3436" s="10" t="str">
        <f ca="1">IFERROR(__xludf.DUMMYFUNCTION("""COMPUTED_VALUE"""),"Scopus, Web of science, IEEE")</f>
        <v>Scopus, Web of science, IEEE</v>
      </c>
      <c r="G3436" s="10" t="str">
        <f ca="1">IFERROR(__xludf.DUMMYFUNCTION("""COMPUTED_VALUE"""),"C. Kabakchiev, P. Daskalov, S. Babalov")</f>
        <v>C. Kabakchiev, P. Daskalov, S. Babalov</v>
      </c>
      <c r="H3436" s="10"/>
      <c r="I3436" s="10"/>
      <c r="J3436" s="10"/>
      <c r="K3436" s="10"/>
      <c r="L3436" s="10"/>
      <c r="M3436" s="10"/>
      <c r="N3436" s="10"/>
      <c r="O3436" s="10"/>
      <c r="P3436" s="10"/>
      <c r="Q3436" s="10"/>
      <c r="R3436" s="10"/>
      <c r="S3436" s="10"/>
      <c r="T3436" s="10"/>
      <c r="U3436" s="10"/>
      <c r="V3436" s="10"/>
      <c r="W3436" s="10"/>
      <c r="X3436" s="10"/>
      <c r="Y3436" s="10"/>
      <c r="Z3436" s="10"/>
    </row>
    <row r="3437" spans="1:26" ht="12.75">
      <c r="A3437" s="10" t="str">
        <f ca="1">IFERROR(__xludf.DUMMYFUNCTION("""COMPUTED_VALUE"""),"Иван Ганчев Гарванов")</f>
        <v>Иван Ганчев Гарванов</v>
      </c>
      <c r="B3437" s="10" t="str">
        <f ca="1">IFERROR(__xludf.DUMMYFUNCTION("""COMPUTED_VALUE"""),"Доклад от конференция")</f>
        <v>Доклад от конференция</v>
      </c>
      <c r="C3437" s="10" t="str">
        <f ca="1">IFERROR(__xludf.DUMMYFUNCTION("""COMPUTED_VALUE"""),"Error of land objects coordinates estimation using Secondary Applications for Wireless Technology")</f>
        <v>Error of land objects coordinates estimation using Secondary Applications for Wireless Technology</v>
      </c>
      <c r="D3437" s="10">
        <f ca="1">IFERROR(__xludf.DUMMYFUNCTION("""COMPUTED_VALUE"""),2006)</f>
        <v>2006</v>
      </c>
      <c r="E3437" s="10" t="str">
        <f ca="1">IFERROR(__xludf.DUMMYFUNCTION("""COMPUTED_VALUE"""),"Proc. of International Workshop Distributed Computer and Communication Networks – DCCN 2006, Sofia, Bulgaria, pp.48-53 (ISBN 5-85638-111-4)")</f>
        <v>Proc. of International Workshop Distributed Computer and Communication Networks – DCCN 2006, Sofia, Bulgaria, pp.48-53 (ISBN 5-85638-111-4)</v>
      </c>
      <c r="F3437" s="10"/>
      <c r="G3437" s="10" t="str">
        <f ca="1">IFERROR(__xludf.DUMMYFUNCTION("""COMPUTED_VALUE"""),"Kabakchiev C., V. Kyovtorov")</f>
        <v>Kabakchiev C., V. Kyovtorov</v>
      </c>
      <c r="H3437" s="10"/>
      <c r="I3437" s="10"/>
      <c r="J3437" s="10"/>
      <c r="K3437" s="10"/>
      <c r="L3437" s="10"/>
      <c r="M3437" s="10"/>
      <c r="N3437" s="10"/>
      <c r="O3437" s="10"/>
      <c r="P3437" s="10"/>
      <c r="Q3437" s="10"/>
      <c r="R3437" s="10"/>
      <c r="S3437" s="10"/>
      <c r="T3437" s="10"/>
      <c r="U3437" s="10"/>
      <c r="V3437" s="10"/>
      <c r="W3437" s="10"/>
      <c r="X3437" s="10"/>
      <c r="Y3437" s="10"/>
      <c r="Z3437" s="10"/>
    </row>
    <row r="3438" spans="1:26" ht="12.75">
      <c r="A3438" s="10" t="str">
        <f ca="1">IFERROR(__xludf.DUMMYFUNCTION("""COMPUTED_VALUE"""),"Иван Ганчев Гарванов")</f>
        <v>Иван Ганчев Гарванов</v>
      </c>
      <c r="B3438" s="10" t="str">
        <f ca="1">IFERROR(__xludf.DUMMYFUNCTION("""COMPUTED_VALUE"""),"Статия в списания и поредици")</f>
        <v>Статия в списания и поредици</v>
      </c>
      <c r="C3438" s="10" t="str">
        <f ca="1">IFERROR(__xludf.DUMMYFUNCTION("""COMPUTED_VALUE"""),"Systolic Architecture for Adaptive Censoring CFAR PI Detector")</f>
        <v>Systolic Architecture for Adaptive Censoring CFAR PI Detector</v>
      </c>
      <c r="D3438" s="10">
        <f ca="1">IFERROR(__xludf.DUMMYFUNCTION("""COMPUTED_VALUE"""),2006)</f>
        <v>2006</v>
      </c>
      <c r="E3438" s="10" t="str">
        <f ca="1">IFERROR(__xludf.DUMMYFUNCTION("""COMPUTED_VALUE"""),"5th International Conference “Large-Scale Scientific Computing”, LSSC-2005, Springer Verlag Berlin Heidelberg, Lecture Notes in Computer Science LNCS 3743, pp. 655-662 (ISBN 978-3-540-31994-8)")</f>
        <v>5th International Conference “Large-Scale Scientific Computing”, LSSC-2005, Springer Verlag Berlin Heidelberg, Lecture Notes in Computer Science LNCS 3743, pp. 655-662 (ISBN 978-3-540-31994-8)</v>
      </c>
      <c r="F3438" s="10" t="str">
        <f ca="1">IFERROR(__xludf.DUMMYFUNCTION("""COMPUTED_VALUE"""),"Scopus, Web of science")</f>
        <v>Scopus, Web of science</v>
      </c>
      <c r="G3438" s="10" t="str">
        <f ca="1">IFERROR(__xludf.DUMMYFUNCTION("""COMPUTED_VALUE"""),"C. Kabakchiev, P. Daskalov")</f>
        <v>C. Kabakchiev, P. Daskalov</v>
      </c>
      <c r="H3438" s="10"/>
      <c r="I3438" s="10"/>
      <c r="J3438" s="10"/>
      <c r="K3438" s="10"/>
      <c r="L3438" s="10"/>
      <c r="M3438" s="10"/>
      <c r="N3438" s="10"/>
      <c r="O3438" s="10"/>
      <c r="P3438" s="10"/>
      <c r="Q3438" s="10"/>
      <c r="R3438" s="10"/>
      <c r="S3438" s="10"/>
      <c r="T3438" s="10"/>
      <c r="U3438" s="10"/>
      <c r="V3438" s="10"/>
      <c r="W3438" s="10"/>
      <c r="X3438" s="10"/>
      <c r="Y3438" s="10"/>
      <c r="Z3438" s="10"/>
    </row>
    <row r="3439" spans="1:26" ht="12.75">
      <c r="A3439" s="10" t="str">
        <f ca="1">IFERROR(__xludf.DUMMYFUNCTION("""COMPUTED_VALUE"""),"Иван Ганчев Гарванов")</f>
        <v>Иван Ганчев Гарванов</v>
      </c>
      <c r="B3439" s="10" t="str">
        <f ca="1">IFERROR(__xludf.DUMMYFUNCTION("""COMPUTED_VALUE"""),"Доклад от конференция")</f>
        <v>Доклад от конференция</v>
      </c>
      <c r="C3439" s="10" t="str">
        <f ca="1">IFERROR(__xludf.DUMMYFUNCTION("""COMPUTED_VALUE"""),"Radar Detection and Track Determination with a Transform Analogous to the Hough Transform")</f>
        <v>Radar Detection and Track Determination with a Transform Analogous to the Hough Transform</v>
      </c>
      <c r="D3439" s="10">
        <f ca="1">IFERROR(__xludf.DUMMYFUNCTION("""COMPUTED_VALUE"""),2006)</f>
        <v>2006</v>
      </c>
      <c r="E3439" s="10" t="str">
        <f ca="1">IFERROR(__xludf.DUMMYFUNCTION("""COMPUTED_VALUE"""),"Proc. of International Radar Symposium – IRS 2006, Krakow, Poland, 24-26 May, 2006, pp. 121-124 (ISBN: 83-7207-621-9, IEEE Catalog Number: 06EX1284)")</f>
        <v>Proc. of International Radar Symposium – IRS 2006, Krakow, Poland, 24-26 May, 2006, pp. 121-124 (ISBN: 83-7207-621-9, IEEE Catalog Number: 06EX1284)</v>
      </c>
      <c r="F3439" s="10" t="str">
        <f ca="1">IFERROR(__xludf.DUMMYFUNCTION("""COMPUTED_VALUE"""),"IEEE")</f>
        <v>IEEE</v>
      </c>
      <c r="G3439" s="10" t="str">
        <f ca="1">IFERROR(__xludf.DUMMYFUNCTION("""COMPUTED_VALUE"""),"C. Kabakchiev")</f>
        <v>C. Kabakchiev</v>
      </c>
      <c r="H3439" s="10"/>
      <c r="I3439" s="10"/>
      <c r="J3439" s="10"/>
      <c r="K3439" s="10"/>
      <c r="L3439" s="10"/>
      <c r="M3439" s="10"/>
      <c r="N3439" s="10"/>
      <c r="O3439" s="10"/>
      <c r="P3439" s="10"/>
      <c r="Q3439" s="10"/>
      <c r="R3439" s="10"/>
      <c r="S3439" s="10"/>
      <c r="T3439" s="10"/>
      <c r="U3439" s="10"/>
      <c r="V3439" s="10"/>
      <c r="W3439" s="10"/>
      <c r="X3439" s="10"/>
      <c r="Y3439" s="10"/>
      <c r="Z3439" s="10"/>
    </row>
    <row r="3440" spans="1:26" ht="12.75">
      <c r="A3440" s="10" t="str">
        <f ca="1">IFERROR(__xludf.DUMMYFUNCTION("""COMPUTED_VALUE"""),"Иван Ганчев Гарванов")</f>
        <v>Иван Ганчев Гарванов</v>
      </c>
      <c r="B3440" s="10" t="str">
        <f ca="1">IFERROR(__xludf.DUMMYFUNCTION("""COMPUTED_VALUE"""),"Статия в списания и поредици")</f>
        <v>Статия в списания и поредици</v>
      </c>
      <c r="C3440" s="10" t="str">
        <f ca="1">IFERROR(__xludf.DUMMYFUNCTION("""COMPUTED_VALUE"""),"Cell Averaging Constant False Alarm Rate Detector with Hough Transform in Randomly Arriving Impulse Interference")</f>
        <v>Cell Averaging Constant False Alarm Rate Detector with Hough Transform in Randomly Arriving Impulse Interference</v>
      </c>
      <c r="D3440" s="10">
        <f ca="1">IFERROR(__xludf.DUMMYFUNCTION("""COMPUTED_VALUE"""),2006)</f>
        <v>2006</v>
      </c>
      <c r="E3440" s="10" t="str">
        <f ca="1">IFERROR(__xludf.DUMMYFUNCTION("""COMPUTED_VALUE"""),"Cybernetics and Information Technologies, Volume 6, № 1, pp. 83-89 (ISSN 1311-9702)")</f>
        <v>Cybernetics and Information Technologies, Volume 6, № 1, pp. 83-89 (ISSN 1311-9702)</v>
      </c>
      <c r="F3440" s="10"/>
      <c r="G3440" s="10" t="str">
        <f ca="1">IFERROR(__xludf.DUMMYFUNCTION("""COMPUTED_VALUE"""),"Kabakchiev C., L. Doukovska")</f>
        <v>Kabakchiev C., L. Doukovska</v>
      </c>
      <c r="H3440" s="10"/>
      <c r="I3440" s="10"/>
      <c r="J3440" s="10"/>
      <c r="K3440" s="10"/>
      <c r="L3440" s="10"/>
      <c r="M3440" s="10"/>
      <c r="N3440" s="10"/>
      <c r="O3440" s="10"/>
      <c r="P3440" s="10"/>
      <c r="Q3440" s="10"/>
      <c r="R3440" s="10"/>
      <c r="S3440" s="10"/>
      <c r="T3440" s="10"/>
      <c r="U3440" s="10"/>
      <c r="V3440" s="10"/>
      <c r="W3440" s="10"/>
      <c r="X3440" s="10"/>
      <c r="Y3440" s="10"/>
      <c r="Z3440" s="10"/>
    </row>
    <row r="3441" spans="1:26" ht="12.75">
      <c r="A3441" s="10" t="str">
        <f ca="1">IFERROR(__xludf.DUMMYFUNCTION("""COMPUTED_VALUE"""),"Иван Ганчев Гарванов")</f>
        <v>Иван Ганчев Гарванов</v>
      </c>
      <c r="B3441" s="10" t="str">
        <f ca="1">IFERROR(__xludf.DUMMYFUNCTION("""COMPUTED_VALUE"""),"Статия в списания и поредици")</f>
        <v>Статия в списания и поредици</v>
      </c>
      <c r="C3441" s="10" t="str">
        <f ca="1">IFERROR(__xludf.DUMMYFUNCTION("""COMPUTED_VALUE"""),"Height Target Estimation in a Three Positioned Radar System")</f>
        <v>Height Target Estimation in a Three Positioned Radar System</v>
      </c>
      <c r="D3441" s="10">
        <f ca="1">IFERROR(__xludf.DUMMYFUNCTION("""COMPUTED_VALUE"""),2005)</f>
        <v>2005</v>
      </c>
      <c r="E3441" s="10" t="str">
        <f ca="1">IFERROR(__xludf.DUMMYFUNCTION("""COMPUTED_VALUE"""),"Cybernetics and Information Technologies, Volume 5, № 2, pp. 108-116 (ISSN 1311-9702)")</f>
        <v>Cybernetics and Information Technologies, Volume 5, № 2, pp. 108-116 (ISSN 1311-9702)</v>
      </c>
      <c r="F3441" s="10"/>
      <c r="G3441" s="10" t="str">
        <f ca="1">IFERROR(__xludf.DUMMYFUNCTION("""COMPUTED_VALUE"""),"Kabakchiev C., V. Kyovtorov")</f>
        <v>Kabakchiev C., V. Kyovtorov</v>
      </c>
      <c r="H3441" s="10"/>
      <c r="I3441" s="10"/>
      <c r="J3441" s="10"/>
      <c r="K3441" s="10"/>
      <c r="L3441" s="10"/>
      <c r="M3441" s="10"/>
      <c r="N3441" s="10"/>
      <c r="O3441" s="10"/>
      <c r="P3441" s="10"/>
      <c r="Q3441" s="10"/>
      <c r="R3441" s="10"/>
      <c r="S3441" s="10"/>
      <c r="T3441" s="10"/>
      <c r="U3441" s="10"/>
      <c r="V3441" s="10"/>
      <c r="W3441" s="10"/>
      <c r="X3441" s="10"/>
      <c r="Y3441" s="10"/>
      <c r="Z3441" s="10"/>
    </row>
    <row r="3442" spans="1:26" ht="12.75">
      <c r="A3442" s="10" t="str">
        <f ca="1">IFERROR(__xludf.DUMMYFUNCTION("""COMPUTED_VALUE"""),"Иван Ганчев Гарванов")</f>
        <v>Иван Ганчев Гарванов</v>
      </c>
      <c r="B3442" s="10" t="str">
        <f ca="1">IFERROR(__xludf.DUMMYFUNCTION("""COMPUTED_VALUE"""),"Статия в списания и поредици")</f>
        <v>Статия в списания и поредици</v>
      </c>
      <c r="C3442" s="10" t="str">
        <f ca="1">IFERROR(__xludf.DUMMYFUNCTION("""COMPUTED_VALUE"""),"Adaptive Censoring CFAR PI Detector with Hough Transform in Randomly Arriving Impulse Interference")</f>
        <v>Adaptive Censoring CFAR PI Detector with Hough Transform in Randomly Arriving Impulse Interference</v>
      </c>
      <c r="D3442" s="10">
        <f ca="1">IFERROR(__xludf.DUMMYFUNCTION("""COMPUTED_VALUE"""),2005)</f>
        <v>2005</v>
      </c>
      <c r="E3442" s="10" t="str">
        <f ca="1">IFERROR(__xludf.DUMMYFUNCTION("""COMPUTED_VALUE"""),"Cybernetics and Information Technologies, Volume 5, № 1, pp. 115-125 (ISSN 1311-9702)")</f>
        <v>Cybernetics and Information Technologies, Volume 5, № 1, pp. 115-125 (ISSN 1311-9702)</v>
      </c>
      <c r="F3442" s="10"/>
      <c r="G3442" s="10" t="str">
        <f ca="1">IFERROR(__xludf.DUMMYFUNCTION("""COMPUTED_VALUE"""),"Kabakchiev C., L. Doukovska")</f>
        <v>Kabakchiev C., L. Doukovska</v>
      </c>
      <c r="H3442" s="10"/>
      <c r="I3442" s="10"/>
      <c r="J3442" s="10"/>
      <c r="K3442" s="10"/>
      <c r="L3442" s="10"/>
      <c r="M3442" s="10"/>
      <c r="N3442" s="10"/>
      <c r="O3442" s="10"/>
      <c r="P3442" s="10"/>
      <c r="Q3442" s="10"/>
      <c r="R3442" s="10"/>
      <c r="S3442" s="10"/>
      <c r="T3442" s="10"/>
      <c r="U3442" s="10"/>
      <c r="V3442" s="10"/>
      <c r="W3442" s="10"/>
      <c r="X3442" s="10"/>
      <c r="Y3442" s="10"/>
      <c r="Z3442" s="10"/>
    </row>
    <row r="3443" spans="1:26" ht="12.75">
      <c r="A3443" s="10" t="str">
        <f ca="1">IFERROR(__xludf.DUMMYFUNCTION("""COMPUTED_VALUE"""),"Иван Ганчев Гарванов")</f>
        <v>Иван Ганчев Гарванов</v>
      </c>
      <c r="B3443" s="10" t="str">
        <f ca="1">IFERROR(__xludf.DUMMYFUNCTION("""COMPUTED_VALUE"""),"Статия в списания и поредици")</f>
        <v>Статия в списания и поредици</v>
      </c>
      <c r="C3443" s="10" t="str">
        <f ca="1">IFERROR(__xludf.DUMMYFUNCTION("""COMPUTED_VALUE"""),"Hough Radar Detectors in Conditions of Intensive Pulse Jamming")</f>
        <v>Hough Radar Detectors in Conditions of Intensive Pulse Jamming</v>
      </c>
      <c r="D3443" s="10">
        <f ca="1">IFERROR(__xludf.DUMMYFUNCTION("""COMPUTED_VALUE"""),2005)</f>
        <v>2005</v>
      </c>
      <c r="E3443" s="10" t="str">
        <f ca="1">IFERROR(__xludf.DUMMYFUNCTION("""COMPUTED_VALUE"""),"Sensors &amp; Transducers Magazine (S&amp;T e-Digest), Special Issue, pp. 381-389 (ISSN: 1726-5479)")</f>
        <v>Sensors &amp; Transducers Magazine (S&amp;T e-Digest), Special Issue, pp. 381-389 (ISSN: 1726-5479)</v>
      </c>
      <c r="F3443" s="10"/>
      <c r="G3443" s="10" t="str">
        <f ca="1">IFERROR(__xludf.DUMMYFUNCTION("""COMPUTED_VALUE"""),"Kabakchiev C., L. Doukovska")</f>
        <v>Kabakchiev C., L. Doukovska</v>
      </c>
      <c r="H3443" s="10"/>
      <c r="I3443" s="10"/>
      <c r="J3443" s="10"/>
      <c r="K3443" s="10"/>
      <c r="L3443" s="10"/>
      <c r="M3443" s="10"/>
      <c r="N3443" s="10"/>
      <c r="O3443" s="10"/>
      <c r="P3443" s="10"/>
      <c r="Q3443" s="10"/>
      <c r="R3443" s="10"/>
      <c r="S3443" s="10"/>
      <c r="T3443" s="10"/>
      <c r="U3443" s="10"/>
      <c r="V3443" s="10"/>
      <c r="W3443" s="10"/>
      <c r="X3443" s="10"/>
      <c r="Y3443" s="10"/>
      <c r="Z3443" s="10"/>
    </row>
    <row r="3444" spans="1:26" ht="12.75">
      <c r="A3444" s="10" t="str">
        <f ca="1">IFERROR(__xludf.DUMMYFUNCTION("""COMPUTED_VALUE"""),"Иван Ганчев Гарванов")</f>
        <v>Иван Ганчев Гарванов</v>
      </c>
      <c r="B3444" s="10" t="str">
        <f ca="1">IFERROR(__xludf.DUMMYFUNCTION("""COMPUTED_VALUE"""),"Статия в списания и поредици")</f>
        <v>Статия в списания и поредици</v>
      </c>
      <c r="C3444" s="10" t="str">
        <f ca="1">IFERROR(__xludf.DUMMYFUNCTION("""COMPUTED_VALUE"""),"CFAR PI Detector in the Presence of Binomial Distribution Flow from Randomly Arriving Impulse Interference")</f>
        <v>CFAR PI Detector in the Presence of Binomial Distribution Flow from Randomly Arriving Impulse Interference</v>
      </c>
      <c r="D3444" s="10">
        <f ca="1">IFERROR(__xludf.DUMMYFUNCTION("""COMPUTED_VALUE"""),2005)</f>
        <v>2005</v>
      </c>
      <c r="E3444" s="10" t="str">
        <f ca="1">IFERROR(__xludf.DUMMYFUNCTION("""COMPUTED_VALUE"""),"Comptes Rendus de l’Academie Bulgare des Sciences, vol. 58, №5, pp. 545-552 (ISSN: 0861-1459)")</f>
        <v>Comptes Rendus de l’Academie Bulgare des Sciences, vol. 58, №5, pp. 545-552 (ISSN: 0861-1459)</v>
      </c>
      <c r="F3444" s="10"/>
      <c r="G3444" s="10"/>
      <c r="H3444" s="10"/>
      <c r="I3444" s="10"/>
      <c r="J3444" s="10"/>
      <c r="K3444" s="10"/>
      <c r="L3444" s="10"/>
      <c r="M3444" s="10"/>
      <c r="N3444" s="10"/>
      <c r="O3444" s="10"/>
      <c r="P3444" s="10"/>
      <c r="Q3444" s="10"/>
      <c r="R3444" s="10"/>
      <c r="S3444" s="10"/>
      <c r="T3444" s="10"/>
      <c r="U3444" s="10"/>
      <c r="V3444" s="10"/>
      <c r="W3444" s="10"/>
      <c r="X3444" s="10"/>
      <c r="Y3444" s="10"/>
      <c r="Z3444" s="10"/>
    </row>
    <row r="3445" spans="1:26" ht="12.75">
      <c r="A3445" s="10" t="str">
        <f ca="1">IFERROR(__xludf.DUMMYFUNCTION("""COMPUTED_VALUE"""),"Иван Ганчев Гарванов")</f>
        <v>Иван Ганчев Гарванов</v>
      </c>
      <c r="B3445" s="10" t="str">
        <f ca="1">IFERROR(__xludf.DUMMYFUNCTION("""COMPUTED_VALUE"""),"Доклад от конференция")</f>
        <v>Доклад от конференция</v>
      </c>
      <c r="C3445" s="10" t="str">
        <f ca="1">IFERROR(__xludf.DUMMYFUNCTION("""COMPUTED_VALUE"""),"Height Finding Based on Networks of Radar Systems")</f>
        <v>Height Finding Based on Networks of Radar Systems</v>
      </c>
      <c r="D3445" s="10">
        <f ca="1">IFERROR(__xludf.DUMMYFUNCTION("""COMPUTED_VALUE"""),2005)</f>
        <v>2005</v>
      </c>
      <c r="E3445" s="10" t="str">
        <f ca="1">IFERROR(__xludf.DUMMYFUNCTION("""COMPUTED_VALUE"""),"Proc. of the International Radar Symposium – IRS 2005, Berlin, Germany, 06-08 Sept., 2005, pp. 433-438 (ISBN: 0885-8985)")</f>
        <v>Proc. of the International Radar Symposium – IRS 2005, Berlin, Germany, 06-08 Sept., 2005, pp. 433-438 (ISBN: 0885-8985)</v>
      </c>
      <c r="F3445" s="10" t="str">
        <f ca="1">IFERROR(__xludf.DUMMYFUNCTION("""COMPUTED_VALUE"""),"Scopus")</f>
        <v>Scopus</v>
      </c>
      <c r="G3445" s="10" t="str">
        <f ca="1">IFERROR(__xludf.DUMMYFUNCTION("""COMPUTED_VALUE"""),"Kabakchiev C., V. Kyovtorov")</f>
        <v>Kabakchiev C., V. Kyovtorov</v>
      </c>
      <c r="H3445" s="10"/>
      <c r="I3445" s="10"/>
      <c r="J3445" s="10"/>
      <c r="K3445" s="10"/>
      <c r="L3445" s="10"/>
      <c r="M3445" s="10"/>
      <c r="N3445" s="10"/>
      <c r="O3445" s="10"/>
      <c r="P3445" s="10"/>
      <c r="Q3445" s="10"/>
      <c r="R3445" s="10"/>
      <c r="S3445" s="10"/>
      <c r="T3445" s="10"/>
      <c r="U3445" s="10"/>
      <c r="V3445" s="10"/>
      <c r="W3445" s="10"/>
      <c r="X3445" s="10"/>
      <c r="Y3445" s="10"/>
      <c r="Z3445" s="10"/>
    </row>
    <row r="3446" spans="1:26" ht="12.75">
      <c r="A3446" s="10" t="str">
        <f ca="1">IFERROR(__xludf.DUMMYFUNCTION("""COMPUTED_VALUE"""),"Иван Ганчев Гарванов")</f>
        <v>Иван Ганчев Гарванов</v>
      </c>
      <c r="B3446" s="10" t="str">
        <f ca="1">IFERROR(__xludf.DUMMYFUNCTION("""COMPUTED_VALUE"""),"Доклад от конференция")</f>
        <v>Доклад от конференция</v>
      </c>
      <c r="C3446" s="10" t="str">
        <f ca="1">IFERROR(__xludf.DUMMYFUNCTION("""COMPUTED_VALUE"""),"Error Estimation in Target Height Finding Using VHF Radar and Three-Antenna System Positioned one Above the Other")</f>
        <v>Error Estimation in Target Height Finding Using VHF Radar and Three-Antenna System Positioned one Above the Other</v>
      </c>
      <c r="D3446" s="10">
        <f ca="1">IFERROR(__xludf.DUMMYFUNCTION("""COMPUTED_VALUE"""),2005)</f>
        <v>2005</v>
      </c>
      <c r="E3446" s="10" t="str">
        <f ca="1">IFERROR(__xludf.DUMMYFUNCTION("""COMPUTED_VALUE"""),"Proc. of International Workshop Distributed Computer and Communication Networks – DCCN 2005, Sofia, Bulgaria, pp. 222-238 (ISBN 5-94836-048-2)")</f>
        <v>Proc. of International Workshop Distributed Computer and Communication Networks – DCCN 2005, Sofia, Bulgaria, pp. 222-238 (ISBN 5-94836-048-2)</v>
      </c>
      <c r="F3446" s="10"/>
      <c r="G3446" s="10" t="str">
        <f ca="1">IFERROR(__xludf.DUMMYFUNCTION("""COMPUTED_VALUE"""),"C. Kabakchiev, V. Kyovtorov")</f>
        <v>C. Kabakchiev, V. Kyovtorov</v>
      </c>
      <c r="H3446" s="10"/>
      <c r="I3446" s="10"/>
      <c r="J3446" s="10"/>
      <c r="K3446" s="10"/>
      <c r="L3446" s="10"/>
      <c r="M3446" s="10"/>
      <c r="N3446" s="10"/>
      <c r="O3446" s="10"/>
      <c r="P3446" s="10"/>
      <c r="Q3446" s="10"/>
      <c r="R3446" s="10"/>
      <c r="S3446" s="10"/>
      <c r="T3446" s="10"/>
      <c r="U3446" s="10"/>
      <c r="V3446" s="10"/>
      <c r="W3446" s="10"/>
      <c r="X3446" s="10"/>
      <c r="Y3446" s="10"/>
      <c r="Z3446" s="10"/>
    </row>
    <row r="3447" spans="1:26" ht="12.75">
      <c r="A3447" s="10" t="str">
        <f ca="1">IFERROR(__xludf.DUMMYFUNCTION("""COMPUTED_VALUE"""),"Иван Ганчев Гарванов")</f>
        <v>Иван Ганчев Гарванов</v>
      </c>
      <c r="B3447" s="10" t="str">
        <f ca="1">IFERROR(__xludf.DUMMYFUNCTION("""COMPUTED_VALUE"""),"Доклад от конференция")</f>
        <v>Доклад от конференция</v>
      </c>
      <c r="C3447" s="10" t="str">
        <f ca="1">IFERROR(__xludf.DUMMYFUNCTION("""COMPUTED_VALUE"""),"Excision CFAR BI Detector with Hough Transform in the Presence of Randomly Arriving Impulse Interference")</f>
        <v>Excision CFAR BI Detector with Hough Transform in the Presence of Randomly Arriving Impulse Interference</v>
      </c>
      <c r="D3447" s="10">
        <f ca="1">IFERROR(__xludf.DUMMYFUNCTION("""COMPUTED_VALUE"""),2005)</f>
        <v>2005</v>
      </c>
      <c r="E3447" s="10" t="str">
        <f ca="1">IFERROR(__xludf.DUMMYFUNCTION("""COMPUTED_VALUE"""),"Proc. of the International Radar Symposium – IRS 2005, Berlin, Germany, 06-08 Sept., 2005, pp. 259-264 (ISBN: 0885-8985)")</f>
        <v>Proc. of the International Radar Symposium – IRS 2005, Berlin, Germany, 06-08 Sept., 2005, pp. 259-264 (ISBN: 0885-8985)</v>
      </c>
      <c r="F3447" s="10" t="str">
        <f ca="1">IFERROR(__xludf.DUMMYFUNCTION("""COMPUTED_VALUE"""),"Scopus")</f>
        <v>Scopus</v>
      </c>
      <c r="G3447" s="10" t="str">
        <f ca="1">IFERROR(__xludf.DUMMYFUNCTION("""COMPUTED_VALUE"""),"Kabakchiev C., L. Doukovska")</f>
        <v>Kabakchiev C., L. Doukovska</v>
      </c>
      <c r="H3447" s="10"/>
      <c r="I3447" s="10"/>
      <c r="J3447" s="10"/>
      <c r="K3447" s="10"/>
      <c r="L3447" s="10"/>
      <c r="M3447" s="10"/>
      <c r="N3447" s="10"/>
      <c r="O3447" s="10"/>
      <c r="P3447" s="10"/>
      <c r="Q3447" s="10"/>
      <c r="R3447" s="10"/>
      <c r="S3447" s="10"/>
      <c r="T3447" s="10"/>
      <c r="U3447" s="10"/>
      <c r="V3447" s="10"/>
      <c r="W3447" s="10"/>
      <c r="X3447" s="10"/>
      <c r="Y3447" s="10"/>
      <c r="Z3447" s="10"/>
    </row>
    <row r="3448" spans="1:26" ht="12.75">
      <c r="A3448" s="10" t="str">
        <f ca="1">IFERROR(__xludf.DUMMYFUNCTION("""COMPUTED_VALUE"""),"Иван Ганчев Гарванов")</f>
        <v>Иван Ганчев Гарванов</v>
      </c>
      <c r="B3448" s="10" t="str">
        <f ca="1">IFERROR(__xludf.DUMMYFUNCTION("""COMPUTED_VALUE"""),"Статия в списания и поредици")</f>
        <v>Статия в списания и поредици</v>
      </c>
      <c r="C3448" s="10" t="str">
        <f ca="1">IFERROR(__xludf.DUMMYFUNCTION("""COMPUTED_VALUE"""),"Error Estimation in Target Height Finding Using VHF Radars and a Three-Antenna System Positioned one About the Other in a Radar Network")</f>
        <v>Error Estimation in Target Height Finding Using VHF Radars and a Three-Antenna System Positioned one About the Other in a Radar Network</v>
      </c>
      <c r="D3448" s="10">
        <f ca="1">IFERROR(__xludf.DUMMYFUNCTION("""COMPUTED_VALUE"""),2005)</f>
        <v>2005</v>
      </c>
      <c r="E3448" s="10" t="str">
        <f ca="1">IFERROR(__xludf.DUMMYFUNCTION("""COMPUTED_VALUE"""),"Sensors &amp; Transducers Magazine (S&amp;T e-Digest), Special Issue, pp. 390-398 (ISSN: 1726-5479)")</f>
        <v>Sensors &amp; Transducers Magazine (S&amp;T e-Digest), Special Issue, pp. 390-398 (ISSN: 1726-5479)</v>
      </c>
      <c r="F3448" s="10"/>
      <c r="G3448" s="10" t="str">
        <f ca="1">IFERROR(__xludf.DUMMYFUNCTION("""COMPUTED_VALUE"""),"Kabakchiev C., V. Kyovtoriv, P. Daskalov")</f>
        <v>Kabakchiev C., V. Kyovtoriv, P. Daskalov</v>
      </c>
      <c r="H3448" s="10"/>
      <c r="I3448" s="10"/>
      <c r="J3448" s="10"/>
      <c r="K3448" s="10"/>
      <c r="L3448" s="10"/>
      <c r="M3448" s="10"/>
      <c r="N3448" s="10"/>
      <c r="O3448" s="10"/>
      <c r="P3448" s="10"/>
      <c r="Q3448" s="10"/>
      <c r="R3448" s="10"/>
      <c r="S3448" s="10"/>
      <c r="T3448" s="10"/>
      <c r="U3448" s="10"/>
      <c r="V3448" s="10"/>
      <c r="W3448" s="10"/>
      <c r="X3448" s="10"/>
      <c r="Y3448" s="10"/>
      <c r="Z3448" s="10"/>
    </row>
    <row r="3449" spans="1:26" ht="12.75">
      <c r="A3449" s="10" t="str">
        <f ca="1">IFERROR(__xludf.DUMMYFUNCTION("""COMPUTED_VALUE"""),"Иван Ганчев Гарванов")</f>
        <v>Иван Ганчев Гарванов</v>
      </c>
      <c r="B3449" s="10" t="str">
        <f ca="1">IFERROR(__xludf.DUMMYFUNCTION("""COMPUTED_VALUE"""),"Доклад от конференция")</f>
        <v>Доклад от конференция</v>
      </c>
      <c r="C3449" s="10" t="str">
        <f ca="1">IFERROR(__xludf.DUMMYFUNCTION("""COMPUTED_VALUE"""),"Excision CFAR BI Detector in Randomly Arriving Impulse Interference")</f>
        <v>Excision CFAR BI Detector in Randomly Arriving Impulse Interference</v>
      </c>
      <c r="D3449" s="10">
        <f ca="1">IFERROR(__xludf.DUMMYFUNCTION("""COMPUTED_VALUE"""),2005)</f>
        <v>2005</v>
      </c>
      <c r="E3449" s="10" t="str">
        <f ca="1">IFERROR(__xludf.DUMMYFUNCTION("""COMPUTED_VALUE"""),"Proc. of IEEE International Radar Conference Record – RADAR 2005, Arlington, Virginia, USA, 09-12 May 2005, pp. 950-955 (ISBN 7803-8881-X)")</f>
        <v>Proc. of IEEE International Radar Conference Record – RADAR 2005, Arlington, Virginia, USA, 09-12 May 2005, pp. 950-955 (ISBN 7803-8881-X)</v>
      </c>
      <c r="F3449" s="10" t="str">
        <f ca="1">IFERROR(__xludf.DUMMYFUNCTION("""COMPUTED_VALUE"""),"Web of science, IEEE")</f>
        <v>Web of science, IEEE</v>
      </c>
      <c r="G3449" s="10" t="str">
        <f ca="1">IFERROR(__xludf.DUMMYFUNCTION("""COMPUTED_VALUE"""),"C. Kabakchiev")</f>
        <v>C. Kabakchiev</v>
      </c>
      <c r="H3449" s="10"/>
      <c r="I3449" s="10"/>
      <c r="J3449" s="10"/>
      <c r="K3449" s="10"/>
      <c r="L3449" s="10"/>
      <c r="M3449" s="10"/>
      <c r="N3449" s="10"/>
      <c r="O3449" s="10"/>
      <c r="P3449" s="10"/>
      <c r="Q3449" s="10"/>
      <c r="R3449" s="10"/>
      <c r="S3449" s="10"/>
      <c r="T3449" s="10"/>
      <c r="U3449" s="10"/>
      <c r="V3449" s="10"/>
      <c r="W3449" s="10"/>
      <c r="X3449" s="10"/>
      <c r="Y3449" s="10"/>
      <c r="Z3449" s="10"/>
    </row>
    <row r="3450" spans="1:26" ht="12.75">
      <c r="A3450" s="10" t="str">
        <f ca="1">IFERROR(__xludf.DUMMYFUNCTION("""COMPUTED_VALUE"""),"Иван Ганчев Гарванов")</f>
        <v>Иван Ганчев Гарванов</v>
      </c>
      <c r="B3450" s="10" t="str">
        <f ca="1">IFERROR(__xludf.DUMMYFUNCTION("""COMPUTED_VALUE"""),"Доклад от конференция")</f>
        <v>Доклад от конференция</v>
      </c>
      <c r="C3450" s="10" t="str">
        <f ca="1">IFERROR(__xludf.DUMMYFUNCTION("""COMPUTED_VALUE"""),"Sensitivity of API CFAR Detectors Towards Change of Input Parameters of Pulse Jamming")</f>
        <v>Sensitivity of API CFAR Detectors Towards Change of Input Parameters of Pulse Jamming</v>
      </c>
      <c r="D3450" s="10">
        <f ca="1">IFERROR(__xludf.DUMMYFUNCTION("""COMPUTED_VALUE"""),2004)</f>
        <v>2004</v>
      </c>
      <c r="E3450" s="10" t="str">
        <f ca="1">IFERROR(__xludf.DUMMYFUNCTION("""COMPUTED_VALUE"""),"Proc. of the International Radar Symposium – IRS 2004, Warszawa, Poland, 19-21 May 2004, pp. 233-238 (ISBN: 0885-8985)")</f>
        <v>Proc. of the International Radar Symposium – IRS 2004, Warszawa, Poland, 19-21 May 2004, pp. 233-238 (ISBN: 0885-8985)</v>
      </c>
      <c r="F3450" s="10"/>
      <c r="G3450" s="10" t="str">
        <f ca="1">IFERROR(__xludf.DUMMYFUNCTION("""COMPUTED_VALUE"""),"C. Kabakchiev")</f>
        <v>C. Kabakchiev</v>
      </c>
      <c r="H3450" s="10"/>
      <c r="I3450" s="10"/>
      <c r="J3450" s="10"/>
      <c r="K3450" s="10"/>
      <c r="L3450" s="10"/>
      <c r="M3450" s="10"/>
      <c r="N3450" s="10"/>
      <c r="O3450" s="10"/>
      <c r="P3450" s="10"/>
      <c r="Q3450" s="10"/>
      <c r="R3450" s="10"/>
      <c r="S3450" s="10"/>
      <c r="T3450" s="10"/>
      <c r="U3450" s="10"/>
      <c r="V3450" s="10"/>
      <c r="W3450" s="10"/>
      <c r="X3450" s="10"/>
      <c r="Y3450" s="10"/>
      <c r="Z3450" s="10"/>
    </row>
    <row r="3451" spans="1:26" ht="12.75">
      <c r="A3451" s="10" t="str">
        <f ca="1">IFERROR(__xludf.DUMMYFUNCTION("""COMPUTED_VALUE"""),"Иван Ганчев Гарванов")</f>
        <v>Иван Ганчев Гарванов</v>
      </c>
      <c r="B3451" s="10" t="str">
        <f ca="1">IFERROR(__xludf.DUMMYFUNCTION("""COMPUTED_VALUE"""),"Статия в списания и поредици")</f>
        <v>Статия в списания и поредици</v>
      </c>
      <c r="C3451" s="10" t="str">
        <f ca="1">IFERROR(__xludf.DUMMYFUNCTION("""COMPUTED_VALUE"""),"Systolic Architecture of Adaptive Post Detection Integration CFAR Processor in Binomial Distribution Pulse Jamming")</f>
        <v>Systolic Architecture of Adaptive Post Detection Integration CFAR Processor in Binomial Distribution Pulse Jamming</v>
      </c>
      <c r="D3451" s="10">
        <f ca="1">IFERROR(__xludf.DUMMYFUNCTION("""COMPUTED_VALUE"""),2004)</f>
        <v>2004</v>
      </c>
      <c r="E3451" s="10" t="str">
        <f ca="1">IFERROR(__xludf.DUMMYFUNCTION("""COMPUTED_VALUE"""),"4th International Conference “Large-Scale Scientific Computing”, LSSC-2003, Springer Verlag Berlin Heidelberg, Lecture Notes in Computer Science LNCS 2907, pp. 448-455 (ISBN 978-3-540-21090-0)")</f>
        <v>4th International Conference “Large-Scale Scientific Computing”, LSSC-2003, Springer Verlag Berlin Heidelberg, Lecture Notes in Computer Science LNCS 2907, pp. 448-455 (ISBN 978-3-540-21090-0)</v>
      </c>
      <c r="F3451" s="10" t="str">
        <f ca="1">IFERROR(__xludf.DUMMYFUNCTION("""COMPUTED_VALUE"""),"Scopus, Web of science")</f>
        <v>Scopus, Web of science</v>
      </c>
      <c r="G3451" s="10" t="str">
        <f ca="1">IFERROR(__xludf.DUMMYFUNCTION("""COMPUTED_VALUE"""),"C. Kabakchiev, P. Daskalov")</f>
        <v>C. Kabakchiev, P. Daskalov</v>
      </c>
      <c r="H3451" s="10"/>
      <c r="I3451" s="10"/>
      <c r="J3451" s="10"/>
      <c r="K3451" s="10"/>
      <c r="L3451" s="10"/>
      <c r="M3451" s="10"/>
      <c r="N3451" s="10"/>
      <c r="O3451" s="10"/>
      <c r="P3451" s="10"/>
      <c r="Q3451" s="10"/>
      <c r="R3451" s="10"/>
      <c r="S3451" s="10"/>
      <c r="T3451" s="10"/>
      <c r="U3451" s="10"/>
      <c r="V3451" s="10"/>
      <c r="W3451" s="10"/>
      <c r="X3451" s="10"/>
      <c r="Y3451" s="10"/>
      <c r="Z3451" s="10"/>
    </row>
    <row r="3452" spans="1:26" ht="12.75">
      <c r="A3452" s="10" t="str">
        <f ca="1">IFERROR(__xludf.DUMMYFUNCTION("""COMPUTED_VALUE"""),"Иван Ганчев Гарванов")</f>
        <v>Иван Ганчев Гарванов</v>
      </c>
      <c r="B3452" s="10" t="str">
        <f ca="1">IFERROR(__xludf.DUMMYFUNCTION("""COMPUTED_VALUE"""),"Доклад от конференция")</f>
        <v>Доклад от конференция</v>
      </c>
      <c r="C3452" s="10" t="str">
        <f ca="1">IFERROR(__xludf.DUMMYFUNCTION("""COMPUTED_VALUE"""),"OS CFAR Detector for PN Signal Processing in Multipath Interference")</f>
        <v>OS CFAR Detector for PN Signal Processing in Multipath Interference</v>
      </c>
      <c r="D3452" s="10">
        <f ca="1">IFERROR(__xludf.DUMMYFUNCTION("""COMPUTED_VALUE"""),2004)</f>
        <v>2004</v>
      </c>
      <c r="E3452" s="10" t="str">
        <f ca="1">IFERROR(__xludf.DUMMYFUNCTION("""COMPUTED_VALUE"""),"Proc. of IEEE International Radar Conference – RADAR 2004, Toulouse, France, 2004, CD-6P-SP-121, 6 pp., (ISSN_ISBN 1545-598X)")</f>
        <v>Proc. of IEEE International Radar Conference – RADAR 2004, Toulouse, France, 2004, CD-6P-SP-121, 6 pp., (ISSN_ISBN 1545-598X)</v>
      </c>
      <c r="F3452" s="10"/>
      <c r="G3452" s="10" t="str">
        <f ca="1">IFERROR(__xludf.DUMMYFUNCTION("""COMPUTED_VALUE"""),"Kabakchiev C., V. Kyovtorov")</f>
        <v>Kabakchiev C., V. Kyovtorov</v>
      </c>
      <c r="H3452" s="10"/>
      <c r="I3452" s="10"/>
      <c r="J3452" s="10"/>
      <c r="K3452" s="10"/>
      <c r="L3452" s="10"/>
      <c r="M3452" s="10"/>
      <c r="N3452" s="10"/>
      <c r="O3452" s="10"/>
      <c r="P3452" s="10"/>
      <c r="Q3452" s="10"/>
      <c r="R3452" s="10"/>
      <c r="S3452" s="10"/>
      <c r="T3452" s="10"/>
      <c r="U3452" s="10"/>
      <c r="V3452" s="10"/>
      <c r="W3452" s="10"/>
      <c r="X3452" s="10"/>
      <c r="Y3452" s="10"/>
      <c r="Z3452" s="10"/>
    </row>
    <row r="3453" spans="1:26" ht="12.75">
      <c r="A3453" s="10" t="str">
        <f ca="1">IFERROR(__xludf.DUMMYFUNCTION("""COMPUTED_VALUE"""),"Иван Ганчев Гарванов")</f>
        <v>Иван Ганчев Гарванов</v>
      </c>
      <c r="B3453" s="10" t="str">
        <f ca="1">IFERROR(__xludf.DUMMYFUNCTION("""COMPUTED_VALUE"""),"Статия в списания и поредици")</f>
        <v>Статия в списания и поредици</v>
      </c>
      <c r="C3453" s="10" t="str">
        <f ca="1">IFERROR(__xludf.DUMMYFUNCTION("""COMPUTED_VALUE"""),"Detection with the Help of an OS CFAR Processor in CDMA Networks in the Presence of Multipath Interference")</f>
        <v>Detection with the Help of an OS CFAR Processor in CDMA Networks in the Presence of Multipath Interference</v>
      </c>
      <c r="D3453" s="10">
        <f ca="1">IFERROR(__xludf.DUMMYFUNCTION("""COMPUTED_VALUE"""),2004)</f>
        <v>2004</v>
      </c>
      <c r="E3453" s="10" t="str">
        <f ca="1">IFERROR(__xludf.DUMMYFUNCTION("""COMPUTED_VALUE"""),"Cybernetics and Information Technologies, Volume 4, № 2, pp. 101-120 (ISSN 1311-9702)")</f>
        <v>Cybernetics and Information Technologies, Volume 4, № 2, pp. 101-120 (ISSN 1311-9702)</v>
      </c>
      <c r="F3453" s="10"/>
      <c r="G3453" s="10" t="str">
        <f ca="1">IFERROR(__xludf.DUMMYFUNCTION("""COMPUTED_VALUE"""),"Kabakchiev C., V. Kyovtorov")</f>
        <v>Kabakchiev C., V. Kyovtorov</v>
      </c>
      <c r="H3453" s="10"/>
      <c r="I3453" s="10"/>
      <c r="J3453" s="10"/>
      <c r="K3453" s="10"/>
      <c r="L3453" s="10"/>
      <c r="M3453" s="10"/>
      <c r="N3453" s="10"/>
      <c r="O3453" s="10"/>
      <c r="P3453" s="10"/>
      <c r="Q3453" s="10"/>
      <c r="R3453" s="10"/>
      <c r="S3453" s="10"/>
      <c r="T3453" s="10"/>
      <c r="U3453" s="10"/>
      <c r="V3453" s="10"/>
      <c r="W3453" s="10"/>
      <c r="X3453" s="10"/>
      <c r="Y3453" s="10"/>
      <c r="Z3453" s="10"/>
    </row>
    <row r="3454" spans="1:26" ht="12.75">
      <c r="A3454" s="10" t="str">
        <f ca="1">IFERROR(__xludf.DUMMYFUNCTION("""COMPUTED_VALUE"""),"Иван Ганчев Гарванов")</f>
        <v>Иван Ганчев Гарванов</v>
      </c>
      <c r="B3454" s="10" t="str">
        <f ca="1">IFERROR(__xludf.DUMMYFUNCTION("""COMPUTED_VALUE"""),"Статия в списания и поредици")</f>
        <v>Статия в списания и поредици</v>
      </c>
      <c r="C3454" s="10" t="str">
        <f ca="1">IFERROR(__xludf.DUMMYFUNCTION("""COMPUTED_VALUE"""),"API CFAR Processors with Hough Transform in Multipath Situation")</f>
        <v>API CFAR Processors with Hough Transform in Multipath Situation</v>
      </c>
      <c r="D3454" s="10">
        <f ca="1">IFERROR(__xludf.DUMMYFUNCTION("""COMPUTED_VALUE"""),2004)</f>
        <v>2004</v>
      </c>
      <c r="E3454" s="10" t="str">
        <f ca="1">IFERROR(__xludf.DUMMYFUNCTION("""COMPUTED_VALUE"""),"IIT/ WP-194, pp. 1-9 (ISSN 1310-652X)")</f>
        <v>IIT/ WP-194, pp. 1-9 (ISSN 1310-652X)</v>
      </c>
      <c r="F3454" s="10"/>
      <c r="G3454" s="10" t="str">
        <f ca="1">IFERROR(__xludf.DUMMYFUNCTION("""COMPUTED_VALUE"""),"Kabakchiev C., L. Doukovska")</f>
        <v>Kabakchiev C., L. Doukovska</v>
      </c>
      <c r="H3454" s="10"/>
      <c r="I3454" s="10"/>
      <c r="J3454" s="10"/>
      <c r="K3454" s="10"/>
      <c r="L3454" s="10"/>
      <c r="M3454" s="10"/>
      <c r="N3454" s="10"/>
      <c r="O3454" s="10"/>
      <c r="P3454" s="10"/>
      <c r="Q3454" s="10"/>
      <c r="R3454" s="10"/>
      <c r="S3454" s="10"/>
      <c r="T3454" s="10"/>
      <c r="U3454" s="10"/>
      <c r="V3454" s="10"/>
      <c r="W3454" s="10"/>
      <c r="X3454" s="10"/>
      <c r="Y3454" s="10"/>
      <c r="Z3454" s="10"/>
    </row>
    <row r="3455" spans="1:26" ht="12.75">
      <c r="A3455" s="10" t="str">
        <f ca="1">IFERROR(__xludf.DUMMYFUNCTION("""COMPUTED_VALUE"""),"Иван Ганчев Гарванов")</f>
        <v>Иван Ганчев Гарванов</v>
      </c>
      <c r="B3455" s="10" t="str">
        <f ca="1">IFERROR(__xludf.DUMMYFUNCTION("""COMPUTED_VALUE"""),"Статия в списания и поредици")</f>
        <v>Статия в списания и поредици</v>
      </c>
      <c r="C3455" s="10" t="str">
        <f ca="1">IFERROR(__xludf.DUMMYFUNCTION("""COMPUTED_VALUE"""),"Оценка на грешката при определяне на височината на летящи цели, използвайки многопозиционна радиолокация с два и три радара")</f>
        <v>Оценка на грешката при определяне на височината на летящи цели, използвайки многопозиционна радиолокация с два и три радара</v>
      </c>
      <c r="D3455" s="10">
        <f ca="1">IFERROR(__xludf.DUMMYFUNCTION("""COMPUTED_VALUE"""),2004)</f>
        <v>2004</v>
      </c>
      <c r="E3455" s="10" t="str">
        <f ca="1">IFERROR(__xludf.DUMMYFUNCTION("""COMPUTED_VALUE"""),"IIT/WP-200B, pp. 1-12 (ISSN 1310-652X)")</f>
        <v>IIT/WP-200B, pp. 1-12 (ISSN 1310-652X)</v>
      </c>
      <c r="F3455" s="10"/>
      <c r="G3455" s="10" t="str">
        <f ca="1">IFERROR(__xludf.DUMMYFUNCTION("""COMPUTED_VALUE"""),"Кабакчиев Х., В. Кьовторов")</f>
        <v>Кабакчиев Х., В. Кьовторов</v>
      </c>
      <c r="H3455" s="10"/>
      <c r="I3455" s="10"/>
      <c r="J3455" s="10"/>
      <c r="K3455" s="10"/>
      <c r="L3455" s="10"/>
      <c r="M3455" s="10"/>
      <c r="N3455" s="10"/>
      <c r="O3455" s="10"/>
      <c r="P3455" s="10"/>
      <c r="Q3455" s="10"/>
      <c r="R3455" s="10"/>
      <c r="S3455" s="10"/>
      <c r="T3455" s="10"/>
      <c r="U3455" s="10"/>
      <c r="V3455" s="10"/>
      <c r="W3455" s="10"/>
      <c r="X3455" s="10"/>
      <c r="Y3455" s="10"/>
      <c r="Z3455" s="10"/>
    </row>
    <row r="3456" spans="1:26" ht="12.75">
      <c r="A3456" s="10" t="str">
        <f ca="1">IFERROR(__xludf.DUMMYFUNCTION("""COMPUTED_VALUE"""),"Иван Ганчев Гарванов")</f>
        <v>Иван Ганчев Гарванов</v>
      </c>
      <c r="B3456" s="10" t="str">
        <f ca="1">IFERROR(__xludf.DUMMYFUNCTION("""COMPUTED_VALUE"""),"Доклад от конференция")</f>
        <v>Доклад от конференция</v>
      </c>
      <c r="C3456" s="10" t="str">
        <f ca="1">IFERROR(__xludf.DUMMYFUNCTION("""COMPUTED_VALUE"""),"K-stage CFAR Detection in Binomial Distribution Pulse Jamming")</f>
        <v>K-stage CFAR Detection in Binomial Distribution Pulse Jamming</v>
      </c>
      <c r="D3456" s="10">
        <f ca="1">IFERROR(__xludf.DUMMYFUNCTION("""COMPUTED_VALUE"""),2003)</f>
        <v>2003</v>
      </c>
      <c r="E3456" s="10" t="str">
        <f ca="1">IFERROR(__xludf.DUMMYFUNCTION("""COMPUTED_VALUE"""),"Proc. of the International Radar Symposium – IRS 2003, Dresden, Germany, 30 Sept. – 02 Oct. 2003, pp. 369-375")</f>
        <v>Proc. of the International Radar Symposium – IRS 2003, Dresden, Germany, 30 Sept. – 02 Oct. 2003, pp. 369-375</v>
      </c>
      <c r="F3456" s="10"/>
      <c r="G3456" s="10" t="str">
        <f ca="1">IFERROR(__xludf.DUMMYFUNCTION("""COMPUTED_VALUE"""),"C. Kabakchiev")</f>
        <v>C. Kabakchiev</v>
      </c>
      <c r="H3456" s="10"/>
      <c r="I3456" s="10"/>
      <c r="J3456" s="10"/>
      <c r="K3456" s="10"/>
      <c r="L3456" s="10"/>
      <c r="M3456" s="10"/>
      <c r="N3456" s="10"/>
      <c r="O3456" s="10"/>
      <c r="P3456" s="10"/>
      <c r="Q3456" s="10"/>
      <c r="R3456" s="10"/>
      <c r="S3456" s="10"/>
      <c r="T3456" s="10"/>
      <c r="U3456" s="10"/>
      <c r="V3456" s="10"/>
      <c r="W3456" s="10"/>
      <c r="X3456" s="10"/>
      <c r="Y3456" s="10"/>
      <c r="Z3456" s="10"/>
    </row>
    <row r="3457" spans="1:26" ht="12.75">
      <c r="A3457" s="10" t="str">
        <f ca="1">IFERROR(__xludf.DUMMYFUNCTION("""COMPUTED_VALUE"""),"Иван Ганчев Гарванов")</f>
        <v>Иван Ганчев Гарванов</v>
      </c>
      <c r="B3457" s="10" t="str">
        <f ca="1">IFERROR(__xludf.DUMMYFUNCTION("""COMPUTED_VALUE"""),"Статия в списания и поредици")</f>
        <v>Статия в списания и поредици</v>
      </c>
      <c r="C3457" s="10" t="str">
        <f ca="1">IFERROR(__xludf.DUMMYFUNCTION("""COMPUTED_VALUE"""),"CFAR Processors in Pulse Jamming")</f>
        <v>CFAR Processors in Pulse Jamming</v>
      </c>
      <c r="D3457" s="10">
        <f ca="1">IFERROR(__xludf.DUMMYFUNCTION("""COMPUTED_VALUE"""),2003)</f>
        <v>2003</v>
      </c>
      <c r="E3457" s="10" t="str">
        <f ca="1">IFERROR(__xludf.DUMMYFUNCTION("""COMPUTED_VALUE"""),"5th International Conference, ""Numerical Methods and Applications – NM@A-02”, Springer-Verlag Berlin Heidelberg, Lecture Notes in Computer Science, LNCS 2542, pp. 291-298, (ISBN 978-3-540-00608-4) Publisher: Springer")</f>
        <v>5th International Conference, "Numerical Methods and Applications – NM@A-02”, Springer-Verlag Berlin Heidelberg, Lecture Notes in Computer Science, LNCS 2542, pp. 291-298, (ISBN 978-3-540-00608-4) Publisher: Springer</v>
      </c>
      <c r="F3457" s="10" t="str">
        <f ca="1">IFERROR(__xludf.DUMMYFUNCTION("""COMPUTED_VALUE"""),"Scopus, Web of science")</f>
        <v>Scopus, Web of science</v>
      </c>
      <c r="G3457" s="10" t="str">
        <f ca="1">IFERROR(__xludf.DUMMYFUNCTION("""COMPUTED_VALUE"""),"V. Behar, C. Kabakchiev")</f>
        <v>V. Behar, C. Kabakchiev</v>
      </c>
      <c r="H3457" s="10"/>
      <c r="I3457" s="10"/>
      <c r="J3457" s="10"/>
      <c r="K3457" s="10"/>
      <c r="L3457" s="10"/>
      <c r="M3457" s="10"/>
      <c r="N3457" s="10"/>
      <c r="O3457" s="10"/>
      <c r="P3457" s="10"/>
      <c r="Q3457" s="10"/>
      <c r="R3457" s="10"/>
      <c r="S3457" s="10"/>
      <c r="T3457" s="10"/>
      <c r="U3457" s="10"/>
      <c r="V3457" s="10"/>
      <c r="W3457" s="10"/>
      <c r="X3457" s="10"/>
      <c r="Y3457" s="10"/>
      <c r="Z3457" s="10"/>
    </row>
    <row r="3458" spans="1:26" ht="12.75">
      <c r="A3458" s="10" t="str">
        <f ca="1">IFERROR(__xludf.DUMMYFUNCTION("""COMPUTED_VALUE"""),"Иван Ганчев Гарванов")</f>
        <v>Иван Ганчев Гарванов</v>
      </c>
      <c r="B3458" s="10" t="str">
        <f ca="1">IFERROR(__xludf.DUMMYFUNCTION("""COMPUTED_VALUE"""),"Статия в списания и поредици")</f>
        <v>Статия в списания и поредици</v>
      </c>
      <c r="C3458" s="10" t="str">
        <f ca="1">IFERROR(__xludf.DUMMYFUNCTION("""COMPUTED_VALUE"""),"CFAR BI Detector in Binomial Distribution Pulse Jamming")</f>
        <v>CFAR BI Detector in Binomial Distribution Pulse Jamming</v>
      </c>
      <c r="D3458" s="10">
        <f ca="1">IFERROR(__xludf.DUMMYFUNCTION("""COMPUTED_VALUE"""),2003)</f>
        <v>2003</v>
      </c>
      <c r="E3458" s="10" t="str">
        <f ca="1">IFERROR(__xludf.DUMMYFUNCTION("""COMPUTED_VALUE"""),"Comptes Rendus de l’Academie Bulgare des Sciences, vol. 56, №10, pp. 37-44, (ISSN: 0861-1459)")</f>
        <v>Comptes Rendus de l’Academie Bulgare des Sciences, vol. 56, №10, pp. 37-44, (ISSN: 0861-1459)</v>
      </c>
      <c r="F3458" s="10"/>
      <c r="G3458" s="10"/>
      <c r="H3458" s="10"/>
      <c r="I3458" s="10"/>
      <c r="J3458" s="10"/>
      <c r="K3458" s="10"/>
      <c r="L3458" s="10"/>
      <c r="M3458" s="10"/>
      <c r="N3458" s="10"/>
      <c r="O3458" s="10"/>
      <c r="P3458" s="10"/>
      <c r="Q3458" s="10"/>
      <c r="R3458" s="10"/>
      <c r="S3458" s="10"/>
      <c r="T3458" s="10"/>
      <c r="U3458" s="10"/>
      <c r="V3458" s="10"/>
      <c r="W3458" s="10"/>
      <c r="X3458" s="10"/>
      <c r="Y3458" s="10"/>
      <c r="Z3458" s="10"/>
    </row>
    <row r="3459" spans="1:26" ht="12.75">
      <c r="A3459" s="10" t="str">
        <f ca="1">IFERROR(__xludf.DUMMYFUNCTION("""COMPUTED_VALUE"""),"Иван Ганчев Гарванов")</f>
        <v>Иван Ганчев Гарванов</v>
      </c>
      <c r="B3459" s="10" t="str">
        <f ca="1">IFERROR(__xludf.DUMMYFUNCTION("""COMPUTED_VALUE"""),"Статия в списания и поредици")</f>
        <v>Статия в списания и поредици</v>
      </c>
      <c r="C3459" s="10" t="str">
        <f ca="1">IFERROR(__xludf.DUMMYFUNCTION("""COMPUTED_VALUE"""),"CFAR PI Detector in Binomial Distribution Pulse Jamming")</f>
        <v>CFAR PI Detector in Binomial Distribution Pulse Jamming</v>
      </c>
      <c r="D3459" s="10">
        <f ca="1">IFERROR(__xludf.DUMMYFUNCTION("""COMPUTED_VALUE"""),2003)</f>
        <v>2003</v>
      </c>
      <c r="E3459" s="10" t="str">
        <f ca="1">IFERROR(__xludf.DUMMYFUNCTION("""COMPUTED_VALUE"""),"IIT/ WP-164, pp. 1-9 (ISSN 1310-652X)")</f>
        <v>IIT/ WP-164, pp. 1-9 (ISSN 1310-652X)</v>
      </c>
      <c r="F3459" s="10"/>
      <c r="G3459" s="10" t="str">
        <f ca="1">IFERROR(__xludf.DUMMYFUNCTION("""COMPUTED_VALUE"""),"C. Kabakchiev")</f>
        <v>C. Kabakchiev</v>
      </c>
      <c r="H3459" s="10"/>
      <c r="I3459" s="10"/>
      <c r="J3459" s="10"/>
      <c r="K3459" s="10"/>
      <c r="L3459" s="10"/>
      <c r="M3459" s="10"/>
      <c r="N3459" s="10"/>
      <c r="O3459" s="10"/>
      <c r="P3459" s="10"/>
      <c r="Q3459" s="10"/>
      <c r="R3459" s="10"/>
      <c r="S3459" s="10"/>
      <c r="T3459" s="10"/>
      <c r="U3459" s="10"/>
      <c r="V3459" s="10"/>
      <c r="W3459" s="10"/>
      <c r="X3459" s="10"/>
      <c r="Y3459" s="10"/>
      <c r="Z3459" s="10"/>
    </row>
    <row r="3460" spans="1:26" ht="12.75">
      <c r="A3460" s="10" t="str">
        <f ca="1">IFERROR(__xludf.DUMMYFUNCTION("""COMPUTED_VALUE"""),"Иван Ганчев Гарванов")</f>
        <v>Иван Ганчев Гарванов</v>
      </c>
      <c r="B3460" s="10" t="str">
        <f ca="1">IFERROR(__xludf.DUMMYFUNCTION("""COMPUTED_VALUE"""),"Доклад от конференция")</f>
        <v>Доклад от конференция</v>
      </c>
      <c r="C3460" s="10" t="str">
        <f ca="1">IFERROR(__xludf.DUMMYFUNCTION("""COMPUTED_VALUE"""),"Sensitivity of CFAR processors towards the change of input distribution of pulse jamming")</f>
        <v>Sensitivity of CFAR processors towards the change of input distribution of pulse jamming</v>
      </c>
      <c r="D3460" s="10">
        <f ca="1">IFERROR(__xludf.DUMMYFUNCTION("""COMPUTED_VALUE"""),2003)</f>
        <v>2003</v>
      </c>
      <c r="E3460" s="10" t="str">
        <f ca="1">IFERROR(__xludf.DUMMYFUNCTION("""COMPUTED_VALUE"""),"Proc. of IEEE - International Conference on Radar 2003, Adelaide, Australia, pp. 121-126, ISBN 0-7803-7870-9, DOI: 10.1109/RADAR.2003.1278722")</f>
        <v>Proc. of IEEE - International Conference on Radar 2003, Adelaide, Australia, pp. 121-126, ISBN 0-7803-7870-9, DOI: 10.1109/RADAR.2003.1278722</v>
      </c>
      <c r="F3460" s="10" t="str">
        <f ca="1">IFERROR(__xludf.DUMMYFUNCTION("""COMPUTED_VALUE"""),"Scopus, Web of science, IEEE")</f>
        <v>Scopus, Web of science, IEEE</v>
      </c>
      <c r="G3460" s="10" t="str">
        <f ca="1">IFERROR(__xludf.DUMMYFUNCTION("""COMPUTED_VALUE"""),"C. Kabakchiev")</f>
        <v>C. Kabakchiev</v>
      </c>
      <c r="H3460" s="10"/>
      <c r="I3460" s="10"/>
      <c r="J3460" s="10"/>
      <c r="K3460" s="10"/>
      <c r="L3460" s="10"/>
      <c r="M3460" s="10"/>
      <c r="N3460" s="10"/>
      <c r="O3460" s="10"/>
      <c r="P3460" s="10"/>
      <c r="Q3460" s="10"/>
      <c r="R3460" s="10"/>
      <c r="S3460" s="10"/>
      <c r="T3460" s="10"/>
      <c r="U3460" s="10"/>
      <c r="V3460" s="10"/>
      <c r="W3460" s="10"/>
      <c r="X3460" s="10"/>
      <c r="Y3460" s="10"/>
      <c r="Z3460" s="10"/>
    </row>
    <row r="3461" spans="1:26" ht="12.75">
      <c r="A3461" s="10" t="str">
        <f ca="1">IFERROR(__xludf.DUMMYFUNCTION("""COMPUTED_VALUE"""),"Иван Ганчев Гарванов")</f>
        <v>Иван Ганчев Гарванов</v>
      </c>
      <c r="B3461" s="10" t="str">
        <f ca="1">IFERROR(__xludf.DUMMYFUNCTION("""COMPUTED_VALUE"""),"Статия в списания и поредици")</f>
        <v>Статия в списания и поредици</v>
      </c>
      <c r="C3461" s="10" t="str">
        <f ca="1">IFERROR(__xludf.DUMMYFUNCTION("""COMPUTED_VALUE"""),"CFAR Processors in Presence of Binomial Distribution Pulse Jamming")</f>
        <v>CFAR Processors in Presence of Binomial Distribution Pulse Jamming</v>
      </c>
      <c r="D3461" s="10">
        <f ca="1">IFERROR(__xludf.DUMMYFUNCTION("""COMPUTED_VALUE"""),2002)</f>
        <v>2002</v>
      </c>
      <c r="E3461" s="10" t="str">
        <f ca="1">IFERROR(__xludf.DUMMYFUNCTION("""COMPUTED_VALUE"""),"IIT/ WP-145, pp. 1-8 (ISSN 1310-652X)")</f>
        <v>IIT/ WP-145, pp. 1-8 (ISSN 1310-652X)</v>
      </c>
      <c r="F3461" s="10"/>
      <c r="G3461" s="10"/>
      <c r="H3461" s="10"/>
      <c r="I3461" s="10"/>
      <c r="J3461" s="10"/>
      <c r="K3461" s="10"/>
      <c r="L3461" s="10"/>
      <c r="M3461" s="10"/>
      <c r="N3461" s="10"/>
      <c r="O3461" s="10"/>
      <c r="P3461" s="10"/>
      <c r="Q3461" s="10"/>
      <c r="R3461" s="10"/>
      <c r="S3461" s="10"/>
      <c r="T3461" s="10"/>
      <c r="U3461" s="10"/>
      <c r="V3461" s="10"/>
      <c r="W3461" s="10"/>
      <c r="X3461" s="10"/>
      <c r="Y3461" s="10"/>
      <c r="Z3461" s="10"/>
    </row>
    <row r="3462" spans="1:26" ht="12.75">
      <c r="A3462" s="10" t="str">
        <f ca="1">IFERROR(__xludf.DUMMYFUNCTION("""COMPUTED_VALUE"""),"Иван Ганчев Гарванов")</f>
        <v>Иван Ганчев Гарванов</v>
      </c>
      <c r="B3462" s="10" t="str">
        <f ca="1">IFERROR(__xludf.DUMMYFUNCTION("""COMPUTED_VALUE"""),"Статия в списания и поредици")</f>
        <v>Статия в списания и поредици</v>
      </c>
      <c r="C3462" s="10" t="str">
        <f ca="1">IFERROR(__xludf.DUMMYFUNCTION("""COMPUTED_VALUE"""),"One and Two Dimensions CFAR Processors in the Presence of Strong Pulse Jamming")</f>
        <v>One and Two Dimensions CFAR Processors in the Presence of Strong Pulse Jamming</v>
      </c>
      <c r="D3462" s="10">
        <f ca="1">IFERROR(__xludf.DUMMYFUNCTION("""COMPUTED_VALUE"""),2002)</f>
        <v>2002</v>
      </c>
      <c r="E3462" s="10" t="str">
        <f ca="1">IFERROR(__xludf.DUMMYFUNCTION("""COMPUTED_VALUE"""),"Cybernetics and Information Technologies, Volume 2, № 1, pp. 58-72, (ISSN 1311-9702)")</f>
        <v>Cybernetics and Information Technologies, Volume 2, № 1, pp. 58-72, (ISSN 1311-9702)</v>
      </c>
      <c r="F3462" s="10"/>
      <c r="G3462" s="10" t="str">
        <f ca="1">IFERROR(__xludf.DUMMYFUNCTION("""COMPUTED_VALUE"""),"C. Kabakchiev")</f>
        <v>C. Kabakchiev</v>
      </c>
      <c r="H3462" s="10"/>
      <c r="I3462" s="10"/>
      <c r="J3462" s="10"/>
      <c r="K3462" s="10"/>
      <c r="L3462" s="10"/>
      <c r="M3462" s="10"/>
      <c r="N3462" s="10"/>
      <c r="O3462" s="10"/>
      <c r="P3462" s="10"/>
      <c r="Q3462" s="10"/>
      <c r="R3462" s="10"/>
      <c r="S3462" s="10"/>
      <c r="T3462" s="10"/>
      <c r="U3462" s="10"/>
      <c r="V3462" s="10"/>
      <c r="W3462" s="10"/>
      <c r="X3462" s="10"/>
      <c r="Y3462" s="10"/>
      <c r="Z3462" s="10"/>
    </row>
    <row r="3463" spans="1:26" ht="12.75">
      <c r="A3463" s="10" t="str">
        <f ca="1">IFERROR(__xludf.DUMMYFUNCTION("""COMPUTED_VALUE"""),"Иван Ганчев Гарванов")</f>
        <v>Иван Ганчев Гарванов</v>
      </c>
      <c r="B3463" s="10" t="str">
        <f ca="1">IFERROR(__xludf.DUMMYFUNCTION("""COMPUTED_VALUE"""),"Доклад от конференция")</f>
        <v>Доклад от конференция</v>
      </c>
      <c r="C3463" s="10" t="str">
        <f ca="1">IFERROR(__xludf.DUMMYFUNCTION("""COMPUTED_VALUE"""),"Average Decision Threshold of CA CFAR and Excision CFAR Detectors in the Presence of Strong Pulse Jamming")</f>
        <v>Average Decision Threshold of CA CFAR and Excision CFAR Detectors in the Presence of Strong Pulse Jamming</v>
      </c>
      <c r="D3463" s="10">
        <f ca="1">IFERROR(__xludf.DUMMYFUNCTION("""COMPUTED_VALUE"""),2002)</f>
        <v>2002</v>
      </c>
      <c r="E3463" s="10" t="str">
        <f ca="1">IFERROR(__xludf.DUMMYFUNCTION("""COMPUTED_VALUE"""),"Proc. of the German Radar Symposium “GRS 2002”, Bonn, Germany, pp.615-620")</f>
        <v>Proc. of the German Radar Symposium “GRS 2002”, Bonn, Germany, pp.615-620</v>
      </c>
      <c r="F3463" s="10"/>
      <c r="G3463" s="10" t="str">
        <f ca="1">IFERROR(__xludf.DUMMYFUNCTION("""COMPUTED_VALUE"""),"C. Kabakchiev")</f>
        <v>C. Kabakchiev</v>
      </c>
      <c r="H3463" s="10"/>
      <c r="I3463" s="10"/>
      <c r="J3463" s="10"/>
      <c r="K3463" s="10"/>
      <c r="L3463" s="10"/>
      <c r="M3463" s="10"/>
      <c r="N3463" s="10"/>
      <c r="O3463" s="10"/>
      <c r="P3463" s="10"/>
      <c r="Q3463" s="10"/>
      <c r="R3463" s="10"/>
      <c r="S3463" s="10"/>
      <c r="T3463" s="10"/>
      <c r="U3463" s="10"/>
      <c r="V3463" s="10"/>
      <c r="W3463" s="10"/>
      <c r="X3463" s="10"/>
      <c r="Y3463" s="10"/>
      <c r="Z3463" s="10"/>
    </row>
    <row r="3464" spans="1:26" ht="12.75">
      <c r="A3464" s="10" t="str">
        <f ca="1">IFERROR(__xludf.DUMMYFUNCTION("""COMPUTED_VALUE"""),"Иван Ганчев Гарванов")</f>
        <v>Иван Ганчев Гарванов</v>
      </c>
      <c r="B3464" s="10" t="str">
        <f ca="1">IFERROR(__xludf.DUMMYFUNCTION("""COMPUTED_VALUE"""),"Статия в списания и поредици")</f>
        <v>Статия в списания и поредици</v>
      </c>
      <c r="C3464" s="10" t="str">
        <f ca="1">IFERROR(__xludf.DUMMYFUNCTION("""COMPUTED_VALUE"""),"Comparative Analysis of Losses of Hough Transform in Pulse Jamming")</f>
        <v>Comparative Analysis of Losses of Hough Transform in Pulse Jamming</v>
      </c>
      <c r="D3464" s="10">
        <f ca="1">IFERROR(__xludf.DUMMYFUNCTION("""COMPUTED_VALUE"""),2001)</f>
        <v>2001</v>
      </c>
      <c r="E3464" s="10" t="str">
        <f ca="1">IFERROR(__xludf.DUMMYFUNCTION("""COMPUTED_VALUE"""),"IIT/WP-120, pp. 1-5 (ISSN 1310-652X)")</f>
        <v>IIT/WP-120, pp. 1-5 (ISSN 1310-652X)</v>
      </c>
      <c r="F3464" s="10"/>
      <c r="G3464" s="10" t="str">
        <f ca="1">IFERROR(__xludf.DUMMYFUNCTION("""COMPUTED_VALUE"""),"Kabakchiev C., L. Doukovska")</f>
        <v>Kabakchiev C., L. Doukovska</v>
      </c>
      <c r="H3464" s="10"/>
      <c r="I3464" s="10"/>
      <c r="J3464" s="10"/>
      <c r="K3464" s="10"/>
      <c r="L3464" s="10"/>
      <c r="M3464" s="10"/>
      <c r="N3464" s="10"/>
      <c r="O3464" s="10"/>
      <c r="P3464" s="10"/>
      <c r="Q3464" s="10"/>
      <c r="R3464" s="10"/>
      <c r="S3464" s="10"/>
      <c r="T3464" s="10"/>
      <c r="U3464" s="10"/>
      <c r="V3464" s="10"/>
      <c r="W3464" s="10"/>
      <c r="X3464" s="10"/>
      <c r="Y3464" s="10"/>
      <c r="Z3464" s="10"/>
    </row>
    <row r="3465" spans="1:26" ht="12.75">
      <c r="A3465" s="10" t="str">
        <f ca="1">IFERROR(__xludf.DUMMYFUNCTION("""COMPUTED_VALUE"""),"Иван Ганчев Гарванов")</f>
        <v>Иван Ганчев Гарванов</v>
      </c>
      <c r="B3465" s="10" t="str">
        <f ca="1">IFERROR(__xludf.DUMMYFUNCTION("""COMPUTED_VALUE"""),"Доклад от конференция")</f>
        <v>Доклад от конференция</v>
      </c>
      <c r="C3465" s="10" t="str">
        <f ca="1">IFERROR(__xludf.DUMMYFUNCTION("""COMPUTED_VALUE"""),"Осреднени характеристики на различни устройства поддържащи постоянна честота на лъжлива тревога в условията на хаотично импулсни смущения")</f>
        <v>Осреднени характеристики на различни устройства поддържащи постоянна честота на лъжлива тревога в условията на хаотично импулсни смущения</v>
      </c>
      <c r="D3465" s="10">
        <f ca="1">IFERROR(__xludf.DUMMYFUNCTION("""COMPUTED_VALUE"""),2000)</f>
        <v>2000</v>
      </c>
      <c r="E3465" s="10" t="str">
        <f ca="1">IFERROR(__xludf.DUMMYFUNCTION("""COMPUTED_VALUE"""),"НТС, Младежка научна сесия’2000, стр.250-255")</f>
        <v>НТС, Младежка научна сесия’2000, стр.250-255</v>
      </c>
      <c r="F3465" s="10"/>
      <c r="G3465" s="10" t="str">
        <f ca="1">IFERROR(__xludf.DUMMYFUNCTION("""COMPUTED_VALUE"""),"Бехар В., Х. Кабакчиев, Л. Дуковска")</f>
        <v>Бехар В., Х. Кабакчиев, Л. Дуковска</v>
      </c>
      <c r="H3465" s="10"/>
      <c r="I3465" s="10"/>
      <c r="J3465" s="10"/>
      <c r="K3465" s="10"/>
      <c r="L3465" s="10"/>
      <c r="M3465" s="10"/>
      <c r="N3465" s="10"/>
      <c r="O3465" s="10"/>
      <c r="P3465" s="10"/>
      <c r="Q3465" s="10"/>
      <c r="R3465" s="10"/>
      <c r="S3465" s="10"/>
      <c r="T3465" s="10"/>
      <c r="U3465" s="10"/>
      <c r="V3465" s="10"/>
      <c r="W3465" s="10"/>
      <c r="X3465" s="10"/>
      <c r="Y3465" s="10"/>
      <c r="Z3465" s="10"/>
    </row>
    <row r="3466" spans="1:26" ht="12.75">
      <c r="A3466" s="10" t="str">
        <f ca="1">IFERROR(__xludf.DUMMYFUNCTION("""COMPUTED_VALUE"""),"Иван Ганчев Гарванов")</f>
        <v>Иван Ганчев Гарванов</v>
      </c>
      <c r="B3466" s="10" t="str">
        <f ca="1">IFERROR(__xludf.DUMMYFUNCTION("""COMPUTED_VALUE"""),"Доклад от конференция")</f>
        <v>Доклад от конференция</v>
      </c>
      <c r="C3466" s="10" t="str">
        <f ca="1">IFERROR(__xludf.DUMMYFUNCTION("""COMPUTED_VALUE"""),"Анализ на процесори поддържащи постоянна честота на лъжлива тревога в условията на нехомогенни импулсни смущения")</f>
        <v>Анализ на процесори поддържащи постоянна честота на лъжлива тревога в условията на нехомогенни импулсни смущения</v>
      </c>
      <c r="D3466" s="10">
        <f ca="1">IFERROR(__xludf.DUMMYFUNCTION("""COMPUTED_VALUE"""),2000)</f>
        <v>2000</v>
      </c>
      <c r="E3466" s="10" t="str">
        <f ca="1">IFERROR(__xludf.DUMMYFUNCTION("""COMPUTED_VALUE"""),"НТС, Младежка научна сесия’2000, стр.244-249")</f>
        <v>НТС, Младежка научна сесия’2000, стр.244-249</v>
      </c>
      <c r="F3466" s="10"/>
      <c r="G3466" s="10" t="str">
        <f ca="1">IFERROR(__xludf.DUMMYFUNCTION("""COMPUTED_VALUE"""),"Бехар В., Х. Кабакчиев, Л. Дуковска")</f>
        <v>Бехар В., Х. Кабакчиев, Л. Дуковска</v>
      </c>
      <c r="H3466" s="10"/>
      <c r="I3466" s="10"/>
      <c r="J3466" s="10"/>
      <c r="K3466" s="10"/>
      <c r="L3466" s="10"/>
      <c r="M3466" s="10"/>
      <c r="N3466" s="10"/>
      <c r="O3466" s="10"/>
      <c r="P3466" s="10"/>
      <c r="Q3466" s="10"/>
      <c r="R3466" s="10"/>
      <c r="S3466" s="10"/>
      <c r="T3466" s="10"/>
      <c r="U3466" s="10"/>
      <c r="V3466" s="10"/>
      <c r="W3466" s="10"/>
      <c r="X3466" s="10"/>
      <c r="Y3466" s="10"/>
      <c r="Z3466" s="10"/>
    </row>
    <row r="3467" spans="1:26" ht="12.75">
      <c r="A3467" s="10" t="str">
        <f ca="1">IFERROR(__xludf.DUMMYFUNCTION("""COMPUTED_VALUE"""),"Иван Ганчев Гарванов")</f>
        <v>Иван Ганчев Гарванов</v>
      </c>
      <c r="B3467" s="10" t="str">
        <f ca="1">IFERROR(__xludf.DUMMYFUNCTION("""COMPUTED_VALUE"""),"Статия в списания и поредици")</f>
        <v>Статия в списания и поредици</v>
      </c>
      <c r="C3467" s="10" t="str">
        <f ca="1">IFERROR(__xludf.DUMMYFUNCTION("""COMPUTED_VALUE"""),"Comparative Analysis of Losses of CA CFAR Processors in Pulse Jamming")</f>
        <v>Comparative Analysis of Losses of CA CFAR Processors in Pulse Jamming</v>
      </c>
      <c r="D3467" s="10">
        <f ca="1">IFERROR(__xludf.DUMMYFUNCTION("""COMPUTED_VALUE"""),2000)</f>
        <v>2000</v>
      </c>
      <c r="E3467" s="10" t="str">
        <f ca="1">IFERROR(__xludf.DUMMYFUNCTION("""COMPUTED_VALUE"""),"IIT/ WP-110B, pp. 1-12 (ISSN 1310-652X)")</f>
        <v>IIT/ WP-110B, pp. 1-12 (ISSN 1310-652X)</v>
      </c>
      <c r="F3467" s="10"/>
      <c r="G3467" s="10" t="str">
        <f ca="1">IFERROR(__xludf.DUMMYFUNCTION("""COMPUTED_VALUE"""),"Kabakchiev C., L. Doukovska")</f>
        <v>Kabakchiev C., L. Doukovska</v>
      </c>
      <c r="H3467" s="10"/>
      <c r="I3467" s="10"/>
      <c r="J3467" s="10"/>
      <c r="K3467" s="10"/>
      <c r="L3467" s="10"/>
      <c r="M3467" s="10"/>
      <c r="N3467" s="10"/>
      <c r="O3467" s="10"/>
      <c r="P3467" s="10"/>
      <c r="Q3467" s="10"/>
      <c r="R3467" s="10"/>
      <c r="S3467" s="10"/>
      <c r="T3467" s="10"/>
      <c r="U3467" s="10"/>
      <c r="V3467" s="10"/>
      <c r="W3467" s="10"/>
      <c r="X3467" s="10"/>
      <c r="Y3467" s="10"/>
      <c r="Z3467" s="10"/>
    </row>
    <row r="3468" spans="1:26" ht="12.75">
      <c r="A3468" s="10" t="str">
        <f ca="1">IFERROR(__xludf.DUMMYFUNCTION("""COMPUTED_VALUE"""),"Иван Драгов Тренчев")</f>
        <v>Иван Драгов Тренчев</v>
      </c>
      <c r="B3468" s="10" t="str">
        <f ca="1">IFERROR(__xludf.DUMMYFUNCTION("""COMPUTED_VALUE"""),"Статия в списания и поредици")</f>
        <v>Статия в списания и поредици</v>
      </c>
      <c r="C3468" s="10" t="str">
        <f ca="1">IFERROR(__xludf.DUMMYFUNCTION("""COMPUTED_VALUE"""),"THE USE OF MIXED REALITY FOR CULTURAL AND HISTORICAL EDUCATION")</f>
        <v>THE USE OF MIXED REALITY FOR CULTURAL AND HISTORICAL EDUCATION</v>
      </c>
      <c r="D3468" s="10">
        <f ca="1">IFERROR(__xludf.DUMMYFUNCTION("""COMPUTED_VALUE"""),2020)</f>
        <v>2020</v>
      </c>
      <c r="E3468" s="10" t="str">
        <f ca="1">IFERROR(__xludf.DUMMYFUNCTION("""COMPUTED_VALUE"""),"INTED2020 Proceedings, pp. 2692-2699, ISBN: 978-84-09-17939-8, ISSN: 2340-1079")</f>
        <v>INTED2020 Proceedings, pp. 2692-2699, ISBN: 978-84-09-17939-8, ISSN: 2340-1079</v>
      </c>
      <c r="F3468" s="10"/>
      <c r="G3468" s="10" t="str">
        <f ca="1">IFERROR(__xludf.DUMMYFUNCTION("""COMPUTED_VALUE"""),"I. Peteva, S. Denchev, I. Trenchev")</f>
        <v>I. Peteva, S. Denchev, I. Trenchev</v>
      </c>
      <c r="H3468" s="10"/>
      <c r="I3468" s="10"/>
      <c r="J3468" s="10"/>
      <c r="K3468" s="10"/>
      <c r="L3468" s="10"/>
      <c r="M3468" s="10"/>
      <c r="N3468" s="10"/>
      <c r="O3468" s="10"/>
      <c r="P3468" s="10"/>
      <c r="Q3468" s="10"/>
      <c r="R3468" s="10"/>
      <c r="S3468" s="10"/>
      <c r="T3468" s="10"/>
      <c r="U3468" s="10"/>
      <c r="V3468" s="10"/>
      <c r="W3468" s="10"/>
      <c r="X3468" s="10"/>
      <c r="Y3468" s="10"/>
      <c r="Z3468" s="10"/>
    </row>
    <row r="3469" spans="1:26" ht="12.75">
      <c r="A3469" s="10" t="str">
        <f ca="1">IFERROR(__xludf.DUMMYFUNCTION("""COMPUTED_VALUE"""),"Иван Драгов Тренчев")</f>
        <v>Иван Драгов Тренчев</v>
      </c>
      <c r="B3469" s="10" t="str">
        <f ca="1">IFERROR(__xludf.DUMMYFUNCTION("""COMPUTED_VALUE"""),"Статия в списания и поредици")</f>
        <v>Статия в списания и поредици</v>
      </c>
      <c r="C3469" s="10" t="str">
        <f ca="1">IFERROR(__xludf.DUMMYFUNCTION("""COMPUTED_VALUE"""),"Finding the shortest path in a graph and its visualization using C# and WPF")</f>
        <v>Finding the shortest path in a graph and its visualization using C# and WPF</v>
      </c>
      <c r="D3469" s="10">
        <f ca="1">IFERROR(__xludf.DUMMYFUNCTION("""COMPUTED_VALUE"""),2020)</f>
        <v>2020</v>
      </c>
      <c r="E3469" s="10" t="str">
        <f ca="1">IFERROR(__xludf.DUMMYFUNCTION("""COMPUTED_VALUE"""),"International Journal of Electrical and Computer Engineering, Vol.10, No.2, April 2020, pp. 2054~2059, ISSN: 2088-8708, pp2054-2059")</f>
        <v>International Journal of Electrical and Computer Engineering, Vol.10, No.2, April 2020, pp. 2054~2059, ISSN: 2088-8708, pp2054-2059</v>
      </c>
      <c r="F3469" s="10"/>
      <c r="G3469" s="10" t="str">
        <f ca="1">IFERROR(__xludf.DUMMYFUNCTION("""COMPUTED_VALUE"""),"Mavrevski, R., Traykov, M., Trenchev, I.")</f>
        <v>Mavrevski, R., Traykov, M., Trenchev, I.</v>
      </c>
      <c r="H3469" s="10"/>
      <c r="I3469" s="10"/>
      <c r="J3469" s="10"/>
      <c r="K3469" s="10"/>
      <c r="L3469" s="10"/>
      <c r="M3469" s="10"/>
      <c r="N3469" s="10"/>
      <c r="O3469" s="10"/>
      <c r="P3469" s="10"/>
      <c r="Q3469" s="10"/>
      <c r="R3469" s="10"/>
      <c r="S3469" s="10"/>
      <c r="T3469" s="10"/>
      <c r="U3469" s="10"/>
      <c r="V3469" s="10"/>
      <c r="W3469" s="10"/>
      <c r="X3469" s="10"/>
      <c r="Y3469" s="10"/>
      <c r="Z3469" s="10"/>
    </row>
    <row r="3470" spans="1:26" ht="12.75">
      <c r="A3470" s="10" t="str">
        <f ca="1">IFERROR(__xludf.DUMMYFUNCTION("""COMPUTED_VALUE"""),"Иван Драгов Тренчев")</f>
        <v>Иван Драгов Тренчев</v>
      </c>
      <c r="B3470" s="10" t="str">
        <f ca="1">IFERROR(__xludf.DUMMYFUNCTION("""COMPUTED_VALUE"""),"Статия в списания и поредици")</f>
        <v>Статия в списания и поредици</v>
      </c>
      <c r="C3470" s="10" t="str">
        <f ca="1">IFERROR(__xludf.DUMMYFUNCTION("""COMPUTED_VALUE"""),"APPLICATION OF THE GAME ENGINE IN THE PROMOTION AND TRAINING OF THE CULTURAL HERITAGE")</f>
        <v>APPLICATION OF THE GAME ENGINE IN THE PROMOTION AND TRAINING OF THE CULTURAL HERITAGE</v>
      </c>
      <c r="D3470" s="10">
        <f ca="1">IFERROR(__xludf.DUMMYFUNCTION("""COMPUTED_VALUE"""),2020)</f>
        <v>2020</v>
      </c>
      <c r="E3470" s="10" t="str">
        <f ca="1">IFERROR(__xludf.DUMMYFUNCTION("""COMPUTED_VALUE"""),"INTED2020 Proceedings, pp. 2700-2706, ISBN: 978-84-09-17939-8, ISSN: 2340-1079")</f>
        <v>INTED2020 Proceedings, pp. 2700-2706, ISBN: 978-84-09-17939-8, ISSN: 2340-1079</v>
      </c>
      <c r="F3470" s="10"/>
      <c r="G3470" s="10" t="str">
        <f ca="1">IFERROR(__xludf.DUMMYFUNCTION("""COMPUTED_VALUE"""),"S. Denchev, T. Trencheva, I. Trenchev")</f>
        <v>S. Denchev, T. Trencheva, I. Trenchev</v>
      </c>
      <c r="H3470" s="10"/>
      <c r="I3470" s="10"/>
      <c r="J3470" s="10"/>
      <c r="K3470" s="10"/>
      <c r="L3470" s="10"/>
      <c r="M3470" s="10"/>
      <c r="N3470" s="10"/>
      <c r="O3470" s="10"/>
      <c r="P3470" s="10"/>
      <c r="Q3470" s="10"/>
      <c r="R3470" s="10"/>
      <c r="S3470" s="10"/>
      <c r="T3470" s="10"/>
      <c r="U3470" s="10"/>
      <c r="V3470" s="10"/>
      <c r="W3470" s="10"/>
      <c r="X3470" s="10"/>
      <c r="Y3470" s="10"/>
      <c r="Z3470" s="10"/>
    </row>
    <row r="3471" spans="1:26" ht="12.75">
      <c r="A3471" s="10" t="str">
        <f ca="1">IFERROR(__xludf.DUMMYFUNCTION("""COMPUTED_VALUE"""),"Иван Драгов Тренчев")</f>
        <v>Иван Драгов Тренчев</v>
      </c>
      <c r="B3471" s="10" t="str">
        <f ca="1">IFERROR(__xludf.DUMMYFUNCTION("""COMPUTED_VALUE"""),"Статия в списания и поредици")</f>
        <v>Статия в списания и поредици</v>
      </c>
      <c r="C3471" s="10" t="str">
        <f ca="1">IFERROR(__xludf.DUMMYFUNCTION("""COMPUTED_VALUE"""),"Multitasking in embedded system designs")</f>
        <v>Multitasking in embedded system designs</v>
      </c>
      <c r="D3471" s="10">
        <f ca="1">IFERROR(__xludf.DUMMYFUNCTION("""COMPUTED_VALUE"""),2019)</f>
        <v>2019</v>
      </c>
      <c r="E3471" s="10" t="str">
        <f ca="1">IFERROR(__xludf.DUMMYFUNCTION("""COMPUTED_VALUE"""),"International journal of online and biomedical engineering, Volume 15, Issue 9, 2019, Pages 44-57, eISSN: 2626-8493")</f>
        <v>International journal of online and biomedical engineering, Volume 15, Issue 9, 2019, Pages 44-57, eISSN: 2626-8493</v>
      </c>
      <c r="F3471" s="10" t="str">
        <f ca="1">IFERROR(__xludf.DUMMYFUNCTION("""COMPUTED_VALUE"""),"Scopus")</f>
        <v>Scopus</v>
      </c>
      <c r="G3471" s="10" t="str">
        <f ca="1">IFERROR(__xludf.DUMMYFUNCTION("""COMPUTED_VALUE"""),"Mavrevski, R., Traykov, M.")</f>
        <v>Mavrevski, R., Traykov, M.</v>
      </c>
      <c r="H3471" s="10"/>
      <c r="I3471" s="10"/>
      <c r="J3471" s="10"/>
      <c r="K3471" s="10"/>
      <c r="L3471" s="10"/>
      <c r="M3471" s="10"/>
      <c r="N3471" s="10"/>
      <c r="O3471" s="10"/>
      <c r="P3471" s="10"/>
      <c r="Q3471" s="10"/>
      <c r="R3471" s="10"/>
      <c r="S3471" s="10"/>
      <c r="T3471" s="10"/>
      <c r="U3471" s="10"/>
      <c r="V3471" s="10"/>
      <c r="W3471" s="10"/>
      <c r="X3471" s="10"/>
      <c r="Y3471" s="10"/>
      <c r="Z3471" s="10"/>
    </row>
    <row r="3472" spans="1:26" ht="12.75">
      <c r="A3472" s="10" t="str">
        <f ca="1">IFERROR(__xludf.DUMMYFUNCTION("""COMPUTED_VALUE"""),"Иван Драгов Тренчев")</f>
        <v>Иван Драгов Тренчев</v>
      </c>
      <c r="B3472" s="10" t="str">
        <f ca="1">IFERROR(__xludf.DUMMYFUNCTION("""COMPUTED_VALUE"""),"Статия в списания и поредици")</f>
        <v>Статия в списания и поредици</v>
      </c>
      <c r="C3472" s="10" t="str">
        <f ca="1">IFERROR(__xludf.DUMMYFUNCTION("""COMPUTED_VALUE"""),"Topology-Dependent Dissociation Mode of the O-H Bond in Monohydroxycoumarins")</f>
        <v>Topology-Dependent Dissociation Mode of the O-H Bond in Monohydroxycoumarins</v>
      </c>
      <c r="D3472" s="10">
        <f ca="1">IFERROR(__xludf.DUMMYFUNCTION("""COMPUTED_VALUE"""),2019)</f>
        <v>2019</v>
      </c>
      <c r="E3472" s="10" t="str">
        <f ca="1">IFERROR(__xludf.DUMMYFUNCTION("""COMPUTED_VALUE"""),"Journal of Physical Chemistry A, Volume 123, Issue 24, Pages 5106-5113, ISSN:1089-5639, E-ISSN:1520-5215")</f>
        <v>Journal of Physical Chemistry A, Volume 123, Issue 24, Pages 5106-5113, ISSN:1089-5639, E-ISSN:1520-5215</v>
      </c>
      <c r="F3472" s="10" t="str">
        <f ca="1">IFERROR(__xludf.DUMMYFUNCTION("""COMPUTED_VALUE"""),"Web of Science")</f>
        <v>Web of Science</v>
      </c>
      <c r="G3472" s="10" t="str">
        <f ca="1">IFERROR(__xludf.DUMMYFUNCTION("""COMPUTED_VALUE"""),"Velkov, Z. , Traykov, M. Saso, L., Tadjer, A.")</f>
        <v>Velkov, Z. , Traykov, M. Saso, L., Tadjer, A.</v>
      </c>
      <c r="H3472" s="10"/>
      <c r="I3472" s="10"/>
      <c r="J3472" s="10"/>
      <c r="K3472" s="10"/>
      <c r="L3472" s="10"/>
      <c r="M3472" s="10"/>
      <c r="N3472" s="10"/>
      <c r="O3472" s="10"/>
      <c r="P3472" s="10"/>
      <c r="Q3472" s="10"/>
      <c r="R3472" s="10"/>
      <c r="S3472" s="10"/>
      <c r="T3472" s="10"/>
      <c r="U3472" s="10"/>
      <c r="V3472" s="10"/>
      <c r="W3472" s="10"/>
      <c r="X3472" s="10"/>
      <c r="Y3472" s="10"/>
      <c r="Z3472" s="10"/>
    </row>
    <row r="3473" spans="1:26" ht="12.75">
      <c r="A3473" s="10" t="str">
        <f ca="1">IFERROR(__xludf.DUMMYFUNCTION("""COMPUTED_VALUE"""),"Иван Драгов Тренчев")</f>
        <v>Иван Драгов Тренчев</v>
      </c>
      <c r="B3473" s="10" t="str">
        <f ca="1">IFERROR(__xludf.DUMMYFUNCTION("""COMPUTED_VALUE"""),"Статия в списания и поредици")</f>
        <v>Статия в списания и поредици</v>
      </c>
      <c r="C3473" s="10" t="str">
        <f ca="1">IFERROR(__xludf.DUMMYFUNCTION("""COMPUTED_VALUE"""),"Modeling of digital converter for GSM signals with MATLAB")</f>
        <v>Modeling of digital converter for GSM signals with MATLAB</v>
      </c>
      <c r="D3473" s="10">
        <f ca="1">IFERROR(__xludf.DUMMYFUNCTION("""COMPUTED_VALUE"""),2019)</f>
        <v>2019</v>
      </c>
      <c r="E3473" s="10" t="str">
        <f ca="1">IFERROR(__xludf.DUMMYFUNCTION("""COMPUTED_VALUE"""),"International Journal of Electrical and Computer Engineering Vol. 9, 5, pp. 4417-4422, E-ISSN:2088-8708")</f>
        <v>International Journal of Electrical and Computer Engineering Vol. 9, 5, pp. 4417-4422, E-ISSN:2088-8708</v>
      </c>
      <c r="F3473" s="10" t="str">
        <f ca="1">IFERROR(__xludf.DUMMYFUNCTION("""COMPUTED_VALUE"""),"Scopus")</f>
        <v>Scopus</v>
      </c>
      <c r="G3473" s="10" t="str">
        <f ca="1">IFERROR(__xludf.DUMMYFUNCTION("""COMPUTED_VALUE"""),"Traykov, M. Mavrevski, R.")</f>
        <v>Traykov, M. Mavrevski, R.</v>
      </c>
      <c r="H3473" s="10"/>
      <c r="I3473" s="10"/>
      <c r="J3473" s="10"/>
      <c r="K3473" s="10"/>
      <c r="L3473" s="10"/>
      <c r="M3473" s="10"/>
      <c r="N3473" s="10"/>
      <c r="O3473" s="10"/>
      <c r="P3473" s="10"/>
      <c r="Q3473" s="10"/>
      <c r="R3473" s="10"/>
      <c r="S3473" s="10"/>
      <c r="T3473" s="10"/>
      <c r="U3473" s="10"/>
      <c r="V3473" s="10"/>
      <c r="W3473" s="10"/>
      <c r="X3473" s="10"/>
      <c r="Y3473" s="10"/>
      <c r="Z3473" s="10"/>
    </row>
    <row r="3474" spans="1:26" ht="12.75">
      <c r="A3474" s="10" t="str">
        <f ca="1">IFERROR(__xludf.DUMMYFUNCTION("""COMPUTED_VALUE"""),"Иван Драгов Тренчев")</f>
        <v>Иван Драгов Тренчев</v>
      </c>
      <c r="B3474" s="10" t="str">
        <f ca="1">IFERROR(__xludf.DUMMYFUNCTION("""COMPUTED_VALUE"""),"Доклад от конференция")</f>
        <v>Доклад от конференция</v>
      </c>
      <c r="C3474" s="10" t="str">
        <f ca="1">IFERROR(__xludf.DUMMYFUNCTION("""COMPUTED_VALUE"""),"Mixed reality as new opportunity in the preservation and promotion of the cultural and historical heritage")</f>
        <v>Mixed reality as new opportunity in the preservation and promotion of the cultural and historical heritage</v>
      </c>
      <c r="D3474" s="10">
        <f ca="1">IFERROR(__xludf.DUMMYFUNCTION("""COMPUTED_VALUE"""),2019)</f>
        <v>2019</v>
      </c>
      <c r="E3474" s="10" t="str">
        <f ca="1">IFERROR(__xludf.DUMMYFUNCTION("""COMPUTED_VALUE"""),"EDULEARN19 Proceedings 11th International Conference on Education and New Learning Technologies July 1st-3rd, 2019 — Palma, Mallorca, Spain, pp. 2451 – 2456, ISBN: 978-84-09-12031-4 ISSN: 2340-1117")</f>
        <v>EDULEARN19 Proceedings 11th International Conference on Education and New Learning Technologies July 1st-3rd, 2019 — Palma, Mallorca, Spain, pp. 2451 – 2456, ISBN: 978-84-09-12031-4 ISSN: 2340-1117</v>
      </c>
      <c r="F3474" s="10" t="str">
        <f ca="1">IFERROR(__xludf.DUMMYFUNCTION("""COMPUTED_VALUE"""),"Web of Science")</f>
        <v>Web of Science</v>
      </c>
      <c r="G3474" s="10" t="str">
        <f ca="1">IFERROR(__xludf.DUMMYFUNCTION("""COMPUTED_VALUE"""),"Peteva I., Denchev S.")</f>
        <v>Peteva I., Denchev S.</v>
      </c>
      <c r="H3474" s="10"/>
      <c r="I3474" s="10"/>
      <c r="J3474" s="10"/>
      <c r="K3474" s="10"/>
      <c r="L3474" s="10"/>
      <c r="M3474" s="10"/>
      <c r="N3474" s="10"/>
      <c r="O3474" s="10"/>
      <c r="P3474" s="10"/>
      <c r="Q3474" s="10"/>
      <c r="R3474" s="10"/>
      <c r="S3474" s="10"/>
      <c r="T3474" s="10"/>
      <c r="U3474" s="10"/>
      <c r="V3474" s="10"/>
      <c r="W3474" s="10"/>
      <c r="X3474" s="10"/>
      <c r="Y3474" s="10"/>
      <c r="Z3474" s="10"/>
    </row>
    <row r="3475" spans="1:26" ht="12.75">
      <c r="A3475" s="10" t="str">
        <f ca="1">IFERROR(__xludf.DUMMYFUNCTION("""COMPUTED_VALUE"""),"Иван Драгов Тренчев")</f>
        <v>Иван Драгов Тренчев</v>
      </c>
      <c r="B3475" s="10" t="str">
        <f ca="1">IFERROR(__xludf.DUMMYFUNCTION("""COMPUTED_VALUE"""),"Статия в списания и поредици")</f>
        <v>Статия в списания и поредици</v>
      </c>
      <c r="C3475" s="10" t="str">
        <f ca="1">IFERROR(__xludf.DUMMYFUNCTION("""COMPUTED_VALUE"""),"Interactive approach to learning of sorting algorithms")</f>
        <v>Interactive approach to learning of sorting algorithms</v>
      </c>
      <c r="D3475" s="10">
        <f ca="1">IFERROR(__xludf.DUMMYFUNCTION("""COMPUTED_VALUE"""),2019)</f>
        <v>2019</v>
      </c>
      <c r="E3475" s="10" t="str">
        <f ca="1">IFERROR(__xludf.DUMMYFUNCTION("""COMPUTED_VALUE"""),"International journal of online and biomedical engineering, Volume 15, Issue 8, 2019, Pages 120-134, eISSN: 2626-8493")</f>
        <v>International journal of online and biomedical engineering, Volume 15, Issue 8, 2019, Pages 120-134, eISSN: 2626-8493</v>
      </c>
      <c r="F3475" s="10" t="str">
        <f ca="1">IFERROR(__xludf.DUMMYFUNCTION("""COMPUTED_VALUE"""),"Scopus")</f>
        <v>Scopus</v>
      </c>
      <c r="G3475" s="10" t="str">
        <f ca="1">IFERROR(__xludf.DUMMYFUNCTION("""COMPUTED_VALUE"""),"Mavrevski, R., Traykov, M.")</f>
        <v>Mavrevski, R., Traykov, M.</v>
      </c>
      <c r="H3475" s="10"/>
      <c r="I3475" s="10"/>
      <c r="J3475" s="10"/>
      <c r="K3475" s="10"/>
      <c r="L3475" s="10"/>
      <c r="M3475" s="10"/>
      <c r="N3475" s="10"/>
      <c r="O3475" s="10"/>
      <c r="P3475" s="10"/>
      <c r="Q3475" s="10"/>
      <c r="R3475" s="10"/>
      <c r="S3475" s="10"/>
      <c r="T3475" s="10"/>
      <c r="U3475" s="10"/>
      <c r="V3475" s="10"/>
      <c r="W3475" s="10"/>
      <c r="X3475" s="10"/>
      <c r="Y3475" s="10"/>
      <c r="Z3475" s="10"/>
    </row>
    <row r="3476" spans="1:26" ht="12.75">
      <c r="A3476" s="10" t="str">
        <f ca="1">IFERROR(__xludf.DUMMYFUNCTION("""COMPUTED_VALUE"""),"Иван Драгов Тренчев")</f>
        <v>Иван Драгов Тренчев</v>
      </c>
      <c r="B3476" s="10" t="str">
        <f ca="1">IFERROR(__xludf.DUMMYFUNCTION("""COMPUTED_VALUE"""),"Статия в списания и поредици")</f>
        <v>Статия в списания и поредици</v>
      </c>
      <c r="C3476" s="10" t="str">
        <f ca="1">IFERROR(__xludf.DUMMYFUNCTION("""COMPUTED_VALUE"""),"Risk Analysis in the Economics Through R Language")</f>
        <v>Risk Analysis in the Economics Through R Language</v>
      </c>
      <c r="D3476" s="10">
        <f ca="1">IFERROR(__xludf.DUMMYFUNCTION("""COMPUTED_VALUE"""),2018)</f>
        <v>2018</v>
      </c>
      <c r="E3476" s="10" t="str">
        <f ca="1">IFERROR(__xludf.DUMMYFUNCTION("""COMPUTED_VALUE"""),"WSEAS Transactions on Business and Economics, vol. 15, pp. 180-186, E-ISSN: 2224-2899")</f>
        <v>WSEAS Transactions on Business and Economics, vol. 15, pp. 180-186, E-ISSN: 2224-2899</v>
      </c>
      <c r="F3476" s="10" t="str">
        <f ca="1">IFERROR(__xludf.DUMMYFUNCTION("""COMPUTED_VALUE"""),"SCOPUS")</f>
        <v>SCOPUS</v>
      </c>
      <c r="G3476" s="10" t="str">
        <f ca="1">IFERROR(__xludf.DUMMYFUNCTION("""COMPUTED_VALUE"""),"M. Traykov, M. Trencheva, E. Stavrova, R. Mavrevski ,")</f>
        <v>M. Traykov, M. Trencheva, E. Stavrova, R. Mavrevski ,</v>
      </c>
      <c r="H3476" s="10"/>
      <c r="I3476" s="10"/>
      <c r="J3476" s="10"/>
      <c r="K3476" s="10"/>
      <c r="L3476" s="10"/>
      <c r="M3476" s="10"/>
      <c r="N3476" s="10"/>
      <c r="O3476" s="10"/>
      <c r="P3476" s="10"/>
      <c r="Q3476" s="10"/>
      <c r="R3476" s="10"/>
      <c r="S3476" s="10"/>
      <c r="T3476" s="10"/>
      <c r="U3476" s="10"/>
      <c r="V3476" s="10"/>
      <c r="W3476" s="10"/>
      <c r="X3476" s="10"/>
      <c r="Y3476" s="10"/>
      <c r="Z3476" s="10"/>
    </row>
    <row r="3477" spans="1:26" ht="12.75">
      <c r="A3477" s="10" t="str">
        <f ca="1">IFERROR(__xludf.DUMMYFUNCTION("""COMPUTED_VALUE"""),"Иван Драгов Тренчев")</f>
        <v>Иван Драгов Тренчев</v>
      </c>
      <c r="B3477" s="10" t="str">
        <f ca="1">IFERROR(__xludf.DUMMYFUNCTION("""COMPUTED_VALUE"""),"Статия в списания и поредици")</f>
        <v>Статия в списания и поредици</v>
      </c>
      <c r="C3477" s="10" t="str">
        <f ca="1">IFERROR(__xludf.DUMMYFUNCTION("""COMPUTED_VALUE"""),"Approaches to modeling of biological experimental data with Graphpad Prism software")</f>
        <v>Approaches to modeling of biological experimental data with Graphpad Prism software</v>
      </c>
      <c r="D3477" s="10">
        <f ca="1">IFERROR(__xludf.DUMMYFUNCTION("""COMPUTED_VALUE"""),2018)</f>
        <v>2018</v>
      </c>
      <c r="E3477" s="10" t="str">
        <f ca="1">IFERROR(__xludf.DUMMYFUNCTION("""COMPUTED_VALUE"""),"WSEAS Transactions on Systems and Control, vol. 13, 242-247, 2018. Print ISSN: 1991-8763")</f>
        <v>WSEAS Transactions on Systems and Control, vol. 13, 242-247, 2018. Print ISSN: 1991-8763</v>
      </c>
      <c r="F3477" s="10" t="str">
        <f ca="1">IFERROR(__xludf.DUMMYFUNCTION("""COMPUTED_VALUE"""),"SCOPUS")</f>
        <v>SCOPUS</v>
      </c>
      <c r="G3477" s="10" t="str">
        <f ca="1">IFERROR(__xludf.DUMMYFUNCTION("""COMPUTED_VALUE"""),"R. S. Mavrevski, M. G. Traykov, I. D. Trenchev, M. D. Trencheva")</f>
        <v>R. S. Mavrevski, M. G. Traykov, I. D. Trenchev, M. D. Trencheva</v>
      </c>
      <c r="H3477" s="10"/>
      <c r="I3477" s="10"/>
      <c r="J3477" s="10"/>
      <c r="K3477" s="10"/>
      <c r="L3477" s="10"/>
      <c r="M3477" s="10"/>
      <c r="N3477" s="10"/>
      <c r="O3477" s="10"/>
      <c r="P3477" s="10"/>
      <c r="Q3477" s="10"/>
      <c r="R3477" s="10"/>
      <c r="S3477" s="10"/>
      <c r="T3477" s="10"/>
      <c r="U3477" s="10"/>
      <c r="V3477" s="10"/>
      <c r="W3477" s="10"/>
      <c r="X3477" s="10"/>
      <c r="Y3477" s="10"/>
      <c r="Z3477" s="10"/>
    </row>
    <row r="3478" spans="1:26" ht="12.75">
      <c r="A3478" s="10" t="str">
        <f ca="1">IFERROR(__xludf.DUMMYFUNCTION("""COMPUTED_VALUE"""),"Иван Драгов Тренчев")</f>
        <v>Иван Драгов Тренчев</v>
      </c>
      <c r="B3478" s="10" t="str">
        <f ca="1">IFERROR(__xludf.DUMMYFUNCTION("""COMPUTED_VALUE"""),"Статия в списания и поредици")</f>
        <v>Статия в списания и поредици</v>
      </c>
      <c r="C3478" s="10" t="str">
        <f ca="1">IFERROR(__xludf.DUMMYFUNCTION("""COMPUTED_VALUE"""),"Investigation of the Relationship Between the Hydrophobicity of an Amino Acid and Codon, which shall Encodes")</f>
        <v>Investigation of the Relationship Between the Hydrophobicity of an Amino Acid and Codon, which shall Encodes</v>
      </c>
      <c r="D3478" s="10">
        <f ca="1">IFERROR(__xludf.DUMMYFUNCTION("""COMPUTED_VALUE"""),2018)</f>
        <v>2018</v>
      </c>
      <c r="E3478" s="10" t="str">
        <f ca="1">IFERROR(__xludf.DUMMYFUNCTION("""COMPUTED_VALUE"""),"WSEAS Transactions on Systems and Control, vol. 13, pp. 401-408, E-ISSN: 2224-2856")</f>
        <v>WSEAS Transactions on Systems and Control, vol. 13, pp. 401-408, E-ISSN: 2224-2856</v>
      </c>
      <c r="F3478" s="10" t="str">
        <f ca="1">IFERROR(__xludf.DUMMYFUNCTION("""COMPUTED_VALUE"""),"SCOPUS")</f>
        <v>SCOPUS</v>
      </c>
      <c r="G3478" s="10" t="str">
        <f ca="1">IFERROR(__xludf.DUMMYFUNCTION("""COMPUTED_VALUE"""),"M. Traykov, R. Mavrevski, V. Popchev")</f>
        <v>M. Traykov, R. Mavrevski, V. Popchev</v>
      </c>
      <c r="H3478" s="10"/>
      <c r="I3478" s="10"/>
      <c r="J3478" s="10"/>
      <c r="K3478" s="10"/>
      <c r="L3478" s="10"/>
      <c r="M3478" s="10"/>
      <c r="N3478" s="10"/>
      <c r="O3478" s="10"/>
      <c r="P3478" s="10"/>
      <c r="Q3478" s="10"/>
      <c r="R3478" s="10"/>
      <c r="S3478" s="10"/>
      <c r="T3478" s="10"/>
      <c r="U3478" s="10"/>
      <c r="V3478" s="10"/>
      <c r="W3478" s="10"/>
      <c r="X3478" s="10"/>
      <c r="Y3478" s="10"/>
      <c r="Z3478" s="10"/>
    </row>
    <row r="3479" spans="1:26" ht="12.75">
      <c r="A3479" s="10" t="str">
        <f ca="1">IFERROR(__xludf.DUMMYFUNCTION("""COMPUTED_VALUE"""),"Иван Драгов Тренчев")</f>
        <v>Иван Драгов Тренчев</v>
      </c>
      <c r="B3479" s="10" t="str">
        <f ca="1">IFERROR(__xludf.DUMMYFUNCTION("""COMPUTED_VALUE"""),"Статия в списания и поредици")</f>
        <v>Статия в списания и поредици</v>
      </c>
      <c r="C3479" s="10" t="str">
        <f ca="1">IFERROR(__xludf.DUMMYFUNCTION("""COMPUTED_VALUE"""),"Mathematical Models for Studying the Properties of the Genetic Code")</f>
        <v>Mathematical Models for Studying the Properties of the Genetic Code</v>
      </c>
      <c r="D3479" s="10">
        <f ca="1">IFERROR(__xludf.DUMMYFUNCTION("""COMPUTED_VALUE"""),2017)</f>
        <v>2017</v>
      </c>
      <c r="E3479" s="10" t="str">
        <f ca="1">IFERROR(__xludf.DUMMYFUNCTION("""COMPUTED_VALUE"""),"Der Pharmacia Lettre, 2017, Der Pharmacia Lettre, vol. 9(8), pp 40-54. ISSN‎: ‎0975-5071")</f>
        <v>Der Pharmacia Lettre, 2017, Der Pharmacia Lettre, vol. 9(8), pp 40-54. ISSN‎: ‎0975-5071</v>
      </c>
      <c r="F3479" s="10"/>
      <c r="G3479" s="10" t="str">
        <f ca="1">IFERROR(__xludf.DUMMYFUNCTION("""COMPUTED_VALUE"""),"M. Traykov, M. Trencheva, M. Stoyanova, R. Stoev")</f>
        <v>M. Traykov, M. Trencheva, M. Stoyanova, R. Stoev</v>
      </c>
      <c r="H3479" s="10"/>
      <c r="I3479" s="10"/>
      <c r="J3479" s="10"/>
      <c r="K3479" s="10"/>
      <c r="L3479" s="10"/>
      <c r="M3479" s="10"/>
      <c r="N3479" s="10"/>
      <c r="O3479" s="10"/>
      <c r="P3479" s="10"/>
      <c r="Q3479" s="10"/>
      <c r="R3479" s="10"/>
      <c r="S3479" s="10"/>
      <c r="T3479" s="10"/>
      <c r="U3479" s="10"/>
      <c r="V3479" s="10"/>
      <c r="W3479" s="10"/>
      <c r="X3479" s="10"/>
      <c r="Y3479" s="10"/>
      <c r="Z3479" s="10"/>
    </row>
    <row r="3480" spans="1:26" ht="12.75">
      <c r="A3480" s="10" t="str">
        <f ca="1">IFERROR(__xludf.DUMMYFUNCTION("""COMPUTED_VALUE"""),"Иван Драгов Тренчев")</f>
        <v>Иван Драгов Тренчев</v>
      </c>
      <c r="B3480" s="10" t="str">
        <f ca="1">IFERROR(__xludf.DUMMYFUNCTION("""COMPUTED_VALUE"""),"Статия в списания и поредици")</f>
        <v>Статия в списания и поредици</v>
      </c>
      <c r="C3480" s="10" t="str">
        <f ca="1">IFERROR(__xludf.DUMMYFUNCTION("""COMPUTED_VALUE"""),"Mathematical models in genetics")</f>
        <v>Mathematical models in genetics</v>
      </c>
      <c r="D3480" s="10">
        <f ca="1">IFERROR(__xludf.DUMMYFUNCTION("""COMPUTED_VALUE"""),2016)</f>
        <v>2016</v>
      </c>
      <c r="E3480" s="10" t="str">
        <f ca="1">IFERROR(__xludf.DUMMYFUNCTION("""COMPUTED_VALUE"""),"Russian Journal of Genetics, 2016, vol. 52(9), pp. 985-992, (Impact Factor 0.448) ISSN PRINT: 1022-7954. ISSN ONLINE: 1608-3369.")</f>
        <v>Russian Journal of Genetics, 2016, vol. 52(9), pp. 985-992, (Impact Factor 0.448) ISSN PRINT: 1022-7954. ISSN ONLINE: 1608-3369.</v>
      </c>
      <c r="F3480" s="10" t="str">
        <f ca="1">IFERROR(__xludf.DUMMYFUNCTION("""COMPUTED_VALUE"""),"SCOPUS")</f>
        <v>SCOPUS</v>
      </c>
      <c r="G3480" s="10" t="str">
        <f ca="1">IFERROR(__xludf.DUMMYFUNCTION("""COMPUTED_VALUE"""),"М. Traykov")</f>
        <v>М. Traykov</v>
      </c>
      <c r="H3480" s="10"/>
      <c r="I3480" s="10"/>
      <c r="J3480" s="10"/>
      <c r="K3480" s="10"/>
      <c r="L3480" s="10"/>
      <c r="M3480" s="10"/>
      <c r="N3480" s="10"/>
      <c r="O3480" s="10"/>
      <c r="P3480" s="10"/>
      <c r="Q3480" s="10"/>
      <c r="R3480" s="10"/>
      <c r="S3480" s="10"/>
      <c r="T3480" s="10"/>
      <c r="U3480" s="10"/>
      <c r="V3480" s="10"/>
      <c r="W3480" s="10"/>
      <c r="X3480" s="10"/>
      <c r="Y3480" s="10"/>
      <c r="Z3480" s="10"/>
    </row>
    <row r="3481" spans="1:26" ht="12.75">
      <c r="A3481" s="10" t="str">
        <f ca="1">IFERROR(__xludf.DUMMYFUNCTION("""COMPUTED_VALUE"""),"Иван Драгов Тренчев")</f>
        <v>Иван Драгов Тренчев</v>
      </c>
      <c r="B3481" s="10" t="str">
        <f ca="1">IFERROR(__xludf.DUMMYFUNCTION("""COMPUTED_VALUE"""),"Доклад от конференция")</f>
        <v>Доклад от конференция</v>
      </c>
      <c r="C3481" s="10" t="str">
        <f ca="1">IFERROR(__xludf.DUMMYFUNCTION("""COMPUTED_VALUE"""),"The Role of Intellectual Property in Bioinformatics in Bulgaria")</f>
        <v>The Role of Intellectual Property in Bioinformatics in Bulgaria</v>
      </c>
      <c r="D3481" s="10">
        <f ca="1">IFERROR(__xludf.DUMMYFUNCTION("""COMPUTED_VALUE"""),2016)</f>
        <v>2016</v>
      </c>
      <c r="E3481" s="10" t="str">
        <f ca="1">IFERROR(__xludf.DUMMYFUNCTION("""COMPUTED_VALUE"""),"International Conference “The New Perspectives in Science Education”, Conference Proceedings, 17-18 March 2016, Florence, Italy, Simonelli Ed., Vol. 5, pp. 632-636. ISBN: 978-88-6292-705-5")</f>
        <v>International Conference “The New Perspectives in Science Education”, Conference Proceedings, 17-18 March 2016, Florence, Italy, Simonelli Ed., Vol. 5, pp. 632-636. ISBN: 978-88-6292-705-5</v>
      </c>
      <c r="F3481" s="10"/>
      <c r="G3481" s="10" t="str">
        <f ca="1">IFERROR(__xludf.DUMMYFUNCTION("""COMPUTED_VALUE"""),"T. Trencheva")</f>
        <v>T. Trencheva</v>
      </c>
      <c r="H3481" s="10"/>
      <c r="I3481" s="10"/>
      <c r="J3481" s="10"/>
      <c r="K3481" s="10"/>
      <c r="L3481" s="10"/>
      <c r="M3481" s="10"/>
      <c r="N3481" s="10"/>
      <c r="O3481" s="10"/>
      <c r="P3481" s="10"/>
      <c r="Q3481" s="10"/>
      <c r="R3481" s="10"/>
      <c r="S3481" s="10"/>
      <c r="T3481" s="10"/>
      <c r="U3481" s="10"/>
      <c r="V3481" s="10"/>
      <c r="W3481" s="10"/>
      <c r="X3481" s="10"/>
      <c r="Y3481" s="10"/>
      <c r="Z3481" s="10"/>
    </row>
    <row r="3482" spans="1:26" ht="12.75">
      <c r="A3482" s="10" t="str">
        <f ca="1">IFERROR(__xludf.DUMMYFUNCTION("""COMPUTED_VALUE"""),"Иван Драгов Тренчев")</f>
        <v>Иван Драгов Тренчев</v>
      </c>
      <c r="B3482" s="10" t="str">
        <f ca="1">IFERROR(__xludf.DUMMYFUNCTION("""COMPUTED_VALUE"""),"Статия в списания и поредици")</f>
        <v>Статия в списания и поредици</v>
      </c>
      <c r="C3482" s="10" t="str">
        <f ca="1">IFERROR(__xludf.DUMMYFUNCTION("""COMPUTED_VALUE"""),"Using Partial Differential Equations for Pricing of Goods and Services")</f>
        <v>Using Partial Differential Equations for Pricing of Goods and Services</v>
      </c>
      <c r="D3482" s="10">
        <f ca="1">IFERROR(__xludf.DUMMYFUNCTION("""COMPUTED_VALUE"""),2016)</f>
        <v>2016</v>
      </c>
      <c r="E3482" s="10" t="str">
        <f ca="1">IFERROR(__xludf.DUMMYFUNCTION("""COMPUTED_VALUE"""),"Scientific Annals of Economics and Business, 2016, vol., 63(2), pp. 291-298, ISSN-L: 2501-1960; ISSN: 2501-1960 (printed edition); e-ISSN: 2501-3165 (online edition)")</f>
        <v>Scientific Annals of Economics and Business, 2016, vol., 63(2), pp. 291-298, ISSN-L: 2501-1960; ISSN: 2501-1960 (printed edition); e-ISSN: 2501-3165 (online edition)</v>
      </c>
      <c r="F3482" s="10" t="str">
        <f ca="1">IFERROR(__xludf.DUMMYFUNCTION("""COMPUTED_VALUE"""),"SCOPUS")</f>
        <v>SCOPUS</v>
      </c>
      <c r="G3482" s="10" t="str">
        <f ca="1">IFERROR(__xludf.DUMMYFUNCTION("""COMPUTED_VALUE"""),"M. Traykov, M. Trencheva, R. Mavrevski, A. Stoilov")</f>
        <v>M. Traykov, M. Trencheva, R. Mavrevski, A. Stoilov</v>
      </c>
      <c r="H3482" s="10"/>
      <c r="I3482" s="10"/>
      <c r="J3482" s="10"/>
      <c r="K3482" s="10"/>
      <c r="L3482" s="10"/>
      <c r="M3482" s="10"/>
      <c r="N3482" s="10"/>
      <c r="O3482" s="10"/>
      <c r="P3482" s="10"/>
      <c r="Q3482" s="10"/>
      <c r="R3482" s="10"/>
      <c r="S3482" s="10"/>
      <c r="T3482" s="10"/>
      <c r="U3482" s="10"/>
      <c r="V3482" s="10"/>
      <c r="W3482" s="10"/>
      <c r="X3482" s="10"/>
      <c r="Y3482" s="10"/>
      <c r="Z3482" s="10"/>
    </row>
    <row r="3483" spans="1:26" ht="12.75">
      <c r="A3483" s="10" t="str">
        <f ca="1">IFERROR(__xludf.DUMMYFUNCTION("""COMPUTED_VALUE"""),"Иван Драгов Тренчев")</f>
        <v>Иван Драгов Тренчев</v>
      </c>
      <c r="B3483" s="10" t="str">
        <f ca="1">IFERROR(__xludf.DUMMYFUNCTION("""COMPUTED_VALUE"""),"Доклад от конференция")</f>
        <v>Доклад от конференция</v>
      </c>
      <c r="C3483" s="10" t="str">
        <f ca="1">IFERROR(__xludf.DUMMYFUNCTION("""COMPUTED_VALUE"""),"Computer graphic’s application in bioinformatics")</f>
        <v>Computer graphic’s application in bioinformatics</v>
      </c>
      <c r="D3483" s="10">
        <f ca="1">IFERROR(__xludf.DUMMYFUNCTION("""COMPUTED_VALUE"""),2015)</f>
        <v>2015</v>
      </c>
      <c r="E3483" s="10" t="str">
        <f ca="1">IFERROR(__xludf.DUMMYFUNCTION("""COMPUTED_VALUE"""),"Proceedings of the MASSEE International Congress on Mathematics – MICOM-2015, September 2015, Athens, Greece, 35-38. ISSN 1841-5512, 2065-7714")</f>
        <v>Proceedings of the MASSEE International Congress on Mathematics – MICOM-2015, September 2015, Athens, Greece, 35-38. ISSN 1841-5512, 2065-7714</v>
      </c>
      <c r="F3483" s="10" t="str">
        <f ca="1">IFERROR(__xludf.DUMMYFUNCTION("""COMPUTED_VALUE"""),"[Инд./Реф. в: zbMATH]")</f>
        <v>[Инд./Реф. в: zbMATH]</v>
      </c>
      <c r="G3483" s="10" t="str">
        <f ca="1">IFERROR(__xludf.DUMMYFUNCTION("""COMPUTED_VALUE"""),"I. Todorin, R. Mavrevski, A. Stoilov, M. Traykov, B. Yurukov")</f>
        <v>I. Todorin, R. Mavrevski, A. Stoilov, M. Traykov, B. Yurukov</v>
      </c>
      <c r="H3483" s="10"/>
      <c r="I3483" s="10"/>
      <c r="J3483" s="10"/>
      <c r="K3483" s="10"/>
      <c r="L3483" s="10"/>
      <c r="M3483" s="10"/>
      <c r="N3483" s="10"/>
      <c r="O3483" s="10"/>
      <c r="P3483" s="10"/>
      <c r="Q3483" s="10"/>
      <c r="R3483" s="10"/>
      <c r="S3483" s="10"/>
      <c r="T3483" s="10"/>
      <c r="U3483" s="10"/>
      <c r="V3483" s="10"/>
      <c r="W3483" s="10"/>
      <c r="X3483" s="10"/>
      <c r="Y3483" s="10"/>
      <c r="Z3483" s="10"/>
    </row>
    <row r="3484" spans="1:26" ht="12.75">
      <c r="A3484" s="10" t="str">
        <f ca="1">IFERROR(__xludf.DUMMYFUNCTION("""COMPUTED_VALUE"""),"Иван Драгов Тренчев")</f>
        <v>Иван Драгов Тренчев</v>
      </c>
      <c r="B3484" s="10" t="str">
        <f ca="1">IFERROR(__xludf.DUMMYFUNCTION("""COMPUTED_VALUE"""),"Доклад от конференция")</f>
        <v>Доклад от конференция</v>
      </c>
      <c r="C3484" s="10" t="str">
        <f ca="1">IFERROR(__xludf.DUMMYFUNCTION("""COMPUTED_VALUE"""),"Risk Analysis with R Language")</f>
        <v>Risk Analysis with R Language</v>
      </c>
      <c r="D3484" s="10">
        <f ca="1">IFERROR(__xludf.DUMMYFUNCTION("""COMPUTED_VALUE"""),2015)</f>
        <v>2015</v>
      </c>
      <c r="E3484" s="10" t="str">
        <f ca="1">IFERROR(__xludf.DUMMYFUNCTION("""COMPUTED_VALUE"""),"Proceedings of the Sixth International Scientific Conference – FMNS2015, vol. 1, ISSN 1314-0272, pp. 137-146")</f>
        <v>Proceedings of the Sixth International Scientific Conference – FMNS2015, vol. 1, ISSN 1314-0272, pp. 137-146</v>
      </c>
      <c r="F3484" s="10"/>
      <c r="G3484" s="10" t="str">
        <f ca="1">IFERROR(__xludf.DUMMYFUNCTION("""COMPUTED_VALUE"""),"M. Traykov, M. Trencheva, I. Todorin, R. Mavrevski, A. Stoilov")</f>
        <v>M. Traykov, M. Trencheva, I. Todorin, R. Mavrevski, A. Stoilov</v>
      </c>
      <c r="H3484" s="10"/>
      <c r="I3484" s="10"/>
      <c r="J3484" s="10"/>
      <c r="K3484" s="10"/>
      <c r="L3484" s="10"/>
      <c r="M3484" s="10"/>
      <c r="N3484" s="10"/>
      <c r="O3484" s="10"/>
      <c r="P3484" s="10"/>
      <c r="Q3484" s="10"/>
      <c r="R3484" s="10"/>
      <c r="S3484" s="10"/>
      <c r="T3484" s="10"/>
      <c r="U3484" s="10"/>
      <c r="V3484" s="10"/>
      <c r="W3484" s="10"/>
      <c r="X3484" s="10"/>
      <c r="Y3484" s="10"/>
      <c r="Z3484" s="10"/>
    </row>
    <row r="3485" spans="1:26" ht="12.75">
      <c r="A3485" s="10" t="str">
        <f ca="1">IFERROR(__xludf.DUMMYFUNCTION("""COMPUTED_VALUE"""),"Иван Драгов Тренчев")</f>
        <v>Иван Драгов Тренчев</v>
      </c>
      <c r="B3485" s="10" t="str">
        <f ca="1">IFERROR(__xludf.DUMMYFUNCTION("""COMPUTED_VALUE"""),"Доклад от конференция")</f>
        <v>Доклад от конференция</v>
      </c>
      <c r="C3485" s="10" t="str">
        <f ca="1">IFERROR(__xludf.DUMMYFUNCTION("""COMPUTED_VALUE"""),"Heuristic algorithm for HP folding in HP model")</f>
        <v>Heuristic algorithm for HP folding in HP model</v>
      </c>
      <c r="D3485" s="10">
        <f ca="1">IFERROR(__xludf.DUMMYFUNCTION("""COMPUTED_VALUE"""),2015)</f>
        <v>2015</v>
      </c>
      <c r="E3485" s="10" t="str">
        <f ca="1">IFERROR(__xludf.DUMMYFUNCTION("""COMPUTED_VALUE"""),"Proceedings of the MASSEE International Congress on Mathematics – MICOM-2015, September 2015, Athens, Greece, p. 31 – 34 ISSN 1841-5512, 2065-7714")</f>
        <v>Proceedings of the MASSEE International Congress on Mathematics – MICOM-2015, September 2015, Athens, Greece, p. 31 – 34 ISSN 1841-5512, 2065-7714</v>
      </c>
      <c r="F3485" s="10" t="str">
        <f ca="1">IFERROR(__xludf.DUMMYFUNCTION("""COMPUTED_VALUE"""),"[Инд./Реф. в: zbMATH]")</f>
        <v>[Инд./Реф. в: zbMATH]</v>
      </c>
      <c r="G3485" s="10" t="str">
        <f ca="1">IFERROR(__xludf.DUMMYFUNCTION("""COMPUTED_VALUE"""),"N. Yanev, P. Milanov, B. Yurukov, M. Traykov")</f>
        <v>N. Yanev, P. Milanov, B. Yurukov, M. Traykov</v>
      </c>
      <c r="H3485" s="10"/>
      <c r="I3485" s="10"/>
      <c r="J3485" s="10"/>
      <c r="K3485" s="10"/>
      <c r="L3485" s="10"/>
      <c r="M3485" s="10"/>
      <c r="N3485" s="10"/>
      <c r="O3485" s="10"/>
      <c r="P3485" s="10"/>
      <c r="Q3485" s="10"/>
      <c r="R3485" s="10"/>
      <c r="S3485" s="10"/>
      <c r="T3485" s="10"/>
      <c r="U3485" s="10"/>
      <c r="V3485" s="10"/>
      <c r="W3485" s="10"/>
      <c r="X3485" s="10"/>
      <c r="Y3485" s="10"/>
      <c r="Z3485" s="10"/>
    </row>
    <row r="3486" spans="1:26" ht="12.75">
      <c r="A3486" s="10" t="str">
        <f ca="1">IFERROR(__xludf.DUMMYFUNCTION("""COMPUTED_VALUE"""),"Иван Драгов Тренчев")</f>
        <v>Иван Драгов Тренчев</v>
      </c>
      <c r="B3486" s="10" t="str">
        <f ca="1">IFERROR(__xludf.DUMMYFUNCTION("""COMPUTED_VALUE"""),"Книга")</f>
        <v>Книга</v>
      </c>
      <c r="C3486" s="10" t="str">
        <f ca="1">IFERROR(__xludf.DUMMYFUNCTION("""COMPUTED_VALUE"""),"Електронни форми на обучение в университетското образование")</f>
        <v>Електронни форми на обучение в университетското образование</v>
      </c>
      <c r="D3486" s="10">
        <f ca="1">IFERROR(__xludf.DUMMYFUNCTION("""COMPUTED_VALUE"""),2014)</f>
        <v>2014</v>
      </c>
      <c r="E3486" s="10" t="str">
        <f ca="1">IFERROR(__xludf.DUMMYFUNCTION("""COMPUTED_VALUE"""),"[Сборник] състав. Т. Попкочев, И. Дамянов, И. Тренчев. София : Авангард Прима, 2014, 186 с. ISBN 978-619-160-360-2")</f>
        <v>[Сборник] състав. Т. Попкочев, И. Дамянов, И. Тренчев. София : Авангард Прима, 2014, 186 с. ISBN 978-619-160-360-2</v>
      </c>
      <c r="F3486" s="10" t="str">
        <f ca="1">IFERROR(__xludf.DUMMYFUNCTION("""COMPUTED_VALUE"""),"COBISS")</f>
        <v>COBISS</v>
      </c>
      <c r="G3486" s="10" t="str">
        <f ca="1">IFERROR(__xludf.DUMMYFUNCTION("""COMPUTED_VALUE"""),"Т. Попчев, И. Дамянов")</f>
        <v>Т. Попчев, И. Дамянов</v>
      </c>
      <c r="H3486" s="10"/>
      <c r="I3486" s="10"/>
      <c r="J3486" s="10"/>
      <c r="K3486" s="10"/>
      <c r="L3486" s="10"/>
      <c r="M3486" s="10"/>
      <c r="N3486" s="10"/>
      <c r="O3486" s="10"/>
      <c r="P3486" s="10"/>
      <c r="Q3486" s="10"/>
      <c r="R3486" s="10"/>
      <c r="S3486" s="10"/>
      <c r="T3486" s="10"/>
      <c r="U3486" s="10"/>
      <c r="V3486" s="10"/>
      <c r="W3486" s="10"/>
      <c r="X3486" s="10"/>
      <c r="Y3486" s="10"/>
      <c r="Z3486" s="10"/>
    </row>
    <row r="3487" spans="1:26" ht="12.75">
      <c r="A3487" s="10" t="str">
        <f ca="1">IFERROR(__xludf.DUMMYFUNCTION("""COMPUTED_VALUE"""),"Иван Драгов Тренчев")</f>
        <v>Иван Драгов Тренчев</v>
      </c>
      <c r="B3487" s="10" t="str">
        <f ca="1">IFERROR(__xludf.DUMMYFUNCTION("""COMPUTED_VALUE"""),"Доклад от конференция")</f>
        <v>Доклад от конференция</v>
      </c>
      <c r="C3487" s="10" t="str">
        <f ca="1">IFERROR(__xludf.DUMMYFUNCTION("""COMPUTED_VALUE"""),"Analysis of the Human Resources of the Food Subsectors Through Benchmarking.")</f>
        <v>Analysis of the Human Resources of the Food Subsectors Through Benchmarking.</v>
      </c>
      <c r="D3487" s="10">
        <f ca="1">IFERROR(__xludf.DUMMYFUNCTION("""COMPUTED_VALUE"""),2013)</f>
        <v>2013</v>
      </c>
      <c r="E3487" s="10" t="str">
        <f ca="1">IFERROR(__xludf.DUMMYFUNCTION("""COMPUTED_VALUE"""),"Proceedings of the Fifth International Scientific Conference – FMNS2013 12 – 16 June 2013 Faculty of Mathematics and Natural Science, South-West University “Neofit Rilski” Blagoevgrad, 2013, 1, 175 – 178. ISSN 1314-0272")</f>
        <v>Proceedings of the Fifth International Scientific Conference – FMNS2013 12 – 16 June 2013 Faculty of Mathematics and Natural Science, South-West University “Neofit Rilski” Blagoevgrad, 2013, 1, 175 – 178. ISSN 1314-0272</v>
      </c>
      <c r="F3487" s="10"/>
      <c r="G3487" s="10" t="str">
        <f ca="1">IFERROR(__xludf.DUMMYFUNCTION("""COMPUTED_VALUE"""),"M. Trencheva, M. Traykov")</f>
        <v>M. Trencheva, M. Traykov</v>
      </c>
      <c r="H3487" s="10"/>
      <c r="I3487" s="10"/>
      <c r="J3487" s="10"/>
      <c r="K3487" s="10"/>
      <c r="L3487" s="10"/>
      <c r="M3487" s="10"/>
      <c r="N3487" s="10"/>
      <c r="O3487" s="10"/>
      <c r="P3487" s="10"/>
      <c r="Q3487" s="10"/>
      <c r="R3487" s="10"/>
      <c r="S3487" s="10"/>
      <c r="T3487" s="10"/>
      <c r="U3487" s="10"/>
      <c r="V3487" s="10"/>
      <c r="W3487" s="10"/>
      <c r="X3487" s="10"/>
      <c r="Y3487" s="10"/>
      <c r="Z3487" s="10"/>
    </row>
    <row r="3488" spans="1:26" ht="12.75">
      <c r="A3488" s="10" t="str">
        <f ca="1">IFERROR(__xludf.DUMMYFUNCTION("""COMPUTED_VALUE"""),"Иван Драгов Тренчев")</f>
        <v>Иван Драгов Тренчев</v>
      </c>
      <c r="B3488" s="10" t="str">
        <f ca="1">IFERROR(__xludf.DUMMYFUNCTION("""COMPUTED_VALUE"""),"Доклад от конференция")</f>
        <v>Доклад от конференция</v>
      </c>
      <c r="C3488" s="10" t="str">
        <f ca="1">IFERROR(__xludf.DUMMYFUNCTION("""COMPUTED_VALUE"""),"Digital Right Management (DRM) and Library Copyright Policy")</f>
        <v>Digital Right Management (DRM) and Library Copyright Policy</v>
      </c>
      <c r="D3488" s="10">
        <f ca="1">IFERROR(__xludf.DUMMYFUNCTION("""COMPUTED_VALUE"""),2012)</f>
        <v>2012</v>
      </c>
      <c r="E3488" s="10" t="str">
        <f ca="1">IFERROR(__xludf.DUMMYFUNCTION("""COMPUTED_VALUE"""),"Proceeding of DiPP 2012 : International Conference on Digital Presentation and Preservation of Cultural and Scientific Heritage, 18-21 September, 2012, V. Turnovo, Bulgaria, IMI – BAS, Sofia, 2011, p. 123-131, ISSN: 1314 – 4006")</f>
        <v>Proceeding of DiPP 2012 : International Conference on Digital Presentation and Preservation of Cultural and Scientific Heritage, 18-21 September, 2012, V. Turnovo, Bulgaria, IMI – BAS, Sofia, 2011, p. 123-131, ISSN: 1314 – 4006</v>
      </c>
      <c r="F3488" s="10" t="str">
        <f ca="1">IFERROR(__xludf.DUMMYFUNCTION("""COMPUTED_VALUE"""),"Web of Science")</f>
        <v>Web of Science</v>
      </c>
      <c r="G3488" s="10" t="str">
        <f ca="1">IFERROR(__xludf.DUMMYFUNCTION("""COMPUTED_VALUE"""),"T. Trencheva, T. Todorova")</f>
        <v>T. Trencheva, T. Todorova</v>
      </c>
      <c r="H3488" s="10"/>
      <c r="I3488" s="10"/>
      <c r="J3488" s="10"/>
      <c r="K3488" s="10"/>
      <c r="L3488" s="10"/>
      <c r="M3488" s="10"/>
      <c r="N3488" s="10"/>
      <c r="O3488" s="10"/>
      <c r="P3488" s="10"/>
      <c r="Q3488" s="10"/>
      <c r="R3488" s="10"/>
      <c r="S3488" s="10"/>
      <c r="T3488" s="10"/>
      <c r="U3488" s="10"/>
      <c r="V3488" s="10"/>
      <c r="W3488" s="10"/>
      <c r="X3488" s="10"/>
      <c r="Y3488" s="10"/>
      <c r="Z3488" s="10"/>
    </row>
    <row r="3489" spans="1:26" ht="12.75">
      <c r="A3489" s="10" t="str">
        <f ca="1">IFERROR(__xludf.DUMMYFUNCTION("""COMPUTED_VALUE"""),"Иван Драгов Тренчев")</f>
        <v>Иван Драгов Тренчев</v>
      </c>
      <c r="B3489" s="10" t="str">
        <f ca="1">IFERROR(__xludf.DUMMYFUNCTION("""COMPUTED_VALUE"""),"Доклад от конференция")</f>
        <v>Доклад от конференция</v>
      </c>
      <c r="C3489" s="10" t="str">
        <f ca="1">IFERROR(__xludf.DUMMYFUNCTION("""COMPUTED_VALUE"""),"Приложение на софтуерни пакети със свободен лиценз в образователния процес")</f>
        <v>Приложение на софтуерни пакети със свободен лиценз в образователния процес</v>
      </c>
      <c r="D3489" s="10">
        <f ca="1">IFERROR(__xludf.DUMMYFUNCTION("""COMPUTED_VALUE"""),2011)</f>
        <v>2011</v>
      </c>
      <c r="E3489" s="10" t="str">
        <f ca="1">IFERROR(__xludf.DUMMYFUNCTION("""COMPUTED_VALUE"""),"Научно-практически форум „Иновации в образованието и познавателното развитие”, 29-31.08.2011, Бургас, сп. Образование и технологии : годишно научно-методическо списание, бр. 2, 2011, с. 77- 80, ISSN: 1314-1791.")</f>
        <v>Научно-практически форум „Иновации в образованието и познавателното развитие”, 29-31.08.2011, Бургас, сп. Образование и технологии : годишно научно-методическо списание, бр. 2, 2011, с. 77- 80, ISSN: 1314-1791.</v>
      </c>
      <c r="F3489" s="10" t="str">
        <f ca="1">IFERROR(__xludf.DUMMYFUNCTION("""COMPUTED_VALUE"""),"Референтен списък на НАЦИД")</f>
        <v>Референтен списък на НАЦИД</v>
      </c>
      <c r="G3489" s="10" t="str">
        <f ca="1">IFERROR(__xludf.DUMMYFUNCTION("""COMPUTED_VALUE"""),"Т. Тренчева")</f>
        <v>Т. Тренчева</v>
      </c>
      <c r="H3489" s="10"/>
      <c r="I3489" s="10"/>
      <c r="J3489" s="10"/>
      <c r="K3489" s="10"/>
      <c r="L3489" s="10"/>
      <c r="M3489" s="10"/>
      <c r="N3489" s="10"/>
      <c r="O3489" s="10"/>
      <c r="P3489" s="10"/>
      <c r="Q3489" s="10"/>
      <c r="R3489" s="10"/>
      <c r="S3489" s="10"/>
      <c r="T3489" s="10"/>
      <c r="U3489" s="10"/>
      <c r="V3489" s="10"/>
      <c r="W3489" s="10"/>
      <c r="X3489" s="10"/>
      <c r="Y3489" s="10"/>
      <c r="Z3489" s="10"/>
    </row>
    <row r="3490" spans="1:26" ht="12.75">
      <c r="A3490" s="10" t="str">
        <f ca="1">IFERROR(__xludf.DUMMYFUNCTION("""COMPUTED_VALUE"""),"Иван Драгов Тренчев")</f>
        <v>Иван Драгов Тренчев</v>
      </c>
      <c r="B3490" s="10" t="str">
        <f ca="1">IFERROR(__xludf.DUMMYFUNCTION("""COMPUTED_VALUE"""),"Доклад от конференция")</f>
        <v>Доклад от конференция</v>
      </c>
      <c r="C3490" s="10" t="str">
        <f ca="1">IFERROR(__xludf.DUMMYFUNCTION("""COMPUTED_VALUE"""),"Bioinformatics research of 3D structure of the proteins")</f>
        <v>Bioinformatics research of 3D structure of the proteins</v>
      </c>
      <c r="D3490" s="10">
        <f ca="1">IFERROR(__xludf.DUMMYFUNCTION("""COMPUTED_VALUE"""),2011)</f>
        <v>2011</v>
      </c>
      <c r="E3490" s="10" t="str">
        <f ca="1">IFERROR(__xludf.DUMMYFUNCTION("""COMPUTED_VALUE"""),"Proceedings of the International Scientific Conference of the Faculty of mathematics and Natural Sciences - SWU, 8-11 June 2011. – Blagoevgrad : SWU, 2011, p. 138-143 ISSN: 1314 – 0272")</f>
        <v>Proceedings of the International Scientific Conference of the Faculty of mathematics and Natural Sciences - SWU, 8-11 June 2011. – Blagoevgrad : SWU, 2011, p. 138-143 ISSN: 1314 – 0272</v>
      </c>
      <c r="F3490" s="10"/>
      <c r="G3490" s="10" t="str">
        <f ca="1">IFERROR(__xludf.DUMMYFUNCTION("""COMPUTED_VALUE"""),"R. Stoev, K. Gashteovski, I. Todorin, N. Borisova, M. Traykov")</f>
        <v>R. Stoev, K. Gashteovski, I. Todorin, N. Borisova, M. Traykov</v>
      </c>
      <c r="H3490" s="10"/>
      <c r="I3490" s="10"/>
      <c r="J3490" s="10"/>
      <c r="K3490" s="10"/>
      <c r="L3490" s="10"/>
      <c r="M3490" s="10"/>
      <c r="N3490" s="10"/>
      <c r="O3490" s="10"/>
      <c r="P3490" s="10"/>
      <c r="Q3490" s="10"/>
      <c r="R3490" s="10"/>
      <c r="S3490" s="10"/>
      <c r="T3490" s="10"/>
      <c r="U3490" s="10"/>
      <c r="V3490" s="10"/>
      <c r="W3490" s="10"/>
      <c r="X3490" s="10"/>
      <c r="Y3490" s="10"/>
      <c r="Z3490" s="10"/>
    </row>
    <row r="3491" spans="1:26" ht="12.75">
      <c r="A3491" s="10" t="str">
        <f ca="1">IFERROR(__xludf.DUMMYFUNCTION("""COMPUTED_VALUE"""),"Иван Драгов Тренчев")</f>
        <v>Иван Драгов Тренчев</v>
      </c>
      <c r="B3491" s="10" t="str">
        <f ca="1">IFERROR(__xludf.DUMMYFUNCTION("""COMPUTED_VALUE"""),"Доклад от конференция")</f>
        <v>Доклад от конференция</v>
      </c>
      <c r="C3491" s="10" t="str">
        <f ca="1">IFERROR(__xludf.DUMMYFUNCTION("""COMPUTED_VALUE"""),"Neural networks – basic principles for construction, their application in drug design and genetic algorithms")</f>
        <v>Neural networks – basic principles for construction, their application in drug design and genetic algorithms</v>
      </c>
      <c r="D3491" s="10">
        <f ca="1">IFERROR(__xludf.DUMMYFUNCTION("""COMPUTED_VALUE"""),2011)</f>
        <v>2011</v>
      </c>
      <c r="E3491" s="10" t="str">
        <f ca="1">IFERROR(__xludf.DUMMYFUNCTION("""COMPUTED_VALUE"""),"Proceedings of the International Scientific Conference of the Faculty of mathematics and Natural Sciences - SWU, 8-11 June 2011. – Blagoevgrad : SWU, 2011, p. 182-187 ISSN: 1314 – 0272")</f>
        <v>Proceedings of the International Scientific Conference of the Faculty of mathematics and Natural Sciences - SWU, 8-11 June 2011. – Blagoevgrad : SWU, 2011, p. 182-187 ISSN: 1314 – 0272</v>
      </c>
      <c r="F3491" s="10"/>
      <c r="G3491" s="10" t="str">
        <f ca="1">IFERROR(__xludf.DUMMYFUNCTION("""COMPUTED_VALUE"""),"K. Gashteovski, N. Borisova, I. Todorin, G. Iliev")</f>
        <v>K. Gashteovski, N. Borisova, I. Todorin, G. Iliev</v>
      </c>
      <c r="H3491" s="10"/>
      <c r="I3491" s="10"/>
      <c r="J3491" s="10"/>
      <c r="K3491" s="10"/>
      <c r="L3491" s="10"/>
      <c r="M3491" s="10"/>
      <c r="N3491" s="10"/>
      <c r="O3491" s="10"/>
      <c r="P3491" s="10"/>
      <c r="Q3491" s="10"/>
      <c r="R3491" s="10"/>
      <c r="S3491" s="10"/>
      <c r="T3491" s="10"/>
      <c r="U3491" s="10"/>
      <c r="V3491" s="10"/>
      <c r="W3491" s="10"/>
      <c r="X3491" s="10"/>
      <c r="Y3491" s="10"/>
      <c r="Z3491" s="10"/>
    </row>
    <row r="3492" spans="1:26" ht="12.75">
      <c r="A3492" s="10" t="str">
        <f ca="1">IFERROR(__xludf.DUMMYFUNCTION("""COMPUTED_VALUE"""),"Иван Драгов Тренчев")</f>
        <v>Иван Драгов Тренчев</v>
      </c>
      <c r="B3492" s="10" t="str">
        <f ca="1">IFERROR(__xludf.DUMMYFUNCTION("""COMPUTED_VALUE"""),"Доклад от конференция")</f>
        <v>Доклад от конференция</v>
      </c>
      <c r="C3492" s="10" t="str">
        <f ca="1">IFERROR(__xludf.DUMMYFUNCTION("""COMPUTED_VALUE"""),"Приложение на 3D моделите в електронното обучение")</f>
        <v>Приложение на 3D моделите в електронното обучение</v>
      </c>
      <c r="D3492" s="10">
        <f ca="1">IFERROR(__xludf.DUMMYFUNCTION("""COMPUTED_VALUE"""),2011)</f>
        <v>2011</v>
      </c>
      <c r="E3492" s="10" t="str">
        <f ca="1">IFERROR(__xludf.DUMMYFUNCTION("""COMPUTED_VALUE"""),"Сборник от Пролетен семинар на УНИБИТ: Приложение на новите информационни технологии в образователния процес, Костенец, 24-25 март 2011, За буквите - О писменехь, София, 2012, с. 324-329 ISSN: 1313-2768")</f>
        <v>Сборник от Пролетен семинар на УНИБИТ: Приложение на новите информационни технологии в образователния процес, Костенец, 24-25 март 2011, За буквите - О писменехь, София, 2012, с. 324-329 ISSN: 1313-2768</v>
      </c>
      <c r="F3492" s="10" t="str">
        <f ca="1">IFERROR(__xludf.DUMMYFUNCTION("""COMPUTED_VALUE"""),"Референтен списък на НАЦИД")</f>
        <v>Референтен списък на НАЦИД</v>
      </c>
      <c r="G3492" s="10" t="str">
        <f ca="1">IFERROR(__xludf.DUMMYFUNCTION("""COMPUTED_VALUE"""),"Т. Тренчева")</f>
        <v>Т. Тренчева</v>
      </c>
      <c r="H3492" s="10"/>
      <c r="I3492" s="10"/>
      <c r="J3492" s="10"/>
      <c r="K3492" s="10"/>
      <c r="L3492" s="10"/>
      <c r="M3492" s="10"/>
      <c r="N3492" s="10"/>
      <c r="O3492" s="10"/>
      <c r="P3492" s="10"/>
      <c r="Q3492" s="10"/>
      <c r="R3492" s="10"/>
      <c r="S3492" s="10"/>
      <c r="T3492" s="10"/>
      <c r="U3492" s="10"/>
      <c r="V3492" s="10"/>
      <c r="W3492" s="10"/>
      <c r="X3492" s="10"/>
      <c r="Y3492" s="10"/>
      <c r="Z3492" s="10"/>
    </row>
    <row r="3493" spans="1:26" ht="12.75">
      <c r="A3493" s="10" t="str">
        <f ca="1">IFERROR(__xludf.DUMMYFUNCTION("""COMPUTED_VALUE"""),"Иван Драгов Тренчев")</f>
        <v>Иван Драгов Тренчев</v>
      </c>
      <c r="B3493" s="10" t="str">
        <f ca="1">IFERROR(__xludf.DUMMYFUNCTION("""COMPUTED_VALUE"""),"Доклад от конференция")</f>
        <v>Доклад от конференция</v>
      </c>
      <c r="C3493" s="10" t="str">
        <f ca="1">IFERROR(__xludf.DUMMYFUNCTION("""COMPUTED_VALUE"""),"Bioinformatics and intellectual property")</f>
        <v>Bioinformatics and intellectual property</v>
      </c>
      <c r="D3493" s="10">
        <f ca="1">IFERROR(__xludf.DUMMYFUNCTION("""COMPUTED_VALUE"""),2011)</f>
        <v>2011</v>
      </c>
      <c r="E3493" s="10" t="str">
        <f ca="1">IFERROR(__xludf.DUMMYFUNCTION("""COMPUTED_VALUE"""),"Proceedings of the International Scientific Conference of the Faculty of mathematics and Natural Sciences - SWU, 8-11 June 2011. – Blagoevgrad : SWU, 2011, p. 132-137 ISSN: 1314 – 0272")</f>
        <v>Proceedings of the International Scientific Conference of the Faculty of mathematics and Natural Sciences - SWU, 8-11 June 2011. – Blagoevgrad : SWU, 2011, p. 132-137 ISSN: 1314 – 0272</v>
      </c>
      <c r="F3493" s="10"/>
      <c r="G3493" s="10" t="str">
        <f ca="1">IFERROR(__xludf.DUMMYFUNCTION("""COMPUTED_VALUE"""),"T. Trencheva, P. Milanov, I.Mirchev")</f>
        <v>T. Trencheva, P. Milanov, I.Mirchev</v>
      </c>
      <c r="H3493" s="10"/>
      <c r="I3493" s="10"/>
      <c r="J3493" s="10"/>
      <c r="K3493" s="10"/>
      <c r="L3493" s="10"/>
      <c r="M3493" s="10"/>
      <c r="N3493" s="10"/>
      <c r="O3493" s="10"/>
      <c r="P3493" s="10"/>
      <c r="Q3493" s="10"/>
      <c r="R3493" s="10"/>
      <c r="S3493" s="10"/>
      <c r="T3493" s="10"/>
      <c r="U3493" s="10"/>
      <c r="V3493" s="10"/>
      <c r="W3493" s="10"/>
      <c r="X3493" s="10"/>
      <c r="Y3493" s="10"/>
      <c r="Z3493" s="10"/>
    </row>
    <row r="3494" spans="1:26" ht="12.75">
      <c r="A3494" s="10" t="str">
        <f ca="1">IFERROR(__xludf.DUMMYFUNCTION("""COMPUTED_VALUE"""),"Иван Драгов Тренчев")</f>
        <v>Иван Драгов Тренчев</v>
      </c>
      <c r="B3494" s="10" t="str">
        <f ca="1">IFERROR(__xludf.DUMMYFUNCTION("""COMPUTED_VALUE"""),"Статия в списания и поредици")</f>
        <v>Статия в списания и поредици</v>
      </c>
      <c r="C3494" s="10" t="str">
        <f ca="1">IFERROR(__xludf.DUMMYFUNCTION("""COMPUTED_VALUE"""),"Geografic information systems and virtual reality")</f>
        <v>Geografic information systems and virtual reality</v>
      </c>
      <c r="D3494" s="10">
        <f ca="1">IFERROR(__xludf.DUMMYFUNCTION("""COMPUTED_VALUE"""),2010)</f>
        <v>2010</v>
      </c>
      <c r="E3494" s="10" t="str">
        <f ca="1">IFERROR(__xludf.DUMMYFUNCTION("""COMPUTED_VALUE"""),"Scientific Research – Electronic Issue, South-west University, Blagoevgrad, Bulgaria, Volume 8, 2010, Available on:&lt;http://press.swu.bg/volume-collection/volume-8/geographic-information-systems-and-virtual-reality.aspx&gt; (ISSN: 1312-7535)")</f>
        <v>Scientific Research – Electronic Issue, South-west University, Blagoevgrad, Bulgaria, Volume 8, 2010, Available on:&lt;http://press.swu.bg/volume-collection/volume-8/geographic-information-systems-and-virtual-reality.aspx&gt; (ISSN: 1312-7535)</v>
      </c>
      <c r="F3494" s="10"/>
      <c r="G3494" s="10" t="str">
        <f ca="1">IFERROR(__xludf.DUMMYFUNCTION("""COMPUTED_VALUE"""),"L. Kirilov")</f>
        <v>L. Kirilov</v>
      </c>
      <c r="H3494" s="10"/>
      <c r="I3494" s="10"/>
      <c r="J3494" s="10"/>
      <c r="K3494" s="10"/>
      <c r="L3494" s="10"/>
      <c r="M3494" s="10"/>
      <c r="N3494" s="10"/>
      <c r="O3494" s="10"/>
      <c r="P3494" s="10"/>
      <c r="Q3494" s="10"/>
      <c r="R3494" s="10"/>
      <c r="S3494" s="10"/>
      <c r="T3494" s="10"/>
      <c r="U3494" s="10"/>
      <c r="V3494" s="10"/>
      <c r="W3494" s="10"/>
      <c r="X3494" s="10"/>
      <c r="Y3494" s="10"/>
      <c r="Z3494" s="10"/>
    </row>
    <row r="3495" spans="1:26" ht="12.75">
      <c r="A3495" s="10" t="str">
        <f ca="1">IFERROR(__xludf.DUMMYFUNCTION("""COMPUTED_VALUE"""),"Иван Драгов Тренчев")</f>
        <v>Иван Драгов Тренчев</v>
      </c>
      <c r="B3495" s="10" t="str">
        <f ca="1">IFERROR(__xludf.DUMMYFUNCTION("""COMPUTED_VALUE"""),"Доклад от конференция")</f>
        <v>Доклад от конференция</v>
      </c>
      <c r="C3495" s="10" t="str">
        <f ca="1">IFERROR(__xludf.DUMMYFUNCTION("""COMPUTED_VALUE"""),"Description of the digital formats of electronic documents used in digital library")</f>
        <v>Description of the digital formats of electronic documents used in digital library</v>
      </c>
      <c r="D3495" s="10">
        <f ca="1">IFERROR(__xludf.DUMMYFUNCTION("""COMPUTED_VALUE"""),2009)</f>
        <v>2009</v>
      </c>
      <c r="E3495" s="10" t="str">
        <f ca="1">IFERROR(__xludf.DUMMYFUNCTION("""COMPUTED_VALUE"""),"Proceedings of the International Scientific Conference of the Faculty of Mathematics and Natural Sciences - SWU, 3-7 June 2009, SWU, Blagoevgrad, 2009, p. 227-230. ISSN: 1314 – 0272")</f>
        <v>Proceedings of the International Scientific Conference of the Faculty of Mathematics and Natural Sciences - SWU, 3-7 June 2009, SWU, Blagoevgrad, 2009, p. 227-230. ISSN: 1314 – 0272</v>
      </c>
      <c r="F3495" s="10"/>
      <c r="G3495" s="10" t="str">
        <f ca="1">IFERROR(__xludf.DUMMYFUNCTION("""COMPUTED_VALUE"""),"S. Galabova, T. Trencheva")</f>
        <v>S. Galabova, T. Trencheva</v>
      </c>
      <c r="H3495" s="10"/>
      <c r="I3495" s="10"/>
      <c r="J3495" s="10"/>
      <c r="K3495" s="10"/>
      <c r="L3495" s="10"/>
      <c r="M3495" s="10"/>
      <c r="N3495" s="10"/>
      <c r="O3495" s="10"/>
      <c r="P3495" s="10"/>
      <c r="Q3495" s="10"/>
      <c r="R3495" s="10"/>
      <c r="S3495" s="10"/>
      <c r="T3495" s="10"/>
      <c r="U3495" s="10"/>
      <c r="V3495" s="10"/>
      <c r="W3495" s="10"/>
      <c r="X3495" s="10"/>
      <c r="Y3495" s="10"/>
      <c r="Z3495" s="10"/>
    </row>
    <row r="3496" spans="1:26" ht="12.75">
      <c r="A3496" s="10" t="str">
        <f ca="1">IFERROR(__xludf.DUMMYFUNCTION("""COMPUTED_VALUE"""),"Иван Драгов Тренчев")</f>
        <v>Иван Драгов Тренчев</v>
      </c>
      <c r="B3496" s="10" t="str">
        <f ca="1">IFERROR(__xludf.DUMMYFUNCTION("""COMPUTED_VALUE"""),"Доклад от конференция")</f>
        <v>Доклад от конференция</v>
      </c>
      <c r="C3496" s="10" t="str">
        <f ca="1">IFERROR(__xludf.DUMMYFUNCTION("""COMPUTED_VALUE"""),"Приложимост на новите информационни системи в библиотечния мениджмънт")</f>
        <v>Приложимост на новите информационни системи в библиотечния мениджмънт</v>
      </c>
      <c r="D3496" s="10">
        <f ca="1">IFERROR(__xludf.DUMMYFUNCTION("""COMPUTED_VALUE"""),2009)</f>
        <v>2009</v>
      </c>
      <c r="E3496" s="10" t="str">
        <f ca="1">IFERROR(__xludf.DUMMYFUNCTION("""COMPUTED_VALUE"""),"Сборник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978-954-400-249-"&amp;"7")</f>
        <v>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978-954-400-249-7</v>
      </c>
      <c r="F3496" s="10"/>
      <c r="G3496" s="10" t="str">
        <f ca="1">IFERROR(__xludf.DUMMYFUNCTION("""COMPUTED_VALUE"""),"Т. Тренчева")</f>
        <v>Т. Тренчева</v>
      </c>
      <c r="H3496" s="10"/>
      <c r="I3496" s="10"/>
      <c r="J3496" s="10"/>
      <c r="K3496" s="10"/>
      <c r="L3496" s="10"/>
      <c r="M3496" s="10"/>
      <c r="N3496" s="10"/>
      <c r="O3496" s="10"/>
      <c r="P3496" s="10"/>
      <c r="Q3496" s="10"/>
      <c r="R3496" s="10"/>
      <c r="S3496" s="10"/>
      <c r="T3496" s="10"/>
      <c r="U3496" s="10"/>
      <c r="V3496" s="10"/>
      <c r="W3496" s="10"/>
      <c r="X3496" s="10"/>
      <c r="Y3496" s="10"/>
      <c r="Z3496" s="10"/>
    </row>
    <row r="3497" spans="1:26" ht="12.75">
      <c r="A3497" s="10" t="str">
        <f ca="1">IFERROR(__xludf.DUMMYFUNCTION("""COMPUTED_VALUE"""),"Иван Драгов Тренчев")</f>
        <v>Иван Драгов Тренчев</v>
      </c>
      <c r="B3497" s="10" t="str">
        <f ca="1">IFERROR(__xludf.DUMMYFUNCTION("""COMPUTED_VALUE"""),"Доклад от конференция")</f>
        <v>Доклад от конференция</v>
      </c>
      <c r="C3497" s="10" t="str">
        <f ca="1">IFERROR(__xludf.DUMMYFUNCTION("""COMPUTED_VALUE"""),"Description of the biological databases")</f>
        <v>Description of the biological databases</v>
      </c>
      <c r="D3497" s="10">
        <f ca="1">IFERROR(__xludf.DUMMYFUNCTION("""COMPUTED_VALUE"""),2009)</f>
        <v>2009</v>
      </c>
      <c r="E3497" s="10" t="str">
        <f ca="1">IFERROR(__xludf.DUMMYFUNCTION("""COMPUTED_VALUE"""),"Proceedings of the International Scientific Conference of the Faculty of Mathematics and Natural Sciences - SWU, 3-7 June 2009, SWU, Blagoevgrad, 2009, p. 122 – 127 ISSN: 1314 – 0272")</f>
        <v>Proceedings of the International Scientific Conference of the Faculty of Mathematics and Natural Sciences - SWU, 3-7 June 2009, SWU, Blagoevgrad, 2009, p. 122 – 127 ISSN: 1314 – 0272</v>
      </c>
      <c r="F3497" s="10"/>
      <c r="G3497" s="10" t="str">
        <f ca="1">IFERROR(__xludf.DUMMYFUNCTION("""COMPUTED_VALUE"""),"Sv. Slavkov, K. Gashteovski, A. Stoilov, N. Borisova")</f>
        <v>Sv. Slavkov, K. Gashteovski, A. Stoilov, N. Borisova</v>
      </c>
      <c r="H3497" s="10"/>
      <c r="I3497" s="10"/>
      <c r="J3497" s="10"/>
      <c r="K3497" s="10"/>
      <c r="L3497" s="10"/>
      <c r="M3497" s="10"/>
      <c r="N3497" s="10"/>
      <c r="O3497" s="10"/>
      <c r="P3497" s="10"/>
      <c r="Q3497" s="10"/>
      <c r="R3497" s="10"/>
      <c r="S3497" s="10"/>
      <c r="T3497" s="10"/>
      <c r="U3497" s="10"/>
      <c r="V3497" s="10"/>
      <c r="W3497" s="10"/>
      <c r="X3497" s="10"/>
      <c r="Y3497" s="10"/>
      <c r="Z3497" s="10"/>
    </row>
    <row r="3498" spans="1:26" ht="12.75">
      <c r="A3498" s="10" t="str">
        <f ca="1">IFERROR(__xludf.DUMMYFUNCTION("""COMPUTED_VALUE"""),"Иван Драгов Тренчев")</f>
        <v>Иван Драгов Тренчев</v>
      </c>
      <c r="B3498" s="10" t="str">
        <f ca="1">IFERROR(__xludf.DUMMYFUNCTION("""COMPUTED_VALUE"""),"Доклад от конференция")</f>
        <v>Доклад от конференция</v>
      </c>
      <c r="C3498" s="10" t="str">
        <f ca="1">IFERROR(__xludf.DUMMYFUNCTION("""COMPUTED_VALUE"""),"Bioinformatical research of he protein structure with Matlab")</f>
        <v>Bioinformatical research of he protein structure with Matlab</v>
      </c>
      <c r="D3498" s="10">
        <f ca="1">IFERROR(__xludf.DUMMYFUNCTION("""COMPUTED_VALUE"""),2009)</f>
        <v>2009</v>
      </c>
      <c r="E3498" s="10" t="str">
        <f ca="1">IFERROR(__xludf.DUMMYFUNCTION("""COMPUTED_VALUE"""),"MASSEE International Congress on Mathematics: MICOM 2009, Ohrid, Macedonia, September 16th-20th, 2009, p. 103 - 105 ISBN 978-9989-649-40-9")</f>
        <v>MASSEE International Congress on Mathematics: MICOM 2009, Ohrid, Macedonia, September 16th-20th, 2009, p. 103 - 105 ISBN 978-9989-649-40-9</v>
      </c>
      <c r="F3498" s="10"/>
      <c r="G3498" s="10" t="str">
        <f ca="1">IFERROR(__xludf.DUMMYFUNCTION("""COMPUTED_VALUE"""),"N. Borisova")</f>
        <v>N. Borisova</v>
      </c>
      <c r="H3498" s="10"/>
      <c r="I3498" s="10"/>
      <c r="J3498" s="10"/>
      <c r="K3498" s="10"/>
      <c r="L3498" s="10"/>
      <c r="M3498" s="10"/>
      <c r="N3498" s="10"/>
      <c r="O3498" s="10"/>
      <c r="P3498" s="10"/>
      <c r="Q3498" s="10"/>
      <c r="R3498" s="10"/>
      <c r="S3498" s="10"/>
      <c r="T3498" s="10"/>
      <c r="U3498" s="10"/>
      <c r="V3498" s="10"/>
      <c r="W3498" s="10"/>
      <c r="X3498" s="10"/>
      <c r="Y3498" s="10"/>
      <c r="Z3498" s="10"/>
    </row>
    <row r="3499" spans="1:26" ht="12.75">
      <c r="A3499" s="10" t="str">
        <f ca="1">IFERROR(__xludf.DUMMYFUNCTION("""COMPUTED_VALUE"""),"Иван Драгов Тренчев")</f>
        <v>Иван Драгов Тренчев</v>
      </c>
      <c r="B3499" s="10" t="str">
        <f ca="1">IFERROR(__xludf.DUMMYFUNCTION("""COMPUTED_VALUE"""),"Доклад от конференция")</f>
        <v>Доклад от конференция</v>
      </c>
      <c r="C3499" s="10" t="str">
        <f ca="1">IFERROR(__xludf.DUMMYFUNCTION("""COMPUTED_VALUE"""),"Stimulus-response relations of deep tissue pain obtained with computer-controlled pressure algometry")</f>
        <v>Stimulus-response relations of deep tissue pain obtained with computer-controlled pressure algometry</v>
      </c>
      <c r="D3499" s="10">
        <f ca="1">IFERROR(__xludf.DUMMYFUNCTION("""COMPUTED_VALUE"""),2009)</f>
        <v>2009</v>
      </c>
      <c r="E3499" s="10" t="str">
        <f ca="1">IFERROR(__xludf.DUMMYFUNCTION("""COMPUTED_VALUE"""),"Proceedings of the International Scientific Conference of the Faculty of Mathematics and Natural Sciences - SWU, 3-7 June 2009, SWU, Blagoevgrad, 2009, p. 92 – 97 ISSN: 1314 – 0272")</f>
        <v>Proceedings of the International Scientific Conference of the Faculty of Mathematics and Natural Sciences - SWU, 3-7 June 2009, SWU, Blagoevgrad, 2009, p. 92 – 97 ISSN: 1314 – 0272</v>
      </c>
      <c r="F3499" s="10"/>
      <c r="G3499" s="10" t="str">
        <f ca="1">IFERROR(__xludf.DUMMYFUNCTION("""COMPUTED_VALUE"""),"A. Stoilov, N. Pencheva, K. Grancharska")</f>
        <v>A. Stoilov, N. Pencheva, K. Grancharska</v>
      </c>
      <c r="H3499" s="10"/>
      <c r="I3499" s="10"/>
      <c r="J3499" s="10"/>
      <c r="K3499" s="10"/>
      <c r="L3499" s="10"/>
      <c r="M3499" s="10"/>
      <c r="N3499" s="10"/>
      <c r="O3499" s="10"/>
      <c r="P3499" s="10"/>
      <c r="Q3499" s="10"/>
      <c r="R3499" s="10"/>
      <c r="S3499" s="10"/>
      <c r="T3499" s="10"/>
      <c r="U3499" s="10"/>
      <c r="V3499" s="10"/>
      <c r="W3499" s="10"/>
      <c r="X3499" s="10"/>
      <c r="Y3499" s="10"/>
      <c r="Z3499" s="10"/>
    </row>
    <row r="3500" spans="1:26" ht="12.75">
      <c r="A3500" s="10" t="str">
        <f ca="1">IFERROR(__xludf.DUMMYFUNCTION("""COMPUTED_VALUE"""),"Иван Драгов Тренчев")</f>
        <v>Иван Драгов Тренчев</v>
      </c>
      <c r="B3500" s="10" t="str">
        <f ca="1">IFERROR(__xludf.DUMMYFUNCTION("""COMPUTED_VALUE"""),"Доклад от конференция")</f>
        <v>Доклад от конференция</v>
      </c>
      <c r="C3500" s="10" t="str">
        <f ca="1">IFERROR(__xludf.DUMMYFUNCTION("""COMPUTED_VALUE"""),"Prediction secondary structure of RNA")</f>
        <v>Prediction secondary structure of RNA</v>
      </c>
      <c r="D3500" s="10">
        <f ca="1">IFERROR(__xludf.DUMMYFUNCTION("""COMPUTED_VALUE"""),2009)</f>
        <v>2009</v>
      </c>
      <c r="E3500" s="10" t="str">
        <f ca="1">IFERROR(__xludf.DUMMYFUNCTION("""COMPUTED_VALUE"""),"Proceedings of the International Scientific Conference of the Faculty of Mathematics and Natural Sciences - SWU, 3-7 June 2009, SWU, Blagoevgrad, 2009, p. 116 – 121 ISSN: 1314 – 0272")</f>
        <v>Proceedings of the International Scientific Conference of the Faculty of Mathematics and Natural Sciences - SWU, 3-7 June 2009, SWU, Blagoevgrad, 2009, p. 116 – 121 ISSN: 1314 – 0272</v>
      </c>
      <c r="F3500" s="10"/>
      <c r="G3500" s="10" t="str">
        <f ca="1">IFERROR(__xludf.DUMMYFUNCTION("""COMPUTED_VALUE"""),"Bl. Kasabov, G. Iliev, A. Stoilov, F. Boshnakov")</f>
        <v>Bl. Kasabov, G. Iliev, A. Stoilov, F. Boshnakov</v>
      </c>
      <c r="H3500" s="10"/>
      <c r="I3500" s="10"/>
      <c r="J3500" s="10"/>
      <c r="K3500" s="10"/>
      <c r="L3500" s="10"/>
      <c r="M3500" s="10"/>
      <c r="N3500" s="10"/>
      <c r="O3500" s="10"/>
      <c r="P3500" s="10"/>
      <c r="Q3500" s="10"/>
      <c r="R3500" s="10"/>
      <c r="S3500" s="10"/>
      <c r="T3500" s="10"/>
      <c r="U3500" s="10"/>
      <c r="V3500" s="10"/>
      <c r="W3500" s="10"/>
      <c r="X3500" s="10"/>
      <c r="Y3500" s="10"/>
      <c r="Z3500" s="10"/>
    </row>
    <row r="3501" spans="1:26" ht="12.75">
      <c r="A3501" s="10" t="str">
        <f ca="1">IFERROR(__xludf.DUMMYFUNCTION("""COMPUTED_VALUE"""),"Иван Драгов Тренчев")</f>
        <v>Иван Драгов Тренчев</v>
      </c>
      <c r="B3501" s="10" t="str">
        <f ca="1">IFERROR(__xludf.DUMMYFUNCTION("""COMPUTED_VALUE"""),"Статия в списания и поредици")</f>
        <v>Статия в списания и поредици</v>
      </c>
      <c r="C3501" s="10" t="str">
        <f ca="1">IFERROR(__xludf.DUMMYFUNCTION("""COMPUTED_VALUE"""),"Stability of oligonucleotides as a criterion for resistance of the genetic code")</f>
        <v>Stability of oligonucleotides as a criterion for resistance of the genetic code</v>
      </c>
      <c r="D3501" s="10">
        <f ca="1">IFERROR(__xludf.DUMMYFUNCTION("""COMPUTED_VALUE"""),2009)</f>
        <v>2009</v>
      </c>
      <c r="E3501" s="10" t="str">
        <f ca="1">IFERROR(__xludf.DUMMYFUNCTION("""COMPUTED_VALUE"""),"Scientific Research Journal of South-West University, June 2009, 2(1), p. 11-19 (ISSN: 1312-7535)")</f>
        <v>Scientific Research Journal of South-West University, June 2009, 2(1), p. 11-19 (ISSN: 1312-7535)</v>
      </c>
      <c r="F3501" s="10"/>
      <c r="G3501" s="10" t="str">
        <f ca="1">IFERROR(__xludf.DUMMYFUNCTION("""COMPUTED_VALUE"""),"P. Milanov, Zh. Velkov, N. Pencheva, A. Tadjer")</f>
        <v>P. Milanov, Zh. Velkov, N. Pencheva, A. Tadjer</v>
      </c>
      <c r="H3501" s="10"/>
      <c r="I3501" s="10"/>
      <c r="J3501" s="10"/>
      <c r="K3501" s="10"/>
      <c r="L3501" s="10"/>
      <c r="M3501" s="10"/>
      <c r="N3501" s="10"/>
      <c r="O3501" s="10"/>
      <c r="P3501" s="10"/>
      <c r="Q3501" s="10"/>
      <c r="R3501" s="10"/>
      <c r="S3501" s="10"/>
      <c r="T3501" s="10"/>
      <c r="U3501" s="10"/>
      <c r="V3501" s="10"/>
      <c r="W3501" s="10"/>
      <c r="X3501" s="10"/>
      <c r="Y3501" s="10"/>
      <c r="Z3501" s="10"/>
    </row>
    <row r="3502" spans="1:26" ht="12.75">
      <c r="A3502" s="10" t="str">
        <f ca="1">IFERROR(__xludf.DUMMYFUNCTION("""COMPUTED_VALUE"""),"Иван Драгов Тренчев")</f>
        <v>Иван Драгов Тренчев</v>
      </c>
      <c r="B3502" s="10" t="str">
        <f ca="1">IFERROR(__xludf.DUMMYFUNCTION("""COMPUTED_VALUE"""),"Доклад от конференция")</f>
        <v>Доклад от конференция</v>
      </c>
      <c r="C3502" s="10" t="str">
        <f ca="1">IFERROR(__xludf.DUMMYFUNCTION("""COMPUTED_VALUE"""),"Standardized structure of electronic records for information exchange")</f>
        <v>Standardized structure of electronic records for information exchange</v>
      </c>
      <c r="D3502" s="10">
        <f ca="1">IFERROR(__xludf.DUMMYFUNCTION("""COMPUTED_VALUE"""),2009)</f>
        <v>2009</v>
      </c>
      <c r="E3502" s="10" t="str">
        <f ca="1">IFERROR(__xludf.DUMMYFUNCTION("""COMPUTED_VALUE"""),"Proceedings of the International Scientific Conference of the Faculty of mathematics and Natural Sciences - SWU, 3-7 June 2009, SWU, Blagoevgrad, 2009, p. 219-226. ISSN: 1314 – 0272")</f>
        <v>Proceedings of the International Scientific Conference of the Faculty of mathematics and Natural Sciences - SWU, 3-7 June 2009, SWU, Blagoevgrad, 2009, p. 219-226. ISSN: 1314 – 0272</v>
      </c>
      <c r="F3502" s="10"/>
      <c r="G3502" s="10" t="str">
        <f ca="1">IFERROR(__xludf.DUMMYFUNCTION("""COMPUTED_VALUE"""),"S. Galabova, T. Trencheva")</f>
        <v>S. Galabova, T. Trencheva</v>
      </c>
      <c r="H3502" s="10"/>
      <c r="I3502" s="10"/>
      <c r="J3502" s="10"/>
      <c r="K3502" s="10"/>
      <c r="L3502" s="10"/>
      <c r="M3502" s="10"/>
      <c r="N3502" s="10"/>
      <c r="O3502" s="10"/>
      <c r="P3502" s="10"/>
      <c r="Q3502" s="10"/>
      <c r="R3502" s="10"/>
      <c r="S3502" s="10"/>
      <c r="T3502" s="10"/>
      <c r="U3502" s="10"/>
      <c r="V3502" s="10"/>
      <c r="W3502" s="10"/>
      <c r="X3502" s="10"/>
      <c r="Y3502" s="10"/>
      <c r="Z3502" s="10"/>
    </row>
    <row r="3503" spans="1:26" ht="12.75">
      <c r="A3503" s="10" t="str">
        <f ca="1">IFERROR(__xludf.DUMMYFUNCTION("""COMPUTED_VALUE"""),"Иван Драгов Тренчев")</f>
        <v>Иван Драгов Тренчев</v>
      </c>
      <c r="B3503" s="10" t="str">
        <f ca="1">IFERROR(__xludf.DUMMYFUNCTION("""COMPUTED_VALUE"""),"Доклад от конференция")</f>
        <v>Доклад от конференция</v>
      </c>
      <c r="C3503" s="10" t="str">
        <f ca="1">IFERROR(__xludf.DUMMYFUNCTION("""COMPUTED_VALUE"""),"The slope as a Parameter in fitting of concentration-response relations")</f>
        <v>The slope as a Parameter in fitting of concentration-response relations</v>
      </c>
      <c r="D3503" s="10">
        <f ca="1">IFERROR(__xludf.DUMMYFUNCTION("""COMPUTED_VALUE"""),2008)</f>
        <v>2008</v>
      </c>
      <c r="E3503" s="10" t="str">
        <f ca="1">IFERROR(__xludf.DUMMYFUNCTION("""COMPUTED_VALUE"""),"Proceedings of the International Scientific Conference Computer Science’2008, Kavala, Greece, vol.2., 18-19 September, 2008, p.90-97; ISBN: 978-954-580-255-3")</f>
        <v>Proceedings of the International Scientific Conference Computer Science’2008, Kavala, Greece, vol.2., 18-19 September, 2008, p.90-97; ISBN: 978-954-580-255-3</v>
      </c>
      <c r="F3503" s="10"/>
      <c r="G3503" s="10" t="str">
        <f ca="1">IFERROR(__xludf.DUMMYFUNCTION("""COMPUTED_VALUE"""),"P. Milanov, N. Pencheva, K. Grancharska")</f>
        <v>P. Milanov, N. Pencheva, K. Grancharska</v>
      </c>
      <c r="H3503" s="10"/>
      <c r="I3503" s="10"/>
      <c r="J3503" s="10"/>
      <c r="K3503" s="10"/>
      <c r="L3503" s="10"/>
      <c r="M3503" s="10"/>
      <c r="N3503" s="10"/>
      <c r="O3503" s="10"/>
      <c r="P3503" s="10"/>
      <c r="Q3503" s="10"/>
      <c r="R3503" s="10"/>
      <c r="S3503" s="10"/>
      <c r="T3503" s="10"/>
      <c r="U3503" s="10"/>
      <c r="V3503" s="10"/>
      <c r="W3503" s="10"/>
      <c r="X3503" s="10"/>
      <c r="Y3503" s="10"/>
      <c r="Z3503" s="10"/>
    </row>
    <row r="3504" spans="1:26" ht="12.75">
      <c r="A3504" s="10" t="str">
        <f ca="1">IFERROR(__xludf.DUMMYFUNCTION("""COMPUTED_VALUE"""),"Иван Драгов Тренчев")</f>
        <v>Иван Драгов Тренчев</v>
      </c>
      <c r="B3504" s="10" t="str">
        <f ca="1">IFERROR(__xludf.DUMMYFUNCTION("""COMPUTED_VALUE"""),"Доклад от конференция")</f>
        <v>Доклад от конференция</v>
      </c>
      <c r="C3504" s="10" t="str">
        <f ca="1">IFERROR(__xludf.DUMMYFUNCTION("""COMPUTED_VALUE"""),"Efficient sharing of the capacity for different types traffic in multicervice networks")</f>
        <v>Efficient sharing of the capacity for different types traffic in multicervice networks</v>
      </c>
      <c r="D3504" s="10">
        <f ca="1">IFERROR(__xludf.DUMMYFUNCTION("""COMPUTED_VALUE"""),2008)</f>
        <v>2008</v>
      </c>
      <c r="E3504" s="10" t="str">
        <f ca="1">IFERROR(__xludf.DUMMYFUNCTION("""COMPUTED_VALUE"""),"IX Национална конференция с международно участие: Електроника 2008, София, 29-30 май 2008, с. 94-99 ISSN 1313-3985")</f>
        <v>IX Национална конференция с международно участие: Електроника 2008, София, 29-30 май 2008, с. 94-99 ISSN 1313-3985</v>
      </c>
      <c r="F3504" s="10"/>
      <c r="G3504" s="10" t="str">
        <f ca="1">IFERROR(__xludf.DUMMYFUNCTION("""COMPUTED_VALUE"""),"V. Hristov, G. Maslarska")</f>
        <v>V. Hristov, G. Maslarska</v>
      </c>
      <c r="H3504" s="10"/>
      <c r="I3504" s="10"/>
      <c r="J3504" s="10"/>
      <c r="K3504" s="10"/>
      <c r="L3504" s="10"/>
      <c r="M3504" s="10"/>
      <c r="N3504" s="10"/>
      <c r="O3504" s="10"/>
      <c r="P3504" s="10"/>
      <c r="Q3504" s="10"/>
      <c r="R3504" s="10"/>
      <c r="S3504" s="10"/>
      <c r="T3504" s="10"/>
      <c r="U3504" s="10"/>
      <c r="V3504" s="10"/>
      <c r="W3504" s="10"/>
      <c r="X3504" s="10"/>
      <c r="Y3504" s="10"/>
      <c r="Z3504" s="10"/>
    </row>
    <row r="3505" spans="1:26" ht="12.75">
      <c r="A3505" s="10" t="str">
        <f ca="1">IFERROR(__xludf.DUMMYFUNCTION("""COMPUTED_VALUE"""),"Иван Драгов Тренчев")</f>
        <v>Иван Драгов Тренчев</v>
      </c>
      <c r="B3505" s="10" t="str">
        <f ca="1">IFERROR(__xludf.DUMMYFUNCTION("""COMPUTED_VALUE"""),"Статия в списания и поредици")</f>
        <v>Статия в списания и поредици</v>
      </c>
      <c r="C3505" s="10" t="str">
        <f ca="1">IFERROR(__xludf.DUMMYFUNCTION("""COMPUTED_VALUE"""),"Molecular design of selective enkephalin analogues by neural network modeling")</f>
        <v>Molecular design of selective enkephalin analogues by neural network modeling</v>
      </c>
      <c r="D3505" s="10">
        <f ca="1">IFERROR(__xludf.DUMMYFUNCTION("""COMPUTED_VALUE"""),2004)</f>
        <v>2004</v>
      </c>
      <c r="E3505" s="10" t="str">
        <f ca="1">IFERROR(__xludf.DUMMYFUNCTION("""COMPUTED_VALUE"""),"Доклади на БАН, Т. 57, №4, 2004, с. 27- 30, ISSN 1310-1331")</f>
        <v>Доклади на БАН, Т. 57, №4, 2004, с. 27- 30, ISSN 1310-1331</v>
      </c>
      <c r="F3505" s="10" t="str">
        <f ca="1">IFERROR(__xludf.DUMMYFUNCTION("""COMPUTED_VALUE"""),"Web of Science, Zentralblatt")</f>
        <v>Web of Science, Zentralblatt</v>
      </c>
      <c r="G3505" s="10" t="str">
        <f ca="1">IFERROR(__xludf.DUMMYFUNCTION("""COMPUTED_VALUE"""),"P. Milanov, N. Pencheva, A.Milanov")</f>
        <v>P. Milanov, N. Pencheva, A.Milanov</v>
      </c>
      <c r="H3505" s="10"/>
      <c r="I3505" s="10"/>
      <c r="J3505" s="10"/>
      <c r="K3505" s="10"/>
      <c r="L3505" s="10"/>
      <c r="M3505" s="10"/>
      <c r="N3505" s="10"/>
      <c r="O3505" s="10"/>
      <c r="P3505" s="10"/>
      <c r="Q3505" s="10"/>
      <c r="R3505" s="10"/>
      <c r="S3505" s="10"/>
      <c r="T3505" s="10"/>
      <c r="U3505" s="10"/>
      <c r="V3505" s="10"/>
      <c r="W3505" s="10"/>
      <c r="X3505" s="10"/>
      <c r="Y3505" s="10"/>
      <c r="Z3505" s="10"/>
    </row>
    <row r="3506" spans="1:26" ht="12.75">
      <c r="A3506" s="10" t="str">
        <f ca="1">IFERROR(__xludf.DUMMYFUNCTION("""COMPUTED_VALUE"""),"Иван Драгов Тренчев")</f>
        <v>Иван Драгов Тренчев</v>
      </c>
      <c r="B3506" s="10" t="str">
        <f ca="1">IFERROR(__xludf.DUMMYFUNCTION("""COMPUTED_VALUE"""),"Статия в списания и поредици")</f>
        <v>Статия в списания и поредици</v>
      </c>
      <c r="C3506" s="10" t="str">
        <f ca="1">IFERROR(__xludf.DUMMYFUNCTION("""COMPUTED_VALUE"""),"Explicit description of the set of all theoretical genetic codes")</f>
        <v>Explicit description of the set of all theoretical genetic codes</v>
      </c>
      <c r="D3506" s="10">
        <f ca="1">IFERROR(__xludf.DUMMYFUNCTION("""COMPUTED_VALUE"""),2004)</f>
        <v>2004</v>
      </c>
      <c r="E3506" s="10" t="str">
        <f ca="1">IFERROR(__xludf.DUMMYFUNCTION("""COMPUTED_VALUE"""),"Mathematika Balkanika, New Ser. 18, No. 1-2, 157-164 (2004). Zbl 1095.92059; ISSN: 0350-2007")</f>
        <v>Mathematika Balkanika, New Ser. 18, No. 1-2, 157-164 (2004). Zbl 1095.92059; ISSN: 0350-2007</v>
      </c>
      <c r="F3506" s="10" t="str">
        <f ca="1">IFERROR(__xludf.DUMMYFUNCTION("""COMPUTED_VALUE"""),"Zentralblatt")</f>
        <v>Zentralblatt</v>
      </c>
      <c r="G3506" s="10" t="str">
        <f ca="1">IFERROR(__xludf.DUMMYFUNCTION("""COMPUTED_VALUE"""),"P. Milanov, N. Pencheva")</f>
        <v>P. Milanov, N. Pencheva</v>
      </c>
      <c r="H3506" s="10"/>
      <c r="I3506" s="10"/>
      <c r="J3506" s="10"/>
      <c r="K3506" s="10"/>
      <c r="L3506" s="10"/>
      <c r="M3506" s="10"/>
      <c r="N3506" s="10"/>
      <c r="O3506" s="10"/>
      <c r="P3506" s="10"/>
      <c r="Q3506" s="10"/>
      <c r="R3506" s="10"/>
      <c r="S3506" s="10"/>
      <c r="T3506" s="10"/>
      <c r="U3506" s="10"/>
      <c r="V3506" s="10"/>
      <c r="W3506" s="10"/>
      <c r="X3506" s="10"/>
      <c r="Y3506" s="10"/>
      <c r="Z3506" s="10"/>
    </row>
    <row r="3507" spans="1:26" ht="12.75">
      <c r="A3507" s="10" t="str">
        <f ca="1">IFERROR(__xludf.DUMMYFUNCTION("""COMPUTED_VALUE"""),"Иван Тодоров Тодоров")</f>
        <v>Иван Тодоров Тодоров</v>
      </c>
      <c r="B3507" s="10" t="str">
        <f ca="1">IFERROR(__xludf.DUMMYFUNCTION("""COMPUTED_VALUE"""),"Учебник")</f>
        <v>Учебник</v>
      </c>
      <c r="C3507" s="10" t="str">
        <f ca="1">IFERROR(__xludf.DUMMYFUNCTION("""COMPUTED_VALUE"""),"Административен процес")</f>
        <v>Административен процес</v>
      </c>
      <c r="D3507" s="10">
        <f ca="1">IFERROR(__xludf.DUMMYFUNCTION("""COMPUTED_VALUE"""),2020)</f>
        <v>2020</v>
      </c>
      <c r="E3507" s="10" t="str">
        <f ca="1">IFERROR(__xludf.DUMMYFUNCTION("""COMPUTED_VALUE"""),"7-мо преработено и допълнено издание с измененията в АПК от 2019г. и 2020 г. и проекта за изменения в ЗАНН от 2020 г., изд. Сиела, съавторство с проф. д-р Кино Лазаров, ISBN 9789542832997, Страници: 736, Година на издаване: 2020")</f>
        <v>7-мо преработено и допълнено издание с измененията в АПК от 2019г. и 2020 г. и проекта за изменения в ЗАНН от 2020 г., изд. Сиела, съавторство с проф. д-р Кино Лазаров, ISBN 9789542832997, Страници: 736, Година на издаване: 2020</v>
      </c>
      <c r="F3507" s="10"/>
      <c r="G3507" s="10" t="str">
        <f ca="1">IFERROR(__xludf.DUMMYFUNCTION("""COMPUTED_VALUE"""),"Кино Лазаров")</f>
        <v>Кино Лазаров</v>
      </c>
      <c r="H3507" s="10"/>
      <c r="I3507" s="10"/>
      <c r="J3507" s="10"/>
      <c r="K3507" s="10"/>
      <c r="L3507" s="10"/>
      <c r="M3507" s="10"/>
      <c r="N3507" s="10"/>
      <c r="O3507" s="10"/>
      <c r="P3507" s="10"/>
      <c r="Q3507" s="10"/>
      <c r="R3507" s="10"/>
      <c r="S3507" s="10"/>
      <c r="T3507" s="10"/>
      <c r="U3507" s="10"/>
      <c r="V3507" s="10"/>
      <c r="W3507" s="10"/>
      <c r="X3507" s="10"/>
      <c r="Y3507" s="10"/>
      <c r="Z3507" s="10"/>
    </row>
    <row r="3508" spans="1:26" ht="12.75">
      <c r="A3508" s="10" t="str">
        <f ca="1">IFERROR(__xludf.DUMMYFUNCTION("""COMPUTED_VALUE"""),"Иван Тодоров Тодоров")</f>
        <v>Иван Тодоров Тодоров</v>
      </c>
      <c r="B3508" s="10" t="str">
        <f ca="1">IFERROR(__xludf.DUMMYFUNCTION("""COMPUTED_VALUE"""),"Статия в списания и поредици")</f>
        <v>Статия в списания и поредици</v>
      </c>
      <c r="C3508" s="10" t="str">
        <f ca="1">IFERROR(__xludf.DUMMYFUNCTION("""COMPUTED_VALUE"""),"Инцидентен контрол за законосъобразност на административните актове")</f>
        <v>Инцидентен контрол за законосъобразност на административните актове</v>
      </c>
      <c r="D3508" s="10">
        <f ca="1">IFERROR(__xludf.DUMMYFUNCTION("""COMPUTED_VALUE"""),2020)</f>
        <v>2020</v>
      </c>
      <c r="E3508" s="10" t="str">
        <f ca="1">IFERROR(__xludf.DUMMYFUNCTION("""COMPUTED_VALUE"""),"сп. Норма, бр. 7/2020, изд. Сиела Норма АД, стр. 80, ISSN: 1314 – 5126, стр. 25-37")</f>
        <v>сп. Норма, бр. 7/2020, изд. Сиела Норма АД, стр. 80, ISSN: 1314 – 5126, стр. 25-37</v>
      </c>
      <c r="F3508" s="10"/>
      <c r="G3508" s="10"/>
      <c r="H3508" s="10"/>
      <c r="I3508" s="10"/>
      <c r="J3508" s="10"/>
      <c r="K3508" s="10"/>
      <c r="L3508" s="10"/>
      <c r="M3508" s="10"/>
      <c r="N3508" s="10"/>
      <c r="O3508" s="10"/>
      <c r="P3508" s="10"/>
      <c r="Q3508" s="10"/>
      <c r="R3508" s="10"/>
      <c r="S3508" s="10"/>
      <c r="T3508" s="10"/>
      <c r="U3508" s="10"/>
      <c r="V3508" s="10"/>
      <c r="W3508" s="10"/>
      <c r="X3508" s="10"/>
      <c r="Y3508" s="10"/>
      <c r="Z3508" s="10"/>
    </row>
    <row r="3509" spans="1:26" ht="12.75">
      <c r="A3509" s="10" t="str">
        <f ca="1">IFERROR(__xludf.DUMMYFUNCTION("""COMPUTED_VALUE"""),"Иван Тодоров Тодоров")</f>
        <v>Иван Тодоров Тодоров</v>
      </c>
      <c r="B3509" s="10" t="str">
        <f ca="1">IFERROR(__xludf.DUMMYFUNCTION("""COMPUTED_VALUE"""),"Учебник")</f>
        <v>Учебник</v>
      </c>
      <c r="C3509" s="10" t="str">
        <f ca="1">IFERROR(__xludf.DUMMYFUNCTION("""COMPUTED_VALUE"""),"Административен процес")</f>
        <v>Административен процес</v>
      </c>
      <c r="D3509" s="10">
        <f ca="1">IFERROR(__xludf.DUMMYFUNCTION("""COMPUTED_VALUE"""),2018)</f>
        <v>2018</v>
      </c>
      <c r="E3509" s="10" t="str">
        <f ca="1">IFERROR(__xludf.DUMMYFUNCTION("""COMPUTED_VALUE"""),"6-то преработено и допълнено издание с измененията на АПК от септември 2018г., изд. Сиела, съавторство с проф. д-р Кино Лазаров, ISBN: 9789542827184, Страници: 584, Година на издаване: 2018")</f>
        <v>6-то преработено и допълнено издание с измененията на АПК от септември 2018г., изд. Сиела, съавторство с проф. д-р Кино Лазаров, ISBN: 9789542827184, Страници: 584, Година на издаване: 2018</v>
      </c>
      <c r="F3509" s="10"/>
      <c r="G3509" s="10" t="str">
        <f ca="1">IFERROR(__xludf.DUMMYFUNCTION("""COMPUTED_VALUE"""),"Кино Лазаров")</f>
        <v>Кино Лазаров</v>
      </c>
      <c r="H3509" s="10"/>
      <c r="I3509" s="10"/>
      <c r="J3509" s="10"/>
      <c r="K3509" s="10"/>
      <c r="L3509" s="10"/>
      <c r="M3509" s="10"/>
      <c r="N3509" s="10"/>
      <c r="O3509" s="10"/>
      <c r="P3509" s="10"/>
      <c r="Q3509" s="10"/>
      <c r="R3509" s="10"/>
      <c r="S3509" s="10"/>
      <c r="T3509" s="10"/>
      <c r="U3509" s="10"/>
      <c r="V3509" s="10"/>
      <c r="W3509" s="10"/>
      <c r="X3509" s="10"/>
      <c r="Y3509" s="10"/>
      <c r="Z3509" s="10"/>
    </row>
    <row r="3510" spans="1:26" ht="12.75">
      <c r="A3510" s="10" t="str">
        <f ca="1">IFERROR(__xludf.DUMMYFUNCTION("""COMPUTED_VALUE"""),"Иван Тодоров Тодоров")</f>
        <v>Иван Тодоров Тодоров</v>
      </c>
      <c r="B3510" s="10" t="str">
        <f ca="1">IFERROR(__xludf.DUMMYFUNCTION("""COMPUTED_VALUE"""),"Учебник")</f>
        <v>Учебник</v>
      </c>
      <c r="C3510" s="10" t="str">
        <f ca="1">IFERROR(__xludf.DUMMYFUNCTION("""COMPUTED_VALUE"""),"Административен процес")</f>
        <v>Административен процес</v>
      </c>
      <c r="D3510" s="10">
        <f ca="1">IFERROR(__xludf.DUMMYFUNCTION("""COMPUTED_VALUE"""),2016)</f>
        <v>2016</v>
      </c>
      <c r="E3510" s="10" t="str">
        <f ca="1">IFERROR(__xludf.DUMMYFUNCTION("""COMPUTED_VALUE"""),"5-то преработено и допълнено издание, Сиела, глава 2, глава 3, глава 4, глава 5, глава 6, глава 7, глава 8, глава 11, глава 17, глава 22, глава 23, глава 34, глава 35, , съавторство с проф. д-р Кино Лазаров , ISBN: 9789542821977, Страници: 624, Година на "&amp;"издаване: 2016")</f>
        <v>5-то преработено и допълнено издание, Сиела, глава 2, глава 3, глава 4, глава 5, глава 6, глава 7, глава 8, глава 11, глава 17, глава 22, глава 23, глава 34, глава 35, , съавторство с проф. д-р Кино Лазаров , ISBN: 9789542821977, Страници: 624, Година на издаване: 2016</v>
      </c>
      <c r="F3510" s="10"/>
      <c r="G3510" s="10" t="str">
        <f ca="1">IFERROR(__xludf.DUMMYFUNCTION("""COMPUTED_VALUE"""),"Кино Лазаров")</f>
        <v>Кино Лазаров</v>
      </c>
      <c r="H3510" s="10"/>
      <c r="I3510" s="10"/>
      <c r="J3510" s="10"/>
      <c r="K3510" s="10"/>
      <c r="L3510" s="10"/>
      <c r="M3510" s="10"/>
      <c r="N3510" s="10"/>
      <c r="O3510" s="10"/>
      <c r="P3510" s="10"/>
      <c r="Q3510" s="10"/>
      <c r="R3510" s="10"/>
      <c r="S3510" s="10"/>
      <c r="T3510" s="10"/>
      <c r="U3510" s="10"/>
      <c r="V3510" s="10"/>
      <c r="W3510" s="10"/>
      <c r="X3510" s="10"/>
      <c r="Y3510" s="10"/>
      <c r="Z3510" s="10"/>
    </row>
    <row r="3511" spans="1:26" ht="12.75">
      <c r="A3511" s="10" t="str">
        <f ca="1">IFERROR(__xludf.DUMMYFUNCTION("""COMPUTED_VALUE"""),"Иван Тодоров Тодоров")</f>
        <v>Иван Тодоров Тодоров</v>
      </c>
      <c r="B3511" s="10" t="str">
        <f ca="1">IFERROR(__xludf.DUMMYFUNCTION("""COMPUTED_VALUE"""),"Статия в списания и поредици")</f>
        <v>Статия в списания и поредици</v>
      </c>
      <c r="C3511" s="10" t="str">
        <f ca="1">IFERROR(__xludf.DUMMYFUNCTION("""COMPUTED_VALUE"""),"Административният договор след въвеждането му в Административнопроцесуалния кодекс")</f>
        <v>Административният договор след въвеждането му в Административнопроцесуалния кодекс</v>
      </c>
      <c r="D3511" s="10">
        <f ca="1">IFERROR(__xludf.DUMMYFUNCTION("""COMPUTED_VALUE"""),2016)</f>
        <v>2016</v>
      </c>
      <c r="E3511" s="10" t="str">
        <f ca="1">IFERROR(__xludf.DUMMYFUNCTION("""COMPUTED_VALUE"""),"списание „Административно правосъдие“, година XIX, брой 3/2016, съавторство с проф. д-р Кино Лазаров, ISSN: 0861-5268, Страници: 85, Година на издаване: 2016, стр. 5-26;")</f>
        <v>списание „Административно правосъдие“, година XIX, брой 3/2016, съавторство с проф. д-р Кино Лазаров, ISSN: 0861-5268, Страници: 85, Година на издаване: 2016, стр. 5-26;</v>
      </c>
      <c r="F3511" s="10"/>
      <c r="G3511" s="10"/>
      <c r="H3511" s="10"/>
      <c r="I3511" s="10"/>
      <c r="J3511" s="10"/>
      <c r="K3511" s="10"/>
      <c r="L3511" s="10"/>
      <c r="M3511" s="10"/>
      <c r="N3511" s="10"/>
      <c r="O3511" s="10"/>
      <c r="P3511" s="10"/>
      <c r="Q3511" s="10"/>
      <c r="R3511" s="10"/>
      <c r="S3511" s="10"/>
      <c r="T3511" s="10"/>
      <c r="U3511" s="10"/>
      <c r="V3511" s="10"/>
      <c r="W3511" s="10"/>
      <c r="X3511" s="10"/>
      <c r="Y3511" s="10"/>
      <c r="Z3511" s="10"/>
    </row>
    <row r="3512" spans="1:26" ht="12.75">
      <c r="A3512" s="10" t="str">
        <f ca="1">IFERROR(__xludf.DUMMYFUNCTION("""COMPUTED_VALUE"""),"Иван Тодоров Тодоров")</f>
        <v>Иван Тодоров Тодоров</v>
      </c>
      <c r="B3512" s="10" t="str">
        <f ca="1">IFERROR(__xludf.DUMMYFUNCTION("""COMPUTED_VALUE"""),"Учебник")</f>
        <v>Учебник</v>
      </c>
      <c r="C3512" s="10" t="str">
        <f ca="1">IFERROR(__xludf.DUMMYFUNCTION("""COMPUTED_VALUE"""),"Административен процес")</f>
        <v>Административен процес</v>
      </c>
      <c r="D3512" s="10">
        <f ca="1">IFERROR(__xludf.DUMMYFUNCTION("""COMPUTED_VALUE"""),2015)</f>
        <v>2015</v>
      </c>
      <c r="E3512" s="10" t="str">
        <f ca="1">IFERROR(__xludf.DUMMYFUNCTION("""COMPUTED_VALUE"""),"– 4-то преработено и допълнено издание, Сиела, глава 2, глава 3, глава 4, глава 5, глава 6, глава 7, глава 8, глава 11, глава 17, глава 22, глава 23, глава 34, глава 35, , съавторство с проф. д-р Кино Лазаров ,ISBN: 9789542818908, Страници: 544, Година на"&amp;" издаване: 2015")</f>
        <v>– 4-то преработено и допълнено издание, Сиела, глава 2, глава 3, глава 4, глава 5, глава 6, глава 7, глава 8, глава 11, глава 17, глава 22, глава 23, глава 34, глава 35, , съавторство с проф. д-р Кино Лазаров ,ISBN: 9789542818908, Страници: 544, Година на издаване: 2015</v>
      </c>
      <c r="F3512" s="10"/>
      <c r="G3512" s="10" t="str">
        <f ca="1">IFERROR(__xludf.DUMMYFUNCTION("""COMPUTED_VALUE"""),"Кино Лазаров")</f>
        <v>Кино Лазаров</v>
      </c>
      <c r="H3512" s="10"/>
      <c r="I3512" s="10"/>
      <c r="J3512" s="10"/>
      <c r="K3512" s="10"/>
      <c r="L3512" s="10"/>
      <c r="M3512" s="10"/>
      <c r="N3512" s="10"/>
      <c r="O3512" s="10"/>
      <c r="P3512" s="10"/>
      <c r="Q3512" s="10"/>
      <c r="R3512" s="10"/>
      <c r="S3512" s="10"/>
      <c r="T3512" s="10"/>
      <c r="U3512" s="10"/>
      <c r="V3512" s="10"/>
      <c r="W3512" s="10"/>
      <c r="X3512" s="10"/>
      <c r="Y3512" s="10"/>
      <c r="Z3512" s="10"/>
    </row>
    <row r="3513" spans="1:26" ht="12.75">
      <c r="A3513" s="10" t="str">
        <f ca="1">IFERROR(__xludf.DUMMYFUNCTION("""COMPUTED_VALUE"""),"Иван Тодоров Тодоров")</f>
        <v>Иван Тодоров Тодоров</v>
      </c>
      <c r="B3513" s="10" t="str">
        <f ca="1">IFERROR(__xludf.DUMMYFUNCTION("""COMPUTED_VALUE"""),"Статия в списания и поредици")</f>
        <v>Статия в списания и поредици</v>
      </c>
      <c r="C3513" s="10" t="str">
        <f ca="1">IFERROR(__xludf.DUMMYFUNCTION("""COMPUTED_VALUE"""),"Може ли арбитражът да прави инцидентен контрол върху недействителни административни актове")</f>
        <v>Може ли арбитражът да прави инцидентен контрол върху недействителни административни актове</v>
      </c>
      <c r="D3513" s="10">
        <f ca="1">IFERROR(__xludf.DUMMYFUNCTION("""COMPUTED_VALUE"""),2014)</f>
        <v>2014</v>
      </c>
      <c r="E3513" s="10" t="str">
        <f ca="1">IFERROR(__xludf.DUMMYFUNCTION("""COMPUTED_VALUE"""),"списание Норма, бр.9/2014, ISNN: 1314 – 5126; с. 49-53.")</f>
        <v>списание Норма, бр.9/2014, ISNN: 1314 – 5126; с. 49-53.</v>
      </c>
      <c r="F3513" s="10"/>
      <c r="G3513" s="10"/>
      <c r="H3513" s="10"/>
      <c r="I3513" s="10"/>
      <c r="J3513" s="10"/>
      <c r="K3513" s="10"/>
      <c r="L3513" s="10"/>
      <c r="M3513" s="10"/>
      <c r="N3513" s="10"/>
      <c r="O3513" s="10"/>
      <c r="P3513" s="10"/>
      <c r="Q3513" s="10"/>
      <c r="R3513" s="10"/>
      <c r="S3513" s="10"/>
      <c r="T3513" s="10"/>
      <c r="U3513" s="10"/>
      <c r="V3513" s="10"/>
      <c r="W3513" s="10"/>
      <c r="X3513" s="10"/>
      <c r="Y3513" s="10"/>
      <c r="Z3513" s="10"/>
    </row>
    <row r="3514" spans="1:26" ht="12.75">
      <c r="A3514" s="10" t="str">
        <f ca="1">IFERROR(__xludf.DUMMYFUNCTION("""COMPUTED_VALUE"""),"Иван Тодоров Тодоров")</f>
        <v>Иван Тодоров Тодоров</v>
      </c>
      <c r="B3514" s="10" t="str">
        <f ca="1">IFERROR(__xludf.DUMMYFUNCTION("""COMPUTED_VALUE"""),"Статия в списания и поредици")</f>
        <v>Статия в списания и поредици</v>
      </c>
      <c r="C3514" s="10" t="str">
        <f ca="1">IFERROR(__xludf.DUMMYFUNCTION("""COMPUTED_VALUE"""),"Непряко обжалване на актове на европейския съюз (чл. 267 ДФЕС)")</f>
        <v>Непряко обжалване на актове на европейския съюз (чл. 267 ДФЕС)</v>
      </c>
      <c r="D3514" s="10">
        <f ca="1">IFERROR(__xludf.DUMMYFUNCTION("""COMPUTED_VALUE"""),2013)</f>
        <v>2013</v>
      </c>
      <c r="E3514" s="10" t="str">
        <f ca="1">IFERROR(__xludf.DUMMYFUNCTION("""COMPUTED_VALUE"""),"Сборник в чест на Проф. д-р Кино Лазаров по случай 80 години от рождението му, ISBN 978-619-163-042-4, автор: доц. д-р Мария Славова, Фенея Издателство за правна литература, година на издаване: 2013, Oбщо страници: 362, стр. 83-88.")</f>
        <v>Сборник в чест на Проф. д-р Кино Лазаров по случай 80 години от рождението му, ISBN 978-619-163-042-4, автор: доц. д-р Мария Славова, Фенея Издателство за правна литература, година на издаване: 2013, Oбщо страници: 362, стр. 83-88.</v>
      </c>
      <c r="F3514" s="10"/>
      <c r="G3514" s="10"/>
      <c r="H3514" s="10"/>
      <c r="I3514" s="10"/>
      <c r="J3514" s="10"/>
      <c r="K3514" s="10"/>
      <c r="L3514" s="10"/>
      <c r="M3514" s="10"/>
      <c r="N3514" s="10"/>
      <c r="O3514" s="10"/>
      <c r="P3514" s="10"/>
      <c r="Q3514" s="10"/>
      <c r="R3514" s="10"/>
      <c r="S3514" s="10"/>
      <c r="T3514" s="10"/>
      <c r="U3514" s="10"/>
      <c r="V3514" s="10"/>
      <c r="W3514" s="10"/>
      <c r="X3514" s="10"/>
      <c r="Y3514" s="10"/>
      <c r="Z3514" s="10"/>
    </row>
    <row r="3515" spans="1:26" ht="12.75">
      <c r="A3515" s="10" t="str">
        <f ca="1">IFERROR(__xludf.DUMMYFUNCTION("""COMPUTED_VALUE"""),"Иван Тодоров Тодоров")</f>
        <v>Иван Тодоров Тодоров</v>
      </c>
      <c r="B3515" s="10" t="str">
        <f ca="1">IFERROR(__xludf.DUMMYFUNCTION("""COMPUTED_VALUE"""),"Монография")</f>
        <v>Монография</v>
      </c>
      <c r="C3515" s="10" t="str">
        <f ca="1">IFERROR(__xludf.DUMMYFUNCTION("""COMPUTED_VALUE"""),"Индивидуалният административен акт по АПК")</f>
        <v>Индивидуалният административен акт по АПК</v>
      </c>
      <c r="D3515" s="10">
        <f ca="1">IFERROR(__xludf.DUMMYFUNCTION("""COMPUTED_VALUE"""),2012)</f>
        <v>2012</v>
      </c>
      <c r="E3515" s="10" t="str">
        <f ca="1">IFERROR(__xludf.DUMMYFUNCTION("""COMPUTED_VALUE"""),"2012, изд. Сиела, 2012г, ISBN: 13:978-954-28-0077-7, с. 496")</f>
        <v>2012, изд. Сиела, 2012г, ISBN: 13:978-954-28-0077-7, с. 496</v>
      </c>
      <c r="F3515" s="10"/>
      <c r="G3515" s="10"/>
      <c r="H3515" s="10"/>
      <c r="I3515" s="10"/>
      <c r="J3515" s="10"/>
      <c r="K3515" s="10"/>
      <c r="L3515" s="10"/>
      <c r="M3515" s="10"/>
      <c r="N3515" s="10"/>
      <c r="O3515" s="10"/>
      <c r="P3515" s="10"/>
      <c r="Q3515" s="10"/>
      <c r="R3515" s="10"/>
      <c r="S3515" s="10"/>
      <c r="T3515" s="10"/>
      <c r="U3515" s="10"/>
      <c r="V3515" s="10"/>
      <c r="W3515" s="10"/>
      <c r="X3515" s="10"/>
      <c r="Y3515" s="10"/>
      <c r="Z3515" s="10"/>
    </row>
    <row r="3516" spans="1:26" ht="12.75">
      <c r="A3516" s="10" t="str">
        <f ca="1">IFERROR(__xludf.DUMMYFUNCTION("""COMPUTED_VALUE"""),"Иван Тодоров Тодоров")</f>
        <v>Иван Тодоров Тодоров</v>
      </c>
      <c r="B3516" s="10" t="str">
        <f ca="1">IFERROR(__xludf.DUMMYFUNCTION("""COMPUTED_VALUE"""),"Монография")</f>
        <v>Монография</v>
      </c>
      <c r="C3516" s="10" t="str">
        <f ca="1">IFERROR(__xludf.DUMMYFUNCTION("""COMPUTED_VALUE"""),"Взаимодействие между Европейското и българското административно право")</f>
        <v>Взаимодействие между Европейското и българското административно право</v>
      </c>
      <c r="D3516" s="10">
        <f ca="1">IFERROR(__xludf.DUMMYFUNCTION("""COMPUTED_VALUE"""),2012)</f>
        <v>2012</v>
      </c>
      <c r="E3516" s="10" t="str">
        <f ca="1">IFERROR(__xludf.DUMMYFUNCTION("""COMPUTED_VALUE"""),"изд. Сиела, ISBN: 9789542811718, Страници: 464, Година на издаване: 2012")</f>
        <v>изд. Сиела, ISBN: 9789542811718, Страници: 464, Година на издаване: 2012</v>
      </c>
      <c r="F3516" s="10"/>
      <c r="G3516" s="10" t="str">
        <f ca="1">IFERROR(__xludf.DUMMYFUNCTION("""COMPUTED_VALUE"""),"Росица Балтаджиева")</f>
        <v>Росица Балтаджиева</v>
      </c>
      <c r="H3516" s="10"/>
      <c r="I3516" s="10"/>
      <c r="J3516" s="10"/>
      <c r="K3516" s="10"/>
      <c r="L3516" s="10"/>
      <c r="M3516" s="10"/>
      <c r="N3516" s="10"/>
      <c r="O3516" s="10"/>
      <c r="P3516" s="10"/>
      <c r="Q3516" s="10"/>
      <c r="R3516" s="10"/>
      <c r="S3516" s="10"/>
      <c r="T3516" s="10"/>
      <c r="U3516" s="10"/>
      <c r="V3516" s="10"/>
      <c r="W3516" s="10"/>
      <c r="X3516" s="10"/>
      <c r="Y3516" s="10"/>
      <c r="Z3516" s="10"/>
    </row>
    <row r="3517" spans="1:26" ht="12.75">
      <c r="A3517" s="10" t="str">
        <f ca="1">IFERROR(__xludf.DUMMYFUNCTION("""COMPUTED_VALUE"""),"Иван Тодоров Тодоров")</f>
        <v>Иван Тодоров Тодоров</v>
      </c>
      <c r="B3517" s="10" t="str">
        <f ca="1">IFERROR(__xludf.DUMMYFUNCTION("""COMPUTED_VALUE"""),"Монография")</f>
        <v>Монография</v>
      </c>
      <c r="C3517" s="10" t="str">
        <f ca="1">IFERROR(__xludf.DUMMYFUNCTION("""COMPUTED_VALUE"""),"Съотношения на европейското административно право с българското административно право след влизането в сила на Лисабонския договор")</f>
        <v>Съотношения на европейското административно право с българското административно право след влизането в сила на Лисабонския договор</v>
      </c>
      <c r="D3517" s="10">
        <f ca="1">IFERROR(__xludf.DUMMYFUNCTION("""COMPUTED_VALUE"""),2010)</f>
        <v>2010</v>
      </c>
      <c r="E3517" s="10" t="str">
        <f ca="1">IFERROR(__xludf.DUMMYFUNCTION("""COMPUTED_VALUE"""),"изд. Сиела, ISBN: 9789542806707, Страници: 404, Година на издаване: 2010")</f>
        <v>изд. Сиела, ISBN: 9789542806707, Страници: 404, Година на издаване: 2010</v>
      </c>
      <c r="F3517" s="10"/>
      <c r="G3517" s="10"/>
      <c r="H3517" s="10"/>
      <c r="I3517" s="10"/>
      <c r="J3517" s="10"/>
      <c r="K3517" s="10"/>
      <c r="L3517" s="10"/>
      <c r="M3517" s="10"/>
      <c r="N3517" s="10"/>
      <c r="O3517" s="10"/>
      <c r="P3517" s="10"/>
      <c r="Q3517" s="10"/>
      <c r="R3517" s="10"/>
      <c r="S3517" s="10"/>
      <c r="T3517" s="10"/>
      <c r="U3517" s="10"/>
      <c r="V3517" s="10"/>
      <c r="W3517" s="10"/>
      <c r="X3517" s="10"/>
      <c r="Y3517" s="10"/>
      <c r="Z3517" s="10"/>
    </row>
    <row r="3518" spans="1:26" ht="12.75">
      <c r="A3518" s="10" t="str">
        <f ca="1">IFERROR(__xludf.DUMMYFUNCTION("""COMPUTED_VALUE"""),"Иван Тодоров Тодоров")</f>
        <v>Иван Тодоров Тодоров</v>
      </c>
      <c r="B3518" s="10" t="str">
        <f ca="1">IFERROR(__xludf.DUMMYFUNCTION("""COMPUTED_VALUE"""),"Учебник")</f>
        <v>Учебник</v>
      </c>
      <c r="C3518" s="10" t="str">
        <f ca="1">IFERROR(__xludf.DUMMYFUNCTION("""COMPUTED_VALUE"""),"Административен процес.")</f>
        <v>Административен процес.</v>
      </c>
      <c r="D3518" s="10">
        <f ca="1">IFERROR(__xludf.DUMMYFUNCTION("""COMPUTED_VALUE"""),2009)</f>
        <v>2009</v>
      </c>
      <c r="E3518" s="10" t="str">
        <f ca="1">IFERROR(__xludf.DUMMYFUNCTION("""COMPUTED_VALUE"""),"изд. Сиела, глава 2, глава 3, глава 4, глава 5, глава 6, глава 7, глава 8, глава 11, глава 17, глава 22, глава 23, глава 34, глава 35, съавторство с проф. Кино Лазаров, ISBN: 13:978-954-28-0573-1, Страници: 504, Година на издаване: 2009")</f>
        <v>изд. Сиела, глава 2, глава 3, глава 4, глава 5, глава 6, глава 7, глава 8, глава 11, глава 17, глава 22, глава 23, глава 34, глава 35, съавторство с проф. Кино Лазаров, ISBN: 13:978-954-28-0573-1, Страници: 504, Година на издаване: 2009</v>
      </c>
      <c r="F3518" s="10"/>
      <c r="G3518" s="10" t="str">
        <f ca="1">IFERROR(__xludf.DUMMYFUNCTION("""COMPUTED_VALUE"""),"Кино Лазаров")</f>
        <v>Кино Лазаров</v>
      </c>
      <c r="H3518" s="10"/>
      <c r="I3518" s="10"/>
      <c r="J3518" s="10"/>
      <c r="K3518" s="10"/>
      <c r="L3518" s="10"/>
      <c r="M3518" s="10"/>
      <c r="N3518" s="10"/>
      <c r="O3518" s="10"/>
      <c r="P3518" s="10"/>
      <c r="Q3518" s="10"/>
      <c r="R3518" s="10"/>
      <c r="S3518" s="10"/>
      <c r="T3518" s="10"/>
      <c r="U3518" s="10"/>
      <c r="V3518" s="10"/>
      <c r="W3518" s="10"/>
      <c r="X3518" s="10"/>
      <c r="Y3518" s="10"/>
      <c r="Z3518" s="10"/>
    </row>
    <row r="3519" spans="1:26" ht="12.75">
      <c r="A3519" s="10" t="str">
        <f ca="1">IFERROR(__xludf.DUMMYFUNCTION("""COMPUTED_VALUE"""),"Иван Тодоров Тодоров")</f>
        <v>Иван Тодоров Тодоров</v>
      </c>
      <c r="B3519" s="10" t="str">
        <f ca="1">IFERROR(__xludf.DUMMYFUNCTION("""COMPUTED_VALUE"""),"Монография")</f>
        <v>Монография</v>
      </c>
      <c r="C3519" s="10" t="str">
        <f ca="1">IFERROR(__xludf.DUMMYFUNCTION("""COMPUTED_VALUE"""),"Взаимодействие между европейското и българското административно право")</f>
        <v>Взаимодействие между европейското и българското административно право</v>
      </c>
      <c r="D3519" s="10">
        <f ca="1">IFERROR(__xludf.DUMMYFUNCTION("""COMPUTED_VALUE"""),2008)</f>
        <v>2008</v>
      </c>
      <c r="E3519" s="10" t="str">
        <f ca="1">IFERROR(__xludf.DUMMYFUNCTION("""COMPUTED_VALUE"""),"изд. Сиела, глава 1, глава 2, глава 3, глава 4, глава 5, глава 6, съавтор Росица Балтаджиева, ISBN: 9789542803164, Страници: 477, Година на издаване: 2008")</f>
        <v>изд. Сиела, глава 1, глава 2, глава 3, глава 4, глава 5, глава 6, съавтор Росица Балтаджиева, ISBN: 9789542803164, Страници: 477, Година на издаване: 2008</v>
      </c>
      <c r="F3519" s="10"/>
      <c r="G3519" s="10" t="str">
        <f ca="1">IFERROR(__xludf.DUMMYFUNCTION("""COMPUTED_VALUE"""),"Росица Балтаджиева")</f>
        <v>Росица Балтаджиева</v>
      </c>
      <c r="H3519" s="10"/>
      <c r="I3519" s="10"/>
      <c r="J3519" s="10"/>
      <c r="K3519" s="10"/>
      <c r="L3519" s="10"/>
      <c r="M3519" s="10"/>
      <c r="N3519" s="10"/>
      <c r="O3519" s="10"/>
      <c r="P3519" s="10"/>
      <c r="Q3519" s="10"/>
      <c r="R3519" s="10"/>
      <c r="S3519" s="10"/>
      <c r="T3519" s="10"/>
      <c r="U3519" s="10"/>
      <c r="V3519" s="10"/>
      <c r="W3519" s="10"/>
      <c r="X3519" s="10"/>
      <c r="Y3519" s="10"/>
      <c r="Z3519" s="10"/>
    </row>
    <row r="3520" spans="1:26" ht="12.75">
      <c r="A3520" s="10" t="str">
        <f ca="1">IFERROR(__xludf.DUMMYFUNCTION("""COMPUTED_VALUE"""),"Иван Тодоров Тодоров")</f>
        <v>Иван Тодоров Тодоров</v>
      </c>
      <c r="B3520" s="10" t="str">
        <f ca="1">IFERROR(__xludf.DUMMYFUNCTION("""COMPUTED_VALUE"""),"Монография")</f>
        <v>Монография</v>
      </c>
      <c r="C3520" s="10" t="str">
        <f ca="1">IFERROR(__xludf.DUMMYFUNCTION("""COMPUTED_VALUE"""),"Индивидуални административни актове по Административнопроцесуалния кодекс")</f>
        <v>Индивидуални административни актове по Административнопроцесуалния кодекс</v>
      </c>
      <c r="D3520" s="10">
        <f ca="1">IFERROR(__xludf.DUMMYFUNCTION("""COMPUTED_VALUE"""),2008)</f>
        <v>2008</v>
      </c>
      <c r="E3520" s="10" t="str">
        <f ca="1">IFERROR(__xludf.DUMMYFUNCTION("""COMPUTED_VALUE"""),"изд. Вашингтон Пъблишинг Груп, ISBN: 9789542802990, Страници: 446, Година на издаване: 2008, на руски език")</f>
        <v>изд. Вашингтон Пъблишинг Груп, ISBN: 9789542802990, Страници: 446, Година на издаване: 2008, на руски език</v>
      </c>
      <c r="F3520" s="10"/>
      <c r="G3520" s="10"/>
      <c r="H3520" s="10"/>
      <c r="I3520" s="10"/>
      <c r="J3520" s="10"/>
      <c r="K3520" s="10"/>
      <c r="L3520" s="10"/>
      <c r="M3520" s="10"/>
      <c r="N3520" s="10"/>
      <c r="O3520" s="10"/>
      <c r="P3520" s="10"/>
      <c r="Q3520" s="10"/>
      <c r="R3520" s="10"/>
      <c r="S3520" s="10"/>
      <c r="T3520" s="10"/>
      <c r="U3520" s="10"/>
      <c r="V3520" s="10"/>
      <c r="W3520" s="10"/>
      <c r="X3520" s="10"/>
      <c r="Y3520" s="10"/>
      <c r="Z3520" s="10"/>
    </row>
    <row r="3521" spans="1:26" ht="12.75">
      <c r="A3521" s="10" t="str">
        <f ca="1">IFERROR(__xludf.DUMMYFUNCTION("""COMPUTED_VALUE"""),"Иван Тодоров Тодоров")</f>
        <v>Иван Тодоров Тодоров</v>
      </c>
      <c r="B3521" s="10" t="str">
        <f ca="1">IFERROR(__xludf.DUMMYFUNCTION("""COMPUTED_VALUE"""),"Монография")</f>
        <v>Монография</v>
      </c>
      <c r="C3521" s="10" t="str">
        <f ca="1">IFERROR(__xludf.DUMMYFUNCTION("""COMPUTED_VALUE"""),"Индивидуалният административен акт по Административнопроцесуалния кодекс")</f>
        <v>Индивидуалният административен акт по Административнопроцесуалния кодекс</v>
      </c>
      <c r="D3521" s="10">
        <f ca="1">IFERROR(__xludf.DUMMYFUNCTION("""COMPUTED_VALUE"""),2007)</f>
        <v>2007</v>
      </c>
      <c r="E3521" s="10" t="str">
        <f ca="1">IFERROR(__xludf.DUMMYFUNCTION("""COMPUTED_VALUE"""),"Сиела, ISBN: 13:978-954-28-0077-7, Страници: 496, Година на издаване: 2007")</f>
        <v>Сиела, ISBN: 13:978-954-28-0077-7, Страници: 496, Година на издаване: 2007</v>
      </c>
      <c r="F3521" s="10"/>
      <c r="G3521" s="10"/>
      <c r="H3521" s="10"/>
      <c r="I3521" s="10"/>
      <c r="J3521" s="10"/>
      <c r="K3521" s="10"/>
      <c r="L3521" s="10"/>
      <c r="M3521" s="10"/>
      <c r="N3521" s="10"/>
      <c r="O3521" s="10"/>
      <c r="P3521" s="10"/>
      <c r="Q3521" s="10"/>
      <c r="R3521" s="10"/>
      <c r="S3521" s="10"/>
      <c r="T3521" s="10"/>
      <c r="U3521" s="10"/>
      <c r="V3521" s="10"/>
      <c r="W3521" s="10"/>
      <c r="X3521" s="10"/>
      <c r="Y3521" s="10"/>
      <c r="Z3521" s="10"/>
    </row>
    <row r="3522" spans="1:26" ht="12.75">
      <c r="A3522" s="10" t="str">
        <f ca="1">IFERROR(__xludf.DUMMYFUNCTION("""COMPUTED_VALUE"""),"Иван Тодоров Тодоров")</f>
        <v>Иван Тодоров Тодоров</v>
      </c>
      <c r="B3522" s="10" t="str">
        <f ca="1">IFERROR(__xludf.DUMMYFUNCTION("""COMPUTED_VALUE"""),"Студия")</f>
        <v>Студия</v>
      </c>
      <c r="C3522" s="10" t="str">
        <f ca="1">IFERROR(__xludf.DUMMYFUNCTION("""COMPUTED_VALUE"""),"Понятието за индивидуален административен акт по АПК Прилагане на Европейското право и съвременни тенденции при издаване на актовете")</f>
        <v>Понятието за индивидуален административен акт по АПК Прилагане на Европейското право и съвременни тенденции при издаване на актовете</v>
      </c>
      <c r="D3522" s="10">
        <f ca="1">IFERROR(__xludf.DUMMYFUNCTION("""COMPUTED_VALUE"""),2007)</f>
        <v>2007</v>
      </c>
      <c r="E3522" s="10" t="str">
        <f ca="1">IFERROR(__xludf.DUMMYFUNCTION("""COMPUTED_VALUE"""),"изд. Сиела, ISBN: 9789542800958, Страници: 53, Година на издаване: 2007")</f>
        <v>изд. Сиела, ISBN: 9789542800958, Страници: 53, Година на издаване: 2007</v>
      </c>
      <c r="F3522" s="10"/>
      <c r="G3522" s="10"/>
      <c r="H3522" s="10"/>
      <c r="I3522" s="10"/>
      <c r="J3522" s="10"/>
      <c r="K3522" s="10"/>
      <c r="L3522" s="10"/>
      <c r="M3522" s="10"/>
      <c r="N3522" s="10"/>
      <c r="O3522" s="10"/>
      <c r="P3522" s="10"/>
      <c r="Q3522" s="10"/>
      <c r="R3522" s="10"/>
      <c r="S3522" s="10"/>
      <c r="T3522" s="10"/>
      <c r="U3522" s="10"/>
      <c r="V3522" s="10"/>
      <c r="W3522" s="10"/>
      <c r="X3522" s="10"/>
      <c r="Y3522" s="10"/>
      <c r="Z3522" s="10"/>
    </row>
    <row r="3523" spans="1:26" ht="12.75">
      <c r="A3523" s="10" t="str">
        <f ca="1">IFERROR(__xludf.DUMMYFUNCTION("""COMPUTED_VALUE"""),"Иван Тодоров Тодоров")</f>
        <v>Иван Тодоров Тодоров</v>
      </c>
      <c r="B3523" s="10" t="str">
        <f ca="1">IFERROR(__xludf.DUMMYFUNCTION("""COMPUTED_VALUE"""),"Учебник")</f>
        <v>Учебник</v>
      </c>
      <c r="C3523" s="10" t="str">
        <f ca="1">IFERROR(__xludf.DUMMYFUNCTION("""COMPUTED_VALUE"""),"§ Административнопроцесуален кодекс, Коментар.")</f>
        <v>§ Административнопроцесуален кодекс, Коментар.</v>
      </c>
      <c r="D3523" s="10">
        <f ca="1">IFERROR(__xludf.DUMMYFUNCTION("""COMPUTED_VALUE"""),2006)</f>
        <v>2006</v>
      </c>
      <c r="E3523" s="10" t="str">
        <f ca="1">IFERROR(__xludf.DUMMYFUNCTION("""COMPUTED_VALUE"""),"г2006г., глава 5 „Издаване на административни актове. Индивидуални административни актове“ и раздел 5 „Изпълнение на административните актове и съдебните решения“, както и раздел 1, глави 4 и 5 и част 5, глава 17, и раздели 5-8, и раздел 6; съвместно с Ко"&amp;"нстантин Пенчев, Георги Ангелов, и съдия Богдан Йорданов, ISBN-10: 9546499277, Страници: 524, Година на издаване: 2006, изд. Сиела,")</f>
        <v>г2006г., глава 5 „Издаване на административни актове. Индивидуални административни актове“ и раздел 5 „Изпълнение на административните актове и съдебните решения“, както и раздел 1, глави 4 и 5 и част 5, глава 17, и раздели 5-8, и раздел 6; съвместно с Константин Пенчев, Георги Ангелов, и съдия Богдан Йорданов, ISBN-10: 9546499277, Страници: 524, Година на издаване: 2006, изд. Сиела,</v>
      </c>
      <c r="F3523" s="10"/>
      <c r="G3523" s="10" t="str">
        <f ca="1">IFERROR(__xludf.DUMMYFUNCTION("""COMPUTED_VALUE"""),"Константин Пенчев, Георги Ангелов, и съдия Богдан Йорданов")</f>
        <v>Константин Пенчев, Георги Ангелов, и съдия Богдан Йорданов</v>
      </c>
      <c r="H3523" s="10"/>
      <c r="I3523" s="10"/>
      <c r="J3523" s="10"/>
      <c r="K3523" s="10"/>
      <c r="L3523" s="10"/>
      <c r="M3523" s="10"/>
      <c r="N3523" s="10"/>
      <c r="O3523" s="10"/>
      <c r="P3523" s="10"/>
      <c r="Q3523" s="10"/>
      <c r="R3523" s="10"/>
      <c r="S3523" s="10"/>
      <c r="T3523" s="10"/>
      <c r="U3523" s="10"/>
      <c r="V3523" s="10"/>
      <c r="W3523" s="10"/>
      <c r="X3523" s="10"/>
      <c r="Y3523" s="10"/>
      <c r="Z3523" s="10"/>
    </row>
    <row r="3524" spans="1:26" ht="12.75">
      <c r="A3524" s="10" t="str">
        <f ca="1">IFERROR(__xludf.DUMMYFUNCTION("""COMPUTED_VALUE"""),"Иван Тодоров Тодоров")</f>
        <v>Иван Тодоров Тодоров</v>
      </c>
      <c r="B3524" s="10" t="str">
        <f ca="1">IFERROR(__xludf.DUMMYFUNCTION("""COMPUTED_VALUE"""),"Монография")</f>
        <v>Монография</v>
      </c>
      <c r="C3524" s="10" t="str">
        <f ca="1">IFERROR(__xludf.DUMMYFUNCTION("""COMPUTED_VALUE"""),"Издаване на индивидуални административни актове")</f>
        <v>Издаване на индивидуални административни актове</v>
      </c>
      <c r="D3524" s="10">
        <f ca="1">IFERROR(__xludf.DUMMYFUNCTION("""COMPUTED_VALUE"""),2004)</f>
        <v>2004</v>
      </c>
      <c r="E3524" s="10" t="str">
        <f ca="1">IFERROR(__xludf.DUMMYFUNCTION("""COMPUTED_VALUE"""),"Сиела, ISBN: 9546496960, Страници: 366, Година на издаване: 2004")</f>
        <v>Сиела, ISBN: 9546496960, Страници: 366, Година на издаване: 2004</v>
      </c>
      <c r="F3524" s="10"/>
      <c r="G3524" s="10"/>
      <c r="H3524" s="10"/>
      <c r="I3524" s="10"/>
      <c r="J3524" s="10"/>
      <c r="K3524" s="10"/>
      <c r="L3524" s="10"/>
      <c r="M3524" s="10"/>
      <c r="N3524" s="10"/>
      <c r="O3524" s="10"/>
      <c r="P3524" s="10"/>
      <c r="Q3524" s="10"/>
      <c r="R3524" s="10"/>
      <c r="S3524" s="10"/>
      <c r="T3524" s="10"/>
      <c r="U3524" s="10"/>
      <c r="V3524" s="10"/>
      <c r="W3524" s="10"/>
      <c r="X3524" s="10"/>
      <c r="Y3524" s="10"/>
      <c r="Z3524" s="10"/>
    </row>
    <row r="3525" spans="1:26" ht="12.75">
      <c r="A3525" s="10" t="str">
        <f ca="1">IFERROR(__xludf.DUMMYFUNCTION("""COMPUTED_VALUE"""),"Иван Тодоров Тодоров")</f>
        <v>Иван Тодоров Тодоров</v>
      </c>
      <c r="B3525" s="10" t="str">
        <f ca="1">IFERROR(__xludf.DUMMYFUNCTION("""COMPUTED_VALUE"""),"Монография")</f>
        <v>Монография</v>
      </c>
      <c r="C3525" s="10" t="str">
        <f ca="1">IFERROR(__xludf.DUMMYFUNCTION("""COMPUTED_VALUE"""),"Издаване на индивидуални административни актове")</f>
        <v>Издаване на индивидуални административни актове</v>
      </c>
      <c r="D3525" s="10">
        <f ca="1">IFERROR(__xludf.DUMMYFUNCTION("""COMPUTED_VALUE"""),1995)</f>
        <v>1995</v>
      </c>
      <c r="E3525" s="10" t="str">
        <f ca="1">IFERROR(__xludf.DUMMYFUNCTION("""COMPUTED_VALUE"""),"Сиела, ISBN 954-649-042-3, 251 с., 1995 г.")</f>
        <v>Сиела, ISBN 954-649-042-3, 251 с., 1995 г.</v>
      </c>
      <c r="F3525" s="10"/>
      <c r="G3525" s="10"/>
      <c r="H3525" s="10"/>
      <c r="I3525" s="10"/>
      <c r="J3525" s="10"/>
      <c r="K3525" s="10"/>
      <c r="L3525" s="10"/>
      <c r="M3525" s="10"/>
      <c r="N3525" s="10"/>
      <c r="O3525" s="10"/>
      <c r="P3525" s="10"/>
      <c r="Q3525" s="10"/>
      <c r="R3525" s="10"/>
      <c r="S3525" s="10"/>
      <c r="T3525" s="10"/>
      <c r="U3525" s="10"/>
      <c r="V3525" s="10"/>
      <c r="W3525" s="10"/>
      <c r="X3525" s="10"/>
      <c r="Y3525" s="10"/>
      <c r="Z3525" s="10"/>
    </row>
    <row r="3526" spans="1:26" ht="12.75">
      <c r="A3526" s="10" t="str">
        <f ca="1">IFERROR(__xludf.DUMMYFUNCTION("""COMPUTED_VALUE"""),"Иван Томов Иванов")</f>
        <v>Иван Томов Иванов</v>
      </c>
      <c r="B3526" s="10" t="str">
        <f ca="1">IFERROR(__xludf.DUMMYFUNCTION("""COMPUTED_VALUE"""),"Книга")</f>
        <v>Книга</v>
      </c>
      <c r="C3526" s="10" t="str">
        <f ca="1">IFERROR(__xludf.DUMMYFUNCTION("""COMPUTED_VALUE"""),"Основи на програмирането с примери на C# / Част 1")</f>
        <v>Основи на програмирането с примери на C# / Част 1</v>
      </c>
      <c r="D3526" s="10">
        <f ca="1">IFERROR(__xludf.DUMMYFUNCTION("""COMPUTED_VALUE"""),2018)</f>
        <v>2018</v>
      </c>
      <c r="E3526" s="10" t="str">
        <f ca="1">IFERROR(__xludf.DUMMYFUNCTION("""COMPUTED_VALUE"""),"София : Авангард Прима, 2018. – 142 с. ISBN 978-619-239-073-0")</f>
        <v>София : Авангард Прима, 2018. – 142 с. ISBN 978-619-239-073-0</v>
      </c>
      <c r="F3526" s="10"/>
      <c r="G3526" s="10"/>
      <c r="H3526" s="10"/>
      <c r="I3526" s="10"/>
      <c r="J3526" s="10"/>
      <c r="K3526" s="10"/>
      <c r="L3526" s="10"/>
      <c r="M3526" s="10"/>
      <c r="N3526" s="10"/>
      <c r="O3526" s="10"/>
      <c r="P3526" s="10"/>
      <c r="Q3526" s="10"/>
      <c r="R3526" s="10"/>
      <c r="S3526" s="10"/>
      <c r="T3526" s="10"/>
      <c r="U3526" s="10"/>
      <c r="V3526" s="10"/>
      <c r="W3526" s="10"/>
      <c r="X3526" s="10"/>
      <c r="Y3526" s="10"/>
      <c r="Z3526" s="10"/>
    </row>
    <row r="3527" spans="1:26" ht="12.75">
      <c r="A3527" s="10" t="str">
        <f ca="1">IFERROR(__xludf.DUMMYFUNCTION("""COMPUTED_VALUE"""),"Иван Томов Иванов")</f>
        <v>Иван Томов Иванов</v>
      </c>
      <c r="B3527" s="10" t="str">
        <f ca="1">IFERROR(__xludf.DUMMYFUNCTION("""COMPUTED_VALUE"""),"Книга")</f>
        <v>Книга</v>
      </c>
      <c r="C3527" s="10" t="str">
        <f ca="1">IFERROR(__xludf.DUMMYFUNCTION("""COMPUTED_VALUE"""),"Основи на програмирането с примери на C# / Част 2")</f>
        <v>Основи на програмирането с примери на C# / Част 2</v>
      </c>
      <c r="D3527" s="10">
        <f ca="1">IFERROR(__xludf.DUMMYFUNCTION("""COMPUTED_VALUE"""),2018)</f>
        <v>2018</v>
      </c>
      <c r="E3527" s="10" t="str">
        <f ca="1">IFERROR(__xludf.DUMMYFUNCTION("""COMPUTED_VALUE"""),"София : Авангард Прима, 2018. – 142 с. ISBN 978-619-239-104-1")</f>
        <v>София : Авангард Прима, 2018. – 142 с. ISBN 978-619-239-104-1</v>
      </c>
      <c r="F3527" s="10"/>
      <c r="G3527" s="10"/>
      <c r="H3527" s="10"/>
      <c r="I3527" s="10"/>
      <c r="J3527" s="10"/>
      <c r="K3527" s="10"/>
      <c r="L3527" s="10"/>
      <c r="M3527" s="10"/>
      <c r="N3527" s="10"/>
      <c r="O3527" s="10"/>
      <c r="P3527" s="10"/>
      <c r="Q3527" s="10"/>
      <c r="R3527" s="10"/>
      <c r="S3527" s="10"/>
      <c r="T3527" s="10"/>
      <c r="U3527" s="10"/>
      <c r="V3527" s="10"/>
      <c r="W3527" s="10"/>
      <c r="X3527" s="10"/>
      <c r="Y3527" s="10"/>
      <c r="Z3527" s="10"/>
    </row>
    <row r="3528" spans="1:26" ht="12.75">
      <c r="A3528" s="10" t="str">
        <f ca="1">IFERROR(__xludf.DUMMYFUNCTION("""COMPUTED_VALUE"""),"Иван Томов Иванов")</f>
        <v>Иван Томов Иванов</v>
      </c>
      <c r="B3528" s="10" t="str">
        <f ca="1">IFERROR(__xludf.DUMMYFUNCTION("""COMPUTED_VALUE"""),"Книга")</f>
        <v>Книга</v>
      </c>
      <c r="C3528" s="10" t="str">
        <f ca="1">IFERROR(__xludf.DUMMYFUNCTION("""COMPUTED_VALUE"""),"Технологии за USER INTERFACE, Първа част: JavaScript и UI технологии")</f>
        <v>Технологии за USER INTERFACE, Първа част: JavaScript и UI технологии</v>
      </c>
      <c r="D3528" s="10">
        <f ca="1">IFERROR(__xludf.DUMMYFUNCTION("""COMPUTED_VALUE"""),2018)</f>
        <v>2018</v>
      </c>
      <c r="E3528" s="10" t="str">
        <f ca="1">IFERROR(__xludf.DUMMYFUNCTION("""COMPUTED_VALUE"""),"„Авангард Прима“, София 2018 ISBN 978-619-160-933-8, 288 стр.")</f>
        <v>„Авангард Прима“, София 2018 ISBN 978-619-160-933-8, 288 стр.</v>
      </c>
      <c r="F3528" s="10"/>
      <c r="G3528" s="10" t="str">
        <f ca="1">IFERROR(__xludf.DUMMYFUNCTION("""COMPUTED_VALUE"""),"Васил Тотев")</f>
        <v>Васил Тотев</v>
      </c>
      <c r="H3528" s="10"/>
      <c r="I3528" s="10"/>
      <c r="J3528" s="10"/>
      <c r="K3528" s="10"/>
      <c r="L3528" s="10"/>
      <c r="M3528" s="10"/>
      <c r="N3528" s="10"/>
      <c r="O3528" s="10"/>
      <c r="P3528" s="10"/>
      <c r="Q3528" s="10"/>
      <c r="R3528" s="10"/>
      <c r="S3528" s="10"/>
      <c r="T3528" s="10"/>
      <c r="U3528" s="10"/>
      <c r="V3528" s="10"/>
      <c r="W3528" s="10"/>
      <c r="X3528" s="10"/>
      <c r="Y3528" s="10"/>
      <c r="Z3528" s="10"/>
    </row>
    <row r="3529" spans="1:26" ht="12.75">
      <c r="A3529" s="10" t="str">
        <f ca="1">IFERROR(__xludf.DUMMYFUNCTION("""COMPUTED_VALUE"""),"Иван Томов Иванов")</f>
        <v>Иван Томов Иванов</v>
      </c>
      <c r="B3529" s="10" t="str">
        <f ca="1">IFERROR(__xludf.DUMMYFUNCTION("""COMPUTED_VALUE"""),"Книга")</f>
        <v>Книга</v>
      </c>
      <c r="C3529" s="10" t="str">
        <f ca="1">IFERROR(__xludf.DUMMYFUNCTION("""COMPUTED_VALUE"""),"Обектно-ориентирано програмиране")</f>
        <v>Обектно-ориентирано програмиране</v>
      </c>
      <c r="D3529" s="10">
        <f ca="1">IFERROR(__xludf.DUMMYFUNCTION("""COMPUTED_VALUE"""),2018)</f>
        <v>2018</v>
      </c>
      <c r="E3529" s="10" t="str">
        <f ca="1">IFERROR(__xludf.DUMMYFUNCTION("""COMPUTED_VALUE"""),"„Авангард Прима“, София 2018 ISBN 978-619-160-930-7; 268 стр.")</f>
        <v>„Авангард Прима“, София 2018 ISBN 978-619-160-930-7; 268 стр.</v>
      </c>
      <c r="F3529" s="10"/>
      <c r="G3529" s="10" t="str">
        <f ca="1">IFERROR(__xludf.DUMMYFUNCTION("""COMPUTED_VALUE"""),"Васил Тотев, Петър Стойков, Ива Костадинова")</f>
        <v>Васил Тотев, Петър Стойков, Ива Костадинова</v>
      </c>
      <c r="H3529" s="10"/>
      <c r="I3529" s="10"/>
      <c r="J3529" s="10"/>
      <c r="K3529" s="10"/>
      <c r="L3529" s="10"/>
      <c r="M3529" s="10"/>
      <c r="N3529" s="10"/>
      <c r="O3529" s="10"/>
      <c r="P3529" s="10"/>
      <c r="Q3529" s="10"/>
      <c r="R3529" s="10"/>
      <c r="S3529" s="10"/>
      <c r="T3529" s="10"/>
      <c r="U3529" s="10"/>
      <c r="V3529" s="10"/>
      <c r="W3529" s="10"/>
      <c r="X3529" s="10"/>
      <c r="Y3529" s="10"/>
      <c r="Z3529" s="10"/>
    </row>
    <row r="3530" spans="1:26" ht="12.75">
      <c r="A3530" s="10" t="str">
        <f ca="1">IFERROR(__xludf.DUMMYFUNCTION("""COMPUTED_VALUE"""),"Иван Томов Иванов")</f>
        <v>Иван Томов Иванов</v>
      </c>
      <c r="B3530" s="10" t="str">
        <f ca="1">IFERROR(__xludf.DUMMYFUNCTION("""COMPUTED_VALUE"""),"Доклад от конференция")</f>
        <v>Доклад от конференция</v>
      </c>
      <c r="C3530" s="10" t="str">
        <f ca="1">IFERROR(__xludf.DUMMYFUNCTION("""COMPUTED_VALUE"""),"MODEL FOR A REGULAR EVALUATION OF THE EFFECTIVENESS OF MANAGEMENT PROCESSES IN HIGHER EDUCATION USING CORRECTIVE ACTIONS")</f>
        <v>MODEL FOR A REGULAR EVALUATION OF THE EFFECTIVENESS OF MANAGEMENT PROCESSES IN HIGHER EDUCATION USING CORRECTIVE ACTIONS</v>
      </c>
      <c r="D3530" s="10">
        <f ca="1">IFERROR(__xludf.DUMMYFUNCTION("""COMPUTED_VALUE"""),2017)</f>
        <v>2017</v>
      </c>
      <c r="E3530" s="10" t="str">
        <f ca="1">IFERROR(__xludf.DUMMYFUNCTION("""COMPUTED_VALUE"""),"Proceedings of EDULEARN17 Conference 3rd-5th July 2017, Barcelona, Spain, ISBN: 978-84-697-3777-4")</f>
        <v>Proceedings of EDULEARN17 Conference 3rd-5th July 2017, Barcelona, Spain, ISBN: 978-84-697-3777-4</v>
      </c>
      <c r="F3530" s="10" t="str">
        <f ca="1">IFERROR(__xludf.DUMMYFUNCTION("""COMPUTED_VALUE"""),"Web of Science")</f>
        <v>Web of Science</v>
      </c>
      <c r="G3530" s="10" t="str">
        <f ca="1">IFERROR(__xludf.DUMMYFUNCTION("""COMPUTED_VALUE"""),"Yoana Hadzhiyska, K.Rasheva-Yordanova")</f>
        <v>Yoana Hadzhiyska, K.Rasheva-Yordanova</v>
      </c>
      <c r="H3530" s="10"/>
      <c r="I3530" s="10"/>
      <c r="J3530" s="10"/>
      <c r="K3530" s="10"/>
      <c r="L3530" s="10"/>
      <c r="M3530" s="10"/>
      <c r="N3530" s="10"/>
      <c r="O3530" s="10"/>
      <c r="P3530" s="10"/>
      <c r="Q3530" s="10"/>
      <c r="R3530" s="10"/>
      <c r="S3530" s="10"/>
      <c r="T3530" s="10"/>
      <c r="U3530" s="10"/>
      <c r="V3530" s="10"/>
      <c r="W3530" s="10"/>
      <c r="X3530" s="10"/>
      <c r="Y3530" s="10"/>
      <c r="Z3530" s="10"/>
    </row>
    <row r="3531" spans="1:26" ht="12.75">
      <c r="A3531" s="10" t="str">
        <f ca="1">IFERROR(__xludf.DUMMYFUNCTION("""COMPUTED_VALUE"""),"Иван Томов Иванов")</f>
        <v>Иван Томов Иванов</v>
      </c>
      <c r="B3531" s="10" t="str">
        <f ca="1">IFERROR(__xludf.DUMMYFUNCTION("""COMPUTED_VALUE"""),"Доклад от конференция")</f>
        <v>Доклад от конференция</v>
      </c>
      <c r="C3531" s="10" t="str">
        <f ca="1">IFERROR(__xludf.DUMMYFUNCTION("""COMPUTED_VALUE"""),"Automated system for generating and validation a learning tests")</f>
        <v>Automated system for generating and validation a learning tests</v>
      </c>
      <c r="D3531" s="10">
        <f ca="1">IFERROR(__xludf.DUMMYFUNCTION("""COMPUTED_VALUE"""),2017)</f>
        <v>2017</v>
      </c>
      <c r="E3531" s="10" t="str">
        <f ca="1">IFERROR(__xludf.DUMMYFUNCTION("""COMPUTED_VALUE"""),"Kostadinova, I., K.Rasheva-Yordanova, Ivan Ivanov, Pepa Petrova. Automated system for generating and validation a learning tests// Proceedings of International Conference of Education, Research and Innovation (ICERI2017) Conference 14th-16th November 2017"&amp;", Seville, Spain. ISBN ISBN: 978-84-697-6957-7 , pp-0414 - 0424")</f>
        <v>Kostadinova, I., K.Rasheva-Yordanova, Ivan Ivanov, Pepa Petrova. Automated system for generating and validation a learning tests// Proceedings of International Conference of Education, Research and Innovation (ICERI2017) Conference 14th-16th November 2017, Seville, Spain. ISBN ISBN: 978-84-697-6957-7 , pp-0414 - 0424</v>
      </c>
      <c r="F3531" s="10" t="str">
        <f ca="1">IFERROR(__xludf.DUMMYFUNCTION("""COMPUTED_VALUE"""),"Web of science")</f>
        <v>Web of science</v>
      </c>
      <c r="G3531" s="10" t="str">
        <f ca="1">IFERROR(__xludf.DUMMYFUNCTION("""COMPUTED_VALUE"""),"Iva Kostadinova, Katia Rasheva, Pepa Petrova")</f>
        <v>Iva Kostadinova, Katia Rasheva, Pepa Petrova</v>
      </c>
      <c r="H3531" s="10"/>
      <c r="I3531" s="10"/>
      <c r="J3531" s="10"/>
      <c r="K3531" s="10"/>
      <c r="L3531" s="10"/>
      <c r="M3531" s="10"/>
      <c r="N3531" s="10"/>
      <c r="O3531" s="10"/>
      <c r="P3531" s="10"/>
      <c r="Q3531" s="10"/>
      <c r="R3531" s="10"/>
      <c r="S3531" s="10"/>
      <c r="T3531" s="10"/>
      <c r="U3531" s="10"/>
      <c r="V3531" s="10"/>
      <c r="W3531" s="10"/>
      <c r="X3531" s="10"/>
      <c r="Y3531" s="10"/>
      <c r="Z3531" s="10"/>
    </row>
    <row r="3532" spans="1:26" ht="12.75">
      <c r="A3532" s="10" t="str">
        <f ca="1">IFERROR(__xludf.DUMMYFUNCTION("""COMPUTED_VALUE"""),"Иван Томов Иванов")</f>
        <v>Иван Томов Иванов</v>
      </c>
      <c r="B3532" s="10" t="str">
        <f ca="1">IFERROR(__xludf.DUMMYFUNCTION("""COMPUTED_VALUE"""),"Книга")</f>
        <v>Книга</v>
      </c>
      <c r="C3532" s="10" t="str">
        <f ca="1">IFERROR(__xludf.DUMMYFUNCTION("""COMPUTED_VALUE"""),"Практическо ръководство по програмиране с използване на С++, Част 1")</f>
        <v>Практическо ръководство по програмиране с използване на С++, Част 1</v>
      </c>
      <c r="D3532" s="10">
        <f ca="1">IFERROR(__xludf.DUMMYFUNCTION("""COMPUTED_VALUE"""),2016)</f>
        <v>2016</v>
      </c>
      <c r="E3532" s="10" t="str">
        <f ca="1">IFERROR(__xludf.DUMMYFUNCTION("""COMPUTED_VALUE"""),"„Про Лангс“, ISBN 978-954-8641-55-5; 160 стр. Второ издание")</f>
        <v>„Про Лангс“, ISBN 978-954-8641-55-5; 160 стр. Второ издание</v>
      </c>
      <c r="F3532" s="10"/>
      <c r="G3532" s="10" t="str">
        <f ca="1">IFERROR(__xludf.DUMMYFUNCTION("""COMPUTED_VALUE"""),"Петър Стойков")</f>
        <v>Петър Стойков</v>
      </c>
      <c r="H3532" s="10"/>
      <c r="I3532" s="10"/>
      <c r="J3532" s="10"/>
      <c r="K3532" s="10"/>
      <c r="L3532" s="10"/>
      <c r="M3532" s="10"/>
      <c r="N3532" s="10"/>
      <c r="O3532" s="10"/>
      <c r="P3532" s="10"/>
      <c r="Q3532" s="10"/>
      <c r="R3532" s="10"/>
      <c r="S3532" s="10"/>
      <c r="T3532" s="10"/>
      <c r="U3532" s="10"/>
      <c r="V3532" s="10"/>
      <c r="W3532" s="10"/>
      <c r="X3532" s="10"/>
      <c r="Y3532" s="10"/>
      <c r="Z3532" s="10"/>
    </row>
    <row r="3533" spans="1:26" ht="12.75">
      <c r="A3533" s="10" t="str">
        <f ca="1">IFERROR(__xludf.DUMMYFUNCTION("""COMPUTED_VALUE"""),"Иван Томов Иванов")</f>
        <v>Иван Томов Иванов</v>
      </c>
      <c r="B3533" s="10" t="str">
        <f ca="1">IFERROR(__xludf.DUMMYFUNCTION("""COMPUTED_VALUE"""),"Доклад от конференция")</f>
        <v>Доклад от конференция</v>
      </c>
      <c r="C3533" s="10" t="str">
        <f ca="1">IFERROR(__xludf.DUMMYFUNCTION("""COMPUTED_VALUE"""),"An Approach to constructing a model for creating a system for automated generation of tests")</f>
        <v>An Approach to constructing a model for creating a system for automated generation of tests</v>
      </c>
      <c r="D3533" s="10">
        <f ca="1">IFERROR(__xludf.DUMMYFUNCTION("""COMPUTED_VALUE"""),2016)</f>
        <v>2016</v>
      </c>
      <c r="E3533" s="10" t="str">
        <f ca="1">IFERROR(__xludf.DUMMYFUNCTION("""COMPUTED_VALUE"""),"Proceedings of the 2nd world multi conference on global science (ATTENTIS 2016) 14-16 Dec. 2016, , Publishing Institution of University of Zilina, 2017, pp 35-41, ISBN 978-80-554-1302-0")</f>
        <v>Proceedings of the 2nd world multi conference on global science (ATTENTIS 2016) 14-16 Dec. 2016, , Publishing Institution of University of Zilina, 2017, pp 35-41, ISBN 978-80-554-1302-0</v>
      </c>
      <c r="F3533" s="10" t="str">
        <f ca="1">IFERROR(__xludf.DUMMYFUNCTION("""COMPUTED_VALUE"""),"ELSEVIER (www.sciencedirect.com)")</f>
        <v>ELSEVIER (www.sciencedirect.com)</v>
      </c>
      <c r="G3533" s="10" t="str">
        <f ca="1">IFERROR(__xludf.DUMMYFUNCTION("""COMPUTED_VALUE"""),"Iva Kostadinova, Katia Rasheva")</f>
        <v>Iva Kostadinova, Katia Rasheva</v>
      </c>
      <c r="H3533" s="10"/>
      <c r="I3533" s="10"/>
      <c r="J3533" s="10"/>
      <c r="K3533" s="10"/>
      <c r="L3533" s="10"/>
      <c r="M3533" s="10"/>
      <c r="N3533" s="10"/>
      <c r="O3533" s="10"/>
      <c r="P3533" s="10"/>
      <c r="Q3533" s="10"/>
      <c r="R3533" s="10"/>
      <c r="S3533" s="10"/>
      <c r="T3533" s="10"/>
      <c r="U3533" s="10"/>
      <c r="V3533" s="10"/>
      <c r="W3533" s="10"/>
      <c r="X3533" s="10"/>
      <c r="Y3533" s="10"/>
      <c r="Z3533" s="10"/>
    </row>
    <row r="3534" spans="1:26" ht="12.75">
      <c r="A3534" s="10" t="str">
        <f ca="1">IFERROR(__xludf.DUMMYFUNCTION("""COMPUTED_VALUE"""),"Иван Томов Иванов")</f>
        <v>Иван Томов Иванов</v>
      </c>
      <c r="B3534" s="10" t="str">
        <f ca="1">IFERROR(__xludf.DUMMYFUNCTION("""COMPUTED_VALUE"""),"Книга")</f>
        <v>Книга</v>
      </c>
      <c r="C3534" s="10" t="str">
        <f ca="1">IFERROR(__xludf.DUMMYFUNCTION("""COMPUTED_VALUE"""),"Практическо ръководство по програмиране с използване на С++, Част 3")</f>
        <v>Практическо ръководство по програмиране с използване на С++, Част 3</v>
      </c>
      <c r="D3534" s="10">
        <f ca="1">IFERROR(__xludf.DUMMYFUNCTION("""COMPUTED_VALUE"""),2016)</f>
        <v>2016</v>
      </c>
      <c r="E3534" s="10" t="str">
        <f ca="1">IFERROR(__xludf.DUMMYFUNCTION("""COMPUTED_VALUE"""),"„Фараго“, ISBN 978-954-8641-28-9; 148 стр.")</f>
        <v>„Фараго“, ISBN 978-954-8641-28-9; 148 стр.</v>
      </c>
      <c r="F3534" s="10"/>
      <c r="G3534" s="10" t="str">
        <f ca="1">IFERROR(__xludf.DUMMYFUNCTION("""COMPUTED_VALUE"""),"Петър Стойков")</f>
        <v>Петър Стойков</v>
      </c>
      <c r="H3534" s="10"/>
      <c r="I3534" s="10"/>
      <c r="J3534" s="10"/>
      <c r="K3534" s="10"/>
      <c r="L3534" s="10"/>
      <c r="M3534" s="10"/>
      <c r="N3534" s="10"/>
      <c r="O3534" s="10"/>
      <c r="P3534" s="10"/>
      <c r="Q3534" s="10"/>
      <c r="R3534" s="10"/>
      <c r="S3534" s="10"/>
      <c r="T3534" s="10"/>
      <c r="U3534" s="10"/>
      <c r="V3534" s="10"/>
      <c r="W3534" s="10"/>
      <c r="X3534" s="10"/>
      <c r="Y3534" s="10"/>
      <c r="Z3534" s="10"/>
    </row>
    <row r="3535" spans="1:26" ht="12.75">
      <c r="A3535" s="10" t="str">
        <f ca="1">IFERROR(__xludf.DUMMYFUNCTION("""COMPUTED_VALUE"""),"Иван Томов Иванов")</f>
        <v>Иван Томов Иванов</v>
      </c>
      <c r="B3535" s="10" t="str">
        <f ca="1">IFERROR(__xludf.DUMMYFUNCTION("""COMPUTED_VALUE"""),"Книга")</f>
        <v>Книга</v>
      </c>
      <c r="C3535" s="10" t="str">
        <f ca="1">IFERROR(__xludf.DUMMYFUNCTION("""COMPUTED_VALUE"""),"Практическо ръководство по програмиране с използване на С++, Част 2")</f>
        <v>Практическо ръководство по програмиране с използване на С++, Част 2</v>
      </c>
      <c r="D3535" s="10">
        <f ca="1">IFERROR(__xludf.DUMMYFUNCTION("""COMPUTED_VALUE"""),2016)</f>
        <v>2016</v>
      </c>
      <c r="E3535" s="10" t="str">
        <f ca="1">IFERROR(__xludf.DUMMYFUNCTION("""COMPUTED_VALUE"""),"„Фараго“, ISBN 978-954-8641-20-3; 148 стр.")</f>
        <v>„Фараго“, ISBN 978-954-8641-20-3; 148 стр.</v>
      </c>
      <c r="F3535" s="10"/>
      <c r="G3535" s="10" t="str">
        <f ca="1">IFERROR(__xludf.DUMMYFUNCTION("""COMPUTED_VALUE"""),"Петър Стойков")</f>
        <v>Петър Стойков</v>
      </c>
      <c r="H3535" s="10"/>
      <c r="I3535" s="10"/>
      <c r="J3535" s="10"/>
      <c r="K3535" s="10"/>
      <c r="L3535" s="10"/>
      <c r="M3535" s="10"/>
      <c r="N3535" s="10"/>
      <c r="O3535" s="10"/>
      <c r="P3535" s="10"/>
      <c r="Q3535" s="10"/>
      <c r="R3535" s="10"/>
      <c r="S3535" s="10"/>
      <c r="T3535" s="10"/>
      <c r="U3535" s="10"/>
      <c r="V3535" s="10"/>
      <c r="W3535" s="10"/>
      <c r="X3535" s="10"/>
      <c r="Y3535" s="10"/>
      <c r="Z3535" s="10"/>
    </row>
    <row r="3536" spans="1:26" ht="12.75">
      <c r="A3536" s="10" t="str">
        <f ca="1">IFERROR(__xludf.DUMMYFUNCTION("""COMPUTED_VALUE"""),"Иван Томов Иванов")</f>
        <v>Иван Томов Иванов</v>
      </c>
      <c r="B3536" s="10" t="str">
        <f ca="1">IFERROR(__xludf.DUMMYFUNCTION("""COMPUTED_VALUE"""),"Учебник")</f>
        <v>Учебник</v>
      </c>
      <c r="C3536" s="10" t="str">
        <f ca="1">IFERROR(__xludf.DUMMYFUNCTION("""COMPUTED_VALUE"""),"Операционни системи, Част 1")</f>
        <v>Операционни системи, Част 1</v>
      </c>
      <c r="D3536" s="10">
        <f ca="1">IFERROR(__xludf.DUMMYFUNCTION("""COMPUTED_VALUE"""),2016)</f>
        <v>2016</v>
      </c>
      <c r="E3536" s="10" t="str">
        <f ca="1">IFERROR(__xludf.DUMMYFUNCTION("""COMPUTED_VALUE"""),"Sofiq, 2016 „Фараго“, ISBN 978-954-8641-55-5; 160 стр. Второ издание")</f>
        <v>Sofiq, 2016 „Фараго“, ISBN 978-954-8641-55-5; 160 стр. Второ издание</v>
      </c>
      <c r="F3536" s="10"/>
      <c r="G3536" s="10" t="str">
        <f ca="1">IFERROR(__xludf.DUMMYFUNCTION("""COMPUTED_VALUE"""),"Петър Стойков")</f>
        <v>Петър Стойков</v>
      </c>
      <c r="H3536" s="10"/>
      <c r="I3536" s="10"/>
      <c r="J3536" s="10"/>
      <c r="K3536" s="10"/>
      <c r="L3536" s="10"/>
      <c r="M3536" s="10"/>
      <c r="N3536" s="10"/>
      <c r="O3536" s="10"/>
      <c r="P3536" s="10"/>
      <c r="Q3536" s="10"/>
      <c r="R3536" s="10"/>
      <c r="S3536" s="10"/>
      <c r="T3536" s="10"/>
      <c r="U3536" s="10"/>
      <c r="V3536" s="10"/>
      <c r="W3536" s="10"/>
      <c r="X3536" s="10"/>
      <c r="Y3536" s="10"/>
      <c r="Z3536" s="10"/>
    </row>
    <row r="3537" spans="1:26" ht="12.75">
      <c r="A3537" s="10" t="str">
        <f ca="1">IFERROR(__xludf.DUMMYFUNCTION("""COMPUTED_VALUE"""),"Иван Томов Иванов")</f>
        <v>Иван Томов Иванов</v>
      </c>
      <c r="B3537" s="10" t="str">
        <f ca="1">IFERROR(__xludf.DUMMYFUNCTION("""COMPUTED_VALUE"""),"Книга")</f>
        <v>Книга</v>
      </c>
      <c r="C3537" s="10" t="str">
        <f ca="1">IFERROR(__xludf.DUMMYFUNCTION("""COMPUTED_VALUE"""),"Структури от данни и алгоритми в C#. Част 1.")</f>
        <v>Структури от данни и алгоритми в C#. Част 1.</v>
      </c>
      <c r="D3537" s="10">
        <f ca="1">IFERROR(__xludf.DUMMYFUNCTION("""COMPUTED_VALUE"""),2015)</f>
        <v>2015</v>
      </c>
      <c r="E3537" s="10" t="str">
        <f ca="1">IFERROR(__xludf.DUMMYFUNCTION("""COMPUTED_VALUE"""),"Иванов, И., П. Стойков, Структури от данни и алгоритми в C#. : Част 1. - София : Про Лангс, 2015, 160 с")</f>
        <v>Иванов, И., П. Стойков, Структури от данни и алгоритми в C#. : Част 1. - София : Про Лангс, 2015, 160 с</v>
      </c>
      <c r="F3537" s="10"/>
      <c r="G3537" s="10" t="str">
        <f ca="1">IFERROR(__xludf.DUMMYFUNCTION("""COMPUTED_VALUE"""),"Петър Стойков")</f>
        <v>Петър Стойков</v>
      </c>
      <c r="H3537" s="10"/>
      <c r="I3537" s="10"/>
      <c r="J3537" s="10"/>
      <c r="K3537" s="10"/>
      <c r="L3537" s="10"/>
      <c r="M3537" s="10"/>
      <c r="N3537" s="10"/>
      <c r="O3537" s="10"/>
      <c r="P3537" s="10"/>
      <c r="Q3537" s="10"/>
      <c r="R3537" s="10"/>
      <c r="S3537" s="10"/>
      <c r="T3537" s="10"/>
      <c r="U3537" s="10"/>
      <c r="V3537" s="10"/>
      <c r="W3537" s="10"/>
      <c r="X3537" s="10"/>
      <c r="Y3537" s="10"/>
      <c r="Z3537" s="10"/>
    </row>
    <row r="3538" spans="1:26" ht="12.75">
      <c r="A3538" s="10" t="str">
        <f ca="1">IFERROR(__xludf.DUMMYFUNCTION("""COMPUTED_VALUE"""),"Иван Томов Иванов")</f>
        <v>Иван Томов Иванов</v>
      </c>
      <c r="B3538" s="10" t="str">
        <f ca="1">IFERROR(__xludf.DUMMYFUNCTION("""COMPUTED_VALUE"""),"Доклад от конференция")</f>
        <v>Доклад от конференция</v>
      </c>
      <c r="C3538" s="10" t="str">
        <f ca="1">IFERROR(__xludf.DUMMYFUNCTION("""COMPUTED_VALUE"""),"Система за управление качеството на обучението в УниБИТ")</f>
        <v>Система за управление качеството на обучението в УниБИТ</v>
      </c>
      <c r="D3538" s="10">
        <f ca="1">IFERROR(__xludf.DUMMYFUNCTION("""COMPUTED_VALUE"""),2015)</f>
        <v>2015</v>
      </c>
      <c r="E3538" s="10" t="str">
        <f ca="1">IFERROR(__xludf.DUMMYFUNCTION("""COMPUTED_VALUE"""),"UNESCO International Workshop Quality of Education and Challenges in a Digitally Networked World, проведен в София на 30–31 окт. ктомври 2014 г., „За Буквите – О'писменех, стр. 192 - 197, ISBN 978-619-185-163-8 - online, published on http://unesco.unibit."&amp;"bg/, ISBN 978-619-185-162-1 – paper version, 2015.")</f>
        <v>UNESCO International Workshop Quality of Education and Challenges in a Digitally Networked World, проведен в София на 30–31 окт. ктомври 2014 г., „За Буквите – О'писменех, стр. 192 - 197, ISBN 978-619-185-163-8 - online, published on http://unesco.unibit.bg/, ISBN 978-619-185-162-1 – paper version, 2015.</v>
      </c>
      <c r="F3538" s="10"/>
      <c r="G3538" s="10" t="str">
        <f ca="1">IFERROR(__xludf.DUMMYFUNCTION("""COMPUTED_VALUE"""),"Георги П. Димитров, Галина Панайотова, Добри Бояджиев")</f>
        <v>Георги П. Димитров, Галина Панайотова, Добри Бояджиев</v>
      </c>
      <c r="H3538" s="10"/>
      <c r="I3538" s="10"/>
      <c r="J3538" s="10"/>
      <c r="K3538" s="10"/>
      <c r="L3538" s="10"/>
      <c r="M3538" s="10"/>
      <c r="N3538" s="10"/>
      <c r="O3538" s="10"/>
      <c r="P3538" s="10"/>
      <c r="Q3538" s="10"/>
      <c r="R3538" s="10"/>
      <c r="S3538" s="10"/>
      <c r="T3538" s="10"/>
      <c r="U3538" s="10"/>
      <c r="V3538" s="10"/>
      <c r="W3538" s="10"/>
      <c r="X3538" s="10"/>
      <c r="Y3538" s="10"/>
      <c r="Z3538" s="10"/>
    </row>
    <row r="3539" spans="1:26" ht="12.75">
      <c r="A3539" s="10" t="str">
        <f ca="1">IFERROR(__xludf.DUMMYFUNCTION("""COMPUTED_VALUE"""),"Иван Томов Иванов")</f>
        <v>Иван Томов Иванов</v>
      </c>
      <c r="B3539" s="10" t="str">
        <f ca="1">IFERROR(__xludf.DUMMYFUNCTION("""COMPUTED_VALUE"""),"Книга")</f>
        <v>Книга</v>
      </c>
      <c r="C3539" s="10" t="str">
        <f ca="1">IFERROR(__xludf.DUMMYFUNCTION("""COMPUTED_VALUE"""),"Структури от данни и алгоритми в C#. Част 2.")</f>
        <v>Структури от данни и алгоритми в C#. Част 2.</v>
      </c>
      <c r="D3539" s="10">
        <f ca="1">IFERROR(__xludf.DUMMYFUNCTION("""COMPUTED_VALUE"""),2015)</f>
        <v>2015</v>
      </c>
      <c r="E3539" s="10" t="str">
        <f ca="1">IFERROR(__xludf.DUMMYFUNCTION("""COMPUTED_VALUE"""),"Иванов, И., П. Стойков, Структури от данни и алгоритми в C#. : Част 1. - София : Про Лангс, 2015, 160 с")</f>
        <v>Иванов, И., П. Стойков, Структури от данни и алгоритми в C#. : Част 1. - София : Про Лангс, 2015, 160 с</v>
      </c>
      <c r="F3539" s="10"/>
      <c r="G3539" s="10" t="str">
        <f ca="1">IFERROR(__xludf.DUMMYFUNCTION("""COMPUTED_VALUE"""),"Петър Стойков")</f>
        <v>Петър Стойков</v>
      </c>
      <c r="H3539" s="10"/>
      <c r="I3539" s="10"/>
      <c r="J3539" s="10"/>
      <c r="K3539" s="10"/>
      <c r="L3539" s="10"/>
      <c r="M3539" s="10"/>
      <c r="N3539" s="10"/>
      <c r="O3539" s="10"/>
      <c r="P3539" s="10"/>
      <c r="Q3539" s="10"/>
      <c r="R3539" s="10"/>
      <c r="S3539" s="10"/>
      <c r="T3539" s="10"/>
      <c r="U3539" s="10"/>
      <c r="V3539" s="10"/>
      <c r="W3539" s="10"/>
      <c r="X3539" s="10"/>
      <c r="Y3539" s="10"/>
      <c r="Z3539" s="10"/>
    </row>
    <row r="3540" spans="1:26" ht="12.75">
      <c r="A3540" s="10" t="str">
        <f ca="1">IFERROR(__xludf.DUMMYFUNCTION("""COMPUTED_VALUE"""),"Иван Томов Иванов")</f>
        <v>Иван Томов Иванов</v>
      </c>
      <c r="B3540" s="10" t="str">
        <f ca="1">IFERROR(__xludf.DUMMYFUNCTION("""COMPUTED_VALUE"""),"Доклад от конференция")</f>
        <v>Доклад от конференция</v>
      </c>
      <c r="C3540" s="10" t="str">
        <f ca="1">IFERROR(__xludf.DUMMYFUNCTION("""COMPUTED_VALUE"""),"Изследване на възможността за създаване на GPS радио бариера")</f>
        <v>Изследване на възможността за създаване на GPS радио бариера</v>
      </c>
      <c r="D3540" s="10">
        <f ca="1">IFERROR(__xludf.DUMMYFUNCTION("""COMPUTED_VALUE"""),2015)</f>
        <v>2015</v>
      </c>
      <c r="E3540" s="10" t="str">
        <f ca="1">IFERROR(__xludf.DUMMYFUNCTION("""COMPUTED_VALUE"""),"Гарванов И., М. Владимирова, С. Владимиров, И. Иванов, „Изследване на възможността за създаване на GPS радио бариера“, “Нови информационни технологии в образовтелния процес” Нови информационни технологии в образователния процес X. Доклади и съобщения от Д"&amp;"есети научен семинар на УниБИТ, проведен в Истанбул, Турция на 04-08 април 2014 г., “За буквите – О писменех”, 2015")</f>
        <v>Гарванов И., М. Владимирова, С. Владимиров, И. Иванов, „Изследване на възможността за създаване на GPS радио бариера“, “Нови информационни технологии в образовтелния процес” Нови информационни технологии в образователния процес X. Доклади и съобщения от Десети научен семинар на УниБИТ, проведен в Истанбул, Турция на 04-08 април 2014 г., “За буквите – О писменех”, 2015</v>
      </c>
      <c r="F3540" s="10"/>
      <c r="G3540" s="10" t="str">
        <f ca="1">IFERROR(__xludf.DUMMYFUNCTION("""COMPUTED_VALUE"""),"Иван Гарванов, М. Владимирова, Стоян Владимиров,")</f>
        <v>Иван Гарванов, М. Владимирова, Стоян Владимиров,</v>
      </c>
      <c r="H3540" s="10"/>
      <c r="I3540" s="10"/>
      <c r="J3540" s="10"/>
      <c r="K3540" s="10"/>
      <c r="L3540" s="10"/>
      <c r="M3540" s="10"/>
      <c r="N3540" s="10"/>
      <c r="O3540" s="10"/>
      <c r="P3540" s="10"/>
      <c r="Q3540" s="10"/>
      <c r="R3540" s="10"/>
      <c r="S3540" s="10"/>
      <c r="T3540" s="10"/>
      <c r="U3540" s="10"/>
      <c r="V3540" s="10"/>
      <c r="W3540" s="10"/>
      <c r="X3540" s="10"/>
      <c r="Y3540" s="10"/>
      <c r="Z3540" s="10"/>
    </row>
    <row r="3541" spans="1:26" ht="12.75">
      <c r="A3541" s="10" t="str">
        <f ca="1">IFERROR(__xludf.DUMMYFUNCTION("""COMPUTED_VALUE"""),"Иван Томов Иванов")</f>
        <v>Иван Томов Иванов</v>
      </c>
      <c r="B3541" s="10" t="str">
        <f ca="1">IFERROR(__xludf.DUMMYFUNCTION("""COMPUTED_VALUE"""),"Доклад от конференция")</f>
        <v>Доклад от конференция</v>
      </c>
      <c r="C3541" s="10" t="str">
        <f ca="1">IFERROR(__xludf.DUMMYFUNCTION("""COMPUTED_VALUE"""),"Структура на система за управление на качеството на обучение")</f>
        <v>Структура на система за управление на качеството на обучение</v>
      </c>
      <c r="D3541" s="10">
        <f ca="1">IFERROR(__xludf.DUMMYFUNCTION("""COMPUTED_VALUE"""),2015)</f>
        <v>2015</v>
      </c>
      <c r="E3541" s="10" t="str">
        <f ca="1">IFERROR(__xludf.DUMMYFUNCTION("""COMPUTED_VALUE"""),"Нови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f>
        <v>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v>
      </c>
      <c r="F3541" s="10"/>
      <c r="G3541" s="10" t="str">
        <f ca="1">IFERROR(__xludf.DUMMYFUNCTION("""COMPUTED_VALUE"""),"Хаджийска, Й., Г. Димитров, А. Димова, Т. Димитрова")</f>
        <v>Хаджийска, Й., Г. Димитров, А. Димова, Т. Димитрова</v>
      </c>
      <c r="H3541" s="10"/>
      <c r="I3541" s="10"/>
      <c r="J3541" s="10"/>
      <c r="K3541" s="10"/>
      <c r="L3541" s="10"/>
      <c r="M3541" s="10"/>
      <c r="N3541" s="10"/>
      <c r="O3541" s="10"/>
      <c r="P3541" s="10"/>
      <c r="Q3541" s="10"/>
      <c r="R3541" s="10"/>
      <c r="S3541" s="10"/>
      <c r="T3541" s="10"/>
      <c r="U3541" s="10"/>
      <c r="V3541" s="10"/>
      <c r="W3541" s="10"/>
      <c r="X3541" s="10"/>
      <c r="Y3541" s="10"/>
      <c r="Z3541" s="10"/>
    </row>
    <row r="3542" spans="1:26" ht="12.75">
      <c r="A3542" s="10" t="str">
        <f ca="1">IFERROR(__xludf.DUMMYFUNCTION("""COMPUTED_VALUE"""),"Иван Томов Иванов")</f>
        <v>Иван Томов Иванов</v>
      </c>
      <c r="B3542" s="10" t="str">
        <f ca="1">IFERROR(__xludf.DUMMYFUNCTION("""COMPUTED_VALUE"""),"Книга")</f>
        <v>Книга</v>
      </c>
      <c r="C3542" s="10" t="str">
        <f ca="1">IFERROR(__xludf.DUMMYFUNCTION("""COMPUTED_VALUE"""),"„Визуални среди за програмиране“, Част 1")</f>
        <v>„Визуални среди за програмиране“, Част 1</v>
      </c>
      <c r="D3542" s="10">
        <f ca="1">IFERROR(__xludf.DUMMYFUNCTION("""COMPUTED_VALUE"""),2015)</f>
        <v>2015</v>
      </c>
      <c r="E3542" s="10" t="str">
        <f ca="1">IFERROR(__xludf.DUMMYFUNCTION("""COMPUTED_VALUE"""),"„Про Лангс“, ISBN 978-954-2961-01-7; 160 стр.")</f>
        <v>„Про Лангс“, ISBN 978-954-2961-01-7; 160 стр.</v>
      </c>
      <c r="F3542" s="10"/>
      <c r="G3542" s="10" t="str">
        <f ca="1">IFERROR(__xludf.DUMMYFUNCTION("""COMPUTED_VALUE"""),"Петър Стойков")</f>
        <v>Петър Стойков</v>
      </c>
      <c r="H3542" s="10"/>
      <c r="I3542" s="10"/>
      <c r="J3542" s="10"/>
      <c r="K3542" s="10"/>
      <c r="L3542" s="10"/>
      <c r="M3542" s="10"/>
      <c r="N3542" s="10"/>
      <c r="O3542" s="10"/>
      <c r="P3542" s="10"/>
      <c r="Q3542" s="10"/>
      <c r="R3542" s="10"/>
      <c r="S3542" s="10"/>
      <c r="T3542" s="10"/>
      <c r="U3542" s="10"/>
      <c r="V3542" s="10"/>
      <c r="W3542" s="10"/>
      <c r="X3542" s="10"/>
      <c r="Y3542" s="10"/>
      <c r="Z3542" s="10"/>
    </row>
    <row r="3543" spans="1:26" ht="12.75">
      <c r="A3543" s="10" t="str">
        <f ca="1">IFERROR(__xludf.DUMMYFUNCTION("""COMPUTED_VALUE"""),"Иван Томов Иванов")</f>
        <v>Иван Томов Иванов</v>
      </c>
      <c r="B3543" s="10" t="str">
        <f ca="1">IFERROR(__xludf.DUMMYFUNCTION("""COMPUTED_VALUE"""),"Доклад от конференция")</f>
        <v>Доклад от конференция</v>
      </c>
      <c r="C3543" s="10" t="str">
        <f ca="1">IFERROR(__xludf.DUMMYFUNCTION("""COMPUTED_VALUE"""),"Принципи при акредитация на съвместни програми")</f>
        <v>Принципи при акредитация на съвместни програми</v>
      </c>
      <c r="D3543" s="10">
        <f ca="1">IFERROR(__xludf.DUMMYFUNCTION("""COMPUTED_VALUE"""),2015)</f>
        <v>2015</v>
      </c>
      <c r="E3543" s="10" t="str">
        <f ca="1">IFERROR(__xludf.DUMMYFUNCTION("""COMPUTED_VALUE"""),"Традиционен международен пътуващ семинар „Съвременни измерения на европейското образователно и научно пространство. Българско-малтийски културни общувания“, Малта, 01-08.06.2015, ISSN 2367-7988, 2015")</f>
        <v>Традиционен международен пътуващ семинар „Съвременни измерения на европейското образователно и научно пространство. Българско-малтийски културни общувания“, Малта, 01-08.06.2015, ISSN 2367-7988, 2015</v>
      </c>
      <c r="F3543" s="10"/>
      <c r="G3543" s="10" t="str">
        <f ca="1">IFERROR(__xludf.DUMMYFUNCTION("""COMPUTED_VALUE"""),"Хаджийска, Й., Г. Димитров")</f>
        <v>Хаджийска, Й., Г. Димитров</v>
      </c>
      <c r="H3543" s="10"/>
      <c r="I3543" s="10"/>
      <c r="J3543" s="10"/>
      <c r="K3543" s="10"/>
      <c r="L3543" s="10"/>
      <c r="M3543" s="10"/>
      <c r="N3543" s="10"/>
      <c r="O3543" s="10"/>
      <c r="P3543" s="10"/>
      <c r="Q3543" s="10"/>
      <c r="R3543" s="10"/>
      <c r="S3543" s="10"/>
      <c r="T3543" s="10"/>
      <c r="U3543" s="10"/>
      <c r="V3543" s="10"/>
      <c r="W3543" s="10"/>
      <c r="X3543" s="10"/>
      <c r="Y3543" s="10"/>
      <c r="Z3543" s="10"/>
    </row>
    <row r="3544" spans="1:26" ht="12.75">
      <c r="A3544" s="10" t="str">
        <f ca="1">IFERROR(__xludf.DUMMYFUNCTION("""COMPUTED_VALUE"""),"Иван Томов Иванов")</f>
        <v>Иван Томов Иванов</v>
      </c>
      <c r="B3544" s="10" t="str">
        <f ca="1">IFERROR(__xludf.DUMMYFUNCTION("""COMPUTED_VALUE"""),"Доклад от конференция")</f>
        <v>Доклад от конференция</v>
      </c>
      <c r="C3544" s="10" t="str">
        <f ca="1">IFERROR(__xludf.DUMMYFUNCTION("""COMPUTED_VALUE"""),"Механизъм за създаване на формализирани страници в СУЗ")</f>
        <v>Механизъм за създаване на формализирани страници в СУЗ</v>
      </c>
      <c r="D3544" s="10">
        <f ca="1">IFERROR(__xludf.DUMMYFUNCTION("""COMPUTED_VALUE"""),2015)</f>
        <v>2015</v>
      </c>
      <c r="E3544" s="10" t="str">
        <f ca="1">IFERROR(__xludf.DUMMYFUNCTION("""COMPUTED_VALUE"""),"Нови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f>
        <v>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v>
      </c>
      <c r="F3544" s="10"/>
      <c r="G3544" s="10" t="str">
        <f ca="1">IFERROR(__xludf.DUMMYFUNCTION("""COMPUTED_VALUE"""),"Димитрова, Т., К. Димитров, Г. Димитров, А. Димова, Й. Хаджийска")</f>
        <v>Димитрова, Т., К. Димитров, Г. Димитров, А. Димова, Й. Хаджийска</v>
      </c>
      <c r="H3544" s="10"/>
      <c r="I3544" s="10"/>
      <c r="J3544" s="10"/>
      <c r="K3544" s="10"/>
      <c r="L3544" s="10"/>
      <c r="M3544" s="10"/>
      <c r="N3544" s="10"/>
      <c r="O3544" s="10"/>
      <c r="P3544" s="10"/>
      <c r="Q3544" s="10"/>
      <c r="R3544" s="10"/>
      <c r="S3544" s="10"/>
      <c r="T3544" s="10"/>
      <c r="U3544" s="10"/>
      <c r="V3544" s="10"/>
      <c r="W3544" s="10"/>
      <c r="X3544" s="10"/>
      <c r="Y3544" s="10"/>
      <c r="Z3544" s="10"/>
    </row>
    <row r="3545" spans="1:26" ht="12.75">
      <c r="A3545" s="10" t="str">
        <f ca="1">IFERROR(__xludf.DUMMYFUNCTION("""COMPUTED_VALUE"""),"Иван Томов Иванов")</f>
        <v>Иван Томов Иванов</v>
      </c>
      <c r="B3545" s="10" t="str">
        <f ca="1">IFERROR(__xludf.DUMMYFUNCTION("""COMPUTED_VALUE"""),"Доклад от конференция")</f>
        <v>Доклад от конференция</v>
      </c>
      <c r="C3545" s="10" t="str">
        <f ca="1">IFERROR(__xludf.DUMMYFUNCTION("""COMPUTED_VALUE"""),"Структура на ИИС на УниБИТ")</f>
        <v>Структура на ИИС на УниБИТ</v>
      </c>
      <c r="D3545" s="10">
        <f ca="1">IFERROR(__xludf.DUMMYFUNCTION("""COMPUTED_VALUE"""),2015)</f>
        <v>2015</v>
      </c>
      <c r="E3545" s="10" t="str">
        <f ca="1">IFERROR(__xludf.DUMMYFUNCTION("""COMPUTED_VALUE"""),"Нови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f>
        <v>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v>
      </c>
      <c r="F3545" s="10"/>
      <c r="G3545" s="10" t="str">
        <f ca="1">IFERROR(__xludf.DUMMYFUNCTION("""COMPUTED_VALUE"""),"Димова, А., Г. Димитров, Т. Димитрова, Й. Хаджийска")</f>
        <v>Димова, А., Г. Димитров, Т. Димитрова, Й. Хаджийска</v>
      </c>
      <c r="H3545" s="10"/>
      <c r="I3545" s="10"/>
      <c r="J3545" s="10"/>
      <c r="K3545" s="10"/>
      <c r="L3545" s="10"/>
      <c r="M3545" s="10"/>
      <c r="N3545" s="10"/>
      <c r="O3545" s="10"/>
      <c r="P3545" s="10"/>
      <c r="Q3545" s="10"/>
      <c r="R3545" s="10"/>
      <c r="S3545" s="10"/>
      <c r="T3545" s="10"/>
      <c r="U3545" s="10"/>
      <c r="V3545" s="10"/>
      <c r="W3545" s="10"/>
      <c r="X3545" s="10"/>
      <c r="Y3545" s="10"/>
      <c r="Z3545" s="10"/>
    </row>
    <row r="3546" spans="1:26" ht="12.75">
      <c r="A3546" s="10" t="str">
        <f ca="1">IFERROR(__xludf.DUMMYFUNCTION("""COMPUTED_VALUE"""),"Иван Томов Иванов")</f>
        <v>Иван Томов Иванов</v>
      </c>
      <c r="B3546" s="10" t="str">
        <f ca="1">IFERROR(__xludf.DUMMYFUNCTION("""COMPUTED_VALUE"""),"Доклад от конференция")</f>
        <v>Доклад от конференция</v>
      </c>
      <c r="C3546" s="10" t="str">
        <f ca="1">IFERROR(__xludf.DUMMYFUNCTION("""COMPUTED_VALUE"""),"Структура на система за управление на знанията")</f>
        <v>Структура на система за управление на знанията</v>
      </c>
      <c r="D3546" s="10">
        <f ca="1">IFERROR(__xludf.DUMMYFUNCTION("""COMPUTED_VALUE"""),2015)</f>
        <v>2015</v>
      </c>
      <c r="E3546" s="10" t="str">
        <f ca="1">IFERROR(__xludf.DUMMYFUNCTION("""COMPUTED_VALUE"""),"Нови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f>
        <v>Нови информационни технологии в образователния процес. Доклади и съобщения от Деветия научен семинар на УниБИТ, проведен в Kамчия на 26-30 май 2014 г., София: “За буквите – О писменех”, 2015 ISSN 1313-2768.</v>
      </c>
      <c r="F3546" s="10"/>
      <c r="G3546" s="10" t="str">
        <f ca="1">IFERROR(__xludf.DUMMYFUNCTION("""COMPUTED_VALUE"""),"Хаджийска, Й., Г. Димитров, А. Димова, Т. Димитрова")</f>
        <v>Хаджийска, Й., Г. Димитров, А. Димова, Т. Димитрова</v>
      </c>
      <c r="H3546" s="10"/>
      <c r="I3546" s="10"/>
      <c r="J3546" s="10"/>
      <c r="K3546" s="10"/>
      <c r="L3546" s="10"/>
      <c r="M3546" s="10"/>
      <c r="N3546" s="10"/>
      <c r="O3546" s="10"/>
      <c r="P3546" s="10"/>
      <c r="Q3546" s="10"/>
      <c r="R3546" s="10"/>
      <c r="S3546" s="10"/>
      <c r="T3546" s="10"/>
      <c r="U3546" s="10"/>
      <c r="V3546" s="10"/>
      <c r="W3546" s="10"/>
      <c r="X3546" s="10"/>
      <c r="Y3546" s="10"/>
      <c r="Z3546" s="10"/>
    </row>
    <row r="3547" spans="1:26" ht="12.75">
      <c r="A3547" s="10" t="str">
        <f ca="1">IFERROR(__xludf.DUMMYFUNCTION("""COMPUTED_VALUE"""),"Иван Томов Иванов")</f>
        <v>Иван Томов Иванов</v>
      </c>
      <c r="B3547" s="10" t="str">
        <f ca="1">IFERROR(__xludf.DUMMYFUNCTION("""COMPUTED_VALUE"""),"Доклад от конференция")</f>
        <v>Доклад от конференция</v>
      </c>
      <c r="C3547" s="10" t="str">
        <f ca="1">IFERROR(__xludf.DUMMYFUNCTION("""COMPUTED_VALUE"""),"Реализиране на маршрут с използването на графи. Алгоритми за работа с графи")</f>
        <v>Реализиране на маршрут с използването на графи. Алгоритми за работа с графи</v>
      </c>
      <c r="D3547" s="10">
        <f ca="1">IFERROR(__xludf.DUMMYFUNCTION("""COMPUTED_VALUE"""),2015)</f>
        <v>2015</v>
      </c>
      <c r="E3547" s="10" t="str">
        <f ca="1">IFERROR(__xludf.DUMMYFUNCTION("""COMPUTED_VALUE"""),"Лулов, Й., И. Иванов, Реализиране на маршрут с използването на графи. Алгоритми за работа с графи., Традиционен международен пътуващ семинар „Съвременни измерения на европейското образователно и научно пространство. Българско-малтийски културни общувания“"&amp;", Малта, 01-08.06.2015, ISSN 2367-7988, 2015")</f>
        <v>Лулов, Й., И. Иванов, Реализиране на маршрут с използването на графи. Алгоритми за работа с графи., Традиционен международен пътуващ семинар „Съвременни измерения на европейското образователно и научно пространство. Българско-малтийски културни общувания“, Малта, 01-08.06.2015, ISSN 2367-7988, 2015</v>
      </c>
      <c r="F3547" s="10"/>
      <c r="G3547" s="10" t="str">
        <f ca="1">IFERROR(__xludf.DUMMYFUNCTION("""COMPUTED_VALUE"""),"Йови Лулов")</f>
        <v>Йови Лулов</v>
      </c>
      <c r="H3547" s="10"/>
      <c r="I3547" s="10"/>
      <c r="J3547" s="10"/>
      <c r="K3547" s="10"/>
      <c r="L3547" s="10"/>
      <c r="M3547" s="10"/>
      <c r="N3547" s="10"/>
      <c r="O3547" s="10"/>
      <c r="P3547" s="10"/>
      <c r="Q3547" s="10"/>
      <c r="R3547" s="10"/>
      <c r="S3547" s="10"/>
      <c r="T3547" s="10"/>
      <c r="U3547" s="10"/>
      <c r="V3547" s="10"/>
      <c r="W3547" s="10"/>
      <c r="X3547" s="10"/>
      <c r="Y3547" s="10"/>
      <c r="Z3547" s="10"/>
    </row>
    <row r="3548" spans="1:26" ht="12.75">
      <c r="A3548" s="10" t="str">
        <f ca="1">IFERROR(__xludf.DUMMYFUNCTION("""COMPUTED_VALUE"""),"Иван Томов Иванов")</f>
        <v>Иван Томов Иванов</v>
      </c>
      <c r="B3548" s="10" t="str">
        <f ca="1">IFERROR(__xludf.DUMMYFUNCTION("""COMPUTED_VALUE"""),"Книга")</f>
        <v>Книга</v>
      </c>
      <c r="C3548" s="10" t="str">
        <f ca="1">IFERROR(__xludf.DUMMYFUNCTION("""COMPUTED_VALUE"""),"Структури от данни и алгоритми. : Част 2.")</f>
        <v>Структури от данни и алгоритми. : Част 2.</v>
      </c>
      <c r="D3548" s="10">
        <f ca="1">IFERROR(__xludf.DUMMYFUNCTION("""COMPUTED_VALUE"""),2015)</f>
        <v>2015</v>
      </c>
      <c r="E3548" s="10" t="str">
        <f ca="1">IFERROR(__xludf.DUMMYFUNCTION("""COMPUTED_VALUE"""),"Иванов, И., П. Стойков, Структури от данни и алгоритми : Част 2. - София : Про Лангс, 2015, 160 с")</f>
        <v>Иванов, И., П. Стойков, Структури от данни и алгоритми : Част 2. - София : Про Лангс, 2015, 160 с</v>
      </c>
      <c r="F3548" s="10"/>
      <c r="G3548" s="10" t="str">
        <f ca="1">IFERROR(__xludf.DUMMYFUNCTION("""COMPUTED_VALUE"""),"П. Стойков")</f>
        <v>П. Стойков</v>
      </c>
      <c r="H3548" s="10"/>
      <c r="I3548" s="10"/>
      <c r="J3548" s="10"/>
      <c r="K3548" s="10"/>
      <c r="L3548" s="10"/>
      <c r="M3548" s="10"/>
      <c r="N3548" s="10"/>
      <c r="O3548" s="10"/>
      <c r="P3548" s="10"/>
      <c r="Q3548" s="10"/>
      <c r="R3548" s="10"/>
      <c r="S3548" s="10"/>
      <c r="T3548" s="10"/>
      <c r="U3548" s="10"/>
      <c r="V3548" s="10"/>
      <c r="W3548" s="10"/>
      <c r="X3548" s="10"/>
      <c r="Y3548" s="10"/>
      <c r="Z3548" s="10"/>
    </row>
    <row r="3549" spans="1:26" ht="12.75">
      <c r="A3549" s="10" t="str">
        <f ca="1">IFERROR(__xludf.DUMMYFUNCTION("""COMPUTED_VALUE"""),"Иван Томов Иванов")</f>
        <v>Иван Томов Иванов</v>
      </c>
      <c r="B3549" s="10" t="str">
        <f ca="1">IFERROR(__xludf.DUMMYFUNCTION("""COMPUTED_VALUE"""),"Доклад от конференция")</f>
        <v>Доклад от конференция</v>
      </c>
      <c r="C3549" s="10" t="str">
        <f ca="1">IFERROR(__xludf.DUMMYFUNCTION("""COMPUTED_VALUE"""),"ПОВИШАВАНЕ НА ПОТРЕБИТЕЛСКОТО ПРЕЖИВЯВАНЕ ПРИ СЪЗДАВАНЕ НА WEB САЙТОВЕ С УЧЕБНО СЪДЪРЖАНИЕ")</f>
        <v>ПОВИШАВАНЕ НА ПОТРЕБИТЕЛСКОТО ПРЕЖИВЯВАНЕ ПРИ СЪЗДАВАНЕ НА WEB САЙТОВЕ С УЧЕБНО СЪДЪРЖАНИЕ</v>
      </c>
      <c r="D3549" s="10">
        <f ca="1">IFERROR(__xludf.DUMMYFUNCTION("""COMPUTED_VALUE"""),2015)</f>
        <v>2015</v>
      </c>
      <c r="E3549" s="10" t="str">
        <f ca="1">IFERROR(__xludf.DUMMYFUNCTION("""COMPUTED_VALUE"""),"Димитров, Г., Г. Панайотова, И. Т. Иванов, Й. Хаджийска, С. С. Цанков, И. Динева, ПОВИШАВАНЕ НА ПОТРЕБИТЕЛСКОТО ПРЕЖИВЯВАНЕ ПРИ СЪЗДАВАНЕ НА WEB САЙТОВЕ С УЧЕБНО СЪДЪРЖАНИЕ, Традиционен международен пътуващ семинар „Съвременни измерения на европейското об"&amp;"разователно и научно пространство. Българско-малтийски културни общувания“, Малта, 01-08.06.2015, ISSN 2367-7988, 2015")</f>
        <v>Димитров, Г., Г. Панайотова, И. Т. Иванов, Й. Хаджийска, С. С. Цанков, И. Динева, ПОВИШАВАНЕ НА ПОТРЕБИТЕЛСКОТО ПРЕЖИВЯВАНЕ ПРИ СЪЗДАВАНЕ НА WEB САЙТОВЕ С УЧЕБНО СЪДЪРЖАНИЕ, Традиционен международен пътуващ семинар „Съвременни измерения на европейското образователно и научно пространство. Българско-малтийски културни общувания“, Малта, 01-08.06.2015, ISSN 2367-7988, 2015</v>
      </c>
      <c r="F3549" s="10"/>
      <c r="G3549" s="10" t="str">
        <f ca="1">IFERROR(__xludf.DUMMYFUNCTION("""COMPUTED_VALUE"""),"Г. Димитров, Г.Панайотова, Й. Хаджийска, С. С. Цанков, И. Динева")</f>
        <v>Г. Димитров, Г.Панайотова, Й. Хаджийска, С. С. Цанков, И. Динева</v>
      </c>
      <c r="H3549" s="10"/>
      <c r="I3549" s="10"/>
      <c r="J3549" s="10"/>
      <c r="K3549" s="10"/>
      <c r="L3549" s="10"/>
      <c r="M3549" s="10"/>
      <c r="N3549" s="10"/>
      <c r="O3549" s="10"/>
      <c r="P3549" s="10"/>
      <c r="Q3549" s="10"/>
      <c r="R3549" s="10"/>
      <c r="S3549" s="10"/>
      <c r="T3549" s="10"/>
      <c r="U3549" s="10"/>
      <c r="V3549" s="10"/>
      <c r="W3549" s="10"/>
      <c r="X3549" s="10"/>
      <c r="Y3549" s="10"/>
      <c r="Z3549" s="10"/>
    </row>
    <row r="3550" spans="1:26" ht="12.75">
      <c r="A3550" s="10" t="str">
        <f ca="1">IFERROR(__xludf.DUMMYFUNCTION("""COMPUTED_VALUE"""),"Иван Томов Иванов")</f>
        <v>Иван Томов Иванов</v>
      </c>
      <c r="B3550" s="10" t="str">
        <f ca="1">IFERROR(__xludf.DUMMYFUNCTION("""COMPUTED_VALUE"""),"Книга")</f>
        <v>Книга</v>
      </c>
      <c r="C3550" s="10" t="str">
        <f ca="1">IFERROR(__xludf.DUMMYFUNCTION("""COMPUTED_VALUE"""),"Визуални среди за програмиране")</f>
        <v>Визуални среди за програмиране</v>
      </c>
      <c r="D3550" s="10">
        <f ca="1">IFERROR(__xludf.DUMMYFUNCTION("""COMPUTED_VALUE"""),2014)</f>
        <v>2014</v>
      </c>
      <c r="E3550" s="10" t="str">
        <f ca="1">IFERROR(__xludf.DUMMYFUNCTION("""COMPUTED_VALUE"""),"София, “За буквите – О писменех”, ISBN 978-619-185-049-1, 160 стр., 2014 г")</f>
        <v>София, “За буквите – О писменех”, ISBN 978-619-185-049-1, 160 стр., 2014 г</v>
      </c>
      <c r="F3550" s="10"/>
      <c r="G3550" s="10" t="str">
        <f ca="1">IFERROR(__xludf.DUMMYFUNCTION("""COMPUTED_VALUE"""),"Петър Стойков")</f>
        <v>Петър Стойков</v>
      </c>
      <c r="H3550" s="10"/>
      <c r="I3550" s="10"/>
      <c r="J3550" s="10"/>
      <c r="K3550" s="10"/>
      <c r="L3550" s="10"/>
      <c r="M3550" s="10"/>
      <c r="N3550" s="10"/>
      <c r="O3550" s="10"/>
      <c r="P3550" s="10"/>
      <c r="Q3550" s="10"/>
      <c r="R3550" s="10"/>
      <c r="S3550" s="10"/>
      <c r="T3550" s="10"/>
      <c r="U3550" s="10"/>
      <c r="V3550" s="10"/>
      <c r="W3550" s="10"/>
      <c r="X3550" s="10"/>
      <c r="Y3550" s="10"/>
      <c r="Z3550" s="10"/>
    </row>
    <row r="3551" spans="1:26" ht="12.75">
      <c r="A3551" s="10" t="str">
        <f ca="1">IFERROR(__xludf.DUMMYFUNCTION("""COMPUTED_VALUE"""),"Иван Томов Иванов")</f>
        <v>Иван Томов Иванов</v>
      </c>
      <c r="B3551" s="10" t="str">
        <f ca="1">IFERROR(__xludf.DUMMYFUNCTION("""COMPUTED_VALUE"""),"Книга")</f>
        <v>Книга</v>
      </c>
      <c r="C3551" s="10" t="str">
        <f ca="1">IFERROR(__xludf.DUMMYFUNCTION("""COMPUTED_VALUE"""),"Обектно-ориентирано програмиране")</f>
        <v>Обектно-ориентирано програмиране</v>
      </c>
      <c r="D3551" s="10">
        <f ca="1">IFERROR(__xludf.DUMMYFUNCTION("""COMPUTED_VALUE"""),2014)</f>
        <v>2014</v>
      </c>
      <c r="E3551" s="10" t="str">
        <f ca="1">IFERROR(__xludf.DUMMYFUNCTION("""COMPUTED_VALUE"""),"София, “За буквите – О писменех”, ISBN 978-619-185-047-1, 278 стр., 2014 г.")</f>
        <v>София, “За буквите – О писменех”, ISBN 978-619-185-047-1, 278 стр., 2014 г.</v>
      </c>
      <c r="F3551" s="10"/>
      <c r="G3551" s="10" t="str">
        <f ca="1">IFERROR(__xludf.DUMMYFUNCTION("""COMPUTED_VALUE"""),"Петър Стойков")</f>
        <v>Петър Стойков</v>
      </c>
      <c r="H3551" s="10"/>
      <c r="I3551" s="10"/>
      <c r="J3551" s="10"/>
      <c r="K3551" s="10"/>
      <c r="L3551" s="10"/>
      <c r="M3551" s="10"/>
      <c r="N3551" s="10"/>
      <c r="O3551" s="10"/>
      <c r="P3551" s="10"/>
      <c r="Q3551" s="10"/>
      <c r="R3551" s="10"/>
      <c r="S3551" s="10"/>
      <c r="T3551" s="10"/>
      <c r="U3551" s="10"/>
      <c r="V3551" s="10"/>
      <c r="W3551" s="10"/>
      <c r="X3551" s="10"/>
      <c r="Y3551" s="10"/>
      <c r="Z3551" s="10"/>
    </row>
    <row r="3552" spans="1:26" ht="12.75">
      <c r="A3552" s="10" t="str">
        <f ca="1">IFERROR(__xludf.DUMMYFUNCTION("""COMPUTED_VALUE"""),"Иван Томов Иванов")</f>
        <v>Иван Томов Иванов</v>
      </c>
      <c r="B3552" s="10" t="str">
        <f ca="1">IFERROR(__xludf.DUMMYFUNCTION("""COMPUTED_VALUE"""),"Книга")</f>
        <v>Книга</v>
      </c>
      <c r="C3552" s="10" t="str">
        <f ca="1">IFERROR(__xludf.DUMMYFUNCTION("""COMPUTED_VALUE"""),"Процедурно програмиране")</f>
        <v>Процедурно програмиране</v>
      </c>
      <c r="D3552" s="10">
        <f ca="1">IFERROR(__xludf.DUMMYFUNCTION("""COMPUTED_VALUE"""),2014)</f>
        <v>2014</v>
      </c>
      <c r="E3552" s="10" t="str">
        <f ca="1">IFERROR(__xludf.DUMMYFUNCTION("""COMPUTED_VALUE"""),"София, “За буквите – О писменех”, ISBN 978-619-185-045-7, 316 стр., 2014 г.")</f>
        <v>София, “За буквите – О писменех”, ISBN 978-619-185-045-7, 316 стр., 2014 г.</v>
      </c>
      <c r="F3552" s="10"/>
      <c r="G3552" s="10" t="str">
        <f ca="1">IFERROR(__xludf.DUMMYFUNCTION("""COMPUTED_VALUE"""),"Петър Стойков")</f>
        <v>Петър Стойков</v>
      </c>
      <c r="H3552" s="10"/>
      <c r="I3552" s="10"/>
      <c r="J3552" s="10"/>
      <c r="K3552" s="10"/>
      <c r="L3552" s="10"/>
      <c r="M3552" s="10"/>
      <c r="N3552" s="10"/>
      <c r="O3552" s="10"/>
      <c r="P3552" s="10"/>
      <c r="Q3552" s="10"/>
      <c r="R3552" s="10"/>
      <c r="S3552" s="10"/>
      <c r="T3552" s="10"/>
      <c r="U3552" s="10"/>
      <c r="V3552" s="10"/>
      <c r="W3552" s="10"/>
      <c r="X3552" s="10"/>
      <c r="Y3552" s="10"/>
      <c r="Z3552" s="10"/>
    </row>
    <row r="3553" spans="1:26" ht="12.75">
      <c r="A3553" s="10" t="str">
        <f ca="1">IFERROR(__xludf.DUMMYFUNCTION("""COMPUTED_VALUE"""),"Иван Томов Иванов")</f>
        <v>Иван Томов Иванов</v>
      </c>
      <c r="B3553" s="10" t="str">
        <f ca="1">IFERROR(__xludf.DUMMYFUNCTION("""COMPUTED_VALUE"""),"Доклад от конференция")</f>
        <v>Доклад от конференция</v>
      </c>
      <c r="C3553" s="10" t="str">
        <f ca="1">IFERROR(__xludf.DUMMYFUNCTION("""COMPUTED_VALUE"""),"Адаптиране на модела за студентско портфолио към съвременната университетска практика")</f>
        <v>Адаптиране на модела за студентско портфолио към съвременната университетска практика</v>
      </c>
      <c r="D3553" s="10">
        <f ca="1">IFERROR(__xludf.DUMMYFUNCTION("""COMPUTED_VALUE"""),2014)</f>
        <v>2014</v>
      </c>
      <c r="E3553" s="10" t="str">
        <f ca="1">IFERROR(__xludf.DUMMYFUNCTION("""COMPUTED_VALUE"""),"Нови информационни технологии в образователния процес. Доклади и съобщения на УниБИТ, гр. Камчия, 15-16 юни 2013 г., София: “За буквите – О писменех”, ISSN: 1313-2768, 2014")</f>
        <v>Нови информационни технологии в образователния процес. Доклади и съобщения на УниБИТ, гр. Камчия, 15-16 юни 2013 г., София: “За буквите – О писменех”, ISSN: 1313-2768, 2014</v>
      </c>
      <c r="F3553" s="10"/>
      <c r="G3553" s="10" t="str">
        <f ca="1">IFERROR(__xludf.DUMMYFUNCTION("""COMPUTED_VALUE"""),"Хаджийска, Й.")</f>
        <v>Хаджийска, Й.</v>
      </c>
      <c r="H3553" s="10"/>
      <c r="I3553" s="10"/>
      <c r="J3553" s="10"/>
      <c r="K3553" s="10"/>
      <c r="L3553" s="10"/>
      <c r="M3553" s="10"/>
      <c r="N3553" s="10"/>
      <c r="O3553" s="10"/>
      <c r="P3553" s="10"/>
      <c r="Q3553" s="10"/>
      <c r="R3553" s="10"/>
      <c r="S3553" s="10"/>
      <c r="T3553" s="10"/>
      <c r="U3553" s="10"/>
      <c r="V3553" s="10"/>
      <c r="W3553" s="10"/>
      <c r="X3553" s="10"/>
      <c r="Y3553" s="10"/>
      <c r="Z3553" s="10"/>
    </row>
    <row r="3554" spans="1:26" ht="12.75">
      <c r="A3554" s="10" t="str">
        <f ca="1">IFERROR(__xludf.DUMMYFUNCTION("""COMPUTED_VALUE"""),"Иван Томов Иванов")</f>
        <v>Иван Томов Иванов</v>
      </c>
      <c r="B3554" s="10" t="str">
        <f ca="1">IFERROR(__xludf.DUMMYFUNCTION("""COMPUTED_VALUE"""),"Книга")</f>
        <v>Книга</v>
      </c>
      <c r="C3554" s="10" t="str">
        <f ca="1">IFERROR(__xludf.DUMMYFUNCTION("""COMPUTED_VALUE"""),"Структури от данни и алгоритми")</f>
        <v>Структури от данни и алгоритми</v>
      </c>
      <c r="D3554" s="10">
        <f ca="1">IFERROR(__xludf.DUMMYFUNCTION("""COMPUTED_VALUE"""),2014)</f>
        <v>2014</v>
      </c>
      <c r="E3554" s="10" t="str">
        <f ca="1">IFERROR(__xludf.DUMMYFUNCTION("""COMPUTED_VALUE"""),"София, “За буквите – О писменех”, ISBN 978-619-185-048-8, 156 стр., 2014 г")</f>
        <v>София, “За буквите – О писменех”, ISBN 978-619-185-048-8, 156 стр., 2014 г</v>
      </c>
      <c r="F3554" s="10"/>
      <c r="G3554" s="10" t="str">
        <f ca="1">IFERROR(__xludf.DUMMYFUNCTION("""COMPUTED_VALUE"""),"Петър Стойков")</f>
        <v>Петър Стойков</v>
      </c>
      <c r="H3554" s="10"/>
      <c r="I3554" s="10"/>
      <c r="J3554" s="10"/>
      <c r="K3554" s="10"/>
      <c r="L3554" s="10"/>
      <c r="M3554" s="10"/>
      <c r="N3554" s="10"/>
      <c r="O3554" s="10"/>
      <c r="P3554" s="10"/>
      <c r="Q3554" s="10"/>
      <c r="R3554" s="10"/>
      <c r="S3554" s="10"/>
      <c r="T3554" s="10"/>
      <c r="U3554" s="10"/>
      <c r="V3554" s="10"/>
      <c r="W3554" s="10"/>
      <c r="X3554" s="10"/>
      <c r="Y3554" s="10"/>
      <c r="Z3554" s="10"/>
    </row>
    <row r="3555" spans="1:26" ht="12.75">
      <c r="A3555" s="10" t="str">
        <f ca="1">IFERROR(__xludf.DUMMYFUNCTION("""COMPUTED_VALUE"""),"Иван Томов Иванов")</f>
        <v>Иван Томов Иванов</v>
      </c>
      <c r="B3555" s="10" t="str">
        <f ca="1">IFERROR(__xludf.DUMMYFUNCTION("""COMPUTED_VALUE"""),"Книга")</f>
        <v>Книга</v>
      </c>
      <c r="C3555" s="10" t="str">
        <f ca="1">IFERROR(__xludf.DUMMYFUNCTION("""COMPUTED_VALUE"""),"Операционни системи")</f>
        <v>Операционни системи</v>
      </c>
      <c r="D3555" s="10">
        <f ca="1">IFERROR(__xludf.DUMMYFUNCTION("""COMPUTED_VALUE"""),2014)</f>
        <v>2014</v>
      </c>
      <c r="E3555" s="10" t="str">
        <f ca="1">IFERROR(__xludf.DUMMYFUNCTION("""COMPUTED_VALUE"""),"София, “За буквите – О писменех”, ISBN 978-619-185-050-1, 270 стр., 2014 г.")</f>
        <v>София, “За буквите – О писменех”, ISBN 978-619-185-050-1, 270 стр., 2014 г.</v>
      </c>
      <c r="F3555" s="10"/>
      <c r="G3555" s="10" t="str">
        <f ca="1">IFERROR(__xludf.DUMMYFUNCTION("""COMPUTED_VALUE"""),"Петър Стойков")</f>
        <v>Петър Стойков</v>
      </c>
      <c r="H3555" s="10"/>
      <c r="I3555" s="10"/>
      <c r="J3555" s="10"/>
      <c r="K3555" s="10"/>
      <c r="L3555" s="10"/>
      <c r="M3555" s="10"/>
      <c r="N3555" s="10"/>
      <c r="O3555" s="10"/>
      <c r="P3555" s="10"/>
      <c r="Q3555" s="10"/>
      <c r="R3555" s="10"/>
      <c r="S3555" s="10"/>
      <c r="T3555" s="10"/>
      <c r="U3555" s="10"/>
      <c r="V3555" s="10"/>
      <c r="W3555" s="10"/>
      <c r="X3555" s="10"/>
      <c r="Y3555" s="10"/>
      <c r="Z3555" s="10"/>
    </row>
    <row r="3556" spans="1:26" ht="12.75">
      <c r="A3556" s="10" t="str">
        <f ca="1">IFERROR(__xludf.DUMMYFUNCTION("""COMPUTED_VALUE"""),"Иван Томов Иванов")</f>
        <v>Иван Томов Иванов</v>
      </c>
      <c r="B3556" s="10" t="str">
        <f ca="1">IFERROR(__xludf.DUMMYFUNCTION("""COMPUTED_VALUE"""),"Книга")</f>
        <v>Книга</v>
      </c>
      <c r="C3556" s="10" t="str">
        <f ca="1">IFERROR(__xludf.DUMMYFUNCTION("""COMPUTED_VALUE"""),"Основи на програмирането")</f>
        <v>Основи на програмирането</v>
      </c>
      <c r="D3556" s="10">
        <f ca="1">IFERROR(__xludf.DUMMYFUNCTION("""COMPUTED_VALUE"""),2014)</f>
        <v>2014</v>
      </c>
      <c r="E3556" s="10" t="str">
        <f ca="1">IFERROR(__xludf.DUMMYFUNCTION("""COMPUTED_VALUE"""),"Стойков П., И. Иванов, “Основи на програмирането“ София, “За буквите – О писменех”, ISBN 978-619-185-044-0, 382 стр., 2014 г.")</f>
        <v>Стойков П., И. Иванов, “Основи на програмирането“ София, “За буквите – О писменех”, ISBN 978-619-185-044-0, 382 стр., 2014 г.</v>
      </c>
      <c r="F3556" s="10"/>
      <c r="G3556" s="10" t="str">
        <f ca="1">IFERROR(__xludf.DUMMYFUNCTION("""COMPUTED_VALUE"""),"Петър Стойков")</f>
        <v>Петър Стойков</v>
      </c>
      <c r="H3556" s="10"/>
      <c r="I3556" s="10"/>
      <c r="J3556" s="10"/>
      <c r="K3556" s="10"/>
      <c r="L3556" s="10"/>
      <c r="M3556" s="10"/>
      <c r="N3556" s="10"/>
      <c r="O3556" s="10"/>
      <c r="P3556" s="10"/>
      <c r="Q3556" s="10"/>
      <c r="R3556" s="10"/>
      <c r="S3556" s="10"/>
      <c r="T3556" s="10"/>
      <c r="U3556" s="10"/>
      <c r="V3556" s="10"/>
      <c r="W3556" s="10"/>
      <c r="X3556" s="10"/>
      <c r="Y3556" s="10"/>
      <c r="Z3556" s="10"/>
    </row>
    <row r="3557" spans="1:26" ht="12.75">
      <c r="A3557" s="10" t="str">
        <f ca="1">IFERROR(__xludf.DUMMYFUNCTION("""COMPUTED_VALUE"""),"Иван Томов Иванов")</f>
        <v>Иван Томов Иванов</v>
      </c>
      <c r="B3557" s="10" t="str">
        <f ca="1">IFERROR(__xludf.DUMMYFUNCTION("""COMPUTED_VALUE"""),"Доклад от конференция")</f>
        <v>Доклад от конференция</v>
      </c>
      <c r="C3557" s="10" t="str">
        <f ca="1">IFERROR(__xludf.DUMMYFUNCTION("""COMPUTED_VALUE"""),"Реализация на е-портфолио чрез Google Apps for Education")</f>
        <v>Реализация на е-портфолио чрез Google Apps for Education</v>
      </c>
      <c r="D3557" s="10">
        <f ca="1">IFERROR(__xludf.DUMMYFUNCTION("""COMPUTED_VALUE"""),2014)</f>
        <v>2014</v>
      </c>
      <c r="E3557" s="10" t="str">
        <f ca="1">IFERROR(__xludf.DUMMYFUNCTION("""COMPUTED_VALUE"""),"ХI Национална научна конференция с международно участие „ ОБЩЕСТВОТО НА ЗНАНИЕТО И ХУМАНИЗМЪТ НА ХХІ ВЕК”, София, 01.11.2013г., “За буквите – О писменех”, ISSN 1314-7099, 2014")</f>
        <v>ХI Национална научна конференция с международно участие „ ОБЩЕСТВОТО НА ЗНАНИЕТО И ХУМАНИЗМЪТ НА ХХІ ВЕК”, София, 01.11.2013г., “За буквите – О писменех”, ISSN 1314-7099, 2014</v>
      </c>
      <c r="F3557" s="10"/>
      <c r="G3557" s="10" t="str">
        <f ca="1">IFERROR(__xludf.DUMMYFUNCTION("""COMPUTED_VALUE"""),"Хаджийска, Й.")</f>
        <v>Хаджийска, Й.</v>
      </c>
      <c r="H3557" s="10"/>
      <c r="I3557" s="10"/>
      <c r="J3557" s="10"/>
      <c r="K3557" s="10"/>
      <c r="L3557" s="10"/>
      <c r="M3557" s="10"/>
      <c r="N3557" s="10"/>
      <c r="O3557" s="10"/>
      <c r="P3557" s="10"/>
      <c r="Q3557" s="10"/>
      <c r="R3557" s="10"/>
      <c r="S3557" s="10"/>
      <c r="T3557" s="10"/>
      <c r="U3557" s="10"/>
      <c r="V3557" s="10"/>
      <c r="W3557" s="10"/>
      <c r="X3557" s="10"/>
      <c r="Y3557" s="10"/>
      <c r="Z3557" s="10"/>
    </row>
    <row r="3558" spans="1:26" ht="12.75">
      <c r="A3558" s="10" t="str">
        <f ca="1">IFERROR(__xludf.DUMMYFUNCTION("""COMPUTED_VALUE"""),"Иван Томов Иванов")</f>
        <v>Иван Томов Иванов</v>
      </c>
      <c r="B3558" s="10" t="str">
        <f ca="1">IFERROR(__xludf.DUMMYFUNCTION("""COMPUTED_VALUE"""),"Книга")</f>
        <v>Книга</v>
      </c>
      <c r="C3558" s="10" t="str">
        <f ca="1">IFERROR(__xludf.DUMMYFUNCTION("""COMPUTED_VALUE"""),"Разработване и управление на софтуерни проекти")</f>
        <v>Разработване и управление на софтуерни проекти</v>
      </c>
      <c r="D3558" s="10">
        <f ca="1">IFERROR(__xludf.DUMMYFUNCTION("""COMPUTED_VALUE"""),2014)</f>
        <v>2014</v>
      </c>
      <c r="E3558" s="10" t="str">
        <f ca="1">IFERROR(__xludf.DUMMYFUNCTION("""COMPUTED_VALUE"""),"София, “За буквите – О писменех”, ISBN 978-619-185-043-3, 286 стр., 2014 г.")</f>
        <v>София, “За буквите – О писменех”, ISBN 978-619-185-043-3, 286 стр., 2014 г.</v>
      </c>
      <c r="F3558" s="10"/>
      <c r="G3558" s="10" t="str">
        <f ca="1">IFERROR(__xludf.DUMMYFUNCTION("""COMPUTED_VALUE"""),"Петър Стойков")</f>
        <v>Петър Стойков</v>
      </c>
      <c r="H3558" s="10"/>
      <c r="I3558" s="10"/>
      <c r="J3558" s="10"/>
      <c r="K3558" s="10"/>
      <c r="L3558" s="10"/>
      <c r="M3558" s="10"/>
      <c r="N3558" s="10"/>
      <c r="O3558" s="10"/>
      <c r="P3558" s="10"/>
      <c r="Q3558" s="10"/>
      <c r="R3558" s="10"/>
      <c r="S3558" s="10"/>
      <c r="T3558" s="10"/>
      <c r="U3558" s="10"/>
      <c r="V3558" s="10"/>
      <c r="W3558" s="10"/>
      <c r="X3558" s="10"/>
      <c r="Y3558" s="10"/>
      <c r="Z3558" s="10"/>
    </row>
    <row r="3559" spans="1:26" ht="12.75">
      <c r="A3559" s="10" t="str">
        <f ca="1">IFERROR(__xludf.DUMMYFUNCTION("""COMPUTED_VALUE"""),"Иван Томов Иванов")</f>
        <v>Иван Томов Иванов</v>
      </c>
      <c r="B3559" s="10" t="str">
        <f ca="1">IFERROR(__xludf.DUMMYFUNCTION("""COMPUTED_VALUE"""),"Доклад от конференция")</f>
        <v>Доклад от конференция</v>
      </c>
      <c r="C3559" s="10" t="str">
        <f ca="1">IFERROR(__xludf.DUMMYFUNCTION("""COMPUTED_VALUE"""),"Фрактални модели в Африканската архитектура")</f>
        <v>Фрактални модели в Африканската архитектура</v>
      </c>
      <c r="D3559" s="10">
        <f ca="1">IFERROR(__xludf.DUMMYFUNCTION("""COMPUTED_VALUE"""),2013)</f>
        <v>2013</v>
      </c>
      <c r="E3559" s="10" t="str">
        <f ca="1">IFERROR(__xludf.DUMMYFUNCTION("""COMPUTED_VALUE"""),"Общество на знанието и хуманизмът на ХХІ век, Десета национална научна конференция с международно участие, София, 01-02 Ноември 2013 г., “За буквите – О писменех“, стр. 448-467, ISBN 1314-7099.")</f>
        <v>Общество на знанието и хуманизмът на ХХІ век, Десета национална научна конференция с международно участие, София, 01-02 Ноември 2013 г., “За буквите – О писменех“, стр. 448-467, ISBN 1314-7099.</v>
      </c>
      <c r="F3559" s="10"/>
      <c r="G3559" s="10" t="str">
        <f ca="1">IFERROR(__xludf.DUMMYFUNCTION("""COMPUTED_VALUE"""),"Гарванов, И., С. Славова, Д. Изворска, З. Маринков")</f>
        <v>Гарванов, И., С. Славова, Д. Изворска, З. Маринков</v>
      </c>
      <c r="H3559" s="10"/>
      <c r="I3559" s="10"/>
      <c r="J3559" s="10"/>
      <c r="K3559" s="10"/>
      <c r="L3559" s="10"/>
      <c r="M3559" s="10"/>
      <c r="N3559" s="10"/>
      <c r="O3559" s="10"/>
      <c r="P3559" s="10"/>
      <c r="Q3559" s="10"/>
      <c r="R3559" s="10"/>
      <c r="S3559" s="10"/>
      <c r="T3559" s="10"/>
      <c r="U3559" s="10"/>
      <c r="V3559" s="10"/>
      <c r="W3559" s="10"/>
      <c r="X3559" s="10"/>
      <c r="Y3559" s="10"/>
      <c r="Z3559" s="10"/>
    </row>
    <row r="3560" spans="1:26" ht="12.75">
      <c r="A3560" s="10" t="str">
        <f ca="1">IFERROR(__xludf.DUMMYFUNCTION("""COMPUTED_VALUE"""),"Иван Томов Иванов")</f>
        <v>Иван Томов Иванов</v>
      </c>
      <c r="B3560" s="10" t="str">
        <f ca="1">IFERROR(__xludf.DUMMYFUNCTION("""COMPUTED_VALUE"""),"Доклад от конференция")</f>
        <v>Доклад от конференция</v>
      </c>
      <c r="C3560" s="10" t="str">
        <f ca="1">IFERROR(__xludf.DUMMYFUNCTION("""COMPUTED_VALUE"""),"Докторантското портфолио – иновационна образователна технология, Нови информационни технологии в образователния процес")</f>
        <v>Докторантското портфолио – иновационна образователна технология, Нови информационни технологии в образователния процес</v>
      </c>
      <c r="D3560" s="10">
        <f ca="1">IFERROR(__xludf.DUMMYFUNCTION("""COMPUTED_VALUE"""),2013)</f>
        <v>2013</v>
      </c>
      <c r="E3560" s="10" t="str">
        <f ca="1">IFERROR(__xludf.DUMMYFUNCTION("""COMPUTED_VALUE"""),"Доклади и съобщения от Седмия научен семинар на УниБИТ, проведен в Охрид, Македония на 29-30 май 2012 г., “За буквите – О писменех”, ISSN: 1313-2768, 2013")</f>
        <v>Доклади и съобщения от Седмия научен семинар на УниБИТ, проведен в Охрид, Македония на 29-30 май 2012 г., “За буквите – О писменех”, ISSN: 1313-2768, 2013</v>
      </c>
      <c r="F3560" s="10"/>
      <c r="G3560" s="10" t="str">
        <f ca="1">IFERROR(__xludf.DUMMYFUNCTION("""COMPUTED_VALUE"""),"Хаджийска, Й., Славова, С.,")</f>
        <v>Хаджийска, Й., Славова, С.,</v>
      </c>
      <c r="H3560" s="10"/>
      <c r="I3560" s="10"/>
      <c r="J3560" s="10"/>
      <c r="K3560" s="10"/>
      <c r="L3560" s="10"/>
      <c r="M3560" s="10"/>
      <c r="N3560" s="10"/>
      <c r="O3560" s="10"/>
      <c r="P3560" s="10"/>
      <c r="Q3560" s="10"/>
      <c r="R3560" s="10"/>
      <c r="S3560" s="10"/>
      <c r="T3560" s="10"/>
      <c r="U3560" s="10"/>
      <c r="V3560" s="10"/>
      <c r="W3560" s="10"/>
      <c r="X3560" s="10"/>
      <c r="Y3560" s="10"/>
      <c r="Z3560" s="10"/>
    </row>
    <row r="3561" spans="1:26" ht="12.75">
      <c r="A3561" s="10" t="str">
        <f ca="1">IFERROR(__xludf.DUMMYFUNCTION("""COMPUTED_VALUE"""),"Иван Томов Иванов")</f>
        <v>Иван Томов Иванов</v>
      </c>
      <c r="B3561" s="10" t="str">
        <f ca="1">IFERROR(__xludf.DUMMYFUNCTION("""COMPUTED_VALUE"""),"Доклад от конференция")</f>
        <v>Доклад от конференция</v>
      </c>
      <c r="C3561" s="10" t="str">
        <f ca="1">IFERROR(__xludf.DUMMYFUNCTION("""COMPUTED_VALUE"""),"Фракталната графика в съвременното изобразително изкуство (Фрактали на Манделброт и жулиа")</f>
        <v>Фракталната графика в съвременното изобразително изкуство (Фрактали на Манделброт и жулиа</v>
      </c>
      <c r="D3561" s="10">
        <f ca="1">IFERROR(__xludf.DUMMYFUNCTION("""COMPUTED_VALUE"""),2013)</f>
        <v>2013</v>
      </c>
      <c r="E3561" s="10" t="str">
        <f ca="1">IFERROR(__xludf.DUMMYFUNCTION("""COMPUTED_VALUE"""),"Нови информационни технологии в образователния процес VII. Доклади и съобщения от Седмия научен семинар на УниБИТ, проведен в Охрид, Македония на 29-31 май 2012 г., “За буквите – О писменех”, ISBN: 1313-2768, стр. 145 -162, 2013.")</f>
        <v>Нови информационни технологии в образователния процес VII. Доклади и съобщения от Седмия научен семинар на УниБИТ, проведен в Охрид, Македония на 29-31 май 2012 г., “За буквите – О писменех”, ISBN: 1313-2768, стр. 145 -162, 2013.</v>
      </c>
      <c r="F3561" s="10"/>
      <c r="G3561" s="10" t="str">
        <f ca="1">IFERROR(__xludf.DUMMYFUNCTION("""COMPUTED_VALUE"""),"И. Гарванов, С. Славова, Д. Бояджиев")</f>
        <v>И. Гарванов, С. Славова, Д. Бояджиев</v>
      </c>
      <c r="H3561" s="10"/>
      <c r="I3561" s="10"/>
      <c r="J3561" s="10"/>
      <c r="K3561" s="10"/>
      <c r="L3561" s="10"/>
      <c r="M3561" s="10"/>
      <c r="N3561" s="10"/>
      <c r="O3561" s="10"/>
      <c r="P3561" s="10"/>
      <c r="Q3561" s="10"/>
      <c r="R3561" s="10"/>
      <c r="S3561" s="10"/>
      <c r="T3561" s="10"/>
      <c r="U3561" s="10"/>
      <c r="V3561" s="10"/>
      <c r="W3561" s="10"/>
      <c r="X3561" s="10"/>
      <c r="Y3561" s="10"/>
      <c r="Z3561" s="10"/>
    </row>
    <row r="3562" spans="1:26" ht="12.75">
      <c r="A3562" s="10" t="str">
        <f ca="1">IFERROR(__xludf.DUMMYFUNCTION("""COMPUTED_VALUE"""),"Иван Томов Иванов")</f>
        <v>Иван Томов Иванов</v>
      </c>
      <c r="B3562" s="10" t="str">
        <f ca="1">IFERROR(__xludf.DUMMYFUNCTION("""COMPUTED_VALUE"""),"Доклад от конференция")</f>
        <v>Доклад от конференция</v>
      </c>
      <c r="C3562" s="10" t="str">
        <f ca="1">IFERROR(__xludf.DUMMYFUNCTION("""COMPUTED_VALUE"""),"Новият информационно-образователен сайт FRACTALMAGICS - принципи на създаване")</f>
        <v>Новият информационно-образователен сайт FRACTALMAGICS - принципи на създаване</v>
      </c>
      <c r="D3562" s="10">
        <f ca="1">IFERROR(__xludf.DUMMYFUNCTION("""COMPUTED_VALUE"""),2012)</f>
        <v>2012</v>
      </c>
      <c r="E3562" s="10" t="str">
        <f ca="1">IFERROR(__xludf.DUMMYFUNCTION("""COMPUTED_VALUE"""),"IX национална научна конференция с международно участие на тема „Обществото на знанието и хуманизмът на XXI век” , София, 01.11.2011г., ISSN 1314-7099, 2012")</f>
        <v>IX национална научна конференция с международно участие на тема „Обществото на знанието и хуманизмът на XXI век” , София, 01.11.2011г., ISSN 1314-7099, 2012</v>
      </c>
      <c r="F3562" s="10"/>
      <c r="G3562" s="10" t="str">
        <f ca="1">IFERROR(__xludf.DUMMYFUNCTION("""COMPUTED_VALUE"""),"Хаджийска, Й., Славова, С.")</f>
        <v>Хаджийска, Й., Славова, С.</v>
      </c>
      <c r="H3562" s="10"/>
      <c r="I3562" s="10"/>
      <c r="J3562" s="10"/>
      <c r="K3562" s="10"/>
      <c r="L3562" s="10"/>
      <c r="M3562" s="10"/>
      <c r="N3562" s="10"/>
      <c r="O3562" s="10"/>
      <c r="P3562" s="10"/>
      <c r="Q3562" s="10"/>
      <c r="R3562" s="10"/>
      <c r="S3562" s="10"/>
      <c r="T3562" s="10"/>
      <c r="U3562" s="10"/>
      <c r="V3562" s="10"/>
      <c r="W3562" s="10"/>
      <c r="X3562" s="10"/>
      <c r="Y3562" s="10"/>
      <c r="Z3562" s="10"/>
    </row>
    <row r="3563" spans="1:26" ht="12.75">
      <c r="A3563" s="10" t="str">
        <f ca="1">IFERROR(__xludf.DUMMYFUNCTION("""COMPUTED_VALUE"""),"Иван Томов Иванов")</f>
        <v>Иван Томов Иванов</v>
      </c>
      <c r="B3563" s="10" t="str">
        <f ca="1">IFERROR(__xludf.DUMMYFUNCTION("""COMPUTED_VALUE"""),"Учебник")</f>
        <v>Учебник</v>
      </c>
      <c r="C3563" s="10" t="str">
        <f ca="1">IFERROR(__xludf.DUMMYFUNCTION("""COMPUTED_VALUE"""),"Програмиране на C# : Част 2. Въведение в класове, обекти и методи. Масиви и низове. Колекции. По-подробно за методи и класове")</f>
        <v>Програмиране на C# : Част 2. Въведение в класове, обекти и методи. Масиви и низове. Колекции. По-подробно за методи и класове</v>
      </c>
      <c r="D3563" s="10">
        <f ca="1">IFERROR(__xludf.DUMMYFUNCTION("""COMPUTED_VALUE"""),2011)</f>
        <v>2011</v>
      </c>
      <c r="E3563" s="10" t="str">
        <f ca="1">IFERROR(__xludf.DUMMYFUNCTION("""COMPUTED_VALUE"""),"София : Фараго, 2011. – 128 с. ISBN 978-954-8641-94-4")</f>
        <v>София : Фараго, 2011. – 128 с. ISBN 978-954-8641-94-4</v>
      </c>
      <c r="F3563" s="10"/>
      <c r="G3563" s="10" t="str">
        <f ca="1">IFERROR(__xludf.DUMMYFUNCTION("""COMPUTED_VALUE"""),"Петър Стойков")</f>
        <v>Петър Стойков</v>
      </c>
      <c r="H3563" s="10"/>
      <c r="I3563" s="10"/>
      <c r="J3563" s="10"/>
      <c r="K3563" s="10"/>
      <c r="L3563" s="10"/>
      <c r="M3563" s="10"/>
      <c r="N3563" s="10"/>
      <c r="O3563" s="10"/>
      <c r="P3563" s="10"/>
      <c r="Q3563" s="10"/>
      <c r="R3563" s="10"/>
      <c r="S3563" s="10"/>
      <c r="T3563" s="10"/>
      <c r="U3563" s="10"/>
      <c r="V3563" s="10"/>
      <c r="W3563" s="10"/>
      <c r="X3563" s="10"/>
      <c r="Y3563" s="10"/>
      <c r="Z3563" s="10"/>
    </row>
    <row r="3564" spans="1:26" ht="12.75">
      <c r="A3564" s="10" t="str">
        <f ca="1">IFERROR(__xludf.DUMMYFUNCTION("""COMPUTED_VALUE"""),"Иван Томов Иванов")</f>
        <v>Иван Томов Иванов</v>
      </c>
      <c r="B3564" s="10" t="str">
        <f ca="1">IFERROR(__xludf.DUMMYFUNCTION("""COMPUTED_VALUE"""),"Доклад от конференция")</f>
        <v>Доклад от конференция</v>
      </c>
      <c r="C3564" s="10" t="str">
        <f ca="1">IFERROR(__xludf.DUMMYFUNCTION("""COMPUTED_VALUE"""),"Фракталната музика – ярък израз на триадата „музика – компютърни технологии – математика”. [051_Фракталната музика.pdf]")</f>
        <v>Фракталната музика – ярък израз на триадата „музика – компютърни технологии – математика”. [051_Фракталната музика.pdf]</v>
      </c>
      <c r="D3564" s="10">
        <f ca="1">IFERROR(__xludf.DUMMYFUNCTION("""COMPUTED_VALUE"""),2011)</f>
        <v>2011</v>
      </c>
      <c r="E3564" s="10" t="str">
        <f ca="1">IFERROR(__xludf.DUMMYFUNCTION("""COMPUTED_VALUE"""),"Нови информационни технологии в образователния процес. Доклади и съобщения от Петия научен семинар на УниБИТ, проведен в Костенец на 24-27 март 2011 г. - София : “За буквите – О писменехь”, 2011. 11 с. ISSN 1313-2768")</f>
        <v>Нови информационни технологии в образователния процес. Доклади и съобщения от Петия научен семинар на УниБИТ, проведен в Костенец на 24-27 март 2011 г. - София : “За буквите – О писменехь”, 2011. 11 с. ISSN 1313-2768</v>
      </c>
      <c r="F3564" s="10"/>
      <c r="G3564" s="10" t="str">
        <f ca="1">IFERROR(__xludf.DUMMYFUNCTION("""COMPUTED_VALUE"""),"Славка К. Славова, Божанка Байчева")</f>
        <v>Славка К. Славова, Божанка Байчева</v>
      </c>
      <c r="H3564" s="10"/>
      <c r="I3564" s="10"/>
      <c r="J3564" s="10"/>
      <c r="K3564" s="10"/>
      <c r="L3564" s="10"/>
      <c r="M3564" s="10"/>
      <c r="N3564" s="10"/>
      <c r="O3564" s="10"/>
      <c r="P3564" s="10"/>
      <c r="Q3564" s="10"/>
      <c r="R3564" s="10"/>
      <c r="S3564" s="10"/>
      <c r="T3564" s="10"/>
      <c r="U3564" s="10"/>
      <c r="V3564" s="10"/>
      <c r="W3564" s="10"/>
      <c r="X3564" s="10"/>
      <c r="Y3564" s="10"/>
      <c r="Z3564" s="10"/>
    </row>
    <row r="3565" spans="1:26" ht="12.75">
      <c r="A3565" s="10" t="str">
        <f ca="1">IFERROR(__xludf.DUMMYFUNCTION("""COMPUTED_VALUE"""),"Иван Томов Иванов")</f>
        <v>Иван Томов Иванов</v>
      </c>
      <c r="B3565" s="10" t="str">
        <f ca="1">IFERROR(__xludf.DUMMYFUNCTION("""COMPUTED_VALUE"""),"Доклад от конференция")</f>
        <v>Доклад от конференция</v>
      </c>
      <c r="C3565" s="10" t="str">
        <f ca="1">IFERROR(__xludf.DUMMYFUNCTION("""COMPUTED_VALUE"""),"Компютърно генериране на фрактални модели в архитектурата. [052_Фрактали в архитектурата.pdf]")</f>
        <v>Компютърно генериране на фрактални модели в архитектурата. [052_Фрактали в архитектурата.pdf]</v>
      </c>
      <c r="D3565" s="10">
        <f ca="1">IFERROR(__xludf.DUMMYFUNCTION("""COMPUTED_VALUE"""),2011)</f>
        <v>2011</v>
      </c>
      <c r="E3565" s="10" t="str">
        <f ca="1">IFERROR(__xludf.DUMMYFUNCTION("""COMPUTED_VALUE"""),"Нови информационни технологии в образователния процес. Доклади и съобщения от Петия научен семинар на УниБИТ, проведен в Костенец на 24-27 март 2011 г. - София : “За буквите – О писменехь”, 2011. 10 с. ISSN 1313-2768")</f>
        <v>Нови информационни технологии в образователния процес. Доклади и съобщения от Петия научен семинар на УниБИТ, проведен в Костенец на 24-27 март 2011 г. - София : “За буквите – О писменехь”, 2011. 10 с. ISSN 1313-2768</v>
      </c>
      <c r="F3565" s="10"/>
      <c r="G3565" s="10" t="str">
        <f ca="1">IFERROR(__xludf.DUMMYFUNCTION("""COMPUTED_VALUE"""),"Славка К. Славова, Ивелин Г. Иванов")</f>
        <v>Славка К. Славова, Ивелин Г. Иванов</v>
      </c>
      <c r="H3565" s="10"/>
      <c r="I3565" s="10"/>
      <c r="J3565" s="10"/>
      <c r="K3565" s="10"/>
      <c r="L3565" s="10"/>
      <c r="M3565" s="10"/>
      <c r="N3565" s="10"/>
      <c r="O3565" s="10"/>
      <c r="P3565" s="10"/>
      <c r="Q3565" s="10"/>
      <c r="R3565" s="10"/>
      <c r="S3565" s="10"/>
      <c r="T3565" s="10"/>
      <c r="U3565" s="10"/>
      <c r="V3565" s="10"/>
      <c r="W3565" s="10"/>
      <c r="X3565" s="10"/>
      <c r="Y3565" s="10"/>
      <c r="Z3565" s="10"/>
    </row>
    <row r="3566" spans="1:26" ht="12.75">
      <c r="A3566" s="10" t="str">
        <f ca="1">IFERROR(__xludf.DUMMYFUNCTION("""COMPUTED_VALUE"""),"Иван Томов Иванов")</f>
        <v>Иван Томов Иванов</v>
      </c>
      <c r="B3566" s="10" t="str">
        <f ca="1">IFERROR(__xludf.DUMMYFUNCTION("""COMPUTED_VALUE"""),"Книга")</f>
        <v>Книга</v>
      </c>
      <c r="C3566" s="10" t="str">
        <f ca="1">IFERROR(__xludf.DUMMYFUNCTION("""COMPUTED_VALUE"""),"Операционни системи, Част 2")</f>
        <v>Операционни системи, Част 2</v>
      </c>
      <c r="D3566" s="10">
        <f ca="1">IFERROR(__xludf.DUMMYFUNCTION("""COMPUTED_VALUE"""),2011)</f>
        <v>2011</v>
      </c>
      <c r="E3566" s="10" t="str">
        <f ca="1">IFERROR(__xludf.DUMMYFUNCTION("""COMPUTED_VALUE"""),"„Фараго“, ISBN 978-954-2961-02-4; 148 стр. Второ издание")</f>
        <v>„Фараго“, ISBN 978-954-2961-02-4; 148 стр. Второ издание</v>
      </c>
      <c r="F3566" s="10"/>
      <c r="G3566" s="10" t="str">
        <f ca="1">IFERROR(__xludf.DUMMYFUNCTION("""COMPUTED_VALUE"""),"Петър Стойков")</f>
        <v>Петър Стойков</v>
      </c>
      <c r="H3566" s="10"/>
      <c r="I3566" s="10"/>
      <c r="J3566" s="10"/>
      <c r="K3566" s="10"/>
      <c r="L3566" s="10"/>
      <c r="M3566" s="10"/>
      <c r="N3566" s="10"/>
      <c r="O3566" s="10"/>
      <c r="P3566" s="10"/>
      <c r="Q3566" s="10"/>
      <c r="R3566" s="10"/>
      <c r="S3566" s="10"/>
      <c r="T3566" s="10"/>
      <c r="U3566" s="10"/>
      <c r="V3566" s="10"/>
      <c r="W3566" s="10"/>
      <c r="X3566" s="10"/>
      <c r="Y3566" s="10"/>
      <c r="Z3566" s="10"/>
    </row>
    <row r="3567" spans="1:26" ht="12.75">
      <c r="A3567" s="10" t="str">
        <f ca="1">IFERROR(__xludf.DUMMYFUNCTION("""COMPUTED_VALUE"""),"Иван Томов Иванов")</f>
        <v>Иван Томов Иванов</v>
      </c>
      <c r="B3567" s="10" t="str">
        <f ca="1">IFERROR(__xludf.DUMMYFUNCTION("""COMPUTED_VALUE"""),"Доклад от конференция")</f>
        <v>Доклад от конференция</v>
      </c>
      <c r="C3567" s="10" t="str">
        <f ca="1">IFERROR(__xludf.DUMMYFUNCTION("""COMPUTED_VALUE"""),"Компютърно моделиране с L-системи (Генериране на дървета и растения). [048_Компютърно моделиране с L-системи.pdf]")</f>
        <v>Компютърно моделиране с L-системи (Генериране на дървета и растения). [048_Компютърно моделиране с L-системи.pdf]</v>
      </c>
      <c r="D3567" s="10">
        <f ca="1">IFERROR(__xludf.DUMMYFUNCTION("""COMPUTED_VALUE"""),2010)</f>
        <v>2010</v>
      </c>
      <c r="E3567" s="10" t="str">
        <f ca="1">IFERROR(__xludf.DUMMYFUNCTION("""COMPUTED_VALUE"""),"Нови информационни технологии в образователния процес. Доклади и съобщения от Петия научен семинар на УниБИТ, проведен в Кюстендил на 2-4 юни 2010 г. – “За буквите – О писменехь”. - София, 2010. стр. 155-171 ISSN 1313-2768")</f>
        <v>Нови информационни технологии в образователния процес. Доклади и съобщения от Петия научен семинар на УниБИТ, проведен в Кюстендил на 2-4 юни 2010 г. – “За буквите – О писменехь”. - София, 2010. стр. 155-171 ISSN 1313-2768</v>
      </c>
      <c r="F3567" s="10"/>
      <c r="G3567" s="10" t="str">
        <f ca="1">IFERROR(__xludf.DUMMYFUNCTION("""COMPUTED_VALUE"""),"С. Славова, Д. Бояджиев")</f>
        <v>С. Славова, Д. Бояджиев</v>
      </c>
      <c r="H3567" s="10"/>
      <c r="I3567" s="10"/>
      <c r="J3567" s="10"/>
      <c r="K3567" s="10"/>
      <c r="L3567" s="10"/>
      <c r="M3567" s="10"/>
      <c r="N3567" s="10"/>
      <c r="O3567" s="10"/>
      <c r="P3567" s="10"/>
      <c r="Q3567" s="10"/>
      <c r="R3567" s="10"/>
      <c r="S3567" s="10"/>
      <c r="T3567" s="10"/>
      <c r="U3567" s="10"/>
      <c r="V3567" s="10"/>
      <c r="W3567" s="10"/>
      <c r="X3567" s="10"/>
      <c r="Y3567" s="10"/>
      <c r="Z3567" s="10"/>
    </row>
    <row r="3568" spans="1:26" ht="12.75">
      <c r="A3568" s="10" t="str">
        <f ca="1">IFERROR(__xludf.DUMMYFUNCTION("""COMPUTED_VALUE"""),"Иван Томов Иванов")</f>
        <v>Иван Томов Иванов</v>
      </c>
      <c r="B3568" s="10" t="str">
        <f ca="1">IFERROR(__xludf.DUMMYFUNCTION("""COMPUTED_VALUE"""),"Учебник")</f>
        <v>Учебник</v>
      </c>
      <c r="C3568" s="10" t="str">
        <f ca="1">IFERROR(__xludf.DUMMYFUNCTION("""COMPUTED_VALUE"""),"Компютърната лингвистика като елемент на изкуствения интелект")</f>
        <v>Компютърната лингвистика като елемент на изкуствения интелект</v>
      </c>
      <c r="D3568" s="10">
        <f ca="1">IFERROR(__xludf.DUMMYFUNCTION("""COMPUTED_VALUE"""),2010)</f>
        <v>2010</v>
      </c>
      <c r="E3568" s="10" t="str">
        <f ca="1">IFERROR(__xludf.DUMMYFUNCTION("""COMPUTED_VALUE"""),"София : Фараго, 2010. - 136 с. ISBN 978-954-8641-83-8")</f>
        <v>София : Фараго, 2010. - 136 с. ISBN 978-954-8641-83-8</v>
      </c>
      <c r="F3568" s="10"/>
      <c r="G3568" s="10" t="str">
        <f ca="1">IFERROR(__xludf.DUMMYFUNCTION("""COMPUTED_VALUE"""),"Й. Захариева, П. Стойков")</f>
        <v>Й. Захариева, П. Стойков</v>
      </c>
      <c r="H3568" s="10"/>
      <c r="I3568" s="10"/>
      <c r="J3568" s="10"/>
      <c r="K3568" s="10"/>
      <c r="L3568" s="10"/>
      <c r="M3568" s="10"/>
      <c r="N3568" s="10"/>
      <c r="O3568" s="10"/>
      <c r="P3568" s="10"/>
      <c r="Q3568" s="10"/>
      <c r="R3568" s="10"/>
      <c r="S3568" s="10"/>
      <c r="T3568" s="10"/>
      <c r="U3568" s="10"/>
      <c r="V3568" s="10"/>
      <c r="W3568" s="10"/>
      <c r="X3568" s="10"/>
      <c r="Y3568" s="10"/>
      <c r="Z3568" s="10"/>
    </row>
    <row r="3569" spans="1:26" ht="12.75">
      <c r="A3569" s="10" t="str">
        <f ca="1">IFERROR(__xludf.DUMMYFUNCTION("""COMPUTED_VALUE"""),"Иван Томов Иванов")</f>
        <v>Иван Томов Иванов</v>
      </c>
      <c r="B3569" s="10" t="str">
        <f ca="1">IFERROR(__xludf.DUMMYFUNCTION("""COMPUTED_VALUE"""),"Учебник")</f>
        <v>Учебник</v>
      </c>
      <c r="C3569" s="10" t="str">
        <f ca="1">IFERROR(__xludf.DUMMYFUNCTION("""COMPUTED_VALUE"""),"Приложение на MS Project за управление на издателската дейност. Стъпка по стъпка в MS Project")</f>
        <v>Приложение на MS Project за управление на издателската дейност. Стъпка по стъпка в MS Project</v>
      </c>
      <c r="D3569" s="10">
        <f ca="1">IFERROR(__xludf.DUMMYFUNCTION("""COMPUTED_VALUE"""),2010)</f>
        <v>2010</v>
      </c>
      <c r="E3569" s="10" t="str">
        <f ca="1">IFERROR(__xludf.DUMMYFUNCTION("""COMPUTED_VALUE"""),"София : Фараго, 2010. - 128 с. SBN 978-954-8641-48-7")</f>
        <v>София : Фараго, 2010. - 128 с. SBN 978-954-8641-48-7</v>
      </c>
      <c r="F3569" s="10"/>
      <c r="G3569" s="10"/>
      <c r="H3569" s="10"/>
      <c r="I3569" s="10"/>
      <c r="J3569" s="10"/>
      <c r="K3569" s="10"/>
      <c r="L3569" s="10"/>
      <c r="M3569" s="10"/>
      <c r="N3569" s="10"/>
      <c r="O3569" s="10"/>
      <c r="P3569" s="10"/>
      <c r="Q3569" s="10"/>
      <c r="R3569" s="10"/>
      <c r="S3569" s="10"/>
      <c r="T3569" s="10"/>
      <c r="U3569" s="10"/>
      <c r="V3569" s="10"/>
      <c r="W3569" s="10"/>
      <c r="X3569" s="10"/>
      <c r="Y3569" s="10"/>
      <c r="Z3569" s="10"/>
    </row>
    <row r="3570" spans="1:26" ht="12.75">
      <c r="A3570" s="10" t="str">
        <f ca="1">IFERROR(__xludf.DUMMYFUNCTION("""COMPUTED_VALUE"""),"Иван Томов Иванов")</f>
        <v>Иван Томов Иванов</v>
      </c>
      <c r="B3570" s="10" t="str">
        <f ca="1">IFERROR(__xludf.DUMMYFUNCTION("""COMPUTED_VALUE"""),"Доклад от конференция")</f>
        <v>Доклад от конференция</v>
      </c>
      <c r="C3570" s="10" t="str">
        <f ca="1">IFERROR(__xludf.DUMMYFUNCTION("""COMPUTED_VALUE"""),"Специализирани генератори на IFS – фрактали. [049_Специализирани генератори на IFS – фрактали. pdf]")</f>
        <v>Специализирани генератори на IFS – фрактали. [049_Специализирани генератори на IFS – фрактали. pdf]</v>
      </c>
      <c r="D3570" s="10">
        <f ca="1">IFERROR(__xludf.DUMMYFUNCTION("""COMPUTED_VALUE"""),2010)</f>
        <v>2010</v>
      </c>
      <c r="E3570" s="10" t="str">
        <f ca="1">IFERROR(__xludf.DUMMYFUNCTION("""COMPUTED_VALUE"""),"Нови информационни технологии в образователния процес. Доклади и съобщения от Петия научен семинар на УниБИТ, проведен в Кюстендил на 2-4 юни 2010 г. – “За буквите – О писменехь”. - София, 2010. стр. 226-243 ISSN 1313-2768")</f>
        <v>Нови информационни технологии в образователния процес. Доклади и съобщения от Петия научен семинар на УниБИТ, проведен в Кюстендил на 2-4 юни 2010 г. – “За буквите – О писменехь”. - София, 2010. стр. 226-243 ISSN 1313-2768</v>
      </c>
      <c r="F3570" s="10"/>
      <c r="G3570" s="10" t="str">
        <f ca="1">IFERROR(__xludf.DUMMYFUNCTION("""COMPUTED_VALUE"""),"С. Славова, Г. Панайотова, Д. Бояджиев")</f>
        <v>С. Славова, Г. Панайотова, Д. Бояджиев</v>
      </c>
      <c r="H3570" s="10"/>
      <c r="I3570" s="10"/>
      <c r="J3570" s="10"/>
      <c r="K3570" s="10"/>
      <c r="L3570" s="10"/>
      <c r="M3570" s="10"/>
      <c r="N3570" s="10"/>
      <c r="O3570" s="10"/>
      <c r="P3570" s="10"/>
      <c r="Q3570" s="10"/>
      <c r="R3570" s="10"/>
      <c r="S3570" s="10"/>
      <c r="T3570" s="10"/>
      <c r="U3570" s="10"/>
      <c r="V3570" s="10"/>
      <c r="W3570" s="10"/>
      <c r="X3570" s="10"/>
      <c r="Y3570" s="10"/>
      <c r="Z3570" s="10"/>
    </row>
    <row r="3571" spans="1:26" ht="12.75">
      <c r="A3571" s="10" t="str">
        <f ca="1">IFERROR(__xludf.DUMMYFUNCTION("""COMPUTED_VALUE"""),"Иван Томов Иванов")</f>
        <v>Иван Томов Иванов</v>
      </c>
      <c r="B3571" s="10" t="str">
        <f ca="1">IFERROR(__xludf.DUMMYFUNCTION("""COMPUTED_VALUE"""),"Учебник")</f>
        <v>Учебник</v>
      </c>
      <c r="C3571" s="10" t="str">
        <f ca="1">IFERROR(__xludf.DUMMYFUNCTION("""COMPUTED_VALUE"""),"Компютърни науки : Част 1. Компютърни архитектури")</f>
        <v>Компютърни науки : Част 1. Компютърни архитектури</v>
      </c>
      <c r="D3571" s="10">
        <f ca="1">IFERROR(__xludf.DUMMYFUNCTION("""COMPUTED_VALUE"""),2010)</f>
        <v>2010</v>
      </c>
      <c r="E3571" s="10" t="str">
        <f ca="1">IFERROR(__xludf.DUMMYFUNCTION("""COMPUTED_VALUE"""),"София : Фараго, 2010. - 128 с. ISBN 978-954-8641-72-2")</f>
        <v>София : Фараго, 2010. - 128 с. ISBN 978-954-8641-72-2</v>
      </c>
      <c r="F3571" s="10"/>
      <c r="G3571" s="10" t="str">
        <f ca="1">IFERROR(__xludf.DUMMYFUNCTION("""COMPUTED_VALUE"""),"Петър Стойков")</f>
        <v>Петър Стойков</v>
      </c>
      <c r="H3571" s="10"/>
      <c r="I3571" s="10"/>
      <c r="J3571" s="10"/>
      <c r="K3571" s="10"/>
      <c r="L3571" s="10"/>
      <c r="M3571" s="10"/>
      <c r="N3571" s="10"/>
      <c r="O3571" s="10"/>
      <c r="P3571" s="10"/>
      <c r="Q3571" s="10"/>
      <c r="R3571" s="10"/>
      <c r="S3571" s="10"/>
      <c r="T3571" s="10"/>
      <c r="U3571" s="10"/>
      <c r="V3571" s="10"/>
      <c r="W3571" s="10"/>
      <c r="X3571" s="10"/>
      <c r="Y3571" s="10"/>
      <c r="Z3571" s="10"/>
    </row>
    <row r="3572" spans="1:26" ht="12.75">
      <c r="A3572" s="10" t="str">
        <f ca="1">IFERROR(__xludf.DUMMYFUNCTION("""COMPUTED_VALUE"""),"Иван Томов Иванов")</f>
        <v>Иван Томов Иванов</v>
      </c>
      <c r="B3572" s="10" t="str">
        <f ca="1">IFERROR(__xludf.DUMMYFUNCTION("""COMPUTED_VALUE"""),"Учебник")</f>
        <v>Учебник</v>
      </c>
      <c r="C3572" s="10" t="str">
        <f ca="1">IFERROR(__xludf.DUMMYFUNCTION("""COMPUTED_VALUE"""),"Програмиране на C# : Част 1. Обектно-ориентиран подход. Променливи. Оператори. Управление на потоци. Масиви и колекции")</f>
        <v>Програмиране на C# : Част 1. Обектно-ориентиран подход. Променливи. Оператори. Управление на потоци. Масиви и колекции</v>
      </c>
      <c r="D3572" s="10">
        <f ca="1">IFERROR(__xludf.DUMMYFUNCTION("""COMPUTED_VALUE"""),2010)</f>
        <v>2010</v>
      </c>
      <c r="E3572" s="10" t="str">
        <f ca="1">IFERROR(__xludf.DUMMYFUNCTION("""COMPUTED_VALUE"""),"София : Фараго, 2010. – 128 с. ISBN 978-954-8641-85-2")</f>
        <v>София : Фараго, 2010. – 128 с. ISBN 978-954-8641-85-2</v>
      </c>
      <c r="F3572" s="10"/>
      <c r="G3572" s="10" t="str">
        <f ca="1">IFERROR(__xludf.DUMMYFUNCTION("""COMPUTED_VALUE"""),"Петър Стойков")</f>
        <v>Петър Стойков</v>
      </c>
      <c r="H3572" s="10"/>
      <c r="I3572" s="10"/>
      <c r="J3572" s="10"/>
      <c r="K3572" s="10"/>
      <c r="L3572" s="10"/>
      <c r="M3572" s="10"/>
      <c r="N3572" s="10"/>
      <c r="O3572" s="10"/>
      <c r="P3572" s="10"/>
      <c r="Q3572" s="10"/>
      <c r="R3572" s="10"/>
      <c r="S3572" s="10"/>
      <c r="T3572" s="10"/>
      <c r="U3572" s="10"/>
      <c r="V3572" s="10"/>
      <c r="W3572" s="10"/>
      <c r="X3572" s="10"/>
      <c r="Y3572" s="10"/>
      <c r="Z3572" s="10"/>
    </row>
    <row r="3573" spans="1:26" ht="12.75">
      <c r="A3573" s="10" t="str">
        <f ca="1">IFERROR(__xludf.DUMMYFUNCTION("""COMPUTED_VALUE"""),"Иван Томов Иванов")</f>
        <v>Иван Томов Иванов</v>
      </c>
      <c r="B3573" s="10" t="str">
        <f ca="1">IFERROR(__xludf.DUMMYFUNCTION("""COMPUTED_VALUE"""),"Доклад от конференция")</f>
        <v>Доклад от конференция</v>
      </c>
      <c r="C3573" s="10" t="str">
        <f ca="1">IFERROR(__xludf.DUMMYFUNCTION("""COMPUTED_VALUE"""),"Комуникационна среда за мобилно електронно обучение [045_Комуникационна среда за мобилно електронно обучение. pdf]")</f>
        <v>Комуникационна среда за мобилно електронно обучение [045_Комуникационна среда за мобилно електронно обучение. pdf]</v>
      </c>
      <c r="D3573" s="10">
        <f ca="1">IFERROR(__xludf.DUMMYFUNCTION("""COMPUTED_VALUE"""),2009)</f>
        <v>2009</v>
      </c>
      <c r="E3573" s="10" t="str">
        <f ca="1">IFERROR(__xludf.DUMMYFUNCTION("""COMPUTED_VALUE"""),"Национална конференция с международно участие. ТЕЛЕКОМ 2009, 8 - 9 октомври 2009 г. Варна. стр. 92-99 ISBN 978-954-397-014-8 (2009)")</f>
        <v>Национална конференция с международно участие. ТЕЛЕКОМ 2009, 8 - 9 октомври 2009 г. Варна. стр. 92-99 ISBN 978-954-397-014-8 (2009)</v>
      </c>
      <c r="F3573" s="10"/>
      <c r="G3573" s="10" t="str">
        <f ca="1">IFERROR(__xludf.DUMMYFUNCTION("""COMPUTED_VALUE"""),"Стефанов Д., П. Стойков")</f>
        <v>Стефанов Д., П. Стойков</v>
      </c>
      <c r="H3573" s="10"/>
      <c r="I3573" s="10"/>
      <c r="J3573" s="10"/>
      <c r="K3573" s="10"/>
      <c r="L3573" s="10"/>
      <c r="M3573" s="10"/>
      <c r="N3573" s="10"/>
      <c r="O3573" s="10"/>
      <c r="P3573" s="10"/>
      <c r="Q3573" s="10"/>
      <c r="R3573" s="10"/>
      <c r="S3573" s="10"/>
      <c r="T3573" s="10"/>
      <c r="U3573" s="10"/>
      <c r="V3573" s="10"/>
      <c r="W3573" s="10"/>
      <c r="X3573" s="10"/>
      <c r="Y3573" s="10"/>
      <c r="Z3573" s="10"/>
    </row>
    <row r="3574" spans="1:26" ht="12.75">
      <c r="A3574" s="10" t="str">
        <f ca="1">IFERROR(__xludf.DUMMYFUNCTION("""COMPUTED_VALUE"""),"Иван Томов Иванов")</f>
        <v>Иван Томов Иванов</v>
      </c>
      <c r="B3574" s="10"/>
      <c r="C3574" s="10" t="str">
        <f ca="1">IFERROR(__xludf.DUMMYFUNCTION("""COMPUTED_VALUE"""),"Операционни системи : Част 2. Управление на входно-изходните устройства. Мултимедийни операционни системи. Unix. Linux. Windows")</f>
        <v>Операционни системи : Част 2. Управление на входно-изходните устройства. Мултимедийни операционни системи. Unix. Linux. Windows</v>
      </c>
      <c r="D3574" s="10">
        <f ca="1">IFERROR(__xludf.DUMMYFUNCTION("""COMPUTED_VALUE"""),2009)</f>
        <v>2009</v>
      </c>
      <c r="E3574" s="10" t="str">
        <f ca="1">IFERROR(__xludf.DUMMYFUNCTION("""COMPUTED_VALUE"""),"София : Фараго, 2009. - 136 с. ISBN 978-954-8641-58-6")</f>
        <v>София : Фараго, 2009. - 136 с. ISBN 978-954-8641-58-6</v>
      </c>
      <c r="F3574" s="10"/>
      <c r="G3574" s="10" t="str">
        <f ca="1">IFERROR(__xludf.DUMMYFUNCTION("""COMPUTED_VALUE"""),"Петър Стойков")</f>
        <v>Петър Стойков</v>
      </c>
      <c r="H3574" s="10"/>
      <c r="I3574" s="10"/>
      <c r="J3574" s="10"/>
      <c r="K3574" s="10"/>
      <c r="L3574" s="10"/>
      <c r="M3574" s="10"/>
      <c r="N3574" s="10"/>
      <c r="O3574" s="10"/>
      <c r="P3574" s="10"/>
      <c r="Q3574" s="10"/>
      <c r="R3574" s="10"/>
      <c r="S3574" s="10"/>
      <c r="T3574" s="10"/>
      <c r="U3574" s="10"/>
      <c r="V3574" s="10"/>
      <c r="W3574" s="10"/>
      <c r="X3574" s="10"/>
      <c r="Y3574" s="10"/>
      <c r="Z3574" s="10"/>
    </row>
    <row r="3575" spans="1:26" ht="12.75">
      <c r="A3575" s="10" t="str">
        <f ca="1">IFERROR(__xludf.DUMMYFUNCTION("""COMPUTED_VALUE"""),"Иван Томов Иванов")</f>
        <v>Иван Томов Иванов</v>
      </c>
      <c r="B3575" s="10" t="str">
        <f ca="1">IFERROR(__xludf.DUMMYFUNCTION("""COMPUTED_VALUE"""),"Учебник")</f>
        <v>Учебник</v>
      </c>
      <c r="C3575" s="10" t="str">
        <f ca="1">IFERROR(__xludf.DUMMYFUNCTION("""COMPUTED_VALUE"""),"Практическо ръководство по програмиране с използване на С++ : Част 4. Низове. Структури и обединения. Указатели. Масиви и указатели. Низове и указатели. Структури и указатели.")</f>
        <v>Практическо ръководство по програмиране с използване на С++ : Част 4. Низове. Структури и обединения. Указатели. Масиви и указатели. Низове и указатели. Структури и указатели.</v>
      </c>
      <c r="D3575" s="10">
        <f ca="1">IFERROR(__xludf.DUMMYFUNCTION("""COMPUTED_VALUE"""),2008)</f>
        <v>2008</v>
      </c>
      <c r="E3575" s="10" t="str">
        <f ca="1">IFERROR(__xludf.DUMMYFUNCTION("""COMPUTED_VALUE"""),"София : Фараго, 2008. - 140 с. ISBN 978-954-8641-29-6")</f>
        <v>София : Фараго, 2008. - 140 с. ISBN 978-954-8641-29-6</v>
      </c>
      <c r="F3575" s="10"/>
      <c r="G3575" s="10" t="str">
        <f ca="1">IFERROR(__xludf.DUMMYFUNCTION("""COMPUTED_VALUE"""),"Петър Стойков")</f>
        <v>Петър Стойков</v>
      </c>
      <c r="H3575" s="10"/>
      <c r="I3575" s="10"/>
      <c r="J3575" s="10"/>
      <c r="K3575" s="10"/>
      <c r="L3575" s="10"/>
      <c r="M3575" s="10"/>
      <c r="N3575" s="10"/>
      <c r="O3575" s="10"/>
      <c r="P3575" s="10"/>
      <c r="Q3575" s="10"/>
      <c r="R3575" s="10"/>
      <c r="S3575" s="10"/>
      <c r="T3575" s="10"/>
      <c r="U3575" s="10"/>
      <c r="V3575" s="10"/>
      <c r="W3575" s="10"/>
      <c r="X3575" s="10"/>
      <c r="Y3575" s="10"/>
      <c r="Z3575" s="10"/>
    </row>
    <row r="3576" spans="1:26" ht="12.75">
      <c r="A3576" s="10" t="str">
        <f ca="1">IFERROR(__xludf.DUMMYFUNCTION("""COMPUTED_VALUE"""),"Иван Томов Иванов")</f>
        <v>Иван Томов Иванов</v>
      </c>
      <c r="B3576" s="10" t="str">
        <f ca="1">IFERROR(__xludf.DUMMYFUNCTION("""COMPUTED_VALUE"""),"Учебник")</f>
        <v>Учебник</v>
      </c>
      <c r="C3576" s="10" t="str">
        <f ca="1">IFERROR(__xludf.DUMMYFUNCTION("""COMPUTED_VALUE"""),"Практическо ръководство по програмиране с използване на С++ : Част 5. Разпределение на паметта. Псевдоними. Отново функции. Обмен на данни между функции чрез: псевдоними и указатели, масиви, функции и структури")</f>
        <v>Практическо ръководство по програмиране с използване на С++ : Част 5. Разпределение на паметта. Псевдоними. Отново функции. Обмен на данни между функции чрез: псевдоними и указатели, масиви, функции и структури</v>
      </c>
      <c r="D3576" s="10">
        <f ca="1">IFERROR(__xludf.DUMMYFUNCTION("""COMPUTED_VALUE"""),2008)</f>
        <v>2008</v>
      </c>
      <c r="E3576" s="10" t="str">
        <f ca="1">IFERROR(__xludf.DUMMYFUNCTION("""COMPUTED_VALUE"""),"София : Фараго, 2008. - 160 с. ISBN 978-954-8641-30-2")</f>
        <v>София : Фараго, 2008. - 160 с. ISBN 978-954-8641-30-2</v>
      </c>
      <c r="F3576" s="10"/>
      <c r="G3576" s="10" t="str">
        <f ca="1">IFERROR(__xludf.DUMMYFUNCTION("""COMPUTED_VALUE"""),"Петър Стойков")</f>
        <v>Петър Стойков</v>
      </c>
      <c r="H3576" s="10"/>
      <c r="I3576" s="10"/>
      <c r="J3576" s="10"/>
      <c r="K3576" s="10"/>
      <c r="L3576" s="10"/>
      <c r="M3576" s="10"/>
      <c r="N3576" s="10"/>
      <c r="O3576" s="10"/>
      <c r="P3576" s="10"/>
      <c r="Q3576" s="10"/>
      <c r="R3576" s="10"/>
      <c r="S3576" s="10"/>
      <c r="T3576" s="10"/>
      <c r="U3576" s="10"/>
      <c r="V3576" s="10"/>
      <c r="W3576" s="10"/>
      <c r="X3576" s="10"/>
      <c r="Y3576" s="10"/>
      <c r="Z3576" s="10"/>
    </row>
    <row r="3577" spans="1:26" ht="12.75">
      <c r="A3577" s="10" t="str">
        <f ca="1">IFERROR(__xludf.DUMMYFUNCTION("""COMPUTED_VALUE"""),"Иван Томов Иванов")</f>
        <v>Иван Томов Иванов</v>
      </c>
      <c r="B3577" s="10" t="str">
        <f ca="1">IFERROR(__xludf.DUMMYFUNCTION("""COMPUTED_VALUE"""),"Монография")</f>
        <v>Монография</v>
      </c>
      <c r="C3577" s="10" t="str">
        <f ca="1">IFERROR(__xludf.DUMMYFUNCTION("""COMPUTED_VALUE"""),"Разработване и управление на проекти. Общи положения при мениджмънта на проекти. MS Project. Мениджмънт при разработване на програмни продукти")</f>
        <v>Разработване и управление на проекти. Общи положения при мениджмънта на проекти. MS Project. Мениджмънт при разработване на програмни продукти</v>
      </c>
      <c r="D3577" s="10">
        <f ca="1">IFERROR(__xludf.DUMMYFUNCTION("""COMPUTED_VALUE"""),2008)</f>
        <v>2008</v>
      </c>
      <c r="E3577" s="10" t="str">
        <f ca="1">IFERROR(__xludf.DUMMYFUNCTION("""COMPUTED_VALUE"""),"София : Фараго, 2008. - 132 с. ISBN 978-954-8641-37-1")</f>
        <v>София : Фараго, 2008. - 132 с. ISBN 978-954-8641-37-1</v>
      </c>
      <c r="F3577" s="10"/>
      <c r="G3577" s="10" t="str">
        <f ca="1">IFERROR(__xludf.DUMMYFUNCTION("""COMPUTED_VALUE"""),"Петър Стойков")</f>
        <v>Петър Стойков</v>
      </c>
      <c r="H3577" s="10"/>
      <c r="I3577" s="10"/>
      <c r="J3577" s="10"/>
      <c r="K3577" s="10"/>
      <c r="L3577" s="10"/>
      <c r="M3577" s="10"/>
      <c r="N3577" s="10"/>
      <c r="O3577" s="10"/>
      <c r="P3577" s="10"/>
      <c r="Q3577" s="10"/>
      <c r="R3577" s="10"/>
      <c r="S3577" s="10"/>
      <c r="T3577" s="10"/>
      <c r="U3577" s="10"/>
      <c r="V3577" s="10"/>
      <c r="W3577" s="10"/>
      <c r="X3577" s="10"/>
      <c r="Y3577" s="10"/>
      <c r="Z3577" s="10"/>
    </row>
    <row r="3578" spans="1:26" ht="12.75">
      <c r="A3578" s="10" t="str">
        <f ca="1">IFERROR(__xludf.DUMMYFUNCTION("""COMPUTED_VALUE"""),"Иван Томов Иванов")</f>
        <v>Иван Томов Иванов</v>
      </c>
      <c r="B3578" s="10" t="str">
        <f ca="1">IFERROR(__xludf.DUMMYFUNCTION("""COMPUTED_VALUE"""),"Статия в списания и поредици")</f>
        <v>Статия в списания и поредици</v>
      </c>
      <c r="C3578" s="10" t="str">
        <f ca="1">IFERROR(__xludf.DUMMYFUNCTION("""COMPUTED_VALUE"""),"Компютърно моделиране на фрактали с Fractice 043_Компютърно моделиране на фрактали с Fractice.pdf]")</f>
        <v>Компютърно моделиране на фрактали с Fractice 043_Компютърно моделиране на фрактали с Fractice.pdf]</v>
      </c>
      <c r="D3578" s="10">
        <f ca="1">IFERROR(__xludf.DUMMYFUNCTION("""COMPUTED_VALUE"""),2008)</f>
        <v>2008</v>
      </c>
      <c r="E3578" s="10" t="str">
        <f ca="1">IFERROR(__xludf.DUMMYFUNCTION("""COMPUTED_VALUE"""),"International conference. Computer Methods in Science and Education. 14-18 September 2008, Varna, Proceedings, Bishop Konstantin Preslavski University Press. стр. 198-203 ISBN 978-954-577-569-7")</f>
        <v>International conference. Computer Methods in Science and Education. 14-18 September 2008, Varna, Proceedings, Bishop Konstantin Preslavski University Press. стр. 198-203 ISBN 978-954-577-569-7</v>
      </c>
      <c r="F3578" s="10"/>
      <c r="G3578" s="10" t="str">
        <f ca="1">IFERROR(__xludf.DUMMYFUNCTION("""COMPUTED_VALUE"""),"Славка Славова, Ивелин Иванов, Добри Бояджиев")</f>
        <v>Славка Славова, Ивелин Иванов, Добри Бояджиев</v>
      </c>
      <c r="H3578" s="10"/>
      <c r="I3578" s="10"/>
      <c r="J3578" s="10"/>
      <c r="K3578" s="10"/>
      <c r="L3578" s="10"/>
      <c r="M3578" s="10"/>
      <c r="N3578" s="10"/>
      <c r="O3578" s="10"/>
      <c r="P3578" s="10"/>
      <c r="Q3578" s="10"/>
      <c r="R3578" s="10"/>
      <c r="S3578" s="10"/>
      <c r="T3578" s="10"/>
      <c r="U3578" s="10"/>
      <c r="V3578" s="10"/>
      <c r="W3578" s="10"/>
      <c r="X3578" s="10"/>
      <c r="Y3578" s="10"/>
      <c r="Z3578" s="10"/>
    </row>
    <row r="3579" spans="1:26" ht="12.75">
      <c r="A3579" s="10" t="str">
        <f ca="1">IFERROR(__xludf.DUMMYFUNCTION("""COMPUTED_VALUE"""),"Иван Томов Иванов")</f>
        <v>Иван Томов Иванов</v>
      </c>
      <c r="B3579" s="10" t="str">
        <f ca="1">IFERROR(__xludf.DUMMYFUNCTION("""COMPUTED_VALUE"""),"Учебник")</f>
        <v>Учебник</v>
      </c>
      <c r="C3579" s="10" t="str">
        <f ca="1">IFERROR(__xludf.DUMMYFUNCTION("""COMPUTED_VALUE"""),"Компютърната лингвистика като съставен елемент на изкуствения интелект")</f>
        <v>Компютърната лингвистика като съставен елемент на изкуствения интелект</v>
      </c>
      <c r="D3579" s="10">
        <f ca="1">IFERROR(__xludf.DUMMYFUNCTION("""COMPUTED_VALUE"""),2008)</f>
        <v>2008</v>
      </c>
      <c r="E3579" s="10" t="str">
        <f ca="1">IFERROR(__xludf.DUMMYFUNCTION("""COMPUTED_VALUE"""),"София : Фараго, 2008. - 96 с. ISBN 978-954-8641-36-4")</f>
        <v>София : Фараго, 2008. - 96 с. ISBN 978-954-8641-36-4</v>
      </c>
      <c r="F3579" s="10"/>
      <c r="G3579" s="10" t="str">
        <f ca="1">IFERROR(__xludf.DUMMYFUNCTION("""COMPUTED_VALUE"""),"Й. Захариева, П. Стойков")</f>
        <v>Й. Захариева, П. Стойков</v>
      </c>
      <c r="H3579" s="10"/>
      <c r="I3579" s="10"/>
      <c r="J3579" s="10"/>
      <c r="K3579" s="10"/>
      <c r="L3579" s="10"/>
      <c r="M3579" s="10"/>
      <c r="N3579" s="10"/>
      <c r="O3579" s="10"/>
      <c r="P3579" s="10"/>
      <c r="Q3579" s="10"/>
      <c r="R3579" s="10"/>
      <c r="S3579" s="10"/>
      <c r="T3579" s="10"/>
      <c r="U3579" s="10"/>
      <c r="V3579" s="10"/>
      <c r="W3579" s="10"/>
      <c r="X3579" s="10"/>
      <c r="Y3579" s="10"/>
      <c r="Z3579" s="10"/>
    </row>
    <row r="3580" spans="1:26" ht="12.75">
      <c r="A3580" s="10" t="str">
        <f ca="1">IFERROR(__xludf.DUMMYFUNCTION("""COMPUTED_VALUE"""),"Иван Томов Иванов")</f>
        <v>Иван Томов Иванов</v>
      </c>
      <c r="B3580" s="10" t="str">
        <f ca="1">IFERROR(__xludf.DUMMYFUNCTION("""COMPUTED_VALUE"""),"Статия в списания и поредици")</f>
        <v>Статия в списания и поредици</v>
      </c>
      <c r="C3580" s="10" t="str">
        <f ca="1">IFERROR(__xludf.DUMMYFUNCTION("""COMPUTED_VALUE"""),"The Early Fractal Music Composers. [042_The Early Fractal Music Composers.pdf]")</f>
        <v>The Early Fractal Music Composers. [042_The Early Fractal Music Composers.pdf]</v>
      </c>
      <c r="D3580" s="10">
        <f ca="1">IFERROR(__xludf.DUMMYFUNCTION("""COMPUTED_VALUE"""),2008)</f>
        <v>2008</v>
      </c>
      <c r="E3580" s="10" t="str">
        <f ca="1">IFERROR(__xludf.DUMMYFUNCTION("""COMPUTED_VALUE"""),"International conference. Computer Methods in Science and Education. 14-18 September 2008, Varna, Proceedings, Bishop Konstantin Preslavski University Press. стр. 95-107 ISBN 978-954-577-569-7")</f>
        <v>International conference. Computer Methods in Science and Education. 14-18 September 2008, Varna, Proceedings, Bishop Konstantin Preslavski University Press. стр. 95-107 ISBN 978-954-577-569-7</v>
      </c>
      <c r="F3580" s="10"/>
      <c r="G3580" s="10" t="str">
        <f ca="1">IFERROR(__xludf.DUMMYFUNCTION("""COMPUTED_VALUE"""),"Bozhanka Baycheva, Slavka Slavova, Tsanimir Baychev")</f>
        <v>Bozhanka Baycheva, Slavka Slavova, Tsanimir Baychev</v>
      </c>
      <c r="H3580" s="10"/>
      <c r="I3580" s="10"/>
      <c r="J3580" s="10"/>
      <c r="K3580" s="10"/>
      <c r="L3580" s="10"/>
      <c r="M3580" s="10"/>
      <c r="N3580" s="10"/>
      <c r="O3580" s="10"/>
      <c r="P3580" s="10"/>
      <c r="Q3580" s="10"/>
      <c r="R3580" s="10"/>
      <c r="S3580" s="10"/>
      <c r="T3580" s="10"/>
      <c r="U3580" s="10"/>
      <c r="V3580" s="10"/>
      <c r="W3580" s="10"/>
      <c r="X3580" s="10"/>
      <c r="Y3580" s="10"/>
      <c r="Z3580" s="10"/>
    </row>
    <row r="3581" spans="1:26" ht="12.75">
      <c r="A3581" s="10" t="str">
        <f ca="1">IFERROR(__xludf.DUMMYFUNCTION("""COMPUTED_VALUE"""),"Иван Томов Иванов")</f>
        <v>Иван Томов Иванов</v>
      </c>
      <c r="B3581" s="10" t="str">
        <f ca="1">IFERROR(__xludf.DUMMYFUNCTION("""COMPUTED_VALUE"""),"Учебник")</f>
        <v>Учебник</v>
      </c>
      <c r="C3581" s="10" t="str">
        <f ca="1">IFERROR(__xludf.DUMMYFUNCTION("""COMPUTED_VALUE"""),"Операционни системи : Част 3. Unix. Linux. Windows. - Второ издание")</f>
        <v>Операционни системи : Част 3. Unix. Linux. Windows. - Второ издание</v>
      </c>
      <c r="D3581" s="10">
        <f ca="1">IFERROR(__xludf.DUMMYFUNCTION("""COMPUTED_VALUE"""),2007)</f>
        <v>2007</v>
      </c>
      <c r="E3581" s="10" t="str">
        <f ca="1">IFERROR(__xludf.DUMMYFUNCTION("""COMPUTED_VALUE"""),"София : Фараго, 2007. - 148 с. ISBN 978-954-8641-05-0")</f>
        <v>София : Фараго, 2007. - 148 с. ISBN 978-954-8641-05-0</v>
      </c>
      <c r="F3581" s="10"/>
      <c r="G3581" s="10" t="str">
        <f ca="1">IFERROR(__xludf.DUMMYFUNCTION("""COMPUTED_VALUE"""),"Петър Стойков")</f>
        <v>Петър Стойков</v>
      </c>
      <c r="H3581" s="10"/>
      <c r="I3581" s="10"/>
      <c r="J3581" s="10"/>
      <c r="K3581" s="10"/>
      <c r="L3581" s="10"/>
      <c r="M3581" s="10"/>
      <c r="N3581" s="10"/>
      <c r="O3581" s="10"/>
      <c r="P3581" s="10"/>
      <c r="Q3581" s="10"/>
      <c r="R3581" s="10"/>
      <c r="S3581" s="10"/>
      <c r="T3581" s="10"/>
      <c r="U3581" s="10"/>
      <c r="V3581" s="10"/>
      <c r="W3581" s="10"/>
      <c r="X3581" s="10"/>
      <c r="Y3581" s="10"/>
      <c r="Z3581" s="10"/>
    </row>
    <row r="3582" spans="1:26" ht="12.75">
      <c r="A3582" s="10" t="str">
        <f ca="1">IFERROR(__xludf.DUMMYFUNCTION("""COMPUTED_VALUE"""),"Иван Томов Иванов")</f>
        <v>Иван Томов Иванов</v>
      </c>
      <c r="B3582" s="10" t="str">
        <f ca="1">IFERROR(__xludf.DUMMYFUNCTION("""COMPUTED_VALUE"""),"Учебник")</f>
        <v>Учебник</v>
      </c>
      <c r="C3582" s="10" t="str">
        <f ca="1">IFERROR(__xludf.DUMMYFUNCTION("""COMPUTED_VALUE"""),"Практическо ръководство по програмиране с използване на С++ : Част 1. Въведение в програмирането. Първоначално запознаване с Visual C++. Базови алгоритмични структури")</f>
        <v>Практическо ръководство по програмиране с използване на С++ : Част 1. Въведение в програмирането. Първоначално запознаване с Visual C++. Базови алгоритмични структури</v>
      </c>
      <c r="D3582" s="10">
        <f ca="1">IFERROR(__xludf.DUMMYFUNCTION("""COMPUTED_VALUE"""),2007)</f>
        <v>2007</v>
      </c>
      <c r="E3582" s="10" t="str">
        <f ca="1">IFERROR(__xludf.DUMMYFUNCTION("""COMPUTED_VALUE"""),"София : Фараго, 2007. - 160 с. ISBN 978-954-8641-66-1")</f>
        <v>София : Фараго, 2007. - 160 с. ISBN 978-954-8641-66-1</v>
      </c>
      <c r="F3582" s="10"/>
      <c r="G3582" s="10" t="str">
        <f ca="1">IFERROR(__xludf.DUMMYFUNCTION("""COMPUTED_VALUE"""),"Петър Стойков")</f>
        <v>Петър Стойков</v>
      </c>
      <c r="H3582" s="10"/>
      <c r="I3582" s="10"/>
      <c r="J3582" s="10"/>
      <c r="K3582" s="10"/>
      <c r="L3582" s="10"/>
      <c r="M3582" s="10"/>
      <c r="N3582" s="10"/>
      <c r="O3582" s="10"/>
      <c r="P3582" s="10"/>
      <c r="Q3582" s="10"/>
      <c r="R3582" s="10"/>
      <c r="S3582" s="10"/>
      <c r="T3582" s="10"/>
      <c r="U3582" s="10"/>
      <c r="V3582" s="10"/>
      <c r="W3582" s="10"/>
      <c r="X3582" s="10"/>
      <c r="Y3582" s="10"/>
      <c r="Z3582" s="10"/>
    </row>
    <row r="3583" spans="1:26" ht="12.75">
      <c r="A3583" s="10" t="str">
        <f ca="1">IFERROR(__xludf.DUMMYFUNCTION("""COMPUTED_VALUE"""),"Иван Томов Иванов")</f>
        <v>Иван Томов Иванов</v>
      </c>
      <c r="B3583" s="10" t="str">
        <f ca="1">IFERROR(__xludf.DUMMYFUNCTION("""COMPUTED_VALUE"""),"Учебник")</f>
        <v>Учебник</v>
      </c>
      <c r="C3583" s="10" t="str">
        <f ca="1">IFERROR(__xludf.DUMMYFUNCTION("""COMPUTED_VALUE"""),"Основи на програмирането с използване на С++ : Част 4.")</f>
        <v>Основи на програмирането с използване на С++ : Част 4.</v>
      </c>
      <c r="D3583" s="10">
        <f ca="1">IFERROR(__xludf.DUMMYFUNCTION("""COMPUTED_VALUE"""),2007)</f>
        <v>2007</v>
      </c>
      <c r="E3583" s="10" t="str">
        <f ca="1">IFERROR(__xludf.DUMMYFUNCTION("""COMPUTED_VALUE"""),"София : Фараго, 2007. - 128 с. ISBN 978-954-8641-03-6")</f>
        <v>София : Фараго, 2007. - 128 с. ISBN 978-954-8641-03-6</v>
      </c>
      <c r="F3583" s="10"/>
      <c r="G3583" s="10" t="str">
        <f ca="1">IFERROR(__xludf.DUMMYFUNCTION("""COMPUTED_VALUE"""),"Петър Стойков")</f>
        <v>Петър Стойков</v>
      </c>
      <c r="H3583" s="10"/>
      <c r="I3583" s="10"/>
      <c r="J3583" s="10"/>
      <c r="K3583" s="10"/>
      <c r="L3583" s="10"/>
      <c r="M3583" s="10"/>
      <c r="N3583" s="10"/>
      <c r="O3583" s="10"/>
      <c r="P3583" s="10"/>
      <c r="Q3583" s="10"/>
      <c r="R3583" s="10"/>
      <c r="S3583" s="10"/>
      <c r="T3583" s="10"/>
      <c r="U3583" s="10"/>
      <c r="V3583" s="10"/>
      <c r="W3583" s="10"/>
      <c r="X3583" s="10"/>
      <c r="Y3583" s="10"/>
      <c r="Z3583" s="10"/>
    </row>
    <row r="3584" spans="1:26" ht="12.75">
      <c r="A3584" s="10" t="str">
        <f ca="1">IFERROR(__xludf.DUMMYFUNCTION("""COMPUTED_VALUE"""),"Иван Томов Иванов")</f>
        <v>Иван Томов Иванов</v>
      </c>
      <c r="B3584" s="10" t="str">
        <f ca="1">IFERROR(__xludf.DUMMYFUNCTION("""COMPUTED_VALUE"""),"Учебник")</f>
        <v>Учебник</v>
      </c>
      <c r="C3584" s="10" t="str">
        <f ca="1">IFERROR(__xludf.DUMMYFUNCTION("""COMPUTED_VALUE"""),"Основи на програмирането с използване на С++ : Част 3")</f>
        <v>Основи на програмирането с използване на С++ : Част 3</v>
      </c>
      <c r="D3584" s="10">
        <f ca="1">IFERROR(__xludf.DUMMYFUNCTION("""COMPUTED_VALUE"""),2007)</f>
        <v>2007</v>
      </c>
      <c r="E3584" s="10" t="str">
        <f ca="1">IFERROR(__xludf.DUMMYFUNCTION("""COMPUTED_VALUE"""),"София : Фараго, 2007. - 148 с. ISBN 978-954-8641-01-2")</f>
        <v>София : Фараго, 2007. - 148 с. ISBN 978-954-8641-01-2</v>
      </c>
      <c r="F3584" s="10"/>
      <c r="G3584" s="10" t="str">
        <f ca="1">IFERROR(__xludf.DUMMYFUNCTION("""COMPUTED_VALUE"""),"Петър Стойков")</f>
        <v>Петър Стойков</v>
      </c>
      <c r="H3584" s="10"/>
      <c r="I3584" s="10"/>
      <c r="J3584" s="10"/>
      <c r="K3584" s="10"/>
      <c r="L3584" s="10"/>
      <c r="M3584" s="10"/>
      <c r="N3584" s="10"/>
      <c r="O3584" s="10"/>
      <c r="P3584" s="10"/>
      <c r="Q3584" s="10"/>
      <c r="R3584" s="10"/>
      <c r="S3584" s="10"/>
      <c r="T3584" s="10"/>
      <c r="U3584" s="10"/>
      <c r="V3584" s="10"/>
      <c r="W3584" s="10"/>
      <c r="X3584" s="10"/>
      <c r="Y3584" s="10"/>
      <c r="Z3584" s="10"/>
    </row>
    <row r="3585" spans="1:26" ht="12.75">
      <c r="A3585" s="10" t="str">
        <f ca="1">IFERROR(__xludf.DUMMYFUNCTION("""COMPUTED_VALUE"""),"Иван Томов Иванов")</f>
        <v>Иван Томов Иванов</v>
      </c>
      <c r="B3585" s="10" t="str">
        <f ca="1">IFERROR(__xludf.DUMMYFUNCTION("""COMPUTED_VALUE"""),"Учебник")</f>
        <v>Учебник</v>
      </c>
      <c r="C3585" s="10" t="str">
        <f ca="1">IFERROR(__xludf.DUMMYFUNCTION("""COMPUTED_VALUE"""),"Операционни системи : Част 1. Увод в операционните системи. Процеси. Управление на паметта. Файлове и каталози")</f>
        <v>Операционни системи : Част 1. Увод в операционните системи. Процеси. Управление на паметта. Файлове и каталози</v>
      </c>
      <c r="D3585" s="10">
        <f ca="1">IFERROR(__xludf.DUMMYFUNCTION("""COMPUTED_VALUE"""),2006)</f>
        <v>2006</v>
      </c>
      <c r="E3585" s="10" t="str">
        <f ca="1">IFERROR(__xludf.DUMMYFUNCTION("""COMPUTED_VALUE"""),"София : Фалкор консулт, 2006. - 124 с. ISBN-10: 954-342-017-3(ч.1); ISBN-13: 978-954-342-017-9(ч.1)")</f>
        <v>София : Фалкор консулт, 2006. - 124 с. ISBN-10: 954-342-017-3(ч.1); ISBN-13: 978-954-342-017-9(ч.1)</v>
      </c>
      <c r="F3585" s="10"/>
      <c r="G3585" s="10" t="str">
        <f ca="1">IFERROR(__xludf.DUMMYFUNCTION("""COMPUTED_VALUE"""),"Петър Стойков")</f>
        <v>Петър Стойков</v>
      </c>
      <c r="H3585" s="10"/>
      <c r="I3585" s="10"/>
      <c r="J3585" s="10"/>
      <c r="K3585" s="10"/>
      <c r="L3585" s="10"/>
      <c r="M3585" s="10"/>
      <c r="N3585" s="10"/>
      <c r="O3585" s="10"/>
      <c r="P3585" s="10"/>
      <c r="Q3585" s="10"/>
      <c r="R3585" s="10"/>
      <c r="S3585" s="10"/>
      <c r="T3585" s="10"/>
      <c r="U3585" s="10"/>
      <c r="V3585" s="10"/>
      <c r="W3585" s="10"/>
      <c r="X3585" s="10"/>
      <c r="Y3585" s="10"/>
      <c r="Z3585" s="10"/>
    </row>
    <row r="3586" spans="1:26" ht="12.75">
      <c r="A3586" s="10" t="str">
        <f ca="1">IFERROR(__xludf.DUMMYFUNCTION("""COMPUTED_VALUE"""),"Иван Томов Иванов")</f>
        <v>Иван Томов Иванов</v>
      </c>
      <c r="B3586" s="10" t="str">
        <f ca="1">IFERROR(__xludf.DUMMYFUNCTION("""COMPUTED_VALUE"""),"Учебник")</f>
        <v>Учебник</v>
      </c>
      <c r="C3586" s="10" t="str">
        <f ca="1">IFERROR(__xludf.DUMMYFUNCTION("""COMPUTED_VALUE"""),"Информатика : Част 1")</f>
        <v>Информатика : Част 1</v>
      </c>
      <c r="D3586" s="10">
        <f ca="1">IFERROR(__xludf.DUMMYFUNCTION("""COMPUTED_VALUE"""),2006)</f>
        <v>2006</v>
      </c>
      <c r="E3586" s="10" t="str">
        <f ca="1">IFERROR(__xludf.DUMMYFUNCTION("""COMPUTED_VALUE"""),"София : Фалкор консулт, 2006. – 148 с. ISBN-10: 954-342-020-3(ч.1); ISBN-13: 978-954-342-020-9(ч.1)")</f>
        <v>София : Фалкор консулт, 2006. – 148 с. ISBN-10: 954-342-020-3(ч.1); ISBN-13: 978-954-342-020-9(ч.1)</v>
      </c>
      <c r="F3586" s="10"/>
      <c r="G3586" s="10" t="str">
        <f ca="1">IFERROR(__xludf.DUMMYFUNCTION("""COMPUTED_VALUE"""),"Петър Стойков")</f>
        <v>Петър Стойков</v>
      </c>
      <c r="H3586" s="10"/>
      <c r="I3586" s="10"/>
      <c r="J3586" s="10"/>
      <c r="K3586" s="10"/>
      <c r="L3586" s="10"/>
      <c r="M3586" s="10"/>
      <c r="N3586" s="10"/>
      <c r="O3586" s="10"/>
      <c r="P3586" s="10"/>
      <c r="Q3586" s="10"/>
      <c r="R3586" s="10"/>
      <c r="S3586" s="10"/>
      <c r="T3586" s="10"/>
      <c r="U3586" s="10"/>
      <c r="V3586" s="10"/>
      <c r="W3586" s="10"/>
      <c r="X3586" s="10"/>
      <c r="Y3586" s="10"/>
      <c r="Z3586" s="10"/>
    </row>
    <row r="3587" spans="1:26" ht="12.75">
      <c r="A3587" s="10" t="str">
        <f ca="1">IFERROR(__xludf.DUMMYFUNCTION("""COMPUTED_VALUE"""),"Иван Томов Иванов")</f>
        <v>Иван Томов Иванов</v>
      </c>
      <c r="B3587" s="10" t="str">
        <f ca="1">IFERROR(__xludf.DUMMYFUNCTION("""COMPUTED_VALUE"""),"Учебник")</f>
        <v>Учебник</v>
      </c>
      <c r="C3587" s="10" t="str">
        <f ca="1">IFERROR(__xludf.DUMMYFUNCTION("""COMPUTED_VALUE"""),"Основи на програмирането с използване на С++ : Част 1")</f>
        <v>Основи на програмирането с използване на С++ : Част 1</v>
      </c>
      <c r="D3587" s="10">
        <f ca="1">IFERROR(__xludf.DUMMYFUNCTION("""COMPUTED_VALUE"""),2006)</f>
        <v>2006</v>
      </c>
      <c r="E3587" s="10" t="str">
        <f ca="1">IFERROR(__xludf.DUMMYFUNCTION("""COMPUTED_VALUE"""),"София : Фалкор консулт, 2006. - 152 с. ISBN-10: 954-342-015-7(ч.1); ISBN-13: 978-954-342-015-5(ч.1)")</f>
        <v>София : Фалкор консулт, 2006. - 152 с. ISBN-10: 954-342-015-7(ч.1); ISBN-13: 978-954-342-015-5(ч.1)</v>
      </c>
      <c r="F3587" s="10"/>
      <c r="G3587" s="10" t="str">
        <f ca="1">IFERROR(__xludf.DUMMYFUNCTION("""COMPUTED_VALUE"""),"Петър Стойков")</f>
        <v>Петър Стойков</v>
      </c>
      <c r="H3587" s="10"/>
      <c r="I3587" s="10"/>
      <c r="J3587" s="10"/>
      <c r="K3587" s="10"/>
      <c r="L3587" s="10"/>
      <c r="M3587" s="10"/>
      <c r="N3587" s="10"/>
      <c r="O3587" s="10"/>
      <c r="P3587" s="10"/>
      <c r="Q3587" s="10"/>
      <c r="R3587" s="10"/>
      <c r="S3587" s="10"/>
      <c r="T3587" s="10"/>
      <c r="U3587" s="10"/>
      <c r="V3587" s="10"/>
      <c r="W3587" s="10"/>
      <c r="X3587" s="10"/>
      <c r="Y3587" s="10"/>
      <c r="Z3587" s="10"/>
    </row>
    <row r="3588" spans="1:26" ht="12.75">
      <c r="A3588" s="10" t="str">
        <f ca="1">IFERROR(__xludf.DUMMYFUNCTION("""COMPUTED_VALUE"""),"Иван Томов Иванов")</f>
        <v>Иван Томов Иванов</v>
      </c>
      <c r="B3588" s="10" t="str">
        <f ca="1">IFERROR(__xludf.DUMMYFUNCTION("""COMPUTED_VALUE"""),"Учебник")</f>
        <v>Учебник</v>
      </c>
      <c r="C3588" s="10" t="str">
        <f ca="1">IFERROR(__xludf.DUMMYFUNCTION("""COMPUTED_VALUE"""),"Информатика. Компютърни системи, мрежи и комуникации. Приложно програмно осигуряване.")</f>
        <v>Информатика. Компютърни системи, мрежи и комуникации. Приложно програмно осигуряване.</v>
      </c>
      <c r="D3588" s="10">
        <f ca="1">IFERROR(__xludf.DUMMYFUNCTION("""COMPUTED_VALUE"""),2006)</f>
        <v>2006</v>
      </c>
      <c r="E3588" s="10" t="str">
        <f ca="1">IFERROR(__xludf.DUMMYFUNCTION("""COMPUTED_VALUE"""),"София : Фалкор консулт, 2006. - 148 с. ISBN-10: 954-342-023-8; ISBN-13: 978-954-342-023-0")</f>
        <v>София : Фалкор консулт, 2006. - 148 с. ISBN-10: 954-342-023-8; ISBN-13: 978-954-342-023-0</v>
      </c>
      <c r="F3588" s="10"/>
      <c r="G3588" s="10" t="str">
        <f ca="1">IFERROR(__xludf.DUMMYFUNCTION("""COMPUTED_VALUE"""),"Петър Стойков")</f>
        <v>Петър Стойков</v>
      </c>
      <c r="H3588" s="10"/>
      <c r="I3588" s="10"/>
      <c r="J3588" s="10"/>
      <c r="K3588" s="10"/>
      <c r="L3588" s="10"/>
      <c r="M3588" s="10"/>
      <c r="N3588" s="10"/>
      <c r="O3588" s="10"/>
      <c r="P3588" s="10"/>
      <c r="Q3588" s="10"/>
      <c r="R3588" s="10"/>
      <c r="S3588" s="10"/>
      <c r="T3588" s="10"/>
      <c r="U3588" s="10"/>
      <c r="V3588" s="10"/>
      <c r="W3588" s="10"/>
      <c r="X3588" s="10"/>
      <c r="Y3588" s="10"/>
      <c r="Z3588" s="10"/>
    </row>
    <row r="3589" spans="1:26" ht="12.75">
      <c r="A3589" s="10" t="str">
        <f ca="1">IFERROR(__xludf.DUMMYFUNCTION("""COMPUTED_VALUE"""),"Иван Томов Иванов")</f>
        <v>Иван Томов Иванов</v>
      </c>
      <c r="B3589" s="10" t="str">
        <f ca="1">IFERROR(__xludf.DUMMYFUNCTION("""COMPUTED_VALUE"""),"Учебник")</f>
        <v>Учебник</v>
      </c>
      <c r="C3589" s="10" t="str">
        <f ca="1">IFERROR(__xludf.DUMMYFUNCTION("""COMPUTED_VALUE"""),"Основи на програмирането с използване на С++ : Част 2")</f>
        <v>Основи на програмирането с използване на С++ : Част 2</v>
      </c>
      <c r="D3589" s="10">
        <f ca="1">IFERROR(__xludf.DUMMYFUNCTION("""COMPUTED_VALUE"""),2006)</f>
        <v>2006</v>
      </c>
      <c r="E3589" s="10" t="str">
        <f ca="1">IFERROR(__xludf.DUMMYFUNCTION("""COMPUTED_VALUE"""),"София : Фалкор консулт, 2006. - 152 с. ISBN-10: 954-342-016-5(ч.2); ISBN-13: 978-954-342-016-2(ч.2)")</f>
        <v>София : Фалкор консулт, 2006. - 152 с. ISBN-10: 954-342-016-5(ч.2); ISBN-13: 978-954-342-016-2(ч.2)</v>
      </c>
      <c r="F3589" s="10"/>
      <c r="G3589" s="10" t="str">
        <f ca="1">IFERROR(__xludf.DUMMYFUNCTION("""COMPUTED_VALUE"""),"Петър Стойков")</f>
        <v>Петър Стойков</v>
      </c>
      <c r="H3589" s="10"/>
      <c r="I3589" s="10"/>
      <c r="J3589" s="10"/>
      <c r="K3589" s="10"/>
      <c r="L3589" s="10"/>
      <c r="M3589" s="10"/>
      <c r="N3589" s="10"/>
      <c r="O3589" s="10"/>
      <c r="P3589" s="10"/>
      <c r="Q3589" s="10"/>
      <c r="R3589" s="10"/>
      <c r="S3589" s="10"/>
      <c r="T3589" s="10"/>
      <c r="U3589" s="10"/>
      <c r="V3589" s="10"/>
      <c r="W3589" s="10"/>
      <c r="X3589" s="10"/>
      <c r="Y3589" s="10"/>
      <c r="Z3589" s="10"/>
    </row>
    <row r="3590" spans="1:26" ht="12.75">
      <c r="A3590" s="10" t="str">
        <f ca="1">IFERROR(__xludf.DUMMYFUNCTION("""COMPUTED_VALUE"""),"Иван Томов Иванов")</f>
        <v>Иван Томов Иванов</v>
      </c>
      <c r="B3590" s="10" t="str">
        <f ca="1">IFERROR(__xludf.DUMMYFUNCTION("""COMPUTED_VALUE"""),"Учебник")</f>
        <v>Учебник</v>
      </c>
      <c r="C3590" s="10" t="str">
        <f ca="1">IFERROR(__xludf.DUMMYFUNCTION("""COMPUTED_VALUE"""),"Операционни системи : Част 3. UNIX. LINUX. WINDOWS")</f>
        <v>Операционни системи : Част 3. UNIX. LINUX. WINDOWS</v>
      </c>
      <c r="D3590" s="10">
        <f ca="1">IFERROR(__xludf.DUMMYFUNCTION("""COMPUTED_VALUE"""),2006)</f>
        <v>2006</v>
      </c>
      <c r="E3590" s="10" t="str">
        <f ca="1">IFERROR(__xludf.DUMMYFUNCTION("""COMPUTED_VALUE"""),"София : Фалкор консулт, 2006. - 148 с. ISBN-10: 954-342-021-1(ч.3; ISBN-13: 978-954-342-021-6(ч.3")</f>
        <v>София : Фалкор консулт, 2006. - 148 с. ISBN-10: 954-342-021-1(ч.3; ISBN-13: 978-954-342-021-6(ч.3</v>
      </c>
      <c r="F3590" s="10"/>
      <c r="G3590" s="10" t="str">
        <f ca="1">IFERROR(__xludf.DUMMYFUNCTION("""COMPUTED_VALUE"""),"Петър Стойков")</f>
        <v>Петър Стойков</v>
      </c>
      <c r="H3590" s="10"/>
      <c r="I3590" s="10"/>
      <c r="J3590" s="10"/>
      <c r="K3590" s="10"/>
      <c r="L3590" s="10"/>
      <c r="M3590" s="10"/>
      <c r="N3590" s="10"/>
      <c r="O3590" s="10"/>
      <c r="P3590" s="10"/>
      <c r="Q3590" s="10"/>
      <c r="R3590" s="10"/>
      <c r="S3590" s="10"/>
      <c r="T3590" s="10"/>
      <c r="U3590" s="10"/>
      <c r="V3590" s="10"/>
      <c r="W3590" s="10"/>
      <c r="X3590" s="10"/>
      <c r="Y3590" s="10"/>
      <c r="Z3590" s="10"/>
    </row>
    <row r="3591" spans="1:26" ht="12.75">
      <c r="A3591" s="10" t="str">
        <f ca="1">IFERROR(__xludf.DUMMYFUNCTION("""COMPUTED_VALUE"""),"Иван Томов Иванов")</f>
        <v>Иван Томов Иванов</v>
      </c>
      <c r="B3591" s="10" t="str">
        <f ca="1">IFERROR(__xludf.DUMMYFUNCTION("""COMPUTED_VALUE"""),"Учебник")</f>
        <v>Учебник</v>
      </c>
      <c r="C3591" s="10" t="str">
        <f ca="1">IFERROR(__xludf.DUMMYFUNCTION("""COMPUTED_VALUE"""),"Операционни системи")</f>
        <v>Операционни системи</v>
      </c>
      <c r="D3591" s="10">
        <f ca="1">IFERROR(__xludf.DUMMYFUNCTION("""COMPUTED_VALUE"""),2006)</f>
        <v>2006</v>
      </c>
      <c r="E3591" s="10" t="str">
        <f ca="1">IFERROR(__xludf.DUMMYFUNCTION("""COMPUTED_VALUE"""),"София : За Буквите – О писменехъ, 2006. - 150 с. ISBN 10:954-8887-12-6; ISBN 13:978-954-8887-12-0")</f>
        <v>София : За Буквите – О писменехъ, 2006. - 150 с. ISBN 10:954-8887-12-6; ISBN 13:978-954-8887-12-0</v>
      </c>
      <c r="F3591" s="10"/>
      <c r="G3591" s="10" t="str">
        <f ca="1">IFERROR(__xludf.DUMMYFUNCTION("""COMPUTED_VALUE"""),"Петър Стойков")</f>
        <v>Петър Стойков</v>
      </c>
      <c r="H3591" s="10"/>
      <c r="I3591" s="10"/>
      <c r="J3591" s="10"/>
      <c r="K3591" s="10"/>
      <c r="L3591" s="10"/>
      <c r="M3591" s="10"/>
      <c r="N3591" s="10"/>
      <c r="O3591" s="10"/>
      <c r="P3591" s="10"/>
      <c r="Q3591" s="10"/>
      <c r="R3591" s="10"/>
      <c r="S3591" s="10"/>
      <c r="T3591" s="10"/>
      <c r="U3591" s="10"/>
      <c r="V3591" s="10"/>
      <c r="W3591" s="10"/>
      <c r="X3591" s="10"/>
      <c r="Y3591" s="10"/>
      <c r="Z3591" s="10"/>
    </row>
    <row r="3592" spans="1:26" ht="12.75">
      <c r="A3592" s="10" t="str">
        <f ca="1">IFERROR(__xludf.DUMMYFUNCTION("""COMPUTED_VALUE"""),"Иван Томов Иванов")</f>
        <v>Иван Томов Иванов</v>
      </c>
      <c r="B3592" s="10" t="str">
        <f ca="1">IFERROR(__xludf.DUMMYFUNCTION("""COMPUTED_VALUE"""),"Статия в списания и поредици")</f>
        <v>Статия в списания и поредици</v>
      </c>
      <c r="C3592" s="10" t="str">
        <f ca="1">IFERROR(__xludf.DUMMYFUNCTION("""COMPUTED_VALUE"""),"Микрокомпютърната техника в обучението по оперативно-тактическа подготовка във военните ВУЗ")</f>
        <v>Микрокомпютърната техника в обучението по оперативно-тактическа подготовка във военните ВУЗ</v>
      </c>
      <c r="D3592" s="10">
        <f ca="1">IFERROR(__xludf.DUMMYFUNCTION("""COMPUTED_VALUE"""),1989)</f>
        <v>1989</v>
      </c>
      <c r="E3592" s="10" t="str">
        <f ca="1">IFERROR(__xludf.DUMMYFUNCTION("""COMPUTED_VALUE"""),"сп. Военна мисъл, № 7, 1989. 13 стр. ISSN 0861-2943")</f>
        <v>сп. Военна мисъл, № 7, 1989. 13 стр. ISSN 0861-2943</v>
      </c>
      <c r="F3592" s="10"/>
      <c r="G3592" s="10" t="str">
        <f ca="1">IFERROR(__xludf.DUMMYFUNCTION("""COMPUTED_VALUE"""),"П. Стойков, Й. Стоев")</f>
        <v>П. Стойков, Й. Стоев</v>
      </c>
      <c r="H3592" s="10"/>
      <c r="I3592" s="10"/>
      <c r="J3592" s="10"/>
      <c r="K3592" s="10"/>
      <c r="L3592" s="10"/>
      <c r="M3592" s="10"/>
      <c r="N3592" s="10"/>
      <c r="O3592" s="10"/>
      <c r="P3592" s="10"/>
      <c r="Q3592" s="10"/>
      <c r="R3592" s="10"/>
      <c r="S3592" s="10"/>
      <c r="T3592" s="10"/>
      <c r="U3592" s="10"/>
      <c r="V3592" s="10"/>
      <c r="W3592" s="10"/>
      <c r="X3592" s="10"/>
      <c r="Y3592" s="10"/>
      <c r="Z3592" s="10"/>
    </row>
    <row r="3593" spans="1:26" ht="12.75">
      <c r="A3593" s="10" t="str">
        <f ca="1">IFERROR(__xludf.DUMMYFUNCTION("""COMPUTED_VALUE"""),"Иван Христов Христов")</f>
        <v>Иван Христов Христов</v>
      </c>
      <c r="B3593" s="10" t="str">
        <f ca="1">IFERROR(__xludf.DUMMYFUNCTION("""COMPUTED_VALUE"""),"Статия в списания и поредици")</f>
        <v>Статия в списания и поредици</v>
      </c>
      <c r="C3593" s="10" t="str">
        <f ca="1">IFERROR(__xludf.DUMMYFUNCTION("""COMPUTED_VALUE"""),"Χρσσοσωτήρα. Ранновизантийска крепост на полуостров Хрисосотира при град Черноморец V–V век")</f>
        <v>Χρσσοσωτήρα. Ранновизантийска крепост на полуостров Хрисосотира при град Черноморец V–V век</v>
      </c>
      <c r="D3593" s="10">
        <f ca="1">IFERROR(__xludf.DUMMYFUNCTION("""COMPUTED_VALUE"""),2019)</f>
        <v>2019</v>
      </c>
      <c r="E3593" s="10" t="str">
        <f ca="1">IFERROR(__xludf.DUMMYFUNCTION("""COMPUTED_VALUE"""),"Χρσσοσωτήρα. An early byzantine fortress on the peninsula of Hrisosotira at the town of Chernomorets 5th–7th century, 3 София, изд.Уникарт 2019, ISBN 978-954-2953-88-3 Стр.1- 160.")</f>
        <v>Χρσσοσωτήρα. An early byzantine fortress on the peninsula of Hrisosotira at the town of Chernomorets 5th–7th century, 3 София, изд.Уникарт 2019, ISBN 978-954-2953-88-3 Стр.1- 160.</v>
      </c>
      <c r="F3593" s="10"/>
      <c r="G3593" s="10"/>
      <c r="H3593" s="10"/>
      <c r="I3593" s="10"/>
      <c r="J3593" s="10"/>
      <c r="K3593" s="10"/>
      <c r="L3593" s="10"/>
      <c r="M3593" s="10"/>
      <c r="N3593" s="10"/>
      <c r="O3593" s="10"/>
      <c r="P3593" s="10"/>
      <c r="Q3593" s="10"/>
      <c r="R3593" s="10"/>
      <c r="S3593" s="10"/>
      <c r="T3593" s="10"/>
      <c r="U3593" s="10"/>
      <c r="V3593" s="10"/>
      <c r="W3593" s="10"/>
      <c r="X3593" s="10"/>
      <c r="Y3593" s="10"/>
      <c r="Z3593" s="10"/>
    </row>
    <row r="3594" spans="1:26" ht="12.75">
      <c r="A3594" s="10" t="str">
        <f ca="1">IFERROR(__xludf.DUMMYFUNCTION("""COMPUTED_VALUE"""),"Иван Христов Христов")</f>
        <v>Иван Христов Христов</v>
      </c>
      <c r="B3594" s="10" t="str">
        <f ca="1">IFERROR(__xludf.DUMMYFUNCTION("""COMPUTED_VALUE"""),"Студия")</f>
        <v>Студия</v>
      </c>
      <c r="C3594" s="10" t="str">
        <f ca="1">IFERROR(__xludf.DUMMYFUNCTION("""COMPUTED_VALUE"""),"Археологически проучвания на остров Св. Тома и неговата акватория")</f>
        <v>Археологически проучвания на остров Св. Тома и неговата акватория</v>
      </c>
      <c r="D3594" s="10">
        <f ca="1">IFERROR(__xludf.DUMMYFUNCTION("""COMPUTED_VALUE"""),2019)</f>
        <v>2019</v>
      </c>
      <c r="E3594" s="10" t="str">
        <f ca="1">IFERROR(__xludf.DUMMYFUNCTION("""COMPUTED_VALUE"""),"Известия на Национален исторически музей, том 31, 2019, ISSN 1311-5219, стр. 97-150.")</f>
        <v>Известия на Национален исторически музей, том 31, 2019, ISSN 1311-5219, стр. 97-150.</v>
      </c>
      <c r="F3594" s="10"/>
      <c r="G3594" s="10" t="str">
        <f ca="1">IFERROR(__xludf.DUMMYFUNCTION("""COMPUTED_VALUE"""),"М. Манолова, М. Попова, Т. Ангелов и К. Велковски.")</f>
        <v>М. Манолова, М. Попова, Т. Ангелов и К. Велковски.</v>
      </c>
      <c r="H3594" s="10"/>
      <c r="I3594" s="10"/>
      <c r="J3594" s="10"/>
      <c r="K3594" s="10"/>
      <c r="L3594" s="10"/>
      <c r="M3594" s="10"/>
      <c r="N3594" s="10"/>
      <c r="O3594" s="10"/>
      <c r="P3594" s="10"/>
      <c r="Q3594" s="10"/>
      <c r="R3594" s="10"/>
      <c r="S3594" s="10"/>
      <c r="T3594" s="10"/>
      <c r="U3594" s="10"/>
      <c r="V3594" s="10"/>
      <c r="W3594" s="10"/>
      <c r="X3594" s="10"/>
      <c r="Y3594" s="10"/>
      <c r="Z3594" s="10"/>
    </row>
    <row r="3595" spans="1:26" ht="12.75">
      <c r="A3595" s="10" t="str">
        <f ca="1">IFERROR(__xludf.DUMMYFUNCTION("""COMPUTED_VALUE"""),"Иван Христов Христов")</f>
        <v>Иван Христов Христов</v>
      </c>
      <c r="B3595" s="10" t="str">
        <f ca="1">IFERROR(__xludf.DUMMYFUNCTION("""COMPUTED_VALUE"""),"Статия в списания и поредици")</f>
        <v>Статия в списания и поредици</v>
      </c>
      <c r="C3595" s="10" t="str">
        <f ca="1">IFERROR(__xludf.DUMMYFUNCTION("""COMPUTED_VALUE"""),"Бронзов пръстен с изоблажение на сцената „Поклонение на влъхвите“ от късноантичната крепост Акра при гр. Черноморец..")</f>
        <v>Бронзов пръстен с изоблажение на сцената „Поклонение на влъхвите“ от късноантичната крепост Акра при гр. Черноморец..</v>
      </c>
      <c r="D3595" s="10">
        <f ca="1">IFERROR(__xludf.DUMMYFUNCTION("""COMPUTED_VALUE"""),2019)</f>
        <v>2019</v>
      </c>
      <c r="E3595" s="10" t="str">
        <f ca="1">IFERROR(__xludf.DUMMYFUNCTION("""COMPUTED_VALUE"""),"Известия на Национален исторически музей, том 31, 2019,ISSN 1311-5219, стр.151-159")</f>
        <v>Известия на Национален исторически музей, том 31, 2019,ISSN 1311-5219, стр.151-159</v>
      </c>
      <c r="F3595" s="10"/>
      <c r="G3595" s="10" t="str">
        <f ca="1">IFERROR(__xludf.DUMMYFUNCTION("""COMPUTED_VALUE"""),"Николай Марков")</f>
        <v>Николай Марков</v>
      </c>
      <c r="H3595" s="10"/>
      <c r="I3595" s="10"/>
      <c r="J3595" s="10"/>
      <c r="K3595" s="10"/>
      <c r="L3595" s="10"/>
      <c r="M3595" s="10"/>
      <c r="N3595" s="10"/>
      <c r="O3595" s="10"/>
      <c r="P3595" s="10"/>
      <c r="Q3595" s="10"/>
      <c r="R3595" s="10"/>
      <c r="S3595" s="10"/>
      <c r="T3595" s="10"/>
      <c r="U3595" s="10"/>
      <c r="V3595" s="10"/>
      <c r="W3595" s="10"/>
      <c r="X3595" s="10"/>
      <c r="Y3595" s="10"/>
      <c r="Z3595" s="10"/>
    </row>
    <row r="3596" spans="1:26" ht="12.75">
      <c r="A3596" s="10" t="str">
        <f ca="1">IFERROR(__xludf.DUMMYFUNCTION("""COMPUTED_VALUE"""),"Иван Христов Христов")</f>
        <v>Иван Христов Христов</v>
      </c>
      <c r="B3596" s="10" t="str">
        <f ca="1">IFERROR(__xludf.DUMMYFUNCTION("""COMPUTED_VALUE"""),"Статия в списания и поредици")</f>
        <v>Статия в списания и поредици</v>
      </c>
      <c r="C3596" s="10" t="str">
        <f ca="1">IFERROR(__xludf.DUMMYFUNCTION("""COMPUTED_VALUE"""),"Бележки върху историята и археологията на крепостта при нос Емине до с. Емона, Община Несебър")</f>
        <v>Бележки върху историята и археологията на крепостта при нос Емине до с. Емона, Община Несебър</v>
      </c>
      <c r="D3596" s="10">
        <f ca="1">IFERROR(__xludf.DUMMYFUNCTION("""COMPUTED_VALUE"""),2018)</f>
        <v>2018</v>
      </c>
      <c r="E3596" s="10" t="str">
        <f ca="1">IFERROR(__xludf.DUMMYFUNCTION("""COMPUTED_VALUE"""),"Известия на Национален исторически музей, том XXX, София 2018, ISSN 1311-5219, стр. 49-71")</f>
        <v>Известия на Национален исторически музей, том XXX, София 2018, ISSN 1311-5219, стр. 49-71</v>
      </c>
      <c r="F3596" s="10"/>
      <c r="G3596" s="10" t="str">
        <f ca="1">IFERROR(__xludf.DUMMYFUNCTION("""COMPUTED_VALUE"""),"Милен Николов")</f>
        <v>Милен Николов</v>
      </c>
      <c r="H3596" s="10"/>
      <c r="I3596" s="10"/>
      <c r="J3596" s="10"/>
      <c r="K3596" s="10"/>
      <c r="L3596" s="10"/>
      <c r="M3596" s="10"/>
      <c r="N3596" s="10"/>
      <c r="O3596" s="10"/>
      <c r="P3596" s="10"/>
      <c r="Q3596" s="10"/>
      <c r="R3596" s="10"/>
      <c r="S3596" s="10"/>
      <c r="T3596" s="10"/>
      <c r="U3596" s="10"/>
      <c r="V3596" s="10"/>
      <c r="W3596" s="10"/>
      <c r="X3596" s="10"/>
      <c r="Y3596" s="10"/>
      <c r="Z3596" s="10"/>
    </row>
    <row r="3597" spans="1:26" ht="12.75">
      <c r="A3597" s="10" t="str">
        <f ca="1">IFERROR(__xludf.DUMMYFUNCTION("""COMPUTED_VALUE"""),"Иван Христов Христов")</f>
        <v>Иван Христов Христов</v>
      </c>
      <c r="B3597" s="10" t="str">
        <f ca="1">IFERROR(__xludf.DUMMYFUNCTION("""COMPUTED_VALUE"""),"Книга")</f>
        <v>Книга</v>
      </c>
      <c r="C3597" s="10" t="str">
        <f ca="1">IFERROR(__xludf.DUMMYFUNCTION("""COMPUTED_VALUE"""),"Mare Ponticum. Крайбрежни крепости и пристанища в провинция Хемимонт V-VII век.”. = Mare Ponticum. Coastal fortresses and harbour zones in the province of Haemimont 5 th - – 7th century")</f>
        <v>Mare Ponticum. Крайбрежни крепости и пристанища в провинция Хемимонт V-VII век.”. = Mare Ponticum. Coastal fortresses and harbour zones in the province of Haemimont 5 th - – 7th century</v>
      </c>
      <c r="D3597" s="10">
        <f ca="1">IFERROR(__xludf.DUMMYFUNCTION("""COMPUTED_VALUE"""),2018)</f>
        <v>2018</v>
      </c>
      <c r="E3597" s="10" t="str">
        <f ca="1">IFERROR(__xludf.DUMMYFUNCTION("""COMPUTED_VALUE"""),"София 2018,издателство Уникарт, ISBN 978-954-2953-85-2,c.1-432")</f>
        <v>София 2018,издателство Уникарт, ISBN 978-954-2953-85-2,c.1-432</v>
      </c>
      <c r="F3597" s="10"/>
      <c r="G3597" s="10"/>
      <c r="H3597" s="10"/>
      <c r="I3597" s="10"/>
      <c r="J3597" s="10"/>
      <c r="K3597" s="10"/>
      <c r="L3597" s="10"/>
      <c r="M3597" s="10"/>
      <c r="N3597" s="10"/>
      <c r="O3597" s="10"/>
      <c r="P3597" s="10"/>
      <c r="Q3597" s="10"/>
      <c r="R3597" s="10"/>
      <c r="S3597" s="10"/>
      <c r="T3597" s="10"/>
      <c r="U3597" s="10"/>
      <c r="V3597" s="10"/>
      <c r="W3597" s="10"/>
      <c r="X3597" s="10"/>
      <c r="Y3597" s="10"/>
      <c r="Z3597" s="10"/>
    </row>
    <row r="3598" spans="1:26" ht="12.75">
      <c r="A3598" s="10" t="str">
        <f ca="1">IFERROR(__xludf.DUMMYFUNCTION("""COMPUTED_VALUE"""),"Иван Христов Христов")</f>
        <v>Иван Христов Христов</v>
      </c>
      <c r="B3598" s="10" t="str">
        <f ca="1">IFERROR(__xludf.DUMMYFUNCTION("""COMPUTED_VALUE"""),"Статия в списания и поредици")</f>
        <v>Статия в списания и поредици</v>
      </c>
      <c r="C3598" s="10" t="str">
        <f ca="1">IFERROR(__xludf.DUMMYFUNCTION("""COMPUTED_VALUE"""),"Метрологични паметници от пристанищната зона на ранновизантийската крепост Хрисосотира при гр. Черноморец")</f>
        <v>Метрологични паметници от пристанищната зона на ранновизантийската крепост Хрисосотира при гр. Черноморец</v>
      </c>
      <c r="D3598" s="10">
        <f ca="1">IFERROR(__xludf.DUMMYFUNCTION("""COMPUTED_VALUE"""),2018)</f>
        <v>2018</v>
      </c>
      <c r="E3598" s="10" t="str">
        <f ca="1">IFERROR(__xludf.DUMMYFUNCTION("""COMPUTED_VALUE"""),"Известия на Национален исторически музей, том XXX, София 2018, ISSN 1311-5219, стр. 229-241")</f>
        <v>Известия на Национален исторически музей, том XXX, София 2018, ISSN 1311-5219, стр. 229-241</v>
      </c>
      <c r="F3598" s="10"/>
      <c r="G3598" s="10"/>
      <c r="H3598" s="10"/>
      <c r="I3598" s="10"/>
      <c r="J3598" s="10"/>
      <c r="K3598" s="10"/>
      <c r="L3598" s="10"/>
      <c r="M3598" s="10"/>
      <c r="N3598" s="10"/>
      <c r="O3598" s="10"/>
      <c r="P3598" s="10"/>
      <c r="Q3598" s="10"/>
      <c r="R3598" s="10"/>
      <c r="S3598" s="10"/>
      <c r="T3598" s="10"/>
      <c r="U3598" s="10"/>
      <c r="V3598" s="10"/>
      <c r="W3598" s="10"/>
      <c r="X3598" s="10"/>
      <c r="Y3598" s="10"/>
      <c r="Z3598" s="10"/>
    </row>
    <row r="3599" spans="1:26" ht="12.75">
      <c r="A3599" s="10" t="str">
        <f ca="1">IFERROR(__xludf.DUMMYFUNCTION("""COMPUTED_VALUE"""),"Иван Христов Христов")</f>
        <v>Иван Христов Христов</v>
      </c>
      <c r="B3599" s="10" t="str">
        <f ca="1">IFERROR(__xludf.DUMMYFUNCTION("""COMPUTED_VALUE"""),"Статия в списания и поредици")</f>
        <v>Статия в списания и поредици</v>
      </c>
      <c r="C3599" s="10" t="str">
        <f ca="1">IFERROR(__xludf.DUMMYFUNCTION("""COMPUTED_VALUE"""),"За историята на остров (полуостров?) Св. Тома в залива на Аркутино.")</f>
        <v>За историята на остров (полуостров?) Св. Тома в залива на Аркутино.</v>
      </c>
      <c r="D3599" s="10">
        <f ca="1">IFERROR(__xludf.DUMMYFUNCTION("""COMPUTED_VALUE"""),2018)</f>
        <v>2018</v>
      </c>
      <c r="E3599" s="10" t="str">
        <f ca="1">IFERROR(__xludf.DUMMYFUNCTION("""COMPUTED_VALUE"""),"Известия на РИМ Бургас, том 6, Бургас, ISSN, 0407-9477, стр. 2018, 9-21")</f>
        <v>Известия на РИМ Бургас, том 6, Бургас, ISSN, 0407-9477, стр. 2018, 9-21</v>
      </c>
      <c r="F3599" s="10"/>
      <c r="G3599" s="10"/>
      <c r="H3599" s="10"/>
      <c r="I3599" s="10"/>
      <c r="J3599" s="10"/>
      <c r="K3599" s="10"/>
      <c r="L3599" s="10"/>
      <c r="M3599" s="10"/>
      <c r="N3599" s="10"/>
      <c r="O3599" s="10"/>
      <c r="P3599" s="10"/>
      <c r="Q3599" s="10"/>
      <c r="R3599" s="10"/>
      <c r="S3599" s="10"/>
      <c r="T3599" s="10"/>
      <c r="U3599" s="10"/>
      <c r="V3599" s="10"/>
      <c r="W3599" s="10"/>
      <c r="X3599" s="10"/>
      <c r="Y3599" s="10"/>
      <c r="Z3599" s="10"/>
    </row>
    <row r="3600" spans="1:26" ht="12.75">
      <c r="A3600" s="10" t="str">
        <f ca="1">IFERROR(__xludf.DUMMYFUNCTION("""COMPUTED_VALUE"""),"Иван Христов Христов")</f>
        <v>Иван Христов Христов</v>
      </c>
      <c r="B3600" s="10" t="str">
        <f ca="1">IFERROR(__xludf.DUMMYFUNCTION("""COMPUTED_VALUE"""),"Статия в списания и поредици")</f>
        <v>Статия в списания и поредици</v>
      </c>
      <c r="C3600" s="10" t="str">
        <f ca="1">IFERROR(__xludf.DUMMYFUNCTION("""COMPUTED_VALUE"""),"Антично селище и крепост на полуостров Атия в Бургаския залив")</f>
        <v>Антично селище и крепост на полуостров Атия в Бургаския залив</v>
      </c>
      <c r="D3600" s="10">
        <f ca="1">IFERROR(__xludf.DUMMYFUNCTION("""COMPUTED_VALUE"""),2018)</f>
        <v>2018</v>
      </c>
      <c r="E3600" s="10" t="str">
        <f ca="1">IFERROR(__xludf.DUMMYFUNCTION("""COMPUTED_VALUE"""),"Известия на Национален исторически музей, том XXX, София 2018, ISSN 1311-5219, стр. 31-48")</f>
        <v>Известия на Национален исторически музей, том XXX, София 2018, ISSN 1311-5219, стр. 31-48</v>
      </c>
      <c r="F3600" s="10"/>
      <c r="G3600" s="10"/>
      <c r="H3600" s="10"/>
      <c r="I3600" s="10"/>
      <c r="J3600" s="10"/>
      <c r="K3600" s="10"/>
      <c r="L3600" s="10"/>
      <c r="M3600" s="10"/>
      <c r="N3600" s="10"/>
      <c r="O3600" s="10"/>
      <c r="P3600" s="10"/>
      <c r="Q3600" s="10"/>
      <c r="R3600" s="10"/>
      <c r="S3600" s="10"/>
      <c r="T3600" s="10"/>
      <c r="U3600" s="10"/>
      <c r="V3600" s="10"/>
      <c r="W3600" s="10"/>
      <c r="X3600" s="10"/>
      <c r="Y3600" s="10"/>
      <c r="Z3600" s="10"/>
    </row>
    <row r="3601" spans="1:26" ht="12.75">
      <c r="A3601" s="10" t="str">
        <f ca="1">IFERROR(__xludf.DUMMYFUNCTION("""COMPUTED_VALUE"""),"Иван Христов Христов")</f>
        <v>Иван Христов Христов</v>
      </c>
      <c r="B3601" s="10" t="str">
        <f ca="1">IFERROR(__xludf.DUMMYFUNCTION("""COMPUTED_VALUE"""),"Студия")</f>
        <v>Студия</v>
      </c>
      <c r="C3601" s="10" t="str">
        <f ca="1">IFERROR(__xludf.DUMMYFUNCTION("""COMPUTED_VALUE"""),"Античната история на Троянския край (І хил. пр. Хр. – началото на VІІ век сл.Хр.)")</f>
        <v>Античната история на Троянския край (І хил. пр. Хр. – началото на VІІ век сл.Хр.)</v>
      </c>
      <c r="D3601" s="10">
        <f ca="1">IFERROR(__xludf.DUMMYFUNCTION("""COMPUTED_VALUE"""),2018)</f>
        <v>2018</v>
      </c>
      <c r="E3601" s="10" t="str">
        <f ca="1">IFERROR(__xludf.DUMMYFUNCTION("""COMPUTED_VALUE"""),"Троян. Документи, открития, събития, личности В. Търново, 2018, ISBN- 978-619-00-0754-8, стр. 48-82.")</f>
        <v>Троян. Документи, открития, събития, личности В. Търново, 2018, ISBN- 978-619-00-0754-8, стр. 48-82.</v>
      </c>
      <c r="F3601" s="10"/>
      <c r="G3601" s="10"/>
      <c r="H3601" s="10"/>
      <c r="I3601" s="10"/>
      <c r="J3601" s="10"/>
      <c r="K3601" s="10"/>
      <c r="L3601" s="10"/>
      <c r="M3601" s="10"/>
      <c r="N3601" s="10"/>
      <c r="O3601" s="10"/>
      <c r="P3601" s="10"/>
      <c r="Q3601" s="10"/>
      <c r="R3601" s="10"/>
      <c r="S3601" s="10"/>
      <c r="T3601" s="10"/>
      <c r="U3601" s="10"/>
      <c r="V3601" s="10"/>
      <c r="W3601" s="10"/>
      <c r="X3601" s="10"/>
      <c r="Y3601" s="10"/>
      <c r="Z3601" s="10"/>
    </row>
    <row r="3602" spans="1:26" ht="12.75">
      <c r="A3602" s="10" t="str">
        <f ca="1">IFERROR(__xludf.DUMMYFUNCTION("""COMPUTED_VALUE"""),"Иван Христов Христов")</f>
        <v>Иван Христов Христов</v>
      </c>
      <c r="B3602" s="10" t="str">
        <f ca="1">IFERROR(__xludf.DUMMYFUNCTION("""COMPUTED_VALUE"""),"Статия в списания и поредици")</f>
        <v>Статия в списания и поредици</v>
      </c>
      <c r="C3602" s="10" t="str">
        <f ca="1">IFERROR(__xludf.DUMMYFUNCTION("""COMPUTED_VALUE"""),"Раннохристиянска базилика в м. Разкопаница, землище на с. Старосел, Община Хисаря")</f>
        <v>Раннохристиянска базилика в м. Разкопаница, землище на с. Старосел, Община Хисаря</v>
      </c>
      <c r="D3602" s="10">
        <f ca="1">IFERROR(__xludf.DUMMYFUNCTION("""COMPUTED_VALUE"""),2017)</f>
        <v>2017</v>
      </c>
      <c r="E3602" s="10" t="str">
        <f ca="1">IFERROR(__xludf.DUMMYFUNCTION("""COMPUTED_VALUE"""),"Известия на Националния исторически музей том 29, 2017, ISSN 1311-5219, стр 64–80")</f>
        <v>Известия на Националния исторически музей том 29, 2017, ISSN 1311-5219, стр 64–80</v>
      </c>
      <c r="F3602" s="10"/>
      <c r="G3602" s="10"/>
      <c r="H3602" s="10"/>
      <c r="I3602" s="10"/>
      <c r="J3602" s="10"/>
      <c r="K3602" s="10"/>
      <c r="L3602" s="10"/>
      <c r="M3602" s="10"/>
      <c r="N3602" s="10"/>
      <c r="O3602" s="10"/>
      <c r="P3602" s="10"/>
      <c r="Q3602" s="10"/>
      <c r="R3602" s="10"/>
      <c r="S3602" s="10"/>
      <c r="T3602" s="10"/>
      <c r="U3602" s="10"/>
      <c r="V3602" s="10"/>
      <c r="W3602" s="10"/>
      <c r="X3602" s="10"/>
      <c r="Y3602" s="10"/>
      <c r="Z3602" s="10"/>
    </row>
    <row r="3603" spans="1:26" ht="12.75">
      <c r="A3603" s="10" t="str">
        <f ca="1">IFERROR(__xludf.DUMMYFUNCTION("""COMPUTED_VALUE"""),"Иван Христов Христов")</f>
        <v>Иван Христов Христов</v>
      </c>
      <c r="B3603" s="10" t="str">
        <f ca="1">IFERROR(__xludf.DUMMYFUNCTION("""COMPUTED_VALUE"""),"Статия в списания и поредици")</f>
        <v>Статия в списания и поредици</v>
      </c>
      <c r="C3603" s="10" t="str">
        <f ca="1">IFERROR(__xludf.DUMMYFUNCTION("""COMPUTED_VALUE"""),"Тракийската Акра. Проучване на ями от ІХ в. пр. Хр. на нос Акра, землище на гр. Черноморец")</f>
        <v>Тракийската Акра. Проучване на ями от ІХ в. пр. Хр. на нос Акра, землище на гр. Черноморец</v>
      </c>
      <c r="D3603" s="10">
        <f ca="1">IFERROR(__xludf.DUMMYFUNCTION("""COMPUTED_VALUE"""),2017)</f>
        <v>2017</v>
      </c>
      <c r="E3603" s="10" t="str">
        <f ca="1">IFERROR(__xludf.DUMMYFUNCTION("""COMPUTED_VALUE"""),"Известия на Националния исторически музей том 29, 2017, ISSN 1311-5219, стр. 9–38.")</f>
        <v>Известия на Националния исторически музей том 29, 2017, ISSN 1311-5219, стр. 9–38.</v>
      </c>
      <c r="F3603" s="10"/>
      <c r="G3603" s="10"/>
      <c r="H3603" s="10"/>
      <c r="I3603" s="10"/>
      <c r="J3603" s="10"/>
      <c r="K3603" s="10"/>
      <c r="L3603" s="10"/>
      <c r="M3603" s="10"/>
      <c r="N3603" s="10"/>
      <c r="O3603" s="10"/>
      <c r="P3603" s="10"/>
      <c r="Q3603" s="10"/>
      <c r="R3603" s="10"/>
      <c r="S3603" s="10"/>
      <c r="T3603" s="10"/>
      <c r="U3603" s="10"/>
      <c r="V3603" s="10"/>
      <c r="W3603" s="10"/>
      <c r="X3603" s="10"/>
      <c r="Y3603" s="10"/>
      <c r="Z3603" s="10"/>
    </row>
    <row r="3604" spans="1:26" ht="12.75">
      <c r="A3604" s="10" t="str">
        <f ca="1">IFERROR(__xludf.DUMMYFUNCTION("""COMPUTED_VALUE"""),"Иван Христов Христов")</f>
        <v>Иван Христов Христов</v>
      </c>
      <c r="B3604" s="10" t="str">
        <f ca="1">IFERROR(__xludf.DUMMYFUNCTION("""COMPUTED_VALUE"""),"Статия в списания и поредици")</f>
        <v>Статия в списания и поредици</v>
      </c>
      <c r="C3604" s="10" t="str">
        <f ca="1">IFERROR(__xludf.DUMMYFUNCTION("""COMPUTED_VALUE"""),"За така наречената крепост на нос Кюприя (Боруна) при гр. Приморско")</f>
        <v>За така наречената крепост на нос Кюприя (Боруна) при гр. Приморско</v>
      </c>
      <c r="D3604" s="10">
        <f ca="1">IFERROR(__xludf.DUMMYFUNCTION("""COMPUTED_VALUE"""),2017)</f>
        <v>2017</v>
      </c>
      <c r="E3604" s="10" t="str">
        <f ca="1">IFERROR(__xludf.DUMMYFUNCTION("""COMPUTED_VALUE"""),"Известия на Националния исторически музей том 29, 2017, ISSN 1311-5219, стр 117–129")</f>
        <v>Известия на Националния исторически музей том 29, 2017, ISSN 1311-5219, стр 117–129</v>
      </c>
      <c r="F3604" s="10"/>
      <c r="G3604" s="10"/>
      <c r="H3604" s="10"/>
      <c r="I3604" s="10"/>
      <c r="J3604" s="10"/>
      <c r="K3604" s="10"/>
      <c r="L3604" s="10"/>
      <c r="M3604" s="10"/>
      <c r="N3604" s="10"/>
      <c r="O3604" s="10"/>
      <c r="P3604" s="10"/>
      <c r="Q3604" s="10"/>
      <c r="R3604" s="10"/>
      <c r="S3604" s="10"/>
      <c r="T3604" s="10"/>
      <c r="U3604" s="10"/>
      <c r="V3604" s="10"/>
      <c r="W3604" s="10"/>
      <c r="X3604" s="10"/>
      <c r="Y3604" s="10"/>
      <c r="Z3604" s="10"/>
    </row>
    <row r="3605" spans="1:26" ht="12.75">
      <c r="A3605" s="10" t="str">
        <f ca="1">IFERROR(__xludf.DUMMYFUNCTION("""COMPUTED_VALUE"""),"Иван Христов Христов")</f>
        <v>Иван Христов Христов</v>
      </c>
      <c r="B3605" s="10" t="str">
        <f ca="1">IFERROR(__xludf.DUMMYFUNCTION("""COMPUTED_VALUE"""),"Книга")</f>
        <v>Книга</v>
      </c>
      <c r="C3605" s="10" t="str">
        <f ca="1">IFERROR(__xludf.DUMMYFUNCTION("""COMPUTED_VALUE"""),"Χρσσοσωτήρα. Ранновизантийска крепост на полуостров Хрисосотира при град Черноморец V–V век")</f>
        <v>Χρσσοσωτήρα. Ранновизантийска крепост на полуостров Хрисосотира при град Черноморец V–V век</v>
      </c>
      <c r="D3605" s="10">
        <f ca="1">IFERROR(__xludf.DUMMYFUNCTION("""COMPUTED_VALUE"""),2017)</f>
        <v>2017</v>
      </c>
      <c r="E3605" s="10" t="str">
        <f ca="1">IFERROR(__xludf.DUMMYFUNCTION("""COMPUTED_VALUE"""),"Χρσσοσωτήρα. An early byzantine fortress on the peninsula of Hrisosotira at the town of Chernomorets 5th–7th century, 2 София, изд.Уникарт 2017, ISBN 978–954–2953–68–5 Стр.1- 160.")</f>
        <v>Χρσσοσωτήρα. An early byzantine fortress on the peninsula of Hrisosotira at the town of Chernomorets 5th–7th century, 2 София, изд.Уникарт 2017, ISBN 978–954–2953–68–5 Стр.1- 160.</v>
      </c>
      <c r="F3605" s="10"/>
      <c r="G3605" s="10"/>
      <c r="H3605" s="10"/>
      <c r="I3605" s="10"/>
      <c r="J3605" s="10"/>
      <c r="K3605" s="10"/>
      <c r="L3605" s="10"/>
      <c r="M3605" s="10"/>
      <c r="N3605" s="10"/>
      <c r="O3605" s="10"/>
      <c r="P3605" s="10"/>
      <c r="Q3605" s="10"/>
      <c r="R3605" s="10"/>
      <c r="S3605" s="10"/>
      <c r="T3605" s="10"/>
      <c r="U3605" s="10"/>
      <c r="V3605" s="10"/>
      <c r="W3605" s="10"/>
      <c r="X3605" s="10"/>
      <c r="Y3605" s="10"/>
      <c r="Z3605" s="10"/>
    </row>
    <row r="3606" spans="1:26" ht="12.75">
      <c r="A3606" s="10" t="str">
        <f ca="1">IFERROR(__xludf.DUMMYFUNCTION("""COMPUTED_VALUE"""),"Иван Христов Христов")</f>
        <v>Иван Христов Христов</v>
      </c>
      <c r="B3606" s="10" t="str">
        <f ca="1">IFERROR(__xludf.DUMMYFUNCTION("""COMPUTED_VALUE"""),"Статия в списания и поредици")</f>
        <v>Статия в списания и поредици</v>
      </c>
      <c r="C3606" s="10" t="str">
        <f ca="1">IFERROR(__xludf.DUMMYFUNCTION("""COMPUTED_VALUE"""),"The “hidden” megaliths in the Sredna Gora Mountain. A look at the rock sanctuaries – submound temples relationship in the area of Starosel, Hisar Municipality")</f>
        <v>The “hidden” megaliths in the Sredna Gora Mountain. A look at the rock sanctuaries – submound temples relationship in the area of Starosel, Hisar Municipality</v>
      </c>
      <c r="D3606" s="10">
        <f ca="1">IFERROR(__xludf.DUMMYFUNCTION("""COMPUTED_VALUE"""),2016)</f>
        <v>2016</v>
      </c>
      <c r="E3606" s="10" t="str">
        <f ca="1">IFERROR(__xludf.DUMMYFUNCTION("""COMPUTED_VALUE"""),"Second international Symposium. Megalithic and Cult practices. Blagoevgrad, оctober 12–15 2016. Neofit Rilski University Press, р.211-223., ISBN 978-954-00-0094-7")</f>
        <v>Second international Symposium. Megalithic and Cult practices. Blagoevgrad, оctober 12–15 2016. Neofit Rilski University Press, р.211-223., ISBN 978-954-00-0094-7</v>
      </c>
      <c r="F3606" s="10"/>
      <c r="G3606" s="10"/>
      <c r="H3606" s="10"/>
      <c r="I3606" s="10"/>
      <c r="J3606" s="10"/>
      <c r="K3606" s="10"/>
      <c r="L3606" s="10"/>
      <c r="M3606" s="10"/>
      <c r="N3606" s="10"/>
      <c r="O3606" s="10"/>
      <c r="P3606" s="10"/>
      <c r="Q3606" s="10"/>
      <c r="R3606" s="10"/>
      <c r="S3606" s="10"/>
      <c r="T3606" s="10"/>
      <c r="U3606" s="10"/>
      <c r="V3606" s="10"/>
      <c r="W3606" s="10"/>
      <c r="X3606" s="10"/>
      <c r="Y3606" s="10"/>
      <c r="Z3606" s="10"/>
    </row>
    <row r="3607" spans="1:26" ht="12.75">
      <c r="A3607" s="10" t="str">
        <f ca="1">IFERROR(__xludf.DUMMYFUNCTION("""COMPUTED_VALUE"""),"Иван Христов Христов")</f>
        <v>Иван Христов Христов</v>
      </c>
      <c r="B3607" s="10" t="str">
        <f ca="1">IFERROR(__xludf.DUMMYFUNCTION("""COMPUTED_VALUE"""),"Книга")</f>
        <v>Книга</v>
      </c>
      <c r="C3607" s="10" t="str">
        <f ca="1">IFERROR(__xludf.DUMMYFUNCTION("""COMPUTED_VALUE"""),"Фармакида. Проучване на тюрзис от елинистическата епоха в м. Фармакида, Община Приморско ІІ–І в. пр. Хр. Farmakida. Study of a τσρσισ from the Hellenistic period in the Farmakida locality, Primorsko municipality 2nd–1st c. BC")</f>
        <v>Фармакида. Проучване на тюрзис от елинистическата епоха в м. Фармакида, Община Приморско ІІ–І в. пр. Хр. Farmakida. Study of a τσρσισ from the Hellenistic period in the Farmakida locality, Primorsko municipality 2nd–1st c. BC</v>
      </c>
      <c r="D3607" s="10">
        <f ca="1">IFERROR(__xludf.DUMMYFUNCTION("""COMPUTED_VALUE"""),2016)</f>
        <v>2016</v>
      </c>
      <c r="E3607" s="10" t="str">
        <f ca="1">IFERROR(__xludf.DUMMYFUNCTION("""COMPUTED_VALUE"""),"София ,издателство Уникарт, София 2016. ISBN- 978-954-2953-61-6, стр. , 1–192")</f>
        <v>София ,издателство Уникарт, София 2016. ISBN- 978-954-2953-61-6, стр. , 1–192</v>
      </c>
      <c r="F3607" s="10"/>
      <c r="G3607" s="10"/>
      <c r="H3607" s="10"/>
      <c r="I3607" s="10"/>
      <c r="J3607" s="10"/>
      <c r="K3607" s="10"/>
      <c r="L3607" s="10"/>
      <c r="M3607" s="10"/>
      <c r="N3607" s="10"/>
      <c r="O3607" s="10"/>
      <c r="P3607" s="10"/>
      <c r="Q3607" s="10"/>
      <c r="R3607" s="10"/>
      <c r="S3607" s="10"/>
      <c r="T3607" s="10"/>
      <c r="U3607" s="10"/>
      <c r="V3607" s="10"/>
      <c r="W3607" s="10"/>
      <c r="X3607" s="10"/>
      <c r="Y3607" s="10"/>
      <c r="Z3607" s="10"/>
    </row>
    <row r="3608" spans="1:26" ht="12.75">
      <c r="A3608" s="10" t="str">
        <f ca="1">IFERROR(__xludf.DUMMYFUNCTION("""COMPUTED_VALUE"""),"Иван Христов Христов")</f>
        <v>Иван Христов Христов</v>
      </c>
      <c r="B3608" s="10" t="str">
        <f ca="1">IFERROR(__xludf.DUMMYFUNCTION("""COMPUTED_VALUE"""),"Книга")</f>
        <v>Книга</v>
      </c>
      <c r="C3608" s="10" t="str">
        <f ca="1">IFERROR(__xludf.DUMMYFUNCTION("""COMPUTED_VALUE"""),"Римските императори в Тракия")</f>
        <v>Римските императори в Тракия</v>
      </c>
      <c r="D3608" s="10">
        <f ca="1">IFERROR(__xludf.DUMMYFUNCTION("""COMPUTED_VALUE"""),2016)</f>
        <v>2016</v>
      </c>
      <c r="E3608" s="10" t="str">
        <f ca="1">IFERROR(__xludf.DUMMYFUNCTION("""COMPUTED_VALUE"""),"София ,издателство Уникарт, ISBN 978-954-2953-65-4, стр.1-360")</f>
        <v>София ,издателство Уникарт, ISBN 978-954-2953-65-4, стр.1-360</v>
      </c>
      <c r="F3608" s="10"/>
      <c r="G3608" s="10"/>
      <c r="H3608" s="10"/>
      <c r="I3608" s="10"/>
      <c r="J3608" s="10"/>
      <c r="K3608" s="10"/>
      <c r="L3608" s="10"/>
      <c r="M3608" s="10"/>
      <c r="N3608" s="10"/>
      <c r="O3608" s="10"/>
      <c r="P3608" s="10"/>
      <c r="Q3608" s="10"/>
      <c r="R3608" s="10"/>
      <c r="S3608" s="10"/>
      <c r="T3608" s="10"/>
      <c r="U3608" s="10"/>
      <c r="V3608" s="10"/>
      <c r="W3608" s="10"/>
      <c r="X3608" s="10"/>
      <c r="Y3608" s="10"/>
      <c r="Z3608" s="10"/>
    </row>
    <row r="3609" spans="1:26" ht="12.75">
      <c r="A3609" s="10" t="str">
        <f ca="1">IFERROR(__xludf.DUMMYFUNCTION("""COMPUTED_VALUE"""),"Иван Христов Христов")</f>
        <v>Иван Христов Христов</v>
      </c>
      <c r="B3609" s="10" t="str">
        <f ca="1">IFERROR(__xludf.DUMMYFUNCTION("""COMPUTED_VALUE"""),"Книга")</f>
        <v>Книга</v>
      </c>
      <c r="C3609" s="10" t="str">
        <f ca="1">IFERROR(__xludf.DUMMYFUNCTION("""COMPUTED_VALUE"""),"Президии, бурги и фрури в провинция Мизия и Тракия II–ІV век")</f>
        <v>Президии, бурги и фрури в провинция Мизия и Тракия II–ІV век</v>
      </c>
      <c r="D3609" s="10">
        <f ca="1">IFERROR(__xludf.DUMMYFUNCTION("""COMPUTED_VALUE"""),2016)</f>
        <v>2016</v>
      </c>
      <c r="E3609" s="10" t="str">
        <f ca="1">IFERROR(__xludf.DUMMYFUNCTION("""COMPUTED_VALUE"""),"София ,издателство Уникарт, София 2016. ISBN- 978-954-07-4202-1-стр. , 1–224")</f>
        <v>София ,издателство Уникарт, София 2016. ISBN- 978-954-07-4202-1-стр. , 1–224</v>
      </c>
      <c r="F3609" s="10"/>
      <c r="G3609" s="10"/>
      <c r="H3609" s="10"/>
      <c r="I3609" s="10"/>
      <c r="J3609" s="10"/>
      <c r="K3609" s="10"/>
      <c r="L3609" s="10"/>
      <c r="M3609" s="10"/>
      <c r="N3609" s="10"/>
      <c r="O3609" s="10"/>
      <c r="P3609" s="10"/>
      <c r="Q3609" s="10"/>
      <c r="R3609" s="10"/>
      <c r="S3609" s="10"/>
      <c r="T3609" s="10"/>
      <c r="U3609" s="10"/>
      <c r="V3609" s="10"/>
      <c r="W3609" s="10"/>
      <c r="X3609" s="10"/>
      <c r="Y3609" s="10"/>
      <c r="Z3609" s="10"/>
    </row>
    <row r="3610" spans="1:26" ht="12.75">
      <c r="A3610" s="10" t="str">
        <f ca="1">IFERROR(__xludf.DUMMYFUNCTION("""COMPUTED_VALUE"""),"Иван Христов Христов")</f>
        <v>Иван Христов Христов</v>
      </c>
      <c r="B3610" s="10" t="str">
        <f ca="1">IFERROR(__xludf.DUMMYFUNCTION("""COMPUTED_VALUE"""),"Статия в списания и поредици")</f>
        <v>Статия в списания и поредици</v>
      </c>
      <c r="C3610" s="10" t="str">
        <f ca="1">IFERROR(__xludf.DUMMYFUNCTION("""COMPUTED_VALUE"""),"Подводни археологически проучвания на емпорион в хората на Аполония Понтика – залив Вромос")</f>
        <v>Подводни археологически проучвания на емпорион в хората на Аполония Понтика – залив Вромос</v>
      </c>
      <c r="D3610" s="10">
        <f ca="1">IFERROR(__xludf.DUMMYFUNCTION("""COMPUTED_VALUE"""),2015)</f>
        <v>2015</v>
      </c>
      <c r="E3610" s="10" t="str">
        <f ca="1">IFERROR(__xludf.DUMMYFUNCTION("""COMPUTED_VALUE"""),"Известия на Бургаския музей том V В памет на Цоня Дражева, Бургас 2015, ISSN, 0407-9477 ,")</f>
        <v>Известия на Бургаския музей том V В памет на Цоня Дражева, Бургас 2015, ISSN, 0407-9477 ,</v>
      </c>
      <c r="F3610" s="10"/>
      <c r="G3610" s="10"/>
      <c r="H3610" s="10"/>
      <c r="I3610" s="10"/>
      <c r="J3610" s="10"/>
      <c r="K3610" s="10"/>
      <c r="L3610" s="10"/>
      <c r="M3610" s="10"/>
      <c r="N3610" s="10"/>
      <c r="O3610" s="10"/>
      <c r="P3610" s="10"/>
      <c r="Q3610" s="10"/>
      <c r="R3610" s="10"/>
      <c r="S3610" s="10"/>
      <c r="T3610" s="10"/>
      <c r="U3610" s="10"/>
      <c r="V3610" s="10"/>
      <c r="W3610" s="10"/>
      <c r="X3610" s="10"/>
      <c r="Y3610" s="10"/>
      <c r="Z3610" s="10"/>
    </row>
    <row r="3611" spans="1:26" ht="12.75">
      <c r="A3611" s="10" t="str">
        <f ca="1">IFERROR(__xludf.DUMMYFUNCTION("""COMPUTED_VALUE"""),"Иван Христов Христов")</f>
        <v>Иван Христов Христов</v>
      </c>
      <c r="B3611" s="10" t="str">
        <f ca="1">IFERROR(__xludf.DUMMYFUNCTION("""COMPUTED_VALUE"""),"Статия в списания и поредици")</f>
        <v>Статия в списания и поредици</v>
      </c>
      <c r="C3611" s="10" t="str">
        <f ca="1">IFERROR(__xludf.DUMMYFUNCTION("""COMPUTED_VALUE"""),"Встъпителни думи. Ловеч през Праисторията, Античността и Средновековието")</f>
        <v>Встъпителни думи. Ловеч през Праисторията, Античността и Средновековието</v>
      </c>
      <c r="D3611" s="10">
        <f ca="1">IFERROR(__xludf.DUMMYFUNCTION("""COMPUTED_VALUE"""),2015)</f>
        <v>2015</v>
      </c>
      <c r="E3611" s="10" t="str">
        <f ca="1">IFERROR(__xludf.DUMMYFUNCTION("""COMPUTED_VALUE"""),"Ловеч 2015,ISBN 978-954-8105-69-9, стр. 3–12.")</f>
        <v>Ловеч 2015,ISBN 978-954-8105-69-9, стр. 3–12.</v>
      </c>
      <c r="F3611" s="10"/>
      <c r="G3611" s="10"/>
      <c r="H3611" s="10"/>
      <c r="I3611" s="10"/>
      <c r="J3611" s="10"/>
      <c r="K3611" s="10"/>
      <c r="L3611" s="10"/>
      <c r="M3611" s="10"/>
      <c r="N3611" s="10"/>
      <c r="O3611" s="10"/>
      <c r="P3611" s="10"/>
      <c r="Q3611" s="10"/>
      <c r="R3611" s="10"/>
      <c r="S3611" s="10"/>
      <c r="T3611" s="10"/>
      <c r="U3611" s="10"/>
      <c r="V3611" s="10"/>
      <c r="W3611" s="10"/>
      <c r="X3611" s="10"/>
      <c r="Y3611" s="10"/>
      <c r="Z3611" s="10"/>
    </row>
    <row r="3612" spans="1:26" ht="12.75">
      <c r="A3612" s="10" t="str">
        <f ca="1">IFERROR(__xludf.DUMMYFUNCTION("""COMPUTED_VALUE"""),"Иван Христов Христов")</f>
        <v>Иван Христов Христов</v>
      </c>
      <c r="B3612" s="10" t="str">
        <f ca="1">IFERROR(__xludf.DUMMYFUNCTION("""COMPUTED_VALUE"""),"Студия")</f>
        <v>Студия</v>
      </c>
      <c r="C3612" s="10" t="str">
        <f ca="1">IFERROR(__xludf.DUMMYFUNCTION("""COMPUTED_VALUE"""),"Kozi Gramadi. Odrysian Royal Residence and Sanctuary")</f>
        <v>Kozi Gramadi. Odrysian Royal Residence and Sanctuary</v>
      </c>
      <c r="D3612" s="10">
        <f ca="1">IFERROR(__xludf.DUMMYFUNCTION("""COMPUTED_VALUE"""),2015)</f>
        <v>2015</v>
      </c>
      <c r="E3612" s="10" t="str">
        <f ca="1">IFERROR(__xludf.DUMMYFUNCTION("""COMPUTED_VALUE"""),"Thracian, Greek, Roman And Medieval Cities, Residences And Fortresses In Bulgaria Scientific Editor Rumen Ivanov Sofia 2015, ISSN-2367-4903;ISBN- 978-619-90503-0-9, стр. 1–80.")</f>
        <v>Thracian, Greek, Roman And Medieval Cities, Residences And Fortresses In Bulgaria Scientific Editor Rumen Ivanov Sofia 2015, ISSN-2367-4903;ISBN- 978-619-90503-0-9, стр. 1–80.</v>
      </c>
      <c r="F3612" s="10"/>
      <c r="G3612" s="10"/>
      <c r="H3612" s="10"/>
      <c r="I3612" s="10"/>
      <c r="J3612" s="10"/>
      <c r="K3612" s="10"/>
      <c r="L3612" s="10"/>
      <c r="M3612" s="10"/>
      <c r="N3612" s="10"/>
      <c r="O3612" s="10"/>
      <c r="P3612" s="10"/>
      <c r="Q3612" s="10"/>
      <c r="R3612" s="10"/>
      <c r="S3612" s="10"/>
      <c r="T3612" s="10"/>
      <c r="U3612" s="10"/>
      <c r="V3612" s="10"/>
      <c r="W3612" s="10"/>
      <c r="X3612" s="10"/>
      <c r="Y3612" s="10"/>
      <c r="Z3612" s="10"/>
    </row>
    <row r="3613" spans="1:26" ht="12.75">
      <c r="A3613" s="10" t="str">
        <f ca="1">IFERROR(__xludf.DUMMYFUNCTION("""COMPUTED_VALUE"""),"Иван Христов Христов")</f>
        <v>Иван Христов Христов</v>
      </c>
      <c r="B3613" s="10" t="str">
        <f ca="1">IFERROR(__xludf.DUMMYFUNCTION("""COMPUTED_VALUE"""),"Книга")</f>
        <v>Книга</v>
      </c>
      <c r="C3613" s="10" t="str">
        <f ca="1">IFERROR(__xludf.DUMMYFUNCTION("""COMPUTED_VALUE"""),"Praetorium Sostra. Проучване на римската крайпътна станция Состра на пътя Ескус–Филипополис II–ІІІ век. The Praetorium Of Sostra. A study of the Roman roadside station of Sostra on Oescus – Philippopolis road (II–III century)")</f>
        <v>Praetorium Sostra. Проучване на римската крайпътна станция Состра на пътя Ескус–Филипополис II–ІІІ век. The Praetorium Of Sostra. A study of the Roman roadside station of Sostra on Oescus – Philippopolis road (II–III century)</v>
      </c>
      <c r="D3613" s="10">
        <f ca="1">IFERROR(__xludf.DUMMYFUNCTION("""COMPUTED_VALUE"""),2015)</f>
        <v>2015</v>
      </c>
      <c r="E3613" s="10" t="str">
        <f ca="1">IFERROR(__xludf.DUMMYFUNCTION("""COMPUTED_VALUE"""),"София ,издателство Уникарт, София 2015. ISBN- 978-954-2953-41-8, стр. , 1–144")</f>
        <v>София ,издателство Уникарт, София 2015. ISBN- 978-954-2953-41-8, стр. , 1–144</v>
      </c>
      <c r="F3613" s="10"/>
      <c r="G3613" s="10"/>
      <c r="H3613" s="10"/>
      <c r="I3613" s="10"/>
      <c r="J3613" s="10"/>
      <c r="K3613" s="10"/>
      <c r="L3613" s="10"/>
      <c r="M3613" s="10"/>
      <c r="N3613" s="10"/>
      <c r="O3613" s="10"/>
      <c r="P3613" s="10"/>
      <c r="Q3613" s="10"/>
      <c r="R3613" s="10"/>
      <c r="S3613" s="10"/>
      <c r="T3613" s="10"/>
      <c r="U3613" s="10"/>
      <c r="V3613" s="10"/>
      <c r="W3613" s="10"/>
      <c r="X3613" s="10"/>
      <c r="Y3613" s="10"/>
      <c r="Z3613" s="10"/>
    </row>
    <row r="3614" spans="1:26" ht="12.75">
      <c r="A3614" s="10" t="str">
        <f ca="1">IFERROR(__xludf.DUMMYFUNCTION("""COMPUTED_VALUE"""),"Иван Христов Христов")</f>
        <v>Иван Христов Христов</v>
      </c>
      <c r="B3614" s="10" t="str">
        <f ca="1">IFERROR(__xludf.DUMMYFUNCTION("""COMPUTED_VALUE"""),"Книга")</f>
        <v>Книга</v>
      </c>
      <c r="C3614" s="10" t="str">
        <f ca="1">IFERROR(__xludf.DUMMYFUNCTION("""COMPUTED_VALUE"""),"Χρσσοσωτήρα. Ранновизантийска крепост на полуостров Хрисосотира при град Черноморец V–V век")</f>
        <v>Χρσσοσωτήρα. Ранновизантийска крепост на полуостров Хрисосотира при град Черноморец V–V век</v>
      </c>
      <c r="D3614" s="10">
        <f ca="1">IFERROR(__xludf.DUMMYFUNCTION("""COMPUTED_VALUE"""),2015)</f>
        <v>2015</v>
      </c>
      <c r="E3614" s="10" t="str">
        <f ca="1">IFERROR(__xludf.DUMMYFUNCTION("""COMPUTED_VALUE"""),"Χρσσοσωτήρα. An early byzantine fortress on the peninsula of Hrisosotira at the town of Chernomorets 5th–7th century, София, изд.Уникарт 2015, ISBN-978 -954-2953-46-3 Стр.1- 160")</f>
        <v>Χρσσοσωτήρα. An early byzantine fortress on the peninsula of Hrisosotira at the town of Chernomorets 5th–7th century, София, изд.Уникарт 2015, ISBN-978 -954-2953-46-3 Стр.1- 160</v>
      </c>
      <c r="F3614" s="10"/>
      <c r="G3614" s="10"/>
      <c r="H3614" s="10"/>
      <c r="I3614" s="10"/>
      <c r="J3614" s="10"/>
      <c r="K3614" s="10"/>
      <c r="L3614" s="10"/>
      <c r="M3614" s="10"/>
      <c r="N3614" s="10"/>
      <c r="O3614" s="10"/>
      <c r="P3614" s="10"/>
      <c r="Q3614" s="10"/>
      <c r="R3614" s="10"/>
      <c r="S3614" s="10"/>
      <c r="T3614" s="10"/>
      <c r="U3614" s="10"/>
      <c r="V3614" s="10"/>
      <c r="W3614" s="10"/>
      <c r="X3614" s="10"/>
      <c r="Y3614" s="10"/>
      <c r="Z3614" s="10"/>
    </row>
    <row r="3615" spans="1:26" ht="12.75">
      <c r="A3615" s="10" t="str">
        <f ca="1">IFERROR(__xludf.DUMMYFUNCTION("""COMPUTED_VALUE"""),"Иван Христов Христов")</f>
        <v>Иван Христов Христов</v>
      </c>
      <c r="B3615" s="10" t="str">
        <f ca="1">IFERROR(__xludf.DUMMYFUNCTION("""COMPUTED_VALUE"""),"Статия в списания и поредици")</f>
        <v>Статия в списания и поредици</v>
      </c>
      <c r="C3615" s="10" t="str">
        <f ca="1">IFERROR(__xludf.DUMMYFUNCTION("""COMPUTED_VALUE"""),"Римска военна диплома от 11 октомври 146 г. на войник от ІІ Матиакска кохорта")</f>
        <v>Римска военна диплома от 11 октомври 146 г. на войник от ІІ Матиакска кохорта</v>
      </c>
      <c r="D3615" s="10">
        <f ca="1">IFERROR(__xludf.DUMMYFUNCTION("""COMPUTED_VALUE"""),2015)</f>
        <v>2015</v>
      </c>
      <c r="E3615" s="10" t="str">
        <f ca="1">IFERROR(__xludf.DUMMYFUNCTION("""COMPUTED_VALUE"""),"Известия на Националния исторически музей том 28, 2016, ISSN 1311-5219, стр. 309–322")</f>
        <v>Известия на Националния исторически музей том 28, 2016, ISSN 1311-5219, стр. 309–322</v>
      </c>
      <c r="F3615" s="10"/>
      <c r="G3615" s="10" t="str">
        <f ca="1">IFERROR(__xludf.DUMMYFUNCTION("""COMPUTED_VALUE"""),"Калин Стоев")</f>
        <v>Калин Стоев</v>
      </c>
      <c r="H3615" s="10"/>
      <c r="I3615" s="10"/>
      <c r="J3615" s="10"/>
      <c r="K3615" s="10"/>
      <c r="L3615" s="10"/>
      <c r="M3615" s="10"/>
      <c r="N3615" s="10"/>
      <c r="O3615" s="10"/>
      <c r="P3615" s="10"/>
      <c r="Q3615" s="10"/>
      <c r="R3615" s="10"/>
      <c r="S3615" s="10"/>
      <c r="T3615" s="10"/>
      <c r="U3615" s="10"/>
      <c r="V3615" s="10"/>
      <c r="W3615" s="10"/>
      <c r="X3615" s="10"/>
      <c r="Y3615" s="10"/>
      <c r="Z3615" s="10"/>
    </row>
    <row r="3616" spans="1:26" ht="12.75">
      <c r="A3616" s="10" t="str">
        <f ca="1">IFERROR(__xludf.DUMMYFUNCTION("""COMPUTED_VALUE"""),"Иван Христов Христов")</f>
        <v>Иван Христов Христов</v>
      </c>
      <c r="B3616" s="10" t="str">
        <f ca="1">IFERROR(__xludf.DUMMYFUNCTION("""COMPUTED_VALUE"""),"Студия")</f>
        <v>Студия</v>
      </c>
      <c r="C3616" s="10" t="str">
        <f ca="1">IFERROR(__xludf.DUMMYFUNCTION("""COMPUTED_VALUE"""),"Sostra Roman Castellum, Road-side Station and Settlements on the Road Oescus (Ulpia Oescus)")</f>
        <v>Sostra Roman Castellum, Road-side Station and Settlements on the Road Oescus (Ulpia Oescus)</v>
      </c>
      <c r="D3616" s="10">
        <f ca="1">IFERROR(__xludf.DUMMYFUNCTION("""COMPUTED_VALUE"""),2015)</f>
        <v>2015</v>
      </c>
      <c r="E3616" s="10" t="str">
        <f ca="1">IFERROR(__xludf.DUMMYFUNCTION("""COMPUTED_VALUE"""),"Thracian, Greek, Roman And Medieval Cities, Residences And Fortresses In Bulgaria Scientific Editor Rumen Ivanov Sofia 2015, ISSN-2367-4903;ISBN- 978-619-90503-0-9, стр. 279–340.")</f>
        <v>Thracian, Greek, Roman And Medieval Cities, Residences And Fortresses In Bulgaria Scientific Editor Rumen Ivanov Sofia 2015, ISSN-2367-4903;ISBN- 978-619-90503-0-9, стр. 279–340.</v>
      </c>
      <c r="F3616" s="10"/>
      <c r="G3616" s="10"/>
      <c r="H3616" s="10"/>
      <c r="I3616" s="10"/>
      <c r="J3616" s="10"/>
      <c r="K3616" s="10"/>
      <c r="L3616" s="10"/>
      <c r="M3616" s="10"/>
      <c r="N3616" s="10"/>
      <c r="O3616" s="10"/>
      <c r="P3616" s="10"/>
      <c r="Q3616" s="10"/>
      <c r="R3616" s="10"/>
      <c r="S3616" s="10"/>
      <c r="T3616" s="10"/>
      <c r="U3616" s="10"/>
      <c r="V3616" s="10"/>
      <c r="W3616" s="10"/>
      <c r="X3616" s="10"/>
      <c r="Y3616" s="10"/>
      <c r="Z3616" s="10"/>
    </row>
    <row r="3617" spans="1:26" ht="12.75">
      <c r="A3617" s="10" t="str">
        <f ca="1">IFERROR(__xludf.DUMMYFUNCTION("""COMPUTED_VALUE"""),"Иван Христов Христов")</f>
        <v>Иван Христов Христов</v>
      </c>
      <c r="B3617" s="10" t="str">
        <f ca="1">IFERROR(__xludf.DUMMYFUNCTION("""COMPUTED_VALUE"""),"Статия в списания и поредици")</f>
        <v>Статия в списания и поредици</v>
      </c>
      <c r="C3617" s="10" t="str">
        <f ca="1">IFERROR(__xludf.DUMMYFUNCTION("""COMPUTED_VALUE"""),"Строителна керамика от светилището на връх Кози грамади")</f>
        <v>Строителна керамика от светилището на връх Кози грамади</v>
      </c>
      <c r="D3617" s="10">
        <f ca="1">IFERROR(__xludf.DUMMYFUNCTION("""COMPUTED_VALUE"""),2015)</f>
        <v>2015</v>
      </c>
      <c r="E3617" s="10" t="str">
        <f ca="1">IFERROR(__xludf.DUMMYFUNCTION("""COMPUTED_VALUE"""),"Известия на Националния исторически музей том 27, 2015, ISSN 1311-5219, стр. 9–10")</f>
        <v>Известия на Националния исторически музей том 27, 2015, ISSN 1311-5219, стр. 9–10</v>
      </c>
      <c r="F3617" s="10"/>
      <c r="G3617" s="10" t="str">
        <f ca="1">IFERROR(__xludf.DUMMYFUNCTION("""COMPUTED_VALUE"""),"Ст. Иванов, Ст. Приставова, Цв. Станимирова")</f>
        <v>Ст. Иванов, Ст. Приставова, Цв. Станимирова</v>
      </c>
      <c r="H3617" s="10"/>
      <c r="I3617" s="10"/>
      <c r="J3617" s="10"/>
      <c r="K3617" s="10"/>
      <c r="L3617" s="10"/>
      <c r="M3617" s="10"/>
      <c r="N3617" s="10"/>
      <c r="O3617" s="10"/>
      <c r="P3617" s="10"/>
      <c r="Q3617" s="10"/>
      <c r="R3617" s="10"/>
      <c r="S3617" s="10"/>
      <c r="T3617" s="10"/>
      <c r="U3617" s="10"/>
      <c r="V3617" s="10"/>
      <c r="W3617" s="10"/>
      <c r="X3617" s="10"/>
      <c r="Y3617" s="10"/>
      <c r="Z3617" s="10"/>
    </row>
    <row r="3618" spans="1:26" ht="12.75">
      <c r="A3618" s="10" t="str">
        <f ca="1">IFERROR(__xludf.DUMMYFUNCTION("""COMPUTED_VALUE"""),"Иван Христов Христов")</f>
        <v>Иван Христов Христов</v>
      </c>
      <c r="B3618" s="10" t="str">
        <f ca="1">IFERROR(__xludf.DUMMYFUNCTION("""COMPUTED_VALUE"""),"Статия в списания и поредици")</f>
        <v>Статия в списания и поредици</v>
      </c>
      <c r="C3618" s="10" t="str">
        <f ca="1">IFERROR(__xludf.DUMMYFUNCTION("""COMPUTED_VALUE"""),"Проучване на шеста римска наблюдателна кула (Turris) на пътя Ad Radices – Montemno")</f>
        <v>Проучване на шеста римска наблюдателна кула (Turris) на пътя Ad Radices – Montemno</v>
      </c>
      <c r="D3618" s="10">
        <f ca="1">IFERROR(__xludf.DUMMYFUNCTION("""COMPUTED_VALUE"""),2015)</f>
        <v>2015</v>
      </c>
      <c r="E3618" s="10" t="str">
        <f ca="1">IFERROR(__xludf.DUMMYFUNCTION("""COMPUTED_VALUE"""),"Известия на Националния исторически музей том 27, 2015, ISSN 1311-5219, стр. 47–62")</f>
        <v>Известия на Националния исторически музей том 27, 2015, ISSN 1311-5219, стр. 47–62</v>
      </c>
      <c r="F3618" s="10"/>
      <c r="G3618" s="10"/>
      <c r="H3618" s="10"/>
      <c r="I3618" s="10"/>
      <c r="J3618" s="10"/>
      <c r="K3618" s="10"/>
      <c r="L3618" s="10"/>
      <c r="M3618" s="10"/>
      <c r="N3618" s="10"/>
      <c r="O3618" s="10"/>
      <c r="P3618" s="10"/>
      <c r="Q3618" s="10"/>
      <c r="R3618" s="10"/>
      <c r="S3618" s="10"/>
      <c r="T3618" s="10"/>
      <c r="U3618" s="10"/>
      <c r="V3618" s="10"/>
      <c r="W3618" s="10"/>
      <c r="X3618" s="10"/>
      <c r="Y3618" s="10"/>
      <c r="Z3618" s="10"/>
    </row>
    <row r="3619" spans="1:26" ht="12.75">
      <c r="A3619" s="10" t="str">
        <f ca="1">IFERROR(__xludf.DUMMYFUNCTION("""COMPUTED_VALUE"""),"Иван Христов Христов")</f>
        <v>Иван Христов Христов</v>
      </c>
      <c r="B3619" s="10" t="str">
        <f ca="1">IFERROR(__xludf.DUMMYFUNCTION("""COMPUTED_VALUE"""),"Статия в списания и поредици")</f>
        <v>Статия в списания и поредици</v>
      </c>
      <c r="C3619" s="10" t="str">
        <f ca="1">IFERROR(__xludf.DUMMYFUNCTION("""COMPUTED_VALUE"""),"Надгробен паметник на Флавия Фронтина от 168 г. н. е. открит в землището на с. Градница, Севлиевско")</f>
        <v>Надгробен паметник на Флавия Фронтина от 168 г. н. е. открит в землището на с. Градница, Севлиевско</v>
      </c>
      <c r="D3619" s="10">
        <f ca="1">IFERROR(__xludf.DUMMYFUNCTION("""COMPUTED_VALUE"""),2015)</f>
        <v>2015</v>
      </c>
      <c r="E3619" s="10" t="str">
        <f ca="1">IFERROR(__xludf.DUMMYFUNCTION("""COMPUTED_VALUE"""),"Известия на Националния исторически музей том 27, 2015, ISSN 1311-5219, стр. 113–118.")</f>
        <v>Известия на Националния исторически музей том 27, 2015, ISSN 1311-5219, стр. 113–118.</v>
      </c>
      <c r="F3619" s="10"/>
      <c r="G3619" s="10" t="str">
        <f ca="1">IFERROR(__xludf.DUMMYFUNCTION("""COMPUTED_VALUE"""),"Калин Стоев")</f>
        <v>Калин Стоев</v>
      </c>
      <c r="H3619" s="10"/>
      <c r="I3619" s="10"/>
      <c r="J3619" s="10"/>
      <c r="K3619" s="10"/>
      <c r="L3619" s="10"/>
      <c r="M3619" s="10"/>
      <c r="N3619" s="10"/>
      <c r="O3619" s="10"/>
      <c r="P3619" s="10"/>
      <c r="Q3619" s="10"/>
      <c r="R3619" s="10"/>
      <c r="S3619" s="10"/>
      <c r="T3619" s="10"/>
      <c r="U3619" s="10"/>
      <c r="V3619" s="10"/>
      <c r="W3619" s="10"/>
      <c r="X3619" s="10"/>
      <c r="Y3619" s="10"/>
      <c r="Z3619" s="10"/>
    </row>
    <row r="3620" spans="1:26" ht="12.75">
      <c r="A3620" s="10" t="str">
        <f ca="1">IFERROR(__xludf.DUMMYFUNCTION("""COMPUTED_VALUE"""),"Иван Христов Христов")</f>
        <v>Иван Христов Христов</v>
      </c>
      <c r="B3620" s="10" t="str">
        <f ca="1">IFERROR(__xludf.DUMMYFUNCTION("""COMPUTED_VALUE"""),"Книга")</f>
        <v>Книга</v>
      </c>
      <c r="C3620" s="10" t="str">
        <f ca="1">IFERROR(__xludf.DUMMYFUNCTION("""COMPUTED_VALUE"""),"Подводни археологически проучвания в залива Вромос, акватория на гр. Черноморец (Емпорион в хората на Аполония Понтика)")</f>
        <v>Подводни археологически проучвания в залива Вромос, акватория на гр. Черноморец (Емпорион в хората на Аполония Понтика)</v>
      </c>
      <c r="D3620" s="10">
        <f ca="1">IFERROR(__xludf.DUMMYFUNCTION("""COMPUTED_VALUE"""),2014)</f>
        <v>2014</v>
      </c>
      <c r="E3620" s="10" t="str">
        <f ca="1">IFERROR(__xludf.DUMMYFUNCTION("""COMPUTED_VALUE"""),"София, изд. Уникарт 2014, ISBN 978-954-2953-32-6, стр 1–216.")</f>
        <v>София, изд. Уникарт 2014, ISBN 978-954-2953-32-6, стр 1–216.</v>
      </c>
      <c r="F3620" s="10"/>
      <c r="G3620" s="10" t="str">
        <f ca="1">IFERROR(__xludf.DUMMYFUNCTION("""COMPUTED_VALUE"""),"Ил. Киров, Г. Рибаров, П. Девлова и Б. Златева")</f>
        <v>Ил. Киров, Г. Рибаров, П. Девлова и Б. Златева</v>
      </c>
      <c r="H3620" s="10"/>
      <c r="I3620" s="10"/>
      <c r="J3620" s="10"/>
      <c r="K3620" s="10"/>
      <c r="L3620" s="10"/>
      <c r="M3620" s="10"/>
      <c r="N3620" s="10"/>
      <c r="O3620" s="10"/>
      <c r="P3620" s="10"/>
      <c r="Q3620" s="10"/>
      <c r="R3620" s="10"/>
      <c r="S3620" s="10"/>
      <c r="T3620" s="10"/>
      <c r="U3620" s="10"/>
      <c r="V3620" s="10"/>
      <c r="W3620" s="10"/>
      <c r="X3620" s="10"/>
      <c r="Y3620" s="10"/>
      <c r="Z3620" s="10"/>
    </row>
    <row r="3621" spans="1:26" ht="12.75">
      <c r="A3621" s="10" t="str">
        <f ca="1">IFERROR(__xludf.DUMMYFUNCTION("""COMPUTED_VALUE"""),"Иван Христов Христов")</f>
        <v>Иван Христов Христов</v>
      </c>
      <c r="B3621" s="10" t="str">
        <f ca="1">IFERROR(__xludf.DUMMYFUNCTION("""COMPUTED_VALUE"""),"Статия в списания и поредици")</f>
        <v>Статия в списания и поредици</v>
      </c>
      <c r="C3621" s="10" t="str">
        <f ca="1">IFERROR(__xludf.DUMMYFUNCTION("""COMPUTED_VALUE"""),"Новооткрито тракийско скално светилище на връх Алексица в Средна гора")</f>
        <v>Новооткрито тракийско скално светилище на връх Алексица в Средна гора</v>
      </c>
      <c r="D3621" s="10">
        <f ca="1">IFERROR(__xludf.DUMMYFUNCTION("""COMPUTED_VALUE"""),2014)</f>
        <v>2014</v>
      </c>
      <c r="E3621" s="10" t="str">
        <f ca="1">IFERROR(__xludf.DUMMYFUNCTION("""COMPUTED_VALUE"""),"Известия на Националния исторически музей, том 26, 2014, ISSN 1311-5219, стр. 35–40")</f>
        <v>Известия на Националния исторически музей, том 26, 2014, ISSN 1311-5219, стр. 35–40</v>
      </c>
      <c r="F3621" s="10"/>
      <c r="G3621" s="10"/>
      <c r="H3621" s="10"/>
      <c r="I3621" s="10"/>
      <c r="J3621" s="10"/>
      <c r="K3621" s="10"/>
      <c r="L3621" s="10"/>
      <c r="M3621" s="10"/>
      <c r="N3621" s="10"/>
      <c r="O3621" s="10"/>
      <c r="P3621" s="10"/>
      <c r="Q3621" s="10"/>
      <c r="R3621" s="10"/>
      <c r="S3621" s="10"/>
      <c r="T3621" s="10"/>
      <c r="U3621" s="10"/>
      <c r="V3621" s="10"/>
      <c r="W3621" s="10"/>
      <c r="X3621" s="10"/>
      <c r="Y3621" s="10"/>
      <c r="Z3621" s="10"/>
    </row>
    <row r="3622" spans="1:26" ht="12.75">
      <c r="A3622" s="10" t="str">
        <f ca="1">IFERROR(__xludf.DUMMYFUNCTION("""COMPUTED_VALUE"""),"Иван Христов Христов")</f>
        <v>Иван Христов Христов</v>
      </c>
      <c r="B3622" s="10" t="str">
        <f ca="1">IFERROR(__xludf.DUMMYFUNCTION("""COMPUTED_VALUE"""),"Статия в списания и поредици")</f>
        <v>Статия в списания и поредици</v>
      </c>
      <c r="C3622" s="10" t="str">
        <f ca="1">IFERROR(__xludf.DUMMYFUNCTION("""COMPUTED_VALUE"""),"Епиграфски паметници от Рациари")</f>
        <v>Епиграфски паметници от Рациари</v>
      </c>
      <c r="D3622" s="10">
        <f ca="1">IFERROR(__xludf.DUMMYFUNCTION("""COMPUTED_VALUE"""),2014)</f>
        <v>2014</v>
      </c>
      <c r="E3622" s="10" t="str">
        <f ca="1">IFERROR(__xludf.DUMMYFUNCTION("""COMPUTED_VALUE"""),"Известия на Националния исторически музей том 26, 2014, ISSN 1311-5219, стр. 65–88")</f>
        <v>Известия на Националния исторически музей том 26, 2014, ISSN 1311-5219, стр. 65–88</v>
      </c>
      <c r="F3622" s="10"/>
      <c r="G3622" s="10" t="str">
        <f ca="1">IFERROR(__xludf.DUMMYFUNCTION("""COMPUTED_VALUE"""),"Калин Стоев")</f>
        <v>Калин Стоев</v>
      </c>
      <c r="H3622" s="10"/>
      <c r="I3622" s="10"/>
      <c r="J3622" s="10"/>
      <c r="K3622" s="10"/>
      <c r="L3622" s="10"/>
      <c r="M3622" s="10"/>
      <c r="N3622" s="10"/>
      <c r="O3622" s="10"/>
      <c r="P3622" s="10"/>
      <c r="Q3622" s="10"/>
      <c r="R3622" s="10"/>
      <c r="S3622" s="10"/>
      <c r="T3622" s="10"/>
      <c r="U3622" s="10"/>
      <c r="V3622" s="10"/>
      <c r="W3622" s="10"/>
      <c r="X3622" s="10"/>
      <c r="Y3622" s="10"/>
      <c r="Z3622" s="10"/>
    </row>
    <row r="3623" spans="1:26" ht="12.75">
      <c r="A3623" s="10" t="str">
        <f ca="1">IFERROR(__xludf.DUMMYFUNCTION("""COMPUTED_VALUE"""),"Иван Христов Христов")</f>
        <v>Иван Христов Христов</v>
      </c>
      <c r="B3623" s="10" t="str">
        <f ca="1">IFERROR(__xludf.DUMMYFUNCTION("""COMPUTED_VALUE"""),"Книга")</f>
        <v>Книга</v>
      </c>
      <c r="C3623" s="10" t="str">
        <f ca="1">IFERROR(__xludf.DUMMYFUNCTION("""COMPUTED_VALUE"""),"Светилище на Зевс и Хера на връх Кози грамади в Средна гора")</f>
        <v>Светилище на Зевс и Хера на връх Кози грамади в Средна гора</v>
      </c>
      <c r="D3623" s="10">
        <f ca="1">IFERROR(__xludf.DUMMYFUNCTION("""COMPUTED_VALUE"""),2014)</f>
        <v>2014</v>
      </c>
      <c r="E3623" s="10" t="str">
        <f ca="1">IFERROR(__xludf.DUMMYFUNCTION("""COMPUTED_VALUE"""),"A Sanctuary of Zeus and Hera on Kozi Gramadi Peak in Sredna Gora. София, изд. Уникарт, 2014, ISBN 978-954-2953-28-9, стр. 1–288.")</f>
        <v>A Sanctuary of Zeus and Hera on Kozi Gramadi Peak in Sredna Gora. София, изд. Уникарт, 2014, ISBN 978-954-2953-28-9, стр. 1–288.</v>
      </c>
      <c r="F3623" s="10"/>
      <c r="G3623" s="10"/>
      <c r="H3623" s="10"/>
      <c r="I3623" s="10"/>
      <c r="J3623" s="10"/>
      <c r="K3623" s="10"/>
      <c r="L3623" s="10"/>
      <c r="M3623" s="10"/>
      <c r="N3623" s="10"/>
      <c r="O3623" s="10"/>
      <c r="P3623" s="10"/>
      <c r="Q3623" s="10"/>
      <c r="R3623" s="10"/>
      <c r="S3623" s="10"/>
      <c r="T3623" s="10"/>
      <c r="U3623" s="10"/>
      <c r="V3623" s="10"/>
      <c r="W3623" s="10"/>
      <c r="X3623" s="10"/>
      <c r="Y3623" s="10"/>
      <c r="Z3623" s="10"/>
    </row>
    <row r="3624" spans="1:26" ht="12.75">
      <c r="A3624" s="10" t="str">
        <f ca="1">IFERROR(__xludf.DUMMYFUNCTION("""COMPUTED_VALUE"""),"Иван Христов Христов")</f>
        <v>Иван Христов Христов</v>
      </c>
      <c r="B3624" s="10" t="str">
        <f ca="1">IFERROR(__xludf.DUMMYFUNCTION("""COMPUTED_VALUE"""),"Книга")</f>
        <v>Книга</v>
      </c>
      <c r="C3624" s="10" t="str">
        <f ca="1">IFERROR(__xludf.DUMMYFUNCTION("""COMPUTED_VALUE"""),"Антични каменни котви, каменни и оловни щокове от колекцията на Национален исторически музей. Края на II хил. пр. Хр. – III в. сл. Хр. Antique stone anchors, stone and lead anchor stocks from the collection of the National museum of history end of 2nd ml "&amp;"b.c. – 3rd century AD.")</f>
        <v>Антични каменни котви, каменни и оловни щокове от колекцията на Национален исторически музей. Края на II хил. пр. Хр. – III в. сл. Хр. Antique stone anchors, stone and lead anchor stocks from the collection of the National museum of history end of 2nd ml b.c. – 3rd century AD.</v>
      </c>
      <c r="D3624" s="10">
        <f ca="1">IFERROR(__xludf.DUMMYFUNCTION("""COMPUTED_VALUE"""),2013)</f>
        <v>2013</v>
      </c>
      <c r="E3624" s="10" t="str">
        <f ca="1">IFERROR(__xludf.DUMMYFUNCTION("""COMPUTED_VALUE"""),"София 2013, ISBN-978-954-2953-20-3,стр. 1–168.")</f>
        <v>София 2013, ISBN-978-954-2953-20-3,стр. 1–168.</v>
      </c>
      <c r="F3624" s="10"/>
      <c r="G3624" s="10"/>
      <c r="H3624" s="10"/>
      <c r="I3624" s="10"/>
      <c r="J3624" s="10"/>
      <c r="K3624" s="10"/>
      <c r="L3624" s="10"/>
      <c r="M3624" s="10"/>
      <c r="N3624" s="10"/>
      <c r="O3624" s="10"/>
      <c r="P3624" s="10"/>
      <c r="Q3624" s="10"/>
      <c r="R3624" s="10"/>
      <c r="S3624" s="10"/>
      <c r="T3624" s="10"/>
      <c r="U3624" s="10"/>
      <c r="V3624" s="10"/>
      <c r="W3624" s="10"/>
      <c r="X3624" s="10"/>
      <c r="Y3624" s="10"/>
      <c r="Z3624" s="10"/>
    </row>
    <row r="3625" spans="1:26" ht="12.75">
      <c r="A3625" s="10" t="str">
        <f ca="1">IFERROR(__xludf.DUMMYFUNCTION("""COMPUTED_VALUE"""),"Иван Христов Христов")</f>
        <v>Иван Христов Христов</v>
      </c>
      <c r="B3625" s="10" t="str">
        <f ca="1">IFERROR(__xludf.DUMMYFUNCTION("""COMPUTED_VALUE"""),"Статия в списания и поредици")</f>
        <v>Статия в списания и поредици</v>
      </c>
      <c r="C3625" s="10" t="str">
        <f ca="1">IFERROR(__xludf.DUMMYFUNCTION("""COMPUTED_VALUE"""),"Постамент за статуя на Галиен от кастела Состра")</f>
        <v>Постамент за статуя на Галиен от кастела Состра</v>
      </c>
      <c r="D3625" s="10">
        <f ca="1">IFERROR(__xludf.DUMMYFUNCTION("""COMPUTED_VALUE"""),2013)</f>
        <v>2013</v>
      </c>
      <c r="E3625" s="10" t="str">
        <f ca="1">IFERROR(__xludf.DUMMYFUNCTION("""COMPUTED_VALUE"""),"Сборник в памет на академик Д. П. Димитров. София, , 2013, ISBN-978-954-9472-22-6, стр. 424–428")</f>
        <v>Сборник в памет на академик Д. П. Димитров. София, , 2013, ISBN-978-954-9472-22-6, стр. 424–428</v>
      </c>
      <c r="F3625" s="10"/>
      <c r="G3625" s="10" t="str">
        <f ca="1">IFERROR(__xludf.DUMMYFUNCTION("""COMPUTED_VALUE"""),"Румен Иванов")</f>
        <v>Румен Иванов</v>
      </c>
      <c r="H3625" s="10"/>
      <c r="I3625" s="10"/>
      <c r="J3625" s="10"/>
      <c r="K3625" s="10"/>
      <c r="L3625" s="10"/>
      <c r="M3625" s="10"/>
      <c r="N3625" s="10"/>
      <c r="O3625" s="10"/>
      <c r="P3625" s="10"/>
      <c r="Q3625" s="10"/>
      <c r="R3625" s="10"/>
      <c r="S3625" s="10"/>
      <c r="T3625" s="10"/>
      <c r="U3625" s="10"/>
      <c r="V3625" s="10"/>
      <c r="W3625" s="10"/>
      <c r="X3625" s="10"/>
      <c r="Y3625" s="10"/>
      <c r="Z3625" s="10"/>
    </row>
    <row r="3626" spans="1:26" ht="12.75">
      <c r="A3626" s="10" t="str">
        <f ca="1">IFERROR(__xludf.DUMMYFUNCTION("""COMPUTED_VALUE"""),"Иван Христов Христов")</f>
        <v>Иван Христов Христов</v>
      </c>
      <c r="B3626" s="10" t="str">
        <f ca="1">IFERROR(__xludf.DUMMYFUNCTION("""COMPUTED_VALUE"""),"Статия в списания и поредици")</f>
        <v>Статия в списания и поредици</v>
      </c>
      <c r="C3626" s="10" t="str">
        <f ca="1">IFERROR(__xludf.DUMMYFUNCTION("""COMPUTED_VALUE"""),"Основи на дървен римски мост над река Осъм върху трасето на пътя Ескус–Филипополис до кастела Состра")</f>
        <v>Основи на дървен римски мост над река Осъм върху трасето на пътя Ескус–Филипополис до кастела Состра</v>
      </c>
      <c r="D3626" s="10">
        <f ca="1">IFERROR(__xludf.DUMMYFUNCTION("""COMPUTED_VALUE"""),2013)</f>
        <v>2013</v>
      </c>
      <c r="E3626" s="10" t="str">
        <f ca="1">IFERROR(__xludf.DUMMYFUNCTION("""COMPUTED_VALUE"""),"Известия на Националния исторически музей, том 25, 2013, ISSN 1311-5219, стр. 23–32.")</f>
        <v>Известия на Националния исторически музей, том 25, 2013, ISSN 1311-5219, стр. 23–32.</v>
      </c>
      <c r="F3626" s="10"/>
      <c r="G3626" s="10"/>
      <c r="H3626" s="10"/>
      <c r="I3626" s="10"/>
      <c r="J3626" s="10"/>
      <c r="K3626" s="10"/>
      <c r="L3626" s="10"/>
      <c r="M3626" s="10"/>
      <c r="N3626" s="10"/>
      <c r="O3626" s="10"/>
      <c r="P3626" s="10"/>
      <c r="Q3626" s="10"/>
      <c r="R3626" s="10"/>
      <c r="S3626" s="10"/>
      <c r="T3626" s="10"/>
      <c r="U3626" s="10"/>
      <c r="V3626" s="10"/>
      <c r="W3626" s="10"/>
      <c r="X3626" s="10"/>
      <c r="Y3626" s="10"/>
      <c r="Z3626" s="10"/>
    </row>
    <row r="3627" spans="1:26" ht="12.75">
      <c r="A3627" s="10" t="str">
        <f ca="1">IFERROR(__xludf.DUMMYFUNCTION("""COMPUTED_VALUE"""),"Иван Христов Христов")</f>
        <v>Иван Христов Христов</v>
      </c>
      <c r="B3627" s="10" t="str">
        <f ca="1">IFERROR(__xludf.DUMMYFUNCTION("""COMPUTED_VALUE"""),"Книга")</f>
        <v>Книга</v>
      </c>
      <c r="C3627" s="10" t="str">
        <f ca="1">IFERROR(__xludf.DUMMYFUNCTION("""COMPUTED_VALUE"""),"Светилище на Тракийския конник край Состра. The sanctuary of the thracian horseman by Sostra")</f>
        <v>Светилище на Тракийския конник край Состра. The sanctuary of the thracian horseman by Sostra</v>
      </c>
      <c r="D3627" s="10">
        <f ca="1">IFERROR(__xludf.DUMMYFUNCTION("""COMPUTED_VALUE"""),2013)</f>
        <v>2013</v>
      </c>
      <c r="E3627" s="10" t="str">
        <f ca="1">IFERROR(__xludf.DUMMYFUNCTION("""COMPUTED_VALUE"""),"София 2013, ISBN 978–954-2953-23-4, стр.1–267")</f>
        <v>София 2013, ISBN 978–954-2953-23-4, стр.1–267</v>
      </c>
      <c r="F3627" s="10"/>
      <c r="G3627" s="10" t="str">
        <f ca="1">IFERROR(__xludf.DUMMYFUNCTION("""COMPUTED_VALUE"""),"С. Торбатов, Ст. Иванов, Л. Нинов и Б. Михайлова")</f>
        <v>С. Торбатов, Ст. Иванов, Л. Нинов и Б. Михайлова</v>
      </c>
      <c r="H3627" s="10"/>
      <c r="I3627" s="10"/>
      <c r="J3627" s="10"/>
      <c r="K3627" s="10"/>
      <c r="L3627" s="10"/>
      <c r="M3627" s="10"/>
      <c r="N3627" s="10"/>
      <c r="O3627" s="10"/>
      <c r="P3627" s="10"/>
      <c r="Q3627" s="10"/>
      <c r="R3627" s="10"/>
      <c r="S3627" s="10"/>
      <c r="T3627" s="10"/>
      <c r="U3627" s="10"/>
      <c r="V3627" s="10"/>
      <c r="W3627" s="10"/>
      <c r="X3627" s="10"/>
      <c r="Y3627" s="10"/>
      <c r="Z3627" s="10"/>
    </row>
    <row r="3628" spans="1:26" ht="12.75">
      <c r="A3628" s="10" t="str">
        <f ca="1">IFERROR(__xludf.DUMMYFUNCTION("""COMPUTED_VALUE"""),"Иван Христов Христов")</f>
        <v>Иван Христов Христов</v>
      </c>
      <c r="B3628" s="10" t="str">
        <f ca="1">IFERROR(__xludf.DUMMYFUNCTION("""COMPUTED_VALUE"""),"Книга")</f>
        <v>Книга</v>
      </c>
      <c r="C3628" s="10" t="str">
        <f ca="1">IFERROR(__xludf.DUMMYFUNCTION("""COMPUTED_VALUE"""),"Акра. Проучване на ранновизантийска крепост на полуостров Свети Никола при град Черноморец.")</f>
        <v>Акра. Проучване на ранновизантийска крепост на полуостров Свети Никола при град Черноморец.</v>
      </c>
      <c r="D3628" s="10">
        <f ca="1">IFERROR(__xludf.DUMMYFUNCTION("""COMPUTED_VALUE"""),2013)</f>
        <v>2013</v>
      </c>
      <c r="E3628" s="10" t="str">
        <f ca="1">IFERROR(__xludf.DUMMYFUNCTION("""COMPUTED_VALUE"""),"Том І . Akra. Exploring the early byzantine fortress on St. Nikola peninsula near the town of Chernomorets volume I. София 2013, ISBN-978-954-2953-18-0, стр.1–256.")</f>
        <v>Том І . Akra. Exploring the early byzantine fortress on St. Nikola peninsula near the town of Chernomorets volume I. София 2013, ISBN-978-954-2953-18-0, стр.1–256.</v>
      </c>
      <c r="F3628" s="10"/>
      <c r="G3628" s="10" t="str">
        <f ca="1">IFERROR(__xludf.DUMMYFUNCTION("""COMPUTED_VALUE"""),"Ил. Киров, П. Девлова, Я. Мутафчиева и Л. Нинов")</f>
        <v>Ил. Киров, П. Девлова, Я. Мутафчиева и Л. Нинов</v>
      </c>
      <c r="H3628" s="10"/>
      <c r="I3628" s="10"/>
      <c r="J3628" s="10"/>
      <c r="K3628" s="10"/>
      <c r="L3628" s="10"/>
      <c r="M3628" s="10"/>
      <c r="N3628" s="10"/>
      <c r="O3628" s="10"/>
      <c r="P3628" s="10"/>
      <c r="Q3628" s="10"/>
      <c r="R3628" s="10"/>
      <c r="S3628" s="10"/>
      <c r="T3628" s="10"/>
      <c r="U3628" s="10"/>
      <c r="V3628" s="10"/>
      <c r="W3628" s="10"/>
      <c r="X3628" s="10"/>
      <c r="Y3628" s="10"/>
      <c r="Z3628" s="10"/>
    </row>
    <row r="3629" spans="1:26" ht="12.75">
      <c r="A3629" s="10" t="str">
        <f ca="1">IFERROR(__xludf.DUMMYFUNCTION("""COMPUTED_VALUE"""),"Иван Христов Христов")</f>
        <v>Иван Христов Христов</v>
      </c>
      <c r="B3629" s="10" t="str">
        <f ca="1">IFERROR(__xludf.DUMMYFUNCTION("""COMPUTED_VALUE"""),"Книга")</f>
        <v>Книга</v>
      </c>
      <c r="C3629" s="10" t="str">
        <f ca="1">IFERROR(__xludf.DUMMYFUNCTION("""COMPUTED_VALUE"""),"Акра между Анхиало и Созопол. Akra between")</f>
        <v>Акра между Анхиало и Созопол. Akra between</v>
      </c>
      <c r="D3629" s="10">
        <f ca="1">IFERROR(__xludf.DUMMYFUNCTION("""COMPUTED_VALUE"""),2013)</f>
        <v>2013</v>
      </c>
      <c r="E3629" s="10" t="str">
        <f ca="1">IFERROR(__xludf.DUMMYFUNCTION("""COMPUTED_VALUE"""),"София, изд. Уникарт 2013, ISBN 978-954-2953-27-2, стр 1–169")</f>
        <v>София, изд. Уникарт 2013, ISBN 978-954-2953-27-2, стр 1–169</v>
      </c>
      <c r="F3629" s="10"/>
      <c r="G3629" s="10"/>
      <c r="H3629" s="10"/>
      <c r="I3629" s="10"/>
      <c r="J3629" s="10"/>
      <c r="K3629" s="10"/>
      <c r="L3629" s="10"/>
      <c r="M3629" s="10"/>
      <c r="N3629" s="10"/>
      <c r="O3629" s="10"/>
      <c r="P3629" s="10"/>
      <c r="Q3629" s="10"/>
      <c r="R3629" s="10"/>
      <c r="S3629" s="10"/>
      <c r="T3629" s="10"/>
      <c r="U3629" s="10"/>
      <c r="V3629" s="10"/>
      <c r="W3629" s="10"/>
      <c r="X3629" s="10"/>
      <c r="Y3629" s="10"/>
      <c r="Z3629" s="10"/>
    </row>
    <row r="3630" spans="1:26" ht="12.75">
      <c r="A3630" s="10" t="str">
        <f ca="1">IFERROR(__xludf.DUMMYFUNCTION("""COMPUTED_VALUE"""),"Иван Христов Христов")</f>
        <v>Иван Христов Христов</v>
      </c>
      <c r="B3630" s="10" t="str">
        <f ca="1">IFERROR(__xludf.DUMMYFUNCTION("""COMPUTED_VALUE"""),"Книга")</f>
        <v>Книга</v>
      </c>
      <c r="C3630" s="10" t="str">
        <f ca="1">IFERROR(__xludf.DUMMYFUNCTION("""COMPUTED_VALUE"""),"Кози грамади. Проучване на Одриска владетелска резиденция и светилища в Средна гора VIII–І в. пр. Хр. VIII–І в. пр. Хр.")</f>
        <v>Кози грамади. Проучване на Одриска владетелска резиденция и светилища в Средна гора VIII–І в. пр. Хр. VIII–І в. пр. Хр.</v>
      </c>
      <c r="D3630" s="10">
        <f ca="1">IFERROR(__xludf.DUMMYFUNCTION("""COMPUTED_VALUE"""),2012)</f>
        <v>2012</v>
      </c>
      <c r="E3630" s="10" t="str">
        <f ca="1">IFERROR(__xludf.DUMMYFUNCTION("""COMPUTED_VALUE"""),"Том ІІ, Kozi gramadi studies of an odrysian ruler’s residence and sanctuaries in Sredna gora mt. 8th – 1st centuries BC volume II София, изд. Уникарт, 2012, ISBN 978-954-2953-12-8, стр. 1–208.")</f>
        <v>Том ІІ, Kozi gramadi studies of an odrysian ruler’s residence and sanctuaries in Sredna gora mt. 8th – 1st centuries BC volume II София, изд. Уникарт, 2012, ISBN 978-954-2953-12-8, стр. 1–208.</v>
      </c>
      <c r="F3630" s="10"/>
      <c r="G3630" s="10" t="str">
        <f ca="1">IFERROR(__xludf.DUMMYFUNCTION("""COMPUTED_VALUE"""),"В. Ханджийска, Ст. Иванов и В. Тодоров")</f>
        <v>В. Ханджийска, Ст. Иванов и В. Тодоров</v>
      </c>
      <c r="H3630" s="10"/>
      <c r="I3630" s="10"/>
      <c r="J3630" s="10"/>
      <c r="K3630" s="10"/>
      <c r="L3630" s="10"/>
      <c r="M3630" s="10"/>
      <c r="N3630" s="10"/>
      <c r="O3630" s="10"/>
      <c r="P3630" s="10"/>
      <c r="Q3630" s="10"/>
      <c r="R3630" s="10"/>
      <c r="S3630" s="10"/>
      <c r="T3630" s="10"/>
      <c r="U3630" s="10"/>
      <c r="V3630" s="10"/>
      <c r="W3630" s="10"/>
      <c r="X3630" s="10"/>
      <c r="Y3630" s="10"/>
      <c r="Z3630" s="10"/>
    </row>
    <row r="3631" spans="1:26" ht="12.75">
      <c r="A3631" s="10" t="str">
        <f ca="1">IFERROR(__xludf.DUMMYFUNCTION("""COMPUTED_VALUE"""),"Иван Христов Христов")</f>
        <v>Иван Христов Христов</v>
      </c>
      <c r="B3631" s="10" t="str">
        <f ca="1">IFERROR(__xludf.DUMMYFUNCTION("""COMPUTED_VALUE"""),"Студия")</f>
        <v>Студия</v>
      </c>
      <c r="C3631" s="10" t="str">
        <f ca="1">IFERROR(__xludf.DUMMYFUNCTION("""COMPUTED_VALUE"""),"Ad radices. Римска крайпътна станция на пътя Ескус–Филипополис")</f>
        <v>Ad radices. Римска крайпътна станция на пътя Ескус–Филипополис</v>
      </c>
      <c r="D3631" s="10">
        <f ca="1">IFERROR(__xludf.DUMMYFUNCTION("""COMPUTED_VALUE"""),2012)</f>
        <v>2012</v>
      </c>
      <c r="E3631" s="10" t="str">
        <f ca="1">IFERROR(__xludf.DUMMYFUNCTION("""COMPUTED_VALUE"""),"Изд. Уникарт, София 2012, , ISBN 978–954–2953–15–9 Стр 1–96.")</f>
        <v>Изд. Уникарт, София 2012, , ISBN 978–954–2953–15–9 Стр 1–96.</v>
      </c>
      <c r="F3631" s="10"/>
      <c r="G3631" s="10"/>
      <c r="H3631" s="10"/>
      <c r="I3631" s="10"/>
      <c r="J3631" s="10"/>
      <c r="K3631" s="10"/>
      <c r="L3631" s="10"/>
      <c r="M3631" s="10"/>
      <c r="N3631" s="10"/>
      <c r="O3631" s="10"/>
      <c r="P3631" s="10"/>
      <c r="Q3631" s="10"/>
      <c r="R3631" s="10"/>
      <c r="S3631" s="10"/>
      <c r="T3631" s="10"/>
      <c r="U3631" s="10"/>
      <c r="V3631" s="10"/>
      <c r="W3631" s="10"/>
      <c r="X3631" s="10"/>
      <c r="Y3631" s="10"/>
      <c r="Z3631" s="10"/>
    </row>
    <row r="3632" spans="1:26" ht="12.75">
      <c r="A3632" s="10" t="str">
        <f ca="1">IFERROR(__xludf.DUMMYFUNCTION("""COMPUTED_VALUE"""),"Иван Христов Христов")</f>
        <v>Иван Христов Христов</v>
      </c>
      <c r="B3632" s="10" t="str">
        <f ca="1">IFERROR(__xludf.DUMMYFUNCTION("""COMPUTED_VALUE"""),"Статия в списания и поредици")</f>
        <v>Статия в списания и поредици</v>
      </c>
      <c r="C3632" s="10" t="str">
        <f ca="1">IFERROR(__xludf.DUMMYFUNCTION("""COMPUTED_VALUE"""),"Подводни археологически проучвани я в акваторията на о-в Св. Св. Кирик и Юлита, Община Созопол. Сезон 2011")</f>
        <v>Подводни археологически проучвани я в акваторията на о-в Св. Св. Кирик и Юлита, Община Созопол. Сезон 2011</v>
      </c>
      <c r="D3632" s="10">
        <f ca="1">IFERROR(__xludf.DUMMYFUNCTION("""COMPUTED_VALUE"""),2012)</f>
        <v>2012</v>
      </c>
      <c r="E3632" s="10" t="str">
        <f ca="1">IFERROR(__xludf.DUMMYFUNCTION("""COMPUTED_VALUE"""),"Известия на Националния исторически музей, том 24, 2012, ISSN 1311-5219, стр. 33–48")</f>
        <v>Известия на Националния исторически музей, том 24, 2012, ISSN 1311-5219, стр. 33–48</v>
      </c>
      <c r="F3632" s="10"/>
      <c r="G3632" s="10"/>
      <c r="H3632" s="10"/>
      <c r="I3632" s="10"/>
      <c r="J3632" s="10"/>
      <c r="K3632" s="10"/>
      <c r="L3632" s="10"/>
      <c r="M3632" s="10"/>
      <c r="N3632" s="10"/>
      <c r="O3632" s="10"/>
      <c r="P3632" s="10"/>
      <c r="Q3632" s="10"/>
      <c r="R3632" s="10"/>
      <c r="S3632" s="10"/>
      <c r="T3632" s="10"/>
      <c r="U3632" s="10"/>
      <c r="V3632" s="10"/>
      <c r="W3632" s="10"/>
      <c r="X3632" s="10"/>
      <c r="Y3632" s="10"/>
      <c r="Z3632" s="10"/>
    </row>
    <row r="3633" spans="1:26" ht="12.75">
      <c r="A3633" s="10" t="str">
        <f ca="1">IFERROR(__xludf.DUMMYFUNCTION("""COMPUTED_VALUE"""),"Иван Христов Христов")</f>
        <v>Иван Христов Христов</v>
      </c>
      <c r="B3633" s="10" t="str">
        <f ca="1">IFERROR(__xludf.DUMMYFUNCTION("""COMPUTED_VALUE"""),"Книга")</f>
        <v>Книга</v>
      </c>
      <c r="C3633" s="10" t="str">
        <f ca="1">IFERROR(__xludf.DUMMYFUNCTION("""COMPUTED_VALUE"""),"Кози грамади. Проучване на Одриска владетелска резиденция и светилища в Средна гора VIII–І в. пр. Хр")</f>
        <v>Кози грамади. Проучване на Одриска владетелска резиденция и светилища в Средна гора VIII–І в. пр. Хр</v>
      </c>
      <c r="D3633" s="10">
        <f ca="1">IFERROR(__xludf.DUMMYFUNCTION("""COMPUTED_VALUE"""),2011)</f>
        <v>2011</v>
      </c>
      <c r="E3633" s="10" t="str">
        <f ca="1">IFERROR(__xludf.DUMMYFUNCTION("""COMPUTED_VALUE"""),"Том І, Kozi gramadi Studies of an odrysian ruler’s residence and sanctuaries in Sredna gora mt. 8th – 1st centuries BC volume I, София, изд. Уникарт, 2011, ISBN 978-954-92706-3-1, стр. 1–256.")</f>
        <v>Том І, Kozi gramadi Studies of an odrysian ruler’s residence and sanctuaries in Sredna gora mt. 8th – 1st centuries BC volume I, София, изд. Уникарт, 2011, ISBN 978-954-92706-3-1, стр. 1–256.</v>
      </c>
      <c r="F3633" s="10"/>
      <c r="G3633" s="10" t="str">
        <f ca="1">IFERROR(__xludf.DUMMYFUNCTION("""COMPUTED_VALUE"""),"Д. Стоянова, В. Ханджийска, Ч. Цочев, Ст. Иванов и П. Минков;под редакцията на Ив. Христов")</f>
        <v>Д. Стоянова, В. Ханджийска, Ч. Цочев, Ст. Иванов и П. Минков;под редакцията на Ив. Христов</v>
      </c>
      <c r="H3633" s="10"/>
      <c r="I3633" s="10"/>
      <c r="J3633" s="10"/>
      <c r="K3633" s="10"/>
      <c r="L3633" s="10"/>
      <c r="M3633" s="10"/>
      <c r="N3633" s="10"/>
      <c r="O3633" s="10"/>
      <c r="P3633" s="10"/>
      <c r="Q3633" s="10"/>
      <c r="R3633" s="10"/>
      <c r="S3633" s="10"/>
      <c r="T3633" s="10"/>
      <c r="U3633" s="10"/>
      <c r="V3633" s="10"/>
      <c r="W3633" s="10"/>
      <c r="X3633" s="10"/>
      <c r="Y3633" s="10"/>
      <c r="Z3633" s="10"/>
    </row>
    <row r="3634" spans="1:26" ht="12.75">
      <c r="A3634" s="10" t="str">
        <f ca="1">IFERROR(__xludf.DUMMYFUNCTION("""COMPUTED_VALUE"""),"Иван Христов Христов")</f>
        <v>Иван Христов Христов</v>
      </c>
      <c r="B3634" s="10" t="str">
        <f ca="1">IFERROR(__xludf.DUMMYFUNCTION("""COMPUTED_VALUE"""),"Статия в списания и поредици")</f>
        <v>Статия в списания и поредици</v>
      </c>
      <c r="C3634" s="10" t="str">
        <f ca="1">IFERROR(__xludf.DUMMYFUNCTION("""COMPUTED_VALUE"""),"Желязна брадва-скиптър с позлата от фонда на Национален исторически музей")</f>
        <v>Желязна брадва-скиптър с позлата от фонда на Национален исторически музей</v>
      </c>
      <c r="D3634" s="10">
        <f ca="1">IFERROR(__xludf.DUMMYFUNCTION("""COMPUTED_VALUE"""),2011)</f>
        <v>2011</v>
      </c>
      <c r="E3634" s="10" t="str">
        <f ca="1">IFERROR(__xludf.DUMMYFUNCTION("""COMPUTED_VALUE"""),"Известия на НИМ, том 23, 2011, ISSN 1311-5219, стр 46 – 50.")</f>
        <v>Известия на НИМ, том 23, 2011, ISSN 1311-5219, стр 46 – 50.</v>
      </c>
      <c r="F3634" s="10"/>
      <c r="G3634" s="10"/>
      <c r="H3634" s="10"/>
      <c r="I3634" s="10"/>
      <c r="J3634" s="10"/>
      <c r="K3634" s="10"/>
      <c r="L3634" s="10"/>
      <c r="M3634" s="10"/>
      <c r="N3634" s="10"/>
      <c r="O3634" s="10"/>
      <c r="P3634" s="10"/>
      <c r="Q3634" s="10"/>
      <c r="R3634" s="10"/>
      <c r="S3634" s="10"/>
      <c r="T3634" s="10"/>
      <c r="U3634" s="10"/>
      <c r="V3634" s="10"/>
      <c r="W3634" s="10"/>
      <c r="X3634" s="10"/>
      <c r="Y3634" s="10"/>
      <c r="Z3634" s="10"/>
    </row>
    <row r="3635" spans="1:26" ht="12.75">
      <c r="A3635" s="10" t="str">
        <f ca="1">IFERROR(__xludf.DUMMYFUNCTION("""COMPUTED_VALUE"""),"Иван Христов Христов")</f>
        <v>Иван Христов Христов</v>
      </c>
      <c r="B3635" s="10" t="str">
        <f ca="1">IFERROR(__xludf.DUMMYFUNCTION("""COMPUTED_VALUE"""),"Статия в списания и поредици")</f>
        <v>Статия в списания и поредици</v>
      </c>
      <c r="C3635" s="10" t="str">
        <f ca="1">IFERROR(__xludf.DUMMYFUNCTION("""COMPUTED_VALUE"""),"Кастелът Состра на пътя Ескус–Филипополис. Строителни периоди в изграждането на укрепения лагер и неговото развитие от ІІ до V век")</f>
        <v>Кастелът Состра на пътя Ескус–Филипополис. Строителни периоди в изграждането на укрепения лагер и неговото развитие от ІІ до V век</v>
      </c>
      <c r="D3635" s="10">
        <f ca="1">IFERROR(__xludf.DUMMYFUNCTION("""COMPUTED_VALUE"""),2011)</f>
        <v>2011</v>
      </c>
      <c r="E3635" s="10" t="str">
        <f ca="1">IFERROR(__xludf.DUMMYFUNCTION("""COMPUTED_VALUE"""),"Известия на НИМ, том 23, 2011, ISSN 1311-5219, стр. 60–81.")</f>
        <v>Известия на НИМ, том 23, 2011, ISSN 1311-5219, стр. 60–81.</v>
      </c>
      <c r="F3635" s="10"/>
      <c r="G3635" s="10"/>
      <c r="H3635" s="10"/>
      <c r="I3635" s="10"/>
      <c r="J3635" s="10"/>
      <c r="K3635" s="10"/>
      <c r="L3635" s="10"/>
      <c r="M3635" s="10"/>
      <c r="N3635" s="10"/>
      <c r="O3635" s="10"/>
      <c r="P3635" s="10"/>
      <c r="Q3635" s="10"/>
      <c r="R3635" s="10"/>
      <c r="S3635" s="10"/>
      <c r="T3635" s="10"/>
      <c r="U3635" s="10"/>
      <c r="V3635" s="10"/>
      <c r="W3635" s="10"/>
      <c r="X3635" s="10"/>
      <c r="Y3635" s="10"/>
      <c r="Z3635" s="10"/>
    </row>
    <row r="3636" spans="1:26" ht="12.75">
      <c r="A3636" s="10" t="str">
        <f ca="1">IFERROR(__xludf.DUMMYFUNCTION("""COMPUTED_VALUE"""),"Иван Христов Христов")</f>
        <v>Иван Христов Христов</v>
      </c>
      <c r="B3636" s="10" t="str">
        <f ca="1">IFERROR(__xludf.DUMMYFUNCTION("""COMPUTED_VALUE"""),"Статия в списания и поредици")</f>
        <v>Статия в списания и поредици</v>
      </c>
      <c r="C3636" s="10" t="str">
        <f ca="1">IFERROR(__xludf.DUMMYFUNCTION("""COMPUTED_VALUE"""),"Ancient Macedonian Sling Bullets from the Area of a Thracian Rulers’ Residence at the Top of “Kozi Gramadi”")</f>
        <v>Ancient Macedonian Sling Bullets from the Area of a Thracian Rulers’ Residence at the Top of “Kozi Gramadi”</v>
      </c>
      <c r="D3636" s="10">
        <f ca="1">IFERROR(__xludf.DUMMYFUNCTION("""COMPUTED_VALUE"""),2011)</f>
        <v>2011</v>
      </c>
      <c r="E3636" s="10" t="str">
        <f ca="1">IFERROR(__xludf.DUMMYFUNCTION("""COMPUTED_VALUE"""),"Arhaeologia Bulgarica, 2011, ISSN -1310-9537,21-30.")</f>
        <v>Arhaeologia Bulgarica, 2011, ISSN -1310-9537,21-30.</v>
      </c>
      <c r="F3636" s="10"/>
      <c r="G3636" s="10" t="str">
        <f ca="1">IFERROR(__xludf.DUMMYFUNCTION("""COMPUTED_VALUE"""),"Методи Манов")</f>
        <v>Методи Манов</v>
      </c>
      <c r="H3636" s="10"/>
      <c r="I3636" s="10"/>
      <c r="J3636" s="10"/>
      <c r="K3636" s="10"/>
      <c r="L3636" s="10"/>
      <c r="M3636" s="10"/>
      <c r="N3636" s="10"/>
      <c r="O3636" s="10"/>
      <c r="P3636" s="10"/>
      <c r="Q3636" s="10"/>
      <c r="R3636" s="10"/>
      <c r="S3636" s="10"/>
      <c r="T3636" s="10"/>
      <c r="U3636" s="10"/>
      <c r="V3636" s="10"/>
      <c r="W3636" s="10"/>
      <c r="X3636" s="10"/>
      <c r="Y3636" s="10"/>
      <c r="Z3636" s="10"/>
    </row>
    <row r="3637" spans="1:26" ht="12.75">
      <c r="A3637" s="10" t="str">
        <f ca="1">IFERROR(__xludf.DUMMYFUNCTION("""COMPUTED_VALUE"""),"Иван Христов Христов")</f>
        <v>Иван Христов Христов</v>
      </c>
      <c r="B3637" s="10" t="str">
        <f ca="1">IFERROR(__xludf.DUMMYFUNCTION("""COMPUTED_VALUE"""),"Книга")</f>
        <v>Книга</v>
      </c>
      <c r="C3637" s="10" t="str">
        <f ca="1">IFERROR(__xludf.DUMMYFUNCTION("""COMPUTED_VALUE"""),"Храмът на безсмъртните")</f>
        <v>Храмът на безсмъртните</v>
      </c>
      <c r="D3637" s="10">
        <f ca="1">IFERROR(__xludf.DUMMYFUNCTION("""COMPUTED_VALUE"""),2010)</f>
        <v>2010</v>
      </c>
      <c r="E3637" s="10" t="str">
        <f ca="1">IFERROR(__xludf.DUMMYFUNCTION("""COMPUTED_VALUE"""),"Проучвания на монументални паметници в северозападната периферия на Одриското царство края на V – средата на IV в. пр. Хр. София, 2010, ISBN 978–954-9253-08-05, стр. 1–248.")</f>
        <v>Проучвания на монументални паметници в северозападната периферия на Одриското царство края на V – средата на IV в. пр. Хр. София, 2010, ISBN 978–954-9253-08-05, стр. 1–248.</v>
      </c>
      <c r="F3637" s="10"/>
      <c r="G3637" s="10"/>
      <c r="H3637" s="10"/>
      <c r="I3637" s="10"/>
      <c r="J3637" s="10"/>
      <c r="K3637" s="10"/>
      <c r="L3637" s="10"/>
      <c r="M3637" s="10"/>
      <c r="N3637" s="10"/>
      <c r="O3637" s="10"/>
      <c r="P3637" s="10"/>
      <c r="Q3637" s="10"/>
      <c r="R3637" s="10"/>
      <c r="S3637" s="10"/>
      <c r="T3637" s="10"/>
      <c r="U3637" s="10"/>
      <c r="V3637" s="10"/>
      <c r="W3637" s="10"/>
      <c r="X3637" s="10"/>
      <c r="Y3637" s="10"/>
      <c r="Z3637" s="10"/>
    </row>
    <row r="3638" spans="1:26" ht="12.75">
      <c r="A3638" s="10" t="str">
        <f ca="1">IFERROR(__xludf.DUMMYFUNCTION("""COMPUTED_VALUE"""),"Иван Христов Христов")</f>
        <v>Иван Христов Христов</v>
      </c>
      <c r="B3638" s="10" t="str">
        <f ca="1">IFERROR(__xludf.DUMMYFUNCTION("""COMPUTED_VALUE"""),"Статия в списания и поредици")</f>
        <v>Статия в списания и поредици</v>
      </c>
      <c r="C3638" s="10" t="str">
        <f ca="1">IFERROR(__xludf.DUMMYFUNCTION("""COMPUTED_VALUE"""),"За военното присъствие в Состра през принципата")</f>
        <v>За военното присъствие в Состра през принципата</v>
      </c>
      <c r="D3638" s="10">
        <f ca="1">IFERROR(__xludf.DUMMYFUNCTION("""COMPUTED_VALUE"""),2009)</f>
        <v>2009</v>
      </c>
      <c r="E3638" s="10" t="str">
        <f ca="1">IFERROR(__xludf.DUMMYFUNCTION("""COMPUTED_VALUE"""),"Известия на специализирания музей за резбарско и зографско изкуство. Т. ІІ, 2009, ISSN -1313-6356, стр.78–85")</f>
        <v>Известия на специализирания музей за резбарско и зографско изкуство. Т. ІІ, 2009, ISSN -1313-6356, стр.78–85</v>
      </c>
      <c r="F3638" s="10"/>
      <c r="G3638" s="10" t="str">
        <f ca="1">IFERROR(__xludf.DUMMYFUNCTION("""COMPUTED_VALUE"""),"Румен Иванов")</f>
        <v>Румен Иванов</v>
      </c>
      <c r="H3638" s="10"/>
      <c r="I3638" s="10"/>
      <c r="J3638" s="10"/>
      <c r="K3638" s="10"/>
      <c r="L3638" s="10"/>
      <c r="M3638" s="10"/>
      <c r="N3638" s="10"/>
      <c r="O3638" s="10"/>
      <c r="P3638" s="10"/>
      <c r="Q3638" s="10"/>
      <c r="R3638" s="10"/>
      <c r="S3638" s="10"/>
      <c r="T3638" s="10"/>
      <c r="U3638" s="10"/>
      <c r="V3638" s="10"/>
      <c r="W3638" s="10"/>
      <c r="X3638" s="10"/>
      <c r="Y3638" s="10"/>
      <c r="Z3638" s="10"/>
    </row>
    <row r="3639" spans="1:26" ht="12.75">
      <c r="A3639" s="10" t="str">
        <f ca="1">IFERROR(__xludf.DUMMYFUNCTION("""COMPUTED_VALUE"""),"Иван Христов Христов")</f>
        <v>Иван Христов Христов</v>
      </c>
      <c r="B3639" s="10" t="str">
        <f ca="1">IFERROR(__xludf.DUMMYFUNCTION("""COMPUTED_VALUE"""),"Студия")</f>
        <v>Студия</v>
      </c>
      <c r="C3639" s="10" t="str">
        <f ca="1">IFERROR(__xludf.DUMMYFUNCTION("""COMPUTED_VALUE"""),"Крепостта Состра, император Галиен и кохортата на „Възвращенците”")</f>
        <v>Крепостта Состра, император Галиен и кохортата на „Възвращенците”</v>
      </c>
      <c r="D3639" s="10">
        <f ca="1">IFERROR(__xludf.DUMMYFUNCTION("""COMPUTED_VALUE"""),2008)</f>
        <v>2008</v>
      </c>
      <c r="E3639" s="10" t="str">
        <f ca="1">IFERROR(__xludf.DUMMYFUNCTION("""COMPUTED_VALUE"""),"В. Търново, 2008, ISBN-978-954-775-863-6, стр. 1–92.")</f>
        <v>В. Търново, 2008, ISBN-978-954-775-863-6, стр. 1–92.</v>
      </c>
      <c r="F3639" s="10"/>
      <c r="G3639" s="10"/>
      <c r="H3639" s="10"/>
      <c r="I3639" s="10"/>
      <c r="J3639" s="10"/>
      <c r="K3639" s="10"/>
      <c r="L3639" s="10"/>
      <c r="M3639" s="10"/>
      <c r="N3639" s="10"/>
      <c r="O3639" s="10"/>
      <c r="P3639" s="10"/>
      <c r="Q3639" s="10"/>
      <c r="R3639" s="10"/>
      <c r="S3639" s="10"/>
      <c r="T3639" s="10"/>
      <c r="U3639" s="10"/>
      <c r="V3639" s="10"/>
      <c r="W3639" s="10"/>
      <c r="X3639" s="10"/>
      <c r="Y3639" s="10"/>
      <c r="Z3639" s="10"/>
    </row>
    <row r="3640" spans="1:26" ht="12.75">
      <c r="A3640" s="10" t="str">
        <f ca="1">IFERROR(__xludf.DUMMYFUNCTION("""COMPUTED_VALUE"""),"Иван Христов Христов")</f>
        <v>Иван Христов Христов</v>
      </c>
      <c r="B3640" s="10" t="str">
        <f ca="1">IFERROR(__xludf.DUMMYFUNCTION("""COMPUTED_VALUE"""),"Статия в списания и поредици")</f>
        <v>Статия в списания и поредици</v>
      </c>
      <c r="C3640" s="10" t="str">
        <f ca="1">IFERROR(__xludf.DUMMYFUNCTION("""COMPUTED_VALUE"""),"The Thracian Residence, Fortress and Sanctuary of the Odryssae Tsars in Sredna gora. Fift to Fourt Centuari BC")</f>
        <v>The Thracian Residence, Fortress and Sanctuary of the Odryssae Tsars in Sredna gora. Fift to Fourt Centuari BC</v>
      </c>
      <c r="D3640" s="10">
        <f ca="1">IFERROR(__xludf.DUMMYFUNCTION("""COMPUTED_VALUE"""),2008)</f>
        <v>2008</v>
      </c>
      <c r="E3640" s="10" t="str">
        <f ca="1">IFERROR(__xludf.DUMMYFUNCTION("""COMPUTED_VALUE"""),"По пътя на миналото. Сборник научни статии по повод 65-годишнината на д-р Георги Китов. София, 2008,ISBN 978-954-9873-49-8, 213–220")</f>
        <v>По пътя на миналото. Сборник научни статии по повод 65-годишнината на д-р Георги Китов. София, 2008,ISBN 978-954-9873-49-8, 213–220</v>
      </c>
      <c r="F3640" s="10"/>
      <c r="G3640" s="10"/>
      <c r="H3640" s="10"/>
      <c r="I3640" s="10"/>
      <c r="J3640" s="10"/>
      <c r="K3640" s="10"/>
      <c r="L3640" s="10"/>
      <c r="M3640" s="10"/>
      <c r="N3640" s="10"/>
      <c r="O3640" s="10"/>
      <c r="P3640" s="10"/>
      <c r="Q3640" s="10"/>
      <c r="R3640" s="10"/>
      <c r="S3640" s="10"/>
      <c r="T3640" s="10"/>
      <c r="U3640" s="10"/>
      <c r="V3640" s="10"/>
      <c r="W3640" s="10"/>
      <c r="X3640" s="10"/>
      <c r="Y3640" s="10"/>
      <c r="Z3640" s="10"/>
    </row>
    <row r="3641" spans="1:26" ht="12.75">
      <c r="A3641" s="10" t="str">
        <f ca="1">IFERROR(__xludf.DUMMYFUNCTION("""COMPUTED_VALUE"""),"Иван Христов Христов")</f>
        <v>Иван Христов Христов</v>
      </c>
      <c r="B3641" s="10" t="str">
        <f ca="1">IFERROR(__xludf.DUMMYFUNCTION("""COMPUTED_VALUE"""),"Статия в списания и поредици")</f>
        <v>Статия в списания и поредици</v>
      </c>
      <c r="C3641" s="10" t="str">
        <f ca="1">IFERROR(__xludf.DUMMYFUNCTION("""COMPUTED_VALUE"""),"Неизвестен долномизийски провинциален управител при император Галиен от 254 –256г.")</f>
        <v>Неизвестен долномизийски провинциален управител при император Галиен от 254 –256г.</v>
      </c>
      <c r="D3641" s="10">
        <f ca="1">IFERROR(__xludf.DUMMYFUNCTION("""COMPUTED_VALUE"""),2008)</f>
        <v>2008</v>
      </c>
      <c r="E3641" s="10" t="str">
        <f ca="1">IFERROR(__xludf.DUMMYFUNCTION("""COMPUTED_VALUE"""),"Известия на Национален исторически музей, том ХVІІІ, 2008, ISSN 1311-5219, стр 9 – 14.")</f>
        <v>Известия на Национален исторически музей, том ХVІІІ, 2008, ISSN 1311-5219, стр 9 – 14.</v>
      </c>
      <c r="F3641" s="10"/>
      <c r="G3641" s="10"/>
      <c r="H3641" s="10"/>
      <c r="I3641" s="10"/>
      <c r="J3641" s="10"/>
      <c r="K3641" s="10"/>
      <c r="L3641" s="10"/>
      <c r="M3641" s="10"/>
      <c r="N3641" s="10"/>
      <c r="O3641" s="10"/>
      <c r="P3641" s="10"/>
      <c r="Q3641" s="10"/>
      <c r="R3641" s="10"/>
      <c r="S3641" s="10"/>
      <c r="T3641" s="10"/>
      <c r="U3641" s="10"/>
      <c r="V3641" s="10"/>
      <c r="W3641" s="10"/>
      <c r="X3641" s="10"/>
      <c r="Y3641" s="10"/>
      <c r="Z3641" s="10"/>
    </row>
    <row r="3642" spans="1:26" ht="12.75">
      <c r="A3642" s="10" t="str">
        <f ca="1">IFERROR(__xludf.DUMMYFUNCTION("""COMPUTED_VALUE"""),"Иван Христов Христов")</f>
        <v>Иван Христов Христов</v>
      </c>
      <c r="B3642" s="10" t="str">
        <f ca="1">IFERROR(__xludf.DUMMYFUNCTION("""COMPUTED_VALUE"""),"Книга")</f>
        <v>Книга</v>
      </c>
      <c r="C3642" s="10" t="str">
        <f ca="1">IFERROR(__xludf.DUMMYFUNCTION("""COMPUTED_VALUE"""),"Состра. Проучване на римската крайпътна станция и кастел на пътя Ескус–Филипополис. Том ІІ.")</f>
        <v>Состра. Проучване на римската крайпътна станция и кастел на пътя Ескус–Филипополис. Том ІІ.</v>
      </c>
      <c r="D3642" s="10">
        <f ca="1">IFERROR(__xludf.DUMMYFUNCTION("""COMPUTED_VALUE"""),2006)</f>
        <v>2006</v>
      </c>
      <c r="E3642" s="10" t="str">
        <f ca="1">IFERROR(__xludf.DUMMYFUNCTION("""COMPUTED_VALUE"""),"Велико Търново, Фабер, 2006, ISBN-954-775-635-4,стр. 1–136.")</f>
        <v>Велико Търново, Фабер, 2006, ISBN-954-775-635-4,стр. 1–136.</v>
      </c>
      <c r="F3642" s="10"/>
      <c r="G3642" s="10"/>
      <c r="H3642" s="10"/>
      <c r="I3642" s="10"/>
      <c r="J3642" s="10"/>
      <c r="K3642" s="10"/>
      <c r="L3642" s="10"/>
      <c r="M3642" s="10"/>
      <c r="N3642" s="10"/>
      <c r="O3642" s="10"/>
      <c r="P3642" s="10"/>
      <c r="Q3642" s="10"/>
      <c r="R3642" s="10"/>
      <c r="S3642" s="10"/>
      <c r="T3642" s="10"/>
      <c r="U3642" s="10"/>
      <c r="V3642" s="10"/>
      <c r="W3642" s="10"/>
      <c r="X3642" s="10"/>
      <c r="Y3642" s="10"/>
      <c r="Z3642" s="10"/>
    </row>
    <row r="3643" spans="1:26" ht="12.75">
      <c r="A3643" s="10" t="str">
        <f ca="1">IFERROR(__xludf.DUMMYFUNCTION("""COMPUTED_VALUE"""),"Иван Христов Христов")</f>
        <v>Иван Христов Христов</v>
      </c>
      <c r="B3643" s="10" t="str">
        <f ca="1">IFERROR(__xludf.DUMMYFUNCTION("""COMPUTED_VALUE"""),"Статия в списания и поредици")</f>
        <v>Статия в списания и поредици</v>
      </c>
      <c r="C3643" s="10" t="str">
        <f ca="1">IFERROR(__xludf.DUMMYFUNCTION("""COMPUTED_VALUE"""),"Проучване на викус (vicus) от римската епоха в околностите на с. Тученица, Плевенско")</f>
        <v>Проучване на викус (vicus) от римската епоха в околностите на с. Тученица, Плевенско</v>
      </c>
      <c r="D3643" s="10">
        <f ca="1">IFERROR(__xludf.DUMMYFUNCTION("""COMPUTED_VALUE"""),2006)</f>
        <v>2006</v>
      </c>
      <c r="E3643" s="10" t="str">
        <f ca="1">IFERROR(__xludf.DUMMYFUNCTION("""COMPUTED_VALUE"""),"Известия на Национален исторически музей, том ХVІ, 2006, ISSN 1311-5219, стр. 48–70.")</f>
        <v>Известия на Национален исторически музей, том ХVІ, 2006, ISSN 1311-5219, стр. 48–70.</v>
      </c>
      <c r="F3643" s="10"/>
      <c r="G3643" s="10"/>
      <c r="H3643" s="10"/>
      <c r="I3643" s="10"/>
      <c r="J3643" s="10"/>
      <c r="K3643" s="10"/>
      <c r="L3643" s="10"/>
      <c r="M3643" s="10"/>
      <c r="N3643" s="10"/>
      <c r="O3643" s="10"/>
      <c r="P3643" s="10"/>
      <c r="Q3643" s="10"/>
      <c r="R3643" s="10"/>
      <c r="S3643" s="10"/>
      <c r="T3643" s="10"/>
      <c r="U3643" s="10"/>
      <c r="V3643" s="10"/>
      <c r="W3643" s="10"/>
      <c r="X3643" s="10"/>
      <c r="Y3643" s="10"/>
      <c r="Z3643" s="10"/>
    </row>
    <row r="3644" spans="1:26" ht="12.75">
      <c r="A3644" s="10" t="str">
        <f ca="1">IFERROR(__xludf.DUMMYFUNCTION("""COMPUTED_VALUE"""),"Иван Христов Христов")</f>
        <v>Иван Христов Христов</v>
      </c>
      <c r="B3644" s="10" t="str">
        <f ca="1">IFERROR(__xludf.DUMMYFUNCTION("""COMPUTED_VALUE"""),"Статия в списания и поредици")</f>
        <v>Статия в списания и поредици</v>
      </c>
      <c r="C3644" s="10" t="str">
        <f ca="1">IFERROR(__xludf.DUMMYFUNCTION("""COMPUTED_VALUE"""),"Паметници на тракийската култура в Западни Родопи – Рида Добростан")</f>
        <v>Паметници на тракийската култура в Западни Родопи – Рида Добростан</v>
      </c>
      <c r="D3644" s="10">
        <f ca="1">IFERROR(__xludf.DUMMYFUNCTION("""COMPUTED_VALUE"""),2006)</f>
        <v>2006</v>
      </c>
      <c r="E3644" s="10" t="str">
        <f ca="1">IFERROR(__xludf.DUMMYFUNCTION("""COMPUTED_VALUE"""),"Известия на Национален исторически музей, том ХVІ, 2006. ISSN 1311-5219, стр. , 9 – 41")</f>
        <v>Известия на Национален исторически музей, том ХVІ, 2006. ISSN 1311-5219, стр. , 9 – 41</v>
      </c>
      <c r="F3644" s="10"/>
      <c r="G3644" s="10"/>
      <c r="H3644" s="10"/>
      <c r="I3644" s="10"/>
      <c r="J3644" s="10"/>
      <c r="K3644" s="10"/>
      <c r="L3644" s="10"/>
      <c r="M3644" s="10"/>
      <c r="N3644" s="10"/>
      <c r="O3644" s="10"/>
      <c r="P3644" s="10"/>
      <c r="Q3644" s="10"/>
      <c r="R3644" s="10"/>
      <c r="S3644" s="10"/>
      <c r="T3644" s="10"/>
      <c r="U3644" s="10"/>
      <c r="V3644" s="10"/>
      <c r="W3644" s="10"/>
      <c r="X3644" s="10"/>
      <c r="Y3644" s="10"/>
      <c r="Z3644" s="10"/>
    </row>
    <row r="3645" spans="1:26" ht="12.75">
      <c r="A3645" s="10" t="str">
        <f ca="1">IFERROR(__xludf.DUMMYFUNCTION("""COMPUTED_VALUE"""),"Иван Христов Христов")</f>
        <v>Иван Христов Христов</v>
      </c>
      <c r="B3645" s="10" t="str">
        <f ca="1">IFERROR(__xludf.DUMMYFUNCTION("""COMPUTED_VALUE"""),"Статия в списания и поредици")</f>
        <v>Статия в списания и поредици</v>
      </c>
      <c r="C3645" s="10" t="str">
        <f ca="1">IFERROR(__xludf.DUMMYFUNCTION("""COMPUTED_VALUE"""),"Проучване на тракийското скално светилище “Беланташ” в Родопите")</f>
        <v>Проучване на тракийското скално светилище “Беланташ” в Родопите</v>
      </c>
      <c r="D3645" s="10">
        <f ca="1">IFERROR(__xludf.DUMMYFUNCTION("""COMPUTED_VALUE"""),2005)</f>
        <v>2005</v>
      </c>
      <c r="E3645" s="10" t="str">
        <f ca="1">IFERROR(__xludf.DUMMYFUNCTION("""COMPUTED_VALUE"""),"Известия на Националния исторически музей, том ХV, 2005, ISSN 1311-5219, стр 16–42.")</f>
        <v>Известия на Националния исторически музей, том ХV, 2005, ISSN 1311-5219, стр 16–42.</v>
      </c>
      <c r="F3645" s="10"/>
      <c r="G3645" s="10"/>
      <c r="H3645" s="10"/>
      <c r="I3645" s="10"/>
      <c r="J3645" s="10"/>
      <c r="K3645" s="10"/>
      <c r="L3645" s="10"/>
      <c r="M3645" s="10"/>
      <c r="N3645" s="10"/>
      <c r="O3645" s="10"/>
      <c r="P3645" s="10"/>
      <c r="Q3645" s="10"/>
      <c r="R3645" s="10"/>
      <c r="S3645" s="10"/>
      <c r="T3645" s="10"/>
      <c r="U3645" s="10"/>
      <c r="V3645" s="10"/>
      <c r="W3645" s="10"/>
      <c r="X3645" s="10"/>
      <c r="Y3645" s="10"/>
      <c r="Z3645" s="10"/>
    </row>
    <row r="3646" spans="1:26" ht="12.75">
      <c r="A3646" s="10" t="str">
        <f ca="1">IFERROR(__xludf.DUMMYFUNCTION("""COMPUTED_VALUE"""),"Иван Христов Христов")</f>
        <v>Иван Христов Христов</v>
      </c>
      <c r="B3646" s="10" t="str">
        <f ca="1">IFERROR(__xludf.DUMMYFUNCTION("""COMPUTED_VALUE"""),"Статия в списания и поредици")</f>
        <v>Статия в списания и поредици</v>
      </c>
      <c r="C3646" s="10" t="str">
        <f ca="1">IFERROR(__xludf.DUMMYFUNCTION("""COMPUTED_VALUE"""),"Новооткрита монетна находка на тетрадрахми от Елинистическата епоха в землището на с. Голяма Желязна, Община Троян")</f>
        <v>Новооткрита монетна находка на тетрадрахми от Елинистическата епоха в землището на с. Голяма Желязна, Община Троян</v>
      </c>
      <c r="D3646" s="10">
        <f ca="1">IFERROR(__xludf.DUMMYFUNCTION("""COMPUTED_VALUE"""),2005)</f>
        <v>2005</v>
      </c>
      <c r="E3646" s="10" t="str">
        <f ca="1">IFERROR(__xludf.DUMMYFUNCTION("""COMPUTED_VALUE"""),"Известия на Националния исторически музей, том ХV,2005, 106–117")</f>
        <v>Известия на Националния исторически музей, том ХV,2005, 106–117</v>
      </c>
      <c r="F3646" s="10"/>
      <c r="G3646" s="10" t="str">
        <f ca="1">IFERROR(__xludf.DUMMYFUNCTION("""COMPUTED_VALUE"""),"Ил. Прокопов")</f>
        <v>Ил. Прокопов</v>
      </c>
      <c r="H3646" s="10"/>
      <c r="I3646" s="10"/>
      <c r="J3646" s="10"/>
      <c r="K3646" s="10"/>
      <c r="L3646" s="10"/>
      <c r="M3646" s="10"/>
      <c r="N3646" s="10"/>
      <c r="O3646" s="10"/>
      <c r="P3646" s="10"/>
      <c r="Q3646" s="10"/>
      <c r="R3646" s="10"/>
      <c r="S3646" s="10"/>
      <c r="T3646" s="10"/>
      <c r="U3646" s="10"/>
      <c r="V3646" s="10"/>
      <c r="W3646" s="10"/>
      <c r="X3646" s="10"/>
      <c r="Y3646" s="10"/>
      <c r="Z3646" s="10"/>
    </row>
    <row r="3647" spans="1:26" ht="12.75">
      <c r="A3647" s="10" t="str">
        <f ca="1">IFERROR(__xludf.DUMMYFUNCTION("""COMPUTED_VALUE"""),"Иван Христов Христов")</f>
        <v>Иван Христов Христов</v>
      </c>
      <c r="B3647" s="10" t="str">
        <f ca="1">IFERROR(__xludf.DUMMYFUNCTION("""COMPUTED_VALUE"""),"Книга")</f>
        <v>Книга</v>
      </c>
      <c r="C3647" s="10" t="str">
        <f ca="1">IFERROR(__xludf.DUMMYFUNCTION("""COMPUTED_VALUE"""),"Римски крайпътни станции на пътя Ескус–Филипополис. Ад радицес-Монтемно – Суб радицес")</f>
        <v>Римски крайпътни станции на пътя Ескус–Филипополис. Ад радицес-Монтемно – Суб радицес</v>
      </c>
      <c r="D3647" s="10">
        <f ca="1">IFERROR(__xludf.DUMMYFUNCTION("""COMPUTED_VALUE"""),2004)</f>
        <v>2004</v>
      </c>
      <c r="E3647" s="10" t="str">
        <f ca="1">IFERROR(__xludf.DUMMYFUNCTION("""COMPUTED_VALUE"""),"В. Търново, Faber, ISBN -954-775-322-3, стр.2004, 1–156")</f>
        <v>В. Търново, Faber, ISBN -954-775-322-3, стр.2004, 1–156</v>
      </c>
      <c r="F3647" s="10"/>
      <c r="G3647" s="10" t="str">
        <f ca="1">IFERROR(__xludf.DUMMYFUNCTION("""COMPUTED_VALUE"""),"М. Иванова–Камишева и Павлин Стойнов")</f>
        <v>М. Иванова–Камишева и Павлин Стойнов</v>
      </c>
      <c r="H3647" s="10"/>
      <c r="I3647" s="10"/>
      <c r="J3647" s="10"/>
      <c r="K3647" s="10"/>
      <c r="L3647" s="10"/>
      <c r="M3647" s="10"/>
      <c r="N3647" s="10"/>
      <c r="O3647" s="10"/>
      <c r="P3647" s="10"/>
      <c r="Q3647" s="10"/>
      <c r="R3647" s="10"/>
      <c r="S3647" s="10"/>
      <c r="T3647" s="10"/>
      <c r="U3647" s="10"/>
      <c r="V3647" s="10"/>
      <c r="W3647" s="10"/>
      <c r="X3647" s="10"/>
      <c r="Y3647" s="10"/>
      <c r="Z3647" s="10"/>
    </row>
    <row r="3648" spans="1:26" ht="12.75">
      <c r="A3648" s="10" t="str">
        <f ca="1">IFERROR(__xludf.DUMMYFUNCTION("""COMPUTED_VALUE"""),"Иван Христов Христов")</f>
        <v>Иван Христов Христов</v>
      </c>
      <c r="B3648" s="10" t="str">
        <f ca="1">IFERROR(__xludf.DUMMYFUNCTION("""COMPUTED_VALUE"""),"Статия в списания и поредици")</f>
        <v>Статия в списания и поредици</v>
      </c>
      <c r="C3648" s="10" t="str">
        <f ca="1">IFERROR(__xludf.DUMMYFUNCTION("""COMPUTED_VALUE"""),"Колективна находка на римско нападателно въоръжение от района на Централна Стара планина")</f>
        <v>Колективна находка на римско нападателно въоръжение от района на Централна Стара планина</v>
      </c>
      <c r="D3648" s="10">
        <f ca="1">IFERROR(__xludf.DUMMYFUNCTION("""COMPUTED_VALUE"""),2004)</f>
        <v>2004</v>
      </c>
      <c r="E3648" s="10" t="str">
        <f ca="1">IFERROR(__xludf.DUMMYFUNCTION("""COMPUTED_VALUE"""),"Известия на Националния исторически музей, том ХІV, 2004, ISSN 1311-5219, стр. 68- 84")</f>
        <v>Известия на Националния исторически музей, том ХІV, 2004, ISSN 1311-5219, стр. 68- 84</v>
      </c>
      <c r="F3648" s="10"/>
      <c r="G3648" s="10" t="str">
        <f ca="1">IFERROR(__xludf.DUMMYFUNCTION("""COMPUTED_VALUE"""),"В. Христова")</f>
        <v>В. Христова</v>
      </c>
      <c r="H3648" s="10"/>
      <c r="I3648" s="10"/>
      <c r="J3648" s="10"/>
      <c r="K3648" s="10"/>
      <c r="L3648" s="10"/>
      <c r="M3648" s="10"/>
      <c r="N3648" s="10"/>
      <c r="O3648" s="10"/>
      <c r="P3648" s="10"/>
      <c r="Q3648" s="10"/>
      <c r="R3648" s="10"/>
      <c r="S3648" s="10"/>
      <c r="T3648" s="10"/>
      <c r="U3648" s="10"/>
      <c r="V3648" s="10"/>
      <c r="W3648" s="10"/>
      <c r="X3648" s="10"/>
      <c r="Y3648" s="10"/>
      <c r="Z3648" s="10"/>
    </row>
    <row r="3649" spans="1:26" ht="12.75">
      <c r="A3649" s="10" t="str">
        <f ca="1">IFERROR(__xludf.DUMMYFUNCTION("""COMPUTED_VALUE"""),"Иван Христов Христов")</f>
        <v>Иван Христов Христов</v>
      </c>
      <c r="B3649" s="10" t="str">
        <f ca="1">IFERROR(__xludf.DUMMYFUNCTION("""COMPUTED_VALUE"""),"Статия в списания и поредици")</f>
        <v>Статия в списания и поредици</v>
      </c>
      <c r="C3649" s="10" t="str">
        <f ca="1">IFERROR(__xludf.DUMMYFUNCTION("""COMPUTED_VALUE"""),"Тракийски накитни съкровища (ІХ–VІ в. пр. Хр.) от фонда на Националния исторически музей")</f>
        <v>Тракийски накитни съкровища (ІХ–VІ в. пр. Хр.) от фонда на Националния исторически музей</v>
      </c>
      <c r="D3649" s="10">
        <f ca="1">IFERROR(__xludf.DUMMYFUNCTION("""COMPUTED_VALUE"""),2004)</f>
        <v>2004</v>
      </c>
      <c r="E3649" s="10" t="str">
        <f ca="1">IFERROR(__xludf.DUMMYFUNCTION("""COMPUTED_VALUE"""),"Известия на Националния исторически музей, том ХІV, 2004, ISSN 1311-5219, стр. 43 – 67")</f>
        <v>Известия на Националния исторически музей, том ХІV, 2004, ISSN 1311-5219, стр. 43 – 67</v>
      </c>
      <c r="F3649" s="10"/>
      <c r="G3649" s="10"/>
      <c r="H3649" s="10"/>
      <c r="I3649" s="10"/>
      <c r="J3649" s="10"/>
      <c r="K3649" s="10"/>
      <c r="L3649" s="10"/>
      <c r="M3649" s="10"/>
      <c r="N3649" s="10"/>
      <c r="O3649" s="10"/>
      <c r="P3649" s="10"/>
      <c r="Q3649" s="10"/>
      <c r="R3649" s="10"/>
      <c r="S3649" s="10"/>
      <c r="T3649" s="10"/>
      <c r="U3649" s="10"/>
      <c r="V3649" s="10"/>
      <c r="W3649" s="10"/>
      <c r="X3649" s="10"/>
      <c r="Y3649" s="10"/>
      <c r="Z3649" s="10"/>
    </row>
    <row r="3650" spans="1:26" ht="12.75">
      <c r="A3650" s="10" t="str">
        <f ca="1">IFERROR(__xludf.DUMMYFUNCTION("""COMPUTED_VALUE"""),"Иван Христов Христов")</f>
        <v>Иван Христов Христов</v>
      </c>
      <c r="B3650" s="10" t="str">
        <f ca="1">IFERROR(__xludf.DUMMYFUNCTION("""COMPUTED_VALUE"""),"Статия в списания и поредици")</f>
        <v>Статия в списания и поредици</v>
      </c>
      <c r="C3650" s="10" t="str">
        <f ca="1">IFERROR(__xludf.DUMMYFUNCTION("""COMPUTED_VALUE"""),"Нови епиграфски данни за северната граница на провинция Тракия при император Хадриан.")</f>
        <v>Нови епиграфски данни за северната граница на провинция Тракия при император Хадриан.</v>
      </c>
      <c r="D3650" s="10">
        <f ca="1">IFERROR(__xludf.DUMMYFUNCTION("""COMPUTED_VALUE"""),2004)</f>
        <v>2004</v>
      </c>
      <c r="E3650" s="10" t="str">
        <f ca="1">IFERROR(__xludf.DUMMYFUNCTION("""COMPUTED_VALUE"""),"Минало, кн. 2, ISSN- 1310-3413,стр. 2004, 4–8")</f>
        <v>Минало, кн. 2, ISSN- 1310-3413,стр. 2004, 4–8</v>
      </c>
      <c r="F3650" s="10"/>
      <c r="G3650" s="10"/>
      <c r="H3650" s="10"/>
      <c r="I3650" s="10"/>
      <c r="J3650" s="10"/>
      <c r="K3650" s="10"/>
      <c r="L3650" s="10"/>
      <c r="M3650" s="10"/>
      <c r="N3650" s="10"/>
      <c r="O3650" s="10"/>
      <c r="P3650" s="10"/>
      <c r="Q3650" s="10"/>
      <c r="R3650" s="10"/>
      <c r="S3650" s="10"/>
      <c r="T3650" s="10"/>
      <c r="U3650" s="10"/>
      <c r="V3650" s="10"/>
      <c r="W3650" s="10"/>
      <c r="X3650" s="10"/>
      <c r="Y3650" s="10"/>
      <c r="Z3650" s="10"/>
    </row>
    <row r="3651" spans="1:26" ht="12.75">
      <c r="A3651" s="10" t="str">
        <f ca="1">IFERROR(__xludf.DUMMYFUNCTION("""COMPUTED_VALUE"""),"Иван Христов Христов")</f>
        <v>Иван Христов Христов</v>
      </c>
      <c r="B3651" s="10" t="str">
        <f ca="1">IFERROR(__xludf.DUMMYFUNCTION("""COMPUTED_VALUE"""),"Книга")</f>
        <v>Книга</v>
      </c>
      <c r="C3651" s="10" t="str">
        <f ca="1">IFERROR(__xludf.DUMMYFUNCTION("""COMPUTED_VALUE"""),"Состра. Проучване на римската крайпътна станция и кастел на пътя Ескус–Филипополис, том І.")</f>
        <v>Состра. Проучване на римската крайпътна станция и кастел на пътя Ескус–Филипополис, том І.</v>
      </c>
      <c r="D3651" s="10">
        <f ca="1">IFERROR(__xludf.DUMMYFUNCTION("""COMPUTED_VALUE"""),2003)</f>
        <v>2003</v>
      </c>
      <c r="E3651" s="10" t="str">
        <f ca="1">IFERROR(__xludf.DUMMYFUNCTION("""COMPUTED_VALUE"""),"2003, ISBN-954-775-242-1,стр. 1–151")</f>
        <v>2003, ISBN-954-775-242-1,стр. 1–151</v>
      </c>
      <c r="F3651" s="10"/>
      <c r="G3651" s="10" t="str">
        <f ca="1">IFERROR(__xludf.DUMMYFUNCTION("""COMPUTED_VALUE"""),"Г. Китов, М. Иванова и М. Бинев")</f>
        <v>Г. Китов, М. Иванова и М. Бинев</v>
      </c>
      <c r="H3651" s="10"/>
      <c r="I3651" s="10"/>
      <c r="J3651" s="10"/>
      <c r="K3651" s="10"/>
      <c r="L3651" s="10"/>
      <c r="M3651" s="10"/>
      <c r="N3651" s="10"/>
      <c r="O3651" s="10"/>
      <c r="P3651" s="10"/>
      <c r="Q3651" s="10"/>
      <c r="R3651" s="10"/>
      <c r="S3651" s="10"/>
      <c r="T3651" s="10"/>
      <c r="U3651" s="10"/>
      <c r="V3651" s="10"/>
      <c r="W3651" s="10"/>
      <c r="X3651" s="10"/>
      <c r="Y3651" s="10"/>
      <c r="Z3651" s="10"/>
    </row>
    <row r="3652" spans="1:26" ht="12.75">
      <c r="A3652" s="10" t="str">
        <f ca="1">IFERROR(__xludf.DUMMYFUNCTION("""COMPUTED_VALUE"""),"Иван Христов Христов")</f>
        <v>Иван Христов Христов</v>
      </c>
      <c r="B3652" s="10" t="str">
        <f ca="1">IFERROR(__xludf.DUMMYFUNCTION("""COMPUTED_VALUE"""),"Статия в списания и поредици")</f>
        <v>Статия в списания и поредици</v>
      </c>
      <c r="C3652" s="10" t="str">
        <f ca="1">IFERROR(__xludf.DUMMYFUNCTION("""COMPUTED_VALUE"""),"Проучване на тракийското светилище в м. Турлата край Троян")</f>
        <v>Проучване на тракийското светилище в м. Турлата край Троян</v>
      </c>
      <c r="D3652" s="10">
        <f ca="1">IFERROR(__xludf.DUMMYFUNCTION("""COMPUTED_VALUE"""),2003)</f>
        <v>2003</v>
      </c>
      <c r="E3652" s="10" t="str">
        <f ca="1">IFERROR(__xludf.DUMMYFUNCTION("""COMPUTED_VALUE"""),"Археология, кн. 3, 2003, ISSN-0324-1203, стр. 21–29")</f>
        <v>Археология, кн. 3, 2003, ISSN-0324-1203, стр. 21–29</v>
      </c>
      <c r="F3652" s="10"/>
      <c r="G3652" s="10" t="str">
        <f ca="1">IFERROR(__xludf.DUMMYFUNCTION("""COMPUTED_VALUE"""),"Алексей Гоцев")</f>
        <v>Алексей Гоцев</v>
      </c>
      <c r="H3652" s="10"/>
      <c r="I3652" s="10"/>
      <c r="J3652" s="10"/>
      <c r="K3652" s="10"/>
      <c r="L3652" s="10"/>
      <c r="M3652" s="10"/>
      <c r="N3652" s="10"/>
      <c r="O3652" s="10"/>
      <c r="P3652" s="10"/>
      <c r="Q3652" s="10"/>
      <c r="R3652" s="10"/>
      <c r="S3652" s="10"/>
      <c r="T3652" s="10"/>
      <c r="U3652" s="10"/>
      <c r="V3652" s="10"/>
      <c r="W3652" s="10"/>
      <c r="X3652" s="10"/>
      <c r="Y3652" s="10"/>
      <c r="Z3652" s="10"/>
    </row>
    <row r="3653" spans="1:26" ht="12.75">
      <c r="A3653" s="10" t="str">
        <f ca="1">IFERROR(__xludf.DUMMYFUNCTION("""COMPUTED_VALUE"""),"Иван Христов Христов")</f>
        <v>Иван Христов Христов</v>
      </c>
      <c r="B3653" s="10" t="str">
        <f ca="1">IFERROR(__xludf.DUMMYFUNCTION("""COMPUTED_VALUE"""),"Статия в списания и поредици")</f>
        <v>Статия в списания и поредици</v>
      </c>
      <c r="C3653" s="10" t="str">
        <f ca="1">IFERROR(__xludf.DUMMYFUNCTION("""COMPUTED_VALUE"""),"Thracian rock sanctuary in the vicinity of Discoduratere")</f>
        <v>Thracian rock sanctuary in the vicinity of Discoduratere</v>
      </c>
      <c r="D3653" s="10">
        <f ca="1">IFERROR(__xludf.DUMMYFUNCTION("""COMPUTED_VALUE"""),2003)</f>
        <v>2003</v>
      </c>
      <c r="E3653" s="10" t="str">
        <f ca="1">IFERROR(__xludf.DUMMYFUNCTION("""COMPUTED_VALUE"""),"Thracia XV, In honorem annorum LXX Alexandri Fol,Sofia, ISSN-0204-9872 691–698")</f>
        <v>Thracia XV, In honorem annorum LXX Alexandri Fol,Sofia, ISSN-0204-9872 691–698</v>
      </c>
      <c r="F3653" s="10"/>
      <c r="G3653" s="10" t="str">
        <f ca="1">IFERROR(__xludf.DUMMYFUNCTION("""COMPUTED_VALUE"""),"Венелин Бараков")</f>
        <v>Венелин Бараков</v>
      </c>
      <c r="H3653" s="10"/>
      <c r="I3653" s="10"/>
      <c r="J3653" s="10"/>
      <c r="K3653" s="10"/>
      <c r="L3653" s="10"/>
      <c r="M3653" s="10"/>
      <c r="N3653" s="10"/>
      <c r="O3653" s="10"/>
      <c r="P3653" s="10"/>
      <c r="Q3653" s="10"/>
      <c r="R3653" s="10"/>
      <c r="S3653" s="10"/>
      <c r="T3653" s="10"/>
      <c r="U3653" s="10"/>
      <c r="V3653" s="10"/>
      <c r="W3653" s="10"/>
      <c r="X3653" s="10"/>
      <c r="Y3653" s="10"/>
      <c r="Z3653" s="10"/>
    </row>
    <row r="3654" spans="1:26" ht="12.75">
      <c r="A3654" s="10" t="str">
        <f ca="1">IFERROR(__xludf.DUMMYFUNCTION("""COMPUTED_VALUE"""),"Иван Христов Христов")</f>
        <v>Иван Христов Христов</v>
      </c>
      <c r="B3654" s="10" t="str">
        <f ca="1">IFERROR(__xludf.DUMMYFUNCTION("""COMPUTED_VALUE"""),"Статия в списания и поредици")</f>
        <v>Статия в списания и поредици</v>
      </c>
      <c r="C3654" s="10" t="str">
        <f ca="1">IFERROR(__xludf.DUMMYFUNCTION("""COMPUTED_VALUE"""),"Походът на Филип V в планините на Тракия през 181 г. пр. Хр.")</f>
        <v>Походът на Филип V в планините на Тракия през 181 г. пр. Хр.</v>
      </c>
      <c r="D3654" s="10">
        <f ca="1">IFERROR(__xludf.DUMMYFUNCTION("""COMPUTED_VALUE"""),2003)</f>
        <v>2003</v>
      </c>
      <c r="E3654" s="10" t="str">
        <f ca="1">IFERROR(__xludf.DUMMYFUNCTION("""COMPUTED_VALUE"""),"Първи пролетни четения в памет на проф. Велизар Велков. – Епохи, кн. 2–3, 2003, ISSN-1310-2141, стр. 171–179.")</f>
        <v>Първи пролетни четения в памет на проф. Велизар Велков. – Епохи, кн. 2–3, 2003, ISSN-1310-2141, стр. 171–179.</v>
      </c>
      <c r="F3654" s="10"/>
      <c r="G3654" s="10"/>
      <c r="H3654" s="10"/>
      <c r="I3654" s="10"/>
      <c r="J3654" s="10"/>
      <c r="K3654" s="10"/>
      <c r="L3654" s="10"/>
      <c r="M3654" s="10"/>
      <c r="N3654" s="10"/>
      <c r="O3654" s="10"/>
      <c r="P3654" s="10"/>
      <c r="Q3654" s="10"/>
      <c r="R3654" s="10"/>
      <c r="S3654" s="10"/>
      <c r="T3654" s="10"/>
      <c r="U3654" s="10"/>
      <c r="V3654" s="10"/>
      <c r="W3654" s="10"/>
      <c r="X3654" s="10"/>
      <c r="Y3654" s="10"/>
      <c r="Z3654" s="10"/>
    </row>
    <row r="3655" spans="1:26" ht="12.75">
      <c r="A3655" s="10" t="str">
        <f ca="1">IFERROR(__xludf.DUMMYFUNCTION("""COMPUTED_VALUE"""),"Иван Христов Христов")</f>
        <v>Иван Христов Христов</v>
      </c>
      <c r="B3655" s="10" t="str">
        <f ca="1">IFERROR(__xludf.DUMMYFUNCTION("""COMPUTED_VALUE"""),"Статия в списания и поредици")</f>
        <v>Статия в списания и поредици</v>
      </c>
      <c r="C3655" s="10" t="str">
        <f ca="1">IFERROR(__xludf.DUMMYFUNCTION("""COMPUTED_VALUE"""),"Odrysian tribe territories, Dynastic centres and their frontiers from 6-th to 4-th sentuaries BC according the last archeological findines in Thrace")</f>
        <v>Odrysian tribe territories, Dynastic centres and their frontiers from 6-th to 4-th sentuaries BC according the last archeological findines in Thrace</v>
      </c>
      <c r="D3655" s="10">
        <f ca="1">IFERROR(__xludf.DUMMYFUNCTION("""COMPUTED_VALUE"""),2003)</f>
        <v>2003</v>
      </c>
      <c r="E3655" s="10" t="str">
        <f ca="1">IFERROR(__xludf.DUMMYFUNCTION("""COMPUTED_VALUE"""),"In: Starosel Temple- Tomb Kingship and Nobilits in the Odryssian Kingdom. = BAR –International Series, v. 1123, part 2, Onford, 2003, 559–561")</f>
        <v>In: Starosel Temple- Tomb Kingship and Nobilits in the Odryssian Kingdom. = BAR –International Series, v. 1123, part 2, Onford, 2003, 559–561</v>
      </c>
      <c r="F3655" s="10"/>
      <c r="G3655" s="10"/>
      <c r="H3655" s="10"/>
      <c r="I3655" s="10"/>
      <c r="J3655" s="10"/>
      <c r="K3655" s="10"/>
      <c r="L3655" s="10"/>
      <c r="M3655" s="10"/>
      <c r="N3655" s="10"/>
      <c r="O3655" s="10"/>
      <c r="P3655" s="10"/>
      <c r="Q3655" s="10"/>
      <c r="R3655" s="10"/>
      <c r="S3655" s="10"/>
      <c r="T3655" s="10"/>
      <c r="U3655" s="10"/>
      <c r="V3655" s="10"/>
      <c r="W3655" s="10"/>
      <c r="X3655" s="10"/>
      <c r="Y3655" s="10"/>
      <c r="Z3655" s="10"/>
    </row>
    <row r="3656" spans="1:26" ht="12.75">
      <c r="A3656" s="10" t="str">
        <f ca="1">IFERROR(__xludf.DUMMYFUNCTION("""COMPUTED_VALUE"""),"Иван Христов Христов")</f>
        <v>Иван Христов Христов</v>
      </c>
      <c r="B3656" s="10" t="str">
        <f ca="1">IFERROR(__xludf.DUMMYFUNCTION("""COMPUTED_VALUE"""),"Студия")</f>
        <v>Студия</v>
      </c>
      <c r="C3656" s="10" t="str">
        <f ca="1">IFERROR(__xludf.DUMMYFUNCTION("""COMPUTED_VALUE"""),"Тракийски накитни съкровища VII-VI в. пр. Хр.")</f>
        <v>Тракийски накитни съкровища VII-VI в. пр. Хр.</v>
      </c>
      <c r="D3656" s="10">
        <f ca="1">IFERROR(__xludf.DUMMYFUNCTION("""COMPUTED_VALUE"""),2002)</f>
        <v>2002</v>
      </c>
      <c r="E3656" s="10" t="str">
        <f ca="1">IFERROR(__xludf.DUMMYFUNCTION("""COMPUTED_VALUE"""),"В. Търново,изд.Фабер, 2002,ISBN-954-775-079-8, стр.1-96.")</f>
        <v>В. Търново,изд.Фабер, 2002,ISBN-954-775-079-8, стр.1-96.</v>
      </c>
      <c r="F3656" s="10"/>
      <c r="G3656" s="10"/>
      <c r="H3656" s="10"/>
      <c r="I3656" s="10"/>
      <c r="J3656" s="10"/>
      <c r="K3656" s="10"/>
      <c r="L3656" s="10"/>
      <c r="M3656" s="10"/>
      <c r="N3656" s="10"/>
      <c r="O3656" s="10"/>
      <c r="P3656" s="10"/>
      <c r="Q3656" s="10"/>
      <c r="R3656" s="10"/>
      <c r="S3656" s="10"/>
      <c r="T3656" s="10"/>
      <c r="U3656" s="10"/>
      <c r="V3656" s="10"/>
      <c r="W3656" s="10"/>
      <c r="X3656" s="10"/>
      <c r="Y3656" s="10"/>
      <c r="Z3656" s="10"/>
    </row>
    <row r="3657" spans="1:26" ht="12.75">
      <c r="A3657" s="10" t="str">
        <f ca="1">IFERROR(__xludf.DUMMYFUNCTION("""COMPUTED_VALUE"""),"Иван Христов Христов")</f>
        <v>Иван Христов Христов</v>
      </c>
      <c r="B3657" s="10" t="str">
        <f ca="1">IFERROR(__xludf.DUMMYFUNCTION("""COMPUTED_VALUE"""),"Книга")</f>
        <v>Книга</v>
      </c>
      <c r="C3657" s="10" t="str">
        <f ca="1">IFERROR(__xludf.DUMMYFUNCTION("""COMPUTED_VALUE"""),"Пътища и крайпътни съоръжения в Хемус. Принос към историческата география на древна Тракия")</f>
        <v>Пътища и крайпътни съоръжения в Хемус. Принос към историческата география на древна Тракия</v>
      </c>
      <c r="D3657" s="10">
        <f ca="1">IFERROR(__xludf.DUMMYFUNCTION("""COMPUTED_VALUE"""),2002)</f>
        <v>2002</v>
      </c>
      <c r="E3657" s="10" t="str">
        <f ca="1">IFERROR(__xludf.DUMMYFUNCTION("""COMPUTED_VALUE"""),"В. Търново, Faber, ISBN 954-775-104-2,стр.2002, 1–183")</f>
        <v>В. Търново, Faber, ISBN 954-775-104-2,стр.2002, 1–183</v>
      </c>
      <c r="F3657" s="10"/>
      <c r="G3657" s="10"/>
      <c r="H3657" s="10"/>
      <c r="I3657" s="10"/>
      <c r="J3657" s="10"/>
      <c r="K3657" s="10"/>
      <c r="L3657" s="10"/>
      <c r="M3657" s="10"/>
      <c r="N3657" s="10"/>
      <c r="O3657" s="10"/>
      <c r="P3657" s="10"/>
      <c r="Q3657" s="10"/>
      <c r="R3657" s="10"/>
      <c r="S3657" s="10"/>
      <c r="T3657" s="10"/>
      <c r="U3657" s="10"/>
      <c r="V3657" s="10"/>
      <c r="W3657" s="10"/>
      <c r="X3657" s="10"/>
      <c r="Y3657" s="10"/>
      <c r="Z3657" s="10"/>
    </row>
    <row r="3658" spans="1:26" ht="12.75">
      <c r="A3658" s="10" t="str">
        <f ca="1">IFERROR(__xludf.DUMMYFUNCTION("""COMPUTED_VALUE"""),"Иван Христов Христов")</f>
        <v>Иван Христов Христов</v>
      </c>
      <c r="B3658" s="10" t="str">
        <f ca="1">IFERROR(__xludf.DUMMYFUNCTION("""COMPUTED_VALUE"""),"Статия в списания и поредици")</f>
        <v>Статия в списания и поредици</v>
      </c>
      <c r="C3658" s="10" t="str">
        <f ca="1">IFERROR(__xludf.DUMMYFUNCTION("""COMPUTED_VALUE"""),"Светилища на траките край скални планински върхове. Проблеми на разпространението, типологизацията и проучванията в днешните български земи")</f>
        <v>Светилища на траките край скални планински върхове. Проблеми на разпространението, типологизацията и проучванията в днешните български земи</v>
      </c>
      <c r="D3658" s="10">
        <f ca="1">IFERROR(__xludf.DUMMYFUNCTION("""COMPUTED_VALUE"""),2002)</f>
        <v>2002</v>
      </c>
      <c r="E3658" s="10" t="str">
        <f ca="1">IFERROR(__xludf.DUMMYFUNCTION("""COMPUTED_VALUE"""),"Известия на Националния исторически музей. Том ХІІІ, 2002, ISSN 1311-5219, стр. 26–37")</f>
        <v>Известия на Националния исторически музей. Том ХІІІ, 2002, ISSN 1311-5219, стр. 26–37</v>
      </c>
      <c r="F3658" s="10"/>
      <c r="G3658" s="10"/>
      <c r="H3658" s="10"/>
      <c r="I3658" s="10"/>
      <c r="J3658" s="10"/>
      <c r="K3658" s="10"/>
      <c r="L3658" s="10"/>
      <c r="M3658" s="10"/>
      <c r="N3658" s="10"/>
      <c r="O3658" s="10"/>
      <c r="P3658" s="10"/>
      <c r="Q3658" s="10"/>
      <c r="R3658" s="10"/>
      <c r="S3658" s="10"/>
      <c r="T3658" s="10"/>
      <c r="U3658" s="10"/>
      <c r="V3658" s="10"/>
      <c r="W3658" s="10"/>
      <c r="X3658" s="10"/>
      <c r="Y3658" s="10"/>
      <c r="Z3658" s="10"/>
    </row>
    <row r="3659" spans="1:26" ht="12.75">
      <c r="A3659" s="10" t="str">
        <f ca="1">IFERROR(__xludf.DUMMYFUNCTION("""COMPUTED_VALUE"""),"Иван Христов Христов")</f>
        <v>Иван Христов Христов</v>
      </c>
      <c r="B3659" s="10" t="str">
        <f ca="1">IFERROR(__xludf.DUMMYFUNCTION("""COMPUTED_VALUE"""),"Статия в списания и поредици")</f>
        <v>Статия в списания и поредици</v>
      </c>
      <c r="C3659" s="10" t="str">
        <f ca="1">IFERROR(__xludf.DUMMYFUNCTION("""COMPUTED_VALUE"""),"Антична и средновековна крепост до гр. Шипка")</f>
        <v>Антична и средновековна крепост до гр. Шипка</v>
      </c>
      <c r="D3659" s="10">
        <f ca="1">IFERROR(__xludf.DUMMYFUNCTION("""COMPUTED_VALUE"""),2002)</f>
        <v>2002</v>
      </c>
      <c r="E3659" s="10" t="str">
        <f ca="1">IFERROR(__xludf.DUMMYFUNCTION("""COMPUTED_VALUE"""),"Минало, кн. 4, 2002, ISSN- 1310-3413,стр. 9–15")</f>
        <v>Минало, кн. 4, 2002, ISSN- 1310-3413,стр. 9–15</v>
      </c>
      <c r="F3659" s="10"/>
      <c r="G3659" s="10" t="str">
        <f ca="1">IFERROR(__xludf.DUMMYFUNCTION("""COMPUTED_VALUE"""),"Венелин Бараков")</f>
        <v>Венелин Бараков</v>
      </c>
      <c r="H3659" s="10"/>
      <c r="I3659" s="10"/>
      <c r="J3659" s="10"/>
      <c r="K3659" s="10"/>
      <c r="L3659" s="10"/>
      <c r="M3659" s="10"/>
      <c r="N3659" s="10"/>
      <c r="O3659" s="10"/>
      <c r="P3659" s="10"/>
      <c r="Q3659" s="10"/>
      <c r="R3659" s="10"/>
      <c r="S3659" s="10"/>
      <c r="T3659" s="10"/>
      <c r="U3659" s="10"/>
      <c r="V3659" s="10"/>
      <c r="W3659" s="10"/>
      <c r="X3659" s="10"/>
      <c r="Y3659" s="10"/>
      <c r="Z3659" s="10"/>
    </row>
    <row r="3660" spans="1:26" ht="12.75">
      <c r="A3660" s="10" t="str">
        <f ca="1">IFERROR(__xludf.DUMMYFUNCTION("""COMPUTED_VALUE"""),"Иван Христов Христов")</f>
        <v>Иван Христов Христов</v>
      </c>
      <c r="B3660" s="10" t="str">
        <f ca="1">IFERROR(__xludf.DUMMYFUNCTION("""COMPUTED_VALUE"""),"Статия в списания и поредици")</f>
        <v>Статия в списания и поредици</v>
      </c>
      <c r="C3660" s="10" t="str">
        <f ca="1">IFERROR(__xludf.DUMMYFUNCTION("""COMPUTED_VALUE"""),"Rocky sanctuaries in Mountain Thrace. Problems of cult continuity")</f>
        <v>Rocky sanctuaries in Mountain Thrace. Problems of cult continuity</v>
      </c>
      <c r="D3660" s="10">
        <f ca="1">IFERROR(__xludf.DUMMYFUNCTION("""COMPUTED_VALUE"""),2002)</f>
        <v>2002</v>
      </c>
      <c r="E3660" s="10" t="str">
        <f ca="1">IFERROR(__xludf.DUMMYFUNCTION("""COMPUTED_VALUE"""),"Годишник на факултет по изкуствата. Югозападен университет “Неофит Рилски”. Том І. Културата и предизвикателствата на Новия век. Благоевград, 2002, ISBN 954-680-216-6 94–97")</f>
        <v>Годишник на факултет по изкуствата. Югозападен университет “Неофит Рилски”. Том І. Културата и предизвикателствата на Новия век. Благоевград, 2002, ISBN 954-680-216-6 94–97</v>
      </c>
      <c r="F3660" s="10"/>
      <c r="G3660" s="10"/>
      <c r="H3660" s="10"/>
      <c r="I3660" s="10"/>
      <c r="J3660" s="10"/>
      <c r="K3660" s="10"/>
      <c r="L3660" s="10"/>
      <c r="M3660" s="10"/>
      <c r="N3660" s="10"/>
      <c r="O3660" s="10"/>
      <c r="P3660" s="10"/>
      <c r="Q3660" s="10"/>
      <c r="R3660" s="10"/>
      <c r="S3660" s="10"/>
      <c r="T3660" s="10"/>
      <c r="U3660" s="10"/>
      <c r="V3660" s="10"/>
      <c r="W3660" s="10"/>
      <c r="X3660" s="10"/>
      <c r="Y3660" s="10"/>
      <c r="Z3660" s="10"/>
    </row>
    <row r="3661" spans="1:26" ht="12.75">
      <c r="A3661" s="10" t="str">
        <f ca="1">IFERROR(__xludf.DUMMYFUNCTION("""COMPUTED_VALUE"""),"Иван Христов Христов")</f>
        <v>Иван Христов Христов</v>
      </c>
      <c r="B3661" s="10" t="str">
        <f ca="1">IFERROR(__xludf.DUMMYFUNCTION("""COMPUTED_VALUE"""),"Статия в списания и поредици")</f>
        <v>Статия в списания и поредици</v>
      </c>
      <c r="C3661" s="10" t="str">
        <f ca="1">IFERROR(__xludf.DUMMYFUNCTION("""COMPUTED_VALUE"""),"Тракийско крайпътно светилище на вр. Чучул в Централна Стара планина")</f>
        <v>Тракийско крайпътно светилище на вр. Чучул в Централна Стара планина</v>
      </c>
      <c r="D3661" s="10">
        <f ca="1">IFERROR(__xludf.DUMMYFUNCTION("""COMPUTED_VALUE"""),2002)</f>
        <v>2002</v>
      </c>
      <c r="E3661" s="10" t="str">
        <f ca="1">IFERROR(__xludf.DUMMYFUNCTION("""COMPUTED_VALUE"""),"Минало, кн. 1, 2002, ISSN- 1310-3413,стр 5–9")</f>
        <v>Минало, кн. 1, 2002, ISSN- 1310-3413,стр 5–9</v>
      </c>
      <c r="F3661" s="10"/>
      <c r="G3661" s="10"/>
      <c r="H3661" s="10"/>
      <c r="I3661" s="10"/>
      <c r="J3661" s="10"/>
      <c r="K3661" s="10"/>
      <c r="L3661" s="10"/>
      <c r="M3661" s="10"/>
      <c r="N3661" s="10"/>
      <c r="O3661" s="10"/>
      <c r="P3661" s="10"/>
      <c r="Q3661" s="10"/>
      <c r="R3661" s="10"/>
      <c r="S3661" s="10"/>
      <c r="T3661" s="10"/>
      <c r="U3661" s="10"/>
      <c r="V3661" s="10"/>
      <c r="W3661" s="10"/>
      <c r="X3661" s="10"/>
      <c r="Y3661" s="10"/>
      <c r="Z3661" s="10"/>
    </row>
    <row r="3662" spans="1:26" ht="12.75">
      <c r="A3662" s="10" t="str">
        <f ca="1">IFERROR(__xludf.DUMMYFUNCTION("""COMPUTED_VALUE"""),"Иван Христов Христов")</f>
        <v>Иван Христов Христов</v>
      </c>
      <c r="B3662" s="10" t="str">
        <f ca="1">IFERROR(__xludf.DUMMYFUNCTION("""COMPUTED_VALUE"""),"Статия в списания и поредици")</f>
        <v>Статия в списания и поредици</v>
      </c>
      <c r="C3662" s="10" t="str">
        <f ca="1">IFERROR(__xludf.DUMMYFUNCTION("""COMPUTED_VALUE"""),"Mauntainous Thrace–І- st millenium B. C. Problems and trends oj investigation")</f>
        <v>Mauntainous Thrace–І- st millenium B. C. Problems and trends oj investigation</v>
      </c>
      <c r="D3662" s="10">
        <f ca="1">IFERROR(__xludf.DUMMYFUNCTION("""COMPUTED_VALUE"""),2002)</f>
        <v>2002</v>
      </c>
      <c r="E3662" s="10" t="str">
        <f ca="1">IFERROR(__xludf.DUMMYFUNCTION("""COMPUTED_VALUE"""),"Акти на Осми Международен конгрес по Тракология “ТРАКИЯ И ЕГЕИДА”, София – Ямбол, 25 – 29 Септември 2000. – Proceedings of the Eighth International Congress of Thracology “Thrace and the Aegean”, Sofia-Yambol, 25-29 September 2000, Sofia, 2002. ISSN-954-9"&amp;"0714-5-6. стр. 231-236")</f>
        <v>Акти на Осми Международен конгрес по Тракология “ТРАКИЯ И ЕГЕИДА”, София – Ямбол, 25 – 29 Септември 2000. – Proceedings of the Eighth International Congress of Thracology “Thrace and the Aegean”, Sofia-Yambol, 25-29 September 2000, Sofia, 2002. ISSN-954-90714-5-6. стр. 231-236</v>
      </c>
      <c r="F3662" s="10"/>
      <c r="G3662" s="10"/>
      <c r="H3662" s="10"/>
      <c r="I3662" s="10"/>
      <c r="J3662" s="10"/>
      <c r="K3662" s="10"/>
      <c r="L3662" s="10"/>
      <c r="M3662" s="10"/>
      <c r="N3662" s="10"/>
      <c r="O3662" s="10"/>
      <c r="P3662" s="10"/>
      <c r="Q3662" s="10"/>
      <c r="R3662" s="10"/>
      <c r="S3662" s="10"/>
      <c r="T3662" s="10"/>
      <c r="U3662" s="10"/>
      <c r="V3662" s="10"/>
      <c r="W3662" s="10"/>
      <c r="X3662" s="10"/>
      <c r="Y3662" s="10"/>
      <c r="Z3662" s="10"/>
    </row>
    <row r="3663" spans="1:26" ht="12.75">
      <c r="A3663" s="10" t="str">
        <f ca="1">IFERROR(__xludf.DUMMYFUNCTION("""COMPUTED_VALUE"""),"Иван Христов Христов")</f>
        <v>Иван Христов Христов</v>
      </c>
      <c r="B3663" s="10" t="str">
        <f ca="1">IFERROR(__xludf.DUMMYFUNCTION("""COMPUTED_VALUE"""),"Статия в списания и поредици")</f>
        <v>Статия в списания и поредици</v>
      </c>
      <c r="C3663" s="10" t="str">
        <f ca="1">IFERROR(__xludf.DUMMYFUNCTION("""COMPUTED_VALUE"""),"Новооткрито тракийско скално светилище в Централна Стара планина")</f>
        <v>Новооткрито тракийско скално светилище в Централна Стара планина</v>
      </c>
      <c r="D3663" s="10">
        <f ca="1">IFERROR(__xludf.DUMMYFUNCTION("""COMPUTED_VALUE"""),2001)</f>
        <v>2001</v>
      </c>
      <c r="E3663" s="10" t="str">
        <f ca="1">IFERROR(__xludf.DUMMYFUNCTION("""COMPUTED_VALUE"""),"Известия на Национален исторически музей, том ХІІ, 2001, ISSN 1311-5219, стр. 9 – 13")</f>
        <v>Известия на Национален исторически музей, том ХІІ, 2001, ISSN 1311-5219, стр. 9 – 13</v>
      </c>
      <c r="F3663" s="10"/>
      <c r="G3663" s="10"/>
      <c r="H3663" s="10"/>
      <c r="I3663" s="10"/>
      <c r="J3663" s="10"/>
      <c r="K3663" s="10"/>
      <c r="L3663" s="10"/>
      <c r="M3663" s="10"/>
      <c r="N3663" s="10"/>
      <c r="O3663" s="10"/>
      <c r="P3663" s="10"/>
      <c r="Q3663" s="10"/>
      <c r="R3663" s="10"/>
      <c r="S3663" s="10"/>
      <c r="T3663" s="10"/>
      <c r="U3663" s="10"/>
      <c r="V3663" s="10"/>
      <c r="W3663" s="10"/>
      <c r="X3663" s="10"/>
      <c r="Y3663" s="10"/>
      <c r="Z3663" s="10"/>
    </row>
    <row r="3664" spans="1:26" ht="12.75">
      <c r="A3664" s="10" t="str">
        <f ca="1">IFERROR(__xludf.DUMMYFUNCTION("""COMPUTED_VALUE"""),"Иван Христов Христов")</f>
        <v>Иван Христов Христов</v>
      </c>
      <c r="B3664" s="10" t="str">
        <f ca="1">IFERROR(__xludf.DUMMYFUNCTION("""COMPUTED_VALUE"""),"Статия в списания и поредици")</f>
        <v>Статия в списания и поредици</v>
      </c>
      <c r="C3664" s="10" t="str">
        <f ca="1">IFERROR(__xludf.DUMMYFUNCTION("""COMPUTED_VALUE"""),"Планинска Тракия–І хилядолетие преди Христа. Проблеми и насоки на проучванията")</f>
        <v>Планинска Тракия–І хилядолетие преди Христа. Проблеми и насоки на проучванията</v>
      </c>
      <c r="D3664" s="10">
        <f ca="1">IFERROR(__xludf.DUMMYFUNCTION("""COMPUTED_VALUE"""),2001)</f>
        <v>2001</v>
      </c>
      <c r="E3664" s="10" t="str">
        <f ca="1">IFERROR(__xludf.DUMMYFUNCTION("""COMPUTED_VALUE"""),"Анали, кн. 2–4, 2001, , ISSN-0861-3095, 107 – 115")</f>
        <v>Анали, кн. 2–4, 2001, , ISSN-0861-3095, 107 – 115</v>
      </c>
      <c r="F3664" s="10"/>
      <c r="G3664" s="10"/>
      <c r="H3664" s="10"/>
      <c r="I3664" s="10"/>
      <c r="J3664" s="10"/>
      <c r="K3664" s="10"/>
      <c r="L3664" s="10"/>
      <c r="M3664" s="10"/>
      <c r="N3664" s="10"/>
      <c r="O3664" s="10"/>
      <c r="P3664" s="10"/>
      <c r="Q3664" s="10"/>
      <c r="R3664" s="10"/>
      <c r="S3664" s="10"/>
      <c r="T3664" s="10"/>
      <c r="U3664" s="10"/>
      <c r="V3664" s="10"/>
      <c r="W3664" s="10"/>
      <c r="X3664" s="10"/>
      <c r="Y3664" s="10"/>
      <c r="Z3664" s="10"/>
    </row>
    <row r="3665" spans="1:26" ht="12.75">
      <c r="A3665" s="10" t="str">
        <f ca="1">IFERROR(__xludf.DUMMYFUNCTION("""COMPUTED_VALUE"""),"Иван Христов Христов")</f>
        <v>Иван Христов Христов</v>
      </c>
      <c r="B3665" s="10" t="str">
        <f ca="1">IFERROR(__xludf.DUMMYFUNCTION("""COMPUTED_VALUE"""),"Статия в списания и поредици")</f>
        <v>Статия в списания и поредици</v>
      </c>
      <c r="C3665" s="10" t="str">
        <f ca="1">IFERROR(__xludf.DUMMYFUNCTION("""COMPUTED_VALUE"""),"Новооткрити тракийски скални светилища във Васильовската планина")</f>
        <v>Новооткрити тракийски скални светилища във Васильовската планина</v>
      </c>
      <c r="D3665" s="10">
        <f ca="1">IFERROR(__xludf.DUMMYFUNCTION("""COMPUTED_VALUE"""),2001)</f>
        <v>2001</v>
      </c>
      <c r="E3665" s="10" t="str">
        <f ca="1">IFERROR(__xludf.DUMMYFUNCTION("""COMPUTED_VALUE"""),"Археологически вести, кн. 2, 2001, ISSN -1311-2201,стр. 8–14")</f>
        <v>Археологически вести, кн. 2, 2001, ISSN -1311-2201,стр. 8–14</v>
      </c>
      <c r="F3665" s="10"/>
      <c r="G3665" s="10"/>
      <c r="H3665" s="10"/>
      <c r="I3665" s="10"/>
      <c r="J3665" s="10"/>
      <c r="K3665" s="10"/>
      <c r="L3665" s="10"/>
      <c r="M3665" s="10"/>
      <c r="N3665" s="10"/>
      <c r="O3665" s="10"/>
      <c r="P3665" s="10"/>
      <c r="Q3665" s="10"/>
      <c r="R3665" s="10"/>
      <c r="S3665" s="10"/>
      <c r="T3665" s="10"/>
      <c r="U3665" s="10"/>
      <c r="V3665" s="10"/>
      <c r="W3665" s="10"/>
      <c r="X3665" s="10"/>
      <c r="Y3665" s="10"/>
      <c r="Z3665" s="10"/>
    </row>
    <row r="3666" spans="1:26" ht="12.75">
      <c r="A3666" s="10" t="str">
        <f ca="1">IFERROR(__xludf.DUMMYFUNCTION("""COMPUTED_VALUE"""),"Иван Христов Христов")</f>
        <v>Иван Христов Христов</v>
      </c>
      <c r="B3666" s="10" t="str">
        <f ca="1">IFERROR(__xludf.DUMMYFUNCTION("""COMPUTED_VALUE"""),"Статия в списания и поредици")</f>
        <v>Статия в списания и поредици</v>
      </c>
      <c r="C3666" s="10" t="str">
        <f ca="1">IFERROR(__xludf.DUMMYFUNCTION("""COMPUTED_VALUE"""),"Планински траки")</f>
        <v>Планински траки</v>
      </c>
      <c r="D3666" s="10">
        <f ca="1">IFERROR(__xludf.DUMMYFUNCTION("""COMPUTED_VALUE"""),2001)</f>
        <v>2001</v>
      </c>
      <c r="E3666" s="10" t="str">
        <f ca="1">IFERROR(__xludf.DUMMYFUNCTION("""COMPUTED_VALUE"""),"Минало, кн. 3, 2001, ISSN- 1310-3413,стр 5–15")</f>
        <v>Минало, кн. 3, 2001, ISSN- 1310-3413,стр 5–15</v>
      </c>
      <c r="F3666" s="10"/>
      <c r="G3666" s="10"/>
      <c r="H3666" s="10"/>
      <c r="I3666" s="10"/>
      <c r="J3666" s="10"/>
      <c r="K3666" s="10"/>
      <c r="L3666" s="10"/>
      <c r="M3666" s="10"/>
      <c r="N3666" s="10"/>
      <c r="O3666" s="10"/>
      <c r="P3666" s="10"/>
      <c r="Q3666" s="10"/>
      <c r="R3666" s="10"/>
      <c r="S3666" s="10"/>
      <c r="T3666" s="10"/>
      <c r="U3666" s="10"/>
      <c r="V3666" s="10"/>
      <c r="W3666" s="10"/>
      <c r="X3666" s="10"/>
      <c r="Y3666" s="10"/>
      <c r="Z3666" s="10"/>
    </row>
    <row r="3667" spans="1:26" ht="12.75">
      <c r="A3667" s="10" t="str">
        <f ca="1">IFERROR(__xludf.DUMMYFUNCTION("""COMPUTED_VALUE"""),"Иван Христов Христов")</f>
        <v>Иван Христов Христов</v>
      </c>
      <c r="B3667" s="10" t="str">
        <f ca="1">IFERROR(__xludf.DUMMYFUNCTION("""COMPUTED_VALUE"""),"Книга")</f>
        <v>Книга</v>
      </c>
      <c r="C3667" s="10" t="str">
        <f ca="1">IFERROR(__xludf.DUMMYFUNCTION("""COMPUTED_VALUE"""),"The Rocky sanctuaries in Mаuntain Thrace")</f>
        <v>The Rocky sanctuaries in Mаuntain Thrace</v>
      </c>
      <c r="D3667" s="10">
        <f ca="1">IFERROR(__xludf.DUMMYFUNCTION("""COMPUTED_VALUE"""),2001)</f>
        <v>2001</v>
      </c>
      <c r="E3667" s="10" t="str">
        <f ca="1">IFERROR(__xludf.DUMMYFUNCTION("""COMPUTED_VALUE"""),"Велико Търново, Faber, 2001, ISBN -954-9541-90-8,стр.1–144")</f>
        <v>Велико Търново, Faber, 2001, ISBN -954-9541-90-8,стр.1–144</v>
      </c>
      <c r="F3667" s="10"/>
      <c r="G3667" s="10"/>
      <c r="H3667" s="10"/>
      <c r="I3667" s="10"/>
      <c r="J3667" s="10"/>
      <c r="K3667" s="10"/>
      <c r="L3667" s="10"/>
      <c r="M3667" s="10"/>
      <c r="N3667" s="10"/>
      <c r="O3667" s="10"/>
      <c r="P3667" s="10"/>
      <c r="Q3667" s="10"/>
      <c r="R3667" s="10"/>
      <c r="S3667" s="10"/>
      <c r="T3667" s="10"/>
      <c r="U3667" s="10"/>
      <c r="V3667" s="10"/>
      <c r="W3667" s="10"/>
      <c r="X3667" s="10"/>
      <c r="Y3667" s="10"/>
      <c r="Z3667" s="10"/>
    </row>
    <row r="3668" spans="1:26" ht="12.75">
      <c r="A3668" s="10" t="str">
        <f ca="1">IFERROR(__xludf.DUMMYFUNCTION("""COMPUTED_VALUE"""),"Иван Христов Христов")</f>
        <v>Иван Христов Христов</v>
      </c>
      <c r="B3668" s="10" t="str">
        <f ca="1">IFERROR(__xludf.DUMMYFUNCTION("""COMPUTED_VALUE"""),"Статия в списания и поредици")</f>
        <v>Статия в списания и поредици</v>
      </c>
      <c r="C3668" s="10" t="str">
        <f ca="1">IFERROR(__xludf.DUMMYFUNCTION("""COMPUTED_VALUE"""),"Troglodyte. Принос към историческата география на Североизточна Тракия")</f>
        <v>Troglodyte. Принос към историческата география на Североизточна Тракия</v>
      </c>
      <c r="D3668" s="10">
        <f ca="1">IFERROR(__xludf.DUMMYFUNCTION("""COMPUTED_VALUE"""),2000)</f>
        <v>2000</v>
      </c>
      <c r="E3668" s="10" t="str">
        <f ca="1">IFERROR(__xludf.DUMMYFUNCTION("""COMPUTED_VALUE"""),"Минало, кн. 4, 2000, ISSN- 1310-3413,стр 5–9.")</f>
        <v>Минало, кн. 4, 2000, ISSN- 1310-3413,стр 5–9.</v>
      </c>
      <c r="F3668" s="10"/>
      <c r="G3668" s="10"/>
      <c r="H3668" s="10"/>
      <c r="I3668" s="10"/>
      <c r="J3668" s="10"/>
      <c r="K3668" s="10"/>
      <c r="L3668" s="10"/>
      <c r="M3668" s="10"/>
      <c r="N3668" s="10"/>
      <c r="O3668" s="10"/>
      <c r="P3668" s="10"/>
      <c r="Q3668" s="10"/>
      <c r="R3668" s="10"/>
      <c r="S3668" s="10"/>
      <c r="T3668" s="10"/>
      <c r="U3668" s="10"/>
      <c r="V3668" s="10"/>
      <c r="W3668" s="10"/>
      <c r="X3668" s="10"/>
      <c r="Y3668" s="10"/>
      <c r="Z3668" s="10"/>
    </row>
    <row r="3669" spans="1:26" ht="12.75">
      <c r="A3669" s="10" t="str">
        <f ca="1">IFERROR(__xludf.DUMMYFUNCTION("""COMPUTED_VALUE"""),"Иван Христов Христов")</f>
        <v>Иван Христов Христов</v>
      </c>
      <c r="B3669" s="10" t="str">
        <f ca="1">IFERROR(__xludf.DUMMYFUNCTION("""COMPUTED_VALUE"""),"Статия в списания и поредици")</f>
        <v>Статия в списания и поредици</v>
      </c>
      <c r="C3669" s="10" t="str">
        <f ca="1">IFERROR(__xludf.DUMMYFUNCTION("""COMPUTED_VALUE"""),"Свещената Васильовска планина.")</f>
        <v>Свещената Васильовска планина.</v>
      </c>
      <c r="D3669" s="10">
        <f ca="1">IFERROR(__xludf.DUMMYFUNCTION("""COMPUTED_VALUE"""),2000)</f>
        <v>2000</v>
      </c>
      <c r="E3669" s="10" t="str">
        <f ca="1">IFERROR(__xludf.DUMMYFUNCTION("""COMPUTED_VALUE"""),"Етнологията на границата на два века. Изследвания и материали, посветени на 60-годишния юбилей на доц. д-р Николай Колев. – В. Търново: УИ „Св. св. Кирил и Методий”, ISBN 954 - 524 - 257 - 7 В. Търново, 2000,стр. 11–19")</f>
        <v>Етнологията на границата на два века. Изследвания и материали, посветени на 60-годишния юбилей на доц. д-р Николай Колев. – В. Търново: УИ „Св. св. Кирил и Методий”, ISBN 954 - 524 - 257 - 7 В. Търново, 2000,стр. 11–19</v>
      </c>
      <c r="F3669" s="10"/>
      <c r="G3669" s="10"/>
      <c r="H3669" s="10"/>
      <c r="I3669" s="10"/>
      <c r="J3669" s="10"/>
      <c r="K3669" s="10"/>
      <c r="L3669" s="10"/>
      <c r="M3669" s="10"/>
      <c r="N3669" s="10"/>
      <c r="O3669" s="10"/>
      <c r="P3669" s="10"/>
      <c r="Q3669" s="10"/>
      <c r="R3669" s="10"/>
      <c r="S3669" s="10"/>
      <c r="T3669" s="10"/>
      <c r="U3669" s="10"/>
      <c r="V3669" s="10"/>
      <c r="W3669" s="10"/>
      <c r="X3669" s="10"/>
      <c r="Y3669" s="10"/>
      <c r="Z3669" s="10"/>
    </row>
    <row r="3670" spans="1:26" ht="12.75">
      <c r="A3670" s="10" t="str">
        <f ca="1">IFERROR(__xludf.DUMMYFUNCTION("""COMPUTED_VALUE"""),"Иван Христов Христов")</f>
        <v>Иван Христов Христов</v>
      </c>
      <c r="B3670" s="10" t="str">
        <f ca="1">IFERROR(__xludf.DUMMYFUNCTION("""COMPUTED_VALUE"""),"Книга")</f>
        <v>Книга</v>
      </c>
      <c r="C3670" s="10" t="str">
        <f ca="1">IFERROR(__xludf.DUMMYFUNCTION("""COMPUTED_VALUE"""),"Планинска Тракия. Население, религия и култура в древността")</f>
        <v>Планинска Тракия. Население, религия и култура в древността</v>
      </c>
      <c r="D3670" s="10">
        <f ca="1">IFERROR(__xludf.DUMMYFUNCTION("""COMPUTED_VALUE"""),1999)</f>
        <v>1999</v>
      </c>
      <c r="E3670" s="10" t="str">
        <f ca="1">IFERROR(__xludf.DUMMYFUNCTION("""COMPUTED_VALUE"""),"В. Търново. Faber. ISBN-954-9541-48-7,стр. 1999, 1–256")</f>
        <v>В. Търново. Faber. ISBN-954-9541-48-7,стр. 1999, 1–256</v>
      </c>
      <c r="F3670" s="10"/>
      <c r="G3670" s="10"/>
      <c r="H3670" s="10"/>
      <c r="I3670" s="10"/>
      <c r="J3670" s="10"/>
      <c r="K3670" s="10"/>
      <c r="L3670" s="10"/>
      <c r="M3670" s="10"/>
      <c r="N3670" s="10"/>
      <c r="O3670" s="10"/>
      <c r="P3670" s="10"/>
      <c r="Q3670" s="10"/>
      <c r="R3670" s="10"/>
      <c r="S3670" s="10"/>
      <c r="T3670" s="10"/>
      <c r="U3670" s="10"/>
      <c r="V3670" s="10"/>
      <c r="W3670" s="10"/>
      <c r="X3670" s="10"/>
      <c r="Y3670" s="10"/>
      <c r="Z3670" s="10"/>
    </row>
    <row r="3671" spans="1:26" ht="12.75">
      <c r="A3671" s="10" t="str">
        <f ca="1">IFERROR(__xludf.DUMMYFUNCTION("""COMPUTED_VALUE"""),"Иван Христов Христов")</f>
        <v>Иван Христов Христов</v>
      </c>
      <c r="B3671" s="10" t="str">
        <f ca="1">IFERROR(__xludf.DUMMYFUNCTION("""COMPUTED_VALUE"""),"Статия в списания и поредици")</f>
        <v>Статия в списания и поредици</v>
      </c>
      <c r="C3671" s="10" t="str">
        <f ca="1">IFERROR(__xludf.DUMMYFUNCTION("""COMPUTED_VALUE"""),"Ролята на планината в историческото развитие на предримска Тракия")</f>
        <v>Ролята на планината в историческото развитие на предримска Тракия</v>
      </c>
      <c r="D3671" s="10">
        <f ca="1">IFERROR(__xludf.DUMMYFUNCTION("""COMPUTED_VALUE"""),1998)</f>
        <v>1998</v>
      </c>
      <c r="E3671" s="10" t="str">
        <f ca="1">IFERROR(__xludf.DUMMYFUNCTION("""COMPUTED_VALUE"""),"Минало, кн. 2, 1998, ISSN- 1310-3413, стр. 5–16")</f>
        <v>Минало, кн. 2, 1998, ISSN- 1310-3413, стр. 5–16</v>
      </c>
      <c r="F3671" s="10"/>
      <c r="G3671" s="10"/>
      <c r="H3671" s="10"/>
      <c r="I3671" s="10"/>
      <c r="J3671" s="10"/>
      <c r="K3671" s="10"/>
      <c r="L3671" s="10"/>
      <c r="M3671" s="10"/>
      <c r="N3671" s="10"/>
      <c r="O3671" s="10"/>
      <c r="P3671" s="10"/>
      <c r="Q3671" s="10"/>
      <c r="R3671" s="10"/>
      <c r="S3671" s="10"/>
      <c r="T3671" s="10"/>
      <c r="U3671" s="10"/>
      <c r="V3671" s="10"/>
      <c r="W3671" s="10"/>
      <c r="X3671" s="10"/>
      <c r="Y3671" s="10"/>
      <c r="Z3671" s="10"/>
    </row>
    <row r="3672" spans="1:26" ht="12.75">
      <c r="A3672" s="10" t="str">
        <f ca="1">IFERROR(__xludf.DUMMYFUNCTION("""COMPUTED_VALUE"""),"Иван Христов Христов")</f>
        <v>Иван Христов Христов</v>
      </c>
      <c r="B3672" s="10" t="str">
        <f ca="1">IFERROR(__xludf.DUMMYFUNCTION("""COMPUTED_VALUE"""),"Статия в списания и поредици")</f>
        <v>Статия в списания и поредици</v>
      </c>
      <c r="C3672" s="10" t="str">
        <f ca="1">IFERROR(__xludf.DUMMYFUNCTION("""COMPUTED_VALUE"""),"Тракийски култови паметници в Хемус")</f>
        <v>Тракийски култови паметници в Хемус</v>
      </c>
      <c r="D3672" s="10">
        <f ca="1">IFERROR(__xludf.DUMMYFUNCTION("""COMPUTED_VALUE"""),1997)</f>
        <v>1997</v>
      </c>
      <c r="E3672" s="10" t="str">
        <f ca="1">IFERROR(__xludf.DUMMYFUNCTION("""COMPUTED_VALUE"""),"Минало, кн. 1, 1997, ISSN- 1310-3413, стр. 5–14")</f>
        <v>Минало, кн. 1, 1997, ISSN- 1310-3413, стр. 5–14</v>
      </c>
      <c r="F3672" s="10"/>
      <c r="G3672" s="10"/>
      <c r="H3672" s="10"/>
      <c r="I3672" s="10"/>
      <c r="J3672" s="10"/>
      <c r="K3672" s="10"/>
      <c r="L3672" s="10"/>
      <c r="M3672" s="10"/>
      <c r="N3672" s="10"/>
      <c r="O3672" s="10"/>
      <c r="P3672" s="10"/>
      <c r="Q3672" s="10"/>
      <c r="R3672" s="10"/>
      <c r="S3672" s="10"/>
      <c r="T3672" s="10"/>
      <c r="U3672" s="10"/>
      <c r="V3672" s="10"/>
      <c r="W3672" s="10"/>
      <c r="X3672" s="10"/>
      <c r="Y3672" s="10"/>
      <c r="Z3672" s="10"/>
    </row>
    <row r="3673" spans="1:26" ht="12.75">
      <c r="A3673" s="10" t="str">
        <f ca="1">IFERROR(__xludf.DUMMYFUNCTION("""COMPUTED_VALUE"""),"Иван Христов Христов")</f>
        <v>Иван Христов Христов</v>
      </c>
      <c r="B3673" s="10" t="str">
        <f ca="1">IFERROR(__xludf.DUMMYFUNCTION("""COMPUTED_VALUE"""),"Статия в списания и поредици")</f>
        <v>Статия в списания и поредици</v>
      </c>
      <c r="C3673" s="10" t="str">
        <f ca="1">IFERROR(__xludf.DUMMYFUNCTION("""COMPUTED_VALUE"""),"Принос към проучването на скални ниши в Източните Родопи")</f>
        <v>Принос към проучването на скални ниши в Източните Родопи</v>
      </c>
      <c r="D3673" s="10">
        <f ca="1">IFERROR(__xludf.DUMMYFUNCTION("""COMPUTED_VALUE"""),1996)</f>
        <v>1996</v>
      </c>
      <c r="E3673" s="10" t="str">
        <f ca="1">IFERROR(__xludf.DUMMYFUNCTION("""COMPUTED_VALUE"""),"Минало, кн. 2, 1996, ISSN- 1310-3413, стр. 5–17")</f>
        <v>Минало, кн. 2, 1996, ISSN- 1310-3413, стр. 5–17</v>
      </c>
      <c r="F3673" s="10"/>
      <c r="G3673" s="10"/>
      <c r="H3673" s="10"/>
      <c r="I3673" s="10"/>
      <c r="J3673" s="10"/>
      <c r="K3673" s="10"/>
      <c r="L3673" s="10"/>
      <c r="M3673" s="10"/>
      <c r="N3673" s="10"/>
      <c r="O3673" s="10"/>
      <c r="P3673" s="10"/>
      <c r="Q3673" s="10"/>
      <c r="R3673" s="10"/>
      <c r="S3673" s="10"/>
      <c r="T3673" s="10"/>
      <c r="U3673" s="10"/>
      <c r="V3673" s="10"/>
      <c r="W3673" s="10"/>
      <c r="X3673" s="10"/>
      <c r="Y3673" s="10"/>
      <c r="Z3673" s="10"/>
    </row>
    <row r="3674" spans="1:26" ht="12.75">
      <c r="A3674" s="10" t="str">
        <f ca="1">IFERROR(__xludf.DUMMYFUNCTION("""COMPUTED_VALUE"""),"Иван Христов Христов")</f>
        <v>Иван Христов Христов</v>
      </c>
      <c r="B3674" s="10" t="str">
        <f ca="1">IFERROR(__xludf.DUMMYFUNCTION("""COMPUTED_VALUE"""),"Статия в списания и поредици")</f>
        <v>Статия в списания и поредици</v>
      </c>
      <c r="C3674" s="10" t="str">
        <f ca="1">IFERROR(__xludf.DUMMYFUNCTION("""COMPUTED_VALUE"""),"Скални ниши и светилища в Източните Родопи")</f>
        <v>Скални ниши и светилища в Източните Родопи</v>
      </c>
      <c r="D3674" s="10">
        <f ca="1">IFERROR(__xludf.DUMMYFUNCTION("""COMPUTED_VALUE"""),1996)</f>
        <v>1996</v>
      </c>
      <c r="E3674" s="10" t="str">
        <f ca="1">IFERROR(__xludf.DUMMYFUNCTION("""COMPUTED_VALUE"""),"Епохи,В. Търново, кн. 4, 1996, ISSN: ISSN-1310-2141,стр. 51–63")</f>
        <v>Епохи,В. Търново, кн. 4, 1996, ISSN: ISSN-1310-2141,стр. 51–63</v>
      </c>
      <c r="F3674" s="10"/>
      <c r="G3674" s="10"/>
      <c r="H3674" s="10"/>
      <c r="I3674" s="10"/>
      <c r="J3674" s="10"/>
      <c r="K3674" s="10"/>
      <c r="L3674" s="10"/>
      <c r="M3674" s="10"/>
      <c r="N3674" s="10"/>
      <c r="O3674" s="10"/>
      <c r="P3674" s="10"/>
      <c r="Q3674" s="10"/>
      <c r="R3674" s="10"/>
      <c r="S3674" s="10"/>
      <c r="T3674" s="10"/>
      <c r="U3674" s="10"/>
      <c r="V3674" s="10"/>
      <c r="W3674" s="10"/>
      <c r="X3674" s="10"/>
      <c r="Y3674" s="10"/>
      <c r="Z3674" s="10"/>
    </row>
    <row r="3675" spans="1:26" ht="12.75">
      <c r="A3675" s="10" t="str">
        <f ca="1">IFERROR(__xludf.DUMMYFUNCTION("""COMPUTED_VALUE"""),"Иван Христов Христов")</f>
        <v>Иван Христов Христов</v>
      </c>
      <c r="B3675" s="10" t="str">
        <f ca="1">IFERROR(__xludf.DUMMYFUNCTION("""COMPUTED_VALUE"""),"Статия в списания и поредици")</f>
        <v>Статия в списания и поредици</v>
      </c>
      <c r="C3675" s="10" t="str">
        <f ca="1">IFERROR(__xludf.DUMMYFUNCTION("""COMPUTED_VALUE"""),"Kultische Denkmaler in den Gegend der stadt Trojan")</f>
        <v>Kultische Denkmaler in den Gegend der stadt Trojan</v>
      </c>
      <c r="D3675" s="10">
        <f ca="1">IFERROR(__xludf.DUMMYFUNCTION("""COMPUTED_VALUE"""),1994)</f>
        <v>1994</v>
      </c>
      <c r="E3675" s="10" t="str">
        <f ca="1">IFERROR(__xludf.DUMMYFUNCTION("""COMPUTED_VALUE"""),"Helis, III Част 1: Култура у религия в североизточна Тракия Sofia 1994, ISBN: 954-546-003-2")</f>
        <v>Helis, III Част 1: Култура у религия в североизточна Тракия Sofia 1994, ISBN: 954-546-003-2</v>
      </c>
      <c r="F3675" s="10"/>
      <c r="G3675" s="10"/>
      <c r="H3675" s="10"/>
      <c r="I3675" s="10"/>
      <c r="J3675" s="10"/>
      <c r="K3675" s="10"/>
      <c r="L3675" s="10"/>
      <c r="M3675" s="10"/>
      <c r="N3675" s="10"/>
      <c r="O3675" s="10"/>
      <c r="P3675" s="10"/>
      <c r="Q3675" s="10"/>
      <c r="R3675" s="10"/>
      <c r="S3675" s="10"/>
      <c r="T3675" s="10"/>
      <c r="U3675" s="10"/>
      <c r="V3675" s="10"/>
      <c r="W3675" s="10"/>
      <c r="X3675" s="10"/>
      <c r="Y3675" s="10"/>
      <c r="Z3675" s="10"/>
    </row>
    <row r="3676" spans="1:26" ht="12.75">
      <c r="A3676" s="10" t="str">
        <f ca="1">IFERROR(__xludf.DUMMYFUNCTION("""COMPUTED_VALUE"""),"Иван Христов Христов")</f>
        <v>Иван Христов Христов</v>
      </c>
      <c r="B3676" s="10" t="str">
        <f ca="1">IFERROR(__xludf.DUMMYFUNCTION("""COMPUTED_VALUE"""),"Статия в списания и поредици")</f>
        <v>Статия в списания и поредици</v>
      </c>
      <c r="C3676" s="10" t="str">
        <f ca="1">IFERROR(__xludf.DUMMYFUNCTION("""COMPUTED_VALUE"""),"Северната граница на провинция Тракия в светлината на нови археологически материали")</f>
        <v>Северната граница на провинция Тракия в светлината на нови археологически материали</v>
      </c>
      <c r="D3676" s="10">
        <f ca="1">IFERROR(__xludf.DUMMYFUNCTION("""COMPUTED_VALUE"""),1992)</f>
        <v>1992</v>
      </c>
      <c r="E3676" s="10" t="str">
        <f ca="1">IFERROR(__xludf.DUMMYFUNCTION("""COMPUTED_VALUE"""),"Известия на исторически музей Кюстендил, т. IV, 1992, ISSN- 0861-4342")</f>
        <v>Известия на исторически музей Кюстендил, т. IV, 1992, ISSN- 0861-4342</v>
      </c>
      <c r="F3676" s="10"/>
      <c r="G3676" s="10"/>
      <c r="H3676" s="10"/>
      <c r="I3676" s="10"/>
      <c r="J3676" s="10"/>
      <c r="K3676" s="10"/>
      <c r="L3676" s="10"/>
      <c r="M3676" s="10"/>
      <c r="N3676" s="10"/>
      <c r="O3676" s="10"/>
      <c r="P3676" s="10"/>
      <c r="Q3676" s="10"/>
      <c r="R3676" s="10"/>
      <c r="S3676" s="10"/>
      <c r="T3676" s="10"/>
      <c r="U3676" s="10"/>
      <c r="V3676" s="10"/>
      <c r="W3676" s="10"/>
      <c r="X3676" s="10"/>
      <c r="Y3676" s="10"/>
      <c r="Z3676" s="10"/>
    </row>
    <row r="3677" spans="1:26" ht="12.75">
      <c r="A3677" s="10" t="str">
        <f ca="1">IFERROR(__xludf.DUMMYFUNCTION("""COMPUTED_VALUE"""),"Иванка Василева Янкова")</f>
        <v>Иванка Василева Янкова</v>
      </c>
      <c r="B3677" s="10" t="str">
        <f ca="1">IFERROR(__xludf.DUMMYFUNCTION("""COMPUTED_VALUE"""),"Доклад от конференция")</f>
        <v>Доклад от конференция</v>
      </c>
      <c r="C3677" s="10" t="str">
        <f ca="1">IFERROR(__xludf.DUMMYFUNCTION("""COMPUTED_VALUE"""),"VOCATIONAL EDUCATION AND TRAINING AND DIGITAL COMPETENCES OR HOW PROJECT “BIBLIO” REVEALS NEW HORIZONS FOR MODERN LIBRARIANS")</f>
        <v>VOCATIONAL EDUCATION AND TRAINING AND DIGITAL COMPETENCES OR HOW PROJECT “BIBLIO” REVEALS NEW HORIZONS FOR MODERN LIBRARIANS</v>
      </c>
      <c r="D3677" s="10">
        <f ca="1">IFERROR(__xludf.DUMMYFUNCTION("""COMPUTED_VALUE"""),2020)</f>
        <v>2020</v>
      </c>
      <c r="E3677" s="10" t="str">
        <f ca="1">IFERROR(__xludf.DUMMYFUNCTION("""COMPUTED_VALUE"""),"ICERI2020 Proceedings, pp. 4123-4128.""ISBN: 978-84-09-24232-0 ISSN: 2340-1095""")</f>
        <v>ICERI2020 Proceedings, pp. 4123-4128."ISBN: 978-84-09-24232-0 ISSN: 2340-1095"</v>
      </c>
      <c r="F3677" s="10" t="str">
        <f ca="1">IFERROR(__xludf.DUMMYFUNCTION("""COMPUTED_VALUE"""),"Web of Science")</f>
        <v>Web of Science</v>
      </c>
      <c r="G3677" s="10" t="str">
        <f ca="1">IFERROR(__xludf.DUMMYFUNCTION("""COMPUTED_VALUE"""),"I. Yankova, D. Dimitrova, I. Tsvetanska, S. Stancheva, R. Vasileva, I. Peteva")</f>
        <v>I. Yankova, D. Dimitrova, I. Tsvetanska, S. Stancheva, R. Vasileva, I. Peteva</v>
      </c>
      <c r="H3677" s="10"/>
      <c r="I3677" s="10"/>
      <c r="J3677" s="10"/>
      <c r="K3677" s="10"/>
      <c r="L3677" s="10"/>
      <c r="M3677" s="10"/>
      <c r="N3677" s="10"/>
      <c r="O3677" s="10"/>
      <c r="P3677" s="10"/>
      <c r="Q3677" s="10"/>
      <c r="R3677" s="10"/>
      <c r="S3677" s="10"/>
      <c r="T3677" s="10"/>
      <c r="U3677" s="10"/>
      <c r="V3677" s="10"/>
      <c r="W3677" s="10"/>
      <c r="X3677" s="10"/>
      <c r="Y3677" s="10"/>
      <c r="Z3677" s="10"/>
    </row>
    <row r="3678" spans="1:26" ht="12.75">
      <c r="A3678" s="10" t="str">
        <f ca="1">IFERROR(__xludf.DUMMYFUNCTION("""COMPUTED_VALUE"""),"Иванка Василева Янкова")</f>
        <v>Иванка Василева Янкова</v>
      </c>
      <c r="B3678" s="10" t="str">
        <f ca="1">IFERROR(__xludf.DUMMYFUNCTION("""COMPUTED_VALUE"""),"Доклад от конференция")</f>
        <v>Доклад от конференция</v>
      </c>
      <c r="C3678" s="10" t="str">
        <f ca="1">IFERROR(__xludf.DUMMYFUNCTION("""COMPUTED_VALUE"""),"SCHOOLS OF EMIGRANTS: BULGARIAN SCHOOLS ABROAD – STATUS AND PROSPECTS")</f>
        <v>SCHOOLS OF EMIGRANTS: BULGARIAN SCHOOLS ABROAD – STATUS AND PROSPECTS</v>
      </c>
      <c r="D3678" s="10">
        <f ca="1">IFERROR(__xludf.DUMMYFUNCTION("""COMPUTED_VALUE"""),2020)</f>
        <v>2020</v>
      </c>
      <c r="E3678" s="10" t="str">
        <f ca="1">IFERROR(__xludf.DUMMYFUNCTION("""COMPUTED_VALUE"""),"ICERI2020 Proceedings, pp. 849-855.""ISBN: 978-84-09-24232-0 ISSN: 2340-1095""")</f>
        <v>ICERI2020 Proceedings, pp. 849-855."ISBN: 978-84-09-24232-0 ISSN: 2340-1095"</v>
      </c>
      <c r="F3678" s="10" t="str">
        <f ca="1">IFERROR(__xludf.DUMMYFUNCTION("""COMPUTED_VALUE"""),"Web of Science")</f>
        <v>Web of Science</v>
      </c>
      <c r="G3678" s="10" t="str">
        <f ca="1">IFERROR(__xludf.DUMMYFUNCTION("""COMPUTED_VALUE"""),"V. Dobreva, S. Denchev, I. Yankova, B. Buzhashka, L. Ljubenova")</f>
        <v>V. Dobreva, S. Denchev, I. Yankova, B. Buzhashka, L. Ljubenova</v>
      </c>
      <c r="H3678" s="10"/>
      <c r="I3678" s="10"/>
      <c r="J3678" s="10"/>
      <c r="K3678" s="10"/>
      <c r="L3678" s="10"/>
      <c r="M3678" s="10"/>
      <c r="N3678" s="10"/>
      <c r="O3678" s="10"/>
      <c r="P3678" s="10"/>
      <c r="Q3678" s="10"/>
      <c r="R3678" s="10"/>
      <c r="S3678" s="10"/>
      <c r="T3678" s="10"/>
      <c r="U3678" s="10"/>
      <c r="V3678" s="10"/>
      <c r="W3678" s="10"/>
      <c r="X3678" s="10"/>
      <c r="Y3678" s="10"/>
      <c r="Z3678" s="10"/>
    </row>
    <row r="3679" spans="1:26" ht="12.75">
      <c r="A3679" s="10" t="str">
        <f ca="1">IFERROR(__xludf.DUMMYFUNCTION("""COMPUTED_VALUE"""),"Иванка Василева Янкова")</f>
        <v>Иванка Василева Янкова</v>
      </c>
      <c r="B3679" s="10" t="str">
        <f ca="1">IFERROR(__xludf.DUMMYFUNCTION("""COMPUTED_VALUE"""),"Доклад от конференция")</f>
        <v>Доклад от конференция</v>
      </c>
      <c r="C3679" s="10" t="str">
        <f ca="1">IFERROR(__xludf.DUMMYFUNCTION("""COMPUTED_VALUE"""),"CREATING AN ECO-CHEMICAL MODEL FOR UNIVERSITY, POSTGRADUATE PROFESSIONAL AND CONTINUING EDUCATION FOR THE PRESERVATION OF WRITTEN CULTURAL HERITAGE")</f>
        <v>CREATING AN ECO-CHEMICAL MODEL FOR UNIVERSITY, POSTGRADUATE PROFESSIONAL AND CONTINUING EDUCATION FOR THE PRESERVATION OF WRITTEN CULTURAL HERITAGE</v>
      </c>
      <c r="D3679" s="10">
        <f ca="1">IFERROR(__xludf.DUMMYFUNCTION("""COMPUTED_VALUE"""),2020)</f>
        <v>2020</v>
      </c>
      <c r="E3679" s="10" t="str">
        <f ca="1">IFERROR(__xludf.DUMMYFUNCTION("""COMPUTED_VALUE"""),"ICERI2020 Proceedings, pp. 4566-4571.""ISBN: 978-84-09-24232-0 ISSN: 2340-1095""")</f>
        <v>ICERI2020 Proceedings, pp. 4566-4571."ISBN: 978-84-09-24232-0 ISSN: 2340-1095"</v>
      </c>
      <c r="F3679" s="10" t="str">
        <f ca="1">IFERROR(__xludf.DUMMYFUNCTION("""COMPUTED_VALUE"""),"Web of Science")</f>
        <v>Web of Science</v>
      </c>
      <c r="G3679" s="10" t="str">
        <f ca="1">IFERROR(__xludf.DUMMYFUNCTION("""COMPUTED_VALUE"""),"I. Tsvetanska, V. Lasheva, I. Yankova, D. Dimitrova")</f>
        <v>I. Tsvetanska, V. Lasheva, I. Yankova, D. Dimitrova</v>
      </c>
      <c r="H3679" s="10"/>
      <c r="I3679" s="10"/>
      <c r="J3679" s="10"/>
      <c r="K3679" s="10"/>
      <c r="L3679" s="10"/>
      <c r="M3679" s="10"/>
      <c r="N3679" s="10"/>
      <c r="O3679" s="10"/>
      <c r="P3679" s="10"/>
      <c r="Q3679" s="10"/>
      <c r="R3679" s="10"/>
      <c r="S3679" s="10"/>
      <c r="T3679" s="10"/>
      <c r="U3679" s="10"/>
      <c r="V3679" s="10"/>
      <c r="W3679" s="10"/>
      <c r="X3679" s="10"/>
      <c r="Y3679" s="10"/>
      <c r="Z3679" s="10"/>
    </row>
    <row r="3680" spans="1:26" ht="12.75">
      <c r="A3680" s="10" t="str">
        <f ca="1">IFERROR(__xludf.DUMMYFUNCTION("""COMPUTED_VALUE"""),"Иванка Василева Янкова")</f>
        <v>Иванка Василева Янкова</v>
      </c>
      <c r="B3680" s="10" t="str">
        <f ca="1">IFERROR(__xludf.DUMMYFUNCTION("""COMPUTED_VALUE"""),"Доклад от конференция")</f>
        <v>Доклад от конференция</v>
      </c>
      <c r="C3680" s="10" t="str">
        <f ca="1">IFERROR(__xludf.DUMMYFUNCTION("""COMPUTED_VALUE"""),"Modern skills and convergent environment – swot analysis, trends and challenges in vocational education and training. a bulgarian experience")</f>
        <v>Modern skills and convergent environment – swot analysis, trends and challenges in vocational education and training. a bulgarian experience</v>
      </c>
      <c r="D3680" s="10">
        <f ca="1">IFERROR(__xludf.DUMMYFUNCTION("""COMPUTED_VALUE"""),2019)</f>
        <v>2019</v>
      </c>
      <c r="E3680" s="10" t="str">
        <f ca="1">IFERROR(__xludf.DUMMYFUNCTION("""COMPUTED_VALUE"""),"Proceedings of EDULEARN 19 Conference 1nd-3th July 2019, Palma,Mallorca, Spain: 11th annual International Conference on Education and New Learning Technologies, Palma de Mallorca (Spain), 2019, pp.: 3130-3139 ISBN 978-84-09-12031-4 ; ISSN: 2340-1117 doi: "&amp;"10.21125/edulearn.2019.0847")</f>
        <v>Proceedings of EDULEARN 19 Conference 1nd-3th July 2019, Palma,Mallorca, Spain: 11th annual International Conference on Education and New Learning Technologies, Palma de Mallorca (Spain), 2019, pp.: 3130-3139 ISBN 978-84-09-12031-4 ; ISSN: 2340-1117 doi: 10.21125/edulearn.2019.0847</v>
      </c>
      <c r="F3680" s="10" t="str">
        <f ca="1">IFERROR(__xludf.DUMMYFUNCTION("""COMPUTED_VALUE"""),"ISI Conference Proceedings Citation Index (ISI CPCI), 
 Crossref
 Clarivate Analytics
 Web of Science")</f>
        <v>ISI Conference Proceedings Citation Index (ISI CPCI), 
 Crossref
 Clarivate Analytics
 Web of Science</v>
      </c>
      <c r="G3680" s="10" t="str">
        <f ca="1">IFERROR(__xludf.DUMMYFUNCTION("""COMPUTED_VALUE"""),"R. Vasileva, S. Stancheva")</f>
        <v>R. Vasileva, S. Stancheva</v>
      </c>
      <c r="H3680" s="10"/>
      <c r="I3680" s="10"/>
      <c r="J3680" s="10"/>
      <c r="K3680" s="10"/>
      <c r="L3680" s="10"/>
      <c r="M3680" s="10"/>
      <c r="N3680" s="10"/>
      <c r="O3680" s="10"/>
      <c r="P3680" s="10"/>
      <c r="Q3680" s="10"/>
      <c r="R3680" s="10"/>
      <c r="S3680" s="10"/>
      <c r="T3680" s="10"/>
      <c r="U3680" s="10"/>
      <c r="V3680" s="10"/>
      <c r="W3680" s="10"/>
      <c r="X3680" s="10"/>
      <c r="Y3680" s="10"/>
      <c r="Z3680" s="10"/>
    </row>
    <row r="3681" spans="1:26" ht="12.75">
      <c r="A3681" s="10" t="str">
        <f ca="1">IFERROR(__xludf.DUMMYFUNCTION("""COMPUTED_VALUE"""),"Иванка Василева Янкова")</f>
        <v>Иванка Василева Янкова</v>
      </c>
      <c r="B3681" s="10" t="str">
        <f ca="1">IFERROR(__xludf.DUMMYFUNCTION("""COMPUTED_VALUE"""),"Доклад от конференция")</f>
        <v>Доклад от конференция</v>
      </c>
      <c r="C3681" s="10" t="str">
        <f ca="1">IFERROR(__xludf.DUMMYFUNCTION("""COMPUTED_VALUE"""),"Reconsider the Experience")</f>
        <v>Reconsider the Experience</v>
      </c>
      <c r="D3681" s="10">
        <f ca="1">IFERROR(__xludf.DUMMYFUNCTION("""COMPUTED_VALUE"""),2019)</f>
        <v>2019</v>
      </c>
      <c r="E3681" s="10" t="str">
        <f ca="1">IFERROR(__xludf.DUMMYFUNCTION("""COMPUTED_VALUE"""),"INTED2019 Proceedings 13th International Technology, Education and Development Conference, March 11th-13th, 2019, Valencia, Spain, pp. 4822-4827, ISBN: 978-84-09-08619-1; ISSN: 2340-1079")</f>
        <v>INTED2019 Proceedings 13th International Technology, Education and Development Conference, March 11th-13th, 2019, Valencia, Spain, pp. 4822-4827, ISBN: 978-84-09-08619-1; ISSN: 2340-1079</v>
      </c>
      <c r="F3681" s="10" t="str">
        <f ca="1">IFERROR(__xludf.DUMMYFUNCTION("""COMPUTED_VALUE"""),"ISI Conference Proceedings Citation Index (ISI CPCI), 
 Crossref
 Clarivate Analytics
 Web of Science")</f>
        <v>ISI Conference Proceedings Citation Index (ISI CPCI), 
 Crossref
 Clarivate Analytics
 Web of Science</v>
      </c>
      <c r="G3681" s="10" t="str">
        <f ca="1">IFERROR(__xludf.DUMMYFUNCTION("""COMPUTED_VALUE"""),"V. Dobreva, P. Peykov")</f>
        <v>V. Dobreva, P. Peykov</v>
      </c>
      <c r="H3681" s="10"/>
      <c r="I3681" s="10"/>
      <c r="J3681" s="10"/>
      <c r="K3681" s="10"/>
      <c r="L3681" s="10"/>
      <c r="M3681" s="10"/>
      <c r="N3681" s="10"/>
      <c r="O3681" s="10"/>
      <c r="P3681" s="10"/>
      <c r="Q3681" s="10"/>
      <c r="R3681" s="10"/>
      <c r="S3681" s="10"/>
      <c r="T3681" s="10"/>
      <c r="U3681" s="10"/>
      <c r="V3681" s="10"/>
      <c r="W3681" s="10"/>
      <c r="X3681" s="10"/>
      <c r="Y3681" s="10"/>
      <c r="Z3681" s="10"/>
    </row>
    <row r="3682" spans="1:26" ht="12.75">
      <c r="A3682" s="10" t="str">
        <f ca="1">IFERROR(__xludf.DUMMYFUNCTION("""COMPUTED_VALUE"""),"Иванка Василева Янкова")</f>
        <v>Иванка Василева Янкова</v>
      </c>
      <c r="B3682" s="10" t="str">
        <f ca="1">IFERROR(__xludf.DUMMYFUNCTION("""COMPUTED_VALUE"""),"Книга")</f>
        <v>Книга</v>
      </c>
      <c r="C3682" s="10" t="str">
        <f ca="1">IFERROR(__xludf.DUMMYFUNCTION("""COMPUTED_VALUE"""),"Станка Пенчева: Био-библиография")</f>
        <v>Станка Пенчева: Био-библиография</v>
      </c>
      <c r="D3682" s="10">
        <f ca="1">IFERROR(__xludf.DUMMYFUNCTION("""COMPUTED_VALUE"""),2019)</f>
        <v>2019</v>
      </c>
      <c r="E3682" s="10" t="str">
        <f ca="1">IFERROR(__xludf.DUMMYFUNCTION("""COMPUTED_VALUE"""),"Био-библиография на Станка Пенчева посветена на 90 години от рождението й. Състав. Росица Петрова – Василева, Галя Чолакова, Росица Иванова. Сливен: Регионална библиотека „Сава Доброплодни“, 2019, 240 с. ISBN 978-619-7239-25-6")</f>
        <v>Био-библиография на Станка Пенчева посветена на 90 години от рождението й. Състав. Росица Петрова – Василева, Галя Чолакова, Росица Иванова. Сливен: Регионална библиотека „Сава Доброплодни“, 2019, 240 с. ISBN 978-619-7239-25-6</v>
      </c>
      <c r="F3682" s="28" t="str">
        <f ca="1">IFERROR(__xludf.DUMMYFUNCTION("""COMPUTED_VALUE"""),"COBISS.BG")</f>
        <v>COBISS.BG</v>
      </c>
      <c r="G3682" s="10" t="str">
        <f ca="1">IFERROR(__xludf.DUMMYFUNCTION("""COMPUTED_VALUE"""),"Росица Петрова – Василева, Галя Чолакова, Росица Иванова")</f>
        <v>Росица Петрова – Василева, Галя Чолакова, Росица Иванова</v>
      </c>
      <c r="H3682" s="10"/>
      <c r="I3682" s="10"/>
      <c r="J3682" s="10"/>
      <c r="K3682" s="10"/>
      <c r="L3682" s="10"/>
      <c r="M3682" s="10"/>
      <c r="N3682" s="10"/>
      <c r="O3682" s="10"/>
      <c r="P3682" s="10"/>
      <c r="Q3682" s="10"/>
      <c r="R3682" s="10"/>
      <c r="S3682" s="10"/>
      <c r="T3682" s="10"/>
      <c r="U3682" s="10"/>
      <c r="V3682" s="10"/>
      <c r="W3682" s="10"/>
      <c r="X3682" s="10"/>
      <c r="Y3682" s="10"/>
      <c r="Z3682" s="10"/>
    </row>
    <row r="3683" spans="1:26" ht="12.75">
      <c r="A3683" s="10" t="str">
        <f ca="1">IFERROR(__xludf.DUMMYFUNCTION("""COMPUTED_VALUE"""),"Иванка Василева Янкова")</f>
        <v>Иванка Василева Янкова</v>
      </c>
      <c r="B3683" s="10" t="str">
        <f ca="1">IFERROR(__xludf.DUMMYFUNCTION("""COMPUTED_VALUE"""),"Статия в списания и поредици")</f>
        <v>Статия в списания и поредици</v>
      </c>
      <c r="C3683" s="10" t="str">
        <f ca="1">IFERROR(__xludf.DUMMYFUNCTION("""COMPUTED_VALUE"""),"Проучване и анализ на добри практики на професионално продължаващо образование и обучение в интерактивна образователна среда в България")</f>
        <v>Проучване и анализ на добри практики на професионално продължаващо образование и обучение в интерактивна образователна среда в България</v>
      </c>
      <c r="D3683" s="10">
        <f ca="1">IFERROR(__xludf.DUMMYFUNCTION("""COMPUTED_VALUE"""),2018)</f>
        <v>2018</v>
      </c>
      <c r="E3683"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Състав.Иванка Янкова, Румелина Василева. София : За буквите – О писменехь, 2018, c. 13-36")</f>
        <v>Иновативна образователна среда за непрекъснато професионално обучение в сферата на културните и творчески индустрии : Е-сборник. Състав.Иванка Янкова, Румелина Василева. София : За буквите – О писменехь, 2018, c. 13-36</v>
      </c>
      <c r="F368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3" s="10" t="str">
        <f ca="1">IFERROR(__xludf.DUMMYFUNCTION("""COMPUTED_VALUE"""),"Силвия Станчева Румелина Василева Деница Димитрова")</f>
        <v>Силвия Станчева Румелина Василева Деница Димитрова</v>
      </c>
      <c r="H3683" s="10"/>
      <c r="I3683" s="10"/>
      <c r="J3683" s="10"/>
      <c r="K3683" s="10"/>
      <c r="L3683" s="10"/>
      <c r="M3683" s="10"/>
      <c r="N3683" s="10"/>
      <c r="O3683" s="10"/>
      <c r="P3683" s="10"/>
      <c r="Q3683" s="10"/>
      <c r="R3683" s="10"/>
      <c r="S3683" s="10"/>
      <c r="T3683" s="10"/>
      <c r="U3683" s="10"/>
      <c r="V3683" s="10"/>
      <c r="W3683" s="10"/>
      <c r="X3683" s="10"/>
      <c r="Y3683" s="10"/>
      <c r="Z3683" s="10"/>
    </row>
    <row r="3684" spans="1:26" ht="12.75">
      <c r="A3684" s="10" t="str">
        <f ca="1">IFERROR(__xludf.DUMMYFUNCTION("""COMPUTED_VALUE"""),"Иванка Василева Янкова")</f>
        <v>Иванка Василева Янкова</v>
      </c>
      <c r="B3684" s="10" t="str">
        <f ca="1">IFERROR(__xludf.DUMMYFUNCTION("""COMPUTED_VALUE"""),"Статия в списания и поредици")</f>
        <v>Статия в списания и поредици</v>
      </c>
      <c r="C3684" s="10" t="str">
        <f ca="1">IFERROR(__xludf.DUMMYFUNCTION("""COMPUTED_VALUE"""),"Creation and Implementation of Interactive Model for Training of Academic Authors How to Publish Successfully Research Publications")</f>
        <v>Creation and Implementation of Interactive Model for Training of Academic Authors How to Publish Successfully Research Publications</v>
      </c>
      <c r="D3684" s="10">
        <f ca="1">IFERROR(__xludf.DUMMYFUNCTION("""COMPUTED_VALUE"""),2018)</f>
        <v>2018</v>
      </c>
      <c r="E3684" s="10" t="str">
        <f ca="1">IFERROR(__xludf.DUMMYFUNCTION("""COMPUTED_VALUE"""),"Устойчиви тенденции и бизнес модели в публикационната активност на научните изследвания. София : За буквите – О писменехь, 2018, pp. 161-173, ISBN 978-619-185-315-1")</f>
        <v>Устойчиви тенденции и бизнес модели в публикационната активност на научните изследвания. София : За буквите – О писменехь, 2018, pp. 161-173, ISBN 978-619-185-315-1</v>
      </c>
      <c r="F368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4" s="10" t="str">
        <f ca="1">IFERROR(__xludf.DUMMYFUNCTION("""COMPUTED_VALUE"""),"Rumelina Vasileva Tzvetelina Dimitrova, Kamelia Nusheva")</f>
        <v>Rumelina Vasileva Tzvetelina Dimitrova, Kamelia Nusheva</v>
      </c>
      <c r="H3684" s="10"/>
      <c r="I3684" s="10"/>
      <c r="J3684" s="10"/>
      <c r="K3684" s="10"/>
      <c r="L3684" s="10"/>
      <c r="M3684" s="10"/>
      <c r="N3684" s="10"/>
      <c r="O3684" s="10"/>
      <c r="P3684" s="10"/>
      <c r="Q3684" s="10"/>
      <c r="R3684" s="10"/>
      <c r="S3684" s="10"/>
      <c r="T3684" s="10"/>
      <c r="U3684" s="10"/>
      <c r="V3684" s="10"/>
      <c r="W3684" s="10"/>
      <c r="X3684" s="10"/>
      <c r="Y3684" s="10"/>
      <c r="Z3684" s="10"/>
    </row>
    <row r="3685" spans="1:26" ht="12.75">
      <c r="A3685" s="10" t="str">
        <f ca="1">IFERROR(__xludf.DUMMYFUNCTION("""COMPUTED_VALUE"""),"Иванка Василева Янкова")</f>
        <v>Иванка Василева Янкова</v>
      </c>
      <c r="B3685" s="10" t="str">
        <f ca="1">IFERROR(__xludf.DUMMYFUNCTION("""COMPUTED_VALUE"""),"Книга")</f>
        <v>Книга</v>
      </c>
      <c r="C3685"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f>
        <v>Иновативна образователна среда за непрекъснато професионално обучение в сферата на културните и творчески индустрии : Е-сборник</v>
      </c>
      <c r="D3685" s="10">
        <f ca="1">IFERROR(__xludf.DUMMYFUNCTION("""COMPUTED_VALUE"""),2018)</f>
        <v>2018</v>
      </c>
      <c r="E3685" s="10" t="str">
        <f ca="1">IFERROR(__xludf.DUMMYFUNCTION("""COMPUTED_VALUE"""),"София : За буквите – О писменехь, 2018. 273 с. ISBN 978-619-185-326-7")</f>
        <v>София : За буквите – О писменехь, 2018. 273 с. ISBN 978-619-185-326-7</v>
      </c>
      <c r="F368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5" s="10" t="str">
        <f ca="1">IFERROR(__xludf.DUMMYFUNCTION("""COMPUTED_VALUE"""),"Румелина Василева")</f>
        <v>Румелина Василева</v>
      </c>
      <c r="H3685" s="10"/>
      <c r="I3685" s="10"/>
      <c r="J3685" s="10"/>
      <c r="K3685" s="10"/>
      <c r="L3685" s="10"/>
      <c r="M3685" s="10"/>
      <c r="N3685" s="10"/>
      <c r="O3685" s="10"/>
      <c r="P3685" s="10"/>
      <c r="Q3685" s="10"/>
      <c r="R3685" s="10"/>
      <c r="S3685" s="10"/>
      <c r="T3685" s="10"/>
      <c r="U3685" s="10"/>
      <c r="V3685" s="10"/>
      <c r="W3685" s="10"/>
      <c r="X3685" s="10"/>
      <c r="Y3685" s="10"/>
      <c r="Z3685" s="10"/>
    </row>
    <row r="3686" spans="1:26" ht="12.75">
      <c r="A3686" s="10" t="str">
        <f ca="1">IFERROR(__xludf.DUMMYFUNCTION("""COMPUTED_VALUE"""),"Иванка Василева Янкова")</f>
        <v>Иванка Василева Янкова</v>
      </c>
      <c r="B3686" s="10" t="str">
        <f ca="1">IFERROR(__xludf.DUMMYFUNCTION("""COMPUTED_VALUE"""),"Статия в списания и поредици")</f>
        <v>Статия в списания и поредици</v>
      </c>
      <c r="C3686" s="10" t="str">
        <f ca="1">IFERROR(__xludf.DUMMYFUNCTION("""COMPUTED_VALUE"""),"Ретроспективен анализ на научните издателства и подготовката на пишещите изследователи")</f>
        <v>Ретроспективен анализ на научните издателства и подготовката на пишещите изследователи</v>
      </c>
      <c r="D3686" s="10">
        <f ca="1">IFERROR(__xludf.DUMMYFUNCTION("""COMPUTED_VALUE"""),2018)</f>
        <v>2018</v>
      </c>
      <c r="E3686"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54-64 София : За буквите – О писменехь, 2018. 116 с. ISBN 978-619-185-316-8")</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54-64 София : За буквите – О писменехь, 2018. 116 с. ISBN 978-619-185-316-8</v>
      </c>
      <c r="F368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6" s="10" t="str">
        <f ca="1">IFERROR(__xludf.DUMMYFUNCTION("""COMPUTED_VALUE"""),"Цветелина Димитрова, Румелина Василева")</f>
        <v>Цветелина Димитрова, Румелина Василева</v>
      </c>
      <c r="H3686" s="10"/>
      <c r="I3686" s="10"/>
      <c r="J3686" s="10"/>
      <c r="K3686" s="10"/>
      <c r="L3686" s="10"/>
      <c r="M3686" s="10"/>
      <c r="N3686" s="10"/>
      <c r="O3686" s="10"/>
      <c r="P3686" s="10"/>
      <c r="Q3686" s="10"/>
      <c r="R3686" s="10"/>
      <c r="S3686" s="10"/>
      <c r="T3686" s="10"/>
      <c r="U3686" s="10"/>
      <c r="V3686" s="10"/>
      <c r="W3686" s="10"/>
      <c r="X3686" s="10"/>
      <c r="Y3686" s="10"/>
      <c r="Z3686" s="10"/>
    </row>
    <row r="3687" spans="1:26" ht="12.75">
      <c r="A3687" s="10" t="str">
        <f ca="1">IFERROR(__xludf.DUMMYFUNCTION("""COMPUTED_VALUE"""),"Иванка Василева Янкова")</f>
        <v>Иванка Василева Янкова</v>
      </c>
      <c r="B3687" s="10" t="str">
        <f ca="1">IFERROR(__xludf.DUMMYFUNCTION("""COMPUTED_VALUE"""),"Доклад от конференция")</f>
        <v>Доклад от конференция</v>
      </c>
      <c r="C3687" s="10" t="str">
        <f ca="1">IFERROR(__xludf.DUMMYFUNCTION("""COMPUTED_VALUE"""),"Устойчиво развитие на културното наследство и ролята му за образованието")</f>
        <v>Устойчиво развитие на културното наследство и ролята му за образованието</v>
      </c>
      <c r="D3687" s="10">
        <f ca="1">IFERROR(__xludf.DUMMYFUNCTION("""COMPUTED_VALUE"""),2018)</f>
        <v>2018</v>
      </c>
      <c r="E3687" s="10" t="str">
        <f ca="1">IFERROR(__xludf.DUMMYFUNCTION("""COMPUTED_VALUE"""),"За буквите – О писменехь")</f>
        <v>За буквите – О писменехь</v>
      </c>
      <c r="F368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7" s="10" t="str">
        <f ca="1">IFERROR(__xludf.DUMMYFUNCTION("""COMPUTED_VALUE"""),"амелия Нушева")</f>
        <v>амелия Нушева</v>
      </c>
      <c r="H3687" s="10"/>
      <c r="I3687" s="10"/>
      <c r="J3687" s="10"/>
      <c r="K3687" s="10"/>
      <c r="L3687" s="10"/>
      <c r="M3687" s="10"/>
      <c r="N3687" s="10"/>
      <c r="O3687" s="10"/>
      <c r="P3687" s="10"/>
      <c r="Q3687" s="10"/>
      <c r="R3687" s="10"/>
      <c r="S3687" s="10"/>
      <c r="T3687" s="10"/>
      <c r="U3687" s="10"/>
      <c r="V3687" s="10"/>
      <c r="W3687" s="10"/>
      <c r="X3687" s="10"/>
      <c r="Y3687" s="10"/>
      <c r="Z3687" s="10"/>
    </row>
    <row r="3688" spans="1:26" ht="12.75">
      <c r="A3688" s="10" t="str">
        <f ca="1">IFERROR(__xludf.DUMMYFUNCTION("""COMPUTED_VALUE"""),"Иванка Василева Янкова")</f>
        <v>Иванка Василева Янкова</v>
      </c>
      <c r="B3688" s="10" t="str">
        <f ca="1">IFERROR(__xludf.DUMMYFUNCTION("""COMPUTED_VALUE"""),"Доклад от конференция")</f>
        <v>Доклад от конференция</v>
      </c>
      <c r="C3688" s="10" t="str">
        <f ca="1">IFERROR(__xludf.DUMMYFUNCTION("""COMPUTED_VALUE"""),"Innovative Opportunities of the Contemporary Interactive Educational Environment in the Area of Cultural and Creative Industries")</f>
        <v>Innovative Opportunities of the Contemporary Interactive Educational Environment in the Area of Cultural and Creative Industries</v>
      </c>
      <c r="D3688" s="10">
        <f ca="1">IFERROR(__xludf.DUMMYFUNCTION("""COMPUTED_VALUE"""),2018)</f>
        <v>2018</v>
      </c>
      <c r="E3688" s="10" t="str">
        <f ca="1">IFERROR(__xludf.DUMMYFUNCTION("""COMPUTED_VALUE"""),"Proceedings of EDULEARN18 Conference: 10th annual International Conference on Education and New Learning Technologies, 2nd-4th July 2018, Palma, Mallorca, Spain, 2018, pp. 3546-3553. ISBN: 978-84-09-02709-5. URL: &lt;file:///G:/files/papers/915.pdf&gt;")</f>
        <v>Proceedings of EDULEARN18 Conference: 10th annual International Conference on Education and New Learning Technologies, 2nd-4th July 2018, Palma, Mallorca, Spain, 2018, pp. 3546-3553. ISBN: 978-84-09-02709-5. URL: &lt;file:///G:/files/papers/915.pdf&gt;</v>
      </c>
      <c r="F3688" s="10" t="str">
        <f ca="1">IFERROR(__xludf.DUMMYFUNCTION("""COMPUTED_VALUE"""),"ISI Conference Proceedings Citation Index (ISI CPCI), Crossref, Clarivate Analytics, Web of Science")</f>
        <v>ISI Conference Proceedings Citation Index (ISI CPCI), Crossref, Clarivate Analytics, Web of Science</v>
      </c>
      <c r="G3688" s="10" t="str">
        <f ca="1">IFERROR(__xludf.DUMMYFUNCTION("""COMPUTED_VALUE"""),"Kamelia Nusheva, Rumelina Vasileva Ivanka Pavlova")</f>
        <v>Kamelia Nusheva, Rumelina Vasileva Ivanka Pavlova</v>
      </c>
      <c r="H3688" s="10"/>
      <c r="I3688" s="10"/>
      <c r="J3688" s="10"/>
      <c r="K3688" s="10"/>
      <c r="L3688" s="10"/>
      <c r="M3688" s="10"/>
      <c r="N3688" s="10"/>
      <c r="O3688" s="10"/>
      <c r="P3688" s="10"/>
      <c r="Q3688" s="10"/>
      <c r="R3688" s="10"/>
      <c r="S3688" s="10"/>
      <c r="T3688" s="10"/>
      <c r="U3688" s="10"/>
      <c r="V3688" s="10"/>
      <c r="W3688" s="10"/>
      <c r="X3688" s="10"/>
      <c r="Y3688" s="10"/>
      <c r="Z3688" s="10"/>
    </row>
    <row r="3689" spans="1:26" ht="12.75">
      <c r="A3689" s="10" t="str">
        <f ca="1">IFERROR(__xludf.DUMMYFUNCTION("""COMPUTED_VALUE"""),"Иванка Василева Янкова")</f>
        <v>Иванка Василева Янкова</v>
      </c>
      <c r="B3689" s="10" t="str">
        <f ca="1">IFERROR(__xludf.DUMMYFUNCTION("""COMPUTED_VALUE"""),"Книга")</f>
        <v>Книга</v>
      </c>
      <c r="C3689" s="10" t="str">
        <f ca="1">IFERROR(__xludf.DUMMYFUNCTION("""COMPUTED_VALUE"""),"Диалектиката „четене : писане“ – логосът на научната комуникация")</f>
        <v>Диалектиката „четене : писане“ – логосът на научната комуникация</v>
      </c>
      <c r="D3689" s="10">
        <f ca="1">IFERROR(__xludf.DUMMYFUNCTION("""COMPUTED_VALUE"""),2018)</f>
        <v>2018</v>
      </c>
      <c r="E3689" s="10" t="str">
        <f ca="1">IFERROR(__xludf.DUMMYFUNCTION("""COMPUTED_VALUE"""),"Устойчиви тенденции и бизнес модели в публикационната активност на научните изследвания, София : За буквите – О писменехь, 2018, с. 127-145.ISBN 978-619-185-315-1")</f>
        <v>Устойчиви тенденции и бизнес модели в публикационната активност на научните изследвания, София : За буквите – О писменехь, 2018, с. 127-145.ISBN 978-619-185-315-1</v>
      </c>
      <c r="F368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89" s="10" t="str">
        <f ca="1">IFERROR(__xludf.DUMMYFUNCTION("""COMPUTED_VALUE"""),"Румелина Василева Камелия Нушева")</f>
        <v>Румелина Василева Камелия Нушева</v>
      </c>
      <c r="H3689" s="10"/>
      <c r="I3689" s="10"/>
      <c r="J3689" s="10"/>
      <c r="K3689" s="10"/>
      <c r="L3689" s="10"/>
      <c r="M3689" s="10"/>
      <c r="N3689" s="10"/>
      <c r="O3689" s="10"/>
      <c r="P3689" s="10"/>
      <c r="Q3689" s="10"/>
      <c r="R3689" s="10"/>
      <c r="S3689" s="10"/>
      <c r="T3689" s="10"/>
      <c r="U3689" s="10"/>
      <c r="V3689" s="10"/>
      <c r="W3689" s="10"/>
      <c r="X3689" s="10"/>
      <c r="Y3689" s="10"/>
      <c r="Z3689" s="10"/>
    </row>
    <row r="3690" spans="1:26" ht="12.75">
      <c r="A3690" s="10" t="str">
        <f ca="1">IFERROR(__xludf.DUMMYFUNCTION("""COMPUTED_VALUE"""),"Иванка Василева Янкова")</f>
        <v>Иванка Василева Янкова</v>
      </c>
      <c r="B3690" s="10" t="str">
        <f ca="1">IFERROR(__xludf.DUMMYFUNCTION("""COMPUTED_VALUE"""),"Книга")</f>
        <v>Книга</v>
      </c>
      <c r="C3690" s="10" t="str">
        <f ca="1">IFERROR(__xludf.DUMMYFUNCTION("""COMPUTED_VALUE"""),"Лидерство в библиотечния мениджмънт")</f>
        <v>Лидерство в библиотечния мениджмънт</v>
      </c>
      <c r="D3690" s="10">
        <f ca="1">IFERROR(__xludf.DUMMYFUNCTION("""COMPUTED_VALUE"""),2018)</f>
        <v>2018</v>
      </c>
      <c r="E3690" s="10" t="str">
        <f ca="1">IFERROR(__xludf.DUMMYFUNCTION("""COMPUTED_VALUE"""),"Лидерство в библиотечния мениджмънт: Научна книга по повод 10 години Катедра „Библиотечен мениджмънт“ при УниБИТ. – София: За буквите – О писменехь, 2018. – 332 с. ISBN 978-619-185-346-5")</f>
        <v>Лидерство в библиотечния мениджмънт: Научна книга по повод 10 години Катедра „Библиотечен мениджмънт“ при УниБИТ. – София: За буквите – О писменехь, 2018. – 332 с. ISBN 978-619-185-346-5</v>
      </c>
      <c r="F3690" s="28" t="str">
        <f ca="1">IFERROR(__xludf.DUMMYFUNCTION("""COMPUTED_VALUE"""),"COBISS.BG")</f>
        <v>COBISS.BG</v>
      </c>
      <c r="G3690" s="10" t="str">
        <f ca="1">IFERROR(__xludf.DUMMYFUNCTION("""COMPUTED_VALUE"""),"Таня Тодорова, Мариела Модева, Искра Арсенова, Добринка Стойкова, Румелина Василева, Силвия Станчева, Тереза Тренчева, Любомира Парижкова, Елена Савова, Събина Ефтимова, Елисавета Цветкова, Камелия Планска-Симеонова")</f>
        <v>Таня Тодорова, Мариела Модева, Искра Арсенова, Добринка Стойкова, Румелина Василева, Силвия Станчева, Тереза Тренчева, Любомира Парижкова, Елена Савова, Събина Ефтимова, Елисавета Цветкова, Камелия Планска-Симеонова</v>
      </c>
      <c r="H3690" s="10"/>
      <c r="I3690" s="10"/>
      <c r="J3690" s="10"/>
      <c r="K3690" s="10"/>
      <c r="L3690" s="10"/>
      <c r="M3690" s="10"/>
      <c r="N3690" s="10"/>
      <c r="O3690" s="10"/>
      <c r="P3690" s="10"/>
      <c r="Q3690" s="10"/>
      <c r="R3690" s="10"/>
      <c r="S3690" s="10"/>
      <c r="T3690" s="10"/>
      <c r="U3690" s="10"/>
      <c r="V3690" s="10"/>
      <c r="W3690" s="10"/>
      <c r="X3690" s="10"/>
      <c r="Y3690" s="10"/>
      <c r="Z3690" s="10"/>
    </row>
    <row r="3691" spans="1:26" ht="12.75">
      <c r="A3691" s="10" t="str">
        <f ca="1">IFERROR(__xludf.DUMMYFUNCTION("""COMPUTED_VALUE"""),"Иванка Василева Янкова")</f>
        <v>Иванка Василева Янкова</v>
      </c>
      <c r="B3691" s="10" t="str">
        <f ca="1">IFERROR(__xludf.DUMMYFUNCTION("""COMPUTED_VALUE"""),"Доклад от конференция")</f>
        <v>Доклад от конференция</v>
      </c>
      <c r="C3691" s="10" t="str">
        <f ca="1">IFERROR(__xludf.DUMMYFUNCTION("""COMPUTED_VALUE"""),"Studying cultural heritage as a contemporary form of university education")</f>
        <v>Studying cultural heritage as a contemporary form of university education</v>
      </c>
      <c r="D3691" s="10">
        <f ca="1">IFERROR(__xludf.DUMMYFUNCTION("""COMPUTED_VALUE"""),2018)</f>
        <v>2018</v>
      </c>
      <c r="E3691" s="10" t="str">
        <f ca="1">IFERROR(__xludf.DUMMYFUNCTION("""COMPUTED_VALUE"""),"Studying cultural heritage as a contemporary form of university education // EDULEARN18 Proceedings; 10th International Conference on Education and New Learning Technologies; Palma, Spain. 2-4 July, 2018. ; Publisher: IATED; pp. 1849-1853. ISBN: 978-84-09"&amp;"-02709-5 / ISSN: 2340-1117")</f>
        <v>Studying cultural heritage as a contemporary form of university education // EDULEARN18 Proceedings; 10th International Conference on Education and New Learning Technologies; Palma, Spain. 2-4 July, 2018. ; Publisher: IATED; pp. 1849-1853. ISBN: 978-84-09-02709-5 / ISSN: 2340-1117</v>
      </c>
      <c r="F3691" s="10" t="str">
        <f ca="1">IFERROR(__xludf.DUMMYFUNCTION("""COMPUTED_VALUE"""),"Clarivate Analytics
 Web of Science")</f>
        <v>Clarivate Analytics
 Web of Science</v>
      </c>
      <c r="G3691" s="10" t="str">
        <f ca="1">IFERROR(__xludf.DUMMYFUNCTION("""COMPUTED_VALUE"""),"S. Denchev, M. Nikolova, S. Stancheva")</f>
        <v>S. Denchev, M. Nikolova, S. Stancheva</v>
      </c>
      <c r="H3691" s="10"/>
      <c r="I3691" s="10"/>
      <c r="J3691" s="10"/>
      <c r="K3691" s="10"/>
      <c r="L3691" s="10"/>
      <c r="M3691" s="10"/>
      <c r="N3691" s="10"/>
      <c r="O3691" s="10"/>
      <c r="P3691" s="10"/>
      <c r="Q3691" s="10"/>
      <c r="R3691" s="10"/>
      <c r="S3691" s="10"/>
      <c r="T3691" s="10"/>
      <c r="U3691" s="10"/>
      <c r="V3691" s="10"/>
      <c r="W3691" s="10"/>
      <c r="X3691" s="10"/>
      <c r="Y3691" s="10"/>
      <c r="Z3691" s="10"/>
    </row>
    <row r="3692" spans="1:26" ht="12.75">
      <c r="A3692" s="10" t="str">
        <f ca="1">IFERROR(__xludf.DUMMYFUNCTION("""COMPUTED_VALUE"""),"Иванка Василева Янкова")</f>
        <v>Иванка Василева Янкова</v>
      </c>
      <c r="B3692" s="10" t="str">
        <f ca="1">IFERROR(__xludf.DUMMYFUNCTION("""COMPUTED_VALUE"""),"Доклад от конференция")</f>
        <v>Доклад от конференция</v>
      </c>
      <c r="C3692" s="10" t="str">
        <f ca="1">IFERROR(__xludf.DUMMYFUNCTION("""COMPUTED_VALUE"""),"Насърчаване на ученето през целия живот като фактор за успех на иновативните компании")</f>
        <v>Насърчаване на ученето през целия живот като фактор за успех на иновативните компании</v>
      </c>
      <c r="D3692" s="10">
        <f ca="1">IFERROR(__xludf.DUMMYFUNCTION("""COMPUTED_VALUE"""),2018)</f>
        <v>2018</v>
      </c>
      <c r="E3692" s="10" t="str">
        <f ca="1">IFERROR(__xludf.DUMMYFUNCTION("""COMPUTED_VALUE"""),"Насърчаване на ученето през целия живот като фактор за успех на иновативните компании//Библиотеки, четене, комуникации. Нац. науч. конф., ноември 2018. Велико Търново, УИ “Св. св. Кирил и Методий”, ISSN: 1313-8138")</f>
        <v>Насърчаване на ученето през целия живот като фактор за успех на иновативните компании//Библиотеки, четене, комуникации. Нац. науч. конф., ноември 2018. Велико Търново, УИ “Св. св. Кирил и Методий”, ISSN: 1313-8138</v>
      </c>
      <c r="F3692" s="28" t="str">
        <f ca="1">IFERROR(__xludf.DUMMYFUNCTION("""COMPUTED_VALUE"""),"COBISS.BG")</f>
        <v>COBISS.BG</v>
      </c>
      <c r="G3692" s="10" t="str">
        <f ca="1">IFERROR(__xludf.DUMMYFUNCTION("""COMPUTED_VALUE"""),"Камелия Нушева, Деница Димитрова")</f>
        <v>Камелия Нушева, Деница Димитрова</v>
      </c>
      <c r="H3692" s="10"/>
      <c r="I3692" s="10"/>
      <c r="J3692" s="10"/>
      <c r="K3692" s="10"/>
      <c r="L3692" s="10"/>
      <c r="M3692" s="10"/>
      <c r="N3692" s="10"/>
      <c r="O3692" s="10"/>
      <c r="P3692" s="10"/>
      <c r="Q3692" s="10"/>
      <c r="R3692" s="10"/>
      <c r="S3692" s="10"/>
      <c r="T3692" s="10"/>
      <c r="U3692" s="10"/>
      <c r="V3692" s="10"/>
      <c r="W3692" s="10"/>
      <c r="X3692" s="10"/>
      <c r="Y3692" s="10"/>
      <c r="Z3692" s="10"/>
    </row>
    <row r="3693" spans="1:26" ht="12.75">
      <c r="A3693" s="10" t="str">
        <f ca="1">IFERROR(__xludf.DUMMYFUNCTION("""COMPUTED_VALUE"""),"Иванка Василева Янкова")</f>
        <v>Иванка Василева Янкова</v>
      </c>
      <c r="B3693" s="10" t="str">
        <f ca="1">IFERROR(__xludf.DUMMYFUNCTION("""COMPUTED_VALUE"""),"Доклад от конференция")</f>
        <v>Доклад от конференция</v>
      </c>
      <c r="C3693" s="10" t="str">
        <f ca="1">IFERROR(__xludf.DUMMYFUNCTION("""COMPUTED_VALUE"""),"Професионалното образование и обучение в България– проблеми и перспективи")</f>
        <v>Професионалното образование и обучение в България– проблеми и перспективи</v>
      </c>
      <c r="D3693" s="10">
        <f ca="1">IFERROR(__xludf.DUMMYFUNCTION("""COMPUTED_VALUE"""),2018)</f>
        <v>2018</v>
      </c>
      <c r="E3693" s="10" t="str">
        <f ca="1">IFERROR(__xludf.DUMMYFUNCTION("""COMPUTED_VALUE"""),"Професионалното образование и обучение в България– проблеми и перспективи// Обществото на знанието и хуманизмът на ХХІ век : Шестнадесета национална научна конференция с международно участие, София, 1 ноември 2018. – София: За буквите – О писменехь, 2018,"&amp;" с. 141-151. ISSN: 1314-7099")</f>
        <v>Професионалното образование и обучение в България– проблеми и перспективи// Обществото на знанието и хуманизмът на ХХІ век : Шестнадесета национална научна конференция с международно участие, София, 1 ноември 2018. – София: За буквите – О писменехь, 2018, с. 141-151. ISSN: 1314-7099</v>
      </c>
      <c r="F3693" s="28" t="str">
        <f ca="1">IFERROR(__xludf.DUMMYFUNCTION("""COMPUTED_VALUE"""),"COBISS.BG")</f>
        <v>COBISS.BG</v>
      </c>
      <c r="G3693" s="10" t="str">
        <f ca="1">IFERROR(__xludf.DUMMYFUNCTION("""COMPUTED_VALUE"""),"Деница Димитрова")</f>
        <v>Деница Димитрова</v>
      </c>
      <c r="H3693" s="10"/>
      <c r="I3693" s="10"/>
      <c r="J3693" s="10"/>
      <c r="K3693" s="10"/>
      <c r="L3693" s="10"/>
      <c r="M3693" s="10"/>
      <c r="N3693" s="10"/>
      <c r="O3693" s="10"/>
      <c r="P3693" s="10"/>
      <c r="Q3693" s="10"/>
      <c r="R3693" s="10"/>
      <c r="S3693" s="10"/>
      <c r="T3693" s="10"/>
      <c r="U3693" s="10"/>
      <c r="V3693" s="10"/>
      <c r="W3693" s="10"/>
      <c r="X3693" s="10"/>
      <c r="Y3693" s="10"/>
      <c r="Z3693" s="10"/>
    </row>
    <row r="3694" spans="1:26" ht="12.75">
      <c r="A3694" s="10" t="str">
        <f ca="1">IFERROR(__xludf.DUMMYFUNCTION("""COMPUTED_VALUE"""),"Иванка Василева Янкова")</f>
        <v>Иванка Василева Янкова</v>
      </c>
      <c r="B3694" s="10" t="str">
        <f ca="1">IFERROR(__xludf.DUMMYFUNCTION("""COMPUTED_VALUE"""),"Доклад от конференция")</f>
        <v>Доклад от конференция</v>
      </c>
      <c r="C3694" s="10" t="str">
        <f ca="1">IFERROR(__xludf.DUMMYFUNCTION("""COMPUTED_VALUE"""),"Редизайн за качествена промяна на научните списания в България : Сборник с изследвания")</f>
        <v>Редизайн за качествена промяна на научните списания в България : Сборник с изследвания</v>
      </c>
      <c r="D3694" s="10">
        <f ca="1">IFERROR(__xludf.DUMMYFUNCTION("""COMPUTED_VALUE"""),2018)</f>
        <v>2018</v>
      </c>
      <c r="E3694" s="10" t="str">
        <f ca="1">IFERROR(__xludf.DUMMYFUNCTION("""COMPUTED_VALUE"""),"София : За буквите – О писменехь, 2018. 116 с. ISBN 978-619-185-316-8")</f>
        <v>София : За буквите – О писменехь, 2018. 116 с. ISBN 978-619-185-316-8</v>
      </c>
      <c r="F369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94" s="10" t="str">
        <f ca="1">IFERROR(__xludf.DUMMYFUNCTION("""COMPUTED_VALUE"""),"Румелина Василева")</f>
        <v>Румелина Василева</v>
      </c>
      <c r="H3694" s="10"/>
      <c r="I3694" s="10"/>
      <c r="J3694" s="10"/>
      <c r="K3694" s="10"/>
      <c r="L3694" s="10"/>
      <c r="M3694" s="10"/>
      <c r="N3694" s="10"/>
      <c r="O3694" s="10"/>
      <c r="P3694" s="10"/>
      <c r="Q3694" s="10"/>
      <c r="R3694" s="10"/>
      <c r="S3694" s="10"/>
      <c r="T3694" s="10"/>
      <c r="U3694" s="10"/>
      <c r="V3694" s="10"/>
      <c r="W3694" s="10"/>
      <c r="X3694" s="10"/>
      <c r="Y3694" s="10"/>
      <c r="Z3694" s="10"/>
    </row>
    <row r="3695" spans="1:26" ht="12.75">
      <c r="A3695" s="10" t="str">
        <f ca="1">IFERROR(__xludf.DUMMYFUNCTION("""COMPUTED_VALUE"""),"Иванка Василева Янкова")</f>
        <v>Иванка Василева Янкова</v>
      </c>
      <c r="B3695" s="10" t="str">
        <f ca="1">IFERROR(__xludf.DUMMYFUNCTION("""COMPUTED_VALUE"""),"Доклад от конференция")</f>
        <v>Доклад от конференция</v>
      </c>
      <c r="C3695" s="10" t="str">
        <f ca="1">IFERROR(__xludf.DUMMYFUNCTION("""COMPUTED_VALUE"""),"Специалността „Библиотекознание“ в НПГПФ и сътрудничеството с ФБКН при УниБИТ")</f>
        <v>Специалността „Библиотекознание“ в НПГПФ и сътрудничеството с ФБКН при УниБИТ</v>
      </c>
      <c r="D3695" s="10">
        <f ca="1">IFERROR(__xludf.DUMMYFUNCTION("""COMPUTED_VALUE"""),2018)</f>
        <v>2018</v>
      </c>
      <c r="E3695"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2018г., УниБИТ / Състав. Т. Тодорова, Е. Цветкова. – София : За буквите-О писменехь, 2018, с. 234-237.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2018г., УниБИТ / Състав. Т. Тодорова, Е. Цветкова. – София : За буквите-О писменехь, 2018, с. 234-237. ISBN 978-619-185-347-2</v>
      </c>
      <c r="F3695" s="28" t="str">
        <f ca="1">IFERROR(__xludf.DUMMYFUNCTION("""COMPUTED_VALUE"""),"COBISS.BG")</f>
        <v>COBISS.BG</v>
      </c>
      <c r="G3695" s="10" t="str">
        <f ca="1">IFERROR(__xludf.DUMMYFUNCTION("""COMPUTED_VALUE"""),"Мария Костова")</f>
        <v>Мария Костова</v>
      </c>
      <c r="H3695" s="10"/>
      <c r="I3695" s="10"/>
      <c r="J3695" s="10"/>
      <c r="K3695" s="10"/>
      <c r="L3695" s="10"/>
      <c r="M3695" s="10"/>
      <c r="N3695" s="10"/>
      <c r="O3695" s="10"/>
      <c r="P3695" s="10"/>
      <c r="Q3695" s="10"/>
      <c r="R3695" s="10"/>
      <c r="S3695" s="10"/>
      <c r="T3695" s="10"/>
      <c r="U3695" s="10"/>
      <c r="V3695" s="10"/>
      <c r="W3695" s="10"/>
      <c r="X3695" s="10"/>
      <c r="Y3695" s="10"/>
      <c r="Z3695" s="10"/>
    </row>
    <row r="3696" spans="1:26" ht="12.75">
      <c r="A3696" s="10" t="str">
        <f ca="1">IFERROR(__xludf.DUMMYFUNCTION("""COMPUTED_VALUE"""),"Иванка Василева Янкова")</f>
        <v>Иванка Василева Янкова</v>
      </c>
      <c r="B3696" s="10" t="str">
        <f ca="1">IFERROR(__xludf.DUMMYFUNCTION("""COMPUTED_VALUE"""),"Доклад от конференция")</f>
        <v>Доклад от конференция</v>
      </c>
      <c r="C3696" s="10" t="str">
        <f ca="1">IFERROR(__xludf.DUMMYFUNCTION("""COMPUTED_VALUE"""),"Защо библиотечен мениджмънт?")</f>
        <v>Защо библиотечен мениджмънт?</v>
      </c>
      <c r="D3696" s="10">
        <f ca="1">IFERROR(__xludf.DUMMYFUNCTION("""COMPUTED_VALUE"""),2018)</f>
        <v>2018</v>
      </c>
      <c r="E3696"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2018г., УниБИТ / Състав. Т. Тодорова, Е. Цветкова. – София : За буквите-О писменехь, 2018, с. 40-49.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2018г., УниБИТ / Състав. Т. Тодорова, Е. Цветкова. – София : За буквите-О писменехь, 2018, с. 40-49. ISBN 978-619-185-347-2</v>
      </c>
      <c r="F3696" s="28" t="str">
        <f ca="1">IFERROR(__xludf.DUMMYFUNCTION("""COMPUTED_VALUE"""),"COBISS.BG")</f>
        <v>COBISS.BG</v>
      </c>
      <c r="G3696" s="10"/>
      <c r="H3696" s="10"/>
      <c r="I3696" s="10"/>
      <c r="J3696" s="10"/>
      <c r="K3696" s="10"/>
      <c r="L3696" s="10"/>
      <c r="M3696" s="10"/>
      <c r="N3696" s="10"/>
      <c r="O3696" s="10"/>
      <c r="P3696" s="10"/>
      <c r="Q3696" s="10"/>
      <c r="R3696" s="10"/>
      <c r="S3696" s="10"/>
      <c r="T3696" s="10"/>
      <c r="U3696" s="10"/>
      <c r="V3696" s="10"/>
      <c r="W3696" s="10"/>
      <c r="X3696" s="10"/>
      <c r="Y3696" s="10"/>
      <c r="Z3696" s="10"/>
    </row>
    <row r="3697" spans="1:26" ht="12.75">
      <c r="A3697" s="10" t="str">
        <f ca="1">IFERROR(__xludf.DUMMYFUNCTION("""COMPUTED_VALUE"""),"Иванка Василева Янкова")</f>
        <v>Иванка Василева Янкова</v>
      </c>
      <c r="B3697" s="10" t="str">
        <f ca="1">IFERROR(__xludf.DUMMYFUNCTION("""COMPUTED_VALUE"""),"Доклад от конференция")</f>
        <v>Доклад от конференция</v>
      </c>
      <c r="C3697" s="10" t="str">
        <f ca="1">IFERROR(__xludf.DUMMYFUNCTION("""COMPUTED_VALUE"""),"Продължаващото и професионалното образование – концепции, постижения и проблеми")</f>
        <v>Продължаващото и професионалното образование – концепции, постижения и проблеми</v>
      </c>
      <c r="D3697" s="10">
        <f ca="1">IFERROR(__xludf.DUMMYFUNCTION("""COMPUTED_VALUE"""),2018)</f>
        <v>2018</v>
      </c>
      <c r="E3697"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2018г., УниБИТ / Състав. Т. Тодорова, Е. Цветкова. – София : За буквите-О писменехь, 2018, с. 199-213.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2018г., УниБИТ / Състав. Т. Тодорова, Е. Цветкова. – София : За буквите-О писменехь, 2018, с. 199-213. ISBN 978-619-185-347-2</v>
      </c>
      <c r="F3697" s="28" t="str">
        <f ca="1">IFERROR(__xludf.DUMMYFUNCTION("""COMPUTED_VALUE"""),"COBISS.BG")</f>
        <v>COBISS.BG</v>
      </c>
      <c r="G3697" s="10" t="str">
        <f ca="1">IFERROR(__xludf.DUMMYFUNCTION("""COMPUTED_VALUE"""),"Добринка Стойкова, Деница Димитрова")</f>
        <v>Добринка Стойкова, Деница Димитрова</v>
      </c>
      <c r="H3697" s="10"/>
      <c r="I3697" s="10"/>
      <c r="J3697" s="10"/>
      <c r="K3697" s="10"/>
      <c r="L3697" s="10"/>
      <c r="M3697" s="10"/>
      <c r="N3697" s="10"/>
      <c r="O3697" s="10"/>
      <c r="P3697" s="10"/>
      <c r="Q3697" s="10"/>
      <c r="R3697" s="10"/>
      <c r="S3697" s="10"/>
      <c r="T3697" s="10"/>
      <c r="U3697" s="10"/>
      <c r="V3697" s="10"/>
      <c r="W3697" s="10"/>
      <c r="X3697" s="10"/>
      <c r="Y3697" s="10"/>
      <c r="Z3697" s="10"/>
    </row>
    <row r="3698" spans="1:26" ht="12.75">
      <c r="A3698" s="10" t="str">
        <f ca="1">IFERROR(__xludf.DUMMYFUNCTION("""COMPUTED_VALUE"""),"Иванка Василева Янкова")</f>
        <v>Иванка Василева Янкова</v>
      </c>
      <c r="B3698" s="10" t="str">
        <f ca="1">IFERROR(__xludf.DUMMYFUNCTION("""COMPUTED_VALUE"""),"Статия в списания и поредици")</f>
        <v>Статия в списания и поредици</v>
      </c>
      <c r="C3698" s="10" t="str">
        <f ca="1">IFERROR(__xludf.DUMMYFUNCTION("""COMPUTED_VALUE"""),"Scientific and Practical Achievements for Lifelong Learning Applied in the University of")</f>
        <v>Scientific and Practical Achievements for Lifelong Learning Applied in the University of</v>
      </c>
      <c r="D3698" s="10">
        <f ca="1">IFERROR(__xludf.DUMMYFUNCTION("""COMPUTED_VALUE"""),2018)</f>
        <v>2018</v>
      </c>
      <c r="E3698"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ISBN 978-619-185-326-7</v>
      </c>
      <c r="F3698" s="10" t="str">
        <f ca="1">IFERROR(__xludf.DUMMYFUNCTION("""COMPUTED_VALUE"""),"Google Shcolar")</f>
        <v>Google Shcolar</v>
      </c>
      <c r="G3698" s="10" t="str">
        <f ca="1">IFERROR(__xludf.DUMMYFUNCTION("""COMPUTED_VALUE"""),"Irena Peteva Silvia Stancheva")</f>
        <v>Irena Peteva Silvia Stancheva</v>
      </c>
      <c r="H3698" s="10"/>
      <c r="I3698" s="10"/>
      <c r="J3698" s="10"/>
      <c r="K3698" s="10"/>
      <c r="L3698" s="10"/>
      <c r="M3698" s="10"/>
      <c r="N3698" s="10"/>
      <c r="O3698" s="10"/>
      <c r="P3698" s="10"/>
      <c r="Q3698" s="10"/>
      <c r="R3698" s="10"/>
      <c r="S3698" s="10"/>
      <c r="T3698" s="10"/>
      <c r="U3698" s="10"/>
      <c r="V3698" s="10"/>
      <c r="W3698" s="10"/>
      <c r="X3698" s="10"/>
      <c r="Y3698" s="10"/>
      <c r="Z3698" s="10"/>
    </row>
    <row r="3699" spans="1:26" ht="12.75">
      <c r="A3699" s="10" t="str">
        <f ca="1">IFERROR(__xludf.DUMMYFUNCTION("""COMPUTED_VALUE"""),"Иванка Василева Янкова")</f>
        <v>Иванка Василева Янкова</v>
      </c>
      <c r="B3699" s="10" t="str">
        <f ca="1">IFERROR(__xludf.DUMMYFUNCTION("""COMPUTED_VALUE"""),"Статия в списания и поредици")</f>
        <v>Статия в списания и поредици</v>
      </c>
      <c r="C3699" s="10" t="str">
        <f ca="1">IFERROR(__xludf.DUMMYFUNCTION("""COMPUTED_VALUE"""),"Informatıon Lıteracy for Developıng Skılls to Organıze Advocacy Campaıgns ın Lıbrarıes, Based on Interactıve Communıcatıon Model Used ın Vocatıonal and Contınuıng Traınıng")</f>
        <v>Informatıon Lıteracy for Developıng Skılls to Organıze Advocacy Campaıgns ın Lıbrarıes, Based on Interactıve Communıcatıon Model Used ın Vocatıonal and Contınuıng Traınıng</v>
      </c>
      <c r="D3699" s="10">
        <f ca="1">IFERROR(__xludf.DUMMYFUNCTION("""COMPUTED_VALUE"""),2018)</f>
        <v>2018</v>
      </c>
      <c r="E3699"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107-120,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107-120, ISBN 978-619-185-326-7</v>
      </c>
      <c r="F369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699" s="10" t="str">
        <f ca="1">IFERROR(__xludf.DUMMYFUNCTION("""COMPUTED_VALUE"""),"Ivanka Yankova Rumelina Vasileva Dobrinka Stoykova Silvia Stancheva")</f>
        <v>Ivanka Yankova Rumelina Vasileva Dobrinka Stoykova Silvia Stancheva</v>
      </c>
      <c r="H3699" s="10"/>
      <c r="I3699" s="10"/>
      <c r="J3699" s="10"/>
      <c r="K3699" s="10"/>
      <c r="L3699" s="10"/>
      <c r="M3699" s="10"/>
      <c r="N3699" s="10"/>
      <c r="O3699" s="10"/>
      <c r="P3699" s="10"/>
      <c r="Q3699" s="10"/>
      <c r="R3699" s="10"/>
      <c r="S3699" s="10"/>
      <c r="T3699" s="10"/>
      <c r="U3699" s="10"/>
      <c r="V3699" s="10"/>
      <c r="W3699" s="10"/>
      <c r="X3699" s="10"/>
      <c r="Y3699" s="10"/>
      <c r="Z3699" s="10"/>
    </row>
    <row r="3700" spans="1:26" ht="12.75">
      <c r="A3700" s="10" t="str">
        <f ca="1">IFERROR(__xludf.DUMMYFUNCTION("""COMPUTED_VALUE"""),"Иванка Василева Янкова")</f>
        <v>Иванка Василева Янкова</v>
      </c>
      <c r="B3700" s="10" t="str">
        <f ca="1">IFERROR(__xludf.DUMMYFUNCTION("""COMPUTED_VALUE"""),"Статия в списания и поредици")</f>
        <v>Статия в списания и поредици</v>
      </c>
      <c r="C3700" s="10" t="str">
        <f ca="1">IFERROR(__xludf.DUMMYFUNCTION("""COMPUTED_VALUE"""),"Насоките на ЮНЕСКО за интерактивни образователни процеси, приложени в УниБИТ")</f>
        <v>Насоките на ЮНЕСКО за интерактивни образователни процеси, приложени в УниБИТ</v>
      </c>
      <c r="D3700" s="10">
        <f ca="1">IFERROR(__xludf.DUMMYFUNCTION("""COMPUTED_VALUE"""),2018)</f>
        <v>2018</v>
      </c>
      <c r="E3700"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ISBN 978-619-185-326-7</v>
      </c>
      <c r="F370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0" s="10" t="str">
        <f ca="1">IFERROR(__xludf.DUMMYFUNCTION("""COMPUTED_VALUE"""),"Иванка Павлова, Силвия Станчева")</f>
        <v>Иванка Павлова, Силвия Станчева</v>
      </c>
      <c r="H3700" s="10"/>
      <c r="I3700" s="10"/>
      <c r="J3700" s="10"/>
      <c r="K3700" s="10"/>
      <c r="L3700" s="10"/>
      <c r="M3700" s="10"/>
      <c r="N3700" s="10"/>
      <c r="O3700" s="10"/>
      <c r="P3700" s="10"/>
      <c r="Q3700" s="10"/>
      <c r="R3700" s="10"/>
      <c r="S3700" s="10"/>
      <c r="T3700" s="10"/>
      <c r="U3700" s="10"/>
      <c r="V3700" s="10"/>
      <c r="W3700" s="10"/>
      <c r="X3700" s="10"/>
      <c r="Y3700" s="10"/>
      <c r="Z3700" s="10"/>
    </row>
    <row r="3701" spans="1:26" ht="12.75">
      <c r="A3701" s="10" t="str">
        <f ca="1">IFERROR(__xludf.DUMMYFUNCTION("""COMPUTED_VALUE"""),"Иванка Василева Янкова")</f>
        <v>Иванка Василева Янкова</v>
      </c>
      <c r="B3701" s="10" t="str">
        <f ca="1">IFERROR(__xludf.DUMMYFUNCTION("""COMPUTED_VALUE"""),"Статия в списания и поредици")</f>
        <v>Статия в списания и поредици</v>
      </c>
      <c r="C3701" s="10" t="str">
        <f ca="1">IFERROR(__xludf.DUMMYFUNCTION("""COMPUTED_VALUE"""),"Изводи и препоръки за необходимия редизайн и качествена промяна за успешно публикуване на издаваните в България научни списания")</f>
        <v>Изводи и препоръки за необходимия редизайн и качествена промяна за успешно публикуване на издаваните в България научни списания</v>
      </c>
      <c r="D3701" s="10">
        <f ca="1">IFERROR(__xludf.DUMMYFUNCTION("""COMPUTED_VALUE"""),2018)</f>
        <v>2018</v>
      </c>
      <c r="E3701" s="10" t="str">
        <f ca="1">IFERROR(__xludf.DUMMYFUNCTION("""COMPUTED_VALUE"""),"Редизайн за качествена промяна на научните списания в България: Сборник с изследвания. София : За буквите – О писменехь, 2018, с. 100-105, ISBN 978-619-185-316-8")</f>
        <v>Редизайн за качествена промяна на научните списания в България: Сборник с изследвания. София : За буквите – О писменехь, 2018, с. 100-105, ISBN 978-619-185-316-8</v>
      </c>
      <c r="F370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1" s="10" t="str">
        <f ca="1">IFERROR(__xludf.DUMMYFUNCTION("""COMPUTED_VALUE"""),"Добринка Стойкова, Силвия Станчева")</f>
        <v>Добринка Стойкова, Силвия Станчева</v>
      </c>
      <c r="H3701" s="10"/>
      <c r="I3701" s="10"/>
      <c r="J3701" s="10"/>
      <c r="K3701" s="10"/>
      <c r="L3701" s="10"/>
      <c r="M3701" s="10"/>
      <c r="N3701" s="10"/>
      <c r="O3701" s="10"/>
      <c r="P3701" s="10"/>
      <c r="Q3701" s="10"/>
      <c r="R3701" s="10"/>
      <c r="S3701" s="10"/>
      <c r="T3701" s="10"/>
      <c r="U3701" s="10"/>
      <c r="V3701" s="10"/>
      <c r="W3701" s="10"/>
      <c r="X3701" s="10"/>
      <c r="Y3701" s="10"/>
      <c r="Z3701" s="10"/>
    </row>
    <row r="3702" spans="1:26" ht="12.75">
      <c r="A3702" s="10" t="str">
        <f ca="1">IFERROR(__xludf.DUMMYFUNCTION("""COMPUTED_VALUE"""),"Иванка Василева Янкова")</f>
        <v>Иванка Василева Янкова</v>
      </c>
      <c r="B3702" s="10" t="str">
        <f ca="1">IFERROR(__xludf.DUMMYFUNCTION("""COMPUTED_VALUE"""),"Статия в списания и поредици")</f>
        <v>Статия в списания и поредици</v>
      </c>
      <c r="C3702" s="10" t="str">
        <f ca="1">IFERROR(__xludf.DUMMYFUNCTION("""COMPUTED_VALUE"""),"Изводи и препоръки за необходимия редизайн и качествена промяна за успешно публикуване на български автори в списания с импакт фактор")</f>
        <v>Изводи и препоръки за необходимия редизайн и качествена промяна за успешно публикуване на български автори в списания с импакт фактор</v>
      </c>
      <c r="D3702" s="10">
        <f ca="1">IFERROR(__xludf.DUMMYFUNCTION("""COMPUTED_VALUE"""),2018)</f>
        <v>2018</v>
      </c>
      <c r="E3702" s="10" t="str">
        <f ca="1">IFERROR(__xludf.DUMMYFUNCTION("""COMPUTED_VALUE"""),"Редизайн за качествена промяна на научните списания в България: Сборник с изследвания. София : За буквите – О писменехь, 2018, с. с. 100-105, 2018 ISBN 978-619-185-316-8")</f>
        <v>Редизайн за качествена промяна на научните списания в България: Сборник с изследвания. София : За буквите – О писменехь, 2018, с. с. 100-105, 2018 ISBN 978-619-185-316-8</v>
      </c>
      <c r="F370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2" s="10" t="str">
        <f ca="1">IFERROR(__xludf.DUMMYFUNCTION("""COMPUTED_VALUE"""),"Добринка Стойкова, Силвия Станчева")</f>
        <v>Добринка Стойкова, Силвия Станчева</v>
      </c>
      <c r="H3702" s="10"/>
      <c r="I3702" s="10"/>
      <c r="J3702" s="10"/>
      <c r="K3702" s="10"/>
      <c r="L3702" s="10"/>
      <c r="M3702" s="10"/>
      <c r="N3702" s="10"/>
      <c r="O3702" s="10"/>
      <c r="P3702" s="10"/>
      <c r="Q3702" s="10"/>
      <c r="R3702" s="10"/>
      <c r="S3702" s="10"/>
      <c r="T3702" s="10"/>
      <c r="U3702" s="10"/>
      <c r="V3702" s="10"/>
      <c r="W3702" s="10"/>
      <c r="X3702" s="10"/>
      <c r="Y3702" s="10"/>
      <c r="Z3702" s="10"/>
    </row>
    <row r="3703" spans="1:26" ht="12.75">
      <c r="A3703" s="10" t="str">
        <f ca="1">IFERROR(__xludf.DUMMYFUNCTION("""COMPUTED_VALUE"""),"Иванка Василева Янкова")</f>
        <v>Иванка Василева Янкова</v>
      </c>
      <c r="B3703" s="10" t="str">
        <f ca="1">IFERROR(__xludf.DUMMYFUNCTION("""COMPUTED_VALUE"""),"Книга")</f>
        <v>Книга</v>
      </c>
      <c r="C3703" s="10" t="str">
        <f ca="1">IFERROR(__xludf.DUMMYFUNCTION("""COMPUTED_VALUE"""),"Устойчиви тенденции и бизнес модели в публикационната активност на научните изследвания")</f>
        <v>Устойчиви тенденции и бизнес модели в публикационната активност на научните изследвания</v>
      </c>
      <c r="D3703" s="10">
        <f ca="1">IFERROR(__xludf.DUMMYFUNCTION("""COMPUTED_VALUE"""),2018)</f>
        <v>2018</v>
      </c>
      <c r="E3703" s="10" t="str">
        <f ca="1">IFERROR(__xludf.DUMMYFUNCTION("""COMPUTED_VALUE"""),"С., „За буквите – О писменехъ“, 2018. 194 с. ISBN 978-619-185-315-1")</f>
        <v>С., „За буквите – О писменехъ“, 2018. 194 с. ISBN 978-619-185-315-1</v>
      </c>
      <c r="F370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3" s="10" t="str">
        <f ca="1">IFERROR(__xludf.DUMMYFUNCTION("""COMPUTED_VALUE"""),"Силвия Станчева Добринка Стойкова Румелина Василева Стоян Денчев Ирена Петева Цветелина Димитрова Камелия Нушева")</f>
        <v>Силвия Станчева Добринка Стойкова Румелина Василева Стоян Денчев Ирена Петева Цветелина Димитрова Камелия Нушева</v>
      </c>
      <c r="H3703" s="10"/>
      <c r="I3703" s="10"/>
      <c r="J3703" s="10"/>
      <c r="K3703" s="10"/>
      <c r="L3703" s="10"/>
      <c r="M3703" s="10"/>
      <c r="N3703" s="10"/>
      <c r="O3703" s="10"/>
      <c r="P3703" s="10"/>
      <c r="Q3703" s="10"/>
      <c r="R3703" s="10"/>
      <c r="S3703" s="10"/>
      <c r="T3703" s="10"/>
      <c r="U3703" s="10"/>
      <c r="V3703" s="10"/>
      <c r="W3703" s="10"/>
      <c r="X3703" s="10"/>
      <c r="Y3703" s="10"/>
      <c r="Z3703" s="10"/>
    </row>
    <row r="3704" spans="1:26" ht="12.75">
      <c r="A3704" s="10" t="str">
        <f ca="1">IFERROR(__xludf.DUMMYFUNCTION("""COMPUTED_VALUE"""),"Иванка Василева Янкова")</f>
        <v>Иванка Василева Янкова</v>
      </c>
      <c r="B3704" s="10" t="str">
        <f ca="1">IFERROR(__xludf.DUMMYFUNCTION("""COMPUTED_VALUE"""),"Статия в списания и поредици")</f>
        <v>Статия в списания и поредици</v>
      </c>
      <c r="C3704" s="10" t="str">
        <f ca="1">IFERROR(__xludf.DUMMYFUNCTION("""COMPUTED_VALUE"""),"Information Literacy for Developing Skills to Organize Advocacy Campaigns in Libraries, Based on Interactive Communication Model Used in Vocational and Continuing Training")</f>
        <v>Information Literacy for Developing Skills to Organize Advocacy Campaigns in Libraries, Based on Interactive Communication Model Used in Vocational and Continuing Training</v>
      </c>
      <c r="D3704" s="10">
        <f ca="1">IFERROR(__xludf.DUMMYFUNCTION("""COMPUTED_VALUE"""),2018)</f>
        <v>2018</v>
      </c>
      <c r="E3704" s="10" t="str">
        <f ca="1">IFERROR(__xludf.DUMMYFUNCTION("""COMPUTED_VALUE"""),"Nessa Journal of Education, Culture &amp; Society, Volume 1, Issue 1, 6th July 2018. Open Access, Research Article. URL: https://nessapublishers.com/articles/2215Dobrinka%20Stoykova%20Article-%20Information%20Literacy%20or%20Developing%20Skills.pdf&gt;")</f>
        <v>Nessa Journal of Education, Culture &amp; Society, Volume 1, Issue 1, 6th July 2018. Open Access, Research Article. URL: https://nessapublishers.com/articles/2215Dobrinka%20Stoykova%20Article-%20Information%20Literacy%20or%20Developing%20Skills.pdf&gt;</v>
      </c>
      <c r="F3704" s="10" t="str">
        <f ca="1">IFERROR(__xludf.DUMMYFUNCTION("""COMPUTED_VALUE"""),"Nessa Publishers, NESSA Open Access system – global platform for open journals] multidisciplinary exploratory journal.")</f>
        <v>Nessa Publishers, NESSA Open Access system – global platform for open journals] multidisciplinary exploratory journal.</v>
      </c>
      <c r="G3704" s="10" t="str">
        <f ca="1">IFERROR(__xludf.DUMMYFUNCTION("""COMPUTED_VALUE"""),"Dobrinka Stoykova, Rumelina Vasileva Silvia Stancheva")</f>
        <v>Dobrinka Stoykova, Rumelina Vasileva Silvia Stancheva</v>
      </c>
      <c r="H3704" s="10"/>
      <c r="I3704" s="10"/>
      <c r="J3704" s="10"/>
      <c r="K3704" s="10"/>
      <c r="L3704" s="10"/>
      <c r="M3704" s="10"/>
      <c r="N3704" s="10"/>
      <c r="O3704" s="10"/>
      <c r="P3704" s="10"/>
      <c r="Q3704" s="10"/>
      <c r="R3704" s="10"/>
      <c r="S3704" s="10"/>
      <c r="T3704" s="10"/>
      <c r="U3704" s="10"/>
      <c r="V3704" s="10"/>
      <c r="W3704" s="10"/>
      <c r="X3704" s="10"/>
      <c r="Y3704" s="10"/>
      <c r="Z3704" s="10"/>
    </row>
    <row r="3705" spans="1:26" ht="12.75">
      <c r="A3705" s="10" t="str">
        <f ca="1">IFERROR(__xludf.DUMMYFUNCTION("""COMPUTED_VALUE"""),"Иванка Василева Янкова")</f>
        <v>Иванка Василева Янкова</v>
      </c>
      <c r="B3705" s="10" t="str">
        <f ca="1">IFERROR(__xludf.DUMMYFUNCTION("""COMPUTED_VALUE"""),"Статия в списания и поредици")</f>
        <v>Статия в списания и поредици</v>
      </c>
      <c r="C3705" s="10" t="str">
        <f ca="1">IFERROR(__xludf.DUMMYFUNCTION("""COMPUTED_VALUE"""),"Проблемът „маркетинг на обществените медии“ и новите компетенции")</f>
        <v>Проблемът „маркетинг на обществените медии“ и новите компетенции</v>
      </c>
      <c r="D3705" s="10">
        <f ca="1">IFERROR(__xludf.DUMMYFUNCTION("""COMPUTED_VALUE"""),2018)</f>
        <v>2018</v>
      </c>
      <c r="E3705"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130-147, ISBN 978-619-185-326-7")</f>
        <v>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130-147, ISBN 978-619-185-326-7</v>
      </c>
      <c r="F370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5" s="10" t="str">
        <f ca="1">IFERROR(__xludf.DUMMYFUNCTION("""COMPUTED_VALUE"""),"Румелина Василева Косара Илиева")</f>
        <v>Румелина Василева Косара Илиева</v>
      </c>
      <c r="H3705" s="10"/>
      <c r="I3705" s="10"/>
      <c r="J3705" s="10"/>
      <c r="K3705" s="10"/>
      <c r="L3705" s="10"/>
      <c r="M3705" s="10"/>
      <c r="N3705" s="10"/>
      <c r="O3705" s="10"/>
      <c r="P3705" s="10"/>
      <c r="Q3705" s="10"/>
      <c r="R3705" s="10"/>
      <c r="S3705" s="10"/>
      <c r="T3705" s="10"/>
      <c r="U3705" s="10"/>
      <c r="V3705" s="10"/>
      <c r="W3705" s="10"/>
      <c r="X3705" s="10"/>
      <c r="Y3705" s="10"/>
      <c r="Z3705" s="10"/>
    </row>
    <row r="3706" spans="1:26" ht="12.75">
      <c r="A3706" s="10" t="str">
        <f ca="1">IFERROR(__xludf.DUMMYFUNCTION("""COMPUTED_VALUE"""),"Иванка Василева Янкова")</f>
        <v>Иванка Василева Янкова</v>
      </c>
      <c r="B3706" s="10" t="str">
        <f ca="1">IFERROR(__xludf.DUMMYFUNCTION("""COMPUTED_VALUE"""),"Статия в списания и поредици")</f>
        <v>Статия в списания и поредици</v>
      </c>
      <c r="C3706" s="10" t="str">
        <f ca="1">IFERROR(__xludf.DUMMYFUNCTION("""COMPUTED_VALUE"""),"Комуникационна образователна среда за професионалисти през ХХI век – споделена отговорност за качество")</f>
        <v>Комуникационна образователна среда за професионалисти през ХХI век – споделена отговорност за качество</v>
      </c>
      <c r="D3706" s="10">
        <f ca="1">IFERROR(__xludf.DUMMYFUNCTION("""COMPUTED_VALUE"""),2018)</f>
        <v>2018</v>
      </c>
      <c r="E3706"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63-76, ISBN 978-619-185-326-7")</f>
        <v>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63-76, ISBN 978-619-185-326-7</v>
      </c>
      <c r="F370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6" s="10" t="str">
        <f ca="1">IFERROR(__xludf.DUMMYFUNCTION("""COMPUTED_VALUE"""),"Иванка Павлова Румелина Василева")</f>
        <v>Иванка Павлова Румелина Василева</v>
      </c>
      <c r="H3706" s="10"/>
      <c r="I3706" s="10"/>
      <c r="J3706" s="10"/>
      <c r="K3706" s="10"/>
      <c r="L3706" s="10"/>
      <c r="M3706" s="10"/>
      <c r="N3706" s="10"/>
      <c r="O3706" s="10"/>
      <c r="P3706" s="10"/>
      <c r="Q3706" s="10"/>
      <c r="R3706" s="10"/>
      <c r="S3706" s="10"/>
      <c r="T3706" s="10"/>
      <c r="U3706" s="10"/>
      <c r="V3706" s="10"/>
      <c r="W3706" s="10"/>
      <c r="X3706" s="10"/>
      <c r="Y3706" s="10"/>
      <c r="Z3706" s="10"/>
    </row>
    <row r="3707" spans="1:26" ht="12.75">
      <c r="A3707" s="10" t="str">
        <f ca="1">IFERROR(__xludf.DUMMYFUNCTION("""COMPUTED_VALUE"""),"Иванка Василева Янкова")</f>
        <v>Иванка Василева Янкова</v>
      </c>
      <c r="B3707" s="10" t="str">
        <f ca="1">IFERROR(__xludf.DUMMYFUNCTION("""COMPUTED_VALUE"""),"Доклад от конференция")</f>
        <v>Доклад от конференция</v>
      </c>
      <c r="C3707" s="10" t="str">
        <f ca="1">IFERROR(__xludf.DUMMYFUNCTION("""COMPUTED_VALUE"""),"Impact of Communication on Learnability in Lifelong Learning Business Models")</f>
        <v>Impact of Communication on Learnability in Lifelong Learning Business Models</v>
      </c>
      <c r="D3707" s="10">
        <f ca="1">IFERROR(__xludf.DUMMYFUNCTION("""COMPUTED_VALUE"""),2017)</f>
        <v>2017</v>
      </c>
      <c r="E3707" s="10" t="str">
        <f ca="1">IFERROR(__xludf.DUMMYFUNCTION("""COMPUTED_VALUE"""),"Proceedings of ICERI2017 Conference : 10th Annual International Conference of Education, Research and Innovation, 16-18 November, 2017, Seville, Spain, pp. 8119-8122. ISBN 978-84-697-6957-7. URL: &lt;file:///G:/files/papers/2169.pdf&gt;")</f>
        <v>Proceedings of ICERI2017 Conference : 10th Annual International Conference of Education, Research and Innovation, 16-18 November, 2017, Seville, Spain, pp. 8119-8122. ISBN 978-84-697-6957-7. URL: &lt;file:///G:/files/papers/2169.pdf&gt;</v>
      </c>
      <c r="F3707" s="10" t="str">
        <f ca="1">IFERROR(__xludf.DUMMYFUNCTION("""COMPUTED_VALUE"""),"ISI Conference Proceedings Citation Index (ISI CPCI), Crossref, Clarivate Analytics, Web of Science")</f>
        <v>ISI Conference Proceedings Citation Index (ISI CPCI), Crossref, Clarivate Analytics, Web of Science</v>
      </c>
      <c r="G3707" s="10" t="str">
        <f ca="1">IFERROR(__xludf.DUMMYFUNCTION("""COMPUTED_VALUE"""),"Silvia Stancheva Rumelina Vasileva, Tzvetelina Dimitrova")</f>
        <v>Silvia Stancheva Rumelina Vasileva, Tzvetelina Dimitrova</v>
      </c>
      <c r="H3707" s="10"/>
      <c r="I3707" s="10"/>
      <c r="J3707" s="10"/>
      <c r="K3707" s="10"/>
      <c r="L3707" s="10"/>
      <c r="M3707" s="10"/>
      <c r="N3707" s="10"/>
      <c r="O3707" s="10"/>
      <c r="P3707" s="10"/>
      <c r="Q3707" s="10"/>
      <c r="R3707" s="10"/>
      <c r="S3707" s="10"/>
      <c r="T3707" s="10"/>
      <c r="U3707" s="10"/>
      <c r="V3707" s="10"/>
      <c r="W3707" s="10"/>
      <c r="X3707" s="10"/>
      <c r="Y3707" s="10"/>
      <c r="Z3707" s="10"/>
    </row>
    <row r="3708" spans="1:26" ht="12.75">
      <c r="A3708" s="10" t="str">
        <f ca="1">IFERROR(__xludf.DUMMYFUNCTION("""COMPUTED_VALUE"""),"Иванка Василева Янкова")</f>
        <v>Иванка Василева Янкова</v>
      </c>
      <c r="B3708" s="10" t="str">
        <f ca="1">IFERROR(__xludf.DUMMYFUNCTION("""COMPUTED_VALUE"""),"Доклад от конференция")</f>
        <v>Доклад от конференция</v>
      </c>
      <c r="C3708" s="10" t="str">
        <f ca="1">IFERROR(__xludf.DUMMYFUNCTION("""COMPUTED_VALUE"""),"Механизмы популяризации нематериального культурного наследия: научный и образовательный опыт")</f>
        <v>Механизмы популяризации нематериального культурного наследия: научный и образовательный опыт</v>
      </c>
      <c r="D3708" s="10">
        <f ca="1">IFERROR(__xludf.DUMMYFUNCTION("""COMPUTED_VALUE"""),2017)</f>
        <v>2017</v>
      </c>
      <c r="E3708" s="10" t="str">
        <f ca="1">IFERROR(__xludf.DUMMYFUNCTION("""COMPUTED_VALUE"""),"Орловският държавен институт за култура като фундаментален център за съхранение и развитие на националната култура")</f>
        <v>Орловският държавен институт за култура като фундаментален център за съхранение и развитие на националната култура</v>
      </c>
      <c r="F370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8" s="10" t="str">
        <f ca="1">IFERROR(__xludf.DUMMYFUNCTION("""COMPUTED_VALUE"""),"Ирена Петева Мюмюн Тахиров")</f>
        <v>Ирена Петева Мюмюн Тахиров</v>
      </c>
      <c r="H3708" s="10"/>
      <c r="I3708" s="10"/>
      <c r="J3708" s="10"/>
      <c r="K3708" s="10"/>
      <c r="L3708" s="10"/>
      <c r="M3708" s="10"/>
      <c r="N3708" s="10"/>
      <c r="O3708" s="10"/>
      <c r="P3708" s="10"/>
      <c r="Q3708" s="10"/>
      <c r="R3708" s="10"/>
      <c r="S3708" s="10"/>
      <c r="T3708" s="10"/>
      <c r="U3708" s="10"/>
      <c r="V3708" s="10"/>
      <c r="W3708" s="10"/>
      <c r="X3708" s="10"/>
      <c r="Y3708" s="10"/>
      <c r="Z3708" s="10"/>
    </row>
    <row r="3709" spans="1:26" ht="12.75">
      <c r="A3709" s="10" t="str">
        <f ca="1">IFERROR(__xludf.DUMMYFUNCTION("""COMPUTED_VALUE"""),"Иванка Василева Янкова")</f>
        <v>Иванка Василева Янкова</v>
      </c>
      <c r="B3709" s="10" t="str">
        <f ca="1">IFERROR(__xludf.DUMMYFUNCTION("""COMPUTED_VALUE"""),"Доклад от конференция")</f>
        <v>Доклад от конференция</v>
      </c>
      <c r="C3709" s="10" t="str">
        <f ca="1">IFERROR(__xludf.DUMMYFUNCTION("""COMPUTED_VALUE"""),"Професионалната квалификация в университетска информационна среда.")</f>
        <v>Професионалната квалификация в университетска информационна среда.</v>
      </c>
      <c r="D3709" s="10">
        <f ca="1">IFERROR(__xludf.DUMMYFUNCTION("""COMPUTED_VALUE"""),2017)</f>
        <v>2017</v>
      </c>
      <c r="E3709" s="10" t="str">
        <f ca="1">IFERROR(__xludf.DUMMYFUNCTION("""COMPUTED_VALUE"""),"Асоциация „Развитие на информационното общество“2017 ISSN: 1314-0752")</f>
        <v>Асоциация „Развитие на информационното общество“2017 ISSN: 1314-0752</v>
      </c>
      <c r="F370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09" s="10" t="str">
        <f ca="1">IFERROR(__xludf.DUMMYFUNCTION("""COMPUTED_VALUE"""),"Камелия Нушева Деница Димитрова")</f>
        <v>Камелия Нушева Деница Димитрова</v>
      </c>
      <c r="H3709" s="10"/>
      <c r="I3709" s="10"/>
      <c r="J3709" s="10"/>
      <c r="K3709" s="10"/>
      <c r="L3709" s="10"/>
      <c r="M3709" s="10"/>
      <c r="N3709" s="10"/>
      <c r="O3709" s="10"/>
      <c r="P3709" s="10"/>
      <c r="Q3709" s="10"/>
      <c r="R3709" s="10"/>
      <c r="S3709" s="10"/>
      <c r="T3709" s="10"/>
      <c r="U3709" s="10"/>
      <c r="V3709" s="10"/>
      <c r="W3709" s="10"/>
      <c r="X3709" s="10"/>
      <c r="Y3709" s="10"/>
      <c r="Z3709" s="10"/>
    </row>
    <row r="3710" spans="1:26" ht="12.75">
      <c r="A3710" s="10" t="str">
        <f ca="1">IFERROR(__xludf.DUMMYFUNCTION("""COMPUTED_VALUE"""),"Иванка Василева Янкова")</f>
        <v>Иванка Василева Янкова</v>
      </c>
      <c r="B3710" s="10" t="str">
        <f ca="1">IFERROR(__xludf.DUMMYFUNCTION("""COMPUTED_VALUE"""),"Доклад от конференция")</f>
        <v>Доклад от конференция</v>
      </c>
      <c r="C3710" s="10" t="str">
        <f ca="1">IFERROR(__xludf.DUMMYFUNCTION("""COMPUTED_VALUE"""),"Опитът на УниБИТ в професионалната подготовка и квалификация на библиотечни специалисти")</f>
        <v>Опитът на УниБИТ в професионалната подготовка и квалификация на библиотечни специалисти</v>
      </c>
      <c r="D3710" s="10">
        <f ca="1">IFERROR(__xludf.DUMMYFUNCTION("""COMPUTED_VALUE"""),2017)</f>
        <v>2017</v>
      </c>
      <c r="E3710" s="10" t="str">
        <f ca="1">IFERROR(__xludf.DUMMYFUNCTION("""COMPUTED_VALUE"""),"Национална годишна конференция на Българската библиотечно-информационна асоциация, 2017 ISBN 978-954-9837-31-5")</f>
        <v>Национална годишна конференция на Българската библиотечно-информационна асоциация, 2017 ISBN 978-954-9837-31-5</v>
      </c>
      <c r="F371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10" s="10" t="str">
        <f ca="1">IFERROR(__xludf.DUMMYFUNCTION("""COMPUTED_VALUE"""),"Деница Димитрова")</f>
        <v>Деница Димитрова</v>
      </c>
      <c r="H3710" s="10"/>
      <c r="I3710" s="10"/>
      <c r="J3710" s="10"/>
      <c r="K3710" s="10"/>
      <c r="L3710" s="10"/>
      <c r="M3710" s="10"/>
      <c r="N3710" s="10"/>
      <c r="O3710" s="10"/>
      <c r="P3710" s="10"/>
      <c r="Q3710" s="10"/>
      <c r="R3710" s="10"/>
      <c r="S3710" s="10"/>
      <c r="T3710" s="10"/>
      <c r="U3710" s="10"/>
      <c r="V3710" s="10"/>
      <c r="W3710" s="10"/>
      <c r="X3710" s="10"/>
      <c r="Y3710" s="10"/>
      <c r="Z3710" s="10"/>
    </row>
    <row r="3711" spans="1:26" ht="12.75">
      <c r="A3711" s="10" t="str">
        <f ca="1">IFERROR(__xludf.DUMMYFUNCTION("""COMPUTED_VALUE"""),"Иванка Василева Янкова")</f>
        <v>Иванка Василева Янкова</v>
      </c>
      <c r="B3711" s="10" t="str">
        <f ca="1">IFERROR(__xludf.DUMMYFUNCTION("""COMPUTED_VALUE"""),"Статия в списания и поредици")</f>
        <v>Статия в списания и поредици</v>
      </c>
      <c r="C3711" s="10" t="str">
        <f ca="1">IFERROR(__xludf.DUMMYFUNCTION("""COMPUTED_VALUE"""),"Research of the Bulgarian Scientists’ Issues with the Publishing in Scientific Periodicals with Impact Factor")</f>
        <v>Research of the Bulgarian Scientists’ Issues with the Publishing in Scientific Periodicals with Impact Factor</v>
      </c>
      <c r="D3711" s="10">
        <f ca="1">IFERROR(__xludf.DUMMYFUNCTION("""COMPUTED_VALUE"""),2017)</f>
        <v>2017</v>
      </c>
      <c r="E3711" s="10" t="str">
        <f ca="1">IFERROR(__xludf.DUMMYFUNCTION("""COMPUTED_VALUE"""),"Proceedings of ICERI2017 Conference : 10th Annual International Conference of Education, Research and Innovation, 16-18 November, 2017, Seville, Spain, pp. 7303-7309 ISBN 978-84-697-6957-7. URL: &lt;file:///G:/files/papers/1962.pdf&gt;")</f>
        <v>Proceedings of ICERI2017 Conference : 10th Annual International Conference of Education, Research and Innovation, 16-18 November, 2017, Seville, Spain, pp. 7303-7309 ISBN 978-84-697-6957-7. URL: &lt;file:///G:/files/papers/1962.pdf&gt;</v>
      </c>
      <c r="F3711" s="10" t="str">
        <f ca="1">IFERROR(__xludf.DUMMYFUNCTION("""COMPUTED_VALUE"""),"ISI Conference Proceedings Citation Index (ISI CPCI), Crossref, Clarivate Analytics, Web of Science")</f>
        <v>ISI Conference Proceedings Citation Index (ISI CPCI), Crossref, Clarivate Analytics, Web of Science</v>
      </c>
      <c r="G3711" s="10" t="str">
        <f ca="1">IFERROR(__xludf.DUMMYFUNCTION("""COMPUTED_VALUE"""),"Irena Peteva, Silvia Stancheva Rumelina Vasileva Tzvetelina Dimitrova")</f>
        <v>Irena Peteva, Silvia Stancheva Rumelina Vasileva Tzvetelina Dimitrova</v>
      </c>
      <c r="H3711" s="10"/>
      <c r="I3711" s="10"/>
      <c r="J3711" s="10"/>
      <c r="K3711" s="10"/>
      <c r="L3711" s="10"/>
      <c r="M3711" s="10"/>
      <c r="N3711" s="10"/>
      <c r="O3711" s="10"/>
      <c r="P3711" s="10"/>
      <c r="Q3711" s="10"/>
      <c r="R3711" s="10"/>
      <c r="S3711" s="10"/>
      <c r="T3711" s="10"/>
      <c r="U3711" s="10"/>
      <c r="V3711" s="10"/>
      <c r="W3711" s="10"/>
      <c r="X3711" s="10"/>
      <c r="Y3711" s="10"/>
      <c r="Z3711" s="10"/>
    </row>
    <row r="3712" spans="1:26" ht="12.75">
      <c r="A3712" s="10" t="str">
        <f ca="1">IFERROR(__xludf.DUMMYFUNCTION("""COMPUTED_VALUE"""),"Иванка Василева Янкова")</f>
        <v>Иванка Василева Янкова</v>
      </c>
      <c r="B3712" s="10" t="str">
        <f ca="1">IFERROR(__xludf.DUMMYFUNCTION("""COMPUTED_VALUE"""),"Статия в списания и поредици")</f>
        <v>Статия в списания и поредици</v>
      </c>
      <c r="C3712" s="10" t="str">
        <f ca="1">IFERROR(__xludf.DUMMYFUNCTION("""COMPUTED_VALUE"""),"Employability of students in ""Library and Information Management""")</f>
        <v>Employability of students in "Library and Information Management"</v>
      </c>
      <c r="D3712" s="10">
        <f ca="1">IFERROR(__xludf.DUMMYFUNCTION("""COMPUTED_VALUE"""),2017)</f>
        <v>2017</v>
      </c>
      <c r="E3712" s="10" t="str">
        <f ca="1">IFERROR(__xludf.DUMMYFUNCTION("""COMPUTED_VALUE"""),"Yankova, Ivanka, Silvia Stancheva, Rumelina Vasileva, Tzvetelina Dimitrova. Employability of students in ""Library and Information Management"". Qualitative and Quantitative Methods in Libraries, [S.l.], v. 5, n. 3, p. 737-742, july 2017. ISSN 2241-1925. "&amp;"Available at: &lt;http://qqml-journal.net/index.php/qqml/article/view/355&gt;")</f>
        <v>Yankova, Ivanka, Silvia Stancheva, Rumelina Vasileva, Tzvetelina Dimitrova. Employability of students in "Library and Information Management". Qualitative and Quantitative Methods in Libraries, [S.l.], v. 5, n. 3, p. 737-742, july 2017. ISSN 2241-1925. Available at: &lt;http://qqml-journal.net/index.php/qqml/article/view/355&gt;</v>
      </c>
      <c r="F3712" s="10" t="str">
        <f ca="1">IFERROR(__xludf.DUMMYFUNCTION("""COMPUTED_VALUE"""),"DOAJ – Directory of Open Access Journals, EBSCO Host")</f>
        <v>DOAJ – Directory of Open Access Journals, EBSCO Host</v>
      </c>
      <c r="G3712" s="10" t="str">
        <f ca="1">IFERROR(__xludf.DUMMYFUNCTION("""COMPUTED_VALUE"""),"Silvia Stancheva Rumelina Vasileva Tzvetelina Dimitrova.")</f>
        <v>Silvia Stancheva Rumelina Vasileva Tzvetelina Dimitrova.</v>
      </c>
      <c r="H3712" s="10"/>
      <c r="I3712" s="10"/>
      <c r="J3712" s="10"/>
      <c r="K3712" s="10"/>
      <c r="L3712" s="10"/>
      <c r="M3712" s="10"/>
      <c r="N3712" s="10"/>
      <c r="O3712" s="10"/>
      <c r="P3712" s="10"/>
      <c r="Q3712" s="10"/>
      <c r="R3712" s="10"/>
      <c r="S3712" s="10"/>
      <c r="T3712" s="10"/>
      <c r="U3712" s="10"/>
      <c r="V3712" s="10"/>
      <c r="W3712" s="10"/>
      <c r="X3712" s="10"/>
      <c r="Y3712" s="10"/>
      <c r="Z3712" s="10"/>
    </row>
    <row r="3713" spans="1:26" ht="12.75">
      <c r="A3713" s="10" t="str">
        <f ca="1">IFERROR(__xludf.DUMMYFUNCTION("""COMPUTED_VALUE"""),"Иванка Василева Янкова")</f>
        <v>Иванка Василева Янкова</v>
      </c>
      <c r="B3713" s="10" t="str">
        <f ca="1">IFERROR(__xludf.DUMMYFUNCTION("""COMPUTED_VALUE"""),"Доклад от конференция")</f>
        <v>Доклад от конференция</v>
      </c>
      <c r="C3713" s="10" t="str">
        <f ca="1">IFERROR(__xludf.DUMMYFUNCTION("""COMPUTED_VALUE"""),"Комуникационен модел на интерактивна образователна среда")</f>
        <v>Комуникационен модел на интерактивна образователна среда</v>
      </c>
      <c r="D3713" s="10">
        <f ca="1">IFERROR(__xludf.DUMMYFUNCTION("""COMPUTED_VALUE"""),2017)</f>
        <v>2017</v>
      </c>
      <c r="E3713" s="10" t="str">
        <f ca="1">IFERROR(__xludf.DUMMYFUNCTION("""COMPUTED_VALUE"""),"Сборник с доклади и научни съобщения от Международен научен семинар на УниБИТ, 2017 ISBN 978 - 619-185-326-7")</f>
        <v>Сборник с доклади и научни съобщения от Международен научен семинар на УниБИТ, 2017 ISBN 978 - 619-185-326-7</v>
      </c>
      <c r="F371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13" s="10" t="str">
        <f ca="1">IFERROR(__xludf.DUMMYFUNCTION("""COMPUTED_VALUE"""),"Иванка Павлова Силвия Станчева")</f>
        <v>Иванка Павлова Силвия Станчева</v>
      </c>
      <c r="H3713" s="10"/>
      <c r="I3713" s="10"/>
      <c r="J3713" s="10"/>
      <c r="K3713" s="10"/>
      <c r="L3713" s="10"/>
      <c r="M3713" s="10"/>
      <c r="N3713" s="10"/>
      <c r="O3713" s="10"/>
      <c r="P3713" s="10"/>
      <c r="Q3713" s="10"/>
      <c r="R3713" s="10"/>
      <c r="S3713" s="10"/>
      <c r="T3713" s="10"/>
      <c r="U3713" s="10"/>
      <c r="V3713" s="10"/>
      <c r="W3713" s="10"/>
      <c r="X3713" s="10"/>
      <c r="Y3713" s="10"/>
      <c r="Z3713" s="10"/>
    </row>
    <row r="3714" spans="1:26" ht="12.75">
      <c r="A3714" s="10" t="str">
        <f ca="1">IFERROR(__xludf.DUMMYFUNCTION("""COMPUTED_VALUE"""),"Иванка Василева Янкова")</f>
        <v>Иванка Василева Янкова</v>
      </c>
      <c r="B3714" s="10" t="str">
        <f ca="1">IFERROR(__xludf.DUMMYFUNCTION("""COMPUTED_VALUE"""),"Статия в списания и поредици")</f>
        <v>Статия в списания и поредици</v>
      </c>
      <c r="C3714" s="10" t="str">
        <f ca="1">IFERROR(__xludf.DUMMYFUNCTION("""COMPUTED_VALUE"""),"New Vision for Flexible Dual Vocational Education and Training")</f>
        <v>New Vision for Flexible Dual Vocational Education and Training</v>
      </c>
      <c r="D3714" s="10">
        <f ca="1">IFERROR(__xludf.DUMMYFUNCTION("""COMPUTED_VALUE"""),2017)</f>
        <v>2017</v>
      </c>
      <c r="E3714" s="10" t="str">
        <f ca="1">IFERROR(__xludf.DUMMYFUNCTION("""COMPUTED_VALUE"""),"Proceedings of ICERI2017 Conference : 10th Annual International Conference of Education, Research and Innovation, 16-18 November, 2017, Seville, Spain, pp. 8263-8272. ISBN 978-84-697-6957-7. URL: &lt;file:///G:/files/papers/2222.pdf&gt;")</f>
        <v>Proceedings of ICERI2017 Conference : 10th Annual International Conference of Education, Research and Innovation, 16-18 November, 2017, Seville, Spain, pp. 8263-8272. ISBN 978-84-697-6957-7. URL: &lt;file:///G:/files/papers/2222.pdf&gt;</v>
      </c>
      <c r="F3714" s="10" t="str">
        <f ca="1">IFERROR(__xludf.DUMMYFUNCTION("""COMPUTED_VALUE"""),"ISI Conference Proceedings Citation Index (ISI CPCI), Crossref, Clarivate Analytics, Web of Science")</f>
        <v>ISI Conference Proceedings Citation Index (ISI CPCI), Crossref, Clarivate Analytics, Web of Science</v>
      </c>
      <c r="G3714" s="10" t="str">
        <f ca="1">IFERROR(__xludf.DUMMYFUNCTION("""COMPUTED_VALUE"""),"Silvia Stancheva Tzvetelina Dimitrova, Stoyan Denchev, Rumelina Vasileva")</f>
        <v>Silvia Stancheva Tzvetelina Dimitrova, Stoyan Denchev, Rumelina Vasileva</v>
      </c>
      <c r="H3714" s="10"/>
      <c r="I3714" s="10"/>
      <c r="J3714" s="10"/>
      <c r="K3714" s="10"/>
      <c r="L3714" s="10"/>
      <c r="M3714" s="10"/>
      <c r="N3714" s="10"/>
      <c r="O3714" s="10"/>
      <c r="P3714" s="10"/>
      <c r="Q3714" s="10"/>
      <c r="R3714" s="10"/>
      <c r="S3714" s="10"/>
      <c r="T3714" s="10"/>
      <c r="U3714" s="10"/>
      <c r="V3714" s="10"/>
      <c r="W3714" s="10"/>
      <c r="X3714" s="10"/>
      <c r="Y3714" s="10"/>
      <c r="Z3714" s="10"/>
    </row>
    <row r="3715" spans="1:26" ht="12.75">
      <c r="A3715" s="10" t="str">
        <f ca="1">IFERROR(__xludf.DUMMYFUNCTION("""COMPUTED_VALUE"""),"Иванка Василева Янкова")</f>
        <v>Иванка Василева Янкова</v>
      </c>
      <c r="B3715" s="10" t="str">
        <f ca="1">IFERROR(__xludf.DUMMYFUNCTION("""COMPUTED_VALUE"""),"Статия в списания и поредици")</f>
        <v>Статия в списания и поредици</v>
      </c>
      <c r="C3715" s="10" t="str">
        <f ca="1">IFERROR(__xludf.DUMMYFUNCTION("""COMPUTED_VALUE"""),"Важно за българските библиотеки")</f>
        <v>Важно за българските библиотеки</v>
      </c>
      <c r="D3715" s="10">
        <f ca="1">IFERROR(__xludf.DUMMYFUNCTION("""COMPUTED_VALUE"""),2016)</f>
        <v>2016</v>
      </c>
      <c r="E3715" s="10" t="str">
        <f ca="1">IFERROR(__xludf.DUMMYFUNCTION("""COMPUTED_VALUE"""),"ДА поговорим за застъпничеството и лобирането в българските библиотеки : сборник с добри практики и идеи / състав., [ред.] Румелина Василева. - София : За буквите - О писменехь, 2016 ([София] : [БПС]). - 304 с. : с ил. ; 21 см ISBN 978-619-185-258-1")</f>
        <v>ДА поговорим за застъпничеството и лобирането в българските библиотеки : сборник с добри практики и идеи / състав., [ред.] Румелина Василева. - София : За буквите - О писменехь, 2016 ([София] : [БПС]). - 304 с. : с ил. ; 21 см ISBN 978-619-185-258-1</v>
      </c>
      <c r="F371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15" s="10"/>
      <c r="H3715" s="10"/>
      <c r="I3715" s="10"/>
      <c r="J3715" s="10"/>
      <c r="K3715" s="10"/>
      <c r="L3715" s="10"/>
      <c r="M3715" s="10"/>
      <c r="N3715" s="10"/>
      <c r="O3715" s="10"/>
      <c r="P3715" s="10"/>
      <c r="Q3715" s="10"/>
      <c r="R3715" s="10"/>
      <c r="S3715" s="10"/>
      <c r="T3715" s="10"/>
      <c r="U3715" s="10"/>
      <c r="V3715" s="10"/>
      <c r="W3715" s="10"/>
      <c r="X3715" s="10"/>
      <c r="Y3715" s="10"/>
      <c r="Z3715" s="10"/>
    </row>
    <row r="3716" spans="1:26" ht="12.75">
      <c r="A3716" s="10" t="str">
        <f ca="1">IFERROR(__xludf.DUMMYFUNCTION("""COMPUTED_VALUE"""),"Иванка Василева Янкова")</f>
        <v>Иванка Василева Янкова</v>
      </c>
      <c r="B3716" s="10" t="str">
        <f ca="1">IFERROR(__xludf.DUMMYFUNCTION("""COMPUTED_VALUE"""),"Статия в списания и поредици")</f>
        <v>Статия в списания и поредици</v>
      </c>
      <c r="C3716" s="10" t="str">
        <f ca="1">IFERROR(__xludf.DUMMYFUNCTION("""COMPUTED_VALUE"""),"Employability of Students in “Library and Information Management”")</f>
        <v>Employability of Students in “Library and Information Management”</v>
      </c>
      <c r="D3716" s="10">
        <f ca="1">IFERROR(__xludf.DUMMYFUNCTION("""COMPUTED_VALUE"""),2016)</f>
        <v>2016</v>
      </c>
      <c r="E3716" s="10" t="str">
        <f ca="1">IFERROR(__xludf.DUMMYFUNCTION("""COMPUTED_VALUE"""),"Qualitative and Quantitative Methods in Libraries (QQML), 2016, 5, pp. 737-742. URL: &lt;http://www.qqml.net/papers/September_2016_Issue/5316QQML_Journal_ 2016_Yankovaetal1_737-742.pdf&gt;")</f>
        <v>Qualitative and Quantitative Methods in Libraries (QQML), 2016, 5, pp. 737-742. URL: &lt;http://www.qqml.net/papers/September_2016_Issue/5316QQML_Journal_ 2016_Yankovaetal1_737-742.pdf&gt;</v>
      </c>
      <c r="F3716" s="10" t="str">
        <f ca="1">IFERROR(__xludf.DUMMYFUNCTION("""COMPUTED_VALUE"""),"DOAJ – Directory of Open Access Journals, EBSCO Host")</f>
        <v>DOAJ – Directory of Open Access Journals, EBSCO Host</v>
      </c>
      <c r="G3716" s="10" t="str">
        <f ca="1">IFERROR(__xludf.DUMMYFUNCTION("""COMPUTED_VALUE"""),"Silvia Stancheva Rumelina Vasileva Tzvetelina Dimitrova")</f>
        <v>Silvia Stancheva Rumelina Vasileva Tzvetelina Dimitrova</v>
      </c>
      <c r="H3716" s="10"/>
      <c r="I3716" s="10"/>
      <c r="J3716" s="10"/>
      <c r="K3716" s="10"/>
      <c r="L3716" s="10"/>
      <c r="M3716" s="10"/>
      <c r="N3716" s="10"/>
      <c r="O3716" s="10"/>
      <c r="P3716" s="10"/>
      <c r="Q3716" s="10"/>
      <c r="R3716" s="10"/>
      <c r="S3716" s="10"/>
      <c r="T3716" s="10"/>
      <c r="U3716" s="10"/>
      <c r="V3716" s="10"/>
      <c r="W3716" s="10"/>
      <c r="X3716" s="10"/>
      <c r="Y3716" s="10"/>
      <c r="Z3716" s="10"/>
    </row>
    <row r="3717" spans="1:26" ht="12.75">
      <c r="A3717" s="10" t="str">
        <f ca="1">IFERROR(__xludf.DUMMYFUNCTION("""COMPUTED_VALUE"""),"Иванка Василева Янкова")</f>
        <v>Иванка Василева Янкова</v>
      </c>
      <c r="B3717" s="10" t="str">
        <f ca="1">IFERROR(__xludf.DUMMYFUNCTION("""COMPUTED_VALUE"""),"Доклад от конференция")</f>
        <v>Доклад от конференция</v>
      </c>
      <c r="C3717" s="10" t="str">
        <f ca="1">IFERROR(__xludf.DUMMYFUNCTION("""COMPUTED_VALUE"""),"Да лобираш пред себе си за себе си – или как да превърнем академичните библиотеки в здравото сърце на университетите и на българския потенциал")</f>
        <v>Да лобираш пред себе си за себе си – или как да превърнем академичните библиотеки в здравото сърце на университетите и на българския потенциал</v>
      </c>
      <c r="D3717" s="10">
        <f ca="1">IFERROR(__xludf.DUMMYFUNCTION("""COMPUTED_VALUE"""),2016)</f>
        <v>2016</v>
      </c>
      <c r="E3717" s="10" t="str">
        <f ca="1">IFERROR(__xludf.DUMMYFUNCTION("""COMPUTED_VALUE"""),"Съвременни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София: За буквите – О писменехь, 2016, с. 65-73, ISSN 236"&amp;"7-7988")</f>
        <v>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София: За буквите – О писменехь, 2016, с. 65-73, ISSN 2367-7988</v>
      </c>
      <c r="F371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17" s="10" t="str">
        <f ca="1">IFERROR(__xludf.DUMMYFUNCTION("""COMPUTED_VALUE"""),"Румелина Василева")</f>
        <v>Румелина Василева</v>
      </c>
      <c r="H3717" s="10"/>
      <c r="I3717" s="10"/>
      <c r="J3717" s="10"/>
      <c r="K3717" s="10"/>
      <c r="L3717" s="10"/>
      <c r="M3717" s="10"/>
      <c r="N3717" s="10"/>
      <c r="O3717" s="10"/>
      <c r="P3717" s="10"/>
      <c r="Q3717" s="10"/>
      <c r="R3717" s="10"/>
      <c r="S3717" s="10"/>
      <c r="T3717" s="10"/>
      <c r="U3717" s="10"/>
      <c r="V3717" s="10"/>
      <c r="W3717" s="10"/>
      <c r="X3717" s="10"/>
      <c r="Y3717" s="10"/>
      <c r="Z3717" s="10"/>
    </row>
    <row r="3718" spans="1:26" ht="12.75">
      <c r="A3718" s="10" t="str">
        <f ca="1">IFERROR(__xludf.DUMMYFUNCTION("""COMPUTED_VALUE"""),"Иванка Василева Янкова")</f>
        <v>Иванка Василева Янкова</v>
      </c>
      <c r="B3718" s="10" t="str">
        <f ca="1">IFERROR(__xludf.DUMMYFUNCTION("""COMPUTED_VALUE"""),"Статия в списания и поредици")</f>
        <v>Статия в списания и поредици</v>
      </c>
      <c r="C3718" s="10" t="str">
        <f ca="1">IFERROR(__xludf.DUMMYFUNCTION("""COMPUTED_VALUE"""),"Competent Contributors – The New Vision for Modern Training and a Learning Library as an Institution of Memory And Knowledge = Компетентни съмишленици – новата визия за съвременна обучаваща и учеща се библиотека като институция на паметта и знанието")</f>
        <v>Competent Contributors – The New Vision for Modern Training and a Learning Library as an Institution of Memory And Knowledge = Компетентни съмишленици – новата визия за съвременна обучаваща и учеща се библиотека като институция на паметта и знанието</v>
      </c>
      <c r="D3718" s="10">
        <f ca="1">IFERROR(__xludf.DUMMYFUNCTION("""COMPUTED_VALUE"""),2016)</f>
        <v>2016</v>
      </c>
      <c r="E3718" s="10" t="str">
        <f ca="1">IFERROR(__xludf.DUMMYFUNCTION("""COMPUTED_VALUE"""),"Knowledge – International Journal, 2016, 13.2, с. 35-41.2016 ISSN 2250-3153")</f>
        <v>Knowledge – International Journal, 2016, 13.2, с. 35-41.2016 ISSN 2250-3153</v>
      </c>
      <c r="F3718" s="10" t="str">
        <f ca="1">IFERROR(__xludf.DUMMYFUNCTION("""COMPUTED_VALUE"""),"International Journal with an ISSN number and Global Impact &amp; Quality Factor (GIF) 1.023 (for 2015 z.) (http://globalimpactfactor.com/knowledge-international-journal/) KNOWLEDGE – International Journal")</f>
        <v>International Journal with an ISSN number and Global Impact &amp; Quality Factor (GIF) 1.023 (for 2015 z.) (http://globalimpactfactor.com/knowledge-international-journal/) KNOWLEDGE – International Journal</v>
      </c>
      <c r="G3718" s="10" t="str">
        <f ca="1">IFERROR(__xludf.DUMMYFUNCTION("""COMPUTED_VALUE"""),"Румелина Василева")</f>
        <v>Румелина Василева</v>
      </c>
      <c r="H3718" s="10"/>
      <c r="I3718" s="10"/>
      <c r="J3718" s="10"/>
      <c r="K3718" s="10"/>
      <c r="L3718" s="10"/>
      <c r="M3718" s="10"/>
      <c r="N3718" s="10"/>
      <c r="O3718" s="10"/>
      <c r="P3718" s="10"/>
      <c r="Q3718" s="10"/>
      <c r="R3718" s="10"/>
      <c r="S3718" s="10"/>
      <c r="T3718" s="10"/>
      <c r="U3718" s="10"/>
      <c r="V3718" s="10"/>
      <c r="W3718" s="10"/>
      <c r="X3718" s="10"/>
      <c r="Y3718" s="10"/>
      <c r="Z3718" s="10"/>
    </row>
    <row r="3719" spans="1:26" ht="12.75">
      <c r="A3719" s="10" t="str">
        <f ca="1">IFERROR(__xludf.DUMMYFUNCTION("""COMPUTED_VALUE"""),"Иванка Василева Янкова")</f>
        <v>Иванка Василева Янкова</v>
      </c>
      <c r="B3719" s="10" t="str">
        <f ca="1">IFERROR(__xludf.DUMMYFUNCTION("""COMPUTED_VALUE"""),"Доклад от конференция")</f>
        <v>Доклад от конференция</v>
      </c>
      <c r="C3719" s="10" t="str">
        <f ca="1">IFERROR(__xludf.DUMMYFUNCTION("""COMPUTED_VALUE"""),"Лобирането и застъпничеството – новата грамотност за нова визия на културните институции")</f>
        <v>Лобирането и застъпничеството – новата грамотност за нова визия на културните институции</v>
      </c>
      <c r="D3719" s="10">
        <f ca="1">IFERROR(__xludf.DUMMYFUNCTION("""COMPUTED_VALUE"""),2016)</f>
        <v>2016</v>
      </c>
      <c r="E3719" s="10" t="str">
        <f ca="1">IFERROR(__xludf.DUMMYFUNCTION("""COMPUTED_VALUE"""),"Библиотеки-четене - комуникации: Сборник. - В. Търново: РНБ „П. Р. Славейков“, 2016, ISBN: 13138138")</f>
        <v>Библиотеки-четене - комуникации: Сборник. - В. Търново: РНБ „П. Р. Славейков“, 2016, ISBN: 13138138</v>
      </c>
      <c r="F371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19" s="10" t="str">
        <f ca="1">IFERROR(__xludf.DUMMYFUNCTION("""COMPUTED_VALUE"""),"Румелина Василева")</f>
        <v>Румелина Василева</v>
      </c>
      <c r="H3719" s="10"/>
      <c r="I3719" s="10"/>
      <c r="J3719" s="10"/>
      <c r="K3719" s="10"/>
      <c r="L3719" s="10"/>
      <c r="M3719" s="10"/>
      <c r="N3719" s="10"/>
      <c r="O3719" s="10"/>
      <c r="P3719" s="10"/>
      <c r="Q3719" s="10"/>
      <c r="R3719" s="10"/>
      <c r="S3719" s="10"/>
      <c r="T3719" s="10"/>
      <c r="U3719" s="10"/>
      <c r="V3719" s="10"/>
      <c r="W3719" s="10"/>
      <c r="X3719" s="10"/>
      <c r="Y3719" s="10"/>
      <c r="Z3719" s="10"/>
    </row>
    <row r="3720" spans="1:26" ht="12.75">
      <c r="A3720" s="10" t="str">
        <f ca="1">IFERROR(__xludf.DUMMYFUNCTION("""COMPUTED_VALUE"""),"Иванка Василева Янкова")</f>
        <v>Иванка Василева Янкова</v>
      </c>
      <c r="B3720" s="10" t="str">
        <f ca="1">IFERROR(__xludf.DUMMYFUNCTION("""COMPUTED_VALUE"""),"Статия в списания и поредици")</f>
        <v>Статия в списания и поредици</v>
      </c>
      <c r="C3720" s="10" t="str">
        <f ca="1">IFERROR(__xludf.DUMMYFUNCTION("""COMPUTED_VALUE"""),"Изследване на възможностите за професионална реализация на студенти от библиотечни специалности във Великобритания и САЩ.")</f>
        <v>Изследване на възможностите за професионална реализация на студенти от библиотечни специалности във Великобритания и САЩ.</v>
      </c>
      <c r="D3720" s="10">
        <f ca="1">IFERROR(__xludf.DUMMYFUNCTION("""COMPUTED_VALUE"""),2016)</f>
        <v>2016</v>
      </c>
      <c r="E3720" s="10" t="str">
        <f ca="1">IFERROR(__xludf.DUMMYFUNCTION("""COMPUTED_VALUE"""),"Професионалната реализация - възможности и реалност : сборник със студии и статии по проблеми, свързани с професионалната реализация на студентите / състав., [науч. ред.] Силвия Станчева. - София : За буквите - О писменехь, 2016 ([София] : БПС). - 197 с. "&amp;": с ил. ; 21 см, ISBN 978-619-185-259-8")</f>
        <v>Професионалната реализация - възможности и реалност : сборник със студии и статии по проблеми, свързани с професионалната реализация на студентите / състав., [науч. ред.] Силвия Станчева. - София : За буквите - О писменехь, 2016 ([София] : БПС). - 197 с. : с ил. ; 21 см, ISBN 978-619-185-259-8</v>
      </c>
      <c r="F372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20" s="10" t="str">
        <f ca="1">IFERROR(__xludf.DUMMYFUNCTION("""COMPUTED_VALUE"""),"Добринка Стойкова")</f>
        <v>Добринка Стойкова</v>
      </c>
      <c r="H3720" s="10"/>
      <c r="I3720" s="10"/>
      <c r="J3720" s="10"/>
      <c r="K3720" s="10"/>
      <c r="L3720" s="10"/>
      <c r="M3720" s="10"/>
      <c r="N3720" s="10"/>
      <c r="O3720" s="10"/>
      <c r="P3720" s="10"/>
      <c r="Q3720" s="10"/>
      <c r="R3720" s="10"/>
      <c r="S3720" s="10"/>
      <c r="T3720" s="10"/>
      <c r="U3720" s="10"/>
      <c r="V3720" s="10"/>
      <c r="W3720" s="10"/>
      <c r="X3720" s="10"/>
      <c r="Y3720" s="10"/>
      <c r="Z3720" s="10"/>
    </row>
    <row r="3721" spans="1:26" ht="12.75">
      <c r="A3721" s="10" t="str">
        <f ca="1">IFERROR(__xludf.DUMMYFUNCTION("""COMPUTED_VALUE"""),"Иванка Василева Янкова")</f>
        <v>Иванка Василева Янкова</v>
      </c>
      <c r="B3721" s="10" t="str">
        <f ca="1">IFERROR(__xludf.DUMMYFUNCTION("""COMPUTED_VALUE"""),"Статия в списания и поредици")</f>
        <v>Статия в списания и поредици</v>
      </c>
      <c r="C3721" s="10" t="str">
        <f ca="1">IFERROR(__xludf.DUMMYFUNCTION("""COMPUTED_VALUE"""),"Competency models and strategic management of institutional structures in tourism, tourism and creative industries")</f>
        <v>Competency models and strategic management of institutional structures in tourism, tourism and creative industries</v>
      </c>
      <c r="D3721" s="10">
        <f ca="1">IFERROR(__xludf.DUMMYFUNCTION("""COMPUTED_VALUE"""),2016)</f>
        <v>2016</v>
      </c>
      <c r="E3721" s="10" t="str">
        <f ca="1">IFERROR(__xludf.DUMMYFUNCTION("""COMPUTED_VALUE"""),"International Journal Scientific papers")</f>
        <v>International Journal Scientific papers</v>
      </c>
      <c r="F3721" s="10" t="str">
        <f ca="1">IFERROR(__xludf.DUMMYFUNCTION("""COMPUTED_VALUE"""),"Google sholar")</f>
        <v>Google sholar</v>
      </c>
      <c r="G3721" s="10" t="str">
        <f ca="1">IFERROR(__xludf.DUMMYFUNCTION("""COMPUTED_VALUE"""),"Евгени Велев Мериан Велева")</f>
        <v>Евгени Велев Мериан Велева</v>
      </c>
      <c r="H3721" s="10"/>
      <c r="I3721" s="10"/>
      <c r="J3721" s="10"/>
      <c r="K3721" s="10"/>
      <c r="L3721" s="10"/>
      <c r="M3721" s="10"/>
      <c r="N3721" s="10"/>
      <c r="O3721" s="10"/>
      <c r="P3721" s="10"/>
      <c r="Q3721" s="10"/>
      <c r="R3721" s="10"/>
      <c r="S3721" s="10"/>
      <c r="T3721" s="10"/>
      <c r="U3721" s="10"/>
      <c r="V3721" s="10"/>
      <c r="W3721" s="10"/>
      <c r="X3721" s="10"/>
      <c r="Y3721" s="10"/>
      <c r="Z3721" s="10"/>
    </row>
    <row r="3722" spans="1:26" ht="12.75">
      <c r="A3722" s="10" t="str">
        <f ca="1">IFERROR(__xludf.DUMMYFUNCTION("""COMPUTED_VALUE"""),"Иванка Василева Янкова")</f>
        <v>Иванка Василева Янкова</v>
      </c>
      <c r="B3722" s="10" t="str">
        <f ca="1">IFERROR(__xludf.DUMMYFUNCTION("""COMPUTED_VALUE"""),"Доклад от конференция")</f>
        <v>Доклад от конференция</v>
      </c>
      <c r="C3722" s="10" t="str">
        <f ca="1">IFERROR(__xludf.DUMMYFUNCTION("""COMPUTED_VALUE"""),"Study of the effect of indicators for research impact and mechanism for their implementation for the redesign of the Bulgarian Academic Publications and the researchers’ publication competencies")</f>
        <v>Study of the effect of indicators for research impact and mechanism for their implementation for the redesign of the Bulgarian Academic Publications and the researchers’ publication competencies</v>
      </c>
      <c r="D3722" s="10">
        <f ca="1">IFERROR(__xludf.DUMMYFUNCTION("""COMPUTED_VALUE"""),2015)</f>
        <v>2015</v>
      </c>
      <c r="E3722" s="10" t="str">
        <f ca="1">IFERROR(__xludf.DUMMYFUNCTION("""COMPUTED_VALUE"""),"7th International Conference on Qualitative and Quantitative Methods in Libraries, 26 - 29 May, 2015, Paris, France, ISSN 2241-1925")</f>
        <v>7th International Conference on Qualitative and Quantitative Methods in Libraries, 26 - 29 May, 2015, Paris, France, ISSN 2241-1925</v>
      </c>
      <c r="F3722" s="10"/>
      <c r="G3722" s="10"/>
      <c r="H3722" s="10"/>
      <c r="I3722" s="10"/>
      <c r="J3722" s="10"/>
      <c r="K3722" s="10"/>
      <c r="L3722" s="10"/>
      <c r="M3722" s="10"/>
      <c r="N3722" s="10"/>
      <c r="O3722" s="10"/>
      <c r="P3722" s="10"/>
      <c r="Q3722" s="10"/>
      <c r="R3722" s="10"/>
      <c r="S3722" s="10"/>
      <c r="T3722" s="10"/>
      <c r="U3722" s="10"/>
      <c r="V3722" s="10"/>
      <c r="W3722" s="10"/>
      <c r="X3722" s="10"/>
      <c r="Y3722" s="10"/>
      <c r="Z3722" s="10"/>
    </row>
    <row r="3723" spans="1:26" ht="12.75">
      <c r="A3723" s="10" t="str">
        <f ca="1">IFERROR(__xludf.DUMMYFUNCTION("""COMPUTED_VALUE"""),"Иванка Василева Янкова")</f>
        <v>Иванка Василева Янкова</v>
      </c>
      <c r="B3723" s="10" t="str">
        <f ca="1">IFERROR(__xludf.DUMMYFUNCTION("""COMPUTED_VALUE"""),"Статия в списания и поредици")</f>
        <v>Статия в списания и поредици</v>
      </c>
      <c r="C3723" s="10" t="str">
        <f ca="1">IFERROR(__xludf.DUMMYFUNCTION("""COMPUTED_VALUE"""),"Проектът “Редизайн на академически издания в съответствие с индикаторите за импакт фактор и показателите за постигане на интелигентен растеж в съвременното общество на знанието”")</f>
        <v>Проектът “Редизайн на академически издания в съответствие с индикаторите за импакт фактор и показателите за постигане на интелигентен растеж в съвременното общество на знанието”</v>
      </c>
      <c r="D3723" s="10">
        <f ca="1">IFERROR(__xludf.DUMMYFUNCTION("""COMPUTED_VALUE"""),2015)</f>
        <v>2015</v>
      </c>
      <c r="E3723" s="10" t="str">
        <f ca="1">IFERROR(__xludf.DUMMYFUNCTION("""COMPUTED_VALUE"""),"Издател, Год. 17, бр. № 2 (книжка 3-4), 2015, с. 83-86 ISSN 1310-4624")</f>
        <v>Издател, Год. 17, бр. № 2 (книжка 3-4), 2015, с. 83-86 ISSN 1310-4624</v>
      </c>
      <c r="F3723" s="10"/>
      <c r="G3723" s="10"/>
      <c r="H3723" s="10"/>
      <c r="I3723" s="10"/>
      <c r="J3723" s="10"/>
      <c r="K3723" s="10"/>
      <c r="L3723" s="10"/>
      <c r="M3723" s="10"/>
      <c r="N3723" s="10"/>
      <c r="O3723" s="10"/>
      <c r="P3723" s="10"/>
      <c r="Q3723" s="10"/>
      <c r="R3723" s="10"/>
      <c r="S3723" s="10"/>
      <c r="T3723" s="10"/>
      <c r="U3723" s="10"/>
      <c r="V3723" s="10"/>
      <c r="W3723" s="10"/>
      <c r="X3723" s="10"/>
      <c r="Y3723" s="10"/>
      <c r="Z3723" s="10"/>
    </row>
    <row r="3724" spans="1:26" ht="12.75">
      <c r="A3724" s="10" t="str">
        <f ca="1">IFERROR(__xludf.DUMMYFUNCTION("""COMPUTED_VALUE"""),"Иванка Василева Янкова")</f>
        <v>Иванка Василева Янкова</v>
      </c>
      <c r="B3724" s="10" t="str">
        <f ca="1">IFERROR(__xludf.DUMMYFUNCTION("""COMPUTED_VALUE"""),"Доклад от конференция")</f>
        <v>Доклад от конференция</v>
      </c>
      <c r="C3724" s="10" t="str">
        <f ca="1">IFERROR(__xludf.DUMMYFUNCTION("""COMPUTED_VALUE"""),"Опитът на българското книгоиздаване и книгоразпространение за мотивиране на четенето")</f>
        <v>Опитът на българското книгоиздаване и книгоразпространение за мотивиране на четенето</v>
      </c>
      <c r="D3724" s="10">
        <f ca="1">IFERROR(__xludf.DUMMYFUNCTION("""COMPUTED_VALUE"""),2014)</f>
        <v>2014</v>
      </c>
      <c r="E3724" s="10" t="str">
        <f ca="1">IFERROR(__xludf.DUMMYFUNCTION("""COMPUTED_VALUE"""),"Сборник с научни доклади и съобщения с международно участие, 18 септември 2014, София")</f>
        <v>Сборник с научни доклади и съобщения с международно участие, 18 септември 2014, София</v>
      </c>
      <c r="F3724" s="10"/>
      <c r="G3724" s="10" t="str">
        <f ca="1">IFERROR(__xludf.DUMMYFUNCTION("""COMPUTED_VALUE"""),"Силвия Станчева")</f>
        <v>Силвия Станчева</v>
      </c>
      <c r="H3724" s="10"/>
      <c r="I3724" s="10"/>
      <c r="J3724" s="10"/>
      <c r="K3724" s="10"/>
      <c r="L3724" s="10"/>
      <c r="M3724" s="10"/>
      <c r="N3724" s="10"/>
      <c r="O3724" s="10"/>
      <c r="P3724" s="10"/>
      <c r="Q3724" s="10"/>
      <c r="R3724" s="10"/>
      <c r="S3724" s="10"/>
      <c r="T3724" s="10"/>
      <c r="U3724" s="10"/>
      <c r="V3724" s="10"/>
      <c r="W3724" s="10"/>
      <c r="X3724" s="10"/>
      <c r="Y3724" s="10"/>
      <c r="Z3724" s="10"/>
    </row>
    <row r="3725" spans="1:26" ht="12.75">
      <c r="A3725" s="10" t="str">
        <f ca="1">IFERROR(__xludf.DUMMYFUNCTION("""COMPUTED_VALUE"""),"Иванка Василева Янкова")</f>
        <v>Иванка Василева Янкова</v>
      </c>
      <c r="B3725" s="10" t="str">
        <f ca="1">IFERROR(__xludf.DUMMYFUNCTION("""COMPUTED_VALUE"""),"Доклад от конференция")</f>
        <v>Доклад от конференция</v>
      </c>
      <c r="C3725" s="10" t="str">
        <f ca="1">IFERROR(__xludf.DUMMYFUNCTION("""COMPUTED_VALUE"""),"Комуникационна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f>
        <v>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v>
      </c>
      <c r="D3725" s="10">
        <f ca="1">IFERROR(__xludf.DUMMYFUNCTION("""COMPUTED_VALUE"""),2014)</f>
        <v>2014</v>
      </c>
      <c r="E3725" s="10" t="str">
        <f ca="1">IFERROR(__xludf.DUMMYFUNCTION("""COMPUTED_VALUE"""),"Пета национална конференция по електронно обучение във висшите училища: сборник доклади, 15-17 май 2014, Русенски университет, ISBN 978-954-712-611-4")</f>
        <v>Пета национална конференция по електронно обучение във висшите училища: сборник доклади, 15-17 май 2014, Русенски университет, ISBN 978-954-712-611-4</v>
      </c>
      <c r="F3725" s="10"/>
      <c r="G3725" s="10" t="str">
        <f ca="1">IFERROR(__xludf.DUMMYFUNCTION("""COMPUTED_VALUE"""),"С. Станчева, Т. Тодорова, Р. Василева.")</f>
        <v>С. Станчева, Т. Тодорова, Р. Василева.</v>
      </c>
      <c r="H3725" s="10"/>
      <c r="I3725" s="10"/>
      <c r="J3725" s="10"/>
      <c r="K3725" s="10"/>
      <c r="L3725" s="10"/>
      <c r="M3725" s="10"/>
      <c r="N3725" s="10"/>
      <c r="O3725" s="10"/>
      <c r="P3725" s="10"/>
      <c r="Q3725" s="10"/>
      <c r="R3725" s="10"/>
      <c r="S3725" s="10"/>
      <c r="T3725" s="10"/>
      <c r="U3725" s="10"/>
      <c r="V3725" s="10"/>
      <c r="W3725" s="10"/>
      <c r="X3725" s="10"/>
      <c r="Y3725" s="10"/>
      <c r="Z3725" s="10"/>
    </row>
    <row r="3726" spans="1:26" ht="12.75">
      <c r="A3726" s="10" t="str">
        <f ca="1">IFERROR(__xludf.DUMMYFUNCTION("""COMPUTED_VALUE"""),"Иванка Василева Янкова")</f>
        <v>Иванка Василева Янкова</v>
      </c>
      <c r="B3726" s="10" t="str">
        <f ca="1">IFERROR(__xludf.DUMMYFUNCTION("""COMPUTED_VALUE"""),"Статия в списания и поредици")</f>
        <v>Статия в списания и поредици</v>
      </c>
      <c r="C3726" s="10" t="str">
        <f ca="1">IFERROR(__xludf.DUMMYFUNCTION("""COMPUTED_VALUE"""),"Методика на преподаване на учебната дисциплина „Информационна грамотност – програми и модели“")</f>
        <v>Методика на преподаване на учебната дисциплина „Информационна грамотност – програми и модели“</v>
      </c>
      <c r="D3726" s="10">
        <f ca="1">IFERROR(__xludf.DUMMYFUNCTION("""COMPUTED_VALUE"""),2014)</f>
        <v>2014</v>
      </c>
      <c r="E3726" s="10" t="str">
        <f ca="1">IFERROR(__xludf.DUMMYFUNCTION("""COMPUTED_VALUE"""),"Съвременни измерения на европейското образователно и научно пространство : Сборник с доклади от VII, VIII, IX, Международен пътуващ семинар на УниБИТ : Ч. VIII : Българо-албански културни общувания За буквите – О писменехь, ISSN 2367-7988")</f>
        <v>Съвременни измерения на европейското образователно и научно пространство : Сборник с доклади от VII, VIII, IX, Международен пътуващ семинар на УниБИТ : Ч. VIII : Българо-албански културни общувания За буквите – О писменехь, ISSN 2367-7988</v>
      </c>
      <c r="F372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26" s="10" t="str">
        <f ca="1">IFERROR(__xludf.DUMMYFUNCTION("""COMPUTED_VALUE"""),"Добринка Стойкова и Силвия Станчева")</f>
        <v>Добринка Стойкова и Силвия Станчева</v>
      </c>
      <c r="H3726" s="10"/>
      <c r="I3726" s="10"/>
      <c r="J3726" s="10"/>
      <c r="K3726" s="10"/>
      <c r="L3726" s="10"/>
      <c r="M3726" s="10"/>
      <c r="N3726" s="10"/>
      <c r="O3726" s="10"/>
      <c r="P3726" s="10"/>
      <c r="Q3726" s="10"/>
      <c r="R3726" s="10"/>
      <c r="S3726" s="10"/>
      <c r="T3726" s="10"/>
      <c r="U3726" s="10"/>
      <c r="V3726" s="10"/>
      <c r="W3726" s="10"/>
      <c r="X3726" s="10"/>
      <c r="Y3726" s="10"/>
      <c r="Z3726" s="10"/>
    </row>
    <row r="3727" spans="1:26" ht="12.75">
      <c r="A3727" s="10" t="str">
        <f ca="1">IFERROR(__xludf.DUMMYFUNCTION("""COMPUTED_VALUE"""),"Иванка Василева Янкова")</f>
        <v>Иванка Василева Янкова</v>
      </c>
      <c r="B3727" s="10" t="str">
        <f ca="1">IFERROR(__xludf.DUMMYFUNCTION("""COMPUTED_VALUE"""),"Доклад от конференция")</f>
        <v>Доклад от конференция</v>
      </c>
      <c r="C3727" s="10" t="str">
        <f ca="1">IFERROR(__xludf.DUMMYFUNCTION("""COMPUTED_VALUE"""),"New Possibilities for E-learning Master Programs in LIS and Cultural Heritage Sciences Education in Bulgaria")</f>
        <v>New Possibilities for E-learning Master Programs in LIS and Cultural Heritage Sciences Education in Bulgaria</v>
      </c>
      <c r="D3727" s="10">
        <f ca="1">IFERROR(__xludf.DUMMYFUNCTION("""COMPUTED_VALUE"""),2013)</f>
        <v>2013</v>
      </c>
      <c r="E3727" s="10" t="str">
        <f ca="1">IFERROR(__xludf.DUMMYFUNCTION("""COMPUTED_VALUE"""),"Book of Abstracts of Fifth Qualitative and Quantitative Methods in Libraries International Conference (QQML2013), 4-7 June ISSN 2367-7988")</f>
        <v>Book of Abstracts of Fifth Qualitative and Quantitative Methods in Libraries International Conference (QQML2013), 4-7 June ISSN 2367-7988</v>
      </c>
      <c r="F3727" s="10"/>
      <c r="G3727" s="10"/>
      <c r="H3727" s="10"/>
      <c r="I3727" s="10"/>
      <c r="J3727" s="10"/>
      <c r="K3727" s="10"/>
      <c r="L3727" s="10"/>
      <c r="M3727" s="10"/>
      <c r="N3727" s="10"/>
      <c r="O3727" s="10"/>
      <c r="P3727" s="10"/>
      <c r="Q3727" s="10"/>
      <c r="R3727" s="10"/>
      <c r="S3727" s="10"/>
      <c r="T3727" s="10"/>
      <c r="U3727" s="10"/>
      <c r="V3727" s="10"/>
      <c r="W3727" s="10"/>
      <c r="X3727" s="10"/>
      <c r="Y3727" s="10"/>
      <c r="Z3727" s="10"/>
    </row>
    <row r="3728" spans="1:26" ht="12.75">
      <c r="A3728" s="10" t="str">
        <f ca="1">IFERROR(__xludf.DUMMYFUNCTION("""COMPUTED_VALUE"""),"Иванка Василева Янкова")</f>
        <v>Иванка Василева Янкова</v>
      </c>
      <c r="B3728" s="10" t="str">
        <f ca="1">IFERROR(__xludf.DUMMYFUNCTION("""COMPUTED_VALUE"""),"Книга")</f>
        <v>Книга</v>
      </c>
      <c r="C3728" s="10" t="str">
        <f ca="1">IFERROR(__xludf.DUMMYFUNCTION("""COMPUTED_VALUE"""),"Топография на българската възрожденска просвета, култура и наука")</f>
        <v>Топография на българската възрожденска просвета, култура и наука</v>
      </c>
      <c r="D3728" s="10">
        <f ca="1">IFERROR(__xludf.DUMMYFUNCTION("""COMPUTED_VALUE"""),2013)</f>
        <v>2013</v>
      </c>
      <c r="E3728" s="10" t="str">
        <f ca="1">IFERROR(__xludf.DUMMYFUNCTION("""COMPUTED_VALUE"""),"Академично издателство ""Марин Дринов"", 2013 , с. 248, ISBN 978-954-322-584-2")</f>
        <v>Академично издателство "Марин Дринов", 2013 , с. 248, ISBN 978-954-322-584-2</v>
      </c>
      <c r="F3728" s="10"/>
      <c r="G3728" s="10"/>
      <c r="H3728" s="10"/>
      <c r="I3728" s="10"/>
      <c r="J3728" s="10"/>
      <c r="K3728" s="10"/>
      <c r="L3728" s="10"/>
      <c r="M3728" s="10"/>
      <c r="N3728" s="10"/>
      <c r="O3728" s="10"/>
      <c r="P3728" s="10"/>
      <c r="Q3728" s="10"/>
      <c r="R3728" s="10"/>
      <c r="S3728" s="10"/>
      <c r="T3728" s="10"/>
      <c r="U3728" s="10"/>
      <c r="V3728" s="10"/>
      <c r="W3728" s="10"/>
      <c r="X3728" s="10"/>
      <c r="Y3728" s="10"/>
      <c r="Z3728" s="10"/>
    </row>
    <row r="3729" spans="1:26" ht="12.75">
      <c r="A3729" s="10" t="str">
        <f ca="1">IFERROR(__xludf.DUMMYFUNCTION("""COMPUTED_VALUE"""),"Иванка Василева Янкова")</f>
        <v>Иванка Василева Янкова</v>
      </c>
      <c r="B3729" s="10" t="str">
        <f ca="1">IFERROR(__xludf.DUMMYFUNCTION("""COMPUTED_VALUE"""),"Книга")</f>
        <v>Книга</v>
      </c>
      <c r="C3729" s="10" t="str">
        <f ca="1">IFERROR(__xludf.DUMMYFUNCTION("""COMPUTED_VALUE"""),"Мултимедийни лекционни курсове и учебни материали")</f>
        <v>Мултимедийни лекционни курсове и учебни материали</v>
      </c>
      <c r="D3729" s="10">
        <f ca="1">IFERROR(__xludf.DUMMYFUNCTION("""COMPUTED_VALUE"""),2013)</f>
        <v>2013</v>
      </c>
      <c r="E3729" s="10"/>
      <c r="F3729" s="10"/>
      <c r="G3729" s="10" t="str">
        <f ca="1">IFERROR(__xludf.DUMMYFUNCTION("""COMPUTED_VALUE"""),"Стоян Денчев, София Василева, Валерия Фол, Добри Бояджиев")</f>
        <v>Стоян Денчев, София Василева, Валерия Фол, Добри Бояджиев</v>
      </c>
      <c r="H3729" s="10"/>
      <c r="I3729" s="10"/>
      <c r="J3729" s="10"/>
      <c r="K3729" s="10"/>
      <c r="L3729" s="10"/>
      <c r="M3729" s="10"/>
      <c r="N3729" s="10"/>
      <c r="O3729" s="10"/>
      <c r="P3729" s="10"/>
      <c r="Q3729" s="10"/>
      <c r="R3729" s="10"/>
      <c r="S3729" s="10"/>
      <c r="T3729" s="10"/>
      <c r="U3729" s="10"/>
      <c r="V3729" s="10"/>
      <c r="W3729" s="10"/>
      <c r="X3729" s="10"/>
      <c r="Y3729" s="10"/>
      <c r="Z3729" s="10"/>
    </row>
    <row r="3730" spans="1:26" ht="12.75">
      <c r="A3730" s="10" t="str">
        <f ca="1">IFERROR(__xludf.DUMMYFUNCTION("""COMPUTED_VALUE"""),"Иванка Василева Янкова")</f>
        <v>Иванка Василева Янкова</v>
      </c>
      <c r="B3730" s="10" t="str">
        <f ca="1">IFERROR(__xludf.DUMMYFUNCTION("""COMPUTED_VALUE"""),"Статия в списания и поредици")</f>
        <v>Статия в списания и поредици</v>
      </c>
      <c r="C3730" s="10" t="str">
        <f ca="1">IFERROR(__xludf.DUMMYFUNCTION("""COMPUTED_VALUE"""),"Marketing of the Library-Information Services")</f>
        <v>Marketing of the Library-Information Services</v>
      </c>
      <c r="D3730" s="10">
        <f ca="1">IFERROR(__xludf.DUMMYFUNCTION("""COMPUTED_VALUE"""),2013)</f>
        <v>2013</v>
      </c>
      <c r="E3730" s="10" t="str">
        <f ca="1">IFERROR(__xludf.DUMMYFUNCTION("""COMPUTED_VALUE"""),"Journal of Balkan Libraries Union, I, http://www.balkanlibraries.org/journal, 2013 ISSN 2148-077X")</f>
        <v>Journal of Balkan Libraries Union, I, http://www.balkanlibraries.org/journal, 2013 ISSN 2148-077X</v>
      </c>
      <c r="F3730" s="10"/>
      <c r="G3730" s="10"/>
      <c r="H3730" s="10"/>
      <c r="I3730" s="10"/>
      <c r="J3730" s="10"/>
      <c r="K3730" s="10"/>
      <c r="L3730" s="10"/>
      <c r="M3730" s="10"/>
      <c r="N3730" s="10"/>
      <c r="O3730" s="10"/>
      <c r="P3730" s="10"/>
      <c r="Q3730" s="10"/>
      <c r="R3730" s="10"/>
      <c r="S3730" s="10"/>
      <c r="T3730" s="10"/>
      <c r="U3730" s="10"/>
      <c r="V3730" s="10"/>
      <c r="W3730" s="10"/>
      <c r="X3730" s="10"/>
      <c r="Y3730" s="10"/>
      <c r="Z3730" s="10"/>
    </row>
    <row r="3731" spans="1:26" ht="12.75">
      <c r="A3731" s="10" t="str">
        <f ca="1">IFERROR(__xludf.DUMMYFUNCTION("""COMPUTED_VALUE"""),"Иванка Василева Янкова")</f>
        <v>Иванка Василева Янкова</v>
      </c>
      <c r="B3731" s="10" t="str">
        <f ca="1">IFERROR(__xludf.DUMMYFUNCTION("""COMPUTED_VALUE"""),"Статия в списания и поредици")</f>
        <v>Статия в списания и поредици</v>
      </c>
      <c r="C3731" s="10" t="str">
        <f ca="1">IFERROR(__xludf.DUMMYFUNCTION("""COMPUTED_VALUE"""),"Implementation in LIS programs in SULSIT of the findings from international research about Reference Service Competencies")</f>
        <v>Implementation in LIS programs in SULSIT of the findings from international research about Reference Service Competencies</v>
      </c>
      <c r="D3731" s="10">
        <f ca="1">IFERROR(__xludf.DUMMYFUNCTION("""COMPUTED_VALUE"""),2013)</f>
        <v>2013</v>
      </c>
      <c r="E3731" s="10" t="str">
        <f ca="1">IFERROR(__xludf.DUMMYFUNCTION("""COMPUTED_VALUE"""),"Electronic Journal of Vocational Colleges (EJOVOC) : A Special Issue: Sociology, Social Policy, Economics, Labor Economics and C")</f>
        <v>Electronic Journal of Vocational Colleges (EJOVOC) : A Special Issue: Sociology, Social Policy, Economics, Labor Economics and C</v>
      </c>
      <c r="F3731" s="10"/>
      <c r="G3731" s="10"/>
      <c r="H3731" s="10"/>
      <c r="I3731" s="10"/>
      <c r="J3731" s="10"/>
      <c r="K3731" s="10"/>
      <c r="L3731" s="10"/>
      <c r="M3731" s="10"/>
      <c r="N3731" s="10"/>
      <c r="O3731" s="10"/>
      <c r="P3731" s="10"/>
      <c r="Q3731" s="10"/>
      <c r="R3731" s="10"/>
      <c r="S3731" s="10"/>
      <c r="T3731" s="10"/>
      <c r="U3731" s="10"/>
      <c r="V3731" s="10"/>
      <c r="W3731" s="10"/>
      <c r="X3731" s="10"/>
      <c r="Y3731" s="10"/>
      <c r="Z3731" s="10"/>
    </row>
    <row r="3732" spans="1:26" ht="12.75">
      <c r="A3732" s="10" t="str">
        <f ca="1">IFERROR(__xludf.DUMMYFUNCTION("""COMPUTED_VALUE"""),"Иванка Василева Янкова")</f>
        <v>Иванка Василева Янкова</v>
      </c>
      <c r="B3732" s="10" t="str">
        <f ca="1">IFERROR(__xludf.DUMMYFUNCTION("""COMPUTED_VALUE"""),"Доклад от конференция")</f>
        <v>Доклад от конференция</v>
      </c>
      <c r="C3732" s="10" t="str">
        <f ca="1">IFERROR(__xludf.DUMMYFUNCTION("""COMPUTED_VALUE"""),"A bibliografical overview of copyright literacy as a key issue in memory institution management")</f>
        <v>A bibliografical overview of copyright literacy as a key issue in memory institution management</v>
      </c>
      <c r="D3732" s="10">
        <f ca="1">IFERROR(__xludf.DUMMYFUNCTION("""COMPUTED_VALUE"""),2013)</f>
        <v>2013</v>
      </c>
      <c r="E3732" s="10" t="str">
        <f ca="1">IFERROR(__xludf.DUMMYFUNCTION("""COMPUTED_VALUE"""),"European Conference on Information Literacy (ECIL), Istanbul, Turkey, 22-25 Oct., 2013 : Abstracts. Ankara : Hacettepe university ISBN 978-3-319-03919-0")</f>
        <v>European Conference on Information Literacy (ECIL), Istanbul, Turkey, 22-25 Oct., 2013 : Abstracts. Ankara : Hacettepe university ISBN 978-3-319-03919-0</v>
      </c>
      <c r="F3732" s="10"/>
      <c r="G3732" s="10"/>
      <c r="H3732" s="10"/>
      <c r="I3732" s="10"/>
      <c r="J3732" s="10"/>
      <c r="K3732" s="10"/>
      <c r="L3732" s="10"/>
      <c r="M3732" s="10"/>
      <c r="N3732" s="10"/>
      <c r="O3732" s="10"/>
      <c r="P3732" s="10"/>
      <c r="Q3732" s="10"/>
      <c r="R3732" s="10"/>
      <c r="S3732" s="10"/>
      <c r="T3732" s="10"/>
      <c r="U3732" s="10"/>
      <c r="V3732" s="10"/>
      <c r="W3732" s="10"/>
      <c r="X3732" s="10"/>
      <c r="Y3732" s="10"/>
      <c r="Z3732" s="10"/>
    </row>
    <row r="3733" spans="1:26" ht="12.75">
      <c r="A3733" s="10" t="str">
        <f ca="1">IFERROR(__xludf.DUMMYFUNCTION("""COMPUTED_VALUE"""),"Иванка Василева Янкова")</f>
        <v>Иванка Василева Янкова</v>
      </c>
      <c r="B3733" s="10" t="str">
        <f ca="1">IFERROR(__xludf.DUMMYFUNCTION("""COMPUTED_VALUE"""),"Доклад от конференция")</f>
        <v>Доклад от конференция</v>
      </c>
      <c r="C3733" s="10" t="str">
        <f ca="1">IFERROR(__xludf.DUMMYFUNCTION("""COMPUTED_VALUE"""),"Memory Institutions and Copyright Policies")</f>
        <v>Memory Institutions and Copyright Policies</v>
      </c>
      <c r="D3733" s="10">
        <f ca="1">IFERROR(__xludf.DUMMYFUNCTION("""COMPUTED_VALUE"""),2013)</f>
        <v>2013</v>
      </c>
      <c r="E3733" s="10" t="str">
        <f ca="1">IFERROR(__xludf.DUMMYFUNCTION("""COMPUTED_VALUE"""),"Book of Abstracts of Fifth Qualitative and Quantitative Methods in Libraries International Conference (QQML2013), 4-7 June 2013 ISBN: 978-618-80698-0-0")</f>
        <v>Book of Abstracts of Fifth Qualitative and Quantitative Methods in Libraries International Conference (QQML2013), 4-7 June 2013 ISBN: 978-618-80698-0-0</v>
      </c>
      <c r="F3733" s="10"/>
      <c r="G3733" s="10"/>
      <c r="H3733" s="10"/>
      <c r="I3733" s="10"/>
      <c r="J3733" s="10"/>
      <c r="K3733" s="10"/>
      <c r="L3733" s="10"/>
      <c r="M3733" s="10"/>
      <c r="N3733" s="10"/>
      <c r="O3733" s="10"/>
      <c r="P3733" s="10"/>
      <c r="Q3733" s="10"/>
      <c r="R3733" s="10"/>
      <c r="S3733" s="10"/>
      <c r="T3733" s="10"/>
      <c r="U3733" s="10"/>
      <c r="V3733" s="10"/>
      <c r="W3733" s="10"/>
      <c r="X3733" s="10"/>
      <c r="Y3733" s="10"/>
      <c r="Z3733" s="10"/>
    </row>
    <row r="3734" spans="1:26" ht="12.75">
      <c r="A3734" s="10" t="str">
        <f ca="1">IFERROR(__xludf.DUMMYFUNCTION("""COMPUTED_VALUE"""),"Иванка Василева Янкова")</f>
        <v>Иванка Василева Янкова</v>
      </c>
      <c r="B3734" s="10" t="str">
        <f ca="1">IFERROR(__xludf.DUMMYFUNCTION("""COMPUTED_VALUE"""),"Статия в списания и поредици")</f>
        <v>Статия в списания и поредици</v>
      </c>
      <c r="C3734" s="10" t="str">
        <f ca="1">IFERROR(__xludf.DUMMYFUNCTION("""COMPUTED_VALUE"""),"Digital Resources for Academic Education: Experiences from the Scientific Project ‘Data Base Bulgarian Revival Towns'")</f>
        <v>Digital Resources for Academic Education: Experiences from the Scientific Project ‘Data Base Bulgarian Revival Towns'</v>
      </c>
      <c r="D3734" s="10">
        <f ca="1">IFERROR(__xludf.DUMMYFUNCTION("""COMPUTED_VALUE"""),2012)</f>
        <v>2012</v>
      </c>
      <c r="E3734" s="10" t="str">
        <f ca="1">IFERROR(__xludf.DUMMYFUNCTION("""COMPUTED_VALUE"""),"Qualitative and Quantitative Methods in Libraries (QQML) е-Journal, Vol. 1, Issues 1-3, 012 ISSN 2241-1925")</f>
        <v>Qualitative and Quantitative Methods in Libraries (QQML) е-Journal, Vol. 1, Issues 1-3, 012 ISSN 2241-1925</v>
      </c>
      <c r="F3734" s="10" t="str">
        <f ca="1">IFERROR(__xludf.DUMMYFUNCTION("""COMPUTED_VALUE"""),"QQML e-Journal")</f>
        <v>QQML e-Journal</v>
      </c>
      <c r="G3734" s="10" t="str">
        <f ca="1">IFERROR(__xludf.DUMMYFUNCTION("""COMPUTED_VALUE"""),"Tania Todorova")</f>
        <v>Tania Todorova</v>
      </c>
      <c r="H3734" s="10"/>
      <c r="I3734" s="10"/>
      <c r="J3734" s="10"/>
      <c r="K3734" s="10"/>
      <c r="L3734" s="10"/>
      <c r="M3734" s="10"/>
      <c r="N3734" s="10"/>
      <c r="O3734" s="10"/>
      <c r="P3734" s="10"/>
      <c r="Q3734" s="10"/>
      <c r="R3734" s="10"/>
      <c r="S3734" s="10"/>
      <c r="T3734" s="10"/>
      <c r="U3734" s="10"/>
      <c r="V3734" s="10"/>
      <c r="W3734" s="10"/>
      <c r="X3734" s="10"/>
      <c r="Y3734" s="10"/>
      <c r="Z3734" s="10"/>
    </row>
    <row r="3735" spans="1:26" ht="12.75">
      <c r="A3735" s="10" t="str">
        <f ca="1">IFERROR(__xludf.DUMMYFUNCTION("""COMPUTED_VALUE"""),"Иванка Василева Янкова")</f>
        <v>Иванка Василева Янкова</v>
      </c>
      <c r="B3735" s="10" t="str">
        <f ca="1">IFERROR(__xludf.DUMMYFUNCTION("""COMPUTED_VALUE"""),"Статия в списания и поредици")</f>
        <v>Статия в списания и поредици</v>
      </c>
      <c r="C3735" s="10" t="str">
        <f ca="1">IFERROR(__xludf.DUMMYFUNCTION("""COMPUTED_VALUE"""),"Ключови компетенции и модели за изграждане на информационна култура на студентите")</f>
        <v>Ключови компетенции и модели за изграждане на информационна култура на студентите</v>
      </c>
      <c r="D3735" s="10">
        <f ca="1">IFERROR(__xludf.DUMMYFUNCTION("""COMPUTED_VALUE"""),2011)</f>
        <v>2011</v>
      </c>
      <c r="E3735" s="10" t="str">
        <f ca="1">IFERROR(__xludf.DUMMYFUNCTION("""COMPUTED_VALUE"""),"Сборник с доклади от IV, V, VI, Международен пътуващ семинар на УниБИТ : Ч. V : Българо-френски културни общувания, България – Франция За буквите – О писменехь, ISSN 2367-7988")</f>
        <v>Сборник с доклади от IV, V, VI, Международен пътуващ семинар на УниБИТ : Ч. V : Българо-френски културни общувания, България – Франция За буквите – О писменехь, ISSN 2367-7988</v>
      </c>
      <c r="F373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35" s="10"/>
      <c r="H3735" s="10"/>
      <c r="I3735" s="10"/>
      <c r="J3735" s="10"/>
      <c r="K3735" s="10"/>
      <c r="L3735" s="10"/>
      <c r="M3735" s="10"/>
      <c r="N3735" s="10"/>
      <c r="O3735" s="10"/>
      <c r="P3735" s="10"/>
      <c r="Q3735" s="10"/>
      <c r="R3735" s="10"/>
      <c r="S3735" s="10"/>
      <c r="T3735" s="10"/>
      <c r="U3735" s="10"/>
      <c r="V3735" s="10"/>
      <c r="W3735" s="10"/>
      <c r="X3735" s="10"/>
      <c r="Y3735" s="10"/>
      <c r="Z3735" s="10"/>
    </row>
    <row r="3736" spans="1:26" ht="12.75">
      <c r="A3736" s="10" t="str">
        <f ca="1">IFERROR(__xludf.DUMMYFUNCTION("""COMPUTED_VALUE"""),"Иванка Василева Янкова")</f>
        <v>Иванка Василева Янкова</v>
      </c>
      <c r="B3736" s="10" t="str">
        <f ca="1">IFERROR(__xludf.DUMMYFUNCTION("""COMPUTED_VALUE"""),"Статия в списания и поредици")</f>
        <v>Статия в списания и поредици</v>
      </c>
      <c r="C3736" s="10" t="str">
        <f ca="1">IFERROR(__xludf.DUMMYFUNCTION("""COMPUTED_VALUE"""),"Дигитална колекция “Българско възраждане” – концепция, развитие и обвързаност с учебния процес в УНИБИТ.")</f>
        <v>Дигитална колекция “Българско възраждане” – концепция, развитие и обвързаност с учебния процес в УНИБИТ.</v>
      </c>
      <c r="D3736" s="10">
        <f ca="1">IFERROR(__xludf.DUMMYFUNCTION("""COMPUTED_VALUE"""),2011)</f>
        <v>2011</v>
      </c>
      <c r="E3736" s="10" t="str">
        <f ca="1">IFERROR(__xludf.DUMMYFUNCTION("""COMPUTED_VALUE"""),"Първа научна конференция по организация, управление и защита на КИН, Арете-Фол, 2011, ISSN 1314-5517")</f>
        <v>Първа научна конференция по организация, управление и защита на КИН, Арете-Фол, 2011, ISSN 1314-5517</v>
      </c>
      <c r="F373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36" s="10"/>
      <c r="H3736" s="10"/>
      <c r="I3736" s="10"/>
      <c r="J3736" s="10"/>
      <c r="K3736" s="10"/>
      <c r="L3736" s="10"/>
      <c r="M3736" s="10"/>
      <c r="N3736" s="10"/>
      <c r="O3736" s="10"/>
      <c r="P3736" s="10"/>
      <c r="Q3736" s="10"/>
      <c r="R3736" s="10"/>
      <c r="S3736" s="10"/>
      <c r="T3736" s="10"/>
      <c r="U3736" s="10"/>
      <c r="V3736" s="10"/>
      <c r="W3736" s="10"/>
      <c r="X3736" s="10"/>
      <c r="Y3736" s="10"/>
      <c r="Z3736" s="10"/>
    </row>
    <row r="3737" spans="1:26" ht="12.75">
      <c r="A3737" s="10" t="str">
        <f ca="1">IFERROR(__xludf.DUMMYFUNCTION("""COMPUTED_VALUE"""),"Иванка Василева Янкова")</f>
        <v>Иванка Василева Янкова</v>
      </c>
      <c r="B3737" s="10" t="str">
        <f ca="1">IFERROR(__xludf.DUMMYFUNCTION("""COMPUTED_VALUE"""),"Статия в списания и поредици")</f>
        <v>Статия в списания и поредици</v>
      </c>
      <c r="C3737" s="10" t="str">
        <f ca="1">IFERROR(__xludf.DUMMYFUNCTION("""COMPUTED_VALUE"""),"Библиотечен мениджмънт в СВУБИТ – нова концепция в библиотечното образование.")</f>
        <v>Библиотечен мениджмънт в СВУБИТ – нова концепция в библиотечното образование.</v>
      </c>
      <c r="D3737" s="10">
        <f ca="1">IFERROR(__xludf.DUMMYFUNCTION("""COMPUTED_VALUE"""),2010)</f>
        <v>2010</v>
      </c>
      <c r="E3737" s="10" t="str">
        <f ca="1">IFERROR(__xludf.DUMMYFUNCTION("""COMPUTED_VALUE"""),"сп. Библиотека, 2010 ISSN: 0861-847X")</f>
        <v>сп. Библиотека, 2010 ISSN: 0861-847X</v>
      </c>
      <c r="F373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37" s="10"/>
      <c r="H3737" s="10"/>
      <c r="I3737" s="10"/>
      <c r="J3737" s="10"/>
      <c r="K3737" s="10"/>
      <c r="L3737" s="10"/>
      <c r="M3737" s="10"/>
      <c r="N3737" s="10"/>
      <c r="O3737" s="10"/>
      <c r="P3737" s="10"/>
      <c r="Q3737" s="10"/>
      <c r="R3737" s="10"/>
      <c r="S3737" s="10"/>
      <c r="T3737" s="10"/>
      <c r="U3737" s="10"/>
      <c r="V3737" s="10"/>
      <c r="W3737" s="10"/>
      <c r="X3737" s="10"/>
      <c r="Y3737" s="10"/>
      <c r="Z3737" s="10"/>
    </row>
    <row r="3738" spans="1:26" ht="12.75">
      <c r="A3738" s="10" t="str">
        <f ca="1">IFERROR(__xludf.DUMMYFUNCTION("""COMPUTED_VALUE"""),"Иванка Василева Янкова")</f>
        <v>Иванка Василева Янкова</v>
      </c>
      <c r="B3738" s="10" t="str">
        <f ca="1">IFERROR(__xludf.DUMMYFUNCTION("""COMPUTED_VALUE"""),"Статия в списания и поредици")</f>
        <v>Статия в списания и поредици</v>
      </c>
      <c r="C3738" s="10" t="str">
        <f ca="1">IFERROR(__xludf.DUMMYFUNCTION("""COMPUTED_VALUE"""),"Библиотеките в информационното общество и управлението на знанието")</f>
        <v>Библиотеките в информационното общество и управлението на знанието</v>
      </c>
      <c r="D3738" s="10">
        <f ca="1">IFERROR(__xludf.DUMMYFUNCTION("""COMPUTED_VALUE"""),2010)</f>
        <v>2010</v>
      </c>
      <c r="E3738" s="10" t="str">
        <f ca="1">IFERROR(__xludf.DUMMYFUNCTION("""COMPUTED_VALUE"""),"Наука, ХХ, 2010, 3, с. 33-41, 2010 ISSN 0861-3362")</f>
        <v>Наука, ХХ, 2010, 3, с. 33-41, 2010 ISSN 0861-3362</v>
      </c>
      <c r="F373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38" s="10" t="str">
        <f ca="1">IFERROR(__xludf.DUMMYFUNCTION("""COMPUTED_VALUE"""),"Румелина Василева")</f>
        <v>Румелина Василева</v>
      </c>
      <c r="H3738" s="10"/>
      <c r="I3738" s="10"/>
      <c r="J3738" s="10"/>
      <c r="K3738" s="10"/>
      <c r="L3738" s="10"/>
      <c r="M3738" s="10"/>
      <c r="N3738" s="10"/>
      <c r="O3738" s="10"/>
      <c r="P3738" s="10"/>
      <c r="Q3738" s="10"/>
      <c r="R3738" s="10"/>
      <c r="S3738" s="10"/>
      <c r="T3738" s="10"/>
      <c r="U3738" s="10"/>
      <c r="V3738" s="10"/>
      <c r="W3738" s="10"/>
      <c r="X3738" s="10"/>
      <c r="Y3738" s="10"/>
      <c r="Z3738" s="10"/>
    </row>
    <row r="3739" spans="1:26" ht="12.75">
      <c r="A3739" s="10" t="str">
        <f ca="1">IFERROR(__xludf.DUMMYFUNCTION("""COMPUTED_VALUE"""),"Иванка Василева Янкова")</f>
        <v>Иванка Василева Янкова</v>
      </c>
      <c r="B3739" s="10" t="str">
        <f ca="1">IFERROR(__xludf.DUMMYFUNCTION("""COMPUTED_VALUE"""),"Статия в списания и поредици")</f>
        <v>Статия в списания и поредици</v>
      </c>
      <c r="C3739" s="10" t="str">
        <f ca="1">IFERROR(__xludf.DUMMYFUNCTION("""COMPUTED_VALUE"""),"Предизвикателства и възможности на информационното обслужване в съвременната университетска библиотека")</f>
        <v>Предизвикателства и възможности на информационното обслужване в съвременната университетска библиотека</v>
      </c>
      <c r="D3739" s="10">
        <f ca="1">IFERROR(__xludf.DUMMYFUNCTION("""COMPUTED_VALUE"""),2010)</f>
        <v>2010</v>
      </c>
      <c r="E3739" s="10" t="str">
        <f ca="1">IFERROR(__xludf.DUMMYFUNCTION("""COMPUTED_VALUE"""),"УИ „Св. св. Кирил и Методий”, 2010 ISBN: 13138138")</f>
        <v>УИ „Св. св. Кирил и Методий”, 2010 ISBN: 13138138</v>
      </c>
      <c r="F373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39" s="10" t="str">
        <f ca="1">IFERROR(__xludf.DUMMYFUNCTION("""COMPUTED_VALUE"""),"Елена Игнатова")</f>
        <v>Елена Игнатова</v>
      </c>
      <c r="H3739" s="10"/>
      <c r="I3739" s="10"/>
      <c r="J3739" s="10"/>
      <c r="K3739" s="10"/>
      <c r="L3739" s="10"/>
      <c r="M3739" s="10"/>
      <c r="N3739" s="10"/>
      <c r="O3739" s="10"/>
      <c r="P3739" s="10"/>
      <c r="Q3739" s="10"/>
      <c r="R3739" s="10"/>
      <c r="S3739" s="10"/>
      <c r="T3739" s="10"/>
      <c r="U3739" s="10"/>
      <c r="V3739" s="10"/>
      <c r="W3739" s="10"/>
      <c r="X3739" s="10"/>
      <c r="Y3739" s="10"/>
      <c r="Z3739" s="10"/>
    </row>
    <row r="3740" spans="1:26" ht="12.75">
      <c r="A3740" s="10" t="str">
        <f ca="1">IFERROR(__xludf.DUMMYFUNCTION("""COMPUTED_VALUE"""),"Иванка Василева Янкова")</f>
        <v>Иванка Василева Янкова</v>
      </c>
      <c r="B3740" s="10"/>
      <c r="C3740" s="10" t="str">
        <f ca="1">IFERROR(__xludf.DUMMYFUNCTION("""COMPUTED_VALUE"""),"Общественият живот в българските градове през Възраждането")</f>
        <v>Общественият живот в българските градове през Възраждането</v>
      </c>
      <c r="D3740" s="10">
        <f ca="1">IFERROR(__xludf.DUMMYFUNCTION("""COMPUTED_VALUE"""),2010)</f>
        <v>2010</v>
      </c>
      <c r="E3740" s="10" t="str">
        <f ca="1">IFERROR(__xludf.DUMMYFUNCTION("""COMPUTED_VALUE"""),"България - кръстопът на култури и цивилизации : Седма национална научна конференция с международно участие, За буквите – О писменехь,2010 ISBN 978-954-8887-91-5")</f>
        <v>България - кръстопът на култури и цивилизации : Седма национална научна конференция с международно участие, За буквите – О писменехь,2010 ISBN 978-954-8887-91-5</v>
      </c>
      <c r="F374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40" s="10"/>
      <c r="H3740" s="10"/>
      <c r="I3740" s="10"/>
      <c r="J3740" s="10"/>
      <c r="K3740" s="10"/>
      <c r="L3740" s="10"/>
      <c r="M3740" s="10"/>
      <c r="N3740" s="10"/>
      <c r="O3740" s="10"/>
      <c r="P3740" s="10"/>
      <c r="Q3740" s="10"/>
      <c r="R3740" s="10"/>
      <c r="S3740" s="10"/>
      <c r="T3740" s="10"/>
      <c r="U3740" s="10"/>
      <c r="V3740" s="10"/>
      <c r="W3740" s="10"/>
      <c r="X3740" s="10"/>
      <c r="Y3740" s="10"/>
      <c r="Z3740" s="10"/>
    </row>
    <row r="3741" spans="1:26" ht="12.75">
      <c r="A3741" s="10" t="str">
        <f ca="1">IFERROR(__xludf.DUMMYFUNCTION("""COMPUTED_VALUE"""),"Иванка Василева Янкова")</f>
        <v>Иванка Василева Янкова</v>
      </c>
      <c r="B3741" s="10" t="str">
        <f ca="1">IFERROR(__xludf.DUMMYFUNCTION("""COMPUTED_VALUE"""),"Статия в списания и поредици")</f>
        <v>Статия в списания и поредици</v>
      </c>
      <c r="C3741" s="10" t="str">
        <f ca="1">IFERROR(__xludf.DUMMYFUNCTION("""COMPUTED_VALUE"""),"Търсене и предлагане на знания в услуга на НИР. Управление на информатичната грамотност.")</f>
        <v>Търсене и предлагане на знания в услуга на НИР. Управление на информатичната грамотност.</v>
      </c>
      <c r="D3741" s="10">
        <f ca="1">IFERROR(__xludf.DUMMYFUNCTION("""COMPUTED_VALUE"""),2010)</f>
        <v>2010</v>
      </c>
      <c r="E3741" s="10" t="str">
        <f ca="1">IFERROR(__xludf.DUMMYFUNCTION("""COMPUTED_VALUE"""),"Библиотечният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 Шумен : Фабер, 2010"&amp;", с. 152-172,ISBN 978-954-400-249-7")</f>
        <v>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 Шумен : Фабер, 2010, с. 152-172,ISBN 978-954-400-249-7</v>
      </c>
      <c r="F374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41" s="10" t="str">
        <f ca="1">IFERROR(__xludf.DUMMYFUNCTION("""COMPUTED_VALUE"""),"Румелина Василева Станка Ценова")</f>
        <v>Румелина Василева Станка Ценова</v>
      </c>
      <c r="H3741" s="10"/>
      <c r="I3741" s="10"/>
      <c r="J3741" s="10"/>
      <c r="K3741" s="10"/>
      <c r="L3741" s="10"/>
      <c r="M3741" s="10"/>
      <c r="N3741" s="10"/>
      <c r="O3741" s="10"/>
      <c r="P3741" s="10"/>
      <c r="Q3741" s="10"/>
      <c r="R3741" s="10"/>
      <c r="S3741" s="10"/>
      <c r="T3741" s="10"/>
      <c r="U3741" s="10"/>
      <c r="V3741" s="10"/>
      <c r="W3741" s="10"/>
      <c r="X3741" s="10"/>
      <c r="Y3741" s="10"/>
      <c r="Z3741" s="10"/>
    </row>
    <row r="3742" spans="1:26" ht="12.75">
      <c r="A3742" s="10" t="str">
        <f ca="1">IFERROR(__xludf.DUMMYFUNCTION("""COMPUTED_VALUE"""),"Иванка Василева Янкова")</f>
        <v>Иванка Василева Янкова</v>
      </c>
      <c r="B3742" s="10" t="str">
        <f ca="1">IFERROR(__xludf.DUMMYFUNCTION("""COMPUTED_VALUE"""),"Доклад от конференция")</f>
        <v>Доклад от конференция</v>
      </c>
      <c r="C3742" s="10" t="str">
        <f ca="1">IFERROR(__xludf.DUMMYFUNCTION("""COMPUTED_VALUE"""),"Маркетинг на библиотечно-информационните услуги")</f>
        <v>Маркетинг на библиотечно-информационните услуги</v>
      </c>
      <c r="D3742" s="10">
        <f ca="1">IFERROR(__xludf.DUMMYFUNCTION("""COMPUTED_VALUE"""),2009)</f>
        <v>2009</v>
      </c>
      <c r="E3742" s="10" t="str">
        <f ca="1">IFERROR(__xludf.DUMMYFUNCTION("""COMPUTED_VALUE"""),"Връзки с обществеността и промоционални техники : Сб. София : WINI 1837, 2009, с. 9-24. ISBN 978-954-9437-07-2")</f>
        <v>Връзки с обществеността и промоционални техники : Сб. София : WINI 1837, 2009, с. 9-24. ISBN 978-954-9437-07-2</v>
      </c>
      <c r="F3742" s="10"/>
      <c r="G3742" s="10"/>
      <c r="H3742" s="10"/>
      <c r="I3742" s="10"/>
      <c r="J3742" s="10"/>
      <c r="K3742" s="10"/>
      <c r="L3742" s="10"/>
      <c r="M3742" s="10"/>
      <c r="N3742" s="10"/>
      <c r="O3742" s="10"/>
      <c r="P3742" s="10"/>
      <c r="Q3742" s="10"/>
      <c r="R3742" s="10"/>
      <c r="S3742" s="10"/>
      <c r="T3742" s="10"/>
      <c r="U3742" s="10"/>
      <c r="V3742" s="10"/>
      <c r="W3742" s="10"/>
      <c r="X3742" s="10"/>
      <c r="Y3742" s="10"/>
      <c r="Z3742" s="10"/>
    </row>
    <row r="3743" spans="1:26" ht="12.75">
      <c r="A3743" s="10" t="str">
        <f ca="1">IFERROR(__xludf.DUMMYFUNCTION("""COMPUTED_VALUE"""),"Иванка Василева Янкова")</f>
        <v>Иванка Василева Янкова</v>
      </c>
      <c r="B3743" s="10" t="str">
        <f ca="1">IFERROR(__xludf.DUMMYFUNCTION("""COMPUTED_VALUE"""),"Статия в списания и поредици")</f>
        <v>Статия в списания и поредици</v>
      </c>
      <c r="C3743" s="10" t="str">
        <f ca="1">IFERROR(__xludf.DUMMYFUNCTION("""COMPUTED_VALUE"""),"Библиотеката като образователен център за формиране на информационната грамотност на потребителите")</f>
        <v>Библиотеката като образователен център за формиране на информационната грамотност на потребителите</v>
      </c>
      <c r="D3743" s="10">
        <f ca="1">IFERROR(__xludf.DUMMYFUNCTION("""COMPUTED_VALUE"""),2009)</f>
        <v>2009</v>
      </c>
      <c r="E3743" s="10" t="str">
        <f ca="1">IFERROR(__xludf.DUMMYFUNCTION("""COMPUTED_VALUE"""),"Наръчник по информационна компетентност : Сборник. – София: WINI 1837, 2009, с. 120-137. ISBN 978-954-9437-08-9")</f>
        <v>Наръчник по информационна компетентност : Сборник. – София: WINI 1837, 2009, с. 120-137. ISBN 978-954-9437-08-9</v>
      </c>
      <c r="F3743" s="10"/>
      <c r="G3743" s="10"/>
      <c r="H3743" s="10"/>
      <c r="I3743" s="10"/>
      <c r="J3743" s="10"/>
      <c r="K3743" s="10"/>
      <c r="L3743" s="10"/>
      <c r="M3743" s="10"/>
      <c r="N3743" s="10"/>
      <c r="O3743" s="10"/>
      <c r="P3743" s="10"/>
      <c r="Q3743" s="10"/>
      <c r="R3743" s="10"/>
      <c r="S3743" s="10"/>
      <c r="T3743" s="10"/>
      <c r="U3743" s="10"/>
      <c r="V3743" s="10"/>
      <c r="W3743" s="10"/>
      <c r="X3743" s="10"/>
      <c r="Y3743" s="10"/>
      <c r="Z3743" s="10"/>
    </row>
    <row r="3744" spans="1:26" ht="12.75">
      <c r="A3744" s="10" t="str">
        <f ca="1">IFERROR(__xludf.DUMMYFUNCTION("""COMPUTED_VALUE"""),"Иванка Василева Янкова")</f>
        <v>Иванка Василева Янкова</v>
      </c>
      <c r="B3744" s="10" t="str">
        <f ca="1">IFERROR(__xludf.DUMMYFUNCTION("""COMPUTED_VALUE"""),"Монография")</f>
        <v>Монография</v>
      </c>
      <c r="C3744" s="10" t="str">
        <f ca="1">IFERROR(__xludf.DUMMYFUNCTION("""COMPUTED_VALUE"""),"Нормативна уредба на библиотеките в България")</f>
        <v>Нормативна уредба на библиотеките в България</v>
      </c>
      <c r="D3744" s="10">
        <f ca="1">IFERROR(__xludf.DUMMYFUNCTION("""COMPUTED_VALUE"""),2009)</f>
        <v>2009</v>
      </c>
      <c r="E3744" s="10" t="str">
        <f ca="1">IFERROR(__xludf.DUMMYFUNCTION("""COMPUTED_VALUE"""),"За Буквите – О писменехь, 223 с. ISBN 978-954-8887-51-9")</f>
        <v>За Буквите – О писменехь, 223 с. ISBN 978-954-8887-51-9</v>
      </c>
      <c r="F374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44" s="10"/>
      <c r="H3744" s="10"/>
      <c r="I3744" s="10"/>
      <c r="J3744" s="10"/>
      <c r="K3744" s="10"/>
      <c r="L3744" s="10"/>
      <c r="M3744" s="10"/>
      <c r="N3744" s="10"/>
      <c r="O3744" s="10"/>
      <c r="P3744" s="10"/>
      <c r="Q3744" s="10"/>
      <c r="R3744" s="10"/>
      <c r="S3744" s="10"/>
      <c r="T3744" s="10"/>
      <c r="U3744" s="10"/>
      <c r="V3744" s="10"/>
      <c r="W3744" s="10"/>
      <c r="X3744" s="10"/>
      <c r="Y3744" s="10"/>
      <c r="Z3744" s="10"/>
    </row>
    <row r="3745" spans="1:26" ht="12.75">
      <c r="A3745" s="10" t="str">
        <f ca="1">IFERROR(__xludf.DUMMYFUNCTION("""COMPUTED_VALUE"""),"Иванка Василева Янкова")</f>
        <v>Иванка Василева Янкова</v>
      </c>
      <c r="B3745" s="10" t="str">
        <f ca="1">IFERROR(__xludf.DUMMYFUNCTION("""COMPUTED_VALUE"""),"Статия в списания и поредици")</f>
        <v>Статия в списания и поредици</v>
      </c>
      <c r="C3745" s="10" t="str">
        <f ca="1">IFERROR(__xludf.DUMMYFUNCTION("""COMPUTED_VALUE"""),"Огнище и светилник на просветата. Светското класно новобългарско училище през Възраждането.")</f>
        <v>Огнище и светилник на просветата. Светското класно новобългарско училище през Възраждането.</v>
      </c>
      <c r="D3745" s="10">
        <f ca="1">IFERROR(__xludf.DUMMYFUNCTION("""COMPUTED_VALUE"""),2009)</f>
        <v>2009</v>
      </c>
      <c r="E3745" s="10" t="str">
        <f ca="1">IFERROR(__xludf.DUMMYFUNCTION("""COMPUTED_VALUE"""),"Светското класно новобългарско училище през Възраждането. За Буквите : Кирило-Методиевски вестник, № 31, ISSN 1312-3785")</f>
        <v>Светското класно новобългарско училище през Възраждането. За Буквите : Кирило-Методиевски вестник, № 31, ISSN 1312-3785</v>
      </c>
      <c r="F374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45" s="10"/>
      <c r="H3745" s="10"/>
      <c r="I3745" s="10"/>
      <c r="J3745" s="10"/>
      <c r="K3745" s="10"/>
      <c r="L3745" s="10"/>
      <c r="M3745" s="10"/>
      <c r="N3745" s="10"/>
      <c r="O3745" s="10"/>
      <c r="P3745" s="10"/>
      <c r="Q3745" s="10"/>
      <c r="R3745" s="10"/>
      <c r="S3745" s="10"/>
      <c r="T3745" s="10"/>
      <c r="U3745" s="10"/>
      <c r="V3745" s="10"/>
      <c r="W3745" s="10"/>
      <c r="X3745" s="10"/>
      <c r="Y3745" s="10"/>
      <c r="Z3745" s="10"/>
    </row>
    <row r="3746" spans="1:26" ht="12.75">
      <c r="A3746" s="10" t="str">
        <f ca="1">IFERROR(__xludf.DUMMYFUNCTION("""COMPUTED_VALUE"""),"Иванка Василева Янкова")</f>
        <v>Иванка Василева Янкова</v>
      </c>
      <c r="B3746" s="10" t="str">
        <f ca="1">IFERROR(__xludf.DUMMYFUNCTION("""COMPUTED_VALUE"""),"Книга")</f>
        <v>Книга</v>
      </c>
      <c r="C3746" s="10" t="str">
        <f ca="1">IFERROR(__xludf.DUMMYFUNCTION("""COMPUTED_VALUE"""),"Огнища на духовна пробуда. Изгревът на светлината по българските земи")</f>
        <v>Огнища на духовна пробуда. Изгревът на светлината по българските земи</v>
      </c>
      <c r="D3746" s="10">
        <f ca="1">IFERROR(__xludf.DUMMYFUNCTION("""COMPUTED_VALUE"""),2008)</f>
        <v>2008</v>
      </c>
      <c r="E3746" s="10" t="str">
        <f ca="1">IFERROR(__xludf.DUMMYFUNCTION("""COMPUTED_VALUE"""),"УИ „Св. Климент Охридски“ ISBN 978-954-0727-073")</f>
        <v>УИ „Св. Климент Охридски“ ISBN 978-954-0727-073</v>
      </c>
      <c r="F374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46" s="10"/>
      <c r="H3746" s="10"/>
      <c r="I3746" s="10"/>
      <c r="J3746" s="10"/>
      <c r="K3746" s="10"/>
      <c r="L3746" s="10"/>
      <c r="M3746" s="10"/>
      <c r="N3746" s="10"/>
      <c r="O3746" s="10"/>
      <c r="P3746" s="10"/>
      <c r="Q3746" s="10"/>
      <c r="R3746" s="10"/>
      <c r="S3746" s="10"/>
      <c r="T3746" s="10"/>
      <c r="U3746" s="10"/>
      <c r="V3746" s="10"/>
      <c r="W3746" s="10"/>
      <c r="X3746" s="10"/>
      <c r="Y3746" s="10"/>
      <c r="Z3746" s="10"/>
    </row>
    <row r="3747" spans="1:26" ht="12.75">
      <c r="A3747" s="10" t="str">
        <f ca="1">IFERROR(__xludf.DUMMYFUNCTION("""COMPUTED_VALUE"""),"Иванка Василева Янкова")</f>
        <v>Иванка Василева Янкова</v>
      </c>
      <c r="B3747" s="10" t="str">
        <f ca="1">IFERROR(__xludf.DUMMYFUNCTION("""COMPUTED_VALUE"""),"Книга")</f>
        <v>Книга</v>
      </c>
      <c r="C3747" s="10" t="str">
        <f ca="1">IFERROR(__xludf.DUMMYFUNCTION("""COMPUTED_VALUE"""),"Пламъци от пепелта: Встъпителен анализ към първата част на изследването “Българските градове през Възраждането”.")</f>
        <v>Пламъци от пепелта: Встъпителен анализ към първата част на изследването “Българските градове през Възраждането”.</v>
      </c>
      <c r="D3747" s="10">
        <f ca="1">IFERROR(__xludf.DUMMYFUNCTION("""COMPUTED_VALUE"""),2004)</f>
        <v>2004</v>
      </c>
      <c r="E3747" s="10" t="str">
        <f ca="1">IFERROR(__xludf.DUMMYFUNCTION("""COMPUTED_VALUE"""),"С., УИ “Св. Климент Охридски”, 2004, с. 405, ISBN 954-07-2083-4")</f>
        <v>С., УИ “Св. Климент Охридски”, 2004, с. 405, ISBN 954-07-2083-4</v>
      </c>
      <c r="F3747" s="10"/>
      <c r="G3747" s="10" t="str">
        <f ca="1">IFERROR(__xludf.DUMMYFUNCTION("""COMPUTED_VALUE"""),"Семов, Минчо")</f>
        <v>Семов, Минчо</v>
      </c>
      <c r="H3747" s="10"/>
      <c r="I3747" s="10"/>
      <c r="J3747" s="10"/>
      <c r="K3747" s="10"/>
      <c r="L3747" s="10"/>
      <c r="M3747" s="10"/>
      <c r="N3747" s="10"/>
      <c r="O3747" s="10"/>
      <c r="P3747" s="10"/>
      <c r="Q3747" s="10"/>
      <c r="R3747" s="10"/>
      <c r="S3747" s="10"/>
      <c r="T3747" s="10"/>
      <c r="U3747" s="10"/>
      <c r="V3747" s="10"/>
      <c r="W3747" s="10"/>
      <c r="X3747" s="10"/>
      <c r="Y3747" s="10"/>
      <c r="Z3747" s="10"/>
    </row>
    <row r="3748" spans="1:26" ht="12.75">
      <c r="A3748" s="10" t="str">
        <f ca="1">IFERROR(__xludf.DUMMYFUNCTION("""COMPUTED_VALUE"""),"Иванка Василева Янкова")</f>
        <v>Иванка Василева Янкова</v>
      </c>
      <c r="B3748" s="10" t="str">
        <f ca="1">IFERROR(__xludf.DUMMYFUNCTION("""COMPUTED_VALUE"""),"Книга")</f>
        <v>Книга</v>
      </c>
      <c r="C3748" s="10" t="str">
        <f ca="1">IFERROR(__xludf.DUMMYFUNCTION("""COMPUTED_VALUE"""),"Българските градове през Възраждането: Истор., социол. и политол. изследване.")</f>
        <v>Българските градове през Възраждането: Истор., социол. и политол. изследване.</v>
      </c>
      <c r="D3748" s="10">
        <f ca="1">IFERROR(__xludf.DUMMYFUNCTION("""COMPUTED_VALUE"""),2004)</f>
        <v>2004</v>
      </c>
      <c r="E3748" s="10" t="str">
        <f ca="1">IFERROR(__xludf.DUMMYFUNCTION("""COMPUTED_VALUE"""),"УИ “Св. Климент Охридски”, 2004, с. 1024, ISBN 954-07-2084-2")</f>
        <v>УИ “Св. Климент Охридски”, 2004, с. 1024, ISBN 954-07-2084-2</v>
      </c>
      <c r="F3748" s="10"/>
      <c r="G3748" s="10" t="str">
        <f ca="1">IFERROR(__xludf.DUMMYFUNCTION("""COMPUTED_VALUE"""),"Семов, Минчо")</f>
        <v>Семов, Минчо</v>
      </c>
      <c r="H3748" s="10"/>
      <c r="I3748" s="10"/>
      <c r="J3748" s="10"/>
      <c r="K3748" s="10"/>
      <c r="L3748" s="10"/>
      <c r="M3748" s="10"/>
      <c r="N3748" s="10"/>
      <c r="O3748" s="10"/>
      <c r="P3748" s="10"/>
      <c r="Q3748" s="10"/>
      <c r="R3748" s="10"/>
      <c r="S3748" s="10"/>
      <c r="T3748" s="10"/>
      <c r="U3748" s="10"/>
      <c r="V3748" s="10"/>
      <c r="W3748" s="10"/>
      <c r="X3748" s="10"/>
      <c r="Y3748" s="10"/>
      <c r="Z3748" s="10"/>
    </row>
    <row r="3749" spans="1:26" ht="12.75">
      <c r="A3749" s="10" t="str">
        <f ca="1">IFERROR(__xludf.DUMMYFUNCTION("""COMPUTED_VALUE"""),"Иванка Василева Янкова")</f>
        <v>Иванка Василева Янкова</v>
      </c>
      <c r="B3749" s="10" t="str">
        <f ca="1">IFERROR(__xludf.DUMMYFUNCTION("""COMPUTED_VALUE"""),"Книга")</f>
        <v>Книга</v>
      </c>
      <c r="C3749" s="10" t="str">
        <f ca="1">IFERROR(__xludf.DUMMYFUNCTION("""COMPUTED_VALUE"""),"Модерната библиотека: Мястото на Университетската библиотека в съвременното образование.")</f>
        <v>Модерната библиотека: Мястото на Университетската библиотека в съвременното образование.</v>
      </c>
      <c r="D3749" s="10">
        <f ca="1">IFERROR(__xludf.DUMMYFUNCTION("""COMPUTED_VALUE"""),2004)</f>
        <v>2004</v>
      </c>
      <c r="E3749" s="10" t="str">
        <f ca="1">IFERROR(__xludf.DUMMYFUNCTION("""COMPUTED_VALUE"""),"УИ “Св. Климент Охридски”, 2004, с. 140, ISBN 954-07-2105-9")</f>
        <v>УИ “Св. Климент Охридски”, 2004, с. 140, ISBN 954-07-2105-9</v>
      </c>
      <c r="F3749" s="10"/>
      <c r="G3749" s="10"/>
      <c r="H3749" s="10"/>
      <c r="I3749" s="10"/>
      <c r="J3749" s="10"/>
      <c r="K3749" s="10"/>
      <c r="L3749" s="10"/>
      <c r="M3749" s="10"/>
      <c r="N3749" s="10"/>
      <c r="O3749" s="10"/>
      <c r="P3749" s="10"/>
      <c r="Q3749" s="10"/>
      <c r="R3749" s="10"/>
      <c r="S3749" s="10"/>
      <c r="T3749" s="10"/>
      <c r="U3749" s="10"/>
      <c r="V3749" s="10"/>
      <c r="W3749" s="10"/>
      <c r="X3749" s="10"/>
      <c r="Y3749" s="10"/>
      <c r="Z3749" s="10"/>
    </row>
    <row r="3750" spans="1:26" ht="12.75">
      <c r="A3750" s="10" t="str">
        <f ca="1">IFERROR(__xludf.DUMMYFUNCTION("""COMPUTED_VALUE"""),"Иванка Василева Янкова")</f>
        <v>Иванка Василева Янкова</v>
      </c>
      <c r="B3750" s="10" t="str">
        <f ca="1">IFERROR(__xludf.DUMMYFUNCTION("""COMPUTED_VALUE"""),"Доклад от конференция")</f>
        <v>Доклад от конференция</v>
      </c>
      <c r="C3750" s="10" t="str">
        <f ca="1">IFERROR(__xludf.DUMMYFUNCTION("""COMPUTED_VALUE"""),"Университетската библиотека – образователен център за формиране на новия тип мултимедийна грамотност")</f>
        <v>Университетската библиотека – образователен център за формиране на новия тип мултимедийна грамотност</v>
      </c>
      <c r="D3750" s="10">
        <f ca="1">IFERROR(__xludf.DUMMYFUNCTION("""COMPUTED_VALUE"""),2003)</f>
        <v>2003</v>
      </c>
      <c r="E3750" s="10" t="str">
        <f ca="1">IFERROR(__xludf.DUMMYFUNCTION("""COMPUTED_VALUE"""),"Библиотеки, четене, комуникации : Нац. науч. конф., ноем. 2002 г., Велико Търново, 2003, с. 55-60. ISBN 954-524-368-6")</f>
        <v>Библиотеки, четене, комуникации : Нац. науч. конф., ноем. 2002 г., Велико Търново, 2003, с. 55-60. ISBN 954-524-368-6</v>
      </c>
      <c r="F3750" s="10"/>
      <c r="G3750" s="10"/>
      <c r="H3750" s="10"/>
      <c r="I3750" s="10"/>
      <c r="J3750" s="10"/>
      <c r="K3750" s="10"/>
      <c r="L3750" s="10"/>
      <c r="M3750" s="10"/>
      <c r="N3750" s="10"/>
      <c r="O3750" s="10"/>
      <c r="P3750" s="10"/>
      <c r="Q3750" s="10"/>
      <c r="R3750" s="10"/>
      <c r="S3750" s="10"/>
      <c r="T3750" s="10"/>
      <c r="U3750" s="10"/>
      <c r="V3750" s="10"/>
      <c r="W3750" s="10"/>
      <c r="X3750" s="10"/>
      <c r="Y3750" s="10"/>
      <c r="Z3750" s="10"/>
    </row>
    <row r="3751" spans="1:26" ht="12.75">
      <c r="A3751" s="10" t="str">
        <f ca="1">IFERROR(__xludf.DUMMYFUNCTION("""COMPUTED_VALUE"""),"Иванка Василева Янкова")</f>
        <v>Иванка Василева Янкова</v>
      </c>
      <c r="B3751" s="10" t="str">
        <f ca="1">IFERROR(__xludf.DUMMYFUNCTION("""COMPUTED_VALUE"""),"Доклад от конференция")</f>
        <v>Доклад от конференция</v>
      </c>
      <c r="C3751" s="10" t="str">
        <f ca="1">IFERROR(__xludf.DUMMYFUNCTION("""COMPUTED_VALUE"""),"Нови възможности за междубиблиотечно сътрудничество за информационно осигуряване на хора с увреждания")</f>
        <v>Нови възможности за междубиблиотечно сътрудничество за информационно осигуряване на хора с увреждания</v>
      </c>
      <c r="D3751" s="10">
        <f ca="1">IFERROR(__xludf.DUMMYFUNCTION("""COMPUTED_VALUE"""),2003)</f>
        <v>2003</v>
      </c>
      <c r="E3751" s="10" t="str">
        <f ca="1">IFERROR(__xludf.DUMMYFUNCTION("""COMPUTED_VALUE"""),"Библиотечното сътрудничество – настояще и бъдеще. Идеи и перспективи за изследване в областта на писмените комуникации: Сборник докл. от ХІІІ Нац. науч. конф. на СБИР, София, 5-6 юни 2003 г.. - София, СБИР, 2004, с. 14-17; ISBN 954-9837-10-6")</f>
        <v>Библиотечното сътрудничество – настояще и бъдеще. Идеи и перспективи за изследване в областта на писмените комуникации: Сборник докл. от ХІІІ Нац. науч. конф. на СБИР, София, 5-6 юни 2003 г.. - София, СБИР, 2004, с. 14-17; ISBN 954-9837-10-6</v>
      </c>
      <c r="F3751" s="10"/>
      <c r="G3751" s="10"/>
      <c r="H3751" s="10"/>
      <c r="I3751" s="10"/>
      <c r="J3751" s="10"/>
      <c r="K3751" s="10"/>
      <c r="L3751" s="10"/>
      <c r="M3751" s="10"/>
      <c r="N3751" s="10"/>
      <c r="O3751" s="10"/>
      <c r="P3751" s="10"/>
      <c r="Q3751" s="10"/>
      <c r="R3751" s="10"/>
      <c r="S3751" s="10"/>
      <c r="T3751" s="10"/>
      <c r="U3751" s="10"/>
      <c r="V3751" s="10"/>
      <c r="W3751" s="10"/>
      <c r="X3751" s="10"/>
      <c r="Y3751" s="10"/>
      <c r="Z3751" s="10"/>
    </row>
    <row r="3752" spans="1:26" ht="12.75">
      <c r="A3752" s="10" t="str">
        <f ca="1">IFERROR(__xludf.DUMMYFUNCTION("""COMPUTED_VALUE"""),"Иванка Василева Янкова")</f>
        <v>Иванка Василева Янкова</v>
      </c>
      <c r="B3752" s="10" t="str">
        <f ca="1">IFERROR(__xludf.DUMMYFUNCTION("""COMPUTED_VALUE"""),"Книга")</f>
        <v>Книга</v>
      </c>
      <c r="C3752" s="10" t="str">
        <f ca="1">IFERROR(__xludf.DUMMYFUNCTION("""COMPUTED_VALUE"""),"Университетската библиотека в съвременността")</f>
        <v>Университетската библиотека в съвременността</v>
      </c>
      <c r="D3752" s="10">
        <f ca="1">IFERROR(__xludf.DUMMYFUNCTION("""COMPUTED_VALUE"""),2002)</f>
        <v>2002</v>
      </c>
      <c r="E3752" s="10" t="str">
        <f ca="1">IFERROR(__xludf.DUMMYFUNCTION("""COMPUTED_VALUE"""),"- София: Унив. изд. Св. Кл. Охридски, 2002. - 80 с. ISBN 954-07-1710-8")</f>
        <v>- София: Унив. изд. Св. Кл. Охридски, 2002. - 80 с. ISBN 954-07-1710-8</v>
      </c>
      <c r="F3752" s="10"/>
      <c r="G3752" s="10"/>
      <c r="H3752" s="10"/>
      <c r="I3752" s="10"/>
      <c r="J3752" s="10"/>
      <c r="K3752" s="10"/>
      <c r="L3752" s="10"/>
      <c r="M3752" s="10"/>
      <c r="N3752" s="10"/>
      <c r="O3752" s="10"/>
      <c r="P3752" s="10"/>
      <c r="Q3752" s="10"/>
      <c r="R3752" s="10"/>
      <c r="S3752" s="10"/>
      <c r="T3752" s="10"/>
      <c r="U3752" s="10"/>
      <c r="V3752" s="10"/>
      <c r="W3752" s="10"/>
      <c r="X3752" s="10"/>
      <c r="Y3752" s="10"/>
      <c r="Z3752" s="10"/>
    </row>
    <row r="3753" spans="1:26" ht="12.75">
      <c r="A3753" s="10" t="str">
        <f ca="1">IFERROR(__xludf.DUMMYFUNCTION("""COMPUTED_VALUE"""),"Иванка Василева Янкова")</f>
        <v>Иванка Василева Янкова</v>
      </c>
      <c r="B3753" s="10" t="str">
        <f ca="1">IFERROR(__xludf.DUMMYFUNCTION("""COMPUTED_VALUE"""),"Статия в списания и поредици")</f>
        <v>Статия в списания и поредици</v>
      </c>
      <c r="C3753" s="10" t="str">
        <f ca="1">IFERROR(__xludf.DUMMYFUNCTION("""COMPUTED_VALUE"""),"Управление на информационните ресурси в университетските библиотеки в прехода към дигитални библиотеки")</f>
        <v>Управление на информационните ресурси в университетските библиотеки в прехода към дигитални библиотеки</v>
      </c>
      <c r="D3753" s="10">
        <f ca="1">IFERROR(__xludf.DUMMYFUNCTION("""COMPUTED_VALUE"""),2002)</f>
        <v>2002</v>
      </c>
      <c r="E3753" s="10" t="str">
        <f ca="1">IFERROR(__xludf.DUMMYFUNCTION("""COMPUTED_VALUE"""),"Наука, 2002, № 4, с. 15-17. ISSN 0861-3362")</f>
        <v>Наука, 2002, № 4, с. 15-17. ISSN 0861-3362</v>
      </c>
      <c r="F3753" s="10"/>
      <c r="G3753" s="10"/>
      <c r="H3753" s="10"/>
      <c r="I3753" s="10"/>
      <c r="J3753" s="10"/>
      <c r="K3753" s="10"/>
      <c r="L3753" s="10"/>
      <c r="M3753" s="10"/>
      <c r="N3753" s="10"/>
      <c r="O3753" s="10"/>
      <c r="P3753" s="10"/>
      <c r="Q3753" s="10"/>
      <c r="R3753" s="10"/>
      <c r="S3753" s="10"/>
      <c r="T3753" s="10"/>
      <c r="U3753" s="10"/>
      <c r="V3753" s="10"/>
      <c r="W3753" s="10"/>
      <c r="X3753" s="10"/>
      <c r="Y3753" s="10"/>
      <c r="Z3753" s="10"/>
    </row>
    <row r="3754" spans="1:26" ht="12.75">
      <c r="A3754" s="10" t="str">
        <f ca="1">IFERROR(__xludf.DUMMYFUNCTION("""COMPUTED_VALUE"""),"Иванка Гервазиева Павлова")</f>
        <v>Иванка Гервазиева Павлова</v>
      </c>
      <c r="B3754" s="10" t="str">
        <f ca="1">IFERROR(__xludf.DUMMYFUNCTION("""COMPUTED_VALUE"""),"Доклад от конференция")</f>
        <v>Доклад от конференция</v>
      </c>
      <c r="C3754" s="10" t="str">
        <f ca="1">IFERROR(__xludf.DUMMYFUNCTION("""COMPUTED_VALUE"""),"Strategy for creating and managing a university image as a key factor in enhancing learners confidence in the educational institution")</f>
        <v>Strategy for creating and managing a university image as a key factor in enhancing learners confidence in the educational institution</v>
      </c>
      <c r="D3754" s="10">
        <f ca="1">IFERROR(__xludf.DUMMYFUNCTION("""COMPUTED_VALUE"""),2019)</f>
        <v>2019</v>
      </c>
      <c r="E3754" s="10" t="str">
        <f ca="1">IFERROR(__xludf.DUMMYFUNCTION("""COMPUTED_VALUE"""),"EDULEARN19 Proceedings, pp. 2732-2735, ISBN: 978-84-09-12031-4, doi: 10.21125/edulearn.2019.0746")</f>
        <v>EDULEARN19 Proceedings, pp. 2732-2735, ISBN: 978-84-09-12031-4, doi: 10.21125/edulearn.2019.0746</v>
      </c>
      <c r="F3754" s="10" t="str">
        <f ca="1">IFERROR(__xludf.DUMMYFUNCTION("""COMPUTED_VALUE"""),"Web of Science")</f>
        <v>Web of Science</v>
      </c>
      <c r="G3754" s="10" t="str">
        <f ca="1">IFERROR(__xludf.DUMMYFUNCTION("""COMPUTED_VALUE"""),"Pavlova, M.,Tsekova S.,")</f>
        <v>Pavlova, M.,Tsekova S.,</v>
      </c>
      <c r="H3754" s="10"/>
      <c r="I3754" s="10"/>
      <c r="J3754" s="10"/>
      <c r="K3754" s="10"/>
      <c r="L3754" s="10"/>
      <c r="M3754" s="10"/>
      <c r="N3754" s="10"/>
      <c r="O3754" s="10"/>
      <c r="P3754" s="10"/>
      <c r="Q3754" s="10"/>
      <c r="R3754" s="10"/>
      <c r="S3754" s="10"/>
      <c r="T3754" s="10"/>
      <c r="U3754" s="10"/>
      <c r="V3754" s="10"/>
      <c r="W3754" s="10"/>
      <c r="X3754" s="10"/>
      <c r="Y3754" s="10"/>
      <c r="Z3754" s="10"/>
    </row>
    <row r="3755" spans="1:26" ht="12.75">
      <c r="A3755" s="10" t="str">
        <f ca="1">IFERROR(__xludf.DUMMYFUNCTION("""COMPUTED_VALUE"""),"Иванка Гервазиева Павлова")</f>
        <v>Иванка Гервазиева Павлова</v>
      </c>
      <c r="B3755" s="10" t="str">
        <f ca="1">IFERROR(__xludf.DUMMYFUNCTION("""COMPUTED_VALUE"""),"Доклад от конференция")</f>
        <v>Доклад от конференция</v>
      </c>
      <c r="C3755" s="10" t="str">
        <f ca="1">IFERROR(__xludf.DUMMYFUNCTION("""COMPUTED_VALUE"""),"Комуникационни технологии при създаването на имиджа на университет")</f>
        <v>Комуникационни технологии при създаването на имиджа на университет</v>
      </c>
      <c r="D3755" s="10">
        <f ca="1">IFERROR(__xludf.DUMMYFUNCTION("""COMPUTED_VALUE"""),2019)</f>
        <v>2019</v>
      </c>
      <c r="E3755" s="10" t="str">
        <f ca="1">IFERROR(__xludf.DUMMYFUNCTION("""COMPUTED_VALUE"""),"Сборник с доклади от проведена кръгла маса на тема„Формиране на имидж и стратегическо управление в университетска информационна среда“. УИ „За буквите – О писменехь“ София. 2019. ISBN 978-619-185.")</f>
        <v>Сборник с доклади от проведена кръгла маса на тема„Формиране на имидж и стратегическо управление в университетска информационна среда“. УИ „За буквите – О писменехь“ София. 2019. ISBN 978-619-185.</v>
      </c>
      <c r="F3755" s="10"/>
      <c r="G3755" s="10" t="str">
        <f ca="1">IFERROR(__xludf.DUMMYFUNCTION("""COMPUTED_VALUE"""),"Петева, И., Денчев, С.")</f>
        <v>Петева, И., Денчев, С.</v>
      </c>
      <c r="H3755" s="10"/>
      <c r="I3755" s="10"/>
      <c r="J3755" s="10"/>
      <c r="K3755" s="10"/>
      <c r="L3755" s="10"/>
      <c r="M3755" s="10"/>
      <c r="N3755" s="10"/>
      <c r="O3755" s="10"/>
      <c r="P3755" s="10"/>
      <c r="Q3755" s="10"/>
      <c r="R3755" s="10"/>
      <c r="S3755" s="10"/>
      <c r="T3755" s="10"/>
      <c r="U3755" s="10"/>
      <c r="V3755" s="10"/>
      <c r="W3755" s="10"/>
      <c r="X3755" s="10"/>
      <c r="Y3755" s="10"/>
      <c r="Z3755" s="10"/>
    </row>
    <row r="3756" spans="1:26" ht="12.75">
      <c r="A3756" s="10" t="str">
        <f ca="1">IFERROR(__xludf.DUMMYFUNCTION("""COMPUTED_VALUE"""),"Иванка Гервазиева Павлова")</f>
        <v>Иванка Гервазиева Павлова</v>
      </c>
      <c r="B3756" s="10" t="str">
        <f ca="1">IFERROR(__xludf.DUMMYFUNCTION("""COMPUTED_VALUE"""),"Статия в списания и поредици")</f>
        <v>Статия в списания и поредици</v>
      </c>
      <c r="C3756" s="10" t="str">
        <f ca="1">IFERROR(__xludf.DUMMYFUNCTION("""COMPUTED_VALUE"""),"Комуникационен модел на интерактивна образователна среда")</f>
        <v>Комуникационен модел на интерактивна образователна среда</v>
      </c>
      <c r="D3756" s="10">
        <f ca="1">IFERROR(__xludf.DUMMYFUNCTION("""COMPUTED_VALUE"""),2018)</f>
        <v>2018</v>
      </c>
      <c r="E3756"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v>
      </c>
      <c r="F3756" s="10"/>
      <c r="G3756" s="10" t="str">
        <f ca="1">IFERROR(__xludf.DUMMYFUNCTION("""COMPUTED_VALUE"""),"Иванка Янкова, Силвия Станчева")</f>
        <v>Иванка Янкова, Силвия Станчева</v>
      </c>
      <c r="H3756" s="10"/>
      <c r="I3756" s="10"/>
      <c r="J3756" s="10"/>
      <c r="K3756" s="10"/>
      <c r="L3756" s="10"/>
      <c r="M3756" s="10"/>
      <c r="N3756" s="10"/>
      <c r="O3756" s="10"/>
      <c r="P3756" s="10"/>
      <c r="Q3756" s="10"/>
      <c r="R3756" s="10"/>
      <c r="S3756" s="10"/>
      <c r="T3756" s="10"/>
      <c r="U3756" s="10"/>
      <c r="V3756" s="10"/>
      <c r="W3756" s="10"/>
      <c r="X3756" s="10"/>
      <c r="Y3756" s="10"/>
      <c r="Z3756" s="10"/>
    </row>
    <row r="3757" spans="1:26" ht="12.75">
      <c r="A3757" s="10" t="str">
        <f ca="1">IFERROR(__xludf.DUMMYFUNCTION("""COMPUTED_VALUE"""),"Иванка Гервазиева Павлова")</f>
        <v>Иванка Гервазиева Павлова</v>
      </c>
      <c r="B3757" s="10" t="str">
        <f ca="1">IFERROR(__xludf.DUMMYFUNCTION("""COMPUTED_VALUE"""),"Статия в списания и поредици")</f>
        <v>Статия в списания и поредици</v>
      </c>
      <c r="C3757" s="10" t="str">
        <f ca="1">IFERROR(__xludf.DUMMYFUNCTION("""COMPUTED_VALUE"""),"Проучване и анализ на чуждестранни добри практики на професионално продължаващо образование и обучение в интерактивна образователна среда")</f>
        <v>Проучване и анализ на чуждестранни добри практики на професионално продължаващо образование и обучение в интерактивна образователна среда</v>
      </c>
      <c r="D3757" s="10">
        <f ca="1">IFERROR(__xludf.DUMMYFUNCTION("""COMPUTED_VALUE"""),2018)</f>
        <v>2018</v>
      </c>
      <c r="E3757"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Е-сборник.Състав.Иванка Янкова, Румелина Василева. София : За буквите – О писменехь, 2018, c. 37-62, ISBN - 978-619-185-326-7; COBISS.BG-"&amp;"ID - 1285949668")</f>
        <v>Иновативна образователна среда за непрекъснато професионално обучение в сферата на културните и творчески индустрии : Е-сборник.Състав.Иванка Янкова, Румелина Василева. София : За буквите – О писменехь, 2018, c. 37-62, ISBN - 978-619-185-326-7; COBISS.BG-ID - 1285949668</v>
      </c>
      <c r="F375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3757" s="10" t="str">
        <f ca="1">IFERROR(__xludf.DUMMYFUNCTION("""COMPUTED_VALUE"""),"Румелина Василева Цветелина Димитрова, Силвия Станчева")</f>
        <v>Румелина Василева Цветелина Димитрова, Силвия Станчева</v>
      </c>
      <c r="H3757" s="10"/>
      <c r="I3757" s="10"/>
      <c r="J3757" s="10"/>
      <c r="K3757" s="10"/>
      <c r="L3757" s="10"/>
      <c r="M3757" s="10"/>
      <c r="N3757" s="10"/>
      <c r="O3757" s="10"/>
      <c r="P3757" s="10"/>
      <c r="Q3757" s="10"/>
      <c r="R3757" s="10"/>
      <c r="S3757" s="10"/>
      <c r="T3757" s="10"/>
      <c r="U3757" s="10"/>
      <c r="V3757" s="10"/>
      <c r="W3757" s="10"/>
      <c r="X3757" s="10"/>
      <c r="Y3757" s="10"/>
      <c r="Z3757" s="10"/>
    </row>
    <row r="3758" spans="1:26" ht="12.75">
      <c r="A3758" s="10" t="str">
        <f ca="1">IFERROR(__xludf.DUMMYFUNCTION("""COMPUTED_VALUE"""),"Иванка Гервазиева Павлова")</f>
        <v>Иванка Гервазиева Павлова</v>
      </c>
      <c r="B3758" s="10" t="str">
        <f ca="1">IFERROR(__xludf.DUMMYFUNCTION("""COMPUTED_VALUE"""),"Доклад от конференция")</f>
        <v>Доклад от конференция</v>
      </c>
      <c r="C3758" s="10" t="str">
        <f ca="1">IFERROR(__xludf.DUMMYFUNCTION("""COMPUTED_VALUE"""),"Universal contemporary information center – conceptual model and role in community buildin")</f>
        <v>Universal contemporary information center – conceptual model and role in community buildin</v>
      </c>
      <c r="D3758" s="10">
        <f ca="1">IFERROR(__xludf.DUMMYFUNCTION("""COMPUTED_VALUE"""),2018)</f>
        <v>2018</v>
      </c>
      <c r="E3758" s="10" t="str">
        <f ca="1">IFERROR(__xludf.DUMMYFUNCTION("""COMPUTED_VALUE"""),"EDULEARN18 (10th annual International Conference on Education and New Learning Technologies), 2nd-4th of July 2018, Palma de Mallorca (Spain)")</f>
        <v>EDULEARN18 (10th annual International Conference on Education and New Learning Technologies), 2nd-4th of July 2018, Palma de Mallorca (Spain)</v>
      </c>
      <c r="F3758" s="10" t="str">
        <f ca="1">IFERROR(__xludf.DUMMYFUNCTION("""COMPUTED_VALUE"""),"ISI CPCI (Web of Science)")</f>
        <v>ISI CPCI (Web of Science)</v>
      </c>
      <c r="G3758" s="10" t="str">
        <f ca="1">IFERROR(__xludf.DUMMYFUNCTION("""COMPUTED_VALUE"""),"Elisaveta Tsvetkova, Krasimira Aleksandrova")</f>
        <v>Elisaveta Tsvetkova, Krasimira Aleksandrova</v>
      </c>
      <c r="H3758" s="10"/>
      <c r="I3758" s="10"/>
      <c r="J3758" s="10"/>
      <c r="K3758" s="10"/>
      <c r="L3758" s="10"/>
      <c r="M3758" s="10"/>
      <c r="N3758" s="10"/>
      <c r="O3758" s="10"/>
      <c r="P3758" s="10"/>
      <c r="Q3758" s="10"/>
      <c r="R3758" s="10"/>
      <c r="S3758" s="10"/>
      <c r="T3758" s="10"/>
      <c r="U3758" s="10"/>
      <c r="V3758" s="10"/>
      <c r="W3758" s="10"/>
      <c r="X3758" s="10"/>
      <c r="Y3758" s="10"/>
      <c r="Z3758" s="10"/>
    </row>
    <row r="3759" spans="1:26" ht="12.75">
      <c r="A3759" s="10" t="str">
        <f ca="1">IFERROR(__xludf.DUMMYFUNCTION("""COMPUTED_VALUE"""),"Иванка Гервазиева Павлова")</f>
        <v>Иванка Гервазиева Павлова</v>
      </c>
      <c r="B3759" s="10" t="str">
        <f ca="1">IFERROR(__xludf.DUMMYFUNCTION("""COMPUTED_VALUE"""),"Доклад от конференция")</f>
        <v>Доклад от конференция</v>
      </c>
      <c r="C3759" s="10" t="str">
        <f ca="1">IFERROR(__xludf.DUMMYFUNCTION("""COMPUTED_VALUE"""),"Project of the university of library studies and information technologies (ULSIT) for creating good image and trust in the university institution")</f>
        <v>Project of the university of library studies and information technologies (ULSIT) for creating good image and trust in the university institution</v>
      </c>
      <c r="D3759" s="10">
        <f ca="1">IFERROR(__xludf.DUMMYFUNCTION("""COMPUTED_VALUE"""),2018)</f>
        <v>2018</v>
      </c>
      <c r="E3759" s="10" t="str">
        <f ca="1">IFERROR(__xludf.DUMMYFUNCTION("""COMPUTED_VALUE"""),"ICERI2018 Proceedings, pp. 169-173, ISSN: 2340-1095, doi: 10.21125/iceri.2018.1037")</f>
        <v>ICERI2018 Proceedings, pp. 169-173, ISSN: 2340-1095, doi: 10.21125/iceri.2018.1037</v>
      </c>
      <c r="F3759" s="10" t="str">
        <f ca="1">IFERROR(__xludf.DUMMYFUNCTION("""COMPUTED_VALUE"""),"Web of Science")</f>
        <v>Web of Science</v>
      </c>
      <c r="G3759" s="10" t="str">
        <f ca="1">IFERROR(__xludf.DUMMYFUNCTION("""COMPUTED_VALUE"""),"Pavlova, M., Peteva, I., Petrova, T.,")</f>
        <v>Pavlova, M., Peteva, I., Petrova, T.,</v>
      </c>
      <c r="H3759" s="10"/>
      <c r="I3759" s="10"/>
      <c r="J3759" s="10"/>
      <c r="K3759" s="10"/>
      <c r="L3759" s="10"/>
      <c r="M3759" s="10"/>
      <c r="N3759" s="10"/>
      <c r="O3759" s="10"/>
      <c r="P3759" s="10"/>
      <c r="Q3759" s="10"/>
      <c r="R3759" s="10"/>
      <c r="S3759" s="10"/>
      <c r="T3759" s="10"/>
      <c r="U3759" s="10"/>
      <c r="V3759" s="10"/>
      <c r="W3759" s="10"/>
      <c r="X3759" s="10"/>
      <c r="Y3759" s="10"/>
      <c r="Z3759" s="10"/>
    </row>
    <row r="3760" spans="1:26" ht="12.75">
      <c r="A3760" s="10" t="str">
        <f ca="1">IFERROR(__xludf.DUMMYFUNCTION("""COMPUTED_VALUE"""),"Иванка Гервазиева Павлова")</f>
        <v>Иванка Гервазиева Павлова</v>
      </c>
      <c r="B3760" s="10" t="str">
        <f ca="1">IFERROR(__xludf.DUMMYFUNCTION("""COMPUTED_VALUE"""),"Доклад от конференция")</f>
        <v>Доклад от конференция</v>
      </c>
      <c r="C3760" s="10" t="str">
        <f ca="1">IFERROR(__xludf.DUMMYFUNCTION("""COMPUTED_VALUE"""),"Innovative Opportunities of the Contemporary Interactive Educational Environment in the Area of Cultural and Creative Industries.")</f>
        <v>Innovative Opportunities of the Contemporary Interactive Educational Environment in the Area of Cultural and Creative Industries.</v>
      </c>
      <c r="D3760" s="10">
        <f ca="1">IFERROR(__xludf.DUMMYFUNCTION("""COMPUTED_VALUE"""),2018)</f>
        <v>2018</v>
      </c>
      <c r="E3760" s="10" t="str">
        <f ca="1">IFERROR(__xludf.DUMMYFUNCTION("""COMPUTED_VALUE"""),"Proceedings of EDULEARN18 Conference: 10th annual International Conference on Education and New Learning Technologies, 2nd-4th July 2018, Palma, Mallorca, Spain, 2018, pp. 3546-3553. ISBN: 978-84-09-02709-5.")</f>
        <v>Proceedings of EDULEARN18 Conference: 10th annual International Conference on Education and New Learning Technologies, 2nd-4th July 2018, Palma, Mallorca, Spain, 2018, pp. 3546-3553. ISBN: 978-84-09-02709-5.</v>
      </c>
      <c r="F3760" s="10" t="str">
        <f ca="1">IFERROR(__xludf.DUMMYFUNCTION("""COMPUTED_VALUE"""),"Web of Science")</f>
        <v>Web of Science</v>
      </c>
      <c r="G3760" s="10" t="str">
        <f ca="1">IFERROR(__xludf.DUMMYFUNCTION("""COMPUTED_VALUE"""),"Vasileva Rumelina, Kamelia Nusheva Ivanka Yankova")</f>
        <v>Vasileva Rumelina, Kamelia Nusheva Ivanka Yankova</v>
      </c>
      <c r="H3760" s="10"/>
      <c r="I3760" s="10"/>
      <c r="J3760" s="10"/>
      <c r="K3760" s="10"/>
      <c r="L3760" s="10"/>
      <c r="M3760" s="10"/>
      <c r="N3760" s="10"/>
      <c r="O3760" s="10"/>
      <c r="P3760" s="10"/>
      <c r="Q3760" s="10"/>
      <c r="R3760" s="10"/>
      <c r="S3760" s="10"/>
      <c r="T3760" s="10"/>
      <c r="U3760" s="10"/>
      <c r="V3760" s="10"/>
      <c r="W3760" s="10"/>
      <c r="X3760" s="10"/>
      <c r="Y3760" s="10"/>
      <c r="Z3760" s="10"/>
    </row>
    <row r="3761" spans="1:26" ht="12.75">
      <c r="A3761" s="10" t="str">
        <f ca="1">IFERROR(__xludf.DUMMYFUNCTION("""COMPUTED_VALUE"""),"Иванка Гервазиева Павлова")</f>
        <v>Иванка Гервазиева Павлова</v>
      </c>
      <c r="B3761" s="10" t="str">
        <f ca="1">IFERROR(__xludf.DUMMYFUNCTION("""COMPUTED_VALUE"""),"Доклад от конференция")</f>
        <v>Доклад от конференция</v>
      </c>
      <c r="C3761" s="10" t="str">
        <f ca="1">IFERROR(__xludf.DUMMYFUNCTION("""COMPUTED_VALUE"""),"Комуникационна образователна среда за професионалисти през ХХI век – споделена отговорност за качество.")</f>
        <v>Комуникационна образователна среда за професионалисти през ХХI век – споделена отговорност за качество.</v>
      </c>
      <c r="D3761" s="10">
        <f ca="1">IFERROR(__xludf.DUMMYFUNCTION("""COMPUTED_VALUE"""),2017)</f>
        <v>2017</v>
      </c>
      <c r="E3761" s="10" t="str">
        <f ca="1">IFERROR(__xludf.DUMMYFUNCTION("""COMPUTED_VALUE"""),"Ролята на ЮНЕСКО за развитието на образованието, науката и културата в Република България : Сборник с доклади от научен семинар, поведен на 24.05.2017 г. в Париж. Състав. Д. Стоянова, М. Павлова, К. Босакова, Р. Йотова. София : АИ За буквите – О писменехь"&amp;", 2017, с. 40-55.")</f>
        <v>Ролята на ЮНЕСКО за развитието на образованието, науката и културата в Република България : Сборник с доклади от научен семинар, поведен на 24.05.2017 г. в Париж. Състав. Д. Стоянова, М. Павлова, К. Босакова, Р. Йотова. София : АИ За буквите – О писменехь, 2017, с. 40-55.</v>
      </c>
      <c r="F3761" s="10"/>
      <c r="G3761" s="10" t="str">
        <f ca="1">IFERROR(__xludf.DUMMYFUNCTION("""COMPUTED_VALUE"""),"Иванка Янкова Румелина Василева")</f>
        <v>Иванка Янкова Румелина Василева</v>
      </c>
      <c r="H3761" s="10"/>
      <c r="I3761" s="10"/>
      <c r="J3761" s="10"/>
      <c r="K3761" s="10"/>
      <c r="L3761" s="10"/>
      <c r="M3761" s="10"/>
      <c r="N3761" s="10"/>
      <c r="O3761" s="10"/>
      <c r="P3761" s="10"/>
      <c r="Q3761" s="10"/>
      <c r="R3761" s="10"/>
      <c r="S3761" s="10"/>
      <c r="T3761" s="10"/>
      <c r="U3761" s="10"/>
      <c r="V3761" s="10"/>
      <c r="W3761" s="10"/>
      <c r="X3761" s="10"/>
      <c r="Y3761" s="10"/>
      <c r="Z3761" s="10"/>
    </row>
    <row r="3762" spans="1:26" ht="12.75">
      <c r="A3762" s="10" t="str">
        <f ca="1">IFERROR(__xludf.DUMMYFUNCTION("""COMPUTED_VALUE"""),"Иванка Гервазиева Павлова")</f>
        <v>Иванка Гервазиева Павлова</v>
      </c>
      <c r="B3762" s="10" t="str">
        <f ca="1">IFERROR(__xludf.DUMMYFUNCTION("""COMPUTED_VALUE"""),"Доклад от конференция")</f>
        <v>Доклад от конференция</v>
      </c>
      <c r="C3762" s="10" t="str">
        <f ca="1">IFERROR(__xludf.DUMMYFUNCTION("""COMPUTED_VALUE"""),"Projects of Tthe university of library studies and information technologies (ULSIT) for management and improvement of educational processes in modern information environment")</f>
        <v>Projects of Tthe university of library studies and information technologies (ULSIT) for management and improvement of educational processes in modern information environment</v>
      </c>
      <c r="D3762" s="10">
        <f ca="1">IFERROR(__xludf.DUMMYFUNCTION("""COMPUTED_VALUE"""),2017)</f>
        <v>2017</v>
      </c>
      <c r="E3762" s="10" t="str">
        <f ca="1">IFERROR(__xludf.DUMMYFUNCTION("""COMPUTED_VALUE"""),"Proceedings of EDULEARN17 Conference 3rd-5th July 2017, Barcelona, Spain, ISBN: 978-84-697-3777-4.pp-9205-9208.")</f>
        <v>Proceedings of EDULEARN17 Conference 3rd-5th July 2017, Barcelona, Spain, ISBN: 978-84-697-3777-4.pp-9205-9208.</v>
      </c>
      <c r="F3762" s="10" t="str">
        <f ca="1">IFERROR(__xludf.DUMMYFUNCTION("""COMPUTED_VALUE"""),"Web of science, Crossref")</f>
        <v>Web of science, Crossref</v>
      </c>
      <c r="G3762" s="10" t="str">
        <f ca="1">IFERROR(__xludf.DUMMYFUNCTION("""COMPUTED_VALUE"""),"Snejana Tsekova, Miriyana Pavlova Pavlova")</f>
        <v>Snejana Tsekova, Miriyana Pavlova Pavlova</v>
      </c>
      <c r="H3762" s="10"/>
      <c r="I3762" s="10"/>
      <c r="J3762" s="10"/>
      <c r="K3762" s="10"/>
      <c r="L3762" s="10"/>
      <c r="M3762" s="10"/>
      <c r="N3762" s="10"/>
      <c r="O3762" s="10"/>
      <c r="P3762" s="10"/>
      <c r="Q3762" s="10"/>
      <c r="R3762" s="10"/>
      <c r="S3762" s="10"/>
      <c r="T3762" s="10"/>
      <c r="U3762" s="10"/>
      <c r="V3762" s="10"/>
      <c r="W3762" s="10"/>
      <c r="X3762" s="10"/>
      <c r="Y3762" s="10"/>
      <c r="Z3762" s="10"/>
    </row>
    <row r="3763" spans="1:26" ht="12.75">
      <c r="A3763" s="10" t="str">
        <f ca="1">IFERROR(__xludf.DUMMYFUNCTION("""COMPUTED_VALUE"""),"Иванка Гервазиева Павлова")</f>
        <v>Иванка Гервазиева Павлова</v>
      </c>
      <c r="B3763" s="10" t="str">
        <f ca="1">IFERROR(__xludf.DUMMYFUNCTION("""COMPUTED_VALUE"""),"Доклад от конференция")</f>
        <v>Доклад от конференция</v>
      </c>
      <c r="C3763" s="10" t="str">
        <f ca="1">IFERROR(__xludf.DUMMYFUNCTION("""COMPUTED_VALUE"""),"Problems and perspectives of university education in national security in the era of globalization")</f>
        <v>Problems and perspectives of university education in national security in the era of globalization</v>
      </c>
      <c r="D3763" s="10">
        <f ca="1">IFERROR(__xludf.DUMMYFUNCTION("""COMPUTED_VALUE"""),2017)</f>
        <v>2017</v>
      </c>
      <c r="E3763" s="10" t="str">
        <f ca="1">IFERROR(__xludf.DUMMYFUNCTION("""COMPUTED_VALUE"""),"Proceedings of EDULEARN17 Conference 3rd-5th July 2017, Barcelona, Spain, ISBN: 978-84-697-3777-4. pp-9224-9226.")</f>
        <v>Proceedings of EDULEARN17 Conference 3rd-5th July 2017, Barcelona, Spain, ISBN: 978-84-697-3777-4. pp-9224-9226.</v>
      </c>
      <c r="F3763" s="10" t="str">
        <f ca="1">IFERROR(__xludf.DUMMYFUNCTION("""COMPUTED_VALUE"""),"Web of science, Crossref")</f>
        <v>Web of science, Crossref</v>
      </c>
      <c r="G3763" s="10" t="str">
        <f ca="1">IFERROR(__xludf.DUMMYFUNCTION("""COMPUTED_VALUE"""),"Snejana Tsekova, Gergina Zhablyanova, Miriyana Pavlova")</f>
        <v>Snejana Tsekova, Gergina Zhablyanova, Miriyana Pavlova</v>
      </c>
      <c r="H3763" s="10"/>
      <c r="I3763" s="10"/>
      <c r="J3763" s="10"/>
      <c r="K3763" s="10"/>
      <c r="L3763" s="10"/>
      <c r="M3763" s="10"/>
      <c r="N3763" s="10"/>
      <c r="O3763" s="10"/>
      <c r="P3763" s="10"/>
      <c r="Q3763" s="10"/>
      <c r="R3763" s="10"/>
      <c r="S3763" s="10"/>
      <c r="T3763" s="10"/>
      <c r="U3763" s="10"/>
      <c r="V3763" s="10"/>
      <c r="W3763" s="10"/>
      <c r="X3763" s="10"/>
      <c r="Y3763" s="10"/>
      <c r="Z3763" s="10"/>
    </row>
    <row r="3764" spans="1:26" ht="12.75">
      <c r="A3764" s="10" t="str">
        <f ca="1">IFERROR(__xludf.DUMMYFUNCTION("""COMPUTED_VALUE"""),"Иванка Гервазиева Павлова")</f>
        <v>Иванка Гервазиева Павлова</v>
      </c>
      <c r="B3764" s="10" t="str">
        <f ca="1">IFERROR(__xludf.DUMMYFUNCTION("""COMPUTED_VALUE"""),"Доклад от конференция")</f>
        <v>Доклад от конференция</v>
      </c>
      <c r="C3764" s="10" t="str">
        <f ca="1">IFERROR(__xludf.DUMMYFUNCTION("""COMPUTED_VALUE"""),"Насоките на ЮНЕСКО за интерактивни образователни процеси, приложени в УниБИТ")</f>
        <v>Насоките на ЮНЕСКО за интерактивни образователни процеси, приложени в УниБИТ</v>
      </c>
      <c r="D3764" s="10">
        <f ca="1">IFERROR(__xludf.DUMMYFUNCTION("""COMPUTED_VALUE"""),2017)</f>
        <v>2017</v>
      </c>
      <c r="E3764" s="10" t="str">
        <f ca="1">IFERROR(__xludf.DUMMYFUNCTION("""COMPUTED_VALUE"""),"Ролята на ЮНЕСКО за развитието на образованието, науката и културата в Република България : Сборник с доклади от научен семинар, поведен на 24.05.2017 г. в Париж. Състав. Д. Стоянова, М. Павлова, К. Босакова, Р. Йотова. София : АИ За буквите – О писменехь"&amp;", 2017, с. 27-39.")</f>
        <v>Ролята на ЮНЕСКО за развитието на образованието, науката и културата в Република България : Сборник с доклади от научен семинар, поведен на 24.05.2017 г. в Париж. Състав. Д. Стоянова, М. Павлова, К. Босакова, Р. Йотова. София : АИ За буквите – О писменехь, 2017, с. 27-39.</v>
      </c>
      <c r="F3764" s="10"/>
      <c r="G3764" s="10" t="str">
        <f ca="1">IFERROR(__xludf.DUMMYFUNCTION("""COMPUTED_VALUE"""),"Иванка Янкова, Силвия Станчева")</f>
        <v>Иванка Янкова, Силвия Станчева</v>
      </c>
      <c r="H3764" s="10"/>
      <c r="I3764" s="10"/>
      <c r="J3764" s="10"/>
      <c r="K3764" s="10"/>
      <c r="L3764" s="10"/>
      <c r="M3764" s="10"/>
      <c r="N3764" s="10"/>
      <c r="O3764" s="10"/>
      <c r="P3764" s="10"/>
      <c r="Q3764" s="10"/>
      <c r="R3764" s="10"/>
      <c r="S3764" s="10"/>
      <c r="T3764" s="10"/>
      <c r="U3764" s="10"/>
      <c r="V3764" s="10"/>
      <c r="W3764" s="10"/>
      <c r="X3764" s="10"/>
      <c r="Y3764" s="10"/>
      <c r="Z3764" s="10"/>
    </row>
    <row r="3765" spans="1:26" ht="12.75">
      <c r="A3765" s="10" t="str">
        <f ca="1">IFERROR(__xludf.DUMMYFUNCTION("""COMPUTED_VALUE"""),"Иванка Гервазиева Павлова")</f>
        <v>Иванка Гервазиева Павлова</v>
      </c>
      <c r="B3765" s="10" t="str">
        <f ca="1">IFERROR(__xludf.DUMMYFUNCTION("""COMPUTED_VALUE"""),"Доклад от конференция")</f>
        <v>Доклад от конференция</v>
      </c>
      <c r="C3765" s="10" t="str">
        <f ca="1">IFERROR(__xludf.DUMMYFUNCTION("""COMPUTED_VALUE"""),"Комуникационен модел на интерактивна образователна среда")</f>
        <v>Комуникационен модел на интерактивна образователна среда</v>
      </c>
      <c r="D3765" s="10">
        <f ca="1">IFERROR(__xludf.DUMMYFUNCTION("""COMPUTED_VALUE"""),2017)</f>
        <v>2017</v>
      </c>
      <c r="E3765" s="10" t="str">
        <f ca="1">IFERROR(__xludf.DUMMYFUNCTION("""COMPUTED_VALUE"""),"Съвременни измерения на европейското образователно и научно пространство = Modern dimensions in European education and research area : Т. 5. Сборник с доклади от XI международен пътуващ семинар на УниБИТ, България – Гърция, 29 май – 5 юни, 2017 г. София :"&amp;" За буквите – О писменехь, 2017, с. 40-47.")</f>
        <v>Съвременни измерения на европейското образователно и научно пространство = Modern dimensions in European education and research area : Т. 5. Сборник с доклади от XI международен пътуващ семинар на УниБИТ, България – Гърция, 29 май – 5 юни, 2017 г. София : За буквите – О писменехь, 2017, с. 40-47.</v>
      </c>
      <c r="F3765" s="10"/>
      <c r="G3765" s="10" t="str">
        <f ca="1">IFERROR(__xludf.DUMMYFUNCTION("""COMPUTED_VALUE"""),"Иванка Янкова, Силвия Станчева")</f>
        <v>Иванка Янкова, Силвия Станчева</v>
      </c>
      <c r="H3765" s="10"/>
      <c r="I3765" s="10"/>
      <c r="J3765" s="10"/>
      <c r="K3765" s="10"/>
      <c r="L3765" s="10"/>
      <c r="M3765" s="10"/>
      <c r="N3765" s="10"/>
      <c r="O3765" s="10"/>
      <c r="P3765" s="10"/>
      <c r="Q3765" s="10"/>
      <c r="R3765" s="10"/>
      <c r="S3765" s="10"/>
      <c r="T3765" s="10"/>
      <c r="U3765" s="10"/>
      <c r="V3765" s="10"/>
      <c r="W3765" s="10"/>
      <c r="X3765" s="10"/>
      <c r="Y3765" s="10"/>
      <c r="Z3765" s="10"/>
    </row>
    <row r="3766" spans="1:26" ht="12.75">
      <c r="A3766" s="10" t="str">
        <f ca="1">IFERROR(__xludf.DUMMYFUNCTION("""COMPUTED_VALUE"""),"Иванка Гервазиева Павлова")</f>
        <v>Иванка Гервазиева Павлова</v>
      </c>
      <c r="B3766" s="10" t="str">
        <f ca="1">IFERROR(__xludf.DUMMYFUNCTION("""COMPUTED_VALUE"""),"Доклад от конференция")</f>
        <v>Доклад от конференция</v>
      </c>
      <c r="C3766" s="10" t="str">
        <f ca="1">IFERROR(__xludf.DUMMYFUNCTION("""COMPUTED_VALUE"""),"The Reform of Higher Education through Alternative University Teaching Models.")</f>
        <v>The Reform of Higher Education through Alternative University Teaching Models.</v>
      </c>
      <c r="D3766" s="10">
        <f ca="1">IFERROR(__xludf.DUMMYFUNCTION("""COMPUTED_VALUE"""),2016)</f>
        <v>2016</v>
      </c>
      <c r="E3766" s="10" t="str">
        <f ca="1">IFERROR(__xludf.DUMMYFUNCTION("""COMPUTED_VALUE"""),"Creative Education. Creative Education, 2016, 7, 302-306 Accessed 25 april 2017 Retrieved from SciRes. http://www.scirp.org/journal/ce.")</f>
        <v>Creative Education. Creative Education, 2016, 7, 302-306 Accessed 25 april 2017 Retrieved from SciRes. http://www.scirp.org/journal/ce.</v>
      </c>
      <c r="F3766" s="10"/>
      <c r="G3766" s="10" t="str">
        <f ca="1">IFERROR(__xludf.DUMMYFUNCTION("""COMPUTED_VALUE"""),"Stoyan Denchev, Miriyana Pavlova")</f>
        <v>Stoyan Denchev, Miriyana Pavlova</v>
      </c>
      <c r="H3766" s="10"/>
      <c r="I3766" s="10"/>
      <c r="J3766" s="10"/>
      <c r="K3766" s="10"/>
      <c r="L3766" s="10"/>
      <c r="M3766" s="10"/>
      <c r="N3766" s="10"/>
      <c r="O3766" s="10"/>
      <c r="P3766" s="10"/>
      <c r="Q3766" s="10"/>
      <c r="R3766" s="10"/>
      <c r="S3766" s="10"/>
      <c r="T3766" s="10"/>
      <c r="U3766" s="10"/>
      <c r="V3766" s="10"/>
      <c r="W3766" s="10"/>
      <c r="X3766" s="10"/>
      <c r="Y3766" s="10"/>
      <c r="Z3766" s="10"/>
    </row>
    <row r="3767" spans="1:26" ht="12.75">
      <c r="A3767" s="10" t="str">
        <f ca="1">IFERROR(__xludf.DUMMYFUNCTION("""COMPUTED_VALUE"""),"Иванка Гервазиева Павлова")</f>
        <v>Иванка Гервазиева Павлова</v>
      </c>
      <c r="B3767" s="10" t="str">
        <f ca="1">IFERROR(__xludf.DUMMYFUNCTION("""COMPUTED_VALUE"""),"Доклад от конференция")</f>
        <v>Доклад от конференция</v>
      </c>
      <c r="C3767" s="10" t="str">
        <f ca="1">IFERROR(__xludf.DUMMYFUNCTION("""COMPUTED_VALUE"""),"Информационные войны в динамичной цифровой информационной средe.")</f>
        <v>Информационные войны в динамичной цифровой информационной средe.</v>
      </c>
      <c r="D3767" s="10">
        <f ca="1">IFERROR(__xludf.DUMMYFUNCTION("""COMPUTED_VALUE"""),2016)</f>
        <v>2016</v>
      </c>
      <c r="E3767" s="10" t="str">
        <f ca="1">IFERROR(__xludf.DUMMYFUNCTION("""COMPUTED_VALUE"""),"Материалы X международной научно-практической конференции „Фундаментальные и прикладные науки сегодня“ - North Charleston, USA,2016 г..Том.1. ISBN: 978-1-54133-748-0. Стр. 70-74.")</f>
        <v>Материалы X международной научно-практической конференции „Фундаментальные и прикладные науки сегодня“ - North Charleston, USA,2016 г..Том.1. ISBN: 978-1-54133-748-0. Стр. 70-74.</v>
      </c>
      <c r="F3767" s="10"/>
      <c r="G3767" s="10" t="str">
        <f ca="1">IFERROR(__xludf.DUMMYFUNCTION("""COMPUTED_VALUE"""),"Stoyan Denchev, Miriyana Pavlova")</f>
        <v>Stoyan Denchev, Miriyana Pavlova</v>
      </c>
      <c r="H3767" s="10"/>
      <c r="I3767" s="10"/>
      <c r="J3767" s="10"/>
      <c r="K3767" s="10"/>
      <c r="L3767" s="10"/>
      <c r="M3767" s="10"/>
      <c r="N3767" s="10"/>
      <c r="O3767" s="10"/>
      <c r="P3767" s="10"/>
      <c r="Q3767" s="10"/>
      <c r="R3767" s="10"/>
      <c r="S3767" s="10"/>
      <c r="T3767" s="10"/>
      <c r="U3767" s="10"/>
      <c r="V3767" s="10"/>
      <c r="W3767" s="10"/>
      <c r="X3767" s="10"/>
      <c r="Y3767" s="10"/>
      <c r="Z3767" s="10"/>
    </row>
    <row r="3768" spans="1:26" ht="12.75">
      <c r="A3768" s="10" t="str">
        <f ca="1">IFERROR(__xludf.DUMMYFUNCTION("""COMPUTED_VALUE"""),"Иванка Гервазиева Павлова")</f>
        <v>Иванка Гервазиева Павлова</v>
      </c>
      <c r="B3768" s="10" t="str">
        <f ca="1">IFERROR(__xludf.DUMMYFUNCTION("""COMPUTED_VALUE"""),"Доклад от конференция")</f>
        <v>Доклад от конференция</v>
      </c>
      <c r="C3768" s="10" t="str">
        <f ca="1">IFERROR(__xludf.DUMMYFUNCTION("""COMPUTED_VALUE"""),"Развитие на концепцията за G-Cloud и мястото и в европейската облачна стратегия")</f>
        <v>Развитие на концепцията за G-Cloud и мястото и в европейската облачна стратегия</v>
      </c>
      <c r="D3768" s="10">
        <f ca="1">IFERROR(__xludf.DUMMYFUNCTION("""COMPUTED_VALUE"""),2012)</f>
        <v>2012</v>
      </c>
      <c r="E3768" s="10" t="str">
        <f ca="1">IFERROR(__xludf.DUMMYFUNCTION("""COMPUTED_VALUE"""),"ОБЩЕСТВОТО на знанието и хуманизмът на XXI век: национална научна конференция с международно участие. - София: За буквите - О писменехь, 2012, с. 320-327, ISSN 1314-7099")</f>
        <v>ОБЩЕСТВОТО на знанието и хуманизмът на XXI век: национална научна конференция с международно участие. - София: За буквите - О писменехь, 2012, с. 320-327, ISSN 1314-7099</v>
      </c>
      <c r="F3768" s="10"/>
      <c r="G3768" s="10" t="str">
        <f ca="1">IFERROR(__xludf.DUMMYFUNCTION("""COMPUTED_VALUE"""),"Ирена Петева, Даниела Павлова")</f>
        <v>Ирена Петева, Даниела Павлова</v>
      </c>
      <c r="H3768" s="10"/>
      <c r="I3768" s="10"/>
      <c r="J3768" s="10"/>
      <c r="K3768" s="10"/>
      <c r="L3768" s="10"/>
      <c r="M3768" s="10"/>
      <c r="N3768" s="10"/>
      <c r="O3768" s="10"/>
      <c r="P3768" s="10"/>
      <c r="Q3768" s="10"/>
      <c r="R3768" s="10"/>
      <c r="S3768" s="10"/>
      <c r="T3768" s="10"/>
      <c r="U3768" s="10"/>
      <c r="V3768" s="10"/>
      <c r="W3768" s="10"/>
      <c r="X3768" s="10"/>
      <c r="Y3768" s="10"/>
      <c r="Z3768" s="10"/>
    </row>
    <row r="3769" spans="1:26" ht="12.75">
      <c r="A3769" s="10" t="str">
        <f ca="1">IFERROR(__xludf.DUMMYFUNCTION("""COMPUTED_VALUE"""),"Иванка Гервазиева Павлова")</f>
        <v>Иванка Гервазиева Павлова</v>
      </c>
      <c r="B3769" s="10" t="str">
        <f ca="1">IFERROR(__xludf.DUMMYFUNCTION("""COMPUTED_VALUE"""),"Доклад от конференция")</f>
        <v>Доклад от конференция</v>
      </c>
      <c r="C3769" s="10" t="str">
        <f ca="1">IFERROR(__xludf.DUMMYFUNCTION("""COMPUTED_VALUE"""),"Образователните модели и платформите за e-learning в УниБИТ")</f>
        <v>Образователните модели и платформите за e-learning в УниБИТ</v>
      </c>
      <c r="D3769" s="10">
        <f ca="1">IFERROR(__xludf.DUMMYFUNCTION("""COMPUTED_VALUE"""),2012)</f>
        <v>2012</v>
      </c>
      <c r="E3769" s="10" t="str">
        <f ca="1">IFERROR(__xludf.DUMMYFUNCTION("""COMPUTED_VALUE"""),"Нови информационни технологии в образователния процес: Сб. доклади от Шести научен семинар на УниБИТ, София ""За буквите-О'писменех"" Т.6, 2012, с. 13-21")</f>
        <v>Нови информационни технологии в образователния процес: Сб. доклади от Шести научен семинар на УниБИТ, София "За буквите-О'писменех" Т.6, 2012, с. 13-21</v>
      </c>
      <c r="F3769" s="10"/>
      <c r="G3769" s="10" t="str">
        <f ca="1">IFERROR(__xludf.DUMMYFUNCTION("""COMPUTED_VALUE"""),"Кристина Върбанова-Денчева")</f>
        <v>Кристина Върбанова-Денчева</v>
      </c>
      <c r="H3769" s="10"/>
      <c r="I3769" s="10"/>
      <c r="J3769" s="10"/>
      <c r="K3769" s="10"/>
      <c r="L3769" s="10"/>
      <c r="M3769" s="10"/>
      <c r="N3769" s="10"/>
      <c r="O3769" s="10"/>
      <c r="P3769" s="10"/>
      <c r="Q3769" s="10"/>
      <c r="R3769" s="10"/>
      <c r="S3769" s="10"/>
      <c r="T3769" s="10"/>
      <c r="U3769" s="10"/>
      <c r="V3769" s="10"/>
      <c r="W3769" s="10"/>
      <c r="X3769" s="10"/>
      <c r="Y3769" s="10"/>
      <c r="Z3769" s="10"/>
    </row>
    <row r="3770" spans="1:26" ht="12.75">
      <c r="A3770" s="10" t="str">
        <f ca="1">IFERROR(__xludf.DUMMYFUNCTION("""COMPUTED_VALUE"""),"Иванка Гервазиева Павлова")</f>
        <v>Иванка Гервазиева Павлова</v>
      </c>
      <c r="B3770" s="10" t="str">
        <f ca="1">IFERROR(__xludf.DUMMYFUNCTION("""COMPUTED_VALUE"""),"Монография")</f>
        <v>Монография</v>
      </c>
      <c r="C3770" s="10" t="str">
        <f ca="1">IFERROR(__xludf.DUMMYFUNCTION("""COMPUTED_VALUE"""),"Анализ и управление на университетска информационна среда,")</f>
        <v>Анализ и управление на университетска информационна среда,</v>
      </c>
      <c r="D3770" s="10">
        <f ca="1">IFERROR(__xludf.DUMMYFUNCTION("""COMPUTED_VALUE"""),2010)</f>
        <v>2010</v>
      </c>
      <c r="E3770" s="10" t="str">
        <f ca="1">IFERROR(__xludf.DUMMYFUNCTION("""COMPUTED_VALUE"""),"Издателство ""За буквите-О писменехь"", София, 2010, 213 с. ISBN: 9789548887731")</f>
        <v>Издателство "За буквите-О писменехь", София, 2010, 213 с. ISBN: 9789548887731</v>
      </c>
      <c r="F3770" s="10"/>
      <c r="G3770" s="10" t="str">
        <f ca="1">IFERROR(__xludf.DUMMYFUNCTION("""COMPUTED_VALUE"""),"Стоя Денчев")</f>
        <v>Стоя Денчев</v>
      </c>
      <c r="H3770" s="10"/>
      <c r="I3770" s="10"/>
      <c r="J3770" s="10"/>
      <c r="K3770" s="10"/>
      <c r="L3770" s="10"/>
      <c r="M3770" s="10"/>
      <c r="N3770" s="10"/>
      <c r="O3770" s="10"/>
      <c r="P3770" s="10"/>
      <c r="Q3770" s="10"/>
      <c r="R3770" s="10"/>
      <c r="S3770" s="10"/>
      <c r="T3770" s="10"/>
      <c r="U3770" s="10"/>
      <c r="V3770" s="10"/>
      <c r="W3770" s="10"/>
      <c r="X3770" s="10"/>
      <c r="Y3770" s="10"/>
      <c r="Z3770" s="10"/>
    </row>
    <row r="3771" spans="1:26" ht="12.75">
      <c r="A3771" s="10" t="str">
        <f ca="1">IFERROR(__xludf.DUMMYFUNCTION("""COMPUTED_VALUE"""),"Иванка Гервазиева Павлова")</f>
        <v>Иванка Гервазиева Павлова</v>
      </c>
      <c r="B3771" s="10" t="str">
        <f ca="1">IFERROR(__xludf.DUMMYFUNCTION("""COMPUTED_VALUE"""),"Доклад от конференция")</f>
        <v>Доклад от конференция</v>
      </c>
      <c r="C3771" s="10" t="str">
        <f ca="1">IFERROR(__xludf.DUMMYFUNCTION("""COMPUTED_VALUE"""),"Digital Libraries and University Information Environment.")</f>
        <v>Digital Libraries and University Information Environment.</v>
      </c>
      <c r="D3771" s="10">
        <f ca="1">IFERROR(__xludf.DUMMYFUNCTION("""COMPUTED_VALUE"""),2010)</f>
        <v>2010</v>
      </c>
      <c r="E3771" s="10" t="str">
        <f ca="1">IFERROR(__xludf.DUMMYFUNCTION("""COMPUTED_VALUE"""),"International Conference on DigitaL Libraries: ICDL 2010 Shaping the Information Paradigm, New Delhi, India, 23-26 February")</f>
        <v>International Conference on DigitaL Libraries: ICDL 2010 Shaping the Information Paradigm, New Delhi, India, 23-26 February</v>
      </c>
      <c r="F3771" s="10"/>
      <c r="G3771" s="10" t="str">
        <f ca="1">IFERROR(__xludf.DUMMYFUNCTION("""COMPUTED_VALUE"""),"Dentchev, S.,")</f>
        <v>Dentchev, S.,</v>
      </c>
      <c r="H3771" s="10"/>
      <c r="I3771" s="10"/>
      <c r="J3771" s="10"/>
      <c r="K3771" s="10"/>
      <c r="L3771" s="10"/>
      <c r="M3771" s="10"/>
      <c r="N3771" s="10"/>
      <c r="O3771" s="10"/>
      <c r="P3771" s="10"/>
      <c r="Q3771" s="10"/>
      <c r="R3771" s="10"/>
      <c r="S3771" s="10"/>
      <c r="T3771" s="10"/>
      <c r="U3771" s="10"/>
      <c r="V3771" s="10"/>
      <c r="W3771" s="10"/>
      <c r="X3771" s="10"/>
      <c r="Y3771" s="10"/>
      <c r="Z3771" s="10"/>
    </row>
    <row r="3772" spans="1:26" ht="12.75">
      <c r="A3772" s="10" t="str">
        <f ca="1">IFERROR(__xludf.DUMMYFUNCTION("""COMPUTED_VALUE"""),"Иванка Гервазиева Павлова")</f>
        <v>Иванка Гервазиева Павлова</v>
      </c>
      <c r="B3772" s="10" t="str">
        <f ca="1">IFERROR(__xludf.DUMMYFUNCTION("""COMPUTED_VALUE"""),"Статия в списания и поредици")</f>
        <v>Статия в списания и поредици</v>
      </c>
      <c r="C3772" s="10" t="str">
        <f ca="1">IFERROR(__xludf.DUMMYFUNCTION("""COMPUTED_VALUE"""),"Дигиталните библиотеки - универсален достъпдо човешкото знание")</f>
        <v>Дигиталните библиотеки - универсален достъпдо човешкото знание</v>
      </c>
      <c r="D3772" s="10">
        <f ca="1">IFERROR(__xludf.DUMMYFUNCTION("""COMPUTED_VALUE"""),2009)</f>
        <v>2009</v>
      </c>
      <c r="E3772" s="10" t="str">
        <f ca="1">IFERROR(__xludf.DUMMYFUNCTION("""COMPUTED_VALUE"""),"Наръчник по информационната компетентност, издателство ,,WINI - 1837"", София, с. 73 - 98, 2009, ISBN 978-954-9437-08-9")</f>
        <v>Наръчник по информационната компетентност, издателство ,,WINI - 1837", София, с. 73 - 98, 2009, ISBN 978-954-9437-08-9</v>
      </c>
      <c r="F3772" s="10"/>
      <c r="G3772" s="10"/>
      <c r="H3772" s="10"/>
      <c r="I3772" s="10"/>
      <c r="J3772" s="10"/>
      <c r="K3772" s="10"/>
      <c r="L3772" s="10"/>
      <c r="M3772" s="10"/>
      <c r="N3772" s="10"/>
      <c r="O3772" s="10"/>
      <c r="P3772" s="10"/>
      <c r="Q3772" s="10"/>
      <c r="R3772" s="10"/>
      <c r="S3772" s="10"/>
      <c r="T3772" s="10"/>
      <c r="U3772" s="10"/>
      <c r="V3772" s="10"/>
      <c r="W3772" s="10"/>
      <c r="X3772" s="10"/>
      <c r="Y3772" s="10"/>
      <c r="Z3772" s="10"/>
    </row>
    <row r="3773" spans="1:26" ht="12.75">
      <c r="A3773" s="10" t="str">
        <f ca="1">IFERROR(__xludf.DUMMYFUNCTION("""COMPUTED_VALUE"""),"Иванка Гервазиева Павлова")</f>
        <v>Иванка Гервазиева Павлова</v>
      </c>
      <c r="B3773" s="10" t="str">
        <f ca="1">IFERROR(__xludf.DUMMYFUNCTION("""COMPUTED_VALUE"""),"Статия в списания и поредици")</f>
        <v>Статия в списания и поредици</v>
      </c>
      <c r="C3773" s="10" t="str">
        <f ca="1">IFERROR(__xludf.DUMMYFUNCTION("""COMPUTED_VALUE"""),"Роля на дигиталните библиотеки в университетската информационна среда")</f>
        <v>Роля на дигиталните библиотеки в университетската информационна среда</v>
      </c>
      <c r="D3773" s="10">
        <f ca="1">IFERROR(__xludf.DUMMYFUNCTION("""COMPUTED_VALUE"""),2009)</f>
        <v>2009</v>
      </c>
      <c r="E3773" s="10" t="str">
        <f ca="1">IFERROR(__xludf.DUMMYFUNCTION("""COMPUTED_VALUE"""),"Год. СУБ, секция Информатика, 2, 2009, с. 56-60 ISSN: 1313-6852")</f>
        <v>Год. СУБ, секция Информатика, 2, 2009, с. 56-60 ISSN: 1313-6852</v>
      </c>
      <c r="F3773" s="10"/>
      <c r="G3773" s="10" t="str">
        <f ca="1">IFERROR(__xludf.DUMMYFUNCTION("""COMPUTED_VALUE"""),"Стоян Денчев,")</f>
        <v>Стоян Денчев,</v>
      </c>
      <c r="H3773" s="10"/>
      <c r="I3773" s="10"/>
      <c r="J3773" s="10"/>
      <c r="K3773" s="10"/>
      <c r="L3773" s="10"/>
      <c r="M3773" s="10"/>
      <c r="N3773" s="10"/>
      <c r="O3773" s="10"/>
      <c r="P3773" s="10"/>
      <c r="Q3773" s="10"/>
      <c r="R3773" s="10"/>
      <c r="S3773" s="10"/>
      <c r="T3773" s="10"/>
      <c r="U3773" s="10"/>
      <c r="V3773" s="10"/>
      <c r="W3773" s="10"/>
      <c r="X3773" s="10"/>
      <c r="Y3773" s="10"/>
      <c r="Z3773" s="10"/>
    </row>
    <row r="3774" spans="1:26" ht="12.75">
      <c r="A3774" s="10" t="str">
        <f ca="1">IFERROR(__xludf.DUMMYFUNCTION("""COMPUTED_VALUE"""),"Иванка Гервазиева Павлова")</f>
        <v>Иванка Гервазиева Павлова</v>
      </c>
      <c r="B3774" s="10" t="str">
        <f ca="1">IFERROR(__xludf.DUMMYFUNCTION("""COMPUTED_VALUE"""),"Статия в списания и поредици")</f>
        <v>Статия в списания и поредици</v>
      </c>
      <c r="C3774" s="10" t="str">
        <f ca="1">IFERROR(__xludf.DUMMYFUNCTION("""COMPUTED_VALUE"""),"Дигитални библиотеки.")</f>
        <v>Дигитални библиотеки.</v>
      </c>
      <c r="D3774" s="10">
        <f ca="1">IFERROR(__xludf.DUMMYFUNCTION("""COMPUTED_VALUE"""),2009)</f>
        <v>2009</v>
      </c>
      <c r="E3774" s="10" t="str">
        <f ca="1">IFERROR(__xludf.DUMMYFUNCTION("""COMPUTED_VALUE"""),"Добри библиотечни практики, София, За буквите - О писменехь, 2009, с. 70-83")</f>
        <v>Добри библиотечни практики, София, За буквите - О писменехь, 2009, с. 70-83</v>
      </c>
      <c r="F3774" s="10"/>
      <c r="G3774" s="10"/>
      <c r="H3774" s="10"/>
      <c r="I3774" s="10"/>
      <c r="J3774" s="10"/>
      <c r="K3774" s="10"/>
      <c r="L3774" s="10"/>
      <c r="M3774" s="10"/>
      <c r="N3774" s="10"/>
      <c r="O3774" s="10"/>
      <c r="P3774" s="10"/>
      <c r="Q3774" s="10"/>
      <c r="R3774" s="10"/>
      <c r="S3774" s="10"/>
      <c r="T3774" s="10"/>
      <c r="U3774" s="10"/>
      <c r="V3774" s="10"/>
      <c r="W3774" s="10"/>
      <c r="X3774" s="10"/>
      <c r="Y3774" s="10"/>
      <c r="Z3774" s="10"/>
    </row>
    <row r="3775" spans="1:26" ht="12.75">
      <c r="A3775" s="10" t="str">
        <f ca="1">IFERROR(__xludf.DUMMYFUNCTION("""COMPUTED_VALUE"""),"Иванка Гервазиева Павлова")</f>
        <v>Иванка Гервазиева Павлова</v>
      </c>
      <c r="B3775" s="10" t="str">
        <f ca="1">IFERROR(__xludf.DUMMYFUNCTION("""COMPUTED_VALUE"""),"Доклад от конференция")</f>
        <v>Доклад от конференция</v>
      </c>
      <c r="C3775" s="10" t="str">
        <f ca="1">IFERROR(__xludf.DUMMYFUNCTION("""COMPUTED_VALUE"""),"""Изкуството"" СПАМ")</f>
        <v>"Изкуството" СПАМ</v>
      </c>
      <c r="D3775" s="10">
        <f ca="1">IFERROR(__xludf.DUMMYFUNCTION("""COMPUTED_VALUE"""),2008)</f>
        <v>2008</v>
      </c>
      <c r="E3775" s="10" t="str">
        <f ca="1">IFERROR(__xludf.DUMMYFUNCTION("""COMPUTED_VALUE"""),"КИРИЛИЦАТА в духовността на европейската информационна цивилизация: пета национална научна конференция с международно участие, 1 ноем. 2007 г., София. - София: За буквите - О писменехь,, с. 154-162 ISBN 978-954-8887-42-7")</f>
        <v>КИРИЛИЦАТА в духовността на европейската информационна цивилизация: пета национална научна конференция с международно участие, 1 ноем. 2007 г., София. - София: За буквите - О писменехь,, с. 154-162 ISBN 978-954-8887-42-7</v>
      </c>
      <c r="F3775" s="10"/>
      <c r="G3775" s="10"/>
      <c r="H3775" s="10"/>
      <c r="I3775" s="10"/>
      <c r="J3775" s="10"/>
      <c r="K3775" s="10"/>
      <c r="L3775" s="10"/>
      <c r="M3775" s="10"/>
      <c r="N3775" s="10"/>
      <c r="O3775" s="10"/>
      <c r="P3775" s="10"/>
      <c r="Q3775" s="10"/>
      <c r="R3775" s="10"/>
      <c r="S3775" s="10"/>
      <c r="T3775" s="10"/>
      <c r="U3775" s="10"/>
      <c r="V3775" s="10"/>
      <c r="W3775" s="10"/>
      <c r="X3775" s="10"/>
      <c r="Y3775" s="10"/>
      <c r="Z3775" s="10"/>
    </row>
    <row r="3776" spans="1:26" ht="12.75">
      <c r="A3776" s="10" t="str">
        <f ca="1">IFERROR(__xludf.DUMMYFUNCTION("""COMPUTED_VALUE"""),"Иванка Гервазиева Павлова")</f>
        <v>Иванка Гервазиева Павлова</v>
      </c>
      <c r="B3776" s="10" t="str">
        <f ca="1">IFERROR(__xludf.DUMMYFUNCTION("""COMPUTED_VALUE"""),"Монография")</f>
        <v>Монография</v>
      </c>
      <c r="C3776" s="10" t="str">
        <f ca="1">IFERROR(__xludf.DUMMYFUNCTION("""COMPUTED_VALUE"""),"Дигитални библиотеки и достъп до информационни ресурси. Защита на дигитални колекции")</f>
        <v>Дигитални библиотеки и достъп до информационни ресурси. Защита на дигитални колекции</v>
      </c>
      <c r="D3776" s="10">
        <f ca="1">IFERROR(__xludf.DUMMYFUNCTION("""COMPUTED_VALUE"""),2007)</f>
        <v>2007</v>
      </c>
      <c r="E3776" s="10" t="str">
        <f ca="1">IFERROR(__xludf.DUMMYFUNCTION("""COMPUTED_VALUE"""),"София,  Издателство ""За буквите - О писменехь"" 221 с,ISBN 978-954-8887-37-3")</f>
        <v>София,  Издателство "За буквите - О писменехь" 221 с,ISBN 978-954-8887-37-3</v>
      </c>
      <c r="F3776" s="10"/>
      <c r="G3776" s="10"/>
      <c r="H3776" s="10"/>
      <c r="I3776" s="10"/>
      <c r="J3776" s="10"/>
      <c r="K3776" s="10"/>
      <c r="L3776" s="10"/>
      <c r="M3776" s="10"/>
      <c r="N3776" s="10"/>
      <c r="O3776" s="10"/>
      <c r="P3776" s="10"/>
      <c r="Q3776" s="10"/>
      <c r="R3776" s="10"/>
      <c r="S3776" s="10"/>
      <c r="T3776" s="10"/>
      <c r="U3776" s="10"/>
      <c r="V3776" s="10"/>
      <c r="W3776" s="10"/>
      <c r="X3776" s="10"/>
      <c r="Y3776" s="10"/>
      <c r="Z3776" s="10"/>
    </row>
    <row r="3777" spans="1:26" ht="12.75">
      <c r="A3777" s="10" t="str">
        <f ca="1">IFERROR(__xludf.DUMMYFUNCTION("""COMPUTED_VALUE"""),"Иванка Гервазиева Павлова")</f>
        <v>Иванка Гервазиева Павлова</v>
      </c>
      <c r="B3777" s="10" t="str">
        <f ca="1">IFERROR(__xludf.DUMMYFUNCTION("""COMPUTED_VALUE"""),"Доклад от конференция")</f>
        <v>Доклад от конференция</v>
      </c>
      <c r="C3777" s="10" t="str">
        <f ca="1">IFERROR(__xludf.DUMMYFUNCTION("""COMPUTED_VALUE"""),"Възможностите на интернет базираните социологически изследвания в дигиталните библиотеки.")</f>
        <v>Възможностите на интернет базираните социологически изследвания в дигиталните библиотеки.</v>
      </c>
      <c r="D3777" s="10">
        <f ca="1">IFERROR(__xludf.DUMMYFUNCTION("""COMPUTED_VALUE"""),2007)</f>
        <v>2007</v>
      </c>
      <c r="E3777" s="10" t="str">
        <f ca="1">IFERROR(__xludf.DUMMYFUNCTION("""COMPUTED_VALUE"""),"Нови информационни технологии в образователния процес: Сб. доклади от Шести научен семинар на УниБИТ, София ""За буквите-О'писменех"" Т.6, 2012, с. 13-21")</f>
        <v>Нови информационни технологии в образователния процес: Сб. доклади от Шести научен семинар на УниБИТ, София "За буквите-О'писменех" Т.6, 2012, с. 13-21</v>
      </c>
      <c r="F3777" s="10"/>
      <c r="G3777" s="10"/>
      <c r="H3777" s="10"/>
      <c r="I3777" s="10"/>
      <c r="J3777" s="10"/>
      <c r="K3777" s="10"/>
      <c r="L3777" s="10"/>
      <c r="M3777" s="10"/>
      <c r="N3777" s="10"/>
      <c r="O3777" s="10"/>
      <c r="P3777" s="10"/>
      <c r="Q3777" s="10"/>
      <c r="R3777" s="10"/>
      <c r="S3777" s="10"/>
      <c r="T3777" s="10"/>
      <c r="U3777" s="10"/>
      <c r="V3777" s="10"/>
      <c r="W3777" s="10"/>
      <c r="X3777" s="10"/>
      <c r="Y3777" s="10"/>
      <c r="Z3777" s="10"/>
    </row>
    <row r="3778" spans="1:26" ht="12.75">
      <c r="A3778" s="10" t="str">
        <f ca="1">IFERROR(__xludf.DUMMYFUNCTION("""COMPUTED_VALUE"""),"Иванка Гервазиева Павлова")</f>
        <v>Иванка Гервазиева Павлова</v>
      </c>
      <c r="B3778" s="10" t="str">
        <f ca="1">IFERROR(__xludf.DUMMYFUNCTION("""COMPUTED_VALUE"""),"Статия в списания и поредици")</f>
        <v>Статия в списания и поредици</v>
      </c>
      <c r="C3778" s="10" t="str">
        <f ca="1">IFERROR(__xludf.DUMMYFUNCTION("""COMPUTED_VALUE"""),"Проблемы защиты и сохранения специальных дигитальных коллекций.//")</f>
        <v>Проблемы защиты и сохранения специальных дигитальных коллекций.//</v>
      </c>
      <c r="D3778" s="10">
        <f ca="1">IFERROR(__xludf.DUMMYFUNCTION("""COMPUTED_VALUE"""),2007)</f>
        <v>2007</v>
      </c>
      <c r="E3778" s="10" t="str">
        <f ca="1">IFERROR(__xludf.DUMMYFUNCTION("""COMPUTED_VALUE"""),"Информационные технологии и безопасность. Менеджмент информационной безопасности. Сб. научных трудов. Выпуск 10. НАН Украины, Киев, 2007, с. 74-78")</f>
        <v>Информационные технологии и безопасность. Менеджмент информационной безопасности. Сб. научных трудов. Выпуск 10. НАН Украины, Киев, 2007, с. 74-78</v>
      </c>
      <c r="F3778" s="10"/>
      <c r="G3778" s="10"/>
      <c r="H3778" s="10"/>
      <c r="I3778" s="10"/>
      <c r="J3778" s="10"/>
      <c r="K3778" s="10"/>
      <c r="L3778" s="10"/>
      <c r="M3778" s="10"/>
      <c r="N3778" s="10"/>
      <c r="O3778" s="10"/>
      <c r="P3778" s="10"/>
      <c r="Q3778" s="10"/>
      <c r="R3778" s="10"/>
      <c r="S3778" s="10"/>
      <c r="T3778" s="10"/>
      <c r="U3778" s="10"/>
      <c r="V3778" s="10"/>
      <c r="W3778" s="10"/>
      <c r="X3778" s="10"/>
      <c r="Y3778" s="10"/>
      <c r="Z3778" s="10"/>
    </row>
    <row r="3779" spans="1:26" ht="12.75">
      <c r="A3779" s="10" t="str">
        <f ca="1">IFERROR(__xludf.DUMMYFUNCTION("""COMPUTED_VALUE"""),"Иванка Гервазиева Павлова")</f>
        <v>Иванка Гервазиева Павлова</v>
      </c>
      <c r="B3779" s="10" t="str">
        <f ca="1">IFERROR(__xludf.DUMMYFUNCTION("""COMPUTED_VALUE"""),"Доклад от конференция")</f>
        <v>Доклад от конференция</v>
      </c>
      <c r="C3779" s="10" t="str">
        <f ca="1">IFERROR(__xludf.DUMMYFUNCTION("""COMPUTED_VALUE"""),"Проблеми при администриране на локални мрежи.")</f>
        <v>Проблеми при администриране на локални мрежи.</v>
      </c>
      <c r="D3779" s="10">
        <f ca="1">IFERROR(__xludf.DUMMYFUNCTION("""COMPUTED_VALUE"""),2007)</f>
        <v>2007</v>
      </c>
      <c r="E3779" s="10" t="str">
        <f ca="1">IFERROR(__xludf.DUMMYFUNCTION("""COMPUTED_VALUE"""),"ДЪРЖАВАТА на духа: четвърта национална научна конференция с международно участие, 1 ноем. 2006 г., София, - София: За буквите – О писменехь, 2007, с.573-579, ISBN 978-954-8887-29-8")</f>
        <v>ДЪРЖАВАТА на духа: четвърта национална научна конференция с международно участие, 1 ноем. 2006 г., София, - София: За буквите – О писменехь, 2007, с.573-579, ISBN 978-954-8887-29-8</v>
      </c>
      <c r="F3779" s="10"/>
      <c r="G3779" s="10" t="str">
        <f ca="1">IFERROR(__xludf.DUMMYFUNCTION("""COMPUTED_VALUE"""),"Л. Цонков")</f>
        <v>Л. Цонков</v>
      </c>
      <c r="H3779" s="10"/>
      <c r="I3779" s="10"/>
      <c r="J3779" s="10"/>
      <c r="K3779" s="10"/>
      <c r="L3779" s="10"/>
      <c r="M3779" s="10"/>
      <c r="N3779" s="10"/>
      <c r="O3779" s="10"/>
      <c r="P3779" s="10"/>
      <c r="Q3779" s="10"/>
      <c r="R3779" s="10"/>
      <c r="S3779" s="10"/>
      <c r="T3779" s="10"/>
      <c r="U3779" s="10"/>
      <c r="V3779" s="10"/>
      <c r="W3779" s="10"/>
      <c r="X3779" s="10"/>
      <c r="Y3779" s="10"/>
      <c r="Z3779" s="10"/>
    </row>
    <row r="3780" spans="1:26" ht="12.75">
      <c r="A3780" s="10" t="str">
        <f ca="1">IFERROR(__xludf.DUMMYFUNCTION("""COMPUTED_VALUE"""),"Иванка Гервазиева Павлова")</f>
        <v>Иванка Гервазиева Павлова</v>
      </c>
      <c r="B3780" s="10" t="str">
        <f ca="1">IFERROR(__xludf.DUMMYFUNCTION("""COMPUTED_VALUE"""),"Доклад от конференция")</f>
        <v>Доклад от конференция</v>
      </c>
      <c r="C3780" s="10" t="str">
        <f ca="1">IFERROR(__xludf.DUMMYFUNCTION("""COMPUTED_VALUE"""),"Изследване на информационните потребности в университетска информационна среда")</f>
        <v>Изследване на информационните потребности в университетска информационна среда</v>
      </c>
      <c r="D3780" s="10">
        <f ca="1">IFERROR(__xludf.DUMMYFUNCTION("""COMPUTED_VALUE"""),2006)</f>
        <v>2006</v>
      </c>
      <c r="E3780" s="10" t="str">
        <f ca="1">IFERROR(__xludf.DUMMYFUNCTION("""COMPUTED_VALUE"""),"Нови информационни технологии в образователния процес: Сб. доклади от Шести научен семинар на УниБИТ, София ""За буквите-О'писменех"" Т1., 2006, с. 90-95")</f>
        <v>Нови информационни технологии в образователния процес: Сб. доклади от Шести научен семинар на УниБИТ, София "За буквите-О'писменех" Т1., 2006, с. 90-95</v>
      </c>
      <c r="F3780" s="10"/>
      <c r="G3780" s="10"/>
      <c r="H3780" s="10"/>
      <c r="I3780" s="10"/>
      <c r="J3780" s="10"/>
      <c r="K3780" s="10"/>
      <c r="L3780" s="10"/>
      <c r="M3780" s="10"/>
      <c r="N3780" s="10"/>
      <c r="O3780" s="10"/>
      <c r="P3780" s="10"/>
      <c r="Q3780" s="10"/>
      <c r="R3780" s="10"/>
      <c r="S3780" s="10"/>
      <c r="T3780" s="10"/>
      <c r="U3780" s="10"/>
      <c r="V3780" s="10"/>
      <c r="W3780" s="10"/>
      <c r="X3780" s="10"/>
      <c r="Y3780" s="10"/>
      <c r="Z3780" s="10"/>
    </row>
    <row r="3781" spans="1:26" ht="12.75">
      <c r="A3781" s="10" t="str">
        <f ca="1">IFERROR(__xludf.DUMMYFUNCTION("""COMPUTED_VALUE"""),"Иванка Гервазиева Павлова")</f>
        <v>Иванка Гервазиева Павлова</v>
      </c>
      <c r="B3781" s="10" t="str">
        <f ca="1">IFERROR(__xludf.DUMMYFUNCTION("""COMPUTED_VALUE"""),"Статия в списания и поредици")</f>
        <v>Статия в списания и поредици</v>
      </c>
      <c r="C3781" s="10" t="str">
        <f ca="1">IFERROR(__xludf.DUMMYFUNCTION("""COMPUTED_VALUE"""),"Възможности за обучение върху основата на Wi-Fi технологиията в СВУБИТ.")</f>
        <v>Възможности за обучение върху основата на Wi-Fi технологиията в СВУБИТ.</v>
      </c>
      <c r="D3781" s="10">
        <f ca="1">IFERROR(__xludf.DUMMYFUNCTION("""COMPUTED_VALUE"""),2006)</f>
        <v>2006</v>
      </c>
      <c r="E3781" s="10" t="str">
        <f ca="1">IFERROR(__xludf.DUMMYFUNCTION("""COMPUTED_VALUE"""),"Държавата на духа. Четвърта Нац. науч. конф. с междунар. участие, София, 1 ноември 2006 г. София, За буквите - О писменехь, 2007, с. 565-572 ISBN 978-954-8887-29-8")</f>
        <v>Държавата на духа. Четвърта Нац. науч. конф. с междунар. участие, София, 1 ноември 2006 г. София, За буквите - О писменехь, 2007, с. 565-572 ISBN 978-954-8887-29-8</v>
      </c>
      <c r="F3781" s="10"/>
      <c r="G3781" s="10" t="str">
        <f ca="1">IFERROR(__xludf.DUMMYFUNCTION("""COMPUTED_VALUE"""),"Добри Бояджиев")</f>
        <v>Добри Бояджиев</v>
      </c>
      <c r="H3781" s="10"/>
      <c r="I3781" s="10"/>
      <c r="J3781" s="10"/>
      <c r="K3781" s="10"/>
      <c r="L3781" s="10"/>
      <c r="M3781" s="10"/>
      <c r="N3781" s="10"/>
      <c r="O3781" s="10"/>
      <c r="P3781" s="10"/>
      <c r="Q3781" s="10"/>
      <c r="R3781" s="10"/>
      <c r="S3781" s="10"/>
      <c r="T3781" s="10"/>
      <c r="U3781" s="10"/>
      <c r="V3781" s="10"/>
      <c r="W3781" s="10"/>
      <c r="X3781" s="10"/>
      <c r="Y3781" s="10"/>
      <c r="Z3781" s="10"/>
    </row>
    <row r="3782" spans="1:26" ht="12.75">
      <c r="A3782" s="10" t="str">
        <f ca="1">IFERROR(__xludf.DUMMYFUNCTION("""COMPUTED_VALUE"""),"Иванка Гервазиева Павлова")</f>
        <v>Иванка Гервазиева Павлова</v>
      </c>
      <c r="B3782" s="10" t="str">
        <f ca="1">IFERROR(__xludf.DUMMYFUNCTION("""COMPUTED_VALUE"""),"Доклад от конференция")</f>
        <v>Доклад от конференция</v>
      </c>
      <c r="C3782" s="10" t="str">
        <f ca="1">IFERROR(__xludf.DUMMYFUNCTION("""COMPUTED_VALUE"""),"Информационните технологии в образователния процес: еволюция към ново качество на образованието")</f>
        <v>Информационните технологии в образователния процес: еволюция към ново качество на образованието</v>
      </c>
      <c r="D3782" s="10">
        <f ca="1">IFERROR(__xludf.DUMMYFUNCTION("""COMPUTED_VALUE"""),2006)</f>
        <v>2006</v>
      </c>
      <c r="E3782" s="10" t="str">
        <f ca="1">IFERROR(__xludf.DUMMYFUNCTION("""COMPUTED_VALUE"""),"Образованието в информационното общество. Сб доклади от нац. конференция, Пловдив, 13-14 окт. 2006 г., ИМИ БАН")</f>
        <v>Образованието в информационното общество. Сб доклади от нац. конференция, Пловдив, 13-14 окт. 2006 г., ИМИ БАН</v>
      </c>
      <c r="F3782" s="10"/>
      <c r="G3782" s="10"/>
      <c r="H3782" s="10"/>
      <c r="I3782" s="10"/>
      <c r="J3782" s="10"/>
      <c r="K3782" s="10"/>
      <c r="L3782" s="10"/>
      <c r="M3782" s="10"/>
      <c r="N3782" s="10"/>
      <c r="O3782" s="10"/>
      <c r="P3782" s="10"/>
      <c r="Q3782" s="10"/>
      <c r="R3782" s="10"/>
      <c r="S3782" s="10"/>
      <c r="T3782" s="10"/>
      <c r="U3782" s="10"/>
      <c r="V3782" s="10"/>
      <c r="W3782" s="10"/>
      <c r="X3782" s="10"/>
      <c r="Y3782" s="10"/>
      <c r="Z3782" s="10"/>
    </row>
    <row r="3783" spans="1:26" ht="12.75">
      <c r="A3783" s="10" t="str">
        <f ca="1">IFERROR(__xludf.DUMMYFUNCTION("""COMPUTED_VALUE"""),"Иванка Гервазиева Павлова")</f>
        <v>Иванка Гервазиева Павлова</v>
      </c>
      <c r="B3783" s="10" t="str">
        <f ca="1">IFERROR(__xludf.DUMMYFUNCTION("""COMPUTED_VALUE"""),"Статия в списания и поредици")</f>
        <v>Статия в списания и поредици</v>
      </c>
      <c r="C3783" s="10" t="str">
        <f ca="1">IFERROR(__xludf.DUMMYFUNCTION("""COMPUTED_VALUE"""),"Дигиталната библиотека в единното образователно пространство")</f>
        <v>Дигиталната библиотека в единното образователно пространство</v>
      </c>
      <c r="D3783" s="10">
        <f ca="1">IFERROR(__xludf.DUMMYFUNCTION("""COMPUTED_VALUE"""),2006)</f>
        <v>2006</v>
      </c>
      <c r="E3783" s="10" t="str">
        <f ca="1">IFERROR(__xludf.DUMMYFUNCTION("""COMPUTED_VALUE"""),"Тр. на СВУБИТ, т. 5, София, 2006 г., с. 75-78 ISBN 312-5834")</f>
        <v>Тр. на СВУБИТ, т. 5, София, 2006 г., с. 75-78 ISBN 312-5834</v>
      </c>
      <c r="F3783" s="10"/>
      <c r="G3783" s="10"/>
      <c r="H3783" s="10"/>
      <c r="I3783" s="10"/>
      <c r="J3783" s="10"/>
      <c r="K3783" s="10"/>
      <c r="L3783" s="10"/>
      <c r="M3783" s="10"/>
      <c r="N3783" s="10"/>
      <c r="O3783" s="10"/>
      <c r="P3783" s="10"/>
      <c r="Q3783" s="10"/>
      <c r="R3783" s="10"/>
      <c r="S3783" s="10"/>
      <c r="T3783" s="10"/>
      <c r="U3783" s="10"/>
      <c r="V3783" s="10"/>
      <c r="W3783" s="10"/>
      <c r="X3783" s="10"/>
      <c r="Y3783" s="10"/>
      <c r="Z3783" s="10"/>
    </row>
    <row r="3784" spans="1:26" ht="12.75">
      <c r="A3784" s="10" t="str">
        <f ca="1">IFERROR(__xludf.DUMMYFUNCTION("""COMPUTED_VALUE"""),"Иванка Гервазиева Павлова")</f>
        <v>Иванка Гервазиева Павлова</v>
      </c>
      <c r="B3784" s="10" t="str">
        <f ca="1">IFERROR(__xludf.DUMMYFUNCTION("""COMPUTED_VALUE"""),"Статия в списания и поредици")</f>
        <v>Статия в списания и поредици</v>
      </c>
      <c r="C3784" s="10" t="str">
        <f ca="1">IFERROR(__xludf.DUMMYFUNCTION("""COMPUTED_VALUE"""),"Современная библиотечная практика дигитального будушего.")</f>
        <v>Современная библиотечная практика дигитального будушего.</v>
      </c>
      <c r="D3784" s="10">
        <f ca="1">IFERROR(__xludf.DUMMYFUNCTION("""COMPUTED_VALUE"""),2004)</f>
        <v>2004</v>
      </c>
      <c r="E3784" s="10" t="str">
        <f ca="1">IFERROR(__xludf.DUMMYFUNCTION("""COMPUTED_VALUE"""),"Книга и мировая цивилизация, Москва, 2004")</f>
        <v>Книга и мировая цивилизация, Москва, 2004</v>
      </c>
      <c r="F3784" s="10"/>
      <c r="G3784" s="10" t="str">
        <f ca="1">IFERROR(__xludf.DUMMYFUNCTION("""COMPUTED_VALUE"""),"Стоян Денчев и Ирена Петева")</f>
        <v>Стоян Денчев и Ирена Петева</v>
      </c>
      <c r="H3784" s="10"/>
      <c r="I3784" s="10"/>
      <c r="J3784" s="10"/>
      <c r="K3784" s="10"/>
      <c r="L3784" s="10"/>
      <c r="M3784" s="10"/>
      <c r="N3784" s="10"/>
      <c r="O3784" s="10"/>
      <c r="P3784" s="10"/>
      <c r="Q3784" s="10"/>
      <c r="R3784" s="10"/>
      <c r="S3784" s="10"/>
      <c r="T3784" s="10"/>
      <c r="U3784" s="10"/>
      <c r="V3784" s="10"/>
      <c r="W3784" s="10"/>
      <c r="X3784" s="10"/>
      <c r="Y3784" s="10"/>
      <c r="Z3784" s="10"/>
    </row>
    <row r="3785" spans="1:26" ht="12.75">
      <c r="A3785" s="10" t="str">
        <f ca="1">IFERROR(__xludf.DUMMYFUNCTION("""COMPUTED_VALUE"""),"Иванка Гервазиева Павлова")</f>
        <v>Иванка Гервазиева Павлова</v>
      </c>
      <c r="B3785" s="10" t="str">
        <f ca="1">IFERROR(__xludf.DUMMYFUNCTION("""COMPUTED_VALUE"""),"Статия в списания и поредици")</f>
        <v>Статия в списания и поредици</v>
      </c>
      <c r="C3785" s="10" t="str">
        <f ca="1">IFERROR(__xludf.DUMMYFUNCTION("""COMPUTED_VALUE"""),"Колежанската библиотека и образователния процес - съвременни измерения на традицията.")</f>
        <v>Колежанската библиотека и образователния процес - съвременни измерения на традицията.</v>
      </c>
      <c r="D3785" s="10">
        <f ca="1">IFERROR(__xludf.DUMMYFUNCTION("""COMPUTED_VALUE"""),2004)</f>
        <v>2004</v>
      </c>
      <c r="E3785" s="10" t="str">
        <f ca="1">IFERROR(__xludf.DUMMYFUNCTION("""COMPUTED_VALUE"""),"Ценко Цветанов и българската книжовна култура, София, 11 март 2003 г. Доклади от Нац. Науч. конф. София, 2004, с. 194-198")</f>
        <v>Ценко Цветанов и българската книжовна култура, София, 11 март 2003 г. Доклади от Нац. Науч. конф. София, 2004, с. 194-198</v>
      </c>
      <c r="F3785" s="10"/>
      <c r="G3785" s="10" t="str">
        <f ca="1">IFERROR(__xludf.DUMMYFUNCTION("""COMPUTED_VALUE"""),"Ирена Петева")</f>
        <v>Ирена Петева</v>
      </c>
      <c r="H3785" s="10"/>
      <c r="I3785" s="10"/>
      <c r="J3785" s="10"/>
      <c r="K3785" s="10"/>
      <c r="L3785" s="10"/>
      <c r="M3785" s="10"/>
      <c r="N3785" s="10"/>
      <c r="O3785" s="10"/>
      <c r="P3785" s="10"/>
      <c r="Q3785" s="10"/>
      <c r="R3785" s="10"/>
      <c r="S3785" s="10"/>
      <c r="T3785" s="10"/>
      <c r="U3785" s="10"/>
      <c r="V3785" s="10"/>
      <c r="W3785" s="10"/>
      <c r="X3785" s="10"/>
      <c r="Y3785" s="10"/>
      <c r="Z3785" s="10"/>
    </row>
    <row r="3786" spans="1:26" ht="12.75">
      <c r="A3786" s="10" t="str">
        <f ca="1">IFERROR(__xludf.DUMMYFUNCTION("""COMPUTED_VALUE"""),"Иглика Димитрова Гетова-Златева")</f>
        <v>Иглика Димитрова Гетова-Златева</v>
      </c>
      <c r="B3786" s="10" t="str">
        <f ca="1">IFERROR(__xludf.DUMMYFUNCTION("""COMPUTED_VALUE"""),"Доклад от конференция")</f>
        <v>Доклад от конференция</v>
      </c>
      <c r="C3786" s="10" t="str">
        <f ca="1">IFERROR(__xludf.DUMMYFUNCTION("""COMPUTED_VALUE"""),"COMPETENCY IN NUGGETS FOR CYBER SECURITY TRAININGS")</f>
        <v>COMPETENCY IN NUGGETS FOR CYBER SECURITY TRAININGS</v>
      </c>
      <c r="D3786" s="10">
        <f ca="1">IFERROR(__xludf.DUMMYFUNCTION("""COMPUTED_VALUE"""),2019)</f>
        <v>2019</v>
      </c>
      <c r="E3786" s="10" t="str">
        <f ca="1">IFERROR(__xludf.DUMMYFUNCTION("""COMPUTED_VALUE"""),"International Conference on Education and New Learning Technologies, 1-3 July, 2019, Palma, Spain.")</f>
        <v>International Conference on Education and New Learning Technologies, 1-3 July, 2019, Palma, Spain.</v>
      </c>
      <c r="F3786" s="10"/>
      <c r="G3786" s="10" t="str">
        <f ca="1">IFERROR(__xludf.DUMMYFUNCTION("""COMPUTED_VALUE"""),"E. Kovatcheva, W. Dimitrov, M. Koleva, I. Kostadinova, I. Getova")</f>
        <v>E. Kovatcheva, W. Dimitrov, M. Koleva, I. Kostadinova, I. Getova</v>
      </c>
      <c r="H3786" s="10"/>
      <c r="I3786" s="10"/>
      <c r="J3786" s="10"/>
      <c r="K3786" s="10"/>
      <c r="L3786" s="10"/>
      <c r="M3786" s="10"/>
      <c r="N3786" s="10"/>
      <c r="O3786" s="10"/>
      <c r="P3786" s="10"/>
      <c r="Q3786" s="10"/>
      <c r="R3786" s="10"/>
      <c r="S3786" s="10"/>
      <c r="T3786" s="10"/>
      <c r="U3786" s="10"/>
      <c r="V3786" s="10"/>
      <c r="W3786" s="10"/>
      <c r="X3786" s="10"/>
      <c r="Y3786" s="10"/>
      <c r="Z3786" s="10"/>
    </row>
    <row r="3787" spans="1:26" ht="12.75">
      <c r="A3787" s="10" t="str">
        <f ca="1">IFERROR(__xludf.DUMMYFUNCTION("""COMPUTED_VALUE"""),"Иглика Димитрова Гетова-Златева")</f>
        <v>Иглика Димитрова Гетова-Златева</v>
      </c>
      <c r="B3787" s="10" t="str">
        <f ca="1">IFERROR(__xludf.DUMMYFUNCTION("""COMPUTED_VALUE"""),"Доклад от конференция")</f>
        <v>Доклад от конференция</v>
      </c>
      <c r="C3787" s="10" t="str">
        <f ca="1">IFERROR(__xludf.DUMMYFUNCTION("""COMPUTED_VALUE"""),"Information Systems Used in Bulgarian University Libraries as Online Public Access Catalogs")</f>
        <v>Information Systems Used in Bulgarian University Libraries as Online Public Access Catalogs</v>
      </c>
      <c r="D3787" s="10">
        <f ca="1">IFERROR(__xludf.DUMMYFUNCTION("""COMPUTED_VALUE"""),2019)</f>
        <v>2019</v>
      </c>
      <c r="E3787" s="10" t="str">
        <f ca="1">IFERROR(__xludf.DUMMYFUNCTION("""COMPUTED_VALUE"""),"19 International Multidisciplinary Scientific Geoconference SGEM 2019 : Conference Proceedings, 28 June - 7 July 2019, Albena, Bulgaria : Vol. 19. Informatics, Iss. 2.1, Sofia: STEF92 Technology Ltd., 2019, pp.353-360.,")</f>
        <v>19 International Multidisciplinary Scientific Geoconference SGEM 2019 : Conference Proceedings, 28 June - 7 July 2019, Albena, Bulgaria : Vol. 19. Informatics, Iss. 2.1, Sofia: STEF92 Technology Ltd., 2019, pp.353-360.,</v>
      </c>
      <c r="F3787" s="10"/>
      <c r="G3787" s="10" t="str">
        <f ca="1">IFERROR(__xludf.DUMMYFUNCTION("""COMPUTED_VALUE"""),"Petrova, S., Stefanov, S., Ivanov, S., Sergeev, A., Getova, I")</f>
        <v>Petrova, S., Stefanov, S., Ivanov, S., Sergeev, A., Getova, I</v>
      </c>
      <c r="H3787" s="10"/>
      <c r="I3787" s="10"/>
      <c r="J3787" s="10"/>
      <c r="K3787" s="10"/>
      <c r="L3787" s="10"/>
      <c r="M3787" s="10"/>
      <c r="N3787" s="10"/>
      <c r="O3787" s="10"/>
      <c r="P3787" s="10"/>
      <c r="Q3787" s="10"/>
      <c r="R3787" s="10"/>
      <c r="S3787" s="10"/>
      <c r="T3787" s="10"/>
      <c r="U3787" s="10"/>
      <c r="V3787" s="10"/>
      <c r="W3787" s="10"/>
      <c r="X3787" s="10"/>
      <c r="Y3787" s="10"/>
      <c r="Z3787" s="10"/>
    </row>
    <row r="3788" spans="1:26" ht="12.75">
      <c r="A3788" s="10" t="str">
        <f ca="1">IFERROR(__xludf.DUMMYFUNCTION("""COMPUTED_VALUE"""),"Иглика Димитрова Гетова-Златева")</f>
        <v>Иглика Димитрова Гетова-Златева</v>
      </c>
      <c r="B3788" s="10" t="str">
        <f ca="1">IFERROR(__xludf.DUMMYFUNCTION("""COMPUTED_VALUE"""),"Доклад от конференция")</f>
        <v>Доклад от конференция</v>
      </c>
      <c r="C3788" s="10" t="str">
        <f ca="1">IFERROR(__xludf.DUMMYFUNCTION("""COMPUTED_VALUE"""),"INVESTIGATION AND ANALYSIS OF ALGORITHMS FOR EVALUATING THE ACQUISITION OF KNOWLEDGE ON TEACHING STUDENTS AT THE HIGHER EDUCATION INSTITUTIONS")</f>
        <v>INVESTIGATION AND ANALYSIS OF ALGORITHMS FOR EVALUATING THE ACQUISITION OF KNOWLEDGE ON TEACHING STUDENTS AT THE HIGHER EDUCATION INSTITUTIONS</v>
      </c>
      <c r="D3788" s="10">
        <f ca="1">IFERROR(__xludf.DUMMYFUNCTION("""COMPUTED_VALUE"""),2019)</f>
        <v>2019</v>
      </c>
      <c r="E3788" s="10" t="str">
        <f ca="1">IFERROR(__xludf.DUMMYFUNCTION("""COMPUTED_VALUE"""),"11th International Conference on Education and New Learning Technologies, 1-3 July, 2019, Palma, Spain.")</f>
        <v>11th International Conference on Education and New Learning Technologies, 1-3 July, 2019, Palma, Spain.</v>
      </c>
      <c r="F3788" s="10"/>
      <c r="G3788" s="10" t="str">
        <f ca="1">IFERROR(__xludf.DUMMYFUNCTION("""COMPUTED_VALUE"""),"Getova, I")</f>
        <v>Getova, I</v>
      </c>
      <c r="H3788" s="10"/>
      <c r="I3788" s="10"/>
      <c r="J3788" s="10"/>
      <c r="K3788" s="10"/>
      <c r="L3788" s="10"/>
      <c r="M3788" s="10"/>
      <c r="N3788" s="10"/>
      <c r="O3788" s="10"/>
      <c r="P3788" s="10"/>
      <c r="Q3788" s="10"/>
      <c r="R3788" s="10"/>
      <c r="S3788" s="10"/>
      <c r="T3788" s="10"/>
      <c r="U3788" s="10"/>
      <c r="V3788" s="10"/>
      <c r="W3788" s="10"/>
      <c r="X3788" s="10"/>
      <c r="Y3788" s="10"/>
      <c r="Z3788" s="10"/>
    </row>
    <row r="3789" spans="1:26" ht="12.75">
      <c r="A3789" s="10" t="str">
        <f ca="1">IFERROR(__xludf.DUMMYFUNCTION("""COMPUTED_VALUE"""),"Иглика Димитрова Гетова-Златева")</f>
        <v>Иглика Димитрова Гетова-Златева</v>
      </c>
      <c r="B3789" s="10" t="str">
        <f ca="1">IFERROR(__xludf.DUMMYFUNCTION("""COMPUTED_VALUE"""),"Доклад от конференция")</f>
        <v>Доклад от конференция</v>
      </c>
      <c r="C3789" s="10" t="str">
        <f ca="1">IFERROR(__xludf.DUMMYFUNCTION("""COMPUTED_VALUE"""),"Organizing and Managing the Learning Process Through the Student-Trainer Relationship")</f>
        <v>Organizing and Managing the Learning Process Through the Student-Trainer Relationship</v>
      </c>
      <c r="D3789" s="10">
        <f ca="1">IFERROR(__xludf.DUMMYFUNCTION("""COMPUTED_VALUE"""),2018)</f>
        <v>2018</v>
      </c>
      <c r="E3789" s="10" t="str">
        <f ca="1">IFERROR(__xludf.DUMMYFUNCTION("""COMPUTED_VALUE"""),"ICERI2018 Proceedings, ISBN 978-84-09-05948-5, ISSN 2340-1095, Published by, IATED Academy, 8903-8906")</f>
        <v>ICERI2018 Proceedings, ISBN 978-84-09-05948-5, ISSN 2340-1095, Published by, IATED Academy, 8903-8906</v>
      </c>
      <c r="F3789" s="10" t="str">
        <f ca="1">IFERROR(__xludf.DUMMYFUNCTION("""COMPUTED_VALUE"""),"Web of science")</f>
        <v>Web of science</v>
      </c>
      <c r="G3789" s="10"/>
      <c r="H3789" s="10"/>
      <c r="I3789" s="10"/>
      <c r="J3789" s="10"/>
      <c r="K3789" s="10"/>
      <c r="L3789" s="10"/>
      <c r="M3789" s="10"/>
      <c r="N3789" s="10"/>
      <c r="O3789" s="10"/>
      <c r="P3789" s="10"/>
      <c r="Q3789" s="10"/>
      <c r="R3789" s="10"/>
      <c r="S3789" s="10"/>
      <c r="T3789" s="10"/>
      <c r="U3789" s="10"/>
      <c r="V3789" s="10"/>
      <c r="W3789" s="10"/>
      <c r="X3789" s="10"/>
      <c r="Y3789" s="10"/>
      <c r="Z3789" s="10"/>
    </row>
    <row r="3790" spans="1:26" ht="12.75">
      <c r="A3790" s="10" t="str">
        <f ca="1">IFERROR(__xludf.DUMMYFUNCTION("""COMPUTED_VALUE"""),"Иглика Димитрова Гетова-Златева")</f>
        <v>Иглика Димитрова Гетова-Златева</v>
      </c>
      <c r="B3790" s="10" t="str">
        <f ca="1">IFERROR(__xludf.DUMMYFUNCTION("""COMPUTED_VALUE"""),"Доклад от конференция")</f>
        <v>Доклад от конференция</v>
      </c>
      <c r="C3790" s="10" t="str">
        <f ca="1">IFERROR(__xludf.DUMMYFUNCTION("""COMPUTED_VALUE"""),"Temporal Analysis of the Pedagogical Adoptions Use and Application of the Augmented and Virtual Reality Technologies in Technical Subject Areas")</f>
        <v>Temporal Analysis of the Pedagogical Adoptions Use and Application of the Augmented and Virtual Reality Technologies in Technical Subject Areas</v>
      </c>
      <c r="D3790" s="10">
        <f ca="1">IFERROR(__xludf.DUMMYFUNCTION("""COMPUTED_VALUE"""),2018)</f>
        <v>2018</v>
      </c>
      <c r="E3790" s="10" t="str">
        <f ca="1">IFERROR(__xludf.DUMMYFUNCTION("""COMPUTED_VALUE"""),"Proceedings, ISBN 978-84-09-05948-5, ISSN 2340-1095, Published by, IATED Academy, pp. 4387-4393.")</f>
        <v>Proceedings, ISBN 978-84-09-05948-5, ISSN 2340-1095, Published by, IATED Academy, pp. 4387-4393.</v>
      </c>
      <c r="F3790" s="10" t="str">
        <f ca="1">IFERROR(__xludf.DUMMYFUNCTION("""COMPUTED_VALUE"""),"Web of science")</f>
        <v>Web of science</v>
      </c>
      <c r="G3790" s="10" t="str">
        <f ca="1">IFERROR(__xludf.DUMMYFUNCTION("""COMPUTED_VALUE"""),"Kostadinova, R. Toshev, P. Petrov, K. Aleksiev")</f>
        <v>Kostadinova, R. Toshev, P. Petrov, K. Aleksiev</v>
      </c>
      <c r="H3790" s="10"/>
      <c r="I3790" s="10"/>
      <c r="J3790" s="10"/>
      <c r="K3790" s="10"/>
      <c r="L3790" s="10"/>
      <c r="M3790" s="10"/>
      <c r="N3790" s="10"/>
      <c r="O3790" s="10"/>
      <c r="P3790" s="10"/>
      <c r="Q3790" s="10"/>
      <c r="R3790" s="10"/>
      <c r="S3790" s="10"/>
      <c r="T3790" s="10"/>
      <c r="U3790" s="10"/>
      <c r="V3790" s="10"/>
      <c r="W3790" s="10"/>
      <c r="X3790" s="10"/>
      <c r="Y3790" s="10"/>
      <c r="Z3790" s="10"/>
    </row>
    <row r="3791" spans="1:26" ht="12.75">
      <c r="A3791" s="10" t="str">
        <f ca="1">IFERROR(__xludf.DUMMYFUNCTION("""COMPUTED_VALUE"""),"Иглика Димитрова Гетова-Златева")</f>
        <v>Иглика Димитрова Гетова-Златева</v>
      </c>
      <c r="B3791" s="10" t="str">
        <f ca="1">IFERROR(__xludf.DUMMYFUNCTION("""COMPUTED_VALUE"""),"Доклад от конференция")</f>
        <v>Доклад от конференция</v>
      </c>
      <c r="C3791" s="10" t="str">
        <f ca="1">IFERROR(__xludf.DUMMYFUNCTION("""COMPUTED_VALUE"""),"ORGANIZING AND MANAGING THE LEARNING PROCESS THROUGH THE STUDENT-TRAINER RELATIONSHIP")</f>
        <v>ORGANIZING AND MANAGING THE LEARNING PROCESS THROUGH THE STUDENT-TRAINER RELATIONSHIP</v>
      </c>
      <c r="D3791" s="10">
        <f ca="1">IFERROR(__xludf.DUMMYFUNCTION("""COMPUTED_VALUE"""),2018)</f>
        <v>2018</v>
      </c>
      <c r="E3791" s="10" t="str">
        <f ca="1">IFERROR(__xludf.DUMMYFUNCTION("""COMPUTED_VALUE"""),"ORGANIZING AND MANAGING THE LEARNING PROCESS THROUGH THE STUDENT-TRAINER RELATIONSHIP")</f>
        <v>ORGANIZING AND MANAGING THE LEARNING PROCESS THROUGH THE STUDENT-TRAINER RELATIONSHIP</v>
      </c>
      <c r="F3791" s="10"/>
      <c r="G3791" s="10" t="str">
        <f ca="1">IFERROR(__xludf.DUMMYFUNCTION("""COMPUTED_VALUE"""),"Getova, I")</f>
        <v>Getova, I</v>
      </c>
      <c r="H3791" s="10"/>
      <c r="I3791" s="10"/>
      <c r="J3791" s="10"/>
      <c r="K3791" s="10"/>
      <c r="L3791" s="10"/>
      <c r="M3791" s="10"/>
      <c r="N3791" s="10"/>
      <c r="O3791" s="10"/>
      <c r="P3791" s="10"/>
      <c r="Q3791" s="10"/>
      <c r="R3791" s="10"/>
      <c r="S3791" s="10"/>
      <c r="T3791" s="10"/>
      <c r="U3791" s="10"/>
      <c r="V3791" s="10"/>
      <c r="W3791" s="10"/>
      <c r="X3791" s="10"/>
      <c r="Y3791" s="10"/>
      <c r="Z3791" s="10"/>
    </row>
    <row r="3792" spans="1:26" ht="12.75">
      <c r="A3792" s="10" t="str">
        <f ca="1">IFERROR(__xludf.DUMMYFUNCTION("""COMPUTED_VALUE"""),"Иглика Димитрова Гетова-Златева")</f>
        <v>Иглика Димитрова Гетова-Златева</v>
      </c>
      <c r="B3792" s="10" t="str">
        <f ca="1">IFERROR(__xludf.DUMMYFUNCTION("""COMPUTED_VALUE"""),"Доклад от конференция")</f>
        <v>Доклад от конференция</v>
      </c>
      <c r="C3792" s="10" t="str">
        <f ca="1">IFERROR(__xludf.DUMMYFUNCTION("""COMPUTED_VALUE"""),"Researching and Analyzing Different Models for Verifying Knowledge in the Process of Aquiring Skills")</f>
        <v>Researching and Analyzing Different Models for Verifying Knowledge in the Process of Aquiring Skills</v>
      </c>
      <c r="D3792" s="10">
        <f ca="1">IFERROR(__xludf.DUMMYFUNCTION("""COMPUTED_VALUE"""),2018)</f>
        <v>2018</v>
      </c>
      <c r="E3792" s="10" t="str">
        <f ca="1">IFERROR(__xludf.DUMMYFUNCTION("""COMPUTED_VALUE"""),"12th annual International Technology, Education and Development Conference, Valencia, 5th, 6th and 7th of March, 2018, pp. 2617-2624")</f>
        <v>12th annual International Technology, Education and Development Conference, Valencia, 5th, 6th and 7th of March, 2018, pp. 2617-2624</v>
      </c>
      <c r="F3792" s="10" t="str">
        <f ca="1">IFERROR(__xludf.DUMMYFUNCTION("""COMPUTED_VALUE"""),"Web of science")</f>
        <v>Web of science</v>
      </c>
      <c r="G3792" s="10" t="str">
        <f ca="1">IFERROR(__xludf.DUMMYFUNCTION("""COMPUTED_VALUE"""),"Kostadinova, I.")</f>
        <v>Kostadinova, I.</v>
      </c>
      <c r="H3792" s="10"/>
      <c r="I3792" s="10"/>
      <c r="J3792" s="10"/>
      <c r="K3792" s="10"/>
      <c r="L3792" s="10"/>
      <c r="M3792" s="10"/>
      <c r="N3792" s="10"/>
      <c r="O3792" s="10"/>
      <c r="P3792" s="10"/>
      <c r="Q3792" s="10"/>
      <c r="R3792" s="10"/>
      <c r="S3792" s="10"/>
      <c r="T3792" s="10"/>
      <c r="U3792" s="10"/>
      <c r="V3792" s="10"/>
      <c r="W3792" s="10"/>
      <c r="X3792" s="10"/>
      <c r="Y3792" s="10"/>
      <c r="Z3792" s="10"/>
    </row>
    <row r="3793" spans="1:26" ht="12.75">
      <c r="A3793" s="10" t="str">
        <f ca="1">IFERROR(__xludf.DUMMYFUNCTION("""COMPUTED_VALUE"""),"Иглика Димитрова Гетова-Златева")</f>
        <v>Иглика Димитрова Гетова-Златева</v>
      </c>
      <c r="B3793" s="10" t="str">
        <f ca="1">IFERROR(__xludf.DUMMYFUNCTION("""COMPUTED_VALUE"""),"Доклад от конференция")</f>
        <v>Доклад от конференция</v>
      </c>
      <c r="C3793" s="10" t="str">
        <f ca="1">IFERROR(__xludf.DUMMYFUNCTION("""COMPUTED_VALUE"""),"TEMPORAL ANALYSIS OF THE PEDAGOGICAL ADOPTIONS USE AND APPLICATION OF THE AUGMENTED AND VIRTUAL REALITY TECHNOLOGIES IN TECHNICAL SUBJECT AREAS")</f>
        <v>TEMPORAL ANALYSIS OF THE PEDAGOGICAL ADOPTIONS USE AND APPLICATION OF THE AUGMENTED AND VIRTUAL REALITY TECHNOLOGIES IN TECHNICAL SUBJECT AREAS</v>
      </c>
      <c r="D3793" s="10">
        <f ca="1">IFERROR(__xludf.DUMMYFUNCTION("""COMPUTED_VALUE"""),2018)</f>
        <v>2018</v>
      </c>
      <c r="E3793" s="10" t="str">
        <f ca="1">IFERROR(__xludf.DUMMYFUNCTION("""COMPUTED_VALUE"""),"11th annual International Conference of Education, Research and Innovation, 12-14 November, 2018 Seville, Spain, pp. 4387-4393.")</f>
        <v>11th annual International Conference of Education, Research and Innovation, 12-14 November, 2018 Seville, Spain, pp. 4387-4393.</v>
      </c>
      <c r="F3793" s="10"/>
      <c r="G3793" s="10" t="str">
        <f ca="1">IFERROR(__xludf.DUMMYFUNCTION("""COMPUTED_VALUE"""),"I. Kostadinova1, R. Toshev1, P. Petrov2, K. Aleksiev1, I. Getova")</f>
        <v>I. Kostadinova1, R. Toshev1, P. Petrov2, K. Aleksiev1, I. Getova</v>
      </c>
      <c r="H3793" s="10"/>
      <c r="I3793" s="10"/>
      <c r="J3793" s="10"/>
      <c r="K3793" s="10"/>
      <c r="L3793" s="10"/>
      <c r="M3793" s="10"/>
      <c r="N3793" s="10"/>
      <c r="O3793" s="10"/>
      <c r="P3793" s="10"/>
      <c r="Q3793" s="10"/>
      <c r="R3793" s="10"/>
      <c r="S3793" s="10"/>
      <c r="T3793" s="10"/>
      <c r="U3793" s="10"/>
      <c r="V3793" s="10"/>
      <c r="W3793" s="10"/>
      <c r="X3793" s="10"/>
      <c r="Y3793" s="10"/>
      <c r="Z3793" s="10"/>
    </row>
    <row r="3794" spans="1:26" ht="12.75">
      <c r="A3794" s="10" t="str">
        <f ca="1">IFERROR(__xludf.DUMMYFUNCTION("""COMPUTED_VALUE"""),"Иглика Димитрова Гетова-Златева")</f>
        <v>Иглика Димитрова Гетова-Златева</v>
      </c>
      <c r="B3794" s="10" t="str">
        <f ca="1">IFERROR(__xludf.DUMMYFUNCTION("""COMPUTED_VALUE"""),"Доклад от конференция")</f>
        <v>Доклад от конференция</v>
      </c>
      <c r="C3794" s="10" t="str">
        <f ca="1">IFERROR(__xludf.DUMMYFUNCTION("""COMPUTED_VALUE"""),"DEMAND FOR HIGHLY QUALIFIED STAFF")</f>
        <v>DEMAND FOR HIGHLY QUALIFIED STAFF</v>
      </c>
      <c r="D3794" s="10">
        <f ca="1">IFERROR(__xludf.DUMMYFUNCTION("""COMPUTED_VALUE"""),2017)</f>
        <v>2017</v>
      </c>
      <c r="E3794" s="10" t="str">
        <f ca="1">IFERROR(__xludf.DUMMYFUNCTION("""COMPUTED_VALUE"""),"INTED 2017: 11th annual International Technology, Education and Development Conference, 6 – 8 March 2017, // Proceedings of INTE")</f>
        <v>INTED 2017: 11th annual International Technology, Education and Development Conference, 6 – 8 March 2017, // Proceedings of INTE</v>
      </c>
      <c r="F3794" s="10"/>
      <c r="G3794" s="10"/>
      <c r="H3794" s="10"/>
      <c r="I3794" s="10"/>
      <c r="J3794" s="10"/>
      <c r="K3794" s="10"/>
      <c r="L3794" s="10"/>
      <c r="M3794" s="10"/>
      <c r="N3794" s="10"/>
      <c r="O3794" s="10"/>
      <c r="P3794" s="10"/>
      <c r="Q3794" s="10"/>
      <c r="R3794" s="10"/>
      <c r="S3794" s="10"/>
      <c r="T3794" s="10"/>
      <c r="U3794" s="10"/>
      <c r="V3794" s="10"/>
      <c r="W3794" s="10"/>
      <c r="X3794" s="10"/>
      <c r="Y3794" s="10"/>
      <c r="Z3794" s="10"/>
    </row>
    <row r="3795" spans="1:26" ht="12.75">
      <c r="A3795" s="10" t="str">
        <f ca="1">IFERROR(__xludf.DUMMYFUNCTION("""COMPUTED_VALUE"""),"Иглика Димитрова Гетова-Златева")</f>
        <v>Иглика Димитрова Гетова-Златева</v>
      </c>
      <c r="B3795" s="10" t="str">
        <f ca="1">IFERROR(__xludf.DUMMYFUNCTION("""COMPUTED_VALUE"""),"Доклад от конференция")</f>
        <v>Доклад от конференция</v>
      </c>
      <c r="C3795" s="10" t="str">
        <f ca="1">IFERROR(__xludf.DUMMYFUNCTION("""COMPUTED_VALUE"""),"Model for building competencies trouth an electronic system for assessment of knowledge")</f>
        <v>Model for building competencies trouth an electronic system for assessment of knowledge</v>
      </c>
      <c r="D3795" s="10">
        <f ca="1">IFERROR(__xludf.DUMMYFUNCTION("""COMPUTED_VALUE"""),2017)</f>
        <v>2017</v>
      </c>
      <c r="E3795" s="10" t="str">
        <f ca="1">IFERROR(__xludf.DUMMYFUNCTION("""COMPUTED_VALUE"""),"Proceedings of International Conference of Education, Research and Innovation (ICERI2017)")</f>
        <v>Proceedings of International Conference of Education, Research and Innovation (ICERI2017)</v>
      </c>
      <c r="F3795" s="10" t="str">
        <f ca="1">IFERROR(__xludf.DUMMYFUNCTION("""COMPUTED_VALUE"""),"Web of science")</f>
        <v>Web of science</v>
      </c>
      <c r="G3795" s="10" t="str">
        <f ca="1">IFERROR(__xludf.DUMMYFUNCTION("""COMPUTED_VALUE"""),"Kostadinova, I., G.P.Dimitrov, Boryana Nikolova")</f>
        <v>Kostadinova, I., G.P.Dimitrov, Boryana Nikolova</v>
      </c>
      <c r="H3795" s="10"/>
      <c r="I3795" s="10"/>
      <c r="J3795" s="10"/>
      <c r="K3795" s="10"/>
      <c r="L3795" s="10"/>
      <c r="M3795" s="10"/>
      <c r="N3795" s="10"/>
      <c r="O3795" s="10"/>
      <c r="P3795" s="10"/>
      <c r="Q3795" s="10"/>
      <c r="R3795" s="10"/>
      <c r="S3795" s="10"/>
      <c r="T3795" s="10"/>
      <c r="U3795" s="10"/>
      <c r="V3795" s="10"/>
      <c r="W3795" s="10"/>
      <c r="X3795" s="10"/>
      <c r="Y3795" s="10"/>
      <c r="Z3795" s="10"/>
    </row>
    <row r="3796" spans="1:26" ht="12.75">
      <c r="A3796" s="10" t="str">
        <f ca="1">IFERROR(__xludf.DUMMYFUNCTION("""COMPUTED_VALUE"""),"Иглика Димитрова Гетова-Златева")</f>
        <v>Иглика Димитрова Гетова-Златева</v>
      </c>
      <c r="B3796" s="10" t="str">
        <f ca="1">IFERROR(__xludf.DUMMYFUNCTION("""COMPUTED_VALUE"""),"Доклад от конференция")</f>
        <v>Доклад от конференция</v>
      </c>
      <c r="C3796" s="10" t="str">
        <f ca="1">IFERROR(__xludf.DUMMYFUNCTION("""COMPUTED_VALUE"""),"Въздействие на ИТ върху образователният процес")</f>
        <v>Въздействие на ИТ върху образователният процес</v>
      </c>
      <c r="D3796" s="10">
        <f ca="1">IFERROR(__xludf.DUMMYFUNCTION("""COMPUTED_VALUE"""),2017)</f>
        <v>2017</v>
      </c>
      <c r="E3796" s="10" t="str">
        <f ca="1">IFERROR(__xludf.DUMMYFUNCTION("""COMPUTED_VALUE"""),"Сборник с доклади от кръгла маса по повод 20 годишнината от основаването на специалност „Информационни технологии“ в УниБИТ, 04 Октомври 2017 г., ISBN 978-619-185-299-4. Изд. „За буквите – О`писменехь”, София, с. 118-124.")</f>
        <v>Сборник с доклади от кръгла маса по повод 20 годишнината от основаването на специалност „Информационни технологии“ в УниБИТ, 04 Октомври 2017 г., ISBN 978-619-185-299-4. Изд. „За буквите – О`писменехь”, София, с. 118-124.</v>
      </c>
      <c r="F3796" s="10"/>
      <c r="G3796" s="10"/>
      <c r="H3796" s="10"/>
      <c r="I3796" s="10"/>
      <c r="J3796" s="10"/>
      <c r="K3796" s="10"/>
      <c r="L3796" s="10"/>
      <c r="M3796" s="10"/>
      <c r="N3796" s="10"/>
      <c r="O3796" s="10"/>
      <c r="P3796" s="10"/>
      <c r="Q3796" s="10"/>
      <c r="R3796" s="10"/>
      <c r="S3796" s="10"/>
      <c r="T3796" s="10"/>
      <c r="U3796" s="10"/>
      <c r="V3796" s="10"/>
      <c r="W3796" s="10"/>
      <c r="X3796" s="10"/>
      <c r="Y3796" s="10"/>
      <c r="Z3796" s="10"/>
    </row>
    <row r="3797" spans="1:26" ht="12.75">
      <c r="A3797" s="10" t="str">
        <f ca="1">IFERROR(__xludf.DUMMYFUNCTION("""COMPUTED_VALUE"""),"Иглика Димитрова Гетова-Златева")</f>
        <v>Иглика Димитрова Гетова-Златева</v>
      </c>
      <c r="B3797" s="10" t="str">
        <f ca="1">IFERROR(__xludf.DUMMYFUNCTION("""COMPUTED_VALUE"""),"Доклад от конференция")</f>
        <v>Доклад от конференция</v>
      </c>
      <c r="C3797" s="10" t="str">
        <f ca="1">IFERROR(__xludf.DUMMYFUNCTION("""COMPUTED_VALUE"""),"Оценки, подпомагащи бизнес-търсенето на висококвалифициран персонал")</f>
        <v>Оценки, подпомагащи бизнес-търсенето на висококвалифициран персонал</v>
      </c>
      <c r="D3797" s="10">
        <f ca="1">IFERROR(__xludf.DUMMYFUNCTION("""COMPUTED_VALUE"""),2017)</f>
        <v>2017</v>
      </c>
      <c r="E3797" s="10" t="str">
        <f ca="1">IFERROR(__xludf.DUMMYFUNCTION("""COMPUTED_VALUE"""),"Сборник с доклади, том 5, 11-ти пътуващ международен семинар, България – Гърция, 29 май – 5 юни 2017, Изд. „За буквите – О писменехь”, София, с. 138-144.")</f>
        <v>Сборник с доклади, том 5, 11-ти пътуващ международен семинар, България – Гърция, 29 май – 5 юни 2017, Изд. „За буквите – О писменехь”, София, с. 138-144.</v>
      </c>
      <c r="F3797" s="10"/>
      <c r="G3797" s="10" t="str">
        <f ca="1">IFERROR(__xludf.DUMMYFUNCTION("""COMPUTED_VALUE"""),"д.ик.н. Владимир Йоцов")</f>
        <v>д.ик.н. Владимир Йоцов</v>
      </c>
      <c r="H3797" s="10"/>
      <c r="I3797" s="10"/>
      <c r="J3797" s="10"/>
      <c r="K3797" s="10"/>
      <c r="L3797" s="10"/>
      <c r="M3797" s="10"/>
      <c r="N3797" s="10"/>
      <c r="O3797" s="10"/>
      <c r="P3797" s="10"/>
      <c r="Q3797" s="10"/>
      <c r="R3797" s="10"/>
      <c r="S3797" s="10"/>
      <c r="T3797" s="10"/>
      <c r="U3797" s="10"/>
      <c r="V3797" s="10"/>
      <c r="W3797" s="10"/>
      <c r="X3797" s="10"/>
      <c r="Y3797" s="10"/>
      <c r="Z3797" s="10"/>
    </row>
    <row r="3798" spans="1:26" ht="12.75">
      <c r="A3798" s="10" t="str">
        <f ca="1">IFERROR(__xludf.DUMMYFUNCTION("""COMPUTED_VALUE"""),"Иглика Димитрова Гетова-Златева")</f>
        <v>Иглика Димитрова Гетова-Златева</v>
      </c>
      <c r="B3798" s="10" t="str">
        <f ca="1">IFERROR(__xludf.DUMMYFUNCTION("""COMPUTED_VALUE"""),"Доклад от конференция")</f>
        <v>Доклад от конференция</v>
      </c>
      <c r="C3798" s="10" t="str">
        <f ca="1">IFERROR(__xludf.DUMMYFUNCTION("""COMPUTED_VALUE"""),"DYNAMIC DEVELOPMENT OF DIGITAL TRAINING IN
 EDUCATIONAL FIELD")</f>
        <v>DYNAMIC DEVELOPMENT OF DIGITAL TRAINING IN
 EDUCATIONAL FIELD</v>
      </c>
      <c r="D3798" s="10">
        <f ca="1">IFERROR(__xludf.DUMMYFUNCTION("""COMPUTED_VALUE"""),2017)</f>
        <v>2017</v>
      </c>
      <c r="E3798" s="10" t="str">
        <f ca="1">IFERROR(__xludf.DUMMYFUNCTION("""COMPUTED_VALUE"""),"“9th Annual International Conference on Education and New Learning Technologies (EDULEARN 2017) 3rd-5th July 2017”")</f>
        <v>“9th Annual International Conference on Education and New Learning Technologies (EDULEARN 2017) 3rd-5th July 2017”</v>
      </c>
      <c r="F3798" s="10"/>
      <c r="G3798" s="10"/>
      <c r="H3798" s="10"/>
      <c r="I3798" s="10"/>
      <c r="J3798" s="10"/>
      <c r="K3798" s="10"/>
      <c r="L3798" s="10"/>
      <c r="M3798" s="10"/>
      <c r="N3798" s="10"/>
      <c r="O3798" s="10"/>
      <c r="P3798" s="10"/>
      <c r="Q3798" s="10"/>
      <c r="R3798" s="10"/>
      <c r="S3798" s="10"/>
      <c r="T3798" s="10"/>
      <c r="U3798" s="10"/>
      <c r="V3798" s="10"/>
      <c r="W3798" s="10"/>
      <c r="X3798" s="10"/>
      <c r="Y3798" s="10"/>
      <c r="Z3798" s="10"/>
    </row>
    <row r="3799" spans="1:26" ht="12.75">
      <c r="A3799" s="10" t="str">
        <f ca="1">IFERROR(__xludf.DUMMYFUNCTION("""COMPUTED_VALUE"""),"Иглика Димитрова Гетова-Златева")</f>
        <v>Иглика Димитрова Гетова-Златева</v>
      </c>
      <c r="B3799" s="10" t="str">
        <f ca="1">IFERROR(__xludf.DUMMYFUNCTION("""COMPUTED_VALUE"""),"Статия в списания и поредици")</f>
        <v>Статия в списания и поредици</v>
      </c>
      <c r="C3799" s="10" t="str">
        <f ca="1">IFERROR(__xludf.DUMMYFUNCTION("""COMPUTED_VALUE"""),"Подходи при провеждането на обучение във виртуална класна стая")</f>
        <v>Подходи при провеждането на обучение във виртуална класна стая</v>
      </c>
      <c r="D3799" s="10">
        <f ca="1">IFERROR(__xludf.DUMMYFUNCTION("""COMPUTED_VALUE"""),2016)</f>
        <v>2016</v>
      </c>
      <c r="E3799" s="10" t="str">
        <f ca="1">IFERROR(__xludf.DUMMYFUNCTION("""COMPUTED_VALUE"""),"сп. Наука, бр. 1, С., 2016, с. 42 – 48.")</f>
        <v>сп. Наука, бр. 1, С., 2016, с. 42 – 48.</v>
      </c>
      <c r="F3799" s="10"/>
      <c r="G3799" s="10" t="str">
        <f ca="1">IFERROR(__xludf.DUMMYFUNCTION("""COMPUTED_VALUE"""),"М. Енчева")</f>
        <v>М. Енчева</v>
      </c>
      <c r="H3799" s="10"/>
      <c r="I3799" s="10"/>
      <c r="J3799" s="10"/>
      <c r="K3799" s="10"/>
      <c r="L3799" s="10"/>
      <c r="M3799" s="10"/>
      <c r="N3799" s="10"/>
      <c r="O3799" s="10"/>
      <c r="P3799" s="10"/>
      <c r="Q3799" s="10"/>
      <c r="R3799" s="10"/>
      <c r="S3799" s="10"/>
      <c r="T3799" s="10"/>
      <c r="U3799" s="10"/>
      <c r="V3799" s="10"/>
      <c r="W3799" s="10"/>
      <c r="X3799" s="10"/>
      <c r="Y3799" s="10"/>
      <c r="Z3799" s="10"/>
    </row>
    <row r="3800" spans="1:26" ht="12.75">
      <c r="A3800" s="10" t="str">
        <f ca="1">IFERROR(__xludf.DUMMYFUNCTION("""COMPUTED_VALUE"""),"Иглика Димитрова Гетова-Златева")</f>
        <v>Иглика Димитрова Гетова-Златева</v>
      </c>
      <c r="B3800" s="10" t="str">
        <f ca="1">IFERROR(__xludf.DUMMYFUNCTION("""COMPUTED_VALUE"""),"Статия в списания и поредици")</f>
        <v>Статия в списания и поредици</v>
      </c>
      <c r="C3800" s="10" t="str">
        <f ca="1">IFERROR(__xludf.DUMMYFUNCTION("""COMPUTED_VALUE"""),"Еducation of “net generation“")</f>
        <v>Еducation of “net generation“</v>
      </c>
      <c r="D3800" s="10">
        <f ca="1">IFERROR(__xludf.DUMMYFUNCTION("""COMPUTED_VALUE"""),2016)</f>
        <v>2016</v>
      </c>
      <c r="E3800" s="10" t="str">
        <f ca="1">IFERROR(__xludf.DUMMYFUNCTION("""COMPUTED_VALUE"""),"International Journal of Scientific Footprints, ISSN 2310-4090, No: SF-2016-56, January – March 2016.")</f>
        <v>International Journal of Scientific Footprints, ISSN 2310-4090, No: SF-2016-56, January – March 2016.</v>
      </c>
      <c r="F3800" s="10"/>
      <c r="G3800" s="10"/>
      <c r="H3800" s="10"/>
      <c r="I3800" s="10"/>
      <c r="J3800" s="10"/>
      <c r="K3800" s="10"/>
      <c r="L3800" s="10"/>
      <c r="M3800" s="10"/>
      <c r="N3800" s="10"/>
      <c r="O3800" s="10"/>
      <c r="P3800" s="10"/>
      <c r="Q3800" s="10"/>
      <c r="R3800" s="10"/>
      <c r="S3800" s="10"/>
      <c r="T3800" s="10"/>
      <c r="U3800" s="10"/>
      <c r="V3800" s="10"/>
      <c r="W3800" s="10"/>
      <c r="X3800" s="10"/>
      <c r="Y3800" s="10"/>
      <c r="Z3800" s="10"/>
    </row>
    <row r="3801" spans="1:26" ht="12.75">
      <c r="A3801" s="10" t="str">
        <f ca="1">IFERROR(__xludf.DUMMYFUNCTION("""COMPUTED_VALUE"""),"Иглика Димитрова Гетова-Златева")</f>
        <v>Иглика Димитрова Гетова-Златева</v>
      </c>
      <c r="B3801" s="10" t="str">
        <f ca="1">IFERROR(__xludf.DUMMYFUNCTION("""COMPUTED_VALUE"""),"Статия в списания и поредици")</f>
        <v>Статия в списания и поредици</v>
      </c>
      <c r="C3801" s="10" t="str">
        <f ca="1">IFERROR(__xludf.DUMMYFUNCTION("""COMPUTED_VALUE"""),"Подходи при провеждането на обучение във виртуална класна стая")</f>
        <v>Подходи при провеждането на обучение във виртуална класна стая</v>
      </c>
      <c r="D3801" s="10">
        <f ca="1">IFERROR(__xludf.DUMMYFUNCTION("""COMPUTED_VALUE"""),2016)</f>
        <v>2016</v>
      </c>
      <c r="E3801" s="10" t="str">
        <f ca="1">IFERROR(__xludf.DUMMYFUNCTION("""COMPUTED_VALUE"""),"сп. Наука, бр. 1, София, с. 42 – 48")</f>
        <v>сп. Наука, бр. 1, София, с. 42 – 48</v>
      </c>
      <c r="F3801" s="10"/>
      <c r="G3801" s="10" t="str">
        <f ca="1">IFERROR(__xludf.DUMMYFUNCTION("""COMPUTED_VALUE"""),"Енчева, М.")</f>
        <v>Енчева, М.</v>
      </c>
      <c r="H3801" s="10"/>
      <c r="I3801" s="10"/>
      <c r="J3801" s="10"/>
      <c r="K3801" s="10"/>
      <c r="L3801" s="10"/>
      <c r="M3801" s="10"/>
      <c r="N3801" s="10"/>
      <c r="O3801" s="10"/>
      <c r="P3801" s="10"/>
      <c r="Q3801" s="10"/>
      <c r="R3801" s="10"/>
      <c r="S3801" s="10"/>
      <c r="T3801" s="10"/>
      <c r="U3801" s="10"/>
      <c r="V3801" s="10"/>
      <c r="W3801" s="10"/>
      <c r="X3801" s="10"/>
      <c r="Y3801" s="10"/>
      <c r="Z3801" s="10"/>
    </row>
    <row r="3802" spans="1:26" ht="12.75">
      <c r="A3802" s="10" t="str">
        <f ca="1">IFERROR(__xludf.DUMMYFUNCTION("""COMPUTED_VALUE"""),"Иглика Димитрова Гетова-Златева")</f>
        <v>Иглика Димитрова Гетова-Златева</v>
      </c>
      <c r="B3802" s="10" t="str">
        <f ca="1">IFERROR(__xludf.DUMMYFUNCTION("""COMPUTED_VALUE"""),"Статия в списания и поредици")</f>
        <v>Статия в списания и поредици</v>
      </c>
      <c r="C3802" s="10" t="str">
        <f ca="1">IFERROR(__xludf.DUMMYFUNCTION("""COMPUTED_VALUE"""),"Education of “Net Generation")</f>
        <v>Education of “Net Generation</v>
      </c>
      <c r="D3802" s="10">
        <f ca="1">IFERROR(__xludf.DUMMYFUNCTION("""COMPUTED_VALUE"""),2016)</f>
        <v>2016</v>
      </c>
      <c r="E3802" s="10" t="str">
        <f ca="1">IFERROR(__xludf.DUMMYFUNCTION("""COMPUTED_VALUE"""),"International Journal of Scientific Footprints, ISSN 2310-4090, No: SF-2016-55; 1(1): 10–16")</f>
        <v>International Journal of Scientific Footprints, ISSN 2310-4090, No: SF-2016-55; 1(1): 10–16</v>
      </c>
      <c r="F3802" s="10"/>
      <c r="G3802" s="10"/>
      <c r="H3802" s="10"/>
      <c r="I3802" s="10"/>
      <c r="J3802" s="10"/>
      <c r="K3802" s="10"/>
      <c r="L3802" s="10"/>
      <c r="M3802" s="10"/>
      <c r="N3802" s="10"/>
      <c r="O3802" s="10"/>
      <c r="P3802" s="10"/>
      <c r="Q3802" s="10"/>
      <c r="R3802" s="10"/>
      <c r="S3802" s="10"/>
      <c r="T3802" s="10"/>
      <c r="U3802" s="10"/>
      <c r="V3802" s="10"/>
      <c r="W3802" s="10"/>
      <c r="X3802" s="10"/>
      <c r="Y3802" s="10"/>
      <c r="Z3802" s="10"/>
    </row>
    <row r="3803" spans="1:26" ht="12.75">
      <c r="A3803" s="10" t="str">
        <f ca="1">IFERROR(__xludf.DUMMYFUNCTION("""COMPUTED_VALUE"""),"Иглика Димитрова Гетова-Златева")</f>
        <v>Иглика Димитрова Гетова-Златева</v>
      </c>
      <c r="B3803" s="10" t="str">
        <f ca="1">IFERROR(__xludf.DUMMYFUNCTION("""COMPUTED_VALUE"""),"Статия в списания и поредици")</f>
        <v>Статия в списания и поредици</v>
      </c>
      <c r="C3803" s="10" t="str">
        <f ca="1">IFERROR(__xludf.DUMMYFUNCTION("""COMPUTED_VALUE"""),"Смарт обучение на „нет поколението")</f>
        <v>Смарт обучение на „нет поколението</v>
      </c>
      <c r="D3803" s="10">
        <f ca="1">IFERROR(__xludf.DUMMYFUNCTION("""COMPUTED_VALUE"""),2016)</f>
        <v>2016</v>
      </c>
      <c r="E3803" s="10" t="str">
        <f ca="1">IFERROR(__xludf.DUMMYFUNCTION("""COMPUTED_VALUE"""),"Изследвания в чест на акад. проф. Александра Куманова, Юбилеен сборник по случай 65 години от основаването на УниБИТ// Изд. „За")</f>
        <v>Изследвания в чест на акад. проф. Александра Куманова, Юбилеен сборник по случай 65 години от основаването на УниБИТ// Изд. „За</v>
      </c>
      <c r="F3803" s="10"/>
      <c r="G3803" s="10"/>
      <c r="H3803" s="10"/>
      <c r="I3803" s="10"/>
      <c r="J3803" s="10"/>
      <c r="K3803" s="10"/>
      <c r="L3803" s="10"/>
      <c r="M3803" s="10"/>
      <c r="N3803" s="10"/>
      <c r="O3803" s="10"/>
      <c r="P3803" s="10"/>
      <c r="Q3803" s="10"/>
      <c r="R3803" s="10"/>
      <c r="S3803" s="10"/>
      <c r="T3803" s="10"/>
      <c r="U3803" s="10"/>
      <c r="V3803" s="10"/>
      <c r="W3803" s="10"/>
      <c r="X3803" s="10"/>
      <c r="Y3803" s="10"/>
      <c r="Z3803" s="10"/>
    </row>
    <row r="3804" spans="1:26" ht="12.75">
      <c r="A3804" s="10" t="str">
        <f ca="1">IFERROR(__xludf.DUMMYFUNCTION("""COMPUTED_VALUE"""),"Иглика Димитрова Гетова-Златева")</f>
        <v>Иглика Димитрова Гетова-Златева</v>
      </c>
      <c r="B3804" s="10" t="str">
        <f ca="1">IFERROR(__xludf.DUMMYFUNCTION("""COMPUTED_VALUE"""),"Доклад от конференция")</f>
        <v>Доклад от конференция</v>
      </c>
      <c r="C3804" s="10" t="str">
        <f ca="1">IFERROR(__xludf.DUMMYFUNCTION("""COMPUTED_VALUE"""),"Организация и управление на образователния процес посредством три компонентна връзка обучаем-обучител-ръководител")</f>
        <v>Организация и управление на образователния процес посредством три компонентна връзка обучаем-обучител-ръководител</v>
      </c>
      <c r="D3804" s="10">
        <f ca="1">IFERROR(__xludf.DUMMYFUNCTION("""COMPUTED_VALUE"""),2016)</f>
        <v>2016</v>
      </c>
      <c r="E3804" s="10" t="str">
        <f ca="1">IFERROR(__xludf.DUMMYFUNCTION("""COMPUTED_VALUE"""),"ХІІІ национална научна конференция, 1.11.2015 г. Изд. „За буквите – О писменехь“, София, с. 584-594.")</f>
        <v>ХІІІ национална научна конференция, 1.11.2015 г. Изд. „За буквите – О писменехь“, София, с. 584-594.</v>
      </c>
      <c r="F3804" s="10"/>
      <c r="G3804" s="10"/>
      <c r="H3804" s="10"/>
      <c r="I3804" s="10"/>
      <c r="J3804" s="10"/>
      <c r="K3804" s="10"/>
      <c r="L3804" s="10"/>
      <c r="M3804" s="10"/>
      <c r="N3804" s="10"/>
      <c r="O3804" s="10"/>
      <c r="P3804" s="10"/>
      <c r="Q3804" s="10"/>
      <c r="R3804" s="10"/>
      <c r="S3804" s="10"/>
      <c r="T3804" s="10"/>
      <c r="U3804" s="10"/>
      <c r="V3804" s="10"/>
      <c r="W3804" s="10"/>
      <c r="X3804" s="10"/>
      <c r="Y3804" s="10"/>
      <c r="Z3804" s="10"/>
    </row>
    <row r="3805" spans="1:26" ht="12.75">
      <c r="A3805" s="10" t="str">
        <f ca="1">IFERROR(__xludf.DUMMYFUNCTION("""COMPUTED_VALUE"""),"Иглика Димитрова Гетова-Златева")</f>
        <v>Иглика Димитрова Гетова-Златева</v>
      </c>
      <c r="B3805" s="10" t="str">
        <f ca="1">IFERROR(__xludf.DUMMYFUNCTION("""COMPUTED_VALUE"""),"Доклад от конференция")</f>
        <v>Доклад от конференция</v>
      </c>
      <c r="C3805" s="10" t="str">
        <f ca="1">IFERROR(__xludf.DUMMYFUNCTION("""COMPUTED_VALUE"""),"„Организация и управление на образователният процес посредством три компонентна връзка обучаем – обучител – ръководител”")</f>
        <v>„Организация и управление на образователният процес посредством три компонентна връзка обучаем – обучител – ръководител”</v>
      </c>
      <c r="D3805" s="10">
        <f ca="1">IFERROR(__xludf.DUMMYFUNCTION("""COMPUTED_VALUE"""),2015)</f>
        <v>2015</v>
      </c>
      <c r="E3805" s="10" t="str">
        <f ca="1">IFERROR(__xludf.DUMMYFUNCTION("""COMPUTED_VALUE"""),"ХIІІ Национална научна конференция с международно участие, 1 ноември, 2015")</f>
        <v>ХIІІ Национална научна конференция с международно участие, 1 ноември, 2015</v>
      </c>
      <c r="F3805" s="10"/>
      <c r="G3805" s="10"/>
      <c r="H3805" s="10"/>
      <c r="I3805" s="10"/>
      <c r="J3805" s="10"/>
      <c r="K3805" s="10"/>
      <c r="L3805" s="10"/>
      <c r="M3805" s="10"/>
      <c r="N3805" s="10"/>
      <c r="O3805" s="10"/>
      <c r="P3805" s="10"/>
      <c r="Q3805" s="10"/>
      <c r="R3805" s="10"/>
      <c r="S3805" s="10"/>
      <c r="T3805" s="10"/>
      <c r="U3805" s="10"/>
      <c r="V3805" s="10"/>
      <c r="W3805" s="10"/>
      <c r="X3805" s="10"/>
      <c r="Y3805" s="10"/>
      <c r="Z3805" s="10"/>
    </row>
    <row r="3806" spans="1:26" ht="12.75">
      <c r="A3806" s="10" t="str">
        <f ca="1">IFERROR(__xludf.DUMMYFUNCTION("""COMPUTED_VALUE"""),"Иглика Димитрова Гетова-Златева")</f>
        <v>Иглика Димитрова Гетова-Златева</v>
      </c>
      <c r="B3806" s="10" t="str">
        <f ca="1">IFERROR(__xludf.DUMMYFUNCTION("""COMPUTED_VALUE"""),"Статия в списания и поредици")</f>
        <v>Статия в списания и поредици</v>
      </c>
      <c r="C3806" s="10" t="str">
        <f ca="1">IFERROR(__xludf.DUMMYFUNCTION("""COMPUTED_VALUE"""),"Implementation of the Game Models and Strategies in Education")</f>
        <v>Implementation of the Game Models and Strategies in Education</v>
      </c>
      <c r="D3806" s="10">
        <f ca="1">IFERROR(__xludf.DUMMYFUNCTION("""COMPUTED_VALUE"""),2015)</f>
        <v>2015</v>
      </c>
      <c r="E3806" s="10" t="str">
        <f ca="1">IFERROR(__xludf.DUMMYFUNCTION("""COMPUTED_VALUE"""),"International Journal of Scientific Footprints, ISSN 2310-4090, No: SF-2015-4, Open Access. March-April, 2015")</f>
        <v>International Journal of Scientific Footprints, ISSN 2310-4090, No: SF-2015-4, Open Access. March-April, 2015</v>
      </c>
      <c r="F3806" s="10"/>
      <c r="G3806" s="10"/>
      <c r="H3806" s="10"/>
      <c r="I3806" s="10"/>
      <c r="J3806" s="10"/>
      <c r="K3806" s="10"/>
      <c r="L3806" s="10"/>
      <c r="M3806" s="10"/>
      <c r="N3806" s="10"/>
      <c r="O3806" s="10"/>
      <c r="P3806" s="10"/>
      <c r="Q3806" s="10"/>
      <c r="R3806" s="10"/>
      <c r="S3806" s="10"/>
      <c r="T3806" s="10"/>
      <c r="U3806" s="10"/>
      <c r="V3806" s="10"/>
      <c r="W3806" s="10"/>
      <c r="X3806" s="10"/>
      <c r="Y3806" s="10"/>
      <c r="Z3806" s="10"/>
    </row>
    <row r="3807" spans="1:26" ht="12.75">
      <c r="A3807" s="10" t="str">
        <f ca="1">IFERROR(__xludf.DUMMYFUNCTION("""COMPUTED_VALUE"""),"Иглика Димитрова Гетова-Златева")</f>
        <v>Иглика Димитрова Гетова-Златева</v>
      </c>
      <c r="B3807" s="10" t="str">
        <f ca="1">IFERROR(__xludf.DUMMYFUNCTION("""COMPUTED_VALUE"""),"Доклад от конференция")</f>
        <v>Доклад от конференция</v>
      </c>
      <c r="C3807" s="10" t="str">
        <f ca="1">IFERROR(__xludf.DUMMYFUNCTION("""COMPUTED_VALUE"""),"„Новата учебна стая – методи и инструменти за обучение ”")</f>
        <v>„Новата учебна стая – методи и инструменти за обучение ”</v>
      </c>
      <c r="D3807" s="10">
        <f ca="1">IFERROR(__xludf.DUMMYFUNCTION("""COMPUTED_VALUE"""),2015)</f>
        <v>2015</v>
      </c>
      <c r="E3807" s="10" t="str">
        <f ca="1">IFERROR(__xludf.DUMMYFUNCTION("""COMPUTED_VALUE"""),"Сборник със заглавие: ИКТ в библиотечно-информационните науки, образованието и културното наследство, Национална научна конферен")</f>
        <v>Сборник със заглавие: ИКТ в библиотечно-информационните науки, образованието и културното наследство, Национална научна конферен</v>
      </c>
      <c r="F3807" s="10"/>
      <c r="G3807" s="10" t="str">
        <f ca="1">IFERROR(__xludf.DUMMYFUNCTION("""COMPUTED_VALUE"""),"М. Енчева")</f>
        <v>М. Енчева</v>
      </c>
      <c r="H3807" s="10"/>
      <c r="I3807" s="10"/>
      <c r="J3807" s="10"/>
      <c r="K3807" s="10"/>
      <c r="L3807" s="10"/>
      <c r="M3807" s="10"/>
      <c r="N3807" s="10"/>
      <c r="O3807" s="10"/>
      <c r="P3807" s="10"/>
      <c r="Q3807" s="10"/>
      <c r="R3807" s="10"/>
      <c r="S3807" s="10"/>
      <c r="T3807" s="10"/>
      <c r="U3807" s="10"/>
      <c r="V3807" s="10"/>
      <c r="W3807" s="10"/>
      <c r="X3807" s="10"/>
      <c r="Y3807" s="10"/>
      <c r="Z3807" s="10"/>
    </row>
    <row r="3808" spans="1:26" ht="12.75">
      <c r="A3808" s="10" t="str">
        <f ca="1">IFERROR(__xludf.DUMMYFUNCTION("""COMPUTED_VALUE"""),"Иглика Димитрова Гетова-Златева")</f>
        <v>Иглика Димитрова Гетова-Златева</v>
      </c>
      <c r="B3808" s="10" t="str">
        <f ca="1">IFERROR(__xludf.DUMMYFUNCTION("""COMPUTED_VALUE"""),"Доклад от конференция")</f>
        <v>Доклад от конференция</v>
      </c>
      <c r="C3808" s="10" t="str">
        <f ca="1">IFERROR(__xludf.DUMMYFUNCTION("""COMPUTED_VALUE"""),"„Game Strategies in Educational Process ”")</f>
        <v>„Game Strategies in Educational Process ”</v>
      </c>
      <c r="D3808" s="10">
        <f ca="1">IFERROR(__xludf.DUMMYFUNCTION("""COMPUTED_VALUE"""),2015)</f>
        <v>2015</v>
      </c>
      <c r="E3808" s="10" t="str">
        <f ca="1">IFERROR(__xludf.DUMMYFUNCTION("""COMPUTED_VALUE"""),"Международна конференция по ИТ (InfoTech – 2015) в „Св. св. Константин и Елена” – гр. Варна, 2015, с. 236 – 242.")</f>
        <v>Международна конференция по ИТ (InfoTech – 2015) в „Св. св. Константин и Елена” – гр. Варна, 2015, с. 236 – 242.</v>
      </c>
      <c r="F3808" s="10"/>
      <c r="G3808" s="10"/>
      <c r="H3808" s="10"/>
      <c r="I3808" s="10"/>
      <c r="J3808" s="10"/>
      <c r="K3808" s="10"/>
      <c r="L3808" s="10"/>
      <c r="M3808" s="10"/>
      <c r="N3808" s="10"/>
      <c r="O3808" s="10"/>
      <c r="P3808" s="10"/>
      <c r="Q3808" s="10"/>
      <c r="R3808" s="10"/>
      <c r="S3808" s="10"/>
      <c r="T3808" s="10"/>
      <c r="U3808" s="10"/>
      <c r="V3808" s="10"/>
      <c r="W3808" s="10"/>
      <c r="X3808" s="10"/>
      <c r="Y3808" s="10"/>
      <c r="Z3808" s="10"/>
    </row>
    <row r="3809" spans="1:26" ht="12.75">
      <c r="A3809" s="10" t="str">
        <f ca="1">IFERROR(__xludf.DUMMYFUNCTION("""COMPUTED_VALUE"""),"Иглика Димитрова Гетова-Златева")</f>
        <v>Иглика Димитрова Гетова-Златева</v>
      </c>
      <c r="B3809" s="10" t="str">
        <f ca="1">IFERROR(__xludf.DUMMYFUNCTION("""COMPUTED_VALUE"""),"Доклад от конференция")</f>
        <v>Доклад от конференция</v>
      </c>
      <c r="C3809" s="10" t="str">
        <f ca="1">IFERROR(__xludf.DUMMYFUNCTION("""COMPUTED_VALUE"""),"„Внедряване на игрови модели и стратегии в образователния процес”")</f>
        <v>„Внедряване на игрови модели и стратегии в образователния процес”</v>
      </c>
      <c r="D3809" s="10">
        <f ca="1">IFERROR(__xludf.DUMMYFUNCTION("""COMPUTED_VALUE"""),2014)</f>
        <v>2014</v>
      </c>
      <c r="E3809" s="10" t="str">
        <f ca="1">IFERROR(__xludf.DUMMYFUNCTION("""COMPUTED_VALUE"""),"ХIІ Национална научна конференция с международно участие, 1 ноември, 2014, с. 348 - 354.")</f>
        <v>ХIІ Национална научна конференция с международно участие, 1 ноември, 2014, с. 348 - 354.</v>
      </c>
      <c r="F3809" s="10"/>
      <c r="G3809" s="10"/>
      <c r="H3809" s="10"/>
      <c r="I3809" s="10"/>
      <c r="J3809" s="10"/>
      <c r="K3809" s="10"/>
      <c r="L3809" s="10"/>
      <c r="M3809" s="10"/>
      <c r="N3809" s="10"/>
      <c r="O3809" s="10"/>
      <c r="P3809" s="10"/>
      <c r="Q3809" s="10"/>
      <c r="R3809" s="10"/>
      <c r="S3809" s="10"/>
      <c r="T3809" s="10"/>
      <c r="U3809" s="10"/>
      <c r="V3809" s="10"/>
      <c r="W3809" s="10"/>
      <c r="X3809" s="10"/>
      <c r="Y3809" s="10"/>
      <c r="Z3809" s="10"/>
    </row>
    <row r="3810" spans="1:26" ht="12.75">
      <c r="A3810" s="10" t="str">
        <f ca="1">IFERROR(__xludf.DUMMYFUNCTION("""COMPUTED_VALUE"""),"Иглика Димитрова Гетова-Златева")</f>
        <v>Иглика Димитрова Гетова-Златева</v>
      </c>
      <c r="B3810" s="10" t="str">
        <f ca="1">IFERROR(__xludf.DUMMYFUNCTION("""COMPUTED_VALUE"""),"Доклад от конференция")</f>
        <v>Доклад от конференция</v>
      </c>
      <c r="C3810" s="10" t="str">
        <f ca="1">IFERROR(__xludf.DUMMYFUNCTION("""COMPUTED_VALUE"""),"„Тенденции на модерният образователен процес във висшето образование”")</f>
        <v>„Тенденции на модерният образователен процес във висшето образование”</v>
      </c>
      <c r="D3810" s="10">
        <f ca="1">IFERROR(__xludf.DUMMYFUNCTION("""COMPUTED_VALUE"""),2014)</f>
        <v>2014</v>
      </c>
      <c r="E3810" s="10" t="str">
        <f ca="1">IFERROR(__xludf.DUMMYFUNCTION("""COMPUTED_VALUE"""),"Трудове на УниБИТ, Том 12, Изд. „За буквите – О писменехь“, С., 2014, с. 327 – 334.")</f>
        <v>Трудове на УниБИТ, Том 12, Изд. „За буквите – О писменехь“, С., 2014, с. 327 – 334.</v>
      </c>
      <c r="F3810" s="10"/>
      <c r="G3810" s="10"/>
      <c r="H3810" s="10"/>
      <c r="I3810" s="10"/>
      <c r="J3810" s="10"/>
      <c r="K3810" s="10"/>
      <c r="L3810" s="10"/>
      <c r="M3810" s="10"/>
      <c r="N3810" s="10"/>
      <c r="O3810" s="10"/>
      <c r="P3810" s="10"/>
      <c r="Q3810" s="10"/>
      <c r="R3810" s="10"/>
      <c r="S3810" s="10"/>
      <c r="T3810" s="10"/>
      <c r="U3810" s="10"/>
      <c r="V3810" s="10"/>
      <c r="W3810" s="10"/>
      <c r="X3810" s="10"/>
      <c r="Y3810" s="10"/>
      <c r="Z3810" s="10"/>
    </row>
    <row r="3811" spans="1:26" ht="12.75">
      <c r="A3811" s="10" t="str">
        <f ca="1">IFERROR(__xludf.DUMMYFUNCTION("""COMPUTED_VALUE"""),"Иглика Димитрова Гетова-Златева")</f>
        <v>Иглика Димитрова Гетова-Златева</v>
      </c>
      <c r="B3811" s="10" t="str">
        <f ca="1">IFERROR(__xludf.DUMMYFUNCTION("""COMPUTED_VALUE"""),"Книга")</f>
        <v>Книга</v>
      </c>
      <c r="C3811" s="10" t="str">
        <f ca="1">IFERROR(__xludf.DUMMYFUNCTION("""COMPUTED_VALUE"""),"Приложен софтуер")</f>
        <v>Приложен софтуер</v>
      </c>
      <c r="D3811" s="10">
        <f ca="1">IFERROR(__xludf.DUMMYFUNCTION("""COMPUTED_VALUE"""),2014)</f>
        <v>2014</v>
      </c>
      <c r="E3811" s="10" t="str">
        <f ca="1">IFERROR(__xludf.DUMMYFUNCTION("""COMPUTED_VALUE"""),"Първо")</f>
        <v>Първо</v>
      </c>
      <c r="F3811" s="10"/>
      <c r="G3811" s="10"/>
      <c r="H3811" s="10"/>
      <c r="I3811" s="10"/>
      <c r="J3811" s="10"/>
      <c r="K3811" s="10"/>
      <c r="L3811" s="10"/>
      <c r="M3811" s="10"/>
      <c r="N3811" s="10"/>
      <c r="O3811" s="10"/>
      <c r="P3811" s="10"/>
      <c r="Q3811" s="10"/>
      <c r="R3811" s="10"/>
      <c r="S3811" s="10"/>
      <c r="T3811" s="10"/>
      <c r="U3811" s="10"/>
      <c r="V3811" s="10"/>
      <c r="W3811" s="10"/>
      <c r="X3811" s="10"/>
      <c r="Y3811" s="10"/>
      <c r="Z3811" s="10"/>
    </row>
    <row r="3812" spans="1:26" ht="12.75">
      <c r="A3812" s="10" t="str">
        <f ca="1">IFERROR(__xludf.DUMMYFUNCTION("""COMPUTED_VALUE"""),"Иглика Димитрова Гетова-Златева")</f>
        <v>Иглика Димитрова Гетова-Златева</v>
      </c>
      <c r="B3812" s="10" t="str">
        <f ca="1">IFERROR(__xludf.DUMMYFUNCTION("""COMPUTED_VALUE"""),"Доклад от конференция")</f>
        <v>Доклад от конференция</v>
      </c>
      <c r="C3812" s="10" t="str">
        <f ca="1">IFERROR(__xludf.DUMMYFUNCTION("""COMPUTED_VALUE"""),"„Играта“ като фактор за избор на конкурентноспособни кадри")</f>
        <v>„Играта“ като фактор за избор на конкурентноспособни кадри</v>
      </c>
      <c r="D3812" s="10">
        <f ca="1">IFERROR(__xludf.DUMMYFUNCTION("""COMPUTED_VALUE"""),2014)</f>
        <v>2014</v>
      </c>
      <c r="E3812" s="10" t="str">
        <f ca="1">IFERROR(__xludf.DUMMYFUNCTION("""COMPUTED_VALUE"""),"„Нови информационни технологии в образователния процес“, Доклади и съобщения от Девети научен семинар на УниБИТ, проведен в Камч")</f>
        <v>„Нови информационни технологии в образователния процес“, Доклади и съобщения от Девети научен семинар на УниБИТ, проведен в Камч</v>
      </c>
      <c r="F3812" s="10"/>
      <c r="G3812" s="10"/>
      <c r="H3812" s="10"/>
      <c r="I3812" s="10"/>
      <c r="J3812" s="10"/>
      <c r="K3812" s="10"/>
      <c r="L3812" s="10"/>
      <c r="M3812" s="10"/>
      <c r="N3812" s="10"/>
      <c r="O3812" s="10"/>
      <c r="P3812" s="10"/>
      <c r="Q3812" s="10"/>
      <c r="R3812" s="10"/>
      <c r="S3812" s="10"/>
      <c r="T3812" s="10"/>
      <c r="U3812" s="10"/>
      <c r="V3812" s="10"/>
      <c r="W3812" s="10"/>
      <c r="X3812" s="10"/>
      <c r="Y3812" s="10"/>
      <c r="Z3812" s="10"/>
    </row>
    <row r="3813" spans="1:26" ht="12.75">
      <c r="A3813" s="10" t="str">
        <f ca="1">IFERROR(__xludf.DUMMYFUNCTION("""COMPUTED_VALUE"""),"Иглика Димитрова Гетова-Златева")</f>
        <v>Иглика Димитрова Гетова-Златева</v>
      </c>
      <c r="B3813" s="10" t="str">
        <f ca="1">IFERROR(__xludf.DUMMYFUNCTION("""COMPUTED_VALUE"""),"Доклад от конференция")</f>
        <v>Доклад от конференция</v>
      </c>
      <c r="C3813" s="10" t="str">
        <f ca="1">IFERROR(__xludf.DUMMYFUNCTION("""COMPUTED_VALUE"""),"Глобализация на информационно комуникационните технологии в образователната сфера")</f>
        <v>Глобализация на информационно комуникационните технологии в образователната сфера</v>
      </c>
      <c r="D3813" s="10">
        <f ca="1">IFERROR(__xludf.DUMMYFUNCTION("""COMPUTED_VALUE"""),2014)</f>
        <v>2014</v>
      </c>
      <c r="E3813" s="10" t="str">
        <f ca="1">IFERROR(__xludf.DUMMYFUNCTION("""COMPUTED_VALUE"""),"ХI Национална научна конференция с международно участие 1 ноември 2013: Изд. „За буквите – О писменехь“, С., с. 511-515, 2014.")</f>
        <v>ХI Национална научна конференция с международно участие 1 ноември 2013: Изд. „За буквите – О писменехь“, С., с. 511-515, 2014.</v>
      </c>
      <c r="F3813" s="10"/>
      <c r="G3813" s="10"/>
      <c r="H3813" s="10"/>
      <c r="I3813" s="10"/>
      <c r="J3813" s="10"/>
      <c r="K3813" s="10"/>
      <c r="L3813" s="10"/>
      <c r="M3813" s="10"/>
      <c r="N3813" s="10"/>
      <c r="O3813" s="10"/>
      <c r="P3813" s="10"/>
      <c r="Q3813" s="10"/>
      <c r="R3813" s="10"/>
      <c r="S3813" s="10"/>
      <c r="T3813" s="10"/>
      <c r="U3813" s="10"/>
      <c r="V3813" s="10"/>
      <c r="W3813" s="10"/>
      <c r="X3813" s="10"/>
      <c r="Y3813" s="10"/>
      <c r="Z3813" s="10"/>
    </row>
    <row r="3814" spans="1:26" ht="12.75">
      <c r="A3814" s="10" t="str">
        <f ca="1">IFERROR(__xludf.DUMMYFUNCTION("""COMPUTED_VALUE"""),"Иглика Димитрова Гетова-Златева")</f>
        <v>Иглика Димитрова Гетова-Златева</v>
      </c>
      <c r="B3814" s="10" t="str">
        <f ca="1">IFERROR(__xludf.DUMMYFUNCTION("""COMPUTED_VALUE"""),"Доклад от конференция")</f>
        <v>Доклад от конференция</v>
      </c>
      <c r="C3814" s="10" t="str">
        <f ca="1">IFERROR(__xludf.DUMMYFUNCTION("""COMPUTED_VALUE"""),"„Приложение на игрови модели за търсене на конкурентно способни кадри”")</f>
        <v>„Приложение на игрови модели за търсене на конкурентно способни кадри”</v>
      </c>
      <c r="D3814" s="10">
        <f ca="1">IFERROR(__xludf.DUMMYFUNCTION("""COMPUTED_VALUE"""),2014)</f>
        <v>2014</v>
      </c>
      <c r="E3814" s="10" t="str">
        <f ca="1">IFERROR(__xludf.DUMMYFUNCTION("""COMPUTED_VALUE"""),"Научни трудове на УниБИТ, Том 11, Изд. „За буквите – О писменехь“, С., 2014, с. 271-276.")</f>
        <v>Научни трудове на УниБИТ, Том 11, Изд. „За буквите – О писменехь“, С., 2014, с. 271-276.</v>
      </c>
      <c r="F3814" s="10"/>
      <c r="G3814" s="10"/>
      <c r="H3814" s="10"/>
      <c r="I3814" s="10"/>
      <c r="J3814" s="10"/>
      <c r="K3814" s="10"/>
      <c r="L3814" s="10"/>
      <c r="M3814" s="10"/>
      <c r="N3814" s="10"/>
      <c r="O3814" s="10"/>
      <c r="P3814" s="10"/>
      <c r="Q3814" s="10"/>
      <c r="R3814" s="10"/>
      <c r="S3814" s="10"/>
      <c r="T3814" s="10"/>
      <c r="U3814" s="10"/>
      <c r="V3814" s="10"/>
      <c r="W3814" s="10"/>
      <c r="X3814" s="10"/>
      <c r="Y3814" s="10"/>
      <c r="Z3814" s="10"/>
    </row>
    <row r="3815" spans="1:26" ht="12.75">
      <c r="A3815" s="10" t="str">
        <f ca="1">IFERROR(__xludf.DUMMYFUNCTION("""COMPUTED_VALUE"""),"Иглика Димитрова Гетова-Златева")</f>
        <v>Иглика Димитрова Гетова-Златева</v>
      </c>
      <c r="B3815" s="10" t="str">
        <f ca="1">IFERROR(__xludf.DUMMYFUNCTION("""COMPUTED_VALUE"""),"Доклад от конференция")</f>
        <v>Доклад от конференция</v>
      </c>
      <c r="C3815" s="10" t="str">
        <f ca="1">IFERROR(__xludf.DUMMYFUNCTION("""COMPUTED_VALUE"""),"„Внедряване на интерактивни технологии в обучението ”")</f>
        <v>„Внедряване на интерактивни технологии в обучението ”</v>
      </c>
      <c r="D3815" s="10">
        <f ca="1">IFERROR(__xludf.DUMMYFUNCTION("""COMPUTED_VALUE"""),2014)</f>
        <v>2014</v>
      </c>
      <c r="E3815" s="10" t="str">
        <f ca="1">IFERROR(__xludf.DUMMYFUNCTION("""COMPUTED_VALUE"""),"Сборник с доклади по научноизследователстки проект НИП-2014-04, ISBN 978-619-185-144-7, София, 2014, с. 150-160.")</f>
        <v>Сборник с доклади по научноизследователстки проект НИП-2014-04, ISBN 978-619-185-144-7, София, 2014, с. 150-160.</v>
      </c>
      <c r="F3815" s="10"/>
      <c r="G3815" s="10"/>
      <c r="H3815" s="10"/>
      <c r="I3815" s="10"/>
      <c r="J3815" s="10"/>
      <c r="K3815" s="10"/>
      <c r="L3815" s="10"/>
      <c r="M3815" s="10"/>
      <c r="N3815" s="10"/>
      <c r="O3815" s="10"/>
      <c r="P3815" s="10"/>
      <c r="Q3815" s="10"/>
      <c r="R3815" s="10"/>
      <c r="S3815" s="10"/>
      <c r="T3815" s="10"/>
      <c r="U3815" s="10"/>
      <c r="V3815" s="10"/>
      <c r="W3815" s="10"/>
      <c r="X3815" s="10"/>
      <c r="Y3815" s="10"/>
      <c r="Z3815" s="10"/>
    </row>
    <row r="3816" spans="1:26" ht="12.75">
      <c r="A3816" s="10" t="str">
        <f ca="1">IFERROR(__xludf.DUMMYFUNCTION("""COMPUTED_VALUE"""),"Иглика Димитрова Гетова-Златева")</f>
        <v>Иглика Димитрова Гетова-Златева</v>
      </c>
      <c r="B3816" s="10" t="str">
        <f ca="1">IFERROR(__xludf.DUMMYFUNCTION("""COMPUTED_VALUE"""),"Книга")</f>
        <v>Книга</v>
      </c>
      <c r="C3816" s="10" t="str">
        <f ca="1">IFERROR(__xludf.DUMMYFUNCTION("""COMPUTED_VALUE"""),"Ръководство за приложение на игрови модели и стратегии в образователния процес")</f>
        <v>Ръководство за приложение на игрови модели и стратегии в образователния процес</v>
      </c>
      <c r="D3816" s="10">
        <f ca="1">IFERROR(__xludf.DUMMYFUNCTION("""COMPUTED_VALUE"""),2013)</f>
        <v>2013</v>
      </c>
      <c r="E3816" s="10" t="str">
        <f ca="1">IFERROR(__xludf.DUMMYFUNCTION("""COMPUTED_VALUE"""),"Първо")</f>
        <v>Първо</v>
      </c>
      <c r="F3816" s="10"/>
      <c r="G3816" s="10"/>
      <c r="H3816" s="10"/>
      <c r="I3816" s="10"/>
      <c r="J3816" s="10"/>
      <c r="K3816" s="10"/>
      <c r="L3816" s="10"/>
      <c r="M3816" s="10"/>
      <c r="N3816" s="10"/>
      <c r="O3816" s="10"/>
      <c r="P3816" s="10"/>
      <c r="Q3816" s="10"/>
      <c r="R3816" s="10"/>
      <c r="S3816" s="10"/>
      <c r="T3816" s="10"/>
      <c r="U3816" s="10"/>
      <c r="V3816" s="10"/>
      <c r="W3816" s="10"/>
      <c r="X3816" s="10"/>
      <c r="Y3816" s="10"/>
      <c r="Z3816" s="10"/>
    </row>
    <row r="3817" spans="1:26" ht="12.75">
      <c r="A3817" s="10" t="str">
        <f ca="1">IFERROR(__xludf.DUMMYFUNCTION("""COMPUTED_VALUE"""),"Иглика Димитрова Гетова-Златева")</f>
        <v>Иглика Димитрова Гетова-Златева</v>
      </c>
      <c r="B3817" s="10" t="str">
        <f ca="1">IFERROR(__xludf.DUMMYFUNCTION("""COMPUTED_VALUE"""),"Книга")</f>
        <v>Книга</v>
      </c>
      <c r="C3817" s="10" t="str">
        <f ca="1">IFERROR(__xludf.DUMMYFUNCTION("""COMPUTED_VALUE"""),"Ръководство за приложение на интерактивни бели дъски при изучаване на Microsoft Office")</f>
        <v>Ръководство за приложение на интерактивни бели дъски при изучаване на Microsoft Office</v>
      </c>
      <c r="D3817" s="10">
        <f ca="1">IFERROR(__xludf.DUMMYFUNCTION("""COMPUTED_VALUE"""),2013)</f>
        <v>2013</v>
      </c>
      <c r="E3817" s="10" t="str">
        <f ca="1">IFERROR(__xludf.DUMMYFUNCTION("""COMPUTED_VALUE"""),"Първо")</f>
        <v>Първо</v>
      </c>
      <c r="F3817" s="10"/>
      <c r="G3817" s="10"/>
      <c r="H3817" s="10"/>
      <c r="I3817" s="10"/>
      <c r="J3817" s="10"/>
      <c r="K3817" s="10"/>
      <c r="L3817" s="10"/>
      <c r="M3817" s="10"/>
      <c r="N3817" s="10"/>
      <c r="O3817" s="10"/>
      <c r="P3817" s="10"/>
      <c r="Q3817" s="10"/>
      <c r="R3817" s="10"/>
      <c r="S3817" s="10"/>
      <c r="T3817" s="10"/>
      <c r="U3817" s="10"/>
      <c r="V3817" s="10"/>
      <c r="W3817" s="10"/>
      <c r="X3817" s="10"/>
      <c r="Y3817" s="10"/>
      <c r="Z3817" s="10"/>
    </row>
    <row r="3818" spans="1:26" ht="12.75">
      <c r="A3818" s="10" t="str">
        <f ca="1">IFERROR(__xludf.DUMMYFUNCTION("""COMPUTED_VALUE"""),"Иглика Димитрова Гетова-Златева")</f>
        <v>Иглика Димитрова Гетова-Златева</v>
      </c>
      <c r="B3818" s="10" t="str">
        <f ca="1">IFERROR(__xludf.DUMMYFUNCTION("""COMPUTED_VALUE"""),"Доклад от конференция")</f>
        <v>Доклад от конференция</v>
      </c>
      <c r="C3818" s="10" t="str">
        <f ca="1">IFERROR(__xludf.DUMMYFUNCTION("""COMPUTED_VALUE"""),"Развитие на комуникационния мениджмънт в образователните организации")</f>
        <v>Развитие на комуникационния мениджмънт в образователните организации</v>
      </c>
      <c r="D3818" s="10">
        <f ca="1">IFERROR(__xludf.DUMMYFUNCTION("""COMPUTED_VALUE"""),2013)</f>
        <v>2013</v>
      </c>
      <c r="E3818" s="10" t="str">
        <f ca="1">IFERROR(__xludf.DUMMYFUNCTION("""COMPUTED_VALUE"""),"Сборник с доклади от международна конференция София-Пловдив, 18-20.10.2013: Изд. „За буквите .- О`писменех“, С., с. 224-231, 201")</f>
        <v>Сборник с доклади от международна конференция София-Пловдив, 18-20.10.2013: Изд. „За буквите .- О`писменех“, С., с. 224-231, 201</v>
      </c>
      <c r="F3818" s="10"/>
      <c r="G3818" s="10"/>
      <c r="H3818" s="10"/>
      <c r="I3818" s="10"/>
      <c r="J3818" s="10"/>
      <c r="K3818" s="10"/>
      <c r="L3818" s="10"/>
      <c r="M3818" s="10"/>
      <c r="N3818" s="10"/>
      <c r="O3818" s="10"/>
      <c r="P3818" s="10"/>
      <c r="Q3818" s="10"/>
      <c r="R3818" s="10"/>
      <c r="S3818" s="10"/>
      <c r="T3818" s="10"/>
      <c r="U3818" s="10"/>
      <c r="V3818" s="10"/>
      <c r="W3818" s="10"/>
      <c r="X3818" s="10"/>
      <c r="Y3818" s="10"/>
      <c r="Z3818" s="10"/>
    </row>
    <row r="3819" spans="1:26" ht="12.75">
      <c r="A3819" s="10" t="str">
        <f ca="1">IFERROR(__xludf.DUMMYFUNCTION("""COMPUTED_VALUE"""),"Илия Георгиев Вукарски")</f>
        <v>Илия Георгиев Вукарски</v>
      </c>
      <c r="B3819" s="10" t="str">
        <f ca="1">IFERROR(__xludf.DUMMYFUNCTION("""COMPUTED_VALUE"""),"Доклад от конференция")</f>
        <v>Доклад от конференция</v>
      </c>
      <c r="C3819" s="10" t="str">
        <f ca="1">IFERROR(__xludf.DUMMYFUNCTION("""COMPUTED_VALUE"""),"„Изготвяне на статистически и вероятностни анализи, базирани на технологията на работа на Oracle Бази от данни и Hadoop за извличане на знания от големи масиви от данни“.")</f>
        <v>„Изготвяне на статистически и вероятностни анализи, базирани на технологията на работа на Oracle Бази от данни и Hadoop за извличане на знания от големи масиви от данни“.</v>
      </c>
      <c r="D3819" s="10">
        <f ca="1">IFERROR(__xludf.DUMMYFUNCTION("""COMPUTED_VALUE"""),2017)</f>
        <v>2017</v>
      </c>
      <c r="E3819" s="10" t="str">
        <f ca="1">IFERROR(__xludf.DUMMYFUNCTION("""COMPUTED_VALUE"""),"Докладът е изнесен на XV национална научнаконференция с международно участие „Обществото на знанието и хуманизмът на ХХІ век” , 31 октомври – 1 ноември 2017 г. УниБИТ, София.")</f>
        <v>Докладът е изнесен на XV национална научнаконференция с международно участие „Обществото на знанието и хуманизмът на ХХІ век” , 31 октомври – 1 ноември 2017 г. УниБИТ, София.</v>
      </c>
      <c r="F3819" s="10"/>
      <c r="G3819" s="10"/>
      <c r="H3819" s="10"/>
      <c r="I3819" s="10"/>
      <c r="J3819" s="10"/>
      <c r="K3819" s="10"/>
      <c r="L3819" s="10"/>
      <c r="M3819" s="10"/>
      <c r="N3819" s="10"/>
      <c r="O3819" s="10"/>
      <c r="P3819" s="10"/>
      <c r="Q3819" s="10"/>
      <c r="R3819" s="10"/>
      <c r="S3819" s="10"/>
      <c r="T3819" s="10"/>
      <c r="U3819" s="10"/>
      <c r="V3819" s="10"/>
      <c r="W3819" s="10"/>
      <c r="X3819" s="10"/>
      <c r="Y3819" s="10"/>
      <c r="Z3819" s="10"/>
    </row>
    <row r="3820" spans="1:26" ht="12.75">
      <c r="A3820" s="10" t="str">
        <f ca="1">IFERROR(__xludf.DUMMYFUNCTION("""COMPUTED_VALUE"""),"Илия Георгиев Вукарски")</f>
        <v>Илия Георгиев Вукарски</v>
      </c>
      <c r="B3820" s="10" t="str">
        <f ca="1">IFERROR(__xludf.DUMMYFUNCTION("""COMPUTED_VALUE"""),"Доклад от конференция")</f>
        <v>Доклад от конференция</v>
      </c>
      <c r="C3820" s="10" t="str">
        <f ca="1">IFERROR(__xludf.DUMMYFUNCTION("""COMPUTED_VALUE"""),"Изследване на вероятностни модели за анализ на данни“.")</f>
        <v>Изследване на вероятностни модели за анализ на данни“.</v>
      </c>
      <c r="D3820" s="10">
        <f ca="1">IFERROR(__xludf.DUMMYFUNCTION("""COMPUTED_VALUE"""),2017)</f>
        <v>2017</v>
      </c>
      <c r="E3820" s="10" t="str">
        <f ca="1">IFERROR(__xludf.DUMMYFUNCTION("""COMPUTED_VALUE"""),"Студентско научна-практическа конференция “Информатика, математика статистика в съвременната икономическа реалност”, 20 октомври, 2017 година, Икономически университет, Варна, България.")</f>
        <v>Студентско научна-практическа конференция “Информатика, математика статистика в съвременната икономическа реалност”, 20 октомври, 2017 година, Икономически университет, Варна, България.</v>
      </c>
      <c r="F3820" s="10"/>
      <c r="G3820" s="10"/>
      <c r="H3820" s="10"/>
      <c r="I3820" s="10"/>
      <c r="J3820" s="10"/>
      <c r="K3820" s="10"/>
      <c r="L3820" s="10"/>
      <c r="M3820" s="10"/>
      <c r="N3820" s="10"/>
      <c r="O3820" s="10"/>
      <c r="P3820" s="10"/>
      <c r="Q3820" s="10"/>
      <c r="R3820" s="10"/>
      <c r="S3820" s="10"/>
      <c r="T3820" s="10"/>
      <c r="U3820" s="10"/>
      <c r="V3820" s="10"/>
      <c r="W3820" s="10"/>
      <c r="X3820" s="10"/>
      <c r="Y3820" s="10"/>
      <c r="Z3820" s="10"/>
    </row>
    <row r="3821" spans="1:26" ht="12.75">
      <c r="A3821" s="10" t="str">
        <f ca="1">IFERROR(__xludf.DUMMYFUNCTION("""COMPUTED_VALUE"""),"Илия Георгиев Вукарски")</f>
        <v>Илия Георгиев Вукарски</v>
      </c>
      <c r="B3821" s="10" t="str">
        <f ca="1">IFERROR(__xludf.DUMMYFUNCTION("""COMPUTED_VALUE"""),"Доклад от конференция")</f>
        <v>Доклад от конференция</v>
      </c>
      <c r="C3821" s="10" t="str">
        <f ca="1">IFERROR(__xludf.DUMMYFUNCTION("""COMPUTED_VALUE"""),"„Невронните мрежи като метод за извличане на знания от данни. Обучение на невронни мрежи чрез софтуерния продукт MATLAB“")</f>
        <v>„Невронните мрежи като метод за извличане на знания от данни. Обучение на невронни мрежи чрез софтуерния продукт MATLAB“</v>
      </c>
      <c r="D3821" s="10">
        <f ca="1">IFERROR(__xludf.DUMMYFUNCTION("""COMPUTED_VALUE"""),2017)</f>
        <v>2017</v>
      </c>
      <c r="E3821" s="10" t="str">
        <f ca="1">IFERROR(__xludf.DUMMYFUNCTION("""COMPUTED_VALUE"""),"Конференция по случай 20 години от създаването на специалност „Информационни технологии“ към ФИН на УНИБИТ, 04.10. 2017")</f>
        <v>Конференция по случай 20 години от създаването на специалност „Информационни технологии“ към ФИН на УНИБИТ, 04.10. 2017</v>
      </c>
      <c r="F3821" s="10"/>
      <c r="G3821" s="10"/>
      <c r="H3821" s="10"/>
      <c r="I3821" s="10"/>
      <c r="J3821" s="10"/>
      <c r="K3821" s="10"/>
      <c r="L3821" s="10"/>
      <c r="M3821" s="10"/>
      <c r="N3821" s="10"/>
      <c r="O3821" s="10"/>
      <c r="P3821" s="10"/>
      <c r="Q3821" s="10"/>
      <c r="R3821" s="10"/>
      <c r="S3821" s="10"/>
      <c r="T3821" s="10"/>
      <c r="U3821" s="10"/>
      <c r="V3821" s="10"/>
      <c r="W3821" s="10"/>
      <c r="X3821" s="10"/>
      <c r="Y3821" s="10"/>
      <c r="Z3821" s="10"/>
    </row>
    <row r="3822" spans="1:26" ht="12.75">
      <c r="A3822" s="10" t="str">
        <f ca="1">IFERROR(__xludf.DUMMYFUNCTION("""COMPUTED_VALUE"""),"Илия Георгиев Вукарски")</f>
        <v>Илия Георгиев Вукарски</v>
      </c>
      <c r="B3822" s="10" t="str">
        <f ca="1">IFERROR(__xludf.DUMMYFUNCTION("""COMPUTED_VALUE"""),"Доклад от конференция")</f>
        <v>Доклад от конференция</v>
      </c>
      <c r="C3822" s="10" t="str">
        <f ca="1">IFERROR(__xludf.DUMMYFUNCTION("""COMPUTED_VALUE"""),"“ Comparative analysis of predictive models using Big Data set and Data mining methods - Regression analysis, Decision trees and Neural networks through the software product SAS Enterprise Miner”.")</f>
        <v>“ Comparative analysis of predictive models using Big Data set and Data mining methods - Regression analysis, Decision trees and Neural networks through the software product SAS Enterprise Miner”.</v>
      </c>
      <c r="D3822" s="10">
        <f ca="1">IFERROR(__xludf.DUMMYFUNCTION("""COMPUTED_VALUE"""),2017)</f>
        <v>2017</v>
      </c>
      <c r="E3822" s="10" t="str">
        <f ca="1">IFERROR(__xludf.DUMMYFUNCTION("""COMPUTED_VALUE"""),"QED'17: UNESCO International Workshop, September 20-21, 2017, Sofia, Bulgaria.")</f>
        <v>QED'17: UNESCO International Workshop, September 20-21, 2017, Sofia, Bulgaria.</v>
      </c>
      <c r="F3822" s="10"/>
      <c r="G3822" s="10" t="str">
        <f ca="1">IFERROR(__xludf.DUMMYFUNCTION("""COMPUTED_VALUE"""),"Галина Панайотова, Александър Шикаланов")</f>
        <v>Галина Панайотова, Александър Шикаланов</v>
      </c>
      <c r="H3822" s="10"/>
      <c r="I3822" s="10"/>
      <c r="J3822" s="10"/>
      <c r="K3822" s="10"/>
      <c r="L3822" s="10"/>
      <c r="M3822" s="10"/>
      <c r="N3822" s="10"/>
      <c r="O3822" s="10"/>
      <c r="P3822" s="10"/>
      <c r="Q3822" s="10"/>
      <c r="R3822" s="10"/>
      <c r="S3822" s="10"/>
      <c r="T3822" s="10"/>
      <c r="U3822" s="10"/>
      <c r="V3822" s="10"/>
      <c r="W3822" s="10"/>
      <c r="X3822" s="10"/>
      <c r="Y3822" s="10"/>
      <c r="Z3822" s="10"/>
    </row>
    <row r="3823" spans="1:26" ht="12.75">
      <c r="A3823" s="10" t="str">
        <f ca="1">IFERROR(__xludf.DUMMYFUNCTION("""COMPUTED_VALUE"""),"Илия Георгиев Вукарски")</f>
        <v>Илия Георгиев Вукарски</v>
      </c>
      <c r="B3823" s="10" t="str">
        <f ca="1">IFERROR(__xludf.DUMMYFUNCTION("""COMPUTED_VALUE"""),"Доклад от конференция")</f>
        <v>Доклад от конференция</v>
      </c>
      <c r="C3823" s="10" t="str">
        <f ca="1">IFERROR(__xludf.DUMMYFUNCTION("""COMPUTED_VALUE"""),"What are “Smart cities” and what are the costs of their implementation")</f>
        <v>What are “Smart cities” and what are the costs of their implementation</v>
      </c>
      <c r="D3823" s="10">
        <f ca="1">IFERROR(__xludf.DUMMYFUNCTION("""COMPUTED_VALUE"""),2016)</f>
        <v>2016</v>
      </c>
      <c r="E3823" s="10" t="str">
        <f ca="1">IFERROR(__xludf.DUMMYFUNCTION("""COMPUTED_VALUE"""),"QED UNESCO International Workshop, June 13-15, 2016, Sofia, Bulgaria.")</f>
        <v>QED UNESCO International Workshop, June 13-15, 2016, Sofia, Bulgaria.</v>
      </c>
      <c r="F3823" s="10"/>
      <c r="G3823" s="10" t="str">
        <f ca="1">IFERROR(__xludf.DUMMYFUNCTION("""COMPUTED_VALUE"""),"Явор Русинов")</f>
        <v>Явор Русинов</v>
      </c>
      <c r="H3823" s="10"/>
      <c r="I3823" s="10"/>
      <c r="J3823" s="10"/>
      <c r="K3823" s="10"/>
      <c r="L3823" s="10"/>
      <c r="M3823" s="10"/>
      <c r="N3823" s="10"/>
      <c r="O3823" s="10"/>
      <c r="P3823" s="10"/>
      <c r="Q3823" s="10"/>
      <c r="R3823" s="10"/>
      <c r="S3823" s="10"/>
      <c r="T3823" s="10"/>
      <c r="U3823" s="10"/>
      <c r="V3823" s="10"/>
      <c r="W3823" s="10"/>
      <c r="X3823" s="10"/>
      <c r="Y3823" s="10"/>
      <c r="Z3823" s="10"/>
    </row>
    <row r="3824" spans="1:26" ht="12.75">
      <c r="A3824" s="10" t="str">
        <f ca="1">IFERROR(__xludf.DUMMYFUNCTION("""COMPUTED_VALUE"""),"Илия Георгиев Вукарски")</f>
        <v>Илия Георгиев Вукарски</v>
      </c>
      <c r="B3824" s="10" t="str">
        <f ca="1">IFERROR(__xludf.DUMMYFUNCTION("""COMPUTED_VALUE"""),"Доклад от конференция")</f>
        <v>Доклад от конференция</v>
      </c>
      <c r="C3824" s="10" t="str">
        <f ca="1">IFERROR(__xludf.DUMMYFUNCTION("""COMPUTED_VALUE"""),"„Умния град”, облигациите, като средство за финансирането му и платформата на която се търгуват.")</f>
        <v>„Умния град”, облигациите, като средство за финансирането му и платформата на която се търгуват.</v>
      </c>
      <c r="D3824" s="10">
        <f ca="1">IFERROR(__xludf.DUMMYFUNCTION("""COMPUTED_VALUE"""),2016)</f>
        <v>2016</v>
      </c>
      <c r="E3824" s="10" t="str">
        <f ca="1">IFERROR(__xludf.DUMMYFUNCTION("""COMPUTED_VALUE"""),"XIV национална научнаконференция с международно участие „Обществото на знанието и хуманизмът на ХХІ век”, 31 октомври – 1 ноември 2016 г., София.")</f>
        <v>XIV национална научнаконференция с международно участие „Обществото на знанието и хуманизмът на ХХІ век”, 31 октомври – 1 ноември 2016 г., София.</v>
      </c>
      <c r="F3824" s="10"/>
      <c r="G3824" s="10" t="str">
        <f ca="1">IFERROR(__xludf.DUMMYFUNCTION("""COMPUTED_VALUE"""),"Явор Русинов")</f>
        <v>Явор Русинов</v>
      </c>
      <c r="H3824" s="10"/>
      <c r="I3824" s="10"/>
      <c r="J3824" s="10"/>
      <c r="K3824" s="10"/>
      <c r="L3824" s="10"/>
      <c r="M3824" s="10"/>
      <c r="N3824" s="10"/>
      <c r="O3824" s="10"/>
      <c r="P3824" s="10"/>
      <c r="Q3824" s="10"/>
      <c r="R3824" s="10"/>
      <c r="S3824" s="10"/>
      <c r="T3824" s="10"/>
      <c r="U3824" s="10"/>
      <c r="V3824" s="10"/>
      <c r="W3824" s="10"/>
      <c r="X3824" s="10"/>
      <c r="Y3824" s="10"/>
      <c r="Z3824" s="10"/>
    </row>
    <row r="3825" spans="1:26" ht="12.75">
      <c r="A3825" s="10" t="str">
        <f ca="1">IFERROR(__xludf.DUMMYFUNCTION("""COMPUTED_VALUE"""),"Йордан Георгиев Деливерски")</f>
        <v>Йордан Георгиев Деливерски</v>
      </c>
      <c r="B3825" s="10" t="str">
        <f ca="1">IFERROR(__xludf.DUMMYFUNCTION("""COMPUTED_VALUE"""),"Доклад от конференция")</f>
        <v>Доклад от конференция</v>
      </c>
      <c r="C3825" s="10" t="str">
        <f ca="1">IFERROR(__xludf.DUMMYFUNCTION("""COMPUTED_VALUE"""),"Illegal Migration and Refugee Crisis as a Threat to National Security, Economic and Social System - The Bulgarian Case")</f>
        <v>Illegal Migration and Refugee Crisis as a Threat to National Security, Economic and Social System - The Bulgarian Case</v>
      </c>
      <c r="D3825" s="10">
        <f ca="1">IFERROR(__xludf.DUMMYFUNCTION("""COMPUTED_VALUE"""),2018)</f>
        <v>2018</v>
      </c>
      <c r="E3825" s="10" t="str">
        <f ca="1">IFERROR(__xludf.DUMMYFUNCTION("""COMPUTED_VALUE"""),"Journal of educational and instructional studies in the world, May 2018, vol. 8, issue 2, 47-50")</f>
        <v>Journal of educational and instructional studies in the world, May 2018, vol. 8, issue 2, 47-50</v>
      </c>
      <c r="F3825" s="10"/>
      <c r="G3825" s="10"/>
      <c r="H3825" s="10"/>
      <c r="I3825" s="10"/>
      <c r="J3825" s="10"/>
      <c r="K3825" s="10"/>
      <c r="L3825" s="10"/>
      <c r="M3825" s="10"/>
      <c r="N3825" s="10"/>
      <c r="O3825" s="10"/>
      <c r="P3825" s="10"/>
      <c r="Q3825" s="10"/>
      <c r="R3825" s="10"/>
      <c r="S3825" s="10"/>
      <c r="T3825" s="10"/>
      <c r="U3825" s="10"/>
      <c r="V3825" s="10"/>
      <c r="W3825" s="10"/>
      <c r="X3825" s="10"/>
      <c r="Y3825" s="10"/>
      <c r="Z3825" s="10"/>
    </row>
    <row r="3826" spans="1:26" ht="12.75">
      <c r="A3826" s="10" t="str">
        <f ca="1">IFERROR(__xludf.DUMMYFUNCTION("""COMPUTED_VALUE"""),"Йордан Георгиев Деливерски")</f>
        <v>Йордан Георгиев Деливерски</v>
      </c>
      <c r="B3826" s="10" t="str">
        <f ca="1">IFERROR(__xludf.DUMMYFUNCTION("""COMPUTED_VALUE"""),"Статия в списания и поредици")</f>
        <v>Статия в списания и поредици</v>
      </c>
      <c r="C3826" s="10" t="str">
        <f ca="1">IFERROR(__xludf.DUMMYFUNCTION("""COMPUTED_VALUE"""),"Здравно обслужване при доброволно здравно осигуряване, чрез здравно застраховане")</f>
        <v>Здравно обслужване при доброволно здравно осигуряване, чрез здравно застраховане</v>
      </c>
      <c r="D3826" s="10">
        <f ca="1">IFERROR(__xludf.DUMMYFUNCTION("""COMPUTED_VALUE"""),2018)</f>
        <v>2018</v>
      </c>
      <c r="E3826" s="10" t="str">
        <f ca="1">IFERROR(__xludf.DUMMYFUNCTION("""COMPUTED_VALUE"""),"Списание „Здравна политика и мениджмънт“, 2018, 1, 50–54. , ISSN 1313-4981")</f>
        <v>Списание „Здравна политика и мениджмънт“, 2018, 1, 50–54. , ISSN 1313-4981</v>
      </c>
      <c r="F3826" s="10"/>
      <c r="G3826" s="10" t="str">
        <f ca="1">IFERROR(__xludf.DUMMYFUNCTION("""COMPUTED_VALUE"""),"Deliversky J., M. Deliverska")</f>
        <v>Deliversky J., M. Deliverska</v>
      </c>
      <c r="H3826" s="10"/>
      <c r="I3826" s="10"/>
      <c r="J3826" s="10"/>
      <c r="K3826" s="10"/>
      <c r="L3826" s="10"/>
      <c r="M3826" s="10"/>
      <c r="N3826" s="10"/>
      <c r="O3826" s="10"/>
      <c r="P3826" s="10"/>
      <c r="Q3826" s="10"/>
      <c r="R3826" s="10"/>
      <c r="S3826" s="10"/>
      <c r="T3826" s="10"/>
      <c r="U3826" s="10"/>
      <c r="V3826" s="10"/>
      <c r="W3826" s="10"/>
      <c r="X3826" s="10"/>
      <c r="Y3826" s="10"/>
      <c r="Z3826" s="10"/>
    </row>
    <row r="3827" spans="1:26" ht="12.75">
      <c r="A3827" s="10" t="str">
        <f ca="1">IFERROR(__xludf.DUMMYFUNCTION("""COMPUTED_VALUE"""),"Йордан Георгиев Деливерски")</f>
        <v>Йордан Георгиев Деливерски</v>
      </c>
      <c r="B3827" s="10" t="str">
        <f ca="1">IFERROR(__xludf.DUMMYFUNCTION("""COMPUTED_VALUE"""),"Статия в списания и поредици")</f>
        <v>Статия в списания и поредици</v>
      </c>
      <c r="C3827" s="10" t="str">
        <f ca="1">IFERROR(__xludf.DUMMYFUNCTION("""COMPUTED_VALUE"""),"Здравно обслужване при доброволно здравно осигуряване, чрез здравно застраховане")</f>
        <v>Здравно обслужване при доброволно здравно осигуряване, чрез здравно застраховане</v>
      </c>
      <c r="D3827" s="10">
        <f ca="1">IFERROR(__xludf.DUMMYFUNCTION("""COMPUTED_VALUE"""),2018)</f>
        <v>2018</v>
      </c>
      <c r="E3827" s="10" t="str">
        <f ca="1">IFERROR(__xludf.DUMMYFUNCTION("""COMPUTED_VALUE"""),"Списание „Здравна политика и мениджмънт“, 2018, 1, 50–54. , ISSN 1313-4981")</f>
        <v>Списание „Здравна политика и мениджмънт“, 2018, 1, 50–54. , ISSN 1313-4981</v>
      </c>
      <c r="F3827" s="10"/>
      <c r="G3827" s="10" t="str">
        <f ca="1">IFERROR(__xludf.DUMMYFUNCTION("""COMPUTED_VALUE"""),"Deliversky J., M. Deliverska")</f>
        <v>Deliversky J., M. Deliverska</v>
      </c>
      <c r="H3827" s="10"/>
      <c r="I3827" s="10"/>
      <c r="J3827" s="10"/>
      <c r="K3827" s="10"/>
      <c r="L3827" s="10"/>
      <c r="M3827" s="10"/>
      <c r="N3827" s="10"/>
      <c r="O3827" s="10"/>
      <c r="P3827" s="10"/>
      <c r="Q3827" s="10"/>
      <c r="R3827" s="10"/>
      <c r="S3827" s="10"/>
      <c r="T3827" s="10"/>
      <c r="U3827" s="10"/>
      <c r="V3827" s="10"/>
      <c r="W3827" s="10"/>
      <c r="X3827" s="10"/>
      <c r="Y3827" s="10"/>
      <c r="Z3827" s="10"/>
    </row>
    <row r="3828" spans="1:26" ht="12.75">
      <c r="A3828" s="10" t="str">
        <f ca="1">IFERROR(__xludf.DUMMYFUNCTION("""COMPUTED_VALUE"""),"Йордан Георгиев Деливерски")</f>
        <v>Йордан Георгиев Деливерски</v>
      </c>
      <c r="B3828" s="10" t="str">
        <f ca="1">IFERROR(__xludf.DUMMYFUNCTION("""COMPUTED_VALUE"""),"Статия в списания и поредици")</f>
        <v>Статия в списания и поредици</v>
      </c>
      <c r="C3828" s="10" t="str">
        <f ca="1">IFERROR(__xludf.DUMMYFUNCTION("""COMPUTED_VALUE"""),"Ethical and legal considerations in biometric data usage – Bulgarian perspective,")</f>
        <v>Ethical and legal considerations in biometric data usage – Bulgarian perspective,</v>
      </c>
      <c r="D3828" s="10">
        <f ca="1">IFERROR(__xludf.DUMMYFUNCTION("""COMPUTED_VALUE"""),2018)</f>
        <v>2018</v>
      </c>
      <c r="E3828" s="10" t="str">
        <f ca="1">IFERROR(__xludf.DUMMYFUNCTION("""COMPUTED_VALUE"""),"Frontiers in public health, Vol. 6, Article 25, Feb. 2018, doi: 10.3389/fpubh.2018.00025")</f>
        <v>Frontiers in public health, Vol. 6, Article 25, Feb. 2018, doi: 10.3389/fpubh.2018.00025</v>
      </c>
      <c r="F3828" s="10"/>
      <c r="G3828" s="10" t="str">
        <f ca="1">IFERROR(__xludf.DUMMYFUNCTION("""COMPUTED_VALUE"""),"Deliversky J., M. Deliverska")</f>
        <v>Deliversky J., M. Deliverska</v>
      </c>
      <c r="H3828" s="10"/>
      <c r="I3828" s="10"/>
      <c r="J3828" s="10"/>
      <c r="K3828" s="10"/>
      <c r="L3828" s="10"/>
      <c r="M3828" s="10"/>
      <c r="N3828" s="10"/>
      <c r="O3828" s="10"/>
      <c r="P3828" s="10"/>
      <c r="Q3828" s="10"/>
      <c r="R3828" s="10"/>
      <c r="S3828" s="10"/>
      <c r="T3828" s="10"/>
      <c r="U3828" s="10"/>
      <c r="V3828" s="10"/>
      <c r="W3828" s="10"/>
      <c r="X3828" s="10"/>
      <c r="Y3828" s="10"/>
      <c r="Z3828" s="10"/>
    </row>
    <row r="3829" spans="1:26" ht="12.75">
      <c r="A3829" s="10" t="str">
        <f ca="1">IFERROR(__xludf.DUMMYFUNCTION("""COMPUTED_VALUE"""),"Йордан Георгиев Деливерски")</f>
        <v>Йордан Георгиев Деливерски</v>
      </c>
      <c r="B3829" s="10" t="str">
        <f ca="1">IFERROR(__xludf.DUMMYFUNCTION("""COMPUTED_VALUE"""),"Статия в списания и поредици")</f>
        <v>Статия в списания и поредици</v>
      </c>
      <c r="C3829" s="10" t="str">
        <f ca="1">IFERROR(__xludf.DUMMYFUNCTION("""COMPUTED_VALUE"""),"Социална сигурност при здравно осигуряване. Национални и европейски аспекти")</f>
        <v>Социална сигурност при здравно осигуряване. Национални и европейски аспекти</v>
      </c>
      <c r="D3829" s="10">
        <f ca="1">IFERROR(__xludf.DUMMYFUNCTION("""COMPUTED_VALUE"""),2018)</f>
        <v>2018</v>
      </c>
      <c r="E3829" s="10" t="str">
        <f ca="1">IFERROR(__xludf.DUMMYFUNCTION("""COMPUTED_VALUE"""),"Списание „Здравна политика и мениджмънт“, 2018, 1, 42–46. , ISSN 1313-4981")</f>
        <v>Списание „Здравна политика и мениджмънт“, 2018, 1, 42–46. , ISSN 1313-4981</v>
      </c>
      <c r="F3829" s="10"/>
      <c r="G3829" s="10" t="str">
        <f ca="1">IFERROR(__xludf.DUMMYFUNCTION("""COMPUTED_VALUE"""),"Deliverska M., J. Deliversky")</f>
        <v>Deliverska M., J. Deliversky</v>
      </c>
      <c r="H3829" s="10"/>
      <c r="I3829" s="10"/>
      <c r="J3829" s="10"/>
      <c r="K3829" s="10"/>
      <c r="L3829" s="10"/>
      <c r="M3829" s="10"/>
      <c r="N3829" s="10"/>
      <c r="O3829" s="10"/>
      <c r="P3829" s="10"/>
      <c r="Q3829" s="10"/>
      <c r="R3829" s="10"/>
      <c r="S3829" s="10"/>
      <c r="T3829" s="10"/>
      <c r="U3829" s="10"/>
      <c r="V3829" s="10"/>
      <c r="W3829" s="10"/>
      <c r="X3829" s="10"/>
      <c r="Y3829" s="10"/>
      <c r="Z3829" s="10"/>
    </row>
    <row r="3830" spans="1:26" ht="12.75">
      <c r="A3830" s="10" t="str">
        <f ca="1">IFERROR(__xludf.DUMMYFUNCTION("""COMPUTED_VALUE"""),"Йордан Георгиев Деливерски")</f>
        <v>Йордан Георгиев Деливерски</v>
      </c>
      <c r="B3830" s="10" t="str">
        <f ca="1">IFERROR(__xludf.DUMMYFUNCTION("""COMPUTED_VALUE"""),"Статия в списания и поредици")</f>
        <v>Статия в списания и поредици</v>
      </c>
      <c r="C3830" s="10" t="str">
        <f ca="1">IFERROR(__xludf.DUMMYFUNCTION("""COMPUTED_VALUE"""),"Социална сигурност при здравно осигуряване. Национални и европейски аспекти")</f>
        <v>Социална сигурност при здравно осигуряване. Национални и европейски аспекти</v>
      </c>
      <c r="D3830" s="10">
        <f ca="1">IFERROR(__xludf.DUMMYFUNCTION("""COMPUTED_VALUE"""),2018)</f>
        <v>2018</v>
      </c>
      <c r="E3830" s="10" t="str">
        <f ca="1">IFERROR(__xludf.DUMMYFUNCTION("""COMPUTED_VALUE"""),"Деливерска М., Й. Деливерски, Социална сигурност при здравно осигуряване. Национални и европейски аспекти")</f>
        <v>Деливерска М., Й. Деливерски, Социална сигурност при здравно осигуряване. Национални и европейски аспекти</v>
      </c>
      <c r="F3830" s="10"/>
      <c r="G3830" s="10" t="str">
        <f ca="1">IFERROR(__xludf.DUMMYFUNCTION("""COMPUTED_VALUE"""),"Деливерска М.")</f>
        <v>Деливерска М.</v>
      </c>
      <c r="H3830" s="10"/>
      <c r="I3830" s="10"/>
      <c r="J3830" s="10"/>
      <c r="K3830" s="10"/>
      <c r="L3830" s="10"/>
      <c r="M3830" s="10"/>
      <c r="N3830" s="10"/>
      <c r="O3830" s="10"/>
      <c r="P3830" s="10"/>
      <c r="Q3830" s="10"/>
      <c r="R3830" s="10"/>
      <c r="S3830" s="10"/>
      <c r="T3830" s="10"/>
      <c r="U3830" s="10"/>
      <c r="V3830" s="10"/>
      <c r="W3830" s="10"/>
      <c r="X3830" s="10"/>
      <c r="Y3830" s="10"/>
      <c r="Z3830" s="10"/>
    </row>
    <row r="3831" spans="1:26" ht="12.75">
      <c r="A3831" s="10" t="str">
        <f ca="1">IFERROR(__xludf.DUMMYFUNCTION("""COMPUTED_VALUE"""),"Йордан Георгиев Деливерски")</f>
        <v>Йордан Георгиев Деливерски</v>
      </c>
      <c r="B3831" s="10" t="str">
        <f ca="1">IFERROR(__xludf.DUMMYFUNCTION("""COMPUTED_VALUE"""),"Доклад от конференция")</f>
        <v>Доклад от конференция</v>
      </c>
      <c r="C3831" s="10" t="str">
        <f ca="1">IFERROR(__xludf.DUMMYFUNCTION("""COMPUTED_VALUE"""),"Illegal Migration and Refugee Crisis as a Threat to National Security, Economic and Social System - The Bulgarian Case")</f>
        <v>Illegal Migration and Refugee Crisis as a Threat to National Security, Economic and Social System - The Bulgarian Case</v>
      </c>
      <c r="D3831" s="10">
        <f ca="1">IFERROR(__xludf.DUMMYFUNCTION("""COMPUTED_VALUE"""),2018)</f>
        <v>2018</v>
      </c>
      <c r="E3831" s="10" t="str">
        <f ca="1">IFERROR(__xludf.DUMMYFUNCTION("""COMPUTED_VALUE"""),"Journal of educational and instructional studies in the world, May 2018, vol. 8, issue 2, 47-50")</f>
        <v>Journal of educational and instructional studies in the world, May 2018, vol. 8, issue 2, 47-50</v>
      </c>
      <c r="F3831" s="10"/>
      <c r="G3831" s="10"/>
      <c r="H3831" s="10"/>
      <c r="I3831" s="10"/>
      <c r="J3831" s="10"/>
      <c r="K3831" s="10"/>
      <c r="L3831" s="10"/>
      <c r="M3831" s="10"/>
      <c r="N3831" s="10"/>
      <c r="O3831" s="10"/>
      <c r="P3831" s="10"/>
      <c r="Q3831" s="10"/>
      <c r="R3831" s="10"/>
      <c r="S3831" s="10"/>
      <c r="T3831" s="10"/>
      <c r="U3831" s="10"/>
      <c r="V3831" s="10"/>
      <c r="W3831" s="10"/>
      <c r="X3831" s="10"/>
      <c r="Y3831" s="10"/>
      <c r="Z3831" s="10"/>
    </row>
    <row r="3832" spans="1:26" ht="12.75">
      <c r="A3832" s="10" t="str">
        <f ca="1">IFERROR(__xludf.DUMMYFUNCTION("""COMPUTED_VALUE"""),"Йордан Георгиев Деливерски")</f>
        <v>Йордан Георгиев Деливерски</v>
      </c>
      <c r="B3832" s="10" t="str">
        <f ca="1">IFERROR(__xludf.DUMMYFUNCTION("""COMPUTED_VALUE"""),"Доклад от конференция")</f>
        <v>Доклад от конференция</v>
      </c>
      <c r="C3832" s="10" t="str">
        <f ca="1">IFERROR(__xludf.DUMMYFUNCTION("""COMPUTED_VALUE"""),"Деклариране на доходи и имущество от лица заемащи висши държавни длъжности, като средство за превенция на корупцията, Академия за иновации и развитие")</f>
        <v>Деклариране на доходи и имущество от лица заемащи висши държавни длъжности, като средство за превенция на корупцията, Академия за иновации и развитие</v>
      </c>
      <c r="D3832" s="10">
        <f ca="1">IFERROR(__xludf.DUMMYFUNCTION("""COMPUTED_VALUE"""),2018)</f>
        <v>2018</v>
      </c>
      <c r="E3832" s="10" t="str">
        <f ca="1">IFERROR(__xludf.DUMMYFUNCTION("""COMPUTED_VALUE"""),"Втори международен дискусионен форум ""Образование, наука, иновации"" на тема „Общество, антикорупция, администрация” Сборник с доклади")</f>
        <v>Втори международен дискусионен форум "Образование, наука, иновации" на тема „Общество, антикорупция, администрация” Сборник с доклади</v>
      </c>
      <c r="F3832" s="10"/>
      <c r="G3832" s="10"/>
      <c r="H3832" s="10"/>
      <c r="I3832" s="10"/>
      <c r="J3832" s="10"/>
      <c r="K3832" s="10"/>
      <c r="L3832" s="10"/>
      <c r="M3832" s="10"/>
      <c r="N3832" s="10"/>
      <c r="O3832" s="10"/>
      <c r="P3832" s="10"/>
      <c r="Q3832" s="10"/>
      <c r="R3832" s="10"/>
      <c r="S3832" s="10"/>
      <c r="T3832" s="10"/>
      <c r="U3832" s="10"/>
      <c r="V3832" s="10"/>
      <c r="W3832" s="10"/>
      <c r="X3832" s="10"/>
      <c r="Y3832" s="10"/>
      <c r="Z3832" s="10"/>
    </row>
    <row r="3833" spans="1:26" ht="12.75">
      <c r="A3833" s="10" t="str">
        <f ca="1">IFERROR(__xludf.DUMMYFUNCTION("""COMPUTED_VALUE"""),"Йордан Георгиев Деливерски")</f>
        <v>Йордан Георгиев Деливерски</v>
      </c>
      <c r="B3833" s="10" t="str">
        <f ca="1">IFERROR(__xludf.DUMMYFUNCTION("""COMPUTED_VALUE"""),"Статия в списания и поредици")</f>
        <v>Статия в списания и поредици</v>
      </c>
      <c r="C3833" s="10" t="str">
        <f ca="1">IFERROR(__xludf.DUMMYFUNCTION("""COMPUTED_VALUE"""),"Здравно обслужване при доброволно здравно осигуряване чрез здравно застраховане")</f>
        <v>Здравно обслужване при доброволно здравно осигуряване чрез здравно застраховане</v>
      </c>
      <c r="D3833" s="10">
        <f ca="1">IFERROR(__xludf.DUMMYFUNCTION("""COMPUTED_VALUE"""),2018)</f>
        <v>2018</v>
      </c>
      <c r="E3833" s="10" t="str">
        <f ca="1">IFERROR(__xludf.DUMMYFUNCTION("""COMPUTED_VALUE"""),"сп. Здравна политика и мениджмънт, бр. 1, 2018, с. 50-54")</f>
        <v>сп. Здравна политика и мениджмънт, бр. 1, 2018, с. 50-54</v>
      </c>
      <c r="F3833" s="10"/>
      <c r="G3833" s="10" t="str">
        <f ca="1">IFERROR(__xludf.DUMMYFUNCTION("""COMPUTED_VALUE"""),"М. Деливерска")</f>
        <v>М. Деливерска</v>
      </c>
      <c r="H3833" s="10"/>
      <c r="I3833" s="10"/>
      <c r="J3833" s="10"/>
      <c r="K3833" s="10"/>
      <c r="L3833" s="10"/>
      <c r="M3833" s="10"/>
      <c r="N3833" s="10"/>
      <c r="O3833" s="10"/>
      <c r="P3833" s="10"/>
      <c r="Q3833" s="10"/>
      <c r="R3833" s="10"/>
      <c r="S3833" s="10"/>
      <c r="T3833" s="10"/>
      <c r="U3833" s="10"/>
      <c r="V3833" s="10"/>
      <c r="W3833" s="10"/>
      <c r="X3833" s="10"/>
      <c r="Y3833" s="10"/>
      <c r="Z3833" s="10"/>
    </row>
    <row r="3834" spans="1:26" ht="12.75">
      <c r="A3834" s="10" t="str">
        <f ca="1">IFERROR(__xludf.DUMMYFUNCTION("""COMPUTED_VALUE"""),"Йордан Георгиев Деливерски")</f>
        <v>Йордан Георгиев Деливерски</v>
      </c>
      <c r="B3834" s="10" t="str">
        <f ca="1">IFERROR(__xludf.DUMMYFUNCTION("""COMPUTED_VALUE"""),"Статия в списания и поредици")</f>
        <v>Статия в списания и поредици</v>
      </c>
      <c r="C3834" s="10" t="str">
        <f ca="1">IFERROR(__xludf.DUMMYFUNCTION("""COMPUTED_VALUE"""),"Социална сигурност при здравно осигуряване. Национални и европейски аспекти")</f>
        <v>Социална сигурност при здравно осигуряване. Национални и европейски аспекти</v>
      </c>
      <c r="D3834" s="10">
        <f ca="1">IFERROR(__xludf.DUMMYFUNCTION("""COMPUTED_VALUE"""),2018)</f>
        <v>2018</v>
      </c>
      <c r="E3834" s="10" t="str">
        <f ca="1">IFERROR(__xludf.DUMMYFUNCTION("""COMPUTED_VALUE"""),"Деливерска М., Й. Деливерски, Социална сигурност при здравно осигуряване. Национални и европейски аспекти")</f>
        <v>Деливерска М., Й. Деливерски, Социална сигурност при здравно осигуряване. Национални и европейски аспекти</v>
      </c>
      <c r="F3834" s="10"/>
      <c r="G3834" s="10" t="str">
        <f ca="1">IFERROR(__xludf.DUMMYFUNCTION("""COMPUTED_VALUE"""),"Деливерска М.")</f>
        <v>Деливерска М.</v>
      </c>
      <c r="H3834" s="10"/>
      <c r="I3834" s="10"/>
      <c r="J3834" s="10"/>
      <c r="K3834" s="10"/>
      <c r="L3834" s="10"/>
      <c r="M3834" s="10"/>
      <c r="N3834" s="10"/>
      <c r="O3834" s="10"/>
      <c r="P3834" s="10"/>
      <c r="Q3834" s="10"/>
      <c r="R3834" s="10"/>
      <c r="S3834" s="10"/>
      <c r="T3834" s="10"/>
      <c r="U3834" s="10"/>
      <c r="V3834" s="10"/>
      <c r="W3834" s="10"/>
      <c r="X3834" s="10"/>
      <c r="Y3834" s="10"/>
      <c r="Z3834" s="10"/>
    </row>
    <row r="3835" spans="1:26" ht="12.75">
      <c r="A3835" s="10" t="str">
        <f ca="1">IFERROR(__xludf.DUMMYFUNCTION("""COMPUTED_VALUE"""),"Йордан Георгиев Деливерски")</f>
        <v>Йордан Георгиев Деливерски</v>
      </c>
      <c r="B3835" s="10" t="str">
        <f ca="1">IFERROR(__xludf.DUMMYFUNCTION("""COMPUTED_VALUE"""),"Доклад от конференция")</f>
        <v>Доклад от конференция</v>
      </c>
      <c r="C3835" s="10" t="str">
        <f ca="1">IFERROR(__xludf.DUMMYFUNCTION("""COMPUTED_VALUE"""),"Деклариране на доходи и имущество от лица заемащи висши държавни длъжности, като средство за превенция на корупцията")</f>
        <v>Деклариране на доходи и имущество от лица заемащи висши държавни длъжности, като средство за превенция на корупцията</v>
      </c>
      <c r="D3835" s="10">
        <f ca="1">IFERROR(__xludf.DUMMYFUNCTION("""COMPUTED_VALUE"""),2018)</f>
        <v>2018</v>
      </c>
      <c r="E3835" s="10" t="str">
        <f ca="1">IFERROR(__xludf.DUMMYFUNCTION("""COMPUTED_VALUE"""),"Академия за иновации и развитие Втори международен дискусионен форум ""Образование, наука, иновации"" на тема „Общество, антикорупция, администрация” Отпечатан в сборник с доклади от международен дискусионен форум „Общество, антикорупция, администрация” С"&amp;"офияр 2019, с. 99-106, ISBN: 978-954-8655-68-2")</f>
        <v>Академия за иновации и развитие Втори международен дискусионен форум "Образование, наука, иновации" на тема „Общество, антикорупция, администрация” Отпечатан в сборник с доклади от международен дискусионен форум „Общество, антикорупция, администрация” Софияр 2019, с. 99-106, ISBN: 978-954-8655-68-2</v>
      </c>
      <c r="F3835" s="10"/>
      <c r="G3835" s="10"/>
      <c r="H3835" s="10"/>
      <c r="I3835" s="10"/>
      <c r="J3835" s="10"/>
      <c r="K3835" s="10"/>
      <c r="L3835" s="10"/>
      <c r="M3835" s="10"/>
      <c r="N3835" s="10"/>
      <c r="O3835" s="10"/>
      <c r="P3835" s="10"/>
      <c r="Q3835" s="10"/>
      <c r="R3835" s="10"/>
      <c r="S3835" s="10"/>
      <c r="T3835" s="10"/>
      <c r="U3835" s="10"/>
      <c r="V3835" s="10"/>
      <c r="W3835" s="10"/>
      <c r="X3835" s="10"/>
      <c r="Y3835" s="10"/>
      <c r="Z3835" s="10"/>
    </row>
    <row r="3836" spans="1:26" ht="12.75">
      <c r="A3836" s="10" t="str">
        <f ca="1">IFERROR(__xludf.DUMMYFUNCTION("""COMPUTED_VALUE"""),"Йордан Георгиев Деливерски")</f>
        <v>Йордан Георгиев Деливерски</v>
      </c>
      <c r="B3836" s="10" t="str">
        <f ca="1">IFERROR(__xludf.DUMMYFUNCTION("""COMPUTED_VALUE"""),"Доклад от конференция")</f>
        <v>Доклад от конференция</v>
      </c>
      <c r="C3836" s="10" t="str">
        <f ca="1">IFERROR(__xludf.DUMMYFUNCTION("""COMPUTED_VALUE"""),"Приложни аспекти на събирането на биометрични данни от бежанци и мигранти")</f>
        <v>Приложни аспекти на събирането на биометрични данни от бежанци и мигранти</v>
      </c>
      <c r="D3836" s="10">
        <f ca="1">IFERROR(__xludf.DUMMYFUNCTION("""COMPUTED_VALUE"""),2018)</f>
        <v>2018</v>
      </c>
      <c r="E3836" s="10" t="str">
        <f ca="1">IFERROR(__xludf.DUMMYFUNCTION("""COMPUTED_VALUE"""),"Шести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Отпечатан в сборник с доклади ""Европейските граждани и интелектуалната собстве"&amp;"ност. Възприятие, Осъзнатост, Поведение."" За буквите -O писменех, София 2018, с. 255-266, ISBN: 978-619-185-350-2")</f>
        <v>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Отпечатан в сборник с доклади "Европейските граждани и интелектуалната собственост. Възприятие, Осъзнатост, Поведение." За буквите -O писменех, София 2018, с. 255-266, ISBN: 978-619-185-350-2</v>
      </c>
      <c r="F3836" s="10"/>
      <c r="G3836" s="10"/>
      <c r="H3836" s="10"/>
      <c r="I3836" s="10"/>
      <c r="J3836" s="10"/>
      <c r="K3836" s="10"/>
      <c r="L3836" s="10"/>
      <c r="M3836" s="10"/>
      <c r="N3836" s="10"/>
      <c r="O3836" s="10"/>
      <c r="P3836" s="10"/>
      <c r="Q3836" s="10"/>
      <c r="R3836" s="10"/>
      <c r="S3836" s="10"/>
      <c r="T3836" s="10"/>
      <c r="U3836" s="10"/>
      <c r="V3836" s="10"/>
      <c r="W3836" s="10"/>
      <c r="X3836" s="10"/>
      <c r="Y3836" s="10"/>
      <c r="Z3836" s="10"/>
    </row>
    <row r="3837" spans="1:26" ht="12.75">
      <c r="A3837" s="10" t="str">
        <f ca="1">IFERROR(__xludf.DUMMYFUNCTION("""COMPUTED_VALUE"""),"Йордан Георгиев Деливерски")</f>
        <v>Йордан Георгиев Деливерски</v>
      </c>
      <c r="B3837" s="10" t="str">
        <f ca="1">IFERROR(__xludf.DUMMYFUNCTION("""COMPUTED_VALUE"""),"Доклад от конференция")</f>
        <v>Доклад от конференция</v>
      </c>
      <c r="C3837" s="10" t="str">
        <f ca="1">IFERROR(__xludf.DUMMYFUNCTION("""COMPUTED_VALUE"""),"Деклариране на доходи и имущество от лица заемащи висши държавни длъжности, като средство за превенция на корупцията, Академия за иновации и развитие")</f>
        <v>Деклариране на доходи и имущество от лица заемащи висши държавни длъжности, като средство за превенция на корупцията, Академия за иновации и развитие</v>
      </c>
      <c r="D3837" s="10">
        <f ca="1">IFERROR(__xludf.DUMMYFUNCTION("""COMPUTED_VALUE"""),2018)</f>
        <v>2018</v>
      </c>
      <c r="E3837" s="10" t="str">
        <f ca="1">IFERROR(__xludf.DUMMYFUNCTION("""COMPUTED_VALUE"""),"Втори международен дискусионен форум ""Образование, наука, иновации"" на тема „Общество, антикорупция, администрация” Сборник с доклади")</f>
        <v>Втори международен дискусионен форум "Образование, наука, иновации" на тема „Общество, антикорупция, администрация” Сборник с доклади</v>
      </c>
      <c r="F3837" s="10"/>
      <c r="G3837" s="10"/>
      <c r="H3837" s="10"/>
      <c r="I3837" s="10"/>
      <c r="J3837" s="10"/>
      <c r="K3837" s="10"/>
      <c r="L3837" s="10"/>
      <c r="M3837" s="10"/>
      <c r="N3837" s="10"/>
      <c r="O3837" s="10"/>
      <c r="P3837" s="10"/>
      <c r="Q3837" s="10"/>
      <c r="R3837" s="10"/>
      <c r="S3837" s="10"/>
      <c r="T3837" s="10"/>
      <c r="U3837" s="10"/>
      <c r="V3837" s="10"/>
      <c r="W3837" s="10"/>
      <c r="X3837" s="10"/>
      <c r="Y3837" s="10"/>
      <c r="Z3837" s="10"/>
    </row>
    <row r="3838" spans="1:26" ht="12.75">
      <c r="A3838" s="10" t="str">
        <f ca="1">IFERROR(__xludf.DUMMYFUNCTION("""COMPUTED_VALUE"""),"Йордан Георгиев Деливерски")</f>
        <v>Йордан Георгиев Деливерски</v>
      </c>
      <c r="B3838" s="10" t="str">
        <f ca="1">IFERROR(__xludf.DUMMYFUNCTION("""COMPUTED_VALUE"""),"Статия в списания и поредици")</f>
        <v>Статия в списания и поредици</v>
      </c>
      <c r="C3838" s="10" t="str">
        <f ca="1">IFERROR(__xludf.DUMMYFUNCTION("""COMPUTED_VALUE"""),"Ethical and legal considerations in biometric data usage – Bulgarian perspective,")</f>
        <v>Ethical and legal considerations in biometric data usage – Bulgarian perspective,</v>
      </c>
      <c r="D3838" s="10">
        <f ca="1">IFERROR(__xludf.DUMMYFUNCTION("""COMPUTED_VALUE"""),2018)</f>
        <v>2018</v>
      </c>
      <c r="E3838" s="10" t="str">
        <f ca="1">IFERROR(__xludf.DUMMYFUNCTION("""COMPUTED_VALUE"""),"Frontiers in public health, Vol. 6, Article 25, Feb. 2018, doi: 10.3389/fpubh.2018.00025")</f>
        <v>Frontiers in public health, Vol. 6, Article 25, Feb. 2018, doi: 10.3389/fpubh.2018.00025</v>
      </c>
      <c r="F3838" s="10"/>
      <c r="G3838" s="10" t="str">
        <f ca="1">IFERROR(__xludf.DUMMYFUNCTION("""COMPUTED_VALUE"""),"Deliversky J., M. Deliverska")</f>
        <v>Deliversky J., M. Deliverska</v>
      </c>
      <c r="H3838" s="10"/>
      <c r="I3838" s="10"/>
      <c r="J3838" s="10"/>
      <c r="K3838" s="10"/>
      <c r="L3838" s="10"/>
      <c r="M3838" s="10"/>
      <c r="N3838" s="10"/>
      <c r="O3838" s="10"/>
      <c r="P3838" s="10"/>
      <c r="Q3838" s="10"/>
      <c r="R3838" s="10"/>
      <c r="S3838" s="10"/>
      <c r="T3838" s="10"/>
      <c r="U3838" s="10"/>
      <c r="V3838" s="10"/>
      <c r="W3838" s="10"/>
      <c r="X3838" s="10"/>
      <c r="Y3838" s="10"/>
      <c r="Z3838" s="10"/>
    </row>
    <row r="3839" spans="1:26" ht="12.75">
      <c r="A3839" s="10" t="str">
        <f ca="1">IFERROR(__xludf.DUMMYFUNCTION("""COMPUTED_VALUE"""),"Йордан Георгиев Деливерски")</f>
        <v>Йордан Георгиев Деливерски</v>
      </c>
      <c r="B3839" s="10" t="str">
        <f ca="1">IFERROR(__xludf.DUMMYFUNCTION("""COMPUTED_VALUE"""),"Статия в списания и поредици")</f>
        <v>Статия в списания и поредици</v>
      </c>
      <c r="C3839" s="10" t="str">
        <f ca="1">IFERROR(__xludf.DUMMYFUNCTION("""COMPUTED_VALUE"""),"Здравно обслужване при доброволно здравно осигуряване чрез здравно застраховане")</f>
        <v>Здравно обслужване при доброволно здравно осигуряване чрез здравно застраховане</v>
      </c>
      <c r="D3839" s="10">
        <f ca="1">IFERROR(__xludf.DUMMYFUNCTION("""COMPUTED_VALUE"""),2018)</f>
        <v>2018</v>
      </c>
      <c r="E3839" s="10" t="str">
        <f ca="1">IFERROR(__xludf.DUMMYFUNCTION("""COMPUTED_VALUE"""),"сп. Здравна политика и мениджмънт, бр. 1, 2018, с. 50-54")</f>
        <v>сп. Здравна политика и мениджмънт, бр. 1, 2018, с. 50-54</v>
      </c>
      <c r="F3839" s="10"/>
      <c r="G3839" s="10" t="str">
        <f ca="1">IFERROR(__xludf.DUMMYFUNCTION("""COMPUTED_VALUE"""),"М. Деливерска")</f>
        <v>М. Деливерска</v>
      </c>
      <c r="H3839" s="10"/>
      <c r="I3839" s="10"/>
      <c r="J3839" s="10"/>
      <c r="K3839" s="10"/>
      <c r="L3839" s="10"/>
      <c r="M3839" s="10"/>
      <c r="N3839" s="10"/>
      <c r="O3839" s="10"/>
      <c r="P3839" s="10"/>
      <c r="Q3839" s="10"/>
      <c r="R3839" s="10"/>
      <c r="S3839" s="10"/>
      <c r="T3839" s="10"/>
      <c r="U3839" s="10"/>
      <c r="V3839" s="10"/>
      <c r="W3839" s="10"/>
      <c r="X3839" s="10"/>
      <c r="Y3839" s="10"/>
      <c r="Z3839" s="10"/>
    </row>
    <row r="3840" spans="1:26" ht="12.75">
      <c r="A3840" s="10" t="str">
        <f ca="1">IFERROR(__xludf.DUMMYFUNCTION("""COMPUTED_VALUE"""),"Йордан Георгиев Деливерски")</f>
        <v>Йордан Георгиев Деливерски</v>
      </c>
      <c r="B3840" s="10" t="str">
        <f ca="1">IFERROR(__xludf.DUMMYFUNCTION("""COMPUTED_VALUE"""),"Статия в списания и поредици")</f>
        <v>Статия в списания и поредици</v>
      </c>
      <c r="C3840" s="10" t="str">
        <f ca="1">IFERROR(__xludf.DUMMYFUNCTION("""COMPUTED_VALUE"""),"Социална сигурност при здравно осигуряване. Национални и европейски аспекти")</f>
        <v>Социална сигурност при здравно осигуряване. Национални и европейски аспекти</v>
      </c>
      <c r="D3840" s="10">
        <f ca="1">IFERROR(__xludf.DUMMYFUNCTION("""COMPUTED_VALUE"""),2018)</f>
        <v>2018</v>
      </c>
      <c r="E3840" s="10" t="str">
        <f ca="1">IFERROR(__xludf.DUMMYFUNCTION("""COMPUTED_VALUE"""),"Списание „Здравна политика и мениджмънт“, 2018, 1, 42–46. , ISSN 1313-4981")</f>
        <v>Списание „Здравна политика и мениджмънт“, 2018, 1, 42–46. , ISSN 1313-4981</v>
      </c>
      <c r="F3840" s="10"/>
      <c r="G3840" s="10" t="str">
        <f ca="1">IFERROR(__xludf.DUMMYFUNCTION("""COMPUTED_VALUE"""),"Deliverska M., J. Deliversky")</f>
        <v>Deliverska M., J. Deliversky</v>
      </c>
      <c r="H3840" s="10"/>
      <c r="I3840" s="10"/>
      <c r="J3840" s="10"/>
      <c r="K3840" s="10"/>
      <c r="L3840" s="10"/>
      <c r="M3840" s="10"/>
      <c r="N3840" s="10"/>
      <c r="O3840" s="10"/>
      <c r="P3840" s="10"/>
      <c r="Q3840" s="10"/>
      <c r="R3840" s="10"/>
      <c r="S3840" s="10"/>
      <c r="T3840" s="10"/>
      <c r="U3840" s="10"/>
      <c r="V3840" s="10"/>
      <c r="W3840" s="10"/>
      <c r="X3840" s="10"/>
      <c r="Y3840" s="10"/>
      <c r="Z3840" s="10"/>
    </row>
    <row r="3841" spans="1:26" ht="12.75">
      <c r="A3841" s="10" t="str">
        <f ca="1">IFERROR(__xludf.DUMMYFUNCTION("""COMPUTED_VALUE"""),"Йордан Георгиев Деливерски")</f>
        <v>Йордан Георгиев Деливерски</v>
      </c>
      <c r="B3841" s="10" t="str">
        <f ca="1">IFERROR(__xludf.DUMMYFUNCTION("""COMPUTED_VALUE"""),"Доклад от конференция")</f>
        <v>Доклад от конференция</v>
      </c>
      <c r="C3841" s="10" t="str">
        <f ca="1">IFERROR(__xludf.DUMMYFUNCTION("""COMPUTED_VALUE"""),"Приложни аспекти на събирането на биометрични данни от бежанци и мигранти")</f>
        <v>Приложни аспекти на събирането на биометрични данни от бежанци и мигранти</v>
      </c>
      <c r="D3841" s="10">
        <f ca="1">IFERROR(__xludf.DUMMYFUNCTION("""COMPUTED_VALUE"""),2018)</f>
        <v>2018</v>
      </c>
      <c r="E3841" s="10" t="str">
        <f ca="1">IFERROR(__xludf.DUMMYFUNCTION("""COMPUTED_VALUE"""),"Шести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Отпечатан в сборник с доклади ""Европейските граждани и интелектуалната собстве"&amp;"ност. Възприятие, Осъзнатост, Поведение."" За буквите -O писменех, София 2018, с. 255-266, ISBN: 978-619-185-350-2")</f>
        <v>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Отпечатан в сборник с доклади "Европейските граждани и интелектуалната собственост. Възприятие, Осъзнатост, Поведение." За буквите -O писменех, София 2018, с. 255-266, ISBN: 978-619-185-350-2</v>
      </c>
      <c r="F3841" s="10"/>
      <c r="G3841" s="10"/>
      <c r="H3841" s="10"/>
      <c r="I3841" s="10"/>
      <c r="J3841" s="10"/>
      <c r="K3841" s="10"/>
      <c r="L3841" s="10"/>
      <c r="M3841" s="10"/>
      <c r="N3841" s="10"/>
      <c r="O3841" s="10"/>
      <c r="P3841" s="10"/>
      <c r="Q3841" s="10"/>
      <c r="R3841" s="10"/>
      <c r="S3841" s="10"/>
      <c r="T3841" s="10"/>
      <c r="U3841" s="10"/>
      <c r="V3841" s="10"/>
      <c r="W3841" s="10"/>
      <c r="X3841" s="10"/>
      <c r="Y3841" s="10"/>
      <c r="Z3841" s="10"/>
    </row>
    <row r="3842" spans="1:26" ht="12.75">
      <c r="A3842" s="10" t="str">
        <f ca="1">IFERROR(__xludf.DUMMYFUNCTION("""COMPUTED_VALUE"""),"Йордан Георгиев Деливерски")</f>
        <v>Йордан Георгиев Деливерски</v>
      </c>
      <c r="B3842" s="10" t="str">
        <f ca="1">IFERROR(__xludf.DUMMYFUNCTION("""COMPUTED_VALUE"""),"Доклад от конференция")</f>
        <v>Доклад от конференция</v>
      </c>
      <c r="C3842" s="10" t="str">
        <f ca="1">IFERROR(__xludf.DUMMYFUNCTION("""COMPUTED_VALUE"""),"Деклариране на доходи и имущество от лица заемащи висши държавни длъжности, като средство за превенция на корупцията")</f>
        <v>Деклариране на доходи и имущество от лица заемащи висши държавни длъжности, като средство за превенция на корупцията</v>
      </c>
      <c r="D3842" s="10">
        <f ca="1">IFERROR(__xludf.DUMMYFUNCTION("""COMPUTED_VALUE"""),2018)</f>
        <v>2018</v>
      </c>
      <c r="E3842" s="10" t="str">
        <f ca="1">IFERROR(__xludf.DUMMYFUNCTION("""COMPUTED_VALUE"""),"Академия за иновации и развитие Втори международен дискусионен форум ""Образование, наука, иновации"" на тема „Общество, антикорупция, администрация” Отпечатан в сборник с доклади от международен дискусионен форум „Общество, антикорупция, администрация” С"&amp;"офияр 2019, с. 99-106, ISBN: 978-954-8655-68-2")</f>
        <v>Академия за иновации и развитие Втори международен дискусионен форум "Образование, наука, иновации" на тема „Общество, антикорупция, администрация” Отпечатан в сборник с доклади от международен дискусионен форум „Общество, антикорупция, администрация” Софияр 2019, с. 99-106, ISBN: 978-954-8655-68-2</v>
      </c>
      <c r="F3842" s="10"/>
      <c r="G3842" s="10"/>
      <c r="H3842" s="10"/>
      <c r="I3842" s="10"/>
      <c r="J3842" s="10"/>
      <c r="K3842" s="10"/>
      <c r="L3842" s="10"/>
      <c r="M3842" s="10"/>
      <c r="N3842" s="10"/>
      <c r="O3842" s="10"/>
      <c r="P3842" s="10"/>
      <c r="Q3842" s="10"/>
      <c r="R3842" s="10"/>
      <c r="S3842" s="10"/>
      <c r="T3842" s="10"/>
      <c r="U3842" s="10"/>
      <c r="V3842" s="10"/>
      <c r="W3842" s="10"/>
      <c r="X3842" s="10"/>
      <c r="Y3842" s="10"/>
      <c r="Z3842" s="10"/>
    </row>
    <row r="3843" spans="1:26" ht="12.75">
      <c r="A3843" s="10" t="str">
        <f ca="1">IFERROR(__xludf.DUMMYFUNCTION("""COMPUTED_VALUE"""),"Йордан Георгиев Деливерски")</f>
        <v>Йордан Георгиев Деливерски</v>
      </c>
      <c r="B3843" s="10" t="str">
        <f ca="1">IFERROR(__xludf.DUMMYFUNCTION("""COMPUTED_VALUE"""),"Статия в списания и поредици")</f>
        <v>Статия в списания и поредици</v>
      </c>
      <c r="C3843" s="10" t="str">
        <f ca="1">IFERROR(__xludf.DUMMYFUNCTION("""COMPUTED_VALUE"""),"Ethical and legal considerations in biometric data usage – Bulgarian perspective")</f>
        <v>Ethical and legal considerations in biometric data usage – Bulgarian perspective</v>
      </c>
      <c r="D3843" s="10">
        <f ca="1">IFERROR(__xludf.DUMMYFUNCTION("""COMPUTED_VALUE"""),2018)</f>
        <v>2018</v>
      </c>
      <c r="E3843" s="10" t="str">
        <f ca="1">IFERROR(__xludf.DUMMYFUNCTION("""COMPUTED_VALUE"""),"Frontiers in public health, Vol. 6, Article 25, Feb. 2018, doi: 10.3389/fpubh.2018.00025")</f>
        <v>Frontiers in public health, Vol. 6, Article 25, Feb. 2018, doi: 10.3389/fpubh.2018.00025</v>
      </c>
      <c r="F3843" s="10"/>
      <c r="G3843" s="10" t="str">
        <f ca="1">IFERROR(__xludf.DUMMYFUNCTION("""COMPUTED_VALUE"""),"M. Deliverska")</f>
        <v>M. Deliverska</v>
      </c>
      <c r="H3843" s="10"/>
      <c r="I3843" s="10"/>
      <c r="J3843" s="10"/>
      <c r="K3843" s="10"/>
      <c r="L3843" s="10"/>
      <c r="M3843" s="10"/>
      <c r="N3843" s="10"/>
      <c r="O3843" s="10"/>
      <c r="P3843" s="10"/>
      <c r="Q3843" s="10"/>
      <c r="R3843" s="10"/>
      <c r="S3843" s="10"/>
      <c r="T3843" s="10"/>
      <c r="U3843" s="10"/>
      <c r="V3843" s="10"/>
      <c r="W3843" s="10"/>
      <c r="X3843" s="10"/>
      <c r="Y3843" s="10"/>
      <c r="Z3843" s="10"/>
    </row>
    <row r="3844" spans="1:26" ht="12.75">
      <c r="A3844" s="10" t="str">
        <f ca="1">IFERROR(__xludf.DUMMYFUNCTION("""COMPUTED_VALUE"""),"Йордан Георгиев Деливерски")</f>
        <v>Йордан Георгиев Деливерски</v>
      </c>
      <c r="B3844" s="10" t="str">
        <f ca="1">IFERROR(__xludf.DUMMYFUNCTION("""COMPUTED_VALUE"""),"Книга")</f>
        <v>Книга</v>
      </c>
      <c r="C3844" s="10" t="str">
        <f ca="1">IFERROR(__xludf.DUMMYFUNCTION("""COMPUTED_VALUE"""),"Приложни аспекти на събирането на биометрични данни от бежанци и мигранти")</f>
        <v>Приложни аспекти на събирането на биометрични данни от бежанци и мигранти</v>
      </c>
      <c r="D3844" s="10">
        <f ca="1">IFERROR(__xludf.DUMMYFUNCTION("""COMPUTED_VALUE"""),2018)</f>
        <v>2018</v>
      </c>
      <c r="E3844" s="10" t="str">
        <f ca="1">IFERROR(__xludf.DUMMYFUNCTION("""COMPUTED_VALUE"""),"Шести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Сборник с доклади")</f>
        <v>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Сборник с доклади</v>
      </c>
      <c r="F3844" s="10"/>
      <c r="G3844" s="10"/>
      <c r="H3844" s="10"/>
      <c r="I3844" s="10"/>
      <c r="J3844" s="10"/>
      <c r="K3844" s="10"/>
      <c r="L3844" s="10"/>
      <c r="M3844" s="10"/>
      <c r="N3844" s="10"/>
      <c r="O3844" s="10"/>
      <c r="P3844" s="10"/>
      <c r="Q3844" s="10"/>
      <c r="R3844" s="10"/>
      <c r="S3844" s="10"/>
      <c r="T3844" s="10"/>
      <c r="U3844" s="10"/>
      <c r="V3844" s="10"/>
      <c r="W3844" s="10"/>
      <c r="X3844" s="10"/>
      <c r="Y3844" s="10"/>
      <c r="Z3844" s="10"/>
    </row>
    <row r="3845" spans="1:26" ht="12.75">
      <c r="A3845" s="10" t="str">
        <f ca="1">IFERROR(__xludf.DUMMYFUNCTION("""COMPUTED_VALUE"""),"Йордан Георгиев Деливерски")</f>
        <v>Йордан Георгиев Деливерски</v>
      </c>
      <c r="B3845" s="10" t="str">
        <f ca="1">IFERROR(__xludf.DUMMYFUNCTION("""COMPUTED_VALUE"""),"Статия в списания и поредици")</f>
        <v>Статия в списания и поредици</v>
      </c>
      <c r="C3845" s="10" t="str">
        <f ca="1">IFERROR(__xludf.DUMMYFUNCTION("""COMPUTED_VALUE"""),"Ethical and legal considerations in biometric data usage – Bulgarian perspective")</f>
        <v>Ethical and legal considerations in biometric data usage – Bulgarian perspective</v>
      </c>
      <c r="D3845" s="10">
        <f ca="1">IFERROR(__xludf.DUMMYFUNCTION("""COMPUTED_VALUE"""),2018)</f>
        <v>2018</v>
      </c>
      <c r="E3845" s="10" t="str">
        <f ca="1">IFERROR(__xludf.DUMMYFUNCTION("""COMPUTED_VALUE"""),"Frontiers in public health, Vol. 6, Article 25, Feb. 2018, doi: 10.3389/fpubh.2018.00025")</f>
        <v>Frontiers in public health, Vol. 6, Article 25, Feb. 2018, doi: 10.3389/fpubh.2018.00025</v>
      </c>
      <c r="F3845" s="10"/>
      <c r="G3845" s="10" t="str">
        <f ca="1">IFERROR(__xludf.DUMMYFUNCTION("""COMPUTED_VALUE"""),"M. Deliverska")</f>
        <v>M. Deliverska</v>
      </c>
      <c r="H3845" s="10"/>
      <c r="I3845" s="10"/>
      <c r="J3845" s="10"/>
      <c r="K3845" s="10"/>
      <c r="L3845" s="10"/>
      <c r="M3845" s="10"/>
      <c r="N3845" s="10"/>
      <c r="O3845" s="10"/>
      <c r="P3845" s="10"/>
      <c r="Q3845" s="10"/>
      <c r="R3845" s="10"/>
      <c r="S3845" s="10"/>
      <c r="T3845" s="10"/>
      <c r="U3845" s="10"/>
      <c r="V3845" s="10"/>
      <c r="W3845" s="10"/>
      <c r="X3845" s="10"/>
      <c r="Y3845" s="10"/>
      <c r="Z3845" s="10"/>
    </row>
    <row r="3846" spans="1:26" ht="12.75">
      <c r="A3846" s="10" t="str">
        <f ca="1">IFERROR(__xludf.DUMMYFUNCTION("""COMPUTED_VALUE"""),"Йордан Георгиев Деливерски")</f>
        <v>Йордан Георгиев Деливерски</v>
      </c>
      <c r="B3846" s="10" t="str">
        <f ca="1">IFERROR(__xludf.DUMMYFUNCTION("""COMPUTED_VALUE"""),"Книга")</f>
        <v>Книга</v>
      </c>
      <c r="C3846" s="10" t="str">
        <f ca="1">IFERROR(__xludf.DUMMYFUNCTION("""COMPUTED_VALUE"""),"Приложни аспекти на събирането на биометрични данни от бежанци и мигранти")</f>
        <v>Приложни аспекти на събирането на биометрични данни от бежанци и мигранти</v>
      </c>
      <c r="D3846" s="10">
        <f ca="1">IFERROR(__xludf.DUMMYFUNCTION("""COMPUTED_VALUE"""),2018)</f>
        <v>2018</v>
      </c>
      <c r="E3846" s="10" t="str">
        <f ca="1">IFERROR(__xludf.DUMMYFUNCTION("""COMPUTED_VALUE"""),"Шести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Сборник с доклади")</f>
        <v>Шести национален семинар с международно участие на тема: „Европейските граждани и интелектуалната собственост, възприятие, осъзнатост, поведение“, 25-26 април 2018 г., УниБИТ Сборник с доклади</v>
      </c>
      <c r="F3846" s="10"/>
      <c r="G3846" s="10"/>
      <c r="H3846" s="10"/>
      <c r="I3846" s="10"/>
      <c r="J3846" s="10"/>
      <c r="K3846" s="10"/>
      <c r="L3846" s="10"/>
      <c r="M3846" s="10"/>
      <c r="N3846" s="10"/>
      <c r="O3846" s="10"/>
      <c r="P3846" s="10"/>
      <c r="Q3846" s="10"/>
      <c r="R3846" s="10"/>
      <c r="S3846" s="10"/>
      <c r="T3846" s="10"/>
      <c r="U3846" s="10"/>
      <c r="V3846" s="10"/>
      <c r="W3846" s="10"/>
      <c r="X3846" s="10"/>
      <c r="Y3846" s="10"/>
      <c r="Z3846" s="10"/>
    </row>
    <row r="3847" spans="1:26" ht="12.75">
      <c r="A3847" s="10" t="str">
        <f ca="1">IFERROR(__xludf.DUMMYFUNCTION("""COMPUTED_VALUE"""),"Йордан Георгиев Деливерски")</f>
        <v>Йордан Георгиев Деливерски</v>
      </c>
      <c r="B3847" s="10" t="str">
        <f ca="1">IFERROR(__xludf.DUMMYFUNCTION("""COMPUTED_VALUE"""),"Статия в списания и поредици")</f>
        <v>Статия в списания и поредици</v>
      </c>
      <c r="C3847" s="10" t="str">
        <f ca="1">IFERROR(__xludf.DUMMYFUNCTION("""COMPUTED_VALUE"""),"Използване на здравна информация за целите на застраховането – законови и етични норми.")</f>
        <v>Използване на здравна информация за целите на застраховането – законови и етични норми.</v>
      </c>
      <c r="D3847" s="10">
        <f ca="1">IFERROR(__xludf.DUMMYFUNCTION("""COMPUTED_VALUE"""),2017)</f>
        <v>2017</v>
      </c>
      <c r="E3847" s="10" t="str">
        <f ca="1">IFERROR(__xludf.DUMMYFUNCTION("""COMPUTED_VALUE"""),"Списание Здравна политика и мениджмънт“, 2017, 2, 87–90., ISSN 1313-4981")</f>
        <v>Списание Здравна политика и мениджмънт“, 2017, 2, 87–90., ISSN 1313-4981</v>
      </c>
      <c r="F3847" s="10"/>
      <c r="G3847" s="10" t="str">
        <f ca="1">IFERROR(__xludf.DUMMYFUNCTION("""COMPUTED_VALUE"""),"Деливерски, Й., М. Деливерска.")</f>
        <v>Деливерски, Й., М. Деливерска.</v>
      </c>
      <c r="H3847" s="10"/>
      <c r="I3847" s="10"/>
      <c r="J3847" s="10"/>
      <c r="K3847" s="10"/>
      <c r="L3847" s="10"/>
      <c r="M3847" s="10"/>
      <c r="N3847" s="10"/>
      <c r="O3847" s="10"/>
      <c r="P3847" s="10"/>
      <c r="Q3847" s="10"/>
      <c r="R3847" s="10"/>
      <c r="S3847" s="10"/>
      <c r="T3847" s="10"/>
      <c r="U3847" s="10"/>
      <c r="V3847" s="10"/>
      <c r="W3847" s="10"/>
      <c r="X3847" s="10"/>
      <c r="Y3847" s="10"/>
      <c r="Z3847" s="10"/>
    </row>
    <row r="3848" spans="1:26" ht="12.75">
      <c r="A3848" s="10" t="str">
        <f ca="1">IFERROR(__xludf.DUMMYFUNCTION("""COMPUTED_VALUE"""),"Йордан Георгиев Деливерски")</f>
        <v>Йордан Георгиев Деливерски</v>
      </c>
      <c r="B3848" s="10" t="str">
        <f ca="1">IFERROR(__xludf.DUMMYFUNCTION("""COMPUTED_VALUE"""),"Статия в списания и поредици")</f>
        <v>Статия в списания и поредици</v>
      </c>
      <c r="C3848" s="10" t="str">
        <f ca="1">IFERROR(__xludf.DUMMYFUNCTION("""COMPUTED_VALUE"""),"Health records and information technology in support of exchange of health information.")</f>
        <v>Health records and information technology in support of exchange of health information.</v>
      </c>
      <c r="D3848" s="10">
        <f ca="1">IFERROR(__xludf.DUMMYFUNCTION("""COMPUTED_VALUE"""),2017)</f>
        <v>2017</v>
      </c>
      <c r="E3848" s="10" t="str">
        <f ca="1">IFERROR(__xludf.DUMMYFUNCTION("""COMPUTED_VALUE"""),"J of IMAB. 2017 Apr-Jun;23(2):1567-1570.")</f>
        <v>J of IMAB. 2017 Apr-Jun;23(2):1567-1570.</v>
      </c>
      <c r="F3848" s="10"/>
      <c r="G3848" s="10"/>
      <c r="H3848" s="10"/>
      <c r="I3848" s="10"/>
      <c r="J3848" s="10"/>
      <c r="K3848" s="10"/>
      <c r="L3848" s="10"/>
      <c r="M3848" s="10"/>
      <c r="N3848" s="10"/>
      <c r="O3848" s="10"/>
      <c r="P3848" s="10"/>
      <c r="Q3848" s="10"/>
      <c r="R3848" s="10"/>
      <c r="S3848" s="10"/>
      <c r="T3848" s="10"/>
      <c r="U3848" s="10"/>
      <c r="V3848" s="10"/>
      <c r="W3848" s="10"/>
      <c r="X3848" s="10"/>
      <c r="Y3848" s="10"/>
      <c r="Z3848" s="10"/>
    </row>
    <row r="3849" spans="1:26" ht="12.75">
      <c r="A3849" s="10" t="str">
        <f ca="1">IFERROR(__xludf.DUMMYFUNCTION("""COMPUTED_VALUE"""),"Йордан Георгиев Деливерски")</f>
        <v>Йордан Георгиев Деливерски</v>
      </c>
      <c r="B3849" s="10" t="str">
        <f ca="1">IFERROR(__xludf.DUMMYFUNCTION("""COMPUTED_VALUE"""),"Доклад от конференция")</f>
        <v>Доклад от конференция</v>
      </c>
      <c r="C3849" s="10" t="str">
        <f ca="1">IFERROR(__xludf.DUMMYFUNCTION("""COMPUTED_VALUE"""),"Контрабандата на мигранти. Заплахи за икономическата, социалната и националната сигурност.")</f>
        <v>Контрабандата на мигранти. Заплахи за икономическата, социалната и националната сигурност.</v>
      </c>
      <c r="D3849" s="10">
        <f ca="1">IFERROR(__xludf.DUMMYFUNCTION("""COMPUTED_VALUE"""),2017)</f>
        <v>2017</v>
      </c>
      <c r="E3849" s="10" t="str">
        <f ca="1">IFERROR(__xludf.DUMMYFUNCTION("""COMPUTED_VALUE"""),"Шеста национална конференция с международно участие МХАНС 2017, БАН, 29 и 30 май 2017 г. Сборник с доклади, стр. 221-226")</f>
        <v>Шеста национална конференция с международно участие МХАНС 2017, БАН, 29 и 30 май 2017 г. Сборник с доклади, стр. 221-226</v>
      </c>
      <c r="F3849" s="10"/>
      <c r="G3849" s="10"/>
      <c r="H3849" s="10"/>
      <c r="I3849" s="10"/>
      <c r="J3849" s="10"/>
      <c r="K3849" s="10"/>
      <c r="L3849" s="10"/>
      <c r="M3849" s="10"/>
      <c r="N3849" s="10"/>
      <c r="O3849" s="10"/>
      <c r="P3849" s="10"/>
      <c r="Q3849" s="10"/>
      <c r="R3849" s="10"/>
      <c r="S3849" s="10"/>
      <c r="T3849" s="10"/>
      <c r="U3849" s="10"/>
      <c r="V3849" s="10"/>
      <c r="W3849" s="10"/>
      <c r="X3849" s="10"/>
      <c r="Y3849" s="10"/>
      <c r="Z3849" s="10"/>
    </row>
    <row r="3850" spans="1:26" ht="12.75">
      <c r="A3850" s="10" t="str">
        <f ca="1">IFERROR(__xludf.DUMMYFUNCTION("""COMPUTED_VALUE"""),"Йордан Георгиев Деливерски")</f>
        <v>Йордан Георгиев Деливерски</v>
      </c>
      <c r="B3850" s="10" t="str">
        <f ca="1">IFERROR(__xludf.DUMMYFUNCTION("""COMPUTED_VALUE"""),"Доклад от конференция")</f>
        <v>Доклад от конференция</v>
      </c>
      <c r="C3850" s="10" t="str">
        <f ca="1">IFERROR(__xludf.DUMMYFUNCTION("""COMPUTED_VALUE"""),"Методология при изследването на миграционните процеси и контрабандата на нелегални мигранти.")</f>
        <v>Методология при изследването на миграционните процеси и контрабандата на нелегални мигранти.</v>
      </c>
      <c r="D3850" s="10">
        <f ca="1">IFERROR(__xludf.DUMMYFUNCTION("""COMPUTED_VALUE"""),2017)</f>
        <v>2017</v>
      </c>
      <c r="E3850" s="10" t="str">
        <f ca="1">IFERROR(__xludf.DUMMYFUNCTION("""COMPUTED_VALUE"""),"ХV Национална научна конференция с международно участие на тема: Обществото на знанието и хуманизмът на ХХІ век, УниБИТ, 1 ноември 2017. Сборник с доклади")</f>
        <v>ХV Национална научна конференция с международно участие на тема: Обществото на знанието и хуманизмът на ХХІ век, УниБИТ, 1 ноември 2017. Сборник с доклади</v>
      </c>
      <c r="F3850" s="10"/>
      <c r="G3850" s="10"/>
      <c r="H3850" s="10"/>
      <c r="I3850" s="10"/>
      <c r="J3850" s="10"/>
      <c r="K3850" s="10"/>
      <c r="L3850" s="10"/>
      <c r="M3850" s="10"/>
      <c r="N3850" s="10"/>
      <c r="O3850" s="10"/>
      <c r="P3850" s="10"/>
      <c r="Q3850" s="10"/>
      <c r="R3850" s="10"/>
      <c r="S3850" s="10"/>
      <c r="T3850" s="10"/>
      <c r="U3850" s="10"/>
      <c r="V3850" s="10"/>
      <c r="W3850" s="10"/>
      <c r="X3850" s="10"/>
      <c r="Y3850" s="10"/>
      <c r="Z3850" s="10"/>
    </row>
    <row r="3851" spans="1:26" ht="12.75">
      <c r="A3851" s="10" t="str">
        <f ca="1">IFERROR(__xludf.DUMMYFUNCTION("""COMPUTED_VALUE"""),"Йордан Георгиев Деливерски")</f>
        <v>Йордан Георгиев Деливерски</v>
      </c>
      <c r="B3851" s="10" t="str">
        <f ca="1">IFERROR(__xludf.DUMMYFUNCTION("""COMPUTED_VALUE"""),"Доклад от конференция")</f>
        <v>Доклад от конференция</v>
      </c>
      <c r="C3851" s="10" t="str">
        <f ca="1">IFERROR(__xludf.DUMMYFUNCTION("""COMPUTED_VALUE"""),"Осигуряване на Свобода и Сигурност за Мигранти и Бежанци в България.")</f>
        <v>Осигуряване на Свобода и Сигурност за Мигранти и Бежанци в България.</v>
      </c>
      <c r="D3851" s="10">
        <f ca="1">IFERROR(__xludf.DUMMYFUNCTION("""COMPUTED_VALUE"""),2017)</f>
        <v>2017</v>
      </c>
      <c r="E3851" s="10" t="str">
        <f ca="1">IFERROR(__xludf.DUMMYFUNCTION("""COMPUTED_VALUE"""),"Научна конференция на тема: “Правото на сигурност”, ВСУ, 2017 Сборник с доклади")</f>
        <v>Научна конференция на тема: “Правото на сигурност”, ВСУ, 2017 Сборник с доклади</v>
      </c>
      <c r="F3851" s="10"/>
      <c r="G3851" s="10"/>
      <c r="H3851" s="10"/>
      <c r="I3851" s="10"/>
      <c r="J3851" s="10"/>
      <c r="K3851" s="10"/>
      <c r="L3851" s="10"/>
      <c r="M3851" s="10"/>
      <c r="N3851" s="10"/>
      <c r="O3851" s="10"/>
      <c r="P3851" s="10"/>
      <c r="Q3851" s="10"/>
      <c r="R3851" s="10"/>
      <c r="S3851" s="10"/>
      <c r="T3851" s="10"/>
      <c r="U3851" s="10"/>
      <c r="V3851" s="10"/>
      <c r="W3851" s="10"/>
      <c r="X3851" s="10"/>
      <c r="Y3851" s="10"/>
      <c r="Z3851" s="10"/>
    </row>
    <row r="3852" spans="1:26" ht="12.75">
      <c r="A3852" s="10" t="str">
        <f ca="1">IFERROR(__xludf.DUMMYFUNCTION("""COMPUTED_VALUE"""),"Йордан Георгиев Деливерски")</f>
        <v>Йордан Георгиев Деливерски</v>
      </c>
      <c r="B3852" s="10" t="str">
        <f ca="1">IFERROR(__xludf.DUMMYFUNCTION("""COMPUTED_VALUE"""),"Доклад от конференция")</f>
        <v>Доклад от конференция</v>
      </c>
      <c r="C3852" s="10" t="str">
        <f ca="1">IFERROR(__xludf.DUMMYFUNCTION("""COMPUTED_VALUE"""),"Мерки за ограничаване и превенция на нелегалната миграция на национално ниво и на ниво ЕС")</f>
        <v>Мерки за ограничаване и превенция на нелегалната миграция на национално ниво и на ниво ЕС</v>
      </c>
      <c r="D3852" s="10">
        <f ca="1">IFERROR(__xludf.DUMMYFUNCTION("""COMPUTED_VALUE"""),2017)</f>
        <v>2017</v>
      </c>
      <c r="E3852" s="10" t="str">
        <f ca="1">IFERROR(__xludf.DUMMYFUNCTION("""COMPUTED_VALUE"""),"Научна конференция „Съвременни предизвикателства пред сигурността и отбраната 2017“ Военна академия „Георги С. Раковски“ 18 и 19 май 2017г, сборник с доклади, Втора част, стр. 39-42")</f>
        <v>Научна конференция „Съвременни предизвикателства пред сигурността и отбраната 2017“ Военна академия „Георги С. Раковски“ 18 и 19 май 2017г, сборник с доклади, Втора част, стр. 39-42</v>
      </c>
      <c r="F3852" s="10"/>
      <c r="G3852" s="10"/>
      <c r="H3852" s="10"/>
      <c r="I3852" s="10"/>
      <c r="J3852" s="10"/>
      <c r="K3852" s="10"/>
      <c r="L3852" s="10"/>
      <c r="M3852" s="10"/>
      <c r="N3852" s="10"/>
      <c r="O3852" s="10"/>
      <c r="P3852" s="10"/>
      <c r="Q3852" s="10"/>
      <c r="R3852" s="10"/>
      <c r="S3852" s="10"/>
      <c r="T3852" s="10"/>
      <c r="U3852" s="10"/>
      <c r="V3852" s="10"/>
      <c r="W3852" s="10"/>
      <c r="X3852" s="10"/>
      <c r="Y3852" s="10"/>
      <c r="Z3852" s="10"/>
    </row>
    <row r="3853" spans="1:26" ht="12.75">
      <c r="A3853" s="10" t="str">
        <f ca="1">IFERROR(__xludf.DUMMYFUNCTION("""COMPUTED_VALUE"""),"Йордан Георгиев Деливерски")</f>
        <v>Йордан Георгиев Деливерски</v>
      </c>
      <c r="B3853" s="10" t="str">
        <f ca="1">IFERROR(__xludf.DUMMYFUNCTION("""COMPUTED_VALUE"""),"Статия в списания и поредици")</f>
        <v>Статия в списания и поредици</v>
      </c>
      <c r="C3853" s="10" t="str">
        <f ca="1">IFERROR(__xludf.DUMMYFUNCTION("""COMPUTED_VALUE"""),"Регулация на пазара на лекарствени продукти. Корупционни практики свързани с лекарствената политика.")</f>
        <v>Регулация на пазара на лекарствени продукти. Корупционни практики свързани с лекарствената политика.</v>
      </c>
      <c r="D3853" s="10">
        <f ca="1">IFERROR(__xludf.DUMMYFUNCTION("""COMPUTED_VALUE"""),2017)</f>
        <v>2017</v>
      </c>
      <c r="E3853" s="10" t="str">
        <f ca="1">IFERROR(__xludf.DUMMYFUNCTION("""COMPUTED_VALUE"""),"Списание „Варненски медицински форум“, 2017, VI, 1, 17–21.")</f>
        <v>Списание „Варненски медицински форум“, 2017, VI, 1, 17–21.</v>
      </c>
      <c r="F3853" s="10"/>
      <c r="G3853" s="10"/>
      <c r="H3853" s="10"/>
      <c r="I3853" s="10"/>
      <c r="J3853" s="10"/>
      <c r="K3853" s="10"/>
      <c r="L3853" s="10"/>
      <c r="M3853" s="10"/>
      <c r="N3853" s="10"/>
      <c r="O3853" s="10"/>
      <c r="P3853" s="10"/>
      <c r="Q3853" s="10"/>
      <c r="R3853" s="10"/>
      <c r="S3853" s="10"/>
      <c r="T3853" s="10"/>
      <c r="U3853" s="10"/>
      <c r="V3853" s="10"/>
      <c r="W3853" s="10"/>
      <c r="X3853" s="10"/>
      <c r="Y3853" s="10"/>
      <c r="Z3853" s="10"/>
    </row>
    <row r="3854" spans="1:26" ht="12.75">
      <c r="A3854" s="10" t="str">
        <f ca="1">IFERROR(__xludf.DUMMYFUNCTION("""COMPUTED_VALUE"""),"Йордан Георгиев Деливерски")</f>
        <v>Йордан Георгиев Деливерски</v>
      </c>
      <c r="B3854" s="10" t="str">
        <f ca="1">IFERROR(__xludf.DUMMYFUNCTION("""COMPUTED_VALUE"""),"Доклад от конференция")</f>
        <v>Доклад от конференция</v>
      </c>
      <c r="C3854" s="10" t="str">
        <f ca="1">IFERROR(__xludf.DUMMYFUNCTION("""COMPUTED_VALUE"""),"Smuggling of Migrants as an Influential Factor on National Security, Economic and Social Life.")</f>
        <v>Smuggling of Migrants as an Influential Factor on National Security, Economic and Social Life.</v>
      </c>
      <c r="D3854" s="10">
        <f ca="1">IFERROR(__xludf.DUMMYFUNCTION("""COMPUTED_VALUE"""),2017)</f>
        <v>2017</v>
      </c>
      <c r="E3854" s="10" t="str">
        <f ca="1">IFERROR(__xludf.DUMMYFUNCTION("""COMPUTED_VALUE"""),"International Journal of Social, Behavioral, Educational, Economic, Business and Industrial Engineering. vol. 11, issue 3 p. 637-640")</f>
        <v>International Journal of Social, Behavioral, Educational, Economic, Business and Industrial Engineering. vol. 11, issue 3 p. 637-640</v>
      </c>
      <c r="F3854" s="10"/>
      <c r="G3854" s="10"/>
      <c r="H3854" s="10"/>
      <c r="I3854" s="10"/>
      <c r="J3854" s="10"/>
      <c r="K3854" s="10"/>
      <c r="L3854" s="10"/>
      <c r="M3854" s="10"/>
      <c r="N3854" s="10"/>
      <c r="O3854" s="10"/>
      <c r="P3854" s="10"/>
      <c r="Q3854" s="10"/>
      <c r="R3854" s="10"/>
      <c r="S3854" s="10"/>
      <c r="T3854" s="10"/>
      <c r="U3854" s="10"/>
      <c r="V3854" s="10"/>
      <c r="W3854" s="10"/>
      <c r="X3854" s="10"/>
      <c r="Y3854" s="10"/>
      <c r="Z3854" s="10"/>
    </row>
    <row r="3855" spans="1:26" ht="12.75">
      <c r="A3855" s="10" t="str">
        <f ca="1">IFERROR(__xludf.DUMMYFUNCTION("""COMPUTED_VALUE"""),"Йордан Георгиев Деливерски")</f>
        <v>Йордан Георгиев Деливерски</v>
      </c>
      <c r="B3855" s="10" t="str">
        <f ca="1">IFERROR(__xludf.DUMMYFUNCTION("""COMPUTED_VALUE"""),"Доклад от конференция")</f>
        <v>Доклад от конференция</v>
      </c>
      <c r="C3855" s="10" t="str">
        <f ca="1">IFERROR(__xludf.DUMMYFUNCTION("""COMPUTED_VALUE"""),"Measures for Limiting Corruption Related to the Migration Wave in Europe,")</f>
        <v>Measures for Limiting Corruption Related to the Migration Wave in Europe,</v>
      </c>
      <c r="D3855" s="10">
        <f ca="1">IFERROR(__xludf.DUMMYFUNCTION("""COMPUTED_VALUE"""),2017)</f>
        <v>2017</v>
      </c>
      <c r="E3855" s="10" t="str">
        <f ca="1">IFERROR(__xludf.DUMMYFUNCTION("""COMPUTED_VALUE"""),"International Journal on New Trends in Education and Their Implications. vol. 8, issue 2, article 3, p. 19-25")</f>
        <v>International Journal on New Trends in Education and Their Implications. vol. 8, issue 2, article 3, p. 19-25</v>
      </c>
      <c r="F3855" s="10"/>
      <c r="G3855" s="10"/>
      <c r="H3855" s="10"/>
      <c r="I3855" s="10"/>
      <c r="J3855" s="10"/>
      <c r="K3855" s="10"/>
      <c r="L3855" s="10"/>
      <c r="M3855" s="10"/>
      <c r="N3855" s="10"/>
      <c r="O3855" s="10"/>
      <c r="P3855" s="10"/>
      <c r="Q3855" s="10"/>
      <c r="R3855" s="10"/>
      <c r="S3855" s="10"/>
      <c r="T3855" s="10"/>
      <c r="U3855" s="10"/>
      <c r="V3855" s="10"/>
      <c r="W3855" s="10"/>
      <c r="X3855" s="10"/>
      <c r="Y3855" s="10"/>
      <c r="Z3855" s="10"/>
    </row>
    <row r="3856" spans="1:26" ht="12.75">
      <c r="A3856" s="10" t="str">
        <f ca="1">IFERROR(__xludf.DUMMYFUNCTION("""COMPUTED_VALUE"""),"Йордан Георгиев Деливерски")</f>
        <v>Йордан Георгиев Деливерски</v>
      </c>
      <c r="B3856" s="10" t="str">
        <f ca="1">IFERROR(__xludf.DUMMYFUNCTION("""COMPUTED_VALUE"""),"Статия в списания и поредици")</f>
        <v>Статия в списания и поредици</v>
      </c>
      <c r="C3856" s="10" t="str">
        <f ca="1">IFERROR(__xludf.DUMMYFUNCTION("""COMPUTED_VALUE"""),"Реализиране на медицинска дейност в рискова корупционна среда – механизми за защита.")</f>
        <v>Реализиране на медицинска дейност в рискова корупционна среда – механизми за защита.</v>
      </c>
      <c r="D3856" s="10">
        <f ca="1">IFERROR(__xludf.DUMMYFUNCTION("""COMPUTED_VALUE"""),2017)</f>
        <v>2017</v>
      </c>
      <c r="E3856" s="10" t="str">
        <f ca="1">IFERROR(__xludf.DUMMYFUNCTION("""COMPUTED_VALUE"""),"Списание „Здравна политика и мениджмънт“, 2017, 2, 72–74.")</f>
        <v>Списание „Здравна политика и мениджмънт“, 2017, 2, 72–74.</v>
      </c>
      <c r="F3856" s="10"/>
      <c r="G3856" s="10"/>
      <c r="H3856" s="10"/>
      <c r="I3856" s="10"/>
      <c r="J3856" s="10"/>
      <c r="K3856" s="10"/>
      <c r="L3856" s="10"/>
      <c r="M3856" s="10"/>
      <c r="N3856" s="10"/>
      <c r="O3856" s="10"/>
      <c r="P3856" s="10"/>
      <c r="Q3856" s="10"/>
      <c r="R3856" s="10"/>
      <c r="S3856" s="10"/>
      <c r="T3856" s="10"/>
      <c r="U3856" s="10"/>
      <c r="V3856" s="10"/>
      <c r="W3856" s="10"/>
      <c r="X3856" s="10"/>
      <c r="Y3856" s="10"/>
      <c r="Z3856" s="10"/>
    </row>
    <row r="3857" spans="1:26" ht="12.75">
      <c r="A3857" s="10" t="str">
        <f ca="1">IFERROR(__xludf.DUMMYFUNCTION("""COMPUTED_VALUE"""),"Йордан Георгиев Деливерски")</f>
        <v>Йордан Георгиев Деливерски</v>
      </c>
      <c r="B3857" s="10" t="str">
        <f ca="1">IFERROR(__xludf.DUMMYFUNCTION("""COMPUTED_VALUE"""),"Статия в списания и поредици")</f>
        <v>Статия в списания и поредици</v>
      </c>
      <c r="C3857" s="10" t="str">
        <f ca="1">IFERROR(__xludf.DUMMYFUNCTION("""COMPUTED_VALUE"""),"Използване на здравна информация за целите на застраховането – законови и етични норми.")</f>
        <v>Използване на здравна информация за целите на застраховането – законови и етични норми.</v>
      </c>
      <c r="D3857" s="10">
        <f ca="1">IFERROR(__xludf.DUMMYFUNCTION("""COMPUTED_VALUE"""),2017)</f>
        <v>2017</v>
      </c>
      <c r="E3857" s="10" t="str">
        <f ca="1">IFERROR(__xludf.DUMMYFUNCTION("""COMPUTED_VALUE"""),"Здравна политика и мениджмънт“, 2017, 2, 87–90.")</f>
        <v>Здравна политика и мениджмънт“, 2017, 2, 87–90.</v>
      </c>
      <c r="F3857" s="10"/>
      <c r="G3857" s="10" t="str">
        <f ca="1">IFERROR(__xludf.DUMMYFUNCTION("""COMPUTED_VALUE"""),"Мариела Деливерска")</f>
        <v>Мариела Деливерска</v>
      </c>
      <c r="H3857" s="10"/>
      <c r="I3857" s="10"/>
      <c r="J3857" s="10"/>
      <c r="K3857" s="10"/>
      <c r="L3857" s="10"/>
      <c r="M3857" s="10"/>
      <c r="N3857" s="10"/>
      <c r="O3857" s="10"/>
      <c r="P3857" s="10"/>
      <c r="Q3857" s="10"/>
      <c r="R3857" s="10"/>
      <c r="S3857" s="10"/>
      <c r="T3857" s="10"/>
      <c r="U3857" s="10"/>
      <c r="V3857" s="10"/>
      <c r="W3857" s="10"/>
      <c r="X3857" s="10"/>
      <c r="Y3857" s="10"/>
      <c r="Z3857" s="10"/>
    </row>
    <row r="3858" spans="1:26" ht="12.75">
      <c r="A3858" s="10" t="str">
        <f ca="1">IFERROR(__xludf.DUMMYFUNCTION("""COMPUTED_VALUE"""),"Йордан Георгиев Деливерски")</f>
        <v>Йордан Георгиев Деливерски</v>
      </c>
      <c r="B3858" s="10" t="str">
        <f ca="1">IFERROR(__xludf.DUMMYFUNCTION("""COMPUTED_VALUE"""),"Доклад от конференция")</f>
        <v>Доклад от конференция</v>
      </c>
      <c r="C3858" s="10" t="str">
        <f ca="1">IFERROR(__xludf.DUMMYFUNCTION("""COMPUTED_VALUE"""),"Immigration as a challenging factor on education systems in Europe.")</f>
        <v>Immigration as a challenging factor on education systems in Europe.</v>
      </c>
      <c r="D3858" s="10">
        <f ca="1">IFERROR(__xludf.DUMMYFUNCTION("""COMPUTED_VALUE"""),2017)</f>
        <v>2017</v>
      </c>
      <c r="E3858" s="10" t="str">
        <f ca="1">IFERROR(__xludf.DUMMYFUNCTION("""COMPUTED_VALUE"""),"Journal of educational and instructional studies in the world. 2017 May;7(2):1-4.")</f>
        <v>Journal of educational and instructional studies in the world. 2017 May;7(2):1-4.</v>
      </c>
      <c r="F3858" s="10"/>
      <c r="G3858" s="10"/>
      <c r="H3858" s="10"/>
      <c r="I3858" s="10"/>
      <c r="J3858" s="10"/>
      <c r="K3858" s="10"/>
      <c r="L3858" s="10"/>
      <c r="M3858" s="10"/>
      <c r="N3858" s="10"/>
      <c r="O3858" s="10"/>
      <c r="P3858" s="10"/>
      <c r="Q3858" s="10"/>
      <c r="R3858" s="10"/>
      <c r="S3858" s="10"/>
      <c r="T3858" s="10"/>
      <c r="U3858" s="10"/>
      <c r="V3858" s="10"/>
      <c r="W3858" s="10"/>
      <c r="X3858" s="10"/>
      <c r="Y3858" s="10"/>
      <c r="Z3858" s="10"/>
    </row>
    <row r="3859" spans="1:26" ht="12.75">
      <c r="A3859" s="10" t="str">
        <f ca="1">IFERROR(__xludf.DUMMYFUNCTION("""COMPUTED_VALUE"""),"Йордан Георгиев Деливерски")</f>
        <v>Йордан Георгиев Деливерски</v>
      </c>
      <c r="B3859" s="10" t="str">
        <f ca="1">IFERROR(__xludf.DUMMYFUNCTION("""COMPUTED_VALUE"""),"Доклад от конференция")</f>
        <v>Доклад от конференция</v>
      </c>
      <c r="C3859" s="10" t="str">
        <f ca="1">IFERROR(__xludf.DUMMYFUNCTION("""COMPUTED_VALUE"""),"Salary top-ups in education sector and its impact on corruption activities")</f>
        <v>Salary top-ups in education sector and its impact on corruption activities</v>
      </c>
      <c r="D3859" s="10">
        <f ca="1">IFERROR(__xludf.DUMMYFUNCTION("""COMPUTED_VALUE"""),2017)</f>
        <v>2017</v>
      </c>
      <c r="E3859" s="10" t="str">
        <f ca="1">IFERROR(__xludf.DUMMYFUNCTION("""COMPUTED_VALUE"""),"Journal of educational and instructional studies in the world. 2017 May;7(2):80-83.")</f>
        <v>Journal of educational and instructional studies in the world. 2017 May;7(2):80-83.</v>
      </c>
      <c r="F3859" s="10"/>
      <c r="G3859" s="10"/>
      <c r="H3859" s="10"/>
      <c r="I3859" s="10"/>
      <c r="J3859" s="10"/>
      <c r="K3859" s="10"/>
      <c r="L3859" s="10"/>
      <c r="M3859" s="10"/>
      <c r="N3859" s="10"/>
      <c r="O3859" s="10"/>
      <c r="P3859" s="10"/>
      <c r="Q3859" s="10"/>
      <c r="R3859" s="10"/>
      <c r="S3859" s="10"/>
      <c r="T3859" s="10"/>
      <c r="U3859" s="10"/>
      <c r="V3859" s="10"/>
      <c r="W3859" s="10"/>
      <c r="X3859" s="10"/>
      <c r="Y3859" s="10"/>
      <c r="Z3859" s="10"/>
    </row>
    <row r="3860" spans="1:26" ht="12.75">
      <c r="A3860" s="10" t="str">
        <f ca="1">IFERROR(__xludf.DUMMYFUNCTION("""COMPUTED_VALUE"""),"Йордан Георгиев Деливерски")</f>
        <v>Йордан Георгиев Деливерски</v>
      </c>
      <c r="B3860" s="10" t="str">
        <f ca="1">IFERROR(__xludf.DUMMYFUNCTION("""COMPUTED_VALUE"""),"Доклад от конференция")</f>
        <v>Доклад от конференция</v>
      </c>
      <c r="C3860" s="10" t="str">
        <f ca="1">IFERROR(__xludf.DUMMYFUNCTION("""COMPUTED_VALUE"""),"Отворен достъп и права на бежанците в контекста на световните миграционни процеси.")</f>
        <v>Отворен достъп и права на бежанците в контекста на световните миграционни процеси.</v>
      </c>
      <c r="D3860" s="10">
        <f ca="1">IFERROR(__xludf.DUMMYFUNCTION("""COMPUTED_VALUE"""),2017)</f>
        <v>2017</v>
      </c>
      <c r="E3860" s="10" t="str">
        <f ca="1">IFERROR(__xludf.DUMMYFUNCTION("""COMPUTED_VALUE"""),"Интелектуална собственост, иновации и научна дейност в глобална среда. Сборник с доклади от V Национален семинар с международно участие, УниБИТ, 2017, 221–230.")</f>
        <v>Интелектуална собственост, иновации и научна дейност в глобална среда. Сборник с доклади от V Национален семинар с международно участие, УниБИТ, 2017, 221–230.</v>
      </c>
      <c r="F3860" s="10"/>
      <c r="G3860" s="10"/>
      <c r="H3860" s="10"/>
      <c r="I3860" s="10"/>
      <c r="J3860" s="10"/>
      <c r="K3860" s="10"/>
      <c r="L3860" s="10"/>
      <c r="M3860" s="10"/>
      <c r="N3860" s="10"/>
      <c r="O3860" s="10"/>
      <c r="P3860" s="10"/>
      <c r="Q3860" s="10"/>
      <c r="R3860" s="10"/>
      <c r="S3860" s="10"/>
      <c r="T3860" s="10"/>
      <c r="U3860" s="10"/>
      <c r="V3860" s="10"/>
      <c r="W3860" s="10"/>
      <c r="X3860" s="10"/>
      <c r="Y3860" s="10"/>
      <c r="Z3860" s="10"/>
    </row>
    <row r="3861" spans="1:26" ht="12.75">
      <c r="A3861" s="10" t="str">
        <f ca="1">IFERROR(__xludf.DUMMYFUNCTION("""COMPUTED_VALUE"""),"Йордан Георгиев Деливерски")</f>
        <v>Йордан Георгиев Деливерски</v>
      </c>
      <c r="B3861" s="10" t="str">
        <f ca="1">IFERROR(__xludf.DUMMYFUNCTION("""COMPUTED_VALUE"""),"Доклад от конференция")</f>
        <v>Доклад от конференция</v>
      </c>
      <c r="C3861" s="10" t="str">
        <f ca="1">IFERROR(__xludf.DUMMYFUNCTION("""COMPUTED_VALUE"""),"Риска от корупция по отношение на централизираното възлагане на обществени поръчки в България.")</f>
        <v>Риска от корупция по отношение на централизираното възлагане на обществени поръчки в България.</v>
      </c>
      <c r="D3861" s="10">
        <f ca="1">IFERROR(__xludf.DUMMYFUNCTION("""COMPUTED_VALUE"""),2017)</f>
        <v>2017</v>
      </c>
      <c r="E3861" s="10" t="str">
        <f ca="1">IFERROR(__xludf.DUMMYFUNCTION("""COMPUTED_VALUE"""),"Сборник с доклади от първа научна конференция „Образование, наука, иновации“, Академия за иновации и развитие, 2017, 198–203.")</f>
        <v>Сборник с доклади от първа научна конференция „Образование, наука, иновации“, Академия за иновации и развитие, 2017, 198–203.</v>
      </c>
      <c r="F3861" s="10"/>
      <c r="G3861" s="10"/>
      <c r="H3861" s="10"/>
      <c r="I3861" s="10"/>
      <c r="J3861" s="10"/>
      <c r="K3861" s="10"/>
      <c r="L3861" s="10"/>
      <c r="M3861" s="10"/>
      <c r="N3861" s="10"/>
      <c r="O3861" s="10"/>
      <c r="P3861" s="10"/>
      <c r="Q3861" s="10"/>
      <c r="R3861" s="10"/>
      <c r="S3861" s="10"/>
      <c r="T3861" s="10"/>
      <c r="U3861" s="10"/>
      <c r="V3861" s="10"/>
      <c r="W3861" s="10"/>
      <c r="X3861" s="10"/>
      <c r="Y3861" s="10"/>
      <c r="Z3861" s="10"/>
    </row>
    <row r="3862" spans="1:26" ht="12.75">
      <c r="A3862" s="10" t="str">
        <f ca="1">IFERROR(__xludf.DUMMYFUNCTION("""COMPUTED_VALUE"""),"Йордан Георгиев Деливерски")</f>
        <v>Йордан Георгиев Деливерски</v>
      </c>
      <c r="B3862" s="10" t="str">
        <f ca="1">IFERROR(__xludf.DUMMYFUNCTION("""COMPUTED_VALUE"""),"Книга")</f>
        <v>Книга</v>
      </c>
      <c r="C3862" s="10" t="str">
        <f ca="1">IFERROR(__xludf.DUMMYFUNCTION("""COMPUTED_VALUE"""),"Мигрантите. Актуални проблеми и перспективи")</f>
        <v>Мигрантите. Актуални проблеми и перспективи</v>
      </c>
      <c r="D3862" s="10">
        <f ca="1">IFERROR(__xludf.DUMMYFUNCTION("""COMPUTED_VALUE"""),2017)</f>
        <v>2017</v>
      </c>
      <c r="E3862" s="10" t="str">
        <f ca="1">IFERROR(__xludf.DUMMYFUNCTION("""COMPUTED_VALUE"""),"„За буквите – О писменехь“, ISBN 978-619-185-287-1.")</f>
        <v>„За буквите – О писменехь“, ISBN 978-619-185-287-1.</v>
      </c>
      <c r="F3862" s="10"/>
      <c r="G3862" s="10"/>
      <c r="H3862" s="10"/>
      <c r="I3862" s="10"/>
      <c r="J3862" s="10"/>
      <c r="K3862" s="10"/>
      <c r="L3862" s="10"/>
      <c r="M3862" s="10"/>
      <c r="N3862" s="10"/>
      <c r="O3862" s="10"/>
      <c r="P3862" s="10"/>
      <c r="Q3862" s="10"/>
      <c r="R3862" s="10"/>
      <c r="S3862" s="10"/>
      <c r="T3862" s="10"/>
      <c r="U3862" s="10"/>
      <c r="V3862" s="10"/>
      <c r="W3862" s="10"/>
      <c r="X3862" s="10"/>
      <c r="Y3862" s="10"/>
      <c r="Z3862" s="10"/>
    </row>
    <row r="3863" spans="1:26" ht="12.75">
      <c r="A3863" s="10" t="str">
        <f ca="1">IFERROR(__xludf.DUMMYFUNCTION("""COMPUTED_VALUE"""),"Йордан Георгиев Деливерски")</f>
        <v>Йордан Георгиев Деливерски</v>
      </c>
      <c r="B3863" s="10" t="str">
        <f ca="1">IFERROR(__xludf.DUMMYFUNCTION("""COMPUTED_VALUE"""),"Доклад от конференция")</f>
        <v>Доклад от конференция</v>
      </c>
      <c r="C3863" s="10" t="str">
        <f ca="1">IFERROR(__xludf.DUMMYFUNCTION("""COMPUTED_VALUE"""),"Влияние на корупцията над миграционните процеси и контрабандата на мигранти.")</f>
        <v>Влияние на корупцията над миграционните процеси и контрабандата на мигранти.</v>
      </c>
      <c r="D3863" s="10">
        <f ca="1">IFERROR(__xludf.DUMMYFUNCTION("""COMPUTED_VALUE"""),2017)</f>
        <v>2017</v>
      </c>
      <c r="E3863" s="10" t="str">
        <f ca="1">IFERROR(__xludf.DUMMYFUNCTION("""COMPUTED_VALUE"""),"Научно-практическа конференция на тема „Право и сигурност”, БСУ, 2017. Сборник с доклади")</f>
        <v>Научно-практическа конференция на тема „Право и сигурност”, БСУ, 2017. Сборник с доклади</v>
      </c>
      <c r="F3863" s="10"/>
      <c r="G3863" s="10"/>
      <c r="H3863" s="10"/>
      <c r="I3863" s="10"/>
      <c r="J3863" s="10"/>
      <c r="K3863" s="10"/>
      <c r="L3863" s="10"/>
      <c r="M3863" s="10"/>
      <c r="N3863" s="10"/>
      <c r="O3863" s="10"/>
      <c r="P3863" s="10"/>
      <c r="Q3863" s="10"/>
      <c r="R3863" s="10"/>
      <c r="S3863" s="10"/>
      <c r="T3863" s="10"/>
      <c r="U3863" s="10"/>
      <c r="V3863" s="10"/>
      <c r="W3863" s="10"/>
      <c r="X3863" s="10"/>
      <c r="Y3863" s="10"/>
      <c r="Z3863" s="10"/>
    </row>
    <row r="3864" spans="1:26" ht="12.75">
      <c r="A3864" s="10" t="str">
        <f ca="1">IFERROR(__xludf.DUMMYFUNCTION("""COMPUTED_VALUE"""),"Йордан Георгиев Деливерски")</f>
        <v>Йордан Георгиев Деливерски</v>
      </c>
      <c r="B3864" s="10" t="str">
        <f ca="1">IFERROR(__xludf.DUMMYFUNCTION("""COMPUTED_VALUE"""),"Статия в списания и поредици")</f>
        <v>Статия в списания и поредици</v>
      </c>
      <c r="C3864" s="10" t="str">
        <f ca="1">IFERROR(__xludf.DUMMYFUNCTION("""COMPUTED_VALUE"""),"Health records and information technology in support of exchange of health information.")</f>
        <v>Health records and information technology in support of exchange of health information.</v>
      </c>
      <c r="D3864" s="10">
        <f ca="1">IFERROR(__xludf.DUMMYFUNCTION("""COMPUTED_VALUE"""),2017)</f>
        <v>2017</v>
      </c>
      <c r="E3864" s="10" t="str">
        <f ca="1">IFERROR(__xludf.DUMMYFUNCTION("""COMPUTED_VALUE"""),"J of IMAB. 2017 Apr-Jun;23(2):1567-1570., DOI: 10.5272/jimab.2017232.1567")</f>
        <v>J of IMAB. 2017 Apr-Jun;23(2):1567-1570., DOI: 10.5272/jimab.2017232.1567</v>
      </c>
      <c r="F3864" s="10"/>
      <c r="G3864" s="10"/>
      <c r="H3864" s="10"/>
      <c r="I3864" s="10"/>
      <c r="J3864" s="10"/>
      <c r="K3864" s="10"/>
      <c r="L3864" s="10"/>
      <c r="M3864" s="10"/>
      <c r="N3864" s="10"/>
      <c r="O3864" s="10"/>
      <c r="P3864" s="10"/>
      <c r="Q3864" s="10"/>
      <c r="R3864" s="10"/>
      <c r="S3864" s="10"/>
      <c r="T3864" s="10"/>
      <c r="U3864" s="10"/>
      <c r="V3864" s="10"/>
      <c r="W3864" s="10"/>
      <c r="X3864" s="10"/>
      <c r="Y3864" s="10"/>
      <c r="Z3864" s="10"/>
    </row>
    <row r="3865" spans="1:26" ht="12.75">
      <c r="A3865" s="10" t="str">
        <f ca="1">IFERROR(__xludf.DUMMYFUNCTION("""COMPUTED_VALUE"""),"Йордан Георгиев Деливерски")</f>
        <v>Йордан Георгиев Деливерски</v>
      </c>
      <c r="B3865" s="10" t="str">
        <f ca="1">IFERROR(__xludf.DUMMYFUNCTION("""COMPUTED_VALUE"""),"Статия в списания и поредици")</f>
        <v>Статия в списания и поредици</v>
      </c>
      <c r="C3865" s="10" t="str">
        <f ca="1">IFERROR(__xludf.DUMMYFUNCTION("""COMPUTED_VALUE"""),"Реализиране на медицинска дейност в рискова корупционна среда – механизми за защита.")</f>
        <v>Реализиране на медицинска дейност в рискова корупционна среда – механизми за защита.</v>
      </c>
      <c r="D3865" s="10">
        <f ca="1">IFERROR(__xludf.DUMMYFUNCTION("""COMPUTED_VALUE"""),2017)</f>
        <v>2017</v>
      </c>
      <c r="E3865" s="10" t="str">
        <f ca="1">IFERROR(__xludf.DUMMYFUNCTION("""COMPUTED_VALUE"""),"Списание „Здравна политика и мениджмънт“, 2017, 2, 72–74. , ISSN 1313-4981")</f>
        <v>Списание „Здравна политика и мениджмънт“, 2017, 2, 72–74. , ISSN 1313-4981</v>
      </c>
      <c r="F3865" s="10"/>
      <c r="G3865" s="10"/>
      <c r="H3865" s="10"/>
      <c r="I3865" s="10"/>
      <c r="J3865" s="10"/>
      <c r="K3865" s="10"/>
      <c r="L3865" s="10"/>
      <c r="M3865" s="10"/>
      <c r="N3865" s="10"/>
      <c r="O3865" s="10"/>
      <c r="P3865" s="10"/>
      <c r="Q3865" s="10"/>
      <c r="R3865" s="10"/>
      <c r="S3865" s="10"/>
      <c r="T3865" s="10"/>
      <c r="U3865" s="10"/>
      <c r="V3865" s="10"/>
      <c r="W3865" s="10"/>
      <c r="X3865" s="10"/>
      <c r="Y3865" s="10"/>
      <c r="Z3865" s="10"/>
    </row>
    <row r="3866" spans="1:26" ht="12.75">
      <c r="A3866" s="10" t="str">
        <f ca="1">IFERROR(__xludf.DUMMYFUNCTION("""COMPUTED_VALUE"""),"Йордан Георгиев Деливерски")</f>
        <v>Йордан Георгиев Деливерски</v>
      </c>
      <c r="B3866" s="10" t="str">
        <f ca="1">IFERROR(__xludf.DUMMYFUNCTION("""COMPUTED_VALUE"""),"Доклад от конференция")</f>
        <v>Доклад от конференция</v>
      </c>
      <c r="C3866" s="10" t="str">
        <f ca="1">IFERROR(__xludf.DUMMYFUNCTION("""COMPUTED_VALUE"""),"Measures for Limiting Corruption Related to the Migration Wave in Europe")</f>
        <v>Measures for Limiting Corruption Related to the Migration Wave in Europe</v>
      </c>
      <c r="D3866" s="10">
        <f ca="1">IFERROR(__xludf.DUMMYFUNCTION("""COMPUTED_VALUE"""),2017)</f>
        <v>2017</v>
      </c>
      <c r="E3866" s="10" t="str">
        <f ca="1">IFERROR(__xludf.DUMMYFUNCTION("""COMPUTED_VALUE"""),"2nd World Congress on Lifelong Education-WCLE, Antalya, Turkey, April 14-15, 2017 Отпечатан в: International Journal on New Trends in Education and Their Implications. vol. 8, issue 2, article 3, p. 19-25, ISSN 1309-6249")</f>
        <v>2nd World Congress on Lifelong Education-WCLE, Antalya, Turkey, April 14-15, 2017 Отпечатан в: International Journal on New Trends in Education and Their Implications. vol. 8, issue 2, article 3, p. 19-25, ISSN 1309-6249</v>
      </c>
      <c r="F3866" s="10"/>
      <c r="G3866" s="10"/>
      <c r="H3866" s="10"/>
      <c r="I3866" s="10"/>
      <c r="J3866" s="10"/>
      <c r="K3866" s="10"/>
      <c r="L3866" s="10"/>
      <c r="M3866" s="10"/>
      <c r="N3866" s="10"/>
      <c r="O3866" s="10"/>
      <c r="P3866" s="10"/>
      <c r="Q3866" s="10"/>
      <c r="R3866" s="10"/>
      <c r="S3866" s="10"/>
      <c r="T3866" s="10"/>
      <c r="U3866" s="10"/>
      <c r="V3866" s="10"/>
      <c r="W3866" s="10"/>
      <c r="X3866" s="10"/>
      <c r="Y3866" s="10"/>
      <c r="Z3866" s="10"/>
    </row>
    <row r="3867" spans="1:26" ht="12.75">
      <c r="A3867" s="10" t="str">
        <f ca="1">IFERROR(__xludf.DUMMYFUNCTION("""COMPUTED_VALUE"""),"Йордан Георгиев Деливерски")</f>
        <v>Йордан Георгиев Деливерски</v>
      </c>
      <c r="B3867" s="10" t="str">
        <f ca="1">IFERROR(__xludf.DUMMYFUNCTION("""COMPUTED_VALUE"""),"Доклад от конференция")</f>
        <v>Доклад от конференция</v>
      </c>
      <c r="C3867" s="10" t="str">
        <f ca="1">IFERROR(__xludf.DUMMYFUNCTION("""COMPUTED_VALUE"""),"Риска от корупция по отношение на централизираното възлагане на обществени поръчки в България.")</f>
        <v>Риска от корупция по отношение на централизираното възлагане на обществени поръчки в България.</v>
      </c>
      <c r="D3867" s="10">
        <f ca="1">IFERROR(__xludf.DUMMYFUNCTION("""COMPUTED_VALUE"""),2017)</f>
        <v>2017</v>
      </c>
      <c r="E3867" s="10" t="str">
        <f ca="1">IFERROR(__xludf.DUMMYFUNCTION("""COMPUTED_VALUE"""),"Сборник с доклади от първа научна конференция „Образование, наука, иновации“, Академия за иновации и развитие, 2017, с. 198–203.")</f>
        <v>Сборник с доклади от първа научна конференция „Образование, наука, иновации“, Академия за иновации и развитие, 2017, с. 198–203.</v>
      </c>
      <c r="F3867" s="10"/>
      <c r="G3867" s="10"/>
      <c r="H3867" s="10"/>
      <c r="I3867" s="10"/>
      <c r="J3867" s="10"/>
      <c r="K3867" s="10"/>
      <c r="L3867" s="10"/>
      <c r="M3867" s="10"/>
      <c r="N3867" s="10"/>
      <c r="O3867" s="10"/>
      <c r="P3867" s="10"/>
      <c r="Q3867" s="10"/>
      <c r="R3867" s="10"/>
      <c r="S3867" s="10"/>
      <c r="T3867" s="10"/>
      <c r="U3867" s="10"/>
      <c r="V3867" s="10"/>
      <c r="W3867" s="10"/>
      <c r="X3867" s="10"/>
      <c r="Y3867" s="10"/>
      <c r="Z3867" s="10"/>
    </row>
    <row r="3868" spans="1:26" ht="12.75">
      <c r="A3868" s="10" t="str">
        <f ca="1">IFERROR(__xludf.DUMMYFUNCTION("""COMPUTED_VALUE"""),"Йордан Георгиев Деливерски")</f>
        <v>Йордан Георгиев Деливерски</v>
      </c>
      <c r="B3868" s="10" t="str">
        <f ca="1">IFERROR(__xludf.DUMMYFUNCTION("""COMPUTED_VALUE"""),"Статия в списания и поредици")</f>
        <v>Статия в списания и поредици</v>
      </c>
      <c r="C3868" s="10" t="str">
        <f ca="1">IFERROR(__xludf.DUMMYFUNCTION("""COMPUTED_VALUE"""),"Health records and information technology in support of exchange of health information.")</f>
        <v>Health records and information technology in support of exchange of health information.</v>
      </c>
      <c r="D3868" s="10">
        <f ca="1">IFERROR(__xludf.DUMMYFUNCTION("""COMPUTED_VALUE"""),2017)</f>
        <v>2017</v>
      </c>
      <c r="E3868" s="10" t="str">
        <f ca="1">IFERROR(__xludf.DUMMYFUNCTION("""COMPUTED_VALUE"""),"J of IMAB. 2017 Apr-Jun;23(2):1567-1570.")</f>
        <v>J of IMAB. 2017 Apr-Jun;23(2):1567-1570.</v>
      </c>
      <c r="F3868" s="10"/>
      <c r="G3868" s="10"/>
      <c r="H3868" s="10"/>
      <c r="I3868" s="10"/>
      <c r="J3868" s="10"/>
      <c r="K3868" s="10"/>
      <c r="L3868" s="10"/>
      <c r="M3868" s="10"/>
      <c r="N3868" s="10"/>
      <c r="O3868" s="10"/>
      <c r="P3868" s="10"/>
      <c r="Q3868" s="10"/>
      <c r="R3868" s="10"/>
      <c r="S3868" s="10"/>
      <c r="T3868" s="10"/>
      <c r="U3868" s="10"/>
      <c r="V3868" s="10"/>
      <c r="W3868" s="10"/>
      <c r="X3868" s="10"/>
      <c r="Y3868" s="10"/>
      <c r="Z3868" s="10"/>
    </row>
    <row r="3869" spans="1:26" ht="12.75">
      <c r="A3869" s="10" t="str">
        <f ca="1">IFERROR(__xludf.DUMMYFUNCTION("""COMPUTED_VALUE"""),"Йордан Георгиев Деливерски")</f>
        <v>Йордан Георгиев Деливерски</v>
      </c>
      <c r="B3869" s="10" t="str">
        <f ca="1">IFERROR(__xludf.DUMMYFUNCTION("""COMPUTED_VALUE"""),"Доклад от конференция")</f>
        <v>Доклад от конференция</v>
      </c>
      <c r="C3869" s="10" t="str">
        <f ca="1">IFERROR(__xludf.DUMMYFUNCTION("""COMPUTED_VALUE"""),"Контрабандата на мигранти. Заплахи за икономическата, социалната и националната сигурност.")</f>
        <v>Контрабандата на мигранти. Заплахи за икономическата, социалната и националната сигурност.</v>
      </c>
      <c r="D3869" s="10">
        <f ca="1">IFERROR(__xludf.DUMMYFUNCTION("""COMPUTED_VALUE"""),2017)</f>
        <v>2017</v>
      </c>
      <c r="E3869" s="10" t="str">
        <f ca="1">IFERROR(__xludf.DUMMYFUNCTION("""COMPUTED_VALUE"""),"Шеста национална конференция с международно участие МХАНС 2017, БАН, 29 и 30 май 2017 г. Сборник с доклади, стр. 221-226")</f>
        <v>Шеста национална конференция с международно участие МХАНС 2017, БАН, 29 и 30 май 2017 г. Сборник с доклади, стр. 221-226</v>
      </c>
      <c r="F3869" s="10"/>
      <c r="G3869" s="10"/>
      <c r="H3869" s="10"/>
      <c r="I3869" s="10"/>
      <c r="J3869" s="10"/>
      <c r="K3869" s="10"/>
      <c r="L3869" s="10"/>
      <c r="M3869" s="10"/>
      <c r="N3869" s="10"/>
      <c r="O3869" s="10"/>
      <c r="P3869" s="10"/>
      <c r="Q3869" s="10"/>
      <c r="R3869" s="10"/>
      <c r="S3869" s="10"/>
      <c r="T3869" s="10"/>
      <c r="U3869" s="10"/>
      <c r="V3869" s="10"/>
      <c r="W3869" s="10"/>
      <c r="X3869" s="10"/>
      <c r="Y3869" s="10"/>
      <c r="Z3869" s="10"/>
    </row>
    <row r="3870" spans="1:26" ht="12.75">
      <c r="A3870" s="10" t="str">
        <f ca="1">IFERROR(__xludf.DUMMYFUNCTION("""COMPUTED_VALUE"""),"Йордан Георгиев Деливерски")</f>
        <v>Йордан Георгиев Деливерски</v>
      </c>
      <c r="B3870" s="10" t="str">
        <f ca="1">IFERROR(__xludf.DUMMYFUNCTION("""COMPUTED_VALUE"""),"Доклад от конференция")</f>
        <v>Доклад от конференция</v>
      </c>
      <c r="C3870" s="10" t="str">
        <f ca="1">IFERROR(__xludf.DUMMYFUNCTION("""COMPUTED_VALUE"""),"Методология при изследването на миграционните процеси и контрабандата на нелегални мигранти.")</f>
        <v>Методология при изследването на миграционните процеси и контрабандата на нелегални мигранти.</v>
      </c>
      <c r="D3870" s="10">
        <f ca="1">IFERROR(__xludf.DUMMYFUNCTION("""COMPUTED_VALUE"""),2017)</f>
        <v>2017</v>
      </c>
      <c r="E3870" s="10" t="str">
        <f ca="1">IFERROR(__xludf.DUMMYFUNCTION("""COMPUTED_VALUE"""),"ХV Национална научна конференция с международно участие на тема: Обществото на знанието и хуманизмът на ХХІ век, УниБИТ, 1 ноември 2017. Сборник с доклади")</f>
        <v>ХV Национална научна конференция с международно участие на тема: Обществото на знанието и хуманизмът на ХХІ век, УниБИТ, 1 ноември 2017. Сборник с доклади</v>
      </c>
      <c r="F3870" s="10"/>
      <c r="G3870" s="10"/>
      <c r="H3870" s="10"/>
      <c r="I3870" s="10"/>
      <c r="J3870" s="10"/>
      <c r="K3870" s="10"/>
      <c r="L3870" s="10"/>
      <c r="M3870" s="10"/>
      <c r="N3870" s="10"/>
      <c r="O3870" s="10"/>
      <c r="P3870" s="10"/>
      <c r="Q3870" s="10"/>
      <c r="R3870" s="10"/>
      <c r="S3870" s="10"/>
      <c r="T3870" s="10"/>
      <c r="U3870" s="10"/>
      <c r="V3870" s="10"/>
      <c r="W3870" s="10"/>
      <c r="X3870" s="10"/>
      <c r="Y3870" s="10"/>
      <c r="Z3870" s="10"/>
    </row>
    <row r="3871" spans="1:26" ht="12.75">
      <c r="A3871" s="10" t="str">
        <f ca="1">IFERROR(__xludf.DUMMYFUNCTION("""COMPUTED_VALUE"""),"Йордан Георгиев Деливерски")</f>
        <v>Йордан Георгиев Деливерски</v>
      </c>
      <c r="B3871" s="10" t="str">
        <f ca="1">IFERROR(__xludf.DUMMYFUNCTION("""COMPUTED_VALUE"""),"Доклад от конференция")</f>
        <v>Доклад от конференция</v>
      </c>
      <c r="C3871" s="10" t="str">
        <f ca="1">IFERROR(__xludf.DUMMYFUNCTION("""COMPUTED_VALUE"""),"Осигуряване на Свобода и Сигурност за Мигранти и Бежанци в България.")</f>
        <v>Осигуряване на Свобода и Сигурност за Мигранти и Бежанци в България.</v>
      </c>
      <c r="D3871" s="10">
        <f ca="1">IFERROR(__xludf.DUMMYFUNCTION("""COMPUTED_VALUE"""),2017)</f>
        <v>2017</v>
      </c>
      <c r="E3871" s="10" t="str">
        <f ca="1">IFERROR(__xludf.DUMMYFUNCTION("""COMPUTED_VALUE"""),"Научна конференция на тема: “Правото на сигурност”, ВСУ, 2017 Сборник с доклади")</f>
        <v>Научна конференция на тема: “Правото на сигурност”, ВСУ, 2017 Сборник с доклади</v>
      </c>
      <c r="F3871" s="10"/>
      <c r="G3871" s="10"/>
      <c r="H3871" s="10"/>
      <c r="I3871" s="10"/>
      <c r="J3871" s="10"/>
      <c r="K3871" s="10"/>
      <c r="L3871" s="10"/>
      <c r="M3871" s="10"/>
      <c r="N3871" s="10"/>
      <c r="O3871" s="10"/>
      <c r="P3871" s="10"/>
      <c r="Q3871" s="10"/>
      <c r="R3871" s="10"/>
      <c r="S3871" s="10"/>
      <c r="T3871" s="10"/>
      <c r="U3871" s="10"/>
      <c r="V3871" s="10"/>
      <c r="W3871" s="10"/>
      <c r="X3871" s="10"/>
      <c r="Y3871" s="10"/>
      <c r="Z3871" s="10"/>
    </row>
    <row r="3872" spans="1:26" ht="12.75">
      <c r="A3872" s="10" t="str">
        <f ca="1">IFERROR(__xludf.DUMMYFUNCTION("""COMPUTED_VALUE"""),"Йордан Георгиев Деливерски")</f>
        <v>Йордан Георгиев Деливерски</v>
      </c>
      <c r="B3872" s="10" t="str">
        <f ca="1">IFERROR(__xludf.DUMMYFUNCTION("""COMPUTED_VALUE"""),"Доклад от конференция")</f>
        <v>Доклад от конференция</v>
      </c>
      <c r="C3872" s="10" t="str">
        <f ca="1">IFERROR(__xludf.DUMMYFUNCTION("""COMPUTED_VALUE"""),"Мерки за ограничаване и превенция на нелегалната миграция на национално ниво и на ниво ЕС")</f>
        <v>Мерки за ограничаване и превенция на нелегалната миграция на национално ниво и на ниво ЕС</v>
      </c>
      <c r="D3872" s="10">
        <f ca="1">IFERROR(__xludf.DUMMYFUNCTION("""COMPUTED_VALUE"""),2017)</f>
        <v>2017</v>
      </c>
      <c r="E3872" s="10" t="str">
        <f ca="1">IFERROR(__xludf.DUMMYFUNCTION("""COMPUTED_VALUE"""),"Научна конференция „Съвременни предизвикателства пред сигурността и отбраната 2017“ Военна академия „Георги С. Раковски“ 18 и 19 май 2017г, сборник с доклади, Втора част, стр. 39-42")</f>
        <v>Научна конференция „Съвременни предизвикателства пред сигурността и отбраната 2017“ Военна академия „Георги С. Раковски“ 18 и 19 май 2017г, сборник с доклади, Втора част, стр. 39-42</v>
      </c>
      <c r="F3872" s="10"/>
      <c r="G3872" s="10"/>
      <c r="H3872" s="10"/>
      <c r="I3872" s="10"/>
      <c r="J3872" s="10"/>
      <c r="K3872" s="10"/>
      <c r="L3872" s="10"/>
      <c r="M3872" s="10"/>
      <c r="N3872" s="10"/>
      <c r="O3872" s="10"/>
      <c r="P3872" s="10"/>
      <c r="Q3872" s="10"/>
      <c r="R3872" s="10"/>
      <c r="S3872" s="10"/>
      <c r="T3872" s="10"/>
      <c r="U3872" s="10"/>
      <c r="V3872" s="10"/>
      <c r="W3872" s="10"/>
      <c r="X3872" s="10"/>
      <c r="Y3872" s="10"/>
      <c r="Z3872" s="10"/>
    </row>
    <row r="3873" spans="1:26" ht="12.75">
      <c r="A3873" s="10" t="str">
        <f ca="1">IFERROR(__xludf.DUMMYFUNCTION("""COMPUTED_VALUE"""),"Йордан Георгиев Деливерски")</f>
        <v>Йордан Георгиев Деливерски</v>
      </c>
      <c r="B3873" s="10" t="str">
        <f ca="1">IFERROR(__xludf.DUMMYFUNCTION("""COMPUTED_VALUE"""),"Статия в списания и поредици")</f>
        <v>Статия в списания и поредици</v>
      </c>
      <c r="C3873" s="10" t="str">
        <f ca="1">IFERROR(__xludf.DUMMYFUNCTION("""COMPUTED_VALUE"""),"Регулация на пазара на лекарствени продукти. Корупционни практики свързани с лекарствената политика.")</f>
        <v>Регулация на пазара на лекарствени продукти. Корупционни практики свързани с лекарствената политика.</v>
      </c>
      <c r="D3873" s="10">
        <f ca="1">IFERROR(__xludf.DUMMYFUNCTION("""COMPUTED_VALUE"""),2017)</f>
        <v>2017</v>
      </c>
      <c r="E3873" s="10" t="str">
        <f ca="1">IFERROR(__xludf.DUMMYFUNCTION("""COMPUTED_VALUE"""),"Списание „Варненски медицински форум“, 2017, VI, 1, 17–21.")</f>
        <v>Списание „Варненски медицински форум“, 2017, VI, 1, 17–21.</v>
      </c>
      <c r="F3873" s="10"/>
      <c r="G3873" s="10"/>
      <c r="H3873" s="10"/>
      <c r="I3873" s="10"/>
      <c r="J3873" s="10"/>
      <c r="K3873" s="10"/>
      <c r="L3873" s="10"/>
      <c r="M3873" s="10"/>
      <c r="N3873" s="10"/>
      <c r="O3873" s="10"/>
      <c r="P3873" s="10"/>
      <c r="Q3873" s="10"/>
      <c r="R3873" s="10"/>
      <c r="S3873" s="10"/>
      <c r="T3873" s="10"/>
      <c r="U3873" s="10"/>
      <c r="V3873" s="10"/>
      <c r="W3873" s="10"/>
      <c r="X3873" s="10"/>
      <c r="Y3873" s="10"/>
      <c r="Z3873" s="10"/>
    </row>
    <row r="3874" spans="1:26" ht="12.75">
      <c r="A3874" s="10" t="str">
        <f ca="1">IFERROR(__xludf.DUMMYFUNCTION("""COMPUTED_VALUE"""),"Йордан Георгиев Деливерски")</f>
        <v>Йордан Георгиев Деливерски</v>
      </c>
      <c r="B3874" s="10" t="str">
        <f ca="1">IFERROR(__xludf.DUMMYFUNCTION("""COMPUTED_VALUE"""),"Доклад от конференция")</f>
        <v>Доклад от конференция</v>
      </c>
      <c r="C3874" s="10" t="str">
        <f ca="1">IFERROR(__xludf.DUMMYFUNCTION("""COMPUTED_VALUE"""),"Smuggling of Migrants as an Influential Factor on National Security, Economic and Social Life.")</f>
        <v>Smuggling of Migrants as an Influential Factor on National Security, Economic and Social Life.</v>
      </c>
      <c r="D3874" s="10">
        <f ca="1">IFERROR(__xludf.DUMMYFUNCTION("""COMPUTED_VALUE"""),2017)</f>
        <v>2017</v>
      </c>
      <c r="E3874" s="10" t="str">
        <f ca="1">IFERROR(__xludf.DUMMYFUNCTION("""COMPUTED_VALUE"""),"International Journal of Social, Behavioral, Educational, Economic, Business and Industrial Engineering. vol. 11, issue 3 p. 637-640")</f>
        <v>International Journal of Social, Behavioral, Educational, Economic, Business and Industrial Engineering. vol. 11, issue 3 p. 637-640</v>
      </c>
      <c r="F3874" s="10"/>
      <c r="G3874" s="10"/>
      <c r="H3874" s="10"/>
      <c r="I3874" s="10"/>
      <c r="J3874" s="10"/>
      <c r="K3874" s="10"/>
      <c r="L3874" s="10"/>
      <c r="M3874" s="10"/>
      <c r="N3874" s="10"/>
      <c r="O3874" s="10"/>
      <c r="P3874" s="10"/>
      <c r="Q3874" s="10"/>
      <c r="R3874" s="10"/>
      <c r="S3874" s="10"/>
      <c r="T3874" s="10"/>
      <c r="U3874" s="10"/>
      <c r="V3874" s="10"/>
      <c r="W3874" s="10"/>
      <c r="X3874" s="10"/>
      <c r="Y3874" s="10"/>
      <c r="Z3874" s="10"/>
    </row>
    <row r="3875" spans="1:26" ht="12.75">
      <c r="A3875" s="10" t="str">
        <f ca="1">IFERROR(__xludf.DUMMYFUNCTION("""COMPUTED_VALUE"""),"Йордан Георгиев Деливерски")</f>
        <v>Йордан Георгиев Деливерски</v>
      </c>
      <c r="B3875" s="10" t="str">
        <f ca="1">IFERROR(__xludf.DUMMYFUNCTION("""COMPUTED_VALUE"""),"Доклад от конференция")</f>
        <v>Доклад от конференция</v>
      </c>
      <c r="C3875" s="10" t="str">
        <f ca="1">IFERROR(__xludf.DUMMYFUNCTION("""COMPUTED_VALUE"""),"Measures for Limiting Corruption Related to the Migration Wave in Europe,")</f>
        <v>Measures for Limiting Corruption Related to the Migration Wave in Europe,</v>
      </c>
      <c r="D3875" s="10">
        <f ca="1">IFERROR(__xludf.DUMMYFUNCTION("""COMPUTED_VALUE"""),2017)</f>
        <v>2017</v>
      </c>
      <c r="E3875" s="10" t="str">
        <f ca="1">IFERROR(__xludf.DUMMYFUNCTION("""COMPUTED_VALUE"""),"International Journal on New Trends in Education and Their Implications. vol. 8, issue 2, article 3, p. 19-25")</f>
        <v>International Journal on New Trends in Education and Their Implications. vol. 8, issue 2, article 3, p. 19-25</v>
      </c>
      <c r="F3875" s="10"/>
      <c r="G3875" s="10"/>
      <c r="H3875" s="10"/>
      <c r="I3875" s="10"/>
      <c r="J3875" s="10"/>
      <c r="K3875" s="10"/>
      <c r="L3875" s="10"/>
      <c r="M3875" s="10"/>
      <c r="N3875" s="10"/>
      <c r="O3875" s="10"/>
      <c r="P3875" s="10"/>
      <c r="Q3875" s="10"/>
      <c r="R3875" s="10"/>
      <c r="S3875" s="10"/>
      <c r="T3875" s="10"/>
      <c r="U3875" s="10"/>
      <c r="V3875" s="10"/>
      <c r="W3875" s="10"/>
      <c r="X3875" s="10"/>
      <c r="Y3875" s="10"/>
      <c r="Z3875" s="10"/>
    </row>
    <row r="3876" spans="1:26" ht="12.75">
      <c r="A3876" s="10" t="str">
        <f ca="1">IFERROR(__xludf.DUMMYFUNCTION("""COMPUTED_VALUE"""),"Йордан Георгиев Деливерски")</f>
        <v>Йордан Георгиев Деливерски</v>
      </c>
      <c r="B3876" s="10" t="str">
        <f ca="1">IFERROR(__xludf.DUMMYFUNCTION("""COMPUTED_VALUE"""),"Статия в списания и поредици")</f>
        <v>Статия в списания и поредици</v>
      </c>
      <c r="C3876" s="10" t="str">
        <f ca="1">IFERROR(__xludf.DUMMYFUNCTION("""COMPUTED_VALUE"""),"Реализиране на медицинска дейност в рискова корупционна среда – механизми за защита.")</f>
        <v>Реализиране на медицинска дейност в рискова корупционна среда – механизми за защита.</v>
      </c>
      <c r="D3876" s="10">
        <f ca="1">IFERROR(__xludf.DUMMYFUNCTION("""COMPUTED_VALUE"""),2017)</f>
        <v>2017</v>
      </c>
      <c r="E3876" s="10" t="str">
        <f ca="1">IFERROR(__xludf.DUMMYFUNCTION("""COMPUTED_VALUE"""),"Списание „Здравна политика и мениджмънт“, 2017, 2, 72–74.")</f>
        <v>Списание „Здравна политика и мениджмънт“, 2017, 2, 72–74.</v>
      </c>
      <c r="F3876" s="10"/>
      <c r="G3876" s="10"/>
      <c r="H3876" s="10"/>
      <c r="I3876" s="10"/>
      <c r="J3876" s="10"/>
      <c r="K3876" s="10"/>
      <c r="L3876" s="10"/>
      <c r="M3876" s="10"/>
      <c r="N3876" s="10"/>
      <c r="O3876" s="10"/>
      <c r="P3876" s="10"/>
      <c r="Q3876" s="10"/>
      <c r="R3876" s="10"/>
      <c r="S3876" s="10"/>
      <c r="T3876" s="10"/>
      <c r="U3876" s="10"/>
      <c r="V3876" s="10"/>
      <c r="W3876" s="10"/>
      <c r="X3876" s="10"/>
      <c r="Y3876" s="10"/>
      <c r="Z3876" s="10"/>
    </row>
    <row r="3877" spans="1:26" ht="12.75">
      <c r="A3877" s="10" t="str">
        <f ca="1">IFERROR(__xludf.DUMMYFUNCTION("""COMPUTED_VALUE"""),"Йордан Георгиев Деливерски")</f>
        <v>Йордан Георгиев Деливерски</v>
      </c>
      <c r="B3877" s="10" t="str">
        <f ca="1">IFERROR(__xludf.DUMMYFUNCTION("""COMPUTED_VALUE"""),"Статия в списания и поредици")</f>
        <v>Статия в списания и поредици</v>
      </c>
      <c r="C3877" s="10" t="str">
        <f ca="1">IFERROR(__xludf.DUMMYFUNCTION("""COMPUTED_VALUE"""),"Използване на здравна информация за целите на застраховането – законови и етични норми.")</f>
        <v>Използване на здравна информация за целите на застраховането – законови и етични норми.</v>
      </c>
      <c r="D3877" s="10">
        <f ca="1">IFERROR(__xludf.DUMMYFUNCTION("""COMPUTED_VALUE"""),2017)</f>
        <v>2017</v>
      </c>
      <c r="E3877" s="10" t="str">
        <f ca="1">IFERROR(__xludf.DUMMYFUNCTION("""COMPUTED_VALUE"""),"Здравна политика и мениджмънт“, 2017, 2, 87–90.")</f>
        <v>Здравна политика и мениджмънт“, 2017, 2, 87–90.</v>
      </c>
      <c r="F3877" s="10"/>
      <c r="G3877" s="10" t="str">
        <f ca="1">IFERROR(__xludf.DUMMYFUNCTION("""COMPUTED_VALUE"""),"Мариела Деливерска")</f>
        <v>Мариела Деливерска</v>
      </c>
      <c r="H3877" s="10"/>
      <c r="I3877" s="10"/>
      <c r="J3877" s="10"/>
      <c r="K3877" s="10"/>
      <c r="L3877" s="10"/>
      <c r="M3877" s="10"/>
      <c r="N3877" s="10"/>
      <c r="O3877" s="10"/>
      <c r="P3877" s="10"/>
      <c r="Q3877" s="10"/>
      <c r="R3877" s="10"/>
      <c r="S3877" s="10"/>
      <c r="T3877" s="10"/>
      <c r="U3877" s="10"/>
      <c r="V3877" s="10"/>
      <c r="W3877" s="10"/>
      <c r="X3877" s="10"/>
      <c r="Y3877" s="10"/>
      <c r="Z3877" s="10"/>
    </row>
    <row r="3878" spans="1:26" ht="12.75">
      <c r="A3878" s="10" t="str">
        <f ca="1">IFERROR(__xludf.DUMMYFUNCTION("""COMPUTED_VALUE"""),"Йордан Георгиев Деливерски")</f>
        <v>Йордан Георгиев Деливерски</v>
      </c>
      <c r="B3878" s="10" t="str">
        <f ca="1">IFERROR(__xludf.DUMMYFUNCTION("""COMPUTED_VALUE"""),"Доклад от конференция")</f>
        <v>Доклад от конференция</v>
      </c>
      <c r="C3878" s="10" t="str">
        <f ca="1">IFERROR(__xludf.DUMMYFUNCTION("""COMPUTED_VALUE"""),"Immigration as a challenging factor on education systems in Europe.")</f>
        <v>Immigration as a challenging factor on education systems in Europe.</v>
      </c>
      <c r="D3878" s="10">
        <f ca="1">IFERROR(__xludf.DUMMYFUNCTION("""COMPUTED_VALUE"""),2017)</f>
        <v>2017</v>
      </c>
      <c r="E3878" s="10" t="str">
        <f ca="1">IFERROR(__xludf.DUMMYFUNCTION("""COMPUTED_VALUE"""),"Journal of educational and instructional studies in the world. 2017 May;7(2):1-4.")</f>
        <v>Journal of educational and instructional studies in the world. 2017 May;7(2):1-4.</v>
      </c>
      <c r="F3878" s="10"/>
      <c r="G3878" s="10"/>
      <c r="H3878" s="10"/>
      <c r="I3878" s="10"/>
      <c r="J3878" s="10"/>
      <c r="K3878" s="10"/>
      <c r="L3878" s="10"/>
      <c r="M3878" s="10"/>
      <c r="N3878" s="10"/>
      <c r="O3878" s="10"/>
      <c r="P3878" s="10"/>
      <c r="Q3878" s="10"/>
      <c r="R3878" s="10"/>
      <c r="S3878" s="10"/>
      <c r="T3878" s="10"/>
      <c r="U3878" s="10"/>
      <c r="V3878" s="10"/>
      <c r="W3878" s="10"/>
      <c r="X3878" s="10"/>
      <c r="Y3878" s="10"/>
      <c r="Z3878" s="10"/>
    </row>
    <row r="3879" spans="1:26" ht="12.75">
      <c r="A3879" s="10" t="str">
        <f ca="1">IFERROR(__xludf.DUMMYFUNCTION("""COMPUTED_VALUE"""),"Йордан Георгиев Деливерски")</f>
        <v>Йордан Георгиев Деливерски</v>
      </c>
      <c r="B3879" s="10" t="str">
        <f ca="1">IFERROR(__xludf.DUMMYFUNCTION("""COMPUTED_VALUE"""),"Доклад от конференция")</f>
        <v>Доклад от конференция</v>
      </c>
      <c r="C3879" s="10" t="str">
        <f ca="1">IFERROR(__xludf.DUMMYFUNCTION("""COMPUTED_VALUE"""),"Salary top-ups in education sector and its impact on corruption activities")</f>
        <v>Salary top-ups in education sector and its impact on corruption activities</v>
      </c>
      <c r="D3879" s="10">
        <f ca="1">IFERROR(__xludf.DUMMYFUNCTION("""COMPUTED_VALUE"""),2017)</f>
        <v>2017</v>
      </c>
      <c r="E3879" s="10" t="str">
        <f ca="1">IFERROR(__xludf.DUMMYFUNCTION("""COMPUTED_VALUE"""),"Journal of educational and instructional studies in the world. 2017 May;7(2):80-83.")</f>
        <v>Journal of educational and instructional studies in the world. 2017 May;7(2):80-83.</v>
      </c>
      <c r="F3879" s="10"/>
      <c r="G3879" s="10"/>
      <c r="H3879" s="10"/>
      <c r="I3879" s="10"/>
      <c r="J3879" s="10"/>
      <c r="K3879" s="10"/>
      <c r="L3879" s="10"/>
      <c r="M3879" s="10"/>
      <c r="N3879" s="10"/>
      <c r="O3879" s="10"/>
      <c r="P3879" s="10"/>
      <c r="Q3879" s="10"/>
      <c r="R3879" s="10"/>
      <c r="S3879" s="10"/>
      <c r="T3879" s="10"/>
      <c r="U3879" s="10"/>
      <c r="V3879" s="10"/>
      <c r="W3879" s="10"/>
      <c r="X3879" s="10"/>
      <c r="Y3879" s="10"/>
      <c r="Z3879" s="10"/>
    </row>
    <row r="3880" spans="1:26" ht="12.75">
      <c r="A3880" s="10" t="str">
        <f ca="1">IFERROR(__xludf.DUMMYFUNCTION("""COMPUTED_VALUE"""),"Йордан Георгиев Деливерски")</f>
        <v>Йордан Георгиев Деливерски</v>
      </c>
      <c r="B3880" s="10" t="str">
        <f ca="1">IFERROR(__xludf.DUMMYFUNCTION("""COMPUTED_VALUE"""),"Доклад от конференция")</f>
        <v>Доклад от конференция</v>
      </c>
      <c r="C3880" s="10" t="str">
        <f ca="1">IFERROR(__xludf.DUMMYFUNCTION("""COMPUTED_VALUE"""),"Отворен достъп и права на бежанците в контекста на световните миграционни процеси.")</f>
        <v>Отворен достъп и права на бежанците в контекста на световните миграционни процеси.</v>
      </c>
      <c r="D3880" s="10">
        <f ca="1">IFERROR(__xludf.DUMMYFUNCTION("""COMPUTED_VALUE"""),2017)</f>
        <v>2017</v>
      </c>
      <c r="E3880" s="10" t="str">
        <f ca="1">IFERROR(__xludf.DUMMYFUNCTION("""COMPUTED_VALUE"""),"Интелектуална собственост, иновации и научна дейност в глобална среда. Сборник с доклади от V Национален семинар с международно участие, УниБИТ, 2017, 221–230.")</f>
        <v>Интелектуална собственост, иновации и научна дейност в глобална среда. Сборник с доклади от V Национален семинар с международно участие, УниБИТ, 2017, 221–230.</v>
      </c>
      <c r="F3880" s="10"/>
      <c r="G3880" s="10"/>
      <c r="H3880" s="10"/>
      <c r="I3880" s="10"/>
      <c r="J3880" s="10"/>
      <c r="K3880" s="10"/>
      <c r="L3880" s="10"/>
      <c r="M3880" s="10"/>
      <c r="N3880" s="10"/>
      <c r="O3880" s="10"/>
      <c r="P3880" s="10"/>
      <c r="Q3880" s="10"/>
      <c r="R3880" s="10"/>
      <c r="S3880" s="10"/>
      <c r="T3880" s="10"/>
      <c r="U3880" s="10"/>
      <c r="V3880" s="10"/>
      <c r="W3880" s="10"/>
      <c r="X3880" s="10"/>
      <c r="Y3880" s="10"/>
      <c r="Z3880" s="10"/>
    </row>
    <row r="3881" spans="1:26" ht="12.75">
      <c r="A3881" s="10" t="str">
        <f ca="1">IFERROR(__xludf.DUMMYFUNCTION("""COMPUTED_VALUE"""),"Йордан Георгиев Деливерски")</f>
        <v>Йордан Георгиев Деливерски</v>
      </c>
      <c r="B3881" s="10" t="str">
        <f ca="1">IFERROR(__xludf.DUMMYFUNCTION("""COMPUTED_VALUE"""),"Доклад от конференция")</f>
        <v>Доклад от конференция</v>
      </c>
      <c r="C3881" s="10" t="str">
        <f ca="1">IFERROR(__xludf.DUMMYFUNCTION("""COMPUTED_VALUE"""),"Риска от корупция по отношение на централизираното възлагане на обществени поръчки в България.")</f>
        <v>Риска от корупция по отношение на централизираното възлагане на обществени поръчки в България.</v>
      </c>
      <c r="D3881" s="10">
        <f ca="1">IFERROR(__xludf.DUMMYFUNCTION("""COMPUTED_VALUE"""),2017)</f>
        <v>2017</v>
      </c>
      <c r="E3881" s="10" t="str">
        <f ca="1">IFERROR(__xludf.DUMMYFUNCTION("""COMPUTED_VALUE"""),"Сборник с доклади от първа научна конференция „Образование, наука, иновации“, Академия за иновации и развитие, 2017, 198–203.")</f>
        <v>Сборник с доклади от първа научна конференция „Образование, наука, иновации“, Академия за иновации и развитие, 2017, 198–203.</v>
      </c>
      <c r="F3881" s="10"/>
      <c r="G3881" s="10"/>
      <c r="H3881" s="10"/>
      <c r="I3881" s="10"/>
      <c r="J3881" s="10"/>
      <c r="K3881" s="10"/>
      <c r="L3881" s="10"/>
      <c r="M3881" s="10"/>
      <c r="N3881" s="10"/>
      <c r="O3881" s="10"/>
      <c r="P3881" s="10"/>
      <c r="Q3881" s="10"/>
      <c r="R3881" s="10"/>
      <c r="S3881" s="10"/>
      <c r="T3881" s="10"/>
      <c r="U3881" s="10"/>
      <c r="V3881" s="10"/>
      <c r="W3881" s="10"/>
      <c r="X3881" s="10"/>
      <c r="Y3881" s="10"/>
      <c r="Z3881" s="10"/>
    </row>
    <row r="3882" spans="1:26" ht="12.75">
      <c r="A3882" s="10" t="str">
        <f ca="1">IFERROR(__xludf.DUMMYFUNCTION("""COMPUTED_VALUE"""),"Йордан Георгиев Деливерски")</f>
        <v>Йордан Георгиев Деливерски</v>
      </c>
      <c r="B3882" s="10" t="str">
        <f ca="1">IFERROR(__xludf.DUMMYFUNCTION("""COMPUTED_VALUE"""),"Книга")</f>
        <v>Книга</v>
      </c>
      <c r="C3882" s="10" t="str">
        <f ca="1">IFERROR(__xludf.DUMMYFUNCTION("""COMPUTED_VALUE"""),"Мигрантите. Актуални проблеми и перспективи")</f>
        <v>Мигрантите. Актуални проблеми и перспективи</v>
      </c>
      <c r="D3882" s="10">
        <f ca="1">IFERROR(__xludf.DUMMYFUNCTION("""COMPUTED_VALUE"""),2017)</f>
        <v>2017</v>
      </c>
      <c r="E3882" s="10" t="str">
        <f ca="1">IFERROR(__xludf.DUMMYFUNCTION("""COMPUTED_VALUE"""),"„За буквите – О писменехь“, ISBN 978-619-185-287-1.")</f>
        <v>„За буквите – О писменехь“, ISBN 978-619-185-287-1.</v>
      </c>
      <c r="F3882" s="10"/>
      <c r="G3882" s="10"/>
      <c r="H3882" s="10"/>
      <c r="I3882" s="10"/>
      <c r="J3882" s="10"/>
      <c r="K3882" s="10"/>
      <c r="L3882" s="10"/>
      <c r="M3882" s="10"/>
      <c r="N3882" s="10"/>
      <c r="O3882" s="10"/>
      <c r="P3882" s="10"/>
      <c r="Q3882" s="10"/>
      <c r="R3882" s="10"/>
      <c r="S3882" s="10"/>
      <c r="T3882" s="10"/>
      <c r="U3882" s="10"/>
      <c r="V3882" s="10"/>
      <c r="W3882" s="10"/>
      <c r="X3882" s="10"/>
      <c r="Y3882" s="10"/>
      <c r="Z3882" s="10"/>
    </row>
    <row r="3883" spans="1:26" ht="12.75">
      <c r="A3883" s="10" t="str">
        <f ca="1">IFERROR(__xludf.DUMMYFUNCTION("""COMPUTED_VALUE"""),"Йордан Георгиев Деливерски")</f>
        <v>Йордан Георгиев Деливерски</v>
      </c>
      <c r="B3883" s="10" t="str">
        <f ca="1">IFERROR(__xludf.DUMMYFUNCTION("""COMPUTED_VALUE"""),"Доклад от конференция")</f>
        <v>Доклад от конференция</v>
      </c>
      <c r="C3883" s="10" t="str">
        <f ca="1">IFERROR(__xludf.DUMMYFUNCTION("""COMPUTED_VALUE"""),"Влияние на корупцията над миграционните процеси и контрабандата на мигранти.")</f>
        <v>Влияние на корупцията над миграционните процеси и контрабандата на мигранти.</v>
      </c>
      <c r="D3883" s="10">
        <f ca="1">IFERROR(__xludf.DUMMYFUNCTION("""COMPUTED_VALUE"""),2017)</f>
        <v>2017</v>
      </c>
      <c r="E3883" s="10" t="str">
        <f ca="1">IFERROR(__xludf.DUMMYFUNCTION("""COMPUTED_VALUE"""),"Научно-практическа конференция на тема „Право и сигурност”, БСУ, 2017. Сборник с доклади")</f>
        <v>Научно-практическа конференция на тема „Право и сигурност”, БСУ, 2017. Сборник с доклади</v>
      </c>
      <c r="F3883" s="10"/>
      <c r="G3883" s="10"/>
      <c r="H3883" s="10"/>
      <c r="I3883" s="10"/>
      <c r="J3883" s="10"/>
      <c r="K3883" s="10"/>
      <c r="L3883" s="10"/>
      <c r="M3883" s="10"/>
      <c r="N3883" s="10"/>
      <c r="O3883" s="10"/>
      <c r="P3883" s="10"/>
      <c r="Q3883" s="10"/>
      <c r="R3883" s="10"/>
      <c r="S3883" s="10"/>
      <c r="T3883" s="10"/>
      <c r="U3883" s="10"/>
      <c r="V3883" s="10"/>
      <c r="W3883" s="10"/>
      <c r="X3883" s="10"/>
      <c r="Y3883" s="10"/>
      <c r="Z3883" s="10"/>
    </row>
    <row r="3884" spans="1:26" ht="12.75">
      <c r="A3884" s="10" t="str">
        <f ca="1">IFERROR(__xludf.DUMMYFUNCTION("""COMPUTED_VALUE"""),"Йордан Георгиев Деливерски")</f>
        <v>Йордан Георгиев Деливерски</v>
      </c>
      <c r="B3884" s="10" t="str">
        <f ca="1">IFERROR(__xludf.DUMMYFUNCTION("""COMPUTED_VALUE"""),"Статия в списания и поредици")</f>
        <v>Статия в списания и поредици</v>
      </c>
      <c r="C3884" s="10" t="str">
        <f ca="1">IFERROR(__xludf.DUMMYFUNCTION("""COMPUTED_VALUE"""),"Health records and information technology in support of exchange of health information.")</f>
        <v>Health records and information technology in support of exchange of health information.</v>
      </c>
      <c r="D3884" s="10">
        <f ca="1">IFERROR(__xludf.DUMMYFUNCTION("""COMPUTED_VALUE"""),2017)</f>
        <v>2017</v>
      </c>
      <c r="E3884" s="10" t="str">
        <f ca="1">IFERROR(__xludf.DUMMYFUNCTION("""COMPUTED_VALUE"""),"J of IMAB. 2017 Apr-Jun;23(2):1567-1570., DOI: 10.5272/jimab.2017232.1567")</f>
        <v>J of IMAB. 2017 Apr-Jun;23(2):1567-1570., DOI: 10.5272/jimab.2017232.1567</v>
      </c>
      <c r="F3884" s="10"/>
      <c r="G3884" s="10"/>
      <c r="H3884" s="10"/>
      <c r="I3884" s="10"/>
      <c r="J3884" s="10"/>
      <c r="K3884" s="10"/>
      <c r="L3884" s="10"/>
      <c r="M3884" s="10"/>
      <c r="N3884" s="10"/>
      <c r="O3884" s="10"/>
      <c r="P3884" s="10"/>
      <c r="Q3884" s="10"/>
      <c r="R3884" s="10"/>
      <c r="S3884" s="10"/>
      <c r="T3884" s="10"/>
      <c r="U3884" s="10"/>
      <c r="V3884" s="10"/>
      <c r="W3884" s="10"/>
      <c r="X3884" s="10"/>
      <c r="Y3884" s="10"/>
      <c r="Z3884" s="10"/>
    </row>
    <row r="3885" spans="1:26" ht="12.75">
      <c r="A3885" s="10" t="str">
        <f ca="1">IFERROR(__xludf.DUMMYFUNCTION("""COMPUTED_VALUE"""),"Йордан Георгиев Деливерски")</f>
        <v>Йордан Георгиев Деливерски</v>
      </c>
      <c r="B3885" s="10" t="str">
        <f ca="1">IFERROR(__xludf.DUMMYFUNCTION("""COMPUTED_VALUE"""),"Статия в списания и поредици")</f>
        <v>Статия в списания и поредици</v>
      </c>
      <c r="C3885" s="10" t="str">
        <f ca="1">IFERROR(__xludf.DUMMYFUNCTION("""COMPUTED_VALUE"""),"Реализиране на медицинска дейност в рискова корупционна среда – механизми за защита.")</f>
        <v>Реализиране на медицинска дейност в рискова корупционна среда – механизми за защита.</v>
      </c>
      <c r="D3885" s="10">
        <f ca="1">IFERROR(__xludf.DUMMYFUNCTION("""COMPUTED_VALUE"""),2017)</f>
        <v>2017</v>
      </c>
      <c r="E3885" s="10" t="str">
        <f ca="1">IFERROR(__xludf.DUMMYFUNCTION("""COMPUTED_VALUE"""),"Списание „Здравна политика и мениджмънт“, 2017, 2, 72–74. , ISSN 1313-4981")</f>
        <v>Списание „Здравна политика и мениджмънт“, 2017, 2, 72–74. , ISSN 1313-4981</v>
      </c>
      <c r="F3885" s="10"/>
      <c r="G3885" s="10"/>
      <c r="H3885" s="10"/>
      <c r="I3885" s="10"/>
      <c r="J3885" s="10"/>
      <c r="K3885" s="10"/>
      <c r="L3885" s="10"/>
      <c r="M3885" s="10"/>
      <c r="N3885" s="10"/>
      <c r="O3885" s="10"/>
      <c r="P3885" s="10"/>
      <c r="Q3885" s="10"/>
      <c r="R3885" s="10"/>
      <c r="S3885" s="10"/>
      <c r="T3885" s="10"/>
      <c r="U3885" s="10"/>
      <c r="V3885" s="10"/>
      <c r="W3885" s="10"/>
      <c r="X3885" s="10"/>
      <c r="Y3885" s="10"/>
      <c r="Z3885" s="10"/>
    </row>
    <row r="3886" spans="1:26" ht="12.75">
      <c r="A3886" s="10" t="str">
        <f ca="1">IFERROR(__xludf.DUMMYFUNCTION("""COMPUTED_VALUE"""),"Йордан Георгиев Деливерски")</f>
        <v>Йордан Георгиев Деливерски</v>
      </c>
      <c r="B3886" s="10" t="str">
        <f ca="1">IFERROR(__xludf.DUMMYFUNCTION("""COMPUTED_VALUE"""),"Доклад от конференция")</f>
        <v>Доклад от конференция</v>
      </c>
      <c r="C3886" s="10" t="str">
        <f ca="1">IFERROR(__xludf.DUMMYFUNCTION("""COMPUTED_VALUE"""),"Measures for Limiting Corruption Related to the Migration Wave in Europe")</f>
        <v>Measures for Limiting Corruption Related to the Migration Wave in Europe</v>
      </c>
      <c r="D3886" s="10">
        <f ca="1">IFERROR(__xludf.DUMMYFUNCTION("""COMPUTED_VALUE"""),2017)</f>
        <v>2017</v>
      </c>
      <c r="E3886" s="10" t="str">
        <f ca="1">IFERROR(__xludf.DUMMYFUNCTION("""COMPUTED_VALUE"""),"2nd World Congress on Lifelong Education-WCLE, Antalya, Turkey, April 14-15, 2017 Отпечатан в: International Journal on New Trends in Education and Their Implications. vol. 8, issue 2, article 3, p. 19-25, ISSN 1309-6249")</f>
        <v>2nd World Congress on Lifelong Education-WCLE, Antalya, Turkey, April 14-15, 2017 Отпечатан в: International Journal on New Trends in Education and Their Implications. vol. 8, issue 2, article 3, p. 19-25, ISSN 1309-6249</v>
      </c>
      <c r="F3886" s="10"/>
      <c r="G3886" s="10"/>
      <c r="H3886" s="10"/>
      <c r="I3886" s="10"/>
      <c r="J3886" s="10"/>
      <c r="K3886" s="10"/>
      <c r="L3886" s="10"/>
      <c r="M3886" s="10"/>
      <c r="N3886" s="10"/>
      <c r="O3886" s="10"/>
      <c r="P3886" s="10"/>
      <c r="Q3886" s="10"/>
      <c r="R3886" s="10"/>
      <c r="S3886" s="10"/>
      <c r="T3886" s="10"/>
      <c r="U3886" s="10"/>
      <c r="V3886" s="10"/>
      <c r="W3886" s="10"/>
      <c r="X3886" s="10"/>
      <c r="Y3886" s="10"/>
      <c r="Z3886" s="10"/>
    </row>
    <row r="3887" spans="1:26" ht="12.75">
      <c r="A3887" s="10" t="str">
        <f ca="1">IFERROR(__xludf.DUMMYFUNCTION("""COMPUTED_VALUE"""),"Йордан Георгиев Деливерски")</f>
        <v>Йордан Георгиев Деливерски</v>
      </c>
      <c r="B3887" s="10" t="str">
        <f ca="1">IFERROR(__xludf.DUMMYFUNCTION("""COMPUTED_VALUE"""),"Доклад от конференция")</f>
        <v>Доклад от конференция</v>
      </c>
      <c r="C3887" s="10" t="str">
        <f ca="1">IFERROR(__xludf.DUMMYFUNCTION("""COMPUTED_VALUE"""),"Риска от корупция по отношение на централизираното възлагане на обществени поръчки в България.")</f>
        <v>Риска от корупция по отношение на централизираното възлагане на обществени поръчки в България.</v>
      </c>
      <c r="D3887" s="10">
        <f ca="1">IFERROR(__xludf.DUMMYFUNCTION("""COMPUTED_VALUE"""),2017)</f>
        <v>2017</v>
      </c>
      <c r="E3887" s="10" t="str">
        <f ca="1">IFERROR(__xludf.DUMMYFUNCTION("""COMPUTED_VALUE"""),"Сборник с доклади от първа научна конференция „Образование, наука, иновации“, Академия за иновации и развитие, 2017, с. 198–203.")</f>
        <v>Сборник с доклади от първа научна конференция „Образование, наука, иновации“, Академия за иновации и развитие, 2017, с. 198–203.</v>
      </c>
      <c r="F3887" s="10"/>
      <c r="G3887" s="10"/>
      <c r="H3887" s="10"/>
      <c r="I3887" s="10"/>
      <c r="J3887" s="10"/>
      <c r="K3887" s="10"/>
      <c r="L3887" s="10"/>
      <c r="M3887" s="10"/>
      <c r="N3887" s="10"/>
      <c r="O3887" s="10"/>
      <c r="P3887" s="10"/>
      <c r="Q3887" s="10"/>
      <c r="R3887" s="10"/>
      <c r="S3887" s="10"/>
      <c r="T3887" s="10"/>
      <c r="U3887" s="10"/>
      <c r="V3887" s="10"/>
      <c r="W3887" s="10"/>
      <c r="X3887" s="10"/>
      <c r="Y3887" s="10"/>
      <c r="Z3887" s="10"/>
    </row>
    <row r="3888" spans="1:26" ht="12.75">
      <c r="A3888" s="10" t="str">
        <f ca="1">IFERROR(__xludf.DUMMYFUNCTION("""COMPUTED_VALUE"""),"Йордан Георгиев Деливерски")</f>
        <v>Йордан Георгиев Деливерски</v>
      </c>
      <c r="B3888" s="10" t="str">
        <f ca="1">IFERROR(__xludf.DUMMYFUNCTION("""COMPUTED_VALUE"""),"Доклад от конференция")</f>
        <v>Доклад от конференция</v>
      </c>
      <c r="C3888" s="10" t="str">
        <f ca="1">IFERROR(__xludf.DUMMYFUNCTION("""COMPUTED_VALUE"""),"Осигуряване на Свобода и Сигурност за Мигранти и Бежанци в България.")</f>
        <v>Осигуряване на Свобода и Сигурност за Мигранти и Бежанци в България.</v>
      </c>
      <c r="D3888" s="10">
        <f ca="1">IFERROR(__xludf.DUMMYFUNCTION("""COMPUTED_VALUE"""),2017)</f>
        <v>2017</v>
      </c>
      <c r="E3888" s="10" t="str">
        <f ca="1">IFERROR(__xludf.DUMMYFUNCTION("""COMPUTED_VALUE"""),"Научна конференция на тема: “Правото на сигурност”, ВСУ, 2017")</f>
        <v>Научна конференция на тема: “Правото на сигурност”, ВСУ, 2017</v>
      </c>
      <c r="F3888" s="10"/>
      <c r="G3888" s="10"/>
      <c r="H3888" s="10"/>
      <c r="I3888" s="10"/>
      <c r="J3888" s="10"/>
      <c r="K3888" s="10"/>
      <c r="L3888" s="10"/>
      <c r="M3888" s="10"/>
      <c r="N3888" s="10"/>
      <c r="O3888" s="10"/>
      <c r="P3888" s="10"/>
      <c r="Q3888" s="10"/>
      <c r="R3888" s="10"/>
      <c r="S3888" s="10"/>
      <c r="T3888" s="10"/>
      <c r="U3888" s="10"/>
      <c r="V3888" s="10"/>
      <c r="W3888" s="10"/>
      <c r="X3888" s="10"/>
      <c r="Y3888" s="10"/>
      <c r="Z3888" s="10"/>
    </row>
    <row r="3889" spans="1:26" ht="12.75">
      <c r="A3889" s="10" t="str">
        <f ca="1">IFERROR(__xludf.DUMMYFUNCTION("""COMPUTED_VALUE"""),"Йордан Георгиев Деливерски")</f>
        <v>Йордан Георгиев Деливерски</v>
      </c>
      <c r="B3889" s="10" t="str">
        <f ca="1">IFERROR(__xludf.DUMMYFUNCTION("""COMPUTED_VALUE"""),"Доклад от конференция")</f>
        <v>Доклад от конференция</v>
      </c>
      <c r="C3889" s="10" t="str">
        <f ca="1">IFERROR(__xludf.DUMMYFUNCTION("""COMPUTED_VALUE"""),"Контрабандата на мигранти. Заплахи за икономическата, социалната и националната сигурност")</f>
        <v>Контрабандата на мигранти. Заплахи за икономическата, социалната и националната сигурност</v>
      </c>
      <c r="D3889" s="10">
        <f ca="1">IFERROR(__xludf.DUMMYFUNCTION("""COMPUTED_VALUE"""),2017)</f>
        <v>2017</v>
      </c>
      <c r="E3889" s="10" t="str">
        <f ca="1">IFERROR(__xludf.DUMMYFUNCTION("""COMPUTED_VALUE"""),"Шеста национална конференция с международно участие МХАНС 2017, БАН, 29 и 30 май 2017 г. Отпечатан в Сборник с доклади от Шеста национална конференция с международно участие МХАНС 2017, с. 221-226 , ISSN: 1313-8308")</f>
        <v>Шеста национална конференция с международно участие МХАНС 2017, БАН, 29 и 30 май 2017 г. Отпечатан в Сборник с доклади от Шеста национална конференция с международно участие МХАНС 2017, с. 221-226 , ISSN: 1313-8308</v>
      </c>
      <c r="F3889" s="10"/>
      <c r="G3889" s="10"/>
      <c r="H3889" s="10"/>
      <c r="I3889" s="10"/>
      <c r="J3889" s="10"/>
      <c r="K3889" s="10"/>
      <c r="L3889" s="10"/>
      <c r="M3889" s="10"/>
      <c r="N3889" s="10"/>
      <c r="O3889" s="10"/>
      <c r="P3889" s="10"/>
      <c r="Q3889" s="10"/>
      <c r="R3889" s="10"/>
      <c r="S3889" s="10"/>
      <c r="T3889" s="10"/>
      <c r="U3889" s="10"/>
      <c r="V3889" s="10"/>
      <c r="W3889" s="10"/>
      <c r="X3889" s="10"/>
      <c r="Y3889" s="10"/>
      <c r="Z3889" s="10"/>
    </row>
    <row r="3890" spans="1:26" ht="12.75">
      <c r="A3890" s="10" t="str">
        <f ca="1">IFERROR(__xludf.DUMMYFUNCTION("""COMPUTED_VALUE"""),"Йордан Георгиев Деливерски")</f>
        <v>Йордан Георгиев Деливерски</v>
      </c>
      <c r="B3890" s="10" t="str">
        <f ca="1">IFERROR(__xludf.DUMMYFUNCTION("""COMPUTED_VALUE"""),"Доклад от конференция")</f>
        <v>Доклад от конференция</v>
      </c>
      <c r="C3890" s="10" t="str">
        <f ca="1">IFERROR(__xludf.DUMMYFUNCTION("""COMPUTED_VALUE"""),"Мерки за ограничаване и превенция на нелегалната миграция на национално ниво и на ниво ЕС")</f>
        <v>Мерки за ограничаване и превенция на нелегалната миграция на национално ниво и на ниво ЕС</v>
      </c>
      <c r="D3890" s="10">
        <f ca="1">IFERROR(__xludf.DUMMYFUNCTION("""COMPUTED_VALUE"""),2017)</f>
        <v>2017</v>
      </c>
      <c r="E3890" s="10" t="str">
        <f ca="1">IFERROR(__xludf.DUMMYFUNCTION("""COMPUTED_VALUE"""),"Научна конференция „Съвременни предизвикателства пред сигурността и отбраната 2017“ Военна академия „Георги С. Раковски“ 18 и 19 май 2017г. Отпечатан в Съвременни предизвикателства пред сигурността и отбраната, Сборник доклади от годишната научна конферен"&amp;"ция на факултет „Национална сигурност и отбрана“ 18 – 19 май 2017 г., част II, Военна академия „Георги С. Раковски“, София, стр. 39-41, ISBN 978-619-7478-02-0")</f>
        <v>Научна конференция „Съвременни предизвикателства пред сигурността и отбраната 2017“ Военна академия „Георги С. Раковски“ 18 и 19 май 2017г. Отпечатан в Съвременни предизвикателства пред сигурността и отбраната, Сборник доклади от годишната научна конференция на факултет „Национална сигурност и отбрана“ 18 – 19 май 2017 г., част II, Военна академия „Георги С. Раковски“, София, стр. 39-41, ISBN 978-619-7478-02-0</v>
      </c>
      <c r="F3890" s="10"/>
      <c r="G3890" s="10"/>
      <c r="H3890" s="10"/>
      <c r="I3890" s="10"/>
      <c r="J3890" s="10"/>
      <c r="K3890" s="10"/>
      <c r="L3890" s="10"/>
      <c r="M3890" s="10"/>
      <c r="N3890" s="10"/>
      <c r="O3890" s="10"/>
      <c r="P3890" s="10"/>
      <c r="Q3890" s="10"/>
      <c r="R3890" s="10"/>
      <c r="S3890" s="10"/>
      <c r="T3890" s="10"/>
      <c r="U3890" s="10"/>
      <c r="V3890" s="10"/>
      <c r="W3890" s="10"/>
      <c r="X3890" s="10"/>
      <c r="Y3890" s="10"/>
      <c r="Z3890" s="10"/>
    </row>
    <row r="3891" spans="1:26" ht="12.75">
      <c r="A3891" s="10" t="str">
        <f ca="1">IFERROR(__xludf.DUMMYFUNCTION("""COMPUTED_VALUE"""),"Йордан Георгиев Деливерски")</f>
        <v>Йордан Георгиев Деливерски</v>
      </c>
      <c r="B3891" s="10" t="str">
        <f ca="1">IFERROR(__xludf.DUMMYFUNCTION("""COMPUTED_VALUE"""),"Доклад от конференция")</f>
        <v>Доклад от конференция</v>
      </c>
      <c r="C3891" s="10" t="str">
        <f ca="1">IFERROR(__xludf.DUMMYFUNCTION("""COMPUTED_VALUE"""),"Отворен достъп и права на бежанците в контекста на световните миграционни процеси.")</f>
        <v>Отворен достъп и права на бежанците в контекста на световните миграционни процеси.</v>
      </c>
      <c r="D3891" s="10">
        <f ca="1">IFERROR(__xludf.DUMMYFUNCTION("""COMPUTED_VALUE"""),2017)</f>
        <v>2017</v>
      </c>
      <c r="E3891" s="10" t="str">
        <f ca="1">IFERROR(__xludf.DUMMYFUNCTION("""COMPUTED_VALUE"""),"Пети национален семинар с международно участие на тема: „Интелектуална собственост, иновации и научна дейност в глобална среда“, 26 април 2017 г., УниБИТ Интелектуална собственост, иновации и научна дейност в глобална среда. Сборник с доклади от V Национа"&amp;"лен семинар с международно участие, УниБИТ, 2017, 221–230., ISBN 978-619-185-272-7")</f>
        <v>Пети национален семинар с международно участие на тема: „Интелектуална собственост, иновации и научна дейност в глобална среда“, 26 април 2017 г., УниБИТ Интелектуална собственост, иновации и научна дейност в глобална среда. Сборник с доклади от V Национален семинар с международно участие, УниБИТ, 2017, 221–230., ISBN 978-619-185-272-7</v>
      </c>
      <c r="F3891" s="10"/>
      <c r="G3891" s="10"/>
      <c r="H3891" s="10"/>
      <c r="I3891" s="10"/>
      <c r="J3891" s="10"/>
      <c r="K3891" s="10"/>
      <c r="L3891" s="10"/>
      <c r="M3891" s="10"/>
      <c r="N3891" s="10"/>
      <c r="O3891" s="10"/>
      <c r="P3891" s="10"/>
      <c r="Q3891" s="10"/>
      <c r="R3891" s="10"/>
      <c r="S3891" s="10"/>
      <c r="T3891" s="10"/>
      <c r="U3891" s="10"/>
      <c r="V3891" s="10"/>
      <c r="W3891" s="10"/>
      <c r="X3891" s="10"/>
      <c r="Y3891" s="10"/>
      <c r="Z3891" s="10"/>
    </row>
    <row r="3892" spans="1:26" ht="12.75">
      <c r="A3892" s="10" t="str">
        <f ca="1">IFERROR(__xludf.DUMMYFUNCTION("""COMPUTED_VALUE"""),"Йордан Георгиев Деливерски")</f>
        <v>Йордан Георгиев Деливерски</v>
      </c>
      <c r="B3892" s="10" t="str">
        <f ca="1">IFERROR(__xludf.DUMMYFUNCTION("""COMPUTED_VALUE"""),"Доклад от конференция")</f>
        <v>Доклад от конференция</v>
      </c>
      <c r="C3892" s="10" t="str">
        <f ca="1">IFERROR(__xludf.DUMMYFUNCTION("""COMPUTED_VALUE"""),"Salary top-ups in education sector and its impact on corruption activities")</f>
        <v>Salary top-ups in education sector and its impact on corruption activities</v>
      </c>
      <c r="D3892" s="10">
        <f ca="1">IFERROR(__xludf.DUMMYFUNCTION("""COMPUTED_VALUE"""),2017)</f>
        <v>2017</v>
      </c>
      <c r="E3892" s="10" t="str">
        <f ca="1">IFERROR(__xludf.DUMMYFUNCTION("""COMPUTED_VALUE"""),"8th International Congress on New Trends in Education – ICONTE Antalya, Turkey, May 18-20, 2017. Отпечатан в: . Journal of educational and instructional studies in the world. 2017 May;7(2):80-83., ISSN: 2146-7463")</f>
        <v>8th International Congress on New Trends in Education – ICONTE Antalya, Turkey, May 18-20, 2017. Отпечатан в: . Journal of educational and instructional studies in the world. 2017 May;7(2):80-83., ISSN: 2146-7463</v>
      </c>
      <c r="F3892" s="10"/>
      <c r="G3892" s="10"/>
      <c r="H3892" s="10"/>
      <c r="I3892" s="10"/>
      <c r="J3892" s="10"/>
      <c r="K3892" s="10"/>
      <c r="L3892" s="10"/>
      <c r="M3892" s="10"/>
      <c r="N3892" s="10"/>
      <c r="O3892" s="10"/>
      <c r="P3892" s="10"/>
      <c r="Q3892" s="10"/>
      <c r="R3892" s="10"/>
      <c r="S3892" s="10"/>
      <c r="T3892" s="10"/>
      <c r="U3892" s="10"/>
      <c r="V3892" s="10"/>
      <c r="W3892" s="10"/>
      <c r="X3892" s="10"/>
      <c r="Y3892" s="10"/>
      <c r="Z3892" s="10"/>
    </row>
    <row r="3893" spans="1:26" ht="12.75">
      <c r="A3893" s="10" t="str">
        <f ca="1">IFERROR(__xludf.DUMMYFUNCTION("""COMPUTED_VALUE"""),"Йордан Георгиев Деливерски")</f>
        <v>Йордан Георгиев Деливерски</v>
      </c>
      <c r="B3893" s="10" t="str">
        <f ca="1">IFERROR(__xludf.DUMMYFUNCTION("""COMPUTED_VALUE"""),"Доклад от конференция")</f>
        <v>Доклад от конференция</v>
      </c>
      <c r="C3893" s="10" t="str">
        <f ca="1">IFERROR(__xludf.DUMMYFUNCTION("""COMPUTED_VALUE"""),"Immigration as a challenging factor on education systems in Europe.")</f>
        <v>Immigration as a challenging factor on education systems in Europe.</v>
      </c>
      <c r="D3893" s="10">
        <f ca="1">IFERROR(__xludf.DUMMYFUNCTION("""COMPUTED_VALUE"""),2017)</f>
        <v>2017</v>
      </c>
      <c r="E3893" s="10" t="str">
        <f ca="1">IFERROR(__xludf.DUMMYFUNCTION("""COMPUTED_VALUE"""),"8th International Congress on New Trends in Education – ICONTE Antalya, Turkey, May 18-20, 2017. Отпечатан в: Journal of educational and instructional studies in the world. 2017 May;7(2):1-4., ISSN: 2146-7463")</f>
        <v>8th International Congress on New Trends in Education – ICONTE Antalya, Turkey, May 18-20, 2017. Отпечатан в: Journal of educational and instructional studies in the world. 2017 May;7(2):1-4., ISSN: 2146-7463</v>
      </c>
      <c r="F3893" s="10"/>
      <c r="G3893" s="10"/>
      <c r="H3893" s="10"/>
      <c r="I3893" s="10"/>
      <c r="J3893" s="10"/>
      <c r="K3893" s="10"/>
      <c r="L3893" s="10"/>
      <c r="M3893" s="10"/>
      <c r="N3893" s="10"/>
      <c r="O3893" s="10"/>
      <c r="P3893" s="10"/>
      <c r="Q3893" s="10"/>
      <c r="R3893" s="10"/>
      <c r="S3893" s="10"/>
      <c r="T3893" s="10"/>
      <c r="U3893" s="10"/>
      <c r="V3893" s="10"/>
      <c r="W3893" s="10"/>
      <c r="X3893" s="10"/>
      <c r="Y3893" s="10"/>
      <c r="Z3893" s="10"/>
    </row>
    <row r="3894" spans="1:26" ht="12.75">
      <c r="A3894" s="10" t="str">
        <f ca="1">IFERROR(__xludf.DUMMYFUNCTION("""COMPUTED_VALUE"""),"Йордан Георгиев Деливерски")</f>
        <v>Йордан Георгиев Деливерски</v>
      </c>
      <c r="B3894" s="10" t="str">
        <f ca="1">IFERROR(__xludf.DUMMYFUNCTION("""COMPUTED_VALUE"""),"Доклад от конференция")</f>
        <v>Доклад от конференция</v>
      </c>
      <c r="C3894" s="10" t="str">
        <f ca="1">IFERROR(__xludf.DUMMYFUNCTION("""COMPUTED_VALUE"""),"Smuggling of Migrants as an Influential Factor on National Security, Economic and Social Life.")</f>
        <v>Smuggling of Migrants as an Influential Factor on National Security, Economic and Social Life.</v>
      </c>
      <c r="D3894" s="10">
        <f ca="1">IFERROR(__xludf.DUMMYFUNCTION("""COMPUTED_VALUE"""),2017)</f>
        <v>2017</v>
      </c>
      <c r="E3894" s="10" t="str">
        <f ca="1">IFERROR(__xludf.DUMMYFUNCTION("""COMPUTED_VALUE"""),"ICAGGHR 2017 : 19th International Conference on Anti-Corruption, Good Governance and Human Rights Madrid, Spain, March 26-27, 2017 Отпечатан в: International Journal of Social, Behavioral, Educational, Economic, Business and Industrial Engineering. vol. 1"&amp;"1, issue 3 p. 637-640")</f>
        <v>ICAGGHR 2017 : 19th International Conference on Anti-Corruption, Good Governance and Human Rights Madrid, Spain, March 26-27, 2017 Отпечатан в: International Journal of Social, Behavioral, Educational, Economic, Business and Industrial Engineering. vol. 11, issue 3 p. 637-640</v>
      </c>
      <c r="F3894" s="10"/>
      <c r="G3894" s="10"/>
      <c r="H3894" s="10"/>
      <c r="I3894" s="10"/>
      <c r="J3894" s="10"/>
      <c r="K3894" s="10"/>
      <c r="L3894" s="10"/>
      <c r="M3894" s="10"/>
      <c r="N3894" s="10"/>
      <c r="O3894" s="10"/>
      <c r="P3894" s="10"/>
      <c r="Q3894" s="10"/>
      <c r="R3894" s="10"/>
      <c r="S3894" s="10"/>
      <c r="T3894" s="10"/>
      <c r="U3894" s="10"/>
      <c r="V3894" s="10"/>
      <c r="W3894" s="10"/>
      <c r="X3894" s="10"/>
      <c r="Y3894" s="10"/>
      <c r="Z3894" s="10"/>
    </row>
    <row r="3895" spans="1:26" ht="12.75">
      <c r="A3895" s="10" t="str">
        <f ca="1">IFERROR(__xludf.DUMMYFUNCTION("""COMPUTED_VALUE"""),"Йордан Георгиев Деливерски")</f>
        <v>Йордан Георгиев Деливерски</v>
      </c>
      <c r="B3895" s="10" t="str">
        <f ca="1">IFERROR(__xludf.DUMMYFUNCTION("""COMPUTED_VALUE"""),"Статия в списания и поредици")</f>
        <v>Статия в списания и поредици</v>
      </c>
      <c r="C3895" s="10" t="str">
        <f ca="1">IFERROR(__xludf.DUMMYFUNCTION("""COMPUTED_VALUE"""),"Регулация на пазара на лекарствени продукти. Корупционни практики свързани с лекарствената политика.")</f>
        <v>Регулация на пазара на лекарствени продукти. Корупционни практики свързани с лекарствената политика.</v>
      </c>
      <c r="D3895" s="10">
        <f ca="1">IFERROR(__xludf.DUMMYFUNCTION("""COMPUTED_VALUE"""),2017)</f>
        <v>2017</v>
      </c>
      <c r="E3895" s="10" t="str">
        <f ca="1">IFERROR(__xludf.DUMMYFUNCTION("""COMPUTED_VALUE"""),"Списание „Варненски медицински форум“, 2017, VI, 1, 17–21.")</f>
        <v>Списание „Варненски медицински форум“, 2017, VI, 1, 17–21.</v>
      </c>
      <c r="F3895" s="10"/>
      <c r="G3895" s="10"/>
      <c r="H3895" s="10"/>
      <c r="I3895" s="10"/>
      <c r="J3895" s="10"/>
      <c r="K3895" s="10"/>
      <c r="L3895" s="10"/>
      <c r="M3895" s="10"/>
      <c r="N3895" s="10"/>
      <c r="O3895" s="10"/>
      <c r="P3895" s="10"/>
      <c r="Q3895" s="10"/>
      <c r="R3895" s="10"/>
      <c r="S3895" s="10"/>
      <c r="T3895" s="10"/>
      <c r="U3895" s="10"/>
      <c r="V3895" s="10"/>
      <c r="W3895" s="10"/>
      <c r="X3895" s="10"/>
      <c r="Y3895" s="10"/>
      <c r="Z3895" s="10"/>
    </row>
    <row r="3896" spans="1:26" ht="12.75">
      <c r="A3896" s="10" t="str">
        <f ca="1">IFERROR(__xludf.DUMMYFUNCTION("""COMPUTED_VALUE"""),"Йордан Георгиев Деливерски")</f>
        <v>Йордан Георгиев Деливерски</v>
      </c>
      <c r="B3896" s="10" t="str">
        <f ca="1">IFERROR(__xludf.DUMMYFUNCTION("""COMPUTED_VALUE"""),"Доклад от конференция")</f>
        <v>Доклад от конференция</v>
      </c>
      <c r="C3896" s="10" t="str">
        <f ca="1">IFERROR(__xludf.DUMMYFUNCTION("""COMPUTED_VALUE"""),"Осигуряване на Свобода и Сигурност за Мигранти и Бежанци в България.")</f>
        <v>Осигуряване на Свобода и Сигурност за Мигранти и Бежанци в България.</v>
      </c>
      <c r="D3896" s="10">
        <f ca="1">IFERROR(__xludf.DUMMYFUNCTION("""COMPUTED_VALUE"""),2017)</f>
        <v>2017</v>
      </c>
      <c r="E3896" s="10" t="str">
        <f ca="1">IFERROR(__xludf.DUMMYFUNCTION("""COMPUTED_VALUE"""),"Научна конференция на тема: “Правото на сигурност”, ВСУ, 2017")</f>
        <v>Научна конференция на тема: “Правото на сигурност”, ВСУ, 2017</v>
      </c>
      <c r="F3896" s="10"/>
      <c r="G3896" s="10"/>
      <c r="H3896" s="10"/>
      <c r="I3896" s="10"/>
      <c r="J3896" s="10"/>
      <c r="K3896" s="10"/>
      <c r="L3896" s="10"/>
      <c r="M3896" s="10"/>
      <c r="N3896" s="10"/>
      <c r="O3896" s="10"/>
      <c r="P3896" s="10"/>
      <c r="Q3896" s="10"/>
      <c r="R3896" s="10"/>
      <c r="S3896" s="10"/>
      <c r="T3896" s="10"/>
      <c r="U3896" s="10"/>
      <c r="V3896" s="10"/>
      <c r="W3896" s="10"/>
      <c r="X3896" s="10"/>
      <c r="Y3896" s="10"/>
      <c r="Z3896" s="10"/>
    </row>
    <row r="3897" spans="1:26" ht="12.75">
      <c r="A3897" s="10" t="str">
        <f ca="1">IFERROR(__xludf.DUMMYFUNCTION("""COMPUTED_VALUE"""),"Йордан Георгиев Деливерски")</f>
        <v>Йордан Георгиев Деливерски</v>
      </c>
      <c r="B3897" s="10" t="str">
        <f ca="1">IFERROR(__xludf.DUMMYFUNCTION("""COMPUTED_VALUE"""),"Доклад от конференция")</f>
        <v>Доклад от конференция</v>
      </c>
      <c r="C3897" s="10" t="str">
        <f ca="1">IFERROR(__xludf.DUMMYFUNCTION("""COMPUTED_VALUE"""),"Контрабандата на мигранти. Заплахи за икономическата, социалната и националната сигурност")</f>
        <v>Контрабандата на мигранти. Заплахи за икономическата, социалната и националната сигурност</v>
      </c>
      <c r="D3897" s="10">
        <f ca="1">IFERROR(__xludf.DUMMYFUNCTION("""COMPUTED_VALUE"""),2017)</f>
        <v>2017</v>
      </c>
      <c r="E3897" s="10" t="str">
        <f ca="1">IFERROR(__xludf.DUMMYFUNCTION("""COMPUTED_VALUE"""),"Шеста национална конференция с международно участие МХАНС 2017, БАН, 29 и 30 май 2017 г. Отпечатан в Сборник с доклади от Шеста национална конференция с международно участие МХАНС 2017, с. 221-226 , ISSN: 1313-8308")</f>
        <v>Шеста национална конференция с международно участие МХАНС 2017, БАН, 29 и 30 май 2017 г. Отпечатан в Сборник с доклади от Шеста национална конференция с международно участие МХАНС 2017, с. 221-226 , ISSN: 1313-8308</v>
      </c>
      <c r="F3897" s="10"/>
      <c r="G3897" s="10"/>
      <c r="H3897" s="10"/>
      <c r="I3897" s="10"/>
      <c r="J3897" s="10"/>
      <c r="K3897" s="10"/>
      <c r="L3897" s="10"/>
      <c r="M3897" s="10"/>
      <c r="N3897" s="10"/>
      <c r="O3897" s="10"/>
      <c r="P3897" s="10"/>
      <c r="Q3897" s="10"/>
      <c r="R3897" s="10"/>
      <c r="S3897" s="10"/>
      <c r="T3897" s="10"/>
      <c r="U3897" s="10"/>
      <c r="V3897" s="10"/>
      <c r="W3897" s="10"/>
      <c r="X3897" s="10"/>
      <c r="Y3897" s="10"/>
      <c r="Z3897" s="10"/>
    </row>
    <row r="3898" spans="1:26" ht="12.75">
      <c r="A3898" s="10" t="str">
        <f ca="1">IFERROR(__xludf.DUMMYFUNCTION("""COMPUTED_VALUE"""),"Йордан Георгиев Деливерски")</f>
        <v>Йордан Георгиев Деливерски</v>
      </c>
      <c r="B3898" s="10" t="str">
        <f ca="1">IFERROR(__xludf.DUMMYFUNCTION("""COMPUTED_VALUE"""),"Доклад от конференция")</f>
        <v>Доклад от конференция</v>
      </c>
      <c r="C3898" s="10" t="str">
        <f ca="1">IFERROR(__xludf.DUMMYFUNCTION("""COMPUTED_VALUE"""),"Мерки за ограничаване и превенция на нелегалната миграция на национално ниво и на ниво ЕС")</f>
        <v>Мерки за ограничаване и превенция на нелегалната миграция на национално ниво и на ниво ЕС</v>
      </c>
      <c r="D3898" s="10">
        <f ca="1">IFERROR(__xludf.DUMMYFUNCTION("""COMPUTED_VALUE"""),2017)</f>
        <v>2017</v>
      </c>
      <c r="E3898" s="10" t="str">
        <f ca="1">IFERROR(__xludf.DUMMYFUNCTION("""COMPUTED_VALUE"""),"Научна конференция „Съвременни предизвикателства пред сигурността и отбраната 2017“ Военна академия „Георги С. Раковски“ 18 и 19 май 2017г. Отпечатан в Съвременни предизвикателства пред сигурността и отбраната, Сборник доклади от годишната научна конферен"&amp;"ция на факултет „Национална сигурност и отбрана“ 18 – 19 май 2017 г., част II, Военна академия „Георги С. Раковски“, София, стр. 39-41, ISBN 978-619-7478-02-0")</f>
        <v>Научна конференция „Съвременни предизвикателства пред сигурността и отбраната 2017“ Военна академия „Георги С. Раковски“ 18 и 19 май 2017г. Отпечатан в Съвременни предизвикателства пред сигурността и отбраната, Сборник доклади от годишната научна конференция на факултет „Национална сигурност и отбрана“ 18 – 19 май 2017 г., част II, Военна академия „Георги С. Раковски“, София, стр. 39-41, ISBN 978-619-7478-02-0</v>
      </c>
      <c r="F3898" s="10"/>
      <c r="G3898" s="10"/>
      <c r="H3898" s="10"/>
      <c r="I3898" s="10"/>
      <c r="J3898" s="10"/>
      <c r="K3898" s="10"/>
      <c r="L3898" s="10"/>
      <c r="M3898" s="10"/>
      <c r="N3898" s="10"/>
      <c r="O3898" s="10"/>
      <c r="P3898" s="10"/>
      <c r="Q3898" s="10"/>
      <c r="R3898" s="10"/>
      <c r="S3898" s="10"/>
      <c r="T3898" s="10"/>
      <c r="U3898" s="10"/>
      <c r="V3898" s="10"/>
      <c r="W3898" s="10"/>
      <c r="X3898" s="10"/>
      <c r="Y3898" s="10"/>
      <c r="Z3898" s="10"/>
    </row>
    <row r="3899" spans="1:26" ht="12.75">
      <c r="A3899" s="10" t="str">
        <f ca="1">IFERROR(__xludf.DUMMYFUNCTION("""COMPUTED_VALUE"""),"Йордан Георгиев Деливерски")</f>
        <v>Йордан Георгиев Деливерски</v>
      </c>
      <c r="B3899" s="10" t="str">
        <f ca="1">IFERROR(__xludf.DUMMYFUNCTION("""COMPUTED_VALUE"""),"Доклад от конференция")</f>
        <v>Доклад от конференция</v>
      </c>
      <c r="C3899" s="10" t="str">
        <f ca="1">IFERROR(__xludf.DUMMYFUNCTION("""COMPUTED_VALUE"""),"Отворен достъп и права на бежанците в контекста на световните миграционни процеси.")</f>
        <v>Отворен достъп и права на бежанците в контекста на световните миграционни процеси.</v>
      </c>
      <c r="D3899" s="10">
        <f ca="1">IFERROR(__xludf.DUMMYFUNCTION("""COMPUTED_VALUE"""),2017)</f>
        <v>2017</v>
      </c>
      <c r="E3899" s="10" t="str">
        <f ca="1">IFERROR(__xludf.DUMMYFUNCTION("""COMPUTED_VALUE"""),"Пети национален семинар с международно участие на тема: „Интелектуална собственост, иновации и научна дейност в глобална среда“, 26 април 2017 г., УниБИТ Интелектуална собственост, иновации и научна дейност в глобална среда. Сборник с доклади от V Национа"&amp;"лен семинар с международно участие, УниБИТ, 2017, 221–230., ISBN 978-619-185-272-7")</f>
        <v>Пети национален семинар с международно участие на тема: „Интелектуална собственост, иновации и научна дейност в глобална среда“, 26 април 2017 г., УниБИТ Интелектуална собственост, иновации и научна дейност в глобална среда. Сборник с доклади от V Национален семинар с международно участие, УниБИТ, 2017, 221–230., ISBN 978-619-185-272-7</v>
      </c>
      <c r="F3899" s="10"/>
      <c r="G3899" s="10"/>
      <c r="H3899" s="10"/>
      <c r="I3899" s="10"/>
      <c r="J3899" s="10"/>
      <c r="K3899" s="10"/>
      <c r="L3899" s="10"/>
      <c r="M3899" s="10"/>
      <c r="N3899" s="10"/>
      <c r="O3899" s="10"/>
      <c r="P3899" s="10"/>
      <c r="Q3899" s="10"/>
      <c r="R3899" s="10"/>
      <c r="S3899" s="10"/>
      <c r="T3899" s="10"/>
      <c r="U3899" s="10"/>
      <c r="V3899" s="10"/>
      <c r="W3899" s="10"/>
      <c r="X3899" s="10"/>
      <c r="Y3899" s="10"/>
      <c r="Z3899" s="10"/>
    </row>
    <row r="3900" spans="1:26" ht="12.75">
      <c r="A3900" s="10" t="str">
        <f ca="1">IFERROR(__xludf.DUMMYFUNCTION("""COMPUTED_VALUE"""),"Йордан Георгиев Деливерски")</f>
        <v>Йордан Георгиев Деливерски</v>
      </c>
      <c r="B3900" s="10" t="str">
        <f ca="1">IFERROR(__xludf.DUMMYFUNCTION("""COMPUTED_VALUE"""),"Доклад от конференция")</f>
        <v>Доклад от конференция</v>
      </c>
      <c r="C3900" s="10" t="str">
        <f ca="1">IFERROR(__xludf.DUMMYFUNCTION("""COMPUTED_VALUE"""),"Salary top-ups in education sector and its impact on corruption activities")</f>
        <v>Salary top-ups in education sector and its impact on corruption activities</v>
      </c>
      <c r="D3900" s="10">
        <f ca="1">IFERROR(__xludf.DUMMYFUNCTION("""COMPUTED_VALUE"""),2017)</f>
        <v>2017</v>
      </c>
      <c r="E3900" s="10" t="str">
        <f ca="1">IFERROR(__xludf.DUMMYFUNCTION("""COMPUTED_VALUE"""),"8th International Congress on New Trends in Education – ICONTE Antalya, Turkey, May 18-20, 2017. Отпечатан в: . Journal of educational and instructional studies in the world. 2017 May;7(2):80-83., ISSN: 2146-7463")</f>
        <v>8th International Congress on New Trends in Education – ICONTE Antalya, Turkey, May 18-20, 2017. Отпечатан в: . Journal of educational and instructional studies in the world. 2017 May;7(2):80-83., ISSN: 2146-7463</v>
      </c>
      <c r="F3900" s="10"/>
      <c r="G3900" s="10"/>
      <c r="H3900" s="10"/>
      <c r="I3900" s="10"/>
      <c r="J3900" s="10"/>
      <c r="K3900" s="10"/>
      <c r="L3900" s="10"/>
      <c r="M3900" s="10"/>
      <c r="N3900" s="10"/>
      <c r="O3900" s="10"/>
      <c r="P3900" s="10"/>
      <c r="Q3900" s="10"/>
      <c r="R3900" s="10"/>
      <c r="S3900" s="10"/>
      <c r="T3900" s="10"/>
      <c r="U3900" s="10"/>
      <c r="V3900" s="10"/>
      <c r="W3900" s="10"/>
      <c r="X3900" s="10"/>
      <c r="Y3900" s="10"/>
      <c r="Z3900" s="10"/>
    </row>
    <row r="3901" spans="1:26" ht="12.75">
      <c r="A3901" s="10" t="str">
        <f ca="1">IFERROR(__xludf.DUMMYFUNCTION("""COMPUTED_VALUE"""),"Йордан Георгиев Деливерски")</f>
        <v>Йордан Георгиев Деливерски</v>
      </c>
      <c r="B3901" s="10" t="str">
        <f ca="1">IFERROR(__xludf.DUMMYFUNCTION("""COMPUTED_VALUE"""),"Доклад от конференция")</f>
        <v>Доклад от конференция</v>
      </c>
      <c r="C3901" s="10" t="str">
        <f ca="1">IFERROR(__xludf.DUMMYFUNCTION("""COMPUTED_VALUE"""),"Immigration as a challenging factor on education systems in Europe.")</f>
        <v>Immigration as a challenging factor on education systems in Europe.</v>
      </c>
      <c r="D3901" s="10">
        <f ca="1">IFERROR(__xludf.DUMMYFUNCTION("""COMPUTED_VALUE"""),2017)</f>
        <v>2017</v>
      </c>
      <c r="E3901" s="10" t="str">
        <f ca="1">IFERROR(__xludf.DUMMYFUNCTION("""COMPUTED_VALUE"""),"8th International Congress on New Trends in Education – ICONTE Antalya, Turkey, May 18-20, 2017. Отпечатан в: Journal of educational and instructional studies in the world. 2017 May;7(2):1-4., ISSN: 2146-7463")</f>
        <v>8th International Congress on New Trends in Education – ICONTE Antalya, Turkey, May 18-20, 2017. Отпечатан в: Journal of educational and instructional studies in the world. 2017 May;7(2):1-4., ISSN: 2146-7463</v>
      </c>
      <c r="F3901" s="10"/>
      <c r="G3901" s="10"/>
      <c r="H3901" s="10"/>
      <c r="I3901" s="10"/>
      <c r="J3901" s="10"/>
      <c r="K3901" s="10"/>
      <c r="L3901" s="10"/>
      <c r="M3901" s="10"/>
      <c r="N3901" s="10"/>
      <c r="O3901" s="10"/>
      <c r="P3901" s="10"/>
      <c r="Q3901" s="10"/>
      <c r="R3901" s="10"/>
      <c r="S3901" s="10"/>
      <c r="T3901" s="10"/>
      <c r="U3901" s="10"/>
      <c r="V3901" s="10"/>
      <c r="W3901" s="10"/>
      <c r="X3901" s="10"/>
      <c r="Y3901" s="10"/>
      <c r="Z3901" s="10"/>
    </row>
    <row r="3902" spans="1:26" ht="12.75">
      <c r="A3902" s="10" t="str">
        <f ca="1">IFERROR(__xludf.DUMMYFUNCTION("""COMPUTED_VALUE"""),"Йордан Георгиев Деливерски")</f>
        <v>Йордан Георгиев Деливерски</v>
      </c>
      <c r="B3902" s="10" t="str">
        <f ca="1">IFERROR(__xludf.DUMMYFUNCTION("""COMPUTED_VALUE"""),"Статия в списания и поредици")</f>
        <v>Статия в списания и поредици</v>
      </c>
      <c r="C3902" s="10" t="str">
        <f ca="1">IFERROR(__xludf.DUMMYFUNCTION("""COMPUTED_VALUE"""),"Използване на здравна информация за целите на застраховането – законови и етични норми.")</f>
        <v>Използване на здравна информация за целите на застраховането – законови и етични норми.</v>
      </c>
      <c r="D3902" s="10">
        <f ca="1">IFERROR(__xludf.DUMMYFUNCTION("""COMPUTED_VALUE"""),2017)</f>
        <v>2017</v>
      </c>
      <c r="E3902" s="10" t="str">
        <f ca="1">IFERROR(__xludf.DUMMYFUNCTION("""COMPUTED_VALUE"""),"Списание Здравна политика и мениджмънт“, 2017, 2, 87–90., ISSN 1313-4981")</f>
        <v>Списание Здравна политика и мениджмънт“, 2017, 2, 87–90., ISSN 1313-4981</v>
      </c>
      <c r="F3902" s="10"/>
      <c r="G3902" s="10" t="str">
        <f ca="1">IFERROR(__xludf.DUMMYFUNCTION("""COMPUTED_VALUE"""),"Деливерски, Й., М. Деливерска.")</f>
        <v>Деливерски, Й., М. Деливерска.</v>
      </c>
      <c r="H3902" s="10"/>
      <c r="I3902" s="10"/>
      <c r="J3902" s="10"/>
      <c r="K3902" s="10"/>
      <c r="L3902" s="10"/>
      <c r="M3902" s="10"/>
      <c r="N3902" s="10"/>
      <c r="O3902" s="10"/>
      <c r="P3902" s="10"/>
      <c r="Q3902" s="10"/>
      <c r="R3902" s="10"/>
      <c r="S3902" s="10"/>
      <c r="T3902" s="10"/>
      <c r="U3902" s="10"/>
      <c r="V3902" s="10"/>
      <c r="W3902" s="10"/>
      <c r="X3902" s="10"/>
      <c r="Y3902" s="10"/>
      <c r="Z3902" s="10"/>
    </row>
    <row r="3903" spans="1:26" ht="12.75">
      <c r="A3903" s="10" t="str">
        <f ca="1">IFERROR(__xludf.DUMMYFUNCTION("""COMPUTED_VALUE"""),"Йордан Георгиев Деливерски")</f>
        <v>Йордан Георгиев Деливерски</v>
      </c>
      <c r="B3903" s="10" t="str">
        <f ca="1">IFERROR(__xludf.DUMMYFUNCTION("""COMPUTED_VALUE"""),"Доклад от конференция")</f>
        <v>Доклад от конференция</v>
      </c>
      <c r="C3903" s="10" t="str">
        <f ca="1">IFERROR(__xludf.DUMMYFUNCTION("""COMPUTED_VALUE"""),"Smuggling of Migrants as an Influential Factor on National Security, Economic and Social Life.")</f>
        <v>Smuggling of Migrants as an Influential Factor on National Security, Economic and Social Life.</v>
      </c>
      <c r="D3903" s="10">
        <f ca="1">IFERROR(__xludf.DUMMYFUNCTION("""COMPUTED_VALUE"""),2017)</f>
        <v>2017</v>
      </c>
      <c r="E3903" s="10" t="str">
        <f ca="1">IFERROR(__xludf.DUMMYFUNCTION("""COMPUTED_VALUE"""),"ICAGGHR 2017 : 19th International Conference on Anti-Corruption, Good Governance and Human Rights Madrid, Spain, March 26-27, 2017 Отпечатан в: International Journal of Social, Behavioral, Educational, Economic, Business and Industrial Engineering. vol. 1"&amp;"1, issue 3 p. 637-640")</f>
        <v>ICAGGHR 2017 : 19th International Conference on Anti-Corruption, Good Governance and Human Rights Madrid, Spain, March 26-27, 2017 Отпечатан в: International Journal of Social, Behavioral, Educational, Economic, Business and Industrial Engineering. vol. 11, issue 3 p. 637-640</v>
      </c>
      <c r="F3903" s="10"/>
      <c r="G3903" s="10"/>
      <c r="H3903" s="10"/>
      <c r="I3903" s="10"/>
      <c r="J3903" s="10"/>
      <c r="K3903" s="10"/>
      <c r="L3903" s="10"/>
      <c r="M3903" s="10"/>
      <c r="N3903" s="10"/>
      <c r="O3903" s="10"/>
      <c r="P3903" s="10"/>
      <c r="Q3903" s="10"/>
      <c r="R3903" s="10"/>
      <c r="S3903" s="10"/>
      <c r="T3903" s="10"/>
      <c r="U3903" s="10"/>
      <c r="V3903" s="10"/>
      <c r="W3903" s="10"/>
      <c r="X3903" s="10"/>
      <c r="Y3903" s="10"/>
      <c r="Z3903" s="10"/>
    </row>
    <row r="3904" spans="1:26" ht="12.75">
      <c r="A3904" s="10" t="str">
        <f ca="1">IFERROR(__xludf.DUMMYFUNCTION("""COMPUTED_VALUE"""),"Йордан Георгиев Деливерски")</f>
        <v>Йордан Георгиев Деливерски</v>
      </c>
      <c r="B3904" s="10" t="str">
        <f ca="1">IFERROR(__xludf.DUMMYFUNCTION("""COMPUTED_VALUE"""),"Статия в списания и поредици")</f>
        <v>Статия в списания и поредици</v>
      </c>
      <c r="C3904" s="10" t="str">
        <f ca="1">IFERROR(__xludf.DUMMYFUNCTION("""COMPUTED_VALUE"""),"Регулация на пазара на лекарствени продукти. Корупционни практики свързани с лекарствената политика.")</f>
        <v>Регулация на пазара на лекарствени продукти. Корупционни практики свързани с лекарствената политика.</v>
      </c>
      <c r="D3904" s="10">
        <f ca="1">IFERROR(__xludf.DUMMYFUNCTION("""COMPUTED_VALUE"""),2017)</f>
        <v>2017</v>
      </c>
      <c r="E3904" s="10" t="str">
        <f ca="1">IFERROR(__xludf.DUMMYFUNCTION("""COMPUTED_VALUE"""),"Списание „Варненски медицински форум“, 2017, VI, 1, 17–21.")</f>
        <v>Списание „Варненски медицински форум“, 2017, VI, 1, 17–21.</v>
      </c>
      <c r="F3904" s="10"/>
      <c r="G3904" s="10"/>
      <c r="H3904" s="10"/>
      <c r="I3904" s="10"/>
      <c r="J3904" s="10"/>
      <c r="K3904" s="10"/>
      <c r="L3904" s="10"/>
      <c r="M3904" s="10"/>
      <c r="N3904" s="10"/>
      <c r="O3904" s="10"/>
      <c r="P3904" s="10"/>
      <c r="Q3904" s="10"/>
      <c r="R3904" s="10"/>
      <c r="S3904" s="10"/>
      <c r="T3904" s="10"/>
      <c r="U3904" s="10"/>
      <c r="V3904" s="10"/>
      <c r="W3904" s="10"/>
      <c r="X3904" s="10"/>
      <c r="Y3904" s="10"/>
      <c r="Z3904" s="10"/>
    </row>
    <row r="3905" spans="1:26" ht="12.75">
      <c r="A3905" s="10" t="str">
        <f ca="1">IFERROR(__xludf.DUMMYFUNCTION("""COMPUTED_VALUE"""),"Йордан Георгиев Деливерски")</f>
        <v>Йордан Георгиев Деливерски</v>
      </c>
      <c r="B3905" s="10" t="str">
        <f ca="1">IFERROR(__xludf.DUMMYFUNCTION("""COMPUTED_VALUE"""),"Статия в списания и поредици")</f>
        <v>Статия в списания и поредици</v>
      </c>
      <c r="C3905" s="10" t="str">
        <f ca="1">IFERROR(__xludf.DUMMYFUNCTION("""COMPUTED_VALUE"""),"Формирането на цените на клиничните пътеки, като предпоставка за създаване на корупционни практики на централно ниво в здравеопазването.")</f>
        <v>Формирането на цените на клиничните пътеки, като предпоставка за създаване на корупционни практики на централно ниво в здравеопазването.</v>
      </c>
      <c r="D3905" s="10">
        <f ca="1">IFERROR(__xludf.DUMMYFUNCTION("""COMPUTED_VALUE"""),2016)</f>
        <v>2016</v>
      </c>
      <c r="E3905" s="10" t="str">
        <f ca="1">IFERROR(__xludf.DUMMYFUNCTION("""COMPUTED_VALUE"""),"Списание „Варненски медицински форум“, 2016, V, 2, 217–220.")</f>
        <v>Списание „Варненски медицински форум“, 2016, V, 2, 217–220.</v>
      </c>
      <c r="F3905" s="10"/>
      <c r="G3905" s="10"/>
      <c r="H3905" s="10"/>
      <c r="I3905" s="10"/>
      <c r="J3905" s="10"/>
      <c r="K3905" s="10"/>
      <c r="L3905" s="10"/>
      <c r="M3905" s="10"/>
      <c r="N3905" s="10"/>
      <c r="O3905" s="10"/>
      <c r="P3905" s="10"/>
      <c r="Q3905" s="10"/>
      <c r="R3905" s="10"/>
      <c r="S3905" s="10"/>
      <c r="T3905" s="10"/>
      <c r="U3905" s="10"/>
      <c r="V3905" s="10"/>
      <c r="W3905" s="10"/>
      <c r="X3905" s="10"/>
      <c r="Y3905" s="10"/>
      <c r="Z3905" s="10"/>
    </row>
    <row r="3906" spans="1:26" ht="12.75">
      <c r="A3906" s="10" t="str">
        <f ca="1">IFERROR(__xludf.DUMMYFUNCTION("""COMPUTED_VALUE"""),"Йордан Георгиев Деливерски")</f>
        <v>Йордан Георгиев Деливерски</v>
      </c>
      <c r="B3906" s="10" t="str">
        <f ca="1">IFERROR(__xludf.DUMMYFUNCTION("""COMPUTED_VALUE"""),"Статия в списания и поредици")</f>
        <v>Статия в списания и поредици</v>
      </c>
      <c r="C3906" s="10" t="str">
        <f ca="1">IFERROR(__xludf.DUMMYFUNCTION("""COMPUTED_VALUE"""),"Възможности за ограничаване на корупционните практики в сектор “Здравеопазване”.")</f>
        <v>Възможности за ограничаване на корупционните практики в сектор “Здравеопазване”.</v>
      </c>
      <c r="D3906" s="10">
        <f ca="1">IFERROR(__xludf.DUMMYFUNCTION("""COMPUTED_VALUE"""),2016)</f>
        <v>2016</v>
      </c>
      <c r="E3906" s="10" t="str">
        <f ca="1">IFERROR(__xludf.DUMMYFUNCTION("""COMPUTED_VALUE"""),"Списание „Варненски медицински форум“, 2016, V, 2, 221–225.")</f>
        <v>Списание „Варненски медицински форум“, 2016, V, 2, 221–225.</v>
      </c>
      <c r="F3906" s="10"/>
      <c r="G3906" s="10"/>
      <c r="H3906" s="10"/>
      <c r="I3906" s="10"/>
      <c r="J3906" s="10"/>
      <c r="K3906" s="10"/>
      <c r="L3906" s="10"/>
      <c r="M3906" s="10"/>
      <c r="N3906" s="10"/>
      <c r="O3906" s="10"/>
      <c r="P3906" s="10"/>
      <c r="Q3906" s="10"/>
      <c r="R3906" s="10"/>
      <c r="S3906" s="10"/>
      <c r="T3906" s="10"/>
      <c r="U3906" s="10"/>
      <c r="V3906" s="10"/>
      <c r="W3906" s="10"/>
      <c r="X3906" s="10"/>
      <c r="Y3906" s="10"/>
      <c r="Z3906" s="10"/>
    </row>
    <row r="3907" spans="1:26" ht="12.75">
      <c r="A3907" s="10" t="str">
        <f ca="1">IFERROR(__xludf.DUMMYFUNCTION("""COMPUTED_VALUE"""),"Йордан Георгиев Деливерски")</f>
        <v>Йордан Георгиев Деливерски</v>
      </c>
      <c r="B3907" s="10" t="str">
        <f ca="1">IFERROR(__xludf.DUMMYFUNCTION("""COMPUTED_VALUE"""),"Статия в списания и поредици")</f>
        <v>Статия в списания и поредици</v>
      </c>
      <c r="C3907" s="10" t="str">
        <f ca="1">IFERROR(__xludf.DUMMYFUNCTION("""COMPUTED_VALUE"""),"Application of nanobiomaterials inrestorative dentistry.")</f>
        <v>Application of nanobiomaterials inrestorative dentistry.</v>
      </c>
      <c r="D3907" s="10">
        <f ca="1">IFERROR(__xludf.DUMMYFUNCTION("""COMPUTED_VALUE"""),2016)</f>
        <v>2016</v>
      </c>
      <c r="E3907" s="10" t="str">
        <f ca="1">IFERROR(__xludf.DUMMYFUNCTION("""COMPUTED_VALUE"""),"J of IMAB, 2016 Jan-Mar;22(1):1050-1055, DOI: 10.5272/jimab.2016221.1050")</f>
        <v>J of IMAB, 2016 Jan-Mar;22(1):1050-1055, DOI: 10.5272/jimab.2016221.1050</v>
      </c>
      <c r="F3907" s="10"/>
      <c r="G3907" s="10" t="str">
        <f ca="1">IFERROR(__xludf.DUMMYFUNCTION("""COMPUTED_VALUE"""),"Maya Lyapina, Mariana Cekova, Maria Dencheva, Assya Krasteva, MarielaYaneva-Deliverska,")</f>
        <v>Maya Lyapina, Mariana Cekova, Maria Dencheva, Assya Krasteva, MarielaYaneva-Deliverska,</v>
      </c>
      <c r="H3907" s="10"/>
      <c r="I3907" s="10"/>
      <c r="J3907" s="10"/>
      <c r="K3907" s="10"/>
      <c r="L3907" s="10"/>
      <c r="M3907" s="10"/>
      <c r="N3907" s="10"/>
      <c r="O3907" s="10"/>
      <c r="P3907" s="10"/>
      <c r="Q3907" s="10"/>
      <c r="R3907" s="10"/>
      <c r="S3907" s="10"/>
      <c r="T3907" s="10"/>
      <c r="U3907" s="10"/>
      <c r="V3907" s="10"/>
      <c r="W3907" s="10"/>
      <c r="X3907" s="10"/>
      <c r="Y3907" s="10"/>
      <c r="Z3907" s="10"/>
    </row>
    <row r="3908" spans="1:26" ht="12.75">
      <c r="A3908" s="10" t="str">
        <f ca="1">IFERROR(__xludf.DUMMYFUNCTION("""COMPUTED_VALUE"""),"Йордан Георгиев Деливерски")</f>
        <v>Йордан Георгиев Деливерски</v>
      </c>
      <c r="B3908" s="10" t="str">
        <f ca="1">IFERROR(__xludf.DUMMYFUNCTION("""COMPUTED_VALUE"""),"Доклад от конференция")</f>
        <v>Доклад от конференция</v>
      </c>
      <c r="C3908" s="10" t="str">
        <f ca="1">IFERROR(__xludf.DUMMYFUNCTION("""COMPUTED_VALUE"""),"Preventing corruption in the education system.")</f>
        <v>Preventing corruption in the education system.</v>
      </c>
      <c r="D3908" s="10">
        <f ca="1">IFERROR(__xludf.DUMMYFUNCTION("""COMPUTED_VALUE"""),2016)</f>
        <v>2016</v>
      </c>
      <c r="E3908" s="10" t="str">
        <f ca="1">IFERROR(__xludf.DUMMYFUNCTION("""COMPUTED_VALUE"""),"Journal of educational and instructional studies in the world 2016June;6Spec.1(20):141-146., ISSN: 2146-7463")</f>
        <v>Journal of educational and instructional studies in the world 2016June;6Spec.1(20):141-146., ISSN: 2146-7463</v>
      </c>
      <c r="F3908" s="10"/>
      <c r="G3908" s="10"/>
      <c r="H3908" s="10"/>
      <c r="I3908" s="10"/>
      <c r="J3908" s="10"/>
      <c r="K3908" s="10"/>
      <c r="L3908" s="10"/>
      <c r="M3908" s="10"/>
      <c r="N3908" s="10"/>
      <c r="O3908" s="10"/>
      <c r="P3908" s="10"/>
      <c r="Q3908" s="10"/>
      <c r="R3908" s="10"/>
      <c r="S3908" s="10"/>
      <c r="T3908" s="10"/>
      <c r="U3908" s="10"/>
      <c r="V3908" s="10"/>
      <c r="W3908" s="10"/>
      <c r="X3908" s="10"/>
      <c r="Y3908" s="10"/>
      <c r="Z3908" s="10"/>
    </row>
    <row r="3909" spans="1:26" ht="12.75">
      <c r="A3909" s="10" t="str">
        <f ca="1">IFERROR(__xludf.DUMMYFUNCTION("""COMPUTED_VALUE"""),"Йордан Георгиев Деливерски")</f>
        <v>Йордан Георгиев Деливерски</v>
      </c>
      <c r="B3909" s="10" t="str">
        <f ca="1">IFERROR(__xludf.DUMMYFUNCTION("""COMPUTED_VALUE"""),"Статия в списания и поредици")</f>
        <v>Статия в списания и поредици</v>
      </c>
      <c r="C3909" s="10" t="str">
        <f ca="1">IFERROR(__xludf.DUMMYFUNCTION("""COMPUTED_VALUE"""),"Application of nanobiomaterials inrestorative dentistry.")</f>
        <v>Application of nanobiomaterials inrestorative dentistry.</v>
      </c>
      <c r="D3909" s="10">
        <f ca="1">IFERROR(__xludf.DUMMYFUNCTION("""COMPUTED_VALUE"""),2016)</f>
        <v>2016</v>
      </c>
      <c r="E3909" s="10" t="str">
        <f ca="1">IFERROR(__xludf.DUMMYFUNCTION("""COMPUTED_VALUE"""),"J of IMAB, 2016 Jan-Mar;22(1):1050-1055, DOI: 10.5272/jimab.2016221.1050")</f>
        <v>J of IMAB, 2016 Jan-Mar;22(1):1050-1055, DOI: 10.5272/jimab.2016221.1050</v>
      </c>
      <c r="F3909" s="10"/>
      <c r="G3909" s="10" t="str">
        <f ca="1">IFERROR(__xludf.DUMMYFUNCTION("""COMPUTED_VALUE"""),"Maya Lyapina, Mariana Cekova, Maria Dencheva, Assya Krasteva, MarielaYaneva-Deliverska,")</f>
        <v>Maya Lyapina, Mariana Cekova, Maria Dencheva, Assya Krasteva, MarielaYaneva-Deliverska,</v>
      </c>
      <c r="H3909" s="10"/>
      <c r="I3909" s="10"/>
      <c r="J3909" s="10"/>
      <c r="K3909" s="10"/>
      <c r="L3909" s="10"/>
      <c r="M3909" s="10"/>
      <c r="N3909" s="10"/>
      <c r="O3909" s="10"/>
      <c r="P3909" s="10"/>
      <c r="Q3909" s="10"/>
      <c r="R3909" s="10"/>
      <c r="S3909" s="10"/>
      <c r="T3909" s="10"/>
      <c r="U3909" s="10"/>
      <c r="V3909" s="10"/>
      <c r="W3909" s="10"/>
      <c r="X3909" s="10"/>
      <c r="Y3909" s="10"/>
      <c r="Z3909" s="10"/>
    </row>
    <row r="3910" spans="1:26" ht="12.75">
      <c r="A3910" s="10" t="str">
        <f ca="1">IFERROR(__xludf.DUMMYFUNCTION("""COMPUTED_VALUE"""),"Йордан Георгиев Деливерски")</f>
        <v>Йордан Георгиев Деливерски</v>
      </c>
      <c r="B3910" s="10" t="str">
        <f ca="1">IFERROR(__xludf.DUMMYFUNCTION("""COMPUTED_VALUE"""),"Статия в списания и поредици")</f>
        <v>Статия в списания и поредици</v>
      </c>
      <c r="C3910" s="10" t="str">
        <f ca="1">IFERROR(__xludf.DUMMYFUNCTION("""COMPUTED_VALUE"""),"Why is Corruption in the Healthcare Sector in Bulgaria so Common?")</f>
        <v>Why is Corruption in the Healthcare Sector in Bulgaria so Common?</v>
      </c>
      <c r="D3910" s="10">
        <f ca="1">IFERROR(__xludf.DUMMYFUNCTION("""COMPUTED_VALUE"""),2016)</f>
        <v>2016</v>
      </c>
      <c r="E3910" s="10" t="str">
        <f ca="1">IFERROR(__xludf.DUMMYFUNCTION("""COMPUTED_VALUE"""),"Medinform. 2016;3(1):394-397., DOI: 10.18044/Medinform.201631.394")</f>
        <v>Medinform. 2016;3(1):394-397., DOI: 10.18044/Medinform.201631.394</v>
      </c>
      <c r="F3910" s="10"/>
      <c r="G3910" s="10"/>
      <c r="H3910" s="10"/>
      <c r="I3910" s="10"/>
      <c r="J3910" s="10"/>
      <c r="K3910" s="10"/>
      <c r="L3910" s="10"/>
      <c r="M3910" s="10"/>
      <c r="N3910" s="10"/>
      <c r="O3910" s="10"/>
      <c r="P3910" s="10"/>
      <c r="Q3910" s="10"/>
      <c r="R3910" s="10"/>
      <c r="S3910" s="10"/>
      <c r="T3910" s="10"/>
      <c r="U3910" s="10"/>
      <c r="V3910" s="10"/>
      <c r="W3910" s="10"/>
      <c r="X3910" s="10"/>
      <c r="Y3910" s="10"/>
      <c r="Z3910" s="10"/>
    </row>
    <row r="3911" spans="1:26" ht="12.75">
      <c r="A3911" s="10" t="str">
        <f ca="1">IFERROR(__xludf.DUMMYFUNCTION("""COMPUTED_VALUE"""),"Йордан Георгиев Деливерски")</f>
        <v>Йордан Георгиев Деливерски</v>
      </c>
      <c r="B3911" s="10" t="str">
        <f ca="1">IFERROR(__xludf.DUMMYFUNCTION("""COMPUTED_VALUE"""),"Доклад от конференция")</f>
        <v>Доклад от конференция</v>
      </c>
      <c r="C3911" s="10" t="str">
        <f ca="1">IFERROR(__xludf.DUMMYFUNCTION("""COMPUTED_VALUE"""),"Preventing corruption in the education system.")</f>
        <v>Preventing corruption in the education system.</v>
      </c>
      <c r="D3911" s="10">
        <f ca="1">IFERROR(__xludf.DUMMYFUNCTION("""COMPUTED_VALUE"""),2016)</f>
        <v>2016</v>
      </c>
      <c r="E3911" s="10" t="str">
        <f ca="1">IFERROR(__xludf.DUMMYFUNCTION("""COMPUTED_VALUE"""),"Journal of educational and instructional studies in the world 2016June;6Spec.1(20):141-146., ISSN: 2146-7463")</f>
        <v>Journal of educational and instructional studies in the world 2016June;6Spec.1(20):141-146., ISSN: 2146-7463</v>
      </c>
      <c r="F3911" s="10"/>
      <c r="G3911" s="10"/>
      <c r="H3911" s="10"/>
      <c r="I3911" s="10"/>
      <c r="J3911" s="10"/>
      <c r="K3911" s="10"/>
      <c r="L3911" s="10"/>
      <c r="M3911" s="10"/>
      <c r="N3911" s="10"/>
      <c r="O3911" s="10"/>
      <c r="P3911" s="10"/>
      <c r="Q3911" s="10"/>
      <c r="R3911" s="10"/>
      <c r="S3911" s="10"/>
      <c r="T3911" s="10"/>
      <c r="U3911" s="10"/>
      <c r="V3911" s="10"/>
      <c r="W3911" s="10"/>
      <c r="X3911" s="10"/>
      <c r="Y3911" s="10"/>
      <c r="Z3911" s="10"/>
    </row>
    <row r="3912" spans="1:26" ht="12.75">
      <c r="A3912" s="10" t="str">
        <f ca="1">IFERROR(__xludf.DUMMYFUNCTION("""COMPUTED_VALUE"""),"Йордан Георгиев Деливерски")</f>
        <v>Йордан Георгиев Деливерски</v>
      </c>
      <c r="B3912" s="10" t="str">
        <f ca="1">IFERROR(__xludf.DUMMYFUNCTION("""COMPUTED_VALUE"""),"Статия в списания и поредици")</f>
        <v>Статия в списания и поредици</v>
      </c>
      <c r="C3912" s="10" t="str">
        <f ca="1">IFERROR(__xludf.DUMMYFUNCTION("""COMPUTED_VALUE"""),"Why is Corruption in the Healthcare Sector in Bulgaria so Common?")</f>
        <v>Why is Corruption in the Healthcare Sector in Bulgaria so Common?</v>
      </c>
      <c r="D3912" s="10">
        <f ca="1">IFERROR(__xludf.DUMMYFUNCTION("""COMPUTED_VALUE"""),2016)</f>
        <v>2016</v>
      </c>
      <c r="E3912" s="10" t="str">
        <f ca="1">IFERROR(__xludf.DUMMYFUNCTION("""COMPUTED_VALUE"""),"Medinform. 2016;3(1):394-397., DOI: 10.18044/Medinform.201631.394")</f>
        <v>Medinform. 2016;3(1):394-397., DOI: 10.18044/Medinform.201631.394</v>
      </c>
      <c r="F3912" s="10"/>
      <c r="G3912" s="10"/>
      <c r="H3912" s="10"/>
      <c r="I3912" s="10"/>
      <c r="J3912" s="10"/>
      <c r="K3912" s="10"/>
      <c r="L3912" s="10"/>
      <c r="M3912" s="10"/>
      <c r="N3912" s="10"/>
      <c r="O3912" s="10"/>
      <c r="P3912" s="10"/>
      <c r="Q3912" s="10"/>
      <c r="R3912" s="10"/>
      <c r="S3912" s="10"/>
      <c r="T3912" s="10"/>
      <c r="U3912" s="10"/>
      <c r="V3912" s="10"/>
      <c r="W3912" s="10"/>
      <c r="X3912" s="10"/>
      <c r="Y3912" s="10"/>
      <c r="Z3912" s="10"/>
    </row>
    <row r="3913" spans="1:26" ht="12.75">
      <c r="A3913" s="10" t="str">
        <f ca="1">IFERROR(__xludf.DUMMYFUNCTION("""COMPUTED_VALUE"""),"Йордан Георгиев Деливерски")</f>
        <v>Йордан Георгиев Деливерски</v>
      </c>
      <c r="B3913" s="10" t="str">
        <f ca="1">IFERROR(__xludf.DUMMYFUNCTION("""COMPUTED_VALUE"""),"Статия в списания и поредици")</f>
        <v>Статия в списания и поредици</v>
      </c>
      <c r="C3913" s="10" t="str">
        <f ca="1">IFERROR(__xludf.DUMMYFUNCTION("""COMPUTED_VALUE"""),"How does corruption Affects healthcare sector in Bulgaria.")</f>
        <v>How does corruption Affects healthcare sector in Bulgaria.</v>
      </c>
      <c r="D3913" s="10">
        <f ca="1">IFERROR(__xludf.DUMMYFUNCTION("""COMPUTED_VALUE"""),2016)</f>
        <v>2016</v>
      </c>
      <c r="E3913" s="10" t="str">
        <f ca="1">IFERROR(__xludf.DUMMYFUNCTION("""COMPUTED_VALUE"""),"J of IMAB. 2016 Jan-Mar;22(1):1088-1090., DOI: http://dx.doi.org/10.5272/jimab.2016221.1088")</f>
        <v>J of IMAB. 2016 Jan-Mar;22(1):1088-1090., DOI: http://dx.doi.org/10.5272/jimab.2016221.1088</v>
      </c>
      <c r="F3913" s="10"/>
      <c r="G3913" s="10"/>
      <c r="H3913" s="10"/>
      <c r="I3913" s="10"/>
      <c r="J3913" s="10"/>
      <c r="K3913" s="10"/>
      <c r="L3913" s="10"/>
      <c r="M3913" s="10"/>
      <c r="N3913" s="10"/>
      <c r="O3913" s="10"/>
      <c r="P3913" s="10"/>
      <c r="Q3913" s="10"/>
      <c r="R3913" s="10"/>
      <c r="S3913" s="10"/>
      <c r="T3913" s="10"/>
      <c r="U3913" s="10"/>
      <c r="V3913" s="10"/>
      <c r="W3913" s="10"/>
      <c r="X3913" s="10"/>
      <c r="Y3913" s="10"/>
      <c r="Z3913" s="10"/>
    </row>
    <row r="3914" spans="1:26" ht="12.75">
      <c r="A3914" s="10" t="str">
        <f ca="1">IFERROR(__xludf.DUMMYFUNCTION("""COMPUTED_VALUE"""),"Йордан Георгиев Деливерски")</f>
        <v>Йордан Георгиев Деливерски</v>
      </c>
      <c r="B3914" s="10" t="str">
        <f ca="1">IFERROR(__xludf.DUMMYFUNCTION("""COMPUTED_VALUE"""),"Статия в списания и поредици")</f>
        <v>Статия в списания и поредици</v>
      </c>
      <c r="C3914" s="10" t="str">
        <f ca="1">IFERROR(__xludf.DUMMYFUNCTION("""COMPUTED_VALUE"""),"Възможности за ограничаване на корупционните практики в сектор “Здравеопазване”.")</f>
        <v>Възможности за ограничаване на корупционните практики в сектор “Здравеопазване”.</v>
      </c>
      <c r="D3914" s="10">
        <f ca="1">IFERROR(__xludf.DUMMYFUNCTION("""COMPUTED_VALUE"""),2016)</f>
        <v>2016</v>
      </c>
      <c r="E3914" s="10" t="str">
        <f ca="1">IFERROR(__xludf.DUMMYFUNCTION("""COMPUTED_VALUE"""),"Списание „Варненски медицински форум“, 2016, V, 2, 221–225.")</f>
        <v>Списание „Варненски медицински форум“, 2016, V, 2, 221–225.</v>
      </c>
      <c r="F3914" s="10"/>
      <c r="G3914" s="10"/>
      <c r="H3914" s="10"/>
      <c r="I3914" s="10"/>
      <c r="J3914" s="10"/>
      <c r="K3914" s="10"/>
      <c r="L3914" s="10"/>
      <c r="M3914" s="10"/>
      <c r="N3914" s="10"/>
      <c r="O3914" s="10"/>
      <c r="P3914" s="10"/>
      <c r="Q3914" s="10"/>
      <c r="R3914" s="10"/>
      <c r="S3914" s="10"/>
      <c r="T3914" s="10"/>
      <c r="U3914" s="10"/>
      <c r="V3914" s="10"/>
      <c r="W3914" s="10"/>
      <c r="X3914" s="10"/>
      <c r="Y3914" s="10"/>
      <c r="Z3914" s="10"/>
    </row>
    <row r="3915" spans="1:26" ht="12.75">
      <c r="A3915" s="10" t="str">
        <f ca="1">IFERROR(__xludf.DUMMYFUNCTION("""COMPUTED_VALUE"""),"Йордан Георгиев Деливерски")</f>
        <v>Йордан Георгиев Деливерски</v>
      </c>
      <c r="B3915" s="10" t="str">
        <f ca="1">IFERROR(__xludf.DUMMYFUNCTION("""COMPUTED_VALUE"""),"Статия в списания и поредици")</f>
        <v>Статия в списания и поредици</v>
      </c>
      <c r="C3915" s="10" t="str">
        <f ca="1">IFERROR(__xludf.DUMMYFUNCTION("""COMPUTED_VALUE"""),"Формирането на цените на клиничните пътеки, като предпоставка за създаване на корупционни практики на централно ниво в здравеопазването.")</f>
        <v>Формирането на цените на клиничните пътеки, като предпоставка за създаване на корупционни практики на централно ниво в здравеопазването.</v>
      </c>
      <c r="D3915" s="10">
        <f ca="1">IFERROR(__xludf.DUMMYFUNCTION("""COMPUTED_VALUE"""),2016)</f>
        <v>2016</v>
      </c>
      <c r="E3915" s="10" t="str">
        <f ca="1">IFERROR(__xludf.DUMMYFUNCTION("""COMPUTED_VALUE"""),"Списание „Варненски медицински форум“, 2016, V, 2, 217–220.")</f>
        <v>Списание „Варненски медицински форум“, 2016, V, 2, 217–220.</v>
      </c>
      <c r="F3915" s="10"/>
      <c r="G3915" s="10"/>
      <c r="H3915" s="10"/>
      <c r="I3915" s="10"/>
      <c r="J3915" s="10"/>
      <c r="K3915" s="10"/>
      <c r="L3915" s="10"/>
      <c r="M3915" s="10"/>
      <c r="N3915" s="10"/>
      <c r="O3915" s="10"/>
      <c r="P3915" s="10"/>
      <c r="Q3915" s="10"/>
      <c r="R3915" s="10"/>
      <c r="S3915" s="10"/>
      <c r="T3915" s="10"/>
      <c r="U3915" s="10"/>
      <c r="V3915" s="10"/>
      <c r="W3915" s="10"/>
      <c r="X3915" s="10"/>
      <c r="Y3915" s="10"/>
      <c r="Z3915" s="10"/>
    </row>
    <row r="3916" spans="1:26" ht="12.75">
      <c r="A3916" s="10" t="str">
        <f ca="1">IFERROR(__xludf.DUMMYFUNCTION("""COMPUTED_VALUE"""),"Йордан Георгиев Деливерски")</f>
        <v>Йордан Георгиев Деливерски</v>
      </c>
      <c r="B3916" s="10" t="str">
        <f ca="1">IFERROR(__xludf.DUMMYFUNCTION("""COMPUTED_VALUE"""),"Доклад от конференция")</f>
        <v>Доклад от конференция</v>
      </c>
      <c r="C3916" s="10" t="str">
        <f ca="1">IFERROR(__xludf.DUMMYFUNCTION("""COMPUTED_VALUE"""),"Защита на информацията при събиране и обработване на биометрични данни за медицински услуги")</f>
        <v>Защита на информацията при събиране и обработване на биометрични данни за медицински услуги</v>
      </c>
      <c r="D3916" s="10">
        <f ca="1">IFERROR(__xludf.DUMMYFUNCTION("""COMPUTED_VALUE"""),2016)</f>
        <v>2016</v>
      </c>
      <c r="E3916" s="10" t="str">
        <f ca="1">IFERROR(__xludf.DUMMYFUNCTION("""COMPUTED_VALUE"""),"XIV Национална конфервите - О пиенция “Обществото на знанието и хуманизмът на ХХI век”, Университет по билиотекознание и информационни технологии. 2016, 671–678. Отпечатан в сборник с доклади ""Обществото на знанието и хуманизмът на XXI век"" За буксменех"&amp;", София, 2017Р с. 671-678, ISSN: 1314-7099")</f>
        <v>XIV Национална конфервите - О пиенция “Обществото на знанието и хуманизмът на ХХI век”, Университет по билиотекознание и информационни технологии. 2016, 671–678. Отпечатан в сборник с доклади "Обществото на знанието и хуманизмът на XXI век" За буксменех, София, 2017Р с. 671-678, ISSN: 1314-7099</v>
      </c>
      <c r="F3916" s="10"/>
      <c r="G3916" s="10"/>
      <c r="H3916" s="10"/>
      <c r="I3916" s="10"/>
      <c r="J3916" s="10"/>
      <c r="K3916" s="10"/>
      <c r="L3916" s="10"/>
      <c r="M3916" s="10"/>
      <c r="N3916" s="10"/>
      <c r="O3916" s="10"/>
      <c r="P3916" s="10"/>
      <c r="Q3916" s="10"/>
      <c r="R3916" s="10"/>
      <c r="S3916" s="10"/>
      <c r="T3916" s="10"/>
      <c r="U3916" s="10"/>
      <c r="V3916" s="10"/>
      <c r="W3916" s="10"/>
      <c r="X3916" s="10"/>
      <c r="Y3916" s="10"/>
      <c r="Z3916" s="10"/>
    </row>
    <row r="3917" spans="1:26" ht="12.75">
      <c r="A3917" s="10" t="str">
        <f ca="1">IFERROR(__xludf.DUMMYFUNCTION("""COMPUTED_VALUE"""),"Йордан Георгиев Деливерски")</f>
        <v>Йордан Георгиев Деливерски</v>
      </c>
      <c r="B3917" s="10" t="str">
        <f ca="1">IFERROR(__xludf.DUMMYFUNCTION("""COMPUTED_VALUE"""),"Доклад от конференция")</f>
        <v>Доклад от конференция</v>
      </c>
      <c r="C3917" s="10" t="str">
        <f ca="1">IFERROR(__xludf.DUMMYFUNCTION("""COMPUTED_VALUE"""),"Превенция на корупцията при обществените поръчки в публичния сектор – актуални проблеми и защитни механизми на национално и европейско ниво.")</f>
        <v>Превенция на корупцията при обществените поръчки в публичния сектор – актуални проблеми и защитни механизми на национално и европейско ниво.</v>
      </c>
      <c r="D3917" s="10">
        <f ca="1">IFERROR(__xludf.DUMMYFUNCTION("""COMPUTED_VALUE"""),2016)</f>
        <v>2016</v>
      </c>
      <c r="E3917" s="10" t="str">
        <f ca="1">IFERROR(__xludf.DUMMYFUNCTION("""COMPUTED_VALUE"""),"Бургаски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83 – 88, ISBN: 978-619-7126-28-0")</f>
        <v>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83 – 88, ISBN: 978-619-7126-28-0</v>
      </c>
      <c r="F3917" s="10"/>
      <c r="G3917" s="10"/>
      <c r="H3917" s="10"/>
      <c r="I3917" s="10"/>
      <c r="J3917" s="10"/>
      <c r="K3917" s="10"/>
      <c r="L3917" s="10"/>
      <c r="M3917" s="10"/>
      <c r="N3917" s="10"/>
      <c r="O3917" s="10"/>
      <c r="P3917" s="10"/>
      <c r="Q3917" s="10"/>
      <c r="R3917" s="10"/>
      <c r="S3917" s="10"/>
      <c r="T3917" s="10"/>
      <c r="U3917" s="10"/>
      <c r="V3917" s="10"/>
      <c r="W3917" s="10"/>
      <c r="X3917" s="10"/>
      <c r="Y3917" s="10"/>
      <c r="Z3917" s="10"/>
    </row>
    <row r="3918" spans="1:26" ht="12.75">
      <c r="A3918" s="10" t="str">
        <f ca="1">IFERROR(__xludf.DUMMYFUNCTION("""COMPUTED_VALUE"""),"Йордан Георгиев Деливерски")</f>
        <v>Йордан Георгиев Деливерски</v>
      </c>
      <c r="B3918" s="10" t="str">
        <f ca="1">IFERROR(__xludf.DUMMYFUNCTION("""COMPUTED_VALUE"""),"Доклад от конференция")</f>
        <v>Доклад от конференция</v>
      </c>
      <c r="C3918" s="10" t="str">
        <f ca="1">IFERROR(__xludf.DUMMYFUNCTION("""COMPUTED_VALUE"""),"Информационната сигурност в лечебните заведения. Мерки за подобряването й.")</f>
        <v>Информационната сигурност в лечебните заведения. Мерки за подобряването й.</v>
      </c>
      <c r="D3918" s="10">
        <f ca="1">IFERROR(__xludf.DUMMYFUNCTION("""COMPUTED_VALUE"""),2016)</f>
        <v>2016</v>
      </c>
      <c r="E3918" s="10" t="str">
        <f ca="1">IFERROR(__xludf.DUMMYFUNCTION("""COMPUTED_VALUE"""),"Бургаски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77 – 82, ISBN: 978-619-7126-28-0")</f>
        <v>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77 – 82, ISBN: 978-619-7126-28-0</v>
      </c>
      <c r="F3918" s="10"/>
      <c r="G3918" s="10"/>
      <c r="H3918" s="10"/>
      <c r="I3918" s="10"/>
      <c r="J3918" s="10"/>
      <c r="K3918" s="10"/>
      <c r="L3918" s="10"/>
      <c r="M3918" s="10"/>
      <c r="N3918" s="10"/>
      <c r="O3918" s="10"/>
      <c r="P3918" s="10"/>
      <c r="Q3918" s="10"/>
      <c r="R3918" s="10"/>
      <c r="S3918" s="10"/>
      <c r="T3918" s="10"/>
      <c r="U3918" s="10"/>
      <c r="V3918" s="10"/>
      <c r="W3918" s="10"/>
      <c r="X3918" s="10"/>
      <c r="Y3918" s="10"/>
      <c r="Z3918" s="10"/>
    </row>
    <row r="3919" spans="1:26" ht="12.75">
      <c r="A3919" s="10" t="str">
        <f ca="1">IFERROR(__xludf.DUMMYFUNCTION("""COMPUTED_VALUE"""),"Йордан Георгиев Деливерски")</f>
        <v>Йордан Георгиев Деливерски</v>
      </c>
      <c r="B3919" s="10" t="str">
        <f ca="1">IFERROR(__xludf.DUMMYFUNCTION("""COMPUTED_VALUE"""),"Доклад от конференция")</f>
        <v>Доклад от конференция</v>
      </c>
      <c r="C3919" s="10" t="str">
        <f ca="1">IFERROR(__xludf.DUMMYFUNCTION("""COMPUTED_VALUE"""),"Защита на информационните системи в обекти от критичната инфраструктура")</f>
        <v>Защита на информационните системи в обекти от критичната инфраструктура</v>
      </c>
      <c r="D3919" s="10">
        <f ca="1">IFERROR(__xludf.DUMMYFUNCTION("""COMPUTED_VALUE"""),2016)</f>
        <v>2016</v>
      </c>
      <c r="E3919" s="10" t="str">
        <f ca="1">IFERROR(__xludf.DUMMYFUNCTION("""COMPUTED_VALUE"""),"Научна конференция с международно участие на тема: “Промени в средата за сигурност”, 24 – 25 юни 2016 г. Отпечатан в Научен алманах на ВСУ, 2016, 31, 206–210")</f>
        <v>Научна конференция с международно участие на тема: “Промени в средата за сигурност”, 24 – 25 юни 2016 г. Отпечатан в Научен алманах на ВСУ, 2016, 31, 206–210</v>
      </c>
      <c r="F3919" s="10"/>
      <c r="G3919" s="10"/>
      <c r="H3919" s="10"/>
      <c r="I3919" s="10"/>
      <c r="J3919" s="10"/>
      <c r="K3919" s="10"/>
      <c r="L3919" s="10"/>
      <c r="M3919" s="10"/>
      <c r="N3919" s="10"/>
      <c r="O3919" s="10"/>
      <c r="P3919" s="10"/>
      <c r="Q3919" s="10"/>
      <c r="R3919" s="10"/>
      <c r="S3919" s="10"/>
      <c r="T3919" s="10"/>
      <c r="U3919" s="10"/>
      <c r="V3919" s="10"/>
      <c r="W3919" s="10"/>
      <c r="X3919" s="10"/>
      <c r="Y3919" s="10"/>
      <c r="Z3919" s="10"/>
    </row>
    <row r="3920" spans="1:26" ht="12.75">
      <c r="A3920" s="10" t="str">
        <f ca="1">IFERROR(__xludf.DUMMYFUNCTION("""COMPUTED_VALUE"""),"Йордан Георгиев Деливерски")</f>
        <v>Йордан Георгиев Деливерски</v>
      </c>
      <c r="B3920" s="10" t="str">
        <f ca="1">IFERROR(__xludf.DUMMYFUNCTION("""COMPUTED_VALUE"""),"Доклад от конференция")</f>
        <v>Доклад от конференция</v>
      </c>
      <c r="C3920" s="10" t="str">
        <f ca="1">IFERROR(__xludf.DUMMYFUNCTION("""COMPUTED_VALUE"""),"Информационните технологии в помощ на борбата с корупцията – потенциал и предизвикателства")</f>
        <v>Информационните технологии в помощ на борбата с корупцията – потенциал и предизвикателства</v>
      </c>
      <c r="D3920" s="10">
        <f ca="1">IFERROR(__xludf.DUMMYFUNCTION("""COMPUTED_VALUE"""),2016)</f>
        <v>2016</v>
      </c>
      <c r="E3920" s="10" t="str">
        <f ca="1">IFERROR(__xludf.DUMMYFUNCTION("""COMPUTED_VALUE"""),"Научна конференция с международно участие "" ""Право и Интернет"""" – 21 и 22 май 2016г. Бургаски свободен университет, Отпечатан в: Юридически сборник, 2016, XXIII, 374–378./, ISSN: 1311-3771")</f>
        <v>Научна конференция с международно участие " "Право и Интернет"" – 21 и 22 май 2016г. Бургаски свободен университет, Отпечатан в: Юридически сборник, 2016, XXIII, 374–378./, ISSN: 1311-3771</v>
      </c>
      <c r="F3920" s="10"/>
      <c r="G3920" s="10"/>
      <c r="H3920" s="10"/>
      <c r="I3920" s="10"/>
      <c r="J3920" s="10"/>
      <c r="K3920" s="10"/>
      <c r="L3920" s="10"/>
      <c r="M3920" s="10"/>
      <c r="N3920" s="10"/>
      <c r="O3920" s="10"/>
      <c r="P3920" s="10"/>
      <c r="Q3920" s="10"/>
      <c r="R3920" s="10"/>
      <c r="S3920" s="10"/>
      <c r="T3920" s="10"/>
      <c r="U3920" s="10"/>
      <c r="V3920" s="10"/>
      <c r="W3920" s="10"/>
      <c r="X3920" s="10"/>
      <c r="Y3920" s="10"/>
      <c r="Z3920" s="10"/>
    </row>
    <row r="3921" spans="1:26" ht="12.75">
      <c r="A3921" s="10" t="str">
        <f ca="1">IFERROR(__xludf.DUMMYFUNCTION("""COMPUTED_VALUE"""),"Йордан Георгиев Деливерски")</f>
        <v>Йордан Георгиев Деливерски</v>
      </c>
      <c r="B3921" s="10" t="str">
        <f ca="1">IFERROR(__xludf.DUMMYFUNCTION("""COMPUTED_VALUE"""),"Доклад от конференция")</f>
        <v>Доклад от конференция</v>
      </c>
      <c r="C3921" s="10" t="str">
        <f ca="1">IFERROR(__xludf.DUMMYFUNCTION("""COMPUTED_VALUE"""),"Правни инструменти за борба с корупцията.")</f>
        <v>Правни инструменти за борба с корупцията.</v>
      </c>
      <c r="D3921" s="10">
        <f ca="1">IFERROR(__xludf.DUMMYFUNCTION("""COMPUTED_VALUE"""),2016)</f>
        <v>2016</v>
      </c>
      <c r="E3921" s="10" t="str">
        <f ca="1">IFERROR(__xludf.DUMMYFUNCTION("""COMPUTED_VALUE"""),"Научна конференция с международно участие на тема: “Промени в средата за сигурност”, 24 – 25 юни 2016 г. Отпечатан в Научен алманах на ВСУ, 2016, 31, 276–281. ISSN 1313-7263")</f>
        <v>Научна конференция с международно участие на тема: “Промени в средата за сигурност”, 24 – 25 юни 2016 г. Отпечатан в Научен алманах на ВСУ, 2016, 31, 276–281. ISSN 1313-7263</v>
      </c>
      <c r="F3921" s="10"/>
      <c r="G3921" s="10"/>
      <c r="H3921" s="10"/>
      <c r="I3921" s="10"/>
      <c r="J3921" s="10"/>
      <c r="K3921" s="10"/>
      <c r="L3921" s="10"/>
      <c r="M3921" s="10"/>
      <c r="N3921" s="10"/>
      <c r="O3921" s="10"/>
      <c r="P3921" s="10"/>
      <c r="Q3921" s="10"/>
      <c r="R3921" s="10"/>
      <c r="S3921" s="10"/>
      <c r="T3921" s="10"/>
      <c r="U3921" s="10"/>
      <c r="V3921" s="10"/>
      <c r="W3921" s="10"/>
      <c r="X3921" s="10"/>
      <c r="Y3921" s="10"/>
      <c r="Z3921" s="10"/>
    </row>
    <row r="3922" spans="1:26" ht="12.75">
      <c r="A3922" s="10" t="str">
        <f ca="1">IFERROR(__xludf.DUMMYFUNCTION("""COMPUTED_VALUE"""),"Йордан Георгиев Деливерски")</f>
        <v>Йордан Георгиев Деливерски</v>
      </c>
      <c r="B3922" s="10" t="str">
        <f ca="1">IFERROR(__xludf.DUMMYFUNCTION("""COMPUTED_VALUE"""),"Статия в списания и поредици")</f>
        <v>Статия в списания и поредици</v>
      </c>
      <c r="C3922" s="10" t="str">
        <f ca="1">IFERROR(__xludf.DUMMYFUNCTION("""COMPUTED_VALUE"""),"Health information technology in exchange of health information.")</f>
        <v>Health information technology in exchange of health information.</v>
      </c>
      <c r="D3922" s="10">
        <f ca="1">IFERROR(__xludf.DUMMYFUNCTION("""COMPUTED_VALUE"""),2016)</f>
        <v>2016</v>
      </c>
      <c r="E3922" s="10" t="str">
        <f ca="1">IFERROR(__xludf.DUMMYFUNCTION("""COMPUTED_VALUE"""),"J of IMAB 2016 Apr-Jun;22(2):1182-1185, DOI: 10.5272/jimab.2016222.1182")</f>
        <v>J of IMAB 2016 Apr-Jun;22(2):1182-1185, DOI: 10.5272/jimab.2016222.1182</v>
      </c>
      <c r="F3922" s="10"/>
      <c r="G3922" s="10"/>
      <c r="H3922" s="10"/>
      <c r="I3922" s="10"/>
      <c r="J3922" s="10"/>
      <c r="K3922" s="10"/>
      <c r="L3922" s="10"/>
      <c r="M3922" s="10"/>
      <c r="N3922" s="10"/>
      <c r="O3922" s="10"/>
      <c r="P3922" s="10"/>
      <c r="Q3922" s="10"/>
      <c r="R3922" s="10"/>
      <c r="S3922" s="10"/>
      <c r="T3922" s="10"/>
      <c r="U3922" s="10"/>
      <c r="V3922" s="10"/>
      <c r="W3922" s="10"/>
      <c r="X3922" s="10"/>
      <c r="Y3922" s="10"/>
      <c r="Z3922" s="10"/>
    </row>
    <row r="3923" spans="1:26" ht="12.75">
      <c r="A3923" s="10" t="str">
        <f ca="1">IFERROR(__xludf.DUMMYFUNCTION("""COMPUTED_VALUE"""),"Йордан Георгиев Деливерски")</f>
        <v>Йордан Георгиев Деливерски</v>
      </c>
      <c r="B3923" s="10" t="str">
        <f ca="1">IFERROR(__xludf.DUMMYFUNCTION("""COMPUTED_VALUE"""),"Статия в списания и поредици")</f>
        <v>Статия в списания и поредици</v>
      </c>
      <c r="C3923" s="10" t="str">
        <f ca="1">IFERROR(__xludf.DUMMYFUNCTION("""COMPUTED_VALUE"""),"Corruption in access to educational institutions.")</f>
        <v>Corruption in access to educational institutions.</v>
      </c>
      <c r="D3923" s="10">
        <f ca="1">IFERROR(__xludf.DUMMYFUNCTION("""COMPUTED_VALUE"""),2016)</f>
        <v>2016</v>
      </c>
      <c r="E3923" s="10" t="str">
        <f ca="1">IFERROR(__xludf.DUMMYFUNCTION("""COMPUTED_VALUE"""),"J of IMAB. 2016 Jan-Mar;22(1):1086-1089., DOI: http://dx.doi.org/10.5272/jimab.2016221.1086")</f>
        <v>J of IMAB. 2016 Jan-Mar;22(1):1086-1089., DOI: http://dx.doi.org/10.5272/jimab.2016221.1086</v>
      </c>
      <c r="F3923" s="10"/>
      <c r="G3923" s="10"/>
      <c r="H3923" s="10"/>
      <c r="I3923" s="10"/>
      <c r="J3923" s="10"/>
      <c r="K3923" s="10"/>
      <c r="L3923" s="10"/>
      <c r="M3923" s="10"/>
      <c r="N3923" s="10"/>
      <c r="O3923" s="10"/>
      <c r="P3923" s="10"/>
      <c r="Q3923" s="10"/>
      <c r="R3923" s="10"/>
      <c r="S3923" s="10"/>
      <c r="T3923" s="10"/>
      <c r="U3923" s="10"/>
      <c r="V3923" s="10"/>
      <c r="W3923" s="10"/>
      <c r="X3923" s="10"/>
      <c r="Y3923" s="10"/>
      <c r="Z3923" s="10"/>
    </row>
    <row r="3924" spans="1:26" ht="12.75">
      <c r="A3924" s="10" t="str">
        <f ca="1">IFERROR(__xludf.DUMMYFUNCTION("""COMPUTED_VALUE"""),"Йордан Георгиев Деливерски")</f>
        <v>Йордан Георгиев Деливерски</v>
      </c>
      <c r="B3924" s="10" t="str">
        <f ca="1">IFERROR(__xludf.DUMMYFUNCTION("""COMPUTED_VALUE"""),"Статия в списания и поредици")</f>
        <v>Статия в списания и поредици</v>
      </c>
      <c r="C3924" s="10" t="str">
        <f ca="1">IFERROR(__xludf.DUMMYFUNCTION("""COMPUTED_VALUE"""),"How does corruption Affects healthcare sector in Bulgaria.")</f>
        <v>How does corruption Affects healthcare sector in Bulgaria.</v>
      </c>
      <c r="D3924" s="10">
        <f ca="1">IFERROR(__xludf.DUMMYFUNCTION("""COMPUTED_VALUE"""),2016)</f>
        <v>2016</v>
      </c>
      <c r="E3924" s="10" t="str">
        <f ca="1">IFERROR(__xludf.DUMMYFUNCTION("""COMPUTED_VALUE"""),"J of IMAB. 2016 Jan-Mar;22(1):1088-1090., DOI: http://dx.doi.org/10.5272/jimab.2016221.1088")</f>
        <v>J of IMAB. 2016 Jan-Mar;22(1):1088-1090., DOI: http://dx.doi.org/10.5272/jimab.2016221.1088</v>
      </c>
      <c r="F3924" s="10"/>
      <c r="G3924" s="10"/>
      <c r="H3924" s="10"/>
      <c r="I3924" s="10"/>
      <c r="J3924" s="10"/>
      <c r="K3924" s="10"/>
      <c r="L3924" s="10"/>
      <c r="M3924" s="10"/>
      <c r="N3924" s="10"/>
      <c r="O3924" s="10"/>
      <c r="P3924" s="10"/>
      <c r="Q3924" s="10"/>
      <c r="R3924" s="10"/>
      <c r="S3924" s="10"/>
      <c r="T3924" s="10"/>
      <c r="U3924" s="10"/>
      <c r="V3924" s="10"/>
      <c r="W3924" s="10"/>
      <c r="X3924" s="10"/>
      <c r="Y3924" s="10"/>
      <c r="Z3924" s="10"/>
    </row>
    <row r="3925" spans="1:26" ht="12.75">
      <c r="A3925" s="10" t="str">
        <f ca="1">IFERROR(__xludf.DUMMYFUNCTION("""COMPUTED_VALUE"""),"Йордан Георгиев Деливерски")</f>
        <v>Йордан Георгиев Деливерски</v>
      </c>
      <c r="B3925" s="10" t="str">
        <f ca="1">IFERROR(__xludf.DUMMYFUNCTION("""COMPUTED_VALUE"""),"Статия в списания и поредици")</f>
        <v>Статия в списания и поредици</v>
      </c>
      <c r="C3925" s="10" t="str">
        <f ca="1">IFERROR(__xludf.DUMMYFUNCTION("""COMPUTED_VALUE"""),"Health information technology in exchange of health information.")</f>
        <v>Health information technology in exchange of health information.</v>
      </c>
      <c r="D3925" s="10">
        <f ca="1">IFERROR(__xludf.DUMMYFUNCTION("""COMPUTED_VALUE"""),2016)</f>
        <v>2016</v>
      </c>
      <c r="E3925" s="10" t="str">
        <f ca="1">IFERROR(__xludf.DUMMYFUNCTION("""COMPUTED_VALUE"""),"J of IMAB 2016 Apr-Jun;22(2):1182-1185, DOI: 10.5272/jimab.2016222.1182")</f>
        <v>J of IMAB 2016 Apr-Jun;22(2):1182-1185, DOI: 10.5272/jimab.2016222.1182</v>
      </c>
      <c r="F3925" s="10"/>
      <c r="G3925" s="10"/>
      <c r="H3925" s="10"/>
      <c r="I3925" s="10"/>
      <c r="J3925" s="10"/>
      <c r="K3925" s="10"/>
      <c r="L3925" s="10"/>
      <c r="M3925" s="10"/>
      <c r="N3925" s="10"/>
      <c r="O3925" s="10"/>
      <c r="P3925" s="10"/>
      <c r="Q3925" s="10"/>
      <c r="R3925" s="10"/>
      <c r="S3925" s="10"/>
      <c r="T3925" s="10"/>
      <c r="U3925" s="10"/>
      <c r="V3925" s="10"/>
      <c r="W3925" s="10"/>
      <c r="X3925" s="10"/>
      <c r="Y3925" s="10"/>
      <c r="Z3925" s="10"/>
    </row>
    <row r="3926" spans="1:26" ht="12.75">
      <c r="A3926" s="10" t="str">
        <f ca="1">IFERROR(__xludf.DUMMYFUNCTION("""COMPUTED_VALUE"""),"Йордан Георгиев Деливерски")</f>
        <v>Йордан Георгиев Деливерски</v>
      </c>
      <c r="B3926" s="10" t="str">
        <f ca="1">IFERROR(__xludf.DUMMYFUNCTION("""COMPUTED_VALUE"""),"Доклад от конференция")</f>
        <v>Доклад от конференция</v>
      </c>
      <c r="C3926" s="10" t="str">
        <f ca="1">IFERROR(__xludf.DUMMYFUNCTION("""COMPUTED_VALUE"""),"Правни инструменти за борба с корупцията.")</f>
        <v>Правни инструменти за борба с корупцията.</v>
      </c>
      <c r="D3926" s="10">
        <f ca="1">IFERROR(__xludf.DUMMYFUNCTION("""COMPUTED_VALUE"""),2016)</f>
        <v>2016</v>
      </c>
      <c r="E3926" s="10" t="str">
        <f ca="1">IFERROR(__xludf.DUMMYFUNCTION("""COMPUTED_VALUE"""),"Научна конференция с международно участие на тема: “Промени в средата за сигурност”, 24 – 25 юни 2016 г. Отпечатан в Научен алманах на ВСУ, 2016, 31, 276–281. ISSN 1313-7263")</f>
        <v>Научна конференция с международно участие на тема: “Промени в средата за сигурност”, 24 – 25 юни 2016 г. Отпечатан в Научен алманах на ВСУ, 2016, 31, 276–281. ISSN 1313-7263</v>
      </c>
      <c r="F3926" s="10"/>
      <c r="G3926" s="10"/>
      <c r="H3926" s="10"/>
      <c r="I3926" s="10"/>
      <c r="J3926" s="10"/>
      <c r="K3926" s="10"/>
      <c r="L3926" s="10"/>
      <c r="M3926" s="10"/>
      <c r="N3926" s="10"/>
      <c r="O3926" s="10"/>
      <c r="P3926" s="10"/>
      <c r="Q3926" s="10"/>
      <c r="R3926" s="10"/>
      <c r="S3926" s="10"/>
      <c r="T3926" s="10"/>
      <c r="U3926" s="10"/>
      <c r="V3926" s="10"/>
      <c r="W3926" s="10"/>
      <c r="X3926" s="10"/>
      <c r="Y3926" s="10"/>
      <c r="Z3926" s="10"/>
    </row>
    <row r="3927" spans="1:26" ht="12.75">
      <c r="A3927" s="10" t="str">
        <f ca="1">IFERROR(__xludf.DUMMYFUNCTION("""COMPUTED_VALUE"""),"Йордан Георгиев Деливерски")</f>
        <v>Йордан Георгиев Деливерски</v>
      </c>
      <c r="B3927" s="10" t="str">
        <f ca="1">IFERROR(__xludf.DUMMYFUNCTION("""COMPUTED_VALUE"""),"Доклад от конференция")</f>
        <v>Доклад от конференция</v>
      </c>
      <c r="C3927" s="10" t="str">
        <f ca="1">IFERROR(__xludf.DUMMYFUNCTION("""COMPUTED_VALUE"""),"Информационните технологии в помощ на борбата с корупцията – потенциал и предизвикателства")</f>
        <v>Информационните технологии в помощ на борбата с корупцията – потенциал и предизвикателства</v>
      </c>
      <c r="D3927" s="10">
        <f ca="1">IFERROR(__xludf.DUMMYFUNCTION("""COMPUTED_VALUE"""),2016)</f>
        <v>2016</v>
      </c>
      <c r="E3927" s="10" t="str">
        <f ca="1">IFERROR(__xludf.DUMMYFUNCTION("""COMPUTED_VALUE"""),"Научна конференция с международно участие "" ""Право и Интернет"""" – 21 и 22 май 2016г. Бургаски свободен университет, Отпечатан в: Юридически сборник, 2016, XXIII, 374–378./, ISSN: 1311-3771")</f>
        <v>Научна конференция с международно участие " "Право и Интернет"" – 21 и 22 май 2016г. Бургаски свободен университет, Отпечатан в: Юридически сборник, 2016, XXIII, 374–378./, ISSN: 1311-3771</v>
      </c>
      <c r="F3927" s="10"/>
      <c r="G3927" s="10"/>
      <c r="H3927" s="10"/>
      <c r="I3927" s="10"/>
      <c r="J3927" s="10"/>
      <c r="K3927" s="10"/>
      <c r="L3927" s="10"/>
      <c r="M3927" s="10"/>
      <c r="N3927" s="10"/>
      <c r="O3927" s="10"/>
      <c r="P3927" s="10"/>
      <c r="Q3927" s="10"/>
      <c r="R3927" s="10"/>
      <c r="S3927" s="10"/>
      <c r="T3927" s="10"/>
      <c r="U3927" s="10"/>
      <c r="V3927" s="10"/>
      <c r="W3927" s="10"/>
      <c r="X3927" s="10"/>
      <c r="Y3927" s="10"/>
      <c r="Z3927" s="10"/>
    </row>
    <row r="3928" spans="1:26" ht="12.75">
      <c r="A3928" s="10" t="str">
        <f ca="1">IFERROR(__xludf.DUMMYFUNCTION("""COMPUTED_VALUE"""),"Йордан Георгиев Деливерски")</f>
        <v>Йордан Георгиев Деливерски</v>
      </c>
      <c r="B3928" s="10" t="str">
        <f ca="1">IFERROR(__xludf.DUMMYFUNCTION("""COMPUTED_VALUE"""),"Доклад от конференция")</f>
        <v>Доклад от конференция</v>
      </c>
      <c r="C3928" s="10" t="str">
        <f ca="1">IFERROR(__xludf.DUMMYFUNCTION("""COMPUTED_VALUE"""),"Защита на информационните системи в обекти от критичната инфраструктура")</f>
        <v>Защита на информационните системи в обекти от критичната инфраструктура</v>
      </c>
      <c r="D3928" s="10">
        <f ca="1">IFERROR(__xludf.DUMMYFUNCTION("""COMPUTED_VALUE"""),2016)</f>
        <v>2016</v>
      </c>
      <c r="E3928" s="10" t="str">
        <f ca="1">IFERROR(__xludf.DUMMYFUNCTION("""COMPUTED_VALUE"""),"Научна конференция с международно участие на тема: “Промени в средата за сигурност”, 24 – 25 юни 2016 г. Отпечатан в Научен алманах на ВСУ, 2016, 31, 206–210")</f>
        <v>Научна конференция с международно участие на тема: “Промени в средата за сигурност”, 24 – 25 юни 2016 г. Отпечатан в Научен алманах на ВСУ, 2016, 31, 206–210</v>
      </c>
      <c r="F3928" s="10"/>
      <c r="G3928" s="10"/>
      <c r="H3928" s="10"/>
      <c r="I3928" s="10"/>
      <c r="J3928" s="10"/>
      <c r="K3928" s="10"/>
      <c r="L3928" s="10"/>
      <c r="M3928" s="10"/>
      <c r="N3928" s="10"/>
      <c r="O3928" s="10"/>
      <c r="P3928" s="10"/>
      <c r="Q3928" s="10"/>
      <c r="R3928" s="10"/>
      <c r="S3928" s="10"/>
      <c r="T3928" s="10"/>
      <c r="U3928" s="10"/>
      <c r="V3928" s="10"/>
      <c r="W3928" s="10"/>
      <c r="X3928" s="10"/>
      <c r="Y3928" s="10"/>
      <c r="Z3928" s="10"/>
    </row>
    <row r="3929" spans="1:26" ht="12.75">
      <c r="A3929" s="10" t="str">
        <f ca="1">IFERROR(__xludf.DUMMYFUNCTION("""COMPUTED_VALUE"""),"Йордан Георгиев Деливерски")</f>
        <v>Йордан Георгиев Деливерски</v>
      </c>
      <c r="B3929" s="10" t="str">
        <f ca="1">IFERROR(__xludf.DUMMYFUNCTION("""COMPUTED_VALUE"""),"Доклад от конференция")</f>
        <v>Доклад от конференция</v>
      </c>
      <c r="C3929" s="10" t="str">
        <f ca="1">IFERROR(__xludf.DUMMYFUNCTION("""COMPUTED_VALUE"""),"Информационната сигурност в лечебните заведения. Мерки за подобряването й.")</f>
        <v>Информационната сигурност в лечебните заведения. Мерки за подобряването й.</v>
      </c>
      <c r="D3929" s="10">
        <f ca="1">IFERROR(__xludf.DUMMYFUNCTION("""COMPUTED_VALUE"""),2016)</f>
        <v>2016</v>
      </c>
      <c r="E3929" s="10" t="str">
        <f ca="1">IFERROR(__xludf.DUMMYFUNCTION("""COMPUTED_VALUE"""),"Бургаски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77 – 82, ISBN: 978-619-7126-28-0")</f>
        <v>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77 – 82, ISBN: 978-619-7126-28-0</v>
      </c>
      <c r="F3929" s="10"/>
      <c r="G3929" s="10"/>
      <c r="H3929" s="10"/>
      <c r="I3929" s="10"/>
      <c r="J3929" s="10"/>
      <c r="K3929" s="10"/>
      <c r="L3929" s="10"/>
      <c r="M3929" s="10"/>
      <c r="N3929" s="10"/>
      <c r="O3929" s="10"/>
      <c r="P3929" s="10"/>
      <c r="Q3929" s="10"/>
      <c r="R3929" s="10"/>
      <c r="S3929" s="10"/>
      <c r="T3929" s="10"/>
      <c r="U3929" s="10"/>
      <c r="V3929" s="10"/>
      <c r="W3929" s="10"/>
      <c r="X3929" s="10"/>
      <c r="Y3929" s="10"/>
      <c r="Z3929" s="10"/>
    </row>
    <row r="3930" spans="1:26" ht="12.75">
      <c r="A3930" s="10" t="str">
        <f ca="1">IFERROR(__xludf.DUMMYFUNCTION("""COMPUTED_VALUE"""),"Йордан Георгиев Деливерски")</f>
        <v>Йордан Георгиев Деливерски</v>
      </c>
      <c r="B3930" s="10" t="str">
        <f ca="1">IFERROR(__xludf.DUMMYFUNCTION("""COMPUTED_VALUE"""),"Доклад от конференция")</f>
        <v>Доклад от конференция</v>
      </c>
      <c r="C3930" s="10" t="str">
        <f ca="1">IFERROR(__xludf.DUMMYFUNCTION("""COMPUTED_VALUE"""),"Превенция на корупцията при обществените поръчки в публичния сектор – актуални проблеми и защитни механизми на национално и европейско ниво.")</f>
        <v>Превенция на корупцията при обществените поръчки в публичния сектор – актуални проблеми и защитни механизми на национално и европейско ниво.</v>
      </c>
      <c r="D3930" s="10">
        <f ca="1">IFERROR(__xludf.DUMMYFUNCTION("""COMPUTED_VALUE"""),2016)</f>
        <v>2016</v>
      </c>
      <c r="E3930" s="10" t="str">
        <f ca="1">IFERROR(__xludf.DUMMYFUNCTION("""COMPUTED_VALUE"""),"Бургаски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83 – 88, ISBN: 978-619-7126-28-0")</f>
        <v>Бургаски свободен университет, Юбилейна научна конференция с международно участие "Новата идея в образованието", 20-21 септември 2016г. Отпечатан в: “Нова идея в образованието”, том II, 2016, с. 83 – 88, ISBN: 978-619-7126-28-0</v>
      </c>
      <c r="F3930" s="10"/>
      <c r="G3930" s="10"/>
      <c r="H3930" s="10"/>
      <c r="I3930" s="10"/>
      <c r="J3930" s="10"/>
      <c r="K3930" s="10"/>
      <c r="L3930" s="10"/>
      <c r="M3930" s="10"/>
      <c r="N3930" s="10"/>
      <c r="O3930" s="10"/>
      <c r="P3930" s="10"/>
      <c r="Q3930" s="10"/>
      <c r="R3930" s="10"/>
      <c r="S3930" s="10"/>
      <c r="T3930" s="10"/>
      <c r="U3930" s="10"/>
      <c r="V3930" s="10"/>
      <c r="W3930" s="10"/>
      <c r="X3930" s="10"/>
      <c r="Y3930" s="10"/>
      <c r="Z3930" s="10"/>
    </row>
    <row r="3931" spans="1:26" ht="12.75">
      <c r="A3931" s="10" t="str">
        <f ca="1">IFERROR(__xludf.DUMMYFUNCTION("""COMPUTED_VALUE"""),"Йордан Георгиев Деливерски")</f>
        <v>Йордан Георгиев Деливерски</v>
      </c>
      <c r="B3931" s="10" t="str">
        <f ca="1">IFERROR(__xludf.DUMMYFUNCTION("""COMPUTED_VALUE"""),"Доклад от конференция")</f>
        <v>Доклад от конференция</v>
      </c>
      <c r="C3931" s="10" t="str">
        <f ca="1">IFERROR(__xludf.DUMMYFUNCTION("""COMPUTED_VALUE"""),"Защита на информацията при събиране и обработване на биометрични данни за медицински услуги")</f>
        <v>Защита на информацията при събиране и обработване на биометрични данни за медицински услуги</v>
      </c>
      <c r="D3931" s="10">
        <f ca="1">IFERROR(__xludf.DUMMYFUNCTION("""COMPUTED_VALUE"""),2016)</f>
        <v>2016</v>
      </c>
      <c r="E3931" s="10" t="str">
        <f ca="1">IFERROR(__xludf.DUMMYFUNCTION("""COMPUTED_VALUE"""),"XIV Национална конфервите - О пиенция “Обществото на знанието и хуманизмът на ХХI век”, Университет по билиотекознание и информационни технологии. 2016, 671–678. Отпечатан в сборник с доклади ""Обществото на знанието и хуманизмът на XXI век"" За буксменех"&amp;", София, 2017Р с. 671-678, ISSN: 1314-7099")</f>
        <v>XIV Национална конфервите - О пиенция “Обществото на знанието и хуманизмът на ХХI век”, Университет по билиотекознание и информационни технологии. 2016, 671–678. Отпечатан в сборник с доклади "Обществото на знанието и хуманизмът на XXI век" За буксменех, София, 2017Р с. 671-678, ISSN: 1314-7099</v>
      </c>
      <c r="F3931" s="10"/>
      <c r="G3931" s="10"/>
      <c r="H3931" s="10"/>
      <c r="I3931" s="10"/>
      <c r="J3931" s="10"/>
      <c r="K3931" s="10"/>
      <c r="L3931" s="10"/>
      <c r="M3931" s="10"/>
      <c r="N3931" s="10"/>
      <c r="O3931" s="10"/>
      <c r="P3931" s="10"/>
      <c r="Q3931" s="10"/>
      <c r="R3931" s="10"/>
      <c r="S3931" s="10"/>
      <c r="T3931" s="10"/>
      <c r="U3931" s="10"/>
      <c r="V3931" s="10"/>
      <c r="W3931" s="10"/>
      <c r="X3931" s="10"/>
      <c r="Y3931" s="10"/>
      <c r="Z3931" s="10"/>
    </row>
    <row r="3932" spans="1:26" ht="12.75">
      <c r="A3932" s="10" t="str">
        <f ca="1">IFERROR(__xludf.DUMMYFUNCTION("""COMPUTED_VALUE"""),"Йордан Георгиев Деливерски")</f>
        <v>Йордан Георгиев Деливерски</v>
      </c>
      <c r="B3932" s="10" t="str">
        <f ca="1">IFERROR(__xludf.DUMMYFUNCTION("""COMPUTED_VALUE"""),"Статия в списания и поредици")</f>
        <v>Статия в списания и поредици</v>
      </c>
      <c r="C3932" s="10" t="str">
        <f ca="1">IFERROR(__xludf.DUMMYFUNCTION("""COMPUTED_VALUE"""),"Corruption in access to educational institutions.")</f>
        <v>Corruption in access to educational institutions.</v>
      </c>
      <c r="D3932" s="10">
        <f ca="1">IFERROR(__xludf.DUMMYFUNCTION("""COMPUTED_VALUE"""),2016)</f>
        <v>2016</v>
      </c>
      <c r="E3932" s="10" t="str">
        <f ca="1">IFERROR(__xludf.DUMMYFUNCTION("""COMPUTED_VALUE"""),"J of IMAB. 2016 Jan-Mar;22(1):1086-1089., DOI: http://dx.doi.org/10.5272/jimab.2016221.1086")</f>
        <v>J of IMAB. 2016 Jan-Mar;22(1):1086-1089., DOI: http://dx.doi.org/10.5272/jimab.2016221.1086</v>
      </c>
      <c r="F3932" s="10"/>
      <c r="G3932" s="10"/>
      <c r="H3932" s="10"/>
      <c r="I3932" s="10"/>
      <c r="J3932" s="10"/>
      <c r="K3932" s="10"/>
      <c r="L3932" s="10"/>
      <c r="M3932" s="10"/>
      <c r="N3932" s="10"/>
      <c r="O3932" s="10"/>
      <c r="P3932" s="10"/>
      <c r="Q3932" s="10"/>
      <c r="R3932" s="10"/>
      <c r="S3932" s="10"/>
      <c r="T3932" s="10"/>
      <c r="U3932" s="10"/>
      <c r="V3932" s="10"/>
      <c r="W3932" s="10"/>
      <c r="X3932" s="10"/>
      <c r="Y3932" s="10"/>
      <c r="Z3932" s="10"/>
    </row>
    <row r="3933" spans="1:26" ht="12.75">
      <c r="A3933" s="10" t="str">
        <f ca="1">IFERROR(__xludf.DUMMYFUNCTION("""COMPUTED_VALUE"""),"Йордан Георгиев Деливерски")</f>
        <v>Йордан Георгиев Деливерски</v>
      </c>
      <c r="B3933" s="10" t="str">
        <f ca="1">IFERROR(__xludf.DUMMYFUNCTION("""COMPUTED_VALUE"""),"Статия в списания и поредици")</f>
        <v>Статия в списания и поредици</v>
      </c>
      <c r="C3933" s="10" t="str">
        <f ca="1">IFERROR(__xludf.DUMMYFUNCTION("""COMPUTED_VALUE"""),"Biocompatibility of medical devices – legal regulations in the European Union.")</f>
        <v>Biocompatibility of medical devices – legal regulations in the European Union.</v>
      </c>
      <c r="D3933" s="10">
        <f ca="1">IFERROR(__xludf.DUMMYFUNCTION("""COMPUTED_VALUE"""),2015)</f>
        <v>2015</v>
      </c>
      <c r="E3933" s="10" t="str">
        <f ca="1">IFERROR(__xludf.DUMMYFUNCTION("""COMPUTED_VALUE"""),"J of IMAB, 2015 Jan-Mar;21(1):705-708.")</f>
        <v>J of IMAB, 2015 Jan-Mar;21(1):705-708.</v>
      </c>
      <c r="F3933" s="10"/>
      <c r="G3933" s="10" t="str">
        <f ca="1">IFERROR(__xludf.DUMMYFUNCTION("""COMPUTED_VALUE"""),"Yaneva-Deliverska, M., J. Deliversky, M. Lyapina.")</f>
        <v>Yaneva-Deliverska, M., J. Deliversky, M. Lyapina.</v>
      </c>
      <c r="H3933" s="10"/>
      <c r="I3933" s="10"/>
      <c r="J3933" s="10"/>
      <c r="K3933" s="10"/>
      <c r="L3933" s="10"/>
      <c r="M3933" s="10"/>
      <c r="N3933" s="10"/>
      <c r="O3933" s="10"/>
      <c r="P3933" s="10"/>
      <c r="Q3933" s="10"/>
      <c r="R3933" s="10"/>
      <c r="S3933" s="10"/>
      <c r="T3933" s="10"/>
      <c r="U3933" s="10"/>
      <c r="V3933" s="10"/>
      <c r="W3933" s="10"/>
      <c r="X3933" s="10"/>
      <c r="Y3933" s="10"/>
      <c r="Z3933" s="10"/>
    </row>
    <row r="3934" spans="1:26" ht="12.75">
      <c r="A3934" s="10" t="str">
        <f ca="1">IFERROR(__xludf.DUMMYFUNCTION("""COMPUTED_VALUE"""),"Йордан Георгиев Деливерски")</f>
        <v>Йордан Георгиев Деливерски</v>
      </c>
      <c r="B3934" s="10" t="str">
        <f ca="1">IFERROR(__xludf.DUMMYFUNCTION("""COMPUTED_VALUE"""),"Статия в списания и поредици")</f>
        <v>Статия в списания и поредици</v>
      </c>
      <c r="C3934" s="10" t="str">
        <f ca="1">IFERROR(__xludf.DUMMYFUNCTION("""COMPUTED_VALUE"""),"Biocompatibility of medical devices – legal regulations in the European Union.")</f>
        <v>Biocompatibility of medical devices – legal regulations in the European Union.</v>
      </c>
      <c r="D3934" s="10">
        <f ca="1">IFERROR(__xludf.DUMMYFUNCTION("""COMPUTED_VALUE"""),2015)</f>
        <v>2015</v>
      </c>
      <c r="E3934" s="10" t="str">
        <f ca="1">IFERROR(__xludf.DUMMYFUNCTION("""COMPUTED_VALUE"""),"J of IMAB, 2015 Jan-Mar;21(1):705-708.")</f>
        <v>J of IMAB, 2015 Jan-Mar;21(1):705-708.</v>
      </c>
      <c r="F3934" s="10"/>
      <c r="G3934" s="10" t="str">
        <f ca="1">IFERROR(__xludf.DUMMYFUNCTION("""COMPUTED_VALUE"""),"Yaneva-Deliverska, M., J. Deliversky, M. Lyapina.")</f>
        <v>Yaneva-Deliverska, M., J. Deliversky, M. Lyapina.</v>
      </c>
      <c r="H3934" s="10"/>
      <c r="I3934" s="10"/>
      <c r="J3934" s="10"/>
      <c r="K3934" s="10"/>
      <c r="L3934" s="10"/>
      <c r="M3934" s="10"/>
      <c r="N3934" s="10"/>
      <c r="O3934" s="10"/>
      <c r="P3934" s="10"/>
      <c r="Q3934" s="10"/>
      <c r="R3934" s="10"/>
      <c r="S3934" s="10"/>
      <c r="T3934" s="10"/>
      <c r="U3934" s="10"/>
      <c r="V3934" s="10"/>
      <c r="W3934" s="10"/>
      <c r="X3934" s="10"/>
      <c r="Y3934" s="10"/>
      <c r="Z3934" s="10"/>
    </row>
    <row r="3935" spans="1:26" ht="12.75">
      <c r="A3935" s="10" t="str">
        <f ca="1">IFERROR(__xludf.DUMMYFUNCTION("""COMPUTED_VALUE"""),"Йордан Георгиев Деливерски")</f>
        <v>Йордан Георгиев Деливерски</v>
      </c>
      <c r="B3935" s="10" t="str">
        <f ca="1">IFERROR(__xludf.DUMMYFUNCTION("""COMPUTED_VALUE"""),"Статия в списания и поредици")</f>
        <v>Статия в списания и поредици</v>
      </c>
      <c r="C3935" s="10" t="str">
        <f ca="1">IFERROR(__xludf.DUMMYFUNCTION("""COMPUTED_VALUE"""),"European and international standards on medical devices for dentistry.")</f>
        <v>European and international standards on medical devices for dentistry.</v>
      </c>
      <c r="D3935" s="10">
        <f ca="1">IFERROR(__xludf.DUMMYFUNCTION("""COMPUTED_VALUE"""),2015)</f>
        <v>2015</v>
      </c>
      <c r="E3935" s="10" t="str">
        <f ca="1">IFERROR(__xludf.DUMMYFUNCTION("""COMPUTED_VALUE"""),"J of IMAB. 2015 Jan-Mar;21(1):713-717.")</f>
        <v>J of IMAB. 2015 Jan-Mar;21(1):713-717.</v>
      </c>
      <c r="F3935" s="10"/>
      <c r="G3935" s="10" t="str">
        <f ca="1">IFERROR(__xludf.DUMMYFUNCTION("""COMPUTED_VALUE"""),"Deliversky, J, Yaneva-Deliverska M, Lyapina M, Kisselova A.")</f>
        <v>Deliversky, J, Yaneva-Deliverska M, Lyapina M, Kisselova A.</v>
      </c>
      <c r="H3935" s="10"/>
      <c r="I3935" s="10"/>
      <c r="J3935" s="10"/>
      <c r="K3935" s="10"/>
      <c r="L3935" s="10"/>
      <c r="M3935" s="10"/>
      <c r="N3935" s="10"/>
      <c r="O3935" s="10"/>
      <c r="P3935" s="10"/>
      <c r="Q3935" s="10"/>
      <c r="R3935" s="10"/>
      <c r="S3935" s="10"/>
      <c r="T3935" s="10"/>
      <c r="U3935" s="10"/>
      <c r="V3935" s="10"/>
      <c r="W3935" s="10"/>
      <c r="X3935" s="10"/>
      <c r="Y3935" s="10"/>
      <c r="Z3935" s="10"/>
    </row>
    <row r="3936" spans="1:26" ht="12.75">
      <c r="A3936" s="10" t="str">
        <f ca="1">IFERROR(__xludf.DUMMYFUNCTION("""COMPUTED_VALUE"""),"Йордан Георгиев Деливерски")</f>
        <v>Йордан Георгиев Деливерски</v>
      </c>
      <c r="B3936" s="10" t="str">
        <f ca="1">IFERROR(__xludf.DUMMYFUNCTION("""COMPUTED_VALUE"""),"Статия в списания и поредици")</f>
        <v>Статия в списания и поредици</v>
      </c>
      <c r="C3936" s="10" t="str">
        <f ca="1">IFERROR(__xludf.DUMMYFUNCTION("""COMPUTED_VALUE"""),"Borderline and classification in the community regulatory framework for medical devices – brief review on some dentistry products.")</f>
        <v>Borderline and classification in the community regulatory framework for medical devices – brief review on some dentistry products.</v>
      </c>
      <c r="D3936" s="10">
        <f ca="1">IFERROR(__xludf.DUMMYFUNCTION("""COMPUTED_VALUE"""),2015)</f>
        <v>2015</v>
      </c>
      <c r="E3936" s="10" t="str">
        <f ca="1">IFERROR(__xludf.DUMMYFUNCTION("""COMPUTED_VALUE"""),"J of IMAB, 2015 Jan-Mar;21(1):709-712.")</f>
        <v>J of IMAB, 2015 Jan-Mar;21(1):709-712.</v>
      </c>
      <c r="F3936" s="10"/>
      <c r="G3936" s="10" t="str">
        <f ca="1">IFERROR(__xludf.DUMMYFUNCTION("""COMPUTED_VALUE"""),"Lyapina, M., M. Yaneva-Deliverska, J. Deliversky, A. Kisselova.")</f>
        <v>Lyapina, M., M. Yaneva-Deliverska, J. Deliversky, A. Kisselova.</v>
      </c>
      <c r="H3936" s="10"/>
      <c r="I3936" s="10"/>
      <c r="J3936" s="10"/>
      <c r="K3936" s="10"/>
      <c r="L3936" s="10"/>
      <c r="M3936" s="10"/>
      <c r="N3936" s="10"/>
      <c r="O3936" s="10"/>
      <c r="P3936" s="10"/>
      <c r="Q3936" s="10"/>
      <c r="R3936" s="10"/>
      <c r="S3936" s="10"/>
      <c r="T3936" s="10"/>
      <c r="U3936" s="10"/>
      <c r="V3936" s="10"/>
      <c r="W3936" s="10"/>
      <c r="X3936" s="10"/>
      <c r="Y3936" s="10"/>
      <c r="Z3936" s="10"/>
    </row>
    <row r="3937" spans="1:26" ht="12.75">
      <c r="A3937" s="10" t="str">
        <f ca="1">IFERROR(__xludf.DUMMYFUNCTION("""COMPUTED_VALUE"""),"Йордан Георгиев Деливерски")</f>
        <v>Йордан Георгиев Деливерски</v>
      </c>
      <c r="B3937" s="10" t="str">
        <f ca="1">IFERROR(__xludf.DUMMYFUNCTION("""COMPUTED_VALUE"""),"Книга")</f>
        <v>Книга</v>
      </c>
      <c r="C3937" s="10" t="str">
        <f ca="1">IFERROR(__xludf.DUMMYFUNCTION("""COMPUTED_VALUE"""),"Корупция и превенция на корупцията")</f>
        <v>Корупция и превенция на корупцията</v>
      </c>
      <c r="D3937" s="10">
        <f ca="1">IFERROR(__xludf.DUMMYFUNCTION("""COMPUTED_VALUE"""),2015)</f>
        <v>2015</v>
      </c>
      <c r="E3937" s="10" t="str">
        <f ca="1">IFERROR(__xludf.DUMMYFUNCTION("""COMPUTED_VALUE"""),"За буквите – О писменехь“, ISBN 978-619-185-153-9.")</f>
        <v>За буквите – О писменехь“, ISBN 978-619-185-153-9.</v>
      </c>
      <c r="F3937" s="10"/>
      <c r="G3937" s="10"/>
      <c r="H3937" s="10"/>
      <c r="I3937" s="10"/>
      <c r="J3937" s="10"/>
      <c r="K3937" s="10"/>
      <c r="L3937" s="10"/>
      <c r="M3937" s="10"/>
      <c r="N3937" s="10"/>
      <c r="O3937" s="10"/>
      <c r="P3937" s="10"/>
      <c r="Q3937" s="10"/>
      <c r="R3937" s="10"/>
      <c r="S3937" s="10"/>
      <c r="T3937" s="10"/>
      <c r="U3937" s="10"/>
      <c r="V3937" s="10"/>
      <c r="W3937" s="10"/>
      <c r="X3937" s="10"/>
      <c r="Y3937" s="10"/>
      <c r="Z3937" s="10"/>
    </row>
    <row r="3938" spans="1:26" ht="12.75">
      <c r="A3938" s="10" t="str">
        <f ca="1">IFERROR(__xludf.DUMMYFUNCTION("""COMPUTED_VALUE"""),"Йордан Георгиев Деливерски")</f>
        <v>Йордан Георгиев Деливерски</v>
      </c>
      <c r="B3938" s="10" t="str">
        <f ca="1">IFERROR(__xludf.DUMMYFUNCTION("""COMPUTED_VALUE"""),"Книга")</f>
        <v>Книга</v>
      </c>
      <c r="C3938" s="10" t="str">
        <f ca="1">IFERROR(__xludf.DUMMYFUNCTION("""COMPUTED_VALUE"""),"Корупция и превенция на корупцията")</f>
        <v>Корупция и превенция на корупцията</v>
      </c>
      <c r="D3938" s="10">
        <f ca="1">IFERROR(__xludf.DUMMYFUNCTION("""COMPUTED_VALUE"""),2015)</f>
        <v>2015</v>
      </c>
      <c r="E3938" s="10" t="str">
        <f ca="1">IFERROR(__xludf.DUMMYFUNCTION("""COMPUTED_VALUE"""),"За буквите – О писменехь“, ISBN 978-619-185-153-9.")</f>
        <v>За буквите – О писменехь“, ISBN 978-619-185-153-9.</v>
      </c>
      <c r="F3938" s="10"/>
      <c r="G3938" s="10"/>
      <c r="H3938" s="10"/>
      <c r="I3938" s="10"/>
      <c r="J3938" s="10"/>
      <c r="K3938" s="10"/>
      <c r="L3938" s="10"/>
      <c r="M3938" s="10"/>
      <c r="N3938" s="10"/>
      <c r="O3938" s="10"/>
      <c r="P3938" s="10"/>
      <c r="Q3938" s="10"/>
      <c r="R3938" s="10"/>
      <c r="S3938" s="10"/>
      <c r="T3938" s="10"/>
      <c r="U3938" s="10"/>
      <c r="V3938" s="10"/>
      <c r="W3938" s="10"/>
      <c r="X3938" s="10"/>
      <c r="Y3938" s="10"/>
      <c r="Z3938" s="10"/>
    </row>
    <row r="3939" spans="1:26" ht="12.75">
      <c r="A3939" s="10" t="str">
        <f ca="1">IFERROR(__xludf.DUMMYFUNCTION("""COMPUTED_VALUE"""),"Йордан Георгиев Деливерски")</f>
        <v>Йордан Георгиев Деливерски</v>
      </c>
      <c r="B3939" s="10" t="str">
        <f ca="1">IFERROR(__xludf.DUMMYFUNCTION("""COMPUTED_VALUE"""),"Статия в списания и поредици")</f>
        <v>Статия в списания и поредици</v>
      </c>
      <c r="C3939" s="10" t="str">
        <f ca="1">IFERROR(__xludf.DUMMYFUNCTION("""COMPUTED_VALUE"""),"European and international standards on medical devices for dentistry.")</f>
        <v>European and international standards on medical devices for dentistry.</v>
      </c>
      <c r="D3939" s="10">
        <f ca="1">IFERROR(__xludf.DUMMYFUNCTION("""COMPUTED_VALUE"""),2015)</f>
        <v>2015</v>
      </c>
      <c r="E3939" s="10" t="str">
        <f ca="1">IFERROR(__xludf.DUMMYFUNCTION("""COMPUTED_VALUE"""),"J of IMAB. 2015 Jan-Mar;21(1):713-717.")</f>
        <v>J of IMAB. 2015 Jan-Mar;21(1):713-717.</v>
      </c>
      <c r="F3939" s="10"/>
      <c r="G3939" s="10" t="str">
        <f ca="1">IFERROR(__xludf.DUMMYFUNCTION("""COMPUTED_VALUE"""),"Deliversky, J, Yaneva-Deliverska M, Lyapina M, Kisselova A.")</f>
        <v>Deliversky, J, Yaneva-Deliverska M, Lyapina M, Kisselova A.</v>
      </c>
      <c r="H3939" s="10"/>
      <c r="I3939" s="10"/>
      <c r="J3939" s="10"/>
      <c r="K3939" s="10"/>
      <c r="L3939" s="10"/>
      <c r="M3939" s="10"/>
      <c r="N3939" s="10"/>
      <c r="O3939" s="10"/>
      <c r="P3939" s="10"/>
      <c r="Q3939" s="10"/>
      <c r="R3939" s="10"/>
      <c r="S3939" s="10"/>
      <c r="T3939" s="10"/>
      <c r="U3939" s="10"/>
      <c r="V3939" s="10"/>
      <c r="W3939" s="10"/>
      <c r="X3939" s="10"/>
      <c r="Y3939" s="10"/>
      <c r="Z3939" s="10"/>
    </row>
    <row r="3940" spans="1:26" ht="12.75">
      <c r="A3940" s="10" t="str">
        <f ca="1">IFERROR(__xludf.DUMMYFUNCTION("""COMPUTED_VALUE"""),"Йордан Георгиев Деливерски")</f>
        <v>Йордан Георгиев Деливерски</v>
      </c>
      <c r="B3940" s="10" t="str">
        <f ca="1">IFERROR(__xludf.DUMMYFUNCTION("""COMPUTED_VALUE"""),"Статия в списания и поредици")</f>
        <v>Статия в списания и поредици</v>
      </c>
      <c r="C3940" s="10" t="str">
        <f ca="1">IFERROR(__xludf.DUMMYFUNCTION("""COMPUTED_VALUE"""),"Borderline and classification in the community regulatory framework for medical devices – brief review on some dentistry products.")</f>
        <v>Borderline and classification in the community regulatory framework for medical devices – brief review on some dentistry products.</v>
      </c>
      <c r="D3940" s="10">
        <f ca="1">IFERROR(__xludf.DUMMYFUNCTION("""COMPUTED_VALUE"""),2015)</f>
        <v>2015</v>
      </c>
      <c r="E3940" s="10" t="str">
        <f ca="1">IFERROR(__xludf.DUMMYFUNCTION("""COMPUTED_VALUE"""),"J of IMAB, 2015 Jan-Mar;21(1):709-712.")</f>
        <v>J of IMAB, 2015 Jan-Mar;21(1):709-712.</v>
      </c>
      <c r="F3940" s="10"/>
      <c r="G3940" s="10" t="str">
        <f ca="1">IFERROR(__xludf.DUMMYFUNCTION("""COMPUTED_VALUE"""),"Lyapina, M., M. Yaneva-Deliverska, J. Deliversky, A. Kisselova.")</f>
        <v>Lyapina, M., M. Yaneva-Deliverska, J. Deliversky, A. Kisselova.</v>
      </c>
      <c r="H3940" s="10"/>
      <c r="I3940" s="10"/>
      <c r="J3940" s="10"/>
      <c r="K3940" s="10"/>
      <c r="L3940" s="10"/>
      <c r="M3940" s="10"/>
      <c r="N3940" s="10"/>
      <c r="O3940" s="10"/>
      <c r="P3940" s="10"/>
      <c r="Q3940" s="10"/>
      <c r="R3940" s="10"/>
      <c r="S3940" s="10"/>
      <c r="T3940" s="10"/>
      <c r="U3940" s="10"/>
      <c r="V3940" s="10"/>
      <c r="W3940" s="10"/>
      <c r="X3940" s="10"/>
      <c r="Y3940" s="10"/>
      <c r="Z3940" s="10"/>
    </row>
    <row r="3941" spans="1:26" ht="12.75">
      <c r="A3941" s="10" t="str">
        <f ca="1">IFERROR(__xludf.DUMMYFUNCTION("""COMPUTED_VALUE"""),"Йордан Георгиев Деливерски")</f>
        <v>Йордан Георгиев Деливерски</v>
      </c>
      <c r="B3941" s="10" t="str">
        <f ca="1">IFERROR(__xludf.DUMMYFUNCTION("""COMPUTED_VALUE"""),"Доклад от конференция")</f>
        <v>Доклад от конференция</v>
      </c>
      <c r="C3941" s="10" t="str">
        <f ca="1">IFERROR(__xludf.DUMMYFUNCTION("""COMPUTED_VALUE"""),"Mechanism for cooperation and verification of progress of Bulgaria in fight against corruption.")</f>
        <v>Mechanism for cooperation and verification of progress of Bulgaria in fight against corruption.</v>
      </c>
      <c r="D3941" s="10">
        <f ca="1">IFERROR(__xludf.DUMMYFUNCTION("""COMPUTED_VALUE"""),2012)</f>
        <v>2012</v>
      </c>
      <c r="E3941" s="10" t="str">
        <f ca="1">IFERROR(__xludf.DUMMYFUNCTION("""COMPUTED_VALUE"""),"“International conference on the occasion of the 100th anniversary of Rakovski National Defense Academy Professional military education and defense studies: past, present and future”, Sofia, Bulgaria, 25–27 June, 2012. ISBN 978-954-9348-35-4")</f>
        <v>“International conference on the occasion of the 100th anniversary of Rakovski National Defense Academy Professional military education and defense studies: past, present and future”, Sofia, Bulgaria, 25–27 June, 2012. ISBN 978-954-9348-35-4</v>
      </c>
      <c r="F3941" s="10"/>
      <c r="G3941" s="10"/>
      <c r="H3941" s="10"/>
      <c r="I3941" s="10"/>
      <c r="J3941" s="10"/>
      <c r="K3941" s="10"/>
      <c r="L3941" s="10"/>
      <c r="M3941" s="10"/>
      <c r="N3941" s="10"/>
      <c r="O3941" s="10"/>
      <c r="P3941" s="10"/>
      <c r="Q3941" s="10"/>
      <c r="R3941" s="10"/>
      <c r="S3941" s="10"/>
      <c r="T3941" s="10"/>
      <c r="U3941" s="10"/>
      <c r="V3941" s="10"/>
      <c r="W3941" s="10"/>
      <c r="X3941" s="10"/>
      <c r="Y3941" s="10"/>
      <c r="Z3941" s="10"/>
    </row>
    <row r="3942" spans="1:26" ht="12.75">
      <c r="A3942" s="10" t="str">
        <f ca="1">IFERROR(__xludf.DUMMYFUNCTION("""COMPUTED_VALUE"""),"Йордан Георгиев Деливерски")</f>
        <v>Йордан Георгиев Деливерски</v>
      </c>
      <c r="B3942" s="10" t="str">
        <f ca="1">IFERROR(__xludf.DUMMYFUNCTION("""COMPUTED_VALUE"""),"Доклад от конференция")</f>
        <v>Доклад от конференция</v>
      </c>
      <c r="C3942" s="10" t="str">
        <f ca="1">IFERROR(__xludf.DUMMYFUNCTION("""COMPUTED_VALUE"""),"Приложни аспекти на антикорупционните планове.")</f>
        <v>Приложни аспекти на антикорупционните планове.</v>
      </c>
      <c r="D3942" s="10">
        <f ca="1">IFERROR(__xludf.DUMMYFUNCTION("""COMPUTED_VALUE"""),2012)</f>
        <v>2012</v>
      </c>
      <c r="E3942" s="10" t="str">
        <f ca="1">IFERROR(__xludf.DUMMYFUNCTION("""COMPUTED_VALUE"""),"Х-та Национална научна конференция с международно участие по случай Деня на будителите – 01 ноември 2012 г., на тема „Обществото на знанието и хуманизмът на ХХІ век”, 01–02 ноември 2012 г. ISSN 1314-7099")</f>
        <v>Х-та Национална научна конференция с международно участие по случай Деня на будителите – 01 ноември 2012 г., на тема „Обществото на знанието и хуманизмът на ХХІ век”, 01–02 ноември 2012 г. ISSN 1314-7099</v>
      </c>
      <c r="F3942" s="10"/>
      <c r="G3942" s="10"/>
      <c r="H3942" s="10"/>
      <c r="I3942" s="10"/>
      <c r="J3942" s="10"/>
      <c r="K3942" s="10"/>
      <c r="L3942" s="10"/>
      <c r="M3942" s="10"/>
      <c r="N3942" s="10"/>
      <c r="O3942" s="10"/>
      <c r="P3942" s="10"/>
      <c r="Q3942" s="10"/>
      <c r="R3942" s="10"/>
      <c r="S3942" s="10"/>
      <c r="T3942" s="10"/>
      <c r="U3942" s="10"/>
      <c r="V3942" s="10"/>
      <c r="W3942" s="10"/>
      <c r="X3942" s="10"/>
      <c r="Y3942" s="10"/>
      <c r="Z3942" s="10"/>
    </row>
    <row r="3943" spans="1:26" ht="12.75">
      <c r="A3943" s="10" t="str">
        <f ca="1">IFERROR(__xludf.DUMMYFUNCTION("""COMPUTED_VALUE"""),"Йордан Георгиев Деливерски")</f>
        <v>Йордан Георгиев Деливерски</v>
      </c>
      <c r="B3943" s="10" t="str">
        <f ca="1">IFERROR(__xludf.DUMMYFUNCTION("""COMPUTED_VALUE"""),"Доклад от конференция")</f>
        <v>Доклад от конференция</v>
      </c>
      <c r="C3943" s="10" t="str">
        <f ca="1">IFERROR(__xludf.DUMMYFUNCTION("""COMPUTED_VALUE"""),"Приложни аспекти на антикорупционните планове.")</f>
        <v>Приложни аспекти на антикорупционните планове.</v>
      </c>
      <c r="D3943" s="10">
        <f ca="1">IFERROR(__xludf.DUMMYFUNCTION("""COMPUTED_VALUE"""),2012)</f>
        <v>2012</v>
      </c>
      <c r="E3943" s="10" t="str">
        <f ca="1">IFERROR(__xludf.DUMMYFUNCTION("""COMPUTED_VALUE"""),"Х-та Национална научна конференция с международно участие по случай Деня на будителите – 01 ноември 2012 г., на тема „Обществото на знанието и хуманизмът на ХХІ век”, 01–02 ноември 2012 г. ISSN 1314-7099")</f>
        <v>Х-та Национална научна конференция с международно участие по случай Деня на будителите – 01 ноември 2012 г., на тема „Обществото на знанието и хуманизмът на ХХІ век”, 01–02 ноември 2012 г. ISSN 1314-7099</v>
      </c>
      <c r="F3943" s="10"/>
      <c r="G3943" s="10"/>
      <c r="H3943" s="10"/>
      <c r="I3943" s="10"/>
      <c r="J3943" s="10"/>
      <c r="K3943" s="10"/>
      <c r="L3943" s="10"/>
      <c r="M3943" s="10"/>
      <c r="N3943" s="10"/>
      <c r="O3943" s="10"/>
      <c r="P3943" s="10"/>
      <c r="Q3943" s="10"/>
      <c r="R3943" s="10"/>
      <c r="S3943" s="10"/>
      <c r="T3943" s="10"/>
      <c r="U3943" s="10"/>
      <c r="V3943" s="10"/>
      <c r="W3943" s="10"/>
      <c r="X3943" s="10"/>
      <c r="Y3943" s="10"/>
      <c r="Z3943" s="10"/>
    </row>
    <row r="3944" spans="1:26" ht="12.75">
      <c r="A3944" s="10" t="str">
        <f ca="1">IFERROR(__xludf.DUMMYFUNCTION("""COMPUTED_VALUE"""),"Йордан Георгиев Деливерски")</f>
        <v>Йордан Георгиев Деливерски</v>
      </c>
      <c r="B3944" s="10" t="str">
        <f ca="1">IFERROR(__xludf.DUMMYFUNCTION("""COMPUTED_VALUE"""),"Доклад от конференция")</f>
        <v>Доклад от конференция</v>
      </c>
      <c r="C3944" s="10" t="str">
        <f ca="1">IFERROR(__xludf.DUMMYFUNCTION("""COMPUTED_VALUE"""),"Механизми за превенция на корупцията в България.")</f>
        <v>Механизми за превенция на корупцията в България.</v>
      </c>
      <c r="D3944" s="10">
        <f ca="1">IFERROR(__xludf.DUMMYFUNCTION("""COMPUTED_VALUE"""),2012)</f>
        <v>2012</v>
      </c>
      <c r="E3944" s="10" t="str">
        <f ca="1">IFERROR(__xludf.DUMMYFUNCTION("""COMPUTED_VALUE"""),"Научна конференция „Защитата на информацията – състояние и перспективи”, проведена във Факултет „Артилерия, ПВО и КИС” към НВУ „В. Левски” – гр. Шумен, на 7 и 8 юни 2012 г. ISBN 978-954-9681-49-9")</f>
        <v>Научна конференция „Защитата на информацията – състояние и перспективи”, проведена във Факултет „Артилерия, ПВО и КИС” към НВУ „В. Левски” – гр. Шумен, на 7 и 8 юни 2012 г. ISBN 978-954-9681-49-9</v>
      </c>
      <c r="F3944" s="10"/>
      <c r="G3944" s="10"/>
      <c r="H3944" s="10"/>
      <c r="I3944" s="10"/>
      <c r="J3944" s="10"/>
      <c r="K3944" s="10"/>
      <c r="L3944" s="10"/>
      <c r="M3944" s="10"/>
      <c r="N3944" s="10"/>
      <c r="O3944" s="10"/>
      <c r="P3944" s="10"/>
      <c r="Q3944" s="10"/>
      <c r="R3944" s="10"/>
      <c r="S3944" s="10"/>
      <c r="T3944" s="10"/>
      <c r="U3944" s="10"/>
      <c r="V3944" s="10"/>
      <c r="W3944" s="10"/>
      <c r="X3944" s="10"/>
      <c r="Y3944" s="10"/>
      <c r="Z3944" s="10"/>
    </row>
    <row r="3945" spans="1:26" ht="12.75">
      <c r="A3945" s="10" t="str">
        <f ca="1">IFERROR(__xludf.DUMMYFUNCTION("""COMPUTED_VALUE"""),"Йордан Георгиев Деливерски")</f>
        <v>Йордан Георгиев Деливерски</v>
      </c>
      <c r="B3945" s="10" t="str">
        <f ca="1">IFERROR(__xludf.DUMMYFUNCTION("""COMPUTED_VALUE"""),"Доклад от конференция")</f>
        <v>Доклад от конференция</v>
      </c>
      <c r="C3945" s="10" t="str">
        <f ca="1">IFERROR(__xludf.DUMMYFUNCTION("""COMPUTED_VALUE"""),"Механизми за превенция на корупцията в България.")</f>
        <v>Механизми за превенция на корупцията в България.</v>
      </c>
      <c r="D3945" s="10">
        <f ca="1">IFERROR(__xludf.DUMMYFUNCTION("""COMPUTED_VALUE"""),2012)</f>
        <v>2012</v>
      </c>
      <c r="E3945" s="10" t="str">
        <f ca="1">IFERROR(__xludf.DUMMYFUNCTION("""COMPUTED_VALUE"""),"Научна конференция „Защитата на информацията – състояние и перспективи”, проведена във Факултет „Артилерия, ПВО и КИС” към НВУ „В. Левски” – гр. Шумен, на 7 и 8 юни 2012 г. ISBN 978-954-9681-49-9")</f>
        <v>Научна конференция „Защитата на информацията – състояние и перспективи”, проведена във Факултет „Артилерия, ПВО и КИС” към НВУ „В. Левски” – гр. Шумен, на 7 и 8 юни 2012 г. ISBN 978-954-9681-49-9</v>
      </c>
      <c r="F3945" s="10"/>
      <c r="G3945" s="10"/>
      <c r="H3945" s="10"/>
      <c r="I3945" s="10"/>
      <c r="J3945" s="10"/>
      <c r="K3945" s="10"/>
      <c r="L3945" s="10"/>
      <c r="M3945" s="10"/>
      <c r="N3945" s="10"/>
      <c r="O3945" s="10"/>
      <c r="P3945" s="10"/>
      <c r="Q3945" s="10"/>
      <c r="R3945" s="10"/>
      <c r="S3945" s="10"/>
      <c r="T3945" s="10"/>
      <c r="U3945" s="10"/>
      <c r="V3945" s="10"/>
      <c r="W3945" s="10"/>
      <c r="X3945" s="10"/>
      <c r="Y3945" s="10"/>
      <c r="Z3945" s="10"/>
    </row>
    <row r="3946" spans="1:26" ht="12.75">
      <c r="A3946" s="10" t="str">
        <f ca="1">IFERROR(__xludf.DUMMYFUNCTION("""COMPUTED_VALUE"""),"Йордан Георгиев Деливерски")</f>
        <v>Йордан Георгиев Деливерски</v>
      </c>
      <c r="B3946" s="10" t="str">
        <f ca="1">IFERROR(__xludf.DUMMYFUNCTION("""COMPUTED_VALUE"""),"Доклад от конференция")</f>
        <v>Доклад от конференция</v>
      </c>
      <c r="C3946" s="10" t="str">
        <f ca="1">IFERROR(__xludf.DUMMYFUNCTION("""COMPUTED_VALUE"""),"Mechanism for cooperation and verification of progress of Bulgaria in fight against corruption.")</f>
        <v>Mechanism for cooperation and verification of progress of Bulgaria in fight against corruption.</v>
      </c>
      <c r="D3946" s="10">
        <f ca="1">IFERROR(__xludf.DUMMYFUNCTION("""COMPUTED_VALUE"""),2012)</f>
        <v>2012</v>
      </c>
      <c r="E3946" s="10" t="str">
        <f ca="1">IFERROR(__xludf.DUMMYFUNCTION("""COMPUTED_VALUE"""),"“International conference on the occasion of the 100th anniversary of Rakovski National Defense Academy Professional military education and defense studies: past, present and future”, Sofia, Bulgaria, 25–27 June, 2012. ISBN 978-954-9348-35-4")</f>
        <v>“International conference on the occasion of the 100th anniversary of Rakovski National Defense Academy Professional military education and defense studies: past, present and future”, Sofia, Bulgaria, 25–27 June, 2012. ISBN 978-954-9348-35-4</v>
      </c>
      <c r="F3946" s="10"/>
      <c r="G3946" s="10"/>
      <c r="H3946" s="10"/>
      <c r="I3946" s="10"/>
      <c r="J3946" s="10"/>
      <c r="K3946" s="10"/>
      <c r="L3946" s="10"/>
      <c r="M3946" s="10"/>
      <c r="N3946" s="10"/>
      <c r="O3946" s="10"/>
      <c r="P3946" s="10"/>
      <c r="Q3946" s="10"/>
      <c r="R3946" s="10"/>
      <c r="S3946" s="10"/>
      <c r="T3946" s="10"/>
      <c r="U3946" s="10"/>
      <c r="V3946" s="10"/>
      <c r="W3946" s="10"/>
      <c r="X3946" s="10"/>
      <c r="Y3946" s="10"/>
      <c r="Z3946" s="10"/>
    </row>
    <row r="3947" spans="1:26" ht="12.75">
      <c r="A3947" s="10" t="str">
        <f ca="1">IFERROR(__xludf.DUMMYFUNCTION("""COMPUTED_VALUE"""),"Йордан Стоянов Дойков")</f>
        <v>Йордан Стоянов Дойков</v>
      </c>
      <c r="B3947" s="10" t="str">
        <f ca="1">IFERROR(__xludf.DUMMYFUNCTION("""COMPUTED_VALUE"""),"Статия в списания и поредици")</f>
        <v>Статия в списания и поредици</v>
      </c>
      <c r="C3947" s="10" t="str">
        <f ca="1">IFERROR(__xludf.DUMMYFUNCTION("""COMPUTED_VALUE"""),"Възпитателните фактори в Българската армия през XX век – гарант за националната сигурност")</f>
        <v>Възпитателните фактори в Българската армия през XX век – гарант за националната сигурност</v>
      </c>
      <c r="D3947" s="10">
        <f ca="1">IFERROR(__xludf.DUMMYFUNCTION("""COMPUTED_VALUE"""),2020)</f>
        <v>2020</v>
      </c>
      <c r="E3947" s="10" t="str">
        <f ca="1">IFERROR(__xludf.DUMMYFUNCTION("""COMPUTED_VALUE"""),"сп. „Национална сигурност“, год. II, бр. 5, 2020, Виктори ИЗДАТ, София, ISSN: 2682-941X онлайн &amp; ISSN: 2682-9983 принт, с. 39-47.")</f>
        <v>сп. „Национална сигурност“, год. II, бр. 5, 2020, Виктори ИЗДАТ, София, ISSN: 2682-941X онлайн &amp; ISSN: 2682-9983 принт, с. 39-47.</v>
      </c>
      <c r="F3947" s="10"/>
      <c r="G3947" s="10"/>
      <c r="H3947" s="10"/>
      <c r="I3947" s="10"/>
      <c r="J3947" s="10"/>
      <c r="K3947" s="10"/>
      <c r="L3947" s="10"/>
      <c r="M3947" s="10"/>
      <c r="N3947" s="10"/>
      <c r="O3947" s="10"/>
      <c r="P3947" s="10"/>
      <c r="Q3947" s="10"/>
      <c r="R3947" s="10"/>
      <c r="S3947" s="10"/>
      <c r="T3947" s="10"/>
      <c r="U3947" s="10"/>
      <c r="V3947" s="10"/>
      <c r="W3947" s="10"/>
      <c r="X3947" s="10"/>
      <c r="Y3947" s="10"/>
      <c r="Z3947" s="10"/>
    </row>
    <row r="3948" spans="1:26" ht="12.75">
      <c r="A3948" s="10" t="str">
        <f ca="1">IFERROR(__xludf.DUMMYFUNCTION("""COMPUTED_VALUE"""),"Йордан Стоянов Дойков")</f>
        <v>Йордан Стоянов Дойков</v>
      </c>
      <c r="B3948" s="10" t="str">
        <f ca="1">IFERROR(__xludf.DUMMYFUNCTION("""COMPUTED_VALUE"""),"Статия в списания и поредици")</f>
        <v>Статия в списания и поредици</v>
      </c>
      <c r="C3948" s="10" t="str">
        <f ca="1">IFERROR(__xludf.DUMMYFUNCTION("""COMPUTED_VALUE"""),"The Security councils. The Bulgarian attempt")</f>
        <v>The Security councils. The Bulgarian attempt</v>
      </c>
      <c r="D3948" s="10">
        <f ca="1">IFERROR(__xludf.DUMMYFUNCTION("""COMPUTED_VALUE"""),2020)</f>
        <v>2020</v>
      </c>
      <c r="E3948" s="10" t="str">
        <f ca="1">IFERROR(__xludf.DUMMYFUNCTION("""COMPUTED_VALUE"""),"Сборник: „Поуките от историята за ефективността на политиката“, посветен на проф. д.ист.н. Трендафил Митев, София, 2020, Издателски комплекс - УНСС, ISSN 978-619-232-314-1, с. 270-286.")</f>
        <v>Сборник: „Поуките от историята за ефективността на политиката“, посветен на проф. д.ист.н. Трендафил Митев, София, 2020, Издателски комплекс - УНСС, ISSN 978-619-232-314-1, с. 270-286.</v>
      </c>
      <c r="F3948" s="10"/>
      <c r="G3948" s="10"/>
      <c r="H3948" s="10"/>
      <c r="I3948" s="10"/>
      <c r="J3948" s="10"/>
      <c r="K3948" s="10"/>
      <c r="L3948" s="10"/>
      <c r="M3948" s="10"/>
      <c r="N3948" s="10"/>
      <c r="O3948" s="10"/>
      <c r="P3948" s="10"/>
      <c r="Q3948" s="10"/>
      <c r="R3948" s="10"/>
      <c r="S3948" s="10"/>
      <c r="T3948" s="10"/>
      <c r="U3948" s="10"/>
      <c r="V3948" s="10"/>
      <c r="W3948" s="10"/>
      <c r="X3948" s="10"/>
      <c r="Y3948" s="10"/>
      <c r="Z3948" s="10"/>
    </row>
    <row r="3949" spans="1:26" ht="12.75">
      <c r="A3949" s="10" t="str">
        <f ca="1">IFERROR(__xludf.DUMMYFUNCTION("""COMPUTED_VALUE"""),"Йордан Стоянов Дойков")</f>
        <v>Йордан Стоянов Дойков</v>
      </c>
      <c r="B3949" s="10" t="str">
        <f ca="1">IFERROR(__xludf.DUMMYFUNCTION("""COMPUTED_VALUE"""),"Статия в списания и поредици")</f>
        <v>Статия в списания и поредици</v>
      </c>
      <c r="C3949" s="10" t="str">
        <f ca="1">IFERROR(__xludf.DUMMYFUNCTION("""COMPUTED_VALUE"""),"Предизвикателства пред интеграцията на България в евроатлантическите структури /Военнополитически аспекти и динамика на армейското обществено мнение в периода 2000-2004 г.")</f>
        <v>Предизвикателства пред интеграцията на България в евроатлантическите структури /Военнополитически аспекти и динамика на армейското обществено мнение в периода 2000-2004 г.</v>
      </c>
      <c r="D3949" s="10">
        <f ca="1">IFERROR(__xludf.DUMMYFUNCTION("""COMPUTED_VALUE"""),2020)</f>
        <v>2020</v>
      </c>
      <c r="E3949" s="10" t="str">
        <f ca="1">IFERROR(__xludf.DUMMYFUNCTION("""COMPUTED_VALUE"""),"сп. „Национална сигурност“, год. II, бр. 3, 2020, Виктори ИЗДАТ, София, ISSN: 2682-941X онлайн &amp; ISSN: 2682-9983 принт,, с. 39-44.")</f>
        <v>сп. „Национална сигурност“, год. II, бр. 3, 2020, Виктори ИЗДАТ, София, ISSN: 2682-941X онлайн &amp; ISSN: 2682-9983 принт,, с. 39-44.</v>
      </c>
      <c r="F3949" s="10"/>
      <c r="G3949" s="10"/>
      <c r="H3949" s="10"/>
      <c r="I3949" s="10"/>
      <c r="J3949" s="10"/>
      <c r="K3949" s="10"/>
      <c r="L3949" s="10"/>
      <c r="M3949" s="10"/>
      <c r="N3949" s="10"/>
      <c r="O3949" s="10"/>
      <c r="P3949" s="10"/>
      <c r="Q3949" s="10"/>
      <c r="R3949" s="10"/>
      <c r="S3949" s="10"/>
      <c r="T3949" s="10"/>
      <c r="U3949" s="10"/>
      <c r="V3949" s="10"/>
      <c r="W3949" s="10"/>
      <c r="X3949" s="10"/>
      <c r="Y3949" s="10"/>
      <c r="Z3949" s="10"/>
    </row>
    <row r="3950" spans="1:26" ht="12.75">
      <c r="A3950" s="10" t="str">
        <f ca="1">IFERROR(__xludf.DUMMYFUNCTION("""COMPUTED_VALUE"""),"Йордан Стоянов Дойков")</f>
        <v>Йордан Стоянов Дойков</v>
      </c>
      <c r="B3950" s="10" t="str">
        <f ca="1">IFERROR(__xludf.DUMMYFUNCTION("""COMPUTED_VALUE"""),"Статия в списания и поредици")</f>
        <v>Статия в списания и поредици</v>
      </c>
      <c r="C3950" s="10" t="str">
        <f ca="1">IFERROR(__xludf.DUMMYFUNCTION("""COMPUTED_VALUE"""),"Размышления о знаниях")</f>
        <v>Размышления о знаниях</v>
      </c>
      <c r="D3950" s="10">
        <f ca="1">IFERROR(__xludf.DUMMYFUNCTION("""COMPUTED_VALUE"""),2020)</f>
        <v>2020</v>
      </c>
      <c r="E3950" s="10" t="str">
        <f ca="1">IFERROR(__xludf.DUMMYFUNCTION("""COMPUTED_VALUE"""),"BULLETIN of Karaganda university. History. Philosophy Series, № 3(99)/2020, издательство КарГУ им. Е.А. Букетова,
 Караганда, Казахстан, ISSN 2518-7236 (Print), ISSN 2663-5100 (Online), с. 219-224.")</f>
        <v>BULLETIN of Karaganda university. History. Philosophy Series, № 3(99)/2020, издательство КарГУ им. Е.А. Букетова,
 Караганда, Казахстан, ISSN 2518-7236 (Print), ISSN 2663-5100 (Online), с. 219-224.</v>
      </c>
      <c r="F3950" s="10"/>
      <c r="G3950" s="10"/>
      <c r="H3950" s="10"/>
      <c r="I3950" s="10"/>
      <c r="J3950" s="10"/>
      <c r="K3950" s="10"/>
      <c r="L3950" s="10"/>
      <c r="M3950" s="10"/>
      <c r="N3950" s="10"/>
      <c r="O3950" s="10"/>
      <c r="P3950" s="10"/>
      <c r="Q3950" s="10"/>
      <c r="R3950" s="10"/>
      <c r="S3950" s="10"/>
      <c r="T3950" s="10"/>
      <c r="U3950" s="10"/>
      <c r="V3950" s="10"/>
      <c r="W3950" s="10"/>
      <c r="X3950" s="10"/>
      <c r="Y3950" s="10"/>
      <c r="Z3950" s="10"/>
    </row>
    <row r="3951" spans="1:26" ht="12.75">
      <c r="A3951" s="10" t="str">
        <f ca="1">IFERROR(__xludf.DUMMYFUNCTION("""COMPUTED_VALUE"""),"Йордан Стоянов Дойков")</f>
        <v>Йордан Стоянов Дойков</v>
      </c>
      <c r="B3951" s="10" t="str">
        <f ca="1">IFERROR(__xludf.DUMMYFUNCTION("""COMPUTED_VALUE"""),"Статия в списания и поредици")</f>
        <v>Статия в списания и поредици</v>
      </c>
      <c r="C3951" s="10" t="str">
        <f ca="1">IFERROR(__xludf.DUMMYFUNCTION("""COMPUTED_VALUE"""),"Russell’s description of experience")</f>
        <v>Russell’s description of experience</v>
      </c>
      <c r="D3951" s="10">
        <f ca="1">IFERROR(__xludf.DUMMYFUNCTION("""COMPUTED_VALUE"""),2020)</f>
        <v>2020</v>
      </c>
      <c r="E3951" s="10" t="str">
        <f ca="1">IFERROR(__xludf.DUMMYFUNCTION("""COMPUTED_VALUE"""),"Доклады Казахской академии образования №2/2020, ISSN 2305-7831, с. 247-256.")</f>
        <v>Доклады Казахской академии образования №2/2020, ISSN 2305-7831, с. 247-256.</v>
      </c>
      <c r="F3951" s="10"/>
      <c r="G3951" s="10"/>
      <c r="H3951" s="10"/>
      <c r="I3951" s="10"/>
      <c r="J3951" s="10"/>
      <c r="K3951" s="10"/>
      <c r="L3951" s="10"/>
      <c r="M3951" s="10"/>
      <c r="N3951" s="10"/>
      <c r="O3951" s="10"/>
      <c r="P3951" s="10"/>
      <c r="Q3951" s="10"/>
      <c r="R3951" s="10"/>
      <c r="S3951" s="10"/>
      <c r="T3951" s="10"/>
      <c r="U3951" s="10"/>
      <c r="V3951" s="10"/>
      <c r="W3951" s="10"/>
      <c r="X3951" s="10"/>
      <c r="Y3951" s="10"/>
      <c r="Z3951" s="10"/>
    </row>
    <row r="3952" spans="1:26" ht="12.75">
      <c r="A3952" s="10" t="str">
        <f ca="1">IFERROR(__xludf.DUMMYFUNCTION("""COMPUTED_VALUE"""),"Йордан Стоянов Дойков")</f>
        <v>Йордан Стоянов Дойков</v>
      </c>
      <c r="B3952" s="10" t="str">
        <f ca="1">IFERROR(__xludf.DUMMYFUNCTION("""COMPUTED_VALUE"""),"Статия в списания и поредици")</f>
        <v>Статия в списания и поредици</v>
      </c>
      <c r="C3952" s="10" t="str">
        <f ca="1">IFERROR(__xludf.DUMMYFUNCTION("""COMPUTED_VALUE"""),"Влияние на науката и културата върху военното дело и армията")</f>
        <v>Влияние на науката и културата върху военното дело и армията</v>
      </c>
      <c r="D3952" s="10">
        <f ca="1">IFERROR(__xludf.DUMMYFUNCTION("""COMPUTED_VALUE"""),2020)</f>
        <v>2020</v>
      </c>
      <c r="E3952" s="10" t="str">
        <f ca="1">IFERROR(__xludf.DUMMYFUNCTION("""COMPUTED_VALUE"""),"Сборник: „Поуките от историята за ефективността на политиката“, посветен на проф. д.ист.н. Трендафил Митев, София, 2020, Издателски комплекс - УНСС, ISSN 978-619-232-314-1, с. 529-538.")</f>
        <v>Сборник: „Поуките от историята за ефективността на политиката“, посветен на проф. д.ист.н. Трендафил Митев, София, 2020, Издателски комплекс - УНСС, ISSN 978-619-232-314-1, с. 529-538.</v>
      </c>
      <c r="F3952" s="10"/>
      <c r="G3952" s="10"/>
      <c r="H3952" s="10"/>
      <c r="I3952" s="10"/>
      <c r="J3952" s="10"/>
      <c r="K3952" s="10"/>
      <c r="L3952" s="10"/>
      <c r="M3952" s="10"/>
      <c r="N3952" s="10"/>
      <c r="O3952" s="10"/>
      <c r="P3952" s="10"/>
      <c r="Q3952" s="10"/>
      <c r="R3952" s="10"/>
      <c r="S3952" s="10"/>
      <c r="T3952" s="10"/>
      <c r="U3952" s="10"/>
      <c r="V3952" s="10"/>
      <c r="W3952" s="10"/>
      <c r="X3952" s="10"/>
      <c r="Y3952" s="10"/>
      <c r="Z3952" s="10"/>
    </row>
    <row r="3953" spans="1:26" ht="12.75">
      <c r="A3953" s="10" t="str">
        <f ca="1">IFERROR(__xludf.DUMMYFUNCTION("""COMPUTED_VALUE"""),"Йордан Стоянов Дойков")</f>
        <v>Йордан Стоянов Дойков</v>
      </c>
      <c r="B3953" s="10" t="str">
        <f ca="1">IFERROR(__xludf.DUMMYFUNCTION("""COMPUTED_VALUE"""),"Статия в списания и поредици")</f>
        <v>Статия в списания и поредици</v>
      </c>
      <c r="C3953" s="10" t="str">
        <f ca="1">IFERROR(__xludf.DUMMYFUNCTION("""COMPUTED_VALUE"""),"Общая концептуальная основа понимания знаний Гегелем")</f>
        <v>Общая концептуальная основа понимания знаний Гегелем</v>
      </c>
      <c r="D3953" s="10">
        <f ca="1">IFERROR(__xludf.DUMMYFUNCTION("""COMPUTED_VALUE"""),2020)</f>
        <v>2020</v>
      </c>
      <c r="E3953" s="10" t="str">
        <f ca="1">IFERROR(__xludf.DUMMYFUNCTION("""COMPUTED_VALUE"""),"BULLETIN of Karaganda university. History. Philosophy Series, № 2(98)/2020, ISSN 2518-7236 (Print), ISSN 2663-5100 (Online), с. 157-161.")</f>
        <v>BULLETIN of Karaganda university. History. Philosophy Series, № 2(98)/2020, ISSN 2518-7236 (Print), ISSN 2663-5100 (Online), с. 157-161.</v>
      </c>
      <c r="F3953" s="10"/>
      <c r="G3953" s="10"/>
      <c r="H3953" s="10"/>
      <c r="I3953" s="10"/>
      <c r="J3953" s="10"/>
      <c r="K3953" s="10"/>
      <c r="L3953" s="10"/>
      <c r="M3953" s="10"/>
      <c r="N3953" s="10"/>
      <c r="O3953" s="10"/>
      <c r="P3953" s="10"/>
      <c r="Q3953" s="10"/>
      <c r="R3953" s="10"/>
      <c r="S3953" s="10"/>
      <c r="T3953" s="10"/>
      <c r="U3953" s="10"/>
      <c r="V3953" s="10"/>
      <c r="W3953" s="10"/>
      <c r="X3953" s="10"/>
      <c r="Y3953" s="10"/>
      <c r="Z3953" s="10"/>
    </row>
    <row r="3954" spans="1:26" ht="12.75">
      <c r="A3954" s="10" t="str">
        <f ca="1">IFERROR(__xludf.DUMMYFUNCTION("""COMPUTED_VALUE"""),"Йордан Стоянов Дойков")</f>
        <v>Йордан Стоянов Дойков</v>
      </c>
      <c r="B3954" s="10" t="str">
        <f ca="1">IFERROR(__xludf.DUMMYFUNCTION("""COMPUTED_VALUE"""),"Доклад от конференция")</f>
        <v>Доклад от конференция</v>
      </c>
      <c r="C3954" s="10" t="str">
        <f ca="1">IFERROR(__xludf.DUMMYFUNCTION("""COMPUTED_VALUE"""),"Интерпретацията на Бъргър и Лукман на социалното взаимодействие във всекидневния живот")</f>
        <v>Интерпретацията на Бъргър и Лукман на социалното взаимодействие във всекидневния живот</v>
      </c>
      <c r="D3954" s="10">
        <f ca="1">IFERROR(__xludf.DUMMYFUNCTION("""COMPUTED_VALUE"""),2020)</f>
        <v>2020</v>
      </c>
      <c r="E3954" s="10" t="str">
        <f ca="1">IFERROR(__xludf.DUMMYFUNCTION("""COMPUTED_VALUE"""),"Седма Национална научна конференция „Хармония в различията“, съст. Назърска, Ж., С. Шапкалова. Сборник с доклади, Т. 7., София, 10.12.2020, ISSN 2367-7899, За буквите – О писменехь, с. 499–508.")</f>
        <v>Седма Национална научна конференция „Хармония в различията“, съст. Назърска, Ж., С. Шапкалова. Сборник с доклади, Т. 7., София, 10.12.2020, ISSN 2367-7899, За буквите – О писменехь, с. 499–508.</v>
      </c>
      <c r="F3954" s="10"/>
      <c r="G3954" s="10"/>
      <c r="H3954" s="10"/>
      <c r="I3954" s="10"/>
      <c r="J3954" s="10"/>
      <c r="K3954" s="10"/>
      <c r="L3954" s="10"/>
      <c r="M3954" s="10"/>
      <c r="N3954" s="10"/>
      <c r="O3954" s="10"/>
      <c r="P3954" s="10"/>
      <c r="Q3954" s="10"/>
      <c r="R3954" s="10"/>
      <c r="S3954" s="10"/>
      <c r="T3954" s="10"/>
      <c r="U3954" s="10"/>
      <c r="V3954" s="10"/>
      <c r="W3954" s="10"/>
      <c r="X3954" s="10"/>
      <c r="Y3954" s="10"/>
      <c r="Z3954" s="10"/>
    </row>
    <row r="3955" spans="1:26" ht="12.75">
      <c r="A3955" s="10" t="str">
        <f ca="1">IFERROR(__xludf.DUMMYFUNCTION("""COMPUTED_VALUE"""),"Йордан Стоянов Дойков")</f>
        <v>Йордан Стоянов Дойков</v>
      </c>
      <c r="B3955" s="10" t="str">
        <f ca="1">IFERROR(__xludf.DUMMYFUNCTION("""COMPUTED_VALUE"""),"Статия в списания и поредици")</f>
        <v>Статия в списания и поредици</v>
      </c>
      <c r="C3955" s="10" t="str">
        <f ca="1">IFERROR(__xludf.DUMMYFUNCTION("""COMPUTED_VALUE"""),"Gadamer’s understanding of the hermeneutic circle - methodological problems of knowledge")</f>
        <v>Gadamer’s understanding of the hermeneutic circle - methodological problems of knowledge</v>
      </c>
      <c r="D3955" s="10">
        <f ca="1">IFERROR(__xludf.DUMMYFUNCTION("""COMPUTED_VALUE"""),2020)</f>
        <v>2020</v>
      </c>
      <c r="E3955" s="10" t="str">
        <f ca="1">IFERROR(__xludf.DUMMYFUNCTION("""COMPUTED_VALUE"""),"Доклады Казахской академии образования №3/2020, ISSN 2305-7831, с. 210-219.")</f>
        <v>Доклады Казахской академии образования №3/2020, ISSN 2305-7831, с. 210-219.</v>
      </c>
      <c r="F3955" s="10"/>
      <c r="G3955" s="10"/>
      <c r="H3955" s="10"/>
      <c r="I3955" s="10"/>
      <c r="J3955" s="10"/>
      <c r="K3955" s="10"/>
      <c r="L3955" s="10"/>
      <c r="M3955" s="10"/>
      <c r="N3955" s="10"/>
      <c r="O3955" s="10"/>
      <c r="P3955" s="10"/>
      <c r="Q3955" s="10"/>
      <c r="R3955" s="10"/>
      <c r="S3955" s="10"/>
      <c r="T3955" s="10"/>
      <c r="U3955" s="10"/>
      <c r="V3955" s="10"/>
      <c r="W3955" s="10"/>
      <c r="X3955" s="10"/>
      <c r="Y3955" s="10"/>
      <c r="Z3955" s="10"/>
    </row>
    <row r="3956" spans="1:26" ht="12.75">
      <c r="A3956" s="10" t="str">
        <f ca="1">IFERROR(__xludf.DUMMYFUNCTION("""COMPUTED_VALUE"""),"Йордан Стоянов Дойков")</f>
        <v>Йордан Стоянов Дойков</v>
      </c>
      <c r="B3956" s="10" t="str">
        <f ca="1">IFERROR(__xludf.DUMMYFUNCTION("""COMPUTED_VALUE"""),"Статия в списания и поредици")</f>
        <v>Статия в списания и поредици</v>
      </c>
      <c r="C3956" s="10" t="str">
        <f ca="1">IFERROR(__xludf.DUMMYFUNCTION("""COMPUTED_VALUE"""),"Methodological cognitive potential of the face-to-face situation in Berger and Luckmann’s concept. The role of typification mechanism")</f>
        <v>Methodological cognitive potential of the face-to-face situation in Berger and Luckmann’s concept. The role of typification mechanism</v>
      </c>
      <c r="D3956" s="10">
        <f ca="1">IFERROR(__xludf.DUMMYFUNCTION("""COMPUTED_VALUE"""),2020)</f>
        <v>2020</v>
      </c>
      <c r="E3956" s="10" t="str">
        <f ca="1">IFERROR(__xludf.DUMMYFUNCTION("""COMPUTED_VALUE"""),"Доклады Казахской академии образования №4/2020, ISSN 2305-7831, с. 251-259.")</f>
        <v>Доклады Казахской академии образования №4/2020, ISSN 2305-7831, с. 251-259.</v>
      </c>
      <c r="F3956" s="10"/>
      <c r="G3956" s="10"/>
      <c r="H3956" s="10"/>
      <c r="I3956" s="10"/>
      <c r="J3956" s="10"/>
      <c r="K3956" s="10"/>
      <c r="L3956" s="10"/>
      <c r="M3956" s="10"/>
      <c r="N3956" s="10"/>
      <c r="O3956" s="10"/>
      <c r="P3956" s="10"/>
      <c r="Q3956" s="10"/>
      <c r="R3956" s="10"/>
      <c r="S3956" s="10"/>
      <c r="T3956" s="10"/>
      <c r="U3956" s="10"/>
      <c r="V3956" s="10"/>
      <c r="W3956" s="10"/>
      <c r="X3956" s="10"/>
      <c r="Y3956" s="10"/>
      <c r="Z3956" s="10"/>
    </row>
    <row r="3957" spans="1:26" ht="12.75">
      <c r="A3957" s="10" t="str">
        <f ca="1">IFERROR(__xludf.DUMMYFUNCTION("""COMPUTED_VALUE"""),"Йордан Стоянов Дойков")</f>
        <v>Йордан Стоянов Дойков</v>
      </c>
      <c r="B3957" s="10" t="str">
        <f ca="1">IFERROR(__xludf.DUMMYFUNCTION("""COMPUTED_VALUE"""),"Учебно пособие")</f>
        <v>Учебно пособие</v>
      </c>
      <c r="C3957" s="10" t="str">
        <f ca="1">IFERROR(__xludf.DUMMYFUNCTION("""COMPUTED_VALUE"""),"Методологически основания на Хайдегер за определяне същността на онтологичното познание")</f>
        <v>Методологически основания на Хайдегер за определяне същността на онтологичното познание</v>
      </c>
      <c r="D3957" s="10">
        <f ca="1">IFERROR(__xludf.DUMMYFUNCTION("""COMPUTED_VALUE"""),2019)</f>
        <v>2019</v>
      </c>
      <c r="E3957" s="10" t="str">
        <f ca="1">IFERROR(__xludf.DUMMYFUNCTION("""COMPUTED_VALUE"""),"Комуникации и политики, т. 2, изд.За буквите – О писменехь, София, ISBN 978-619-185-390-8, с. 26-36.")</f>
        <v>Комуникации и политики, т. 2, изд.За буквите – О писменехь, София, ISBN 978-619-185-390-8, с. 26-36.</v>
      </c>
      <c r="F3957" s="10"/>
      <c r="G3957" s="10"/>
      <c r="H3957" s="10"/>
      <c r="I3957" s="10"/>
      <c r="J3957" s="10"/>
      <c r="K3957" s="10"/>
      <c r="L3957" s="10"/>
      <c r="M3957" s="10"/>
      <c r="N3957" s="10"/>
      <c r="O3957" s="10"/>
      <c r="P3957" s="10"/>
      <c r="Q3957" s="10"/>
      <c r="R3957" s="10"/>
      <c r="S3957" s="10"/>
      <c r="T3957" s="10"/>
      <c r="U3957" s="10"/>
      <c r="V3957" s="10"/>
      <c r="W3957" s="10"/>
      <c r="X3957" s="10"/>
      <c r="Y3957" s="10"/>
      <c r="Z3957" s="10"/>
    </row>
    <row r="3958" spans="1:26" ht="12.75">
      <c r="A3958" s="10" t="str">
        <f ca="1">IFERROR(__xludf.DUMMYFUNCTION("""COMPUTED_VALUE"""),"Йордан Стоянов Дойков")</f>
        <v>Йордан Стоянов Дойков</v>
      </c>
      <c r="B3958" s="10" t="str">
        <f ca="1">IFERROR(__xludf.DUMMYFUNCTION("""COMPUTED_VALUE"""),"Доклад от конференция")</f>
        <v>Доклад от конференция</v>
      </c>
      <c r="C3958" s="10" t="str">
        <f ca="1">IFERROR(__xludf.DUMMYFUNCTION("""COMPUTED_VALUE"""),"The (national) security council – differentia specifica of “the competent and responsible circle” in the state, in Proceedings “Knowledge Society and 21st Century Humanism”")</f>
        <v>The (national) security council – differentia specifica of “the competent and responsible circle” in the state, in Proceedings “Knowledge Society and 21st Century Humanism”</v>
      </c>
      <c r="D3958" s="10">
        <f ca="1">IFERROR(__xludf.DUMMYFUNCTION("""COMPUTED_VALUE"""),2019)</f>
        <v>2019</v>
      </c>
      <c r="E3958" s="10" t="str">
        <f ca="1">IFERROR(__xludf.DUMMYFUNCTION("""COMPUTED_VALUE"""),"the 17th International Scientific Conference, ULSIT, Sofia, 1st November 2019, APH “Za Bukvite – O Pismeneh”, ISSN 2683-0094, pp. 660-672.")</f>
        <v>the 17th International Scientific Conference, ULSIT, Sofia, 1st November 2019, APH “Za Bukvite – O Pismeneh”, ISSN 2683-0094, pp. 660-672.</v>
      </c>
      <c r="F3958" s="10"/>
      <c r="G3958" s="10"/>
      <c r="H3958" s="10"/>
      <c r="I3958" s="10"/>
      <c r="J3958" s="10"/>
      <c r="K3958" s="10"/>
      <c r="L3958" s="10"/>
      <c r="M3958" s="10"/>
      <c r="N3958" s="10"/>
      <c r="O3958" s="10"/>
      <c r="P3958" s="10"/>
      <c r="Q3958" s="10"/>
      <c r="R3958" s="10"/>
      <c r="S3958" s="10"/>
      <c r="T3958" s="10"/>
      <c r="U3958" s="10"/>
      <c r="V3958" s="10"/>
      <c r="W3958" s="10"/>
      <c r="X3958" s="10"/>
      <c r="Y3958" s="10"/>
      <c r="Z3958" s="10"/>
    </row>
    <row r="3959" spans="1:26" ht="12.75">
      <c r="A3959" s="10" t="str">
        <f ca="1">IFERROR(__xludf.DUMMYFUNCTION("""COMPUTED_VALUE"""),"Йордан Стоянов Дойков")</f>
        <v>Йордан Стоянов Дойков</v>
      </c>
      <c r="B3959" s="10" t="str">
        <f ca="1">IFERROR(__xludf.DUMMYFUNCTION("""COMPUTED_VALUE"""),"Статия в списания и поредици")</f>
        <v>Статия в списания и поредици</v>
      </c>
      <c r="C3959" s="10" t="str">
        <f ca="1">IFERROR(__xludf.DUMMYFUNCTION("""COMPUTED_VALUE"""),"За познанието")</f>
        <v>За познанието</v>
      </c>
      <c r="D3959" s="10">
        <f ca="1">IFERROR(__xludf.DUMMYFUNCTION("""COMPUTED_VALUE"""),2019)</f>
        <v>2019</v>
      </c>
      <c r="E3959" s="10" t="str">
        <f ca="1">IFERROR(__xludf.DUMMYFUNCTION("""COMPUTED_VALUE"""),"сб. „Проблеми на обществената комуникация” - Пета Международна Кръгла маса по проблемите на обществената комуникация София, 4-5 юни 2019 г., изд. „За буквите – О писменехь“, София, ISSN 2534-
 9430, с. 156-165..")</f>
        <v>сб. „Проблеми на обществената комуникация” - Пета Международна Кръгла маса по проблемите на обществената комуникация София, 4-5 юни 2019 г., изд. „За буквите – О писменехь“, София, ISSN 2534-
 9430, с. 156-165..</v>
      </c>
      <c r="F3959" s="10"/>
      <c r="G3959" s="10"/>
      <c r="H3959" s="10"/>
      <c r="I3959" s="10"/>
      <c r="J3959" s="10"/>
      <c r="K3959" s="10"/>
      <c r="L3959" s="10"/>
      <c r="M3959" s="10"/>
      <c r="N3959" s="10"/>
      <c r="O3959" s="10"/>
      <c r="P3959" s="10"/>
      <c r="Q3959" s="10"/>
      <c r="R3959" s="10"/>
      <c r="S3959" s="10"/>
      <c r="T3959" s="10"/>
      <c r="U3959" s="10"/>
      <c r="V3959" s="10"/>
      <c r="W3959" s="10"/>
      <c r="X3959" s="10"/>
      <c r="Y3959" s="10"/>
      <c r="Z3959" s="10"/>
    </row>
    <row r="3960" spans="1:26" ht="12.75">
      <c r="A3960" s="10" t="str">
        <f ca="1">IFERROR(__xludf.DUMMYFUNCTION("""COMPUTED_VALUE"""),"Йордан Стоянов Дойков")</f>
        <v>Йордан Стоянов Дойков</v>
      </c>
      <c r="B3960" s="10" t="str">
        <f ca="1">IFERROR(__xludf.DUMMYFUNCTION("""COMPUTED_VALUE"""),"Доклад от конференция")</f>
        <v>Доклад от конференция</v>
      </c>
      <c r="C3960" s="10" t="str">
        <f ca="1">IFERROR(__xludf.DUMMYFUNCTION("""COMPUTED_VALUE"""),"Междуетническите отношения в България и в Българската армия в годините на прехода (1989-2004)")</f>
        <v>Междуетническите отношения в България и в Българската армия в годините на прехода (1989-2004)</v>
      </c>
      <c r="D3960" s="10">
        <f ca="1">IFERROR(__xludf.DUMMYFUNCTION("""COMPUTED_VALUE"""),2019)</f>
        <v>2019</v>
      </c>
      <c r="E3960" s="10" t="str">
        <f ca="1">IFERROR(__xludf.DUMMYFUNCTION("""COMPUTED_VALUE"""),"Научната конференция „Хармония в различията“, София, 10.12.2019, Сборник с доклади, ISSN 2367-7899, с. 335-344.")</f>
        <v>Научната конференция „Хармония в различията“, София, 10.12.2019, Сборник с доклади, ISSN 2367-7899, с. 335-344.</v>
      </c>
      <c r="F3960" s="10"/>
      <c r="G3960" s="10"/>
      <c r="H3960" s="10"/>
      <c r="I3960" s="10"/>
      <c r="J3960" s="10"/>
      <c r="K3960" s="10"/>
      <c r="L3960" s="10"/>
      <c r="M3960" s="10"/>
      <c r="N3960" s="10"/>
      <c r="O3960" s="10"/>
      <c r="P3960" s="10"/>
      <c r="Q3960" s="10"/>
      <c r="R3960" s="10"/>
      <c r="S3960" s="10"/>
      <c r="T3960" s="10"/>
      <c r="U3960" s="10"/>
      <c r="V3960" s="10"/>
      <c r="W3960" s="10"/>
      <c r="X3960" s="10"/>
      <c r="Y3960" s="10"/>
      <c r="Z3960" s="10"/>
    </row>
    <row r="3961" spans="1:26" ht="12.75">
      <c r="A3961" s="10" t="str">
        <f ca="1">IFERROR(__xludf.DUMMYFUNCTION("""COMPUTED_VALUE"""),"Йордан Стоянов Дойков")</f>
        <v>Йордан Стоянов Дойков</v>
      </c>
      <c r="B3961" s="10" t="str">
        <f ca="1">IFERROR(__xludf.DUMMYFUNCTION("""COMPUTED_VALUE"""),"Учебно пособие")</f>
        <v>Учебно пособие</v>
      </c>
      <c r="C3961" s="10" t="str">
        <f ca="1">IFERROR(__xludf.DUMMYFUNCTION("""COMPUTED_VALUE"""),"Понятията образование и sensus communis в херменевтическия познавателен инструментариум")</f>
        <v>Понятията образование и sensus communis в херменевтическия познавателен инструментариум</v>
      </c>
      <c r="D3961" s="10">
        <f ca="1">IFERROR(__xludf.DUMMYFUNCTION("""COMPUTED_VALUE"""),2019)</f>
        <v>2019</v>
      </c>
      <c r="E3961" s="10" t="str">
        <f ca="1">IFERROR(__xludf.DUMMYFUNCTION("""COMPUTED_VALUE"""),"Комуникации и политики, т. 3, изд. &amp;quot;За буквите – О писменехь&amp;quot;, София, ISBN 978-619-185-304-5 (Print), ISBN 978-619- 185-304-2 (Online), 340 с.,")</f>
        <v>Комуникации и политики, т. 3, изд. &amp;quot;За буквите – О писменехь&amp;quot;, София, ISBN 978-619-185-304-5 (Print), ISBN 978-619- 185-304-2 (Online), 340 с.,</v>
      </c>
      <c r="F3961" s="10"/>
      <c r="G3961" s="10" t="str">
        <f ca="1">IFERROR(__xludf.DUMMYFUNCTION("""COMPUTED_VALUE"""),"Колектив и ДОЙКОВ Йордан.")</f>
        <v>Колектив и ДОЙКОВ Йордан.</v>
      </c>
      <c r="H3961" s="10"/>
      <c r="I3961" s="10"/>
      <c r="J3961" s="10"/>
      <c r="K3961" s="10"/>
      <c r="L3961" s="10"/>
      <c r="M3961" s="10"/>
      <c r="N3961" s="10"/>
      <c r="O3961" s="10"/>
      <c r="P3961" s="10"/>
      <c r="Q3961" s="10"/>
      <c r="R3961" s="10"/>
      <c r="S3961" s="10"/>
      <c r="T3961" s="10"/>
      <c r="U3961" s="10"/>
      <c r="V3961" s="10"/>
      <c r="W3961" s="10"/>
      <c r="X3961" s="10"/>
      <c r="Y3961" s="10"/>
      <c r="Z3961" s="10"/>
    </row>
    <row r="3962" spans="1:26" ht="12.75">
      <c r="A3962" s="10" t="str">
        <f ca="1">IFERROR(__xludf.DUMMYFUNCTION("""COMPUTED_VALUE"""),"Йордан Стоянов Дойков")</f>
        <v>Йордан Стоянов Дойков</v>
      </c>
      <c r="B3962" s="10" t="str">
        <f ca="1">IFERROR(__xludf.DUMMYFUNCTION("""COMPUTED_VALUE"""),"Книга")</f>
        <v>Книга</v>
      </c>
      <c r="C3962" s="10" t="str">
        <f ca="1">IFERROR(__xludf.DUMMYFUNCTION("""COMPUTED_VALUE"""),"Методологическо конструиране в социалния анализ")</f>
        <v>Методологическо конструиране в социалния анализ</v>
      </c>
      <c r="D3962" s="10">
        <f ca="1">IFERROR(__xludf.DUMMYFUNCTION("""COMPUTED_VALUE"""),2019)</f>
        <v>2019</v>
      </c>
      <c r="E3962" s="10" t="str">
        <f ca="1">IFERROR(__xludf.DUMMYFUNCTION("""COMPUTED_VALUE"""),", том 1. За познанието, опита и практиката, Изд. „Парадигма”, София, ISBN 978-954-326-412-4, 308 с.")</f>
        <v>, том 1. За познанието, опита и практиката, Изд. „Парадигма”, София, ISBN 978-954-326-412-4, 308 с.</v>
      </c>
      <c r="F3962" s="10"/>
      <c r="G3962" s="10"/>
      <c r="H3962" s="10"/>
      <c r="I3962" s="10"/>
      <c r="J3962" s="10"/>
      <c r="K3962" s="10"/>
      <c r="L3962" s="10"/>
      <c r="M3962" s="10"/>
      <c r="N3962" s="10"/>
      <c r="O3962" s="10"/>
      <c r="P3962" s="10"/>
      <c r="Q3962" s="10"/>
      <c r="R3962" s="10"/>
      <c r="S3962" s="10"/>
      <c r="T3962" s="10"/>
      <c r="U3962" s="10"/>
      <c r="V3962" s="10"/>
      <c r="W3962" s="10"/>
      <c r="X3962" s="10"/>
      <c r="Y3962" s="10"/>
      <c r="Z3962" s="10"/>
    </row>
    <row r="3963" spans="1:26" ht="12.75">
      <c r="A3963" s="10" t="str">
        <f ca="1">IFERROR(__xludf.DUMMYFUNCTION("""COMPUTED_VALUE"""),"Йордан Стоянов Дойков")</f>
        <v>Йордан Стоянов Дойков</v>
      </c>
      <c r="B3963" s="10" t="str">
        <f ca="1">IFERROR(__xludf.DUMMYFUNCTION("""COMPUTED_VALUE"""),"Статия в списания и поредици")</f>
        <v>Статия в списания и поредици</v>
      </c>
      <c r="C3963" s="10" t="str">
        <f ca="1">IFERROR(__xludf.DUMMYFUNCTION("""COMPUTED_VALUE"""),"Ситуационен външнополитически анализ в областта на сигурността – монография с принос в политологическата литература")</f>
        <v>Ситуационен външнополитически анализ в областта на сигурността – монография с принос в политологическата литература</v>
      </c>
      <c r="D3963" s="10">
        <f ca="1">IFERROR(__xludf.DUMMYFUNCTION("""COMPUTED_VALUE"""),2019)</f>
        <v>2019</v>
      </c>
      <c r="E3963" s="10" t="str">
        <f ca="1">IFERROR(__xludf.DUMMYFUNCTION("""COMPUTED_VALUE"""),"е-сп. „Международна политика”, Правно-исторически факултет, ЮЗУ „Неофит Рилски”, УИ „Неофит Рилски“, Благоевград, год. XIV, бр. 1-2, ISSN 2367-5373, 2019, с. 208-209.")</f>
        <v>е-сп. „Международна политика”, Правно-исторически факултет, ЮЗУ „Неофит Рилски”, УИ „Неофит Рилски“, Благоевград, год. XIV, бр. 1-2, ISSN 2367-5373, 2019, с. 208-209.</v>
      </c>
      <c r="F3963" s="10"/>
      <c r="G3963" s="10"/>
      <c r="H3963" s="10"/>
      <c r="I3963" s="10"/>
      <c r="J3963" s="10"/>
      <c r="K3963" s="10"/>
      <c r="L3963" s="10"/>
      <c r="M3963" s="10"/>
      <c r="N3963" s="10"/>
      <c r="O3963" s="10"/>
      <c r="P3963" s="10"/>
      <c r="Q3963" s="10"/>
      <c r="R3963" s="10"/>
      <c r="S3963" s="10"/>
      <c r="T3963" s="10"/>
      <c r="U3963" s="10"/>
      <c r="V3963" s="10"/>
      <c r="W3963" s="10"/>
      <c r="X3963" s="10"/>
      <c r="Y3963" s="10"/>
      <c r="Z3963" s="10"/>
    </row>
    <row r="3964" spans="1:26" ht="12.75">
      <c r="A3964" s="10" t="str">
        <f ca="1">IFERROR(__xludf.DUMMYFUNCTION("""COMPUTED_VALUE"""),"Йордан Стоянов Дойков")</f>
        <v>Йордан Стоянов Дойков</v>
      </c>
      <c r="B3964" s="10" t="str">
        <f ca="1">IFERROR(__xludf.DUMMYFUNCTION("""COMPUTED_VALUE"""),"Статия в списания и поредици")</f>
        <v>Статия в списания и поредици</v>
      </c>
      <c r="C3964" s="10" t="str">
        <f ca="1">IFERROR(__xludf.DUMMYFUNCTION("""COMPUTED_VALUE"""),"Гадамер за херменевтичния кръг и херменевтичното познание")</f>
        <v>Гадамер за херменевтичния кръг и херменевтичното познание</v>
      </c>
      <c r="D3964" s="10">
        <f ca="1">IFERROR(__xludf.DUMMYFUNCTION("""COMPUTED_VALUE"""),2019)</f>
        <v>2019</v>
      </c>
      <c r="E3964" s="10" t="str">
        <f ca="1">IFERROR(__xludf.DUMMYFUNCTION("""COMPUTED_VALUE"""),"сб. „Проблеми на обществената комуникация” - Пета Международна Кръгла маса по проблемите на обществената комуникация София, 4-5 юни 2019 г., изд. „За буквите – О писменехь“, София, ISSN 2534-9430, с. 121-131.")</f>
        <v>сб. „Проблеми на обществената комуникация” - Пета Международна Кръгла маса по проблемите на обществената комуникация София, 4-5 юни 2019 г., изд. „За буквите – О писменехь“, София, ISSN 2534-9430, с. 121-131.</v>
      </c>
      <c r="F3964" s="10"/>
      <c r="G3964" s="10"/>
      <c r="H3964" s="10"/>
      <c r="I3964" s="10"/>
      <c r="J3964" s="10"/>
      <c r="K3964" s="10"/>
      <c r="L3964" s="10"/>
      <c r="M3964" s="10"/>
      <c r="N3964" s="10"/>
      <c r="O3964" s="10"/>
      <c r="P3964" s="10"/>
      <c r="Q3964" s="10"/>
      <c r="R3964" s="10"/>
      <c r="S3964" s="10"/>
      <c r="T3964" s="10"/>
      <c r="U3964" s="10"/>
      <c r="V3964" s="10"/>
      <c r="W3964" s="10"/>
      <c r="X3964" s="10"/>
      <c r="Y3964" s="10"/>
      <c r="Z3964" s="10"/>
    </row>
    <row r="3965" spans="1:26" ht="12.75">
      <c r="A3965" s="10" t="str">
        <f ca="1">IFERROR(__xludf.DUMMYFUNCTION("""COMPUTED_VALUE"""),"Йордан Стоянов Дойков")</f>
        <v>Йордан Стоянов Дойков</v>
      </c>
      <c r="B3965" s="10" t="str">
        <f ca="1">IFERROR(__xludf.DUMMYFUNCTION("""COMPUTED_VALUE"""),"Учебно пособие")</f>
        <v>Учебно пособие</v>
      </c>
      <c r="C3965" s="10" t="str">
        <f ca="1">IFERROR(__xludf.DUMMYFUNCTION("""COMPUTED_VALUE"""),"Политическа психология")</f>
        <v>Политическа психология</v>
      </c>
      <c r="D3965" s="10">
        <f ca="1">IFERROR(__xludf.DUMMYFUNCTION("""COMPUTED_VALUE"""),2018)</f>
        <v>2018</v>
      </c>
      <c r="E3965" s="10" t="str">
        <f ca="1">IFERROR(__xludf.DUMMYFUNCTION("""COMPUTED_VALUE"""),"изд. ""Парадигма"", София, ISBN 978-954-326-359-2, 214 е-с.")</f>
        <v>изд. "Парадигма", София, ISBN 978-954-326-359-2, 214 е-с.</v>
      </c>
      <c r="F3965" s="10" t="str">
        <f ca="1">IFERROR(__xludf.DUMMYFUNCTION("""COMPUTED_VALUE"""),"Google Science, Researchechgate.net, Academia.edu")</f>
        <v>Google Science, Researchechgate.net, Academia.edu</v>
      </c>
      <c r="G3965" s="10"/>
      <c r="H3965" s="10"/>
      <c r="I3965" s="10"/>
      <c r="J3965" s="10"/>
      <c r="K3965" s="10"/>
      <c r="L3965" s="10"/>
      <c r="M3965" s="10"/>
      <c r="N3965" s="10"/>
      <c r="O3965" s="10"/>
      <c r="P3965" s="10"/>
      <c r="Q3965" s="10"/>
      <c r="R3965" s="10"/>
      <c r="S3965" s="10"/>
      <c r="T3965" s="10"/>
      <c r="U3965" s="10"/>
      <c r="V3965" s="10"/>
      <c r="W3965" s="10"/>
      <c r="X3965" s="10"/>
      <c r="Y3965" s="10"/>
      <c r="Z3965" s="10"/>
    </row>
    <row r="3966" spans="1:26" ht="12.75">
      <c r="A3966" s="10" t="str">
        <f ca="1">IFERROR(__xludf.DUMMYFUNCTION("""COMPUTED_VALUE"""),"Йордан Стоянов Дойков")</f>
        <v>Йордан Стоянов Дойков</v>
      </c>
      <c r="B3966" s="10" t="str">
        <f ca="1">IFERROR(__xludf.DUMMYFUNCTION("""COMPUTED_VALUE"""),"Учебно пособие")</f>
        <v>Учебно пособие</v>
      </c>
      <c r="C3966" s="10" t="str">
        <f ca="1">IFERROR(__xludf.DUMMYFUNCTION("""COMPUTED_VALUE"""),"Психология на управлението")</f>
        <v>Психология на управлението</v>
      </c>
      <c r="D3966" s="10">
        <f ca="1">IFERROR(__xludf.DUMMYFUNCTION("""COMPUTED_VALUE"""),2018)</f>
        <v>2018</v>
      </c>
      <c r="E3966" s="10" t="str">
        <f ca="1">IFERROR(__xludf.DUMMYFUNCTION("""COMPUTED_VALUE"""),"изд. ""Парадигма"", София, ISBN 978-954-326-360-8, 209 е-с.")</f>
        <v>изд. "Парадигма", София, ISBN 978-954-326-360-8, 209 е-с.</v>
      </c>
      <c r="F3966" s="10" t="str">
        <f ca="1">IFERROR(__xludf.DUMMYFUNCTION("""COMPUTED_VALUE"""),"Google Science, Researchechgate.net, Academia.edu")</f>
        <v>Google Science, Researchechgate.net, Academia.edu</v>
      </c>
      <c r="G3966" s="10"/>
      <c r="H3966" s="10"/>
      <c r="I3966" s="10"/>
      <c r="J3966" s="10"/>
      <c r="K3966" s="10"/>
      <c r="L3966" s="10"/>
      <c r="M3966" s="10"/>
      <c r="N3966" s="10"/>
      <c r="O3966" s="10"/>
      <c r="P3966" s="10"/>
      <c r="Q3966" s="10"/>
      <c r="R3966" s="10"/>
      <c r="S3966" s="10"/>
      <c r="T3966" s="10"/>
      <c r="U3966" s="10"/>
      <c r="V3966" s="10"/>
      <c r="W3966" s="10"/>
      <c r="X3966" s="10"/>
      <c r="Y3966" s="10"/>
      <c r="Z3966" s="10"/>
    </row>
    <row r="3967" spans="1:26" ht="12.75">
      <c r="A3967" s="10" t="str">
        <f ca="1">IFERROR(__xludf.DUMMYFUNCTION("""COMPUTED_VALUE"""),"Йордан Стоянов Дойков")</f>
        <v>Йордан Стоянов Дойков</v>
      </c>
      <c r="B3967" s="10" t="str">
        <f ca="1">IFERROR(__xludf.DUMMYFUNCTION("""COMPUTED_VALUE"""),"Учебно пособие")</f>
        <v>Учебно пособие</v>
      </c>
      <c r="C3967" s="10" t="str">
        <f ca="1">IFERROR(__xludf.DUMMYFUNCTION("""COMPUTED_VALUE"""),"Защита на информацията в условия на кризи и конфликти")</f>
        <v>Защита на информацията в условия на кризи и конфликти</v>
      </c>
      <c r="D3967" s="10">
        <f ca="1">IFERROR(__xludf.DUMMYFUNCTION("""COMPUTED_VALUE"""),2018)</f>
        <v>2018</v>
      </c>
      <c r="E3967" s="10" t="str">
        <f ca="1">IFERROR(__xludf.DUMMYFUNCTION("""COMPUTED_VALUE"""),"изд. ""Парадигма"", София, ISBN 978-954-326-356-1, 249 е-с.")</f>
        <v>изд. "Парадигма", София, ISBN 978-954-326-356-1, 249 е-с.</v>
      </c>
      <c r="F3967" s="10" t="str">
        <f ca="1">IFERROR(__xludf.DUMMYFUNCTION("""COMPUTED_VALUE"""),"Google Science, Researchechgate.net, Academia.edu")</f>
        <v>Google Science, Researchechgate.net, Academia.edu</v>
      </c>
      <c r="G3967" s="10"/>
      <c r="H3967" s="10"/>
      <c r="I3967" s="10"/>
      <c r="J3967" s="10"/>
      <c r="K3967" s="10"/>
      <c r="L3967" s="10"/>
      <c r="M3967" s="10"/>
      <c r="N3967" s="10"/>
      <c r="O3967" s="10"/>
      <c r="P3967" s="10"/>
      <c r="Q3967" s="10"/>
      <c r="R3967" s="10"/>
      <c r="S3967" s="10"/>
      <c r="T3967" s="10"/>
      <c r="U3967" s="10"/>
      <c r="V3967" s="10"/>
      <c r="W3967" s="10"/>
      <c r="X3967" s="10"/>
      <c r="Y3967" s="10"/>
      <c r="Z3967" s="10"/>
    </row>
    <row r="3968" spans="1:26" ht="12.75">
      <c r="A3968" s="10" t="str">
        <f ca="1">IFERROR(__xludf.DUMMYFUNCTION("""COMPUTED_VALUE"""),"Йордан Стоянов Дойков")</f>
        <v>Йордан Стоянов Дойков</v>
      </c>
      <c r="B3968" s="10" t="str">
        <f ca="1">IFERROR(__xludf.DUMMYFUNCTION("""COMPUTED_VALUE"""),"Статия в списания и поредици")</f>
        <v>Статия в списания и поредици</v>
      </c>
      <c r="C3968" s="10" t="str">
        <f ca="1">IFERROR(__xludf.DUMMYFUNCTION("""COMPUTED_VALUE"""),"(Диалектико)материалистическата парадигма за познанието")</f>
        <v>(Диалектико)материалистическата парадигма за познанието</v>
      </c>
      <c r="D3968" s="10">
        <f ca="1">IFERROR(__xludf.DUMMYFUNCTION("""COMPUTED_VALUE"""),2018)</f>
        <v>2018</v>
      </c>
      <c r="E3968" s="10" t="str">
        <f ca="1">IFERROR(__xludf.DUMMYFUNCTION("""COMPUTED_VALUE"""),"Сборник на XV Научна конференция с международно участие: „Обществото на знанието и хуманизмът на XXI век“ на УниБИТ и НБ „Св. Св. Кирил и Методий“ 01.11.2017 г., изд. „За буквите – О писменехь“, ISSN 1314-7099, София, с. 193-206.")</f>
        <v>Сборник на XV Научна конференция с международно участие: „Обществото на знанието и хуманизмът на XXI век“ на УниБИТ и НБ „Св. Св. Кирил и Методий“ 01.11.2017 г., изд. „За буквите – О писменехь“, ISSN 1314-7099, София, с. 193-206.</v>
      </c>
      <c r="F3968" s="10" t="str">
        <f ca="1">IFERROR(__xludf.DUMMYFUNCTION("""COMPUTED_VALUE"""),"Google Science, Researchechgate.net, Academia.edu")</f>
        <v>Google Science, Researchechgate.net, Academia.edu</v>
      </c>
      <c r="G3968" s="10"/>
      <c r="H3968" s="10"/>
      <c r="I3968" s="10"/>
      <c r="J3968" s="10"/>
      <c r="K3968" s="10"/>
      <c r="L3968" s="10"/>
      <c r="M3968" s="10"/>
      <c r="N3968" s="10"/>
      <c r="O3968" s="10"/>
      <c r="P3968" s="10"/>
      <c r="Q3968" s="10"/>
      <c r="R3968" s="10"/>
      <c r="S3968" s="10"/>
      <c r="T3968" s="10"/>
      <c r="U3968" s="10"/>
      <c r="V3968" s="10"/>
      <c r="W3968" s="10"/>
      <c r="X3968" s="10"/>
      <c r="Y3968" s="10"/>
      <c r="Z3968" s="10"/>
    </row>
    <row r="3969" spans="1:26" ht="12.75">
      <c r="A3969" s="10" t="str">
        <f ca="1">IFERROR(__xludf.DUMMYFUNCTION("""COMPUTED_VALUE"""),"Йордан Стоянов Дойков")</f>
        <v>Йордан Стоянов Дойков</v>
      </c>
      <c r="B3969" s="10" t="str">
        <f ca="1">IFERROR(__xludf.DUMMYFUNCTION("""COMPUTED_VALUE"""),"Учебно пособие")</f>
        <v>Учебно пособие</v>
      </c>
      <c r="C3969" s="10" t="str">
        <f ca="1">IFERROR(__xludf.DUMMYFUNCTION("""COMPUTED_VALUE"""),"Политически аспекти на сигурността")</f>
        <v>Политически аспекти на сигурността</v>
      </c>
      <c r="D3969" s="10">
        <f ca="1">IFERROR(__xludf.DUMMYFUNCTION("""COMPUTED_VALUE"""),2018)</f>
        <v>2018</v>
      </c>
      <c r="E3969" s="10" t="str">
        <f ca="1">IFERROR(__xludf.DUMMYFUNCTION("""COMPUTED_VALUE"""),"изд. ""Парадигма"", София, ISBN 978-954-326-361-5, 402 е-с.")</f>
        <v>изд. "Парадигма", София, ISBN 978-954-326-361-5, 402 е-с.</v>
      </c>
      <c r="F3969" s="10" t="str">
        <f ca="1">IFERROR(__xludf.DUMMYFUNCTION("""COMPUTED_VALUE"""),"Google Science, Researchechgate.net, Academia.edu")</f>
        <v>Google Science, Researchechgate.net, Academia.edu</v>
      </c>
      <c r="G3969" s="10"/>
      <c r="H3969" s="10"/>
      <c r="I3969" s="10"/>
      <c r="J3969" s="10"/>
      <c r="K3969" s="10"/>
      <c r="L3969" s="10"/>
      <c r="M3969" s="10"/>
      <c r="N3969" s="10"/>
      <c r="O3969" s="10"/>
      <c r="P3969" s="10"/>
      <c r="Q3969" s="10"/>
      <c r="R3969" s="10"/>
      <c r="S3969" s="10"/>
      <c r="T3969" s="10"/>
      <c r="U3969" s="10"/>
      <c r="V3969" s="10"/>
      <c r="W3969" s="10"/>
      <c r="X3969" s="10"/>
      <c r="Y3969" s="10"/>
      <c r="Z3969" s="10"/>
    </row>
    <row r="3970" spans="1:26" ht="12.75">
      <c r="A3970" s="10" t="str">
        <f ca="1">IFERROR(__xludf.DUMMYFUNCTION("""COMPUTED_VALUE"""),"Йордан Стоянов Дойков")</f>
        <v>Йордан Стоянов Дойков</v>
      </c>
      <c r="B3970" s="10" t="str">
        <f ca="1">IFERROR(__xludf.DUMMYFUNCTION("""COMPUTED_VALUE"""),"Студия")</f>
        <v>Студия</v>
      </c>
      <c r="C3970" s="10" t="str">
        <f ca="1">IFERROR(__xludf.DUMMYFUNCTION("""COMPUTED_VALUE"""),"За и против моделите на икономически растеж")</f>
        <v>За и против моделите на икономически растеж</v>
      </c>
      <c r="D3970" s="10">
        <f ca="1">IFERROR(__xludf.DUMMYFUNCTION("""COMPUTED_VALUE"""),2018)</f>
        <v>2018</v>
      </c>
      <c r="E3970" s="10" t="str">
        <f ca="1">IFERROR(__xludf.DUMMYFUNCTION("""COMPUTED_VALUE"""),"Сборник в чест на 70-годишнината на проф. Емил Константинов, изд. на ИДП – БАН, София, 32 с.,Илиева И, проф. д-р, доц. д.ю.н. А. Анастасов, доц. д-р Т. Кобуров, (ред.съв.) ISBN 978-954-9583-36-6, с.127-170.")</f>
        <v>Сборник в чест на 70-годишнината на проф. Емил Константинов, изд. на ИДП – БАН, София, 32 с.,Илиева И, проф. д-р, доц. д.ю.н. А. Анастасов, доц. д-р Т. Кобуров, (ред.съв.) ISBN 978-954-9583-36-6, с.127-170.</v>
      </c>
      <c r="F3970" s="10" t="str">
        <f ca="1">IFERROR(__xludf.DUMMYFUNCTION("""COMPUTED_VALUE"""),"Google Science, Researchechgate.net, Academia.edu")</f>
        <v>Google Science, Researchechgate.net, Academia.edu</v>
      </c>
      <c r="G3970" s="10"/>
      <c r="H3970" s="10"/>
      <c r="I3970" s="10"/>
      <c r="J3970" s="10"/>
      <c r="K3970" s="10"/>
      <c r="L3970" s="10"/>
      <c r="M3970" s="10"/>
      <c r="N3970" s="10"/>
      <c r="O3970" s="10"/>
      <c r="P3970" s="10"/>
      <c r="Q3970" s="10"/>
      <c r="R3970" s="10"/>
      <c r="S3970" s="10"/>
      <c r="T3970" s="10"/>
      <c r="U3970" s="10"/>
      <c r="V3970" s="10"/>
      <c r="W3970" s="10"/>
      <c r="X3970" s="10"/>
      <c r="Y3970" s="10"/>
      <c r="Z3970" s="10"/>
    </row>
    <row r="3971" spans="1:26" ht="12.75">
      <c r="A3971" s="10" t="str">
        <f ca="1">IFERROR(__xludf.DUMMYFUNCTION("""COMPUTED_VALUE"""),"Йордан Стоянов Дойков")</f>
        <v>Йордан Стоянов Дойков</v>
      </c>
      <c r="B3971" s="10" t="str">
        <f ca="1">IFERROR(__xludf.DUMMYFUNCTION("""COMPUTED_VALUE"""),"Учебно пособие")</f>
        <v>Учебно пособие</v>
      </c>
      <c r="C3971" s="10" t="str">
        <f ca="1">IFERROR(__xludf.DUMMYFUNCTION("""COMPUTED_VALUE"""),"Управление на кризи")</f>
        <v>Управление на кризи</v>
      </c>
      <c r="D3971" s="10">
        <f ca="1">IFERROR(__xludf.DUMMYFUNCTION("""COMPUTED_VALUE"""),2018)</f>
        <v>2018</v>
      </c>
      <c r="E3971" s="10" t="str">
        <f ca="1">IFERROR(__xludf.DUMMYFUNCTION("""COMPUTED_VALUE"""),"изд. ""Парадигма"", София, ISBN 978-954-326-357-8, 235 е-с.")</f>
        <v>изд. "Парадигма", София, ISBN 978-954-326-357-8, 235 е-с.</v>
      </c>
      <c r="F3971" s="10" t="str">
        <f ca="1">IFERROR(__xludf.DUMMYFUNCTION("""COMPUTED_VALUE"""),"Google Science, Researchechgate.net, Academia.edu")</f>
        <v>Google Science, Researchechgate.net, Academia.edu</v>
      </c>
      <c r="G3971" s="10"/>
      <c r="H3971" s="10"/>
      <c r="I3971" s="10"/>
      <c r="J3971" s="10"/>
      <c r="K3971" s="10"/>
      <c r="L3971" s="10"/>
      <c r="M3971" s="10"/>
      <c r="N3971" s="10"/>
      <c r="O3971" s="10"/>
      <c r="P3971" s="10"/>
      <c r="Q3971" s="10"/>
      <c r="R3971" s="10"/>
      <c r="S3971" s="10"/>
      <c r="T3971" s="10"/>
      <c r="U3971" s="10"/>
      <c r="V3971" s="10"/>
      <c r="W3971" s="10"/>
      <c r="X3971" s="10"/>
      <c r="Y3971" s="10"/>
      <c r="Z3971" s="10"/>
    </row>
    <row r="3972" spans="1:26" ht="12.75">
      <c r="A3972" s="10" t="str">
        <f ca="1">IFERROR(__xludf.DUMMYFUNCTION("""COMPUTED_VALUE"""),"Йордан Стоянов Дойков")</f>
        <v>Йордан Стоянов Дойков</v>
      </c>
      <c r="B3972" s="10" t="str">
        <f ca="1">IFERROR(__xludf.DUMMYFUNCTION("""COMPUTED_VALUE"""),"Учебно пособие")</f>
        <v>Учебно пособие</v>
      </c>
      <c r="C3972" s="10" t="str">
        <f ca="1">IFERROR(__xludf.DUMMYFUNCTION("""COMPUTED_VALUE"""),"Политика и институции")</f>
        <v>Политика и институции</v>
      </c>
      <c r="D3972" s="10">
        <f ca="1">IFERROR(__xludf.DUMMYFUNCTION("""COMPUTED_VALUE"""),2018)</f>
        <v>2018</v>
      </c>
      <c r="E3972" s="10" t="str">
        <f ca="1">IFERROR(__xludf.DUMMYFUNCTION("""COMPUTED_VALUE"""),"изд. ""Парадигма"", София, ISBN 978-954-326-358-5, 273 е-с.")</f>
        <v>изд. "Парадигма", София, ISBN 978-954-326-358-5, 273 е-с.</v>
      </c>
      <c r="F3972" s="10" t="str">
        <f ca="1">IFERROR(__xludf.DUMMYFUNCTION("""COMPUTED_VALUE"""),"Google Science, Researchechgate.net, Academia.edu")</f>
        <v>Google Science, Researchechgate.net, Academia.edu</v>
      </c>
      <c r="G3972" s="10"/>
      <c r="H3972" s="10"/>
      <c r="I3972" s="10"/>
      <c r="J3972" s="10"/>
      <c r="K3972" s="10"/>
      <c r="L3972" s="10"/>
      <c r="M3972" s="10"/>
      <c r="N3972" s="10"/>
      <c r="O3972" s="10"/>
      <c r="P3972" s="10"/>
      <c r="Q3972" s="10"/>
      <c r="R3972" s="10"/>
      <c r="S3972" s="10"/>
      <c r="T3972" s="10"/>
      <c r="U3972" s="10"/>
      <c r="V3972" s="10"/>
      <c r="W3972" s="10"/>
      <c r="X3972" s="10"/>
      <c r="Y3972" s="10"/>
      <c r="Z3972" s="10"/>
    </row>
    <row r="3973" spans="1:26" ht="12.75">
      <c r="A3973" s="10" t="str">
        <f ca="1">IFERROR(__xludf.DUMMYFUNCTION("""COMPUTED_VALUE"""),"Йордан Стоянов Дойков")</f>
        <v>Йордан Стоянов Дойков</v>
      </c>
      <c r="B3973" s="10" t="str">
        <f ca="1">IFERROR(__xludf.DUMMYFUNCTION("""COMPUTED_VALUE"""),"Учебно пособие")</f>
        <v>Учебно пособие</v>
      </c>
      <c r="C3973" s="10" t="str">
        <f ca="1">IFERROR(__xludf.DUMMYFUNCTION("""COMPUTED_VALUE"""),"Понятията образование и sensus communis в херменевтическия познавателен инструментариум")</f>
        <v>Понятията образование и sensus communis в херменевтическия познавателен инструментариум</v>
      </c>
      <c r="D3973" s="10">
        <f ca="1">IFERROR(__xludf.DUMMYFUNCTION("""COMPUTED_VALUE"""),2018)</f>
        <v>2018</v>
      </c>
      <c r="E3973" s="10" t="str">
        <f ca="1">IFERROR(__xludf.DUMMYFUNCTION("""COMPUTED_VALUE"""),"Комуникации и политики, т. 3, изд.За буквите – О писменехь, София, ISBN 978-619-185-391-5, с. с. 94-104.")</f>
        <v>Комуникации и политики, т. 3, изд.За буквите – О писменехь, София, ISBN 978-619-185-391-5, с. с. 94-104.</v>
      </c>
      <c r="F3973" s="10" t="str">
        <f ca="1">IFERROR(__xludf.DUMMYFUNCTION("""COMPUTED_VALUE"""),"Google Science, Researchechgate.net, Academia.edu")</f>
        <v>Google Science, Researchechgate.net, Academia.edu</v>
      </c>
      <c r="G3973" s="10"/>
      <c r="H3973" s="10"/>
      <c r="I3973" s="10"/>
      <c r="J3973" s="10"/>
      <c r="K3973" s="10"/>
      <c r="L3973" s="10"/>
      <c r="M3973" s="10"/>
      <c r="N3973" s="10"/>
      <c r="O3973" s="10"/>
      <c r="P3973" s="10"/>
      <c r="Q3973" s="10"/>
      <c r="R3973" s="10"/>
      <c r="S3973" s="10"/>
      <c r="T3973" s="10"/>
      <c r="U3973" s="10"/>
      <c r="V3973" s="10"/>
      <c r="W3973" s="10"/>
      <c r="X3973" s="10"/>
      <c r="Y3973" s="10"/>
      <c r="Z3973" s="10"/>
    </row>
    <row r="3974" spans="1:26" ht="12.75">
      <c r="A3974" s="10" t="str">
        <f ca="1">IFERROR(__xludf.DUMMYFUNCTION("""COMPUTED_VALUE"""),"Йордан Стоянов Дойков")</f>
        <v>Йордан Стоянов Дойков</v>
      </c>
      <c r="B3974" s="10" t="str">
        <f ca="1">IFERROR(__xludf.DUMMYFUNCTION("""COMPUTED_VALUE"""),"Статия в списания и поредици")</f>
        <v>Статия в списания и поредици</v>
      </c>
      <c r="C3974" s="10" t="str">
        <f ca="1">IFERROR(__xludf.DUMMYFUNCTION("""COMPUTED_VALUE"""),"Екзистенциалистката парадигмата за познанието: методологическите конституенти на Бъдене-ето-на (Dasein)")</f>
        <v>Екзистенциалистката парадигмата за познанието: методологическите конституенти на Бъдене-ето-на (Dasein)</v>
      </c>
      <c r="D3974" s="10">
        <f ca="1">IFERROR(__xludf.DUMMYFUNCTION("""COMPUTED_VALUE"""),2018)</f>
        <v>2018</v>
      </c>
      <c r="E3974" s="10" t="str">
        <f ca="1">IFERROR(__xludf.DUMMYFUNCTION("""COMPUTED_VALUE"""),"Научни трудове на УниБИТ, т. 14/2016, изд. „За буквите – О писменехь“, София, ISSN 1314-2623, с. 110-119.")</f>
        <v>Научни трудове на УниБИТ, т. 14/2016, изд. „За буквите – О писменехь“, София, ISSN 1314-2623, с. 110-119.</v>
      </c>
      <c r="F3974" s="10" t="str">
        <f ca="1">IFERROR(__xludf.DUMMYFUNCTION("""COMPUTED_VALUE"""),"Google Science, Researchechgate.net, Academia.edu")</f>
        <v>Google Science, Researchechgate.net, Academia.edu</v>
      </c>
      <c r="G3974" s="10"/>
      <c r="H3974" s="10"/>
      <c r="I3974" s="10"/>
      <c r="J3974" s="10"/>
      <c r="K3974" s="10"/>
      <c r="L3974" s="10"/>
      <c r="M3974" s="10"/>
      <c r="N3974" s="10"/>
      <c r="O3974" s="10"/>
      <c r="P3974" s="10"/>
      <c r="Q3974" s="10"/>
      <c r="R3974" s="10"/>
      <c r="S3974" s="10"/>
      <c r="T3974" s="10"/>
      <c r="U3974" s="10"/>
      <c r="V3974" s="10"/>
      <c r="W3974" s="10"/>
      <c r="X3974" s="10"/>
      <c r="Y3974" s="10"/>
      <c r="Z3974" s="10"/>
    </row>
    <row r="3975" spans="1:26" ht="12.75">
      <c r="A3975" s="10" t="str">
        <f ca="1">IFERROR(__xludf.DUMMYFUNCTION("""COMPUTED_VALUE"""),"Йордан Стоянов Дойков")</f>
        <v>Йордан Стоянов Дойков</v>
      </c>
      <c r="B3975" s="10" t="str">
        <f ca="1">IFERROR(__xludf.DUMMYFUNCTION("""COMPUTED_VALUE"""),"Статия в списания и поредици")</f>
        <v>Статия в списания и поредици</v>
      </c>
      <c r="C3975" s="10" t="str">
        <f ca="1">IFERROR(__xludf.DUMMYFUNCTION("""COMPUTED_VALUE"""),"За опита в аналитичната концепция на познанието на Бъртранд Ръсел")</f>
        <v>За опита в аналитичната концепция на познанието на Бъртранд Ръсел</v>
      </c>
      <c r="D3975" s="10">
        <f ca="1">IFERROR(__xludf.DUMMYFUNCTION("""COMPUTED_VALUE"""),2018)</f>
        <v>2018</v>
      </c>
      <c r="E3975" s="10" t="str">
        <f ca="1">IFERROR(__xludf.DUMMYFUNCTION("""COMPUTED_VALUE"""),"сб. „Проблеми на обществената комуникация” - Четвърта
 Международна Кръгла маса по проблемите на обществената комуникация Благоевград,
 12-13 юни 2018 г., изд. „За буквите – О писменехь“, София, ISSN 2534-9430, с. 121-133.")</f>
        <v>сб. „Проблеми на обществената комуникация” - Четвърта
 Международна Кръгла маса по проблемите на обществената комуникация Благоевград,
 12-13 юни 2018 г., изд. „За буквите – О писменехь“, София, ISSN 2534-9430, с. 121-133.</v>
      </c>
      <c r="F3975" s="10" t="str">
        <f ca="1">IFERROR(__xludf.DUMMYFUNCTION("""COMPUTED_VALUE"""),"Google Science, Researchechgate.net, Academia.edu")</f>
        <v>Google Science, Researchechgate.net, Academia.edu</v>
      </c>
      <c r="G3975" s="10"/>
      <c r="H3975" s="10"/>
      <c r="I3975" s="10"/>
      <c r="J3975" s="10"/>
      <c r="K3975" s="10"/>
      <c r="L3975" s="10"/>
      <c r="M3975" s="10"/>
      <c r="N3975" s="10"/>
      <c r="O3975" s="10"/>
      <c r="P3975" s="10"/>
      <c r="Q3975" s="10"/>
      <c r="R3975" s="10"/>
      <c r="S3975" s="10"/>
      <c r="T3975" s="10"/>
      <c r="U3975" s="10"/>
      <c r="V3975" s="10"/>
      <c r="W3975" s="10"/>
      <c r="X3975" s="10"/>
      <c r="Y3975" s="10"/>
      <c r="Z3975" s="10"/>
    </row>
    <row r="3976" spans="1:26" ht="12.75">
      <c r="A3976" s="10" t="str">
        <f ca="1">IFERROR(__xludf.DUMMYFUNCTION("""COMPUTED_VALUE"""),"Йордан Стоянов Дойков")</f>
        <v>Йордан Стоянов Дойков</v>
      </c>
      <c r="B3976" s="10" t="str">
        <f ca="1">IFERROR(__xludf.DUMMYFUNCTION("""COMPUTED_VALUE"""),"Учебно пособие")</f>
        <v>Учебно пособие</v>
      </c>
      <c r="C3976" s="10" t="str">
        <f ca="1">IFERROR(__xludf.DUMMYFUNCTION("""COMPUTED_VALUE"""),"Фирмено и корпоративно разузнаване")</f>
        <v>Фирмено и корпоративно разузнаване</v>
      </c>
      <c r="D3976" s="10">
        <f ca="1">IFERROR(__xludf.DUMMYFUNCTION("""COMPUTED_VALUE"""),2017)</f>
        <v>2017</v>
      </c>
      <c r="E3976" s="10" t="str">
        <f ca="1">IFERROR(__xludf.DUMMYFUNCTION("""COMPUTED_VALUE"""),"изд. ""За буквите – О писменехь"", София, ISBN 978-619-185-270-3, 360 е-с.")</f>
        <v>изд. "За буквите – О писменехь", София, ISBN 978-619-185-270-3, 360 е-с.</v>
      </c>
      <c r="F3976" s="10" t="str">
        <f ca="1">IFERROR(__xludf.DUMMYFUNCTION("""COMPUTED_VALUE"""),"Google Science, Researchechgate.net, Academia.edu")</f>
        <v>Google Science, Researchechgate.net, Academia.edu</v>
      </c>
      <c r="G3976" s="10"/>
      <c r="H3976" s="10"/>
      <c r="I3976" s="10"/>
      <c r="J3976" s="10"/>
      <c r="K3976" s="10"/>
      <c r="L3976" s="10"/>
      <c r="M3976" s="10"/>
      <c r="N3976" s="10"/>
      <c r="O3976" s="10"/>
      <c r="P3976" s="10"/>
      <c r="Q3976" s="10"/>
      <c r="R3976" s="10"/>
      <c r="S3976" s="10"/>
      <c r="T3976" s="10"/>
      <c r="U3976" s="10"/>
      <c r="V3976" s="10"/>
      <c r="W3976" s="10"/>
      <c r="X3976" s="10"/>
      <c r="Y3976" s="10"/>
      <c r="Z3976" s="10"/>
    </row>
    <row r="3977" spans="1:26" ht="12.75">
      <c r="A3977" s="10" t="str">
        <f ca="1">IFERROR(__xludf.DUMMYFUNCTION("""COMPUTED_VALUE"""),"Йордан Стоянов Дойков")</f>
        <v>Йордан Стоянов Дойков</v>
      </c>
      <c r="B3977" s="10" t="str">
        <f ca="1">IFERROR(__xludf.DUMMYFUNCTION("""COMPUTED_VALUE"""),"Доклад от конференция")</f>
        <v>Доклад от конференция</v>
      </c>
      <c r="C3977" s="10" t="str">
        <f ca="1">IFERROR(__xludf.DUMMYFUNCTION("""COMPUTED_VALUE"""),"Интереси и корупция")</f>
        <v>Интереси и корупция</v>
      </c>
      <c r="D3977" s="10">
        <f ca="1">IFERROR(__xludf.DUMMYFUNCTION("""COMPUTED_VALUE"""),2017)</f>
        <v>2017</v>
      </c>
      <c r="E3977" s="10" t="str">
        <f ca="1">IFERROR(__xludf.DUMMYFUNCTION("""COMPUTED_VALUE"""),"сб. „Проблеми на обществената комуникация” - Трета Международна Кръгла маса „Проблеми и деструкции при обществената комуникация”, Ниш, 23-25 юни 2017 г., изд.
 „За буквите – О писменехь“, София, ISSN 2534-9430, с. 244-261.")</f>
        <v>сб. „Проблеми на обществената комуникация” - Трета Международна Кръгла маса „Проблеми и деструкции при обществената комуникация”, Ниш, 23-25 юни 2017 г., изд.
 „За буквите – О писменехь“, София, ISSN 2534-9430, с. 244-261.</v>
      </c>
      <c r="F3977" s="10"/>
      <c r="G3977" s="10" t="str">
        <f ca="1">IFERROR(__xludf.DUMMYFUNCTION("""COMPUTED_VALUE"""),"Белла Тетевенска")</f>
        <v>Белла Тетевенска</v>
      </c>
      <c r="H3977" s="10"/>
      <c r="I3977" s="10"/>
      <c r="J3977" s="10"/>
      <c r="K3977" s="10"/>
      <c r="L3977" s="10"/>
      <c r="M3977" s="10"/>
      <c r="N3977" s="10"/>
      <c r="O3977" s="10"/>
      <c r="P3977" s="10"/>
      <c r="Q3977" s="10"/>
      <c r="R3977" s="10"/>
      <c r="S3977" s="10"/>
      <c r="T3977" s="10"/>
      <c r="U3977" s="10"/>
      <c r="V3977" s="10"/>
      <c r="W3977" s="10"/>
      <c r="X3977" s="10"/>
      <c r="Y3977" s="10"/>
      <c r="Z3977" s="10"/>
    </row>
    <row r="3978" spans="1:26" ht="12.75">
      <c r="A3978" s="10" t="str">
        <f ca="1">IFERROR(__xludf.DUMMYFUNCTION("""COMPUTED_VALUE"""),"Йордан Стоянов Дойков")</f>
        <v>Йордан Стоянов Дойков</v>
      </c>
      <c r="B3978" s="10" t="str">
        <f ca="1">IFERROR(__xludf.DUMMYFUNCTION("""COMPUTED_VALUE"""),"Учебно пособие")</f>
        <v>Учебно пособие</v>
      </c>
      <c r="C3978" s="10" t="str">
        <f ca="1">IFERROR(__xludf.DUMMYFUNCTION("""COMPUTED_VALUE"""),"История на политическите идеи - I част /Античност, Средновековие, Ренесанс и Просвещение/")</f>
        <v>История на политическите идеи - I част /Античност, Средновековие, Ренесанс и Просвещение/</v>
      </c>
      <c r="D3978" s="10">
        <f ca="1">IFERROR(__xludf.DUMMYFUNCTION("""COMPUTED_VALUE"""),2016)</f>
        <v>2016</v>
      </c>
      <c r="E3978" s="10" t="str">
        <f ca="1">IFERROR(__xludf.DUMMYFUNCTION("""COMPUTED_VALUE"""),"изд. ""За буквите – О писменехь"", София, ISBN 978-619-185-215-4, 243 е-с.")</f>
        <v>изд. "За буквите – О писменехь", София, ISBN 978-619-185-215-4, 243 е-с.</v>
      </c>
      <c r="F3978" s="10" t="str">
        <f ca="1">IFERROR(__xludf.DUMMYFUNCTION("""COMPUTED_VALUE"""),"Google Science, Researchechgate.net, Academia.edu")</f>
        <v>Google Science, Researchechgate.net, Academia.edu</v>
      </c>
      <c r="G3978" s="10"/>
      <c r="H3978" s="10"/>
      <c r="I3978" s="10"/>
      <c r="J3978" s="10"/>
      <c r="K3978" s="10"/>
      <c r="L3978" s="10"/>
      <c r="M3978" s="10"/>
      <c r="N3978" s="10"/>
      <c r="O3978" s="10"/>
      <c r="P3978" s="10"/>
      <c r="Q3978" s="10"/>
      <c r="R3978" s="10"/>
      <c r="S3978" s="10"/>
      <c r="T3978" s="10"/>
      <c r="U3978" s="10"/>
      <c r="V3978" s="10"/>
      <c r="W3978" s="10"/>
      <c r="X3978" s="10"/>
      <c r="Y3978" s="10"/>
      <c r="Z3978" s="10"/>
    </row>
    <row r="3979" spans="1:26" ht="12.75">
      <c r="A3979" s="10" t="str">
        <f ca="1">IFERROR(__xludf.DUMMYFUNCTION("""COMPUTED_VALUE"""),"Йордан Стоянов Дойков")</f>
        <v>Йордан Стоянов Дойков</v>
      </c>
      <c r="B3979" s="10" t="str">
        <f ca="1">IFERROR(__xludf.DUMMYFUNCTION("""COMPUTED_VALUE"""),"Учебно пособие")</f>
        <v>Учебно пособие</v>
      </c>
      <c r="C3979" s="10" t="str">
        <f ca="1">IFERROR(__xludf.DUMMYFUNCTION("""COMPUTED_VALUE"""),"Теория на международните отношения")</f>
        <v>Теория на международните отношения</v>
      </c>
      <c r="D3979" s="10">
        <f ca="1">IFERROR(__xludf.DUMMYFUNCTION("""COMPUTED_VALUE"""),2016)</f>
        <v>2016</v>
      </c>
      <c r="E3979" s="10" t="str">
        <f ca="1">IFERROR(__xludf.DUMMYFUNCTION("""COMPUTED_VALUE"""),"изд. ""За буквите – О писменехь"", София, ISBN 978-619-185-225-3, 212 е-с.")</f>
        <v>изд. "За буквите – О писменехь", София, ISBN 978-619-185-225-3, 212 е-с.</v>
      </c>
      <c r="F3979" s="10" t="str">
        <f ca="1">IFERROR(__xludf.DUMMYFUNCTION("""COMPUTED_VALUE"""),"Google Science, Researchechgate.net, Academia.edu")</f>
        <v>Google Science, Researchechgate.net, Academia.edu</v>
      </c>
      <c r="G3979" s="10"/>
      <c r="H3979" s="10"/>
      <c r="I3979" s="10"/>
      <c r="J3979" s="10"/>
      <c r="K3979" s="10"/>
      <c r="L3979" s="10"/>
      <c r="M3979" s="10"/>
      <c r="N3979" s="10"/>
      <c r="O3979" s="10"/>
      <c r="P3979" s="10"/>
      <c r="Q3979" s="10"/>
      <c r="R3979" s="10"/>
      <c r="S3979" s="10"/>
      <c r="T3979" s="10"/>
      <c r="U3979" s="10"/>
      <c r="V3979" s="10"/>
      <c r="W3979" s="10"/>
      <c r="X3979" s="10"/>
      <c r="Y3979" s="10"/>
      <c r="Z3979" s="10"/>
    </row>
    <row r="3980" spans="1:26" ht="12.75">
      <c r="A3980" s="10" t="str">
        <f ca="1">IFERROR(__xludf.DUMMYFUNCTION("""COMPUTED_VALUE"""),"Йордан Стоянов Дойков")</f>
        <v>Йордан Стоянов Дойков</v>
      </c>
      <c r="B3980" s="10" t="str">
        <f ca="1">IFERROR(__xludf.DUMMYFUNCTION("""COMPUTED_VALUE"""),"Статия в списания и поредици")</f>
        <v>Статия в списания и поредици</v>
      </c>
      <c r="C3980" s="10" t="str">
        <f ca="1">IFERROR(__xludf.DUMMYFUNCTION("""COMPUTED_VALUE"""),"Власт и общество: изменения в комуникациите чрез партиите")</f>
        <v>Власт и общество: изменения в комуникациите чрез партиите</v>
      </c>
      <c r="D3980" s="10">
        <f ca="1">IFERROR(__xludf.DUMMYFUNCTION("""COMPUTED_VALUE"""),2016)</f>
        <v>2016</v>
      </c>
      <c r="E3980" s="10" t="str">
        <f ca="1">IFERROR(__xludf.DUMMYFUNCTION("""COMPUTED_VALUE"""),"сб. „Проблеми на обществената комуникация” - Втора Международна Кръгла маса „Проблеми и деструкции при обществената комуникация”, Златни пясъци - Варна, 14-16 юни 2016 г., изд. „За буквите – О писменехь“, София, ISSN 2534-9430, с. 137-149.")</f>
        <v>сб. „Проблеми на обществената комуникация” - Втора Международна Кръгла маса „Проблеми и деструкции при обществената комуникация”, Златни пясъци - Варна, 14-16 юни 2016 г., изд. „За буквите – О писменехь“, София, ISSN 2534-9430, с. 137-149.</v>
      </c>
      <c r="F3980" s="10" t="str">
        <f ca="1">IFERROR(__xludf.DUMMYFUNCTION("""COMPUTED_VALUE"""),"Google Science, Researchechgate.net, Academia.edu")</f>
        <v>Google Science, Researchechgate.net, Academia.edu</v>
      </c>
      <c r="G3980" s="10"/>
      <c r="H3980" s="10"/>
      <c r="I3980" s="10"/>
      <c r="J3980" s="10"/>
      <c r="K3980" s="10"/>
      <c r="L3980" s="10"/>
      <c r="M3980" s="10"/>
      <c r="N3980" s="10"/>
      <c r="O3980" s="10"/>
      <c r="P3980" s="10"/>
      <c r="Q3980" s="10"/>
      <c r="R3980" s="10"/>
      <c r="S3980" s="10"/>
      <c r="T3980" s="10"/>
      <c r="U3980" s="10"/>
      <c r="V3980" s="10"/>
      <c r="W3980" s="10"/>
      <c r="X3980" s="10"/>
      <c r="Y3980" s="10"/>
      <c r="Z3980" s="10"/>
    </row>
    <row r="3981" spans="1:26" ht="12.75">
      <c r="A3981" s="10" t="str">
        <f ca="1">IFERROR(__xludf.DUMMYFUNCTION("""COMPUTED_VALUE"""),"Йордан Стоянов Дойков")</f>
        <v>Йордан Стоянов Дойков</v>
      </c>
      <c r="B3981" s="10" t="str">
        <f ca="1">IFERROR(__xludf.DUMMYFUNCTION("""COMPUTED_VALUE"""),"Учебно пособие")</f>
        <v>Учебно пособие</v>
      </c>
      <c r="C3981" s="10" t="str">
        <f ca="1">IFERROR(__xludf.DUMMYFUNCTION("""COMPUTED_VALUE"""),"Социология на читателите и четенето")</f>
        <v>Социология на читателите и четенето</v>
      </c>
      <c r="D3981" s="10">
        <f ca="1">IFERROR(__xludf.DUMMYFUNCTION("""COMPUTED_VALUE"""),2016)</f>
        <v>2016</v>
      </c>
      <c r="E3981" s="10" t="str">
        <f ca="1">IFERROR(__xludf.DUMMYFUNCTION("""COMPUTED_VALUE"""),"изд. ""За буквите – О писменехь"", София, ISBN 978-619-185-224-6, 213 е-с.")</f>
        <v>изд. "За буквите – О писменехь", София, ISBN 978-619-185-224-6, 213 е-с.</v>
      </c>
      <c r="F3981" s="10" t="str">
        <f ca="1">IFERROR(__xludf.DUMMYFUNCTION("""COMPUTED_VALUE"""),"Google Science, Researchechgate.net, Academia.edu")</f>
        <v>Google Science, Researchechgate.net, Academia.edu</v>
      </c>
      <c r="G3981" s="10"/>
      <c r="H3981" s="10"/>
      <c r="I3981" s="10"/>
      <c r="J3981" s="10"/>
      <c r="K3981" s="10"/>
      <c r="L3981" s="10"/>
      <c r="M3981" s="10"/>
      <c r="N3981" s="10"/>
      <c r="O3981" s="10"/>
      <c r="P3981" s="10"/>
      <c r="Q3981" s="10"/>
      <c r="R3981" s="10"/>
      <c r="S3981" s="10"/>
      <c r="T3981" s="10"/>
      <c r="U3981" s="10"/>
      <c r="V3981" s="10"/>
      <c r="W3981" s="10"/>
      <c r="X3981" s="10"/>
      <c r="Y3981" s="10"/>
      <c r="Z3981" s="10"/>
    </row>
    <row r="3982" spans="1:26" ht="12.75">
      <c r="A3982" s="10" t="str">
        <f ca="1">IFERROR(__xludf.DUMMYFUNCTION("""COMPUTED_VALUE"""),"Йордан Стоянов Дойков")</f>
        <v>Йордан Стоянов Дойков</v>
      </c>
      <c r="B3982" s="10" t="str">
        <f ca="1">IFERROR(__xludf.DUMMYFUNCTION("""COMPUTED_VALUE"""),"Учебно пособие")</f>
        <v>Учебно пособие</v>
      </c>
      <c r="C3982" s="10" t="str">
        <f ca="1">IFERROR(__xludf.DUMMYFUNCTION("""COMPUTED_VALUE"""),"Социология - II част")</f>
        <v>Социология - II част</v>
      </c>
      <c r="D3982" s="10">
        <f ca="1">IFERROR(__xludf.DUMMYFUNCTION("""COMPUTED_VALUE"""),2016)</f>
        <v>2016</v>
      </c>
      <c r="E3982" s="10" t="str">
        <f ca="1">IFERROR(__xludf.DUMMYFUNCTION("""COMPUTED_VALUE"""),"изд. ""За буквите – О писменехь"", София, ISBN 978-619-185-223-9, 186 е-с.")</f>
        <v>изд. "За буквите – О писменехь", София, ISBN 978-619-185-223-9, 186 е-с.</v>
      </c>
      <c r="F3982" s="10" t="str">
        <f ca="1">IFERROR(__xludf.DUMMYFUNCTION("""COMPUTED_VALUE"""),"Google Science, Researchechgate.net, Academia.edu")</f>
        <v>Google Science, Researchechgate.net, Academia.edu</v>
      </c>
      <c r="G3982" s="10"/>
      <c r="H3982" s="10"/>
      <c r="I3982" s="10"/>
      <c r="J3982" s="10"/>
      <c r="K3982" s="10"/>
      <c r="L3982" s="10"/>
      <c r="M3982" s="10"/>
      <c r="N3982" s="10"/>
      <c r="O3982" s="10"/>
      <c r="P3982" s="10"/>
      <c r="Q3982" s="10"/>
      <c r="R3982" s="10"/>
      <c r="S3982" s="10"/>
      <c r="T3982" s="10"/>
      <c r="U3982" s="10"/>
      <c r="V3982" s="10"/>
      <c r="W3982" s="10"/>
      <c r="X3982" s="10"/>
      <c r="Y3982" s="10"/>
      <c r="Z3982" s="10"/>
    </row>
    <row r="3983" spans="1:26" ht="12.75">
      <c r="A3983" s="10" t="str">
        <f ca="1">IFERROR(__xludf.DUMMYFUNCTION("""COMPUTED_VALUE"""),"Йордан Стоянов Дойков")</f>
        <v>Йордан Стоянов Дойков</v>
      </c>
      <c r="B3983" s="10" t="str">
        <f ca="1">IFERROR(__xludf.DUMMYFUNCTION("""COMPUTED_VALUE"""),"Учебно пособие")</f>
        <v>Учебно пособие</v>
      </c>
      <c r="C3983" s="10" t="str">
        <f ca="1">IFERROR(__xludf.DUMMYFUNCTION("""COMPUTED_VALUE"""),"Политология")</f>
        <v>Политология</v>
      </c>
      <c r="D3983" s="10">
        <f ca="1">IFERROR(__xludf.DUMMYFUNCTION("""COMPUTED_VALUE"""),2016)</f>
        <v>2016</v>
      </c>
      <c r="E3983" s="10" t="str">
        <f ca="1">IFERROR(__xludf.DUMMYFUNCTION("""COMPUTED_VALUE"""),"изд. ""За буквите – О писменехь"", София, ISBN 978-619-185-222-2, 492 е-с.")</f>
        <v>изд. "За буквите – О писменехь", София, ISBN 978-619-185-222-2, 492 е-с.</v>
      </c>
      <c r="F3983" s="10" t="str">
        <f ca="1">IFERROR(__xludf.DUMMYFUNCTION("""COMPUTED_VALUE"""),"Google Science, Researchechgate.net, Academia.edu")</f>
        <v>Google Science, Researchechgate.net, Academia.edu</v>
      </c>
      <c r="G3983" s="10"/>
      <c r="H3983" s="10"/>
      <c r="I3983" s="10"/>
      <c r="J3983" s="10"/>
      <c r="K3983" s="10"/>
      <c r="L3983" s="10"/>
      <c r="M3983" s="10"/>
      <c r="N3983" s="10"/>
      <c r="O3983" s="10"/>
      <c r="P3983" s="10"/>
      <c r="Q3983" s="10"/>
      <c r="R3983" s="10"/>
      <c r="S3983" s="10"/>
      <c r="T3983" s="10"/>
      <c r="U3983" s="10"/>
      <c r="V3983" s="10"/>
      <c r="W3983" s="10"/>
      <c r="X3983" s="10"/>
      <c r="Y3983" s="10"/>
      <c r="Z3983" s="10"/>
    </row>
    <row r="3984" spans="1:26" ht="12.75">
      <c r="A3984" s="10" t="str">
        <f ca="1">IFERROR(__xludf.DUMMYFUNCTION("""COMPUTED_VALUE"""),"Йордан Стоянов Дойков")</f>
        <v>Йордан Стоянов Дойков</v>
      </c>
      <c r="B3984" s="10" t="str">
        <f ca="1">IFERROR(__xludf.DUMMYFUNCTION("""COMPUTED_VALUE"""),"Учебно пособие")</f>
        <v>Учебно пособие</v>
      </c>
      <c r="C3984" s="10" t="str">
        <f ca="1">IFERROR(__xludf.DUMMYFUNCTION("""COMPUTED_VALUE"""),"Политическа конфликтология")</f>
        <v>Политическа конфликтология</v>
      </c>
      <c r="D3984" s="10">
        <f ca="1">IFERROR(__xludf.DUMMYFUNCTION("""COMPUTED_VALUE"""),2016)</f>
        <v>2016</v>
      </c>
      <c r="E3984" s="10" t="str">
        <f ca="1">IFERROR(__xludf.DUMMYFUNCTION("""COMPUTED_VALUE"""),"изд. ""За буквите – О писменехь"", София, ISBN 978-619-185-217-8, 203 е-с.")</f>
        <v>изд. "За буквите – О писменехь", София, ISBN 978-619-185-217-8, 203 е-с.</v>
      </c>
      <c r="F3984" s="10" t="str">
        <f ca="1">IFERROR(__xludf.DUMMYFUNCTION("""COMPUTED_VALUE"""),"Google Science, Researchechgate.net, Academia.edu")</f>
        <v>Google Science, Researchechgate.net, Academia.edu</v>
      </c>
      <c r="G3984" s="10"/>
      <c r="H3984" s="10"/>
      <c r="I3984" s="10"/>
      <c r="J3984" s="10"/>
      <c r="K3984" s="10"/>
      <c r="L3984" s="10"/>
      <c r="M3984" s="10"/>
      <c r="N3984" s="10"/>
      <c r="O3984" s="10"/>
      <c r="P3984" s="10"/>
      <c r="Q3984" s="10"/>
      <c r="R3984" s="10"/>
      <c r="S3984" s="10"/>
      <c r="T3984" s="10"/>
      <c r="U3984" s="10"/>
      <c r="V3984" s="10"/>
      <c r="W3984" s="10"/>
      <c r="X3984" s="10"/>
      <c r="Y3984" s="10"/>
      <c r="Z3984" s="10"/>
    </row>
    <row r="3985" spans="1:26" ht="12.75">
      <c r="A3985" s="10" t="str">
        <f ca="1">IFERROR(__xludf.DUMMYFUNCTION("""COMPUTED_VALUE"""),"Йордан Стоянов Дойков")</f>
        <v>Йордан Стоянов Дойков</v>
      </c>
      <c r="B3985" s="10" t="str">
        <f ca="1">IFERROR(__xludf.DUMMYFUNCTION("""COMPUTED_VALUE"""),"Учебно пособие")</f>
        <v>Учебно пособие</v>
      </c>
      <c r="C3985" s="10" t="str">
        <f ca="1">IFERROR(__xludf.DUMMYFUNCTION("""COMPUTED_VALUE"""),"Водене на преговори в сферата на националната сигурност")</f>
        <v>Водене на преговори в сферата на националната сигурност</v>
      </c>
      <c r="D3985" s="10">
        <f ca="1">IFERROR(__xludf.DUMMYFUNCTION("""COMPUTED_VALUE"""),2016)</f>
        <v>2016</v>
      </c>
      <c r="E3985" s="10" t="str">
        <f ca="1">IFERROR(__xludf.DUMMYFUNCTION("""COMPUTED_VALUE"""),"изд. ""За буквите – О писменехь"", София, ISBN 978-619-185-228-4, 328 е-с.")</f>
        <v>изд. "За буквите – О писменехь", София, ISBN 978-619-185-228-4, 328 е-с.</v>
      </c>
      <c r="F3985" s="10" t="str">
        <f ca="1">IFERROR(__xludf.DUMMYFUNCTION("""COMPUTED_VALUE"""),"Google Science, Researchechgate.net, Academia.edu")</f>
        <v>Google Science, Researchechgate.net, Academia.edu</v>
      </c>
      <c r="G3985" s="10"/>
      <c r="H3985" s="10"/>
      <c r="I3985" s="10"/>
      <c r="J3985" s="10"/>
      <c r="K3985" s="10"/>
      <c r="L3985" s="10"/>
      <c r="M3985" s="10"/>
      <c r="N3985" s="10"/>
      <c r="O3985" s="10"/>
      <c r="P3985" s="10"/>
      <c r="Q3985" s="10"/>
      <c r="R3985" s="10"/>
      <c r="S3985" s="10"/>
      <c r="T3985" s="10"/>
      <c r="U3985" s="10"/>
      <c r="V3985" s="10"/>
      <c r="W3985" s="10"/>
      <c r="X3985" s="10"/>
      <c r="Y3985" s="10"/>
      <c r="Z3985" s="10"/>
    </row>
    <row r="3986" spans="1:26" ht="12.75">
      <c r="A3986" s="10" t="str">
        <f ca="1">IFERROR(__xludf.DUMMYFUNCTION("""COMPUTED_VALUE"""),"Йордан Стоянов Дойков")</f>
        <v>Йордан Стоянов Дойков</v>
      </c>
      <c r="B3986" s="10" t="str">
        <f ca="1">IFERROR(__xludf.DUMMYFUNCTION("""COMPUTED_VALUE"""),"Учебно пособие")</f>
        <v>Учебно пособие</v>
      </c>
      <c r="C3986" s="10" t="str">
        <f ca="1">IFERROR(__xludf.DUMMYFUNCTION("""COMPUTED_VALUE"""),"Теория на управлението")</f>
        <v>Теория на управлението</v>
      </c>
      <c r="D3986" s="10">
        <f ca="1">IFERROR(__xludf.DUMMYFUNCTION("""COMPUTED_VALUE"""),2016)</f>
        <v>2016</v>
      </c>
      <c r="E3986" s="10" t="str">
        <f ca="1">IFERROR(__xludf.DUMMYFUNCTION("""COMPUTED_VALUE"""),"изд. ""За буквите – О писменехь"", София, ISBN 978-619-185-220-8, 280 е-с.")</f>
        <v>изд. "За буквите – О писменехь", София, ISBN 978-619-185-220-8, 280 е-с.</v>
      </c>
      <c r="F3986" s="10" t="str">
        <f ca="1">IFERROR(__xludf.DUMMYFUNCTION("""COMPUTED_VALUE"""),"Google Science, Researchechgate.net, Academia.edu")</f>
        <v>Google Science, Researchechgate.net, Academia.edu</v>
      </c>
      <c r="G3986" s="10"/>
      <c r="H3986" s="10"/>
      <c r="I3986" s="10"/>
      <c r="J3986" s="10"/>
      <c r="K3986" s="10"/>
      <c r="L3986" s="10"/>
      <c r="M3986" s="10"/>
      <c r="N3986" s="10"/>
      <c r="O3986" s="10"/>
      <c r="P3986" s="10"/>
      <c r="Q3986" s="10"/>
      <c r="R3986" s="10"/>
      <c r="S3986" s="10"/>
      <c r="T3986" s="10"/>
      <c r="U3986" s="10"/>
      <c r="V3986" s="10"/>
      <c r="W3986" s="10"/>
      <c r="X3986" s="10"/>
      <c r="Y3986" s="10"/>
      <c r="Z3986" s="10"/>
    </row>
    <row r="3987" spans="1:26" ht="12.75">
      <c r="A3987" s="10" t="str">
        <f ca="1">IFERROR(__xludf.DUMMYFUNCTION("""COMPUTED_VALUE"""),"Йордан Стоянов Дойков")</f>
        <v>Йордан Стоянов Дойков</v>
      </c>
      <c r="B3987" s="10" t="str">
        <f ca="1">IFERROR(__xludf.DUMMYFUNCTION("""COMPUTED_VALUE"""),"Учебно пособие")</f>
        <v>Учебно пособие</v>
      </c>
      <c r="C3987" s="10" t="str">
        <f ca="1">IFERROR(__xludf.DUMMYFUNCTION("""COMPUTED_VALUE"""),"Стратегическо ръководство и лидерство в системата на националната сигурност")</f>
        <v>Стратегическо ръководство и лидерство в системата на националната сигурност</v>
      </c>
      <c r="D3987" s="10">
        <f ca="1">IFERROR(__xludf.DUMMYFUNCTION("""COMPUTED_VALUE"""),2016)</f>
        <v>2016</v>
      </c>
      <c r="E3987" s="10" t="str">
        <f ca="1">IFERROR(__xludf.DUMMYFUNCTION("""COMPUTED_VALUE"""),"изд. ""За буквите – О писменехь"", София, ISBN 978-619-185-227-7, 305 е-с.")</f>
        <v>изд. "За буквите – О писменехь", София, ISBN 978-619-185-227-7, 305 е-с.</v>
      </c>
      <c r="F3987" s="10" t="str">
        <f ca="1">IFERROR(__xludf.DUMMYFUNCTION("""COMPUTED_VALUE"""),"Google Science, Researchechgate.net, Academia.edu")</f>
        <v>Google Science, Researchechgate.net, Academia.edu</v>
      </c>
      <c r="G3987" s="10"/>
      <c r="H3987" s="10"/>
      <c r="I3987" s="10"/>
      <c r="J3987" s="10"/>
      <c r="K3987" s="10"/>
      <c r="L3987" s="10"/>
      <c r="M3987" s="10"/>
      <c r="N3987" s="10"/>
      <c r="O3987" s="10"/>
      <c r="P3987" s="10"/>
      <c r="Q3987" s="10"/>
      <c r="R3987" s="10"/>
      <c r="S3987" s="10"/>
      <c r="T3987" s="10"/>
      <c r="U3987" s="10"/>
      <c r="V3987" s="10"/>
      <c r="W3987" s="10"/>
      <c r="X3987" s="10"/>
      <c r="Y3987" s="10"/>
      <c r="Z3987" s="10"/>
    </row>
    <row r="3988" spans="1:26" ht="12.75">
      <c r="A3988" s="10" t="str">
        <f ca="1">IFERROR(__xludf.DUMMYFUNCTION("""COMPUTED_VALUE"""),"Йордан Стоянов Дойков")</f>
        <v>Йордан Стоянов Дойков</v>
      </c>
      <c r="B3988" s="10" t="str">
        <f ca="1">IFERROR(__xludf.DUMMYFUNCTION("""COMPUTED_VALUE"""),"Учебно пособие")</f>
        <v>Учебно пособие</v>
      </c>
      <c r="C3988" s="10" t="str">
        <f ca="1">IFERROR(__xludf.DUMMYFUNCTION("""COMPUTED_VALUE"""),"Международни институции и организации")</f>
        <v>Международни институции и организации</v>
      </c>
      <c r="D3988" s="10">
        <f ca="1">IFERROR(__xludf.DUMMYFUNCTION("""COMPUTED_VALUE"""),2016)</f>
        <v>2016</v>
      </c>
      <c r="E3988" s="10" t="str">
        <f ca="1">IFERROR(__xludf.DUMMYFUNCTION("""COMPUTED_VALUE"""),"""За буквите – О писменехь"", София, ISBN 978-619-185-216-1, 283 е-с.")</f>
        <v>"За буквите – О писменехь", София, ISBN 978-619-185-216-1, 283 е-с.</v>
      </c>
      <c r="F3988" s="10" t="str">
        <f ca="1">IFERROR(__xludf.DUMMYFUNCTION("""COMPUTED_VALUE"""),"Google Science, Researchechgate.net, Academia.edu")</f>
        <v>Google Science, Researchechgate.net, Academia.edu</v>
      </c>
      <c r="G3988" s="10"/>
      <c r="H3988" s="10"/>
      <c r="I3988" s="10"/>
      <c r="J3988" s="10"/>
      <c r="K3988" s="10"/>
      <c r="L3988" s="10"/>
      <c r="M3988" s="10"/>
      <c r="N3988" s="10"/>
      <c r="O3988" s="10"/>
      <c r="P3988" s="10"/>
      <c r="Q3988" s="10"/>
      <c r="R3988" s="10"/>
      <c r="S3988" s="10"/>
      <c r="T3988" s="10"/>
      <c r="U3988" s="10"/>
      <c r="V3988" s="10"/>
      <c r="W3988" s="10"/>
      <c r="X3988" s="10"/>
      <c r="Y3988" s="10"/>
      <c r="Z3988" s="10"/>
    </row>
    <row r="3989" spans="1:26" ht="12.75">
      <c r="A3989" s="10" t="str">
        <f ca="1">IFERROR(__xludf.DUMMYFUNCTION("""COMPUTED_VALUE"""),"Йордан Стоянов Дойков")</f>
        <v>Йордан Стоянов Дойков</v>
      </c>
      <c r="B3989" s="10" t="str">
        <f ca="1">IFERROR(__xludf.DUMMYFUNCTION("""COMPUTED_VALUE"""),"Учебно пособие")</f>
        <v>Учебно пособие</v>
      </c>
      <c r="C3989" s="10" t="str">
        <f ca="1">IFERROR(__xludf.DUMMYFUNCTION("""COMPUTED_VALUE"""),"История на политическите идеи - II част /Модерност и Постмодерност/")</f>
        <v>История на политическите идеи - II част /Модерност и Постмодерност/</v>
      </c>
      <c r="D3989" s="10">
        <f ca="1">IFERROR(__xludf.DUMMYFUNCTION("""COMPUTED_VALUE"""),2016)</f>
        <v>2016</v>
      </c>
      <c r="E3989" s="10" t="str">
        <f ca="1">IFERROR(__xludf.DUMMYFUNCTION("""COMPUTED_VALUE"""),"изд. ""За буквите – О писменехь"", София, ISBN 978-619-185-221-5, 201 е-с.")</f>
        <v>изд. "За буквите – О писменехь", София, ISBN 978-619-185-221-5, 201 е-с.</v>
      </c>
      <c r="F3989" s="10" t="str">
        <f ca="1">IFERROR(__xludf.DUMMYFUNCTION("""COMPUTED_VALUE"""),"Google Science, Researchechgate.net, Academia.edu")</f>
        <v>Google Science, Researchechgate.net, Academia.edu</v>
      </c>
      <c r="G3989" s="10"/>
      <c r="H3989" s="10"/>
      <c r="I3989" s="10"/>
      <c r="J3989" s="10"/>
      <c r="K3989" s="10"/>
      <c r="L3989" s="10"/>
      <c r="M3989" s="10"/>
      <c r="N3989" s="10"/>
      <c r="O3989" s="10"/>
      <c r="P3989" s="10"/>
      <c r="Q3989" s="10"/>
      <c r="R3989" s="10"/>
      <c r="S3989" s="10"/>
      <c r="T3989" s="10"/>
      <c r="U3989" s="10"/>
      <c r="V3989" s="10"/>
      <c r="W3989" s="10"/>
      <c r="X3989" s="10"/>
      <c r="Y3989" s="10"/>
      <c r="Z3989" s="10"/>
    </row>
    <row r="3990" spans="1:26" ht="12.75">
      <c r="A3990" s="10" t="str">
        <f ca="1">IFERROR(__xludf.DUMMYFUNCTION("""COMPUTED_VALUE"""),"Йордан Стоянов Дойков")</f>
        <v>Йордан Стоянов Дойков</v>
      </c>
      <c r="B3990" s="10" t="str">
        <f ca="1">IFERROR(__xludf.DUMMYFUNCTION("""COMPUTED_VALUE"""),"Статия в списания и поредици")</f>
        <v>Статия в списания и поредици</v>
      </c>
      <c r="C3990" s="10" t="str">
        <f ca="1">IFERROR(__xludf.DUMMYFUNCTION("""COMPUTED_VALUE"""),"Български търсения на институционални решения по сигурността в началните години на прехода (1989-1991 г.)")</f>
        <v>Български търсения на институционални решения по сигурността в началните години на прехода (1989-1991 г.)</v>
      </c>
      <c r="D3990" s="10">
        <f ca="1">IFERROR(__xludf.DUMMYFUNCTION("""COMPUTED_VALUE"""),2016)</f>
        <v>2016</v>
      </c>
      <c r="E3990" s="10" t="str">
        <f ca="1">IFERROR(__xludf.DUMMYFUNCTION("""COMPUTED_VALUE"""),"Тематичен сборник с научни изследвания: „Нови предизвикателства пред сигурността на Балканите”, том 3, изд. „ИВИС”, Велико Търново, ISBN 978-619-205-023-8, с. 230-243.")</f>
        <v>Тематичен сборник с научни изследвания: „Нови предизвикателства пред сигурността на Балканите”, том 3, изд. „ИВИС”, Велико Търново, ISBN 978-619-205-023-8, с. 230-243.</v>
      </c>
      <c r="F3990" s="10" t="str">
        <f ca="1">IFERROR(__xludf.DUMMYFUNCTION("""COMPUTED_VALUE"""),"Google Science, Researchechgate.net, Academia.edu")</f>
        <v>Google Science, Researchechgate.net, Academia.edu</v>
      </c>
      <c r="G3990" s="10"/>
      <c r="H3990" s="10"/>
      <c r="I3990" s="10"/>
      <c r="J3990" s="10"/>
      <c r="K3990" s="10"/>
      <c r="L3990" s="10"/>
      <c r="M3990" s="10"/>
      <c r="N3990" s="10"/>
      <c r="O3990" s="10"/>
      <c r="P3990" s="10"/>
      <c r="Q3990" s="10"/>
      <c r="R3990" s="10"/>
      <c r="S3990" s="10"/>
      <c r="T3990" s="10"/>
      <c r="U3990" s="10"/>
      <c r="V3990" s="10"/>
      <c r="W3990" s="10"/>
      <c r="X3990" s="10"/>
      <c r="Y3990" s="10"/>
      <c r="Z3990" s="10"/>
    </row>
    <row r="3991" spans="1:26" ht="12.75">
      <c r="A3991" s="10" t="str">
        <f ca="1">IFERROR(__xludf.DUMMYFUNCTION("""COMPUTED_VALUE"""),"Йордан Стоянов Дойков")</f>
        <v>Йордан Стоянов Дойков</v>
      </c>
      <c r="B3991" s="10" t="str">
        <f ca="1">IFERROR(__xludf.DUMMYFUNCTION("""COMPUTED_VALUE"""),"Учебно пособие")</f>
        <v>Учебно пособие</v>
      </c>
      <c r="C3991" s="10" t="str">
        <f ca="1">IFERROR(__xludf.DUMMYFUNCTION("""COMPUTED_VALUE"""),"Теория на политиката")</f>
        <v>Теория на политиката</v>
      </c>
      <c r="D3991" s="10">
        <f ca="1">IFERROR(__xludf.DUMMYFUNCTION("""COMPUTED_VALUE"""),2016)</f>
        <v>2016</v>
      </c>
      <c r="E3991" s="10" t="str">
        <f ca="1">IFERROR(__xludf.DUMMYFUNCTION("""COMPUTED_VALUE"""),"изд. ""За буквите – О писменехь"", София, ISBN 978-619-185-226-0, 356 е-с.")</f>
        <v>изд. "За буквите – О писменехь", София, ISBN 978-619-185-226-0, 356 е-с.</v>
      </c>
      <c r="F3991" s="10" t="str">
        <f ca="1">IFERROR(__xludf.DUMMYFUNCTION("""COMPUTED_VALUE"""),"Google Science, Researchechgate.net, Academia.edu")</f>
        <v>Google Science, Researchechgate.net, Academia.edu</v>
      </c>
      <c r="G3991" s="10"/>
      <c r="H3991" s="10"/>
      <c r="I3991" s="10"/>
      <c r="J3991" s="10"/>
      <c r="K3991" s="10"/>
      <c r="L3991" s="10"/>
      <c r="M3991" s="10"/>
      <c r="N3991" s="10"/>
      <c r="O3991" s="10"/>
      <c r="P3991" s="10"/>
      <c r="Q3991" s="10"/>
      <c r="R3991" s="10"/>
      <c r="S3991" s="10"/>
      <c r="T3991" s="10"/>
      <c r="U3991" s="10"/>
      <c r="V3991" s="10"/>
      <c r="W3991" s="10"/>
      <c r="X3991" s="10"/>
      <c r="Y3991" s="10"/>
      <c r="Z3991" s="10"/>
    </row>
    <row r="3992" spans="1:26" ht="12.75">
      <c r="A3992" s="10" t="str">
        <f ca="1">IFERROR(__xludf.DUMMYFUNCTION("""COMPUTED_VALUE"""),"Йордан Стоянов Дойков")</f>
        <v>Йордан Стоянов Дойков</v>
      </c>
      <c r="B3992" s="10" t="str">
        <f ca="1">IFERROR(__xludf.DUMMYFUNCTION("""COMPUTED_VALUE"""),"Учебно пособие")</f>
        <v>Учебно пособие</v>
      </c>
      <c r="C3992" s="10" t="str">
        <f ca="1">IFERROR(__xludf.DUMMYFUNCTION("""COMPUTED_VALUE"""),"Социология - I част")</f>
        <v>Социология - I част</v>
      </c>
      <c r="D3992" s="10">
        <f ca="1">IFERROR(__xludf.DUMMYFUNCTION("""COMPUTED_VALUE"""),2016)</f>
        <v>2016</v>
      </c>
      <c r="E3992" s="10" t="str">
        <f ca="1">IFERROR(__xludf.DUMMYFUNCTION("""COMPUTED_VALUE"""),"изд. ""За буквите – О писменехь"", София, ISBN 978-619-185-218-5, 215 е-с.")</f>
        <v>изд. "За буквите – О писменехь", София, ISBN 978-619-185-218-5, 215 е-с.</v>
      </c>
      <c r="F3992" s="10" t="str">
        <f ca="1">IFERROR(__xludf.DUMMYFUNCTION("""COMPUTED_VALUE"""),"Google Science, Researchechgate.net, Academia.edu")</f>
        <v>Google Science, Researchechgate.net, Academia.edu</v>
      </c>
      <c r="G3992" s="10"/>
      <c r="H3992" s="10"/>
      <c r="I3992" s="10"/>
      <c r="J3992" s="10"/>
      <c r="K3992" s="10"/>
      <c r="L3992" s="10"/>
      <c r="M3992" s="10"/>
      <c r="N3992" s="10"/>
      <c r="O3992" s="10"/>
      <c r="P3992" s="10"/>
      <c r="Q3992" s="10"/>
      <c r="R3992" s="10"/>
      <c r="S3992" s="10"/>
      <c r="T3992" s="10"/>
      <c r="U3992" s="10"/>
      <c r="V3992" s="10"/>
      <c r="W3992" s="10"/>
      <c r="X3992" s="10"/>
      <c r="Y3992" s="10"/>
      <c r="Z3992" s="10"/>
    </row>
    <row r="3993" spans="1:26" ht="12.75">
      <c r="A3993" s="10" t="str">
        <f ca="1">IFERROR(__xludf.DUMMYFUNCTION("""COMPUTED_VALUE"""),"Йордан Стоянов Дойков")</f>
        <v>Йордан Стоянов Дойков</v>
      </c>
      <c r="B3993" s="10" t="str">
        <f ca="1">IFERROR(__xludf.DUMMYFUNCTION("""COMPUTED_VALUE"""),"Учебно пособие")</f>
        <v>Учебно пособие</v>
      </c>
      <c r="C3993" s="10" t="str">
        <f ca="1">IFERROR(__xludf.DUMMYFUNCTION("""COMPUTED_VALUE"""),"Теория на демокрацията /по Джовани Сартори/")</f>
        <v>Теория на демокрацията /по Джовани Сартори/</v>
      </c>
      <c r="D3993" s="10">
        <f ca="1">IFERROR(__xludf.DUMMYFUNCTION("""COMPUTED_VALUE"""),2016)</f>
        <v>2016</v>
      </c>
      <c r="E3993" s="10" t="str">
        <f ca="1">IFERROR(__xludf.DUMMYFUNCTION("""COMPUTED_VALUE"""),"изд. ""За буквите – О писменехь"", София, ISBN 978-619-185-219-2, 392 е-с.")</f>
        <v>изд. "За буквите – О писменехь", София, ISBN 978-619-185-219-2, 392 е-с.</v>
      </c>
      <c r="F3993" s="10" t="str">
        <f ca="1">IFERROR(__xludf.DUMMYFUNCTION("""COMPUTED_VALUE"""),"Google Science, Researchechgate.net, Academia.edu")</f>
        <v>Google Science, Researchechgate.net, Academia.edu</v>
      </c>
      <c r="G3993" s="10"/>
      <c r="H3993" s="10"/>
      <c r="I3993" s="10"/>
      <c r="J3993" s="10"/>
      <c r="K3993" s="10"/>
      <c r="L3993" s="10"/>
      <c r="M3993" s="10"/>
      <c r="N3993" s="10"/>
      <c r="O3993" s="10"/>
      <c r="P3993" s="10"/>
      <c r="Q3993" s="10"/>
      <c r="R3993" s="10"/>
      <c r="S3993" s="10"/>
      <c r="T3993" s="10"/>
      <c r="U3993" s="10"/>
      <c r="V3993" s="10"/>
      <c r="W3993" s="10"/>
      <c r="X3993" s="10"/>
      <c r="Y3993" s="10"/>
      <c r="Z3993" s="10"/>
    </row>
    <row r="3994" spans="1:26" ht="12.75">
      <c r="A3994" s="10" t="str">
        <f ca="1">IFERROR(__xludf.DUMMYFUNCTION("""COMPUTED_VALUE"""),"Йордан Стоянов Дойков")</f>
        <v>Йордан Стоянов Дойков</v>
      </c>
      <c r="B3994" s="10" t="str">
        <f ca="1">IFERROR(__xludf.DUMMYFUNCTION("""COMPUTED_VALUE"""),"Учебно пособие")</f>
        <v>Учебно пособие</v>
      </c>
      <c r="C3994" s="10" t="str">
        <f ca="1">IFERROR(__xludf.DUMMYFUNCTION("""COMPUTED_VALUE"""),"Граждански контрол върху системата на националната сигурност")</f>
        <v>Граждански контрол върху системата на националната сигурност</v>
      </c>
      <c r="D3994" s="10">
        <f ca="1">IFERROR(__xludf.DUMMYFUNCTION("""COMPUTED_VALUE"""),2015)</f>
        <v>2015</v>
      </c>
      <c r="E3994" s="10" t="str">
        <f ca="1">IFERROR(__xludf.DUMMYFUNCTION("""COMPUTED_VALUE"""),"изд. ""За буквите – О писменехь"", София, ISBN 978-619-185-177-5, 246 е-с.")</f>
        <v>изд. "За буквите – О писменехь", София, ISBN 978-619-185-177-5, 246 е-с.</v>
      </c>
      <c r="F3994" s="10" t="str">
        <f ca="1">IFERROR(__xludf.DUMMYFUNCTION("""COMPUTED_VALUE"""),"Google Science, Researchechgate.net, Academia.edu")</f>
        <v>Google Science, Researchechgate.net, Academia.edu</v>
      </c>
      <c r="G3994" s="10"/>
      <c r="H3994" s="10"/>
      <c r="I3994" s="10"/>
      <c r="J3994" s="10"/>
      <c r="K3994" s="10"/>
      <c r="L3994" s="10"/>
      <c r="M3994" s="10"/>
      <c r="N3994" s="10"/>
      <c r="O3994" s="10"/>
      <c r="P3994" s="10"/>
      <c r="Q3994" s="10"/>
      <c r="R3994" s="10"/>
      <c r="S3994" s="10"/>
      <c r="T3994" s="10"/>
      <c r="U3994" s="10"/>
      <c r="V3994" s="10"/>
      <c r="W3994" s="10"/>
      <c r="X3994" s="10"/>
      <c r="Y3994" s="10"/>
      <c r="Z3994" s="10"/>
    </row>
    <row r="3995" spans="1:26" ht="12.75">
      <c r="A3995" s="10" t="str">
        <f ca="1">IFERROR(__xludf.DUMMYFUNCTION("""COMPUTED_VALUE"""),"Йордан Стоянов Дойков")</f>
        <v>Йордан Стоянов Дойков</v>
      </c>
      <c r="B3995" s="10" t="str">
        <f ca="1">IFERROR(__xludf.DUMMYFUNCTION("""COMPUTED_VALUE"""),"Статия в списания и поредици")</f>
        <v>Статия в списания и поредици</v>
      </c>
      <c r="C3995" s="10" t="str">
        <f ca="1">IFERROR(__xludf.DUMMYFUNCTION("""COMPUTED_VALUE"""),"Фокус-групи сред представители на бизнессреди и финансови експерти към избора на управител на БНБ – юни 2015 г.")</f>
        <v>Фокус-групи сред представители на бизнессреди и финансови експерти към избора на управител на БНБ – юни 2015 г.</v>
      </c>
      <c r="D3995" s="10">
        <f ca="1">IFERROR(__xludf.DUMMYFUNCTION("""COMPUTED_VALUE"""),2015)</f>
        <v>2015</v>
      </c>
      <c r="E3995" s="10" t="str">
        <f ca="1">IFERROR(__xludf.DUMMYFUNCTION("""COMPUTED_VALUE"""),"сп. B2B Magazine, 10 с. - http://b2bmagazine.bg/%D0%BD%D0%BE%D0%B2%D0%B8%D0%BD%D0%B8/%D1%84%D0%BE%D0%BA%D1%83%D1%81-%D0%B3%D1%80%D1%83%D0%BF%D0%B8-%D1%81%D1%80%D0%B5%D0%B4-%D0%BF%D1%80%D0%B5%D0%B4%D1%81%D1%82%D0%B0%D0%B2%D0%B8%D1%82%D0%B5%D0%BB%D0%B8-%D0%"&amp;"BD%D0%B0-%D0%B1%D0%B8%D0%B7 – 22.07.2015 г.")</f>
        <v>сп. B2B Magazine, 10 с. - http://b2bmagazine.bg/%D0%BD%D0%BE%D0%B2%D0%B8%D0%BD%D0%B8/%D1%84%D0%BE%D0%BA%D1%83%D1%81-%D0%B3%D1%80%D1%83%D0%BF%D0%B8-%D1%81%D1%80%D0%B5%D0%B4-%D0%BF%D1%80%D0%B5%D0%B4%D1%81%D1%82%D0%B0%D0%B2%D0%B8%D1%82%D0%B5%D0%BB%D0%B8-%D0%BD%D0%B0-%D0%B1%D0%B8%D0%B7 – 22.07.2015 г.</v>
      </c>
      <c r="F3995" s="10" t="str">
        <f ca="1">IFERROR(__xludf.DUMMYFUNCTION("""COMPUTED_VALUE"""),"сп. B2B Magazine - http://b2bmagazine.bg/%D0%BD%D0%BE%D0%B2%D0%B8%D0%BD%D0%B8/%D1%84%D0%BE%D0%BA%D1%83%D1%81-%D0%B3%D1%80%D1%83%D0%BF%D0%B8-%D1%81%D1%80%D0%B5%D0%B4-%D0%BF%D1%80%D0%B5%D0%B4%D1%81%D1%82%D0%B0%D0%B2%D0%B8%D1%82%D0%B5%D0%BB%D0%B8-%D0%BD%D0%B"&amp;"0-%D0%B1%D0%B8%D0%B7 
 Google Science, Researchechgate.net, Academia.edu")</f>
        <v>сп. B2B Magazine - http://b2bmagazine.bg/%D0%BD%D0%BE%D0%B2%D0%B8%D0%BD%D0%B8/%D1%84%D0%BE%D0%BA%D1%83%D1%81-%D0%B3%D1%80%D1%83%D0%BF%D0%B8-%D1%81%D1%80%D0%B5%D0%B4-%D0%BF%D1%80%D0%B5%D0%B4%D1%81%D1%82%D0%B0%D0%B2%D0%B8%D1%82%D0%B5%D0%BB%D0%B8-%D0%BD%D0%B0-%D0%B1%D0%B8%D0%B7 
 Google Science, Researchechgate.net, Academia.edu</v>
      </c>
      <c r="G3995" s="10"/>
      <c r="H3995" s="10"/>
      <c r="I3995" s="10"/>
      <c r="J3995" s="10"/>
      <c r="K3995" s="10"/>
      <c r="L3995" s="10"/>
      <c r="M3995" s="10"/>
      <c r="N3995" s="10"/>
      <c r="O3995" s="10"/>
      <c r="P3995" s="10"/>
      <c r="Q3995" s="10"/>
      <c r="R3995" s="10"/>
      <c r="S3995" s="10"/>
      <c r="T3995" s="10"/>
      <c r="U3995" s="10"/>
      <c r="V3995" s="10"/>
      <c r="W3995" s="10"/>
      <c r="X3995" s="10"/>
      <c r="Y3995" s="10"/>
      <c r="Z3995" s="10"/>
    </row>
    <row r="3996" spans="1:26" ht="12.75">
      <c r="A3996" s="10" t="str">
        <f ca="1">IFERROR(__xludf.DUMMYFUNCTION("""COMPUTED_VALUE"""),"Йордан Стоянов Дойков")</f>
        <v>Йордан Стоянов Дойков</v>
      </c>
      <c r="B3996" s="10" t="str">
        <f ca="1">IFERROR(__xludf.DUMMYFUNCTION("""COMPUTED_VALUE"""),"Статия в списания и поредици")</f>
        <v>Статия в списания и поредици</v>
      </c>
      <c r="C3996" s="10" t="str">
        <f ca="1">IFERROR(__xludf.DUMMYFUNCTION("""COMPUTED_VALUE"""),"Композиране и влияния на международните фактори в процеса на присъединяване на България към военнополитически съюзи през втората половина на XX–ти и началото на XXI-ви век, /сравнителни аспекти/")</f>
        <v>Композиране и влияния на международните фактори в процеса на присъединяване на България към военнополитически съюзи през втората половина на XX–ти и началото на XXI-ви век, /сравнителни аспекти/</v>
      </c>
      <c r="D3996" s="10">
        <f ca="1">IFERROR(__xludf.DUMMYFUNCTION("""COMPUTED_VALUE"""),2015)</f>
        <v>2015</v>
      </c>
      <c r="E3996" s="10" t="str">
        <f ca="1">IFERROR(__xludf.DUMMYFUNCTION("""COMPUTED_VALUE"""),"Научни трудове на ИДП – БАН, том XI, ISSN 1314-6459, с. 91-104.")</f>
        <v>Научни трудове на ИДП – БАН, том XI, ISSN 1314-6459, с. 91-104.</v>
      </c>
      <c r="F3996" s="10" t="str">
        <f ca="1">IFERROR(__xludf.DUMMYFUNCTION("""COMPUTED_VALUE"""),"Google Science, Researchechgate.net, Academia.edu")</f>
        <v>Google Science, Researchechgate.net, Academia.edu</v>
      </c>
      <c r="G3996" s="10"/>
      <c r="H3996" s="10"/>
      <c r="I3996" s="10"/>
      <c r="J3996" s="10"/>
      <c r="K3996" s="10"/>
      <c r="L3996" s="10"/>
      <c r="M3996" s="10"/>
      <c r="N3996" s="10"/>
      <c r="O3996" s="10"/>
      <c r="P3996" s="10"/>
      <c r="Q3996" s="10"/>
      <c r="R3996" s="10"/>
      <c r="S3996" s="10"/>
      <c r="T3996" s="10"/>
      <c r="U3996" s="10"/>
      <c r="V3996" s="10"/>
      <c r="W3996" s="10"/>
      <c r="X3996" s="10"/>
      <c r="Y3996" s="10"/>
      <c r="Z3996" s="10"/>
    </row>
    <row r="3997" spans="1:26" ht="12.75">
      <c r="A3997" s="10" t="str">
        <f ca="1">IFERROR(__xludf.DUMMYFUNCTION("""COMPUTED_VALUE"""),"Йордан Стоянов Дойков")</f>
        <v>Йордан Стоянов Дойков</v>
      </c>
      <c r="B3997" s="10" t="str">
        <f ca="1">IFERROR(__xludf.DUMMYFUNCTION("""COMPUTED_VALUE"""),"Статия в списания и поредици")</f>
        <v>Статия в списания и поредици</v>
      </c>
      <c r="C3997" s="10" t="str">
        <f ca="1">IFERROR(__xludf.DUMMYFUNCTION("""COMPUTED_VALUE"""),"Обществени нагласи към избора на управител на БНБ – април 2015 г.")</f>
        <v>Обществени нагласи към избора на управител на БНБ – април 2015 г.</v>
      </c>
      <c r="D3997" s="10">
        <f ca="1">IFERROR(__xludf.DUMMYFUNCTION("""COMPUTED_VALUE"""),2015)</f>
        <v>2015</v>
      </c>
      <c r="E3997" s="10" t="str">
        <f ca="1">IFERROR(__xludf.DUMMYFUNCTION("""COMPUTED_VALUE"""),"сп. B2B Magazine, 12 с. - http://b2bmagazine.bg/%D0%BD%D0%BE%D0%B2%D0%B8%D0%BD%D0%B8/%D0%BE%D0%B1%D1%89%D0%B5%D1%81%D1%82%D0%B2%D0%B5%D0%BD%D0%B8-%D0%BD%D0%B0%D0%B3%D0%BB%D0%B0%D1%81%D0%B8-%D0%BA%D1%8A%D0%BC-%D0%B8%D0%B7%D0%B1%D0%BE%D1%80%D0%B0-%D0%BD%D0%"&amp;"B0-%D1%83%D0%BF%D1%80%D0%B0 – 22.07.2015 г.")</f>
        <v>сп. B2B Magazine, 12 с. - http://b2bmagazine.bg/%D0%BD%D0%BE%D0%B2%D0%B8%D0%BD%D0%B8/%D0%BE%D0%B1%D1%89%D0%B5%D1%81%D1%82%D0%B2%D0%B5%D0%BD%D0%B8-%D0%BD%D0%B0%D0%B3%D0%BB%D0%B0%D1%81%D0%B8-%D0%BA%D1%8A%D0%BC-%D0%B8%D0%B7%D0%B1%D0%BE%D1%80%D0%B0-%D0%BD%D0%B0-%D1%83%D0%BF%D1%80%D0%B0 – 22.07.2015 г.</v>
      </c>
      <c r="F3997" s="10" t="str">
        <f ca="1">IFERROR(__xludf.DUMMYFUNCTION("""COMPUTED_VALUE"""),"сп. B2B Magazine - http://b2bmagazine.bg/%D0%BD%D0%BE%D0%B2%D0%B8%D0%BD%D0%B8/%D0%BE%D0%B1%D1%89%D0%B5%D1%81%D1%82%D0%B2%D0%B5%D0%BD%D0%B8-%D0%BD%D0%B0%D0%B3%D0%BB%D0%B0%D1%81%D0%B8-%D0%BA%D1%8A%D0%BC-%D0%B8%D0%B7%D0%B1%D0%BE%D1%80%D0%B0-%D0%BD%D0%B0-%D1%"&amp;"83%D0%BF%D1%80%D0%B0
 Google Science, Researchechgate.net, Academia.edu")</f>
        <v>сп. B2B Magazine - http://b2bmagazine.bg/%D0%BD%D0%BE%D0%B2%D0%B8%D0%BD%D0%B8/%D0%BE%D0%B1%D1%89%D0%B5%D1%81%D1%82%D0%B2%D0%B5%D0%BD%D0%B8-%D0%BD%D0%B0%D0%B3%D0%BB%D0%B0%D1%81%D0%B8-%D0%BA%D1%8A%D0%BC-%D0%B8%D0%B7%D0%B1%D0%BE%D1%80%D0%B0-%D0%BD%D0%B0-%D1%83%D0%BF%D1%80%D0%B0
 Google Science, Researchechgate.net, Academia.edu</v>
      </c>
      <c r="G3997" s="10"/>
      <c r="H3997" s="10"/>
      <c r="I3997" s="10"/>
      <c r="J3997" s="10"/>
      <c r="K3997" s="10"/>
      <c r="L3997" s="10"/>
      <c r="M3997" s="10"/>
      <c r="N3997" s="10"/>
      <c r="O3997" s="10"/>
      <c r="P3997" s="10"/>
      <c r="Q3997" s="10"/>
      <c r="R3997" s="10"/>
      <c r="S3997" s="10"/>
      <c r="T3997" s="10"/>
      <c r="U3997" s="10"/>
      <c r="V3997" s="10"/>
      <c r="W3997" s="10"/>
      <c r="X3997" s="10"/>
      <c r="Y3997" s="10"/>
      <c r="Z3997" s="10"/>
    </row>
    <row r="3998" spans="1:26" ht="12.75">
      <c r="A3998" s="10" t="str">
        <f ca="1">IFERROR(__xludf.DUMMYFUNCTION("""COMPUTED_VALUE"""),"Йордан Стоянов Дойков")</f>
        <v>Йордан Стоянов Дойков</v>
      </c>
      <c r="B3998" s="10" t="str">
        <f ca="1">IFERROR(__xludf.DUMMYFUNCTION("""COMPUTED_VALUE"""),"Статия в списания и поредици")</f>
        <v>Статия в списания и поредици</v>
      </c>
      <c r="C3998" s="10" t="str">
        <f ca="1">IFERROR(__xludf.DUMMYFUNCTION("""COMPUTED_VALUE"""),"Мнение на експертен състав към избора на управител на БНБ – май-юни 2015 г.")</f>
        <v>Мнение на експертен състав към избора на управител на БНБ – май-юни 2015 г.</v>
      </c>
      <c r="D3998" s="10">
        <f ca="1">IFERROR(__xludf.DUMMYFUNCTION("""COMPUTED_VALUE"""),2015)</f>
        <v>2015</v>
      </c>
      <c r="E3998" s="10" t="str">
        <f ca="1">IFERROR(__xludf.DUMMYFUNCTION("""COMPUTED_VALUE"""),"Фондация „Европартньори 2007“, София, 11 с. - http://www.europartners2007.org/")</f>
        <v>Фондация „Европартньори 2007“, София, 11 с. - http://www.europartners2007.org/</v>
      </c>
      <c r="F3998" s="10" t="str">
        <f ca="1">IFERROR(__xludf.DUMMYFUNCTION("""COMPUTED_VALUE"""),"фондация ""Европартньори 2007"" - http://www.europartners2007.org/
 Google Science, Researchechgate.net, Academia.edu")</f>
        <v>фондация "Европартньори 2007" - http://www.europartners2007.org/
 Google Science, Researchechgate.net, Academia.edu</v>
      </c>
      <c r="G3998" s="10"/>
      <c r="H3998" s="10"/>
      <c r="I3998" s="10"/>
      <c r="J3998" s="10"/>
      <c r="K3998" s="10"/>
      <c r="L3998" s="10"/>
      <c r="M3998" s="10"/>
      <c r="N3998" s="10"/>
      <c r="O3998" s="10"/>
      <c r="P3998" s="10"/>
      <c r="Q3998" s="10"/>
      <c r="R3998" s="10"/>
      <c r="S3998" s="10"/>
      <c r="T3998" s="10"/>
      <c r="U3998" s="10"/>
      <c r="V3998" s="10"/>
      <c r="W3998" s="10"/>
      <c r="X3998" s="10"/>
      <c r="Y3998" s="10"/>
      <c r="Z3998" s="10"/>
    </row>
    <row r="3999" spans="1:26" ht="12.75">
      <c r="A3999" s="10" t="str">
        <f ca="1">IFERROR(__xludf.DUMMYFUNCTION("""COMPUTED_VALUE"""),"Йордан Стоянов Дойков")</f>
        <v>Йордан Стоянов Дойков</v>
      </c>
      <c r="B3999" s="10" t="str">
        <f ca="1">IFERROR(__xludf.DUMMYFUNCTION("""COMPUTED_VALUE"""),"Статия в списания и поредици")</f>
        <v>Статия в списания и поредици</v>
      </c>
      <c r="C3999" s="10" t="str">
        <f ca="1">IFERROR(__xludf.DUMMYFUNCTION("""COMPUTED_VALUE"""),"Отношение на финансови експерти към критиките на Доклада на ЕК за включване в задълбочени прегледи за предотвратяване и коригиране на макроикономическите дисбаланси – март 2015 г.")</f>
        <v>Отношение на финансови експерти към критиките на Доклада на ЕК за включване в задълбочени прегледи за предотвратяване и коригиране на макроикономическите дисбаланси – март 2015 г.</v>
      </c>
      <c r="D3999" s="10">
        <f ca="1">IFERROR(__xludf.DUMMYFUNCTION("""COMPUTED_VALUE"""),2015)</f>
        <v>2015</v>
      </c>
      <c r="E3999" s="10" t="str">
        <f ca="1">IFERROR(__xludf.DUMMYFUNCTION("""COMPUTED_VALUE"""),"сп. B2B Magazine, 20 с. - http://b2bmagazine.bg/%D0%BD%D0%BE%D0%B2%D0%B8%D0%BD%D0%B8/%D0%BE%D1%82%D0%BD%D0%BE%D1%88%D0%B5%D0%BD%D0%B8%D0%B5-%D0%BD%D0%B0-%D1%84%D0%B8%D0%BD%D0%B0%D0%BD%D1%81%D0%BE%D0%B2%D0%B8-%D0%B5%D0%BA%D1%81%D0%BF%D0%B5%D1%80%D1%82%D0%B"&amp;"8-%D0%BA%D1%8A%D0%BC-%D0%BA – 22.07.2015 г.")</f>
        <v>сп. B2B Magazine, 20 с. - http://b2bmagazine.bg/%D0%BD%D0%BE%D0%B2%D0%B8%D0%BD%D0%B8/%D0%BE%D1%82%D0%BD%D0%BE%D1%88%D0%B5%D0%BD%D0%B8%D0%B5-%D0%BD%D0%B0-%D1%84%D0%B8%D0%BD%D0%B0%D0%BD%D1%81%D0%BE%D0%B2%D0%B8-%D0%B5%D0%BA%D1%81%D0%BF%D0%B5%D1%80%D1%82%D0%B8-%D0%BA%D1%8A%D0%BC-%D0%BA – 22.07.2015 г.</v>
      </c>
      <c r="F3999" s="10" t="str">
        <f ca="1">IFERROR(__xludf.DUMMYFUNCTION("""COMPUTED_VALUE"""),"сп. B2B Magazine - http://b2bmagazine.bg/%D0%BD%D0%BE%D0%B2%D0%B8%D0%BD%D0%B8/%D0%BE%D1%82%D0%BD%D0%BE%D1%88%D0%B5%D0%BD%D0%B8%D0%B5-%D0%BD%D0%B0-%D1%84%D0%B8%D0%BD%D0%B0%D0%BD%D1%81%D0%BE%D0%B2%D0%B8-%D0%B5%D0%BA%D1%81%D0%BF%D0%B5%D1%80%D1%82%D0%B8-%D0%B"&amp;"A%D1%8A%D0%BC-%D0%BA
 Google Science, Researchechgate.net, Academia.edu")</f>
        <v>сп. B2B Magazine - http://b2bmagazine.bg/%D0%BD%D0%BE%D0%B2%D0%B8%D0%BD%D0%B8/%D0%BE%D1%82%D0%BD%D0%BE%D1%88%D0%B5%D0%BD%D0%B8%D0%B5-%D0%BD%D0%B0-%D1%84%D0%B8%D0%BD%D0%B0%D0%BD%D1%81%D0%BE%D0%B2%D0%B8-%D0%B5%D0%BA%D1%81%D0%BF%D0%B5%D1%80%D1%82%D0%B8-%D0%BA%D1%8A%D0%BC-%D0%BA
 Google Science, Researchechgate.net, Academia.edu</v>
      </c>
      <c r="G3999" s="10"/>
      <c r="H3999" s="10"/>
      <c r="I3999" s="10"/>
      <c r="J3999" s="10"/>
      <c r="K3999" s="10"/>
      <c r="L3999" s="10"/>
      <c r="M3999" s="10"/>
      <c r="N3999" s="10"/>
      <c r="O3999" s="10"/>
      <c r="P3999" s="10"/>
      <c r="Q3999" s="10"/>
      <c r="R3999" s="10"/>
      <c r="S3999" s="10"/>
      <c r="T3999" s="10"/>
      <c r="U3999" s="10"/>
      <c r="V3999" s="10"/>
      <c r="W3999" s="10"/>
      <c r="X3999" s="10"/>
      <c r="Y3999" s="10"/>
      <c r="Z3999" s="10"/>
    </row>
    <row r="4000" spans="1:26" ht="12.75">
      <c r="A4000" s="10" t="str">
        <f ca="1">IFERROR(__xludf.DUMMYFUNCTION("""COMPUTED_VALUE"""),"Йордан Стоянов Дойков")</f>
        <v>Йордан Стоянов Дойков</v>
      </c>
      <c r="B4000" s="10" t="str">
        <f ca="1">IFERROR(__xludf.DUMMYFUNCTION("""COMPUTED_VALUE"""),"Учебно пособие")</f>
        <v>Учебно пособие</v>
      </c>
      <c r="C4000" s="10" t="str">
        <f ca="1">IFERROR(__xludf.DUMMYFUNCTION("""COMPUTED_VALUE"""),"Социология на сигурността")</f>
        <v>Социология на сигурността</v>
      </c>
      <c r="D4000" s="10">
        <f ca="1">IFERROR(__xludf.DUMMYFUNCTION("""COMPUTED_VALUE"""),2015)</f>
        <v>2015</v>
      </c>
      <c r="E4000" s="10" t="str">
        <f ca="1">IFERROR(__xludf.DUMMYFUNCTION("""COMPUTED_VALUE"""),"изд. ""За буквите – О писменехь"", София, ISBN 978-619-185-176-8, 275 е-с.")</f>
        <v>изд. "За буквите – О писменехь", София, ISBN 978-619-185-176-8, 275 е-с.</v>
      </c>
      <c r="F4000" s="10" t="str">
        <f ca="1">IFERROR(__xludf.DUMMYFUNCTION("""COMPUTED_VALUE"""),"Google Science, Researchechgate.net, Academia.edu")</f>
        <v>Google Science, Researchechgate.net, Academia.edu</v>
      </c>
      <c r="G4000" s="10"/>
      <c r="H4000" s="10"/>
      <c r="I4000" s="10"/>
      <c r="J4000" s="10"/>
      <c r="K4000" s="10"/>
      <c r="L4000" s="10"/>
      <c r="M4000" s="10"/>
      <c r="N4000" s="10"/>
      <c r="O4000" s="10"/>
      <c r="P4000" s="10"/>
      <c r="Q4000" s="10"/>
      <c r="R4000" s="10"/>
      <c r="S4000" s="10"/>
      <c r="T4000" s="10"/>
      <c r="U4000" s="10"/>
      <c r="V4000" s="10"/>
      <c r="W4000" s="10"/>
      <c r="X4000" s="10"/>
      <c r="Y4000" s="10"/>
      <c r="Z4000" s="10"/>
    </row>
    <row r="4001" spans="1:26" ht="12.75">
      <c r="A4001" s="10" t="str">
        <f ca="1">IFERROR(__xludf.DUMMYFUNCTION("""COMPUTED_VALUE"""),"Йордан Стоянов Дойков")</f>
        <v>Йордан Стоянов Дойков</v>
      </c>
      <c r="B4001" s="10" t="str">
        <f ca="1">IFERROR(__xludf.DUMMYFUNCTION("""COMPUTED_VALUE"""),"Учебно пособие")</f>
        <v>Учебно пособие</v>
      </c>
      <c r="C4001" s="10" t="str">
        <f ca="1">IFERROR(__xludf.DUMMYFUNCTION("""COMPUTED_VALUE"""),"Механизми при вземане на политически решения")</f>
        <v>Механизми при вземане на политически решения</v>
      </c>
      <c r="D4001" s="10">
        <f ca="1">IFERROR(__xludf.DUMMYFUNCTION("""COMPUTED_VALUE"""),2015)</f>
        <v>2015</v>
      </c>
      <c r="E4001" s="10" t="str">
        <f ca="1">IFERROR(__xludf.DUMMYFUNCTION("""COMPUTED_VALUE"""),"изд. ""За буквите – О писменехь"", София, ISBN 978-619-185-172-0, 166 е-с.")</f>
        <v>изд. "За буквите – О писменехь", София, ISBN 978-619-185-172-0, 166 е-с.</v>
      </c>
      <c r="F4001" s="10" t="str">
        <f ca="1">IFERROR(__xludf.DUMMYFUNCTION("""COMPUTED_VALUE"""),"Google Science, Researchechgate.net, Academia.edu")</f>
        <v>Google Science, Researchechgate.net, Academia.edu</v>
      </c>
      <c r="G4001" s="10"/>
      <c r="H4001" s="10"/>
      <c r="I4001" s="10"/>
      <c r="J4001" s="10"/>
      <c r="K4001" s="10"/>
      <c r="L4001" s="10"/>
      <c r="M4001" s="10"/>
      <c r="N4001" s="10"/>
      <c r="O4001" s="10"/>
      <c r="P4001" s="10"/>
      <c r="Q4001" s="10"/>
      <c r="R4001" s="10"/>
      <c r="S4001" s="10"/>
      <c r="T4001" s="10"/>
      <c r="U4001" s="10"/>
      <c r="V4001" s="10"/>
      <c r="W4001" s="10"/>
      <c r="X4001" s="10"/>
      <c r="Y4001" s="10"/>
      <c r="Z4001" s="10"/>
    </row>
    <row r="4002" spans="1:26" ht="12.75">
      <c r="A4002" s="10" t="str">
        <f ca="1">IFERROR(__xludf.DUMMYFUNCTION("""COMPUTED_VALUE"""),"Йордан Стоянов Дойков")</f>
        <v>Йордан Стоянов Дойков</v>
      </c>
      <c r="B4002" s="10" t="str">
        <f ca="1">IFERROR(__xludf.DUMMYFUNCTION("""COMPUTED_VALUE"""),"Статия в списания и поредици")</f>
        <v>Статия в списания и поредици</v>
      </c>
      <c r="C4002" s="10" t="str">
        <f ca="1">IFERROR(__xludf.DUMMYFUNCTION("""COMPUTED_VALUE"""),"„Растеж накъде? (Относно ирелевантността на моделите за икономически растеж)")</f>
        <v>„Растеж накъде? (Относно ирелевантността на моделите за икономически растеж)</v>
      </c>
      <c r="D4002" s="10">
        <f ca="1">IFERROR(__xludf.DUMMYFUNCTION("""COMPUTED_VALUE"""),2015)</f>
        <v>2015</v>
      </c>
      <c r="E4002" s="10" t="str">
        <f ca="1">IFERROR(__xludf.DUMMYFUNCTION("""COMPUTED_VALUE"""),"сп. „Социология и икономика”, изд. на ВУ - КИА, Пловдив, ISSN 1314-3603, 2015, год.V, бр.1, с. 91-93.")</f>
        <v>сп. „Социология и икономика”, изд. на ВУ - КИА, Пловдив, ISSN 1314-3603, 2015, год.V, бр.1, с. 91-93.</v>
      </c>
      <c r="F4002" s="10"/>
      <c r="G4002" s="10"/>
      <c r="H4002" s="10"/>
      <c r="I4002" s="10"/>
      <c r="J4002" s="10"/>
      <c r="K4002" s="10"/>
      <c r="L4002" s="10"/>
      <c r="M4002" s="10"/>
      <c r="N4002" s="10"/>
      <c r="O4002" s="10"/>
      <c r="P4002" s="10"/>
      <c r="Q4002" s="10"/>
      <c r="R4002" s="10"/>
      <c r="S4002" s="10"/>
      <c r="T4002" s="10"/>
      <c r="U4002" s="10"/>
      <c r="V4002" s="10"/>
      <c r="W4002" s="10"/>
      <c r="X4002" s="10"/>
      <c r="Y4002" s="10"/>
      <c r="Z4002" s="10"/>
    </row>
    <row r="4003" spans="1:26" ht="12.75">
      <c r="A4003" s="10" t="str">
        <f ca="1">IFERROR(__xludf.DUMMYFUNCTION("""COMPUTED_VALUE"""),"Йордан Стоянов Дойков")</f>
        <v>Йордан Стоянов Дойков</v>
      </c>
      <c r="B4003" s="10" t="str">
        <f ca="1">IFERROR(__xludf.DUMMYFUNCTION("""COMPUTED_VALUE"""),"Учебно пособие")</f>
        <v>Учебно пособие</v>
      </c>
      <c r="C4003" s="10" t="str">
        <f ca="1">IFERROR(__xludf.DUMMYFUNCTION("""COMPUTED_VALUE"""),"Военни аспекти на националната сигурност")</f>
        <v>Военни аспекти на националната сигурност</v>
      </c>
      <c r="D4003" s="10">
        <f ca="1">IFERROR(__xludf.DUMMYFUNCTION("""COMPUTED_VALUE"""),2015)</f>
        <v>2015</v>
      </c>
      <c r="E4003" s="10" t="str">
        <f ca="1">IFERROR(__xludf.DUMMYFUNCTION("""COMPUTED_VALUE"""),"изд. ""За буквите – О писменехь"", София, ISBN 978-619-185-178-2, 328 е-с.")</f>
        <v>изд. "За буквите – О писменехь", София, ISBN 978-619-185-178-2, 328 е-с.</v>
      </c>
      <c r="F4003" s="10" t="str">
        <f ca="1">IFERROR(__xludf.DUMMYFUNCTION("""COMPUTED_VALUE"""),"Google Science, Researchechgate.net, Academia.edu")</f>
        <v>Google Science, Researchechgate.net, Academia.edu</v>
      </c>
      <c r="G4003" s="10"/>
      <c r="H4003" s="10"/>
      <c r="I4003" s="10"/>
      <c r="J4003" s="10"/>
      <c r="K4003" s="10"/>
      <c r="L4003" s="10"/>
      <c r="M4003" s="10"/>
      <c r="N4003" s="10"/>
      <c r="O4003" s="10"/>
      <c r="P4003" s="10"/>
      <c r="Q4003" s="10"/>
      <c r="R4003" s="10"/>
      <c r="S4003" s="10"/>
      <c r="T4003" s="10"/>
      <c r="U4003" s="10"/>
      <c r="V4003" s="10"/>
      <c r="W4003" s="10"/>
      <c r="X4003" s="10"/>
      <c r="Y4003" s="10"/>
      <c r="Z4003" s="10"/>
    </row>
    <row r="4004" spans="1:26" ht="12.75">
      <c r="A4004" s="10" t="str">
        <f ca="1">IFERROR(__xludf.DUMMYFUNCTION("""COMPUTED_VALUE"""),"Йордан Стоянов Дойков")</f>
        <v>Йордан Стоянов Дойков</v>
      </c>
      <c r="B4004" s="10" t="str">
        <f ca="1">IFERROR(__xludf.DUMMYFUNCTION("""COMPUTED_VALUE"""),"Учебно пособие")</f>
        <v>Учебно пособие</v>
      </c>
      <c r="C4004" s="10" t="str">
        <f ca="1">IFERROR(__xludf.DUMMYFUNCTION("""COMPUTED_VALUE"""),"Представително управление")</f>
        <v>Представително управление</v>
      </c>
      <c r="D4004" s="10">
        <f ca="1">IFERROR(__xludf.DUMMYFUNCTION("""COMPUTED_VALUE"""),2015)</f>
        <v>2015</v>
      </c>
      <c r="E4004" s="10" t="str">
        <f ca="1">IFERROR(__xludf.DUMMYFUNCTION("""COMPUTED_VALUE"""),"изд. ""За буквите – О писменехь"", София, ISBN 978-619-185-171-3, 363 е-с. изд. ""За буквите – О писменехь"", София, ISBN 978-619-185-171-3, 363 е-с.")</f>
        <v>изд. "За буквите – О писменехь", София, ISBN 978-619-185-171-3, 363 е-с. изд. "За буквите – О писменехь", София, ISBN 978-619-185-171-3, 363 е-с.</v>
      </c>
      <c r="F4004" s="10" t="str">
        <f ca="1">IFERROR(__xludf.DUMMYFUNCTION("""COMPUTED_VALUE"""),"Google Science, Researchechgate.net, Academia.edu")</f>
        <v>Google Science, Researchechgate.net, Academia.edu</v>
      </c>
      <c r="G4004" s="10"/>
      <c r="H4004" s="10"/>
      <c r="I4004" s="10"/>
      <c r="J4004" s="10"/>
      <c r="K4004" s="10"/>
      <c r="L4004" s="10"/>
      <c r="M4004" s="10"/>
      <c r="N4004" s="10"/>
      <c r="O4004" s="10"/>
      <c r="P4004" s="10"/>
      <c r="Q4004" s="10"/>
      <c r="R4004" s="10"/>
      <c r="S4004" s="10"/>
      <c r="T4004" s="10"/>
      <c r="U4004" s="10"/>
      <c r="V4004" s="10"/>
      <c r="W4004" s="10"/>
      <c r="X4004" s="10"/>
      <c r="Y4004" s="10"/>
      <c r="Z4004" s="10"/>
    </row>
    <row r="4005" spans="1:26" ht="12.75">
      <c r="A4005" s="10" t="str">
        <f ca="1">IFERROR(__xludf.DUMMYFUNCTION("""COMPUTED_VALUE"""),"Йордан Стоянов Дойков")</f>
        <v>Йордан Стоянов Дойков</v>
      </c>
      <c r="B4005" s="10" t="str">
        <f ca="1">IFERROR(__xludf.DUMMYFUNCTION("""COMPUTED_VALUE"""),"Учебно пособие")</f>
        <v>Учебно пособие</v>
      </c>
      <c r="C4005" s="10" t="str">
        <f ca="1">IFERROR(__xludf.DUMMYFUNCTION("""COMPUTED_VALUE"""),"Публични политики")</f>
        <v>Публични политики</v>
      </c>
      <c r="D4005" s="10">
        <f ca="1">IFERROR(__xludf.DUMMYFUNCTION("""COMPUTED_VALUE"""),2015)</f>
        <v>2015</v>
      </c>
      <c r="E4005" s="10" t="str">
        <f ca="1">IFERROR(__xludf.DUMMYFUNCTION("""COMPUTED_VALUE"""),"изд. ""За буквите – О писменехь"", София, ISBN 978-619-185-174-4, 152 е-с.")</f>
        <v>изд. "За буквите – О писменехь", София, ISBN 978-619-185-174-4, 152 е-с.</v>
      </c>
      <c r="F4005" s="10" t="str">
        <f ca="1">IFERROR(__xludf.DUMMYFUNCTION("""COMPUTED_VALUE"""),"Google Science, Researchechgate.net, Academia.edu")</f>
        <v>Google Science, Researchechgate.net, Academia.edu</v>
      </c>
      <c r="G4005" s="10"/>
      <c r="H4005" s="10"/>
      <c r="I4005" s="10"/>
      <c r="J4005" s="10"/>
      <c r="K4005" s="10"/>
      <c r="L4005" s="10"/>
      <c r="M4005" s="10"/>
      <c r="N4005" s="10"/>
      <c r="O4005" s="10"/>
      <c r="P4005" s="10"/>
      <c r="Q4005" s="10"/>
      <c r="R4005" s="10"/>
      <c r="S4005" s="10"/>
      <c r="T4005" s="10"/>
      <c r="U4005" s="10"/>
      <c r="V4005" s="10"/>
      <c r="W4005" s="10"/>
      <c r="X4005" s="10"/>
      <c r="Y4005" s="10"/>
      <c r="Z4005" s="10"/>
    </row>
    <row r="4006" spans="1:26" ht="12.75">
      <c r="A4006" s="10" t="str">
        <f ca="1">IFERROR(__xludf.DUMMYFUNCTION("""COMPUTED_VALUE"""),"Йордан Стоянов Дойков")</f>
        <v>Йордан Стоянов Дойков</v>
      </c>
      <c r="B4006" s="10" t="str">
        <f ca="1">IFERROR(__xludf.DUMMYFUNCTION("""COMPUTED_VALUE"""),"Учебно пособие")</f>
        <v>Учебно пособие</v>
      </c>
      <c r="C4006" s="10" t="str">
        <f ca="1">IFERROR(__xludf.DUMMYFUNCTION("""COMPUTED_VALUE"""),"Стратегическо мислене и организационно поведение")</f>
        <v>Стратегическо мислене и организационно поведение</v>
      </c>
      <c r="D4006" s="10">
        <f ca="1">IFERROR(__xludf.DUMMYFUNCTION("""COMPUTED_VALUE"""),2015)</f>
        <v>2015</v>
      </c>
      <c r="E4006" s="10" t="str">
        <f ca="1">IFERROR(__xludf.DUMMYFUNCTION("""COMPUTED_VALUE"""),"изд. ""За буквите – О писменехь"", София, ISBN 978-619-185-173-7, 189 е-с.")</f>
        <v>изд. "За буквите – О писменехь", София, ISBN 978-619-185-173-7, 189 е-с.</v>
      </c>
      <c r="F4006" s="10" t="str">
        <f ca="1">IFERROR(__xludf.DUMMYFUNCTION("""COMPUTED_VALUE"""),"Google Science, Researchechgate.net, Academia.edu")</f>
        <v>Google Science, Researchechgate.net, Academia.edu</v>
      </c>
      <c r="G4006" s="10"/>
      <c r="H4006" s="10"/>
      <c r="I4006" s="10"/>
      <c r="J4006" s="10"/>
      <c r="K4006" s="10"/>
      <c r="L4006" s="10"/>
      <c r="M4006" s="10"/>
      <c r="N4006" s="10"/>
      <c r="O4006" s="10"/>
      <c r="P4006" s="10"/>
      <c r="Q4006" s="10"/>
      <c r="R4006" s="10"/>
      <c r="S4006" s="10"/>
      <c r="T4006" s="10"/>
      <c r="U4006" s="10"/>
      <c r="V4006" s="10"/>
      <c r="W4006" s="10"/>
      <c r="X4006" s="10"/>
      <c r="Y4006" s="10"/>
      <c r="Z4006" s="10"/>
    </row>
    <row r="4007" spans="1:26" ht="12.75">
      <c r="A4007" s="10" t="str">
        <f ca="1">IFERROR(__xludf.DUMMYFUNCTION("""COMPUTED_VALUE"""),"Йордан Стоянов Дойков")</f>
        <v>Йордан Стоянов Дойков</v>
      </c>
      <c r="B4007" s="10" t="str">
        <f ca="1">IFERROR(__xludf.DUMMYFUNCTION("""COMPUTED_VALUE"""),"Учебно пособие")</f>
        <v>Учебно пособие</v>
      </c>
      <c r="C4007" s="10" t="str">
        <f ca="1">IFERROR(__xludf.DUMMYFUNCTION("""COMPUTED_VALUE"""),"Информиране и модели и практики на управление")</f>
        <v>Информиране и модели и практики на управление</v>
      </c>
      <c r="D4007" s="10">
        <f ca="1">IFERROR(__xludf.DUMMYFUNCTION("""COMPUTED_VALUE"""),2015)</f>
        <v>2015</v>
      </c>
      <c r="E4007" s="10" t="str">
        <f ca="1">IFERROR(__xludf.DUMMYFUNCTION("""COMPUTED_VALUE"""),"изд. ""За буквите – О писменехь"", София, ISBN 978-619-185-175-1, 239 е-с.")</f>
        <v>изд. "За буквите – О писменехь", София, ISBN 978-619-185-175-1, 239 е-с.</v>
      </c>
      <c r="F4007" s="10" t="str">
        <f ca="1">IFERROR(__xludf.DUMMYFUNCTION("""COMPUTED_VALUE"""),"Google Science, Researchechgate.net, Academia.edu")</f>
        <v>Google Science, Researchechgate.net, Academia.edu</v>
      </c>
      <c r="G4007" s="10"/>
      <c r="H4007" s="10"/>
      <c r="I4007" s="10"/>
      <c r="J4007" s="10"/>
      <c r="K4007" s="10"/>
      <c r="L4007" s="10"/>
      <c r="M4007" s="10"/>
      <c r="N4007" s="10"/>
      <c r="O4007" s="10"/>
      <c r="P4007" s="10"/>
      <c r="Q4007" s="10"/>
      <c r="R4007" s="10"/>
      <c r="S4007" s="10"/>
      <c r="T4007" s="10"/>
      <c r="U4007" s="10"/>
      <c r="V4007" s="10"/>
      <c r="W4007" s="10"/>
      <c r="X4007" s="10"/>
      <c r="Y4007" s="10"/>
      <c r="Z4007" s="10"/>
    </row>
    <row r="4008" spans="1:26" ht="12.75">
      <c r="A4008" s="10" t="str">
        <f ca="1">IFERROR(__xludf.DUMMYFUNCTION("""COMPUTED_VALUE"""),"Йордан Стоянов Дойков")</f>
        <v>Йордан Стоянов Дойков</v>
      </c>
      <c r="B4008" s="10" t="str">
        <f ca="1">IFERROR(__xludf.DUMMYFUNCTION("""COMPUTED_VALUE"""),"Статия в списания и поредици")</f>
        <v>Статия в списания и поредици</v>
      </c>
      <c r="C4008" s="10" t="str">
        <f ca="1">IFERROR(__xludf.DUMMYFUNCTION("""COMPUTED_VALUE"""),"Понятията за война, военно дело и армия")</f>
        <v>Понятията за война, военно дело и армия</v>
      </c>
      <c r="D4008" s="10">
        <f ca="1">IFERROR(__xludf.DUMMYFUNCTION("""COMPUTED_VALUE"""),2013)</f>
        <v>2013</v>
      </c>
      <c r="E4008" s="10" t="str">
        <f ca="1">IFERROR(__xludf.DUMMYFUNCTION("""COMPUTED_VALUE"""),"сп. „Социология и икономика”, изд. на ВУ - КИА, Пловдив, ISSN 1314-3603, 2013, год. III, бр. 4, с. 94-105.")</f>
        <v>сп. „Социология и икономика”, изд. на ВУ - КИА, Пловдив, ISSN 1314-3603, 2013, год. III, бр. 4, с. 94-105.</v>
      </c>
      <c r="F4008" s="10" t="str">
        <f ca="1">IFERROR(__xludf.DUMMYFUNCTION("""COMPUTED_VALUE"""),"Google Science, Researchechgate.net, Academia.edu")</f>
        <v>Google Science, Researchechgate.net, Academia.edu</v>
      </c>
      <c r="G4008" s="10"/>
      <c r="H4008" s="10"/>
      <c r="I4008" s="10"/>
      <c r="J4008" s="10"/>
      <c r="K4008" s="10"/>
      <c r="L4008" s="10"/>
      <c r="M4008" s="10"/>
      <c r="N4008" s="10"/>
      <c r="O4008" s="10"/>
      <c r="P4008" s="10"/>
      <c r="Q4008" s="10"/>
      <c r="R4008" s="10"/>
      <c r="S4008" s="10"/>
      <c r="T4008" s="10"/>
      <c r="U4008" s="10"/>
      <c r="V4008" s="10"/>
      <c r="W4008" s="10"/>
      <c r="X4008" s="10"/>
      <c r="Y4008" s="10"/>
      <c r="Z4008" s="10"/>
    </row>
    <row r="4009" spans="1:26" ht="12.75">
      <c r="A4009" s="10" t="str">
        <f ca="1">IFERROR(__xludf.DUMMYFUNCTION("""COMPUTED_VALUE"""),"Йордан Стоянов Дойков")</f>
        <v>Йордан Стоянов Дойков</v>
      </c>
      <c r="B4009" s="10" t="str">
        <f ca="1">IFERROR(__xludf.DUMMYFUNCTION("""COMPUTED_VALUE"""),"Учебно пособие")</f>
        <v>Учебно пособие</v>
      </c>
      <c r="C4009" s="10" t="str">
        <f ca="1">IFERROR(__xludf.DUMMYFUNCTION("""COMPUTED_VALUE"""),"Към методологиите и методиките на политическия анализ")</f>
        <v>Към методологиите и методиките на политическия анализ</v>
      </c>
      <c r="D4009" s="10">
        <f ca="1">IFERROR(__xludf.DUMMYFUNCTION("""COMPUTED_VALUE"""),2012)</f>
        <v>2012</v>
      </c>
      <c r="E4009" s="10" t="str">
        <f ca="1">IFERROR(__xludf.DUMMYFUNCTION("""COMPUTED_VALUE"""),"фондация ""Европартньори 2007"", София, ISBN 978-954-91557-8-5, 391 е-с.")</f>
        <v>фондация "Европартньори 2007", София, ISBN 978-954-91557-8-5, 391 е-с.</v>
      </c>
      <c r="F4009" s="10" t="str">
        <f ca="1">IFERROR(__xludf.DUMMYFUNCTION("""COMPUTED_VALUE"""),"фондация ""Европартньори 2007"" - http://www.europarthers2007.org/
 Google Science, Researchechgate.net, Academia.edu")</f>
        <v>фондация "Европартньори 2007" - http://www.europarthers2007.org/
 Google Science, Researchechgate.net, Academia.edu</v>
      </c>
      <c r="G4009" s="10"/>
      <c r="H4009" s="10"/>
      <c r="I4009" s="10"/>
      <c r="J4009" s="10"/>
      <c r="K4009" s="10"/>
      <c r="L4009" s="10"/>
      <c r="M4009" s="10"/>
      <c r="N4009" s="10"/>
      <c r="O4009" s="10"/>
      <c r="P4009" s="10"/>
      <c r="Q4009" s="10"/>
      <c r="R4009" s="10"/>
      <c r="S4009" s="10"/>
      <c r="T4009" s="10"/>
      <c r="U4009" s="10"/>
      <c r="V4009" s="10"/>
      <c r="W4009" s="10"/>
      <c r="X4009" s="10"/>
      <c r="Y4009" s="10"/>
      <c r="Z4009" s="10"/>
    </row>
    <row r="4010" spans="1:26" ht="12.75">
      <c r="A4010" s="10" t="str">
        <f ca="1">IFERROR(__xludf.DUMMYFUNCTION("""COMPUTED_VALUE"""),"Йордан Стоянов Дойков")</f>
        <v>Йордан Стоянов Дойков</v>
      </c>
      <c r="B4010" s="10" t="str">
        <f ca="1">IFERROR(__xludf.DUMMYFUNCTION("""COMPUTED_VALUE"""),"Учебно пособие")</f>
        <v>Учебно пособие</v>
      </c>
      <c r="C4010" s="10" t="str">
        <f ca="1">IFERROR(__xludf.DUMMYFUNCTION("""COMPUTED_VALUE"""),"Полета на политологията")</f>
        <v>Полета на политологията</v>
      </c>
      <c r="D4010" s="10">
        <f ca="1">IFERROR(__xludf.DUMMYFUNCTION("""COMPUTED_VALUE"""),2012)</f>
        <v>2012</v>
      </c>
      <c r="E4010" s="10" t="str">
        <f ca="1">IFERROR(__xludf.DUMMYFUNCTION("""COMPUTED_VALUE"""),"фондация ""Европартньори 2007"", София, ISBN 978-954-91557-9-2, 492 е-с.")</f>
        <v>фондация "Европартньори 2007", София, ISBN 978-954-91557-9-2, 492 е-с.</v>
      </c>
      <c r="F4010" s="10" t="str">
        <f ca="1">IFERROR(__xludf.DUMMYFUNCTION("""COMPUTED_VALUE"""),"фондация ""Европартньори 2007"" - http://www.europarthers2007.org/
 Google Science, Researchechgate.net, Academia.edu")</f>
        <v>фондация "Европартньори 2007" - http://www.europarthers2007.org/
 Google Science, Researchechgate.net, Academia.edu</v>
      </c>
      <c r="G4010" s="10"/>
      <c r="H4010" s="10"/>
      <c r="I4010" s="10"/>
      <c r="J4010" s="10"/>
      <c r="K4010" s="10"/>
      <c r="L4010" s="10"/>
      <c r="M4010" s="10"/>
      <c r="N4010" s="10"/>
      <c r="O4010" s="10"/>
      <c r="P4010" s="10"/>
      <c r="Q4010" s="10"/>
      <c r="R4010" s="10"/>
      <c r="S4010" s="10"/>
      <c r="T4010" s="10"/>
      <c r="U4010" s="10"/>
      <c r="V4010" s="10"/>
      <c r="W4010" s="10"/>
      <c r="X4010" s="10"/>
      <c r="Y4010" s="10"/>
      <c r="Z4010" s="10"/>
    </row>
    <row r="4011" spans="1:26" ht="12.75">
      <c r="A4011" s="10" t="str">
        <f ca="1">IFERROR(__xludf.DUMMYFUNCTION("""COMPUTED_VALUE"""),"Йордан Стоянов Дойков")</f>
        <v>Йордан Стоянов Дойков</v>
      </c>
      <c r="B4011" s="10" t="str">
        <f ca="1">IFERROR(__xludf.DUMMYFUNCTION("""COMPUTED_VALUE"""),"Статия в списания и поредици")</f>
        <v>Статия в списания и поредици</v>
      </c>
      <c r="C4011" s="10" t="str">
        <f ca="1">IFERROR(__xludf.DUMMYFUNCTION("""COMPUTED_VALUE"""),"Геополитическа ситуация и политическите институции на българската държава при присъединяването й към Варшавския договор")</f>
        <v>Геополитическа ситуация и политическите институции на българската държава при присъединяването й към Варшавския договор</v>
      </c>
      <c r="D4011" s="10">
        <f ca="1">IFERROR(__xludf.DUMMYFUNCTION("""COMPUTED_VALUE"""),2011)</f>
        <v>2011</v>
      </c>
      <c r="E4011" s="10" t="str">
        <f ca="1">IFERROR(__xludf.DUMMYFUNCTION("""COMPUTED_VALUE"""),"сп. ""Международни отношения"", година XL, бр. 2-3, 2011, УИ ""Стопанство"", София, ISSN 0324-1092, с. 139-152.")</f>
        <v>сп. "Международни отношения", година XL, бр. 2-3, 2011, УИ "Стопанство", София, ISSN 0324-1092, с. 139-152.</v>
      </c>
      <c r="F4011" s="10" t="str">
        <f ca="1">IFERROR(__xludf.DUMMYFUNCTION("""COMPUTED_VALUE"""),"Google Science, Researchechgate.net, Academia.edu")</f>
        <v>Google Science, Researchechgate.net, Academia.edu</v>
      </c>
      <c r="G4011" s="10"/>
      <c r="H4011" s="10"/>
      <c r="I4011" s="10"/>
      <c r="J4011" s="10"/>
      <c r="K4011" s="10"/>
      <c r="L4011" s="10"/>
      <c r="M4011" s="10"/>
      <c r="N4011" s="10"/>
      <c r="O4011" s="10"/>
      <c r="P4011" s="10"/>
      <c r="Q4011" s="10"/>
      <c r="R4011" s="10"/>
      <c r="S4011" s="10"/>
      <c r="T4011" s="10"/>
      <c r="U4011" s="10"/>
      <c r="V4011" s="10"/>
      <c r="W4011" s="10"/>
      <c r="X4011" s="10"/>
      <c r="Y4011" s="10"/>
      <c r="Z4011" s="10"/>
    </row>
    <row r="4012" spans="1:26" ht="12.75">
      <c r="A4012" s="10" t="str">
        <f ca="1">IFERROR(__xludf.DUMMYFUNCTION("""COMPUTED_VALUE"""),"Йордан Стоянов Дойков")</f>
        <v>Йордан Стоянов Дойков</v>
      </c>
      <c r="B4012" s="10" t="str">
        <f ca="1">IFERROR(__xludf.DUMMYFUNCTION("""COMPUTED_VALUE"""),"Статия в списания и поредици")</f>
        <v>Статия в списания и поредици</v>
      </c>
      <c r="C4012" s="10" t="str">
        <f ca="1">IFERROR(__xludf.DUMMYFUNCTION("""COMPUTED_VALUE"""),"Институционални решения по сигурността (Съветът по национална сигурност: необходимост и политики)")</f>
        <v>Институционални решения по сигурността (Съветът по национална сигурност: необходимост и политики)</v>
      </c>
      <c r="D4012" s="10">
        <f ca="1">IFERROR(__xludf.DUMMYFUNCTION("""COMPUTED_VALUE"""),2011)</f>
        <v>2011</v>
      </c>
      <c r="E4012" s="10" t="str">
        <f ca="1">IFERROR(__xludf.DUMMYFUNCTION("""COMPUTED_VALUE"""),"сп. „Социология и икономика”, изд. на ВУ КИА, Пловдив, ISSN 1314-3603, 2011, год. I, бр. 4, с. 54-67.")</f>
        <v>сп. „Социология и икономика”, изд. на ВУ КИА, Пловдив, ISSN 1314-3603, 2011, год. I, бр. 4, с. 54-67.</v>
      </c>
      <c r="F4012" s="10" t="str">
        <f ca="1">IFERROR(__xludf.DUMMYFUNCTION("""COMPUTED_VALUE"""),"Google Science, Researchechgate.net, Academia.edu")</f>
        <v>Google Science, Researchechgate.net, Academia.edu</v>
      </c>
      <c r="G4012" s="10"/>
      <c r="H4012" s="10"/>
      <c r="I4012" s="10"/>
      <c r="J4012" s="10"/>
      <c r="K4012" s="10"/>
      <c r="L4012" s="10"/>
      <c r="M4012" s="10"/>
      <c r="N4012" s="10"/>
      <c r="O4012" s="10"/>
      <c r="P4012" s="10"/>
      <c r="Q4012" s="10"/>
      <c r="R4012" s="10"/>
      <c r="S4012" s="10"/>
      <c r="T4012" s="10"/>
      <c r="U4012" s="10"/>
      <c r="V4012" s="10"/>
      <c r="W4012" s="10"/>
      <c r="X4012" s="10"/>
      <c r="Y4012" s="10"/>
      <c r="Z4012" s="10"/>
    </row>
    <row r="4013" spans="1:26" ht="12.75">
      <c r="A4013" s="10" t="str">
        <f ca="1">IFERROR(__xludf.DUMMYFUNCTION("""COMPUTED_VALUE"""),"Йордан Стоянов Дойков")</f>
        <v>Йордан Стоянов Дойков</v>
      </c>
      <c r="B4013" s="10" t="str">
        <f ca="1">IFERROR(__xludf.DUMMYFUNCTION("""COMPUTED_VALUE"""),"Статия в списания и поредици")</f>
        <v>Статия в списания и поредици</v>
      </c>
      <c r="C4013" s="10" t="str">
        <f ca="1">IFERROR(__xludf.DUMMYFUNCTION("""COMPUTED_VALUE"""),"Геополитическа ситуация и политическите институции на българската държава при присъединяването й към НАТО")</f>
        <v>Геополитическа ситуация и политическите институции на българската държава при присъединяването й към НАТО</v>
      </c>
      <c r="D4013" s="10">
        <f ca="1">IFERROR(__xludf.DUMMYFUNCTION("""COMPUTED_VALUE"""),2011)</f>
        <v>2011</v>
      </c>
      <c r="E4013" s="10" t="str">
        <f ca="1">IFERROR(__xludf.DUMMYFUNCTION("""COMPUTED_VALUE"""),"сп. ""Международни отношения"", година XL, бр. 5-6, 2011, УИ ""Стопанство"", София, ISSN 0324-1092, с. 157-168.")</f>
        <v>сп. "Международни отношения", година XL, бр. 5-6, 2011, УИ "Стопанство", София, ISSN 0324-1092, с. 157-168.</v>
      </c>
      <c r="F4013" s="10" t="str">
        <f ca="1">IFERROR(__xludf.DUMMYFUNCTION("""COMPUTED_VALUE"""),"Google Science, Researchechgate.net, Academia.edu")</f>
        <v>Google Science, Researchechgate.net, Academia.edu</v>
      </c>
      <c r="G4013" s="10"/>
      <c r="H4013" s="10"/>
      <c r="I4013" s="10"/>
      <c r="J4013" s="10"/>
      <c r="K4013" s="10"/>
      <c r="L4013" s="10"/>
      <c r="M4013" s="10"/>
      <c r="N4013" s="10"/>
      <c r="O4013" s="10"/>
      <c r="P4013" s="10"/>
      <c r="Q4013" s="10"/>
      <c r="R4013" s="10"/>
      <c r="S4013" s="10"/>
      <c r="T4013" s="10"/>
      <c r="U4013" s="10"/>
      <c r="V4013" s="10"/>
      <c r="W4013" s="10"/>
      <c r="X4013" s="10"/>
      <c r="Y4013" s="10"/>
      <c r="Z4013" s="10"/>
    </row>
    <row r="4014" spans="1:26" ht="12.75">
      <c r="A4014" s="10" t="str">
        <f ca="1">IFERROR(__xludf.DUMMYFUNCTION("""COMPUTED_VALUE"""),"Йордан Стоянов Дойков")</f>
        <v>Йордан Стоянов Дойков</v>
      </c>
      <c r="B4014" s="10" t="str">
        <f ca="1">IFERROR(__xludf.DUMMYFUNCTION("""COMPUTED_VALUE"""),"Доклад от конференция")</f>
        <v>Доклад от конференция</v>
      </c>
      <c r="C4014" s="10" t="str">
        <f ca="1">IFERROR(__xludf.DUMMYFUNCTION("""COMPUTED_VALUE"""),"Към анализа на институциите")</f>
        <v>Към анализа на институциите</v>
      </c>
      <c r="D4014" s="10">
        <f ca="1">IFERROR(__xludf.DUMMYFUNCTION("""COMPUTED_VALUE"""),2010)</f>
        <v>2010</v>
      </c>
      <c r="E4014" s="10" t="str">
        <f ca="1">IFERROR(__xludf.DUMMYFUNCTION("""COMPUTED_VALUE"""),"Сборник на Юбилейна международна научна конференция по повод 20 години от създаването на катедра „Политология“ в УНСС: „Политологията като наука и академична дисциплина в България: състояние, проблеми, перспективи”, УИ „Стопанство”, София, 5-6 ноември 201"&amp;"0, ISBN 978-954-644-214-7, с. 133-144.")</f>
        <v>Сборник на Юбилейна международна научна конференция по повод 20 години от създаването на катедра „Политология“ в УНСС: „Политологията като наука и академична дисциплина в България: състояние, проблеми, перспективи”, УИ „Стопанство”, София, 5-6 ноември 2010, ISBN 978-954-644-214-7, с. 133-144.</v>
      </c>
      <c r="F4014" s="10" t="str">
        <f ca="1">IFERROR(__xludf.DUMMYFUNCTION("""COMPUTED_VALUE"""),"Google Science, Researchechgate.net, Academia.edu")</f>
        <v>Google Science, Researchechgate.net, Academia.edu</v>
      </c>
      <c r="G4014" s="10"/>
      <c r="H4014" s="10"/>
      <c r="I4014" s="10"/>
      <c r="J4014" s="10"/>
      <c r="K4014" s="10"/>
      <c r="L4014" s="10"/>
      <c r="M4014" s="10"/>
      <c r="N4014" s="10"/>
      <c r="O4014" s="10"/>
      <c r="P4014" s="10"/>
      <c r="Q4014" s="10"/>
      <c r="R4014" s="10"/>
      <c r="S4014" s="10"/>
      <c r="T4014" s="10"/>
      <c r="U4014" s="10"/>
      <c r="V4014" s="10"/>
      <c r="W4014" s="10"/>
      <c r="X4014" s="10"/>
      <c r="Y4014" s="10"/>
      <c r="Z4014" s="10"/>
    </row>
    <row r="4015" spans="1:26" ht="12.75">
      <c r="A4015" s="10" t="str">
        <f ca="1">IFERROR(__xludf.DUMMYFUNCTION("""COMPUTED_VALUE"""),"Йордан Стоянов Дойков")</f>
        <v>Йордан Стоянов Дойков</v>
      </c>
      <c r="B4015" s="10" t="str">
        <f ca="1">IFERROR(__xludf.DUMMYFUNCTION("""COMPUTED_VALUE"""),"Книга")</f>
        <v>Книга</v>
      </c>
      <c r="C4015" s="10" t="str">
        <f ca="1">IFERROR(__xludf.DUMMYFUNCTION("""COMPUTED_VALUE"""),"България във Варшавския договор и в НАТО. (Институционална специфика на политическото решение за участие на българската държава във военнополитически групировки през втората половина на XX-ти и началото на XXI-ви век)")</f>
        <v>България във Варшавския договор и в НАТО. (Институционална специфика на политическото решение за участие на българската държава във военнополитически групировки през втората половина на XX-ти и началото на XXI-ви век)</v>
      </c>
      <c r="D4015" s="10">
        <f ca="1">IFERROR(__xludf.DUMMYFUNCTION("""COMPUTED_VALUE"""),2010)</f>
        <v>2010</v>
      </c>
      <c r="E4015" s="10" t="str">
        <f ca="1">IFERROR(__xludf.DUMMYFUNCTION("""COMPUTED_VALUE"""),"Изд. „Парадигма”, София, ISBN 978-954-326-119-2, 388 с.")</f>
        <v>Изд. „Парадигма”, София, ISBN 978-954-326-119-2, 388 с.</v>
      </c>
      <c r="F4015" s="10" t="str">
        <f ca="1">IFERROR(__xludf.DUMMYFUNCTION("""COMPUTED_VALUE"""),"Google Science, Researchechgate.net, Academia.edu;
 Библиотека на Конгреса на САЩ, Вашингтон, САЩ, Университетска библиотека, Сиатъл, САЩ, Руска държавна библиотека, Москва, Русия, Народна библиотека, Прага, Чехия, Народна библиотека, Варшава, Полша")</f>
        <v>Google Science, Researchechgate.net, Academia.edu;
 Библиотека на Конгреса на САЩ, Вашингтон, САЩ, Университетска библиотека, Сиатъл, САЩ, Руска държавна библиотека, Москва, Русия, Народна библиотека, Прага, Чехия, Народна библиотека, Варшава, Полша</v>
      </c>
      <c r="G4015" s="10"/>
      <c r="H4015" s="10"/>
      <c r="I4015" s="10"/>
      <c r="J4015" s="10"/>
      <c r="K4015" s="10"/>
      <c r="L4015" s="10"/>
      <c r="M4015" s="10"/>
      <c r="N4015" s="10"/>
      <c r="O4015" s="10"/>
      <c r="P4015" s="10"/>
      <c r="Q4015" s="10"/>
      <c r="R4015" s="10"/>
      <c r="S4015" s="10"/>
      <c r="T4015" s="10"/>
      <c r="U4015" s="10"/>
      <c r="V4015" s="10"/>
      <c r="W4015" s="10"/>
      <c r="X4015" s="10"/>
      <c r="Y4015" s="10"/>
      <c r="Z4015" s="10"/>
    </row>
    <row r="4016" spans="1:26" ht="12.75">
      <c r="A4016" s="10" t="str">
        <f ca="1">IFERROR(__xludf.DUMMYFUNCTION("""COMPUTED_VALUE"""),"Йордан Стоянов Дойков")</f>
        <v>Йордан Стоянов Дойков</v>
      </c>
      <c r="B4016" s="10" t="str">
        <f ca="1">IFERROR(__xludf.DUMMYFUNCTION("""COMPUTED_VALUE"""),"Доклад от конференция")</f>
        <v>Доклад от конференция</v>
      </c>
      <c r="C4016" s="10" t="str">
        <f ca="1">IFERROR(__xludf.DUMMYFUNCTION("""COMPUTED_VALUE"""),"Механизъм на вземане на решение по националната сигурност (1947-1971 г.) и членството на България в Организацията на Варшавския договор")</f>
        <v>Механизъм на вземане на решение по националната сигурност (1947-1971 г.) и членството на България в Организацията на Варшавския договор</v>
      </c>
      <c r="D4016" s="10">
        <f ca="1">IFERROR(__xludf.DUMMYFUNCTION("""COMPUTED_VALUE"""),2009)</f>
        <v>2009</v>
      </c>
      <c r="E4016" s="10" t="str">
        <f ca="1">IFERROR(__xludf.DUMMYFUNCTION("""COMPUTED_VALUE"""),"Сборник на международна научна конференция „100 години независима България: стълбовете на държавността” на Центъра за военна история и поуки от практиката, факултет „Национална сигурност и отбрана” на ВА „Г.С. Раковски”, 14-15 октомври 2008, София, Военно"&amp;" издателство, ISBN 978-954-509-425-5, с. 76-86.")</f>
        <v>Сборник на международна научна конференция „100 години независима България: стълбовете на държавността” на Центъра за военна история и поуки от практиката, факултет „Национална сигурност и отбрана” на ВА „Г.С. Раковски”, 14-15 октомври 2008, София, Военно издателство, ISBN 978-954-509-425-5, с. 76-86.</v>
      </c>
      <c r="F4016" s="10" t="str">
        <f ca="1">IFERROR(__xludf.DUMMYFUNCTION("""COMPUTED_VALUE"""),"Google Science, Researchechgate.net, Academia.edu")</f>
        <v>Google Science, Researchechgate.net, Academia.edu</v>
      </c>
      <c r="G4016" s="10"/>
      <c r="H4016" s="10"/>
      <c r="I4016" s="10"/>
      <c r="J4016" s="10"/>
      <c r="K4016" s="10"/>
      <c r="L4016" s="10"/>
      <c r="M4016" s="10"/>
      <c r="N4016" s="10"/>
      <c r="O4016" s="10"/>
      <c r="P4016" s="10"/>
      <c r="Q4016" s="10"/>
      <c r="R4016" s="10"/>
      <c r="S4016" s="10"/>
      <c r="T4016" s="10"/>
      <c r="U4016" s="10"/>
      <c r="V4016" s="10"/>
      <c r="W4016" s="10"/>
      <c r="X4016" s="10"/>
      <c r="Y4016" s="10"/>
      <c r="Z4016" s="10"/>
    </row>
    <row r="4017" spans="1:26" ht="12.75">
      <c r="A4017" s="10" t="str">
        <f ca="1">IFERROR(__xludf.DUMMYFUNCTION("""COMPUTED_VALUE"""),"Йордан Стоянов Дойков")</f>
        <v>Йордан Стоянов Дойков</v>
      </c>
      <c r="B4017" s="10" t="str">
        <f ca="1">IFERROR(__xludf.DUMMYFUNCTION("""COMPUTED_VALUE"""),"Доклад от конференция")</f>
        <v>Доклад от конференция</v>
      </c>
      <c r="C4017" s="10" t="str">
        <f ca="1">IFERROR(__xludf.DUMMYFUNCTION("""COMPUTED_VALUE"""),"Развитие на военното дело и борбата с тероризма")</f>
        <v>Развитие на военното дело и борбата с тероризма</v>
      </c>
      <c r="D4017" s="10">
        <f ca="1">IFERROR(__xludf.DUMMYFUNCTION("""COMPUTED_VALUE"""),2007)</f>
        <v>2007</v>
      </c>
      <c r="E4017" s="10" t="str">
        <f ca="1">IFERROR(__xludf.DUMMYFUNCTION("""COMPUTED_VALUE"""),"Интердисциплинарна конференция „Тероризъм, медии, сигурност”, Департамент „Масови комуникации”, ЦЕМ, НБУ, 19 ноември 2007, София, ISBN 978-954-535-494-6, 122-128 с.")</f>
        <v>Интердисциплинарна конференция „Тероризъм, медии, сигурност”, Департамент „Масови комуникации”, ЦЕМ, НБУ, 19 ноември 2007, София, ISBN 978-954-535-494-6, 122-128 с.</v>
      </c>
      <c r="F4017" s="10" t="str">
        <f ca="1">IFERROR(__xludf.DUMMYFUNCTION("""COMPUTED_VALUE"""),"НБУ - www.nbu.bg/PUBLIC/IMAGES/File/departments/mass%20communications/
 research/terror_dokladi.pdf
 Google Science, Researchechgate.net, Academia.edu")</f>
        <v>НБУ - www.nbu.bg/PUBLIC/IMAGES/File/departments/mass%20communications/
 research/terror_dokladi.pdf
 Google Science, Researchechgate.net, Academia.edu</v>
      </c>
      <c r="G4017" s="10"/>
      <c r="H4017" s="10"/>
      <c r="I4017" s="10"/>
      <c r="J4017" s="10"/>
      <c r="K4017" s="10"/>
      <c r="L4017" s="10"/>
      <c r="M4017" s="10"/>
      <c r="N4017" s="10"/>
      <c r="O4017" s="10"/>
      <c r="P4017" s="10"/>
      <c r="Q4017" s="10"/>
      <c r="R4017" s="10"/>
      <c r="S4017" s="10"/>
      <c r="T4017" s="10"/>
      <c r="U4017" s="10"/>
      <c r="V4017" s="10"/>
      <c r="W4017" s="10"/>
      <c r="X4017" s="10"/>
      <c r="Y4017" s="10"/>
      <c r="Z4017" s="10"/>
    </row>
    <row r="4018" spans="1:26" ht="12.75">
      <c r="A4018" s="10" t="str">
        <f ca="1">IFERROR(__xludf.DUMMYFUNCTION("""COMPUTED_VALUE"""),"Йордан Стоянов Дойков")</f>
        <v>Йордан Стоянов Дойков</v>
      </c>
      <c r="B4018" s="10" t="str">
        <f ca="1">IFERROR(__xludf.DUMMYFUNCTION("""COMPUTED_VALUE"""),"Книга")</f>
        <v>Книга</v>
      </c>
      <c r="C4018" s="10" t="str">
        <f ca="1">IFERROR(__xludf.DUMMYFUNCTION("""COMPUTED_VALUE"""),"Политическото решение. Механизъм на вземане на решение по националната сигурност")</f>
        <v>Политическото решение. Механизъм на вземане на решение по националната сигурност</v>
      </c>
      <c r="D4018" s="10">
        <f ca="1">IFERROR(__xludf.DUMMYFUNCTION("""COMPUTED_VALUE"""),2007)</f>
        <v>2007</v>
      </c>
      <c r="E4018" s="10" t="str">
        <f ca="1">IFERROR(__xludf.DUMMYFUNCTION("""COMPUTED_VALUE"""),"ИК „КОТА”, София, ISBN 978-954-305-227-1, 176 с.")</f>
        <v>ИК „КОТА”, София, ISBN 978-954-305-227-1, 176 с.</v>
      </c>
      <c r="F4018" s="10" t="str">
        <f ca="1">IFERROR(__xludf.DUMMYFUNCTION("""COMPUTED_VALUE"""),"Google Science, Researchechgate.net, Academia.edu;
 Библиотека на Конгреса на САЩ, Вашингтон, САЩ")</f>
        <v>Google Science, Researchechgate.net, Academia.edu;
 Библиотека на Конгреса на САЩ, Вашингтон, САЩ</v>
      </c>
      <c r="G4018" s="10"/>
      <c r="H4018" s="10"/>
      <c r="I4018" s="10"/>
      <c r="J4018" s="10"/>
      <c r="K4018" s="10"/>
      <c r="L4018" s="10"/>
      <c r="M4018" s="10"/>
      <c r="N4018" s="10"/>
      <c r="O4018" s="10"/>
      <c r="P4018" s="10"/>
      <c r="Q4018" s="10"/>
      <c r="R4018" s="10"/>
      <c r="S4018" s="10"/>
      <c r="T4018" s="10"/>
      <c r="U4018" s="10"/>
      <c r="V4018" s="10"/>
      <c r="W4018" s="10"/>
      <c r="X4018" s="10"/>
      <c r="Y4018" s="10"/>
      <c r="Z4018" s="10"/>
    </row>
    <row r="4019" spans="1:26" ht="12.75">
      <c r="A4019" s="10" t="str">
        <f ca="1">IFERROR(__xludf.DUMMYFUNCTION("""COMPUTED_VALUE"""),"Йордан Стоянов Дойков")</f>
        <v>Йордан Стоянов Дойков</v>
      </c>
      <c r="B4019" s="10" t="str">
        <f ca="1">IFERROR(__xludf.DUMMYFUNCTION("""COMPUTED_VALUE"""),"Статия в списания и поредици")</f>
        <v>Статия в списания и поредици</v>
      </c>
      <c r="C4019" s="10" t="str">
        <f ca="1">IFERROR(__xludf.DUMMYFUNCTION("""COMPUTED_VALUE"""),"Общоевропейската отбранителна политика")</f>
        <v>Общоевропейската отбранителна политика</v>
      </c>
      <c r="D4019" s="10">
        <f ca="1">IFERROR(__xludf.DUMMYFUNCTION("""COMPUTED_VALUE"""),2005)</f>
        <v>2005</v>
      </c>
      <c r="E4019" s="10" t="str">
        <f ca="1">IFERROR(__xludf.DUMMYFUNCTION("""COMPUTED_VALUE"""),"сп. “Един завет”, бр. 3 (52), год. XIV, ISSN 0861-8151, с. 41-43.")</f>
        <v>сп. “Един завет”, бр. 3 (52), год. XIV, ISSN 0861-8151, с. 41-43.</v>
      </c>
      <c r="F4019" s="10" t="str">
        <f ca="1">IFERROR(__xludf.DUMMYFUNCTION("""COMPUTED_VALUE"""),"Google Science, Researchechgate.net, Academia.edu")</f>
        <v>Google Science, Researchechgate.net, Academia.edu</v>
      </c>
      <c r="G4019" s="10"/>
      <c r="H4019" s="10"/>
      <c r="I4019" s="10"/>
      <c r="J4019" s="10"/>
      <c r="K4019" s="10"/>
      <c r="L4019" s="10"/>
      <c r="M4019" s="10"/>
      <c r="N4019" s="10"/>
      <c r="O4019" s="10"/>
      <c r="P4019" s="10"/>
      <c r="Q4019" s="10"/>
      <c r="R4019" s="10"/>
      <c r="S4019" s="10"/>
      <c r="T4019" s="10"/>
      <c r="U4019" s="10"/>
      <c r="V4019" s="10"/>
      <c r="W4019" s="10"/>
      <c r="X4019" s="10"/>
      <c r="Y4019" s="10"/>
      <c r="Z4019" s="10"/>
    </row>
    <row r="4020" spans="1:26" ht="12.75">
      <c r="A4020" s="10" t="str">
        <f ca="1">IFERROR(__xludf.DUMMYFUNCTION("""COMPUTED_VALUE"""),"Йордан Стоянов Дойков")</f>
        <v>Йордан Стоянов Дойков</v>
      </c>
      <c r="B4020" s="10" t="str">
        <f ca="1">IFERROR(__xludf.DUMMYFUNCTION("""COMPUTED_VALUE"""),"Статия в списания и поредици")</f>
        <v>Статия в списания и поредици</v>
      </c>
      <c r="C4020" s="10" t="str">
        <f ca="1">IFERROR(__xludf.DUMMYFUNCTION("""COMPUTED_VALUE"""),"Войната срещу тероризма в българския преса, в: Публичност и тероризъм: комуникационни и поведенчески модели")</f>
        <v>Войната срещу тероризма в българския преса, в: Публичност и тероризъм: комуникационни и поведенчески модели</v>
      </c>
      <c r="D4020" s="10">
        <f ca="1">IFERROR(__xludf.DUMMYFUNCTION("""COMPUTED_VALUE"""),2005)</f>
        <v>2005</v>
      </c>
      <c r="E4020" s="10" t="str">
        <f ca="1">IFERROR(__xludf.DUMMYFUNCTION("""COMPUTED_VALUE"""),"Сборник статии, изд. „За буквите – О писменехъ”, ISBN 954-8887-07-Х и УИ „Св. Климент Охридски”, ISBN 954-07-2170-9, София, с. 105-116")</f>
        <v>Сборник статии, изд. „За буквите – О писменехъ”, ISBN 954-8887-07-Х и УИ „Св. Климент Охридски”, ISBN 954-07-2170-9, София, с. 105-116</v>
      </c>
      <c r="F4020" s="10" t="str">
        <f ca="1">IFERROR(__xludf.DUMMYFUNCTION("""COMPUTED_VALUE"""),"Google Science, Researchechgate.net, Academia.edu")</f>
        <v>Google Science, Researchechgate.net, Academia.edu</v>
      </c>
      <c r="G4020" s="10"/>
      <c r="H4020" s="10"/>
      <c r="I4020" s="10"/>
      <c r="J4020" s="10"/>
      <c r="K4020" s="10"/>
      <c r="L4020" s="10"/>
      <c r="M4020" s="10"/>
      <c r="N4020" s="10"/>
      <c r="O4020" s="10"/>
      <c r="P4020" s="10"/>
      <c r="Q4020" s="10"/>
      <c r="R4020" s="10"/>
      <c r="S4020" s="10"/>
      <c r="T4020" s="10"/>
      <c r="U4020" s="10"/>
      <c r="V4020" s="10"/>
      <c r="W4020" s="10"/>
      <c r="X4020" s="10"/>
      <c r="Y4020" s="10"/>
      <c r="Z4020" s="10"/>
    </row>
    <row r="4021" spans="1:26" ht="12.75">
      <c r="A4021" s="10" t="str">
        <f ca="1">IFERROR(__xludf.DUMMYFUNCTION("""COMPUTED_VALUE"""),"Йордан Стоянов Дойков")</f>
        <v>Йордан Стоянов Дойков</v>
      </c>
      <c r="B4021" s="10" t="str">
        <f ca="1">IFERROR(__xludf.DUMMYFUNCTION("""COMPUTED_VALUE"""),"Статия в списания и поредици")</f>
        <v>Статия в списания и поредици</v>
      </c>
      <c r="C4021" s="10" t="str">
        <f ca="1">IFERROR(__xludf.DUMMYFUNCTION("""COMPUTED_VALUE"""),"The Bulgarian Army – from the Warsaw Pact to NATO (Some problems of the military reform)")</f>
        <v>The Bulgarian Army – from the Warsaw Pact to NATO (Some problems of the military reform)</v>
      </c>
      <c r="D4021" s="10">
        <f ca="1">IFERROR(__xludf.DUMMYFUNCTION("""COMPUTED_VALUE"""),2004)</f>
        <v>2004</v>
      </c>
      <c r="E4021" s="10" t="str">
        <f ca="1">IFERROR(__xludf.DUMMYFUNCTION("""COMPUTED_VALUE"""),"revista electronica Papeles del Este: Transiciones poscomunistas, ISSN 1576-6500, №8/2004, Universidad Complutense Madrid, (www.ucm.es/bucm/cee/papeles), 25 pp.")</f>
        <v>revista electronica Papeles del Este: Transiciones poscomunistas, ISSN 1576-6500, №8/2004, Universidad Complutense Madrid, (www.ucm.es/bucm/cee/papeles), 25 pp.</v>
      </c>
      <c r="F4021" s="10" t="str">
        <f ca="1">IFERROR(__xludf.DUMMYFUNCTION("""COMPUTED_VALUE"""),"revista electronica Papeles del Este, Universidad Complutense Madrid, (www.ucm.es/bucm/cee/papeles)
 Google Science, Researchechgate.net, Academia.edu")</f>
        <v>revista electronica Papeles del Este, Universidad Complutense Madrid, (www.ucm.es/bucm/cee/papeles)
 Google Science, Researchechgate.net, Academia.edu</v>
      </c>
      <c r="G4021" s="10"/>
      <c r="H4021" s="10"/>
      <c r="I4021" s="10"/>
      <c r="J4021" s="10"/>
      <c r="K4021" s="10"/>
      <c r="L4021" s="10"/>
      <c r="M4021" s="10"/>
      <c r="N4021" s="10"/>
      <c r="O4021" s="10"/>
      <c r="P4021" s="10"/>
      <c r="Q4021" s="10"/>
      <c r="R4021" s="10"/>
      <c r="S4021" s="10"/>
      <c r="T4021" s="10"/>
      <c r="U4021" s="10"/>
      <c r="V4021" s="10"/>
      <c r="W4021" s="10"/>
      <c r="X4021" s="10"/>
      <c r="Y4021" s="10"/>
      <c r="Z4021" s="10"/>
    </row>
    <row r="4022" spans="1:26" ht="12.75">
      <c r="A4022" s="10" t="str">
        <f ca="1">IFERROR(__xludf.DUMMYFUNCTION("""COMPUTED_VALUE"""),"Йордан Стоянов Дойков")</f>
        <v>Йордан Стоянов Дойков</v>
      </c>
      <c r="B4022" s="10" t="str">
        <f ca="1">IFERROR(__xludf.DUMMYFUNCTION("""COMPUTED_VALUE"""),"Статия в списания и поредици")</f>
        <v>Статия в списания и поредици</v>
      </c>
      <c r="C4022" s="10" t="str">
        <f ca="1">IFERROR(__xludf.DUMMYFUNCTION("""COMPUTED_VALUE"""),"Професионалната реализация на командния състав на Българската армия в условията на социална трансформация")</f>
        <v>Професионалната реализация на командния състав на Българската армия в условията на социална трансформация</v>
      </c>
      <c r="D4022" s="10">
        <f ca="1">IFERROR(__xludf.DUMMYFUNCTION("""COMPUTED_VALUE"""),2004)</f>
        <v>2004</v>
      </c>
      <c r="E4022" s="10" t="str">
        <f ca="1">IFERROR(__xludf.DUMMYFUNCTION("""COMPUTED_VALUE"""),"в. “Българска армия”, № 15844 (03.05.2004 г.), ISSN 08614407, с. 10; www. eamci.bg/scripts/isapivwb.dll")</f>
        <v>в. “Българска армия”, № 15844 (03.05.2004 г.), ISSN 08614407, с. 10; www. eamci.bg/scripts/isapivwb.dll</v>
      </c>
      <c r="F4022" s="10" t="str">
        <f ca="1">IFERROR(__xludf.DUMMYFUNCTION("""COMPUTED_VALUE"""),"в. “Българска армия” - www. eamci.bg/scripts/isapivwb.dll
 Google Science, Researchechgate.net, Academia.edu")</f>
        <v>в. “Българска армия” - www. eamci.bg/scripts/isapivwb.dll
 Google Science, Researchechgate.net, Academia.edu</v>
      </c>
      <c r="G4022" s="10" t="str">
        <f ca="1">IFERROR(__xludf.DUMMYFUNCTION("""COMPUTED_VALUE"""),"Георги Гроздев, Теодора Грозданова")</f>
        <v>Георги Гроздев, Теодора Грозданова</v>
      </c>
      <c r="H4022" s="10"/>
      <c r="I4022" s="10"/>
      <c r="J4022" s="10"/>
      <c r="K4022" s="10"/>
      <c r="L4022" s="10"/>
      <c r="M4022" s="10"/>
      <c r="N4022" s="10"/>
      <c r="O4022" s="10"/>
      <c r="P4022" s="10"/>
      <c r="Q4022" s="10"/>
      <c r="R4022" s="10"/>
      <c r="S4022" s="10"/>
      <c r="T4022" s="10"/>
      <c r="U4022" s="10"/>
      <c r="V4022" s="10"/>
      <c r="W4022" s="10"/>
      <c r="X4022" s="10"/>
      <c r="Y4022" s="10"/>
      <c r="Z4022" s="10"/>
    </row>
    <row r="4023" spans="1:26" ht="12.75">
      <c r="A4023" s="10" t="str">
        <f ca="1">IFERROR(__xludf.DUMMYFUNCTION("""COMPUTED_VALUE"""),"Йордан Стоянов Дойков")</f>
        <v>Йордан Стоянов Дойков</v>
      </c>
      <c r="B4023" s="10" t="str">
        <f ca="1">IFERROR(__xludf.DUMMYFUNCTION("""COMPUTED_VALUE"""),"Статия в списания и поредици")</f>
        <v>Статия в списания и поредици</v>
      </c>
      <c r="C4023" s="10" t="str">
        <f ca="1">IFERROR(__xludf.DUMMYFUNCTION("""COMPUTED_VALUE"""),"Военен телевизионен канал – някои проблеми на зрителския интерес")</f>
        <v>Военен телевизионен канал – някои проблеми на зрителския интерес</v>
      </c>
      <c r="D4023" s="10">
        <f ca="1">IFERROR(__xludf.DUMMYFUNCTION("""COMPUTED_VALUE"""),2004)</f>
        <v>2004</v>
      </c>
      <c r="E4023" s="10" t="str">
        <f ca="1">IFERROR(__xludf.DUMMYFUNCTION("""COMPUTED_VALUE"""),"в. “Българска армия”, № 15914 (10.08.2004 г.), ISSN 08614407, с. 10 – 11; www. eamci.bg/scripts/isapivwb.dll")</f>
        <v>в. “Българска армия”, № 15914 (10.08.2004 г.), ISSN 08614407, с. 10 – 11; www. eamci.bg/scripts/isapivwb.dll</v>
      </c>
      <c r="F4023" s="10" t="str">
        <f ca="1">IFERROR(__xludf.DUMMYFUNCTION("""COMPUTED_VALUE"""),"в. “Българска армия” - www. eamci.bg/scripts/isapivwb.dll 
 Google Science, Researchechgate.net, Academia.edu")</f>
        <v>в. “Българска армия” - www. eamci.bg/scripts/isapivwb.dll 
 Google Science, Researchechgate.net, Academia.edu</v>
      </c>
      <c r="G4023" s="10"/>
      <c r="H4023" s="10"/>
      <c r="I4023" s="10"/>
      <c r="J4023" s="10"/>
      <c r="K4023" s="10"/>
      <c r="L4023" s="10"/>
      <c r="M4023" s="10"/>
      <c r="N4023" s="10"/>
      <c r="O4023" s="10"/>
      <c r="P4023" s="10"/>
      <c r="Q4023" s="10"/>
      <c r="R4023" s="10"/>
      <c r="S4023" s="10"/>
      <c r="T4023" s="10"/>
      <c r="U4023" s="10"/>
      <c r="V4023" s="10"/>
      <c r="W4023" s="10"/>
      <c r="X4023" s="10"/>
      <c r="Y4023" s="10"/>
      <c r="Z4023" s="10"/>
    </row>
    <row r="4024" spans="1:26" ht="12.75">
      <c r="A4024" s="10" t="str">
        <f ca="1">IFERROR(__xludf.DUMMYFUNCTION("""COMPUTED_VALUE"""),"Йордан Стоянов Дойков")</f>
        <v>Йордан Стоянов Дойков</v>
      </c>
      <c r="B4024" s="10" t="str">
        <f ca="1">IFERROR(__xludf.DUMMYFUNCTION("""COMPUTED_VALUE"""),"Учебно пособие")</f>
        <v>Учебно пособие</v>
      </c>
      <c r="C4024" s="10" t="str">
        <f ca="1">IFERROR(__xludf.DUMMYFUNCTION("""COMPUTED_VALUE"""),"Промененият Атлантически съюз №2")</f>
        <v>Промененият Атлантически съюз №2</v>
      </c>
      <c r="D4024" s="10">
        <f ca="1">IFERROR(__xludf.DUMMYFUNCTION("""COMPUTED_VALUE"""),1999)</f>
        <v>1999</v>
      </c>
      <c r="E4024" s="10" t="str">
        <f ca="1">IFERROR(__xludf.DUMMYFUNCTION("""COMPUTED_VALUE"""),"София, Военно издателство ЕООД, ISBN 978-954-509-425-528 с.")</f>
        <v>София, Военно издателство ЕООД, ISBN 978-954-509-425-528 с.</v>
      </c>
      <c r="F4024" s="10" t="str">
        <f ca="1">IFERROR(__xludf.DUMMYFUNCTION("""COMPUTED_VALUE"""),"Google Science, Researchechgate.net, Academia.edu")</f>
        <v>Google Science, Researchechgate.net, Academia.edu</v>
      </c>
      <c r="G4024" s="10"/>
      <c r="H4024" s="10"/>
      <c r="I4024" s="10"/>
      <c r="J4024" s="10"/>
      <c r="K4024" s="10"/>
      <c r="L4024" s="10"/>
      <c r="M4024" s="10"/>
      <c r="N4024" s="10"/>
      <c r="O4024" s="10"/>
      <c r="P4024" s="10"/>
      <c r="Q4024" s="10"/>
      <c r="R4024" s="10"/>
      <c r="S4024" s="10"/>
      <c r="T4024" s="10"/>
      <c r="U4024" s="10"/>
      <c r="V4024" s="10"/>
      <c r="W4024" s="10"/>
      <c r="X4024" s="10"/>
      <c r="Y4024" s="10"/>
      <c r="Z4024" s="10"/>
    </row>
    <row r="4025" spans="1:26" ht="12.75">
      <c r="A4025" s="10" t="str">
        <f ca="1">IFERROR(__xludf.DUMMYFUNCTION("""COMPUTED_VALUE"""),"Йорданка Ценкова Захариева")</f>
        <v>Йорданка Ценкова Захариева</v>
      </c>
      <c r="B4025" s="10" t="str">
        <f ca="1">IFERROR(__xludf.DUMMYFUNCTION("""COMPUTED_VALUE"""),"Статия в списания и поредици")</f>
        <v>Статия в списания и поредици</v>
      </c>
      <c r="C4025" s="10" t="str">
        <f ca="1">IFERROR(__xludf.DUMMYFUNCTION("""COMPUTED_VALUE"""),"Да заобиколиш благоразумието")</f>
        <v>Да заобиколиш благоразумието</v>
      </c>
      <c r="D4025" s="10">
        <f ca="1">IFERROR(__xludf.DUMMYFUNCTION("""COMPUTED_VALUE"""),2019)</f>
        <v>2019</v>
      </c>
      <c r="E4025" s="10" t="str">
        <f ca="1">IFERROR(__xludf.DUMMYFUNCTION("""COMPUTED_VALUE"""),"Aut inveniam viam, aut faciam. Сборник в чест на чл.-кор. Проф. д.ф.н. Стоян Буров. Велико Търново, Унив. из-во „Св.св. Кирил и Методий“, 2019, с. 417–436. (съавтор) ISBN 978-619-208-188-1")</f>
        <v>Aut inveniam viam, aut faciam. Сборник в чест на чл.-кор. Проф. д.ф.н. Стоян Буров. Велико Търново, Унив. из-во „Св.св. Кирил и Методий“, 2019, с. 417–436. (съавтор) ISBN 978-619-208-188-1</v>
      </c>
      <c r="F4025" s="10"/>
      <c r="G4025" s="10"/>
      <c r="H4025" s="10"/>
      <c r="I4025" s="10"/>
      <c r="J4025" s="10"/>
      <c r="K4025" s="10"/>
      <c r="L4025" s="10"/>
      <c r="M4025" s="10"/>
      <c r="N4025" s="10"/>
      <c r="O4025" s="10"/>
      <c r="P4025" s="10"/>
      <c r="Q4025" s="10"/>
      <c r="R4025" s="10"/>
      <c r="S4025" s="10"/>
      <c r="T4025" s="10"/>
      <c r="U4025" s="10"/>
      <c r="V4025" s="10"/>
      <c r="W4025" s="10"/>
      <c r="X4025" s="10"/>
      <c r="Y4025" s="10"/>
      <c r="Z4025" s="10"/>
    </row>
    <row r="4026" spans="1:26" ht="12.75">
      <c r="A4026" s="10" t="str">
        <f ca="1">IFERROR(__xludf.DUMMYFUNCTION("""COMPUTED_VALUE"""),"Йорданка Ценкова Захариева")</f>
        <v>Йорданка Ценкова Захариева</v>
      </c>
      <c r="B4026" s="10" t="str">
        <f ca="1">IFERROR(__xludf.DUMMYFUNCTION("""COMPUTED_VALUE"""),"Учебно пособие")</f>
        <v>Учебно пособие</v>
      </c>
      <c r="C4026" s="10" t="str">
        <f ca="1">IFERROR(__xludf.DUMMYFUNCTION("""COMPUTED_VALUE"""),"Възрожденските читалища: генератори и медиатори на духовност")</f>
        <v>Възрожденските читалища: генератори и медиатори на духовност</v>
      </c>
      <c r="D4026" s="10">
        <f ca="1">IFERROR(__xludf.DUMMYFUNCTION("""COMPUTED_VALUE"""),2019)</f>
        <v>2019</v>
      </c>
      <c r="E4026" s="10" t="str">
        <f ca="1">IFERROR(__xludf.DUMMYFUNCTION("""COMPUTED_VALUE"""),"Комуникации и политики. Учебно пособие. Т. 3. София, За буквите, 2019, с. 79–93. ISBN 978-619-185-391-5")</f>
        <v>Комуникации и политики. Учебно пособие. Т. 3. София, За буквите, 2019, с. 79–93. ISBN 978-619-185-391-5</v>
      </c>
      <c r="F4026" s="10"/>
      <c r="G4026" s="10" t="str">
        <f ca="1">IFERROR(__xludf.DUMMYFUNCTION("""COMPUTED_VALUE"""),"Николай Палашев, Кристина Върбанова-Денчева, Магдалена Гарванова, Йорданка Захариева, Лъчезар Георгиев, Йордан Дойков, Иван Гогов, Деница Младенова, Борис Борисов, Елисавета Балабанова, Анна Лозева, Калина Минчева.")</f>
        <v>Николай Палашев, Кристина Върбанова-Денчева, Магдалена Гарванова, Йорданка Захариева, Лъчезар Георгиев, Йордан Дойков, Иван Гогов, Деница Младенова, Борис Борисов, Елисавета Балабанова, Анна Лозева, Калина Минчева.</v>
      </c>
      <c r="H4026" s="10"/>
      <c r="I4026" s="10"/>
      <c r="J4026" s="10"/>
      <c r="K4026" s="10"/>
      <c r="L4026" s="10"/>
      <c r="M4026" s="10"/>
      <c r="N4026" s="10"/>
      <c r="O4026" s="10"/>
      <c r="P4026" s="10"/>
      <c r="Q4026" s="10"/>
      <c r="R4026" s="10"/>
      <c r="S4026" s="10"/>
      <c r="T4026" s="10"/>
      <c r="U4026" s="10"/>
      <c r="V4026" s="10"/>
      <c r="W4026" s="10"/>
      <c r="X4026" s="10"/>
      <c r="Y4026" s="10"/>
      <c r="Z4026" s="10"/>
    </row>
    <row r="4027" spans="1:26" ht="12.75">
      <c r="A4027" s="10" t="str">
        <f ca="1">IFERROR(__xludf.DUMMYFUNCTION("""COMPUTED_VALUE"""),"Йорданка Ценкова Захариева")</f>
        <v>Йорданка Ценкова Захариева</v>
      </c>
      <c r="B4027" s="10" t="str">
        <f ca="1">IFERROR(__xludf.DUMMYFUNCTION("""COMPUTED_VALUE"""),"Учебно пособие")</f>
        <v>Учебно пособие</v>
      </c>
      <c r="C4027" s="10" t="str">
        <f ca="1">IFERROR(__xludf.DUMMYFUNCTION("""COMPUTED_VALUE"""),"Има ли духовна програма през Българското възраждане?")</f>
        <v>Има ли духовна програма през Българското възраждане?</v>
      </c>
      <c r="D4027" s="10">
        <f ca="1">IFERROR(__xludf.DUMMYFUNCTION("""COMPUTED_VALUE"""),2018)</f>
        <v>2018</v>
      </c>
      <c r="E4027" s="10" t="str">
        <f ca="1">IFERROR(__xludf.DUMMYFUNCTION("""COMPUTED_VALUE"""),"Комуникации и политики. Учебно пособие. Т. 2. София, За буквите, 2018, с. 73–79. ISBN 978-619-185-390-8")</f>
        <v>Комуникации и политики. Учебно пособие. Т. 2. София, За буквите, 2018, с. 73–79. ISBN 978-619-185-390-8</v>
      </c>
      <c r="F4027" s="10"/>
      <c r="G4027" s="10" t="str">
        <f ca="1">IFERROR(__xludf.DUMMYFUNCTION("""COMPUTED_VALUE"""),"Николай Палашев, Йордан Дойков, Мариана Атанасова, Мюмюн Тахиров, Йорданка Захариева, Яница Димиторва, Борис Борисов, Иван Гогов, Лъчезар Георгиев, Мария Гуленова, Кристина Върбанова-Денчева, Петър Канев, Люба Цветкова, Калина Минчева, Елисавета Балабанов"&amp;"а, Анна Лозева.")</f>
        <v>Николай Палашев, Йордан Дойков, Мариана Атанасова, Мюмюн Тахиров, Йорданка Захариева, Яница Димиторва, Борис Борисов, Иван Гогов, Лъчезар Георгиев, Мария Гуленова, Кристина Върбанова-Денчева, Петър Канев, Люба Цветкова, Калина Минчева, Елисавета Балабанова, Анна Лозева.</v>
      </c>
      <c r="H4027" s="10"/>
      <c r="I4027" s="10"/>
      <c r="J4027" s="10"/>
      <c r="K4027" s="10"/>
      <c r="L4027" s="10"/>
      <c r="M4027" s="10"/>
      <c r="N4027" s="10"/>
      <c r="O4027" s="10"/>
      <c r="P4027" s="10"/>
      <c r="Q4027" s="10"/>
      <c r="R4027" s="10"/>
      <c r="S4027" s="10"/>
      <c r="T4027" s="10"/>
      <c r="U4027" s="10"/>
      <c r="V4027" s="10"/>
      <c r="W4027" s="10"/>
      <c r="X4027" s="10"/>
      <c r="Y4027" s="10"/>
      <c r="Z4027" s="10"/>
    </row>
    <row r="4028" spans="1:26" ht="12.75">
      <c r="A4028" s="10" t="str">
        <f ca="1">IFERROR(__xludf.DUMMYFUNCTION("""COMPUTED_VALUE"""),"Йорданка Ценкова Захариева")</f>
        <v>Йорданка Ценкова Захариева</v>
      </c>
      <c r="B4028" s="10" t="str">
        <f ca="1">IFERROR(__xludf.DUMMYFUNCTION("""COMPUTED_VALUE"""),"Статия в списания и поредици")</f>
        <v>Статия в списания и поредици</v>
      </c>
      <c r="C4028" s="10" t="str">
        <f ca="1">IFERROR(__xludf.DUMMYFUNCTION("""COMPUTED_VALUE"""),"Нишката на Ариадна (GLORIA BIBLIOSPHERAE) (2017) (За предизвикателството сред комфортната зона на специалистите от библиосферата)")</f>
        <v>Нишката на Ариадна (GLORIA BIBLIOSPHERAE) (2017) (За предизвикателството сред комфортната зона на специалистите от библиосферата)</v>
      </c>
      <c r="D4028" s="10">
        <f ca="1">IFERROR(__xludf.DUMMYFUNCTION("""COMPUTED_VALUE"""),2018)</f>
        <v>2018</v>
      </c>
      <c r="E4028" s="10" t="str">
        <f ca="1">IFERROR(__xludf.DUMMYFUNCTION("""COMPUTED_VALUE"""),"Трудове на Студентското научно общество при УниБИТ, с. 818–819. Т. 14. София, За буквите–О писмуньхь, 2018.
 ISSN 1314-2526, online ISSN 1314-6793, [: Рец. за кн.: Нишката на Ариадна (Gloria bibliospherae) : Когнитология на енциклопедичността на библиотеч"&amp;"ната и информационната дейност = Ariadne thread (Gloria bibliospherae) : Cognitology of encyclopedicity of the library and information activity / Науч. ред. С. Денчев ; Състав., предг., библиогр. А. Куманова, Н. Василев ; Библиогр. ред. М. Максимова ; Ил."&amp;" К. Константинова ; Рец. Н. Яръмов ... [и др.]. – София : За буквите – О писменехь, 2017. – 952 с. : с ил. – (Факлоносци ; ХІХ)]")</f>
        <v>Трудове на Студентското научно общество при УниБИТ, с. 818–819. Т. 14. София, За буквите–О писмуньхь, 2018.
 ISSN 1314-2526, online ISSN 1314-6793, [: Рец. за кн.: 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 / Науч. ред. С. Денчев ; Състав., предг., библиогр. А. Куманова, Н. Василев ; Библиогр. ред. М. Максимова ; Ил. К. Константинова ; Рец. Н. Яръмов ... [и др.]. – София : За буквите – О писменехь, 2017. – 952 с. : с ил. – (Факлоносци ; ХІХ)]</v>
      </c>
      <c r="F4028" s="10"/>
      <c r="G4028" s="10"/>
      <c r="H4028" s="10"/>
      <c r="I4028" s="10"/>
      <c r="J4028" s="10"/>
      <c r="K4028" s="10"/>
      <c r="L4028" s="10"/>
      <c r="M4028" s="10"/>
      <c r="N4028" s="10"/>
      <c r="O4028" s="10"/>
      <c r="P4028" s="10"/>
      <c r="Q4028" s="10"/>
      <c r="R4028" s="10"/>
      <c r="S4028" s="10"/>
      <c r="T4028" s="10"/>
      <c r="U4028" s="10"/>
      <c r="V4028" s="10"/>
      <c r="W4028" s="10"/>
      <c r="X4028" s="10"/>
      <c r="Y4028" s="10"/>
      <c r="Z4028" s="10"/>
    </row>
    <row r="4029" spans="1:26" ht="12.75">
      <c r="A4029" s="10" t="str">
        <f ca="1">IFERROR(__xludf.DUMMYFUNCTION("""COMPUTED_VALUE"""),"Йорданка Ценкова Захариева")</f>
        <v>Йорданка Ценкова Захариева</v>
      </c>
      <c r="B4029" s="10" t="str">
        <f ca="1">IFERROR(__xludf.DUMMYFUNCTION("""COMPUTED_VALUE"""),"Статия в списания и поредици")</f>
        <v>Статия в списания и поредици</v>
      </c>
      <c r="C4029" s="10" t="str">
        <f ca="1">IFERROR(__xludf.DUMMYFUNCTION("""COMPUTED_VALUE"""),"Тенденции към езиков хюман дизайн чрез медийната информационна среда")</f>
        <v>Тенденции към езиков хюман дизайн чрез медийната информационна среда</v>
      </c>
      <c r="D4029" s="10">
        <f ca="1">IFERROR(__xludf.DUMMYFUNCTION("""COMPUTED_VALUE"""),2018)</f>
        <v>2018</v>
      </c>
      <c r="E4029" s="10" t="str">
        <f ca="1">IFERROR(__xludf.DUMMYFUNCTION("""COMPUTED_VALUE"""),"Обществото на знанието и хуманизмът на ХХI век: ХV нац. научна конференция с международно участие. София, За буквите, 2018, с. 432 –440. ISSN 1314-7099")</f>
        <v>Обществото на знанието и хуманизмът на ХХI век: ХV нац. научна конференция с международно участие. София, За буквите, 2018, с. 432 –440. ISSN 1314-7099</v>
      </c>
      <c r="F4029" s="10"/>
      <c r="G4029" s="10"/>
      <c r="H4029" s="10"/>
      <c r="I4029" s="10"/>
      <c r="J4029" s="10"/>
      <c r="K4029" s="10"/>
      <c r="L4029" s="10"/>
      <c r="M4029" s="10"/>
      <c r="N4029" s="10"/>
      <c r="O4029" s="10"/>
      <c r="P4029" s="10"/>
      <c r="Q4029" s="10"/>
      <c r="R4029" s="10"/>
      <c r="S4029" s="10"/>
      <c r="T4029" s="10"/>
      <c r="U4029" s="10"/>
      <c r="V4029" s="10"/>
      <c r="W4029" s="10"/>
      <c r="X4029" s="10"/>
      <c r="Y4029" s="10"/>
      <c r="Z4029" s="10"/>
    </row>
    <row r="4030" spans="1:26" ht="12.75">
      <c r="A4030" s="10" t="str">
        <f ca="1">IFERROR(__xludf.DUMMYFUNCTION("""COMPUTED_VALUE"""),"Йорданка Ценкова Захариева")</f>
        <v>Йорданка Ценкова Захариева</v>
      </c>
      <c r="B4030" s="10" t="str">
        <f ca="1">IFERROR(__xludf.DUMMYFUNCTION("""COMPUTED_VALUE"""),"Статия в списания и поредици")</f>
        <v>Статия в списания и поредици</v>
      </c>
      <c r="C4030" s="10" t="str">
        <f ca="1">IFERROR(__xludf.DUMMYFUNCTION("""COMPUTED_VALUE"""),"Неймингът: доброто старо именуване през ХХІ век")</f>
        <v>Неймингът: доброто старо именуване през ХХІ век</v>
      </c>
      <c r="D4030" s="10">
        <f ca="1">IFERROR(__xludf.DUMMYFUNCTION("""COMPUTED_VALUE"""),2017)</f>
        <v>2017</v>
      </c>
      <c r="E4030" s="10" t="str">
        <f ca="1">IFERROR(__xludf.DUMMYFUNCTION("""COMPUTED_VALUE"""),"Нено Неделчев в науката за България. Велико Търново, ИВИС, 2017, с.240–258. ISBN 978-619-205-070-2")</f>
        <v>Нено Неделчев в науката за България. Велико Търново, ИВИС, 2017, с.240–258. ISBN 978-619-205-070-2</v>
      </c>
      <c r="F4030" s="10"/>
      <c r="G4030" s="10"/>
      <c r="H4030" s="10"/>
      <c r="I4030" s="10"/>
      <c r="J4030" s="10"/>
      <c r="K4030" s="10"/>
      <c r="L4030" s="10"/>
      <c r="M4030" s="10"/>
      <c r="N4030" s="10"/>
      <c r="O4030" s="10"/>
      <c r="P4030" s="10"/>
      <c r="Q4030" s="10"/>
      <c r="R4030" s="10"/>
      <c r="S4030" s="10"/>
      <c r="T4030" s="10"/>
      <c r="U4030" s="10"/>
      <c r="V4030" s="10"/>
      <c r="W4030" s="10"/>
      <c r="X4030" s="10"/>
      <c r="Y4030" s="10"/>
      <c r="Z4030" s="10"/>
    </row>
    <row r="4031" spans="1:26" ht="12.75">
      <c r="A4031" s="10" t="str">
        <f ca="1">IFERROR(__xludf.DUMMYFUNCTION("""COMPUTED_VALUE"""),"Йорданка Ценкова Захариева")</f>
        <v>Йорданка Ценкова Захариева</v>
      </c>
      <c r="B4031" s="10" t="str">
        <f ca="1">IFERROR(__xludf.DUMMYFUNCTION("""COMPUTED_VALUE"""),"Статия в списания и поредици")</f>
        <v>Статия в списания и поредици</v>
      </c>
      <c r="C4031" s="10" t="str">
        <f ca="1">IFERROR(__xludf.DUMMYFUNCTION("""COMPUTED_VALUE"""),"Към метафориката на дрехата през Възраждането: за конструирането на добрия образ или благообразяването.")</f>
        <v>Към метафориката на дрехата през Възраждането: за конструирането на добрия образ или благообразяването.</v>
      </c>
      <c r="D4031" s="10">
        <f ca="1">IFERROR(__xludf.DUMMYFUNCTION("""COMPUTED_VALUE"""),2017)</f>
        <v>2017</v>
      </c>
      <c r="E4031" s="10" t="str">
        <f ca="1">IFERROR(__xludf.DUMMYFUNCTION("""COMPUTED_VALUE"""),"Нено Неделчев в науката за България. Велико Търново, ИВИС, 2017, с. 192–212. ISBN 978-619-205-070-2")</f>
        <v>Нено Неделчев в науката за България. Велико Търново, ИВИС, 2017, с. 192–212. ISBN 978-619-205-070-2</v>
      </c>
      <c r="F4031" s="10"/>
      <c r="G4031" s="10" t="str">
        <f ca="1">IFERROR(__xludf.DUMMYFUNCTION("""COMPUTED_VALUE"""),"Р. Демирова")</f>
        <v>Р. Демирова</v>
      </c>
      <c r="H4031" s="10"/>
      <c r="I4031" s="10"/>
      <c r="J4031" s="10"/>
      <c r="K4031" s="10"/>
      <c r="L4031" s="10"/>
      <c r="M4031" s="10"/>
      <c r="N4031" s="10"/>
      <c r="O4031" s="10"/>
      <c r="P4031" s="10"/>
      <c r="Q4031" s="10"/>
      <c r="R4031" s="10"/>
      <c r="S4031" s="10"/>
      <c r="T4031" s="10"/>
      <c r="U4031" s="10"/>
      <c r="V4031" s="10"/>
      <c r="W4031" s="10"/>
      <c r="X4031" s="10"/>
      <c r="Y4031" s="10"/>
      <c r="Z4031" s="10"/>
    </row>
    <row r="4032" spans="1:26" ht="12.75">
      <c r="A4032" s="10" t="str">
        <f ca="1">IFERROR(__xludf.DUMMYFUNCTION("""COMPUTED_VALUE"""),"Йорданка Ценкова Захариева")</f>
        <v>Йорданка Ценкова Захариева</v>
      </c>
      <c r="B4032" s="10" t="str">
        <f ca="1">IFERROR(__xludf.DUMMYFUNCTION("""COMPUTED_VALUE"""),"Статия в списания и поредици")</f>
        <v>Статия в списания и поредици</v>
      </c>
      <c r="C4032" s="10" t="str">
        <f ca="1">IFERROR(__xludf.DUMMYFUNCTION("""COMPUTED_VALUE"""),"Информационно-комуникационни хъбове ли са читалищата през Възраждането")</f>
        <v>Информационно-комуникационни хъбове ли са читалищата през Възраждането</v>
      </c>
      <c r="D4032" s="10">
        <f ca="1">IFERROR(__xludf.DUMMYFUNCTION("""COMPUTED_VALUE"""),2017)</f>
        <v>2017</v>
      </c>
      <c r="E4032" s="10" t="str">
        <f ca="1">IFERROR(__xludf.DUMMYFUNCTION("""COMPUTED_VALUE"""),"Нено Неделчев в науката за България. Велико Търново, ИВИС, 2017, с. 227–239. ISBN 978-619-205-070-2")</f>
        <v>Нено Неделчев в науката за България. Велико Търново, ИВИС, 2017, с. 227–239. ISBN 978-619-205-070-2</v>
      </c>
      <c r="F4032" s="10"/>
      <c r="G4032" s="10"/>
      <c r="H4032" s="10"/>
      <c r="I4032" s="10"/>
      <c r="J4032" s="10"/>
      <c r="K4032" s="10"/>
      <c r="L4032" s="10"/>
      <c r="M4032" s="10"/>
      <c r="N4032" s="10"/>
      <c r="O4032" s="10"/>
      <c r="P4032" s="10"/>
      <c r="Q4032" s="10"/>
      <c r="R4032" s="10"/>
      <c r="S4032" s="10"/>
      <c r="T4032" s="10"/>
      <c r="U4032" s="10"/>
      <c r="V4032" s="10"/>
      <c r="W4032" s="10"/>
      <c r="X4032" s="10"/>
      <c r="Y4032" s="10"/>
      <c r="Z4032" s="10"/>
    </row>
    <row r="4033" spans="1:26" ht="12.75">
      <c r="A4033" s="10" t="str">
        <f ca="1">IFERROR(__xludf.DUMMYFUNCTION("""COMPUTED_VALUE"""),"Йорданка Ценкова Захариева")</f>
        <v>Йорданка Ценкова Захариева</v>
      </c>
      <c r="B4033" s="10" t="str">
        <f ca="1">IFERROR(__xludf.DUMMYFUNCTION("""COMPUTED_VALUE"""),"Статия в списания и поредици")</f>
        <v>Статия в списания и поредици</v>
      </c>
      <c r="C4033" s="10" t="str">
        <f ca="1">IFERROR(__xludf.DUMMYFUNCTION("""COMPUTED_VALUE"""),"Ракурси към медийната информационна среда: Конфекция и калибриране в МИС")</f>
        <v>Ракурси към медийната информационна среда: Конфекция и калибриране в МИС</v>
      </c>
      <c r="D4033" s="10">
        <f ca="1">IFERROR(__xludf.DUMMYFUNCTION("""COMPUTED_VALUE"""),2017)</f>
        <v>2017</v>
      </c>
      <c r="E4033" s="10" t="str">
        <f ca="1">IFERROR(__xludf.DUMMYFUNCTION("""COMPUTED_VALUE"""),"Медии. Език. Общество: проблеми и перспективи. Бургас, ИК Знак, 2017, с. 9–30. ISBN 978-954-8305-50-1")</f>
        <v>Медии. Език. Общество: проблеми и перспективи. Бургас, ИК Знак, 2017, с. 9–30. ISBN 978-954-8305-50-1</v>
      </c>
      <c r="F4033" s="10"/>
      <c r="G4033" s="10"/>
      <c r="H4033" s="10"/>
      <c r="I4033" s="10"/>
      <c r="J4033" s="10"/>
      <c r="K4033" s="10"/>
      <c r="L4033" s="10"/>
      <c r="M4033" s="10"/>
      <c r="N4033" s="10"/>
      <c r="O4033" s="10"/>
      <c r="P4033" s="10"/>
      <c r="Q4033" s="10"/>
      <c r="R4033" s="10"/>
      <c r="S4033" s="10"/>
      <c r="T4033" s="10"/>
      <c r="U4033" s="10"/>
      <c r="V4033" s="10"/>
      <c r="W4033" s="10"/>
      <c r="X4033" s="10"/>
      <c r="Y4033" s="10"/>
      <c r="Z4033" s="10"/>
    </row>
    <row r="4034" spans="1:26" ht="12.75">
      <c r="A4034" s="10" t="str">
        <f ca="1">IFERROR(__xludf.DUMMYFUNCTION("""COMPUTED_VALUE"""),"Йорданка Ценкова Захариева")</f>
        <v>Йорданка Ценкова Захариева</v>
      </c>
      <c r="B4034" s="10" t="str">
        <f ca="1">IFERROR(__xludf.DUMMYFUNCTION("""COMPUTED_VALUE"""),"Статия в списания и поредици")</f>
        <v>Статия в списания и поредици</v>
      </c>
      <c r="C4034" s="10" t="str">
        <f ca="1">IFERROR(__xludf.DUMMYFUNCTION("""COMPUTED_VALUE"""),"Таратанци и киберсигурност: кодификация за невежеството")</f>
        <v>Таратанци и киберсигурност: кодификация за невежеството</v>
      </c>
      <c r="D4034" s="10">
        <f ca="1">IFERROR(__xludf.DUMMYFUNCTION("""COMPUTED_VALUE"""),2017)</f>
        <v>2017</v>
      </c>
      <c r="E4034" s="10" t="str">
        <f ca="1">IFERROR(__xludf.DUMMYFUNCTION("""COMPUTED_VALUE"""),"Обществото на знанието и хуманизмът на ХХI век. София, За буквите, 2017, с. 239-242. ISSN 1314-7099.")</f>
        <v>Обществото на знанието и хуманизмът на ХХI век. София, За буквите, 2017, с. 239-242. ISSN 1314-7099.</v>
      </c>
      <c r="F4034" s="10"/>
      <c r="G4034" s="10"/>
      <c r="H4034" s="10"/>
      <c r="I4034" s="10"/>
      <c r="J4034" s="10"/>
      <c r="K4034" s="10"/>
      <c r="L4034" s="10"/>
      <c r="M4034" s="10"/>
      <c r="N4034" s="10"/>
      <c r="O4034" s="10"/>
      <c r="P4034" s="10"/>
      <c r="Q4034" s="10"/>
      <c r="R4034" s="10"/>
      <c r="S4034" s="10"/>
      <c r="T4034" s="10"/>
      <c r="U4034" s="10"/>
      <c r="V4034" s="10"/>
      <c r="W4034" s="10"/>
      <c r="X4034" s="10"/>
      <c r="Y4034" s="10"/>
      <c r="Z4034" s="10"/>
    </row>
    <row r="4035" spans="1:26" ht="12.75">
      <c r="A4035" s="10" t="str">
        <f ca="1">IFERROR(__xludf.DUMMYFUNCTION("""COMPUTED_VALUE"""),"Йорданка Ценкова Захариева")</f>
        <v>Йорданка Ценкова Захариева</v>
      </c>
      <c r="B4035" s="10" t="str">
        <f ca="1">IFERROR(__xludf.DUMMYFUNCTION("""COMPUTED_VALUE"""),"Статия в списания и поредици")</f>
        <v>Статия в списания и поредици</v>
      </c>
      <c r="C4035" s="10" t="str">
        <f ca="1">IFERROR(__xludf.DUMMYFUNCTION("""COMPUTED_VALUE"""),"С ум и разум надари ме: липсващата съставка")</f>
        <v>С ум и разум надари ме: липсващата съставка</v>
      </c>
      <c r="D4035" s="10">
        <f ca="1">IFERROR(__xludf.DUMMYFUNCTION("""COMPUTED_VALUE"""),2017)</f>
        <v>2017</v>
      </c>
      <c r="E4035" s="10" t="str">
        <f ca="1">IFERROR(__xludf.DUMMYFUNCTION("""COMPUTED_VALUE"""),"Сборник с доклади от научната конференция „Хармония в различията” (София, 9.12.2016), съст. Ж. Назърска и Св. Шапкалова, София, За буквите – О писменехь, 2016, стр. 511-520. ISSN 2367-7899")</f>
        <v>Сборник с доклади от научната конференция „Хармония в различията” (София, 9.12.2016), съст. Ж. Назърска и Св. Шапкалова, София, За буквите – О писменехь, 2016, стр. 511-520. ISSN 2367-7899</v>
      </c>
      <c r="F4035" s="10"/>
      <c r="G4035" s="10"/>
      <c r="H4035" s="10"/>
      <c r="I4035" s="10"/>
      <c r="J4035" s="10"/>
      <c r="K4035" s="10"/>
      <c r="L4035" s="10"/>
      <c r="M4035" s="10"/>
      <c r="N4035" s="10"/>
      <c r="O4035" s="10"/>
      <c r="P4035" s="10"/>
      <c r="Q4035" s="10"/>
      <c r="R4035" s="10"/>
      <c r="S4035" s="10"/>
      <c r="T4035" s="10"/>
      <c r="U4035" s="10"/>
      <c r="V4035" s="10"/>
      <c r="W4035" s="10"/>
      <c r="X4035" s="10"/>
      <c r="Y4035" s="10"/>
      <c r="Z4035" s="10"/>
    </row>
    <row r="4036" spans="1:26" ht="12.75">
      <c r="A4036" s="10" t="str">
        <f ca="1">IFERROR(__xludf.DUMMYFUNCTION("""COMPUTED_VALUE"""),"Йорданка Ценкова Захариева")</f>
        <v>Йорданка Ценкова Захариева</v>
      </c>
      <c r="B4036" s="10" t="str">
        <f ca="1">IFERROR(__xludf.DUMMYFUNCTION("""COMPUTED_VALUE"""),"Статия в списания и поредици")</f>
        <v>Статия в списания и поредици</v>
      </c>
      <c r="C4036" s="10" t="str">
        <f ca="1">IFERROR(__xludf.DUMMYFUNCTION("""COMPUTED_VALUE"""),"За словото – нови търсения и подходи. Юбилеен сборник в чест на чл.-кор. проф. д.ф.н. Емилия Пернишка")</f>
        <v>За словото – нови търсения и подходи. Юбилеен сборник в чест на чл.-кор. проф. д.ф.н. Емилия Пернишка</v>
      </c>
      <c r="D4036" s="10">
        <f ca="1">IFERROR(__xludf.DUMMYFUNCTION("""COMPUTED_VALUE"""),2016)</f>
        <v>2016</v>
      </c>
      <c r="E4036" s="10" t="str">
        <f ca="1">IFERROR(__xludf.DUMMYFUNCTION("""COMPUTED_VALUE"""),"Изд. на БАН „Проф. М. Дринов“, 2016, с. 389-398. 471 с. ISBN 978-954-322-835-5")</f>
        <v>Изд. на БАН „Проф. М. Дринов“, 2016, с. 389-398. 471 с. ISBN 978-954-322-835-5</v>
      </c>
      <c r="F4036" s="10"/>
      <c r="G4036" s="10" t="str">
        <f ca="1">IFERROR(__xludf.DUMMYFUNCTION("""COMPUTED_VALUE"""),"Р. Демирова")</f>
        <v>Р. Демирова</v>
      </c>
      <c r="H4036" s="10"/>
      <c r="I4036" s="10"/>
      <c r="J4036" s="10"/>
      <c r="K4036" s="10"/>
      <c r="L4036" s="10"/>
      <c r="M4036" s="10"/>
      <c r="N4036" s="10"/>
      <c r="O4036" s="10"/>
      <c r="P4036" s="10"/>
      <c r="Q4036" s="10"/>
      <c r="R4036" s="10"/>
      <c r="S4036" s="10"/>
      <c r="T4036" s="10"/>
      <c r="U4036" s="10"/>
      <c r="V4036" s="10"/>
      <c r="W4036" s="10"/>
      <c r="X4036" s="10"/>
      <c r="Y4036" s="10"/>
      <c r="Z4036" s="10"/>
    </row>
    <row r="4037" spans="1:26" ht="12.75">
      <c r="A4037" s="10" t="str">
        <f ca="1">IFERROR(__xludf.DUMMYFUNCTION("""COMPUTED_VALUE"""),"Йорданка Ценкова Захариева")</f>
        <v>Йорданка Ценкова Захариева</v>
      </c>
      <c r="B4037" s="10" t="str">
        <f ca="1">IFERROR(__xludf.DUMMYFUNCTION("""COMPUTED_VALUE"""),"Статия в списания и поредици")</f>
        <v>Статия в списания и поредици</v>
      </c>
      <c r="C4037" s="10" t="str">
        <f ca="1">IFERROR(__xludf.DUMMYFUNCTION("""COMPUTED_VALUE"""),"Здраве: неразбираният Изток")</f>
        <v>Здраве: неразбираният Изток</v>
      </c>
      <c r="D4037" s="10">
        <f ca="1">IFERROR(__xludf.DUMMYFUNCTION("""COMPUTED_VALUE"""),2016)</f>
        <v>2016</v>
      </c>
      <c r="E4037" s="10" t="str">
        <f ca="1">IFERROR(__xludf.DUMMYFUNCTION("""COMPUTED_VALUE"""),"За словото – нови търсения и подходи. Юбилеен сборник в чест на чл.-кор. проф. д.ф.н. Емилия Пернишка. Съставители и научни редактори Диана Благоева, Сия Колковска. София, Изд. на БАН „Проф. М. Дринов“, 2016, с. 389-398. 471 с. ISBN 978-954-322-835-5")</f>
        <v>За словото – нови търсения и подходи. Юбилеен сборник в чест на чл.-кор. проф. д.ф.н. Емилия Пернишка. Съставители и научни редактори Диана Благоева, Сия Колковска. София, Изд. на БАН „Проф. М. Дринов“, 2016, с. 389-398. 471 с. ISBN 978-954-322-835-5</v>
      </c>
      <c r="F4037" s="10"/>
      <c r="G4037" s="10" t="str">
        <f ca="1">IFERROR(__xludf.DUMMYFUNCTION("""COMPUTED_VALUE"""),"Р. Демирова")</f>
        <v>Р. Демирова</v>
      </c>
      <c r="H4037" s="10"/>
      <c r="I4037" s="10"/>
      <c r="J4037" s="10"/>
      <c r="K4037" s="10"/>
      <c r="L4037" s="10"/>
      <c r="M4037" s="10"/>
      <c r="N4037" s="10"/>
      <c r="O4037" s="10"/>
      <c r="P4037" s="10"/>
      <c r="Q4037" s="10"/>
      <c r="R4037" s="10"/>
      <c r="S4037" s="10"/>
      <c r="T4037" s="10"/>
      <c r="U4037" s="10"/>
      <c r="V4037" s="10"/>
      <c r="W4037" s="10"/>
      <c r="X4037" s="10"/>
      <c r="Y4037" s="10"/>
      <c r="Z4037" s="10"/>
    </row>
    <row r="4038" spans="1:26" ht="12.75">
      <c r="A4038" s="10" t="str">
        <f ca="1">IFERROR(__xludf.DUMMYFUNCTION("""COMPUTED_VALUE"""),"Йорданка Ценкова Захариева")</f>
        <v>Йорданка Ценкова Захариева</v>
      </c>
      <c r="B4038" s="10" t="str">
        <f ca="1">IFERROR(__xludf.DUMMYFUNCTION("""COMPUTED_VALUE"""),"Статия в списания и поредици")</f>
        <v>Статия в списания и поредици</v>
      </c>
      <c r="C4038" s="10" t="str">
        <f ca="1">IFERROR(__xludf.DUMMYFUNCTION("""COMPUTED_VALUE"""),"Кроскултурна чувствителност и агресия")</f>
        <v>Кроскултурна чувствителност и агресия</v>
      </c>
      <c r="D4038" s="10">
        <f ca="1">IFERROR(__xludf.DUMMYFUNCTION("""COMPUTED_VALUE"""),2016)</f>
        <v>2016</v>
      </c>
      <c r="E4038" s="10" t="str">
        <f ca="1">IFERROR(__xludf.DUMMYFUNCTION("""COMPUTED_VALUE"""),"GLORIA BIBLIOSPHERAE (Нишката на Ариадна). Изследвания в чест на акад. проф. Александра Куманова. Юбилеен сборник по случай 65 години от основаването на УниБИТ. ФАКЛОНОСЦИ ХVІ. София, Издателство „За буквите – О писменехь”, 2016, с. 402 -406. ISBN 978-619"&amp;"-185-211-6, online ISBN 978-619-185-212-3.")</f>
        <v>GLORIA BIBLIOSPHERAE (Нишката на Ариадна). Изследвания в чест на акад. проф. Александра Куманова. Юбилеен сборник по случай 65 години от основаването на УниБИТ. ФАКЛОНОСЦИ ХVІ. София, Издателство „За буквите – О писменехь”, 2016, с. 402 -406. ISBN 978-619-185-211-6, online ISBN 978-619-185-212-3.</v>
      </c>
      <c r="F4038" s="10"/>
      <c r="G4038" s="10"/>
      <c r="H4038" s="10"/>
      <c r="I4038" s="10"/>
      <c r="J4038" s="10"/>
      <c r="K4038" s="10"/>
      <c r="L4038" s="10"/>
      <c r="M4038" s="10"/>
      <c r="N4038" s="10"/>
      <c r="O4038" s="10"/>
      <c r="P4038" s="10"/>
      <c r="Q4038" s="10"/>
      <c r="R4038" s="10"/>
      <c r="S4038" s="10"/>
      <c r="T4038" s="10"/>
      <c r="U4038" s="10"/>
      <c r="V4038" s="10"/>
      <c r="W4038" s="10"/>
      <c r="X4038" s="10"/>
      <c r="Y4038" s="10"/>
      <c r="Z4038" s="10"/>
    </row>
    <row r="4039" spans="1:26" ht="12.75">
      <c r="A4039" s="10" t="str">
        <f ca="1">IFERROR(__xludf.DUMMYFUNCTION("""COMPUTED_VALUE"""),"Йорданка Ценкова Захариева")</f>
        <v>Йорданка Ценкова Захариева</v>
      </c>
      <c r="B4039" s="10" t="str">
        <f ca="1">IFERROR(__xludf.DUMMYFUNCTION("""COMPUTED_VALUE"""),"Доклад от конференция")</f>
        <v>Доклад от конференция</v>
      </c>
      <c r="C4039" s="10" t="str">
        <f ca="1">IFERROR(__xludf.DUMMYFUNCTION("""COMPUTED_VALUE"""),"С ум и разум надари ме: липсващата съставка")</f>
        <v>С ум и разум надари ме: липсващата съставка</v>
      </c>
      <c r="D4039" s="10">
        <f ca="1">IFERROR(__xludf.DUMMYFUNCTION("""COMPUTED_VALUE"""),2016)</f>
        <v>2016</v>
      </c>
      <c r="E4039" s="10" t="str">
        <f ca="1">IFERROR(__xludf.DUMMYFUNCTION("""COMPUTED_VALUE"""),"Хармония в различията. Сборник с доклади от научната конференция „Хармония в различията” (София, 9.12.2016), съст. Ж. Назърска и Св. Шапкалова, София, За буквите – О писменехь, 2016, стр. 511-520.")</f>
        <v>Хармония в различията. Сборник с доклади от научната конференция „Хармония в различията” (София, 9.12.2016), съст. Ж. Назърска и Св. Шапкалова, София, За буквите – О писменехь, 2016, стр. 511-520.</v>
      </c>
      <c r="F4039" s="10"/>
      <c r="G4039" s="10"/>
      <c r="H4039" s="10"/>
      <c r="I4039" s="10"/>
      <c r="J4039" s="10"/>
      <c r="K4039" s="10"/>
      <c r="L4039" s="10"/>
      <c r="M4039" s="10"/>
      <c r="N4039" s="10"/>
      <c r="O4039" s="10"/>
      <c r="P4039" s="10"/>
      <c r="Q4039" s="10"/>
      <c r="R4039" s="10"/>
      <c r="S4039" s="10"/>
      <c r="T4039" s="10"/>
      <c r="U4039" s="10"/>
      <c r="V4039" s="10"/>
      <c r="W4039" s="10"/>
      <c r="X4039" s="10"/>
      <c r="Y4039" s="10"/>
      <c r="Z4039" s="10"/>
    </row>
    <row r="4040" spans="1:26" ht="12.75">
      <c r="A4040" s="10" t="str">
        <f ca="1">IFERROR(__xludf.DUMMYFUNCTION("""COMPUTED_VALUE"""),"Йорданка Ценкова Захариева")</f>
        <v>Йорданка Ценкова Захариева</v>
      </c>
      <c r="B4040" s="10" t="str">
        <f ca="1">IFERROR(__xludf.DUMMYFUNCTION("""COMPUTED_VALUE"""),"Статия в списания и поредици")</f>
        <v>Статия в списания и поредици</v>
      </c>
      <c r="C4040" s="10" t="str">
        <f ca="1">IFERROR(__xludf.DUMMYFUNCTION("""COMPUTED_VALUE"""),"Ономастика и нейминг")</f>
        <v>Ономастика и нейминг</v>
      </c>
      <c r="D4040" s="10">
        <f ca="1">IFERROR(__xludf.DUMMYFUNCTION("""COMPUTED_VALUE"""),2015)</f>
        <v>2015</v>
      </c>
      <c r="E4040" s="10" t="str">
        <f ca="1">IFERROR(__xludf.DUMMYFUNCTION("""COMPUTED_VALUE"""),"Състояние и проблеми на българската ономастика. Том 15, бр. 1. http://journals.uni-vt.bg/onom/bul/vol15/iss1/12. ISSN: 2603-3917 (Online), ISSN: 978-619-208-057-0")</f>
        <v>Състояние и проблеми на българската ономастика. Том 15, бр. 1. http://journals.uni-vt.bg/onom/bul/vol15/iss1/12. ISSN: 2603-3917 (Online), ISSN: 978-619-208-057-0</v>
      </c>
      <c r="F4040" s="10"/>
      <c r="G4040" s="10"/>
      <c r="H4040" s="10"/>
      <c r="I4040" s="10"/>
      <c r="J4040" s="10"/>
      <c r="K4040" s="10"/>
      <c r="L4040" s="10"/>
      <c r="M4040" s="10"/>
      <c r="N4040" s="10"/>
      <c r="O4040" s="10"/>
      <c r="P4040" s="10"/>
      <c r="Q4040" s="10"/>
      <c r="R4040" s="10"/>
      <c r="S4040" s="10"/>
      <c r="T4040" s="10"/>
      <c r="U4040" s="10"/>
      <c r="V4040" s="10"/>
      <c r="W4040" s="10"/>
      <c r="X4040" s="10"/>
      <c r="Y4040" s="10"/>
      <c r="Z4040" s="10"/>
    </row>
    <row r="4041" spans="1:26" ht="12.75">
      <c r="A4041" s="10" t="str">
        <f ca="1">IFERROR(__xludf.DUMMYFUNCTION("""COMPUTED_VALUE"""),"Йорданка Ценкова Захариева")</f>
        <v>Йорданка Ценкова Захариева</v>
      </c>
      <c r="B4041" s="10" t="str">
        <f ca="1">IFERROR(__xludf.DUMMYFUNCTION("""COMPUTED_VALUE"""),"Книга")</f>
        <v>Книга</v>
      </c>
      <c r="C4041" s="10" t="str">
        <f ca="1">IFERROR(__xludf.DUMMYFUNCTION("""COMPUTED_VALUE"""),"Език и сигурност. Зависимости")</f>
        <v>Език и сигурност. Зависимости</v>
      </c>
      <c r="D4041" s="10">
        <f ca="1">IFERROR(__xludf.DUMMYFUNCTION("""COMPUTED_VALUE"""),2015)</f>
        <v>2015</v>
      </c>
      <c r="E4041" s="10" t="str">
        <f ca="1">IFERROR(__xludf.DUMMYFUNCTION("""COMPUTED_VALUE"""),"Авангард Прима, 2015. 264 с. ISBN 978-619-160-396-1 (съавтор).")</f>
        <v>Авангард Прима, 2015. 264 с. ISBN 978-619-160-396-1 (съавтор).</v>
      </c>
      <c r="F4041" s="10"/>
      <c r="G4041" s="10" t="str">
        <f ca="1">IFERROR(__xludf.DUMMYFUNCTION("""COMPUTED_VALUE"""),"Р. Демирова")</f>
        <v>Р. Демирова</v>
      </c>
      <c r="H4041" s="10"/>
      <c r="I4041" s="10"/>
      <c r="J4041" s="10"/>
      <c r="K4041" s="10"/>
      <c r="L4041" s="10"/>
      <c r="M4041" s="10"/>
      <c r="N4041" s="10"/>
      <c r="O4041" s="10"/>
      <c r="P4041" s="10"/>
      <c r="Q4041" s="10"/>
      <c r="R4041" s="10"/>
      <c r="S4041" s="10"/>
      <c r="T4041" s="10"/>
      <c r="U4041" s="10"/>
      <c r="V4041" s="10"/>
      <c r="W4041" s="10"/>
      <c r="X4041" s="10"/>
      <c r="Y4041" s="10"/>
      <c r="Z4041" s="10"/>
    </row>
    <row r="4042" spans="1:26" ht="12.75">
      <c r="A4042" s="10" t="str">
        <f ca="1">IFERROR(__xludf.DUMMYFUNCTION("""COMPUTED_VALUE"""),"Йорданка Ценкова Захариева")</f>
        <v>Йорданка Ценкова Захариева</v>
      </c>
      <c r="B4042" s="10" t="str">
        <f ca="1">IFERROR(__xludf.DUMMYFUNCTION("""COMPUTED_VALUE"""),"Книга")</f>
        <v>Книга</v>
      </c>
      <c r="C4042" s="10" t="str">
        <f ca="1">IFERROR(__xludf.DUMMYFUNCTION("""COMPUTED_VALUE"""),"Езикова култура")</f>
        <v>Езикова култура</v>
      </c>
      <c r="D4042" s="10">
        <f ca="1">IFERROR(__xludf.DUMMYFUNCTION("""COMPUTED_VALUE"""),2015)</f>
        <v>2015</v>
      </c>
      <c r="E4042" s="10" t="str">
        <f ca="1">IFERROR(__xludf.DUMMYFUNCTION("""COMPUTED_VALUE"""),"Про Лангс, 2015. 214 с. ISBN 978-954-2995-16-6")</f>
        <v>Про Лангс, 2015. 214 с. ISBN 978-954-2995-16-6</v>
      </c>
      <c r="F4042" s="10"/>
      <c r="G4042" s="10" t="str">
        <f ca="1">IFERROR(__xludf.DUMMYFUNCTION("""COMPUTED_VALUE"""),"Анна Лозева")</f>
        <v>Анна Лозева</v>
      </c>
      <c r="H4042" s="10"/>
      <c r="I4042" s="10"/>
      <c r="J4042" s="10"/>
      <c r="K4042" s="10"/>
      <c r="L4042" s="10"/>
      <c r="M4042" s="10"/>
      <c r="N4042" s="10"/>
      <c r="O4042" s="10"/>
      <c r="P4042" s="10"/>
      <c r="Q4042" s="10"/>
      <c r="R4042" s="10"/>
      <c r="S4042" s="10"/>
      <c r="T4042" s="10"/>
      <c r="U4042" s="10"/>
      <c r="V4042" s="10"/>
      <c r="W4042" s="10"/>
      <c r="X4042" s="10"/>
      <c r="Y4042" s="10"/>
      <c r="Z4042" s="10"/>
    </row>
    <row r="4043" spans="1:26" ht="12.75">
      <c r="A4043" s="10" t="str">
        <f ca="1">IFERROR(__xludf.DUMMYFUNCTION("""COMPUTED_VALUE"""),"Йорданка Ценкова Захариева")</f>
        <v>Йорданка Ценкова Захариева</v>
      </c>
      <c r="B4043" s="10" t="str">
        <f ca="1">IFERROR(__xludf.DUMMYFUNCTION("""COMPUTED_VALUE"""),"Книга")</f>
        <v>Книга</v>
      </c>
      <c r="C4043" s="10" t="str">
        <f ca="1">IFERROR(__xludf.DUMMYFUNCTION("""COMPUTED_VALUE"""),"Копирайтинг")</f>
        <v>Копирайтинг</v>
      </c>
      <c r="D4043" s="10">
        <f ca="1">IFERROR(__xludf.DUMMYFUNCTION("""COMPUTED_VALUE"""),2015)</f>
        <v>2015</v>
      </c>
      <c r="E4043" s="10" t="str">
        <f ca="1">IFERROR(__xludf.DUMMYFUNCTION("""COMPUTED_VALUE"""),"Про Лангс, 2015. 200 с. ISBN 978-954-2995-15-9.")</f>
        <v>Про Лангс, 2015. 200 с. ISBN 978-954-2995-15-9.</v>
      </c>
      <c r="F4043" s="10"/>
      <c r="G4043" s="10"/>
      <c r="H4043" s="10"/>
      <c r="I4043" s="10"/>
      <c r="J4043" s="10"/>
      <c r="K4043" s="10"/>
      <c r="L4043" s="10"/>
      <c r="M4043" s="10"/>
      <c r="N4043" s="10"/>
      <c r="O4043" s="10"/>
      <c r="P4043" s="10"/>
      <c r="Q4043" s="10"/>
      <c r="R4043" s="10"/>
      <c r="S4043" s="10"/>
      <c r="T4043" s="10"/>
      <c r="U4043" s="10"/>
      <c r="V4043" s="10"/>
      <c r="W4043" s="10"/>
      <c r="X4043" s="10"/>
      <c r="Y4043" s="10"/>
      <c r="Z4043" s="10"/>
    </row>
    <row r="4044" spans="1:26" ht="12.75">
      <c r="A4044" s="10" t="str">
        <f ca="1">IFERROR(__xludf.DUMMYFUNCTION("""COMPUTED_VALUE"""),"Йорданка Ценкова Захариева")</f>
        <v>Йорданка Ценкова Захариева</v>
      </c>
      <c r="B4044" s="10" t="str">
        <f ca="1">IFERROR(__xludf.DUMMYFUNCTION("""COMPUTED_VALUE"""),"Статия в списания и поредици")</f>
        <v>Статия в списания и поредици</v>
      </c>
      <c r="C4044" s="10" t="str">
        <f ca="1">IFERROR(__xludf.DUMMYFUNCTION("""COMPUTED_VALUE"""),"Българска лексикология и фразеология")</f>
        <v>Българска лексикология и фразеология</v>
      </c>
      <c r="D4044" s="10">
        <f ca="1">IFERROR(__xludf.DUMMYFUNCTION("""COMPUTED_VALUE"""),2014)</f>
        <v>2014</v>
      </c>
      <c r="E4044" s="10" t="str">
        <f ca="1">IFERROR(__xludf.DUMMYFUNCTION("""COMPUTED_VALUE"""),"Български език, 4, 2014, с. 118-122. ISBN 0005-4283")</f>
        <v>Български език, 4, 2014, с. 118-122. ISBN 0005-4283</v>
      </c>
      <c r="F4044" s="10"/>
      <c r="G4044" s="10" t="str">
        <f ca="1">IFERROR(__xludf.DUMMYFUNCTION("""COMPUTED_VALUE"""),"Л. Крумова-Цветкова, Д. Благоева, С. Колковска, Е. Пернишка, М. Божилова")</f>
        <v>Л. Крумова-Цветкова, Д. Благоева, С. Колковска, Е. Пернишка, М. Божилова</v>
      </c>
      <c r="H4044" s="10"/>
      <c r="I4044" s="10"/>
      <c r="J4044" s="10"/>
      <c r="K4044" s="10"/>
      <c r="L4044" s="10"/>
      <c r="M4044" s="10"/>
      <c r="N4044" s="10"/>
      <c r="O4044" s="10"/>
      <c r="P4044" s="10"/>
      <c r="Q4044" s="10"/>
      <c r="R4044" s="10"/>
      <c r="S4044" s="10"/>
      <c r="T4044" s="10"/>
      <c r="U4044" s="10"/>
      <c r="V4044" s="10"/>
      <c r="W4044" s="10"/>
      <c r="X4044" s="10"/>
      <c r="Y4044" s="10"/>
      <c r="Z4044" s="10"/>
    </row>
    <row r="4045" spans="1:26" ht="12.75">
      <c r="A4045" s="10" t="str">
        <f ca="1">IFERROR(__xludf.DUMMYFUNCTION("""COMPUTED_VALUE"""),"Йорданка Ценкова Захариева")</f>
        <v>Йорданка Ценкова Захариева</v>
      </c>
      <c r="B4045" s="10" t="str">
        <f ca="1">IFERROR(__xludf.DUMMYFUNCTION("""COMPUTED_VALUE"""),"Статия в списания и поредици")</f>
        <v>Статия в списания и поредици</v>
      </c>
      <c r="C4045" s="10" t="str">
        <f ca="1">IFERROR(__xludf.DUMMYFUNCTION("""COMPUTED_VALUE"""),"Бягство от уикичетенето")</f>
        <v>Бягство от уикичетенето</v>
      </c>
      <c r="D4045" s="10">
        <f ca="1">IFERROR(__xludf.DUMMYFUNCTION("""COMPUTED_VALUE"""),2014)</f>
        <v>2014</v>
      </c>
      <c r="E4045" s="10" t="str">
        <f ca="1">IFERROR(__xludf.DUMMYFUNCTION("""COMPUTED_VALUE"""),"Littera et lingua. Електронно списание за хуманитаристика. Т.11, кн. 3, 2014. http://slav.uni-sofia.bg/naum/lilijournal/2014/11//3/zaharievaj-simeonovm. ISSN 1312-6172")</f>
        <v>Littera et lingua. Електронно списание за хуманитаристика. Т.11, кн. 3, 2014. http://slav.uni-sofia.bg/naum/lilijournal/2014/11//3/zaharievaj-simeonovm. ISSN 1312-6172</v>
      </c>
      <c r="F4045" s="10"/>
      <c r="G4045" s="10" t="str">
        <f ca="1">IFERROR(__xludf.DUMMYFUNCTION("""COMPUTED_VALUE"""),"М. Симеонов")</f>
        <v>М. Симеонов</v>
      </c>
      <c r="H4045" s="10"/>
      <c r="I4045" s="10"/>
      <c r="J4045" s="10"/>
      <c r="K4045" s="10"/>
      <c r="L4045" s="10"/>
      <c r="M4045" s="10"/>
      <c r="N4045" s="10"/>
      <c r="O4045" s="10"/>
      <c r="P4045" s="10"/>
      <c r="Q4045" s="10"/>
      <c r="R4045" s="10"/>
      <c r="S4045" s="10"/>
      <c r="T4045" s="10"/>
      <c r="U4045" s="10"/>
      <c r="V4045" s="10"/>
      <c r="W4045" s="10"/>
      <c r="X4045" s="10"/>
      <c r="Y4045" s="10"/>
      <c r="Z4045" s="10"/>
    </row>
    <row r="4046" spans="1:26" ht="12.75">
      <c r="A4046" s="10" t="str">
        <f ca="1">IFERROR(__xludf.DUMMYFUNCTION("""COMPUTED_VALUE"""),"Йорданка Ценкова Захариева")</f>
        <v>Йорданка Ценкова Захариева</v>
      </c>
      <c r="B4046" s="10" t="str">
        <f ca="1">IFERROR(__xludf.DUMMYFUNCTION("""COMPUTED_VALUE"""),"Статия в списания и поредици")</f>
        <v>Статия в списания и поредици</v>
      </c>
      <c r="C4046" s="10" t="str">
        <f ca="1">IFERROR(__xludf.DUMMYFUNCTION("""COMPUTED_VALUE"""),"Напеви")</f>
        <v>Напеви</v>
      </c>
      <c r="D4046" s="10">
        <f ca="1">IFERROR(__xludf.DUMMYFUNCTION("""COMPUTED_VALUE"""),2014)</f>
        <v>2014</v>
      </c>
      <c r="E4046" s="10" t="str">
        <f ca="1">IFERROR(__xludf.DUMMYFUNCTION("""COMPUTED_VALUE"""),"Балканите – култури и манталитети. Сборник статии. София, Ан-Ди, 2014, с. 69 – 81. ISBN 987-954-92709-7-6.")</f>
        <v>Балканите – култури и манталитети. Сборник статии. София, Ан-Ди, 2014, с. 69 – 81. ISBN 987-954-92709-7-6.</v>
      </c>
      <c r="F4046" s="10"/>
      <c r="G4046" s="10"/>
      <c r="H4046" s="10"/>
      <c r="I4046" s="10"/>
      <c r="J4046" s="10"/>
      <c r="K4046" s="10"/>
      <c r="L4046" s="10"/>
      <c r="M4046" s="10"/>
      <c r="N4046" s="10"/>
      <c r="O4046" s="10"/>
      <c r="P4046" s="10"/>
      <c r="Q4046" s="10"/>
      <c r="R4046" s="10"/>
      <c r="S4046" s="10"/>
      <c r="T4046" s="10"/>
      <c r="U4046" s="10"/>
      <c r="V4046" s="10"/>
      <c r="W4046" s="10"/>
      <c r="X4046" s="10"/>
      <c r="Y4046" s="10"/>
      <c r="Z4046" s="10"/>
    </row>
    <row r="4047" spans="1:26" ht="12.75">
      <c r="A4047" s="10" t="str">
        <f ca="1">IFERROR(__xludf.DUMMYFUNCTION("""COMPUTED_VALUE"""),"Йорданка Ценкова Захариева")</f>
        <v>Йорданка Ценкова Захариева</v>
      </c>
      <c r="B4047" s="10" t="str">
        <f ca="1">IFERROR(__xludf.DUMMYFUNCTION("""COMPUTED_VALUE"""),"Книга")</f>
        <v>Книга</v>
      </c>
      <c r="C4047" s="10" t="str">
        <f ca="1">IFERROR(__xludf.DUMMYFUNCTION("""COMPUTED_VALUE"""),"Shortcut към езиковата култура")</f>
        <v>Shortcut към езиковата култура</v>
      </c>
      <c r="D4047" s="10">
        <f ca="1">IFERROR(__xludf.DUMMYFUNCTION("""COMPUTED_VALUE"""),2014)</f>
        <v>2014</v>
      </c>
      <c r="E4047" s="10" t="str">
        <f ca="1">IFERROR(__xludf.DUMMYFUNCTION("""COMPUTED_VALUE"""),"За буквите – О писменехь, 2014. 216 с. ISBN 978-619-185-058-7.")</f>
        <v>За буквите – О писменехь, 2014. 216 с. ISBN 978-619-185-058-7.</v>
      </c>
      <c r="F4047" s="10"/>
      <c r="G4047" s="10" t="str">
        <f ca="1">IFERROR(__xludf.DUMMYFUNCTION("""COMPUTED_VALUE"""),"А. Иванова")</f>
        <v>А. Иванова</v>
      </c>
      <c r="H4047" s="10"/>
      <c r="I4047" s="10"/>
      <c r="J4047" s="10"/>
      <c r="K4047" s="10"/>
      <c r="L4047" s="10"/>
      <c r="M4047" s="10"/>
      <c r="N4047" s="10"/>
      <c r="O4047" s="10"/>
      <c r="P4047" s="10"/>
      <c r="Q4047" s="10"/>
      <c r="R4047" s="10"/>
      <c r="S4047" s="10"/>
      <c r="T4047" s="10"/>
      <c r="U4047" s="10"/>
      <c r="V4047" s="10"/>
      <c r="W4047" s="10"/>
      <c r="X4047" s="10"/>
      <c r="Y4047" s="10"/>
      <c r="Z4047" s="10"/>
    </row>
    <row r="4048" spans="1:26" ht="12.75">
      <c r="A4048" s="10" t="str">
        <f ca="1">IFERROR(__xludf.DUMMYFUNCTION("""COMPUTED_VALUE"""),"Йорданка Ценкова Захариева")</f>
        <v>Йорданка Ценкова Захариева</v>
      </c>
      <c r="B4048" s="10" t="str">
        <f ca="1">IFERROR(__xludf.DUMMYFUNCTION("""COMPUTED_VALUE"""),"Статия в списания и поредици")</f>
        <v>Статия в списания и поредици</v>
      </c>
      <c r="C4048" s="10" t="str">
        <f ca="1">IFERROR(__xludf.DUMMYFUNCTION("""COMPUTED_VALUE"""),"Балканите – култури и манталитети")</f>
        <v>Балканите – култури и манталитети</v>
      </c>
      <c r="D4048" s="10">
        <f ca="1">IFERROR(__xludf.DUMMYFUNCTION("""COMPUTED_VALUE"""),2014)</f>
        <v>2014</v>
      </c>
      <c r="E4048" s="10" t="str">
        <f ca="1">IFERROR(__xludf.DUMMYFUNCTION("""COMPUTED_VALUE"""),"Сборник статии. София, Ан-Ди, 2014, с. 69 – 81. ISBN 987-954-92709-7-6.")</f>
        <v>Сборник статии. София, Ан-Ди, 2014, с. 69 – 81. ISBN 987-954-92709-7-6.</v>
      </c>
      <c r="F4048" s="10"/>
      <c r="G4048" s="10"/>
      <c r="H4048" s="10"/>
      <c r="I4048" s="10"/>
      <c r="J4048" s="10"/>
      <c r="K4048" s="10"/>
      <c r="L4048" s="10"/>
      <c r="M4048" s="10"/>
      <c r="N4048" s="10"/>
      <c r="O4048" s="10"/>
      <c r="P4048" s="10"/>
      <c r="Q4048" s="10"/>
      <c r="R4048" s="10"/>
      <c r="S4048" s="10"/>
      <c r="T4048" s="10"/>
      <c r="U4048" s="10"/>
      <c r="V4048" s="10"/>
      <c r="W4048" s="10"/>
      <c r="X4048" s="10"/>
      <c r="Y4048" s="10"/>
      <c r="Z4048" s="10"/>
    </row>
    <row r="4049" spans="1:26" ht="12.75">
      <c r="A4049" s="10" t="str">
        <f ca="1">IFERROR(__xludf.DUMMYFUNCTION("""COMPUTED_VALUE"""),"Йорданка Ценкова Захариева")</f>
        <v>Йорданка Ценкова Захариева</v>
      </c>
      <c r="B4049" s="10" t="str">
        <f ca="1">IFERROR(__xludf.DUMMYFUNCTION("""COMPUTED_VALUE"""),"Книга")</f>
        <v>Книга</v>
      </c>
      <c r="C4049" s="10" t="str">
        <f ca="1">IFERROR(__xludf.DUMMYFUNCTION("""COMPUTED_VALUE"""),"Пътят към модерността: книгата и дрехата в българския език")</f>
        <v>Пътят към модерността: книгата и дрехата в българския език</v>
      </c>
      <c r="D4049" s="10">
        <f ca="1">IFERROR(__xludf.DUMMYFUNCTION("""COMPUTED_VALUE"""),2014)</f>
        <v>2014</v>
      </c>
      <c r="E4049" s="10" t="str">
        <f ca="1">IFERROR(__xludf.DUMMYFUNCTION("""COMPUTED_VALUE"""),"София: Про Лангс, 2014. 94 с. ISBN 978-954-2995-11-1.")</f>
        <v>София: Про Лангс, 2014. 94 с. ISBN 978-954-2995-11-1.</v>
      </c>
      <c r="F4049" s="10"/>
      <c r="G4049" s="10"/>
      <c r="H4049" s="10"/>
      <c r="I4049" s="10"/>
      <c r="J4049" s="10"/>
      <c r="K4049" s="10"/>
      <c r="L4049" s="10"/>
      <c r="M4049" s="10"/>
      <c r="N4049" s="10"/>
      <c r="O4049" s="10"/>
      <c r="P4049" s="10"/>
      <c r="Q4049" s="10"/>
      <c r="R4049" s="10"/>
      <c r="S4049" s="10"/>
      <c r="T4049" s="10"/>
      <c r="U4049" s="10"/>
      <c r="V4049" s="10"/>
      <c r="W4049" s="10"/>
      <c r="X4049" s="10"/>
      <c r="Y4049" s="10"/>
      <c r="Z4049" s="10"/>
    </row>
    <row r="4050" spans="1:26" ht="12.75">
      <c r="A4050" s="10" t="str">
        <f ca="1">IFERROR(__xludf.DUMMYFUNCTION("""COMPUTED_VALUE"""),"Йорданка Ценкова Захариева")</f>
        <v>Йорданка Ценкова Захариева</v>
      </c>
      <c r="B4050" s="10" t="str">
        <f ca="1">IFERROR(__xludf.DUMMYFUNCTION("""COMPUTED_VALUE"""),"Книга")</f>
        <v>Книга</v>
      </c>
      <c r="C4050" s="10" t="str">
        <f ca="1">IFERROR(__xludf.DUMMYFUNCTION("""COMPUTED_VALUE"""),"Медиалингвистика")</f>
        <v>Медиалингвистика</v>
      </c>
      <c r="D4050" s="10">
        <f ca="1">IFERROR(__xludf.DUMMYFUNCTION("""COMPUTED_VALUE"""),2014)</f>
        <v>2014</v>
      </c>
      <c r="E4050" s="10" t="str">
        <f ca="1">IFERROR(__xludf.DUMMYFUNCTION("""COMPUTED_VALUE"""),"Про Лангс, 2014. 156 с. (в съавторство с А. Иванова). ISBN 978-954-2995-10-4.")</f>
        <v>Про Лангс, 2014. 156 с. (в съавторство с А. Иванова). ISBN 978-954-2995-10-4.</v>
      </c>
      <c r="F4050" s="10"/>
      <c r="G4050" s="10" t="str">
        <f ca="1">IFERROR(__xludf.DUMMYFUNCTION("""COMPUTED_VALUE"""),"А. Иванова")</f>
        <v>А. Иванова</v>
      </c>
      <c r="H4050" s="10"/>
      <c r="I4050" s="10"/>
      <c r="J4050" s="10"/>
      <c r="K4050" s="10"/>
      <c r="L4050" s="10"/>
      <c r="M4050" s="10"/>
      <c r="N4050" s="10"/>
      <c r="O4050" s="10"/>
      <c r="P4050" s="10"/>
      <c r="Q4050" s="10"/>
      <c r="R4050" s="10"/>
      <c r="S4050" s="10"/>
      <c r="T4050" s="10"/>
      <c r="U4050" s="10"/>
      <c r="V4050" s="10"/>
      <c r="W4050" s="10"/>
      <c r="X4050" s="10"/>
      <c r="Y4050" s="10"/>
      <c r="Z4050" s="10"/>
    </row>
    <row r="4051" spans="1:26" ht="12.75">
      <c r="A4051" s="10" t="str">
        <f ca="1">IFERROR(__xludf.DUMMYFUNCTION("""COMPUTED_VALUE"""),"Йорданка Ценкова Захариева")</f>
        <v>Йорданка Ценкова Захариева</v>
      </c>
      <c r="B4051" s="10" t="str">
        <f ca="1">IFERROR(__xludf.DUMMYFUNCTION("""COMPUTED_VALUE"""),"Книга")</f>
        <v>Книга</v>
      </c>
      <c r="C4051" s="10" t="str">
        <f ca="1">IFERROR(__xludf.DUMMYFUNCTION("""COMPUTED_VALUE"""),"Рекламата в печатните медии")</f>
        <v>Рекламата в печатните медии</v>
      </c>
      <c r="D4051" s="10">
        <f ca="1">IFERROR(__xludf.DUMMYFUNCTION("""COMPUTED_VALUE"""),2014)</f>
        <v>2014</v>
      </c>
      <c r="E4051" s="10" t="str">
        <f ca="1">IFERROR(__xludf.DUMMYFUNCTION("""COMPUTED_VALUE"""),"ПроЛангс, 2014. 196 с. ISBN 978-954-2995-09-8.")</f>
        <v>ПроЛангс, 2014. 196 с. ISBN 978-954-2995-09-8.</v>
      </c>
      <c r="F4051" s="10"/>
      <c r="G4051" s="10" t="str">
        <f ca="1">IFERROR(__xludf.DUMMYFUNCTION("""COMPUTED_VALUE"""),"А. Иванова")</f>
        <v>А. Иванова</v>
      </c>
      <c r="H4051" s="10"/>
      <c r="I4051" s="10"/>
      <c r="J4051" s="10"/>
      <c r="K4051" s="10"/>
      <c r="L4051" s="10"/>
      <c r="M4051" s="10"/>
      <c r="N4051" s="10"/>
      <c r="O4051" s="10"/>
      <c r="P4051" s="10"/>
      <c r="Q4051" s="10"/>
      <c r="R4051" s="10"/>
      <c r="S4051" s="10"/>
      <c r="T4051" s="10"/>
      <c r="U4051" s="10"/>
      <c r="V4051" s="10"/>
      <c r="W4051" s="10"/>
      <c r="X4051" s="10"/>
      <c r="Y4051" s="10"/>
      <c r="Z4051" s="10"/>
    </row>
    <row r="4052" spans="1:26" ht="12.75">
      <c r="A4052" s="10" t="str">
        <f ca="1">IFERROR(__xludf.DUMMYFUNCTION("""COMPUTED_VALUE"""),"Йорданка Ценкова Захариева")</f>
        <v>Йорданка Ценкова Захариева</v>
      </c>
      <c r="B4052" s="10" t="str">
        <f ca="1">IFERROR(__xludf.DUMMYFUNCTION("""COMPUTED_VALUE"""),"Статия в списания и поредици")</f>
        <v>Статия в списания и поредици</v>
      </c>
      <c r="C4052" s="10" t="str">
        <f ca="1">IFERROR(__xludf.DUMMYFUNCTION("""COMPUTED_VALUE"""),"Език, грамотност и четене")</f>
        <v>Език, грамотност и четене</v>
      </c>
      <c r="D4052" s="10">
        <f ca="1">IFERROR(__xludf.DUMMYFUNCTION("""COMPUTED_VALUE"""),2014)</f>
        <v>2014</v>
      </c>
      <c r="E4052" s="10" t="str">
        <f ca="1">IFERROR(__xludf.DUMMYFUNCTION("""COMPUTED_VALUE"""),"Книгата – нашето по-смислено настояще. Т. 4. София: За буквите - О писменехь, 2014, с. 44 – 50. ISSN 1314-7323.")</f>
        <v>Книгата – нашето по-смислено настояще. Т. 4. София: За буквите - О писменехь, 2014, с. 44 – 50. ISSN 1314-7323.</v>
      </c>
      <c r="F4052" s="10"/>
      <c r="G4052" s="10"/>
      <c r="H4052" s="10"/>
      <c r="I4052" s="10"/>
      <c r="J4052" s="10"/>
      <c r="K4052" s="10"/>
      <c r="L4052" s="10"/>
      <c r="M4052" s="10"/>
      <c r="N4052" s="10"/>
      <c r="O4052" s="10"/>
      <c r="P4052" s="10"/>
      <c r="Q4052" s="10"/>
      <c r="R4052" s="10"/>
      <c r="S4052" s="10"/>
      <c r="T4052" s="10"/>
      <c r="U4052" s="10"/>
      <c r="V4052" s="10"/>
      <c r="W4052" s="10"/>
      <c r="X4052" s="10"/>
      <c r="Y4052" s="10"/>
      <c r="Z4052" s="10"/>
    </row>
    <row r="4053" spans="1:26" ht="12.75">
      <c r="A4053" s="10" t="str">
        <f ca="1">IFERROR(__xludf.DUMMYFUNCTION("""COMPUTED_VALUE"""),"Йорданка Ценкова Захариева")</f>
        <v>Йорданка Ценкова Захариева</v>
      </c>
      <c r="B4053" s="10" t="str">
        <f ca="1">IFERROR(__xludf.DUMMYFUNCTION("""COMPUTED_VALUE"""),"Книга")</f>
        <v>Книга</v>
      </c>
      <c r="C4053" s="10" t="str">
        <f ca="1">IFERROR(__xludf.DUMMYFUNCTION("""COMPUTED_VALUE"""),"Shortcut към копирайтинга")</f>
        <v>Shortcut към копирайтинга</v>
      </c>
      <c r="D4053" s="10">
        <f ca="1">IFERROR(__xludf.DUMMYFUNCTION("""COMPUTED_VALUE"""),2014)</f>
        <v>2014</v>
      </c>
      <c r="E4053" s="10" t="str">
        <f ca="1">IFERROR(__xludf.DUMMYFUNCTION("""COMPUTED_VALUE"""),"За буквите – О писменехь, 2014. 202 с. ISBN 978-619-185-059-4.")</f>
        <v>За буквите – О писменехь, 2014. 202 с. ISBN 978-619-185-059-4.</v>
      </c>
      <c r="F4053" s="10"/>
      <c r="G4053" s="10"/>
      <c r="H4053" s="10"/>
      <c r="I4053" s="10"/>
      <c r="J4053" s="10"/>
      <c r="K4053" s="10"/>
      <c r="L4053" s="10"/>
      <c r="M4053" s="10"/>
      <c r="N4053" s="10"/>
      <c r="O4053" s="10"/>
      <c r="P4053" s="10"/>
      <c r="Q4053" s="10"/>
      <c r="R4053" s="10"/>
      <c r="S4053" s="10"/>
      <c r="T4053" s="10"/>
      <c r="U4053" s="10"/>
      <c r="V4053" s="10"/>
      <c r="W4053" s="10"/>
      <c r="X4053" s="10"/>
      <c r="Y4053" s="10"/>
      <c r="Z4053" s="10"/>
    </row>
    <row r="4054" spans="1:26" ht="12.75">
      <c r="A4054" s="10" t="str">
        <f ca="1">IFERROR(__xludf.DUMMYFUNCTION("""COMPUTED_VALUE"""),"Йорданка Ценкова Захариева")</f>
        <v>Йорданка Ценкова Захариева</v>
      </c>
      <c r="B4054" s="10" t="str">
        <f ca="1">IFERROR(__xludf.DUMMYFUNCTION("""COMPUTED_VALUE"""),"Статия в списания и поредици")</f>
        <v>Статия в списания и поредици</v>
      </c>
      <c r="C4054" s="10" t="str">
        <f ca="1">IFERROR(__xludf.DUMMYFUNCTION("""COMPUTED_VALUE"""),"Книги, четене и езикова култура")</f>
        <v>Книги, четене и езикова култура</v>
      </c>
      <c r="D4054" s="10">
        <f ca="1">IFERROR(__xludf.DUMMYFUNCTION("""COMPUTED_VALUE"""),2014)</f>
        <v>2014</v>
      </c>
      <c r="E4054" s="10" t="str">
        <f ca="1">IFERROR(__xludf.DUMMYFUNCTION("""COMPUTED_VALUE"""),"Littera et lingua. Електронно списание за хуманитаристика. Т.11, кн. 3, 2014. http://slav.uni-sofia.bg/naum/lilijournal/2014/11/3/zaharievaj. ISSN 1312-6172.")</f>
        <v>Littera et lingua. Електронно списание за хуманитаристика. Т.11, кн. 3, 2014. http://slav.uni-sofia.bg/naum/lilijournal/2014/11/3/zaharievaj. ISSN 1312-6172.</v>
      </c>
      <c r="F4054" s="10"/>
      <c r="G4054" s="10"/>
      <c r="H4054" s="10"/>
      <c r="I4054" s="10"/>
      <c r="J4054" s="10"/>
      <c r="K4054" s="10"/>
      <c r="L4054" s="10"/>
      <c r="M4054" s="10"/>
      <c r="N4054" s="10"/>
      <c r="O4054" s="10"/>
      <c r="P4054" s="10"/>
      <c r="Q4054" s="10"/>
      <c r="R4054" s="10"/>
      <c r="S4054" s="10"/>
      <c r="T4054" s="10"/>
      <c r="U4054" s="10"/>
      <c r="V4054" s="10"/>
      <c r="W4054" s="10"/>
      <c r="X4054" s="10"/>
      <c r="Y4054" s="10"/>
      <c r="Z4054" s="10"/>
    </row>
    <row r="4055" spans="1:26" ht="12.75">
      <c r="A4055" s="10" t="str">
        <f ca="1">IFERROR(__xludf.DUMMYFUNCTION("""COMPUTED_VALUE"""),"Йорданка Ценкова Захариева")</f>
        <v>Йорданка Ценкова Захариева</v>
      </c>
      <c r="B4055" s="10" t="str">
        <f ca="1">IFERROR(__xludf.DUMMYFUNCTION("""COMPUTED_VALUE"""),"Доклад от конференция")</f>
        <v>Доклад от конференция</v>
      </c>
      <c r="C4055" s="10" t="str">
        <f ca="1">IFERROR(__xludf.DUMMYFUNCTION("""COMPUTED_VALUE"""),"Езиковите политики в балканската концептуалност")</f>
        <v>Езиковите политики в балканската концептуалност</v>
      </c>
      <c r="D4055" s="10">
        <f ca="1">IFERROR(__xludf.DUMMYFUNCTION("""COMPUTED_VALUE"""),2013)</f>
        <v>2013</v>
      </c>
      <c r="E4055" s="10" t="str">
        <f ca="1">IFERROR(__xludf.DUMMYFUNCTION("""COMPUTED_VALUE"""),"Концепти на политическото. Сборник с доклади от едноименната конференция, 26.04.2013. София : За буквите – О писменьхь, 2013, , с. 84-101. ISBN 954-294-680-5, 978-954-294-680-9.")</f>
        <v>Концепти на политическото. Сборник с доклади от едноименната конференция, 26.04.2013. София : За буквите – О писменьхь, 2013, , с. 84-101. ISBN 954-294-680-5, 978-954-294-680-9.</v>
      </c>
      <c r="F4055" s="10"/>
      <c r="G4055" s="10"/>
      <c r="H4055" s="10"/>
      <c r="I4055" s="10"/>
      <c r="J4055" s="10"/>
      <c r="K4055" s="10"/>
      <c r="L4055" s="10"/>
      <c r="M4055" s="10"/>
      <c r="N4055" s="10"/>
      <c r="O4055" s="10"/>
      <c r="P4055" s="10"/>
      <c r="Q4055" s="10"/>
      <c r="R4055" s="10"/>
      <c r="S4055" s="10"/>
      <c r="T4055" s="10"/>
      <c r="U4055" s="10"/>
      <c r="V4055" s="10"/>
      <c r="W4055" s="10"/>
      <c r="X4055" s="10"/>
      <c r="Y4055" s="10"/>
      <c r="Z4055" s="10"/>
    </row>
    <row r="4056" spans="1:26" ht="12.75">
      <c r="A4056" s="10" t="str">
        <f ca="1">IFERROR(__xludf.DUMMYFUNCTION("""COMPUTED_VALUE"""),"Йорданка Ценкова Захариева")</f>
        <v>Йорданка Ценкова Захариева</v>
      </c>
      <c r="B4056" s="10" t="str">
        <f ca="1">IFERROR(__xludf.DUMMYFUNCTION("""COMPUTED_VALUE"""),"Статия в списания и поредици")</f>
        <v>Статия в списания и поредици</v>
      </c>
      <c r="C4056" s="10" t="str">
        <f ca="1">IFERROR(__xludf.DUMMYFUNCTION("""COMPUTED_VALUE"""),"В подстъпите към извън-предела")</f>
        <v>В подстъпите към извън-предела</v>
      </c>
      <c r="D4056" s="10">
        <f ca="1">IFERROR(__xludf.DUMMYFUNCTION("""COMPUTED_VALUE"""),2013)</f>
        <v>2013</v>
      </c>
      <c r="E4056" s="10" t="str">
        <f ca="1">IFERROR(__xludf.DUMMYFUNCTION("""COMPUTED_VALUE"""),"Обществото на знанието и хуманизмът на ХХІ век. Сборник с доклади от Х юбилейна научна конференция с международно участие от 1 ноември 2012, УниБИТ. София : За буквите – О писменьхь, 2013, с. 660 – 669. ISSN 1314-7099.")</f>
        <v>Обществото на знанието и хуманизмът на ХХІ век. Сборник с доклади от Х юбилейна научна конференция с международно участие от 1 ноември 2012, УниБИТ. София : За буквите – О писменьхь, 2013, с. 660 – 669. ISSN 1314-7099.</v>
      </c>
      <c r="F4056" s="10"/>
      <c r="G4056" s="10"/>
      <c r="H4056" s="10"/>
      <c r="I4056" s="10"/>
      <c r="J4056" s="10"/>
      <c r="K4056" s="10"/>
      <c r="L4056" s="10"/>
      <c r="M4056" s="10"/>
      <c r="N4056" s="10"/>
      <c r="O4056" s="10"/>
      <c r="P4056" s="10"/>
      <c r="Q4056" s="10"/>
      <c r="R4056" s="10"/>
      <c r="S4056" s="10"/>
      <c r="T4056" s="10"/>
      <c r="U4056" s="10"/>
      <c r="V4056" s="10"/>
      <c r="W4056" s="10"/>
      <c r="X4056" s="10"/>
      <c r="Y4056" s="10"/>
      <c r="Z4056" s="10"/>
    </row>
    <row r="4057" spans="1:26" ht="12.75">
      <c r="A4057" s="10" t="str">
        <f ca="1">IFERROR(__xludf.DUMMYFUNCTION("""COMPUTED_VALUE"""),"Йорданка Ценкова Захариева")</f>
        <v>Йорданка Ценкова Захариева</v>
      </c>
      <c r="B4057" s="10" t="str">
        <f ca="1">IFERROR(__xludf.DUMMYFUNCTION("""COMPUTED_VALUE"""),"Статия в списания и поредици")</f>
        <v>Статия в списания и поредици</v>
      </c>
      <c r="C4057" s="10" t="str">
        <f ca="1">IFERROR(__xludf.DUMMYFUNCTION("""COMPUTED_VALUE"""),"Информационен код на българската книжовност и литература: Свети отец Паисий Хилендарски (Ползотворно базово начинание и обучение в технологиите на научния труд) (N 688)")</f>
        <v>Информационен код на българската книжовност и литература: Свети отец Паисий Хилендарски (Ползотворно базово начинание и обучение в технологиите на научния труд) (N 688)</v>
      </c>
      <c r="D4057" s="10">
        <f ca="1">IFERROR(__xludf.DUMMYFUNCTION("""COMPUTED_VALUE"""),2013)</f>
        <v>2013</v>
      </c>
      <c r="E4057" s="10" t="str">
        <f ca="1">IFERROR(__xludf.DUMMYFUNCTION("""COMPUTED_VALUE"""),"Тр. на Студентско научно общество при УниБИТ (София), Т. VIIІ, 2013, с. 490-492. ISSN 1314-2526, online ISSN 1314-6793")</f>
        <v>Тр. на Студентско научно общество при УниБИТ (София), Т. VIIІ, 2013, с. 490-492. ISSN 1314-2526, online ISSN 1314-6793</v>
      </c>
      <c r="F4057" s="10"/>
      <c r="G4057" s="10"/>
      <c r="H4057" s="10"/>
      <c r="I4057" s="10"/>
      <c r="J4057" s="10"/>
      <c r="K4057" s="10"/>
      <c r="L4057" s="10"/>
      <c r="M4057" s="10"/>
      <c r="N4057" s="10"/>
      <c r="O4057" s="10"/>
      <c r="P4057" s="10"/>
      <c r="Q4057" s="10"/>
      <c r="R4057" s="10"/>
      <c r="S4057" s="10"/>
      <c r="T4057" s="10"/>
      <c r="U4057" s="10"/>
      <c r="V4057" s="10"/>
      <c r="W4057" s="10"/>
      <c r="X4057" s="10"/>
      <c r="Y4057" s="10"/>
      <c r="Z4057" s="10"/>
    </row>
    <row r="4058" spans="1:26" ht="12.75">
      <c r="A4058" s="10" t="str">
        <f ca="1">IFERROR(__xludf.DUMMYFUNCTION("""COMPUTED_VALUE"""),"Йорданка Ценкова Захариева")</f>
        <v>Йорданка Ценкова Захариева</v>
      </c>
      <c r="B4058" s="10" t="str">
        <f ca="1">IFERROR(__xludf.DUMMYFUNCTION("""COMPUTED_VALUE"""),"Учебник")</f>
        <v>Учебник</v>
      </c>
      <c r="C4058" s="10" t="str">
        <f ca="1">IFERROR(__xludf.DUMMYFUNCTION("""COMPUTED_VALUE"""),"Компютърната лингвистика като елемент на изкуствения интелект")</f>
        <v>Компютърната лингвистика като елемент на изкуствения интелект</v>
      </c>
      <c r="D4058" s="10">
        <f ca="1">IFERROR(__xludf.DUMMYFUNCTION("""COMPUTED_VALUE"""),2012)</f>
        <v>2012</v>
      </c>
      <c r="E4058" s="10" t="str">
        <f ca="1">IFERROR(__xludf.DUMMYFUNCTION("""COMPUTED_VALUE"""),"София: Фараго, 2010/2012. 136 с. ). ISBN 978-954-8641-83-8.")</f>
        <v>София: Фараго, 2010/2012. 136 с. ). ISBN 978-954-8641-83-8.</v>
      </c>
      <c r="F4058" s="10"/>
      <c r="G4058" s="10" t="str">
        <f ca="1">IFERROR(__xludf.DUMMYFUNCTION("""COMPUTED_VALUE"""),"И. Иванов, П. Стойков")</f>
        <v>И. Иванов, П. Стойков</v>
      </c>
      <c r="H4058" s="10"/>
      <c r="I4058" s="10"/>
      <c r="J4058" s="10"/>
      <c r="K4058" s="10"/>
      <c r="L4058" s="10"/>
      <c r="M4058" s="10"/>
      <c r="N4058" s="10"/>
      <c r="O4058" s="10"/>
      <c r="P4058" s="10"/>
      <c r="Q4058" s="10"/>
      <c r="R4058" s="10"/>
      <c r="S4058" s="10"/>
      <c r="T4058" s="10"/>
      <c r="U4058" s="10"/>
      <c r="V4058" s="10"/>
      <c r="W4058" s="10"/>
      <c r="X4058" s="10"/>
      <c r="Y4058" s="10"/>
      <c r="Z4058" s="10"/>
    </row>
    <row r="4059" spans="1:26" ht="12.75">
      <c r="A4059" s="10" t="str">
        <f ca="1">IFERROR(__xludf.DUMMYFUNCTION("""COMPUTED_VALUE"""),"Йорданка Ценкова Захариева")</f>
        <v>Йорданка Ценкова Захариева</v>
      </c>
      <c r="B4059" s="10" t="str">
        <f ca="1">IFERROR(__xludf.DUMMYFUNCTION("""COMPUTED_VALUE"""),"Статия в списания и поредици")</f>
        <v>Статия в списания и поредици</v>
      </c>
      <c r="C4059" s="10" t="str">
        <f ca="1">IFERROR(__xludf.DUMMYFUNCTION("""COMPUTED_VALUE"""),"Език, култура и национална сигурност")</f>
        <v>Език, култура и национална сигурност</v>
      </c>
      <c r="D4059" s="10">
        <f ca="1">IFERROR(__xludf.DUMMYFUNCTION("""COMPUTED_VALUE"""),2012)</f>
        <v>2012</v>
      </c>
      <c r="E4059" s="10" t="str">
        <f ca="1">IFERROR(__xludf.DUMMYFUNCTION("""COMPUTED_VALUE"""),"Eзикът и културата в съвременния свят. Сборник с материали от Международна научна конференция. Бургас, 22-23 юни 2012. Велико Търново: Знак '94, стр.175−182. ISBN 978-954-8305-24-2")</f>
        <v>Eзикът и културата в съвременния свят. Сборник с материали от Международна научна конференция. Бургас, 22-23 юни 2012. Велико Търново: Знак '94, стр.175−182. ISBN 978-954-8305-24-2</v>
      </c>
      <c r="F4059" s="10"/>
      <c r="G4059" s="10"/>
      <c r="H4059" s="10"/>
      <c r="I4059" s="10"/>
      <c r="J4059" s="10"/>
      <c r="K4059" s="10"/>
      <c r="L4059" s="10"/>
      <c r="M4059" s="10"/>
      <c r="N4059" s="10"/>
      <c r="O4059" s="10"/>
      <c r="P4059" s="10"/>
      <c r="Q4059" s="10"/>
      <c r="R4059" s="10"/>
      <c r="S4059" s="10"/>
      <c r="T4059" s="10"/>
      <c r="U4059" s="10"/>
      <c r="V4059" s="10"/>
      <c r="W4059" s="10"/>
      <c r="X4059" s="10"/>
      <c r="Y4059" s="10"/>
      <c r="Z4059" s="10"/>
    </row>
    <row r="4060" spans="1:26" ht="12.75">
      <c r="A4060" s="10" t="str">
        <f ca="1">IFERROR(__xludf.DUMMYFUNCTION("""COMPUTED_VALUE"""),"Йорданка Ценкова Захариева")</f>
        <v>Йорданка Ценкова Захариева</v>
      </c>
      <c r="B4060" s="10" t="str">
        <f ca="1">IFERROR(__xludf.DUMMYFUNCTION("""COMPUTED_VALUE"""),"Статия в списания и поредици")</f>
        <v>Статия в списания и поредици</v>
      </c>
      <c r="C4060" s="10" t="str">
        <f ca="1">IFERROR(__xludf.DUMMYFUNCTION("""COMPUTED_VALUE"""),"Концептът книга в езиковия свят на българина")</f>
        <v>Концептът книга в езиковия свят на българина</v>
      </c>
      <c r="D4060" s="10">
        <f ca="1">IFERROR(__xludf.DUMMYFUNCTION("""COMPUTED_VALUE"""),2012)</f>
        <v>2012</v>
      </c>
      <c r="E4060" s="10" t="str">
        <f ca="1">IFERROR(__xludf.DUMMYFUNCTION("""COMPUTED_VALUE"""),"Проф. д-р Върбан Вътов 70 години. Юбилеен сборник. В. Търново, 2012, с. 237–242. ISBN 978-954-524-810-8")</f>
        <v>Проф. д-р Върбан Вътов 70 години. Юбилеен сборник. В. Търново, 2012, с. 237–242. ISBN 978-954-524-810-8</v>
      </c>
      <c r="F4060" s="10"/>
      <c r="G4060" s="10"/>
      <c r="H4060" s="10"/>
      <c r="I4060" s="10"/>
      <c r="J4060" s="10"/>
      <c r="K4060" s="10"/>
      <c r="L4060" s="10"/>
      <c r="M4060" s="10"/>
      <c r="N4060" s="10"/>
      <c r="O4060" s="10"/>
      <c r="P4060" s="10"/>
      <c r="Q4060" s="10"/>
      <c r="R4060" s="10"/>
      <c r="S4060" s="10"/>
      <c r="T4060" s="10"/>
      <c r="U4060" s="10"/>
      <c r="V4060" s="10"/>
      <c r="W4060" s="10"/>
      <c r="X4060" s="10"/>
      <c r="Y4060" s="10"/>
      <c r="Z4060" s="10"/>
    </row>
    <row r="4061" spans="1:26" ht="12.75">
      <c r="A4061" s="10" t="str">
        <f ca="1">IFERROR(__xludf.DUMMYFUNCTION("""COMPUTED_VALUE"""),"Йорданка Ценкова Захариева")</f>
        <v>Йорданка Ценкова Захариева</v>
      </c>
      <c r="B4061" s="10" t="str">
        <f ca="1">IFERROR(__xludf.DUMMYFUNCTION("""COMPUTED_VALUE"""),"Доклад от конференция")</f>
        <v>Доклад от конференция</v>
      </c>
      <c r="C4061" s="10" t="str">
        <f ca="1">IFERROR(__xludf.DUMMYFUNCTION("""COMPUTED_VALUE"""),"Към дълбинните представи за книга. Хипотеза")</f>
        <v>Към дълбинните представи за книга. Хипотеза</v>
      </c>
      <c r="D4061" s="10">
        <f ca="1">IFERROR(__xludf.DUMMYFUNCTION("""COMPUTED_VALUE"""),2012)</f>
        <v>2012</v>
      </c>
      <c r="E4061" s="10" t="str">
        <f ca="1">IFERROR(__xludf.DUMMYFUNCTION("""COMPUTED_VALUE"""),"Обществото на знанието и хуманизмът на ХХІ век. Сборник с доклади от ІХ научна конференция с международно участие от 1 ноември 2011, УниБИТ. София: За буквите – О писменьхь, 2012, с. 100−104. ISSN 1314-7099")</f>
        <v>Обществото на знанието и хуманизмът на ХХІ век. Сборник с доклади от ІХ научна конференция с международно участие от 1 ноември 2011, УниБИТ. София: За буквите – О писменьхь, 2012, с. 100−104. ISSN 1314-7099</v>
      </c>
      <c r="F4061" s="10"/>
      <c r="G4061" s="10"/>
      <c r="H4061" s="10"/>
      <c r="I4061" s="10"/>
      <c r="J4061" s="10"/>
      <c r="K4061" s="10"/>
      <c r="L4061" s="10"/>
      <c r="M4061" s="10"/>
      <c r="N4061" s="10"/>
      <c r="O4061" s="10"/>
      <c r="P4061" s="10"/>
      <c r="Q4061" s="10"/>
      <c r="R4061" s="10"/>
      <c r="S4061" s="10"/>
      <c r="T4061" s="10"/>
      <c r="U4061" s="10"/>
      <c r="V4061" s="10"/>
      <c r="W4061" s="10"/>
      <c r="X4061" s="10"/>
      <c r="Y4061" s="10"/>
      <c r="Z4061" s="10"/>
    </row>
    <row r="4062" spans="1:26" ht="12.75">
      <c r="A4062" s="10" t="str">
        <f ca="1">IFERROR(__xludf.DUMMYFUNCTION("""COMPUTED_VALUE"""),"Йорданка Ценкова Захариева")</f>
        <v>Йорданка Ценкова Захариева</v>
      </c>
      <c r="B4062" s="10" t="str">
        <f ca="1">IFERROR(__xludf.DUMMYFUNCTION("""COMPUTED_VALUE"""),"Учебник")</f>
        <v>Учебник</v>
      </c>
      <c r="C4062" s="10" t="str">
        <f ca="1">IFERROR(__xludf.DUMMYFUNCTION("""COMPUTED_VALUE"""),"Модели при комуникация и реклама")</f>
        <v>Модели при комуникация и реклама</v>
      </c>
      <c r="D4062" s="10">
        <f ca="1">IFERROR(__xludf.DUMMYFUNCTION("""COMPUTED_VALUE"""),2010)</f>
        <v>2010</v>
      </c>
      <c r="E4062" s="10" t="str">
        <f ca="1">IFERROR(__xludf.DUMMYFUNCTION("""COMPUTED_VALUE"""),"София: Авангард, 2010. 92 с. ISBN 978-954-323-733-3.")</f>
        <v>София: Авангард, 2010. 92 с. ISBN 978-954-323-733-3.</v>
      </c>
      <c r="F4062" s="10"/>
      <c r="G4062" s="10"/>
      <c r="H4062" s="10"/>
      <c r="I4062" s="10"/>
      <c r="J4062" s="10"/>
      <c r="K4062" s="10"/>
      <c r="L4062" s="10"/>
      <c r="M4062" s="10"/>
      <c r="N4062" s="10"/>
      <c r="O4062" s="10"/>
      <c r="P4062" s="10"/>
      <c r="Q4062" s="10"/>
      <c r="R4062" s="10"/>
      <c r="S4062" s="10"/>
      <c r="T4062" s="10"/>
      <c r="U4062" s="10"/>
      <c r="V4062" s="10"/>
      <c r="W4062" s="10"/>
      <c r="X4062" s="10"/>
      <c r="Y4062" s="10"/>
      <c r="Z4062" s="10"/>
    </row>
    <row r="4063" spans="1:26" ht="12.75">
      <c r="A4063" s="10" t="str">
        <f ca="1">IFERROR(__xludf.DUMMYFUNCTION("""COMPUTED_VALUE"""),"Йорданка Ценкова Захариева")</f>
        <v>Йорданка Ценкова Захариева</v>
      </c>
      <c r="B4063" s="10" t="str">
        <f ca="1">IFERROR(__xludf.DUMMYFUNCTION("""COMPUTED_VALUE"""),"Статия в списания и поредици")</f>
        <v>Статия в списания и поредици</v>
      </c>
      <c r="C4063" s="10" t="str">
        <f ca="1">IFERROR(__xludf.DUMMYFUNCTION("""COMPUTED_VALUE"""),"Промени в (по)знанието у възрожденския българин")</f>
        <v>Промени в (по)знанието у възрожденския българин</v>
      </c>
      <c r="D4063" s="10">
        <f ca="1">IFERROR(__xludf.DUMMYFUNCTION("""COMPUTED_VALUE"""),2010)</f>
        <v>2010</v>
      </c>
      <c r="E4063" s="10" t="str">
        <f ca="1">IFERROR(__xludf.DUMMYFUNCTION("""COMPUTED_VALUE"""),"София: Авангард, 2010. 338 с. ISBN 978-954-323-774-6")</f>
        <v>София: Авангард, 2010. 338 с. ISBN 978-954-323-774-6</v>
      </c>
      <c r="F4063" s="10"/>
      <c r="G4063" s="10"/>
      <c r="H4063" s="10"/>
      <c r="I4063" s="10"/>
      <c r="J4063" s="10"/>
      <c r="K4063" s="10"/>
      <c r="L4063" s="10"/>
      <c r="M4063" s="10"/>
      <c r="N4063" s="10"/>
      <c r="O4063" s="10"/>
      <c r="P4063" s="10"/>
      <c r="Q4063" s="10"/>
      <c r="R4063" s="10"/>
      <c r="S4063" s="10"/>
      <c r="T4063" s="10"/>
      <c r="U4063" s="10"/>
      <c r="V4063" s="10"/>
      <c r="W4063" s="10"/>
      <c r="X4063" s="10"/>
      <c r="Y4063" s="10"/>
      <c r="Z4063" s="10"/>
    </row>
    <row r="4064" spans="1:26" ht="12.75">
      <c r="A4064" s="10" t="str">
        <f ca="1">IFERROR(__xludf.DUMMYFUNCTION("""COMPUTED_VALUE"""),"Йорданка Ценкова Захариева")</f>
        <v>Йорданка Ценкова Захариева</v>
      </c>
      <c r="B4064" s="10" t="str">
        <f ca="1">IFERROR(__xludf.DUMMYFUNCTION("""COMPUTED_VALUE"""),"Учебник")</f>
        <v>Учебник</v>
      </c>
      <c r="C4064" s="10" t="str">
        <f ca="1">IFERROR(__xludf.DUMMYFUNCTION("""COMPUTED_VALUE"""),"Стратегии за езикова комуникация")</f>
        <v>Стратегии за езикова комуникация</v>
      </c>
      <c r="D4064" s="10">
        <f ca="1">IFERROR(__xludf.DUMMYFUNCTION("""COMPUTED_VALUE"""),2010)</f>
        <v>2010</v>
      </c>
      <c r="E4064" s="10" t="str">
        <f ca="1">IFERROR(__xludf.DUMMYFUNCTION("""COMPUTED_VALUE"""),"София: Авангард, 2010. 200 с. ISBN 978-954-323-735-7")</f>
        <v>София: Авангард, 2010. 200 с. ISBN 978-954-323-735-7</v>
      </c>
      <c r="F4064" s="10"/>
      <c r="G4064" s="10"/>
      <c r="H4064" s="10"/>
      <c r="I4064" s="10"/>
      <c r="J4064" s="10"/>
      <c r="K4064" s="10"/>
      <c r="L4064" s="10"/>
      <c r="M4064" s="10"/>
      <c r="N4064" s="10"/>
      <c r="O4064" s="10"/>
      <c r="P4064" s="10"/>
      <c r="Q4064" s="10"/>
      <c r="R4064" s="10"/>
      <c r="S4064" s="10"/>
      <c r="T4064" s="10"/>
      <c r="U4064" s="10"/>
      <c r="V4064" s="10"/>
      <c r="W4064" s="10"/>
      <c r="X4064" s="10"/>
      <c r="Y4064" s="10"/>
      <c r="Z4064" s="10"/>
    </row>
    <row r="4065" spans="1:26" ht="12.75">
      <c r="A4065" s="10" t="str">
        <f ca="1">IFERROR(__xludf.DUMMYFUNCTION("""COMPUTED_VALUE"""),"Йорданка Ценкова Захариева")</f>
        <v>Йорданка Ценкова Захариева</v>
      </c>
      <c r="B4065" s="10" t="str">
        <f ca="1">IFERROR(__xludf.DUMMYFUNCTION("""COMPUTED_VALUE"""),"Статия в списания и поредици")</f>
        <v>Статия в списания и поредици</v>
      </c>
      <c r="C4065" s="10" t="str">
        <f ca="1">IFERROR(__xludf.DUMMYFUNCTION("""COMPUTED_VALUE"""),"За силата на духовното през Българското възраждане")</f>
        <v>За силата на духовното през Българското възраждане</v>
      </c>
      <c r="D4065" s="10">
        <f ca="1">IFERROR(__xludf.DUMMYFUNCTION("""COMPUTED_VALUE"""),2008)</f>
        <v>2008</v>
      </c>
      <c r="E4065" s="10" t="str">
        <f ca="1">IFERROR(__xludf.DUMMYFUNCTION("""COMPUTED_VALUE"""),"Шести светиниколаевски православни образователни четения, 30.11. – 01.12.2008. Сборник доклади и съобщения. Бургас: Диамант, 2008, с. 131–139. ISBN 978-954-731-361-3")</f>
        <v>Шести светиниколаевски православни образователни четения, 30.11. – 01.12.2008. Сборник доклади и съобщения. Бургас: Диамант, 2008, с. 131–139. ISBN 978-954-731-361-3</v>
      </c>
      <c r="F4065" s="10"/>
      <c r="G4065" s="10"/>
      <c r="H4065" s="10"/>
      <c r="I4065" s="10"/>
      <c r="J4065" s="10"/>
      <c r="K4065" s="10"/>
      <c r="L4065" s="10"/>
      <c r="M4065" s="10"/>
      <c r="N4065" s="10"/>
      <c r="O4065" s="10"/>
      <c r="P4065" s="10"/>
      <c r="Q4065" s="10"/>
      <c r="R4065" s="10"/>
      <c r="S4065" s="10"/>
      <c r="T4065" s="10"/>
      <c r="U4065" s="10"/>
      <c r="V4065" s="10"/>
      <c r="W4065" s="10"/>
      <c r="X4065" s="10"/>
      <c r="Y4065" s="10"/>
      <c r="Z4065" s="10"/>
    </row>
    <row r="4066" spans="1:26" ht="12.75">
      <c r="A4066" s="10" t="str">
        <f ca="1">IFERROR(__xludf.DUMMYFUNCTION("""COMPUTED_VALUE"""),"Йорданка Ценкова Захариева")</f>
        <v>Йорданка Ценкова Захариева</v>
      </c>
      <c r="B4066" s="10" t="str">
        <f ca="1">IFERROR(__xludf.DUMMYFUNCTION("""COMPUTED_VALUE"""),"Доклад от конференция")</f>
        <v>Доклад от конференция</v>
      </c>
      <c r="C4066" s="10" t="str">
        <f ca="1">IFERROR(__xludf.DUMMYFUNCTION("""COMPUTED_VALUE"""),"Пространството на кирилицата и движението в него (вчера, днес, утре)")</f>
        <v>Пространството на кирилицата и движението в него (вчера, днес, утре)</v>
      </c>
      <c r="D4066" s="10">
        <f ca="1">IFERROR(__xludf.DUMMYFUNCTION("""COMPUTED_VALUE"""),2008)</f>
        <v>2008</v>
      </c>
      <c r="E4066" s="10" t="str">
        <f ca="1">IFERROR(__xludf.DUMMYFUNCTION("""COMPUTED_VALUE"""),"Кирилицата в духовността на европейската информационна цивилизация: пета национална научна конференция с международно участие, 1 ноем. 2007 г., София. София: За буквите – О писменехь, 2008, с. 107 – 112. ISBN 978-954-8887-42-7")</f>
        <v>Кирилицата в духовността на европейската информационна цивилизация: пета национална научна конференция с международно участие, 1 ноем. 2007 г., София. София: За буквите – О писменехь, 2008, с. 107 – 112. ISBN 978-954-8887-42-7</v>
      </c>
      <c r="F4066" s="10"/>
      <c r="G4066" s="10"/>
      <c r="H4066" s="10"/>
      <c r="I4066" s="10"/>
      <c r="J4066" s="10"/>
      <c r="K4066" s="10"/>
      <c r="L4066" s="10"/>
      <c r="M4066" s="10"/>
      <c r="N4066" s="10"/>
      <c r="O4066" s="10"/>
      <c r="P4066" s="10"/>
      <c r="Q4066" s="10"/>
      <c r="R4066" s="10"/>
      <c r="S4066" s="10"/>
      <c r="T4066" s="10"/>
      <c r="U4066" s="10"/>
      <c r="V4066" s="10"/>
      <c r="W4066" s="10"/>
      <c r="X4066" s="10"/>
      <c r="Y4066" s="10"/>
      <c r="Z4066" s="10"/>
    </row>
    <row r="4067" spans="1:26" ht="12.75">
      <c r="A4067" s="10" t="str">
        <f ca="1">IFERROR(__xludf.DUMMYFUNCTION("""COMPUTED_VALUE"""),"Йорданка Ценкова Захариева")</f>
        <v>Йорданка Ценкова Захариева</v>
      </c>
      <c r="B4067" s="10" t="str">
        <f ca="1">IFERROR(__xludf.DUMMYFUNCTION("""COMPUTED_VALUE"""),"Учебник")</f>
        <v>Учебник</v>
      </c>
      <c r="C4067" s="10" t="str">
        <f ca="1">IFERROR(__xludf.DUMMYFUNCTION("""COMPUTED_VALUE"""),"Абевето на езиковата култура")</f>
        <v>Абевето на езиковата култура</v>
      </c>
      <c r="D4067" s="10">
        <f ca="1">IFERROR(__xludf.DUMMYFUNCTION("""COMPUTED_VALUE"""),2008)</f>
        <v>2008</v>
      </c>
      <c r="E4067" s="10" t="str">
        <f ca="1">IFERROR(__xludf.DUMMYFUNCTION("""COMPUTED_VALUE"""),"София: Авангард, 2008. 347 с. ISBN 978-954-323-441-7")</f>
        <v>София: Авангард, 2008. 347 с. ISBN 978-954-323-441-7</v>
      </c>
      <c r="F4067" s="10"/>
      <c r="G4067" s="10"/>
      <c r="H4067" s="10"/>
      <c r="I4067" s="10"/>
      <c r="J4067" s="10"/>
      <c r="K4067" s="10"/>
      <c r="L4067" s="10"/>
      <c r="M4067" s="10"/>
      <c r="N4067" s="10"/>
      <c r="O4067" s="10"/>
      <c r="P4067" s="10"/>
      <c r="Q4067" s="10"/>
      <c r="R4067" s="10"/>
      <c r="S4067" s="10"/>
      <c r="T4067" s="10"/>
      <c r="U4067" s="10"/>
      <c r="V4067" s="10"/>
      <c r="W4067" s="10"/>
      <c r="X4067" s="10"/>
      <c r="Y4067" s="10"/>
      <c r="Z4067" s="10"/>
    </row>
    <row r="4068" spans="1:26" ht="12.75">
      <c r="A4068" s="10" t="str">
        <f ca="1">IFERROR(__xludf.DUMMYFUNCTION("""COMPUTED_VALUE"""),"Йорданка Ценкова Захариева")</f>
        <v>Йорданка Ценкова Захариева</v>
      </c>
      <c r="B4068" s="10" t="str">
        <f ca="1">IFERROR(__xludf.DUMMYFUNCTION("""COMPUTED_VALUE"""),"Статия в списания и поредици")</f>
        <v>Статия в списания и поредици</v>
      </c>
      <c r="C4068" s="10" t="str">
        <f ca="1">IFERROR(__xludf.DUMMYFUNCTION("""COMPUTED_VALUE"""),"Българското форемно пространство през Възраждането и развитието му с оглед на книжовния език")</f>
        <v>Българското форемно пространство през Възраждането и развитието му с оглед на книжовния език</v>
      </c>
      <c r="D4068" s="10">
        <f ca="1">IFERROR(__xludf.DUMMYFUNCTION("""COMPUTED_VALUE"""),2008)</f>
        <v>2008</v>
      </c>
      <c r="E4068" s="10" t="str">
        <f ca="1">IFERROR(__xludf.DUMMYFUNCTION("""COMPUTED_VALUE"""),"Българите, книжовността, езикът. ХІХ–ХХ век. София: Емас, 2008, с. 227–304. ISBN 978-954-357-162-8")</f>
        <v>Българите, книжовността, езикът. ХІХ–ХХ век. София: Емас, 2008, с. 227–304. ISBN 978-954-357-162-8</v>
      </c>
      <c r="F4068" s="10"/>
      <c r="G4068" s="10"/>
      <c r="H4068" s="10"/>
      <c r="I4068" s="10"/>
      <c r="J4068" s="10"/>
      <c r="K4068" s="10"/>
      <c r="L4068" s="10"/>
      <c r="M4068" s="10"/>
      <c r="N4068" s="10"/>
      <c r="O4068" s="10"/>
      <c r="P4068" s="10"/>
      <c r="Q4068" s="10"/>
      <c r="R4068" s="10"/>
      <c r="S4068" s="10"/>
      <c r="T4068" s="10"/>
      <c r="U4068" s="10"/>
      <c r="V4068" s="10"/>
      <c r="W4068" s="10"/>
      <c r="X4068" s="10"/>
      <c r="Y4068" s="10"/>
      <c r="Z4068" s="10"/>
    </row>
    <row r="4069" spans="1:26" ht="12.75">
      <c r="A4069" s="10" t="str">
        <f ca="1">IFERROR(__xludf.DUMMYFUNCTION("""COMPUTED_VALUE"""),"Йорданка Ценкова Захариева")</f>
        <v>Йорданка Ценкова Захариева</v>
      </c>
      <c r="B4069" s="10" t="str">
        <f ca="1">IFERROR(__xludf.DUMMYFUNCTION("""COMPUTED_VALUE"""),"Учебник")</f>
        <v>Учебник</v>
      </c>
      <c r="C4069" s="10" t="str">
        <f ca="1">IFERROR(__xludf.DUMMYFUNCTION("""COMPUTED_VALUE"""),"Компютърната лингвистика като съставен елемент на изкуствения интелект")</f>
        <v>Компютърната лингвистика като съставен елемент на изкуствения интелект</v>
      </c>
      <c r="D4069" s="10">
        <f ca="1">IFERROR(__xludf.DUMMYFUNCTION("""COMPUTED_VALUE"""),2008)</f>
        <v>2008</v>
      </c>
      <c r="E4069" s="10" t="str">
        <f ca="1">IFERROR(__xludf.DUMMYFUNCTION("""COMPUTED_VALUE"""),". София: Фараго, 2008. 94 с. ISBN 978-954-8641-36-4")</f>
        <v>. София: Фараго, 2008. 94 с. ISBN 978-954-8641-36-4</v>
      </c>
      <c r="F4069" s="10"/>
      <c r="G4069" s="10" t="str">
        <f ca="1">IFERROR(__xludf.DUMMYFUNCTION("""COMPUTED_VALUE"""),"И. Иванов, П. Стойков")</f>
        <v>И. Иванов, П. Стойков</v>
      </c>
      <c r="H4069" s="10"/>
      <c r="I4069" s="10"/>
      <c r="J4069" s="10"/>
      <c r="K4069" s="10"/>
      <c r="L4069" s="10"/>
      <c r="M4069" s="10"/>
      <c r="N4069" s="10"/>
      <c r="O4069" s="10"/>
      <c r="P4069" s="10"/>
      <c r="Q4069" s="10"/>
      <c r="R4069" s="10"/>
      <c r="S4069" s="10"/>
      <c r="T4069" s="10"/>
      <c r="U4069" s="10"/>
      <c r="V4069" s="10"/>
      <c r="W4069" s="10"/>
      <c r="X4069" s="10"/>
      <c r="Y4069" s="10"/>
      <c r="Z4069" s="10"/>
    </row>
    <row r="4070" spans="1:26" ht="12.75">
      <c r="A4070" s="10" t="str">
        <f ca="1">IFERROR(__xludf.DUMMYFUNCTION("""COMPUTED_VALUE"""),"Йорданка Ценкова Захариева")</f>
        <v>Йорданка Ценкова Захариева</v>
      </c>
      <c r="B4070" s="10" t="str">
        <f ca="1">IFERROR(__xludf.DUMMYFUNCTION("""COMPUTED_VALUE"""),"Статия в списания и поредици")</f>
        <v>Статия в списания и поредици</v>
      </c>
      <c r="C4070" s="10" t="str">
        <f ca="1">IFERROR(__xludf.DUMMYFUNCTION("""COMPUTED_VALUE"""),"Ритъмът на времето. Нестинарство: информационна карта")</f>
        <v>Ритъмът на времето. Нестинарство: информационна карта</v>
      </c>
      <c r="D4070" s="10">
        <f ca="1">IFERROR(__xludf.DUMMYFUNCTION("""COMPUTED_VALUE"""),2008)</f>
        <v>2008</v>
      </c>
      <c r="E4070" s="10" t="str">
        <f ca="1">IFERROR(__xludf.DUMMYFUNCTION("""COMPUTED_VALUE"""),"Издател, 2008, бр. 3–4. ISSN: 2367-9158 (Online), ISSN: 1310-4624 (Print)")</f>
        <v>Издател, 2008, бр. 3–4. ISSN: 2367-9158 (Online), ISSN: 1310-4624 (Print)</v>
      </c>
      <c r="F4070" s="10"/>
      <c r="G4070" s="10"/>
      <c r="H4070" s="10"/>
      <c r="I4070" s="10"/>
      <c r="J4070" s="10"/>
      <c r="K4070" s="10"/>
      <c r="L4070" s="10"/>
      <c r="M4070" s="10"/>
      <c r="N4070" s="10"/>
      <c r="O4070" s="10"/>
      <c r="P4070" s="10"/>
      <c r="Q4070" s="10"/>
      <c r="R4070" s="10"/>
      <c r="S4070" s="10"/>
      <c r="T4070" s="10"/>
      <c r="U4070" s="10"/>
      <c r="V4070" s="10"/>
      <c r="W4070" s="10"/>
      <c r="X4070" s="10"/>
      <c r="Y4070" s="10"/>
      <c r="Z4070" s="10"/>
    </row>
    <row r="4071" spans="1:26" ht="12.75">
      <c r="A4071" s="10" t="str">
        <f ca="1">IFERROR(__xludf.DUMMYFUNCTION("""COMPUTED_VALUE"""),"Йорданка Ценкова Захариева")</f>
        <v>Йорданка Ценкова Захариева</v>
      </c>
      <c r="B4071" s="10" t="str">
        <f ca="1">IFERROR(__xludf.DUMMYFUNCTION("""COMPUTED_VALUE"""),"Учебно пособие")</f>
        <v>Учебно пособие</v>
      </c>
      <c r="C4071" s="10" t="str">
        <f ca="1">IFERROR(__xludf.DUMMYFUNCTION("""COMPUTED_VALUE"""),"Учебно помагало по български език (за студентите на Тракийския университет, гр. Одрин).")</f>
        <v>Учебно помагало по български език (за студентите на Тракийския университет, гр. Одрин).</v>
      </c>
      <c r="D4071" s="10">
        <f ca="1">IFERROR(__xludf.DUMMYFUNCTION("""COMPUTED_VALUE"""),2008)</f>
        <v>2008</v>
      </c>
      <c r="E4071" s="10" t="str">
        <f ca="1">IFERROR(__xludf.DUMMYFUNCTION("""COMPUTED_VALUE"""),"София: Авагард, 2008. 434 с. ISBN 978-954-323-428-8")</f>
        <v>София: Авагард, 2008. 434 с. ISBN 978-954-323-428-8</v>
      </c>
      <c r="F4071" s="10"/>
      <c r="G4071" s="10" t="str">
        <f ca="1">IFERROR(__xludf.DUMMYFUNCTION("""COMPUTED_VALUE"""),"съавтор Р. Демирова")</f>
        <v>съавтор Р. Демирова</v>
      </c>
      <c r="H4071" s="10"/>
      <c r="I4071" s="10"/>
      <c r="J4071" s="10"/>
      <c r="K4071" s="10"/>
      <c r="L4071" s="10"/>
      <c r="M4071" s="10"/>
      <c r="N4071" s="10"/>
      <c r="O4071" s="10"/>
      <c r="P4071" s="10"/>
      <c r="Q4071" s="10"/>
      <c r="R4071" s="10"/>
      <c r="S4071" s="10"/>
      <c r="T4071" s="10"/>
      <c r="U4071" s="10"/>
      <c r="V4071" s="10"/>
      <c r="W4071" s="10"/>
      <c r="X4071" s="10"/>
      <c r="Y4071" s="10"/>
      <c r="Z4071" s="10"/>
    </row>
    <row r="4072" spans="1:26" ht="12.75">
      <c r="A4072" s="10" t="str">
        <f ca="1">IFERROR(__xludf.DUMMYFUNCTION("""COMPUTED_VALUE"""),"Йорданка Ценкова Захариева")</f>
        <v>Йорданка Ценкова Захариева</v>
      </c>
      <c r="B4072" s="10" t="str">
        <f ca="1">IFERROR(__xludf.DUMMYFUNCTION("""COMPUTED_VALUE"""),"Речник (съставителство)")</f>
        <v>Речник (съставителство)</v>
      </c>
      <c r="C4072" s="10" t="str">
        <f ca="1">IFERROR(__xludf.DUMMYFUNCTION("""COMPUTED_VALUE"""),"Малък учебен речник на сходните думи в турски и български език")</f>
        <v>Малък учебен речник на сходните думи в турски и български език</v>
      </c>
      <c r="D4072" s="10">
        <f ca="1">IFERROR(__xludf.DUMMYFUNCTION("""COMPUTED_VALUE"""),2008)</f>
        <v>2008</v>
      </c>
      <c r="E4072" s="10" t="str">
        <f ca="1">IFERROR(__xludf.DUMMYFUNCTION("""COMPUTED_VALUE"""),"София, Одрин: Авангард Прима, 2008. 91 с. (Türkçe ve Bulgarca’da Ortak Kelimeler. Küçük Çaplı Eğitim Sözlüğü. Sofya, Edirne, 2008). ISBN 978-954-323-383-0")</f>
        <v>София, Одрин: Авангард Прима, 2008. 91 с. (Türkçe ve Bulgarca’da Ortak Kelimeler. Küçük Çaplı Eğitim Sözlüğü. Sofya, Edirne, 2008). ISBN 978-954-323-383-0</v>
      </c>
      <c r="F4072" s="10"/>
      <c r="G4072" s="10"/>
      <c r="H4072" s="10"/>
      <c r="I4072" s="10"/>
      <c r="J4072" s="10"/>
      <c r="K4072" s="10"/>
      <c r="L4072" s="10"/>
      <c r="M4072" s="10"/>
      <c r="N4072" s="10"/>
      <c r="O4072" s="10"/>
      <c r="P4072" s="10"/>
      <c r="Q4072" s="10"/>
      <c r="R4072" s="10"/>
      <c r="S4072" s="10"/>
      <c r="T4072" s="10"/>
      <c r="U4072" s="10"/>
      <c r="V4072" s="10"/>
      <c r="W4072" s="10"/>
      <c r="X4072" s="10"/>
      <c r="Y4072" s="10"/>
      <c r="Z4072" s="10"/>
    </row>
    <row r="4073" spans="1:26" ht="12.75">
      <c r="A4073" s="10" t="str">
        <f ca="1">IFERROR(__xludf.DUMMYFUNCTION("""COMPUTED_VALUE"""),"Йорданка Ценкова Захариева")</f>
        <v>Йорданка Ценкова Захариева</v>
      </c>
      <c r="B4073" s="10" t="str">
        <f ca="1">IFERROR(__xludf.DUMMYFUNCTION("""COMPUTED_VALUE"""),"Статия в списания и поредици")</f>
        <v>Статия в списания и поредици</v>
      </c>
      <c r="C4073" s="10" t="str">
        <f ca="1">IFERROR(__xludf.DUMMYFUNCTION("""COMPUTED_VALUE"""),"Trakya Üniverstesinde Bulgar Dili Projesi (Проектът Български език в Тракийския университет, гр. Одрин).")</f>
        <v>Trakya Üniverstesinde Bulgar Dili Projesi (Проектът Български език в Тракийския университет, гр. Одрин).</v>
      </c>
      <c r="D4073" s="10">
        <f ca="1">IFERROR(__xludf.DUMMYFUNCTION("""COMPUTED_VALUE"""),2008)</f>
        <v>2008</v>
      </c>
      <c r="E4073" s="10" t="str">
        <f ca="1">IFERROR(__xludf.DUMMYFUNCTION("""COMPUTED_VALUE"""),"In: Türkçe ve Bulgarca’da Ortak Kelimeler. Küçük Çaplı Eğitim Sözlüğü. Sofya, Edirne, 2008, с. 3–21. ISBN 978-954-323-383-0")</f>
        <v>In: Türkçe ve Bulgarca’da Ortak Kelimeler. Küçük Çaplı Eğitim Sözlüğü. Sofya, Edirne, 2008, с. 3–21. ISBN 978-954-323-383-0</v>
      </c>
      <c r="F4073" s="10"/>
      <c r="G4073" s="10"/>
      <c r="H4073" s="10"/>
      <c r="I4073" s="10"/>
      <c r="J4073" s="10"/>
      <c r="K4073" s="10"/>
      <c r="L4073" s="10"/>
      <c r="M4073" s="10"/>
      <c r="N4073" s="10"/>
      <c r="O4073" s="10"/>
      <c r="P4073" s="10"/>
      <c r="Q4073" s="10"/>
      <c r="R4073" s="10"/>
      <c r="S4073" s="10"/>
      <c r="T4073" s="10"/>
      <c r="U4073" s="10"/>
      <c r="V4073" s="10"/>
      <c r="W4073" s="10"/>
      <c r="X4073" s="10"/>
      <c r="Y4073" s="10"/>
      <c r="Z4073" s="10"/>
    </row>
    <row r="4074" spans="1:26" ht="12.75">
      <c r="A4074" s="10" t="str">
        <f ca="1">IFERROR(__xludf.DUMMYFUNCTION("""COMPUTED_VALUE"""),"Йорданка Ценкова Захариева")</f>
        <v>Йорданка Ценкова Захариева</v>
      </c>
      <c r="B4074" s="10" t="str">
        <f ca="1">IFERROR(__xludf.DUMMYFUNCTION("""COMPUTED_VALUE"""),"Доклад от конференция")</f>
        <v>Доклад от конференция</v>
      </c>
      <c r="C4074" s="10" t="str">
        <f ca="1">IFERROR(__xludf.DUMMYFUNCTION("""COMPUTED_VALUE"""),"История – Книга – Библия. Паметта на думата")</f>
        <v>История – Книга – Библия. Паметта на думата</v>
      </c>
      <c r="D4074" s="10">
        <f ca="1">IFERROR(__xludf.DUMMYFUNCTION("""COMPUTED_VALUE"""),2007)</f>
        <v>2007</v>
      </c>
      <c r="E4074" s="10" t="str">
        <f ca="1">IFERROR(__xludf.DUMMYFUNCTION("""COMPUTED_VALUE"""),"Държавата на духа: четвърта национална научна конференция с международно участие, 1 ноем. 2006 г., София. София: За буквите – О писменехъ, 2007, с. 290 – 298. ISBN 978-954-8887-29-8")</f>
        <v>Държавата на духа: четвърта национална научна конференция с международно участие, 1 ноем. 2006 г., София. София: За буквите – О писменехъ, 2007, с. 290 – 298. ISBN 978-954-8887-29-8</v>
      </c>
      <c r="F4074" s="10"/>
      <c r="G4074" s="10"/>
      <c r="H4074" s="10"/>
      <c r="I4074" s="10"/>
      <c r="J4074" s="10"/>
      <c r="K4074" s="10"/>
      <c r="L4074" s="10"/>
      <c r="M4074" s="10"/>
      <c r="N4074" s="10"/>
      <c r="O4074" s="10"/>
      <c r="P4074" s="10"/>
      <c r="Q4074" s="10"/>
      <c r="R4074" s="10"/>
      <c r="S4074" s="10"/>
      <c r="T4074" s="10"/>
      <c r="U4074" s="10"/>
      <c r="V4074" s="10"/>
      <c r="W4074" s="10"/>
      <c r="X4074" s="10"/>
      <c r="Y4074" s="10"/>
      <c r="Z4074" s="10"/>
    </row>
    <row r="4075" spans="1:26" ht="12.75">
      <c r="A4075" s="10" t="str">
        <f ca="1">IFERROR(__xludf.DUMMYFUNCTION("""COMPUTED_VALUE"""),"Йорданка Ценкова Захариева")</f>
        <v>Йорданка Ценкова Захариева</v>
      </c>
      <c r="B4075" s="10" t="str">
        <f ca="1">IFERROR(__xludf.DUMMYFUNCTION("""COMPUTED_VALUE"""),"Статия в списания и поредици")</f>
        <v>Статия в списания и поредици</v>
      </c>
      <c r="C4075" s="10" t="str">
        <f ca="1">IFERROR(__xludf.DUMMYFUNCTION("""COMPUTED_VALUE"""),"Изменения в пространствената ориентация у възрожденския българин")</f>
        <v>Изменения в пространствената ориентация у възрожденския българин</v>
      </c>
      <c r="D4075" s="10">
        <f ca="1">IFERROR(__xludf.DUMMYFUNCTION("""COMPUTED_VALUE"""),2007)</f>
        <v>2007</v>
      </c>
      <c r="E4075" s="10" t="str">
        <f ca="1">IFERROR(__xludf.DUMMYFUNCTION("""COMPUTED_VALUE"""),"София: За буквите – О писменехь, Авангард Прима, 2007. 96 с. ISBN 978-954-323-254-3. ISBN 978-954-8887-25-0")</f>
        <v>София: За буквите – О писменехь, Авангард Прима, 2007. 96 с. ISBN 978-954-323-254-3. ISBN 978-954-8887-25-0</v>
      </c>
      <c r="F4075" s="10"/>
      <c r="G4075" s="10"/>
      <c r="H4075" s="10"/>
      <c r="I4075" s="10"/>
      <c r="J4075" s="10"/>
      <c r="K4075" s="10"/>
      <c r="L4075" s="10"/>
      <c r="M4075" s="10"/>
      <c r="N4075" s="10"/>
      <c r="O4075" s="10"/>
      <c r="P4075" s="10"/>
      <c r="Q4075" s="10"/>
      <c r="R4075" s="10"/>
      <c r="S4075" s="10"/>
      <c r="T4075" s="10"/>
      <c r="U4075" s="10"/>
      <c r="V4075" s="10"/>
      <c r="W4075" s="10"/>
      <c r="X4075" s="10"/>
      <c r="Y4075" s="10"/>
      <c r="Z4075" s="10"/>
    </row>
    <row r="4076" spans="1:26" ht="12.75">
      <c r="A4076" s="10" t="str">
        <f ca="1">IFERROR(__xludf.DUMMYFUNCTION("""COMPUTED_VALUE"""),"Йорданка Ценкова Захариева")</f>
        <v>Йорданка Ценкова Захариева</v>
      </c>
      <c r="B4076" s="10" t="str">
        <f ca="1">IFERROR(__xludf.DUMMYFUNCTION("""COMPUTED_VALUE"""),"Статия в списания и поредици")</f>
        <v>Статия в списания и поредици</v>
      </c>
      <c r="C4076" s="10" t="str">
        <f ca="1">IFERROR(__xludf.DUMMYFUNCTION("""COMPUTED_VALUE"""),"Възрожденските заглавия на книги като обект на научен интерес")</f>
        <v>Възрожденските заглавия на книги като обект на научен интерес</v>
      </c>
      <c r="D4076" s="10">
        <f ca="1">IFERROR(__xludf.DUMMYFUNCTION("""COMPUTED_VALUE"""),2007)</f>
        <v>2007</v>
      </c>
      <c r="E4076" s="10" t="str">
        <f ca="1">IFERROR(__xludf.DUMMYFUNCTION("""COMPUTED_VALUE"""),"Трудове на СВУБИТ, т. 6. София: За буквите – О писменехь, 2007, с. 411–432. ISSN 1312-5834")</f>
        <v>Трудове на СВУБИТ, т. 6. София: За буквите – О писменехь, 2007, с. 411–432. ISSN 1312-5834</v>
      </c>
      <c r="F4076" s="10"/>
      <c r="G4076" s="10"/>
      <c r="H4076" s="10"/>
      <c r="I4076" s="10"/>
      <c r="J4076" s="10"/>
      <c r="K4076" s="10"/>
      <c r="L4076" s="10"/>
      <c r="M4076" s="10"/>
      <c r="N4076" s="10"/>
      <c r="O4076" s="10"/>
      <c r="P4076" s="10"/>
      <c r="Q4076" s="10"/>
      <c r="R4076" s="10"/>
      <c r="S4076" s="10"/>
      <c r="T4076" s="10"/>
      <c r="U4076" s="10"/>
      <c r="V4076" s="10"/>
      <c r="W4076" s="10"/>
      <c r="X4076" s="10"/>
      <c r="Y4076" s="10"/>
      <c r="Z4076" s="10"/>
    </row>
    <row r="4077" spans="1:26" ht="12.75">
      <c r="A4077" s="10" t="str">
        <f ca="1">IFERROR(__xludf.DUMMYFUNCTION("""COMPUTED_VALUE"""),"Йорданка Ценкова Захариева")</f>
        <v>Йорданка Ценкова Захариева</v>
      </c>
      <c r="B4077" s="10" t="str">
        <f ca="1">IFERROR(__xludf.DUMMYFUNCTION("""COMPUTED_VALUE"""),"Статия в списания и поредици")</f>
        <v>Статия в списания и поредици</v>
      </c>
      <c r="C4077" s="10" t="str">
        <f ca="1">IFERROR(__xludf.DUMMYFUNCTION("""COMPUTED_VALUE"""),"За началните етапи в динамиката на лексиката за дрехи")</f>
        <v>За началните етапи в динамиката на лексиката за дрехи</v>
      </c>
      <c r="D4077" s="10">
        <f ca="1">IFERROR(__xludf.DUMMYFUNCTION("""COMPUTED_VALUE"""),2007)</f>
        <v>2007</v>
      </c>
      <c r="E4077" s="10" t="str">
        <f ca="1">IFERROR(__xludf.DUMMYFUNCTION("""COMPUTED_VALUE"""),"Светът на речника. Светът в речника. Юбилеен сб., посветен на 70-год. на чл.-кор. Ем. Пернишка. Велико Търново: Знак 94, 2007, с. 189–195. ISBN 10:954-8709-73-x, ISBN 13:978-954-8709-73-x")</f>
        <v>Светът на речника. Светът в речника. Юбилеен сб., посветен на 70-год. на чл.-кор. Ем. Пернишка. Велико Търново: Знак 94, 2007, с. 189–195. ISBN 10:954-8709-73-x, ISBN 13:978-954-8709-73-x</v>
      </c>
      <c r="F4077" s="10"/>
      <c r="G4077" s="10"/>
      <c r="H4077" s="10"/>
      <c r="I4077" s="10"/>
      <c r="J4077" s="10"/>
      <c r="K4077" s="10"/>
      <c r="L4077" s="10"/>
      <c r="M4077" s="10"/>
      <c r="N4077" s="10"/>
      <c r="O4077" s="10"/>
      <c r="P4077" s="10"/>
      <c r="Q4077" s="10"/>
      <c r="R4077" s="10"/>
      <c r="S4077" s="10"/>
      <c r="T4077" s="10"/>
      <c r="U4077" s="10"/>
      <c r="V4077" s="10"/>
      <c r="W4077" s="10"/>
      <c r="X4077" s="10"/>
      <c r="Y4077" s="10"/>
      <c r="Z4077" s="10"/>
    </row>
    <row r="4078" spans="1:26" ht="12.75">
      <c r="A4078" s="10" t="str">
        <f ca="1">IFERROR(__xludf.DUMMYFUNCTION("""COMPUTED_VALUE"""),"Йорданка Ценкова Захариева")</f>
        <v>Йорданка Ценкова Захариева</v>
      </c>
      <c r="B4078" s="10" t="str">
        <f ca="1">IFERROR(__xludf.DUMMYFUNCTION("""COMPUTED_VALUE"""),"Статия в списания и поредици")</f>
        <v>Статия в списания и поредици</v>
      </c>
      <c r="C4078" s="10" t="str">
        <f ca="1">IFERROR(__xludf.DUMMYFUNCTION("""COMPUTED_VALUE"""),"Към развоя на възрожденския библионимен или-модел")</f>
        <v>Към развоя на възрожденския библионимен или-модел</v>
      </c>
      <c r="D4078" s="10">
        <f ca="1">IFERROR(__xludf.DUMMYFUNCTION("""COMPUTED_VALUE"""),2007)</f>
        <v>2007</v>
      </c>
      <c r="E4078" s="10" t="str">
        <f ca="1">IFERROR(__xludf.DUMMYFUNCTION("""COMPUTED_VALUE"""),"Трудове на СВУБИТ, т. 6. София: За буквите – О писменехь, 2007, с. 433–447. ISSN 1312-5834")</f>
        <v>Трудове на СВУБИТ, т. 6. София: За буквите – О писменехь, 2007, с. 433–447. ISSN 1312-5834</v>
      </c>
      <c r="F4078" s="10"/>
      <c r="G4078" s="10"/>
      <c r="H4078" s="10"/>
      <c r="I4078" s="10"/>
      <c r="J4078" s="10"/>
      <c r="K4078" s="10"/>
      <c r="L4078" s="10"/>
      <c r="M4078" s="10"/>
      <c r="N4078" s="10"/>
      <c r="O4078" s="10"/>
      <c r="P4078" s="10"/>
      <c r="Q4078" s="10"/>
      <c r="R4078" s="10"/>
      <c r="S4078" s="10"/>
      <c r="T4078" s="10"/>
      <c r="U4078" s="10"/>
      <c r="V4078" s="10"/>
      <c r="W4078" s="10"/>
      <c r="X4078" s="10"/>
      <c r="Y4078" s="10"/>
      <c r="Z4078" s="10"/>
    </row>
    <row r="4079" spans="1:26" ht="12.75">
      <c r="A4079" s="10" t="str">
        <f ca="1">IFERROR(__xludf.DUMMYFUNCTION("""COMPUTED_VALUE"""),"Йорданка Ценкова Захариева")</f>
        <v>Йорданка Ценкова Захариева</v>
      </c>
      <c r="B4079" s="10" t="str">
        <f ca="1">IFERROR(__xludf.DUMMYFUNCTION("""COMPUTED_VALUE"""),"Статия в списания и поредици")</f>
        <v>Статия в списания и поредици</v>
      </c>
      <c r="C4079" s="10" t="str">
        <f ca="1">IFERROR(__xludf.DUMMYFUNCTION("""COMPUTED_VALUE"""),"Информационно технологизиране на обучението по езикова култура в Специализираното висше училище по библиотекознание и информационни технологии (СВУБИТ)")</f>
        <v>Информационно технологизиране на обучението по езикова култура в Специализираното висше училище по библиотекознание и информационни технологии (СВУБИТ)</v>
      </c>
      <c r="D4079" s="10">
        <f ca="1">IFERROR(__xludf.DUMMYFUNCTION("""COMPUTED_VALUE"""),2006)</f>
        <v>2006</v>
      </c>
      <c r="E4079" s="10" t="str">
        <f ca="1">IFERROR(__xludf.DUMMYFUNCTION("""COMPUTED_VALUE"""),"Военното образование и трансформацията на отбраната и въоръжените сили. София : ВА „Г. С. Раковски”, 2006, с. 323–329. ISBN 10: 954-9348-03-2, ISBN 13:978-954-9348-03-3")</f>
        <v>Военното образование и трансформацията на отбраната и въоръжените сили. София : ВА „Г. С. Раковски”, 2006, с. 323–329. ISBN 10: 954-9348-03-2, ISBN 13:978-954-9348-03-3</v>
      </c>
      <c r="F4079" s="10"/>
      <c r="G4079" s="10"/>
      <c r="H4079" s="10"/>
      <c r="I4079" s="10"/>
      <c r="J4079" s="10"/>
      <c r="K4079" s="10"/>
      <c r="L4079" s="10"/>
      <c r="M4079" s="10"/>
      <c r="N4079" s="10"/>
      <c r="O4079" s="10"/>
      <c r="P4079" s="10"/>
      <c r="Q4079" s="10"/>
      <c r="R4079" s="10"/>
      <c r="S4079" s="10"/>
      <c r="T4079" s="10"/>
      <c r="U4079" s="10"/>
      <c r="V4079" s="10"/>
      <c r="W4079" s="10"/>
      <c r="X4079" s="10"/>
      <c r="Y4079" s="10"/>
      <c r="Z4079" s="10"/>
    </row>
    <row r="4080" spans="1:26" ht="12.75">
      <c r="A4080" s="10" t="str">
        <f ca="1">IFERROR(__xludf.DUMMYFUNCTION("""COMPUTED_VALUE"""),"Йорданка Ценкова Захариева")</f>
        <v>Йорданка Ценкова Захариева</v>
      </c>
      <c r="B4080" s="10" t="str">
        <f ca="1">IFERROR(__xludf.DUMMYFUNCTION("""COMPUTED_VALUE"""),"Статия в списания и поредици")</f>
        <v>Статия в списания и поредици</v>
      </c>
      <c r="C4080" s="10" t="str">
        <f ca="1">IFERROR(__xludf.DUMMYFUNCTION("""COMPUTED_VALUE"""),"Щрихи към връзката книга – библионим")</f>
        <v>Щрихи към връзката книга – библионим</v>
      </c>
      <c r="D4080" s="10">
        <f ca="1">IFERROR(__xludf.DUMMYFUNCTION("""COMPUTED_VALUE"""),2006)</f>
        <v>2006</v>
      </c>
      <c r="E4080" s="10" t="str">
        <f ca="1">IFERROR(__xludf.DUMMYFUNCTION("""COMPUTED_VALUE"""),"Трудове на СВУБИТ, т. 5. София: За буквите – О писменехь, 2006, с. 493–509. ISSN 1312-5834")</f>
        <v>Трудове на СВУБИТ, т. 5. София: За буквите – О писменехь, 2006, с. 493–509. ISSN 1312-5834</v>
      </c>
      <c r="F4080" s="10"/>
      <c r="G4080" s="10"/>
      <c r="H4080" s="10"/>
      <c r="I4080" s="10"/>
      <c r="J4080" s="10"/>
      <c r="K4080" s="10"/>
      <c r="L4080" s="10"/>
      <c r="M4080" s="10"/>
      <c r="N4080" s="10"/>
      <c r="O4080" s="10"/>
      <c r="P4080" s="10"/>
      <c r="Q4080" s="10"/>
      <c r="R4080" s="10"/>
      <c r="S4080" s="10"/>
      <c r="T4080" s="10"/>
      <c r="U4080" s="10"/>
      <c r="V4080" s="10"/>
      <c r="W4080" s="10"/>
      <c r="X4080" s="10"/>
      <c r="Y4080" s="10"/>
      <c r="Z4080" s="10"/>
    </row>
    <row r="4081" spans="1:26" ht="12.75">
      <c r="A4081" s="10" t="str">
        <f ca="1">IFERROR(__xludf.DUMMYFUNCTION("""COMPUTED_VALUE"""),"Йорданка Ценкова Захариева")</f>
        <v>Йорданка Ценкова Захариева</v>
      </c>
      <c r="B4081" s="10" t="str">
        <f ca="1">IFERROR(__xludf.DUMMYFUNCTION("""COMPUTED_VALUE"""),"Доклад от конференция")</f>
        <v>Доклад от конференция</v>
      </c>
      <c r="C4081" s="10" t="str">
        <f ca="1">IFERROR(__xludf.DUMMYFUNCTION("""COMPUTED_VALUE"""),"Идеи към проекта Речник на еортонимите в България")</f>
        <v>Идеи към проекта Речник на еортонимите в България</v>
      </c>
      <c r="D4081" s="10">
        <f ca="1">IFERROR(__xludf.DUMMYFUNCTION("""COMPUTED_VALUE"""),2006)</f>
        <v>2006</v>
      </c>
      <c r="E4081" s="10" t="str">
        <f ca="1">IFERROR(__xludf.DUMMYFUNCTION("""COMPUTED_VALUE"""),"Състояние и проблеми на българската ономастика. 8. (Материали от националната конференция по ономастика, София, май 2004). Велико Търново: Св. Кирил и Методий, 2006, с. 205–209. (www.uni-vt.bg/1/?zid=145&amp;page=1724) ISSN: 2603-3917 (Online), ISSN: 978-619-"&amp;"208-057-0 (Print)")</f>
        <v>Състояние и проблеми на българската ономастика. 8. (Материали от националната конференция по ономастика, София, май 2004). Велико Търново: Св. Кирил и Методий, 2006, с. 205–209. (www.uni-vt.bg/1/?zid=145&amp;page=1724) ISSN: 2603-3917 (Online), ISSN: 978-619-208-057-0 (Print)</v>
      </c>
      <c r="F4081" s="10"/>
      <c r="G4081" s="10"/>
      <c r="H4081" s="10"/>
      <c r="I4081" s="10"/>
      <c r="J4081" s="10"/>
      <c r="K4081" s="10"/>
      <c r="L4081" s="10"/>
      <c r="M4081" s="10"/>
      <c r="N4081" s="10"/>
      <c r="O4081" s="10"/>
      <c r="P4081" s="10"/>
      <c r="Q4081" s="10"/>
      <c r="R4081" s="10"/>
      <c r="S4081" s="10"/>
      <c r="T4081" s="10"/>
      <c r="U4081" s="10"/>
      <c r="V4081" s="10"/>
      <c r="W4081" s="10"/>
      <c r="X4081" s="10"/>
      <c r="Y4081" s="10"/>
      <c r="Z4081" s="10"/>
    </row>
    <row r="4082" spans="1:26" ht="12.75">
      <c r="A4082" s="10" t="str">
        <f ca="1">IFERROR(__xludf.DUMMYFUNCTION("""COMPUTED_VALUE"""),"Йорданка Ценкова Захариева")</f>
        <v>Йорданка Ценкова Захариева</v>
      </c>
      <c r="B4082" s="10" t="str">
        <f ca="1">IFERROR(__xludf.DUMMYFUNCTION("""COMPUTED_VALUE"""),"Доклад от конференция")</f>
        <v>Доклад от конференция</v>
      </c>
      <c r="C4082" s="10" t="str">
        <f ca="1">IFERROR(__xludf.DUMMYFUNCTION("""COMPUTED_VALUE"""),"Към разбирането на словосъчетанията ръкописна, печатна и електронна книга в съвременния български език")</f>
        <v>Към разбирането на словосъчетанията ръкописна, печатна и електронна книга в съвременния български език</v>
      </c>
      <c r="D4082" s="10">
        <f ca="1">IFERROR(__xludf.DUMMYFUNCTION("""COMPUTED_VALUE"""),2006)</f>
        <v>2006</v>
      </c>
      <c r="E4082" s="10" t="str">
        <f ca="1">IFERROR(__xludf.DUMMYFUNCTION("""COMPUTED_VALUE"""),"Книгата и “безкнижната” цивилизация: трета нац. науч. конф. с междунар. участие, 1 ноем. 2005 г., София. - София: За буквите - О писменехь, 2006, с. 229–235. ISBN 10: 954-8887-19-3; 13: 978-954-887-19-9")</f>
        <v>Книгата и “безкнижната” цивилизация: трета нац. науч. конф. с междунар. участие, 1 ноем. 2005 г., София. - София: За буквите - О писменехь, 2006, с. 229–235. ISBN 10: 954-8887-19-3; 13: 978-954-887-19-9</v>
      </c>
      <c r="F4082" s="10"/>
      <c r="G4082" s="10"/>
      <c r="H4082" s="10"/>
      <c r="I4082" s="10"/>
      <c r="J4082" s="10"/>
      <c r="K4082" s="10"/>
      <c r="L4082" s="10"/>
      <c r="M4082" s="10"/>
      <c r="N4082" s="10"/>
      <c r="O4082" s="10"/>
      <c r="P4082" s="10"/>
      <c r="Q4082" s="10"/>
      <c r="R4082" s="10"/>
      <c r="S4082" s="10"/>
      <c r="T4082" s="10"/>
      <c r="U4082" s="10"/>
      <c r="V4082" s="10"/>
      <c r="W4082" s="10"/>
      <c r="X4082" s="10"/>
      <c r="Y4082" s="10"/>
      <c r="Z4082" s="10"/>
    </row>
    <row r="4083" spans="1:26" ht="12.75">
      <c r="A4083" s="10" t="str">
        <f ca="1">IFERROR(__xludf.DUMMYFUNCTION("""COMPUTED_VALUE"""),"Йорданка Ценкова Захариева")</f>
        <v>Йорданка Ценкова Захариева</v>
      </c>
      <c r="B4083" s="10" t="str">
        <f ca="1">IFERROR(__xludf.DUMMYFUNCTION("""COMPUTED_VALUE"""),"Статия в списания и поредици")</f>
        <v>Статия в списания и поредици</v>
      </c>
      <c r="C4083" s="10" t="str">
        <f ca="1">IFERROR(__xludf.DUMMYFUNCTION("""COMPUTED_VALUE"""),"Явното и скритото в думите за дрехи през Българското възраждане")</f>
        <v>Явното и скритото в думите за дрехи през Българското възраждане</v>
      </c>
      <c r="D4083" s="10">
        <f ca="1">IFERROR(__xludf.DUMMYFUNCTION("""COMPUTED_VALUE"""),2006)</f>
        <v>2006</v>
      </c>
      <c r="E4083" s="10" t="str">
        <f ca="1">IFERROR(__xludf.DUMMYFUNCTION("""COMPUTED_VALUE"""),"София: За буквите – О писменехь, Авангард Прима, 2006. 160 с. ISBN-10: 954 8887-22-3")</f>
        <v>София: За буквите – О писменехь, Авангард Прима, 2006. 160 с. ISBN-10: 954 8887-22-3</v>
      </c>
      <c r="F4083" s="10"/>
      <c r="G4083" s="10"/>
      <c r="H4083" s="10"/>
      <c r="I4083" s="10"/>
      <c r="J4083" s="10"/>
      <c r="K4083" s="10"/>
      <c r="L4083" s="10"/>
      <c r="M4083" s="10"/>
      <c r="N4083" s="10"/>
      <c r="O4083" s="10"/>
      <c r="P4083" s="10"/>
      <c r="Q4083" s="10"/>
      <c r="R4083" s="10"/>
      <c r="S4083" s="10"/>
      <c r="T4083" s="10"/>
      <c r="U4083" s="10"/>
      <c r="V4083" s="10"/>
      <c r="W4083" s="10"/>
      <c r="X4083" s="10"/>
      <c r="Y4083" s="10"/>
      <c r="Z4083" s="10"/>
    </row>
    <row r="4084" spans="1:26" ht="12.75">
      <c r="A4084" s="10" t="str">
        <f ca="1">IFERROR(__xludf.DUMMYFUNCTION("""COMPUTED_VALUE"""),"Йорданка Ценкова Захариева")</f>
        <v>Йорданка Ценкова Захариева</v>
      </c>
      <c r="B4084" s="10" t="str">
        <f ca="1">IFERROR(__xludf.DUMMYFUNCTION("""COMPUTED_VALUE"""),"Статия в списания и поредици")</f>
        <v>Статия в списания и поредици</v>
      </c>
      <c r="C4084" s="10" t="str">
        <f ca="1">IFERROR(__xludf.DUMMYFUNCTION("""COMPUTED_VALUE"""),"Глобализационни влияния върху българския език")</f>
        <v>Глобализационни влияния върху българския език</v>
      </c>
      <c r="D4084" s="10">
        <f ca="1">IFERROR(__xludf.DUMMYFUNCTION("""COMPUTED_VALUE"""),2005)</f>
        <v>2005</v>
      </c>
      <c r="E4084" s="10" t="str">
        <f ca="1">IFERROR(__xludf.DUMMYFUNCTION("""COMPUTED_VALUE"""),"Трудове на СВУБИТ. Т. 4. София, 2005, с. 355–365. ISSN 1312-5834")</f>
        <v>Трудове на СВУБИТ. Т. 4. София, 2005, с. 355–365. ISSN 1312-5834</v>
      </c>
      <c r="F4084" s="10"/>
      <c r="G4084" s="10"/>
      <c r="H4084" s="10"/>
      <c r="I4084" s="10"/>
      <c r="J4084" s="10"/>
      <c r="K4084" s="10"/>
      <c r="L4084" s="10"/>
      <c r="M4084" s="10"/>
      <c r="N4084" s="10"/>
      <c r="O4084" s="10"/>
      <c r="P4084" s="10"/>
      <c r="Q4084" s="10"/>
      <c r="R4084" s="10"/>
      <c r="S4084" s="10"/>
      <c r="T4084" s="10"/>
      <c r="U4084" s="10"/>
      <c r="V4084" s="10"/>
      <c r="W4084" s="10"/>
      <c r="X4084" s="10"/>
      <c r="Y4084" s="10"/>
      <c r="Z4084" s="10"/>
    </row>
    <row r="4085" spans="1:26" ht="12.75">
      <c r="A4085" s="10" t="str">
        <f ca="1">IFERROR(__xludf.DUMMYFUNCTION("""COMPUTED_VALUE"""),"Йорданка Ценкова Захариева")</f>
        <v>Йорданка Ценкова Захариева</v>
      </c>
      <c r="B4085" s="10" t="str">
        <f ca="1">IFERROR(__xludf.DUMMYFUNCTION("""COMPUTED_VALUE"""),"Статия в списания и поредици")</f>
        <v>Статия в списания и поредици</v>
      </c>
      <c r="C4085" s="10" t="str">
        <f ca="1">IFERROR(__xludf.DUMMYFUNCTION("""COMPUTED_VALUE"""),"Визията на Ценко Цветанов за библиографията. Езикови фрагменти")</f>
        <v>Визията на Ценко Цветанов за библиографията. Езикови фрагменти</v>
      </c>
      <c r="D4085" s="10">
        <f ca="1">IFERROR(__xludf.DUMMYFUNCTION("""COMPUTED_VALUE"""),2004)</f>
        <v>2004</v>
      </c>
      <c r="E4085" s="10" t="str">
        <f ca="1">IFERROR(__xludf.DUMMYFUNCTION("""COMPUTED_VALUE"""),"Ценко Цветанов и българската книжовна култура. София: WINI-1837, 2004, с. 111–116. ISBN 954-91603-1-9.")</f>
        <v>Ценко Цветанов и българската книжовна култура. София: WINI-1837, 2004, с. 111–116. ISBN 954-91603-1-9.</v>
      </c>
      <c r="F4085" s="10"/>
      <c r="G4085" s="10"/>
      <c r="H4085" s="10"/>
      <c r="I4085" s="10"/>
      <c r="J4085" s="10"/>
      <c r="K4085" s="10"/>
      <c r="L4085" s="10"/>
      <c r="M4085" s="10"/>
      <c r="N4085" s="10"/>
      <c r="O4085" s="10"/>
      <c r="P4085" s="10"/>
      <c r="Q4085" s="10"/>
      <c r="R4085" s="10"/>
      <c r="S4085" s="10"/>
      <c r="T4085" s="10"/>
      <c r="U4085" s="10"/>
      <c r="V4085" s="10"/>
      <c r="W4085" s="10"/>
      <c r="X4085" s="10"/>
      <c r="Y4085" s="10"/>
      <c r="Z4085" s="10"/>
    </row>
    <row r="4086" spans="1:26" ht="12.75">
      <c r="A4086" s="10" t="str">
        <f ca="1">IFERROR(__xludf.DUMMYFUNCTION("""COMPUTED_VALUE"""),"Йорданка Ценкова Захариева")</f>
        <v>Йорданка Ценкова Захариева</v>
      </c>
      <c r="B4086" s="10" t="str">
        <f ca="1">IFERROR(__xludf.DUMMYFUNCTION("""COMPUTED_VALUE"""),"Статия в списания и поредици")</f>
        <v>Статия в списания и поредици</v>
      </c>
      <c r="C4086" s="10" t="str">
        <f ca="1">IFERROR(__xludf.DUMMYFUNCTION("""COMPUTED_VALUE"""),"Правни регулатори на националните езици и „балканизация”")</f>
        <v>Правни регулатори на националните езици и „балканизация”</v>
      </c>
      <c r="D4086" s="10">
        <f ca="1">IFERROR(__xludf.DUMMYFUNCTION("""COMPUTED_VALUE"""),2004)</f>
        <v>2004</v>
      </c>
      <c r="E4086" s="10" t="str">
        <f ca="1">IFERROR(__xludf.DUMMYFUNCTION("""COMPUTED_VALUE"""),"Закони на/за езика. София: Хейзъл, 2004, с. 157–181. ISBN 954-828-371-9")</f>
        <v>Закони на/за езика. София: Хейзъл, 2004, с. 157–181. ISBN 954-828-371-9</v>
      </c>
      <c r="F4086" s="10"/>
      <c r="G4086" s="10"/>
      <c r="H4086" s="10"/>
      <c r="I4086" s="10"/>
      <c r="J4086" s="10"/>
      <c r="K4086" s="10"/>
      <c r="L4086" s="10"/>
      <c r="M4086" s="10"/>
      <c r="N4086" s="10"/>
      <c r="O4086" s="10"/>
      <c r="P4086" s="10"/>
      <c r="Q4086" s="10"/>
      <c r="R4086" s="10"/>
      <c r="S4086" s="10"/>
      <c r="T4086" s="10"/>
      <c r="U4086" s="10"/>
      <c r="V4086" s="10"/>
      <c r="W4086" s="10"/>
      <c r="X4086" s="10"/>
      <c r="Y4086" s="10"/>
      <c r="Z4086" s="10"/>
    </row>
    <row r="4087" spans="1:26" ht="12.75">
      <c r="A4087" s="10" t="str">
        <f ca="1">IFERROR(__xludf.DUMMYFUNCTION("""COMPUTED_VALUE"""),"Йорданка Ценкова Захариева")</f>
        <v>Йорданка Ценкова Захариева</v>
      </c>
      <c r="B4087" s="10" t="str">
        <f ca="1">IFERROR(__xludf.DUMMYFUNCTION("""COMPUTED_VALUE"""),"Статия в списания и поредици")</f>
        <v>Статия в списания и поредици</v>
      </c>
      <c r="C4087" s="10" t="str">
        <f ca="1">IFERROR(__xludf.DUMMYFUNCTION("""COMPUTED_VALUE"""),"Наблюдения върху процеса на установяването на словосъчетанията слънцето залязва, залезът на слънцето като книжовни")</f>
        <v>Наблюдения върху процеса на установяването на словосъчетанията слънцето залязва, залезът на слънцето като книжовни</v>
      </c>
      <c r="D4087" s="10">
        <f ca="1">IFERROR(__xludf.DUMMYFUNCTION("""COMPUTED_VALUE"""),2004)</f>
        <v>2004</v>
      </c>
      <c r="E4087" s="10" t="str">
        <f ca="1">IFERROR(__xludf.DUMMYFUNCTION("""COMPUTED_VALUE"""),"Български език, 2–3/ 2004, с. 211–220. ISSN 0005-4283")</f>
        <v>Български език, 2–3/ 2004, с. 211–220. ISSN 0005-4283</v>
      </c>
      <c r="F4087" s="10"/>
      <c r="G4087" s="10"/>
      <c r="H4087" s="10"/>
      <c r="I4087" s="10"/>
      <c r="J4087" s="10"/>
      <c r="K4087" s="10"/>
      <c r="L4087" s="10"/>
      <c r="M4087" s="10"/>
      <c r="N4087" s="10"/>
      <c r="O4087" s="10"/>
      <c r="P4087" s="10"/>
      <c r="Q4087" s="10"/>
      <c r="R4087" s="10"/>
      <c r="S4087" s="10"/>
      <c r="T4087" s="10"/>
      <c r="U4087" s="10"/>
      <c r="V4087" s="10"/>
      <c r="W4087" s="10"/>
      <c r="X4087" s="10"/>
      <c r="Y4087" s="10"/>
      <c r="Z4087" s="10"/>
    </row>
    <row r="4088" spans="1:26" ht="12.75">
      <c r="A4088" s="10" t="str">
        <f ca="1">IFERROR(__xludf.DUMMYFUNCTION("""COMPUTED_VALUE"""),"Йорданка Ценкова Захариева")</f>
        <v>Йорданка Ценкова Захариева</v>
      </c>
      <c r="B4088" s="10" t="str">
        <f ca="1">IFERROR(__xludf.DUMMYFUNCTION("""COMPUTED_VALUE"""),"Статия в списания и поредици")</f>
        <v>Статия в списания и поредици</v>
      </c>
      <c r="C4088" s="10" t="str">
        <f ca="1">IFERROR(__xludf.DUMMYFUNCTION("""COMPUTED_VALUE"""),"Представянето на имената на празниците в академичните правописни речници")</f>
        <v>Представянето на имената на празниците в академичните правописни речници</v>
      </c>
      <c r="D4088" s="10">
        <f ca="1">IFERROR(__xludf.DUMMYFUNCTION("""COMPUTED_VALUE"""),2004)</f>
        <v>2004</v>
      </c>
      <c r="E4088" s="10" t="str">
        <f ca="1">IFERROR(__xludf.DUMMYFUNCTION("""COMPUTED_VALUE"""),"Български език, 1/2004, с. 103–107. ISBN 0005-4283")</f>
        <v>Български език, 1/2004, с. 103–107. ISBN 0005-4283</v>
      </c>
      <c r="F4088" s="10"/>
      <c r="G4088" s="10"/>
      <c r="H4088" s="10"/>
      <c r="I4088" s="10"/>
      <c r="J4088" s="10"/>
      <c r="K4088" s="10"/>
      <c r="L4088" s="10"/>
      <c r="M4088" s="10"/>
      <c r="N4088" s="10"/>
      <c r="O4088" s="10"/>
      <c r="P4088" s="10"/>
      <c r="Q4088" s="10"/>
      <c r="R4088" s="10"/>
      <c r="S4088" s="10"/>
      <c r="T4088" s="10"/>
      <c r="U4088" s="10"/>
      <c r="V4088" s="10"/>
      <c r="W4088" s="10"/>
      <c r="X4088" s="10"/>
      <c r="Y4088" s="10"/>
      <c r="Z4088" s="10"/>
    </row>
    <row r="4089" spans="1:26" ht="12.75">
      <c r="A4089" s="10" t="str">
        <f ca="1">IFERROR(__xludf.DUMMYFUNCTION("""COMPUTED_VALUE"""),"Йорданка Ценкова Захариева")</f>
        <v>Йорданка Ценкова Захариева</v>
      </c>
      <c r="B4089" s="10" t="str">
        <f ca="1">IFERROR(__xludf.DUMMYFUNCTION("""COMPUTED_VALUE"""),"Статия в списания и поредици")</f>
        <v>Статия в списания и поредици</v>
      </c>
      <c r="C4089" s="10" t="str">
        <f ca="1">IFERROR(__xludf.DUMMYFUNCTION("""COMPUTED_VALUE"""),"[Академик Валентин Станков (17.III.1936 - 8.XII.2003)] : In memoriam Приносът на акад. В. Станков в изследванията върху българската граматика (Вид на глагола).")</f>
        <v>[Академик Валентин Станков (17.III.1936 - 8.XII.2003)] : In memoriam Приносът на акад. В. Станков в изследванията върху българската граматика (Вид на глагола).</v>
      </c>
      <c r="D4089" s="10">
        <f ca="1">IFERROR(__xludf.DUMMYFUNCTION("""COMPUTED_VALUE"""),2004)</f>
        <v>2004</v>
      </c>
      <c r="E4089" s="10" t="str">
        <f ca="1">IFERROR(__xludf.DUMMYFUNCTION("""COMPUTED_VALUE"""),"2004 - Български език, 2–3/2004, с. 38–41. ISBN 0005-4283")</f>
        <v>2004 - Български език, 2–3/2004, с. 38–41. ISBN 0005-4283</v>
      </c>
      <c r="F4089" s="10"/>
      <c r="G4089" s="10"/>
      <c r="H4089" s="10"/>
      <c r="I4089" s="10"/>
      <c r="J4089" s="10"/>
      <c r="K4089" s="10"/>
      <c r="L4089" s="10"/>
      <c r="M4089" s="10"/>
      <c r="N4089" s="10"/>
      <c r="O4089" s="10"/>
      <c r="P4089" s="10"/>
      <c r="Q4089" s="10"/>
      <c r="R4089" s="10"/>
      <c r="S4089" s="10"/>
      <c r="T4089" s="10"/>
      <c r="U4089" s="10"/>
      <c r="V4089" s="10"/>
      <c r="W4089" s="10"/>
      <c r="X4089" s="10"/>
      <c r="Y4089" s="10"/>
      <c r="Z4089" s="10"/>
    </row>
    <row r="4090" spans="1:26" ht="12.75">
      <c r="A4090" s="10" t="str">
        <f ca="1">IFERROR(__xludf.DUMMYFUNCTION("""COMPUTED_VALUE"""),"Йорданка Ценкова Захариева")</f>
        <v>Йорданка Ценкова Захариева</v>
      </c>
      <c r="B4090" s="10" t="str">
        <f ca="1">IFERROR(__xludf.DUMMYFUNCTION("""COMPUTED_VALUE"""),"Статия в списания и поредици")</f>
        <v>Статия в списания и поредици</v>
      </c>
      <c r="C4090" s="10" t="str">
        <f ca="1">IFERROR(__xludf.DUMMYFUNCTION("""COMPUTED_VALUE"""),"Каква роля има например Институтът за български език към БАН?")</f>
        <v>Каква роля има например Институтът за български език към БАН?</v>
      </c>
      <c r="D4090" s="10">
        <f ca="1">IFERROR(__xludf.DUMMYFUNCTION("""COMPUTED_VALUE"""),2004)</f>
        <v>2004</v>
      </c>
      <c r="E4090" s="10" t="str">
        <f ca="1">IFERROR(__xludf.DUMMYFUNCTION("""COMPUTED_VALUE"""),"Про&amp;Анти, бр. 26, 1–7 юли 2004, стр.10. https://www.loc.gov/item/sn96000945/")</f>
        <v>Про&amp;Анти, бр. 26, 1–7 юли 2004, стр.10. https://www.loc.gov/item/sn96000945/</v>
      </c>
      <c r="F4090" s="10"/>
      <c r="G4090" s="10"/>
      <c r="H4090" s="10"/>
      <c r="I4090" s="10"/>
      <c r="J4090" s="10"/>
      <c r="K4090" s="10"/>
      <c r="L4090" s="10"/>
      <c r="M4090" s="10"/>
      <c r="N4090" s="10"/>
      <c r="O4090" s="10"/>
      <c r="P4090" s="10"/>
      <c r="Q4090" s="10"/>
      <c r="R4090" s="10"/>
      <c r="S4090" s="10"/>
      <c r="T4090" s="10"/>
      <c r="U4090" s="10"/>
      <c r="V4090" s="10"/>
      <c r="W4090" s="10"/>
      <c r="X4090" s="10"/>
      <c r="Y4090" s="10"/>
      <c r="Z4090" s="10"/>
    </row>
    <row r="4091" spans="1:26" ht="12.75">
      <c r="A4091" s="10" t="str">
        <f ca="1">IFERROR(__xludf.DUMMYFUNCTION("""COMPUTED_VALUE"""),"Йорданка Ценкова Захариева")</f>
        <v>Йорданка Ценкова Захариева</v>
      </c>
      <c r="B4091" s="10" t="str">
        <f ca="1">IFERROR(__xludf.DUMMYFUNCTION("""COMPUTED_VALUE"""),"Статия в списания и поредици")</f>
        <v>Статия в списания и поредици</v>
      </c>
      <c r="C4091" s="10" t="str">
        <f ca="1">IFERROR(__xludf.DUMMYFUNCTION("""COMPUTED_VALUE"""),"Дрехите на българина през Възраждането")</f>
        <v>Дрехите на българина през Възраждането</v>
      </c>
      <c r="D4091" s="10">
        <f ca="1">IFERROR(__xludf.DUMMYFUNCTION("""COMPUTED_VALUE"""),2003)</f>
        <v>2003</v>
      </c>
      <c r="E4091" s="10" t="str">
        <f ca="1">IFERROR(__xludf.DUMMYFUNCTION("""COMPUTED_VALUE"""),"Български език, 1/2003, с. 63–68. ISSN 0005-4283")</f>
        <v>Български език, 1/2003, с. 63–68. ISSN 0005-4283</v>
      </c>
      <c r="F4091" s="10"/>
      <c r="G4091" s="10"/>
      <c r="H4091" s="10"/>
      <c r="I4091" s="10"/>
      <c r="J4091" s="10"/>
      <c r="K4091" s="10"/>
      <c r="L4091" s="10"/>
      <c r="M4091" s="10"/>
      <c r="N4091" s="10"/>
      <c r="O4091" s="10"/>
      <c r="P4091" s="10"/>
      <c r="Q4091" s="10"/>
      <c r="R4091" s="10"/>
      <c r="S4091" s="10"/>
      <c r="T4091" s="10"/>
      <c r="U4091" s="10"/>
      <c r="V4091" s="10"/>
      <c r="W4091" s="10"/>
      <c r="X4091" s="10"/>
      <c r="Y4091" s="10"/>
      <c r="Z4091" s="10"/>
    </row>
    <row r="4092" spans="1:26" ht="12.75">
      <c r="A4092" s="10" t="str">
        <f ca="1">IFERROR(__xludf.DUMMYFUNCTION("""COMPUTED_VALUE"""),"Йорданка Ценкова Захариева")</f>
        <v>Йорданка Ценкова Захариева</v>
      </c>
      <c r="B4092" s="10" t="str">
        <f ca="1">IFERROR(__xludf.DUMMYFUNCTION("""COMPUTED_VALUE"""),"Статия в списания и поредици")</f>
        <v>Статия в списания и поредици</v>
      </c>
      <c r="C4092" s="10" t="str">
        <f ca="1">IFERROR(__xludf.DUMMYFUNCTION("""COMPUTED_VALUE"""),"Метафориката на дрехата у П. Р. Славейков")</f>
        <v>Метафориката на дрехата у П. Р. Славейков</v>
      </c>
      <c r="D4092" s="10">
        <f ca="1">IFERROR(__xludf.DUMMYFUNCTION("""COMPUTED_VALUE"""),2003)</f>
        <v>2003</v>
      </c>
      <c r="E4092" s="10" t="str">
        <f ca="1">IFERROR(__xludf.DUMMYFUNCTION("""COMPUTED_VALUE"""),"Петко Славейков. Нови изследвания, Сборник по повод 175 години от рождението му. В.Търново, 2003, с. 270–285. ISBN 954-775-197-2.")</f>
        <v>Петко Славейков. Нови изследвания, Сборник по повод 175 години от рождението му. В.Търново, 2003, с. 270–285. ISBN 954-775-197-2.</v>
      </c>
      <c r="F4092" s="10"/>
      <c r="G4092" s="10"/>
      <c r="H4092" s="10"/>
      <c r="I4092" s="10"/>
      <c r="J4092" s="10"/>
      <c r="K4092" s="10"/>
      <c r="L4092" s="10"/>
      <c r="M4092" s="10"/>
      <c r="N4092" s="10"/>
      <c r="O4092" s="10"/>
      <c r="P4092" s="10"/>
      <c r="Q4092" s="10"/>
      <c r="R4092" s="10"/>
      <c r="S4092" s="10"/>
      <c r="T4092" s="10"/>
      <c r="U4092" s="10"/>
      <c r="V4092" s="10"/>
      <c r="W4092" s="10"/>
      <c r="X4092" s="10"/>
      <c r="Y4092" s="10"/>
      <c r="Z4092" s="10"/>
    </row>
    <row r="4093" spans="1:26" ht="12.75">
      <c r="A4093" s="10" t="str">
        <f ca="1">IFERROR(__xludf.DUMMYFUNCTION("""COMPUTED_VALUE"""),"Йорданка Ценкова Захариева")</f>
        <v>Йорданка Ценкова Захариева</v>
      </c>
      <c r="B4093" s="10" t="str">
        <f ca="1">IFERROR(__xludf.DUMMYFUNCTION("""COMPUTED_VALUE"""),"Статия в списания и поредици")</f>
        <v>Статия в списания и поредици</v>
      </c>
      <c r="C4093" s="10" t="str">
        <f ca="1">IFERROR(__xludf.DUMMYFUNCTION("""COMPUTED_VALUE"""),"Етнокултурната лексика – названия на облекла, в Речника на Найден Геров")</f>
        <v>Етнокултурната лексика – названия на облекла, в Речника на Найден Геров</v>
      </c>
      <c r="D4093" s="10">
        <f ca="1">IFERROR(__xludf.DUMMYFUNCTION("""COMPUTED_VALUE"""),2002)</f>
        <v>2002</v>
      </c>
      <c r="E4093" s="10" t="str">
        <f ca="1">IFERROR(__xludf.DUMMYFUNCTION("""COMPUTED_VALUE"""),"Найден Геров в историята на българската наука и култура (Материали от Националната конференция с международно участие, 13–15 ноември 2000, София). Съст. В. Кювлиева-Мишайкова. София: Проф. М.Дринов, 2002, с. 104–113. ISBN 954-430-863-6")</f>
        <v>Найден Геров в историята на българската наука и култура (Материали от Националната конференция с международно участие, 13–15 ноември 2000, София). Съст. В. Кювлиева-Мишайкова. София: Проф. М.Дринов, 2002, с. 104–113. ISBN 954-430-863-6</v>
      </c>
      <c r="F4093" s="10"/>
      <c r="G4093" s="10"/>
      <c r="H4093" s="10"/>
      <c r="I4093" s="10"/>
      <c r="J4093" s="10"/>
      <c r="K4093" s="10"/>
      <c r="L4093" s="10"/>
      <c r="M4093" s="10"/>
      <c r="N4093" s="10"/>
      <c r="O4093" s="10"/>
      <c r="P4093" s="10"/>
      <c r="Q4093" s="10"/>
      <c r="R4093" s="10"/>
      <c r="S4093" s="10"/>
      <c r="T4093" s="10"/>
      <c r="U4093" s="10"/>
      <c r="V4093" s="10"/>
      <c r="W4093" s="10"/>
      <c r="X4093" s="10"/>
      <c r="Y4093" s="10"/>
      <c r="Z4093" s="10"/>
    </row>
    <row r="4094" spans="1:26" ht="12.75">
      <c r="A4094" s="10" t="str">
        <f ca="1">IFERROR(__xludf.DUMMYFUNCTION("""COMPUTED_VALUE"""),"Йорданка Ценкова Захариева")</f>
        <v>Йорданка Ценкова Захариева</v>
      </c>
      <c r="B4094" s="10" t="str">
        <f ca="1">IFERROR(__xludf.DUMMYFUNCTION("""COMPUTED_VALUE"""),"Речник (съставителство)")</f>
        <v>Речник (съставителство)</v>
      </c>
      <c r="C4094" s="10" t="str">
        <f ca="1">IFERROR(__xludf.DUMMYFUNCTION("""COMPUTED_VALUE"""),"Нов правописен речник на българския език")</f>
        <v>Нов правописен речник на българския език</v>
      </c>
      <c r="D4094" s="10">
        <f ca="1">IFERROR(__xludf.DUMMYFUNCTION("""COMPUTED_VALUE"""),2002)</f>
        <v>2002</v>
      </c>
      <c r="E4094" s="10" t="str">
        <f ca="1">IFERROR(__xludf.DUMMYFUNCTION("""COMPUTED_VALUE"""),"София: Хейзъл, 2002 (авторски колектив): Имена на празници в България, приложение N 6, с. 1017 – 1024 (автор); Словник от карикатуря до метлар, с. 402–497 (съставител). ISBN 954-8283-61-1 , УДК 808.67-1(038.1)")</f>
        <v>София: Хейзъл, 2002 (авторски колектив): Имена на празници в България, приложение N 6, с. 1017 – 1024 (автор); Словник от карикатуря до метлар, с. 402–497 (съставител). ISBN 954-8283-61-1 , УДК 808.67-1(038.1)</v>
      </c>
      <c r="F4094" s="10"/>
      <c r="G4094" s="10"/>
      <c r="H4094" s="10"/>
      <c r="I4094" s="10"/>
      <c r="J4094" s="10"/>
      <c r="K4094" s="10"/>
      <c r="L4094" s="10"/>
      <c r="M4094" s="10"/>
      <c r="N4094" s="10"/>
      <c r="O4094" s="10"/>
      <c r="P4094" s="10"/>
      <c r="Q4094" s="10"/>
      <c r="R4094" s="10"/>
      <c r="S4094" s="10"/>
      <c r="T4094" s="10"/>
      <c r="U4094" s="10"/>
      <c r="V4094" s="10"/>
      <c r="W4094" s="10"/>
      <c r="X4094" s="10"/>
      <c r="Y4094" s="10"/>
      <c r="Z4094" s="10"/>
    </row>
    <row r="4095" spans="1:26" ht="12.75">
      <c r="A4095" s="10" t="str">
        <f ca="1">IFERROR(__xludf.DUMMYFUNCTION("""COMPUTED_VALUE"""),"Йорданка Ценкова Захариева")</f>
        <v>Йорданка Ценкова Захариева</v>
      </c>
      <c r="B4095" s="10" t="str">
        <f ca="1">IFERROR(__xludf.DUMMYFUNCTION("""COMPUTED_VALUE"""),"Доклад от конференция")</f>
        <v>Доклад от конференция</v>
      </c>
      <c r="C4095" s="10" t="str">
        <f ca="1">IFERROR(__xludf.DUMMYFUNCTION("""COMPUTED_VALUE"""),"Дрехите на българина през Възраждането. Резюме")</f>
        <v>Дрехите на българина през Възраждането. Резюме</v>
      </c>
      <c r="D4095" s="10">
        <f ca="1">IFERROR(__xludf.DUMMYFUNCTION("""COMPUTED_VALUE"""),2002)</f>
        <v>2002</v>
      </c>
      <c r="E4095" s="10" t="str">
        <f ca="1">IFERROR(__xludf.DUMMYFUNCTION("""COMPUTED_VALUE"""),"2002 - Палеославистика. Лексикология. Лексикография (Тезисы международной научной конференции, посвященной памяти Р.М.Цейтлин, 27–29.11.2002, Москва, 2002, с. 26. ISBN 5-7576-0138-8.")</f>
        <v>2002 - Палеославистика. Лексикология. Лексикография (Тезисы международной научной конференции, посвященной памяти Р.М.Цейтлин, 27–29.11.2002, Москва, 2002, с. 26. ISBN 5-7576-0138-8.</v>
      </c>
      <c r="F4095" s="10"/>
      <c r="G4095" s="10"/>
      <c r="H4095" s="10"/>
      <c r="I4095" s="10"/>
      <c r="J4095" s="10"/>
      <c r="K4095" s="10"/>
      <c r="L4095" s="10"/>
      <c r="M4095" s="10"/>
      <c r="N4095" s="10"/>
      <c r="O4095" s="10"/>
      <c r="P4095" s="10"/>
      <c r="Q4095" s="10"/>
      <c r="R4095" s="10"/>
      <c r="S4095" s="10"/>
      <c r="T4095" s="10"/>
      <c r="U4095" s="10"/>
      <c r="V4095" s="10"/>
      <c r="W4095" s="10"/>
      <c r="X4095" s="10"/>
      <c r="Y4095" s="10"/>
      <c r="Z4095" s="10"/>
    </row>
    <row r="4096" spans="1:26" ht="12.75">
      <c r="A4096" s="10" t="str">
        <f ca="1">IFERROR(__xludf.DUMMYFUNCTION("""COMPUTED_VALUE"""),"Йорданка Ценкова Захариева")</f>
        <v>Йорданка Ценкова Захариева</v>
      </c>
      <c r="B4096" s="10" t="str">
        <f ca="1">IFERROR(__xludf.DUMMYFUNCTION("""COMPUTED_VALUE"""),"Статия в списания и поредици")</f>
        <v>Статия в списания и поредици</v>
      </c>
      <c r="C4096" s="10" t="str">
        <f ca="1">IFERROR(__xludf.DUMMYFUNCTION("""COMPUTED_VALUE"""),"Към разбирането за дрехата в Паисиевата история")</f>
        <v>Към разбирането за дрехата в Паисиевата история</v>
      </c>
      <c r="D4096" s="10">
        <f ca="1">IFERROR(__xludf.DUMMYFUNCTION("""COMPUTED_VALUE"""),2002)</f>
        <v>2002</v>
      </c>
      <c r="E4096" s="10" t="str">
        <f ca="1">IFERROR(__xludf.DUMMYFUNCTION("""COMPUTED_VALUE"""),"Научни трудове на Пловдивския университет „Паисий Хилендарски”, т. 40, кн. 1, 2002 – Филология, с. 65–69. [Юбилейни Паисиеви четения] : [280 г. от рождението на Паисий Хилендарски и 240 г. от написването на История славеноболгарская]. УДК 886.7-94.09. ISS"&amp;"N 0861-0029")</f>
        <v>Научни трудове на Пловдивския университет „Паисий Хилендарски”, т. 40, кн. 1, 2002 – Филология, с. 65–69. [Юбилейни Паисиеви четения] : [280 г. от рождението на Паисий Хилендарски и 240 г. от написването на История славеноболгарская]. УДК 886.7-94.09. ISSN 0861-0029</v>
      </c>
      <c r="F4096" s="10"/>
      <c r="G4096" s="10"/>
      <c r="H4096" s="10"/>
      <c r="I4096" s="10"/>
      <c r="J4096" s="10"/>
      <c r="K4096" s="10"/>
      <c r="L4096" s="10"/>
      <c r="M4096" s="10"/>
      <c r="N4096" s="10"/>
      <c r="O4096" s="10"/>
      <c r="P4096" s="10"/>
      <c r="Q4096" s="10"/>
      <c r="R4096" s="10"/>
      <c r="S4096" s="10"/>
      <c r="T4096" s="10"/>
      <c r="U4096" s="10"/>
      <c r="V4096" s="10"/>
      <c r="W4096" s="10"/>
      <c r="X4096" s="10"/>
      <c r="Y4096" s="10"/>
      <c r="Z4096" s="10"/>
    </row>
    <row r="4097" spans="1:26" ht="12.75">
      <c r="A4097" s="10" t="str">
        <f ca="1">IFERROR(__xludf.DUMMYFUNCTION("""COMPUTED_VALUE"""),"Йорданка Ценкова Захариева")</f>
        <v>Йорданка Ценкова Захариева</v>
      </c>
      <c r="B4097" s="10" t="str">
        <f ca="1">IFERROR(__xludf.DUMMYFUNCTION("""COMPUTED_VALUE"""),"Статия в списания и поредици")</f>
        <v>Статия в списания и поредици</v>
      </c>
      <c r="C4097" s="10" t="str">
        <f ca="1">IFERROR(__xludf.DUMMYFUNCTION("""COMPUTED_VALUE"""),"Камба или гамба?")</f>
        <v>Камба или гамба?</v>
      </c>
      <c r="D4097" s="10">
        <f ca="1">IFERROR(__xludf.DUMMYFUNCTION("""COMPUTED_VALUE"""),2001)</f>
        <v>2001</v>
      </c>
      <c r="E4097" s="10" t="str">
        <f ca="1">IFERROR(__xludf.DUMMYFUNCTION("""COMPUTED_VALUE"""),"NEDELNIK, Bulgarian Weekly Newspaper, 24/2001. https://www.loc.gov/item/sn96000945/")</f>
        <v>NEDELNIK, Bulgarian Weekly Newspaper, 24/2001. https://www.loc.gov/item/sn96000945/</v>
      </c>
      <c r="F4097" s="10"/>
      <c r="G4097" s="10"/>
      <c r="H4097" s="10"/>
      <c r="I4097" s="10"/>
      <c r="J4097" s="10"/>
      <c r="K4097" s="10"/>
      <c r="L4097" s="10"/>
      <c r="M4097" s="10"/>
      <c r="N4097" s="10"/>
      <c r="O4097" s="10"/>
      <c r="P4097" s="10"/>
      <c r="Q4097" s="10"/>
      <c r="R4097" s="10"/>
      <c r="S4097" s="10"/>
      <c r="T4097" s="10"/>
      <c r="U4097" s="10"/>
      <c r="V4097" s="10"/>
      <c r="W4097" s="10"/>
      <c r="X4097" s="10"/>
      <c r="Y4097" s="10"/>
      <c r="Z4097" s="10"/>
    </row>
    <row r="4098" spans="1:26" ht="12.75">
      <c r="A4098" s="10" t="str">
        <f ca="1">IFERROR(__xludf.DUMMYFUNCTION("""COMPUTED_VALUE"""),"Йорданка Ценкова Захариева")</f>
        <v>Йорданка Ценкова Захариева</v>
      </c>
      <c r="B4098" s="10" t="str">
        <f ca="1">IFERROR(__xludf.DUMMYFUNCTION("""COMPUTED_VALUE"""),"Статия в списания и поредици")</f>
        <v>Статия в списания и поредици</v>
      </c>
      <c r="C4098" s="10" t="str">
        <f ca="1">IFERROR(__xludf.DUMMYFUNCTION("""COMPUTED_VALUE"""),"Как да означаваме посоките на света? (2. част)")</f>
        <v>Как да означаваме посоките на света? (2. част)</v>
      </c>
      <c r="D4098" s="10">
        <f ca="1">IFERROR(__xludf.DUMMYFUNCTION("""COMPUTED_VALUE"""),2001)</f>
        <v>2001</v>
      </c>
      <c r="E4098" s="10" t="str">
        <f ca="1">IFERROR(__xludf.DUMMYFUNCTION("""COMPUTED_VALUE"""),"NEDELNIK, Bulgarian Weekly Newspaper, 19/2001. https://www.loc.gov/item/sn96000945/")</f>
        <v>NEDELNIK, Bulgarian Weekly Newspaper, 19/2001. https://www.loc.gov/item/sn96000945/</v>
      </c>
      <c r="F4098" s="10"/>
      <c r="G4098" s="10"/>
      <c r="H4098" s="10"/>
      <c r="I4098" s="10"/>
      <c r="J4098" s="10"/>
      <c r="K4098" s="10"/>
      <c r="L4098" s="10"/>
      <c r="M4098" s="10"/>
      <c r="N4098" s="10"/>
      <c r="O4098" s="10"/>
      <c r="P4098" s="10"/>
      <c r="Q4098" s="10"/>
      <c r="R4098" s="10"/>
      <c r="S4098" s="10"/>
      <c r="T4098" s="10"/>
      <c r="U4098" s="10"/>
      <c r="V4098" s="10"/>
      <c r="W4098" s="10"/>
      <c r="X4098" s="10"/>
      <c r="Y4098" s="10"/>
      <c r="Z4098" s="10"/>
    </row>
    <row r="4099" spans="1:26" ht="12.75">
      <c r="A4099" s="10" t="str">
        <f ca="1">IFERROR(__xludf.DUMMYFUNCTION("""COMPUTED_VALUE"""),"Йорданка Ценкова Захариева")</f>
        <v>Йорданка Ценкова Захариева</v>
      </c>
      <c r="B4099" s="10" t="str">
        <f ca="1">IFERROR(__xludf.DUMMYFUNCTION("""COMPUTED_VALUE"""),"Статия в списания и поредици")</f>
        <v>Статия в списания и поредици</v>
      </c>
      <c r="C4099" s="10" t="str">
        <f ca="1">IFERROR(__xludf.DUMMYFUNCTION("""COMPUTED_VALUE"""),"Инициативата")</f>
        <v>Инициативата</v>
      </c>
      <c r="D4099" s="10">
        <f ca="1">IFERROR(__xludf.DUMMYFUNCTION("""COMPUTED_VALUE"""),2001)</f>
        <v>2001</v>
      </c>
      <c r="E4099" s="10" t="str">
        <f ca="1">IFERROR(__xludf.DUMMYFUNCTION("""COMPUTED_VALUE"""),"NEDELNIK, Bulgarian Weekly Newspaper, 43/2001. https://www.loc.gov/item/sn96000945/")</f>
        <v>NEDELNIK, Bulgarian Weekly Newspaper, 43/2001. https://www.loc.gov/item/sn96000945/</v>
      </c>
      <c r="F4099" s="10"/>
      <c r="G4099" s="10"/>
      <c r="H4099" s="10"/>
      <c r="I4099" s="10"/>
      <c r="J4099" s="10"/>
      <c r="K4099" s="10"/>
      <c r="L4099" s="10"/>
      <c r="M4099" s="10"/>
      <c r="N4099" s="10"/>
      <c r="O4099" s="10"/>
      <c r="P4099" s="10"/>
      <c r="Q4099" s="10"/>
      <c r="R4099" s="10"/>
      <c r="S4099" s="10"/>
      <c r="T4099" s="10"/>
      <c r="U4099" s="10"/>
      <c r="V4099" s="10"/>
      <c r="W4099" s="10"/>
      <c r="X4099" s="10"/>
      <c r="Y4099" s="10"/>
      <c r="Z4099" s="10"/>
    </row>
    <row r="4100" spans="1:26" ht="12.75">
      <c r="A4100" s="10" t="str">
        <f ca="1">IFERROR(__xludf.DUMMYFUNCTION("""COMPUTED_VALUE"""),"Йорданка Ценкова Захариева")</f>
        <v>Йорданка Ценкова Захариева</v>
      </c>
      <c r="B4100" s="10" t="str">
        <f ca="1">IFERROR(__xludf.DUMMYFUNCTION("""COMPUTED_VALUE"""),"Статия в списания и поредици")</f>
        <v>Статия в списания и поредици</v>
      </c>
      <c r="C4100" s="10" t="str">
        <f ca="1">IFERROR(__xludf.DUMMYFUNCTION("""COMPUTED_VALUE"""),"Има ли грешка в по погрешка")</f>
        <v>Има ли грешка в по погрешка</v>
      </c>
      <c r="D4100" s="10">
        <f ca="1">IFERROR(__xludf.DUMMYFUNCTION("""COMPUTED_VALUE"""),2001)</f>
        <v>2001</v>
      </c>
      <c r="E4100" s="10" t="str">
        <f ca="1">IFERROR(__xludf.DUMMYFUNCTION("""COMPUTED_VALUE"""),"NEDELNIK, Bulgarian Weekly Newspaper, 6/2001. https://www.loc.gov/item/sn96000945/")</f>
        <v>NEDELNIK, Bulgarian Weekly Newspaper, 6/2001. https://www.loc.gov/item/sn96000945/</v>
      </c>
      <c r="F4100" s="10"/>
      <c r="G4100" s="10"/>
      <c r="H4100" s="10"/>
      <c r="I4100" s="10"/>
      <c r="J4100" s="10"/>
      <c r="K4100" s="10"/>
      <c r="L4100" s="10"/>
      <c r="M4100" s="10"/>
      <c r="N4100" s="10"/>
      <c r="O4100" s="10"/>
      <c r="P4100" s="10"/>
      <c r="Q4100" s="10"/>
      <c r="R4100" s="10"/>
      <c r="S4100" s="10"/>
      <c r="T4100" s="10"/>
      <c r="U4100" s="10"/>
      <c r="V4100" s="10"/>
      <c r="W4100" s="10"/>
      <c r="X4100" s="10"/>
      <c r="Y4100" s="10"/>
      <c r="Z4100" s="10"/>
    </row>
    <row r="4101" spans="1:26" ht="12.75">
      <c r="A4101" s="10" t="str">
        <f ca="1">IFERROR(__xludf.DUMMYFUNCTION("""COMPUTED_VALUE"""),"Йорданка Ценкова Захариева")</f>
        <v>Йорданка Ценкова Захариева</v>
      </c>
      <c r="B4101" s="10" t="str">
        <f ca="1">IFERROR(__xludf.DUMMYFUNCTION("""COMPUTED_VALUE"""),"Статия в списания и поредици")</f>
        <v>Статия в списания и поредици</v>
      </c>
      <c r="C4101" s="10" t="str">
        <f ca="1">IFERROR(__xludf.DUMMYFUNCTION("""COMPUTED_VALUE"""),"Между променливото Я и непроменливото Я")</f>
        <v>Между променливото Я и непроменливото Я</v>
      </c>
      <c r="D4101" s="10">
        <f ca="1">IFERROR(__xludf.DUMMYFUNCTION("""COMPUTED_VALUE"""),2001)</f>
        <v>2001</v>
      </c>
      <c r="E4101" s="10" t="str">
        <f ca="1">IFERROR(__xludf.DUMMYFUNCTION("""COMPUTED_VALUE"""),"NEDELNIK, Bulgarian Weekly Newspaper, 4/2001. https://www.loc.gov/item/sn96000945/")</f>
        <v>NEDELNIK, Bulgarian Weekly Newspaper, 4/2001. https://www.loc.gov/item/sn96000945/</v>
      </c>
      <c r="F4101" s="10"/>
      <c r="G4101" s="10"/>
      <c r="H4101" s="10"/>
      <c r="I4101" s="10"/>
      <c r="J4101" s="10"/>
      <c r="K4101" s="10"/>
      <c r="L4101" s="10"/>
      <c r="M4101" s="10"/>
      <c r="N4101" s="10"/>
      <c r="O4101" s="10"/>
      <c r="P4101" s="10"/>
      <c r="Q4101" s="10"/>
      <c r="R4101" s="10"/>
      <c r="S4101" s="10"/>
      <c r="T4101" s="10"/>
      <c r="U4101" s="10"/>
      <c r="V4101" s="10"/>
      <c r="W4101" s="10"/>
      <c r="X4101" s="10"/>
      <c r="Y4101" s="10"/>
      <c r="Z4101" s="10"/>
    </row>
    <row r="4102" spans="1:26" ht="12.75">
      <c r="A4102" s="10" t="str">
        <f ca="1">IFERROR(__xludf.DUMMYFUNCTION("""COMPUTED_VALUE"""),"Йорданка Ценкова Захариева")</f>
        <v>Йорданка Ценкова Захариева</v>
      </c>
      <c r="B4102" s="10"/>
      <c r="C4102" s="10" t="str">
        <f ca="1">IFERROR(__xludf.DUMMYFUNCTION("""COMPUTED_VALUE"""),"Как да означаваме посоките на света? (1. част).")</f>
        <v>Как да означаваме посоките на света? (1. част).</v>
      </c>
      <c r="D4102" s="10">
        <f ca="1">IFERROR(__xludf.DUMMYFUNCTION("""COMPUTED_VALUE"""),2001)</f>
        <v>2001</v>
      </c>
      <c r="E4102" s="10" t="str">
        <f ca="1">IFERROR(__xludf.DUMMYFUNCTION("""COMPUTED_VALUE"""),"NEDELNIK, Bulgarian Weekly Newspaper , 18/2001. https://www.loc.gov/item/sn96000945/")</f>
        <v>NEDELNIK, Bulgarian Weekly Newspaper , 18/2001. https://www.loc.gov/item/sn96000945/</v>
      </c>
      <c r="F4102" s="10"/>
      <c r="G4102" s="10"/>
      <c r="H4102" s="10"/>
      <c r="I4102" s="10"/>
      <c r="J4102" s="10"/>
      <c r="K4102" s="10"/>
      <c r="L4102" s="10"/>
      <c r="M4102" s="10"/>
      <c r="N4102" s="10"/>
      <c r="O4102" s="10"/>
      <c r="P4102" s="10"/>
      <c r="Q4102" s="10"/>
      <c r="R4102" s="10"/>
      <c r="S4102" s="10"/>
      <c r="T4102" s="10"/>
      <c r="U4102" s="10"/>
      <c r="V4102" s="10"/>
      <c r="W4102" s="10"/>
      <c r="X4102" s="10"/>
      <c r="Y4102" s="10"/>
      <c r="Z4102" s="10"/>
    </row>
    <row r="4103" spans="1:26" ht="12.75">
      <c r="A4103" s="10" t="str">
        <f ca="1">IFERROR(__xludf.DUMMYFUNCTION("""COMPUTED_VALUE"""),"Йорданка Ценкова Захариева")</f>
        <v>Йорданка Ценкова Захариева</v>
      </c>
      <c r="B4103" s="10" t="str">
        <f ca="1">IFERROR(__xludf.DUMMYFUNCTION("""COMPUTED_VALUE"""),"Статия в списания и поредици")</f>
        <v>Статия в списания и поредици</v>
      </c>
      <c r="C4103" s="10" t="str">
        <f ca="1">IFERROR(__xludf.DUMMYFUNCTION("""COMPUTED_VALUE"""),"Как да означаваме посоките на света? (3. част)")</f>
        <v>Как да означаваме посоките на света? (3. част)</v>
      </c>
      <c r="D4103" s="10">
        <f ca="1">IFERROR(__xludf.DUMMYFUNCTION("""COMPUTED_VALUE"""),2001)</f>
        <v>2001</v>
      </c>
      <c r="E4103" s="10" t="str">
        <f ca="1">IFERROR(__xludf.DUMMYFUNCTION("""COMPUTED_VALUE"""),"NEDELNIK, Bulgarian Weekly Newspaper, 20/2001. https://www.loc.gov/item/sn96000945/")</f>
        <v>NEDELNIK, Bulgarian Weekly Newspaper, 20/2001. https://www.loc.gov/item/sn96000945/</v>
      </c>
      <c r="F4103" s="10"/>
      <c r="G4103" s="10"/>
      <c r="H4103" s="10"/>
      <c r="I4103" s="10"/>
      <c r="J4103" s="10"/>
      <c r="K4103" s="10"/>
      <c r="L4103" s="10"/>
      <c r="M4103" s="10"/>
      <c r="N4103" s="10"/>
      <c r="O4103" s="10"/>
      <c r="P4103" s="10"/>
      <c r="Q4103" s="10"/>
      <c r="R4103" s="10"/>
      <c r="S4103" s="10"/>
      <c r="T4103" s="10"/>
      <c r="U4103" s="10"/>
      <c r="V4103" s="10"/>
      <c r="W4103" s="10"/>
      <c r="X4103" s="10"/>
      <c r="Y4103" s="10"/>
      <c r="Z4103" s="10"/>
    </row>
    <row r="4104" spans="1:26" ht="12.75">
      <c r="A4104" s="10" t="str">
        <f ca="1">IFERROR(__xludf.DUMMYFUNCTION("""COMPUTED_VALUE"""),"Йорданка Ценкова Захариева")</f>
        <v>Йорданка Ценкова Захариева</v>
      </c>
      <c r="B4104" s="10" t="str">
        <f ca="1">IFERROR(__xludf.DUMMYFUNCTION("""COMPUTED_VALUE"""),"Статия в списания и поредици")</f>
        <v>Статия в списания и поредици</v>
      </c>
      <c r="C4104" s="10" t="str">
        <f ca="1">IFERROR(__xludf.DUMMYFUNCTION("""COMPUTED_VALUE"""),"За цифрите или за числата")</f>
        <v>За цифрите или за числата</v>
      </c>
      <c r="D4104" s="10">
        <f ca="1">IFERROR(__xludf.DUMMYFUNCTION("""COMPUTED_VALUE"""),2001)</f>
        <v>2001</v>
      </c>
      <c r="E4104" s="10" t="str">
        <f ca="1">IFERROR(__xludf.DUMMYFUNCTION("""COMPUTED_VALUE"""),"NEDELNIK, Bulgarian Weekly Newspaper, 1/2001. https://www.loc.gov/item/sn96000945/")</f>
        <v>NEDELNIK, Bulgarian Weekly Newspaper, 1/2001. https://www.loc.gov/item/sn96000945/</v>
      </c>
      <c r="F4104" s="10"/>
      <c r="G4104" s="10"/>
      <c r="H4104" s="10"/>
      <c r="I4104" s="10"/>
      <c r="J4104" s="10"/>
      <c r="K4104" s="10"/>
      <c r="L4104" s="10"/>
      <c r="M4104" s="10"/>
      <c r="N4104" s="10"/>
      <c r="O4104" s="10"/>
      <c r="P4104" s="10"/>
      <c r="Q4104" s="10"/>
      <c r="R4104" s="10"/>
      <c r="S4104" s="10"/>
      <c r="T4104" s="10"/>
      <c r="U4104" s="10"/>
      <c r="V4104" s="10"/>
      <c r="W4104" s="10"/>
      <c r="X4104" s="10"/>
      <c r="Y4104" s="10"/>
      <c r="Z4104" s="10"/>
    </row>
    <row r="4105" spans="1:26" ht="12.75">
      <c r="A4105" s="10" t="str">
        <f ca="1">IFERROR(__xludf.DUMMYFUNCTION("""COMPUTED_VALUE"""),"Йорданка Ценкова Захариева")</f>
        <v>Йорданка Ценкова Захариева</v>
      </c>
      <c r="B4105" s="10" t="str">
        <f ca="1">IFERROR(__xludf.DUMMYFUNCTION("""COMPUTED_VALUE"""),"Статия в списания и поредици")</f>
        <v>Статия в списания и поредици</v>
      </c>
      <c r="C4105" s="10" t="str">
        <f ca="1">IFERROR(__xludf.DUMMYFUNCTION("""COMPUTED_VALUE"""),"Хак, хакване, хакери")</f>
        <v>Хак, хакване, хакери</v>
      </c>
      <c r="D4105" s="10">
        <f ca="1">IFERROR(__xludf.DUMMYFUNCTION("""COMPUTED_VALUE"""),2001)</f>
        <v>2001</v>
      </c>
      <c r="E4105" s="10" t="str">
        <f ca="1">IFERROR(__xludf.DUMMYFUNCTION("""COMPUTED_VALUE"""),"NEDELNIK, Bulgarian Weekly Newspaper, 39/2001. https://www.loc.gov/item/sn96000945/")</f>
        <v>NEDELNIK, Bulgarian Weekly Newspaper, 39/2001. https://www.loc.gov/item/sn96000945/</v>
      </c>
      <c r="F4105" s="10"/>
      <c r="G4105" s="10"/>
      <c r="H4105" s="10"/>
      <c r="I4105" s="10"/>
      <c r="J4105" s="10"/>
      <c r="K4105" s="10"/>
      <c r="L4105" s="10"/>
      <c r="M4105" s="10"/>
      <c r="N4105" s="10"/>
      <c r="O4105" s="10"/>
      <c r="P4105" s="10"/>
      <c r="Q4105" s="10"/>
      <c r="R4105" s="10"/>
      <c r="S4105" s="10"/>
      <c r="T4105" s="10"/>
      <c r="U4105" s="10"/>
      <c r="V4105" s="10"/>
      <c r="W4105" s="10"/>
      <c r="X4105" s="10"/>
      <c r="Y4105" s="10"/>
      <c r="Z4105" s="10"/>
    </row>
    <row r="4106" spans="1:26" ht="12.75">
      <c r="A4106" s="10" t="str">
        <f ca="1">IFERROR(__xludf.DUMMYFUNCTION("""COMPUTED_VALUE"""),"Йорданка Ценкова Захариева")</f>
        <v>Йорданка Ценкова Захариева</v>
      </c>
      <c r="B4106" s="10" t="str">
        <f ca="1">IFERROR(__xludf.DUMMYFUNCTION("""COMPUTED_VALUE"""),"Статия в списания и поредици")</f>
        <v>Статия в списания и поредици</v>
      </c>
      <c r="C4106" s="10" t="str">
        <f ca="1">IFERROR(__xludf.DUMMYFUNCTION("""COMPUTED_VALUE"""),"Фразеологични словосъчетания или перифрази на глагола")</f>
        <v>Фразеологични словосъчетания или перифрази на глагола</v>
      </c>
      <c r="D4106" s="10">
        <f ca="1">IFERROR(__xludf.DUMMYFUNCTION("""COMPUTED_VALUE"""),2001)</f>
        <v>2001</v>
      </c>
      <c r="E4106" s="10" t="str">
        <f ca="1">IFERROR(__xludf.DUMMYFUNCTION("""COMPUTED_VALUE"""),"Обучението по български език в началото на ХХI век. Смолян, 2001, с. 42–45. ISBN 954-91026-1-0.")</f>
        <v>Обучението по български език в началото на ХХI век. Смолян, 2001, с. 42–45. ISBN 954-91026-1-0.</v>
      </c>
      <c r="F4106" s="10"/>
      <c r="G4106" s="10"/>
      <c r="H4106" s="10"/>
      <c r="I4106" s="10"/>
      <c r="J4106" s="10"/>
      <c r="K4106" s="10"/>
      <c r="L4106" s="10"/>
      <c r="M4106" s="10"/>
      <c r="N4106" s="10"/>
      <c r="O4106" s="10"/>
      <c r="P4106" s="10"/>
      <c r="Q4106" s="10"/>
      <c r="R4106" s="10"/>
      <c r="S4106" s="10"/>
      <c r="T4106" s="10"/>
      <c r="U4106" s="10"/>
      <c r="V4106" s="10"/>
      <c r="W4106" s="10"/>
      <c r="X4106" s="10"/>
      <c r="Y4106" s="10"/>
      <c r="Z4106" s="10"/>
    </row>
    <row r="4107" spans="1:26" ht="12.75">
      <c r="A4107" s="10" t="str">
        <f ca="1">IFERROR(__xludf.DUMMYFUNCTION("""COMPUTED_VALUE"""),"Йорданка Ценкова Захариева")</f>
        <v>Йорданка Ценкова Захариева</v>
      </c>
      <c r="B4107" s="10" t="str">
        <f ca="1">IFERROR(__xludf.DUMMYFUNCTION("""COMPUTED_VALUE"""),"Статия в списания и поредици")</f>
        <v>Статия в списания и поредици</v>
      </c>
      <c r="C4107" s="10" t="str">
        <f ca="1">IFERROR(__xludf.DUMMYFUNCTION("""COMPUTED_VALUE"""),"Дилмано, дилберо, кажи ми...")</f>
        <v>Дилмано, дилберо, кажи ми...</v>
      </c>
      <c r="D4107" s="10">
        <f ca="1">IFERROR(__xludf.DUMMYFUNCTION("""COMPUTED_VALUE"""),2001)</f>
        <v>2001</v>
      </c>
      <c r="E4107" s="10" t="str">
        <f ca="1">IFERROR(__xludf.DUMMYFUNCTION("""COMPUTED_VALUE"""),"NEDELNIK, Bulgarian Weekly Newspaper, 14/2001. https://www.loc.gov/item/sn96000945/")</f>
        <v>NEDELNIK, Bulgarian Weekly Newspaper, 14/2001. https://www.loc.gov/item/sn96000945/</v>
      </c>
      <c r="F4107" s="10"/>
      <c r="G4107" s="10"/>
      <c r="H4107" s="10"/>
      <c r="I4107" s="10"/>
      <c r="J4107" s="10"/>
      <c r="K4107" s="10"/>
      <c r="L4107" s="10"/>
      <c r="M4107" s="10"/>
      <c r="N4107" s="10"/>
      <c r="O4107" s="10"/>
      <c r="P4107" s="10"/>
      <c r="Q4107" s="10"/>
      <c r="R4107" s="10"/>
      <c r="S4107" s="10"/>
      <c r="T4107" s="10"/>
      <c r="U4107" s="10"/>
      <c r="V4107" s="10"/>
      <c r="W4107" s="10"/>
      <c r="X4107" s="10"/>
      <c r="Y4107" s="10"/>
      <c r="Z4107" s="10"/>
    </row>
    <row r="4108" spans="1:26" ht="12.75">
      <c r="A4108" s="10" t="str">
        <f ca="1">IFERROR(__xludf.DUMMYFUNCTION("""COMPUTED_VALUE"""),"Йорданка Ценкова Захариева")</f>
        <v>Йорданка Ценкова Захариева</v>
      </c>
      <c r="B4108" s="10" t="str">
        <f ca="1">IFERROR(__xludf.DUMMYFUNCTION("""COMPUTED_VALUE"""),"Статия в списания и поредици")</f>
        <v>Статия в списания и поредици</v>
      </c>
      <c r="C4108" s="10" t="str">
        <f ca="1">IFERROR(__xludf.DUMMYFUNCTION("""COMPUTED_VALUE"""),"Вследствие на или следствие на?")</f>
        <v>Вследствие на или следствие на?</v>
      </c>
      <c r="D4108" s="10">
        <f ca="1">IFERROR(__xludf.DUMMYFUNCTION("""COMPUTED_VALUE"""),2001)</f>
        <v>2001</v>
      </c>
      <c r="E4108" s="10" t="str">
        <f ca="1">IFERROR(__xludf.DUMMYFUNCTION("""COMPUTED_VALUE"""),"NEDELNIK, Bulgarian Weekly Newspaper, 41/2001. https://www.loc.gov/item/sn96000945/")</f>
        <v>NEDELNIK, Bulgarian Weekly Newspaper, 41/2001. https://www.loc.gov/item/sn96000945/</v>
      </c>
      <c r="F4108" s="10"/>
      <c r="G4108" s="10"/>
      <c r="H4108" s="10"/>
      <c r="I4108" s="10"/>
      <c r="J4108" s="10"/>
      <c r="K4108" s="10"/>
      <c r="L4108" s="10"/>
      <c r="M4108" s="10"/>
      <c r="N4108" s="10"/>
      <c r="O4108" s="10"/>
      <c r="P4108" s="10"/>
      <c r="Q4108" s="10"/>
      <c r="R4108" s="10"/>
      <c r="S4108" s="10"/>
      <c r="T4108" s="10"/>
      <c r="U4108" s="10"/>
      <c r="V4108" s="10"/>
      <c r="W4108" s="10"/>
      <c r="X4108" s="10"/>
      <c r="Y4108" s="10"/>
      <c r="Z4108" s="10"/>
    </row>
    <row r="4109" spans="1:26" ht="12.75">
      <c r="A4109" s="10" t="str">
        <f ca="1">IFERROR(__xludf.DUMMYFUNCTION("""COMPUTED_VALUE"""),"Йорданка Ценкова Захариева")</f>
        <v>Йорданка Ценкова Захариева</v>
      </c>
      <c r="B4109" s="10" t="str">
        <f ca="1">IFERROR(__xludf.DUMMYFUNCTION("""COMPUTED_VALUE"""),"Статия в списания и поредици")</f>
        <v>Статия в списания и поредици</v>
      </c>
      <c r="C4109" s="10" t="str">
        <f ca="1">IFERROR(__xludf.DUMMYFUNCTION("""COMPUTED_VALUE"""),"От плащаницата към мантията")</f>
        <v>От плащаницата към мантията</v>
      </c>
      <c r="D4109" s="10">
        <f ca="1">IFERROR(__xludf.DUMMYFUNCTION("""COMPUTED_VALUE"""),2001)</f>
        <v>2001</v>
      </c>
      <c r="E4109" s="10" t="str">
        <f ca="1">IFERROR(__xludf.DUMMYFUNCTION("""COMPUTED_VALUE"""),"Българският език през ХХ век. София: Марин Дринов, Пенсофт, 2001, с. 352–366. ISBN 954-430-766-4, ISBN 954-642-113-8")</f>
        <v>Българският език през ХХ век. София: Марин Дринов, Пенсофт, 2001, с. 352–366. ISBN 954-430-766-4, ISBN 954-642-113-8</v>
      </c>
      <c r="F4109" s="10"/>
      <c r="G4109" s="10"/>
      <c r="H4109" s="10"/>
      <c r="I4109" s="10"/>
      <c r="J4109" s="10"/>
      <c r="K4109" s="10"/>
      <c r="L4109" s="10"/>
      <c r="M4109" s="10"/>
      <c r="N4109" s="10"/>
      <c r="O4109" s="10"/>
      <c r="P4109" s="10"/>
      <c r="Q4109" s="10"/>
      <c r="R4109" s="10"/>
      <c r="S4109" s="10"/>
      <c r="T4109" s="10"/>
      <c r="U4109" s="10"/>
      <c r="V4109" s="10"/>
      <c r="W4109" s="10"/>
      <c r="X4109" s="10"/>
      <c r="Y4109" s="10"/>
      <c r="Z4109" s="10"/>
    </row>
    <row r="4110" spans="1:26" ht="12.75">
      <c r="A4110" s="10" t="str">
        <f ca="1">IFERROR(__xludf.DUMMYFUNCTION("""COMPUTED_VALUE"""),"Йорданка Ценкова Захариева")</f>
        <v>Йорданка Ценкова Захариева</v>
      </c>
      <c r="B4110" s="10" t="str">
        <f ca="1">IFERROR(__xludf.DUMMYFUNCTION("""COMPUTED_VALUE"""),"Статия в списания и поредици")</f>
        <v>Статия в списания и поредици</v>
      </c>
      <c r="C4110" s="10" t="str">
        <f ca="1">IFERROR(__xludf.DUMMYFUNCTION("""COMPUTED_VALUE"""),"Как да напишем името на новия американски президент?")</f>
        <v>Как да напишем името на новия американски президент?</v>
      </c>
      <c r="D4110" s="10">
        <f ca="1">IFERROR(__xludf.DUMMYFUNCTION("""COMPUTED_VALUE"""),2001)</f>
        <v>2001</v>
      </c>
      <c r="E4110" s="10" t="str">
        <f ca="1">IFERROR(__xludf.DUMMYFUNCTION("""COMPUTED_VALUE"""),"NEDELNIK, Bulgarian Weekly Newspaper, 3/2001. https://www.loc.gov/item/sn96000945/")</f>
        <v>NEDELNIK, Bulgarian Weekly Newspaper, 3/2001. https://www.loc.gov/item/sn96000945/</v>
      </c>
      <c r="F4110" s="10"/>
      <c r="G4110" s="10"/>
      <c r="H4110" s="10"/>
      <c r="I4110" s="10"/>
      <c r="J4110" s="10"/>
      <c r="K4110" s="10"/>
      <c r="L4110" s="10"/>
      <c r="M4110" s="10"/>
      <c r="N4110" s="10"/>
      <c r="O4110" s="10"/>
      <c r="P4110" s="10"/>
      <c r="Q4110" s="10"/>
      <c r="R4110" s="10"/>
      <c r="S4110" s="10"/>
      <c r="T4110" s="10"/>
      <c r="U4110" s="10"/>
      <c r="V4110" s="10"/>
      <c r="W4110" s="10"/>
      <c r="X4110" s="10"/>
      <c r="Y4110" s="10"/>
      <c r="Z4110" s="10"/>
    </row>
    <row r="4111" spans="1:26" ht="12.75">
      <c r="A4111" s="10" t="str">
        <f ca="1">IFERROR(__xludf.DUMMYFUNCTION("""COMPUTED_VALUE"""),"Йорданка Ценкова Захариева")</f>
        <v>Йорданка Ценкова Захариева</v>
      </c>
      <c r="B4111" s="10" t="str">
        <f ca="1">IFERROR(__xludf.DUMMYFUNCTION("""COMPUTED_VALUE"""),"Статия в списания и поредици")</f>
        <v>Статия в списания и поредици</v>
      </c>
      <c r="C4111" s="10" t="str">
        <f ca="1">IFERROR(__xludf.DUMMYFUNCTION("""COMPUTED_VALUE"""),"За някои глаголи в българския език")</f>
        <v>За някои глаголи в българския език</v>
      </c>
      <c r="D4111" s="10">
        <f ca="1">IFERROR(__xludf.DUMMYFUNCTION("""COMPUTED_VALUE"""),2000)</f>
        <v>2000</v>
      </c>
      <c r="E4111" s="10" t="str">
        <f ca="1">IFERROR(__xludf.DUMMYFUNCTION("""COMPUTED_VALUE"""),"NEDELNIK, Bulgarian Weekly Newspaper, 36/2000. https://www.loc.gov/item/sn96000945/")</f>
        <v>NEDELNIK, Bulgarian Weekly Newspaper, 36/2000. https://www.loc.gov/item/sn96000945/</v>
      </c>
      <c r="F4111" s="10"/>
      <c r="G4111" s="10"/>
      <c r="H4111" s="10"/>
      <c r="I4111" s="10"/>
      <c r="J4111" s="10"/>
      <c r="K4111" s="10"/>
      <c r="L4111" s="10"/>
      <c r="M4111" s="10"/>
      <c r="N4111" s="10"/>
      <c r="O4111" s="10"/>
      <c r="P4111" s="10"/>
      <c r="Q4111" s="10"/>
      <c r="R4111" s="10"/>
      <c r="S4111" s="10"/>
      <c r="T4111" s="10"/>
      <c r="U4111" s="10"/>
      <c r="V4111" s="10"/>
      <c r="W4111" s="10"/>
      <c r="X4111" s="10"/>
      <c r="Y4111" s="10"/>
      <c r="Z4111" s="10"/>
    </row>
    <row r="4112" spans="1:26" ht="12.75">
      <c r="A4112" s="10" t="str">
        <f ca="1">IFERROR(__xludf.DUMMYFUNCTION("""COMPUTED_VALUE"""),"Йорданка Ценкова Захариева")</f>
        <v>Йорданка Ценкова Захариева</v>
      </c>
      <c r="B4112" s="10" t="str">
        <f ca="1">IFERROR(__xludf.DUMMYFUNCTION("""COMPUTED_VALUE"""),"Статия в списания и поредици")</f>
        <v>Статия в списания и поредици</v>
      </c>
      <c r="C4112" s="10" t="str">
        <f ca="1">IFERROR(__xludf.DUMMYFUNCTION("""COMPUTED_VALUE"""),"Разсъждения върху удвояването на предлозите В и С в писмен текст и в устната реч в съвременния български език")</f>
        <v>Разсъждения върху удвояването на предлозите В и С в писмен текст и в устната реч в съвременния български език</v>
      </c>
      <c r="D4112" s="10">
        <f ca="1">IFERROR(__xludf.DUMMYFUNCTION("""COMPUTED_VALUE"""),2000)</f>
        <v>2000</v>
      </c>
      <c r="E4112" s="10" t="str">
        <f ca="1">IFERROR(__xludf.DUMMYFUNCTION("""COMPUTED_VALUE"""),"Български език, 4–5/1999–2000, с. 161–166. ISBN 0005-4283, УДК 808.67-28")</f>
        <v>Български език, 4–5/1999–2000, с. 161–166. ISBN 0005-4283, УДК 808.67-28</v>
      </c>
      <c r="F4112" s="10"/>
      <c r="G4112" s="10"/>
      <c r="H4112" s="10"/>
      <c r="I4112" s="10"/>
      <c r="J4112" s="10"/>
      <c r="K4112" s="10"/>
      <c r="L4112" s="10"/>
      <c r="M4112" s="10"/>
      <c r="N4112" s="10"/>
      <c r="O4112" s="10"/>
      <c r="P4112" s="10"/>
      <c r="Q4112" s="10"/>
      <c r="R4112" s="10"/>
      <c r="S4112" s="10"/>
      <c r="T4112" s="10"/>
      <c r="U4112" s="10"/>
      <c r="V4112" s="10"/>
      <c r="W4112" s="10"/>
      <c r="X4112" s="10"/>
      <c r="Y4112" s="10"/>
      <c r="Z4112" s="10"/>
    </row>
    <row r="4113" spans="1:26" ht="12.75">
      <c r="A4113" s="10" t="str">
        <f ca="1">IFERROR(__xludf.DUMMYFUNCTION("""COMPUTED_VALUE"""),"Йорданка Ценкова Захариева")</f>
        <v>Йорданка Ценкова Захариева</v>
      </c>
      <c r="B4113" s="10" t="str">
        <f ca="1">IFERROR(__xludf.DUMMYFUNCTION("""COMPUTED_VALUE"""),"Статия в списания и поредици")</f>
        <v>Статия в списания и поредици</v>
      </c>
      <c r="C4113" s="10" t="str">
        <f ca="1">IFERROR(__xludf.DUMMYFUNCTION("""COMPUTED_VALUE"""),"Банкова сметка в левове или банкова сметка в лева?")</f>
        <v>Банкова сметка в левове или банкова сметка в лева?</v>
      </c>
      <c r="D4113" s="10">
        <f ca="1">IFERROR(__xludf.DUMMYFUNCTION("""COMPUTED_VALUE"""),2000)</f>
        <v>2000</v>
      </c>
      <c r="E4113" s="10" t="str">
        <f ca="1">IFERROR(__xludf.DUMMYFUNCTION("""COMPUTED_VALUE"""),"NEDELNIK, Bulgarian Weekly Newspaper, 35/2000. https://www.loc.gov/item/sn96000945/")</f>
        <v>NEDELNIK, Bulgarian Weekly Newspaper, 35/2000. https://www.loc.gov/item/sn96000945/</v>
      </c>
      <c r="F4113" s="10"/>
      <c r="G4113" s="10"/>
      <c r="H4113" s="10"/>
      <c r="I4113" s="10"/>
      <c r="J4113" s="10"/>
      <c r="K4113" s="10"/>
      <c r="L4113" s="10"/>
      <c r="M4113" s="10"/>
      <c r="N4113" s="10"/>
      <c r="O4113" s="10"/>
      <c r="P4113" s="10"/>
      <c r="Q4113" s="10"/>
      <c r="R4113" s="10"/>
      <c r="S4113" s="10"/>
      <c r="T4113" s="10"/>
      <c r="U4113" s="10"/>
      <c r="V4113" s="10"/>
      <c r="W4113" s="10"/>
      <c r="X4113" s="10"/>
      <c r="Y4113" s="10"/>
      <c r="Z4113" s="10"/>
    </row>
    <row r="4114" spans="1:26" ht="12.75">
      <c r="A4114" s="10" t="str">
        <f ca="1">IFERROR(__xludf.DUMMYFUNCTION("""COMPUTED_VALUE"""),"Йорданка Ценкова Захариева")</f>
        <v>Йорданка Ценкова Захариева</v>
      </c>
      <c r="B4114" s="10" t="str">
        <f ca="1">IFERROR(__xludf.DUMMYFUNCTION("""COMPUTED_VALUE"""),"Статия в списания и поредици")</f>
        <v>Статия в списания и поредици</v>
      </c>
      <c r="C4114" s="10" t="str">
        <f ca="1">IFERROR(__xludf.DUMMYFUNCTION("""COMPUTED_VALUE"""),"Весела Коледа или Честита Коледа?")</f>
        <v>Весела Коледа или Честита Коледа?</v>
      </c>
      <c r="D4114" s="10">
        <f ca="1">IFERROR(__xludf.DUMMYFUNCTION("""COMPUTED_VALUE"""),2000)</f>
        <v>2000</v>
      </c>
      <c r="E4114" s="10" t="str">
        <f ca="1">IFERROR(__xludf.DUMMYFUNCTION("""COMPUTED_VALUE"""),"NEDELNIK, Bulgarian Weekly Newspaper, 47/2000. https://www.loc.gov/item/sn96000945/")</f>
        <v>NEDELNIK, Bulgarian Weekly Newspaper, 47/2000. https://www.loc.gov/item/sn96000945/</v>
      </c>
      <c r="F4114" s="10"/>
      <c r="G4114" s="10"/>
      <c r="H4114" s="10"/>
      <c r="I4114" s="10"/>
      <c r="J4114" s="10"/>
      <c r="K4114" s="10"/>
      <c r="L4114" s="10"/>
      <c r="M4114" s="10"/>
      <c r="N4114" s="10"/>
      <c r="O4114" s="10"/>
      <c r="P4114" s="10"/>
      <c r="Q4114" s="10"/>
      <c r="R4114" s="10"/>
      <c r="S4114" s="10"/>
      <c r="T4114" s="10"/>
      <c r="U4114" s="10"/>
      <c r="V4114" s="10"/>
      <c r="W4114" s="10"/>
      <c r="X4114" s="10"/>
      <c r="Y4114" s="10"/>
      <c r="Z4114" s="10"/>
    </row>
    <row r="4115" spans="1:26" ht="12.75">
      <c r="A4115" s="10" t="str">
        <f ca="1">IFERROR(__xludf.DUMMYFUNCTION("""COMPUTED_VALUE"""),"Йорданка Ценкова Захариева")</f>
        <v>Йорданка Ценкова Захариева</v>
      </c>
      <c r="B4115" s="10" t="str">
        <f ca="1">IFERROR(__xludf.DUMMYFUNCTION("""COMPUTED_VALUE"""),"Статия в списания и поредици")</f>
        <v>Статия в списания и поредици</v>
      </c>
      <c r="C4115" s="10" t="str">
        <f ca="1">IFERROR(__xludf.DUMMYFUNCTION("""COMPUTED_VALUE"""),"Правописни тънкости, свързани с предлога В или ВЪВ")</f>
        <v>Правописни тънкости, свързани с предлога В или ВЪВ</v>
      </c>
      <c r="D4115" s="10">
        <f ca="1">IFERROR(__xludf.DUMMYFUNCTION("""COMPUTED_VALUE"""),2000)</f>
        <v>2000</v>
      </c>
      <c r="E4115" s="10" t="str">
        <f ca="1">IFERROR(__xludf.DUMMYFUNCTION("""COMPUTED_VALUE"""),"NEDELNIK, Bulgarian Weekly Newspaper, 33/2000. https://www.loc.gov/item/sn96000945")</f>
        <v>NEDELNIK, Bulgarian Weekly Newspaper, 33/2000. https://www.loc.gov/item/sn96000945</v>
      </c>
      <c r="F4115" s="10"/>
      <c r="G4115" s="10"/>
      <c r="H4115" s="10"/>
      <c r="I4115" s="10"/>
      <c r="J4115" s="10"/>
      <c r="K4115" s="10"/>
      <c r="L4115" s="10"/>
      <c r="M4115" s="10"/>
      <c r="N4115" s="10"/>
      <c r="O4115" s="10"/>
      <c r="P4115" s="10"/>
      <c r="Q4115" s="10"/>
      <c r="R4115" s="10"/>
      <c r="S4115" s="10"/>
      <c r="T4115" s="10"/>
      <c r="U4115" s="10"/>
      <c r="V4115" s="10"/>
      <c r="W4115" s="10"/>
      <c r="X4115" s="10"/>
      <c r="Y4115" s="10"/>
      <c r="Z4115" s="10"/>
    </row>
    <row r="4116" spans="1:26" ht="12.75">
      <c r="A4116" s="10" t="str">
        <f ca="1">IFERROR(__xludf.DUMMYFUNCTION("""COMPUTED_VALUE"""),"Йорданка Ценкова Захариева")</f>
        <v>Йорданка Ценкова Захариева</v>
      </c>
      <c r="B4116" s="10" t="str">
        <f ca="1">IFERROR(__xludf.DUMMYFUNCTION("""COMPUTED_VALUE"""),"Статия в списания и поредици")</f>
        <v>Статия в списания и поредици</v>
      </c>
      <c r="C4116" s="10" t="str">
        <f ca="1">IFERROR(__xludf.DUMMYFUNCTION("""COMPUTED_VALUE"""),"Индиецът, индусът и индианецът")</f>
        <v>Индиецът, индусът и индианецът</v>
      </c>
      <c r="D4116" s="10">
        <f ca="1">IFERROR(__xludf.DUMMYFUNCTION("""COMPUTED_VALUE"""),2000)</f>
        <v>2000</v>
      </c>
      <c r="E4116" s="10" t="str">
        <f ca="1">IFERROR(__xludf.DUMMYFUNCTION("""COMPUTED_VALUE"""),"NEDELNIK, Bulgarian Weekly Newspaper, 42/2000. https://www.loc.gov/item/sn96000945/")</f>
        <v>NEDELNIK, Bulgarian Weekly Newspaper, 42/2000. https://www.loc.gov/item/sn96000945/</v>
      </c>
      <c r="F4116" s="10"/>
      <c r="G4116" s="10"/>
      <c r="H4116" s="10"/>
      <c r="I4116" s="10"/>
      <c r="J4116" s="10"/>
      <c r="K4116" s="10"/>
      <c r="L4116" s="10"/>
      <c r="M4116" s="10"/>
      <c r="N4116" s="10"/>
      <c r="O4116" s="10"/>
      <c r="P4116" s="10"/>
      <c r="Q4116" s="10"/>
      <c r="R4116" s="10"/>
      <c r="S4116" s="10"/>
      <c r="T4116" s="10"/>
      <c r="U4116" s="10"/>
      <c r="V4116" s="10"/>
      <c r="W4116" s="10"/>
      <c r="X4116" s="10"/>
      <c r="Y4116" s="10"/>
      <c r="Z4116" s="10"/>
    </row>
    <row r="4117" spans="1:26" ht="12.75">
      <c r="A4117" s="10" t="str">
        <f ca="1">IFERROR(__xludf.DUMMYFUNCTION("""COMPUTED_VALUE"""),"Йорданка Ценкова Захариева")</f>
        <v>Йорданка Ценкова Захариева</v>
      </c>
      <c r="B4117" s="10" t="str">
        <f ca="1">IFERROR(__xludf.DUMMYFUNCTION("""COMPUTED_VALUE"""),"Статия в списания и поредици")</f>
        <v>Статия в списания и поредици</v>
      </c>
      <c r="C4117" s="10" t="str">
        <f ca="1">IFERROR(__xludf.DUMMYFUNCTION("""COMPUTED_VALUE"""),"За избора между две езикови картини на света")</f>
        <v>За избора между две езикови картини на света</v>
      </c>
      <c r="D4117" s="10">
        <f ca="1">IFERROR(__xludf.DUMMYFUNCTION("""COMPUTED_VALUE"""),2000)</f>
        <v>2000</v>
      </c>
      <c r="E4117" s="10" t="str">
        <f ca="1">IFERROR(__xludf.DUMMYFUNCTION("""COMPUTED_VALUE"""),"NEDELNIK, Bulgarian Weekly Newspaper, 46/2000. https://www.loc.gov/item/sn96000945/")</f>
        <v>NEDELNIK, Bulgarian Weekly Newspaper, 46/2000. https://www.loc.gov/item/sn96000945/</v>
      </c>
      <c r="F4117" s="10"/>
      <c r="G4117" s="10"/>
      <c r="H4117" s="10"/>
      <c r="I4117" s="10"/>
      <c r="J4117" s="10"/>
      <c r="K4117" s="10"/>
      <c r="L4117" s="10"/>
      <c r="M4117" s="10"/>
      <c r="N4117" s="10"/>
      <c r="O4117" s="10"/>
      <c r="P4117" s="10"/>
      <c r="Q4117" s="10"/>
      <c r="R4117" s="10"/>
      <c r="S4117" s="10"/>
      <c r="T4117" s="10"/>
      <c r="U4117" s="10"/>
      <c r="V4117" s="10"/>
      <c r="W4117" s="10"/>
      <c r="X4117" s="10"/>
      <c r="Y4117" s="10"/>
      <c r="Z4117" s="10"/>
    </row>
    <row r="4118" spans="1:26" ht="12.75">
      <c r="A4118" s="10" t="str">
        <f ca="1">IFERROR(__xludf.DUMMYFUNCTION("""COMPUTED_VALUE"""),"Йорданка Ценкова Захариева")</f>
        <v>Йорданка Ценкова Захариева</v>
      </c>
      <c r="B4118" s="10" t="str">
        <f ca="1">IFERROR(__xludf.DUMMYFUNCTION("""COMPUTED_VALUE"""),"Статия в списания и поредици")</f>
        <v>Статия в списания и поредици</v>
      </c>
      <c r="C4118" s="10" t="str">
        <f ca="1">IFERROR(__xludf.DUMMYFUNCTION("""COMPUTED_VALUE"""),"Проблеми при общуването с модерната българска литература")</f>
        <v>Проблеми при общуването с модерната българска литература</v>
      </c>
      <c r="D4118" s="10">
        <f ca="1">IFERROR(__xludf.DUMMYFUNCTION("""COMPUTED_VALUE"""),2000)</f>
        <v>2000</v>
      </c>
      <c r="E4118" s="10" t="str">
        <f ca="1">IFERROR(__xludf.DUMMYFUNCTION("""COMPUTED_VALUE"""),"Лексикографски и лексиколожки четения '98, Материали от Първата национална конференция по лексикография и лексикология, посветена на 100-годишнината от рождението на българския лексикограф и преводач Ст. Илчев, София, 19-20 октомври 1998. София, 2000, с. "&amp;"355–358 (съавтор ст.н.с. д-р П. Костадинова). ISBN 954-8405")</f>
        <v>Лексикографски и лексиколожки четения '98, Материали от Първата национална конференция по лексикография и лексикология, посветена на 100-годишнината от рождението на българския лексикограф и преводач Ст. Илчев, София, 19-20 октомври 1998. София, 2000, с. 355–358 (съавтор ст.н.с. д-р П. Костадинова). ISBN 954-8405</v>
      </c>
      <c r="F4118" s="10"/>
      <c r="G4118" s="10"/>
      <c r="H4118" s="10"/>
      <c r="I4118" s="10"/>
      <c r="J4118" s="10"/>
      <c r="K4118" s="10"/>
      <c r="L4118" s="10"/>
      <c r="M4118" s="10"/>
      <c r="N4118" s="10"/>
      <c r="O4118" s="10"/>
      <c r="P4118" s="10"/>
      <c r="Q4118" s="10"/>
      <c r="R4118" s="10"/>
      <c r="S4118" s="10"/>
      <c r="T4118" s="10"/>
      <c r="U4118" s="10"/>
      <c r="V4118" s="10"/>
      <c r="W4118" s="10"/>
      <c r="X4118" s="10"/>
      <c r="Y4118" s="10"/>
      <c r="Z4118" s="10"/>
    </row>
    <row r="4119" spans="1:26" ht="12.75">
      <c r="A4119" s="10" t="str">
        <f ca="1">IFERROR(__xludf.DUMMYFUNCTION("""COMPUTED_VALUE"""),"Йорданка Ценкова Захариева")</f>
        <v>Йорданка Ценкова Захариева</v>
      </c>
      <c r="B4119" s="10" t="str">
        <f ca="1">IFERROR(__xludf.DUMMYFUNCTION("""COMPUTED_VALUE"""),"Статия в списания и поредици")</f>
        <v>Статия в списания и поредици</v>
      </c>
      <c r="C4119" s="10" t="str">
        <f ca="1">IFERROR(__xludf.DUMMYFUNCTION("""COMPUTED_VALUE"""),"Правописни тънкости, свързани с предлога С или СЪС")</f>
        <v>Правописни тънкости, свързани с предлога С или СЪС</v>
      </c>
      <c r="D4119" s="10">
        <f ca="1">IFERROR(__xludf.DUMMYFUNCTION("""COMPUTED_VALUE"""),2000)</f>
        <v>2000</v>
      </c>
      <c r="E4119" s="10" t="str">
        <f ca="1">IFERROR(__xludf.DUMMYFUNCTION("""COMPUTED_VALUE"""),"NEDELNIK, Bulgarian Weekly Newspaper, 31/2000. https://www.loc.gov/item/sn96000945")</f>
        <v>NEDELNIK, Bulgarian Weekly Newspaper, 31/2000. https://www.loc.gov/item/sn96000945</v>
      </c>
      <c r="F4119" s="10"/>
      <c r="G4119" s="10"/>
      <c r="H4119" s="10"/>
      <c r="I4119" s="10"/>
      <c r="J4119" s="10"/>
      <c r="K4119" s="10"/>
      <c r="L4119" s="10"/>
      <c r="M4119" s="10"/>
      <c r="N4119" s="10"/>
      <c r="O4119" s="10"/>
      <c r="P4119" s="10"/>
      <c r="Q4119" s="10"/>
      <c r="R4119" s="10"/>
      <c r="S4119" s="10"/>
      <c r="T4119" s="10"/>
      <c r="U4119" s="10"/>
      <c r="V4119" s="10"/>
      <c r="W4119" s="10"/>
      <c r="X4119" s="10"/>
      <c r="Y4119" s="10"/>
      <c r="Z4119" s="10"/>
    </row>
    <row r="4120" spans="1:26" ht="12.75">
      <c r="A4120" s="10" t="str">
        <f ca="1">IFERROR(__xludf.DUMMYFUNCTION("""COMPUTED_VALUE"""),"Йорданка Ценкова Захариева")</f>
        <v>Йорданка Ценкова Захариева</v>
      </c>
      <c r="B4120" s="10" t="str">
        <f ca="1">IFERROR(__xludf.DUMMYFUNCTION("""COMPUTED_VALUE"""),"Статия в списания и поредици")</f>
        <v>Статия в списания и поредици</v>
      </c>
      <c r="C4120" s="10" t="str">
        <f ca="1">IFERROR(__xludf.DUMMYFUNCTION("""COMPUTED_VALUE"""),"Между днес и днеска")</f>
        <v>Между днес и днеска</v>
      </c>
      <c r="D4120" s="10">
        <f ca="1">IFERROR(__xludf.DUMMYFUNCTION("""COMPUTED_VALUE"""),2000)</f>
        <v>2000</v>
      </c>
      <c r="E4120" s="10" t="str">
        <f ca="1">IFERROR(__xludf.DUMMYFUNCTION("""COMPUTED_VALUE"""),"NEDELNIK, Bulgarian Weekly Newspaper, 41/2000. https://www.loc.gov/item/sn96000945/")</f>
        <v>NEDELNIK, Bulgarian Weekly Newspaper, 41/2000. https://www.loc.gov/item/sn96000945/</v>
      </c>
      <c r="F4120" s="10"/>
      <c r="G4120" s="10"/>
      <c r="H4120" s="10"/>
      <c r="I4120" s="10"/>
      <c r="J4120" s="10"/>
      <c r="K4120" s="10"/>
      <c r="L4120" s="10"/>
      <c r="M4120" s="10"/>
      <c r="N4120" s="10"/>
      <c r="O4120" s="10"/>
      <c r="P4120" s="10"/>
      <c r="Q4120" s="10"/>
      <c r="R4120" s="10"/>
      <c r="S4120" s="10"/>
      <c r="T4120" s="10"/>
      <c r="U4120" s="10"/>
      <c r="V4120" s="10"/>
      <c r="W4120" s="10"/>
      <c r="X4120" s="10"/>
      <c r="Y4120" s="10"/>
      <c r="Z4120" s="10"/>
    </row>
    <row r="4121" spans="1:26" ht="12.75">
      <c r="A4121" s="10" t="str">
        <f ca="1">IFERROR(__xludf.DUMMYFUNCTION("""COMPUTED_VALUE"""),"Йорданка Ценкова Захариева")</f>
        <v>Йорданка Ценкова Захариева</v>
      </c>
      <c r="B4121" s="10" t="str">
        <f ca="1">IFERROR(__xludf.DUMMYFUNCTION("""COMPUTED_VALUE"""),"Статия в списания и поредици")</f>
        <v>Статия в списания и поредици</v>
      </c>
      <c r="C4121" s="10" t="str">
        <f ca="1">IFERROR(__xludf.DUMMYFUNCTION("""COMPUTED_VALUE"""),"Актуално по инерция")</f>
        <v>Актуално по инерция</v>
      </c>
      <c r="D4121" s="10">
        <f ca="1">IFERROR(__xludf.DUMMYFUNCTION("""COMPUTED_VALUE"""),2000)</f>
        <v>2000</v>
      </c>
      <c r="E4121" s="10" t="str">
        <f ca="1">IFERROR(__xludf.DUMMYFUNCTION("""COMPUTED_VALUE"""),"NEDELNIK, Bulgarian Weekly Newspaper, 40/2000. https://www.loc.gov/item/sn96000945/")</f>
        <v>NEDELNIK, Bulgarian Weekly Newspaper, 40/2000. https://www.loc.gov/item/sn96000945/</v>
      </c>
      <c r="F4121" s="10"/>
      <c r="G4121" s="10"/>
      <c r="H4121" s="10"/>
      <c r="I4121" s="10"/>
      <c r="J4121" s="10"/>
      <c r="K4121" s="10"/>
      <c r="L4121" s="10"/>
      <c r="M4121" s="10"/>
      <c r="N4121" s="10"/>
      <c r="O4121" s="10"/>
      <c r="P4121" s="10"/>
      <c r="Q4121" s="10"/>
      <c r="R4121" s="10"/>
      <c r="S4121" s="10"/>
      <c r="T4121" s="10"/>
      <c r="U4121" s="10"/>
      <c r="V4121" s="10"/>
      <c r="W4121" s="10"/>
      <c r="X4121" s="10"/>
      <c r="Y4121" s="10"/>
      <c r="Z4121" s="10"/>
    </row>
    <row r="4122" spans="1:26" ht="12.75">
      <c r="A4122" s="10" t="str">
        <f ca="1">IFERROR(__xludf.DUMMYFUNCTION("""COMPUTED_VALUE"""),"Йорданка Ценкова Захариева")</f>
        <v>Йорданка Ценкова Захариева</v>
      </c>
      <c r="B4122" s="10" t="str">
        <f ca="1">IFERROR(__xludf.DUMMYFUNCTION("""COMPUTED_VALUE"""),"Статия в списания и поредици")</f>
        <v>Статия в списания и поредици</v>
      </c>
      <c r="C4122" s="10" t="str">
        <f ca="1">IFERROR(__xludf.DUMMYFUNCTION("""COMPUTED_VALUE"""),"Глаголи с наставка -ирам (се)")</f>
        <v>Глаголи с наставка -ирам (се)</v>
      </c>
      <c r="D4122" s="10">
        <f ca="1">IFERROR(__xludf.DUMMYFUNCTION("""COMPUTED_VALUE"""),2000)</f>
        <v>2000</v>
      </c>
      <c r="E4122" s="10" t="str">
        <f ca="1">IFERROR(__xludf.DUMMYFUNCTION("""COMPUTED_VALUE"""),"NEDELNIK, Bulgarian Weekly Newspaper, 37/2000. https://www.loc.gov/item/sn96000945/")</f>
        <v>NEDELNIK, Bulgarian Weekly Newspaper, 37/2000. https://www.loc.gov/item/sn96000945/</v>
      </c>
      <c r="F4122" s="10"/>
      <c r="G4122" s="10"/>
      <c r="H4122" s="10"/>
      <c r="I4122" s="10"/>
      <c r="J4122" s="10"/>
      <c r="K4122" s="10"/>
      <c r="L4122" s="10"/>
      <c r="M4122" s="10"/>
      <c r="N4122" s="10"/>
      <c r="O4122" s="10"/>
      <c r="P4122" s="10"/>
      <c r="Q4122" s="10"/>
      <c r="R4122" s="10"/>
      <c r="S4122" s="10"/>
      <c r="T4122" s="10"/>
      <c r="U4122" s="10"/>
      <c r="V4122" s="10"/>
      <c r="W4122" s="10"/>
      <c r="X4122" s="10"/>
      <c r="Y4122" s="10"/>
      <c r="Z4122" s="10"/>
    </row>
    <row r="4123" spans="1:26" ht="12.75">
      <c r="A4123" s="10" t="str">
        <f ca="1">IFERROR(__xludf.DUMMYFUNCTION("""COMPUTED_VALUE"""),"Йорданка Ценкова Захариева")</f>
        <v>Йорданка Ценкова Захариева</v>
      </c>
      <c r="B4123" s="10" t="str">
        <f ca="1">IFERROR(__xludf.DUMMYFUNCTION("""COMPUTED_VALUE"""),"Книга")</f>
        <v>Книга</v>
      </c>
      <c r="C4123" s="10" t="str">
        <f ca="1">IFERROR(__xludf.DUMMYFUNCTION("""COMPUTED_VALUE"""),"Общности и празници в България. Езикови аспекти")</f>
        <v>Общности и празници в България. Езикови аспекти</v>
      </c>
      <c r="D4123" s="10">
        <f ca="1">IFERROR(__xludf.DUMMYFUNCTION("""COMPUTED_VALUE"""),2000)</f>
        <v>2000</v>
      </c>
      <c r="E4123" s="10" t="str">
        <f ca="1">IFERROR(__xludf.DUMMYFUNCTION("""COMPUTED_VALUE"""),"София: Зимек – 99, 2000. 96 с. ISBN 954-90574-2-9")</f>
        <v>София: Зимек – 99, 2000. 96 с. ISBN 954-90574-2-9</v>
      </c>
      <c r="F4123" s="10"/>
      <c r="G4123" s="10"/>
      <c r="H4123" s="10"/>
      <c r="I4123" s="10"/>
      <c r="J4123" s="10"/>
      <c r="K4123" s="10"/>
      <c r="L4123" s="10"/>
      <c r="M4123" s="10"/>
      <c r="N4123" s="10"/>
      <c r="O4123" s="10"/>
      <c r="P4123" s="10"/>
      <c r="Q4123" s="10"/>
      <c r="R4123" s="10"/>
      <c r="S4123" s="10"/>
      <c r="T4123" s="10"/>
      <c r="U4123" s="10"/>
      <c r="V4123" s="10"/>
      <c r="W4123" s="10"/>
      <c r="X4123" s="10"/>
      <c r="Y4123" s="10"/>
      <c r="Z4123" s="10"/>
    </row>
    <row r="4124" spans="1:26" ht="12.75">
      <c r="A4124" s="10" t="str">
        <f ca="1">IFERROR(__xludf.DUMMYFUNCTION("""COMPUTED_VALUE"""),"Йорданка Ценкова Захариева")</f>
        <v>Йорданка Ценкова Захариева</v>
      </c>
      <c r="B4124" s="10" t="str">
        <f ca="1">IFERROR(__xludf.DUMMYFUNCTION("""COMPUTED_VALUE"""),"Статия в списания и поредици")</f>
        <v>Статия в списания и поредици</v>
      </c>
      <c r="C4124" s="10" t="str">
        <f ca="1">IFERROR(__xludf.DUMMYFUNCTION("""COMPUTED_VALUE"""),"Между правописа и правоговора")</f>
        <v>Между правописа и правоговора</v>
      </c>
      <c r="D4124" s="10">
        <f ca="1">IFERROR(__xludf.DUMMYFUNCTION("""COMPUTED_VALUE"""),2000)</f>
        <v>2000</v>
      </c>
      <c r="E4124" s="10" t="str">
        <f ca="1">IFERROR(__xludf.DUMMYFUNCTION("""COMPUTED_VALUE"""),"NEDELNIK, Bulgarian Weekly Newspaper, 34/2000. https://www.loc.gov/item/sn96000945/")</f>
        <v>NEDELNIK, Bulgarian Weekly Newspaper, 34/2000. https://www.loc.gov/item/sn96000945/</v>
      </c>
      <c r="F4124" s="10"/>
      <c r="G4124" s="10"/>
      <c r="H4124" s="10"/>
      <c r="I4124" s="10"/>
      <c r="J4124" s="10"/>
      <c r="K4124" s="10"/>
      <c r="L4124" s="10"/>
      <c r="M4124" s="10"/>
      <c r="N4124" s="10"/>
      <c r="O4124" s="10"/>
      <c r="P4124" s="10"/>
      <c r="Q4124" s="10"/>
      <c r="R4124" s="10"/>
      <c r="S4124" s="10"/>
      <c r="T4124" s="10"/>
      <c r="U4124" s="10"/>
      <c r="V4124" s="10"/>
      <c r="W4124" s="10"/>
      <c r="X4124" s="10"/>
      <c r="Y4124" s="10"/>
      <c r="Z4124" s="10"/>
    </row>
    <row r="4125" spans="1:26" ht="12.75">
      <c r="A4125" s="10" t="str">
        <f ca="1">IFERROR(__xludf.DUMMYFUNCTION("""COMPUTED_VALUE"""),"Йорданка Ценкова Захариева")</f>
        <v>Йорданка Ценкова Захариева</v>
      </c>
      <c r="B4125" s="10" t="str">
        <f ca="1">IFERROR(__xludf.DUMMYFUNCTION("""COMPUTED_VALUE"""),"Статия в списания и поредици")</f>
        <v>Статия в списания и поредици</v>
      </c>
      <c r="C4125" s="10" t="str">
        <f ca="1">IFERROR(__xludf.DUMMYFUNCTION("""COMPUTED_VALUE"""),"Наблюдения върху лексиката за посоки на света през Възраждането и разбирането й от възрожденския българин")</f>
        <v>Наблюдения върху лексиката за посоки на света през Възраждането и разбирането й от възрожденския българин</v>
      </c>
      <c r="D4125" s="10">
        <f ca="1">IFERROR(__xludf.DUMMYFUNCTION("""COMPUTED_VALUE"""),1999)</f>
        <v>1999</v>
      </c>
      <c r="E4125" s="10" t="str">
        <f ca="1">IFERROR(__xludf.DUMMYFUNCTION("""COMPUTED_VALUE"""),"Българска реч, година V/1999, кн. 4, с. 30–37. УДК 808.67-3")</f>
        <v>Българска реч, година V/1999, кн. 4, с. 30–37. УДК 808.67-3</v>
      </c>
      <c r="F4125" s="10"/>
      <c r="G4125" s="10"/>
      <c r="H4125" s="10"/>
      <c r="I4125" s="10"/>
      <c r="J4125" s="10"/>
      <c r="K4125" s="10"/>
      <c r="L4125" s="10"/>
      <c r="M4125" s="10"/>
      <c r="N4125" s="10"/>
      <c r="O4125" s="10"/>
      <c r="P4125" s="10"/>
      <c r="Q4125" s="10"/>
      <c r="R4125" s="10"/>
      <c r="S4125" s="10"/>
      <c r="T4125" s="10"/>
      <c r="U4125" s="10"/>
      <c r="V4125" s="10"/>
      <c r="W4125" s="10"/>
      <c r="X4125" s="10"/>
      <c r="Y4125" s="10"/>
      <c r="Z4125" s="10"/>
    </row>
    <row r="4126" spans="1:26" ht="12.75">
      <c r="A4126" s="10" t="str">
        <f ca="1">IFERROR(__xludf.DUMMYFUNCTION("""COMPUTED_VALUE"""),"Йорданка Ценкова Захариева")</f>
        <v>Йорданка Ценкова Захариева</v>
      </c>
      <c r="B4126" s="10" t="str">
        <f ca="1">IFERROR(__xludf.DUMMYFUNCTION("""COMPUTED_VALUE"""),"Статия в списания и поредици")</f>
        <v>Статия в списания и поредици</v>
      </c>
      <c r="C4126" s="10" t="str">
        <f ca="1">IFERROR(__xludf.DUMMYFUNCTION("""COMPUTED_VALUE"""),"Употребите на думата лудост в езика на медиите")</f>
        <v>Употребите на думата лудост в езика на медиите</v>
      </c>
      <c r="D4126" s="10">
        <f ca="1">IFERROR(__xludf.DUMMYFUNCTION("""COMPUTED_VALUE"""),1999)</f>
        <v>1999</v>
      </c>
      <c r="E4126" s="10" t="str">
        <f ca="1">IFERROR(__xludf.DUMMYFUNCTION("""COMPUTED_VALUE"""),"Медиите и езикът. София: Ето, 1999, с. 149–153. ISBN 954-9859-01-0.")</f>
        <v>Медиите и езикът. София: Ето, 1999, с. 149–153. ISBN 954-9859-01-0.</v>
      </c>
      <c r="F4126" s="10"/>
      <c r="G4126" s="10"/>
      <c r="H4126" s="10"/>
      <c r="I4126" s="10"/>
      <c r="J4126" s="10"/>
      <c r="K4126" s="10"/>
      <c r="L4126" s="10"/>
      <c r="M4126" s="10"/>
      <c r="N4126" s="10"/>
      <c r="O4126" s="10"/>
      <c r="P4126" s="10"/>
      <c r="Q4126" s="10"/>
      <c r="R4126" s="10"/>
      <c r="S4126" s="10"/>
      <c r="T4126" s="10"/>
      <c r="U4126" s="10"/>
      <c r="V4126" s="10"/>
      <c r="W4126" s="10"/>
      <c r="X4126" s="10"/>
      <c r="Y4126" s="10"/>
      <c r="Z4126" s="10"/>
    </row>
    <row r="4127" spans="1:26" ht="12.75">
      <c r="A4127" s="10" t="str">
        <f ca="1">IFERROR(__xludf.DUMMYFUNCTION("""COMPUTED_VALUE"""),"Йорданка Ценкова Захариева")</f>
        <v>Йорданка Ценкова Захариева</v>
      </c>
      <c r="B4127" s="10" t="str">
        <f ca="1">IFERROR(__xludf.DUMMYFUNCTION("""COMPUTED_VALUE"""),"Статия в списания и поредици")</f>
        <v>Статия в списания и поредици</v>
      </c>
      <c r="C4127" s="10" t="str">
        <f ca="1">IFERROR(__xludf.DUMMYFUNCTION("""COMPUTED_VALUE"""),"Българинът се връща към своите корени")</f>
        <v>Българинът се връща към своите корени</v>
      </c>
      <c r="D4127" s="10">
        <f ca="1">IFERROR(__xludf.DUMMYFUNCTION("""COMPUTED_VALUE"""),1998)</f>
        <v>1998</v>
      </c>
      <c r="E4127" s="10" t="str">
        <f ca="1">IFERROR(__xludf.DUMMYFUNCTION("""COMPUTED_VALUE"""),"Континент : национален всекидневник ISSN: 0861-7465 SG=В 6659.- VI, 71 (30 mart 1998), s. 10, 808.67-313(047.53)")</f>
        <v>Континент : национален всекидневник ISSN: 0861-7465 SG=В 6659.- VI, 71 (30 mart 1998), s. 10, 808.67-313(047.53)</v>
      </c>
      <c r="F4127" s="10"/>
      <c r="G4127" s="10"/>
      <c r="H4127" s="10"/>
      <c r="I4127" s="10"/>
      <c r="J4127" s="10"/>
      <c r="K4127" s="10"/>
      <c r="L4127" s="10"/>
      <c r="M4127" s="10"/>
      <c r="N4127" s="10"/>
      <c r="O4127" s="10"/>
      <c r="P4127" s="10"/>
      <c r="Q4127" s="10"/>
      <c r="R4127" s="10"/>
      <c r="S4127" s="10"/>
      <c r="T4127" s="10"/>
      <c r="U4127" s="10"/>
      <c r="V4127" s="10"/>
      <c r="W4127" s="10"/>
      <c r="X4127" s="10"/>
      <c r="Y4127" s="10"/>
      <c r="Z4127" s="10"/>
    </row>
    <row r="4128" spans="1:26" ht="12.75">
      <c r="A4128" s="10" t="str">
        <f ca="1">IFERROR(__xludf.DUMMYFUNCTION("""COMPUTED_VALUE"""),"Йорданка Ценкова Захариева")</f>
        <v>Йорданка Ценкова Захариева</v>
      </c>
      <c r="B4128" s="10" t="str">
        <f ca="1">IFERROR(__xludf.DUMMYFUNCTION("""COMPUTED_VALUE"""),"Статия в списания и поредици")</f>
        <v>Статия в списания и поредици</v>
      </c>
      <c r="C4128" s="10" t="str">
        <f ca="1">IFERROR(__xludf.DUMMYFUNCTION("""COMPUTED_VALUE"""),"Корнелия Илиева на 60 години (юбилеен портрет)")</f>
        <v>Корнелия Илиева на 60 години (юбилеен портрет)</v>
      </c>
      <c r="D4128" s="10">
        <f ca="1">IFERROR(__xludf.DUMMYFUNCTION("""COMPUTED_VALUE"""),1997)</f>
        <v>1997</v>
      </c>
      <c r="E4128" s="10" t="str">
        <f ca="1">IFERROR(__xludf.DUMMYFUNCTION("""COMPUTED_VALUE"""),"1997 - Съпоставително езикознание, год. ХХII, 2/97, с. 126–130. ISSN 0204-8701")</f>
        <v>1997 - Съпоставително езикознание, год. ХХII, 2/97, с. 126–130. ISSN 0204-8701</v>
      </c>
      <c r="F4128" s="10"/>
      <c r="G4128" s="10"/>
      <c r="H4128" s="10"/>
      <c r="I4128" s="10"/>
      <c r="J4128" s="10"/>
      <c r="K4128" s="10"/>
      <c r="L4128" s="10"/>
      <c r="M4128" s="10"/>
      <c r="N4128" s="10"/>
      <c r="O4128" s="10"/>
      <c r="P4128" s="10"/>
      <c r="Q4128" s="10"/>
      <c r="R4128" s="10"/>
      <c r="S4128" s="10"/>
      <c r="T4128" s="10"/>
      <c r="U4128" s="10"/>
      <c r="V4128" s="10"/>
      <c r="W4128" s="10"/>
      <c r="X4128" s="10"/>
      <c r="Y4128" s="10"/>
      <c r="Z4128" s="10"/>
    </row>
    <row r="4129" spans="1:26" ht="12.75">
      <c r="A4129" s="10" t="str">
        <f ca="1">IFERROR(__xludf.DUMMYFUNCTION("""COMPUTED_VALUE"""),"Йорданка Ценкова Захариева")</f>
        <v>Йорданка Ценкова Захариева</v>
      </c>
      <c r="B4129" s="10" t="str">
        <f ca="1">IFERROR(__xludf.DUMMYFUNCTION("""COMPUTED_VALUE"""),"Статия в списания и поредици")</f>
        <v>Статия в списания и поредици</v>
      </c>
      <c r="C4129" s="10" t="str">
        <f ca="1">IFERROR(__xludf.DUMMYFUNCTION("""COMPUTED_VALUE"""),"Библиография на Корнелия Илиева")</f>
        <v>Библиография на Корнелия Илиева</v>
      </c>
      <c r="D4129" s="10">
        <f ca="1">IFERROR(__xludf.DUMMYFUNCTION("""COMPUTED_VALUE"""),1997)</f>
        <v>1997</v>
      </c>
      <c r="E4129" s="10" t="str">
        <f ca="1">IFERROR(__xludf.DUMMYFUNCTION("""COMPUTED_VALUE"""),"1997 - Съпоставително езикознание, год. ХХII, 2/97, с. 130–135.ISSN 0204-8701")</f>
        <v>1997 - Съпоставително езикознание, год. ХХII, 2/97, с. 130–135.ISSN 0204-8701</v>
      </c>
      <c r="F4129" s="10"/>
      <c r="G4129" s="10"/>
      <c r="H4129" s="10"/>
      <c r="I4129" s="10"/>
      <c r="J4129" s="10"/>
      <c r="K4129" s="10"/>
      <c r="L4129" s="10"/>
      <c r="M4129" s="10"/>
      <c r="N4129" s="10"/>
      <c r="O4129" s="10"/>
      <c r="P4129" s="10"/>
      <c r="Q4129" s="10"/>
      <c r="R4129" s="10"/>
      <c r="S4129" s="10"/>
      <c r="T4129" s="10"/>
      <c r="U4129" s="10"/>
      <c r="V4129" s="10"/>
      <c r="W4129" s="10"/>
      <c r="X4129" s="10"/>
      <c r="Y4129" s="10"/>
      <c r="Z4129" s="10"/>
    </row>
    <row r="4130" spans="1:26" ht="12.75">
      <c r="A4130" s="10" t="str">
        <f ca="1">IFERROR(__xludf.DUMMYFUNCTION("""COMPUTED_VALUE"""),"Йорданка Ценкова Захариева")</f>
        <v>Йорданка Ценкова Захариева</v>
      </c>
      <c r="B4130" s="10" t="str">
        <f ca="1">IFERROR(__xludf.DUMMYFUNCTION("""COMPUTED_VALUE"""),"Статия в списания и поредици")</f>
        <v>Статия в списания и поредици</v>
      </c>
      <c r="C4130" s="10" t="str">
        <f ca="1">IFERROR(__xludf.DUMMYFUNCTION("""COMPUTED_VALUE"""),"Studies in Macedonian Language")</f>
        <v>Studies in Macedonian Language</v>
      </c>
      <c r="D4130" s="10">
        <f ca="1">IFERROR(__xludf.DUMMYFUNCTION("""COMPUTED_VALUE"""),1997)</f>
        <v>1997</v>
      </c>
      <c r="E4130" s="10" t="str">
        <f ca="1">IFERROR(__xludf.DUMMYFUNCTION("""COMPUTED_VALUE"""),"1997 - Български език, 5/1997–1998, с. 112–120 (рецензия). ISBN 0005-4283, Literature and Culture: proceedings of the First North American-Macedonian Conference on Macedonian Studies, Ann Arbor, 1991, ed. by Benjamin Stolz (Michigan Slavic materials, vol."&amp;"37), Michigan Slavic Publications, 1995.")</f>
        <v>1997 - Български език, 5/1997–1998, с. 112–120 (рецензия). ISBN 0005-4283, Literature and Culture: proceedings of the First North American-Macedonian Conference on Macedonian Studies, Ann Arbor, 1991, ed. by Benjamin Stolz (Michigan Slavic materials, vol.37), Michigan Slavic Publications, 1995.</v>
      </c>
      <c r="F4130" s="10"/>
      <c r="G4130" s="10"/>
      <c r="H4130" s="10"/>
      <c r="I4130" s="10"/>
      <c r="J4130" s="10"/>
      <c r="K4130" s="10"/>
      <c r="L4130" s="10"/>
      <c r="M4130" s="10"/>
      <c r="N4130" s="10"/>
      <c r="O4130" s="10"/>
      <c r="P4130" s="10"/>
      <c r="Q4130" s="10"/>
      <c r="R4130" s="10"/>
      <c r="S4130" s="10"/>
      <c r="T4130" s="10"/>
      <c r="U4130" s="10"/>
      <c r="V4130" s="10"/>
      <c r="W4130" s="10"/>
      <c r="X4130" s="10"/>
      <c r="Y4130" s="10"/>
      <c r="Z4130" s="10"/>
    </row>
    <row r="4131" spans="1:26" ht="12.75">
      <c r="A4131" s="10" t="str">
        <f ca="1">IFERROR(__xludf.DUMMYFUNCTION("""COMPUTED_VALUE"""),"Йорданка Ценкова Захариева")</f>
        <v>Йорданка Ценкова Захариева</v>
      </c>
      <c r="B4131" s="10" t="str">
        <f ca="1">IFERROR(__xludf.DUMMYFUNCTION("""COMPUTED_VALUE"""),"Статия в списания и поредици")</f>
        <v>Статия в списания и поредици</v>
      </c>
      <c r="C4131" s="10" t="str">
        <f ca="1">IFERROR(__xludf.DUMMYFUNCTION("""COMPUTED_VALUE"""),"1996 – Т. Балкански – Никола Вапцаров, България и българите (Към просопографията на поета),")</f>
        <v>1996 – Т. Балкански – Никола Вапцаров, България и българите (Към просопографията на поета),</v>
      </c>
      <c r="D4131" s="10">
        <f ca="1">IFERROR(__xludf.DUMMYFUNCTION("""COMPUTED_VALUE"""),1996)</f>
        <v>1996</v>
      </c>
      <c r="E4131" s="10" t="str">
        <f ca="1">IFERROR(__xludf.DUMMYFUNCTION("""COMPUTED_VALUE"""),"Български език, 5/1996, (рецензия).В.Търново: ИК „Знак ‘94”. с. 90–91. ISBN 0005-4283. ,")</f>
        <v>Български език, 5/1996, (рецензия).В.Търново: ИК „Знак ‘94”. с. 90–91. ISBN 0005-4283. ,</v>
      </c>
      <c r="F4131" s="10"/>
      <c r="G4131" s="10"/>
      <c r="H4131" s="10"/>
      <c r="I4131" s="10"/>
      <c r="J4131" s="10"/>
      <c r="K4131" s="10"/>
      <c r="L4131" s="10"/>
      <c r="M4131" s="10"/>
      <c r="N4131" s="10"/>
      <c r="O4131" s="10"/>
      <c r="P4131" s="10"/>
      <c r="Q4131" s="10"/>
      <c r="R4131" s="10"/>
      <c r="S4131" s="10"/>
      <c r="T4131" s="10"/>
      <c r="U4131" s="10"/>
      <c r="V4131" s="10"/>
      <c r="W4131" s="10"/>
      <c r="X4131" s="10"/>
      <c r="Y4131" s="10"/>
      <c r="Z4131" s="10"/>
    </row>
    <row r="4132" spans="1:26" ht="12.75">
      <c r="A4132" s="10" t="str">
        <f ca="1">IFERROR(__xludf.DUMMYFUNCTION("""COMPUTED_VALUE"""),"Йорданка Ценкова Захариева")</f>
        <v>Йорданка Ценкова Захариева</v>
      </c>
      <c r="B4132" s="10" t="str">
        <f ca="1">IFERROR(__xludf.DUMMYFUNCTION("""COMPUTED_VALUE"""),"Статия в списания и поредици")</f>
        <v>Статия в списания и поредици</v>
      </c>
      <c r="C4132" s="10" t="str">
        <f ca="1">IFERROR(__xludf.DUMMYFUNCTION("""COMPUTED_VALUE"""),"За някои особени употреби на степените за сравнение при прилагателните имена в българския език")</f>
        <v>За някои особени употреби на степените за сравнение при прилагателните имена в българския език</v>
      </c>
      <c r="D4132" s="10">
        <f ca="1">IFERROR(__xludf.DUMMYFUNCTION("""COMPUTED_VALUE"""),1996)</f>
        <v>1996</v>
      </c>
      <c r="E4132" s="10" t="str">
        <f ca="1">IFERROR(__xludf.DUMMYFUNCTION("""COMPUTED_VALUE"""),"Български език, 4/1996, с. 16–23. (също и в: Традиция и съвременност в българския език (съст. В. Попова, Б. Вълчев). София: Св. Кл. Охридски, 2001, с. 261–268. ISBN 954-07-1525-3")</f>
        <v>Български език, 4/1996, с. 16–23. (също и в: Традиция и съвременност в българския език (съст. В. Попова, Б. Вълчев). София: Св. Кл. Охридски, 2001, с. 261–268. ISBN 954-07-1525-3</v>
      </c>
      <c r="F4132" s="10"/>
      <c r="G4132" s="10"/>
      <c r="H4132" s="10"/>
      <c r="I4132" s="10"/>
      <c r="J4132" s="10"/>
      <c r="K4132" s="10"/>
      <c r="L4132" s="10"/>
      <c r="M4132" s="10"/>
      <c r="N4132" s="10"/>
      <c r="O4132" s="10"/>
      <c r="P4132" s="10"/>
      <c r="Q4132" s="10"/>
      <c r="R4132" s="10"/>
      <c r="S4132" s="10"/>
      <c r="T4132" s="10"/>
      <c r="U4132" s="10"/>
      <c r="V4132" s="10"/>
      <c r="W4132" s="10"/>
      <c r="X4132" s="10"/>
      <c r="Y4132" s="10"/>
      <c r="Z4132" s="10"/>
    </row>
    <row r="4133" spans="1:26" ht="12.75">
      <c r="A4133" s="10" t="str">
        <f ca="1">IFERROR(__xludf.DUMMYFUNCTION("""COMPUTED_VALUE"""),"Йорданка Ценкова Захариева")</f>
        <v>Йорданка Ценкова Захариева</v>
      </c>
      <c r="B4133" s="10" t="str">
        <f ca="1">IFERROR(__xludf.DUMMYFUNCTION("""COMPUTED_VALUE"""),"Статия в списания и поредици")</f>
        <v>Статия в списания и поредици</v>
      </c>
      <c r="C4133" s="10" t="str">
        <f ca="1">IFERROR(__xludf.DUMMYFUNCTION("""COMPUTED_VALUE"""),"Ст. Буров – Форми и значение на съществителното име (С оглед предимно на категорията число)")</f>
        <v>Ст. Буров – Форми и значение на съществителното име (С оглед предимно на категорията число)</v>
      </c>
      <c r="D4133" s="10">
        <f ca="1">IFERROR(__xludf.DUMMYFUNCTION("""COMPUTED_VALUE"""),1996)</f>
        <v>1996</v>
      </c>
      <c r="E4133" s="10" t="str">
        <f ca="1">IFERROR(__xludf.DUMMYFUNCTION("""COMPUTED_VALUE"""),"Български език, год. ХLVI, 6/1996, В.Търново, изд. ПИК, 
 с. 74–79 (рецензия). ISBN 0005-4283")</f>
        <v>Български език, год. ХLVI, 6/1996, В.Търново, изд. ПИК, 
 с. 74–79 (рецензия). ISBN 0005-4283</v>
      </c>
      <c r="F4133" s="10"/>
      <c r="G4133" s="10"/>
      <c r="H4133" s="10"/>
      <c r="I4133" s="10"/>
      <c r="J4133" s="10"/>
      <c r="K4133" s="10"/>
      <c r="L4133" s="10"/>
      <c r="M4133" s="10"/>
      <c r="N4133" s="10"/>
      <c r="O4133" s="10"/>
      <c r="P4133" s="10"/>
      <c r="Q4133" s="10"/>
      <c r="R4133" s="10"/>
      <c r="S4133" s="10"/>
      <c r="T4133" s="10"/>
      <c r="U4133" s="10"/>
      <c r="V4133" s="10"/>
      <c r="W4133" s="10"/>
      <c r="X4133" s="10"/>
      <c r="Y4133" s="10"/>
      <c r="Z4133" s="10"/>
    </row>
    <row r="4134" spans="1:26" ht="12.75">
      <c r="A4134" s="10" t="str">
        <f ca="1">IFERROR(__xludf.DUMMYFUNCTION("""COMPUTED_VALUE"""),"Йорданка Ценкова Захариева")</f>
        <v>Йорданка Ценкова Захариева</v>
      </c>
      <c r="B4134" s="10" t="str">
        <f ca="1">IFERROR(__xludf.DUMMYFUNCTION("""COMPUTED_VALUE"""),"Статия в списания и поредици")</f>
        <v>Статия в списания и поредици</v>
      </c>
      <c r="C4134" s="10" t="str">
        <f ca="1">IFERROR(__xludf.DUMMYFUNCTION("""COMPUTED_VALUE"""),"Опит за семантична интерпретация на формите за сравнителна степен на (качествените) прилагателни имена в съвременния български книжовен език")</f>
        <v>Опит за семантична интерпретация на формите за сравнителна степен на (качествените) прилагателни имена в съвременния български книжовен език</v>
      </c>
      <c r="D4134" s="10">
        <f ca="1">IFERROR(__xludf.DUMMYFUNCTION("""COMPUTED_VALUE"""),1995)</f>
        <v>1995</v>
      </c>
      <c r="E4134" s="10" t="str">
        <f ca="1">IFERROR(__xludf.DUMMYFUNCTION("""COMPUTED_VALUE"""),"Проблеми на граматичната система на българския език. Българско езикознание, т.1. С.: М. Дринов, 1995, с. 151–178. ISBN 954-430-350-2 (т.1)")</f>
        <v>Проблеми на граматичната система на българския език. Българско езикознание, т.1. С.: М. Дринов, 1995, с. 151–178. ISBN 954-430-350-2 (т.1)</v>
      </c>
      <c r="F4134" s="10"/>
      <c r="G4134" s="10"/>
      <c r="H4134" s="10"/>
      <c r="I4134" s="10"/>
      <c r="J4134" s="10"/>
      <c r="K4134" s="10"/>
      <c r="L4134" s="10"/>
      <c r="M4134" s="10"/>
      <c r="N4134" s="10"/>
      <c r="O4134" s="10"/>
      <c r="P4134" s="10"/>
      <c r="Q4134" s="10"/>
      <c r="R4134" s="10"/>
      <c r="S4134" s="10"/>
      <c r="T4134" s="10"/>
      <c r="U4134" s="10"/>
      <c r="V4134" s="10"/>
      <c r="W4134" s="10"/>
      <c r="X4134" s="10"/>
      <c r="Y4134" s="10"/>
      <c r="Z4134" s="10"/>
    </row>
    <row r="4135" spans="1:26" ht="12.75">
      <c r="A4135" s="10" t="str">
        <f ca="1">IFERROR(__xludf.DUMMYFUNCTION("""COMPUTED_VALUE"""),"Йорданка Ценкова Захариева")</f>
        <v>Йорданка Ценкова Захариева</v>
      </c>
      <c r="B4135" s="10" t="str">
        <f ca="1">IFERROR(__xludf.DUMMYFUNCTION("""COMPUTED_VALUE"""),"Статия в списания и поредици")</f>
        <v>Статия в списания и поредици</v>
      </c>
      <c r="C4135" s="10" t="str">
        <f ca="1">IFERROR(__xludf.DUMMYFUNCTION("""COMPUTED_VALUE"""),"Към семантиката на сравнителната степен")</f>
        <v>Към семантиката на сравнителната степен</v>
      </c>
      <c r="D4135" s="10">
        <f ca="1">IFERROR(__xludf.DUMMYFUNCTION("""COMPUTED_VALUE"""),1994)</f>
        <v>1994</v>
      </c>
      <c r="E4135" s="10" t="str">
        <f ca="1">IFERROR(__xludf.DUMMYFUNCTION("""COMPUTED_VALUE"""),"Български език, 5–6/ 1993–1994, с. 531–535. ISBN 0005-4283")</f>
        <v>Български език, 5–6/ 1993–1994, с. 531–535. ISBN 0005-4283</v>
      </c>
      <c r="F4135" s="10"/>
      <c r="G4135" s="10"/>
      <c r="H4135" s="10"/>
      <c r="I4135" s="10"/>
      <c r="J4135" s="10"/>
      <c r="K4135" s="10"/>
      <c r="L4135" s="10"/>
      <c r="M4135" s="10"/>
      <c r="N4135" s="10"/>
      <c r="O4135" s="10"/>
      <c r="P4135" s="10"/>
      <c r="Q4135" s="10"/>
      <c r="R4135" s="10"/>
      <c r="S4135" s="10"/>
      <c r="T4135" s="10"/>
      <c r="U4135" s="10"/>
      <c r="V4135" s="10"/>
      <c r="W4135" s="10"/>
      <c r="X4135" s="10"/>
      <c r="Y4135" s="10"/>
      <c r="Z4135" s="10"/>
    </row>
    <row r="4136" spans="1:26" ht="12.75">
      <c r="A4136" s="10" t="str">
        <f ca="1">IFERROR(__xludf.DUMMYFUNCTION("""COMPUTED_VALUE"""),"Йорданка Ценкова Захариева")</f>
        <v>Йорданка Ценкова Захариева</v>
      </c>
      <c r="B4136" s="10" t="str">
        <f ca="1">IFERROR(__xludf.DUMMYFUNCTION("""COMPUTED_VALUE"""),"Статия в списания и поредици")</f>
        <v>Статия в списания и поредици</v>
      </c>
      <c r="C4136" s="10" t="str">
        <f ca="1">IFERROR(__xludf.DUMMYFUNCTION("""COMPUTED_VALUE"""),"За бизнеса, работата и медицинския факт")</f>
        <v>За бизнеса, работата и медицинския факт</v>
      </c>
      <c r="D4136" s="10">
        <f ca="1">IFERROR(__xludf.DUMMYFUNCTION("""COMPUTED_VALUE"""),1993)</f>
        <v>1993</v>
      </c>
      <c r="E4136" s="10" t="str">
        <f ca="1">IFERROR(__xludf.DUMMYFUNCTION("""COMPUTED_VALUE"""),"Науката и ние, 1/1993. с. 33-38. ISSN - 1314-085X")</f>
        <v>Науката и ние, 1/1993. с. 33-38. ISSN - 1314-085X</v>
      </c>
      <c r="F4136" s="10"/>
      <c r="G4136" s="10"/>
      <c r="H4136" s="10"/>
      <c r="I4136" s="10"/>
      <c r="J4136" s="10"/>
      <c r="K4136" s="10"/>
      <c r="L4136" s="10"/>
      <c r="M4136" s="10"/>
      <c r="N4136" s="10"/>
      <c r="O4136" s="10"/>
      <c r="P4136" s="10"/>
      <c r="Q4136" s="10"/>
      <c r="R4136" s="10"/>
      <c r="S4136" s="10"/>
      <c r="T4136" s="10"/>
      <c r="U4136" s="10"/>
      <c r="V4136" s="10"/>
      <c r="W4136" s="10"/>
      <c r="X4136" s="10"/>
      <c r="Y4136" s="10"/>
      <c r="Z4136" s="10"/>
    </row>
    <row r="4137" spans="1:26" ht="12.75">
      <c r="A4137" s="10" t="str">
        <f ca="1">IFERROR(__xludf.DUMMYFUNCTION("""COMPUTED_VALUE"""),"Йорданка Ценкова Захариева")</f>
        <v>Йорданка Ценкова Захариева</v>
      </c>
      <c r="B4137" s="10" t="str">
        <f ca="1">IFERROR(__xludf.DUMMYFUNCTION("""COMPUTED_VALUE"""),"Статия в списания и поредици")</f>
        <v>Статия в списания и поредици</v>
      </c>
      <c r="C4137" s="10" t="str">
        <f ca="1">IFERROR(__xludf.DUMMYFUNCTION("""COMPUTED_VALUE"""),"Ежегодна научна сесия на ИБЕ, посветена на научното дело на чл.-кор. К. Мирчев и проф. Ст.Стойков")</f>
        <v>Ежегодна научна сесия на ИБЕ, посветена на научното дело на чл.-кор. К. Мирчев и проф. Ст.Стойков</v>
      </c>
      <c r="D4137" s="10">
        <f ca="1">IFERROR(__xludf.DUMMYFUNCTION("""COMPUTED_VALUE"""),1992)</f>
        <v>1992</v>
      </c>
      <c r="E4137" s="10" t="str">
        <f ca="1">IFERROR(__xludf.DUMMYFUNCTION("""COMPUTED_VALUE"""),"1992 - Български език, 5/1992, год. XLII, с. 456–462. 
 ISBN 0005-4283")</f>
        <v>1992 - Български език, 5/1992, год. XLII, с. 456–462. 
 ISBN 0005-4283</v>
      </c>
      <c r="F4137" s="10"/>
      <c r="G4137" s="10"/>
      <c r="H4137" s="10"/>
      <c r="I4137" s="10"/>
      <c r="J4137" s="10"/>
      <c r="K4137" s="10"/>
      <c r="L4137" s="10"/>
      <c r="M4137" s="10"/>
      <c r="N4137" s="10"/>
      <c r="O4137" s="10"/>
      <c r="P4137" s="10"/>
      <c r="Q4137" s="10"/>
      <c r="R4137" s="10"/>
      <c r="S4137" s="10"/>
      <c r="T4137" s="10"/>
      <c r="U4137" s="10"/>
      <c r="V4137" s="10"/>
      <c r="W4137" s="10"/>
      <c r="X4137" s="10"/>
      <c r="Y4137" s="10"/>
      <c r="Z4137" s="10"/>
    </row>
    <row r="4138" spans="1:26" ht="12.75">
      <c r="A4138" s="10" t="str">
        <f ca="1">IFERROR(__xludf.DUMMYFUNCTION("""COMPUTED_VALUE"""),"Йорданка Ценкова Захариева")</f>
        <v>Йорданка Ценкова Захариева</v>
      </c>
      <c r="B4138" s="10" t="str">
        <f ca="1">IFERROR(__xludf.DUMMYFUNCTION("""COMPUTED_VALUE"""),"Статия в списания и поредици")</f>
        <v>Статия в списания и поредици</v>
      </c>
      <c r="C4138" s="10" t="str">
        <f ca="1">IFERROR(__xludf.DUMMYFUNCTION("""COMPUTED_VALUE"""),"Юбилейна научна сесия по случай 50-годишнината от създаването на ИБЕ, София, 19–21 май 1992")</f>
        <v>Юбилейна научна сесия по случай 50-годишнината от създаването на ИБЕ, София, 19–21 май 1992</v>
      </c>
      <c r="D4138" s="10">
        <f ca="1">IFERROR(__xludf.DUMMYFUNCTION("""COMPUTED_VALUE"""),1992)</f>
        <v>1992</v>
      </c>
      <c r="E4138" s="10" t="str">
        <f ca="1">IFERROR(__xludf.DUMMYFUNCTION("""COMPUTED_VALUE"""),"1992 - Български език, 3/1992, с. 237–239 (съавтор). ISBN 0005-4283.")</f>
        <v>1992 - Български език, 3/1992, с. 237–239 (съавтор). ISBN 0005-4283.</v>
      </c>
      <c r="F4138" s="10"/>
      <c r="G4138" s="10"/>
      <c r="H4138" s="10"/>
      <c r="I4138" s="10"/>
      <c r="J4138" s="10"/>
      <c r="K4138" s="10"/>
      <c r="L4138" s="10"/>
      <c r="M4138" s="10"/>
      <c r="N4138" s="10"/>
      <c r="O4138" s="10"/>
      <c r="P4138" s="10"/>
      <c r="Q4138" s="10"/>
      <c r="R4138" s="10"/>
      <c r="S4138" s="10"/>
      <c r="T4138" s="10"/>
      <c r="U4138" s="10"/>
      <c r="V4138" s="10"/>
      <c r="W4138" s="10"/>
      <c r="X4138" s="10"/>
      <c r="Y4138" s="10"/>
      <c r="Z4138" s="10"/>
    </row>
    <row r="4139" spans="1:26" ht="12.75">
      <c r="A4139" s="10" t="str">
        <f ca="1">IFERROR(__xludf.DUMMYFUNCTION("""COMPUTED_VALUE"""),"Йорданка Ценкова Захариева")</f>
        <v>Йорданка Ценкова Захариева</v>
      </c>
      <c r="B4139" s="10" t="str">
        <f ca="1">IFERROR(__xludf.DUMMYFUNCTION("""COMPUTED_VALUE"""),"Статия в списания и поредици")</f>
        <v>Статия в списания и поредици</v>
      </c>
      <c r="C4139" s="10" t="str">
        <f ca="1">IFERROR(__xludf.DUMMYFUNCTION("""COMPUTED_VALUE"""),"Редактирането – че то е много просто! (Как да запълним паузите...)")</f>
        <v>Редактирането – че то е много просто! (Как да запълним паузите...)</v>
      </c>
      <c r="D4139" s="10">
        <f ca="1">IFERROR(__xludf.DUMMYFUNCTION("""COMPUTED_VALUE"""),1991)</f>
        <v>1991</v>
      </c>
      <c r="E4139" s="10" t="str">
        <f ca="1">IFERROR(__xludf.DUMMYFUNCTION("""COMPUTED_VALUE"""),"Азбуки, 23/1991 (съавтор). с. 22-25 ISSN 0861–3982 (Print)")</f>
        <v>Азбуки, 23/1991 (съавтор). с. 22-25 ISSN 0861–3982 (Print)</v>
      </c>
      <c r="F4139" s="10"/>
      <c r="G4139" s="10"/>
      <c r="H4139" s="10"/>
      <c r="I4139" s="10"/>
      <c r="J4139" s="10"/>
      <c r="K4139" s="10"/>
      <c r="L4139" s="10"/>
      <c r="M4139" s="10"/>
      <c r="N4139" s="10"/>
      <c r="O4139" s="10"/>
      <c r="P4139" s="10"/>
      <c r="Q4139" s="10"/>
      <c r="R4139" s="10"/>
      <c r="S4139" s="10"/>
      <c r="T4139" s="10"/>
      <c r="U4139" s="10"/>
      <c r="V4139" s="10"/>
      <c r="W4139" s="10"/>
      <c r="X4139" s="10"/>
      <c r="Y4139" s="10"/>
      <c r="Z4139" s="10"/>
    </row>
    <row r="4140" spans="1:26" ht="12.75">
      <c r="A4140" s="10" t="str">
        <f ca="1">IFERROR(__xludf.DUMMYFUNCTION("""COMPUTED_VALUE"""),"Йорданка Ценкова Захариева")</f>
        <v>Йорданка Ценкова Захариева</v>
      </c>
      <c r="B4140" s="10" t="str">
        <f ca="1">IFERROR(__xludf.DUMMYFUNCTION("""COMPUTED_VALUE"""),"Статия в списания и поредици")</f>
        <v>Статия в списания и поредици</v>
      </c>
      <c r="C4140" s="10" t="str">
        <f ca="1">IFERROR(__xludf.DUMMYFUNCTION("""COMPUTED_VALUE"""),"Сигурност или безопасност")</f>
        <v>Сигурност или безопасност</v>
      </c>
      <c r="D4140" s="10">
        <f ca="1">IFERROR(__xludf.DUMMYFUNCTION("""COMPUTED_VALUE"""),1990)</f>
        <v>1990</v>
      </c>
      <c r="E4140" s="10" t="str">
        <f ca="1">IFERROR(__xludf.DUMMYFUNCTION("""COMPUTED_VALUE"""),"Български език, 4/1990, с. 368–369. ISBN 0005-4283")</f>
        <v>Български език, 4/1990, с. 368–369. ISBN 0005-4283</v>
      </c>
      <c r="F4140" s="10"/>
      <c r="G4140" s="10"/>
      <c r="H4140" s="10"/>
      <c r="I4140" s="10"/>
      <c r="J4140" s="10"/>
      <c r="K4140" s="10"/>
      <c r="L4140" s="10"/>
      <c r="M4140" s="10"/>
      <c r="N4140" s="10"/>
      <c r="O4140" s="10"/>
      <c r="P4140" s="10"/>
      <c r="Q4140" s="10"/>
      <c r="R4140" s="10"/>
      <c r="S4140" s="10"/>
      <c r="T4140" s="10"/>
      <c r="U4140" s="10"/>
      <c r="V4140" s="10"/>
      <c r="W4140" s="10"/>
      <c r="X4140" s="10"/>
      <c r="Y4140" s="10"/>
      <c r="Z4140" s="10"/>
    </row>
    <row r="4141" spans="1:26" ht="12.75">
      <c r="A4141" s="10" t="str">
        <f ca="1">IFERROR(__xludf.DUMMYFUNCTION("""COMPUTED_VALUE"""),"Йорданка Ценкова Захариева")</f>
        <v>Йорданка Ценкова Захариева</v>
      </c>
      <c r="B4141" s="10" t="str">
        <f ca="1">IFERROR(__xludf.DUMMYFUNCTION("""COMPUTED_VALUE"""),"Статия в списания и поредици")</f>
        <v>Статия в списания и поредици</v>
      </c>
      <c r="C4141" s="10" t="str">
        <f ca="1">IFERROR(__xludf.DUMMYFUNCTION("""COMPUTED_VALUE"""),"При кои други предлоги има дублетност")</f>
        <v>При кои други предлоги има дублетност</v>
      </c>
      <c r="D4141" s="10">
        <f ca="1">IFERROR(__xludf.DUMMYFUNCTION("""COMPUTED_VALUE"""),1990)</f>
        <v>1990</v>
      </c>
      <c r="E4141" s="10" t="str">
        <f ca="1">IFERROR(__xludf.DUMMYFUNCTION("""COMPUTED_VALUE"""),"101 въпроса за дублетите (съст. Е. Георгиева, П. Баракова; ред. колегия В. Станков, Е. Георгиева). С.: Д-р П. Берон, 1990, с. 207–209. УДК 808Б-54(035)")</f>
        <v>101 въпроса за дублетите (съст. Е. Георгиева, П. Баракова; ред. колегия В. Станков, Е. Георгиева). С.: Д-р П. Берон, 1990, с. 207–209. УДК 808Б-54(035)</v>
      </c>
      <c r="F4141" s="10"/>
      <c r="G4141" s="10"/>
      <c r="H4141" s="10"/>
      <c r="I4141" s="10"/>
      <c r="J4141" s="10"/>
      <c r="K4141" s="10"/>
      <c r="L4141" s="10"/>
      <c r="M4141" s="10"/>
      <c r="N4141" s="10"/>
      <c r="O4141" s="10"/>
      <c r="P4141" s="10"/>
      <c r="Q4141" s="10"/>
      <c r="R4141" s="10"/>
      <c r="S4141" s="10"/>
      <c r="T4141" s="10"/>
      <c r="U4141" s="10"/>
      <c r="V4141" s="10"/>
      <c r="W4141" s="10"/>
      <c r="X4141" s="10"/>
      <c r="Y4141" s="10"/>
      <c r="Z4141" s="10"/>
    </row>
    <row r="4142" spans="1:26" ht="12.75">
      <c r="A4142" s="10" t="str">
        <f ca="1">IFERROR(__xludf.DUMMYFUNCTION("""COMPUTED_VALUE"""),"Йорданка Ценкова Захариева")</f>
        <v>Йорданка Ценкова Захариева</v>
      </c>
      <c r="B4142" s="10" t="str">
        <f ca="1">IFERROR(__xludf.DUMMYFUNCTION("""COMPUTED_VALUE"""),"Статия в списания и поредици")</f>
        <v>Статия в списания и поредици</v>
      </c>
      <c r="C4142" s="10" t="str">
        <f ca="1">IFERROR(__xludf.DUMMYFUNCTION("""COMPUTED_VALUE"""),"Какви дублети имат предлогът сред и неговите производни?")</f>
        <v>Какви дублети имат предлогът сред и неговите производни?</v>
      </c>
      <c r="D4142" s="10">
        <f ca="1">IFERROR(__xludf.DUMMYFUNCTION("""COMPUTED_VALUE"""),1990)</f>
        <v>1990</v>
      </c>
      <c r="E4142" s="10" t="str">
        <f ca="1">IFERROR(__xludf.DUMMYFUNCTION("""COMPUTED_VALUE"""),"101 въпроса за дублетите (съст. Е. Георгиева, П. Баракова; ред. колегия В. Станков, Е. Георгиева). С.: Д-р П. Берон, 1990, с. 203–205. УДК 808Б-54(035)")</f>
        <v>101 въпроса за дублетите (съст. Е. Георгиева, П. Баракова; ред. колегия В. Станков, Е. Георгиева). С.: Д-р П. Берон, 1990, с. 203–205. УДК 808Б-54(035)</v>
      </c>
      <c r="F4142" s="10"/>
      <c r="G4142" s="10"/>
      <c r="H4142" s="10"/>
      <c r="I4142" s="10"/>
      <c r="J4142" s="10"/>
      <c r="K4142" s="10"/>
      <c r="L4142" s="10"/>
      <c r="M4142" s="10"/>
      <c r="N4142" s="10"/>
      <c r="O4142" s="10"/>
      <c r="P4142" s="10"/>
      <c r="Q4142" s="10"/>
      <c r="R4142" s="10"/>
      <c r="S4142" s="10"/>
      <c r="T4142" s="10"/>
      <c r="U4142" s="10"/>
      <c r="V4142" s="10"/>
      <c r="W4142" s="10"/>
      <c r="X4142" s="10"/>
      <c r="Y4142" s="10"/>
      <c r="Z4142" s="10"/>
    </row>
    <row r="4143" spans="1:26" ht="12.75">
      <c r="A4143" s="10" t="str">
        <f ca="1">IFERROR(__xludf.DUMMYFUNCTION("""COMPUTED_VALUE"""),"Йорданка Ценкова Захариева")</f>
        <v>Йорданка Ценкова Захариева</v>
      </c>
      <c r="B4143" s="10" t="str">
        <f ca="1">IFERROR(__xludf.DUMMYFUNCTION("""COMPUTED_VALUE"""),"Статия в списания и поредици")</f>
        <v>Статия в списания и поредици</v>
      </c>
      <c r="C4143" s="10" t="str">
        <f ca="1">IFERROR(__xludf.DUMMYFUNCTION("""COMPUTED_VALUE"""),"Дублети ли са подир и подире?")</f>
        <v>Дублети ли са подир и подире?</v>
      </c>
      <c r="D4143" s="10">
        <f ca="1">IFERROR(__xludf.DUMMYFUNCTION("""COMPUTED_VALUE"""),1990)</f>
        <v>1990</v>
      </c>
      <c r="E4143" s="10" t="str">
        <f ca="1">IFERROR(__xludf.DUMMYFUNCTION("""COMPUTED_VALUE"""),"101 въпроса за дублетите (съст. Е. Георгиева, П. Баракова; ред. колегия В. Станков, Е. Георгиева). С.: Д-р П. Берон, 1990, с. 205–207. УДК 808Б-54(035)")</f>
        <v>101 въпроса за дублетите (съст. Е. Георгиева, П. Баракова; ред. колегия В. Станков, Е. Георгиева). С.: Д-р П. Берон, 1990, с. 205–207. УДК 808Б-54(035)</v>
      </c>
      <c r="F4143" s="10"/>
      <c r="G4143" s="10"/>
      <c r="H4143" s="10"/>
      <c r="I4143" s="10"/>
      <c r="J4143" s="10"/>
      <c r="K4143" s="10"/>
      <c r="L4143" s="10"/>
      <c r="M4143" s="10"/>
      <c r="N4143" s="10"/>
      <c r="O4143" s="10"/>
      <c r="P4143" s="10"/>
      <c r="Q4143" s="10"/>
      <c r="R4143" s="10"/>
      <c r="S4143" s="10"/>
      <c r="T4143" s="10"/>
      <c r="U4143" s="10"/>
      <c r="V4143" s="10"/>
      <c r="W4143" s="10"/>
      <c r="X4143" s="10"/>
      <c r="Y4143" s="10"/>
      <c r="Z4143" s="10"/>
    </row>
    <row r="4144" spans="1:26" ht="12.75">
      <c r="A4144" s="10" t="str">
        <f ca="1">IFERROR(__xludf.DUMMYFUNCTION("""COMPUTED_VALUE"""),"Йорданка Ценкова Захариева")</f>
        <v>Йорданка Ценкова Захариева</v>
      </c>
      <c r="B4144" s="10" t="str">
        <f ca="1">IFERROR(__xludf.DUMMYFUNCTION("""COMPUTED_VALUE"""),"Статия в списания и поредици")</f>
        <v>Статия в списания и поредици</v>
      </c>
      <c r="C4144" s="10" t="str">
        <f ca="1">IFERROR(__xludf.DUMMYFUNCTION("""COMPUTED_VALUE"""),"Защо са дублети предлозите в и във и с и със?")</f>
        <v>Защо са дублети предлозите в и във и с и със?</v>
      </c>
      <c r="D4144" s="10">
        <f ca="1">IFERROR(__xludf.DUMMYFUNCTION("""COMPUTED_VALUE"""),1990)</f>
        <v>1990</v>
      </c>
      <c r="E4144" s="10" t="str">
        <f ca="1">IFERROR(__xludf.DUMMYFUNCTION("""COMPUTED_VALUE"""),"101 въпроса за дублетите (съст. Е. Георгиева, П. Баракова; ред. колегия В. Станков, Е. Георгиева). С.: Д-р П. Берон, 1990, с. 199–203. УДК 808Б-54(035)")</f>
        <v>101 въпроса за дублетите (съст. Е. Георгиева, П. Баракова; ред. колегия В. Станков, Е. Георгиева). С.: Д-р П. Берон, 1990, с. 199–203. УДК 808Б-54(035)</v>
      </c>
      <c r="F4144" s="10"/>
      <c r="G4144" s="10"/>
      <c r="H4144" s="10"/>
      <c r="I4144" s="10"/>
      <c r="J4144" s="10"/>
      <c r="K4144" s="10"/>
      <c r="L4144" s="10"/>
      <c r="M4144" s="10"/>
      <c r="N4144" s="10"/>
      <c r="O4144" s="10"/>
      <c r="P4144" s="10"/>
      <c r="Q4144" s="10"/>
      <c r="R4144" s="10"/>
      <c r="S4144" s="10"/>
      <c r="T4144" s="10"/>
      <c r="U4144" s="10"/>
      <c r="V4144" s="10"/>
      <c r="W4144" s="10"/>
      <c r="X4144" s="10"/>
      <c r="Y4144" s="10"/>
      <c r="Z4144" s="10"/>
    </row>
    <row r="4145" spans="1:26" ht="12.75">
      <c r="A4145" s="10" t="str">
        <f ca="1">IFERROR(__xludf.DUMMYFUNCTION("""COMPUTED_VALUE"""),"Йорданка Ценкова Захариева")</f>
        <v>Йорданка Ценкова Захариева</v>
      </c>
      <c r="B4145" s="10" t="str">
        <f ca="1">IFERROR(__xludf.DUMMYFUNCTION("""COMPUTED_VALUE"""),"Статия в списания и поредици")</f>
        <v>Статия в списания и поредици</v>
      </c>
      <c r="C4145" s="10" t="str">
        <f ca="1">IFERROR(__xludf.DUMMYFUNCTION("""COMPUTED_VALUE"""),"Интернационалната лексика в преустройството на икономиката")</f>
        <v>Интернационалната лексика в преустройството на икономиката</v>
      </c>
      <c r="D4145" s="10">
        <f ca="1">IFERROR(__xludf.DUMMYFUNCTION("""COMPUTED_VALUE"""),1989)</f>
        <v>1989</v>
      </c>
      <c r="E4145" s="10" t="str">
        <f ca="1">IFERROR(__xludf.DUMMYFUNCTION("""COMPUTED_VALUE"""),"1989 - Отечествен фронт. 13185/1989.с. 4. ISSN - 0205-115X")</f>
        <v>1989 - Отечествен фронт. 13185/1989.с. 4. ISSN - 0205-115X</v>
      </c>
      <c r="F4145" s="10"/>
      <c r="G4145" s="10"/>
      <c r="H4145" s="10"/>
      <c r="I4145" s="10"/>
      <c r="J4145" s="10"/>
      <c r="K4145" s="10"/>
      <c r="L4145" s="10"/>
      <c r="M4145" s="10"/>
      <c r="N4145" s="10"/>
      <c r="O4145" s="10"/>
      <c r="P4145" s="10"/>
      <c r="Q4145" s="10"/>
      <c r="R4145" s="10"/>
      <c r="S4145" s="10"/>
      <c r="T4145" s="10"/>
      <c r="U4145" s="10"/>
      <c r="V4145" s="10"/>
      <c r="W4145" s="10"/>
      <c r="X4145" s="10"/>
      <c r="Y4145" s="10"/>
      <c r="Z4145" s="10"/>
    </row>
    <row r="4146" spans="1:26" ht="12.75">
      <c r="A4146" s="10" t="str">
        <f ca="1">IFERROR(__xludf.DUMMYFUNCTION("""COMPUTED_VALUE"""),"Йорданка Ценкова Захариева")</f>
        <v>Йорданка Ценкова Захариева</v>
      </c>
      <c r="B4146" s="10" t="str">
        <f ca="1">IFERROR(__xludf.DUMMYFUNCTION("""COMPUTED_VALUE"""),"Статия в списания и поредици")</f>
        <v>Статия в списания и поредици</v>
      </c>
      <c r="C4146" s="10" t="str">
        <f ca="1">IFERROR(__xludf.DUMMYFUNCTION("""COMPUTED_VALUE"""),"Менажер и мениджър")</f>
        <v>Менажер и мениджър</v>
      </c>
      <c r="D4146" s="10">
        <f ca="1">IFERROR(__xludf.DUMMYFUNCTION("""COMPUTED_VALUE"""),1989)</f>
        <v>1989</v>
      </c>
      <c r="E4146" s="10" t="str">
        <f ca="1">IFERROR(__xludf.DUMMYFUNCTION("""COMPUTED_VALUE"""),"Български език, 3/1989, с. 240–241. ISBN 0005-4283")</f>
        <v>Български език, 3/1989, с. 240–241. ISBN 0005-4283</v>
      </c>
      <c r="F4146" s="10"/>
      <c r="G4146" s="10"/>
      <c r="H4146" s="10"/>
      <c r="I4146" s="10"/>
      <c r="J4146" s="10"/>
      <c r="K4146" s="10"/>
      <c r="L4146" s="10"/>
      <c r="M4146" s="10"/>
      <c r="N4146" s="10"/>
      <c r="O4146" s="10"/>
      <c r="P4146" s="10"/>
      <c r="Q4146" s="10"/>
      <c r="R4146" s="10"/>
      <c r="S4146" s="10"/>
      <c r="T4146" s="10"/>
      <c r="U4146" s="10"/>
      <c r="V4146" s="10"/>
      <c r="W4146" s="10"/>
      <c r="X4146" s="10"/>
      <c r="Y4146" s="10"/>
      <c r="Z4146" s="10"/>
    </row>
    <row r="4147" spans="1:26" ht="12.75">
      <c r="A4147" s="10" t="str">
        <f ca="1">IFERROR(__xludf.DUMMYFUNCTION("""COMPUTED_VALUE"""),"Йорданка Ценкова Захариева")</f>
        <v>Йорданка Ценкова Захариева</v>
      </c>
      <c r="B4147" s="10" t="str">
        <f ca="1">IFERROR(__xludf.DUMMYFUNCTION("""COMPUTED_VALUE"""),"Статия в списания и поредици")</f>
        <v>Статия в списания и поредици</v>
      </c>
      <c r="C4147" s="10" t="str">
        <f ca="1">IFERROR(__xludf.DUMMYFUNCTION("""COMPUTED_VALUE"""),"Савремени бугарски jезик – морфологиjа на М. Младенов .")</f>
        <v>Савремени бугарски jезик – морфологиjа на М. Младенов .</v>
      </c>
      <c r="D4147" s="10">
        <f ca="1">IFERROR(__xludf.DUMMYFUNCTION("""COMPUTED_VALUE"""),1988)</f>
        <v>1988</v>
      </c>
      <c r="E4147" s="10" t="str">
        <f ca="1">IFERROR(__xludf.DUMMYFUNCTION("""COMPUTED_VALUE"""),"1988 - Български език, 5/1988, с.466–468 (рецензия, съавтор). ISBN 0005-4283. в (Универзитет у Београду, Филолошки факултет, 1987, 151 с.).")</f>
        <v>1988 - Български език, 5/1988, с.466–468 (рецензия, съавтор). ISBN 0005-4283. в (Универзитет у Београду, Филолошки факултет, 1987, 151 с.).</v>
      </c>
      <c r="F4147" s="10"/>
      <c r="G4147" s="10"/>
      <c r="H4147" s="10"/>
      <c r="I4147" s="10"/>
      <c r="J4147" s="10"/>
      <c r="K4147" s="10"/>
      <c r="L4147" s="10"/>
      <c r="M4147" s="10"/>
      <c r="N4147" s="10"/>
      <c r="O4147" s="10"/>
      <c r="P4147" s="10"/>
      <c r="Q4147" s="10"/>
      <c r="R4147" s="10"/>
      <c r="S4147" s="10"/>
      <c r="T4147" s="10"/>
      <c r="U4147" s="10"/>
      <c r="V4147" s="10"/>
      <c r="W4147" s="10"/>
      <c r="X4147" s="10"/>
      <c r="Y4147" s="10"/>
      <c r="Z4147" s="10"/>
    </row>
    <row r="4148" spans="1:26" ht="12.75">
      <c r="A4148" s="10" t="str">
        <f ca="1">IFERROR(__xludf.DUMMYFUNCTION("""COMPUTED_VALUE"""),"Ирена Йорданова Петева")</f>
        <v>Ирена Йорданова Петева</v>
      </c>
      <c r="B4148" s="10" t="str">
        <f ca="1">IFERROR(__xludf.DUMMYFUNCTION("""COMPUTED_VALUE"""),"Доклад от конференция")</f>
        <v>Доклад от конференция</v>
      </c>
      <c r="C4148" s="10" t="str">
        <f ca="1">IFERROR(__xludf.DUMMYFUNCTION("""COMPUTED_VALUE"""),"MIXED REALITY AS NEW OPPORTUNITY IN THE PRESERVATION AND PROMOTION OF THE CULTURAL AND HISTORICAL HERITAGE")</f>
        <v>MIXED REALITY AS NEW OPPORTUNITY IN THE PRESERVATION AND PROMOTION OF THE CULTURAL AND HISTORICAL HERITAGE</v>
      </c>
      <c r="D4148" s="10">
        <f ca="1">IFERROR(__xludf.DUMMYFUNCTION("""COMPUTED_VALUE"""),2019)</f>
        <v>2019</v>
      </c>
      <c r="E4148" s="10" t="str">
        <f ca="1">IFERROR(__xludf.DUMMYFUNCTION("""COMPUTED_VALUE"""),"EDULEARN19 Proceedings, pp. 2451-2456.ISBN: 978-84-09-12031-4 ISSN: 2340-1117 doi: 10.21125/edulearn.2019.0662")</f>
        <v>EDULEARN19 Proceedings, pp. 2451-2456.ISBN: 978-84-09-12031-4 ISSN: 2340-1117 doi: 10.21125/edulearn.2019.0662</v>
      </c>
      <c r="F4148" s="10"/>
      <c r="G4148" s="10" t="str">
        <f ca="1">IFERROR(__xludf.DUMMYFUNCTION("""COMPUTED_VALUE"""),"S. Denchev, I. Trenchev")</f>
        <v>S. Denchev, I. Trenchev</v>
      </c>
      <c r="H4148" s="10"/>
      <c r="I4148" s="10"/>
      <c r="J4148" s="10"/>
      <c r="K4148" s="10"/>
      <c r="L4148" s="10"/>
      <c r="M4148" s="10"/>
      <c r="N4148" s="10"/>
      <c r="O4148" s="10"/>
      <c r="P4148" s="10"/>
      <c r="Q4148" s="10"/>
      <c r="R4148" s="10"/>
      <c r="S4148" s="10"/>
      <c r="T4148" s="10"/>
      <c r="U4148" s="10"/>
      <c r="V4148" s="10"/>
      <c r="W4148" s="10"/>
      <c r="X4148" s="10"/>
      <c r="Y4148" s="10"/>
      <c r="Z4148" s="10"/>
    </row>
    <row r="4149" spans="1:26" ht="12.75">
      <c r="A4149" s="10" t="str">
        <f ca="1">IFERROR(__xludf.DUMMYFUNCTION("""COMPUTED_VALUE"""),"Ирена Йорданова Петева")</f>
        <v>Ирена Йорданова Петева</v>
      </c>
      <c r="B4149" s="10" t="str">
        <f ca="1">IFERROR(__xludf.DUMMYFUNCTION("""COMPUTED_VALUE"""),"Доклад от конференция")</f>
        <v>Доклад от конференция</v>
      </c>
      <c r="C4149" s="10" t="str">
        <f ca="1">IFERROR(__xludf.DUMMYFUNCTION("""COMPUTED_VALUE"""),"THE ROLE OF LIBRARIES IN CONTEMPORARY INFORMATION ENVIRONMENT")</f>
        <v>THE ROLE OF LIBRARIES IN CONTEMPORARY INFORMATION ENVIRONMENT</v>
      </c>
      <c r="D4149" s="10">
        <f ca="1">IFERROR(__xludf.DUMMYFUNCTION("""COMPUTED_VALUE"""),2019)</f>
        <v>2019</v>
      </c>
      <c r="E4149" s="10" t="str">
        <f ca="1">IFERROR(__xludf.DUMMYFUNCTION("""COMPUTED_VALUE"""),"INTED2019 Proceedings Pages: 2849-2855 Publication year: 2019 ISBN: 978-84-09-08619-1 ISSN: 2340-1079 doi: 10.21125/inted.2019.0759")</f>
        <v>INTED2019 Proceedings Pages: 2849-2855 Publication year: 2019 ISBN: 978-84-09-08619-1 ISSN: 2340-1079 doi: 10.21125/inted.2019.0759</v>
      </c>
      <c r="F4149" s="10"/>
      <c r="G4149" s="10" t="str">
        <f ca="1">IFERROR(__xludf.DUMMYFUNCTION("""COMPUTED_VALUE"""),"S. Denchev, E. Tsvetkova")</f>
        <v>S. Denchev, E. Tsvetkova</v>
      </c>
      <c r="H4149" s="10"/>
      <c r="I4149" s="10"/>
      <c r="J4149" s="10"/>
      <c r="K4149" s="10"/>
      <c r="L4149" s="10"/>
      <c r="M4149" s="10"/>
      <c r="N4149" s="10"/>
      <c r="O4149" s="10"/>
      <c r="P4149" s="10"/>
      <c r="Q4149" s="10"/>
      <c r="R4149" s="10"/>
      <c r="S4149" s="10"/>
      <c r="T4149" s="10"/>
      <c r="U4149" s="10"/>
      <c r="V4149" s="10"/>
      <c r="W4149" s="10"/>
      <c r="X4149" s="10"/>
      <c r="Y4149" s="10"/>
      <c r="Z4149" s="10"/>
    </row>
    <row r="4150" spans="1:26" ht="12.75">
      <c r="A4150" s="10" t="str">
        <f ca="1">IFERROR(__xludf.DUMMYFUNCTION("""COMPUTED_VALUE"""),"Ирена Йорданова Петева")</f>
        <v>Ирена Йорданова Петева</v>
      </c>
      <c r="B4150" s="10" t="str">
        <f ca="1">IFERROR(__xludf.DUMMYFUNCTION("""COMPUTED_VALUE"""),"Доклад от конференция")</f>
        <v>Доклад от конференция</v>
      </c>
      <c r="C4150" s="10" t="str">
        <f ca="1">IFERROR(__xludf.DUMMYFUNCTION("""COMPUTED_VALUE"""),"MOBILE ACCESS TO INFORMATION SERVICES AND RESOURCES: THE LIBRARY EXPERIENCE")</f>
        <v>MOBILE ACCESS TO INFORMATION SERVICES AND RESOURCES: THE LIBRARY EXPERIENCE</v>
      </c>
      <c r="D4150" s="10">
        <f ca="1">IFERROR(__xludf.DUMMYFUNCTION("""COMPUTED_VALUE"""),2019)</f>
        <v>2019</v>
      </c>
      <c r="E4150" s="10" t="str">
        <f ca="1">IFERROR(__xludf.DUMMYFUNCTION("""COMPUTED_VALUE"""),"EDULEARN19 Proceedings Pages: 2974-2980 Publication year: 2019 ISBN: 978-84-09-12031-4 ISSN: 2340-1117 doi: 10.21125/edulearn.2019.0798")</f>
        <v>EDULEARN19 Proceedings Pages: 2974-2980 Publication year: 2019 ISBN: 978-84-09-12031-4 ISSN: 2340-1117 doi: 10.21125/edulearn.2019.0798</v>
      </c>
      <c r="F4150" s="10"/>
      <c r="G4150" s="10" t="str">
        <f ca="1">IFERROR(__xludf.DUMMYFUNCTION("""COMPUTED_VALUE"""),"S. Denchev,E. Tsvetkova")</f>
        <v>S. Denchev,E. Tsvetkova</v>
      </c>
      <c r="H4150" s="10"/>
      <c r="I4150" s="10"/>
      <c r="J4150" s="10"/>
      <c r="K4150" s="10"/>
      <c r="L4150" s="10"/>
      <c r="M4150" s="10"/>
      <c r="N4150" s="10"/>
      <c r="O4150" s="10"/>
      <c r="P4150" s="10"/>
      <c r="Q4150" s="10"/>
      <c r="R4150" s="10"/>
      <c r="S4150" s="10"/>
      <c r="T4150" s="10"/>
      <c r="U4150" s="10"/>
      <c r="V4150" s="10"/>
      <c r="W4150" s="10"/>
      <c r="X4150" s="10"/>
      <c r="Y4150" s="10"/>
      <c r="Z4150" s="10"/>
    </row>
    <row r="4151" spans="1:26" ht="12.75">
      <c r="A4151" s="10" t="str">
        <f ca="1">IFERROR(__xludf.DUMMYFUNCTION("""COMPUTED_VALUE"""),"Ирена Йорданова Петева")</f>
        <v>Ирена Йорданова Петева</v>
      </c>
      <c r="B4151" s="10" t="str">
        <f ca="1">IFERROR(__xludf.DUMMYFUNCTION("""COMPUTED_VALUE"""),"Доклад от конференция")</f>
        <v>Доклад от конференция</v>
      </c>
      <c r="C4151" s="10" t="str">
        <f ca="1">IFERROR(__xludf.DUMMYFUNCTION("""COMPUTED_VALUE"""),"APPLICATION OF NEW TECHNOLOGIES FOR 3D MODELING IN AN UNIVERSITY INFORMATION ENVIRONMENT")</f>
        <v>APPLICATION OF NEW TECHNOLOGIES FOR 3D MODELING IN AN UNIVERSITY INFORMATION ENVIRONMENT</v>
      </c>
      <c r="D4151" s="10">
        <f ca="1">IFERROR(__xludf.DUMMYFUNCTION("""COMPUTED_VALUE"""),2019)</f>
        <v>2019</v>
      </c>
      <c r="E4151" s="10" t="str">
        <f ca="1">IFERROR(__xludf.DUMMYFUNCTION("""COMPUTED_VALUE"""),"Pages: 4932-4938 Publication year: 2019 ISBN: 978-84-09-14755-7 ISSN: 2340-1095 doi: 10.21125/iceri.2019.1205 Conference name: 12th annual International Conference of Education, Research and Innovation Dates: 11-13 November, 2019 Location: Seville, Spain")</f>
        <v>Pages: 4932-4938 Publication year: 2019 ISBN: 978-84-09-14755-7 ISSN: 2340-1095 doi: 10.21125/iceri.2019.1205 Conference name: 12th annual International Conference of Education, Research and Innovation Dates: 11-13 November, 2019 Location: Seville, Spain</v>
      </c>
      <c r="F4151" s="10" t="str">
        <f ca="1">IFERROR(__xludf.DUMMYFUNCTION("""COMPUTED_VALUE"""),"Web of Science")</f>
        <v>Web of Science</v>
      </c>
      <c r="G4151" s="10" t="str">
        <f ca="1">IFERROR(__xludf.DUMMYFUNCTION("""COMPUTED_VALUE"""),"S. Denchev, I. Trenchev,I. Pavlova")</f>
        <v>S. Denchev, I. Trenchev,I. Pavlova</v>
      </c>
      <c r="H4151" s="10"/>
      <c r="I4151" s="10"/>
      <c r="J4151" s="10"/>
      <c r="K4151" s="10"/>
      <c r="L4151" s="10"/>
      <c r="M4151" s="10"/>
      <c r="N4151" s="10"/>
      <c r="O4151" s="10"/>
      <c r="P4151" s="10"/>
      <c r="Q4151" s="10"/>
      <c r="R4151" s="10"/>
      <c r="S4151" s="10"/>
      <c r="T4151" s="10"/>
      <c r="U4151" s="10"/>
      <c r="V4151" s="10"/>
      <c r="W4151" s="10"/>
      <c r="X4151" s="10"/>
      <c r="Y4151" s="10"/>
      <c r="Z4151" s="10"/>
    </row>
    <row r="4152" spans="1:26" ht="12.75">
      <c r="A4152" s="10" t="str">
        <f ca="1">IFERROR(__xludf.DUMMYFUNCTION("""COMPUTED_VALUE"""),"Ирена Йорданова Петева")</f>
        <v>Ирена Йорданова Петева</v>
      </c>
      <c r="B4152" s="10" t="str">
        <f ca="1">IFERROR(__xludf.DUMMYFUNCTION("""COMPUTED_VALUE"""),"Доклад от конференция")</f>
        <v>Доклад от конференция</v>
      </c>
      <c r="C4152" s="10" t="str">
        <f ca="1">IFERROR(__xludf.DUMMYFUNCTION("""COMPUTED_VALUE"""),"WORKING MODEL FOR ESTABLISHMENT AND VALIDATION OF SUSTAINABLE LEADERSHIP IMAGE FOR INDIVIDUAL POSITIONING IN THE UNIVERSITY INFORMATION ENVIRONMENT THROUGH CORPORATE COMMUNICATIONS APPROACHES")</f>
        <v>WORKING MODEL FOR ESTABLISHMENT AND VALIDATION OF SUSTAINABLE LEADERSHIP IMAGE FOR INDIVIDUAL POSITIONING IN THE UNIVERSITY INFORMATION ENVIRONMENT THROUGH CORPORATE COMMUNICATIONS APPROACHES</v>
      </c>
      <c r="D4152" s="10">
        <f ca="1">IFERROR(__xludf.DUMMYFUNCTION("""COMPUTED_VALUE"""),2019)</f>
        <v>2019</v>
      </c>
      <c r="E4152" s="10" t="str">
        <f ca="1">IFERROR(__xludf.DUMMYFUNCTION("""COMPUTED_VALUE"""),"EDULEARN19 Proceedings, pp. 2869-2877.Pages: 2869-2877 Publication year: 2019 ISBN: 978-84-09-12031-4 ISSN: 2340-1117 doi: 10.21125/edulearn.2019.0773")</f>
        <v>EDULEARN19 Proceedings, pp. 2869-2877.Pages: 2869-2877 Publication year: 2019 ISBN: 978-84-09-12031-4 ISSN: 2340-1117 doi: 10.21125/edulearn.2019.0773</v>
      </c>
      <c r="F4152" s="10"/>
      <c r="G4152" s="10" t="str">
        <f ca="1">IFERROR(__xludf.DUMMYFUNCTION("""COMPUTED_VALUE"""),"S. Denchev,B. Tetevenska")</f>
        <v>S. Denchev,B. Tetevenska</v>
      </c>
      <c r="H4152" s="10"/>
      <c r="I4152" s="10"/>
      <c r="J4152" s="10"/>
      <c r="K4152" s="10"/>
      <c r="L4152" s="10"/>
      <c r="M4152" s="10"/>
      <c r="N4152" s="10"/>
      <c r="O4152" s="10"/>
      <c r="P4152" s="10"/>
      <c r="Q4152" s="10"/>
      <c r="R4152" s="10"/>
      <c r="S4152" s="10"/>
      <c r="T4152" s="10"/>
      <c r="U4152" s="10"/>
      <c r="V4152" s="10"/>
      <c r="W4152" s="10"/>
      <c r="X4152" s="10"/>
      <c r="Y4152" s="10"/>
      <c r="Z4152" s="10"/>
    </row>
    <row r="4153" spans="1:26" ht="12.75">
      <c r="A4153" s="10" t="str">
        <f ca="1">IFERROR(__xludf.DUMMYFUNCTION("""COMPUTED_VALUE"""),"Ирена Йорданова Петева")</f>
        <v>Ирена Йорданова Петева</v>
      </c>
      <c r="B4153" s="10" t="str">
        <f ca="1">IFERROR(__xludf.DUMMYFUNCTION("""COMPUTED_VALUE"""),"Доклад от конференция")</f>
        <v>Доклад от конференция</v>
      </c>
      <c r="C4153" s="10" t="str">
        <f ca="1">IFERROR(__xludf.DUMMYFUNCTION("""COMPUTED_VALUE"""),"PROJECT OF THE UNIVERSITY OF LIBRARY STUDIES AND INFORMATION TECHNOLOGIES (ULSIT) FOR CREATING GOOD IMAGE AND TRUST IN THE UNIVERSITY INSTITUTION")</f>
        <v>PROJECT OF THE UNIVERSITY OF LIBRARY STUDIES AND INFORMATION TECHNOLOGIES (ULSIT) FOR CREATING GOOD IMAGE AND TRUST IN THE UNIVERSITY INSTITUTION</v>
      </c>
      <c r="D4153" s="10">
        <f ca="1">IFERROR(__xludf.DUMMYFUNCTION("""COMPUTED_VALUE"""),2018)</f>
        <v>2018</v>
      </c>
      <c r="E4153" s="10" t="str">
        <f ca="1">IFERROR(__xludf.DUMMYFUNCTION("""COMPUTED_VALUE"""),"ICERI2018 Proceedings (browse) Pages: 169-173 Publication year: 2018 ISBN: 978-84-09-05948-5 ISSN: 2340-1095 doi: 10.21125/iceri.2018.1037")</f>
        <v>ICERI2018 Proceedings (browse) Pages: 169-173 Publication year: 2018 ISBN: 978-84-09-05948-5 ISSN: 2340-1095 doi: 10.21125/iceri.2018.1037</v>
      </c>
      <c r="F4153" s="10" t="str">
        <f ca="1">IFERROR(__xludf.DUMMYFUNCTION("""COMPUTED_VALUE"""),"web of scince")</f>
        <v>web of scince</v>
      </c>
      <c r="G4153" s="10" t="str">
        <f ca="1">IFERROR(__xludf.DUMMYFUNCTION("""COMPUTED_VALUE"""),"M. Pavlova, I. Pavlova, T. Petrova")</f>
        <v>M. Pavlova, I. Pavlova, T. Petrova</v>
      </c>
      <c r="H4153" s="10"/>
      <c r="I4153" s="10"/>
      <c r="J4153" s="10"/>
      <c r="K4153" s="10"/>
      <c r="L4153" s="10"/>
      <c r="M4153" s="10"/>
      <c r="N4153" s="10"/>
      <c r="O4153" s="10"/>
      <c r="P4153" s="10"/>
      <c r="Q4153" s="10"/>
      <c r="R4153" s="10"/>
      <c r="S4153" s="10"/>
      <c r="T4153" s="10"/>
      <c r="U4153" s="10"/>
      <c r="V4153" s="10"/>
      <c r="W4153" s="10"/>
      <c r="X4153" s="10"/>
      <c r="Y4153" s="10"/>
      <c r="Z4153" s="10"/>
    </row>
    <row r="4154" spans="1:26" ht="12.75">
      <c r="A4154" s="10" t="str">
        <f ca="1">IFERROR(__xludf.DUMMYFUNCTION("""COMPUTED_VALUE"""),"Ирена Йорданова Петева")</f>
        <v>Ирена Йорданова Петева</v>
      </c>
      <c r="B4154" s="10" t="str">
        <f ca="1">IFERROR(__xludf.DUMMYFUNCTION("""COMPUTED_VALUE"""),"Доклад от конференция")</f>
        <v>Доклад от конференция</v>
      </c>
      <c r="C4154" s="10" t="str">
        <f ca="1">IFERROR(__xludf.DUMMYFUNCTION("""COMPUTED_VALUE"""),"Scientific and Practical Achievements for Lifelong Learning Applied in the University of Library Studies and Information Technologies")</f>
        <v>Scientific and Practical Achievements for Lifelong Learning Applied in the University of Library Studies and Information Technologies</v>
      </c>
      <c r="D4154" s="10">
        <f ca="1">IFERROR(__xludf.DUMMYFUNCTION("""COMPUTED_VALUE"""),2018)</f>
        <v>2018</v>
      </c>
      <c r="E4154" s="10" t="str">
        <f ca="1">IFERROR(__xludf.DUMMYFUNCTION("""COMPUTED_VALUE"""),"New Perspectives in Science Education : 7th International Conference, 16–17 March 2016, Florence, Italy. https://conference.pixel-online.net/NPSE/files/npse/ed0007/FP/4277-SEPI2827-FP-NPSE7.pdf")</f>
        <v>New Perspectives in Science Education : 7th International Conference, 16–17 March 2016, Florence, Italy. https://conference.pixel-online.net/NPSE/files/npse/ed0007/FP/4277-SEPI2827-FP-NPSE7.pdf</v>
      </c>
      <c r="F4154" s="10"/>
      <c r="G4154" s="10" t="str">
        <f ca="1">IFERROR(__xludf.DUMMYFUNCTION("""COMPUTED_VALUE"""),"Ivanka Yankova and Silvia Stancheva")</f>
        <v>Ivanka Yankova and Silvia Stancheva</v>
      </c>
      <c r="H4154" s="10"/>
      <c r="I4154" s="10"/>
      <c r="J4154" s="10"/>
      <c r="K4154" s="10"/>
      <c r="L4154" s="10"/>
      <c r="M4154" s="10"/>
      <c r="N4154" s="10"/>
      <c r="O4154" s="10"/>
      <c r="P4154" s="10"/>
      <c r="Q4154" s="10"/>
      <c r="R4154" s="10"/>
      <c r="S4154" s="10"/>
      <c r="T4154" s="10"/>
      <c r="U4154" s="10"/>
      <c r="V4154" s="10"/>
      <c r="W4154" s="10"/>
      <c r="X4154" s="10"/>
      <c r="Y4154" s="10"/>
      <c r="Z4154" s="10"/>
    </row>
    <row r="4155" spans="1:26" ht="12.75">
      <c r="A4155" s="10" t="str">
        <f ca="1">IFERROR(__xludf.DUMMYFUNCTION("""COMPUTED_VALUE"""),"Ирена Йорданова Петева")</f>
        <v>Ирена Йорданова Петева</v>
      </c>
      <c r="B4155" s="10" t="str">
        <f ca="1">IFERROR(__xludf.DUMMYFUNCTION("""COMPUTED_VALUE"""),"Доклад от конференция")</f>
        <v>Доклад от конференция</v>
      </c>
      <c r="C4155" s="10" t="str">
        <f ca="1">IFERROR(__xludf.DUMMYFUNCTION("""COMPUTED_VALUE"""),"EDUCATION AND GLOBALIZATION. MODERN DIMENSIONS OF E-GOVERNANCE IN UNIVERSITY INFORMATION ENVIRONMENT")</f>
        <v>EDUCATION AND GLOBALIZATION. MODERN DIMENSIONS OF E-GOVERNANCE IN UNIVERSITY INFORMATION ENVIRONMENT</v>
      </c>
      <c r="D4155" s="10">
        <f ca="1">IFERROR(__xludf.DUMMYFUNCTION("""COMPUTED_VALUE"""),2018)</f>
        <v>2018</v>
      </c>
      <c r="E4155" s="10" t="str">
        <f ca="1">IFERROR(__xludf.DUMMYFUNCTION("""COMPUTED_VALUE"""),"10th International Conference on Education and New Learning Technologies: 2-4 July, 2018,Palma, Spain, Pages: 1382-1387 ISBN: 978-84-09-02709-5, ISSN: 2340-1117 doi: 10.21125/edulearn.2018.0439")</f>
        <v>10th International Conference on Education and New Learning Technologies: 2-4 July, 2018,Palma, Spain, Pages: 1382-1387 ISBN: 978-84-09-02709-5, ISSN: 2340-1117 doi: 10.21125/edulearn.2018.0439</v>
      </c>
      <c r="F4155" s="10"/>
      <c r="G4155" s="10" t="str">
        <f ca="1">IFERROR(__xludf.DUMMYFUNCTION("""COMPUTED_VALUE"""),"Stoyan Denchev")</f>
        <v>Stoyan Denchev</v>
      </c>
      <c r="H4155" s="10"/>
      <c r="I4155" s="10"/>
      <c r="J4155" s="10"/>
      <c r="K4155" s="10"/>
      <c r="L4155" s="10"/>
      <c r="M4155" s="10"/>
      <c r="N4155" s="10"/>
      <c r="O4155" s="10"/>
      <c r="P4155" s="10"/>
      <c r="Q4155" s="10"/>
      <c r="R4155" s="10"/>
      <c r="S4155" s="10"/>
      <c r="T4155" s="10"/>
      <c r="U4155" s="10"/>
      <c r="V4155" s="10"/>
      <c r="W4155" s="10"/>
      <c r="X4155" s="10"/>
      <c r="Y4155" s="10"/>
      <c r="Z4155" s="10"/>
    </row>
    <row r="4156" spans="1:26" ht="12.75">
      <c r="A4156" s="10" t="str">
        <f ca="1">IFERROR(__xludf.DUMMYFUNCTION("""COMPUTED_VALUE"""),"Ирена Йорданова Петева")</f>
        <v>Ирена Йорданова Петева</v>
      </c>
      <c r="B4156" s="10" t="str">
        <f ca="1">IFERROR(__xludf.DUMMYFUNCTION("""COMPUTED_VALUE"""),"Доклад от конференция")</f>
        <v>Доклад от конференция</v>
      </c>
      <c r="C4156" s="10" t="str">
        <f ca="1">IFERROR(__xludf.DUMMYFUNCTION("""COMPUTED_VALUE"""),"ACADEMIC RESEARCH PROJECTS FOR STUDENTS SUPPORT AND MOTIVATION IN UNIVERSITY INFORMATION ENVIRONMENT")</f>
        <v>ACADEMIC RESEARCH PROJECTS FOR STUDENTS SUPPORT AND MOTIVATION IN UNIVERSITY INFORMATION ENVIRONMENT</v>
      </c>
      <c r="D4156" s="10">
        <f ca="1">IFERROR(__xludf.DUMMYFUNCTION("""COMPUTED_VALUE"""),2018)</f>
        <v>2018</v>
      </c>
      <c r="E4156" s="10" t="str">
        <f ca="1">IFERROR(__xludf.DUMMYFUNCTION("""COMPUTED_VALUE"""),"ICERI2018 Proceedings (browse) Pages: 9706-9709 Publication year: 2018 ISBN: 978-84-09-05948-5 ISSN: 2340-1095 doi: 10.21125/iceri.2018.0795")</f>
        <v>ICERI2018 Proceedings (browse) Pages: 9706-9709 Publication year: 2018 ISBN: 978-84-09-05948-5 ISSN: 2340-1095 doi: 10.21125/iceri.2018.0795</v>
      </c>
      <c r="F4156" s="10"/>
      <c r="G4156" s="10" t="str">
        <f ca="1">IFERROR(__xludf.DUMMYFUNCTION("""COMPUTED_VALUE"""),"D. Stoyanova, E. Savova, R. Yotova")</f>
        <v>D. Stoyanova, E. Savova, R. Yotova</v>
      </c>
      <c r="H4156" s="10"/>
      <c r="I4156" s="10"/>
      <c r="J4156" s="10"/>
      <c r="K4156" s="10"/>
      <c r="L4156" s="10"/>
      <c r="M4156" s="10"/>
      <c r="N4156" s="10"/>
      <c r="O4156" s="10"/>
      <c r="P4156" s="10"/>
      <c r="Q4156" s="10"/>
      <c r="R4156" s="10"/>
      <c r="S4156" s="10"/>
      <c r="T4156" s="10"/>
      <c r="U4156" s="10"/>
      <c r="V4156" s="10"/>
      <c r="W4156" s="10"/>
      <c r="X4156" s="10"/>
      <c r="Y4156" s="10"/>
      <c r="Z4156" s="10"/>
    </row>
    <row r="4157" spans="1:26" ht="12.75">
      <c r="A4157" s="10" t="str">
        <f ca="1">IFERROR(__xludf.DUMMYFUNCTION("""COMPUTED_VALUE"""),"Ирена Йорданова Петева")</f>
        <v>Ирена Йорданова Петева</v>
      </c>
      <c r="B4157" s="10" t="str">
        <f ca="1">IFERROR(__xludf.DUMMYFUNCTION("""COMPUTED_VALUE"""),"Доклад от конференция")</f>
        <v>Доклад от конференция</v>
      </c>
      <c r="C4157" s="10" t="str">
        <f ca="1">IFERROR(__xludf.DUMMYFUNCTION("""COMPUTED_VALUE"""),"ATTITUDE OF BULGARIAN LIBRARY SPECIALISTS TOWARDS USE OF LIBRARY RESOURCES FOR MOBILE LEARNING")</f>
        <v>ATTITUDE OF BULGARIAN LIBRARY SPECIALISTS TOWARDS USE OF LIBRARY RESOURCES FOR MOBILE LEARNING</v>
      </c>
      <c r="D4157" s="10">
        <f ca="1">IFERROR(__xludf.DUMMYFUNCTION("""COMPUTED_VALUE"""),2018)</f>
        <v>2018</v>
      </c>
      <c r="E4157" s="10" t="str">
        <f ca="1">IFERROR(__xludf.DUMMYFUNCTION("""COMPUTED_VALUE"""),"ICERI2018 Proceedings (browse) Pages: 838-842 Publication year: 2018 ISBN: 978-84-09-05948-5 ISSN: 2340-1095 doi: 10.21125/iceri.2018.1193")</f>
        <v>ICERI2018 Proceedings (browse) Pages: 838-842 Publication year: 2018 ISBN: 978-84-09-05948-5 ISSN: 2340-1095 doi: 10.21125/iceri.2018.1193</v>
      </c>
      <c r="F4157" s="10" t="str">
        <f ca="1">IFERROR(__xludf.DUMMYFUNCTION("""COMPUTED_VALUE"""),"web of science")</f>
        <v>web of science</v>
      </c>
      <c r="G4157" s="10" t="str">
        <f ca="1">IFERROR(__xludf.DUMMYFUNCTION("""COMPUTED_VALUE"""),"E. Tsvetkova, I. Peteva, I. Pavlova")</f>
        <v>E. Tsvetkova, I. Peteva, I. Pavlova</v>
      </c>
      <c r="H4157" s="10"/>
      <c r="I4157" s="10"/>
      <c r="J4157" s="10"/>
      <c r="K4157" s="10"/>
      <c r="L4157" s="10"/>
      <c r="M4157" s="10"/>
      <c r="N4157" s="10"/>
      <c r="O4157" s="10"/>
      <c r="P4157" s="10"/>
      <c r="Q4157" s="10"/>
      <c r="R4157" s="10"/>
      <c r="S4157" s="10"/>
      <c r="T4157" s="10"/>
      <c r="U4157" s="10"/>
      <c r="V4157" s="10"/>
      <c r="W4157" s="10"/>
      <c r="X4157" s="10"/>
      <c r="Y4157" s="10"/>
      <c r="Z4157" s="10"/>
    </row>
    <row r="4158" spans="1:26" ht="12.75">
      <c r="A4158" s="10" t="str">
        <f ca="1">IFERROR(__xludf.DUMMYFUNCTION("""COMPUTED_VALUE"""),"Ирена Йорданова Петева")</f>
        <v>Ирена Йорданова Петева</v>
      </c>
      <c r="B4158" s="10" t="str">
        <f ca="1">IFERROR(__xludf.DUMMYFUNCTION("""COMPUTED_VALUE"""),"Книга")</f>
        <v>Книга</v>
      </c>
      <c r="C4158" s="10" t="str">
        <f ca="1">IFERROR(__xludf.DUMMYFUNCTION("""COMPUTED_VALUE"""),"е-Управление. Култура на информационна прозрачност")</f>
        <v>е-Управление. Култура на информационна прозрачност</v>
      </c>
      <c r="D4158" s="10">
        <f ca="1">IFERROR(__xludf.DUMMYFUNCTION("""COMPUTED_VALUE"""),2017)</f>
        <v>2017</v>
      </c>
      <c r="E4158" s="10" t="str">
        <f ca="1">IFERROR(__xludf.DUMMYFUNCTION("""COMPUTED_VALUE"""),"„За буквите-О писменех“, София, 2017, 298 с. ISBN 978-619-185-271-0")</f>
        <v>„За буквите-О писменех“, София, 2017, 298 с. ISBN 978-619-185-271-0</v>
      </c>
      <c r="F4158" s="10" t="str">
        <f ca="1">IFERROR(__xludf.DUMMYFUNCTION("""COMPUTED_VALUE"""),"Национален регистър на издаваните книги в България")</f>
        <v>Национален регистър на издаваните книги в България</v>
      </c>
      <c r="G4158" s="10" t="str">
        <f ca="1">IFERROR(__xludf.DUMMYFUNCTION("""COMPUTED_VALUE"""),"Стоян Денчев")</f>
        <v>Стоян Денчев</v>
      </c>
      <c r="H4158" s="10"/>
      <c r="I4158" s="10"/>
      <c r="J4158" s="10"/>
      <c r="K4158" s="10"/>
      <c r="L4158" s="10"/>
      <c r="M4158" s="10"/>
      <c r="N4158" s="10"/>
      <c r="O4158" s="10"/>
      <c r="P4158" s="10"/>
      <c r="Q4158" s="10"/>
      <c r="R4158" s="10"/>
      <c r="S4158" s="10"/>
      <c r="T4158" s="10"/>
      <c r="U4158" s="10"/>
      <c r="V4158" s="10"/>
      <c r="W4158" s="10"/>
      <c r="X4158" s="10"/>
      <c r="Y4158" s="10"/>
      <c r="Z4158" s="10"/>
    </row>
    <row r="4159" spans="1:26" ht="12.75">
      <c r="A4159" s="10" t="str">
        <f ca="1">IFERROR(__xludf.DUMMYFUNCTION("""COMPUTED_VALUE"""),"Ирена Йорданова Петева")</f>
        <v>Ирена Йорданова Петева</v>
      </c>
      <c r="B4159" s="10" t="str">
        <f ca="1">IFERROR(__xludf.DUMMYFUNCTION("""COMPUTED_VALUE"""),"Доклад от конференция")</f>
        <v>Доклад от конференция</v>
      </c>
      <c r="C4159" s="10" t="str">
        <f ca="1">IFERROR(__xludf.DUMMYFUNCTION("""COMPUTED_VALUE"""),"INNOVATIVE MODEL FOR PRACTICAL TRAINING OF STUDENTS IN A REAL WORKING ENVIRONMENT")</f>
        <v>INNOVATIVE MODEL FOR PRACTICAL TRAINING OF STUDENTS IN A REAL WORKING ENVIRONMENT</v>
      </c>
      <c r="D4159" s="10">
        <f ca="1">IFERROR(__xludf.DUMMYFUNCTION("""COMPUTED_VALUE"""),2017)</f>
        <v>2017</v>
      </c>
      <c r="E4159" s="10" t="str">
        <f ca="1">IFERROR(__xludf.DUMMYFUNCTION("""COMPUTED_VALUE"""),"EDULEARN17 Proceedings, pp. 9006-9013. ISBN: 978-84-697-3777-4 ISSN: 2340-1117 doi: 10.21125/edulearn.2017.0692")</f>
        <v>EDULEARN17 Proceedings, pp. 9006-9013. ISBN: 978-84-697-3777-4 ISSN: 2340-1117 doi: 10.21125/edulearn.2017.0692</v>
      </c>
      <c r="F4159" s="10" t="str">
        <f ca="1">IFERROR(__xludf.DUMMYFUNCTION("""COMPUTED_VALUE"""),"Web of science")</f>
        <v>Web of science</v>
      </c>
      <c r="G4159" s="10" t="str">
        <f ca="1">IFERROR(__xludf.DUMMYFUNCTION("""COMPUTED_VALUE"""),"Stoyan Dentchev Gergina Zhablyanova, Kristina Bosakova")</f>
        <v>Stoyan Dentchev Gergina Zhablyanova, Kristina Bosakova</v>
      </c>
      <c r="H4159" s="10"/>
      <c r="I4159" s="10"/>
      <c r="J4159" s="10"/>
      <c r="K4159" s="10"/>
      <c r="L4159" s="10"/>
      <c r="M4159" s="10"/>
      <c r="N4159" s="10"/>
      <c r="O4159" s="10"/>
      <c r="P4159" s="10"/>
      <c r="Q4159" s="10"/>
      <c r="R4159" s="10"/>
      <c r="S4159" s="10"/>
      <c r="T4159" s="10"/>
      <c r="U4159" s="10"/>
      <c r="V4159" s="10"/>
      <c r="W4159" s="10"/>
      <c r="X4159" s="10"/>
      <c r="Y4159" s="10"/>
      <c r="Z4159" s="10"/>
    </row>
    <row r="4160" spans="1:26" ht="12.75">
      <c r="A4160" s="10" t="str">
        <f ca="1">IFERROR(__xludf.DUMMYFUNCTION("""COMPUTED_VALUE"""),"Ирена Йорданова Петева")</f>
        <v>Ирена Йорданова Петева</v>
      </c>
      <c r="B4160" s="10" t="str">
        <f ca="1">IFERROR(__xludf.DUMMYFUNCTION("""COMPUTED_VALUE"""),"Доклад от конференция")</f>
        <v>Доклад от конференция</v>
      </c>
      <c r="C4160" s="10" t="str">
        <f ca="1">IFERROR(__xludf.DUMMYFUNCTION("""COMPUTED_VALUE"""),"Some Specific Methods for Knowledge Distribution of Intangible Cultural Heritage")</f>
        <v>Some Specific Methods for Knowledge Distribution of Intangible Cultural Heritage</v>
      </c>
      <c r="D4160" s="10">
        <f ca="1">IFERROR(__xludf.DUMMYFUNCTION("""COMPUTED_VALUE"""),2017)</f>
        <v>2017</v>
      </c>
      <c r="E4160" s="28" t="str">
        <f ca="1">IFERROR(__xludf.DUMMYFUNCTION("""COMPUTED_VALUE"""),"https://conference.pixel-online.net/NPSE/files/npse/ed0006/FP/2295-SEPI2172-FP-NPSE6.pdf")</f>
        <v>https://conference.pixel-online.net/NPSE/files/npse/ed0006/FP/2295-SEPI2172-FP-NPSE6.pdf</v>
      </c>
      <c r="F4160" s="10"/>
      <c r="G4160" s="10" t="str">
        <f ca="1">IFERROR(__xludf.DUMMYFUNCTION("""COMPUTED_VALUE"""),"Stoyan Denchev Diana Stoyanova Tsvetelina Varadinova")</f>
        <v>Stoyan Denchev Diana Stoyanova Tsvetelina Varadinova</v>
      </c>
      <c r="H4160" s="10"/>
      <c r="I4160" s="10"/>
      <c r="J4160" s="10"/>
      <c r="K4160" s="10"/>
      <c r="L4160" s="10"/>
      <c r="M4160" s="10"/>
      <c r="N4160" s="10"/>
      <c r="O4160" s="10"/>
      <c r="P4160" s="10"/>
      <c r="Q4160" s="10"/>
      <c r="R4160" s="10"/>
      <c r="S4160" s="10"/>
      <c r="T4160" s="10"/>
      <c r="U4160" s="10"/>
      <c r="V4160" s="10"/>
      <c r="W4160" s="10"/>
      <c r="X4160" s="10"/>
      <c r="Y4160" s="10"/>
      <c r="Z4160" s="10"/>
    </row>
    <row r="4161" spans="1:26" ht="12.75">
      <c r="A4161" s="10" t="str">
        <f ca="1">IFERROR(__xludf.DUMMYFUNCTION("""COMPUTED_VALUE"""),"Ирена Йорданова Петева")</f>
        <v>Ирена Йорданова Петева</v>
      </c>
      <c r="B4161" s="10" t="str">
        <f ca="1">IFERROR(__xludf.DUMMYFUNCTION("""COMPUTED_VALUE"""),"Книга")</f>
        <v>Книга</v>
      </c>
      <c r="C4161" s="10" t="str">
        <f ca="1">IFERROR(__xludf.DUMMYFUNCTION("""COMPUTED_VALUE"""),"МЕХАНИЗМЫ ПОПУЛЯРИЗАЦИИ НЕМАТЕРИАЛЬНОГО КУЛЬТУРНОГО НАСЛЕДИЯ: НАУЧНЫЙ И ОБРАЗОВАТЕЛЬНЫЙ ОПЫТ")</f>
        <v>МЕХАНИЗМЫ ПОПУЛЯРИЗАЦИИ НЕМАТЕРИАЛЬНОГО КУЛЬТУРНОГО НАСЛЕДИЯ: НАУЧНЫЙ И ОБРАЗОВАТЕЛЬНЫЙ ОПЫТ</v>
      </c>
      <c r="D4161" s="10">
        <f ca="1">IFERROR(__xludf.DUMMYFUNCTION("""COMPUTED_VALUE"""),2017)</f>
        <v>2017</v>
      </c>
      <c r="E4161" s="10" t="str">
        <f ca="1">IFERROR(__xludf.DUMMYFUNCTION("""COMPUTED_VALUE"""),"ОРЛОВСКИЙ ГОСУДАРСТВЕННЫЙ ИНСТИТУТ КУЛЬТУРЫ КАК ФУНДАМЕНТАЛЬНЫЙ ЦЕНТР СОХРАНЕНИЯ И РАЗВИТИЯ ОТЕЧЕСТВЕННОЙ КУЛЬТУРЫ материалы международной научно-практической конференции Редакторы: ПАРШИКОВ НИКОЛАЙ АЛЕКСАНДРОВИЧ Тип: сборник трудов конференции Язык: русс"&amp;"кий ISBN: 978-5-905436-14-7 Год издания: 2017 Число страниц: 371 Издательство: Орловский государственный институт культуры (Орел)")</f>
        <v>ОРЛОВСКИЙ ГОСУДАРСТВЕННЫЙ ИНСТИТУТ КУЛЬТУРЫ КАК ФУНДАМЕНТАЛЬНЫЙ ЦЕНТР СОХРАНЕНИЯ И РАЗВИТИЯ ОТЕЧЕСТВЕННОЙ КУЛЬТУРЫ материалы международной научно-практической конференции Редакторы: ПАРШИКОВ НИКОЛАЙ АЛЕКСАНДРОВИЧ Тип: сборник трудов конференции Язык: русский ISBN: 978-5-905436-14-7 Год издания: 2017 Число страниц: 371 Издательство: Орловский государственный институт культуры (Орел)</v>
      </c>
      <c r="F4161" s="10" t="str">
        <f ca="1">IFERROR(__xludf.DUMMYFUNCTION("""COMPUTED_VALUE"""),"РИНЦ")</f>
        <v>РИНЦ</v>
      </c>
      <c r="G4161" s="10" t="str">
        <f ca="1">IFERROR(__xludf.DUMMYFUNCTION("""COMPUTED_VALUE"""),"ЯНКОВА ИВАНКА, ТАХИРОВ МЮМЮН")</f>
        <v>ЯНКОВА ИВАНКА, ТАХИРОВ МЮМЮН</v>
      </c>
      <c r="H4161" s="10"/>
      <c r="I4161" s="10"/>
      <c r="J4161" s="10"/>
      <c r="K4161" s="10"/>
      <c r="L4161" s="10"/>
      <c r="M4161" s="10"/>
      <c r="N4161" s="10"/>
      <c r="O4161" s="10"/>
      <c r="P4161" s="10"/>
      <c r="Q4161" s="10"/>
      <c r="R4161" s="10"/>
      <c r="S4161" s="10"/>
      <c r="T4161" s="10"/>
      <c r="U4161" s="10"/>
      <c r="V4161" s="10"/>
      <c r="W4161" s="10"/>
      <c r="X4161" s="10"/>
      <c r="Y4161" s="10"/>
      <c r="Z4161" s="10"/>
    </row>
    <row r="4162" spans="1:26" ht="12.75">
      <c r="A4162" s="10" t="str">
        <f ca="1">IFERROR(__xludf.DUMMYFUNCTION("""COMPUTED_VALUE"""),"Ирена Йорданова Петева")</f>
        <v>Ирена Йорданова Петева</v>
      </c>
      <c r="B4162" s="10" t="str">
        <f ca="1">IFERROR(__xludf.DUMMYFUNCTION("""COMPUTED_VALUE"""),"Статия в списания и поредици")</f>
        <v>Статия в списания и поредици</v>
      </c>
      <c r="C4162" s="10" t="str">
        <f ca="1">IFERROR(__xludf.DUMMYFUNCTION("""COMPUTED_VALUE"""),"RESEARCH OF THE BULGARIAN SCIENTISTS' ISSUES WITH THE PUBLISHING IN SCIENTIFIC PERIODICALS WITH IMPACT FACTOR")</f>
        <v>RESEARCH OF THE BULGARIAN SCIENTISTS' ISSUES WITH THE PUBLISHING IN SCIENTIFIC PERIODICALS WITH IMPACT FACTOR</v>
      </c>
      <c r="D4162" s="10">
        <f ca="1">IFERROR(__xludf.DUMMYFUNCTION("""COMPUTED_VALUE"""),2017)</f>
        <v>2017</v>
      </c>
      <c r="E4162" s="10" t="str">
        <f ca="1">IFERROR(__xludf.DUMMYFUNCTION("""COMPUTED_VALUE"""),"10TH INTERNATIONAL CONFERENCE OF EDUCATION, RESEARCH AND INNOVATION (ICERI2017) Edited by:Chova, LG; Martinez, AL; Torres, IC Book Series: ICERI Proceedings Pages: 7303-7309 Published:2017 Document Type:Proceedings Paper")</f>
        <v>10TH INTERNATIONAL CONFERENCE OF EDUCATION, RESEARCH AND INNOVATION (ICERI2017) Edited by:Chova, LG; Martinez, AL; Torres, IC Book Series: ICERI Proceedings Pages: 7303-7309 Published:2017 Document Type:Proceedings Paper</v>
      </c>
      <c r="F4162" s="10" t="str">
        <f ca="1">IFERROR(__xludf.DUMMYFUNCTION("""COMPUTED_VALUE"""),"Web of Science")</f>
        <v>Web of Science</v>
      </c>
      <c r="G4162" s="10" t="str">
        <f ca="1">IFERROR(__xludf.DUMMYFUNCTION("""COMPUTED_VALUE"""),"Yankova, I Stancheva, S Vasileva, R Dimitrova, T")</f>
        <v>Yankova, I Stancheva, S Vasileva, R Dimitrova, T</v>
      </c>
      <c r="H4162" s="10"/>
      <c r="I4162" s="10"/>
      <c r="J4162" s="10"/>
      <c r="K4162" s="10"/>
      <c r="L4162" s="10"/>
      <c r="M4162" s="10"/>
      <c r="N4162" s="10"/>
      <c r="O4162" s="10"/>
      <c r="P4162" s="10"/>
      <c r="Q4162" s="10"/>
      <c r="R4162" s="10"/>
      <c r="S4162" s="10"/>
      <c r="T4162" s="10"/>
      <c r="U4162" s="10"/>
      <c r="V4162" s="10"/>
      <c r="W4162" s="10"/>
      <c r="X4162" s="10"/>
      <c r="Y4162" s="10"/>
      <c r="Z4162" s="10"/>
    </row>
    <row r="4163" spans="1:26" ht="12.75">
      <c r="A4163" s="10" t="str">
        <f ca="1">IFERROR(__xludf.DUMMYFUNCTION("""COMPUTED_VALUE"""),"Ирена Йорданова Петева")</f>
        <v>Ирена Йорданова Петева</v>
      </c>
      <c r="B4163" s="10" t="str">
        <f ca="1">IFERROR(__xludf.DUMMYFUNCTION("""COMPUTED_VALUE"""),"Статия в списания и поредици")</f>
        <v>Статия в списания и поредици</v>
      </c>
      <c r="C4163" s="10" t="str">
        <f ca="1">IFERROR(__xludf.DUMMYFUNCTION("""COMPUTED_VALUE"""),"EDUCATION OF CULTURAL HERITAGE THROUGH DIGITAL LIBRARIES IN UNIVERSITY INFORMATION ENVIRONMENT")</f>
        <v>EDUCATION OF CULTURAL HERITAGE THROUGH DIGITAL LIBRARIES IN UNIVERSITY INFORMATION ENVIRONMENT</v>
      </c>
      <c r="D4163" s="10">
        <f ca="1">IFERROR(__xludf.DUMMYFUNCTION("""COMPUTED_VALUE"""),2017)</f>
        <v>2017</v>
      </c>
      <c r="E4163" s="10" t="str">
        <f ca="1">IFERROR(__xludf.DUMMYFUNCTION("""COMPUTED_VALUE"""),"10TH INTERNATIONAL CONFERENCE OF EDUCATION, RESEARCH AND INNOVATION (ICERI2017) Edited by:Chova, LG; Martinez, AL; Torres, IC Book Series: ICERI Proceedings Pages: 4691-4697 Published:2017")</f>
        <v>10TH INTERNATIONAL CONFERENCE OF EDUCATION, RESEARCH AND INNOVATION (ICERI2017) Edited by:Chova, LG; Martinez, AL; Torres, IC Book Series: ICERI Proceedings Pages: 4691-4697 Published:2017</v>
      </c>
      <c r="F4163" s="10" t="str">
        <f ca="1">IFERROR(__xludf.DUMMYFUNCTION("""COMPUTED_VALUE"""),"Web of Science")</f>
        <v>Web of Science</v>
      </c>
      <c r="G4163" s="10" t="str">
        <f ca="1">IFERROR(__xludf.DUMMYFUNCTION("""COMPUTED_VALUE"""),"S. Denchev, D. Stoyanova K. Bosakova")</f>
        <v>S. Denchev, D. Stoyanova K. Bosakova</v>
      </c>
      <c r="H4163" s="10"/>
      <c r="I4163" s="10"/>
      <c r="J4163" s="10"/>
      <c r="K4163" s="10"/>
      <c r="L4163" s="10"/>
      <c r="M4163" s="10"/>
      <c r="N4163" s="10"/>
      <c r="O4163" s="10"/>
      <c r="P4163" s="10"/>
      <c r="Q4163" s="10"/>
      <c r="R4163" s="10"/>
      <c r="S4163" s="10"/>
      <c r="T4163" s="10"/>
      <c r="U4163" s="10"/>
      <c r="V4163" s="10"/>
      <c r="W4163" s="10"/>
      <c r="X4163" s="10"/>
      <c r="Y4163" s="10"/>
      <c r="Z4163" s="10"/>
    </row>
    <row r="4164" spans="1:26" ht="12.75">
      <c r="A4164" s="10" t="str">
        <f ca="1">IFERROR(__xludf.DUMMYFUNCTION("""COMPUTED_VALUE"""),"Ирена Йорданова Петева")</f>
        <v>Ирена Йорданова Петева</v>
      </c>
      <c r="B4164" s="10" t="str">
        <f ca="1">IFERROR(__xludf.DUMMYFUNCTION("""COMPUTED_VALUE"""),"Статия в списания и поредици")</f>
        <v>Статия в списания и поредици</v>
      </c>
      <c r="C4164" s="10" t="str">
        <f ca="1">IFERROR(__xludf.DUMMYFUNCTION("""COMPUTED_VALUE"""),"A project on building sustainable policies for socialization of cultural heritage in southeast Bulgaria – relation between modern education and research,")</f>
        <v>A project on building sustainable policies for socialization of cultural heritage in southeast Bulgaria – relation between modern education and research,</v>
      </c>
      <c r="D4164" s="10">
        <f ca="1">IFERROR(__xludf.DUMMYFUNCTION("""COMPUTED_VALUE"""),2017)</f>
        <v>2017</v>
      </c>
      <c r="E4164" s="10" t="str">
        <f ca="1">IFERROR(__xludf.DUMMYFUNCTION("""COMPUTED_VALUE"""),"ISBN: 978-84-697-3777-4 ISSN: 2340-1117 doi: 10.21125/edulearn.2017.0697 EDULEARN17 Proceedings, pp. 9037-9040.")</f>
        <v>ISBN: 978-84-697-3777-4 ISSN: 2340-1117 doi: 10.21125/edulearn.2017.0697 EDULEARN17 Proceedings, pp. 9037-9040.</v>
      </c>
      <c r="F4164" s="10" t="str">
        <f ca="1">IFERROR(__xludf.DUMMYFUNCTION("""COMPUTED_VALUE"""),"Web of science")</f>
        <v>Web of science</v>
      </c>
      <c r="G4164" s="10" t="str">
        <f ca="1">IFERROR(__xludf.DUMMYFUNCTION("""COMPUTED_VALUE"""),"Elena Savova, Kristina Bosakova")</f>
        <v>Elena Savova, Kristina Bosakova</v>
      </c>
      <c r="H4164" s="10"/>
      <c r="I4164" s="10"/>
      <c r="J4164" s="10"/>
      <c r="K4164" s="10"/>
      <c r="L4164" s="10"/>
      <c r="M4164" s="10"/>
      <c r="N4164" s="10"/>
      <c r="O4164" s="10"/>
      <c r="P4164" s="10"/>
      <c r="Q4164" s="10"/>
      <c r="R4164" s="10"/>
      <c r="S4164" s="10"/>
      <c r="T4164" s="10"/>
      <c r="U4164" s="10"/>
      <c r="V4164" s="10"/>
      <c r="W4164" s="10"/>
      <c r="X4164" s="10"/>
      <c r="Y4164" s="10"/>
      <c r="Z4164" s="10"/>
    </row>
    <row r="4165" spans="1:26" ht="12.75">
      <c r="A4165" s="10" t="str">
        <f ca="1">IFERROR(__xludf.DUMMYFUNCTION("""COMPUTED_VALUE"""),"Ирена Йорданова Петева")</f>
        <v>Ирена Йорданова Петева</v>
      </c>
      <c r="B4165" s="10" t="str">
        <f ca="1">IFERROR(__xludf.DUMMYFUNCTION("""COMPUTED_VALUE"""),"Доклад от конференция")</f>
        <v>Доклад от конференция</v>
      </c>
      <c r="C4165" s="10" t="str">
        <f ca="1">IFERROR(__xludf.DUMMYFUNCTION("""COMPUTED_VALUE"""),"STUDENT MOTIVATION IN SUPPORT OF PRACTICAL EDUCATION")</f>
        <v>STUDENT MOTIVATION IN SUPPORT OF PRACTICAL EDUCATION</v>
      </c>
      <c r="D4165" s="10">
        <f ca="1">IFERROR(__xludf.DUMMYFUNCTION("""COMPUTED_VALUE"""),2016)</f>
        <v>2016</v>
      </c>
      <c r="E4165" s="10" t="str">
        <f ca="1">IFERROR(__xludf.DUMMYFUNCTION("""COMPUTED_VALUE"""),"EDULEARN16: 8TH INTERNATIONAL CONFERENCE ON EDUCATION AND NEW LEARNING TECHNOLOGIES Edited by:Chova, LG; Martinez, AL; Torres, IC Book Series: EDULEARN Proceedings Pages: 6126-6131")</f>
        <v>EDULEARN16: 8TH INTERNATIONAL CONFERENCE ON EDUCATION AND NEW LEARNING TECHNOLOGIES Edited by:Chova, LG; Martinez, AL; Torres, IC Book Series: EDULEARN Proceedings Pages: 6126-6131</v>
      </c>
      <c r="F4165" s="10" t="str">
        <f ca="1">IFERROR(__xludf.DUMMYFUNCTION("""COMPUTED_VALUE"""),"Web of Science")</f>
        <v>Web of Science</v>
      </c>
      <c r="G4165" s="10" t="str">
        <f ca="1">IFERROR(__xludf.DUMMYFUNCTION("""COMPUTED_VALUE"""),"Denchev, S; Stoyanova, D; Ignatova, E; Varadinova, T.")</f>
        <v>Denchev, S; Stoyanova, D; Ignatova, E; Varadinova, T.</v>
      </c>
      <c r="H4165" s="10"/>
      <c r="I4165" s="10"/>
      <c r="J4165" s="10"/>
      <c r="K4165" s="10"/>
      <c r="L4165" s="10"/>
      <c r="M4165" s="10"/>
      <c r="N4165" s="10"/>
      <c r="O4165" s="10"/>
      <c r="P4165" s="10"/>
      <c r="Q4165" s="10"/>
      <c r="R4165" s="10"/>
      <c r="S4165" s="10"/>
      <c r="T4165" s="10"/>
      <c r="U4165" s="10"/>
      <c r="V4165" s="10"/>
      <c r="W4165" s="10"/>
      <c r="X4165" s="10"/>
      <c r="Y4165" s="10"/>
      <c r="Z4165" s="10"/>
    </row>
    <row r="4166" spans="1:26" ht="12.75">
      <c r="A4166" s="10" t="str">
        <f ca="1">IFERROR(__xludf.DUMMYFUNCTION("""COMPUTED_VALUE"""),"Ирена Йорданова Петева")</f>
        <v>Ирена Йорданова Петева</v>
      </c>
      <c r="B4166" s="10" t="str">
        <f ca="1">IFERROR(__xludf.DUMMYFUNCTION("""COMPUTED_VALUE"""),"Статия в списания и поредици")</f>
        <v>Статия в списания и поредици</v>
      </c>
      <c r="C4166" s="10" t="str">
        <f ca="1">IFERROR(__xludf.DUMMYFUNCTION("""COMPUTED_VALUE"""),"Интелектуалната собственост в информационното пространство на университетската библиотека.")</f>
        <v>Интелектуалната собственост в информационното пространство на университетската библиотека.</v>
      </c>
      <c r="D4166" s="10">
        <f ca="1">IFERROR(__xludf.DUMMYFUNCTION("""COMPUTED_VALUE"""),2016)</f>
        <v>2016</v>
      </c>
      <c r="E4166" s="10" t="str">
        <f ca="1">IFERROR(__xludf.DUMMYFUNCTION("""COMPUTED_VALUE"""),"Четвърти национален семинар с международно участие „Интернет либерализацията предизвикателства и добри практики пред интелектуалната собственост“, 26– 27 април 2016 г., София.")</f>
        <v>Четвърти национален семинар с международно участие „Интернет либерализацията предизвикателства и добри практики пред интелектуалната собственост“, 26– 27 април 2016 г., София.</v>
      </c>
      <c r="F4166" s="10"/>
      <c r="G4166" s="10" t="str">
        <f ca="1">IFERROR(__xludf.DUMMYFUNCTION("""COMPUTED_VALUE"""),"Елена Игнатова")</f>
        <v>Елена Игнатова</v>
      </c>
      <c r="H4166" s="10"/>
      <c r="I4166" s="10"/>
      <c r="J4166" s="10"/>
      <c r="K4166" s="10"/>
      <c r="L4166" s="10"/>
      <c r="M4166" s="10"/>
      <c r="N4166" s="10"/>
      <c r="O4166" s="10"/>
      <c r="P4166" s="10"/>
      <c r="Q4166" s="10"/>
      <c r="R4166" s="10"/>
      <c r="S4166" s="10"/>
      <c r="T4166" s="10"/>
      <c r="U4166" s="10"/>
      <c r="V4166" s="10"/>
      <c r="W4166" s="10"/>
      <c r="X4166" s="10"/>
      <c r="Y4166" s="10"/>
      <c r="Z4166" s="10"/>
    </row>
    <row r="4167" spans="1:26" ht="12.75">
      <c r="A4167" s="10" t="str">
        <f ca="1">IFERROR(__xludf.DUMMYFUNCTION("""COMPUTED_VALUE"""),"Ирена Йорданова Петева")</f>
        <v>Ирена Йорданова Петева</v>
      </c>
      <c r="B4167" s="10" t="str">
        <f ca="1">IFERROR(__xludf.DUMMYFUNCTION("""COMPUTED_VALUE"""),"Доклад от конференция")</f>
        <v>Доклад от конференция</v>
      </c>
      <c r="C4167" s="10" t="str">
        <f ca="1">IFERROR(__xludf.DUMMYFUNCTION("""COMPUTED_VALUE"""),"UNIVERSITY'S R&amp;D INSTITUTES - NATURAL LINKS BETWEEN EDUCATION AND RESEARCH")</f>
        <v>UNIVERSITY'S R&amp;D INSTITUTES - NATURAL LINKS BETWEEN EDUCATION AND RESEARCH</v>
      </c>
      <c r="D4167" s="10">
        <f ca="1">IFERROR(__xludf.DUMMYFUNCTION("""COMPUTED_VALUE"""),2016)</f>
        <v>2016</v>
      </c>
      <c r="E4167" s="10" t="str">
        <f ca="1">IFERROR(__xludf.DUMMYFUNCTION("""COMPUTED_VALUE"""),"EDULEARN16: 8TH INTERNATIONAL CONFERENCE ON EDUCATION AND NEW LEARNING TECHNOLOGIES Edited by:Chova, LG; Martinez, AL; Torres, IC Book Series: EDULEARN Proceedings Pages: 6132-6138 Published:2016")</f>
        <v>EDULEARN16: 8TH INTERNATIONAL CONFERENCE ON EDUCATION AND NEW LEARNING TECHNOLOGIES Edited by:Chova, LG; Martinez, AL; Torres, IC Book Series: EDULEARN Proceedings Pages: 6132-6138 Published:2016</v>
      </c>
      <c r="F4167" s="10" t="str">
        <f ca="1">IFERROR(__xludf.DUMMYFUNCTION("""COMPUTED_VALUE"""),"Web of Science")</f>
        <v>Web of Science</v>
      </c>
      <c r="G4167" s="10" t="str">
        <f ca="1">IFERROR(__xludf.DUMMYFUNCTION("""COMPUTED_VALUE"""),"Denchev, S; Varadinova, T Stoyanova, D")</f>
        <v>Denchev, S; Varadinova, T Stoyanova, D</v>
      </c>
      <c r="H4167" s="10"/>
      <c r="I4167" s="10"/>
      <c r="J4167" s="10"/>
      <c r="K4167" s="10"/>
      <c r="L4167" s="10"/>
      <c r="M4167" s="10"/>
      <c r="N4167" s="10"/>
      <c r="O4167" s="10"/>
      <c r="P4167" s="10"/>
      <c r="Q4167" s="10"/>
      <c r="R4167" s="10"/>
      <c r="S4167" s="10"/>
      <c r="T4167" s="10"/>
      <c r="U4167" s="10"/>
      <c r="V4167" s="10"/>
      <c r="W4167" s="10"/>
      <c r="X4167" s="10"/>
      <c r="Y4167" s="10"/>
      <c r="Z4167" s="10"/>
    </row>
    <row r="4168" spans="1:26" ht="12.75">
      <c r="A4168" s="10" t="str">
        <f ca="1">IFERROR(__xludf.DUMMYFUNCTION("""COMPUTED_VALUE"""),"Ирена Йорданова Петева")</f>
        <v>Ирена Йорданова Петева</v>
      </c>
      <c r="B4168" s="10" t="str">
        <f ca="1">IFERROR(__xludf.DUMMYFUNCTION("""COMPUTED_VALUE"""),"Доклад от конференция")</f>
        <v>Доклад от конференция</v>
      </c>
      <c r="C4168" s="10" t="str">
        <f ca="1">IFERROR(__xludf.DUMMYFUNCTION("""COMPUTED_VALUE"""),"Problems and Prospects for the Education of Arts and Culture in the EU in the Postmodern Situation")</f>
        <v>Problems and Prospects for the Education of Arts and Culture in the EU in the Postmodern Situation</v>
      </c>
      <c r="D4168" s="10">
        <f ca="1">IFERROR(__xludf.DUMMYFUNCTION("""COMPUTED_VALUE"""),2016)</f>
        <v>2016</v>
      </c>
      <c r="E4168" s="10" t="str">
        <f ca="1">IFERROR(__xludf.DUMMYFUNCTION("""COMPUTED_VALUE"""),"The Future of Education : 6th International Conference, 30 Juny–1 July 2016, Florence, Italy. https://conference.pixel-online.net/FOE/files/foe/ed0006/FP/2875-AED1886-FP-FOE6.pdf")</f>
        <v>The Future of Education : 6th International Conference, 30 Juny–1 July 2016, Florence, Italy. https://conference.pixel-online.net/FOE/files/foe/ed0006/FP/2875-AED1886-FP-FOE6.pdf</v>
      </c>
      <c r="F4168" s="10"/>
      <c r="G4168" s="10" t="str">
        <f ca="1">IFERROR(__xludf.DUMMYFUNCTION("""COMPUTED_VALUE"""),"Stoyan Denchev, Evgeni Velev and Merian Veleva")</f>
        <v>Stoyan Denchev, Evgeni Velev and Merian Veleva</v>
      </c>
      <c r="H4168" s="10"/>
      <c r="I4168" s="10"/>
      <c r="J4168" s="10"/>
      <c r="K4168" s="10"/>
      <c r="L4168" s="10"/>
      <c r="M4168" s="10"/>
      <c r="N4168" s="10"/>
      <c r="O4168" s="10"/>
      <c r="P4168" s="10"/>
      <c r="Q4168" s="10"/>
      <c r="R4168" s="10"/>
      <c r="S4168" s="10"/>
      <c r="T4168" s="10"/>
      <c r="U4168" s="10"/>
      <c r="V4168" s="10"/>
      <c r="W4168" s="10"/>
      <c r="X4168" s="10"/>
      <c r="Y4168" s="10"/>
      <c r="Z4168" s="10"/>
    </row>
    <row r="4169" spans="1:26" ht="12.75">
      <c r="A4169" s="10" t="str">
        <f ca="1">IFERROR(__xludf.DUMMYFUNCTION("""COMPUTED_VALUE"""),"Ирена Йорданова Петева")</f>
        <v>Ирена Йорданова Петева</v>
      </c>
      <c r="B4169" s="10" t="str">
        <f ca="1">IFERROR(__xludf.DUMMYFUNCTION("""COMPUTED_VALUE"""),"Доклад от конференция")</f>
        <v>Доклад от конференция</v>
      </c>
      <c r="C4169" s="10" t="str">
        <f ca="1">IFERROR(__xludf.DUMMYFUNCTION("""COMPUTED_VALUE"""),"The Role of Library Laboratory (LibLab) as an Innovative Project for Science Education in University Information Environment.")</f>
        <v>The Role of Library Laboratory (LibLab) as an Innovative Project for Science Education in University Information Environment.</v>
      </c>
      <c r="D4169" s="10">
        <f ca="1">IFERROR(__xludf.DUMMYFUNCTION("""COMPUTED_VALUE"""),2016)</f>
        <v>2016</v>
      </c>
      <c r="E4169" s="10" t="str">
        <f ca="1">IFERROR(__xludf.DUMMYFUNCTION("""COMPUTED_VALUE"""),"New Perspectives in Science Education : 5th International Conference, 16–17 March 2016, Florence, Italy. https://conference.pixel-online.net/NPSE/files/npse/ed0005/FP/2293-SEPI1465-FP-NPSE5.pdf")</f>
        <v>New Perspectives in Science Education : 5th International Conference, 16–17 March 2016, Florence, Italy. https://conference.pixel-online.net/NPSE/files/npse/ed0005/FP/2293-SEPI1465-FP-NPSE5.pdf</v>
      </c>
      <c r="F4169" s="10"/>
      <c r="G4169" s="10" t="str">
        <f ca="1">IFERROR(__xludf.DUMMYFUNCTION("""COMPUTED_VALUE"""),"Stoyan Denchev, Krasimira Aleksandrova")</f>
        <v>Stoyan Denchev, Krasimira Aleksandrova</v>
      </c>
      <c r="H4169" s="10"/>
      <c r="I4169" s="10"/>
      <c r="J4169" s="10"/>
      <c r="K4169" s="10"/>
      <c r="L4169" s="10"/>
      <c r="M4169" s="10"/>
      <c r="N4169" s="10"/>
      <c r="O4169" s="10"/>
      <c r="P4169" s="10"/>
      <c r="Q4169" s="10"/>
      <c r="R4169" s="10"/>
      <c r="S4169" s="10"/>
      <c r="T4169" s="10"/>
      <c r="U4169" s="10"/>
      <c r="V4169" s="10"/>
      <c r="W4169" s="10"/>
      <c r="X4169" s="10"/>
      <c r="Y4169" s="10"/>
      <c r="Z4169" s="10"/>
    </row>
    <row r="4170" spans="1:26" ht="12.75">
      <c r="A4170" s="10" t="str">
        <f ca="1">IFERROR(__xludf.DUMMYFUNCTION("""COMPUTED_VALUE"""),"Ирена Йорданова Петева")</f>
        <v>Ирена Йорданова Петева</v>
      </c>
      <c r="B4170" s="10" t="str">
        <f ca="1">IFERROR(__xludf.DUMMYFUNCTION("""COMPUTED_VALUE"""),"Статия в списания и поредици")</f>
        <v>Статия в списания и поредици</v>
      </c>
      <c r="C4170" s="10" t="str">
        <f ca="1">IFERROR(__xludf.DUMMYFUNCTION("""COMPUTED_VALUE"""),"СОВРЕМЕННЫЕ УНИВЕРСИТЕТСКИЕ ФОРМЫ ОРГАНИЗАЦИИ ОБРАЗОВАТЕЛЬНОГО ПРОЦЕССА ПРИ ОБУЧЕНИИ АСПИРАНТОВ")</f>
        <v>СОВРЕМЕННЫЕ УНИВЕРСИТЕТСКИЕ ФОРМЫ ОРГАНИЗАЦИИ ОБРАЗОВАТЕЛЬНОГО ПРОЦЕССА ПРИ ОБУЧЕНИИ АСПИРАНТОВ</v>
      </c>
      <c r="D4170" s="10">
        <f ca="1">IFERROR(__xludf.DUMMYFUNCTION("""COMPUTED_VALUE"""),2016)</f>
        <v>2016</v>
      </c>
      <c r="E4170" s="10" t="str">
        <f ca="1">IFERROR(__xludf.DUMMYFUNCTION("""COMPUTED_VALUE"""),"АКАДЕМИЧЕСКАЯ НАУКА - ПРОБЛЕМЫ И ДОСТИЖЕНИЯ VIII Материалы VIII международной научно-практической конференции. 2016 Издательство: CreateSpace Тип: статья в сборнике трудов конференции Язык: русский Год издания: 2016 Страницы: 69-78")</f>
        <v>АКАДЕМИЧЕСКАЯ НАУКА - ПРОБЛЕМЫ И ДОСТИЖЕНИЯ VIII Материалы VIII международной научно-практической конференции. 2016 Издательство: CreateSpace Тип: статья в сборнике трудов конференции Язык: русский Год издания: 2016 Страницы: 69-78</v>
      </c>
      <c r="F4170" s="10" t="str">
        <f ca="1">IFERROR(__xludf.DUMMYFUNCTION("""COMPUTED_VALUE"""),"РИНЦ")</f>
        <v>РИНЦ</v>
      </c>
      <c r="G4170" s="10" t="str">
        <f ca="1">IFERROR(__xludf.DUMMYFUNCTION("""COMPUTED_VALUE"""),"ЦБ Варадинова, ДМ Стоянова, СГ Денчев")</f>
        <v>ЦБ Варадинова, ДМ Стоянова, СГ Денчев</v>
      </c>
      <c r="H4170" s="10"/>
      <c r="I4170" s="10"/>
      <c r="J4170" s="10"/>
      <c r="K4170" s="10"/>
      <c r="L4170" s="10"/>
      <c r="M4170" s="10"/>
      <c r="N4170" s="10"/>
      <c r="O4170" s="10"/>
      <c r="P4170" s="10"/>
      <c r="Q4170" s="10"/>
      <c r="R4170" s="10"/>
      <c r="S4170" s="10"/>
      <c r="T4170" s="10"/>
      <c r="U4170" s="10"/>
      <c r="V4170" s="10"/>
      <c r="W4170" s="10"/>
      <c r="X4170" s="10"/>
      <c r="Y4170" s="10"/>
      <c r="Z4170" s="10"/>
    </row>
    <row r="4171" spans="1:26" ht="12.75">
      <c r="A4171" s="10" t="str">
        <f ca="1">IFERROR(__xludf.DUMMYFUNCTION("""COMPUTED_VALUE"""),"Ирена Йорданова Петева")</f>
        <v>Ирена Йорданова Петева</v>
      </c>
      <c r="B4171" s="10" t="str">
        <f ca="1">IFERROR(__xludf.DUMMYFUNCTION("""COMPUTED_VALUE"""),"Книга")</f>
        <v>Книга</v>
      </c>
      <c r="C4171" s="10" t="str">
        <f ca="1">IFERROR(__xludf.DUMMYFUNCTION("""COMPUTED_VALUE"""),"Model for achieving the indicators for influence in scientific areas of Bulgarian academic journals")</f>
        <v>Model for achieving the indicators for influence in scientific areas of Bulgarian academic journals</v>
      </c>
      <c r="D4171" s="10">
        <f ca="1">IFERROR(__xludf.DUMMYFUNCTION("""COMPUTED_VALUE"""),2016)</f>
        <v>2016</v>
      </c>
      <c r="E4171" s="10" t="str">
        <f ca="1">IFERROR(__xludf.DUMMYFUNCTION("""COMPUTED_VALUE"""),"QUALITATIVE &amp; QUANTITATIVE METHODS IN LIBRARIES Pages: 829-835 Published:DEC 2016, ISSN 2241-1925")</f>
        <v>QUALITATIVE &amp; QUANTITATIVE METHODS IN LIBRARIES Pages: 829-835 Published:DEC 2016, ISSN 2241-1925</v>
      </c>
      <c r="F4171" s="10" t="str">
        <f ca="1">IFERROR(__xludf.DUMMYFUNCTION("""COMPUTED_VALUE"""),"Web of Science")</f>
        <v>Web of Science</v>
      </c>
      <c r="G4171" s="10" t="str">
        <f ca="1">IFERROR(__xludf.DUMMYFUNCTION("""COMPUTED_VALUE"""),"Yankova, I; Dentchev, S Stancheva, S")</f>
        <v>Yankova, I; Dentchev, S Stancheva, S</v>
      </c>
      <c r="H4171" s="10"/>
      <c r="I4171" s="10"/>
      <c r="J4171" s="10"/>
      <c r="K4171" s="10"/>
      <c r="L4171" s="10"/>
      <c r="M4171" s="10"/>
      <c r="N4171" s="10"/>
      <c r="O4171" s="10"/>
      <c r="P4171" s="10"/>
      <c r="Q4171" s="10"/>
      <c r="R4171" s="10"/>
      <c r="S4171" s="10"/>
      <c r="T4171" s="10"/>
      <c r="U4171" s="10"/>
      <c r="V4171" s="10"/>
      <c r="W4171" s="10"/>
      <c r="X4171" s="10"/>
      <c r="Y4171" s="10"/>
      <c r="Z4171" s="10"/>
    </row>
    <row r="4172" spans="1:26" ht="12.75">
      <c r="A4172" s="10" t="str">
        <f ca="1">IFERROR(__xludf.DUMMYFUNCTION("""COMPUTED_VALUE"""),"Ирена Йорданова Петева")</f>
        <v>Ирена Йорданова Петева</v>
      </c>
      <c r="B4172" s="10" t="str">
        <f ca="1">IFERROR(__xludf.DUMMYFUNCTION("""COMPUTED_VALUE"""),"Доклад от конференция")</f>
        <v>Доклад от конференция</v>
      </c>
      <c r="C4172" s="10" t="str">
        <f ca="1">IFERROR(__xludf.DUMMYFUNCTION("""COMPUTED_VALUE"""),"THE ROLE OF UNIVERSITIES IN THE FORMATION OF MODERN R&amp;D SPACE THROUGH CREATING NEW EDUCATIONAL PATTERNS")</f>
        <v>THE ROLE OF UNIVERSITIES IN THE FORMATION OF MODERN R&amp;D SPACE THROUGH CREATING NEW EDUCATIONAL PATTERNS</v>
      </c>
      <c r="D4172" s="10">
        <f ca="1">IFERROR(__xludf.DUMMYFUNCTION("""COMPUTED_VALUE"""),2016)</f>
        <v>2016</v>
      </c>
      <c r="E4172" s="10" t="str">
        <f ca="1">IFERROR(__xludf.DUMMYFUNCTION("""COMPUTED_VALUE"""),"INTED2016: 10TH INTERNATIONAL TECHNOLOGY, EDUCATION AND DEVELOPMENT CONFERENCE Edited by:Chova, LG; Martinez, AL; Torres, IC Book Series: INTED Proceedings Pages: 314-318 Published:2016")</f>
        <v>INTED2016: 10TH INTERNATIONAL TECHNOLOGY, EDUCATION AND DEVELOPMENT CONFERENCE Edited by:Chova, LG; Martinez, AL; Torres, IC Book Series: INTED Proceedings Pages: 314-318 Published:2016</v>
      </c>
      <c r="F4172" s="10" t="str">
        <f ca="1">IFERROR(__xludf.DUMMYFUNCTION("""COMPUTED_VALUE"""),"Web of Science")</f>
        <v>Web of Science</v>
      </c>
      <c r="G4172" s="10" t="str">
        <f ca="1">IFERROR(__xludf.DUMMYFUNCTION("""COMPUTED_VALUE"""),"Stoyanova, D; Denchev, S")</f>
        <v>Stoyanova, D; Denchev, S</v>
      </c>
      <c r="H4172" s="10"/>
      <c r="I4172" s="10"/>
      <c r="J4172" s="10"/>
      <c r="K4172" s="10"/>
      <c r="L4172" s="10"/>
      <c r="M4172" s="10"/>
      <c r="N4172" s="10"/>
      <c r="O4172" s="10"/>
      <c r="P4172" s="10"/>
      <c r="Q4172" s="10"/>
      <c r="R4172" s="10"/>
      <c r="S4172" s="10"/>
      <c r="T4172" s="10"/>
      <c r="U4172" s="10"/>
      <c r="V4172" s="10"/>
      <c r="W4172" s="10"/>
      <c r="X4172" s="10"/>
      <c r="Y4172" s="10"/>
      <c r="Z4172" s="10"/>
    </row>
    <row r="4173" spans="1:26" ht="12.75">
      <c r="A4173" s="10" t="str">
        <f ca="1">IFERROR(__xludf.DUMMYFUNCTION("""COMPUTED_VALUE"""),"Ирена Йорданова Петева")</f>
        <v>Ирена Йорданова Петева</v>
      </c>
      <c r="B4173" s="10" t="str">
        <f ca="1">IFERROR(__xludf.DUMMYFUNCTION("""COMPUTED_VALUE"""),"Доклад от конференция")</f>
        <v>Доклад от конференция</v>
      </c>
      <c r="C4173" s="10" t="str">
        <f ca="1">IFERROR(__xludf.DUMMYFUNCTION("""COMPUTED_VALUE"""),"Action plan for improving the learning practices and motivation of LIS students")</f>
        <v>Action plan for improving the learning practices and motivation of LIS students</v>
      </c>
      <c r="D4173" s="10">
        <f ca="1">IFERROR(__xludf.DUMMYFUNCTION("""COMPUTED_VALUE"""),2016)</f>
        <v>2016</v>
      </c>
      <c r="E4173" s="10" t="str">
        <f ca="1">IFERROR(__xludf.DUMMYFUNCTION("""COMPUTED_VALUE"""),"Communications in Computer and Information ScienceVolume 676, 2016, Pages 576-5834th European Conference on Information Literacy, ECIL 2016; Prague; Czech Republic; 10 October 2016 Code 188879")</f>
        <v>Communications in Computer and Information ScienceVolume 676, 2016, Pages 576-5834th European Conference on Information Literacy, ECIL 2016; Prague; Czech Republic; 10 October 2016 Code 188879</v>
      </c>
      <c r="F4173" s="10" t="str">
        <f ca="1">IFERROR(__xludf.DUMMYFUNCTION("""COMPUTED_VALUE"""),"Scopus")</f>
        <v>Scopus</v>
      </c>
      <c r="G4173" s="10" t="str">
        <f ca="1">IFERROR(__xludf.DUMMYFUNCTION("""COMPUTED_VALUE"""),"T. Todorova, E. Ignatova")</f>
        <v>T. Todorova, E. Ignatova</v>
      </c>
      <c r="H4173" s="10"/>
      <c r="I4173" s="10"/>
      <c r="J4173" s="10"/>
      <c r="K4173" s="10"/>
      <c r="L4173" s="10"/>
      <c r="M4173" s="10"/>
      <c r="N4173" s="10"/>
      <c r="O4173" s="10"/>
      <c r="P4173" s="10"/>
      <c r="Q4173" s="10"/>
      <c r="R4173" s="10"/>
      <c r="S4173" s="10"/>
      <c r="T4173" s="10"/>
      <c r="U4173" s="10"/>
      <c r="V4173" s="10"/>
      <c r="W4173" s="10"/>
      <c r="X4173" s="10"/>
      <c r="Y4173" s="10"/>
      <c r="Z4173" s="10"/>
    </row>
    <row r="4174" spans="1:26" ht="12.75">
      <c r="A4174" s="10" t="str">
        <f ca="1">IFERROR(__xludf.DUMMYFUNCTION("""COMPUTED_VALUE"""),"Ирена Йорданова Петева")</f>
        <v>Ирена Йорданова Петева</v>
      </c>
      <c r="B4174" s="10" t="str">
        <f ca="1">IFERROR(__xludf.DUMMYFUNCTION("""COMPUTED_VALUE"""),"Статия в списания и поредици")</f>
        <v>Статия в списания и поредици</v>
      </c>
      <c r="C4174" s="10" t="str">
        <f ca="1">IFERROR(__xludf.DUMMYFUNCTION("""COMPUTED_VALUE"""),"The role of universities in the formation of modern r&amp;d space through creating new educational patterns")</f>
        <v>The role of universities in the formation of modern r&amp;d space through creating new educational patterns</v>
      </c>
      <c r="D4174" s="10">
        <f ca="1">IFERROR(__xludf.DUMMYFUNCTION("""COMPUTED_VALUE"""),2016)</f>
        <v>2016</v>
      </c>
      <c r="E4174" s="10" t="str">
        <f ca="1">IFERROR(__xludf.DUMMYFUNCTION("""COMPUTED_VALUE"""),"INTED2016 Proceedings, pp. 314-318 ISBN: 978-84-608-5617-7 ISSN: 2340-1079 doi: 10.21125/inted.2016.1079")</f>
        <v>INTED2016 Proceedings, pp. 314-318 ISBN: 978-84-608-5617-7 ISSN: 2340-1079 doi: 10.21125/inted.2016.1079</v>
      </c>
      <c r="F4174" s="10"/>
      <c r="G4174" s="10" t="str">
        <f ca="1">IFERROR(__xludf.DUMMYFUNCTION("""COMPUTED_VALUE"""),"Diana Stoyanova, Stoyan Denchev")</f>
        <v>Diana Stoyanova, Stoyan Denchev</v>
      </c>
      <c r="H4174" s="10"/>
      <c r="I4174" s="10"/>
      <c r="J4174" s="10"/>
      <c r="K4174" s="10"/>
      <c r="L4174" s="10"/>
      <c r="M4174" s="10"/>
      <c r="N4174" s="10"/>
      <c r="O4174" s="10"/>
      <c r="P4174" s="10"/>
      <c r="Q4174" s="10"/>
      <c r="R4174" s="10"/>
      <c r="S4174" s="10"/>
      <c r="T4174" s="10"/>
      <c r="U4174" s="10"/>
      <c r="V4174" s="10"/>
      <c r="W4174" s="10"/>
      <c r="X4174" s="10"/>
      <c r="Y4174" s="10"/>
      <c r="Z4174" s="10"/>
    </row>
    <row r="4175" spans="1:26" ht="12.75">
      <c r="A4175" s="10" t="str">
        <f ca="1">IFERROR(__xludf.DUMMYFUNCTION("""COMPUTED_VALUE"""),"Ирена Йорданова Петева")</f>
        <v>Ирена Йорданова Петева</v>
      </c>
      <c r="B4175" s="10" t="str">
        <f ca="1">IFERROR(__xludf.DUMMYFUNCTION("""COMPUTED_VALUE"""),"Доклад от конференция")</f>
        <v>Доклад от конференция</v>
      </c>
      <c r="C4175" s="10" t="str">
        <f ca="1">IFERROR(__xludf.DUMMYFUNCTION("""COMPUTED_VALUE"""),"An Innovative Method for Knowledge Diffusion 
 –
 Powerful Instrument for Enhancing Students’ 
 Motivation/International Conference “New Perspectives in Science Education”,2016, Florence, Italy")</f>
        <v>An Innovative Method for Knowledge Diffusion 
 –
 Powerful Instrument for Enhancing Students’ 
 Motivation/International Conference “New Perspectives in Science Education”,2016, Florence, Italy</v>
      </c>
      <c r="D4175" s="10">
        <f ca="1">IFERROR(__xludf.DUMMYFUNCTION("""COMPUTED_VALUE"""),2016)</f>
        <v>2016</v>
      </c>
      <c r="E4175" s="10"/>
      <c r="F4175" s="10"/>
      <c r="G4175" s="10"/>
      <c r="H4175" s="10"/>
      <c r="I4175" s="10"/>
      <c r="J4175" s="10"/>
      <c r="K4175" s="10"/>
      <c r="L4175" s="10"/>
      <c r="M4175" s="10"/>
      <c r="N4175" s="10"/>
      <c r="O4175" s="10"/>
      <c r="P4175" s="10"/>
      <c r="Q4175" s="10"/>
      <c r="R4175" s="10"/>
      <c r="S4175" s="10"/>
      <c r="T4175" s="10"/>
      <c r="U4175" s="10"/>
      <c r="V4175" s="10"/>
      <c r="W4175" s="10"/>
      <c r="X4175" s="10"/>
      <c r="Y4175" s="10"/>
      <c r="Z4175" s="10"/>
    </row>
    <row r="4176" spans="1:26" ht="12.75">
      <c r="A4176" s="10" t="str">
        <f ca="1">IFERROR(__xludf.DUMMYFUNCTION("""COMPUTED_VALUE"""),"Ирена Йорданова Петева")</f>
        <v>Ирена Йорданова Петева</v>
      </c>
      <c r="B4176" s="10" t="str">
        <f ca="1">IFERROR(__xludf.DUMMYFUNCTION("""COMPUTED_VALUE"""),"Доклад от конференция")</f>
        <v>Доклад от конференция</v>
      </c>
      <c r="C4176" s="10" t="str">
        <f ca="1">IFERROR(__xludf.DUMMYFUNCTION("""COMPUTED_VALUE"""),"The University Library as an E-learning Support Center in the Process of Higher Education")</f>
        <v>The University Library as an E-learning Support Center in the Process of Higher Education</v>
      </c>
      <c r="D4176" s="10">
        <f ca="1">IFERROR(__xludf.DUMMYFUNCTION("""COMPUTED_VALUE"""),2016)</f>
        <v>2016</v>
      </c>
      <c r="E4176" s="10" t="str">
        <f ca="1">IFERROR(__xludf.DUMMYFUNCTION("""COMPUTED_VALUE"""),"e-Society 2016: 14th International Conference, 9-11 April 2016, Vilamoura, Algarve, Portugal, 200-205")</f>
        <v>e-Society 2016: 14th International Conference, 9-11 April 2016, Vilamoura, Algarve, Portugal, 200-205</v>
      </c>
      <c r="F4176" s="10" t="str">
        <f ca="1">IFERROR(__xludf.DUMMYFUNCTION("""COMPUTED_VALUE"""),"Scopus and Web of science")</f>
        <v>Scopus and Web of science</v>
      </c>
      <c r="G4176" s="10" t="str">
        <f ca="1">IFERROR(__xludf.DUMMYFUNCTION("""COMPUTED_VALUE"""),"Bella Tetevenska, Stoyan Denchev")</f>
        <v>Bella Tetevenska, Stoyan Denchev</v>
      </c>
      <c r="H4176" s="10"/>
      <c r="I4176" s="10"/>
      <c r="J4176" s="10"/>
      <c r="K4176" s="10"/>
      <c r="L4176" s="10"/>
      <c r="M4176" s="10"/>
      <c r="N4176" s="10"/>
      <c r="O4176" s="10"/>
      <c r="P4176" s="10"/>
      <c r="Q4176" s="10"/>
      <c r="R4176" s="10"/>
      <c r="S4176" s="10"/>
      <c r="T4176" s="10"/>
      <c r="U4176" s="10"/>
      <c r="V4176" s="10"/>
      <c r="W4176" s="10"/>
      <c r="X4176" s="10"/>
      <c r="Y4176" s="10"/>
      <c r="Z4176" s="10"/>
    </row>
    <row r="4177" spans="1:26" ht="12.75">
      <c r="A4177" s="10" t="str">
        <f ca="1">IFERROR(__xludf.DUMMYFUNCTION("""COMPUTED_VALUE"""),"Ирена Йорданова Петева")</f>
        <v>Ирена Йорданова Петева</v>
      </c>
      <c r="B4177" s="10" t="str">
        <f ca="1">IFERROR(__xludf.DUMMYFUNCTION("""COMPUTED_VALUE"""),"Статия в списания и поредици")</f>
        <v>Статия в списания и поредици</v>
      </c>
      <c r="C4177" s="10" t="str">
        <f ca="1">IFERROR(__xludf.DUMMYFUNCTION("""COMPUTED_VALUE"""),"Електронното правителство на Република Чехия – пример за добро администриране на услугите за гражданите и бизнеса. Добри практики.")</f>
        <v>Електронното правителство на Република Чехия – пример за добро администриране на услугите за гражданите и бизнеса. Добри практики.</v>
      </c>
      <c r="D4177" s="10">
        <f ca="1">IFERROR(__xludf.DUMMYFUNCTION("""COMPUTED_VALUE"""),2015)</f>
        <v>2015</v>
      </c>
      <c r="E4177" s="10" t="str">
        <f ca="1">IFERROR(__xludf.DUMMYFUNCTION("""COMPUTED_VALUE"""),"Съвременни измерения на европейското образователно и научно пространство: Сборник с доклади, Т.2, Част VI: Българо-чешки културни общувания. – София: За буквите – О писменехь, 2015. – с. 312-318")</f>
        <v>Съвременни измерения на европейското образователно и научно пространство: Сборник с доклади, Т.2, Част VI: Българо-чешки културни общувания. – София: За буквите – О писменехь, 2015. – с. 312-318</v>
      </c>
      <c r="F4177" s="10"/>
      <c r="G4177" s="10" t="str">
        <f ca="1">IFERROR(__xludf.DUMMYFUNCTION("""COMPUTED_VALUE"""),"Даниела Павлова")</f>
        <v>Даниела Павлова</v>
      </c>
      <c r="H4177" s="10"/>
      <c r="I4177" s="10"/>
      <c r="J4177" s="10"/>
      <c r="K4177" s="10"/>
      <c r="L4177" s="10"/>
      <c r="M4177" s="10"/>
      <c r="N4177" s="10"/>
      <c r="O4177" s="10"/>
      <c r="P4177" s="10"/>
      <c r="Q4177" s="10"/>
      <c r="R4177" s="10"/>
      <c r="S4177" s="10"/>
      <c r="T4177" s="10"/>
      <c r="U4177" s="10"/>
      <c r="V4177" s="10"/>
      <c r="W4177" s="10"/>
      <c r="X4177" s="10"/>
      <c r="Y4177" s="10"/>
      <c r="Z4177" s="10"/>
    </row>
    <row r="4178" spans="1:26" ht="12.75">
      <c r="A4178" s="10" t="str">
        <f ca="1">IFERROR(__xludf.DUMMYFUNCTION("""COMPUTED_VALUE"""),"Ирена Йорданова Петева")</f>
        <v>Ирена Йорданова Петева</v>
      </c>
      <c r="B4178" s="10" t="str">
        <f ca="1">IFERROR(__xludf.DUMMYFUNCTION("""COMPUTED_VALUE"""),"Доклад от конференция")</f>
        <v>Доклад от конференция</v>
      </c>
      <c r="C4178" s="10" t="str">
        <f ca="1">IFERROR(__xludf.DUMMYFUNCTION("""COMPUTED_VALUE"""),"Transformation of The University Library Model in The New Educational Paradigms.")</f>
        <v>Transformation of The University Library Model in The New Educational Paradigms.</v>
      </c>
      <c r="D4178" s="10">
        <f ca="1">IFERROR(__xludf.DUMMYFUNCTION("""COMPUTED_VALUE"""),2015)</f>
        <v>2015</v>
      </c>
      <c r="E4178" s="10" t="str">
        <f ca="1">IFERROR(__xludf.DUMMYFUNCTION("""COMPUTED_VALUE"""),"EDULEARN15, 7th International Conference on Education and New Learning Technologies, 6-8 July 2015, Barcelona, Spain")</f>
        <v>EDULEARN15, 7th International Conference on Education and New Learning Technologies, 6-8 July 2015, Barcelona, Spain</v>
      </c>
      <c r="F4178" s="10"/>
      <c r="G4178" s="10" t="str">
        <f ca="1">IFERROR(__xludf.DUMMYFUNCTION("""COMPUTED_VALUE"""),"Denchev, Stoyan, Elena Ignatova")</f>
        <v>Denchev, Stoyan, Elena Ignatova</v>
      </c>
      <c r="H4178" s="10"/>
      <c r="I4178" s="10"/>
      <c r="J4178" s="10"/>
      <c r="K4178" s="10"/>
      <c r="L4178" s="10"/>
      <c r="M4178" s="10"/>
      <c r="N4178" s="10"/>
      <c r="O4178" s="10"/>
      <c r="P4178" s="10"/>
      <c r="Q4178" s="10"/>
      <c r="R4178" s="10"/>
      <c r="S4178" s="10"/>
      <c r="T4178" s="10"/>
      <c r="U4178" s="10"/>
      <c r="V4178" s="10"/>
      <c r="W4178" s="10"/>
      <c r="X4178" s="10"/>
      <c r="Y4178" s="10"/>
      <c r="Z4178" s="10"/>
    </row>
    <row r="4179" spans="1:26" ht="12.75">
      <c r="A4179" s="10" t="str">
        <f ca="1">IFERROR(__xludf.DUMMYFUNCTION("""COMPUTED_VALUE"""),"Ирена Йорданова Петева")</f>
        <v>Ирена Йорданова Петева</v>
      </c>
      <c r="B4179" s="10" t="str">
        <f ca="1">IFERROR(__xludf.DUMMYFUNCTION("""COMPUTED_VALUE"""),"Доклад от конференция")</f>
        <v>Доклад от конференция</v>
      </c>
      <c r="C4179" s="10" t="str">
        <f ca="1">IFERROR(__xludf.DUMMYFUNCTION("""COMPUTED_VALUE"""),"Transformation of the university library model in the new educational paradigms")</f>
        <v>Transformation of the university library model in the new educational paradigms</v>
      </c>
      <c r="D4179" s="10">
        <f ca="1">IFERROR(__xludf.DUMMYFUNCTION("""COMPUTED_VALUE"""),2015)</f>
        <v>2015</v>
      </c>
      <c r="E4179" s="10" t="str">
        <f ca="1">IFERROR(__xludf.DUMMYFUNCTION("""COMPUTED_VALUE"""),"EDULEARN15 Proceedings, pp. 709-714 ISBN: 978-84-697-3777-4 ISSN: 2340-1117 doi: 10.21125/edulearn.2017.0697")</f>
        <v>EDULEARN15 Proceedings, pp. 709-714 ISBN: 978-84-697-3777-4 ISSN: 2340-1117 doi: 10.21125/edulearn.2017.0697</v>
      </c>
      <c r="F4179" s="10" t="str">
        <f ca="1">IFERROR(__xludf.DUMMYFUNCTION("""COMPUTED_VALUE"""),"Web of science")</f>
        <v>Web of science</v>
      </c>
      <c r="G4179" s="10" t="str">
        <f ca="1">IFERROR(__xludf.DUMMYFUNCTION("""COMPUTED_VALUE"""),"Stoyan Denchev, Elena Ignatova")</f>
        <v>Stoyan Denchev, Elena Ignatova</v>
      </c>
      <c r="H4179" s="10"/>
      <c r="I4179" s="10"/>
      <c r="J4179" s="10"/>
      <c r="K4179" s="10"/>
      <c r="L4179" s="10"/>
      <c r="M4179" s="10"/>
      <c r="N4179" s="10"/>
      <c r="O4179" s="10"/>
      <c r="P4179" s="10"/>
      <c r="Q4179" s="10"/>
      <c r="R4179" s="10"/>
      <c r="S4179" s="10"/>
      <c r="T4179" s="10"/>
      <c r="U4179" s="10"/>
      <c r="V4179" s="10"/>
      <c r="W4179" s="10"/>
      <c r="X4179" s="10"/>
      <c r="Y4179" s="10"/>
      <c r="Z4179" s="10"/>
    </row>
    <row r="4180" spans="1:26" ht="12.75">
      <c r="A4180" s="10" t="str">
        <f ca="1">IFERROR(__xludf.DUMMYFUNCTION("""COMPUTED_VALUE"""),"Ирена Йорданова Петева")</f>
        <v>Ирена Йорданова Петева</v>
      </c>
      <c r="B4180" s="10" t="str">
        <f ca="1">IFERROR(__xludf.DUMMYFUNCTION("""COMPUTED_VALUE"""),"Статия в списания и поредици")</f>
        <v>Статия в списания и поредици</v>
      </c>
      <c r="C4180" s="10" t="str">
        <f ca="1">IFERROR(__xludf.DUMMYFUNCTION("""COMPUTED_VALUE"""),"Функции на университетската библиотека като специфичен информационен посредник в системата на е-правителство.")</f>
        <v>Функции на университетската библиотека като специфичен информационен посредник в системата на е-правителство.</v>
      </c>
      <c r="D4180" s="10">
        <f ca="1">IFERROR(__xludf.DUMMYFUNCTION("""COMPUTED_VALUE"""),2015)</f>
        <v>2015</v>
      </c>
      <c r="E4180" s="10" t="str">
        <f ca="1">IFERROR(__xludf.DUMMYFUNCTION("""COMPUTED_VALUE"""),"Интелектуалната собственост – формула за успех, творчество и иновации : Сборник. – София : За буквите – О писменехь, 2015, с. 249-256.")</f>
        <v>Интелектуалната собственост – формула за успех, творчество и иновации : Сборник. – София : За буквите – О писменехь, 2015, с. 249-256.</v>
      </c>
      <c r="F4180" s="10"/>
      <c r="G4180" s="10" t="str">
        <f ca="1">IFERROR(__xludf.DUMMYFUNCTION("""COMPUTED_VALUE"""),"Ирена Петева, Елена Игнатова")</f>
        <v>Ирена Петева, Елена Игнатова</v>
      </c>
      <c r="H4180" s="10"/>
      <c r="I4180" s="10"/>
      <c r="J4180" s="10"/>
      <c r="K4180" s="10"/>
      <c r="L4180" s="10"/>
      <c r="M4180" s="10"/>
      <c r="N4180" s="10"/>
      <c r="O4180" s="10"/>
      <c r="P4180" s="10"/>
      <c r="Q4180" s="10"/>
      <c r="R4180" s="10"/>
      <c r="S4180" s="10"/>
      <c r="T4180" s="10"/>
      <c r="U4180" s="10"/>
      <c r="V4180" s="10"/>
      <c r="W4180" s="10"/>
      <c r="X4180" s="10"/>
      <c r="Y4180" s="10"/>
      <c r="Z4180" s="10"/>
    </row>
    <row r="4181" spans="1:26" ht="12.75">
      <c r="A4181" s="10" t="str">
        <f ca="1">IFERROR(__xludf.DUMMYFUNCTION("""COMPUTED_VALUE"""),"Ирена Йорданова Петева")</f>
        <v>Ирена Йорданова Петева</v>
      </c>
      <c r="B4181" s="10" t="str">
        <f ca="1">IFERROR(__xludf.DUMMYFUNCTION("""COMPUTED_VALUE"""),"Статия в списания и поредици")</f>
        <v>Статия в списания и поредици</v>
      </c>
      <c r="C4181" s="10" t="str">
        <f ca="1">IFERROR(__xludf.DUMMYFUNCTION("""COMPUTED_VALUE"""),"Дигиталният преход и иновациите в образованието за икономика на знанието.")</f>
        <v>Дигиталният преход и иновациите в образованието за икономика на знанието.</v>
      </c>
      <c r="D4181" s="10">
        <f ca="1">IFERROR(__xludf.DUMMYFUNCTION("""COMPUTED_VALUE"""),2015)</f>
        <v>2015</v>
      </c>
      <c r="E4181" s="10" t="str">
        <f ca="1">IFERROR(__xludf.DUMMYFUNCTION("""COMPUTED_VALUE"""),"Обществото на знанието и хуманизмът на XXI век. - Т. 12. – София: За буквите – О писменехъ, 2015, с. 42-54.")</f>
        <v>Обществото на знанието и хуманизмът на XXI век. - Т. 12. – София: За буквите – О писменехъ, 2015, с. 42-54.</v>
      </c>
      <c r="F4181" s="10"/>
      <c r="G4181" s="10" t="str">
        <f ca="1">IFERROR(__xludf.DUMMYFUNCTION("""COMPUTED_VALUE"""),"Кристина Върбанова-Денчева, Стоян Денчев")</f>
        <v>Кристина Върбанова-Денчева, Стоян Денчев</v>
      </c>
      <c r="H4181" s="10"/>
      <c r="I4181" s="10"/>
      <c r="J4181" s="10"/>
      <c r="K4181" s="10"/>
      <c r="L4181" s="10"/>
      <c r="M4181" s="10"/>
      <c r="N4181" s="10"/>
      <c r="O4181" s="10"/>
      <c r="P4181" s="10"/>
      <c r="Q4181" s="10"/>
      <c r="R4181" s="10"/>
      <c r="S4181" s="10"/>
      <c r="T4181" s="10"/>
      <c r="U4181" s="10"/>
      <c r="V4181" s="10"/>
      <c r="W4181" s="10"/>
      <c r="X4181" s="10"/>
      <c r="Y4181" s="10"/>
      <c r="Z4181" s="10"/>
    </row>
    <row r="4182" spans="1:26" ht="12.75">
      <c r="A4182" s="10" t="str">
        <f ca="1">IFERROR(__xludf.DUMMYFUNCTION("""COMPUTED_VALUE"""),"Ирена Йорданова Петева")</f>
        <v>Ирена Йорданова Петева</v>
      </c>
      <c r="B4182" s="10" t="str">
        <f ca="1">IFERROR(__xludf.DUMMYFUNCTION("""COMPUTED_VALUE"""),"Статия в списания и поредици")</f>
        <v>Статия в списания и поредици</v>
      </c>
      <c r="C4182" s="10" t="str">
        <f ca="1">IFERROR(__xludf.DUMMYFUNCTION("""COMPUTED_VALUE"""),"Integrated environment for e-learning at SULSIT – models for the creation and exchange of educational content.")</f>
        <v>Integrated environment for e-learning at SULSIT – models for the creation and exchange of educational content.</v>
      </c>
      <c r="D4182" s="10">
        <f ca="1">IFERROR(__xludf.DUMMYFUNCTION("""COMPUTED_VALUE"""),2015)</f>
        <v>2015</v>
      </c>
      <c r="E4182" s="10" t="str">
        <f ca="1">IFERROR(__xludf.DUMMYFUNCTION("""COMPUTED_VALUE"""),"Съвременни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писменехь,"&amp;" 2015. – с. 337-345.")</f>
        <v>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 2015. – с. 337-345.</v>
      </c>
      <c r="F4182" s="10"/>
      <c r="G4182" s="10" t="str">
        <f ca="1">IFERROR(__xludf.DUMMYFUNCTION("""COMPUTED_VALUE"""),"Stoyan Denchev, Kristina Varbanova-Dencheva.")</f>
        <v>Stoyan Denchev, Kristina Varbanova-Dencheva.</v>
      </c>
      <c r="H4182" s="10"/>
      <c r="I4182" s="10"/>
      <c r="J4182" s="10"/>
      <c r="K4182" s="10"/>
      <c r="L4182" s="10"/>
      <c r="M4182" s="10"/>
      <c r="N4182" s="10"/>
      <c r="O4182" s="10"/>
      <c r="P4182" s="10"/>
      <c r="Q4182" s="10"/>
      <c r="R4182" s="10"/>
      <c r="S4182" s="10"/>
      <c r="T4182" s="10"/>
      <c r="U4182" s="10"/>
      <c r="V4182" s="10"/>
      <c r="W4182" s="10"/>
      <c r="X4182" s="10"/>
      <c r="Y4182" s="10"/>
      <c r="Z4182" s="10"/>
    </row>
    <row r="4183" spans="1:26" ht="12.75">
      <c r="A4183" s="10" t="str">
        <f ca="1">IFERROR(__xludf.DUMMYFUNCTION("""COMPUTED_VALUE"""),"Ирена Йорданова Петева")</f>
        <v>Ирена Йорданова Петева</v>
      </c>
      <c r="B4183" s="10" t="str">
        <f ca="1">IFERROR(__xludf.DUMMYFUNCTION("""COMPUTED_VALUE"""),"Статия в списания и поредици")</f>
        <v>Статия в списания и поредици</v>
      </c>
      <c r="C4183" s="10" t="str">
        <f ca="1">IFERROR(__xludf.DUMMYFUNCTION("""COMPUTED_VALUE"""),"Проектът e-Catalunya – Web 2.0 в държавната администрация.")</f>
        <v>Проектът e-Catalunya – Web 2.0 в държавната администрация.</v>
      </c>
      <c r="D4183" s="10">
        <f ca="1">IFERROR(__xludf.DUMMYFUNCTION("""COMPUTED_VALUE"""),2015)</f>
        <v>2015</v>
      </c>
      <c r="E4183" s="10" t="str">
        <f ca="1">IFERROR(__xludf.DUMMYFUNCTION("""COMPUTED_VALUE"""),"Съвременни измерения на европейското образователно и научно пространство: Сборник с доклади, Т.2, Част IV: Съвременни измерения на европейското образователно и научно пространство. Българо-испански културни общувания. – София: За буквите – О писменехь, 20"&amp;"15. – с. 65-69.")</f>
        <v>Съвременни измерения на европейското образователно и научно пространство: Сборник с доклади, Т.2, Част IV: Съвременни измерения на европейското образователно и научно пространство. Българо-испански културни общувания. – София: За буквите – О писменехь, 2015. – с. 65-69.</v>
      </c>
      <c r="F4183" s="10"/>
      <c r="G4183" s="10" t="str">
        <f ca="1">IFERROR(__xludf.DUMMYFUNCTION("""COMPUTED_VALUE"""),"Гергина Жаблянова")</f>
        <v>Гергина Жаблянова</v>
      </c>
      <c r="H4183" s="10"/>
      <c r="I4183" s="10"/>
      <c r="J4183" s="10"/>
      <c r="K4183" s="10"/>
      <c r="L4183" s="10"/>
      <c r="M4183" s="10"/>
      <c r="N4183" s="10"/>
      <c r="O4183" s="10"/>
      <c r="P4183" s="10"/>
      <c r="Q4183" s="10"/>
      <c r="R4183" s="10"/>
      <c r="S4183" s="10"/>
      <c r="T4183" s="10"/>
      <c r="U4183" s="10"/>
      <c r="V4183" s="10"/>
      <c r="W4183" s="10"/>
      <c r="X4183" s="10"/>
      <c r="Y4183" s="10"/>
      <c r="Z4183" s="10"/>
    </row>
    <row r="4184" spans="1:26" ht="12.75">
      <c r="A4184" s="10" t="str">
        <f ca="1">IFERROR(__xludf.DUMMYFUNCTION("""COMPUTED_VALUE"""),"Ирена Йорданова Петева")</f>
        <v>Ирена Йорданова Петева</v>
      </c>
      <c r="B4184" s="10" t="str">
        <f ca="1">IFERROR(__xludf.DUMMYFUNCTION("""COMPUTED_VALUE"""),"Статия в списания и поредици")</f>
        <v>Статия в списания и поредици</v>
      </c>
      <c r="C4184" s="10" t="str">
        <f ca="1">IFERROR(__xludf.DUMMYFUNCTION("""COMPUTED_VALUE"""),"Една стратегия за развитие на електронното управление.")</f>
        <v>Една стратегия за развитие на електронното управление.</v>
      </c>
      <c r="D4184" s="10">
        <f ca="1">IFERROR(__xludf.DUMMYFUNCTION("""COMPUTED_VALUE"""),2015)</f>
        <v>2015</v>
      </c>
      <c r="E4184" s="10" t="str">
        <f ca="1">IFERROR(__xludf.DUMMYFUNCTION("""COMPUTED_VALUE"""),"Съвременни измерения на европейското образователно и научно пространство: Сборник с доклади, Т.3, Част VII: Съвременни измерения на европейското образователно и научно пространство. Българо – английски културни общувания. – София: За буквите – О писменехь"&amp;", 2015. – с. 122-125.")</f>
        <v>Съвременни измерения на европейското образователно и научно пространство: Сборник с доклади, Т.3, Част VII: Съвременни измерения на европейското образователно и научно пространство. Българо – английски културни общувания. – София: За буквите – О писменехь, 2015. – с. 122-125.</v>
      </c>
      <c r="F4184" s="10"/>
      <c r="G4184" s="10" t="str">
        <f ca="1">IFERROR(__xludf.DUMMYFUNCTION("""COMPUTED_VALUE"""),"Даниела Павлова")</f>
        <v>Даниела Павлова</v>
      </c>
      <c r="H4184" s="10"/>
      <c r="I4184" s="10"/>
      <c r="J4184" s="10"/>
      <c r="K4184" s="10"/>
      <c r="L4184" s="10"/>
      <c r="M4184" s="10"/>
      <c r="N4184" s="10"/>
      <c r="O4184" s="10"/>
      <c r="P4184" s="10"/>
      <c r="Q4184" s="10"/>
      <c r="R4184" s="10"/>
      <c r="S4184" s="10"/>
      <c r="T4184" s="10"/>
      <c r="U4184" s="10"/>
      <c r="V4184" s="10"/>
      <c r="W4184" s="10"/>
      <c r="X4184" s="10"/>
      <c r="Y4184" s="10"/>
      <c r="Z4184" s="10"/>
    </row>
    <row r="4185" spans="1:26" ht="12.75">
      <c r="A4185" s="10" t="str">
        <f ca="1">IFERROR(__xludf.DUMMYFUNCTION("""COMPUTED_VALUE"""),"Ирена Йорданова Петева")</f>
        <v>Ирена Йорданова Петева</v>
      </c>
      <c r="B4185" s="10" t="str">
        <f ca="1">IFERROR(__xludf.DUMMYFUNCTION("""COMPUTED_VALUE"""),"Статия в списания и поредици")</f>
        <v>Статия в списания и поредици</v>
      </c>
      <c r="C4185" s="10" t="str">
        <f ca="1">IFERROR(__xludf.DUMMYFUNCTION("""COMPUTED_VALUE"""),"Sustainable tools and business models in support of research and publication activity of science research.")</f>
        <v>Sustainable tools and business models in support of research and publication activity of science research.</v>
      </c>
      <c r="D4185" s="10">
        <f ca="1">IFERROR(__xludf.DUMMYFUNCTION("""COMPUTED_VALUE"""),2015)</f>
        <v>2015</v>
      </c>
      <c r="E4185" s="10" t="str">
        <f ca="1">IFERROR(__xludf.DUMMYFUNCTION("""COMPUTED_VALUE"""),"Съвременни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писменехь,"&amp;" 2015. – с. 323-330.")</f>
        <v>Съвременни измерения на европейското образователно и научно пространство: Сборник с доклади, Т.3, Част IX: Съвременни измерения на европейското образователно и научно пространство. Българо – малтийски културни общувания. – София: За буквите – О писменехь, 2015. – с. 323-330.</v>
      </c>
      <c r="F4185" s="10"/>
      <c r="G4185" s="10" t="str">
        <f ca="1">IFERROR(__xludf.DUMMYFUNCTION("""COMPUTED_VALUE"""),"Yankova, Ivanka, Stoyan Denchev, Irena Peteva, Rumelina Vasileva, Tsvetelina Dimitrova")</f>
        <v>Yankova, Ivanka, Stoyan Denchev, Irena Peteva, Rumelina Vasileva, Tsvetelina Dimitrova</v>
      </c>
      <c r="H4185" s="10"/>
      <c r="I4185" s="10"/>
      <c r="J4185" s="10"/>
      <c r="K4185" s="10"/>
      <c r="L4185" s="10"/>
      <c r="M4185" s="10"/>
      <c r="N4185" s="10"/>
      <c r="O4185" s="10"/>
      <c r="P4185" s="10"/>
      <c r="Q4185" s="10"/>
      <c r="R4185" s="10"/>
      <c r="S4185" s="10"/>
      <c r="T4185" s="10"/>
      <c r="U4185" s="10"/>
      <c r="V4185" s="10"/>
      <c r="W4185" s="10"/>
      <c r="X4185" s="10"/>
      <c r="Y4185" s="10"/>
      <c r="Z4185" s="10"/>
    </row>
    <row r="4186" spans="1:26" ht="12.75">
      <c r="A4186" s="10" t="str">
        <f ca="1">IFERROR(__xludf.DUMMYFUNCTION("""COMPUTED_VALUE"""),"Ирена Йорданова Петева")</f>
        <v>Ирена Йорданова Петева</v>
      </c>
      <c r="B4186" s="10" t="str">
        <f ca="1">IFERROR(__xludf.DUMMYFUNCTION("""COMPUTED_VALUE"""),"Статия в списания и поредици")</f>
        <v>Статия в списания и поредици</v>
      </c>
      <c r="C4186" s="10" t="str">
        <f ca="1">IFERROR(__xludf.DUMMYFUNCTION("""COMPUTED_VALUE"""),"Теоретични постановки на иновационната култура и практическото им приложение в италианските библиотеки.")</f>
        <v>Теоретични постановки на иновационната култура и практическото им приложение в италианските библиотеки.</v>
      </c>
      <c r="D4186" s="10">
        <f ca="1">IFERROR(__xludf.DUMMYFUNCTION("""COMPUTED_VALUE"""),2015)</f>
        <v>2015</v>
      </c>
      <c r="E4186" s="10" t="str">
        <f ca="1">IFERROR(__xludf.DUMMYFUNCTION("""COMPUTED_VALUE"""),"Съвременни измерения на европейското образователно и научно пространство: Сборник с доклади, Т.1, Част II: Съвременни измерения на европейското културно пространство. История и настояще на книжовните културни институции в Италия. – София: За буквите – О п"&amp;"исменехь, 2015. – с. 138-145.")</f>
        <v>Съвременни измерения на европейското образователно и научно пространство: Сборник с доклади, Т.1, Част II: Съвременни измерения на европейското културно пространство. История и настояще на книжовните културни институции в Италия. – София: За буквите – О писменехь, 2015. – с. 138-145.</v>
      </c>
      <c r="F4186" s="10"/>
      <c r="G4186" s="10" t="str">
        <f ca="1">IFERROR(__xludf.DUMMYFUNCTION("""COMPUTED_VALUE"""),"Майяна Митевска")</f>
        <v>Майяна Митевска</v>
      </c>
      <c r="H4186" s="10"/>
      <c r="I4186" s="10"/>
      <c r="J4186" s="10"/>
      <c r="K4186" s="10"/>
      <c r="L4186" s="10"/>
      <c r="M4186" s="10"/>
      <c r="N4186" s="10"/>
      <c r="O4186" s="10"/>
      <c r="P4186" s="10"/>
      <c r="Q4186" s="10"/>
      <c r="R4186" s="10"/>
      <c r="S4186" s="10"/>
      <c r="T4186" s="10"/>
      <c r="U4186" s="10"/>
      <c r="V4186" s="10"/>
      <c r="W4186" s="10"/>
      <c r="X4186" s="10"/>
      <c r="Y4186" s="10"/>
      <c r="Z4186" s="10"/>
    </row>
    <row r="4187" spans="1:26" ht="12.75">
      <c r="A4187" s="10" t="str">
        <f ca="1">IFERROR(__xludf.DUMMYFUNCTION("""COMPUTED_VALUE"""),"Ирена Йорданова Петева")</f>
        <v>Ирена Йорданова Петева</v>
      </c>
      <c r="B4187" s="10" t="str">
        <f ca="1">IFERROR(__xludf.DUMMYFUNCTION("""COMPUTED_VALUE"""),"Статия в списания и поредици")</f>
        <v>Статия в списания и поредици</v>
      </c>
      <c r="C4187" s="10" t="str">
        <f ca="1">IFERROR(__xludf.DUMMYFUNCTION("""COMPUTED_VALUE"""),"Технологии за обществен достъп до информация и електронно правителство в Австрия.")</f>
        <v>Технологии за обществен достъп до информация и електронно правителство в Австрия.</v>
      </c>
      <c r="D4187" s="10">
        <f ca="1">IFERROR(__xludf.DUMMYFUNCTION("""COMPUTED_VALUE"""),2015)</f>
        <v>2015</v>
      </c>
      <c r="E4187" s="10" t="str">
        <f ca="1">IFERROR(__xludf.DUMMYFUNCTION("""COMPUTED_VALUE"""),"Съвременни измерения на европейското образователно и научно пространство: Сборник с доклади, Т.1, Част III: Съвременни измерения на европейското образователно и научно пространство. Българо-австрийски културни общувания. – София: За буквите – О писменехь,"&amp;" 2015. – с. 325-331.")</f>
        <v>Съвременни измерения на европейското образователно и научно пространство: Сборник с доклади, Т.1, Част III: Съвременни измерения на европейското образователно и научно пространство. Българо-австрийски културни общувания. – София: За буквите – О писменехь, 2015. – с. 325-331.</v>
      </c>
      <c r="F4187" s="10"/>
      <c r="G4187" s="10" t="str">
        <f ca="1">IFERROR(__xludf.DUMMYFUNCTION("""COMPUTED_VALUE"""),"Иванка Павлова.")</f>
        <v>Иванка Павлова.</v>
      </c>
      <c r="H4187" s="10"/>
      <c r="I4187" s="10"/>
      <c r="J4187" s="10"/>
      <c r="K4187" s="10"/>
      <c r="L4187" s="10"/>
      <c r="M4187" s="10"/>
      <c r="N4187" s="10"/>
      <c r="O4187" s="10"/>
      <c r="P4187" s="10"/>
      <c r="Q4187" s="10"/>
      <c r="R4187" s="10"/>
      <c r="S4187" s="10"/>
      <c r="T4187" s="10"/>
      <c r="U4187" s="10"/>
      <c r="V4187" s="10"/>
      <c r="W4187" s="10"/>
      <c r="X4187" s="10"/>
      <c r="Y4187" s="10"/>
      <c r="Z4187" s="10"/>
    </row>
    <row r="4188" spans="1:26" ht="12.75">
      <c r="A4188" s="10" t="str">
        <f ca="1">IFERROR(__xludf.DUMMYFUNCTION("""COMPUTED_VALUE"""),"Ирена Йорданова Петева")</f>
        <v>Ирена Йорданова Петева</v>
      </c>
      <c r="B4188" s="10" t="str">
        <f ca="1">IFERROR(__xludf.DUMMYFUNCTION("""COMPUTED_VALUE"""),"Статия в списания и поредици")</f>
        <v>Статия в списания и поредици</v>
      </c>
      <c r="C4188" s="10" t="str">
        <f ca="1">IFERROR(__xludf.DUMMYFUNCTION("""COMPUTED_VALUE"""),"Международни политики и стандарти за защита на компютърни системи и мрежи.")</f>
        <v>Международни политики и стандарти за защита на компютърни системи и мрежи.</v>
      </c>
      <c r="D4188" s="10">
        <f ca="1">IFERROR(__xludf.DUMMYFUNCTION("""COMPUTED_VALUE"""),2015)</f>
        <v>2015</v>
      </c>
      <c r="E4188" s="10" t="str">
        <f ca="1">IFERROR(__xludf.DUMMYFUNCTION("""COMPUTED_VALUE"""),"Съвременни измерения на европейското образователно и научно пространство: Сборник с доклади, Т.2, Част IV: Съвременни измерения на европейското образователно и научно пространство. Българо-испански културни общувания. – София: За буквите – О писменехь, 20"&amp;"15. – с. 49-51.")</f>
        <v>Съвременни измерения на европейското образователно и научно пространство: Сборник с доклади, Т.2, Част IV: Съвременни измерения на европейското образователно и научно пространство. Българо-испански културни общувания. – София: За буквите – О писменехь, 2015. – с. 49-51.</v>
      </c>
      <c r="F4188" s="10"/>
      <c r="G4188" s="10" t="str">
        <f ca="1">IFERROR(__xludf.DUMMYFUNCTION("""COMPUTED_VALUE"""),"Иванка Павлова")</f>
        <v>Иванка Павлова</v>
      </c>
      <c r="H4188" s="10"/>
      <c r="I4188" s="10"/>
      <c r="J4188" s="10"/>
      <c r="K4188" s="10"/>
      <c r="L4188" s="10"/>
      <c r="M4188" s="10"/>
      <c r="N4188" s="10"/>
      <c r="O4188" s="10"/>
      <c r="P4188" s="10"/>
      <c r="Q4188" s="10"/>
      <c r="R4188" s="10"/>
      <c r="S4188" s="10"/>
      <c r="T4188" s="10"/>
      <c r="U4188" s="10"/>
      <c r="V4188" s="10"/>
      <c r="W4188" s="10"/>
      <c r="X4188" s="10"/>
      <c r="Y4188" s="10"/>
      <c r="Z4188" s="10"/>
    </row>
    <row r="4189" spans="1:26" ht="12.75">
      <c r="A4189" s="10" t="str">
        <f ca="1">IFERROR(__xludf.DUMMYFUNCTION("""COMPUTED_VALUE"""),"Ирена Йорданова Петева")</f>
        <v>Ирена Йорданова Петева</v>
      </c>
      <c r="B4189" s="10" t="str">
        <f ca="1">IFERROR(__xludf.DUMMYFUNCTION("""COMPUTED_VALUE"""),"Доклад от конференция")</f>
        <v>Доклад от конференция</v>
      </c>
      <c r="C4189" s="10" t="str">
        <f ca="1">IFERROR(__xludf.DUMMYFUNCTION("""COMPUTED_VALUE"""),"Conceptual Mega - Epistemological Model for the Knowledge of Cultural Heritage.")</f>
        <v>Conceptual Mega - Epistemological Model for the Knowledge of Cultural Heritage.</v>
      </c>
      <c r="D4189" s="10">
        <f ca="1">IFERROR(__xludf.DUMMYFUNCTION("""COMPUTED_VALUE"""),2014)</f>
        <v>2014</v>
      </c>
      <c r="E4189" s="10" t="str">
        <f ca="1">IFERROR(__xludf.DUMMYFUNCTION("""COMPUTED_VALUE"""),"Knowledge Economy &amp; Management : Proceedings of the 12th International Conference: (ICKEM 2014), 27-30 November 2014, Antalya, Turkey.")</f>
        <v>Knowledge Economy &amp; Management : Proceedings of the 12th International Conference: (ICKEM 2014), 27-30 November 2014, Antalya, Turkey.</v>
      </c>
      <c r="F4189" s="10"/>
      <c r="G4189" s="10" t="str">
        <f ca="1">IFERROR(__xludf.DUMMYFUNCTION("""COMPUTED_VALUE"""),"Denchev, Stoyan, Diana Stoyanova")</f>
        <v>Denchev, Stoyan, Diana Stoyanova</v>
      </c>
      <c r="H4189" s="10"/>
      <c r="I4189" s="10"/>
      <c r="J4189" s="10"/>
      <c r="K4189" s="10"/>
      <c r="L4189" s="10"/>
      <c r="M4189" s="10"/>
      <c r="N4189" s="10"/>
      <c r="O4189" s="10"/>
      <c r="P4189" s="10"/>
      <c r="Q4189" s="10"/>
      <c r="R4189" s="10"/>
      <c r="S4189" s="10"/>
      <c r="T4189" s="10"/>
      <c r="U4189" s="10"/>
      <c r="V4189" s="10"/>
      <c r="W4189" s="10"/>
      <c r="X4189" s="10"/>
      <c r="Y4189" s="10"/>
      <c r="Z4189" s="10"/>
    </row>
    <row r="4190" spans="1:26" ht="12.75">
      <c r="A4190" s="10" t="str">
        <f ca="1">IFERROR(__xludf.DUMMYFUNCTION("""COMPUTED_VALUE"""),"Ирена Йорданова Петева")</f>
        <v>Ирена Йорданова Петева</v>
      </c>
      <c r="B4190" s="10" t="str">
        <f ca="1">IFERROR(__xludf.DUMMYFUNCTION("""COMPUTED_VALUE"""),"Учебник")</f>
        <v>Учебник</v>
      </c>
      <c r="C4190" s="10" t="str">
        <f ca="1">IFERROR(__xludf.DUMMYFUNCTION("""COMPUTED_VALUE"""),"Информационни технологии в публичната администрация")</f>
        <v>Информационни технологии в публичната администрация</v>
      </c>
      <c r="D4190" s="10">
        <f ca="1">IFERROR(__xludf.DUMMYFUNCTION("""COMPUTED_VALUE"""),2014)</f>
        <v>2014</v>
      </c>
      <c r="E4190" s="10" t="str">
        <f ca="1">IFERROR(__xludf.DUMMYFUNCTION("""COMPUTED_VALUE"""),"София : За буквите – О писменехъ, 2014. - 224 с. ISBN 978-619-185-098-3")</f>
        <v>София : За буквите – О писменехъ, 2014. - 224 с. ISBN 978-619-185-098-3</v>
      </c>
      <c r="F4190" s="10"/>
      <c r="G4190" s="10"/>
      <c r="H4190" s="10"/>
      <c r="I4190" s="10"/>
      <c r="J4190" s="10"/>
      <c r="K4190" s="10"/>
      <c r="L4190" s="10"/>
      <c r="M4190" s="10"/>
      <c r="N4190" s="10"/>
      <c r="O4190" s="10"/>
      <c r="P4190" s="10"/>
      <c r="Q4190" s="10"/>
      <c r="R4190" s="10"/>
      <c r="S4190" s="10"/>
      <c r="T4190" s="10"/>
      <c r="U4190" s="10"/>
      <c r="V4190" s="10"/>
      <c r="W4190" s="10"/>
      <c r="X4190" s="10"/>
      <c r="Y4190" s="10"/>
      <c r="Z4190" s="10"/>
    </row>
    <row r="4191" spans="1:26" ht="12.75">
      <c r="A4191" s="10" t="str">
        <f ca="1">IFERROR(__xludf.DUMMYFUNCTION("""COMPUTED_VALUE"""),"Ирена Йорданова Петева")</f>
        <v>Ирена Йорданова Петева</v>
      </c>
      <c r="B4191" s="10" t="str">
        <f ca="1">IFERROR(__xludf.DUMMYFUNCTION("""COMPUTED_VALUE"""),"Статия в списания и поредици")</f>
        <v>Статия в списания и поредици</v>
      </c>
      <c r="C4191" s="10" t="str">
        <f ca="1">IFERROR(__xludf.DUMMYFUNCTION("""COMPUTED_VALUE"""),"Information Literacy Competency of LIS Students in SULSIT with a Special Focus on Intellectual Property")</f>
        <v>Information Literacy Competency of LIS Students in SULSIT with a Special Focus on Intellectual Property</v>
      </c>
      <c r="D4191" s="10">
        <f ca="1">IFERROR(__xludf.DUMMYFUNCTION("""COMPUTED_VALUE"""),2013)</f>
        <v>2013</v>
      </c>
      <c r="E4191" s="10" t="str">
        <f ca="1">IFERROR(__xludf.DUMMYFUNCTION("""COMPUTED_VALUE"""),"Worldwide Commonalites and Challenges in Information Literacy Research and Practice : European Conference on Information Literacy, ECIL 2013. Istanbul, Oct. 22-25, 2013, Revised Selected Papers. Eds. by S. Kurbanoğlu et al. Springer International Publishi"&amp;"ng Switzerland, 2013, XXIV, p.610-617. (Communication in Computer and Information Science, Vol. 397).")</f>
        <v>Worldwide Commonalites and Challenges in Information Literacy Research and Practice : European Conference on Information Literacy, ECIL 2013. Istanbul, Oct. 22-25, 2013, Revised Selected Papers. Eds. by S. Kurbanoğlu et al. Springer International Publishing Switzerland, 2013, XXIV, p.610-617. (Communication in Computer and Information Science, Vol. 397).</v>
      </c>
      <c r="F4191" s="10" t="str">
        <f ca="1">IFERROR(__xludf.DUMMYFUNCTION("""COMPUTED_VALUE"""),"Scopus
 Web of science")</f>
        <v>Scopus
 Web of science</v>
      </c>
      <c r="G4191" s="10" t="str">
        <f ca="1">IFERROR(__xludf.DUMMYFUNCTION("""COMPUTED_VALUE"""),"Tania Todorova")</f>
        <v>Tania Todorova</v>
      </c>
      <c r="H4191" s="10"/>
      <c r="I4191" s="10"/>
      <c r="J4191" s="10"/>
      <c r="K4191" s="10"/>
      <c r="L4191" s="10"/>
      <c r="M4191" s="10"/>
      <c r="N4191" s="10"/>
      <c r="O4191" s="10"/>
      <c r="P4191" s="10"/>
      <c r="Q4191" s="10"/>
      <c r="R4191" s="10"/>
      <c r="S4191" s="10"/>
      <c r="T4191" s="10"/>
      <c r="U4191" s="10"/>
      <c r="V4191" s="10"/>
      <c r="W4191" s="10"/>
      <c r="X4191" s="10"/>
      <c r="Y4191" s="10"/>
      <c r="Z4191" s="10"/>
    </row>
    <row r="4192" spans="1:26" ht="12.75">
      <c r="A4192" s="10" t="str">
        <f ca="1">IFERROR(__xludf.DUMMYFUNCTION("""COMPUTED_VALUE"""),"Ирена Йорданова Петева")</f>
        <v>Ирена Йорданова Петева</v>
      </c>
      <c r="B4192" s="10" t="str">
        <f ca="1">IFERROR(__xludf.DUMMYFUNCTION("""COMPUTED_VALUE"""),"Статия в списания и поредици")</f>
        <v>Статия в списания и поредици</v>
      </c>
      <c r="C4192" s="10" t="str">
        <f ca="1">IFERROR(__xludf.DUMMYFUNCTION("""COMPUTED_VALUE"""),"„Петата свобода“, културата на прозрачност и новите модели на образование.")</f>
        <v>„Петата свобода“, културата на прозрачност и новите модели на образование.</v>
      </c>
      <c r="D4192" s="10">
        <f ca="1">IFERROR(__xludf.DUMMYFUNCTION("""COMPUTED_VALUE"""),2013)</f>
        <v>2013</v>
      </c>
      <c r="E4192" s="10" t="str">
        <f ca="1">IFERROR(__xludf.DUMMYFUNCTION("""COMPUTED_VALUE"""),"Обществото на знанието и хуманизмът на XXI век. - Т. 10. – София: За буквите – О писменехъ, 2013, с. 30-38.")</f>
        <v>Обществото на знанието и хуманизмът на XXI век. - Т. 10. – София: За буквите – О писменехъ, 2013, с. 30-38.</v>
      </c>
      <c r="F4192" s="10"/>
      <c r="G4192" s="10" t="str">
        <f ca="1">IFERROR(__xludf.DUMMYFUNCTION("""COMPUTED_VALUE"""),"Стоян Денчев, Кристина Върбанова-Денчева,")</f>
        <v>Стоян Денчев, Кристина Върбанова-Денчева,</v>
      </c>
      <c r="H4192" s="10"/>
      <c r="I4192" s="10"/>
      <c r="J4192" s="10"/>
      <c r="K4192" s="10"/>
      <c r="L4192" s="10"/>
      <c r="M4192" s="10"/>
      <c r="N4192" s="10"/>
      <c r="O4192" s="10"/>
      <c r="P4192" s="10"/>
      <c r="Q4192" s="10"/>
      <c r="R4192" s="10"/>
      <c r="S4192" s="10"/>
      <c r="T4192" s="10"/>
      <c r="U4192" s="10"/>
      <c r="V4192" s="10"/>
      <c r="W4192" s="10"/>
      <c r="X4192" s="10"/>
      <c r="Y4192" s="10"/>
      <c r="Z4192" s="10"/>
    </row>
    <row r="4193" spans="1:26" ht="12.75">
      <c r="A4193" s="10" t="str">
        <f ca="1">IFERROR(__xludf.DUMMYFUNCTION("""COMPUTED_VALUE"""),"Ирена Йорданова Петева")</f>
        <v>Ирена Йорданова Петева</v>
      </c>
      <c r="B4193" s="10" t="str">
        <f ca="1">IFERROR(__xludf.DUMMYFUNCTION("""COMPUTED_VALUE"""),"Статия в списания и поредици")</f>
        <v>Статия в списания и поредици</v>
      </c>
      <c r="C4193" s="10" t="str">
        <f ca="1">IFERROR(__xludf.DUMMYFUNCTION("""COMPUTED_VALUE"""),"Развитие на концепцията за G-Cloud и мястото й в европейската облачна стратегия.")</f>
        <v>Развитие на концепцията за G-Cloud и мястото й в европейската облачна стратегия.</v>
      </c>
      <c r="D4193" s="10">
        <f ca="1">IFERROR(__xludf.DUMMYFUNCTION("""COMPUTED_VALUE"""),2013)</f>
        <v>2013</v>
      </c>
      <c r="E4193" s="10" t="str">
        <f ca="1">IFERROR(__xludf.DUMMYFUNCTION("""COMPUTED_VALUE"""),"Обществото на знанието и хуманизмът на XXI век. - Т. 10. – София: За буквите – О писменехъ, 2013, с. 320-327.")</f>
        <v>Обществото на знанието и хуманизмът на XXI век. - Т. 10. – София: За буквите – О писменехъ, 2013, с. 320-327.</v>
      </c>
      <c r="F4193" s="10"/>
      <c r="G4193" s="10" t="str">
        <f ca="1">IFERROR(__xludf.DUMMYFUNCTION("""COMPUTED_VALUE"""),"Иванка Павлова, Даниела Павлова")</f>
        <v>Иванка Павлова, Даниела Павлова</v>
      </c>
      <c r="H4193" s="10"/>
      <c r="I4193" s="10"/>
      <c r="J4193" s="10"/>
      <c r="K4193" s="10"/>
      <c r="L4193" s="10"/>
      <c r="M4193" s="10"/>
      <c r="N4193" s="10"/>
      <c r="O4193" s="10"/>
      <c r="P4193" s="10"/>
      <c r="Q4193" s="10"/>
      <c r="R4193" s="10"/>
      <c r="S4193" s="10"/>
      <c r="T4193" s="10"/>
      <c r="U4193" s="10"/>
      <c r="V4193" s="10"/>
      <c r="W4193" s="10"/>
      <c r="X4193" s="10"/>
      <c r="Y4193" s="10"/>
      <c r="Z4193" s="10"/>
    </row>
    <row r="4194" spans="1:26" ht="12.75">
      <c r="A4194" s="10" t="str">
        <f ca="1">IFERROR(__xludf.DUMMYFUNCTION("""COMPUTED_VALUE"""),"Ирена Йорданова Петева")</f>
        <v>Ирена Йорданова Петева</v>
      </c>
      <c r="B4194" s="10" t="str">
        <f ca="1">IFERROR(__xludf.DUMMYFUNCTION("""COMPUTED_VALUE"""),"Статия в списания и поредици")</f>
        <v>Статия в списания и поредици</v>
      </c>
      <c r="C4194" s="10" t="str">
        <f ca="1">IFERROR(__xludf.DUMMYFUNCTION("""COMPUTED_VALUE"""),"Publuc libraries in the small municipalities cultural centers - Conceptual model of e-Government and user centers in Bulgaria.")</f>
        <v>Publuc libraries in the small municipalities cultural centers - Conceptual model of e-Government and user centers in Bulgaria.</v>
      </c>
      <c r="D4194" s="10">
        <f ca="1">IFERROR(__xludf.DUMMYFUNCTION("""COMPUTED_VALUE"""),2011)</f>
        <v>2011</v>
      </c>
      <c r="E4194" s="10" t="str">
        <f ca="1">IFERROR(__xludf.DUMMYFUNCTION("""COMPUTED_VALUE"""),"International Conference “User Empowerment through Digital Technologies”, February 15-17, 2011, India International Centre, New Delhi, India.")</f>
        <v>International Conference “User Empowerment through Digital Technologies”, February 15-17, 2011, India International Centre, New Delhi, India.</v>
      </c>
      <c r="F4194" s="10"/>
      <c r="G4194" s="10" t="str">
        <f ca="1">IFERROR(__xludf.DUMMYFUNCTION("""COMPUTED_VALUE"""),"Denchev, Stoyan, Elena Ignatova")</f>
        <v>Denchev, Stoyan, Elena Ignatova</v>
      </c>
      <c r="H4194" s="10"/>
      <c r="I4194" s="10"/>
      <c r="J4194" s="10"/>
      <c r="K4194" s="10"/>
      <c r="L4194" s="10"/>
      <c r="M4194" s="10"/>
      <c r="N4194" s="10"/>
      <c r="O4194" s="10"/>
      <c r="P4194" s="10"/>
      <c r="Q4194" s="10"/>
      <c r="R4194" s="10"/>
      <c r="S4194" s="10"/>
      <c r="T4194" s="10"/>
      <c r="U4194" s="10"/>
      <c r="V4194" s="10"/>
      <c r="W4194" s="10"/>
      <c r="X4194" s="10"/>
      <c r="Y4194" s="10"/>
      <c r="Z4194" s="10"/>
    </row>
    <row r="4195" spans="1:26" ht="12.75">
      <c r="A4195" s="10" t="str">
        <f ca="1">IFERROR(__xludf.DUMMYFUNCTION("""COMPUTED_VALUE"""),"Ирена Йорданова Петева")</f>
        <v>Ирена Йорданова Петева</v>
      </c>
      <c r="B4195" s="10" t="str">
        <f ca="1">IFERROR(__xludf.DUMMYFUNCTION("""COMPUTED_VALUE"""),"Монография")</f>
        <v>Монография</v>
      </c>
      <c r="C4195" s="10" t="str">
        <f ca="1">IFERROR(__xludf.DUMMYFUNCTION("""COMPUTED_VALUE"""),"Culture de transparence. Société, information, bibliothèques. Sosiete, information, biblioteheqies.")</f>
        <v>Culture de transparence. Société, information, bibliothèques. Sosiete, information, biblioteheqies.</v>
      </c>
      <c r="D4195" s="10">
        <f ca="1">IFERROR(__xludf.DUMMYFUNCTION("""COMPUTED_VALUE"""),2011)</f>
        <v>2011</v>
      </c>
      <c r="E4195" s="10" t="str">
        <f ca="1">IFERROR(__xludf.DUMMYFUNCTION("""COMPUTED_VALUE"""),"Paris: L`Harmatan, collection ""Recherches en bibliologie"", ISBN : 978-2-296-13060-9")</f>
        <v>Paris: L`Harmatan, collection "Recherches en bibliologie", ISBN : 978-2-296-13060-9</v>
      </c>
      <c r="F4195" s="10"/>
      <c r="G4195" s="10" t="str">
        <f ca="1">IFERROR(__xludf.DUMMYFUNCTION("""COMPUTED_VALUE"""),"Stoyan Denchev")</f>
        <v>Stoyan Denchev</v>
      </c>
      <c r="H4195" s="10"/>
      <c r="I4195" s="10"/>
      <c r="J4195" s="10"/>
      <c r="K4195" s="10"/>
      <c r="L4195" s="10"/>
      <c r="M4195" s="10"/>
      <c r="N4195" s="10"/>
      <c r="O4195" s="10"/>
      <c r="P4195" s="10"/>
      <c r="Q4195" s="10"/>
      <c r="R4195" s="10"/>
      <c r="S4195" s="10"/>
      <c r="T4195" s="10"/>
      <c r="U4195" s="10"/>
      <c r="V4195" s="10"/>
      <c r="W4195" s="10"/>
      <c r="X4195" s="10"/>
      <c r="Y4195" s="10"/>
      <c r="Z4195" s="10"/>
    </row>
    <row r="4196" spans="1:26" ht="12.75">
      <c r="A4196" s="10" t="str">
        <f ca="1">IFERROR(__xludf.DUMMYFUNCTION("""COMPUTED_VALUE"""),"Ирена Йорданова Петева")</f>
        <v>Ирена Йорданова Петева</v>
      </c>
      <c r="B4196" s="10" t="str">
        <f ca="1">IFERROR(__xludf.DUMMYFUNCTION("""COMPUTED_VALUE"""),"Глава от колективна монография")</f>
        <v>Глава от колективна монография</v>
      </c>
      <c r="C4196" s="10" t="str">
        <f ca="1">IFERROR(__xludf.DUMMYFUNCTION("""COMPUTED_VALUE"""),"Участие на обществените библиотеки в реализацията на електронното правителство.")</f>
        <v>Участие на обществените библиотеки в реализацията на електронното правителство.</v>
      </c>
      <c r="D4196" s="10">
        <f ca="1">IFERROR(__xludf.DUMMYFUNCTION("""COMPUTED_VALUE"""),2009)</f>
        <v>2009</v>
      </c>
      <c r="E4196" s="10" t="str">
        <f ca="1">IFERROR(__xludf.DUMMYFUNCTION("""COMPUTED_VALUE"""),"Връзки с обществеността и промоционални техники. – София: „WINI”-1837, 2009, с. 25-45.")</f>
        <v>Връзки с обществеността и промоционални техники. – София: „WINI”-1837, 2009, с. 25-45.</v>
      </c>
      <c r="F4196" s="10"/>
      <c r="G4196" s="10"/>
      <c r="H4196" s="10"/>
      <c r="I4196" s="10"/>
      <c r="J4196" s="10"/>
      <c r="K4196" s="10"/>
      <c r="L4196" s="10"/>
      <c r="M4196" s="10"/>
      <c r="N4196" s="10"/>
      <c r="O4196" s="10"/>
      <c r="P4196" s="10"/>
      <c r="Q4196" s="10"/>
      <c r="R4196" s="10"/>
      <c r="S4196" s="10"/>
      <c r="T4196" s="10"/>
      <c r="U4196" s="10"/>
      <c r="V4196" s="10"/>
      <c r="W4196" s="10"/>
      <c r="X4196" s="10"/>
      <c r="Y4196" s="10"/>
      <c r="Z4196" s="10"/>
    </row>
    <row r="4197" spans="1:26" ht="12.75">
      <c r="A4197" s="10" t="str">
        <f ca="1">IFERROR(__xludf.DUMMYFUNCTION("""COMPUTED_VALUE"""),"Ирена Йорданова Петева")</f>
        <v>Ирена Йорданова Петева</v>
      </c>
      <c r="B4197" s="10" t="str">
        <f ca="1">IFERROR(__xludf.DUMMYFUNCTION("""COMPUTED_VALUE"""),"Монография")</f>
        <v>Монография</v>
      </c>
      <c r="C4197" s="10" t="str">
        <f ca="1">IFERROR(__xludf.DUMMYFUNCTION("""COMPUTED_VALUE"""),"Роль библиотек в формировании и развитии культуры информационной прозрачности : социальные функции библиотечной деятельности. –")</f>
        <v>Роль библиотек в формировании и развитии культуры информационной прозрачности : социальные функции библиотечной деятельности. –</v>
      </c>
      <c r="D4197" s="10">
        <f ca="1">IFERROR(__xludf.DUMMYFUNCTION("""COMPUTED_VALUE"""),2009)</f>
        <v>2009</v>
      </c>
      <c r="E4197" s="10" t="str">
        <f ca="1">IFERROR(__xludf.DUMMYFUNCTION("""COMPUTED_VALUE"""),"Москва: Логос, 2009. - 256 с. ISBN 978-5-98704-490-2")</f>
        <v>Москва: Логос, 2009. - 256 с. ISBN 978-5-98704-490-2</v>
      </c>
      <c r="F4197" s="10" t="str">
        <f ca="1">IFERROR(__xludf.DUMMYFUNCTION("""COMPUTED_VALUE"""),"РИНЦ")</f>
        <v>РИНЦ</v>
      </c>
      <c r="G4197" s="10" t="str">
        <f ca="1">IFERROR(__xludf.DUMMYFUNCTION("""COMPUTED_VALUE"""),"Стоян Денчев")</f>
        <v>Стоян Денчев</v>
      </c>
      <c r="H4197" s="10"/>
      <c r="I4197" s="10"/>
      <c r="J4197" s="10"/>
      <c r="K4197" s="10"/>
      <c r="L4197" s="10"/>
      <c r="M4197" s="10"/>
      <c r="N4197" s="10"/>
      <c r="O4197" s="10"/>
      <c r="P4197" s="10"/>
      <c r="Q4197" s="10"/>
      <c r="R4197" s="10"/>
      <c r="S4197" s="10"/>
      <c r="T4197" s="10"/>
      <c r="U4197" s="10"/>
      <c r="V4197" s="10"/>
      <c r="W4197" s="10"/>
      <c r="X4197" s="10"/>
      <c r="Y4197" s="10"/>
      <c r="Z4197" s="10"/>
    </row>
    <row r="4198" spans="1:26" ht="12.75">
      <c r="A4198" s="10" t="str">
        <f ca="1">IFERROR(__xludf.DUMMYFUNCTION("""COMPUTED_VALUE"""),"Ирена Йорданова Петева")</f>
        <v>Ирена Йорданова Петева</v>
      </c>
      <c r="B4198" s="10" t="str">
        <f ca="1">IFERROR(__xludf.DUMMYFUNCTION("""COMPUTED_VALUE"""),"Статия в списания и поредици")</f>
        <v>Статия в списания и поредици</v>
      </c>
      <c r="C4198" s="10" t="str">
        <f ca="1">IFERROR(__xludf.DUMMYFUNCTION("""COMPUTED_VALUE"""),"Мисията на БИЦ : Съхраняване на българската идентичност в европейското информационно пространство.")</f>
        <v>Мисията на БИЦ : Съхраняване на българската идентичност в европейското информационно пространство.</v>
      </c>
      <c r="D4198" s="10">
        <f ca="1">IFERROR(__xludf.DUMMYFUNCTION("""COMPUTED_VALUE"""),2009)</f>
        <v>2009</v>
      </c>
      <c r="E4198" s="10" t="str">
        <f ca="1">IFERROR(__xludf.DUMMYFUNCTION("""COMPUTED_VALUE"""),"Университетските библиотеки – мост към единното европейско образователно пространство: Сборник. – София: УИ „Св. Климент Охридски“, 2009, с. 132-135.")</f>
        <v>Университетските библиотеки – мост към единното европейско образователно пространство: Сборник. – София: УИ „Св. Климент Охридски“, 2009, с. 132-135.</v>
      </c>
      <c r="F4198" s="10"/>
      <c r="G4198" s="10" t="str">
        <f ca="1">IFERROR(__xludf.DUMMYFUNCTION("""COMPUTED_VALUE"""),"Елена Игнатова")</f>
        <v>Елена Игнатова</v>
      </c>
      <c r="H4198" s="10"/>
      <c r="I4198" s="10"/>
      <c r="J4198" s="10"/>
      <c r="K4198" s="10"/>
      <c r="L4198" s="10"/>
      <c r="M4198" s="10"/>
      <c r="N4198" s="10"/>
      <c r="O4198" s="10"/>
      <c r="P4198" s="10"/>
      <c r="Q4198" s="10"/>
      <c r="R4198" s="10"/>
      <c r="S4198" s="10"/>
      <c r="T4198" s="10"/>
      <c r="U4198" s="10"/>
      <c r="V4198" s="10"/>
      <c r="W4198" s="10"/>
      <c r="X4198" s="10"/>
      <c r="Y4198" s="10"/>
      <c r="Z4198" s="10"/>
    </row>
    <row r="4199" spans="1:26" ht="12.75">
      <c r="A4199" s="10" t="str">
        <f ca="1">IFERROR(__xludf.DUMMYFUNCTION("""COMPUTED_VALUE"""),"Ирена Йорданова Петева")</f>
        <v>Ирена Йорданова Петева</v>
      </c>
      <c r="B4199" s="10" t="str">
        <f ca="1">IFERROR(__xludf.DUMMYFUNCTION("""COMPUTED_VALUE"""),"Книга")</f>
        <v>Книга</v>
      </c>
      <c r="C4199" s="10" t="str">
        <f ca="1">IFERROR(__xludf.DUMMYFUNCTION("""COMPUTED_VALUE"""),"Достъпност, прозрачност и сигурност в сервизно ориентирани библиотечни архитектури.")</f>
        <v>Достъпност, прозрачност и сигурност в сервизно ориентирани библиотечни архитектури.</v>
      </c>
      <c r="D4199" s="10">
        <f ca="1">IFERROR(__xludf.DUMMYFUNCTION("""COMPUTED_VALUE"""),2009)</f>
        <v>2009</v>
      </c>
      <c r="E4199" s="10" t="str">
        <f ca="1">IFERROR(__xludf.DUMMYFUNCTION("""COMPUTED_VALUE"""),"София : За буквите - О писменехь, 2009, ISBN 978-954-8887-64-9")</f>
        <v>София : За буквите - О писменехь, 2009, ISBN 978-954-8887-64-9</v>
      </c>
      <c r="F4199" s="10"/>
      <c r="G4199" s="10"/>
      <c r="H4199" s="10"/>
      <c r="I4199" s="10"/>
      <c r="J4199" s="10"/>
      <c r="K4199" s="10"/>
      <c r="L4199" s="10"/>
      <c r="M4199" s="10"/>
      <c r="N4199" s="10"/>
      <c r="O4199" s="10"/>
      <c r="P4199" s="10"/>
      <c r="Q4199" s="10"/>
      <c r="R4199" s="10"/>
      <c r="S4199" s="10"/>
      <c r="T4199" s="10"/>
      <c r="U4199" s="10"/>
      <c r="V4199" s="10"/>
      <c r="W4199" s="10"/>
      <c r="X4199" s="10"/>
      <c r="Y4199" s="10"/>
      <c r="Z4199" s="10"/>
    </row>
    <row r="4200" spans="1:26" ht="12.75">
      <c r="A4200" s="10" t="str">
        <f ca="1">IFERROR(__xludf.DUMMYFUNCTION("""COMPUTED_VALUE"""),"Ирена Йорданова Петева")</f>
        <v>Ирена Йорданова Петева</v>
      </c>
      <c r="B4200" s="10" t="str">
        <f ca="1">IFERROR(__xludf.DUMMYFUNCTION("""COMPUTED_VALUE"""),"Глава от колективна монография")</f>
        <v>Глава от колективна монография</v>
      </c>
      <c r="C4200" s="10" t="str">
        <f ca="1">IFERROR(__xludf.DUMMYFUNCTION("""COMPUTED_VALUE"""),"Право на информация и информационна компетентност в съвременната социална среда.")</f>
        <v>Право на информация и информационна компетентност в съвременната социална среда.</v>
      </c>
      <c r="D4200" s="10">
        <f ca="1">IFERROR(__xludf.DUMMYFUNCTION("""COMPUTED_VALUE"""),2009)</f>
        <v>2009</v>
      </c>
      <c r="E4200" s="10" t="str">
        <f ca="1">IFERROR(__xludf.DUMMYFUNCTION("""COMPUTED_VALUE"""),"Наръчник по информационна компетентност. –София: „WINI”-1837, 2009, с. 21-26.")</f>
        <v>Наръчник по информационна компетентност. –София: „WINI”-1837, 2009, с. 21-26.</v>
      </c>
      <c r="F4200" s="10"/>
      <c r="G4200" s="10"/>
      <c r="H4200" s="10"/>
      <c r="I4200" s="10"/>
      <c r="J4200" s="10"/>
      <c r="K4200" s="10"/>
      <c r="L4200" s="10"/>
      <c r="M4200" s="10"/>
      <c r="N4200" s="10"/>
      <c r="O4200" s="10"/>
      <c r="P4200" s="10"/>
      <c r="Q4200" s="10"/>
      <c r="R4200" s="10"/>
      <c r="S4200" s="10"/>
      <c r="T4200" s="10"/>
      <c r="U4200" s="10"/>
      <c r="V4200" s="10"/>
      <c r="W4200" s="10"/>
      <c r="X4200" s="10"/>
      <c r="Y4200" s="10"/>
      <c r="Z4200" s="10"/>
    </row>
    <row r="4201" spans="1:26" ht="12.75">
      <c r="A4201" s="10" t="str">
        <f ca="1">IFERROR(__xludf.DUMMYFUNCTION("""COMPUTED_VALUE"""),"Ирена Йорданова Петева")</f>
        <v>Ирена Йорданова Петева</v>
      </c>
      <c r="B4201" s="10" t="str">
        <f ca="1">IFERROR(__xludf.DUMMYFUNCTION("""COMPUTED_VALUE"""),"Книга")</f>
        <v>Книга</v>
      </c>
      <c r="C4201" s="10" t="str">
        <f ca="1">IFERROR(__xludf.DUMMYFUNCTION("""COMPUTED_VALUE"""),"Информираният гражданин. Прозрачност и сигурност на информацията.")</f>
        <v>Информираният гражданин. Прозрачност и сигурност на информацията.</v>
      </c>
      <c r="D4201" s="10">
        <f ca="1">IFERROR(__xludf.DUMMYFUNCTION("""COMPUTED_VALUE"""),2008)</f>
        <v>2008</v>
      </c>
      <c r="E4201" s="10" t="str">
        <f ca="1">IFERROR(__xludf.DUMMYFUNCTION("""COMPUTED_VALUE"""),"София : За буквите - О писменехь, 2008, ISBN 978-954-8887-38-0")</f>
        <v>София : За буквите - О писменехь, 2008, ISBN 978-954-8887-38-0</v>
      </c>
      <c r="F4201" s="10"/>
      <c r="G4201" s="10"/>
      <c r="H4201" s="10"/>
      <c r="I4201" s="10"/>
      <c r="J4201" s="10"/>
      <c r="K4201" s="10"/>
      <c r="L4201" s="10"/>
      <c r="M4201" s="10"/>
      <c r="N4201" s="10"/>
      <c r="O4201" s="10"/>
      <c r="P4201" s="10"/>
      <c r="Q4201" s="10"/>
      <c r="R4201" s="10"/>
      <c r="S4201" s="10"/>
      <c r="T4201" s="10"/>
      <c r="U4201" s="10"/>
      <c r="V4201" s="10"/>
      <c r="W4201" s="10"/>
      <c r="X4201" s="10"/>
      <c r="Y4201" s="10"/>
      <c r="Z4201" s="10"/>
    </row>
    <row r="4202" spans="1:26" ht="12.75">
      <c r="A4202" s="10" t="str">
        <f ca="1">IFERROR(__xludf.DUMMYFUNCTION("""COMPUTED_VALUE"""),"Ирена Йорданова Петева")</f>
        <v>Ирена Йорданова Петева</v>
      </c>
      <c r="B4202" s="10" t="str">
        <f ca="1">IFERROR(__xludf.DUMMYFUNCTION("""COMPUTED_VALUE"""),"Статия в списания и поредици")</f>
        <v>Статия в списания и поредици</v>
      </c>
      <c r="C4202" s="10" t="str">
        <f ca="1">IFERROR(__xludf.DUMMYFUNCTION("""COMPUTED_VALUE"""),"Концептуален подход за реализация на модел на университетска библиотека като елемент на системата за обществен достъп до информация.")</f>
        <v>Концептуален подход за реализация на модел на университетска библиотека като елемент на системата за обществен достъп до информация.</v>
      </c>
      <c r="D4202" s="10">
        <f ca="1">IFERROR(__xludf.DUMMYFUNCTION("""COMPUTED_VALUE"""),2008)</f>
        <v>2008</v>
      </c>
      <c r="E4202" s="10" t="str">
        <f ca="1">IFERROR(__xludf.DUMMYFUNCTION("""COMPUTED_VALUE"""),"T р у д о в е на СВУБИТ, т.6. София, За буквите – О писменехь, 2008, с.183-189.")</f>
        <v>T р у д о в е на СВУБИТ, т.6. София, За буквите – О писменехь, 2008, с.183-189.</v>
      </c>
      <c r="F4202" s="10"/>
      <c r="G4202" s="10"/>
      <c r="H4202" s="10"/>
      <c r="I4202" s="10"/>
      <c r="J4202" s="10"/>
      <c r="K4202" s="10"/>
      <c r="L4202" s="10"/>
      <c r="M4202" s="10"/>
      <c r="N4202" s="10"/>
      <c r="O4202" s="10"/>
      <c r="P4202" s="10"/>
      <c r="Q4202" s="10"/>
      <c r="R4202" s="10"/>
      <c r="S4202" s="10"/>
      <c r="T4202" s="10"/>
      <c r="U4202" s="10"/>
      <c r="V4202" s="10"/>
      <c r="W4202" s="10"/>
      <c r="X4202" s="10"/>
      <c r="Y4202" s="10"/>
      <c r="Z4202" s="10"/>
    </row>
    <row r="4203" spans="1:26" ht="12.75">
      <c r="A4203" s="10" t="str">
        <f ca="1">IFERROR(__xludf.DUMMYFUNCTION("""COMPUTED_VALUE"""),"Ирена Йорданова Петева")</f>
        <v>Ирена Йорданова Петева</v>
      </c>
      <c r="B4203" s="10" t="str">
        <f ca="1">IFERROR(__xludf.DUMMYFUNCTION("""COMPUTED_VALUE"""),"Книга")</f>
        <v>Книга</v>
      </c>
      <c r="C4203" s="10" t="str">
        <f ca="1">IFERROR(__xludf.DUMMYFUNCTION("""COMPUTED_VALUE"""),"Информационни технологии в държавната администрация. е-Управление.")</f>
        <v>Информационни технологии в държавната администрация. е-Управление.</v>
      </c>
      <c r="D4203" s="10">
        <f ca="1">IFERROR(__xludf.DUMMYFUNCTION("""COMPUTED_VALUE"""),2008)</f>
        <v>2008</v>
      </c>
      <c r="E4203" s="10" t="str">
        <f ca="1">IFERROR(__xludf.DUMMYFUNCTION("""COMPUTED_VALUE"""),"София, За буквите – О писменех, 200 с. ISBN 978-954-8887-55-7")</f>
        <v>София, За буквите – О писменех, 200 с. ISBN 978-954-8887-55-7</v>
      </c>
      <c r="F4203" s="10"/>
      <c r="G4203" s="10"/>
      <c r="H4203" s="10"/>
      <c r="I4203" s="10"/>
      <c r="J4203" s="10"/>
      <c r="K4203" s="10"/>
      <c r="L4203" s="10"/>
      <c r="M4203" s="10"/>
      <c r="N4203" s="10"/>
      <c r="O4203" s="10"/>
      <c r="P4203" s="10"/>
      <c r="Q4203" s="10"/>
      <c r="R4203" s="10"/>
      <c r="S4203" s="10"/>
      <c r="T4203" s="10"/>
      <c r="U4203" s="10"/>
      <c r="V4203" s="10"/>
      <c r="W4203" s="10"/>
      <c r="X4203" s="10"/>
      <c r="Y4203" s="10"/>
      <c r="Z4203" s="10"/>
    </row>
    <row r="4204" spans="1:26" ht="12.75">
      <c r="A4204" s="10" t="str">
        <f ca="1">IFERROR(__xludf.DUMMYFUNCTION("""COMPUTED_VALUE"""),"Ирена Йорданова Петева")</f>
        <v>Ирена Йорданова Петева</v>
      </c>
      <c r="B4204" s="10" t="str">
        <f ca="1">IFERROR(__xludf.DUMMYFUNCTION("""COMPUTED_VALUE"""),"Статия в списания и поредици")</f>
        <v>Статия в списания и поредици</v>
      </c>
      <c r="C4204" s="10" t="str">
        <f ca="1">IFERROR(__xludf.DUMMYFUNCTION("""COMPUTED_VALUE"""),"Информационните и комуникационни технологии като инструмент за осигуряване на достъп до социално значима информация")</f>
        <v>Информационните и комуникационни технологии като инструмент за осигуряване на достъп до социално значима информация</v>
      </c>
      <c r="D4204" s="10">
        <f ca="1">IFERROR(__xludf.DUMMYFUNCTION("""COMPUTED_VALUE"""),2008)</f>
        <v>2008</v>
      </c>
      <c r="E4204" s="10" t="str">
        <f ca="1">IFERROR(__xludf.DUMMYFUNCTION("""COMPUTED_VALUE"""),"К И Р И Л И Ц А Т А В ДУХОВНОСТТА НА ЕВРОПЕЙСКАТА ИНФОРМАЦИОННА ЦИВИЛИЗАЦИЯ, Пета национална научна конференция с международно участие.1.11. 2007 г. София: За буквите-Описменехь, 2008, с.142-154.")</f>
        <v>К И Р И Л И Ц А Т А В ДУХОВНОСТТА НА ЕВРОПЕЙСКАТА ИНФОРМАЦИОННА ЦИВИЛИЗАЦИЯ, Пета национална научна конференция с международно участие.1.11. 2007 г. София: За буквите-Описменехь, 2008, с.142-154.</v>
      </c>
      <c r="F4204" s="10"/>
      <c r="G4204" s="10"/>
      <c r="H4204" s="10"/>
      <c r="I4204" s="10"/>
      <c r="J4204" s="10"/>
      <c r="K4204" s="10"/>
      <c r="L4204" s="10"/>
      <c r="M4204" s="10"/>
      <c r="N4204" s="10"/>
      <c r="O4204" s="10"/>
      <c r="P4204" s="10"/>
      <c r="Q4204" s="10"/>
      <c r="R4204" s="10"/>
      <c r="S4204" s="10"/>
      <c r="T4204" s="10"/>
      <c r="U4204" s="10"/>
      <c r="V4204" s="10"/>
      <c r="W4204" s="10"/>
      <c r="X4204" s="10"/>
      <c r="Y4204" s="10"/>
      <c r="Z4204" s="10"/>
    </row>
    <row r="4205" spans="1:26" ht="12.75">
      <c r="A4205" s="10" t="str">
        <f ca="1">IFERROR(__xludf.DUMMYFUNCTION("""COMPUTED_VALUE"""),"Ирена Йорданова Петева")</f>
        <v>Ирена Йорданова Петева</v>
      </c>
      <c r="B4205" s="10" t="str">
        <f ca="1">IFERROR(__xludf.DUMMYFUNCTION("""COMPUTED_VALUE"""),"Статия в списания и поредици")</f>
        <v>Статия в списания и поредици</v>
      </c>
      <c r="C4205" s="10" t="str">
        <f ca="1">IFERROR(__xludf.DUMMYFUNCTION("""COMPUTED_VALUE"""),"Аспекти на формиране на комуникативна компетентност в съвременната обществена информационна среда.")</f>
        <v>Аспекти на формиране на комуникативна компетентност в съвременната обществена информационна среда.</v>
      </c>
      <c r="D4205" s="10">
        <f ca="1">IFERROR(__xludf.DUMMYFUNCTION("""COMPUTED_VALUE"""),2008)</f>
        <v>2008</v>
      </c>
      <c r="E4205" s="10" t="str">
        <f ca="1">IFERROR(__xludf.DUMMYFUNCTION("""COMPUTED_VALUE"""),"Съюз на учените. Г о д и ш н и к на секция „Информатика”. СУБ, т.1. София, Изд. На Съюза на учените в България, 2008 с.35-39.")</f>
        <v>Съюз на учените. Г о д и ш н и к на секция „Информатика”. СУБ, т.1. София, Изд. На Съюза на учените в България, 2008 с.35-39.</v>
      </c>
      <c r="F4205" s="10"/>
      <c r="G4205" s="10"/>
      <c r="H4205" s="10"/>
      <c r="I4205" s="10"/>
      <c r="J4205" s="10"/>
      <c r="K4205" s="10"/>
      <c r="L4205" s="10"/>
      <c r="M4205" s="10"/>
      <c r="N4205" s="10"/>
      <c r="O4205" s="10"/>
      <c r="P4205" s="10"/>
      <c r="Q4205" s="10"/>
      <c r="R4205" s="10"/>
      <c r="S4205" s="10"/>
      <c r="T4205" s="10"/>
      <c r="U4205" s="10"/>
      <c r="V4205" s="10"/>
      <c r="W4205" s="10"/>
      <c r="X4205" s="10"/>
      <c r="Y4205" s="10"/>
      <c r="Z4205" s="10"/>
    </row>
    <row r="4206" spans="1:26" ht="12.75">
      <c r="A4206" s="10" t="str">
        <f ca="1">IFERROR(__xludf.DUMMYFUNCTION("""COMPUTED_VALUE"""),"Ирена Йорданова Петева")</f>
        <v>Ирена Йорданова Петева</v>
      </c>
      <c r="B4206" s="10" t="str">
        <f ca="1">IFERROR(__xludf.DUMMYFUNCTION("""COMPUTED_VALUE"""),"Статия в списания и поредици")</f>
        <v>Статия в списания и поредици</v>
      </c>
      <c r="C4206" s="10" t="str">
        <f ca="1">IFERROR(__xludf.DUMMYFUNCTION("""COMPUTED_VALUE"""),"Информационни аспекти на връзката “достъпност-сигурност” на обществено значимата информация.")</f>
        <v>Информационни аспекти на връзката “достъпност-сигурност” на обществено значимата информация.</v>
      </c>
      <c r="D4206" s="10">
        <f ca="1">IFERROR(__xludf.DUMMYFUNCTION("""COMPUTED_VALUE"""),2008)</f>
        <v>2008</v>
      </c>
      <c r="E4206" s="10" t="str">
        <f ca="1">IFERROR(__xludf.DUMMYFUNCTION("""COMPUTED_VALUE"""),"Г о д и ш н и к на секция „Информатика”. СУБ, т.1. София, Изд. На Сю/за на учените в България, 2008 с.24-28. http://old.usb-bg.org/Bg/Annual_Informatics/2008/SUB-Informatics-2008-1-024-028.pdf")</f>
        <v>Г о д и ш н и к на секция „Информатика”. СУБ, т.1. София, Изд. На Сю/за на учените в България, 2008 с.24-28. http://old.usb-bg.org/Bg/Annual_Informatics/2008/SUB-Informatics-2008-1-024-028.pdf</v>
      </c>
      <c r="F4206" s="10"/>
      <c r="G4206" s="10"/>
      <c r="H4206" s="10"/>
      <c r="I4206" s="10"/>
      <c r="J4206" s="10"/>
      <c r="K4206" s="10"/>
      <c r="L4206" s="10"/>
      <c r="M4206" s="10"/>
      <c r="N4206" s="10"/>
      <c r="O4206" s="10"/>
      <c r="P4206" s="10"/>
      <c r="Q4206" s="10"/>
      <c r="R4206" s="10"/>
      <c r="S4206" s="10"/>
      <c r="T4206" s="10"/>
      <c r="U4206" s="10"/>
      <c r="V4206" s="10"/>
      <c r="W4206" s="10"/>
      <c r="X4206" s="10"/>
      <c r="Y4206" s="10"/>
      <c r="Z4206" s="10"/>
    </row>
    <row r="4207" spans="1:26" ht="12.75">
      <c r="A4207" s="10" t="str">
        <f ca="1">IFERROR(__xludf.DUMMYFUNCTION("""COMPUTED_VALUE"""),"Ирена Йорданова Петева")</f>
        <v>Ирена Йорданова Петева</v>
      </c>
      <c r="B4207" s="10" t="str">
        <f ca="1">IFERROR(__xludf.DUMMYFUNCTION("""COMPUTED_VALUE"""),"Статия в списания и поредици")</f>
        <v>Статия в списания и поредици</v>
      </c>
      <c r="C4207" s="10" t="str">
        <f ca="1">IFERROR(__xludf.DUMMYFUNCTION("""COMPUTED_VALUE"""),"Прозрачност и сигурност на информацията при корпоративните комуникации в информационното общество.")</f>
        <v>Прозрачност и сигурност на информацията при корпоративните комуникации в информационното общество.</v>
      </c>
      <c r="D4207" s="10">
        <f ca="1">IFERROR(__xludf.DUMMYFUNCTION("""COMPUTED_VALUE"""),2008)</f>
        <v>2008</v>
      </c>
      <c r="E4207" s="10" t="str">
        <f ca="1">IFERROR(__xludf.DUMMYFUNCTION("""COMPUTED_VALUE"""),"списание «Военен журнал», Военно издателство, Бр. 5 София, 2008")</f>
        <v>списание «Военен журнал», Военно издателство, Бр. 5 София, 2008</v>
      </c>
      <c r="F4207" s="10"/>
      <c r="G4207" s="10" t="str">
        <f ca="1">IFERROR(__xludf.DUMMYFUNCTION("""COMPUTED_VALUE"""),"Стоян Денчев, Драгомир Паргов, Белла Тетевенска")</f>
        <v>Стоян Денчев, Драгомир Паргов, Белла Тетевенска</v>
      </c>
      <c r="H4207" s="10"/>
      <c r="I4207" s="10"/>
      <c r="J4207" s="10"/>
      <c r="K4207" s="10"/>
      <c r="L4207" s="10"/>
      <c r="M4207" s="10"/>
      <c r="N4207" s="10"/>
      <c r="O4207" s="10"/>
      <c r="P4207" s="10"/>
      <c r="Q4207" s="10"/>
      <c r="R4207" s="10"/>
      <c r="S4207" s="10"/>
      <c r="T4207" s="10"/>
      <c r="U4207" s="10"/>
      <c r="V4207" s="10"/>
      <c r="W4207" s="10"/>
      <c r="X4207" s="10"/>
      <c r="Y4207" s="10"/>
      <c r="Z4207" s="10"/>
    </row>
    <row r="4208" spans="1:26" ht="12.75">
      <c r="A4208" s="10" t="str">
        <f ca="1">IFERROR(__xludf.DUMMYFUNCTION("""COMPUTED_VALUE"""),"Ирена Йорданова Петева")</f>
        <v>Ирена Йорданова Петева</v>
      </c>
      <c r="B4208" s="10" t="str">
        <f ca="1">IFERROR(__xludf.DUMMYFUNCTION("""COMPUTED_VALUE"""),"Доклад от конференция")</f>
        <v>Доклад от конференция</v>
      </c>
      <c r="C4208" s="10" t="str">
        <f ca="1">IFERROR(__xludf.DUMMYFUNCTION("""COMPUTED_VALUE"""),"Accessibility of public information – libraries dimensions. “")</f>
        <v>Accessibility of public information – libraries dimensions. “</v>
      </c>
      <c r="D4208" s="10">
        <f ca="1">IFERROR(__xludf.DUMMYFUNCTION("""COMPUTED_VALUE"""),2008)</f>
        <v>2008</v>
      </c>
      <c r="E4208" s="10" t="str">
        <f ca="1">IFERROR(__xludf.DUMMYFUNCTION("""COMPUTED_VALUE"""),"Information/Documentation Management and Cooperation Among the Libraries in the Balkan Countries” International symposium. Edirne, 2008. p 378-383")</f>
        <v>Information/Documentation Management and Cooperation Among the Libraries in the Balkan Countries” International symposium. Edirne, 2008. p 378-383</v>
      </c>
      <c r="F4208" s="10"/>
      <c r="G4208" s="10"/>
      <c r="H4208" s="10"/>
      <c r="I4208" s="10"/>
      <c r="J4208" s="10"/>
      <c r="K4208" s="10"/>
      <c r="L4208" s="10"/>
      <c r="M4208" s="10"/>
      <c r="N4208" s="10"/>
      <c r="O4208" s="10"/>
      <c r="P4208" s="10"/>
      <c r="Q4208" s="10"/>
      <c r="R4208" s="10"/>
      <c r="S4208" s="10"/>
      <c r="T4208" s="10"/>
      <c r="U4208" s="10"/>
      <c r="V4208" s="10"/>
      <c r="W4208" s="10"/>
      <c r="X4208" s="10"/>
      <c r="Y4208" s="10"/>
      <c r="Z4208" s="10"/>
    </row>
    <row r="4209" spans="1:26" ht="12.75">
      <c r="A4209" s="10" t="str">
        <f ca="1">IFERROR(__xludf.DUMMYFUNCTION("""COMPUTED_VALUE"""),"Ирена Йорданова Петева")</f>
        <v>Ирена Йорданова Петева</v>
      </c>
      <c r="B4209" s="10" t="str">
        <f ca="1">IFERROR(__xludf.DUMMYFUNCTION("""COMPUTED_VALUE"""),"Статия в списания и поредици")</f>
        <v>Статия в списания и поредици</v>
      </c>
      <c r="C4209" s="10" t="str">
        <f ca="1">IFERROR(__xludf.DUMMYFUNCTION("""COMPUTED_VALUE"""),"Концепция нациольной информационной безопасност – аспекы доступа к информации.")</f>
        <v>Концепция нациольной информационной безопасност – аспекы доступа к информации.</v>
      </c>
      <c r="D4209" s="10">
        <f ca="1">IFERROR(__xludf.DUMMYFUNCTION("""COMPUTED_VALUE"""),2007)</f>
        <v>2007</v>
      </c>
      <c r="E4209" s="10" t="str">
        <f ca="1">IFERROR(__xludf.DUMMYFUNCTION("""COMPUTED_VALUE"""),"Информационные технологии безопаснось. Менеджмент информационной безопасности. Сборник научных трудов. Киев:Националная академия наук Украины 2007, выуск 10, с.86-91.")</f>
        <v>Информационные технологии безопаснось. Менеджмент информационной безопасности. Сборник научных трудов. Киев:Националная академия наук Украины 2007, выуск 10, с.86-91.</v>
      </c>
      <c r="F4209" s="10"/>
      <c r="G4209" s="10"/>
      <c r="H4209" s="10"/>
      <c r="I4209" s="10"/>
      <c r="J4209" s="10"/>
      <c r="K4209" s="10"/>
      <c r="L4209" s="10"/>
      <c r="M4209" s="10"/>
      <c r="N4209" s="10"/>
      <c r="O4209" s="10"/>
      <c r="P4209" s="10"/>
      <c r="Q4209" s="10"/>
      <c r="R4209" s="10"/>
      <c r="S4209" s="10"/>
      <c r="T4209" s="10"/>
      <c r="U4209" s="10"/>
      <c r="V4209" s="10"/>
      <c r="W4209" s="10"/>
      <c r="X4209" s="10"/>
      <c r="Y4209" s="10"/>
      <c r="Z4209" s="10"/>
    </row>
    <row r="4210" spans="1:26" ht="12.75">
      <c r="A4210" s="10" t="str">
        <f ca="1">IFERROR(__xludf.DUMMYFUNCTION("""COMPUTED_VALUE"""),"Ирена Йорданова Петева")</f>
        <v>Ирена Йорданова Петева</v>
      </c>
      <c r="B4210" s="10" t="str">
        <f ca="1">IFERROR(__xludf.DUMMYFUNCTION("""COMPUTED_VALUE"""),"Статия в списания и поредици")</f>
        <v>Статия в списания и поредици</v>
      </c>
      <c r="C4210" s="10" t="str">
        <f ca="1">IFERROR(__xludf.DUMMYFUNCTION("""COMPUTED_VALUE"""),"Информационната грамотност на гражданите – условие за реализация на правото на достъп до информация")</f>
        <v>Информационната грамотност на гражданите – условие за реализация на правото на достъп до информация</v>
      </c>
      <c r="D4210" s="10">
        <f ca="1">IFERROR(__xludf.DUMMYFUNCTION("""COMPUTED_VALUE"""),2006)</f>
        <v>2006</v>
      </c>
      <c r="E4210" s="10" t="str">
        <f ca="1">IFERROR(__xludf.DUMMYFUNCTION("""COMPUTED_VALUE"""),"T р у д о в е на СВУБИТ, т.5. София, За буквите – О писменехь, 2008, с.79-84.")</f>
        <v>T р у д о в е на СВУБИТ, т.5. София, За буквите – О писменехь, 2008, с.79-84.</v>
      </c>
      <c r="F4210" s="10"/>
      <c r="G4210" s="10"/>
      <c r="H4210" s="10"/>
      <c r="I4210" s="10"/>
      <c r="J4210" s="10"/>
      <c r="K4210" s="10"/>
      <c r="L4210" s="10"/>
      <c r="M4210" s="10"/>
      <c r="N4210" s="10"/>
      <c r="O4210" s="10"/>
      <c r="P4210" s="10"/>
      <c r="Q4210" s="10"/>
      <c r="R4210" s="10"/>
      <c r="S4210" s="10"/>
      <c r="T4210" s="10"/>
      <c r="U4210" s="10"/>
      <c r="V4210" s="10"/>
      <c r="W4210" s="10"/>
      <c r="X4210" s="10"/>
      <c r="Y4210" s="10"/>
      <c r="Z4210" s="10"/>
    </row>
    <row r="4211" spans="1:26" ht="12.75">
      <c r="A4211" s="10" t="str">
        <f ca="1">IFERROR(__xludf.DUMMYFUNCTION("""COMPUTED_VALUE"""),"Ирена Йорданова Петева")</f>
        <v>Ирена Йорданова Петева</v>
      </c>
      <c r="B4211" s="10" t="str">
        <f ca="1">IFERROR(__xludf.DUMMYFUNCTION("""COMPUTED_VALUE"""),"Монография")</f>
        <v>Монография</v>
      </c>
      <c r="C4211" s="10" t="str">
        <f ca="1">IFERROR(__xludf.DUMMYFUNCTION("""COMPUTED_VALUE"""),"Библиотеки и публичен достъп до информация.")</f>
        <v>Библиотеки и публичен достъп до информация.</v>
      </c>
      <c r="D4211" s="10">
        <f ca="1">IFERROR(__xludf.DUMMYFUNCTION("""COMPUTED_VALUE"""),2006)</f>
        <v>2006</v>
      </c>
      <c r="E4211" s="10" t="str">
        <f ca="1">IFERROR(__xludf.DUMMYFUNCTION("""COMPUTED_VALUE"""),"София, Ак. изд. “Проф. Марин Дринов” и др. 311 с. ISBN 978-954-322-181-3")</f>
        <v>София, Ак. изд. “Проф. Марин Дринов” и др. 311 с. ISBN 978-954-322-181-3</v>
      </c>
      <c r="F4211" s="10"/>
      <c r="G4211" s="10" t="str">
        <f ca="1">IFERROR(__xludf.DUMMYFUNCTION("""COMPUTED_VALUE"""),"Стоян Денчев")</f>
        <v>Стоян Денчев</v>
      </c>
      <c r="H4211" s="10"/>
      <c r="I4211" s="10"/>
      <c r="J4211" s="10"/>
      <c r="K4211" s="10"/>
      <c r="L4211" s="10"/>
      <c r="M4211" s="10"/>
      <c r="N4211" s="10"/>
      <c r="O4211" s="10"/>
      <c r="P4211" s="10"/>
      <c r="Q4211" s="10"/>
      <c r="R4211" s="10"/>
      <c r="S4211" s="10"/>
      <c r="T4211" s="10"/>
      <c r="U4211" s="10"/>
      <c r="V4211" s="10"/>
      <c r="W4211" s="10"/>
      <c r="X4211" s="10"/>
      <c r="Y4211" s="10"/>
      <c r="Z4211" s="10"/>
    </row>
    <row r="4212" spans="1:26" ht="12.75">
      <c r="A4212" s="10" t="str">
        <f ca="1">IFERROR(__xludf.DUMMYFUNCTION("""COMPUTED_VALUE"""),"Ирена Йорданова Петева")</f>
        <v>Ирена Йорданова Петева</v>
      </c>
      <c r="B4212" s="10" t="str">
        <f ca="1">IFERROR(__xludf.DUMMYFUNCTION("""COMPUTED_VALUE"""),"Статия в списания и поредици")</f>
        <v>Статия в списания и поредици</v>
      </c>
      <c r="C4212" s="10" t="str">
        <f ca="1">IFERROR(__xludf.DUMMYFUNCTION("""COMPUTED_VALUE"""),"Дигитальная изоляция – библиотека – електронное правительство.")</f>
        <v>Дигитальная изоляция – библиотека – електронное правительство.</v>
      </c>
      <c r="D4212" s="10">
        <f ca="1">IFERROR(__xludf.DUMMYFUNCTION("""COMPUTED_VALUE"""),2005)</f>
        <v>2005</v>
      </c>
      <c r="E4212" s="10" t="str">
        <f ca="1">IFERROR(__xludf.DUMMYFUNCTION("""COMPUTED_VALUE"""),"Р о л ь книгоиздания в развитии международных научных и культурных контактов. Москва, Наука, 2005, с. 213-216.")</f>
        <v>Р о л ь книгоиздания в развитии международных научных и культурных контактов. Москва, Наука, 2005, с. 213-216.</v>
      </c>
      <c r="F4212" s="10"/>
      <c r="G4212" s="10"/>
      <c r="H4212" s="10"/>
      <c r="I4212" s="10"/>
      <c r="J4212" s="10"/>
      <c r="K4212" s="10"/>
      <c r="L4212" s="10"/>
      <c r="M4212" s="10"/>
      <c r="N4212" s="10"/>
      <c r="O4212" s="10"/>
      <c r="P4212" s="10"/>
      <c r="Q4212" s="10"/>
      <c r="R4212" s="10"/>
      <c r="S4212" s="10"/>
      <c r="T4212" s="10"/>
      <c r="U4212" s="10"/>
      <c r="V4212" s="10"/>
      <c r="W4212" s="10"/>
      <c r="X4212" s="10"/>
      <c r="Y4212" s="10"/>
      <c r="Z4212" s="10"/>
    </row>
    <row r="4213" spans="1:26" ht="12.75">
      <c r="A4213" s="10" t="str">
        <f ca="1">IFERROR(__xludf.DUMMYFUNCTION("""COMPUTED_VALUE"""),"Ирена Йорданова Петева")</f>
        <v>Ирена Йорданова Петева</v>
      </c>
      <c r="B4213" s="10" t="str">
        <f ca="1">IFERROR(__xludf.DUMMYFUNCTION("""COMPUTED_VALUE"""),"Статия в списания и поредици")</f>
        <v>Статия в списания и поредици</v>
      </c>
      <c r="C4213" s="10" t="str">
        <f ca="1">IFERROR(__xludf.DUMMYFUNCTION("""COMPUTED_VALUE"""),"Колежанската библиотека и образователният процес – съвременни измерения на традицията.")</f>
        <v>Колежанската библиотека и образователният процес – съвременни измерения на традицията.</v>
      </c>
      <c r="D4213" s="10">
        <f ca="1">IFERROR(__xludf.DUMMYFUNCTION("""COMPUTED_VALUE"""),2004)</f>
        <v>2004</v>
      </c>
      <c r="E4213" s="10" t="str">
        <f ca="1">IFERROR(__xludf.DUMMYFUNCTION("""COMPUTED_VALUE"""),"Ц е н к о Цветанов и българската книжовна култура, София. WINI-1837, 2004, 194-199")</f>
        <v>Ц е н к о Цветанов и българската книжовна култура, София. WINI-1837, 2004, 194-199</v>
      </c>
      <c r="F4213" s="10"/>
      <c r="G4213" s="10"/>
      <c r="H4213" s="10"/>
      <c r="I4213" s="10"/>
      <c r="J4213" s="10"/>
      <c r="K4213" s="10"/>
      <c r="L4213" s="10"/>
      <c r="M4213" s="10"/>
      <c r="N4213" s="10"/>
      <c r="O4213" s="10"/>
      <c r="P4213" s="10"/>
      <c r="Q4213" s="10"/>
      <c r="R4213" s="10"/>
      <c r="S4213" s="10"/>
      <c r="T4213" s="10"/>
      <c r="U4213" s="10"/>
      <c r="V4213" s="10"/>
      <c r="W4213" s="10"/>
      <c r="X4213" s="10"/>
      <c r="Y4213" s="10"/>
      <c r="Z4213" s="10"/>
    </row>
    <row r="4214" spans="1:26" ht="12.75">
      <c r="A4214" s="10" t="str">
        <f ca="1">IFERROR(__xludf.DUMMYFUNCTION("""COMPUTED_VALUE"""),"Ирена Йорданова Петева")</f>
        <v>Ирена Йорданова Петева</v>
      </c>
      <c r="B4214" s="10" t="str">
        <f ca="1">IFERROR(__xludf.DUMMYFUNCTION("""COMPUTED_VALUE"""),"Статия в списания и поредици")</f>
        <v>Статия в списания и поредици</v>
      </c>
      <c r="C4214" s="10" t="str">
        <f ca="1">IFERROR(__xludf.DUMMYFUNCTION("""COMPUTED_VALUE"""),"Изграждане на е-Центрове на базата на общодостъпните библиотеки – средство за осигуряване на равнопоставен достъп до информация и услуги на гражданите и бизнеса.")</f>
        <v>Изграждане на е-Центрове на базата на общодостъпните библиотеки – средство за осигуряване на равнопоставен достъп до информация и услуги на гражданите и бизнеса.</v>
      </c>
      <c r="D4214" s="10">
        <f ca="1">IFERROR(__xludf.DUMMYFUNCTION("""COMPUTED_VALUE"""),2004)</f>
        <v>2004</v>
      </c>
      <c r="E4214" s="10" t="str">
        <f ca="1">IFERROR(__xludf.DUMMYFUNCTION("""COMPUTED_VALUE"""),"Т р у д о в е на СВУБИТ, т.3, София, За буквите-О писменехь, 2004")</f>
        <v>Т р у д о в е на СВУБИТ, т.3, София, За буквите-О писменехь, 2004</v>
      </c>
      <c r="F4214" s="10"/>
      <c r="G4214" s="10"/>
      <c r="H4214" s="10"/>
      <c r="I4214" s="10"/>
      <c r="J4214" s="10"/>
      <c r="K4214" s="10"/>
      <c r="L4214" s="10"/>
      <c r="M4214" s="10"/>
      <c r="N4214" s="10"/>
      <c r="O4214" s="10"/>
      <c r="P4214" s="10"/>
      <c r="Q4214" s="10"/>
      <c r="R4214" s="10"/>
      <c r="S4214" s="10"/>
      <c r="T4214" s="10"/>
      <c r="U4214" s="10"/>
      <c r="V4214" s="10"/>
      <c r="W4214" s="10"/>
      <c r="X4214" s="10"/>
      <c r="Y4214" s="10"/>
      <c r="Z4214" s="10"/>
    </row>
    <row r="4215" spans="1:26" ht="12.75">
      <c r="A4215" s="10" t="str">
        <f ca="1">IFERROR(__xludf.DUMMYFUNCTION("""COMPUTED_VALUE"""),"Ирена Йорданова Петева")</f>
        <v>Ирена Йорданова Петева</v>
      </c>
      <c r="B4215" s="10" t="str">
        <f ca="1">IFERROR(__xludf.DUMMYFUNCTION("""COMPUTED_VALUE"""),"Статия в списания и поредици")</f>
        <v>Статия в списания и поредици</v>
      </c>
      <c r="C4215" s="10" t="str">
        <f ca="1">IFERROR(__xludf.DUMMYFUNCTION("""COMPUTED_VALUE"""),"Информационната грамотност на гражданите – условие за реализация на публичния достъп до информация")</f>
        <v>Информационната грамотност на гражданите – условие за реализация на публичния достъп до информация</v>
      </c>
      <c r="D4215" s="10">
        <f ca="1">IFERROR(__xludf.DUMMYFUNCTION("""COMPUTED_VALUE"""),2004)</f>
        <v>2004</v>
      </c>
      <c r="E4215" s="10" t="str">
        <f ca="1">IFERROR(__xludf.DUMMYFUNCTION("""COMPUTED_VALUE"""),"Т р у д о в е на СВУБИТ, т.5, София, 2004,с. 79-85 .")</f>
        <v>Т р у д о в е на СВУБИТ, т.5, София, 2004,с. 79-85 .</v>
      </c>
      <c r="F4215" s="10"/>
      <c r="G4215" s="10"/>
      <c r="H4215" s="10"/>
      <c r="I4215" s="10"/>
      <c r="J4215" s="10"/>
      <c r="K4215" s="10"/>
      <c r="L4215" s="10"/>
      <c r="M4215" s="10"/>
      <c r="N4215" s="10"/>
      <c r="O4215" s="10"/>
      <c r="P4215" s="10"/>
      <c r="Q4215" s="10"/>
      <c r="R4215" s="10"/>
      <c r="S4215" s="10"/>
      <c r="T4215" s="10"/>
      <c r="U4215" s="10"/>
      <c r="V4215" s="10"/>
      <c r="W4215" s="10"/>
      <c r="X4215" s="10"/>
      <c r="Y4215" s="10"/>
      <c r="Z4215" s="10"/>
    </row>
    <row r="4216" spans="1:26" ht="12.75">
      <c r="A4216" s="10" t="str">
        <f ca="1">IFERROR(__xludf.DUMMYFUNCTION("""COMPUTED_VALUE"""),"Ирена Йорданова Петева")</f>
        <v>Ирена Йорданова Петева</v>
      </c>
      <c r="B4216" s="10" t="str">
        <f ca="1">IFERROR(__xludf.DUMMYFUNCTION("""COMPUTED_VALUE"""),"Доклад от конференция")</f>
        <v>Доклад от конференция</v>
      </c>
      <c r="C4216" s="10" t="str">
        <f ca="1">IFERROR(__xludf.DUMMYFUNCTION("""COMPUTED_VALUE"""),"Современная библиотечная практика дигитального будущего.")</f>
        <v>Современная библиотечная практика дигитального будущего.</v>
      </c>
      <c r="D4216" s="10">
        <f ca="1">IFERROR(__xludf.DUMMYFUNCTION("""COMPUTED_VALUE"""),2004)</f>
        <v>2004</v>
      </c>
      <c r="E4216" s="10" t="str">
        <f ca="1">IFERROR(__xludf.DUMMYFUNCTION("""COMPUTED_VALUE"""),"Книга и мировая цивилизация. Москва. Наука, 2004, с. 93-97.")</f>
        <v>Книга и мировая цивилизация. Москва. Наука, 2004, с. 93-97.</v>
      </c>
      <c r="F4216" s="10"/>
      <c r="G4216" s="10" t="str">
        <f ca="1">IFERROR(__xludf.DUMMYFUNCTION("""COMPUTED_VALUE"""),"Стоян Денчев, Иванка Павлова")</f>
        <v>Стоян Денчев, Иванка Павлова</v>
      </c>
      <c r="H4216" s="10"/>
      <c r="I4216" s="10"/>
      <c r="J4216" s="10"/>
      <c r="K4216" s="10"/>
      <c r="L4216" s="10"/>
      <c r="M4216" s="10"/>
      <c r="N4216" s="10"/>
      <c r="O4216" s="10"/>
      <c r="P4216" s="10"/>
      <c r="Q4216" s="10"/>
      <c r="R4216" s="10"/>
      <c r="S4216" s="10"/>
      <c r="T4216" s="10"/>
      <c r="U4216" s="10"/>
      <c r="V4216" s="10"/>
      <c r="W4216" s="10"/>
      <c r="X4216" s="10"/>
      <c r="Y4216" s="10"/>
      <c r="Z4216" s="10"/>
    </row>
    <row r="4217" spans="1:26" ht="12.75">
      <c r="A4217" s="10" t="str">
        <f ca="1">IFERROR(__xludf.DUMMYFUNCTION("""COMPUTED_VALUE"""),"Искра Петрова Цветанска - Цекова")</f>
        <v>Искра Петрова Цветанска - Цекова</v>
      </c>
      <c r="B4217" s="10" t="str">
        <f ca="1">IFERROR(__xludf.DUMMYFUNCTION("""COMPUTED_VALUE"""),"Доклад от конференция")</f>
        <v>Доклад от конференция</v>
      </c>
      <c r="C4217" s="10" t="str">
        <f ca="1">IFERROR(__xludf.DUMMYFUNCTION("""COMPUTED_VALUE"""),"Стандарти и терминология в сферата на консервацията и реставрацията на документално наследство")</f>
        <v>Стандарти и терминология в сферата на консервацията и реставрацията на документално наследство</v>
      </c>
      <c r="D4217" s="10">
        <f ca="1">IFERROR(__xludf.DUMMYFUNCTION("""COMPUTED_VALUE"""),2020)</f>
        <v>2020</v>
      </c>
      <c r="E4217" s="10" t="str">
        <f ca="1">IFERROR(__xludf.DUMMYFUNCTION("""COMPUTED_VALUE"""),"Библиотеки-четене-комуникации: 18. национална научна конференция с международно участие, Велико Търново, 2020, с.226-233. ISSN 1313-8138")</f>
        <v>Библиотеки-четене-комуникации: 18. национална научна конференция с международно участие, Велико Търново, 2020, с.226-233. ISSN 1313-8138</v>
      </c>
      <c r="F4217" s="10" t="str">
        <f ca="1">IFERROR(__xludf.DUMMYFUNCTION("""COMPUTED_VALUE"""),"COBISS, Google Scholar")</f>
        <v>COBISS, Google Scholar</v>
      </c>
      <c r="G4217" s="10"/>
      <c r="H4217" s="10"/>
      <c r="I4217" s="10"/>
      <c r="J4217" s="10"/>
      <c r="K4217" s="10"/>
      <c r="L4217" s="10"/>
      <c r="M4217" s="10"/>
      <c r="N4217" s="10"/>
      <c r="O4217" s="10"/>
      <c r="P4217" s="10"/>
      <c r="Q4217" s="10"/>
      <c r="R4217" s="10"/>
      <c r="S4217" s="10"/>
      <c r="T4217" s="10"/>
      <c r="U4217" s="10"/>
      <c r="V4217" s="10"/>
      <c r="W4217" s="10"/>
      <c r="X4217" s="10"/>
      <c r="Y4217" s="10"/>
      <c r="Z4217" s="10"/>
    </row>
    <row r="4218" spans="1:26" ht="12.75">
      <c r="A4218" s="10" t="str">
        <f ca="1">IFERROR(__xludf.DUMMYFUNCTION("""COMPUTED_VALUE"""),"Искра Петрова Цветанска - Цекова")</f>
        <v>Искра Петрова Цветанска - Цекова</v>
      </c>
      <c r="B4218" s="10" t="str">
        <f ca="1">IFERROR(__xludf.DUMMYFUNCTION("""COMPUTED_VALUE"""),"Статия в списания и поредици")</f>
        <v>Статия в списания и поредици</v>
      </c>
      <c r="C4218" s="10" t="str">
        <f ca="1">IFERROR(__xludf.DUMMYFUNCTION("""COMPUTED_VALUE"""),"Консервация и реставрация на писмено културно наследство. Еволюция на техниките и стратегиите.")</f>
        <v>Консервация и реставрация на писмено културно наследство. Еволюция на техниките и стратегиите.</v>
      </c>
      <c r="D4218" s="10">
        <f ca="1">IFERROR(__xludf.DUMMYFUNCTION("""COMPUTED_VALUE"""),2019)</f>
        <v>2019</v>
      </c>
      <c r="E4218" s="10" t="str">
        <f ca="1">IFERROR(__xludf.DUMMYFUNCTION("""COMPUTED_VALUE"""),"VII-ма научна конференция с международно участие „ Съвременни технологии в културно-историческото наследство рамките на „ Дни на науката – 2019“, 10 - 12.10.2019 г. гр. София.")</f>
        <v>VII-ма научна конференция с международно участие „ Съвременни технологии в културно-историческото наследство рамките на „ Дни на науката – 2019“, 10 - 12.10.2019 г. гр. София.</v>
      </c>
      <c r="F4218" s="10"/>
      <c r="G4218" s="10"/>
      <c r="H4218" s="10"/>
      <c r="I4218" s="10"/>
      <c r="J4218" s="10"/>
      <c r="K4218" s="10"/>
      <c r="L4218" s="10"/>
      <c r="M4218" s="10"/>
      <c r="N4218" s="10"/>
      <c r="O4218" s="10"/>
      <c r="P4218" s="10"/>
      <c r="Q4218" s="10"/>
      <c r="R4218" s="10"/>
      <c r="S4218" s="10"/>
      <c r="T4218" s="10"/>
      <c r="U4218" s="10"/>
      <c r="V4218" s="10"/>
      <c r="W4218" s="10"/>
      <c r="X4218" s="10"/>
      <c r="Y4218" s="10"/>
      <c r="Z4218" s="10"/>
    </row>
    <row r="4219" spans="1:26" ht="12.75">
      <c r="A4219" s="10" t="str">
        <f ca="1">IFERROR(__xludf.DUMMYFUNCTION("""COMPUTED_VALUE"""),"Искра Петрова Цветанска - Цекова")</f>
        <v>Искра Петрова Цветанска - Цекова</v>
      </c>
      <c r="B4219" s="10" t="str">
        <f ca="1">IFERROR(__xludf.DUMMYFUNCTION("""COMPUTED_VALUE"""),"Доклад от конференция")</f>
        <v>Доклад от конференция</v>
      </c>
      <c r="C4219" s="10" t="str">
        <f ca="1">IFERROR(__xludf.DUMMYFUNCTION("""COMPUTED_VALUE"""),"Деацидификацията-обещаваща стратегия за опазване на хартиени колекции")</f>
        <v>Деацидификацията-обещаваща стратегия за опазване на хартиени колекции</v>
      </c>
      <c r="D4219" s="10">
        <f ca="1">IFERROR(__xludf.DUMMYFUNCTION("""COMPUTED_VALUE"""),2019)</f>
        <v>2019</v>
      </c>
      <c r="E4219" s="10" t="str">
        <f ca="1">IFERROR(__xludf.DUMMYFUNCTION("""COMPUTED_VALUE"""),"Сборник доклади Нац. конференция на ББИА, с.111-116 ISBN 978-954-9837-33-9")</f>
        <v>Сборник доклади Нац. конференция на ББИА, с.111-116 ISBN 978-954-9837-33-9</v>
      </c>
      <c r="F4219" s="10"/>
      <c r="G4219" s="10"/>
      <c r="H4219" s="10"/>
      <c r="I4219" s="10"/>
      <c r="J4219" s="10"/>
      <c r="K4219" s="10"/>
      <c r="L4219" s="10"/>
      <c r="M4219" s="10"/>
      <c r="N4219" s="10"/>
      <c r="O4219" s="10"/>
      <c r="P4219" s="10"/>
      <c r="Q4219" s="10"/>
      <c r="R4219" s="10"/>
      <c r="S4219" s="10"/>
      <c r="T4219" s="10"/>
      <c r="U4219" s="10"/>
      <c r="V4219" s="10"/>
      <c r="W4219" s="10"/>
      <c r="X4219" s="10"/>
      <c r="Y4219" s="10"/>
      <c r="Z4219" s="10"/>
    </row>
    <row r="4220" spans="1:26" ht="12.75">
      <c r="A4220" s="10" t="str">
        <f ca="1">IFERROR(__xludf.DUMMYFUNCTION("""COMPUTED_VALUE"""),"Искра Петрова Цветанска - Цекова")</f>
        <v>Искра Петрова Цветанска - Цекова</v>
      </c>
      <c r="B4220" s="10" t="str">
        <f ca="1">IFERROR(__xludf.DUMMYFUNCTION("""COMPUTED_VALUE"""),"Доклад от конференция")</f>
        <v>Доклад от конференция</v>
      </c>
      <c r="C4220" s="10" t="str">
        <f ca="1">IFERROR(__xludf.DUMMYFUNCTION("""COMPUTED_VALUE"""),"Екологични насоки за съхранение на хартиени колекции")</f>
        <v>Екологични насоки за съхранение на хартиени колекции</v>
      </c>
      <c r="D4220" s="10">
        <f ca="1">IFERROR(__xludf.DUMMYFUNCTION("""COMPUTED_VALUE"""),2019)</f>
        <v>2019</v>
      </c>
      <c r="E4220" s="10" t="str">
        <f ca="1">IFERROR(__xludf.DUMMYFUNCTION("""COMPUTED_VALUE"""),"Сборник доклади от нац. научна конференция РБ "" Никола Фурнаджиев "" Пазарджик. с. 22-28. 
 ISBN 978-619-91276--2-9")</f>
        <v>Сборник доклади от нац. научна конференция РБ " Никола Фурнаджиев " Пазарджик. с. 22-28. 
 ISBN 978-619-91276--2-9</v>
      </c>
      <c r="F4220" s="10"/>
      <c r="G4220" s="10"/>
      <c r="H4220" s="10"/>
      <c r="I4220" s="10"/>
      <c r="J4220" s="10"/>
      <c r="K4220" s="10"/>
      <c r="L4220" s="10"/>
      <c r="M4220" s="10"/>
      <c r="N4220" s="10"/>
      <c r="O4220" s="10"/>
      <c r="P4220" s="10"/>
      <c r="Q4220" s="10"/>
      <c r="R4220" s="10"/>
      <c r="S4220" s="10"/>
      <c r="T4220" s="10"/>
      <c r="U4220" s="10"/>
      <c r="V4220" s="10"/>
      <c r="W4220" s="10"/>
      <c r="X4220" s="10"/>
      <c r="Y4220" s="10"/>
      <c r="Z4220" s="10"/>
    </row>
    <row r="4221" spans="1:26" ht="12.75">
      <c r="A4221" s="10" t="str">
        <f ca="1">IFERROR(__xludf.DUMMYFUNCTION("""COMPUTED_VALUE"""),"Искра Петрова Цветанска - Цекова")</f>
        <v>Искра Петрова Цветанска - Цекова</v>
      </c>
      <c r="B4221" s="10" t="str">
        <f ca="1">IFERROR(__xludf.DUMMYFUNCTION("""COMPUTED_VALUE"""),"Доклад от конференция")</f>
        <v>Доклад от конференция</v>
      </c>
      <c r="C4221" s="10" t="str">
        <f ca="1">IFERROR(__xludf.DUMMYFUNCTION("""COMPUTED_VALUE"""),"Консервация и реставрация на писмено наследство")</f>
        <v>Консервация и реставрация на писмено наследство</v>
      </c>
      <c r="D4221" s="10">
        <f ca="1">IFERROR(__xludf.DUMMYFUNCTION("""COMPUTED_VALUE"""),2019)</f>
        <v>2019</v>
      </c>
      <c r="E4221" s="10" t="str">
        <f ca="1">IFERROR(__xludf.DUMMYFUNCTION("""COMPUTED_VALUE"""),"ОБЩЕСТВОТО на знанието и хуманизмът на XXI век – София: За буквите - О писменехь, 2019, с. 1085. ISSN 2683-0094")</f>
        <v>ОБЩЕСТВОТО на знанието и хуманизмът на XXI век – София: За буквите - О писменехь, 2019, с. 1085. ISSN 2683-0094</v>
      </c>
      <c r="F4221" s="10" t="str">
        <f ca="1">IFERROR(__xludf.DUMMYFUNCTION("""COMPUTED_VALUE"""),"COBISS, Google Scholar")</f>
        <v>COBISS, Google Scholar</v>
      </c>
      <c r="G4221" s="10"/>
      <c r="H4221" s="10"/>
      <c r="I4221" s="10"/>
      <c r="J4221" s="10"/>
      <c r="K4221" s="10"/>
      <c r="L4221" s="10"/>
      <c r="M4221" s="10"/>
      <c r="N4221" s="10"/>
      <c r="O4221" s="10"/>
      <c r="P4221" s="10"/>
      <c r="Q4221" s="10"/>
      <c r="R4221" s="10"/>
      <c r="S4221" s="10"/>
      <c r="T4221" s="10"/>
      <c r="U4221" s="10"/>
      <c r="V4221" s="10"/>
      <c r="W4221" s="10"/>
      <c r="X4221" s="10"/>
      <c r="Y4221" s="10"/>
      <c r="Z4221" s="10"/>
    </row>
    <row r="4222" spans="1:26" ht="12.75">
      <c r="A4222" s="10" t="str">
        <f ca="1">IFERROR(__xludf.DUMMYFUNCTION("""COMPUTED_VALUE"""),"Искра Петрова Цветанска - Цекова")</f>
        <v>Искра Петрова Цветанска - Цекова</v>
      </c>
      <c r="B4222" s="10" t="str">
        <f ca="1">IFERROR(__xludf.DUMMYFUNCTION("""COMPUTED_VALUE"""),"Доклад от конференция")</f>
        <v>Доклад от конференция</v>
      </c>
      <c r="C4222" s="10" t="str">
        <f ca="1">IFERROR(__xludf.DUMMYFUNCTION("""COMPUTED_VALUE"""),"Contemporary environmental approaches to the training in the conservation and restoration of documentary cultural heritage")</f>
        <v>Contemporary environmental approaches to the training in the conservation and restoration of documentary cultural heritage</v>
      </c>
      <c r="D4222" s="10">
        <f ca="1">IFERROR(__xludf.DUMMYFUNCTION("""COMPUTED_VALUE"""),2019)</f>
        <v>2019</v>
      </c>
      <c r="E4222" s="10" t="str">
        <f ca="1">IFERROR(__xludf.DUMMYFUNCTION("""COMPUTED_VALUE"""),"Contemporary environmental approaches to the training in the conservation and restoration of documentary cultural heritage. XXIII - International Scientific Conference “Knowledge in practice”, 12-15 December, 2019, Bansko,
 Bulgaria. International journal"&amp;" “Knowledge” Vol.35.6 – 2019, pp. 2071-2074. ISSN 2545-4439 (for printed version) ISSN 1857-923X (for e-version).")</f>
        <v>Contemporary environmental approaches to the training in the conservation and restoration of documentary cultural heritage. XXIII - International Scientific Conference “Knowledge in practice”, 12-15 December, 2019, Bansko,
 Bulgaria. International journal “Knowledge” Vol.35.6 – 2019, pp. 2071-2074. ISSN 2545-4439 (for printed version) ISSN 1857-923X (for e-version).</v>
      </c>
      <c r="F4222" s="10" t="str">
        <f ca="1">IFERROR(__xludf.DUMMYFUNCTION("""COMPUTED_VALUE"""),"COBISS, Google Scholar")</f>
        <v>COBISS, Google Scholar</v>
      </c>
      <c r="G4222" s="10" t="str">
        <f ca="1">IFERROR(__xludf.DUMMYFUNCTION("""COMPUTED_VALUE"""),"Ivanka Yankova")</f>
        <v>Ivanka Yankova</v>
      </c>
      <c r="H4222" s="10"/>
      <c r="I4222" s="10"/>
      <c r="J4222" s="10"/>
      <c r="K4222" s="10"/>
      <c r="L4222" s="10"/>
      <c r="M4222" s="10"/>
      <c r="N4222" s="10"/>
      <c r="O4222" s="10"/>
      <c r="P4222" s="10"/>
      <c r="Q4222" s="10"/>
      <c r="R4222" s="10"/>
      <c r="S4222" s="10"/>
      <c r="T4222" s="10"/>
      <c r="U4222" s="10"/>
      <c r="V4222" s="10"/>
      <c r="W4222" s="10"/>
      <c r="X4222" s="10"/>
      <c r="Y4222" s="10"/>
      <c r="Z4222" s="10"/>
    </row>
    <row r="4223" spans="1:26" ht="12.75">
      <c r="A4223" s="10" t="str">
        <f ca="1">IFERROR(__xludf.DUMMYFUNCTION("""COMPUTED_VALUE"""),"Искра Петрова Цветанска - Цекова")</f>
        <v>Искра Петрова Цветанска - Цекова</v>
      </c>
      <c r="B4223" s="10" t="str">
        <f ca="1">IFERROR(__xludf.DUMMYFUNCTION("""COMPUTED_VALUE"""),"Статия в списания и поредици")</f>
        <v>Статия в списания и поредици</v>
      </c>
      <c r="C4223" s="10" t="str">
        <f ca="1">IFERROR(__xludf.DUMMYFUNCTION("""COMPUTED_VALUE"""),"New Methods of Protection during the Conservation of Books")</f>
        <v>New Methods of Protection during the Conservation of Books</v>
      </c>
      <c r="D4223" s="10">
        <f ca="1">IFERROR(__xludf.DUMMYFUNCTION("""COMPUTED_VALUE"""),2017)</f>
        <v>2017</v>
      </c>
      <c r="E4223" s="10" t="str">
        <f ca="1">IFERROR(__xludf.DUMMYFUNCTION("""COMPUTED_VALUE"""),"Bulgarian Chemical communications, том 49, 2017")</f>
        <v>Bulgarian Chemical communications, том 49, 2017</v>
      </c>
      <c r="F4223" s="10" t="str">
        <f ca="1">IFERROR(__xludf.DUMMYFUNCTION("""COMPUTED_VALUE"""),"Chemistry Science and Technology for Better Life, 9-th National Conf., 29.09 - 01.10.2016")</f>
        <v>Chemistry Science and Technology for Better Life, 9-th National Conf., 29.09 - 01.10.2016</v>
      </c>
      <c r="G4223" s="10" t="str">
        <f ca="1">IFERROR(__xludf.DUMMYFUNCTION("""COMPUTED_VALUE"""),"Веска Лашева")</f>
        <v>Веска Лашева</v>
      </c>
      <c r="H4223" s="10"/>
      <c r="I4223" s="10"/>
      <c r="J4223" s="10"/>
      <c r="K4223" s="10"/>
      <c r="L4223" s="10"/>
      <c r="M4223" s="10"/>
      <c r="N4223" s="10"/>
      <c r="O4223" s="10"/>
      <c r="P4223" s="10"/>
      <c r="Q4223" s="10"/>
      <c r="R4223" s="10"/>
      <c r="S4223" s="10"/>
      <c r="T4223" s="10"/>
      <c r="U4223" s="10"/>
      <c r="V4223" s="10"/>
      <c r="W4223" s="10"/>
      <c r="X4223" s="10"/>
      <c r="Y4223" s="10"/>
      <c r="Z4223" s="10"/>
    </row>
    <row r="4224" spans="1:26" ht="12.75">
      <c r="A4224" s="10" t="str">
        <f ca="1">IFERROR(__xludf.DUMMYFUNCTION("""COMPUTED_VALUE"""),"Искра Петрова Цветанска - Цекова")</f>
        <v>Искра Петрова Цветанска - Цекова</v>
      </c>
      <c r="B4224" s="10" t="str">
        <f ca="1">IFERROR(__xludf.DUMMYFUNCTION("""COMPUTED_VALUE"""),"Статия в списания и поредици")</f>
        <v>Статия в списания и поредици</v>
      </c>
      <c r="C4224" s="10" t="str">
        <f ca="1">IFERROR(__xludf.DUMMYFUNCTION("""COMPUTED_VALUE"""),"Опазване на документалното наследство в институциите на паметта")</f>
        <v>Опазване на документалното наследство в институциите на паметта</v>
      </c>
      <c r="D4224" s="10">
        <f ca="1">IFERROR(__xludf.DUMMYFUNCTION("""COMPUTED_VALUE"""),2017)</f>
        <v>2017</v>
      </c>
      <c r="E4224" s="10" t="str">
        <f ca="1">IFERROR(__xludf.DUMMYFUNCTION("""COMPUTED_VALUE"""),"сп. Библиотека, бр.4, 2017")</f>
        <v>сп. Библиотека, бр.4, 2017</v>
      </c>
      <c r="F4224" s="10"/>
      <c r="G4224" s="10" t="str">
        <f ca="1">IFERROR(__xludf.DUMMYFUNCTION("""COMPUTED_VALUE"""),"Красимира Александрова")</f>
        <v>Красимира Александрова</v>
      </c>
      <c r="H4224" s="10"/>
      <c r="I4224" s="10"/>
      <c r="J4224" s="10"/>
      <c r="K4224" s="10"/>
      <c r="L4224" s="10"/>
      <c r="M4224" s="10"/>
      <c r="N4224" s="10"/>
      <c r="O4224" s="10"/>
      <c r="P4224" s="10"/>
      <c r="Q4224" s="10"/>
      <c r="R4224" s="10"/>
      <c r="S4224" s="10"/>
      <c r="T4224" s="10"/>
      <c r="U4224" s="10"/>
      <c r="V4224" s="10"/>
      <c r="W4224" s="10"/>
      <c r="X4224" s="10"/>
      <c r="Y4224" s="10"/>
      <c r="Z4224" s="10"/>
    </row>
    <row r="4225" spans="1:26" ht="12.75">
      <c r="A4225" s="10" t="str">
        <f ca="1">IFERROR(__xludf.DUMMYFUNCTION("""COMPUTED_VALUE"""),"Искра Петрова Цветанска - Цекова")</f>
        <v>Искра Петрова Цветанска - Цекова</v>
      </c>
      <c r="B4225" s="10" t="str">
        <f ca="1">IFERROR(__xludf.DUMMYFUNCTION("""COMPUTED_VALUE"""),"Доклад от конференция")</f>
        <v>Доклад от конференция</v>
      </c>
      <c r="C4225" s="10" t="str">
        <f ca="1">IFERROR(__xludf.DUMMYFUNCTION("""COMPUTED_VALUE"""),"Иновативни подходи и добри практики в сферата на опазване и съхраняване на документалното наследство чрез прилагане на метода „Аноксия“ в България.")</f>
        <v>Иновативни подходи и добри практики в сферата на опазване и съхраняване на документалното наследство чрез прилагане на метода „Аноксия“ в България.</v>
      </c>
      <c r="D4225" s="10">
        <f ca="1">IFERROR(__xludf.DUMMYFUNCTION("""COMPUTED_VALUE"""),2016)</f>
        <v>2016</v>
      </c>
      <c r="E4225" s="10" t="str">
        <f ca="1">IFERROR(__xludf.DUMMYFUNCTION("""COMPUTED_VALUE"""),"Дигиталната конверсия на книжовното и културно- историческо наследство: XV нац. науч. конф. с междунар. уч., В. Търново, 17-18 ноем., 2016. Велико Търново: ISSN:1313-8138 стр.394-406")</f>
        <v>Дигиталната конверсия на книжовното и културно- историческо наследство: XV нац. науч. конф. с междунар. уч., В. Търново, 17-18 ноем., 2016. Велико Търново: ISSN:1313-8138 стр.394-406</v>
      </c>
      <c r="F4225" s="10"/>
      <c r="G4225" s="10"/>
      <c r="H4225" s="10"/>
      <c r="I4225" s="10"/>
      <c r="J4225" s="10"/>
      <c r="K4225" s="10"/>
      <c r="L4225" s="10"/>
      <c r="M4225" s="10"/>
      <c r="N4225" s="10"/>
      <c r="O4225" s="10"/>
      <c r="P4225" s="10"/>
      <c r="Q4225" s="10"/>
      <c r="R4225" s="10"/>
      <c r="S4225" s="10"/>
      <c r="T4225" s="10"/>
      <c r="U4225" s="10"/>
      <c r="V4225" s="10"/>
      <c r="W4225" s="10"/>
      <c r="X4225" s="10"/>
      <c r="Y4225" s="10"/>
      <c r="Z4225" s="10"/>
    </row>
    <row r="4226" spans="1:26" ht="12.75">
      <c r="A4226" s="10" t="str">
        <f ca="1">IFERROR(__xludf.DUMMYFUNCTION("""COMPUTED_VALUE"""),"Искра Петрова Цветанска - Цекова")</f>
        <v>Искра Петрова Цветанска - Цекова</v>
      </c>
      <c r="B4226" s="10" t="str">
        <f ca="1">IFERROR(__xludf.DUMMYFUNCTION("""COMPUTED_VALUE"""),"Доклад от конференция")</f>
        <v>Доклад от конференция</v>
      </c>
      <c r="C4226" s="10" t="str">
        <f ca="1">IFERROR(__xludf.DUMMYFUNCTION("""COMPUTED_VALUE"""),"Принос за съхраненото слово на българската народност : Консервация и реставрация на ръкописа „Време разделно“ на Антон Дончев.")</f>
        <v>Принос за съхраненото слово на българската народност : Консервация и реставрация на ръкописа „Време разделно“ на Антон Дончев.</v>
      </c>
      <c r="D4226" s="10">
        <f ca="1">IFERROR(__xludf.DUMMYFUNCTION("""COMPUTED_VALUE"""),2016)</f>
        <v>2016</v>
      </c>
      <c r="E4226" s="10" t="str">
        <f ca="1">IFERROR(__xludf.DUMMYFUNCTION("""COMPUTED_VALUE"""),"София: За буквите – О писменехь, 2016, с. 110- 114")</f>
        <v>София: За буквите – О писменехь, 2016, с. 110- 114</v>
      </c>
      <c r="F4226" s="10"/>
      <c r="G4226" s="10" t="str">
        <f ca="1">IFERROR(__xludf.DUMMYFUNCTION("""COMPUTED_VALUE"""),"Красимира Александрова")</f>
        <v>Красимира Александрова</v>
      </c>
      <c r="H4226" s="10"/>
      <c r="I4226" s="10"/>
      <c r="J4226" s="10"/>
      <c r="K4226" s="10"/>
      <c r="L4226" s="10"/>
      <c r="M4226" s="10"/>
      <c r="N4226" s="10"/>
      <c r="O4226" s="10"/>
      <c r="P4226" s="10"/>
      <c r="Q4226" s="10"/>
      <c r="R4226" s="10"/>
      <c r="S4226" s="10"/>
      <c r="T4226" s="10"/>
      <c r="U4226" s="10"/>
      <c r="V4226" s="10"/>
      <c r="W4226" s="10"/>
      <c r="X4226" s="10"/>
      <c r="Y4226" s="10"/>
      <c r="Z4226" s="10"/>
    </row>
    <row r="4227" spans="1:26" ht="12.75">
      <c r="A4227" s="10" t="str">
        <f ca="1">IFERROR(__xludf.DUMMYFUNCTION("""COMPUTED_VALUE"""),"Искра Петрова Цветанска - Цекова")</f>
        <v>Искра Петрова Цветанска - Цекова</v>
      </c>
      <c r="B4227" s="10" t="str">
        <f ca="1">IFERROR(__xludf.DUMMYFUNCTION("""COMPUTED_VALUE"""),"Доклад от конференция")</f>
        <v>Доклад от конференция</v>
      </c>
      <c r="C4227" s="10" t="str">
        <f ca="1">IFERROR(__xludf.DUMMYFUNCTION("""COMPUTED_VALUE"""),"Опазване и съхранение на документи чрез метода аноксия в НБКМ")</f>
        <v>Опазване и съхранение на документи чрез метода аноксия в НБКМ</v>
      </c>
      <c r="D4227" s="10">
        <f ca="1">IFERROR(__xludf.DUMMYFUNCTION("""COMPUTED_VALUE"""),2016)</f>
        <v>2016</v>
      </c>
      <c r="E4227" s="10" t="str">
        <f ca="1">IFERROR(__xludf.DUMMYFUNCTION("""COMPUTED_VALUE"""),"РБ “Стилиян Чилингиров “ – Шумен, с. 7-15.")</f>
        <v>РБ “Стилиян Чилингиров “ – Шумен, с. 7-15.</v>
      </c>
      <c r="F4227" s="10" t="str">
        <f ca="1">IFERROR(__xludf.DUMMYFUNCTION("""COMPUTED_VALUE"""),"Библиотеката на XXI век – практики, комуникации, ефективност: Нац. конф. с междунар. уч., Шумен, 8-9 септ. 2016 г")</f>
        <v>Библиотеката на XXI век – практики, комуникации, ефективност: Нац. конф. с междунар. уч., Шумен, 8-9 септ. 2016 г</v>
      </c>
      <c r="G4227" s="10" t="str">
        <f ca="1">IFERROR(__xludf.DUMMYFUNCTION("""COMPUTED_VALUE"""),"Красимира Александрова")</f>
        <v>Красимира Александрова</v>
      </c>
      <c r="H4227" s="10"/>
      <c r="I4227" s="10"/>
      <c r="J4227" s="10"/>
      <c r="K4227" s="10"/>
      <c r="L4227" s="10"/>
      <c r="M4227" s="10"/>
      <c r="N4227" s="10"/>
      <c r="O4227" s="10"/>
      <c r="P4227" s="10"/>
      <c r="Q4227" s="10"/>
      <c r="R4227" s="10"/>
      <c r="S4227" s="10"/>
      <c r="T4227" s="10"/>
      <c r="U4227" s="10"/>
      <c r="V4227" s="10"/>
      <c r="W4227" s="10"/>
      <c r="X4227" s="10"/>
      <c r="Y4227" s="10"/>
      <c r="Z4227" s="10"/>
    </row>
    <row r="4228" spans="1:26" ht="12.75">
      <c r="A4228" s="10" t="str">
        <f ca="1">IFERROR(__xludf.DUMMYFUNCTION("""COMPUTED_VALUE"""),"Искра Петрова Цветанска - Цекова")</f>
        <v>Искра Петрова Цветанска - Цекова</v>
      </c>
      <c r="B4228" s="10" t="str">
        <f ca="1">IFERROR(__xludf.DUMMYFUNCTION("""COMPUTED_VALUE"""),"Доклад от конференция")</f>
        <v>Доклад от конференция</v>
      </c>
      <c r="C4228" s="10" t="str">
        <f ca="1">IFERROR(__xludf.DUMMYFUNCTION("""COMPUTED_VALUE"""),"Съхраненото слово на Левски – иновационен подход.")</f>
        <v>Съхраненото слово на Левски – иновационен подход.</v>
      </c>
      <c r="D4228" s="10">
        <f ca="1">IFERROR(__xludf.DUMMYFUNCTION("""COMPUTED_VALUE"""),2016)</f>
        <v>2016</v>
      </c>
      <c r="E4228" s="10" t="str">
        <f ca="1">IFERROR(__xludf.DUMMYFUNCTION("""COMPUTED_VALUE"""),"РБ „ Любен Каравелов“ Русе стр. 138-142")</f>
        <v>РБ „ Любен Каравелов“ Русе стр. 138-142</v>
      </c>
      <c r="F4228" s="10" t="str">
        <f ca="1">IFERROR(__xludf.DUMMYFUNCTION("""COMPUTED_VALUE"""),"Международна научна конференция – Русе 25-26 април 2017, РБ „ Любен Каравелов“ – Русе, Свободата вчера, свободата днес, свободата утре – на върха на копието ли е?")</f>
        <v>Международна научна конференция – Русе 25-26 април 2017, РБ „ Любен Каравелов“ – Русе, Свободата вчера, свободата днес, свободата утре – на върха на копието ли е?</v>
      </c>
      <c r="G4228" s="10"/>
      <c r="H4228" s="10"/>
      <c r="I4228" s="10"/>
      <c r="J4228" s="10"/>
      <c r="K4228" s="10"/>
      <c r="L4228" s="10"/>
      <c r="M4228" s="10"/>
      <c r="N4228" s="10"/>
      <c r="O4228" s="10"/>
      <c r="P4228" s="10"/>
      <c r="Q4228" s="10"/>
      <c r="R4228" s="10"/>
      <c r="S4228" s="10"/>
      <c r="T4228" s="10"/>
      <c r="U4228" s="10"/>
      <c r="V4228" s="10"/>
      <c r="W4228" s="10"/>
      <c r="X4228" s="10"/>
      <c r="Y4228" s="10"/>
      <c r="Z4228" s="10"/>
    </row>
    <row r="4229" spans="1:26" ht="12.75">
      <c r="A4229" s="10" t="str">
        <f ca="1">IFERROR(__xludf.DUMMYFUNCTION("""COMPUTED_VALUE"""),"Калин Цветанов Стоев")</f>
        <v>Калин Цветанов Стоев</v>
      </c>
      <c r="B4229" s="10" t="str">
        <f ca="1">IFERROR(__xludf.DUMMYFUNCTION("""COMPUTED_VALUE"""),"Статия в списания и поредици")</f>
        <v>Статия в списания и поредици</v>
      </c>
      <c r="C4229" s="10" t="str">
        <f ca="1">IFERROR(__xludf.DUMMYFUNCTION("""COMPUTED_VALUE"""),"Der Kommandant des Captor Decebali: Ein Offizier aus Ateste in einer neuen Inschrift aus Ratiaria")</f>
        <v>Der Kommandant des Captor Decebali: Ein Offizier aus Ateste in einer neuen Inschrift aus Ratiaria</v>
      </c>
      <c r="D4229" s="10">
        <f ca="1">IFERROR(__xludf.DUMMYFUNCTION("""COMPUTED_VALUE"""),2019)</f>
        <v>2019</v>
      </c>
      <c r="E4229" s="10" t="str">
        <f ca="1">IFERROR(__xludf.DUMMYFUNCTION("""COMPUTED_VALUE"""),"Zeitschrift für Papyrologie und Epigraphik 210 (2019) 267–270, ISSN 00845388")</f>
        <v>Zeitschrift für Papyrologie und Epigraphik 210 (2019) 267–270, ISSN 00845388</v>
      </c>
      <c r="F4229" s="10" t="str">
        <f ca="1">IFERROR(__xludf.DUMMYFUNCTION("""COMPUTED_VALUE"""),"Web of Science")</f>
        <v>Web of Science</v>
      </c>
      <c r="G4229" s="10" t="str">
        <f ca="1">IFERROR(__xludf.DUMMYFUNCTION("""COMPUTED_VALUE"""),"Ivo Topalilov")</f>
        <v>Ivo Topalilov</v>
      </c>
      <c r="H4229" s="10"/>
      <c r="I4229" s="10"/>
      <c r="J4229" s="10"/>
      <c r="K4229" s="10"/>
      <c r="L4229" s="10"/>
      <c r="M4229" s="10"/>
      <c r="N4229" s="10"/>
      <c r="O4229" s="10"/>
      <c r="P4229" s="10"/>
      <c r="Q4229" s="10"/>
      <c r="R4229" s="10"/>
      <c r="S4229" s="10"/>
      <c r="T4229" s="10"/>
      <c r="U4229" s="10"/>
      <c r="V4229" s="10"/>
      <c r="W4229" s="10"/>
      <c r="X4229" s="10"/>
      <c r="Y4229" s="10"/>
      <c r="Z4229" s="10"/>
    </row>
    <row r="4230" spans="1:26" ht="12.75">
      <c r="A4230" s="10" t="str">
        <f ca="1">IFERROR(__xludf.DUMMYFUNCTION("""COMPUTED_VALUE"""),"Калин Цветанов Стоев")</f>
        <v>Калин Цветанов Стоев</v>
      </c>
      <c r="B4230" s="10" t="str">
        <f ca="1">IFERROR(__xludf.DUMMYFUNCTION("""COMPUTED_VALUE"""),"Доклад от конференция")</f>
        <v>Доклад от конференция</v>
      </c>
      <c r="C4230" s="10" t="str">
        <f ca="1">IFERROR(__xludf.DUMMYFUNCTION("""COMPUTED_VALUE"""),"Към епиграфското наследство на римския Дуросторум: непубликувани латински надписи от фонда на РИМ-Силистра.")</f>
        <v>Към епиграфското наследство на римския Дуросторум: непубликувани латински надписи от фонда на РИМ-Силистра.</v>
      </c>
      <c r="D4230" s="10">
        <f ca="1">IFERROR(__xludf.DUMMYFUNCTION("""COMPUTED_VALUE"""),2019)</f>
        <v>2019</v>
      </c>
      <c r="E4230" s="10" t="str">
        <f ca="1">IFERROR(__xludf.DUMMYFUNCTION("""COMPUTED_VALUE"""),"Обществото на знанието и хуманизмът на 21 в. Сборник с доклади от 16-та национална научна конференция с международно участие. София, 2019, 380-389.
  ISSN: 1314-7099")</f>
        <v>Обществото на знанието и хуманизмът на 21 в. Сборник с доклади от 16-та национална научна конференция с международно участие. София, 2019, 380-389.
  ISSN: 1314-7099</v>
      </c>
      <c r="F4230" s="10"/>
      <c r="G4230" s="10" t="str">
        <f ca="1">IFERROR(__xludf.DUMMYFUNCTION("""COMPUTED_VALUE"""),"Светлана Ганчева")</f>
        <v>Светлана Ганчева</v>
      </c>
      <c r="H4230" s="10"/>
      <c r="I4230" s="10"/>
      <c r="J4230" s="10"/>
      <c r="K4230" s="10"/>
      <c r="L4230" s="10"/>
      <c r="M4230" s="10"/>
      <c r="N4230" s="10"/>
      <c r="O4230" s="10"/>
      <c r="P4230" s="10"/>
      <c r="Q4230" s="10"/>
      <c r="R4230" s="10"/>
      <c r="S4230" s="10"/>
      <c r="T4230" s="10"/>
      <c r="U4230" s="10"/>
      <c r="V4230" s="10"/>
      <c r="W4230" s="10"/>
      <c r="X4230" s="10"/>
      <c r="Y4230" s="10"/>
      <c r="Z4230" s="10"/>
    </row>
    <row r="4231" spans="1:26" ht="12.75">
      <c r="A4231" s="10" t="str">
        <f ca="1">IFERROR(__xludf.DUMMYFUNCTION("""COMPUTED_VALUE"""),"Калин Цветанов Стоев")</f>
        <v>Калин Цветанов Стоев</v>
      </c>
      <c r="B4231" s="10" t="str">
        <f ca="1">IFERROR(__xludf.DUMMYFUNCTION("""COMPUTED_VALUE"""),"Учебник")</f>
        <v>Учебник</v>
      </c>
      <c r="C4231" s="10" t="str">
        <f ca="1">IFERROR(__xludf.DUMMYFUNCTION("""COMPUTED_VALUE"""),"„Българските земи в Древността под римска политическа власт” (I – III в.)”")</f>
        <v>„Българските земи в Древността под римска политическа власт” (I – III в.)”</v>
      </c>
      <c r="D4231" s="10">
        <f ca="1">IFERROR(__xludf.DUMMYFUNCTION("""COMPUTED_VALUE"""),2019)</f>
        <v>2019</v>
      </c>
      <c r="E4231" s="10" t="str">
        <f ca="1">IFERROR(__xludf.DUMMYFUNCTION("""COMPUTED_VALUE"""),"София, 2019, 978-954-92809-0-6")</f>
        <v>София, 2019, 978-954-92809-0-6</v>
      </c>
      <c r="F4231" s="10"/>
      <c r="G4231" s="10"/>
      <c r="H4231" s="10"/>
      <c r="I4231" s="10"/>
      <c r="J4231" s="10"/>
      <c r="K4231" s="10"/>
      <c r="L4231" s="10"/>
      <c r="M4231" s="10"/>
      <c r="N4231" s="10"/>
      <c r="O4231" s="10"/>
      <c r="P4231" s="10"/>
      <c r="Q4231" s="10"/>
      <c r="R4231" s="10"/>
      <c r="S4231" s="10"/>
      <c r="T4231" s="10"/>
      <c r="U4231" s="10"/>
      <c r="V4231" s="10"/>
      <c r="W4231" s="10"/>
      <c r="X4231" s="10"/>
      <c r="Y4231" s="10"/>
      <c r="Z4231" s="10"/>
    </row>
    <row r="4232" spans="1:26" ht="12.75">
      <c r="A4232" s="10" t="str">
        <f ca="1">IFERROR(__xludf.DUMMYFUNCTION("""COMPUTED_VALUE"""),"Калин Цветанов Стоев")</f>
        <v>Калин Цветанов Стоев</v>
      </c>
      <c r="B4232" s="10" t="str">
        <f ca="1">IFERROR(__xludf.DUMMYFUNCTION("""COMPUTED_VALUE"""),"Статия в списания и поредици")</f>
        <v>Статия в списания и поредици</v>
      </c>
      <c r="C4232" s="10" t="str">
        <f ca="1">IFERROR(__xludf.DUMMYFUNCTION("""COMPUTED_VALUE"""),"Deus Aeternus и император Филип Араб в два латински посветителни надписа")</f>
        <v>Deus Aeternus и император Филип Араб в два латински посветителни надписа</v>
      </c>
      <c r="D4232" s="10">
        <f ca="1">IFERROR(__xludf.DUMMYFUNCTION("""COMPUTED_VALUE"""),2019)</f>
        <v>2019</v>
      </c>
      <c r="E4232" s="10" t="str">
        <f ca="1">IFERROR(__xludf.DUMMYFUNCTION("""COMPUTED_VALUE"""),"Добруджа, 33, 2019, ISSN 0205-2210, 169-177.")</f>
        <v>Добруджа, 33, 2019, ISSN 0205-2210, 169-177.</v>
      </c>
      <c r="F4232" s="10"/>
      <c r="G4232" s="10"/>
      <c r="H4232" s="10"/>
      <c r="I4232" s="10"/>
      <c r="J4232" s="10"/>
      <c r="K4232" s="10"/>
      <c r="L4232" s="10"/>
      <c r="M4232" s="10"/>
      <c r="N4232" s="10"/>
      <c r="O4232" s="10"/>
      <c r="P4232" s="10"/>
      <c r="Q4232" s="10"/>
      <c r="R4232" s="10"/>
      <c r="S4232" s="10"/>
      <c r="T4232" s="10"/>
      <c r="U4232" s="10"/>
      <c r="V4232" s="10"/>
      <c r="W4232" s="10"/>
      <c r="X4232" s="10"/>
      <c r="Y4232" s="10"/>
      <c r="Z4232" s="10"/>
    </row>
    <row r="4233" spans="1:26" ht="12.75">
      <c r="A4233" s="10" t="str">
        <f ca="1">IFERROR(__xludf.DUMMYFUNCTION("""COMPUTED_VALUE"""),"Калин Цветанов Стоев")</f>
        <v>Калин Цветанов Стоев</v>
      </c>
      <c r="B4233" s="10" t="str">
        <f ca="1">IFERROR(__xludf.DUMMYFUNCTION("""COMPUTED_VALUE"""),"Доклад от конференция")</f>
        <v>Доклад от конференция</v>
      </c>
      <c r="C4233" s="10" t="str">
        <f ca="1">IFERROR(__xludf.DUMMYFUNCTION("""COMPUTED_VALUE"""),"Епиграфските паметници на римските колонии Рациария и Ескус в контекста на културно-историческото наследство")</f>
        <v>Епиграфските паметници на римските колонии Рациария и Ескус в контекста на културно-историческото наследство</v>
      </c>
      <c r="D4233" s="10">
        <f ca="1">IFERROR(__xludf.DUMMYFUNCTION("""COMPUTED_VALUE"""),2019)</f>
        <v>2019</v>
      </c>
      <c r="E4233" s="10" t="str">
        <f ca="1">IFERROR(__xludf.DUMMYFUNCTION("""COMPUTED_VALUE"""),"Обществото на знанието и хуманизмът на 21 в. Сборник с доклади от 17-та национална научна конференция с международно участие. София, 2020, с. 259-267.
  ISSN: 1314-7099")</f>
        <v>Обществото на знанието и хуманизмът на 21 в. Сборник с доклади от 17-та национална научна конференция с международно участие. София, 2020, с. 259-267.
  ISSN: 1314-7099</v>
      </c>
      <c r="F4233" s="10"/>
      <c r="G4233" s="10"/>
      <c r="H4233" s="10"/>
      <c r="I4233" s="10"/>
      <c r="J4233" s="10"/>
      <c r="K4233" s="10"/>
      <c r="L4233" s="10"/>
      <c r="M4233" s="10"/>
      <c r="N4233" s="10"/>
      <c r="O4233" s="10"/>
      <c r="P4233" s="10"/>
      <c r="Q4233" s="10"/>
      <c r="R4233" s="10"/>
      <c r="S4233" s="10"/>
      <c r="T4233" s="10"/>
      <c r="U4233" s="10"/>
      <c r="V4233" s="10"/>
      <c r="W4233" s="10"/>
      <c r="X4233" s="10"/>
      <c r="Y4233" s="10"/>
      <c r="Z4233" s="10"/>
    </row>
    <row r="4234" spans="1:26" ht="12.75">
      <c r="A4234" s="10" t="str">
        <f ca="1">IFERROR(__xludf.DUMMYFUNCTION("""COMPUTED_VALUE"""),"Калин Цветанов Стоев")</f>
        <v>Калин Цветанов Стоев</v>
      </c>
      <c r="B4234" s="10" t="str">
        <f ca="1">IFERROR(__xludf.DUMMYFUNCTION("""COMPUTED_VALUE"""),"Статия в списания и поредици")</f>
        <v>Статия в списания и поредици</v>
      </c>
      <c r="C4234" s="10" t="str">
        <f ca="1">IFERROR(__xludf.DUMMYFUNCTION("""COMPUTED_VALUE"""),"Антично селище в м. „Маревото” при с. Бериево, община Севлиево")</f>
        <v>Антично селище в м. „Маревото” при с. Бериево, община Севлиево</v>
      </c>
      <c r="D4234" s="10">
        <f ca="1">IFERROR(__xludf.DUMMYFUNCTION("""COMPUTED_VALUE"""),2019)</f>
        <v>2019</v>
      </c>
      <c r="E4234" s="10" t="str">
        <f ca="1">IFERROR(__xludf.DUMMYFUNCTION("""COMPUTED_VALUE"""),"В: Севлиево и севлиевският край. Арехологически проучвания. Юбилеен сборник по случай четтиридесет години от началото на археологическите разкопки на ранновизантийската и средновековна крепост при гр. Севлиево, 2019, 195-201, ISBN 978-619-7524-09-3")</f>
        <v>В: Севлиево и севлиевският край. Арехологически проучвания. Юбилеен сборник по случай четтиридесет години от началото на археологическите разкопки на ранновизантийската и средновековна крепост при гр. Севлиево, 2019, 195-201, ISBN 978-619-7524-09-3</v>
      </c>
      <c r="F4234" s="10"/>
      <c r="G4234" s="10" t="str">
        <f ca="1">IFERROR(__xludf.DUMMYFUNCTION("""COMPUTED_VALUE"""),"Иван Христов")</f>
        <v>Иван Христов</v>
      </c>
      <c r="H4234" s="10"/>
      <c r="I4234" s="10"/>
      <c r="J4234" s="10"/>
      <c r="K4234" s="10"/>
      <c r="L4234" s="10"/>
      <c r="M4234" s="10"/>
      <c r="N4234" s="10"/>
      <c r="O4234" s="10"/>
      <c r="P4234" s="10"/>
      <c r="Q4234" s="10"/>
      <c r="R4234" s="10"/>
      <c r="S4234" s="10"/>
      <c r="T4234" s="10"/>
      <c r="U4234" s="10"/>
      <c r="V4234" s="10"/>
      <c r="W4234" s="10"/>
      <c r="X4234" s="10"/>
      <c r="Y4234" s="10"/>
      <c r="Z4234" s="10"/>
    </row>
    <row r="4235" spans="1:26" ht="12.75">
      <c r="A4235" s="10" t="str">
        <f ca="1">IFERROR(__xludf.DUMMYFUNCTION("""COMPUTED_VALUE"""),"Калин Цветанов Стоев")</f>
        <v>Калин Цветанов Стоев</v>
      </c>
      <c r="B4235" s="10" t="str">
        <f ca="1">IFERROR(__xludf.DUMMYFUNCTION("""COMPUTED_VALUE"""),"Статия в списания и поредици")</f>
        <v>Статия в списания и поредици</v>
      </c>
      <c r="C4235" s="10" t="str">
        <f ca="1">IFERROR(__xludf.DUMMYFUNCTION("""COMPUTED_VALUE"""),"Domo Heraclea, Fabia tribu. Военни от Хераклея (Синтика?) в легионите и градските войски на Рим")</f>
        <v>Domo Heraclea, Fabia tribu. Военни от Хераклея (Синтика?) в легионите и градските войски на Рим</v>
      </c>
      <c r="D4235" s="10">
        <f ca="1">IFERROR(__xludf.DUMMYFUNCTION("""COMPUTED_VALUE"""),2019)</f>
        <v>2019</v>
      </c>
      <c r="E4235" s="10" t="str">
        <f ca="1">IFERROR(__xludf.DUMMYFUNCTION("""COMPUTED_VALUE"""),"Thracia, XXIV, 2019, 404-417, ISSN 0204-9872")</f>
        <v>Thracia, XXIV, 2019, 404-417, ISSN 0204-9872</v>
      </c>
      <c r="F4235" s="10"/>
      <c r="G4235" s="10"/>
      <c r="H4235" s="10"/>
      <c r="I4235" s="10"/>
      <c r="J4235" s="10"/>
      <c r="K4235" s="10"/>
      <c r="L4235" s="10"/>
      <c r="M4235" s="10"/>
      <c r="N4235" s="10"/>
      <c r="O4235" s="10"/>
      <c r="P4235" s="10"/>
      <c r="Q4235" s="10"/>
      <c r="R4235" s="10"/>
      <c r="S4235" s="10"/>
      <c r="T4235" s="10"/>
      <c r="U4235" s="10"/>
      <c r="V4235" s="10"/>
      <c r="W4235" s="10"/>
      <c r="X4235" s="10"/>
      <c r="Y4235" s="10"/>
      <c r="Z4235" s="10"/>
    </row>
    <row r="4236" spans="1:26" ht="12.75">
      <c r="A4236" s="10" t="str">
        <f ca="1">IFERROR(__xludf.DUMMYFUNCTION("""COMPUTED_VALUE"""),"Калин Цветанов Стоев")</f>
        <v>Калин Цветанов Стоев</v>
      </c>
      <c r="B4236" s="10" t="str">
        <f ca="1">IFERROR(__xludf.DUMMYFUNCTION("""COMPUTED_VALUE"""),"Монография")</f>
        <v>Монография</v>
      </c>
      <c r="C4236" s="10" t="str">
        <f ca="1">IFERROR(__xludf.DUMMYFUNCTION("""COMPUTED_VALUE"""),"Providentia Imperatoris. Биография на император Максимин Тракиеца")</f>
        <v>Providentia Imperatoris. Биография на император Максимин Тракиеца</v>
      </c>
      <c r="D4236" s="10">
        <f ca="1">IFERROR(__xludf.DUMMYFUNCTION("""COMPUTED_VALUE"""),2019)</f>
        <v>2019</v>
      </c>
      <c r="E4236" s="10" t="str">
        <f ca="1">IFERROR(__xludf.DUMMYFUNCTION("""COMPUTED_VALUE"""),"Ямбол, Тендрил, 2019, ISBN 978-954-92809-9-9.")</f>
        <v>Ямбол, Тендрил, 2019, ISBN 978-954-92809-9-9.</v>
      </c>
      <c r="F4236" s="10"/>
      <c r="G4236" s="10"/>
      <c r="H4236" s="10"/>
      <c r="I4236" s="10"/>
      <c r="J4236" s="10"/>
      <c r="K4236" s="10"/>
      <c r="L4236" s="10"/>
      <c r="M4236" s="10"/>
      <c r="N4236" s="10"/>
      <c r="O4236" s="10"/>
      <c r="P4236" s="10"/>
      <c r="Q4236" s="10"/>
      <c r="R4236" s="10"/>
      <c r="S4236" s="10"/>
      <c r="T4236" s="10"/>
      <c r="U4236" s="10"/>
      <c r="V4236" s="10"/>
      <c r="W4236" s="10"/>
      <c r="X4236" s="10"/>
      <c r="Y4236" s="10"/>
      <c r="Z4236" s="10"/>
    </row>
    <row r="4237" spans="1:26" ht="12.75">
      <c r="A4237" s="10" t="str">
        <f ca="1">IFERROR(__xludf.DUMMYFUNCTION("""COMPUTED_VALUE"""),"Калин Цветанов Стоев")</f>
        <v>Калин Цветанов Стоев</v>
      </c>
      <c r="B4237" s="10" t="str">
        <f ca="1">IFERROR(__xludf.DUMMYFUNCTION("""COMPUTED_VALUE"""),"Монография")</f>
        <v>Монография</v>
      </c>
      <c r="C4237" s="10" t="str">
        <f ca="1">IFERROR(__xludf.DUMMYFUNCTION("""COMPUTED_VALUE"""),"„Providentia Caesaris. Биография на император Максимин Тракиеца”")</f>
        <v>„Providentia Caesaris. Биография на император Максимин Тракиеца”</v>
      </c>
      <c r="D4237" s="10">
        <f ca="1">IFERROR(__xludf.DUMMYFUNCTION("""COMPUTED_VALUE"""),2019)</f>
        <v>2019</v>
      </c>
      <c r="E4237" s="10" t="str">
        <f ca="1">IFERROR(__xludf.DUMMYFUNCTION("""COMPUTED_VALUE"""),"София, Тендрил, 2019, ISBN 978-954-92809-9-9")</f>
        <v>София, Тендрил, 2019, ISBN 978-954-92809-9-9</v>
      </c>
      <c r="F4237" s="10"/>
      <c r="G4237" s="10"/>
      <c r="H4237" s="10"/>
      <c r="I4237" s="10"/>
      <c r="J4237" s="10"/>
      <c r="K4237" s="10"/>
      <c r="L4237" s="10"/>
      <c r="M4237" s="10"/>
      <c r="N4237" s="10"/>
      <c r="O4237" s="10"/>
      <c r="P4237" s="10"/>
      <c r="Q4237" s="10"/>
      <c r="R4237" s="10"/>
      <c r="S4237" s="10"/>
      <c r="T4237" s="10"/>
      <c r="U4237" s="10"/>
      <c r="V4237" s="10"/>
      <c r="W4237" s="10"/>
      <c r="X4237" s="10"/>
      <c r="Y4237" s="10"/>
      <c r="Z4237" s="10"/>
    </row>
    <row r="4238" spans="1:26" ht="12.75">
      <c r="A4238" s="10" t="str">
        <f ca="1">IFERROR(__xludf.DUMMYFUNCTION("""COMPUTED_VALUE"""),"Калин Цветанов Стоев")</f>
        <v>Калин Цветанов Стоев</v>
      </c>
      <c r="B4238" s="10" t="str">
        <f ca="1">IFERROR(__xludf.DUMMYFUNCTION("""COMPUTED_VALUE"""),"Доклад от конференция")</f>
        <v>Доклад от конференция</v>
      </c>
      <c r="C4238" s="10" t="str">
        <f ca="1">IFERROR(__xludf.DUMMYFUNCTION("""COMPUTED_VALUE"""),"Интерактивен лапидариум – възможности за научни изследвания и обучение")</f>
        <v>Интерактивен лапидариум – възможности за научни изследвания и обучение</v>
      </c>
      <c r="D4238" s="10">
        <f ca="1">IFERROR(__xludf.DUMMYFUNCTION("""COMPUTED_VALUE"""),2018)</f>
        <v>2018</v>
      </c>
      <c r="E4238" s="10" t="str">
        <f ca="1">IFERROR(__xludf.DUMMYFUNCTION("""COMPUTED_VALUE"""),"В: Обществото на знанието и хуманизмът на 21 в. Сборник с доклади от 15-та национална научна конференция с международно участие. София, 2018, 298-307, ISSN 1314-7099")</f>
        <v>В: Обществото на знанието и хуманизмът на 21 в. Сборник с доклади от 15-та национална научна конференция с международно участие. София, 2018, 298-307, ISSN 1314-7099</v>
      </c>
      <c r="F4238" s="10" t="str">
        <f ca="1">IFERROR(__xludf.DUMMYFUNCTION("""COMPUTED_VALUE"""),"НАЦИД референтен списък")</f>
        <v>НАЦИД референтен списък</v>
      </c>
      <c r="G4238" s="10" t="str">
        <f ca="1">IFERROR(__xludf.DUMMYFUNCTION("""COMPUTED_VALUE"""),"Валерия Фол, Олег Константинов")</f>
        <v>Валерия Фол, Олег Константинов</v>
      </c>
      <c r="H4238" s="10"/>
      <c r="I4238" s="10"/>
      <c r="J4238" s="10"/>
      <c r="K4238" s="10"/>
      <c r="L4238" s="10"/>
      <c r="M4238" s="10"/>
      <c r="N4238" s="10"/>
      <c r="O4238" s="10"/>
      <c r="P4238" s="10"/>
      <c r="Q4238" s="10"/>
      <c r="R4238" s="10"/>
      <c r="S4238" s="10"/>
      <c r="T4238" s="10"/>
      <c r="U4238" s="10"/>
      <c r="V4238" s="10"/>
      <c r="W4238" s="10"/>
      <c r="X4238" s="10"/>
      <c r="Y4238" s="10"/>
      <c r="Z4238" s="10"/>
    </row>
    <row r="4239" spans="1:26" ht="12.75">
      <c r="A4239" s="10" t="str">
        <f ca="1">IFERROR(__xludf.DUMMYFUNCTION("""COMPUTED_VALUE"""),"Калин Цветанов Стоев")</f>
        <v>Калин Цветанов Стоев</v>
      </c>
      <c r="B4239" s="10" t="str">
        <f ca="1">IFERROR(__xludf.DUMMYFUNCTION("""COMPUTED_VALUE"""),"Статия в списания и поредици")</f>
        <v>Статия в списания и поредици</v>
      </c>
      <c r="C4239" s="10" t="str">
        <f ca="1">IFERROR(__xludf.DUMMYFUNCTION("""COMPUTED_VALUE"""),"Ново епиграфско свидетелство за обществото на римска Мизия")</f>
        <v>Ново епиграфско свидетелство за обществото на римска Мизия</v>
      </c>
      <c r="D4239" s="10">
        <f ca="1">IFERROR(__xludf.DUMMYFUNCTION("""COMPUTED_VALUE"""),2018)</f>
        <v>2018</v>
      </c>
      <c r="E4239" s="10" t="str">
        <f ca="1">IFERROR(__xludf.DUMMYFUNCTION("""COMPUTED_VALUE"""),"В: Обществото на знанието и хуманизмът на 21 в. Сборник с доклади от 15-та национална научна конференция с международно участие. София, 2018, 319-324, ISSN 1314-7099")</f>
        <v>В: Обществото на знанието и хуманизмът на 21 в. Сборник с доклади от 15-та национална научна конференция с международно участие. София, 2018, 319-324, ISSN 1314-7099</v>
      </c>
      <c r="F4239" s="10" t="str">
        <f ca="1">IFERROR(__xludf.DUMMYFUNCTION("""COMPUTED_VALUE"""),"НАЦИД референтен списък")</f>
        <v>НАЦИД референтен списък</v>
      </c>
      <c r="G4239" s="10"/>
      <c r="H4239" s="10"/>
      <c r="I4239" s="10"/>
      <c r="J4239" s="10"/>
      <c r="K4239" s="10"/>
      <c r="L4239" s="10"/>
      <c r="M4239" s="10"/>
      <c r="N4239" s="10"/>
      <c r="O4239" s="10"/>
      <c r="P4239" s="10"/>
      <c r="Q4239" s="10"/>
      <c r="R4239" s="10"/>
      <c r="S4239" s="10"/>
      <c r="T4239" s="10"/>
      <c r="U4239" s="10"/>
      <c r="V4239" s="10"/>
      <c r="W4239" s="10"/>
      <c r="X4239" s="10"/>
      <c r="Y4239" s="10"/>
      <c r="Z4239" s="10"/>
    </row>
    <row r="4240" spans="1:26" ht="12.75">
      <c r="A4240" s="10" t="str">
        <f ca="1">IFERROR(__xludf.DUMMYFUNCTION("""COMPUTED_VALUE"""),"Калин Цветанов Стоев")</f>
        <v>Калин Цветанов Стоев</v>
      </c>
      <c r="B4240" s="10" t="str">
        <f ca="1">IFERROR(__xludf.DUMMYFUNCTION("""COMPUTED_VALUE"""),"Книга")</f>
        <v>Книга</v>
      </c>
      <c r="C4240" s="10" t="str">
        <f ca="1">IFERROR(__xludf.DUMMYFUNCTION("""COMPUTED_VALUE"""),"Да бъдеш римлянин в Мизия. Антропонимия и просопография на романизираното население в Горна и Долна Мизия (I-III в.)")</f>
        <v>Да бъдеш римлянин в Мизия. Антропонимия и просопография на романизираното население в Горна и Долна Мизия (I-III в.)</v>
      </c>
      <c r="D4240" s="10">
        <f ca="1">IFERROR(__xludf.DUMMYFUNCTION("""COMPUTED_VALUE"""),2017)</f>
        <v>2017</v>
      </c>
      <c r="E4240" s="10" t="str">
        <f ca="1">IFERROR(__xludf.DUMMYFUNCTION("""COMPUTED_VALUE"""),"София, Тендрил, 2017, ISBN 978-954-92809-2-0.")</f>
        <v>София, Тендрил, 2017, ISBN 978-954-92809-2-0.</v>
      </c>
      <c r="F4240" s="10"/>
      <c r="G4240" s="10"/>
      <c r="H4240" s="10"/>
      <c r="I4240" s="10"/>
      <c r="J4240" s="10"/>
      <c r="K4240" s="10"/>
      <c r="L4240" s="10"/>
      <c r="M4240" s="10"/>
      <c r="N4240" s="10"/>
      <c r="O4240" s="10"/>
      <c r="P4240" s="10"/>
      <c r="Q4240" s="10"/>
      <c r="R4240" s="10"/>
      <c r="S4240" s="10"/>
      <c r="T4240" s="10"/>
      <c r="U4240" s="10"/>
      <c r="V4240" s="10"/>
      <c r="W4240" s="10"/>
      <c r="X4240" s="10"/>
      <c r="Y4240" s="10"/>
      <c r="Z4240" s="10"/>
    </row>
    <row r="4241" spans="1:26" ht="12.75">
      <c r="A4241" s="10" t="str">
        <f ca="1">IFERROR(__xludf.DUMMYFUNCTION("""COMPUTED_VALUE"""),"Калин Цветанов Стоев")</f>
        <v>Калин Цветанов Стоев</v>
      </c>
      <c r="B4241" s="10" t="str">
        <f ca="1">IFERROR(__xludf.DUMMYFUNCTION("""COMPUTED_VALUE"""),"Статия в списания и поредици")</f>
        <v>Статия в списания и поредици</v>
      </c>
      <c r="C4241" s="10" t="str">
        <f ca="1">IFERROR(__xludf.DUMMYFUNCTION("""COMPUTED_VALUE"""),"Римското завоевание и началото на римската власт в тракийските земи (II): Livius, Periochae 134-142 и походът на Лентул срещу даките”, 77-85")</f>
        <v>Римското завоевание и началото на римската власт в тракийските земи (II): Livius, Periochae 134-142 и походът на Лентул срещу даките”, 77-85</v>
      </c>
      <c r="D4241" s="10">
        <f ca="1">IFERROR(__xludf.DUMMYFUNCTION("""COMPUTED_VALUE"""),2017)</f>
        <v>2017</v>
      </c>
      <c r="E4241" s="10"/>
      <c r="F4241" s="10" t="str">
        <f ca="1">IFERROR(__xludf.DUMMYFUNCTION("""COMPUTED_VALUE"""),"Thracia XXII")</f>
        <v>Thracia XXII</v>
      </c>
      <c r="G4241" s="10"/>
      <c r="H4241" s="10"/>
      <c r="I4241" s="10"/>
      <c r="J4241" s="10"/>
      <c r="K4241" s="10"/>
      <c r="L4241" s="10"/>
      <c r="M4241" s="10"/>
      <c r="N4241" s="10"/>
      <c r="O4241" s="10"/>
      <c r="P4241" s="10"/>
      <c r="Q4241" s="10"/>
      <c r="R4241" s="10"/>
      <c r="S4241" s="10"/>
      <c r="T4241" s="10"/>
      <c r="U4241" s="10"/>
      <c r="V4241" s="10"/>
      <c r="W4241" s="10"/>
      <c r="X4241" s="10"/>
      <c r="Y4241" s="10"/>
      <c r="Z4241" s="10"/>
    </row>
    <row r="4242" spans="1:26" ht="12.75">
      <c r="A4242" s="10" t="str">
        <f ca="1">IFERROR(__xludf.DUMMYFUNCTION("""COMPUTED_VALUE"""),"Калин Цветанов Стоев")</f>
        <v>Калин Цветанов Стоев</v>
      </c>
      <c r="B4242" s="10" t="str">
        <f ca="1">IFERROR(__xludf.DUMMYFUNCTION("""COMPUTED_VALUE"""),"Статия в списания и поредици")</f>
        <v>Статия в списания и поредици</v>
      </c>
      <c r="C4242" s="10" t="str">
        <f ca="1">IFERROR(__xludf.DUMMYFUNCTION("""COMPUTED_VALUE"""),"Notes on Decius’ Gothic War in the Light of the New Fragments by Dexippus of Athens")</f>
        <v>Notes on Decius’ Gothic War in the Light of the New Fragments by Dexippus of Athens</v>
      </c>
      <c r="D4242" s="10">
        <f ca="1">IFERROR(__xludf.DUMMYFUNCTION("""COMPUTED_VALUE"""),2017)</f>
        <v>2017</v>
      </c>
      <c r="E4242" s="10" t="str">
        <f ca="1">IFERROR(__xludf.DUMMYFUNCTION("""COMPUTED_VALUE"""),"Orpheus, 23-24, 2016-2017 (2018), 80-92, ISSN 0861-9387")</f>
        <v>Orpheus, 23-24, 2016-2017 (2018), 80-92, ISSN 0861-9387</v>
      </c>
      <c r="F4242" s="10" t="str">
        <f ca="1">IFERROR(__xludf.DUMMYFUNCTION("""COMPUTED_VALUE"""),"НАЦИД референтен списък")</f>
        <v>НАЦИД референтен списък</v>
      </c>
      <c r="G4242" s="10"/>
      <c r="H4242" s="10"/>
      <c r="I4242" s="10"/>
      <c r="J4242" s="10"/>
      <c r="K4242" s="10"/>
      <c r="L4242" s="10"/>
      <c r="M4242" s="10"/>
      <c r="N4242" s="10"/>
      <c r="O4242" s="10"/>
      <c r="P4242" s="10"/>
      <c r="Q4242" s="10"/>
      <c r="R4242" s="10"/>
      <c r="S4242" s="10"/>
      <c r="T4242" s="10"/>
      <c r="U4242" s="10"/>
      <c r="V4242" s="10"/>
      <c r="W4242" s="10"/>
      <c r="X4242" s="10"/>
      <c r="Y4242" s="10"/>
      <c r="Z4242" s="10"/>
    </row>
    <row r="4243" spans="1:26" ht="12.75">
      <c r="A4243" s="10" t="str">
        <f ca="1">IFERROR(__xludf.DUMMYFUNCTION("""COMPUTED_VALUE"""),"Калин Цветанов Стоев")</f>
        <v>Калин Цветанов Стоев</v>
      </c>
      <c r="B4243" s="10" t="str">
        <f ca="1">IFERROR(__xludf.DUMMYFUNCTION("""COMPUTED_VALUE"""),"Статия в списания и поредици")</f>
        <v>Статия в списания и поредици</v>
      </c>
      <c r="C4243" s="10" t="str">
        <f ca="1">IFERROR(__xludf.DUMMYFUNCTION("""COMPUTED_VALUE"""),"„Към военно-административната история на Монтана в римската епоха (I-III в.)”")</f>
        <v>„Към военно-административната история на Монтана в римската епоха (I-III в.)”</v>
      </c>
      <c r="D4243" s="10">
        <f ca="1">IFERROR(__xludf.DUMMYFUNCTION("""COMPUTED_VALUE"""),2016)</f>
        <v>2016</v>
      </c>
      <c r="E4243" s="10" t="str">
        <f ca="1">IFERROR(__xludf.DUMMYFUNCTION("""COMPUTED_VALUE"""),"От Montana до Монтана: един град между древността и настоящето. Доклади от научна конференция, посветена на развитието на град Монтана и региона през вековете, проведена на 17 юни 2016 г., 34-52.")</f>
        <v>От Montana до Монтана: един град между древността и настоящето. Доклади от научна конференция, посветена на развитието на град Монтана и региона през вековете, проведена на 17 юни 2016 г., 34-52.</v>
      </c>
      <c r="F4243" s="10"/>
      <c r="G4243" s="10"/>
      <c r="H4243" s="10"/>
      <c r="I4243" s="10"/>
      <c r="J4243" s="10"/>
      <c r="K4243" s="10"/>
      <c r="L4243" s="10"/>
      <c r="M4243" s="10"/>
      <c r="N4243" s="10"/>
      <c r="O4243" s="10"/>
      <c r="P4243" s="10"/>
      <c r="Q4243" s="10"/>
      <c r="R4243" s="10"/>
      <c r="S4243" s="10"/>
      <c r="T4243" s="10"/>
      <c r="U4243" s="10"/>
      <c r="V4243" s="10"/>
      <c r="W4243" s="10"/>
      <c r="X4243" s="10"/>
      <c r="Y4243" s="10"/>
      <c r="Z4243" s="10"/>
    </row>
    <row r="4244" spans="1:26" ht="12.75">
      <c r="A4244" s="10" t="str">
        <f ca="1">IFERROR(__xludf.DUMMYFUNCTION("""COMPUTED_VALUE"""),"Калин Цветанов Стоев")</f>
        <v>Калин Цветанов Стоев</v>
      </c>
      <c r="B4244" s="10" t="str">
        <f ca="1">IFERROR(__xludf.DUMMYFUNCTION("""COMPUTED_VALUE"""),"Статия в списания и поредици")</f>
        <v>Статия в списания и поредици</v>
      </c>
      <c r="C4244" s="10" t="str">
        <f ca="1">IFERROR(__xludf.DUMMYFUNCTION("""COMPUTED_VALUE"""),"„The Hereditary Nomenclature in Moesia inferior and its Value as a Source for the Study of Identities”")</f>
        <v>„The Hereditary Nomenclature in Moesia inferior and its Value as a Source for the Study of Identities”</v>
      </c>
      <c r="D4244" s="10">
        <f ca="1">IFERROR(__xludf.DUMMYFUNCTION("""COMPUTED_VALUE"""),2016)</f>
        <v>2016</v>
      </c>
      <c r="E4244" s="10" t="str">
        <f ca="1">IFERROR(__xludf.DUMMYFUNCTION("""COMPUTED_VALUE"""),"Gavrielatos, A. (ed.), Self-presentation and Identity in the Roman World. Cambridge Scholars Publishing, 162-210.")</f>
        <v>Gavrielatos, A. (ed.), Self-presentation and Identity in the Roman World. Cambridge Scholars Publishing, 162-210.</v>
      </c>
      <c r="F4244" s="10"/>
      <c r="G4244" s="10"/>
      <c r="H4244" s="10"/>
      <c r="I4244" s="10"/>
      <c r="J4244" s="10"/>
      <c r="K4244" s="10"/>
      <c r="L4244" s="10"/>
      <c r="M4244" s="10"/>
      <c r="N4244" s="10"/>
      <c r="O4244" s="10"/>
      <c r="P4244" s="10"/>
      <c r="Q4244" s="10"/>
      <c r="R4244" s="10"/>
      <c r="S4244" s="10"/>
      <c r="T4244" s="10"/>
      <c r="U4244" s="10"/>
      <c r="V4244" s="10"/>
      <c r="W4244" s="10"/>
      <c r="X4244" s="10"/>
      <c r="Y4244" s="10"/>
      <c r="Z4244" s="10"/>
    </row>
    <row r="4245" spans="1:26" ht="12.75">
      <c r="A4245" s="10" t="str">
        <f ca="1">IFERROR(__xludf.DUMMYFUNCTION("""COMPUTED_VALUE"""),"Калин Цветанов Стоев")</f>
        <v>Калин Цветанов Стоев</v>
      </c>
      <c r="B4245" s="10" t="str">
        <f ca="1">IFERROR(__xludf.DUMMYFUNCTION("""COMPUTED_VALUE"""),"Статия в списания и поредици")</f>
        <v>Статия в списания и поредици</v>
      </c>
      <c r="C4245" s="10" t="str">
        <f ca="1">IFERROR(__xludf.DUMMYFUNCTION("""COMPUTED_VALUE"""),"""Римска военна диплома от 11 октомври 146 г. на войник от II Матиакска кохорта""")</f>
        <v>"Римска военна диплома от 11 октомври 146 г. на войник от II Матиакска кохорта"</v>
      </c>
      <c r="D4245" s="10">
        <f ca="1">IFERROR(__xludf.DUMMYFUNCTION("""COMPUTED_VALUE"""),2016)</f>
        <v>2016</v>
      </c>
      <c r="E4245" s="10" t="str">
        <f ca="1">IFERROR(__xludf.DUMMYFUNCTION("""COMPUTED_VALUE"""),"Известия на Националния исторически музей, том 28: Studia in honorem Bozhidari Dimitrov, 28, 2016, 309-320.ISSN 1311-5219, 309-320.")</f>
        <v>Известия на Националния исторически музей, том 28: Studia in honorem Bozhidari Dimitrov, 28, 2016, 309-320.ISSN 1311-5219, 309-320.</v>
      </c>
      <c r="F4245" s="10"/>
      <c r="G4245" s="10" t="str">
        <f ca="1">IFERROR(__xludf.DUMMYFUNCTION("""COMPUTED_VALUE"""),"Иван Христов")</f>
        <v>Иван Христов</v>
      </c>
      <c r="H4245" s="10"/>
      <c r="I4245" s="10"/>
      <c r="J4245" s="10"/>
      <c r="K4245" s="10"/>
      <c r="L4245" s="10"/>
      <c r="M4245" s="10"/>
      <c r="N4245" s="10"/>
      <c r="O4245" s="10"/>
      <c r="P4245" s="10"/>
      <c r="Q4245" s="10"/>
      <c r="R4245" s="10"/>
      <c r="S4245" s="10"/>
      <c r="T4245" s="10"/>
      <c r="U4245" s="10"/>
      <c r="V4245" s="10"/>
      <c r="W4245" s="10"/>
      <c r="X4245" s="10"/>
      <c r="Y4245" s="10"/>
      <c r="Z4245" s="10"/>
    </row>
    <row r="4246" spans="1:26" ht="12.75">
      <c r="A4246" s="10" t="str">
        <f ca="1">IFERROR(__xludf.DUMMYFUNCTION("""COMPUTED_VALUE"""),"Калин Цветанов Стоев")</f>
        <v>Калин Цветанов Стоев</v>
      </c>
      <c r="B4246" s="10" t="str">
        <f ca="1">IFERROR(__xludf.DUMMYFUNCTION("""COMPUTED_VALUE"""),"Статия в списания и поредици")</f>
        <v>Статия в списания и поредици</v>
      </c>
      <c r="C4246" s="10" t="str">
        <f ca="1">IFERROR(__xludf.DUMMYFUNCTION("""COMPUTED_VALUE"""),"Римското завоевание и началото на римската власт в тракийските земи (I): Октавиан и кампаниите на Марк Лициний Крас”")</f>
        <v>Римското завоевание и началото на римската власт в тракийските земи (I): Октавиан и кампаниите на Марк Лициний Крас”</v>
      </c>
      <c r="D4246" s="10">
        <f ca="1">IFERROR(__xludf.DUMMYFUNCTION("""COMPUTED_VALUE"""),2016)</f>
        <v>2016</v>
      </c>
      <c r="E4246" s="10" t="str">
        <f ca="1">IFERROR(__xludf.DUMMYFUNCTION("""COMPUTED_VALUE"""),"Thracia 21, 2016, ISSN 0204-9872, 61-78")</f>
        <v>Thracia 21, 2016, ISSN 0204-9872, 61-78</v>
      </c>
      <c r="F4246" s="10" t="str">
        <f ca="1">IFERROR(__xludf.DUMMYFUNCTION("""COMPUTED_VALUE"""),"Римското завоевание и началото на римската власт в тракийските земи (I): Октавиан и кампаниите на Марк Лициний Крас”")</f>
        <v>Римското завоевание и началото на римската власт в тракийските земи (I): Октавиан и кампаниите на Марк Лициний Крас”</v>
      </c>
      <c r="G4246" s="10"/>
      <c r="H4246" s="10"/>
      <c r="I4246" s="10"/>
      <c r="J4246" s="10"/>
      <c r="K4246" s="10"/>
      <c r="L4246" s="10"/>
      <c r="M4246" s="10"/>
      <c r="N4246" s="10"/>
      <c r="O4246" s="10"/>
      <c r="P4246" s="10"/>
      <c r="Q4246" s="10"/>
      <c r="R4246" s="10"/>
      <c r="S4246" s="10"/>
      <c r="T4246" s="10"/>
      <c r="U4246" s="10"/>
      <c r="V4246" s="10"/>
      <c r="W4246" s="10"/>
      <c r="X4246" s="10"/>
      <c r="Y4246" s="10"/>
      <c r="Z4246" s="10"/>
    </row>
    <row r="4247" spans="1:26" ht="12.75">
      <c r="A4247" s="10" t="str">
        <f ca="1">IFERROR(__xludf.DUMMYFUNCTION("""COMPUTED_VALUE"""),"Калин Цветанов Стоев")</f>
        <v>Калин Цветанов Стоев</v>
      </c>
      <c r="B4247" s="10" t="str">
        <f ca="1">IFERROR(__xludf.DUMMYFUNCTION("""COMPUTED_VALUE"""),"Статия в списания и поредици")</f>
        <v>Статия в списания и поредици</v>
      </c>
      <c r="C4247" s="10" t="str">
        <f ca="1">IFERROR(__xludf.DUMMYFUNCTION("""COMPUTED_VALUE"""),"The Roman Conquest and the Beginning of the Roman Rule in the Thracian Lands II: Livius, Periochae 134 – 142 and the Campaign of Lentulus Against the Dacians")</f>
        <v>The Roman Conquest and the Beginning of the Roman Rule in the Thracian Lands II: Livius, Periochae 134 – 142 and the Campaign of Lentulus Against the Dacians</v>
      </c>
      <c r="D4247" s="10">
        <f ca="1">IFERROR(__xludf.DUMMYFUNCTION("""COMPUTED_VALUE"""),2015)</f>
        <v>2015</v>
      </c>
      <c r="E4247" s="10" t="str">
        <f ca="1">IFERROR(__xludf.DUMMYFUNCTION("""COMPUTED_VALUE"""),"Orphaeus, 22, 2015 (2017), ISSN 0861-9387, 65-71.")</f>
        <v>Orphaeus, 22, 2015 (2017), ISSN 0861-9387, 65-71.</v>
      </c>
      <c r="F4247" s="10"/>
      <c r="G4247" s="10"/>
      <c r="H4247" s="10"/>
      <c r="I4247" s="10"/>
      <c r="J4247" s="10"/>
      <c r="K4247" s="10"/>
      <c r="L4247" s="10"/>
      <c r="M4247" s="10"/>
      <c r="N4247" s="10"/>
      <c r="O4247" s="10"/>
      <c r="P4247" s="10"/>
      <c r="Q4247" s="10"/>
      <c r="R4247" s="10"/>
      <c r="S4247" s="10"/>
      <c r="T4247" s="10"/>
      <c r="U4247" s="10"/>
      <c r="V4247" s="10"/>
      <c r="W4247" s="10"/>
      <c r="X4247" s="10"/>
      <c r="Y4247" s="10"/>
      <c r="Z4247" s="10"/>
    </row>
    <row r="4248" spans="1:26" ht="12.75">
      <c r="A4248" s="10" t="str">
        <f ca="1">IFERROR(__xludf.DUMMYFUNCTION("""COMPUTED_VALUE"""),"Калин Цветанов Стоев")</f>
        <v>Калин Цветанов Стоев</v>
      </c>
      <c r="B4248" s="10" t="str">
        <f ca="1">IFERROR(__xludf.DUMMYFUNCTION("""COMPUTED_VALUE"""),"Статия в списания и поредици")</f>
        <v>Статия в списания и поредици</v>
      </c>
      <c r="C4248" s="10" t="str">
        <f ca="1">IFERROR(__xludf.DUMMYFUNCTION("""COMPUTED_VALUE"""),"“Zur Frage der Ansiedlung von Veteranen in Oescus (Moesia Inferior)”")</f>
        <v>“Zur Frage der Ansiedlung von Veteranen in Oescus (Moesia Inferior)”</v>
      </c>
      <c r="D4248" s="10">
        <f ca="1">IFERROR(__xludf.DUMMYFUNCTION("""COMPUTED_VALUE"""),2015)</f>
        <v>2015</v>
      </c>
      <c r="E4248" s="10" t="str">
        <f ca="1">IFERROR(__xludf.DUMMYFUNCTION("""COMPUTED_VALUE"""),"In: Lucrețiu Mihailescu-Bîrliba (ed.), Colonisation and Romanization in Moesia Inferior. Premises of a contrastive approach. Antiquitas III, Parthenon Verlag. Kaiserslautern und Mehlingen, 2015, ISBN 978-3942994-11-8, 125-143.")</f>
        <v>In: Lucrețiu Mihailescu-Bîrliba (ed.), Colonisation and Romanization in Moesia Inferior. Premises of a contrastive approach. Antiquitas III, Parthenon Verlag. Kaiserslautern und Mehlingen, 2015, ISBN 978-3942994-11-8, 125-143.</v>
      </c>
      <c r="F4248" s="10"/>
      <c r="G4248" s="10"/>
      <c r="H4248" s="10"/>
      <c r="I4248" s="10"/>
      <c r="J4248" s="10"/>
      <c r="K4248" s="10"/>
      <c r="L4248" s="10"/>
      <c r="M4248" s="10"/>
      <c r="N4248" s="10"/>
      <c r="O4248" s="10"/>
      <c r="P4248" s="10"/>
      <c r="Q4248" s="10"/>
      <c r="R4248" s="10"/>
      <c r="S4248" s="10"/>
      <c r="T4248" s="10"/>
      <c r="U4248" s="10"/>
      <c r="V4248" s="10"/>
      <c r="W4248" s="10"/>
      <c r="X4248" s="10"/>
      <c r="Y4248" s="10"/>
      <c r="Z4248" s="10"/>
    </row>
    <row r="4249" spans="1:26" ht="12.75">
      <c r="A4249" s="10" t="str">
        <f ca="1">IFERROR(__xludf.DUMMYFUNCTION("""COMPUTED_VALUE"""),"Калин Цветанов Стоев")</f>
        <v>Калин Цветанов Стоев</v>
      </c>
      <c r="B4249" s="10" t="str">
        <f ca="1">IFERROR(__xludf.DUMMYFUNCTION("""COMPUTED_VALUE"""),"Статия в списания и поредици")</f>
        <v>Статия в списания и поредици</v>
      </c>
      <c r="C4249" s="10" t="str">
        <f ca="1">IFERROR(__xludf.DUMMYFUNCTION("""COMPUTED_VALUE"""),"„L. Flaminius Crispus, ornatus ornamentis decurionalibus (в надгробен надпис от Рациария)”")</f>
        <v>„L. Flaminius Crispus, ornatus ornamentis decurionalibus (в надгробен надпис от Рациария)”</v>
      </c>
      <c r="D4249" s="10">
        <f ca="1">IFERROR(__xludf.DUMMYFUNCTION("""COMPUTED_VALUE"""),2015)</f>
        <v>2015</v>
      </c>
      <c r="E4249" s="10" t="str">
        <f ca="1">IFERROR(__xludf.DUMMYFUNCTION("""COMPUTED_VALUE"""),"Известия на Националния исторически музей, т. 27, 2015, 113-118.")</f>
        <v>Известия на Националния исторически музей, т. 27, 2015, 113-118.</v>
      </c>
      <c r="F4249" s="10"/>
      <c r="G4249" s="10" t="str">
        <f ca="1">IFERROR(__xludf.DUMMYFUNCTION("""COMPUTED_VALUE"""),"Иван Христов")</f>
        <v>Иван Христов</v>
      </c>
      <c r="H4249" s="10"/>
      <c r="I4249" s="10"/>
      <c r="J4249" s="10"/>
      <c r="K4249" s="10"/>
      <c r="L4249" s="10"/>
      <c r="M4249" s="10"/>
      <c r="N4249" s="10"/>
      <c r="O4249" s="10"/>
      <c r="P4249" s="10"/>
      <c r="Q4249" s="10"/>
      <c r="R4249" s="10"/>
      <c r="S4249" s="10"/>
      <c r="T4249" s="10"/>
      <c r="U4249" s="10"/>
      <c r="V4249" s="10"/>
      <c r="W4249" s="10"/>
      <c r="X4249" s="10"/>
      <c r="Y4249" s="10"/>
      <c r="Z4249" s="10"/>
    </row>
    <row r="4250" spans="1:26" ht="12.75">
      <c r="A4250" s="10" t="str">
        <f ca="1">IFERROR(__xludf.DUMMYFUNCTION("""COMPUTED_VALUE"""),"Калин Цветанов Стоев")</f>
        <v>Калин Цветанов Стоев</v>
      </c>
      <c r="B4250" s="10" t="str">
        <f ca="1">IFERROR(__xludf.DUMMYFUNCTION("""COMPUTED_VALUE"""),"Статия в списания и поредици")</f>
        <v>Статия в списания и поредици</v>
      </c>
      <c r="C4250" s="10" t="str">
        <f ca="1">IFERROR(__xludf.DUMMYFUNCTION("""COMPUTED_VALUE"""),"„Надгробен паметник на Флавия Фронтина от 178 г. н.е. открит в землището на с. Градница, Севлиевско”")</f>
        <v>„Надгробен паметник на Флавия Фронтина от 178 г. н.е. открит в землището на с. Градница, Севлиевско”</v>
      </c>
      <c r="D4250" s="10">
        <f ca="1">IFERROR(__xludf.DUMMYFUNCTION("""COMPUTED_VALUE"""),2015)</f>
        <v>2015</v>
      </c>
      <c r="E4250" s="10" t="str">
        <f ca="1">IFERROR(__xludf.DUMMYFUNCTION("""COMPUTED_VALUE"""),"Известия на Националния исторически музей, т. 27, 2015, 113-118. ISSN 1311-5219")</f>
        <v>Известия на Националния исторически музей, т. 27, 2015, 113-118. ISSN 1311-5219</v>
      </c>
      <c r="F4250" s="10"/>
      <c r="G4250" s="10" t="str">
        <f ca="1">IFERROR(__xludf.DUMMYFUNCTION("""COMPUTED_VALUE"""),"Ив.ан Христов")</f>
        <v>Ив.ан Христов</v>
      </c>
      <c r="H4250" s="10"/>
      <c r="I4250" s="10"/>
      <c r="J4250" s="10"/>
      <c r="K4250" s="10"/>
      <c r="L4250" s="10"/>
      <c r="M4250" s="10"/>
      <c r="N4250" s="10"/>
      <c r="O4250" s="10"/>
      <c r="P4250" s="10"/>
      <c r="Q4250" s="10"/>
      <c r="R4250" s="10"/>
      <c r="S4250" s="10"/>
      <c r="T4250" s="10"/>
      <c r="U4250" s="10"/>
      <c r="V4250" s="10"/>
      <c r="W4250" s="10"/>
      <c r="X4250" s="10"/>
      <c r="Y4250" s="10"/>
      <c r="Z4250" s="10"/>
    </row>
    <row r="4251" spans="1:26" ht="12.75">
      <c r="A4251" s="10" t="str">
        <f ca="1">IFERROR(__xludf.DUMMYFUNCTION("""COMPUTED_VALUE"""),"Калин Цветанов Стоев")</f>
        <v>Калин Цветанов Стоев</v>
      </c>
      <c r="B4251" s="10" t="str">
        <f ca="1">IFERROR(__xludf.DUMMYFUNCTION("""COMPUTED_VALUE"""),"Доклад от конференция")</f>
        <v>Доклад от конференция</v>
      </c>
      <c r="C4251" s="10" t="str">
        <f ca="1">IFERROR(__xludf.DUMMYFUNCTION("""COMPUTED_VALUE"""),"„Ratiaria – Grundzuge der Stadtgeschichte und Gesellschaftsentwicklung (1.-3. Jh.)”")</f>
        <v>„Ratiaria – Grundzuge der Stadtgeschichte und Gesellschaftsentwicklung (1.-3. Jh.)”</v>
      </c>
      <c r="D4251" s="10">
        <f ca="1">IFERROR(__xludf.DUMMYFUNCTION("""COMPUTED_VALUE"""),2014)</f>
        <v>2014</v>
      </c>
      <c r="E4251" s="10" t="str">
        <f ca="1">IFERROR(__xludf.DUMMYFUNCTION("""COMPUTED_VALUE"""),"In: Piso, I., R. Varga (Hrg.), „Trajan und seine Städte” (Colloquium Cluj-Napoca, 29.09. - 02.10.2013), Cluj-Napoca, Mega Verlag, 2014, ISBN 978-606-543-560-5, 167-181")</f>
        <v>In: Piso, I., R. Varga (Hrg.), „Trajan und seine Städte” (Colloquium Cluj-Napoca, 29.09. - 02.10.2013), Cluj-Napoca, Mega Verlag, 2014, ISBN 978-606-543-560-5, 167-181</v>
      </c>
      <c r="F4251" s="10"/>
      <c r="G4251" s="10"/>
      <c r="H4251" s="10"/>
      <c r="I4251" s="10"/>
      <c r="J4251" s="10"/>
      <c r="K4251" s="10"/>
      <c r="L4251" s="10"/>
      <c r="M4251" s="10"/>
      <c r="N4251" s="10"/>
      <c r="O4251" s="10"/>
      <c r="P4251" s="10"/>
      <c r="Q4251" s="10"/>
      <c r="R4251" s="10"/>
      <c r="S4251" s="10"/>
      <c r="T4251" s="10"/>
      <c r="U4251" s="10"/>
      <c r="V4251" s="10"/>
      <c r="W4251" s="10"/>
      <c r="X4251" s="10"/>
      <c r="Y4251" s="10"/>
      <c r="Z4251" s="10"/>
    </row>
    <row r="4252" spans="1:26" ht="12.75">
      <c r="A4252" s="10" t="str">
        <f ca="1">IFERROR(__xludf.DUMMYFUNCTION("""COMPUTED_VALUE"""),"Калин Цветанов Стоев")</f>
        <v>Калин Цветанов Стоев</v>
      </c>
      <c r="B4252" s="10" t="str">
        <f ca="1">IFERROR(__xludf.DUMMYFUNCTION("""COMPUTED_VALUE"""),"Статия в списания и поредици")</f>
        <v>Статия в списания и поредици</v>
      </c>
      <c r="C4252" s="10" t="str">
        <f ca="1">IFERROR(__xludf.DUMMYFUNCTION("""COMPUTED_VALUE"""),"Епиграфски паметници от Рациария")</f>
        <v>Епиграфски паметници от Рациария</v>
      </c>
      <c r="D4252" s="10">
        <f ca="1">IFERROR(__xludf.DUMMYFUNCTION("""COMPUTED_VALUE"""),2014)</f>
        <v>2014</v>
      </c>
      <c r="E4252" s="10" t="str">
        <f ca="1">IFERROR(__xludf.DUMMYFUNCTION("""COMPUTED_VALUE"""),"Известия на Националния исторически музей, т. 26, 2014, ISSN 1311-5219, 65-77.")</f>
        <v>Известия на Националния исторически музей, т. 26, 2014, ISSN 1311-5219, 65-77.</v>
      </c>
      <c r="F4252" s="10"/>
      <c r="G4252" s="10" t="str">
        <f ca="1">IFERROR(__xludf.DUMMYFUNCTION("""COMPUTED_VALUE"""),"Ив. Христов")</f>
        <v>Ив. Христов</v>
      </c>
      <c r="H4252" s="10"/>
      <c r="I4252" s="10"/>
      <c r="J4252" s="10"/>
      <c r="K4252" s="10"/>
      <c r="L4252" s="10"/>
      <c r="M4252" s="10"/>
      <c r="N4252" s="10"/>
      <c r="O4252" s="10"/>
      <c r="P4252" s="10"/>
      <c r="Q4252" s="10"/>
      <c r="R4252" s="10"/>
      <c r="S4252" s="10"/>
      <c r="T4252" s="10"/>
      <c r="U4252" s="10"/>
      <c r="V4252" s="10"/>
      <c r="W4252" s="10"/>
      <c r="X4252" s="10"/>
      <c r="Y4252" s="10"/>
      <c r="Z4252" s="10"/>
    </row>
    <row r="4253" spans="1:26" ht="12.75">
      <c r="A4253" s="10" t="str">
        <f ca="1">IFERROR(__xludf.DUMMYFUNCTION("""COMPUTED_VALUE"""),"Калин Цветанов Стоев")</f>
        <v>Калин Цветанов Стоев</v>
      </c>
      <c r="B4253" s="10" t="str">
        <f ca="1">IFERROR(__xludf.DUMMYFUNCTION("""COMPUTED_VALUE"""),"Статия в списания и поредици")</f>
        <v>Статия в списания и поредици</v>
      </c>
      <c r="C4253" s="10" t="str">
        <f ca="1">IFERROR(__xludf.DUMMYFUNCTION("""COMPUTED_VALUE"""),"Нови епиграфски паметници от Рациария и нейната територия")</f>
        <v>Нови епиграфски паметници от Рациария и нейната територия</v>
      </c>
      <c r="D4253" s="10">
        <f ca="1">IFERROR(__xludf.DUMMYFUNCTION("""COMPUTED_VALUE"""),2014)</f>
        <v>2014</v>
      </c>
      <c r="E4253" s="10" t="str">
        <f ca="1">IFERROR(__xludf.DUMMYFUNCTION("""COMPUTED_VALUE"""),"Иванов, Р. (ред.) Ratiaria Semper Floreat. Рациария и нейната територия. Изследвания. София, 2014, 230-283.")</f>
        <v>Иванов, Р. (ред.) Ratiaria Semper Floreat. Рациария и нейната територия. Изследвания. София, 2014, 230-283.</v>
      </c>
      <c r="F4253" s="10"/>
      <c r="G4253" s="10"/>
      <c r="H4253" s="10"/>
      <c r="I4253" s="10"/>
      <c r="J4253" s="10"/>
      <c r="K4253" s="10"/>
      <c r="L4253" s="10"/>
      <c r="M4253" s="10"/>
      <c r="N4253" s="10"/>
      <c r="O4253" s="10"/>
      <c r="P4253" s="10"/>
      <c r="Q4253" s="10"/>
      <c r="R4253" s="10"/>
      <c r="S4253" s="10"/>
      <c r="T4253" s="10"/>
      <c r="U4253" s="10"/>
      <c r="V4253" s="10"/>
      <c r="W4253" s="10"/>
      <c r="X4253" s="10"/>
      <c r="Y4253" s="10"/>
      <c r="Z4253" s="10"/>
    </row>
    <row r="4254" spans="1:26" ht="12.75">
      <c r="A4254" s="10" t="str">
        <f ca="1">IFERROR(__xludf.DUMMYFUNCTION("""COMPUTED_VALUE"""),"Калин Цветанов Стоев")</f>
        <v>Калин Цветанов Стоев</v>
      </c>
      <c r="B4254" s="10" t="str">
        <f ca="1">IFERROR(__xludf.DUMMYFUNCTION("""COMPUTED_VALUE"""),"Статия в списания и поредици")</f>
        <v>Статия в списания и поредици</v>
      </c>
      <c r="C4254" s="10" t="str">
        <f ca="1">IFERROR(__xludf.DUMMYFUNCTION("""COMPUTED_VALUE"""),"Имената на лимеса: именуването в Горна и Долна Мизия между семейството и армията")</f>
        <v>Имената на лимеса: именуването в Горна и Долна Мизия между семейството и армията</v>
      </c>
      <c r="D4254" s="10">
        <f ca="1">IFERROR(__xludf.DUMMYFUNCTION("""COMPUTED_VALUE"""),2012)</f>
        <v>2012</v>
      </c>
      <c r="E4254" s="10" t="str">
        <f ca="1">IFERROR(__xludf.DUMMYFUNCTION("""COMPUTED_VALUE"""),"История 20, 2012, 4, ISSN 0861–3710, 323-346")</f>
        <v>История 20, 2012, 4, ISSN 0861–3710, 323-346</v>
      </c>
      <c r="F4254" s="10" t="str">
        <f ca="1">IFERROR(__xludf.DUMMYFUNCTION("""COMPUTED_VALUE"""),"Web of Science")</f>
        <v>Web of Science</v>
      </c>
      <c r="G4254" s="10"/>
      <c r="H4254" s="10"/>
      <c r="I4254" s="10"/>
      <c r="J4254" s="10"/>
      <c r="K4254" s="10"/>
      <c r="L4254" s="10"/>
      <c r="M4254" s="10"/>
      <c r="N4254" s="10"/>
      <c r="O4254" s="10"/>
      <c r="P4254" s="10"/>
      <c r="Q4254" s="10"/>
      <c r="R4254" s="10"/>
      <c r="S4254" s="10"/>
      <c r="T4254" s="10"/>
      <c r="U4254" s="10"/>
      <c r="V4254" s="10"/>
      <c r="W4254" s="10"/>
      <c r="X4254" s="10"/>
      <c r="Y4254" s="10"/>
      <c r="Z4254" s="10"/>
    </row>
    <row r="4255" spans="1:26" ht="12.75">
      <c r="A4255" s="10" t="str">
        <f ca="1">IFERROR(__xludf.DUMMYFUNCTION("""COMPUTED_VALUE"""),"Калин Цветанов Стоев")</f>
        <v>Калин Цветанов Стоев</v>
      </c>
      <c r="B4255" s="10" t="str">
        <f ca="1">IFERROR(__xludf.DUMMYFUNCTION("""COMPUTED_VALUE"""),"Статия в списания и поредици")</f>
        <v>Статия в списания и поредици</v>
      </c>
      <c r="C4255" s="10" t="str">
        <f ca="1">IFERROR(__xludf.DUMMYFUNCTION("""COMPUTED_VALUE"""),"Uber die Romanisierung der thrakischen und geto-dakischen Namen: Eine mogliche Deutung des Vorkommens einheimischer Namen in lateinschen und griechischen Inschriften aus den Provizen Moeisia inferior und Dacia")</f>
        <v>Uber die Romanisierung der thrakischen und geto-dakischen Namen: Eine mogliche Deutung des Vorkommens einheimischer Namen in lateinschen und griechischen Inschriften aus den Provizen Moeisia inferior und Dacia</v>
      </c>
      <c r="D4255" s="10">
        <f ca="1">IFERROR(__xludf.DUMMYFUNCTION("""COMPUTED_VALUE"""),2012)</f>
        <v>2012</v>
      </c>
      <c r="E4255" s="10" t="str">
        <f ca="1">IFERROR(__xludf.DUMMYFUNCTION("""COMPUTED_VALUE"""),"In Boteva - Boyanova, D.,Mihailescu-Birliba, L., Bounegru, O. (Hrsg) Pax Romana. Kulturaustausch und Wirtschaftsbeziehungen in den Donauprovinzen des Romischen Kaiserreiches. Akten der Tagung in Varna und Tulcea, 1-7. September 2008, Kaiserslauthern, 2012"&amp;", s 199-212 ISBN 978-394-299-019")</f>
        <v>In Boteva - Boyanova, D.,Mihailescu-Birliba, L., Bounegru, O. (Hrsg) Pax Romana. Kulturaustausch und Wirtschaftsbeziehungen in den Donauprovinzen des Romischen Kaiserreiches. Akten der Tagung in Varna und Tulcea, 1-7. September 2008, Kaiserslauthern, 2012, s 199-212 ISBN 978-394-299-019</v>
      </c>
      <c r="F4255" s="10"/>
      <c r="G4255" s="10"/>
      <c r="H4255" s="10"/>
      <c r="I4255" s="10"/>
      <c r="J4255" s="10"/>
      <c r="K4255" s="10"/>
      <c r="L4255" s="10"/>
      <c r="M4255" s="10"/>
      <c r="N4255" s="10"/>
      <c r="O4255" s="10"/>
      <c r="P4255" s="10"/>
      <c r="Q4255" s="10"/>
      <c r="R4255" s="10"/>
      <c r="S4255" s="10"/>
      <c r="T4255" s="10"/>
      <c r="U4255" s="10"/>
      <c r="V4255" s="10"/>
      <c r="W4255" s="10"/>
      <c r="X4255" s="10"/>
      <c r="Y4255" s="10"/>
      <c r="Z4255" s="10"/>
    </row>
    <row r="4256" spans="1:26" ht="12.75">
      <c r="A4256" s="10" t="str">
        <f ca="1">IFERROR(__xludf.DUMMYFUNCTION("""COMPUTED_VALUE"""),"Калин Цветанов Стоев")</f>
        <v>Калин Цветанов Стоев</v>
      </c>
      <c r="B4256" s="10" t="str">
        <f ca="1">IFERROR(__xludf.DUMMYFUNCTION("""COMPUTED_VALUE"""),"Доклад от конференция")</f>
        <v>Доклад от конференция</v>
      </c>
      <c r="C4256" s="10" t="str">
        <f ca="1">IFERROR(__xludf.DUMMYFUNCTION("""COMPUTED_VALUE"""),"За някои проблеми на романизацията в провинция Горна Мизия")</f>
        <v>За някои проблеми на романизацията в провинция Горна Мизия</v>
      </c>
      <c r="D4256" s="10">
        <f ca="1">IFERROR(__xludf.DUMMYFUNCTION("""COMPUTED_VALUE"""),2008)</f>
        <v>2008</v>
      </c>
      <c r="E4256" s="10" t="str">
        <f ca="1">IFERROR(__xludf.DUMMYFUNCTION("""COMPUTED_VALUE"""),"сб. с доклади Societas classica: Култури и религии на Балканите, Средиземноморието и Изтока, III-1, Велико Търново , Университетско издателство ""Св. св. Кирил и Методий"" , с 297-303 ISBN 978-954-524-663-0")</f>
        <v>сб. с доклади Societas classica: Култури и религии на Балканите, Средиземноморието и Изтока, III-1, Велико Търново , Университетско издателство "Св. св. Кирил и Методий" , с 297-303 ISBN 978-954-524-663-0</v>
      </c>
      <c r="F4256" s="10"/>
      <c r="G4256" s="10"/>
      <c r="H4256" s="10"/>
      <c r="I4256" s="10"/>
      <c r="J4256" s="10"/>
      <c r="K4256" s="10"/>
      <c r="L4256" s="10"/>
      <c r="M4256" s="10"/>
      <c r="N4256" s="10"/>
      <c r="O4256" s="10"/>
      <c r="P4256" s="10"/>
      <c r="Q4256" s="10"/>
      <c r="R4256" s="10"/>
      <c r="S4256" s="10"/>
      <c r="T4256" s="10"/>
      <c r="U4256" s="10"/>
      <c r="V4256" s="10"/>
      <c r="W4256" s="10"/>
      <c r="X4256" s="10"/>
      <c r="Y4256" s="10"/>
      <c r="Z4256" s="10"/>
    </row>
    <row r="4257" spans="1:26" ht="12.75">
      <c r="A4257" s="10" t="str">
        <f ca="1">IFERROR(__xludf.DUMMYFUNCTION("""COMPUTED_VALUE"""),"Калин Цветанов Стоев")</f>
        <v>Калин Цветанов Стоев</v>
      </c>
      <c r="B4257" s="10" t="str">
        <f ca="1">IFERROR(__xludf.DUMMYFUNCTION("""COMPUTED_VALUE"""),"Статия в списания и поредици")</f>
        <v>Статия в списания и поредици</v>
      </c>
      <c r="C4257" s="10" t="str">
        <f ca="1">IFERROR(__xludf.DUMMYFUNCTION("""COMPUTED_VALUE"""),"Settlement of Veterans to the Roman Colony of Scupi")</f>
        <v>Settlement of Veterans to the Roman Colony of Scupi</v>
      </c>
      <c r="D4257" s="10">
        <f ca="1">IFERROR(__xludf.DUMMYFUNCTION("""COMPUTED_VALUE"""),2007)</f>
        <v>2007</v>
      </c>
      <c r="E4257" s="10" t="str">
        <f ca="1">IFERROR(__xludf.DUMMYFUNCTION("""COMPUTED_VALUE"""),"In: Thracia XVII. In honorem ann. LX Cirili Iordanov, 217-227. ISSN 0204-9872")</f>
        <v>In: Thracia XVII. In honorem ann. LX Cirili Iordanov, 217-227. ISSN 0204-9872</v>
      </c>
      <c r="F4257" s="10"/>
      <c r="G4257" s="10"/>
      <c r="H4257" s="10"/>
      <c r="I4257" s="10"/>
      <c r="J4257" s="10"/>
      <c r="K4257" s="10"/>
      <c r="L4257" s="10"/>
      <c r="M4257" s="10"/>
      <c r="N4257" s="10"/>
      <c r="O4257" s="10"/>
      <c r="P4257" s="10"/>
      <c r="Q4257" s="10"/>
      <c r="R4257" s="10"/>
      <c r="S4257" s="10"/>
      <c r="T4257" s="10"/>
      <c r="U4257" s="10"/>
      <c r="V4257" s="10"/>
      <c r="W4257" s="10"/>
      <c r="X4257" s="10"/>
      <c r="Y4257" s="10"/>
      <c r="Z4257" s="10"/>
    </row>
    <row r="4258" spans="1:26" ht="12.75">
      <c r="A4258" s="10" t="str">
        <f ca="1">IFERROR(__xludf.DUMMYFUNCTION("""COMPUTED_VALUE"""),"Калин Цветанов Стоев")</f>
        <v>Калин Цветанов Стоев</v>
      </c>
      <c r="B4258" s="10" t="str">
        <f ca="1">IFERROR(__xludf.DUMMYFUNCTION("""COMPUTED_VALUE"""),"Статия в списания и поредици")</f>
        <v>Статия в списания и поредици</v>
      </c>
      <c r="C4258" s="10" t="str">
        <f ca="1">IFERROR(__xludf.DUMMYFUNCTION("""COMPUTED_VALUE"""),"Към историята на римската колония Скупи (Горна Мизия)")</f>
        <v>Към историята на римската колония Скупи (Горна Мизия)</v>
      </c>
      <c r="D4258" s="10">
        <f ca="1">IFERROR(__xludf.DUMMYFUNCTION("""COMPUTED_VALUE"""),2007)</f>
        <v>2007</v>
      </c>
      <c r="E4258" s="10" t="str">
        <f ca="1">IFERROR(__xludf.DUMMYFUNCTION("""COMPUTED_VALUE"""),"Минало кн.1 с. 18-33 ISSN 1310-3415")</f>
        <v>Минало кн.1 с. 18-33 ISSN 1310-3415</v>
      </c>
      <c r="F4258" s="10"/>
      <c r="G4258" s="10"/>
      <c r="H4258" s="10"/>
      <c r="I4258" s="10"/>
      <c r="J4258" s="10"/>
      <c r="K4258" s="10"/>
      <c r="L4258" s="10"/>
      <c r="M4258" s="10"/>
      <c r="N4258" s="10"/>
      <c r="O4258" s="10"/>
      <c r="P4258" s="10"/>
      <c r="Q4258" s="10"/>
      <c r="R4258" s="10"/>
      <c r="S4258" s="10"/>
      <c r="T4258" s="10"/>
      <c r="U4258" s="10"/>
      <c r="V4258" s="10"/>
      <c r="W4258" s="10"/>
      <c r="X4258" s="10"/>
      <c r="Y4258" s="10"/>
      <c r="Z4258" s="10"/>
    </row>
    <row r="4259" spans="1:26" ht="12.75">
      <c r="A4259" s="10" t="str">
        <f ca="1">IFERROR(__xludf.DUMMYFUNCTION("""COMPUTED_VALUE"""),"Калин Цветанов Стоев")</f>
        <v>Калин Цветанов Стоев</v>
      </c>
      <c r="B4259" s="10" t="str">
        <f ca="1">IFERROR(__xludf.DUMMYFUNCTION("""COMPUTED_VALUE"""),"Статия в списания и поредици")</f>
        <v>Статия в списания и поредици</v>
      </c>
      <c r="C4259" s="10" t="str">
        <f ca="1">IFERROR(__xludf.DUMMYFUNCTION("""COMPUTED_VALUE"""),"Римската военна колония Деултум при град Дебелт, Бургаско.")</f>
        <v>Римската военна колония Деултум при град Дебелт, Бургаско.</v>
      </c>
      <c r="D4259" s="10">
        <f ca="1">IFERROR(__xludf.DUMMYFUNCTION("""COMPUTED_VALUE"""),2005)</f>
        <v>2005</v>
      </c>
      <c r="E4259" s="10" t="str">
        <f ca="1">IFERROR(__xludf.DUMMYFUNCTION("""COMPUTED_VALUE"""),"Минало, 2005, 1, ISSN - 1310-3415, 12-24")</f>
        <v>Минало, 2005, 1, ISSN - 1310-3415, 12-24</v>
      </c>
      <c r="F4259" s="10"/>
      <c r="G4259" s="10"/>
      <c r="H4259" s="10"/>
      <c r="I4259" s="10"/>
      <c r="J4259" s="10"/>
      <c r="K4259" s="10"/>
      <c r="L4259" s="10"/>
      <c r="M4259" s="10"/>
      <c r="N4259" s="10"/>
      <c r="O4259" s="10"/>
      <c r="P4259" s="10"/>
      <c r="Q4259" s="10"/>
      <c r="R4259" s="10"/>
      <c r="S4259" s="10"/>
      <c r="T4259" s="10"/>
      <c r="U4259" s="10"/>
      <c r="V4259" s="10"/>
      <c r="W4259" s="10"/>
      <c r="X4259" s="10"/>
      <c r="Y4259" s="10"/>
      <c r="Z4259" s="10"/>
    </row>
    <row r="4260" spans="1:26" ht="12.75">
      <c r="A4260" s="10" t="str">
        <f ca="1">IFERROR(__xludf.DUMMYFUNCTION("""COMPUTED_VALUE"""),"Калина Йорданова Иванова")</f>
        <v>Калина Йорданова Иванова</v>
      </c>
      <c r="B4260" s="10" t="str">
        <f ca="1">IFERROR(__xludf.DUMMYFUNCTION("""COMPUTED_VALUE"""),"Статия в списания и поредици")</f>
        <v>Статия в списания и поредици</v>
      </c>
      <c r="C4260" s="10" t="str">
        <f ca="1">IFERROR(__xludf.DUMMYFUNCTION("""COMPUTED_VALUE"""),"Защо библиотекарите могат да бъдат двигатели на промяната към интелигентни общества")</f>
        <v>Защо библиотекарите могат да бъдат двигатели на промяната към интелигентни общества</v>
      </c>
      <c r="D4260" s="10">
        <f ca="1">IFERROR(__xludf.DUMMYFUNCTION("""COMPUTED_VALUE"""),2019)</f>
        <v>2019</v>
      </c>
      <c r="E4260" s="10" t="str">
        <f ca="1">IFERROR(__xludf.DUMMYFUNCTION("""COMPUTED_VALUE"""),"Б Б И А о н л а й н , окт. 2019, N 5, с. 24-25 : с ил. ISBN 1314-7285")</f>
        <v>Б Б И А о н л а й н , окт. 2019, N 5, с. 24-25 : с ил. ISBN 1314-7285</v>
      </c>
      <c r="F4260" s="10"/>
      <c r="G4260" s="10"/>
      <c r="H4260" s="10"/>
      <c r="I4260" s="10"/>
      <c r="J4260" s="10"/>
      <c r="K4260" s="10"/>
      <c r="L4260" s="10"/>
      <c r="M4260" s="10"/>
      <c r="N4260" s="10"/>
      <c r="O4260" s="10"/>
      <c r="P4260" s="10"/>
      <c r="Q4260" s="10"/>
      <c r="R4260" s="10"/>
      <c r="S4260" s="10"/>
      <c r="T4260" s="10"/>
      <c r="U4260" s="10"/>
      <c r="V4260" s="10"/>
      <c r="W4260" s="10"/>
      <c r="X4260" s="10"/>
      <c r="Y4260" s="10"/>
      <c r="Z4260" s="10"/>
    </row>
    <row r="4261" spans="1:26" ht="12.75">
      <c r="A4261" s="10" t="str">
        <f ca="1">IFERROR(__xludf.DUMMYFUNCTION("""COMPUTED_VALUE"""),"Калина Йорданова Иванова")</f>
        <v>Калина Йорданова Иванова</v>
      </c>
      <c r="B4261" s="10" t="str">
        <f ca="1">IFERROR(__xludf.DUMMYFUNCTION("""COMPUTED_VALUE"""),"Доклад от конференция")</f>
        <v>Доклад от конференция</v>
      </c>
      <c r="C4261" s="10" t="str">
        <f ca="1">IFERROR(__xludf.DUMMYFUNCTION("""COMPUTED_VALUE"""),"G-Book Полова идентичност: деца читатели и библиотечни колекции")</f>
        <v>G-Book Полова идентичност: деца читатели и библиотечни колекции</v>
      </c>
      <c r="D4261" s="10">
        <f ca="1">IFERROR(__xludf.DUMMYFUNCTION("""COMPUTED_VALUE"""),2019)</f>
        <v>2019</v>
      </c>
      <c r="E4261" s="10" t="str">
        <f ca="1">IFERROR(__xludf.DUMMYFUNCTION("""COMPUTED_VALUE"""),"Седемнадесета национална научна конференция с международно участие, 15-16 ноември 2018 г. : Посветена на 190 години от рождението на отец Матей Преображенски - виден български възрожденец и просветител и на темата за детската книга и четенето в ранна детс"&amp;"ка възраст. - Велико Търново, 2019, с. 285-293. ISBN 1313-8138")</f>
        <v>Седемнадесета национална научна конференция с международно участие, 15-16 ноември 2018 г. : Посветена на 190 години от рождението на отец Матей Преображенски - виден български възрожденец и просветител и на темата за детската книга и четенето в ранна детска възраст. - Велико Търново, 2019, с. 285-293. ISBN 1313-8138</v>
      </c>
      <c r="F4261" s="10"/>
      <c r="G4261" s="10" t="str">
        <f ca="1">IFERROR(__xludf.DUMMYFUNCTION("""COMPUTED_VALUE"""),"Мартина Янкова, Магдалина Миланова")</f>
        <v>Мартина Янкова, Магдалина Миланова</v>
      </c>
      <c r="H4261" s="10"/>
      <c r="I4261" s="10"/>
      <c r="J4261" s="10"/>
      <c r="K4261" s="10"/>
      <c r="L4261" s="10"/>
      <c r="M4261" s="10"/>
      <c r="N4261" s="10"/>
      <c r="O4261" s="10"/>
      <c r="P4261" s="10"/>
      <c r="Q4261" s="10"/>
      <c r="R4261" s="10"/>
      <c r="S4261" s="10"/>
      <c r="T4261" s="10"/>
      <c r="U4261" s="10"/>
      <c r="V4261" s="10"/>
      <c r="W4261" s="10"/>
      <c r="X4261" s="10"/>
      <c r="Y4261" s="10"/>
      <c r="Z4261" s="10"/>
    </row>
    <row r="4262" spans="1:26" ht="12.75">
      <c r="A4262" s="10" t="str">
        <f ca="1">IFERROR(__xludf.DUMMYFUNCTION("""COMPUTED_VALUE"""),"Калина Йорданова Иванова")</f>
        <v>Калина Йорданова Иванова</v>
      </c>
      <c r="B4262" s="10" t="str">
        <f ca="1">IFERROR(__xludf.DUMMYFUNCTION("""COMPUTED_VALUE"""),"Доклад от конференция")</f>
        <v>Доклад от конференция</v>
      </c>
      <c r="C4262" s="10" t="str">
        <f ca="1">IFERROR(__xludf.DUMMYFUNCTION("""COMPUTED_VALUE"""),"Народна библиотека „Петко Рачев Славейков“ (гр. Велико Търново) – успешна обучаваща институция по Програма „Учене през целия живот“")</f>
        <v>Народна библиотека „Петко Рачев Славейков“ (гр. Велико Търново) – успешна обучаваща институция по Програма „Учене през целия живот“</v>
      </c>
      <c r="D4262" s="10">
        <f ca="1">IFERROR(__xludf.DUMMYFUNCTION("""COMPUTED_VALUE"""),2019)</f>
        <v>2019</v>
      </c>
      <c r="E4262" s="10" t="str">
        <f ca="1">IFERROR(__xludf.DUMMYFUNCTION("""COMPUTED_VALUE"""),"Сахаровские чтения-2019: сб. ст. по материалам VII междунар. науч.-практ. конф., Санкт-Петербург, 2-3 декабря 2019 г. / С. – Петерб. гос. ин-т. культуры; отв. ред. М. Н. Колесникова. – КультИнформПресс, 2019, с. 55-65. ISBN 978-5-8392-0818-6")</f>
        <v>Сахаровские чтения-2019: сб. ст. по материалам VII междунар. науч.-практ. конф., Санкт-Петербург, 2-3 декабря 2019 г. / С. – Петерб. гос. ин-т. культуры; отв. ред. М. Н. Колесникова. – КультИнформПресс, 2019, с. 55-65. ISBN 978-5-8392-0818-6</v>
      </c>
      <c r="F4262" s="10"/>
      <c r="G4262" s="10"/>
      <c r="H4262" s="10"/>
      <c r="I4262" s="10"/>
      <c r="J4262" s="10"/>
      <c r="K4262" s="10"/>
      <c r="L4262" s="10"/>
      <c r="M4262" s="10"/>
      <c r="N4262" s="10"/>
      <c r="O4262" s="10"/>
      <c r="P4262" s="10"/>
      <c r="Q4262" s="10"/>
      <c r="R4262" s="10"/>
      <c r="S4262" s="10"/>
      <c r="T4262" s="10"/>
      <c r="U4262" s="10"/>
      <c r="V4262" s="10"/>
      <c r="W4262" s="10"/>
      <c r="X4262" s="10"/>
      <c r="Y4262" s="10"/>
      <c r="Z4262" s="10"/>
    </row>
    <row r="4263" spans="1:26" ht="12.75">
      <c r="A4263" s="10" t="str">
        <f ca="1">IFERROR(__xludf.DUMMYFUNCTION("""COMPUTED_VALUE"""),"Калина Йорданова Иванова")</f>
        <v>Калина Йорданова Иванова</v>
      </c>
      <c r="B4263" s="10" t="str">
        <f ca="1">IFERROR(__xludf.DUMMYFUNCTION("""COMPUTED_VALUE"""),"Статия в списания и поредици")</f>
        <v>Статия в списания и поредици</v>
      </c>
      <c r="C4263" s="10" t="str">
        <f ca="1">IFERROR(__xludf.DUMMYFUNCTION("""COMPUTED_VALUE"""),"Основаване на публична библиотека във Велико Търново през 1889 г : От дружество ""Развитие"" до Народна библиотека ""Петко Рачев Славейков""")</f>
        <v>Основаване на публична библиотека във Велико Търново през 1889 г : От дружество "Развитие" до Народна библиотека "Петко Рачев Славейков"</v>
      </c>
      <c r="D4263" s="10">
        <f ca="1">IFERROR(__xludf.DUMMYFUNCTION("""COMPUTED_VALUE"""),2019)</f>
        <v>2019</v>
      </c>
      <c r="E4263" s="10" t="str">
        <f ca="1">IFERROR(__xludf.DUMMYFUNCTION("""COMPUTED_VALUE"""),"Б Б И А о н л а й н , окт. 2019, N 5, с. 42-44 : с ил. ISBN 1314-7285")</f>
        <v>Б Б И А о н л а й н , окт. 2019, N 5, с. 42-44 : с ил. ISBN 1314-7285</v>
      </c>
      <c r="F4263" s="10"/>
      <c r="G4263" s="10"/>
      <c r="H4263" s="10"/>
      <c r="I4263" s="10"/>
      <c r="J4263" s="10"/>
      <c r="K4263" s="10"/>
      <c r="L4263" s="10"/>
      <c r="M4263" s="10"/>
      <c r="N4263" s="10"/>
      <c r="O4263" s="10"/>
      <c r="P4263" s="10"/>
      <c r="Q4263" s="10"/>
      <c r="R4263" s="10"/>
      <c r="S4263" s="10"/>
      <c r="T4263" s="10"/>
      <c r="U4263" s="10"/>
      <c r="V4263" s="10"/>
      <c r="W4263" s="10"/>
      <c r="X4263" s="10"/>
      <c r="Y4263" s="10"/>
      <c r="Z4263" s="10"/>
    </row>
    <row r="4264" spans="1:26" ht="12.75">
      <c r="A4264" s="10" t="str">
        <f ca="1">IFERROR(__xludf.DUMMYFUNCTION("""COMPUTED_VALUE"""),"Калина Йорданова Иванова")</f>
        <v>Калина Йорданова Иванова</v>
      </c>
      <c r="B4264" s="10" t="str">
        <f ca="1">IFERROR(__xludf.DUMMYFUNCTION("""COMPUTED_VALUE"""),"Доклад от конференция")</f>
        <v>Доклад от конференция</v>
      </c>
      <c r="C4264" s="10" t="str">
        <f ca="1">IFERROR(__xludf.DUMMYFUNCTION("""COMPUTED_VALUE"""),"Нови тенденции в дигитализирането на писменото наследство в сродни културни институции")</f>
        <v>Нови тенденции в дигитализирането на писменото наследство в сродни културни институции</v>
      </c>
      <c r="D4264" s="10">
        <f ca="1">IFERROR(__xludf.DUMMYFUNCTION("""COMPUTED_VALUE"""),2019)</f>
        <v>2019</v>
      </c>
      <c r="E4264" s="10" t="str">
        <f ca="1">IFERROR(__xludf.DUMMYFUNCTION("""COMPUTED_VALUE"""),"Библиотеките - ключ към миналото - портал към бъдещето : Доклади от XXIX Национална конференция на ББИА София, 6 - 7 юни 2019 г. - София, 2019, с. 47-51. ISBN 978-954-9837-33-9")</f>
        <v>Библиотеките - ключ към миналото - портал към бъдещето : Доклади от XXIX Национална конференция на ББИА София, 6 - 7 юни 2019 г. - София, 2019, с. 47-51. ISBN 978-954-9837-33-9</v>
      </c>
      <c r="F4264" s="10"/>
      <c r="G4264" s="10"/>
      <c r="H4264" s="10"/>
      <c r="I4264" s="10"/>
      <c r="J4264" s="10"/>
      <c r="K4264" s="10"/>
      <c r="L4264" s="10"/>
      <c r="M4264" s="10"/>
      <c r="N4264" s="10"/>
      <c r="O4264" s="10"/>
      <c r="P4264" s="10"/>
      <c r="Q4264" s="10"/>
      <c r="R4264" s="10"/>
      <c r="S4264" s="10"/>
      <c r="T4264" s="10"/>
      <c r="U4264" s="10"/>
      <c r="V4264" s="10"/>
      <c r="W4264" s="10"/>
      <c r="X4264" s="10"/>
      <c r="Y4264" s="10"/>
      <c r="Z4264" s="10"/>
    </row>
    <row r="4265" spans="1:26" ht="12.75">
      <c r="A4265" s="10" t="str">
        <f ca="1">IFERROR(__xludf.DUMMYFUNCTION("""COMPUTED_VALUE"""),"Калина Йорданова Иванова")</f>
        <v>Калина Йорданова Иванова</v>
      </c>
      <c r="B4265" s="10" t="str">
        <f ca="1">IFERROR(__xludf.DUMMYFUNCTION("""COMPUTED_VALUE"""),"Доклад от конференция")</f>
        <v>Доклад от конференция</v>
      </c>
      <c r="C4265" s="10" t="str">
        <f ca="1">IFERROR(__xludf.DUMMYFUNCTION("""COMPUTED_VALUE"""),"Модернизация на професионалното обучение чрез проект „Мобилна дигилизация”")</f>
        <v>Модернизация на професионалното обучение чрез проект „Мобилна дигилизация”</v>
      </c>
      <c r="D4265" s="10">
        <f ca="1">IFERROR(__xludf.DUMMYFUNCTION("""COMPUTED_VALUE"""),2018)</f>
        <v>2018</v>
      </c>
      <c r="E4265" s="10" t="str">
        <f ca="1">IFERROR(__xludf.DUMMYFUNCTION("""COMPUTED_VALUE"""),"Сборник доклади от годишна университетска научна конференция : Т. 1. Научно направление „Педагогически и хуманитарни науки”. В. Търново, 2018, с. 151-159. ISBN 1314-1937")</f>
        <v>Сборник доклади от годишна университетска научна конференция : Т. 1. Научно направление „Педагогически и хуманитарни науки”. В. Търново, 2018, с. 151-159. ISBN 1314-1937</v>
      </c>
      <c r="F4265" s="10"/>
      <c r="G4265" s="10" t="str">
        <f ca="1">IFERROR(__xludf.DUMMYFUNCTION("""COMPUTED_VALUE"""),"Росен Петков, Даниела Атанасова")</f>
        <v>Росен Петков, Даниела Атанасова</v>
      </c>
      <c r="H4265" s="10"/>
      <c r="I4265" s="10"/>
      <c r="J4265" s="10"/>
      <c r="K4265" s="10"/>
      <c r="L4265" s="10"/>
      <c r="M4265" s="10"/>
      <c r="N4265" s="10"/>
      <c r="O4265" s="10"/>
      <c r="P4265" s="10"/>
      <c r="Q4265" s="10"/>
      <c r="R4265" s="10"/>
      <c r="S4265" s="10"/>
      <c r="T4265" s="10"/>
      <c r="U4265" s="10"/>
      <c r="V4265" s="10"/>
      <c r="W4265" s="10"/>
      <c r="X4265" s="10"/>
      <c r="Y4265" s="10"/>
      <c r="Z4265" s="10"/>
    </row>
    <row r="4266" spans="1:26" ht="12.75">
      <c r="A4266" s="10" t="str">
        <f ca="1">IFERROR(__xludf.DUMMYFUNCTION("""COMPUTED_VALUE"""),"Калина Йорданова Иванова")</f>
        <v>Калина Йорданова Иванова</v>
      </c>
      <c r="B4266" s="10" t="str">
        <f ca="1">IFERROR(__xludf.DUMMYFUNCTION("""COMPUTED_VALUE"""),"Доклад от конференция")</f>
        <v>Доклад от конференция</v>
      </c>
      <c r="C4266" s="10" t="str">
        <f ca="1">IFERROR(__xludf.DUMMYFUNCTION("""COMPUTED_VALUE"""),"Модернизация на професионалното обучение чрез проект „Мобилна дигитализация”")</f>
        <v>Модернизация на професионалното обучение чрез проект „Мобилна дигитализация”</v>
      </c>
      <c r="D4266" s="10">
        <f ca="1">IFERROR(__xludf.DUMMYFUNCTION("""COMPUTED_VALUE"""),2018)</f>
        <v>2018</v>
      </c>
      <c r="E4266" s="10" t="str">
        <f ca="1">IFERROR(__xludf.DUMMYFUNCTION("""COMPUTED_VALUE"""),"Сборник доклади от годишна университетска научна конференция : Т. 1. Научно направление „Педагогически и хуманитарни науки”. В. Търново, 2018, с. 151-159. ISBN 1314-1937")</f>
        <v>Сборник доклади от годишна университетска научна конференция : Т. 1. Научно направление „Педагогически и хуманитарни науки”. В. Търново, 2018, с. 151-159. ISBN 1314-1937</v>
      </c>
      <c r="F4266" s="10"/>
      <c r="G4266" s="10" t="str">
        <f ca="1">IFERROR(__xludf.DUMMYFUNCTION("""COMPUTED_VALUE"""),"Росен Петков, Даниела Атанасова")</f>
        <v>Росен Петков, Даниела Атанасова</v>
      </c>
      <c r="H4266" s="10"/>
      <c r="I4266" s="10"/>
      <c r="J4266" s="10"/>
      <c r="K4266" s="10"/>
      <c r="L4266" s="10"/>
      <c r="M4266" s="10"/>
      <c r="N4266" s="10"/>
      <c r="O4266" s="10"/>
      <c r="P4266" s="10"/>
      <c r="Q4266" s="10"/>
      <c r="R4266" s="10"/>
      <c r="S4266" s="10"/>
      <c r="T4266" s="10"/>
      <c r="U4266" s="10"/>
      <c r="V4266" s="10"/>
      <c r="W4266" s="10"/>
      <c r="X4266" s="10"/>
      <c r="Y4266" s="10"/>
      <c r="Z4266" s="10"/>
    </row>
    <row r="4267" spans="1:26" ht="12.75">
      <c r="A4267" s="10" t="str">
        <f ca="1">IFERROR(__xludf.DUMMYFUNCTION("""COMPUTED_VALUE"""),"Калина Йорданова Иванова")</f>
        <v>Калина Йорданова Иванова</v>
      </c>
      <c r="B4267" s="10" t="str">
        <f ca="1">IFERROR(__xludf.DUMMYFUNCTION("""COMPUTED_VALUE"""),"Доклад от конференция")</f>
        <v>Доклад от конференция</v>
      </c>
      <c r="C4267" s="10" t="str">
        <f ca="1">IFERROR(__xludf.DUMMYFUNCTION("""COMPUTED_VALUE"""),"Етапи в историческото развитие на Великотърновската народна библиотека и приносите на нейните директори за утвърждаването й като важен културен институт")</f>
        <v>Етапи в историческото развитие на Великотърновската народна библиотека и приносите на нейните директори за утвърждаването й като важен културен институт</v>
      </c>
      <c r="D4267" s="10">
        <f ca="1">IFERROR(__xludf.DUMMYFUNCTION("""COMPUTED_VALUE"""),2018)</f>
        <v>2018</v>
      </c>
      <c r="E4267" s="10" t="str">
        <f ca="1">IFERROR(__xludf.DUMMYFUNCTION("""COMPUTED_VALUE"""),"Т р у д о в е н а В е л и к о т ъ р н о в с к и я у н и в е р с и т е т С в . с в . К и р и л и М е т о д и й . С т о п а н с к и ф а к у л т е т , о б щ е с т в е н и к о м у н и к а ц и и и и н ф о р м а ц и о н н и н а у к и , 10, 2018, с. 191-212. ISS"&amp;"N 0204-6369; 2367-8135")</f>
        <v>Т р у д о в е н а В е л и к о т ъ р н о в с к и я у н и в е р с и т е т С в . с в . К и р и л и М е т о д и й . С т о п а н с к и ф а к у л т е т , о б щ е с т в е н и к о м у н и к а ц и и и и н ф о р м а ц и о н н и н а у к и , 10, 2018, с. 191-212. ISSN 0204-6369; 2367-8135</v>
      </c>
      <c r="F4267" s="10"/>
      <c r="G4267" s="10"/>
      <c r="H4267" s="10"/>
      <c r="I4267" s="10"/>
      <c r="J4267" s="10"/>
      <c r="K4267" s="10"/>
      <c r="L4267" s="10"/>
      <c r="M4267" s="10"/>
      <c r="N4267" s="10"/>
      <c r="O4267" s="10"/>
      <c r="P4267" s="10"/>
      <c r="Q4267" s="10"/>
      <c r="R4267" s="10"/>
      <c r="S4267" s="10"/>
      <c r="T4267" s="10"/>
      <c r="U4267" s="10"/>
      <c r="V4267" s="10"/>
      <c r="W4267" s="10"/>
      <c r="X4267" s="10"/>
      <c r="Y4267" s="10"/>
      <c r="Z4267" s="10"/>
    </row>
    <row r="4268" spans="1:26" ht="12.75">
      <c r="A4268" s="10" t="str">
        <f ca="1">IFERROR(__xludf.DUMMYFUNCTION("""COMPUTED_VALUE"""),"Калина Йорданова Иванова")</f>
        <v>Калина Йорданова Иванова</v>
      </c>
      <c r="B4268" s="10" t="str">
        <f ca="1">IFERROR(__xludf.DUMMYFUNCTION("""COMPUTED_VALUE"""),"Доклад от конференция")</f>
        <v>Доклад от конференция</v>
      </c>
      <c r="C4268" s="10" t="str">
        <f ca="1">IFERROR(__xludf.DUMMYFUNCTION("""COMPUTED_VALUE"""),"Ролята на библиотечния мениджър за успешното управление и реализация на проекти с европейско финансиране в обществената библиотека")</f>
        <v>Ролята на библиотечния мениджър за успешното управление и реализация на проекти с европейско финансиране в обществената библиотека</v>
      </c>
      <c r="D4268" s="10">
        <f ca="1">IFERROR(__xludf.DUMMYFUNCTION("""COMPUTED_VALUE"""),2018)</f>
        <v>2018</v>
      </c>
      <c r="E4268" s="10" t="str">
        <f ca="1">IFERROR(__xludf.DUMMYFUNCTION("""COMPUTED_VALUE"""),"В: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София: За буквите – О писменехь, 2018, с.154-165. I"&amp;"SBN 978-619-185-347-2")</f>
        <v>В: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София: За буквите – О писменехь, 2018, с.154-165. ISBN 978-619-185-347-2</v>
      </c>
      <c r="F4268" s="10"/>
      <c r="G4268" s="10"/>
      <c r="H4268" s="10"/>
      <c r="I4268" s="10"/>
      <c r="J4268" s="10"/>
      <c r="K4268" s="10"/>
      <c r="L4268" s="10"/>
      <c r="M4268" s="10"/>
      <c r="N4268" s="10"/>
      <c r="O4268" s="10"/>
      <c r="P4268" s="10"/>
      <c r="Q4268" s="10"/>
      <c r="R4268" s="10"/>
      <c r="S4268" s="10"/>
      <c r="T4268" s="10"/>
      <c r="U4268" s="10"/>
      <c r="V4268" s="10"/>
      <c r="W4268" s="10"/>
      <c r="X4268" s="10"/>
      <c r="Y4268" s="10"/>
      <c r="Z4268" s="10"/>
    </row>
    <row r="4269" spans="1:26" ht="12.75">
      <c r="A4269" s="10" t="str">
        <f ca="1">IFERROR(__xludf.DUMMYFUNCTION("""COMPUTED_VALUE"""),"Калина Йорданова Иванова")</f>
        <v>Калина Йорданова Иванова</v>
      </c>
      <c r="B4269" s="10" t="str">
        <f ca="1">IFERROR(__xludf.DUMMYFUNCTION("""COMPUTED_VALUE"""),"Доклад от конференция")</f>
        <v>Доклад от конференция</v>
      </c>
      <c r="C4269" s="10" t="str">
        <f ca="1">IFERROR(__xludf.DUMMYFUNCTION("""COMPUTED_VALUE"""),"Проект за сътрудничество по програма ""Креативна Европа"", подпрограма ""Култура"" ""G - BOOK! GENDER IDENTITY : CHILD READERS AND LIBRARY COLLECTIONS""")</f>
        <v>Проект за сътрудничество по програма "Креативна Европа", подпрограма "Култура" "G - BOOK! GENDER IDENTITY : CHILD READERS AND LIBRARY COLLECTIONS"</v>
      </c>
      <c r="D4269" s="10">
        <f ca="1">IFERROR(__xludf.DUMMYFUNCTION("""COMPUTED_VALUE"""),2018)</f>
        <v>2018</v>
      </c>
      <c r="E4269" s="10" t="str">
        <f ca="1">IFERROR(__xludf.DUMMYFUNCTION("""COMPUTED_VALUE"""),"Европейски хоризонти : Библиотеките между буквите и бинарния код : Сборник доклади от Национална научна конференция 8 - 9 октомври 2018 г. - Силистра, 2018, с. 171-181 : с цв. ил. ISBN 978-619-7400-36-6")</f>
        <v>Европейски хоризонти : Библиотеките между буквите и бинарния код : Сборник доклади от Национална научна конференция 8 - 9 октомври 2018 г. - Силистра, 2018, с. 171-181 : с цв. ил. ISBN 978-619-7400-36-6</v>
      </c>
      <c r="F4269" s="10"/>
      <c r="G4269" s="10" t="str">
        <f ca="1">IFERROR(__xludf.DUMMYFUNCTION("""COMPUTED_VALUE"""),"Иван Александров")</f>
        <v>Иван Александров</v>
      </c>
      <c r="H4269" s="10"/>
      <c r="I4269" s="10"/>
      <c r="J4269" s="10"/>
      <c r="K4269" s="10"/>
      <c r="L4269" s="10"/>
      <c r="M4269" s="10"/>
      <c r="N4269" s="10"/>
      <c r="O4269" s="10"/>
      <c r="P4269" s="10"/>
      <c r="Q4269" s="10"/>
      <c r="R4269" s="10"/>
      <c r="S4269" s="10"/>
      <c r="T4269" s="10"/>
      <c r="U4269" s="10"/>
      <c r="V4269" s="10"/>
      <c r="W4269" s="10"/>
      <c r="X4269" s="10"/>
      <c r="Y4269" s="10"/>
      <c r="Z4269" s="10"/>
    </row>
    <row r="4270" spans="1:26" ht="12.75">
      <c r="A4270" s="10" t="str">
        <f ca="1">IFERROR(__xludf.DUMMYFUNCTION("""COMPUTED_VALUE"""),"Калина Йорданова Иванова")</f>
        <v>Калина Йорданова Иванова</v>
      </c>
      <c r="B4270" s="10" t="str">
        <f ca="1">IFERROR(__xludf.DUMMYFUNCTION("""COMPUTED_VALUE"""),"Доклад от конференция")</f>
        <v>Доклад от конференция</v>
      </c>
      <c r="C4270" s="10" t="str">
        <f ca="1">IFERROR(__xludf.DUMMYFUNCTION("""COMPUTED_VALUE"""),"Дигитална културна съкровищница ""Север +"" - достъп до културно-историческото наследство в библиотеки, музеи, галерии и местни архивни сбирки")</f>
        <v>Дигитална културна съкровищница "Север +" - достъп до културно-историческото наследство в библиотеки, музеи, галерии и местни архивни сбирки</v>
      </c>
      <c r="D4270" s="10">
        <f ca="1">IFERROR(__xludf.DUMMYFUNCTION("""COMPUTED_VALUE"""),2017)</f>
        <v>2017</v>
      </c>
      <c r="E4270" s="10" t="str">
        <f ca="1">IFERROR(__xludf.DUMMYFUNCTION("""COMPUTED_VALUE"""),"Петнадесета нац. науч. конф. с междунар. участие, 17-18 ноем. 2016 г.: Посветена на дигиталната конверсия на книжовното и културно-историческото наследство. - Велико Търново, 2017, с. 60-69. ISBN 1313-8138")</f>
        <v>Петнадесета нац. науч. конф. с междунар. участие, 17-18 ноем. 2016 г.: Посветена на дигиталната конверсия на книжовното и културно-историческото наследство. - Велико Търново, 2017, с. 60-69. ISBN 1313-8138</v>
      </c>
      <c r="F4270" s="10"/>
      <c r="G4270" s="10"/>
      <c r="H4270" s="10"/>
      <c r="I4270" s="10"/>
      <c r="J4270" s="10"/>
      <c r="K4270" s="10"/>
      <c r="L4270" s="10"/>
      <c r="M4270" s="10"/>
      <c r="N4270" s="10"/>
      <c r="O4270" s="10"/>
      <c r="P4270" s="10"/>
      <c r="Q4270" s="10"/>
      <c r="R4270" s="10"/>
      <c r="S4270" s="10"/>
      <c r="T4270" s="10"/>
      <c r="U4270" s="10"/>
      <c r="V4270" s="10"/>
      <c r="W4270" s="10"/>
      <c r="X4270" s="10"/>
      <c r="Y4270" s="10"/>
      <c r="Z4270" s="10"/>
    </row>
    <row r="4271" spans="1:26" ht="12.75">
      <c r="A4271" s="10" t="str">
        <f ca="1">IFERROR(__xludf.DUMMYFUNCTION("""COMPUTED_VALUE"""),"Калина Йорданова Иванова")</f>
        <v>Калина Йорданова Иванова</v>
      </c>
      <c r="B4271" s="10" t="str">
        <f ca="1">IFERROR(__xludf.DUMMYFUNCTION("""COMPUTED_VALUE"""),"Учебно пособие")</f>
        <v>Учебно пособие</v>
      </c>
      <c r="C4271" s="10" t="str">
        <f ca="1">IFERROR(__xludf.DUMMYFUNCTION("""COMPUTED_VALUE"""),"Съвременни методи за организация и управление на библиотеките")</f>
        <v>Съвременни методи за организация и управление на библиотеките</v>
      </c>
      <c r="D4271" s="10">
        <f ca="1">IFERROR(__xludf.DUMMYFUNCTION("""COMPUTED_VALUE"""),2017)</f>
        <v>2017</v>
      </c>
      <c r="E4271" s="10" t="str">
        <f ca="1">IFERROR(__xludf.DUMMYFUNCTION("""COMPUTED_VALUE"""),"В. Търново : Нар. библ. П. Р. Славейков, 2017. – 231 с.: с прил.ISBN:978-619-7173-16-1")</f>
        <v>В. Търново : Нар. библ. П. Р. Славейков, 2017. – 231 с.: с прил.ISBN:978-619-7173-16-1</v>
      </c>
      <c r="F4271" s="10"/>
      <c r="G4271" s="10"/>
      <c r="H4271" s="10"/>
      <c r="I4271" s="10"/>
      <c r="J4271" s="10"/>
      <c r="K4271" s="10"/>
      <c r="L4271" s="10"/>
      <c r="M4271" s="10"/>
      <c r="N4271" s="10"/>
      <c r="O4271" s="10"/>
      <c r="P4271" s="10"/>
      <c r="Q4271" s="10"/>
      <c r="R4271" s="10"/>
      <c r="S4271" s="10"/>
      <c r="T4271" s="10"/>
      <c r="U4271" s="10"/>
      <c r="V4271" s="10"/>
      <c r="W4271" s="10"/>
      <c r="X4271" s="10"/>
      <c r="Y4271" s="10"/>
      <c r="Z4271" s="10"/>
    </row>
    <row r="4272" spans="1:26" ht="12.75">
      <c r="A4272" s="10" t="str">
        <f ca="1">IFERROR(__xludf.DUMMYFUNCTION("""COMPUTED_VALUE"""),"Калина Йорданова Иванова")</f>
        <v>Калина Йорданова Иванова</v>
      </c>
      <c r="B4272" s="10" t="str">
        <f ca="1">IFERROR(__xludf.DUMMYFUNCTION("""COMPUTED_VALUE"""),"Доклад от конференция")</f>
        <v>Доклад от конференция</v>
      </c>
      <c r="C4272" s="10" t="str">
        <f ca="1">IFERROR(__xludf.DUMMYFUNCTION("""COMPUTED_VALUE"""),"Мобилна дигитализация (MobiDig) – Нов проект на Регионална библиотека „П. Р. Славейков“ от Центъра за развитие на човешките ресурси")</f>
        <v>Мобилна дигитализация (MobiDig) – Нов проект на Регионална библиотека „П. Р. Славейков“ от Центъра за развитие на човешките ресурси</v>
      </c>
      <c r="D4272" s="10">
        <f ca="1">IFERROR(__xludf.DUMMYFUNCTION("""COMPUTED_VALUE"""),2017)</f>
        <v>2017</v>
      </c>
      <c r="E4272" s="10" t="str">
        <f ca="1">IFERROR(__xludf.DUMMYFUNCTION("""COMPUTED_VALUE"""),"Библиотеки-четене-комуникации : Шестнадесета нац. науч. конф. с междунар. участие, Велико Търново,16-17 ноем. 2017г. / Състав. Иванка Янкова, Александър Ковачев, Иван Александров, Калина Иванова. – В.Търново, 2018, с. 380-387. ISSN 1313-8138")</f>
        <v>Библиотеки-четене-комуникации : Шестнадесета нац. науч. конф. с междунар. участие, Велико Търново,16-17 ноем. 2017г. / Състав. Иванка Янкова, Александър Ковачев, Иван Александров, Калина Иванова. – В.Търново, 2018, с. 380-387. ISSN 1313-8138</v>
      </c>
      <c r="F4272" s="10"/>
      <c r="G4272" s="10" t="str">
        <f ca="1">IFERROR(__xludf.DUMMYFUNCTION("""COMPUTED_VALUE"""),"Росен Петков, Даниела Атанасова, Иван Александров, Калоян Здравков")</f>
        <v>Росен Петков, Даниела Атанасова, Иван Александров, Калоян Здравков</v>
      </c>
      <c r="H4272" s="10"/>
      <c r="I4272" s="10"/>
      <c r="J4272" s="10"/>
      <c r="K4272" s="10"/>
      <c r="L4272" s="10"/>
      <c r="M4272" s="10"/>
      <c r="N4272" s="10"/>
      <c r="O4272" s="10"/>
      <c r="P4272" s="10"/>
      <c r="Q4272" s="10"/>
      <c r="R4272" s="10"/>
      <c r="S4272" s="10"/>
      <c r="T4272" s="10"/>
      <c r="U4272" s="10"/>
      <c r="V4272" s="10"/>
      <c r="W4272" s="10"/>
      <c r="X4272" s="10"/>
      <c r="Y4272" s="10"/>
      <c r="Z4272" s="10"/>
    </row>
    <row r="4273" spans="1:26" ht="12.75">
      <c r="A4273" s="10" t="str">
        <f ca="1">IFERROR(__xludf.DUMMYFUNCTION("""COMPUTED_VALUE"""),"Калина Йорданова Иванова")</f>
        <v>Калина Йорданова Иванова</v>
      </c>
      <c r="B4273" s="10" t="str">
        <f ca="1">IFERROR(__xludf.DUMMYFUNCTION("""COMPUTED_VALUE"""),"Доклад от конференция")</f>
        <v>Доклад от конференция</v>
      </c>
      <c r="C4273" s="10" t="str">
        <f ca="1">IFERROR(__xludf.DUMMYFUNCTION("""COMPUTED_VALUE"""),"Ролята на застъпничеството и лобирането за подобряване на условията на работа и на услугите, които Регионална библиотека ""П. Р. Славейков"" предлага на местната общност")</f>
        <v>Ролята на застъпничеството и лобирането за подобряване на условията на работа и на услугите, които Регионална библиотека "П. Р. Славейков" предлага на местната общност</v>
      </c>
      <c r="D4273" s="10">
        <f ca="1">IFERROR(__xludf.DUMMYFUNCTION("""COMPUTED_VALUE"""),2016)</f>
        <v>2016</v>
      </c>
      <c r="E4273" s="10" t="str">
        <f ca="1">IFERROR(__xludf.DUMMYFUNCTION("""COMPUTED_VALUE"""),"В: Да поговорим за застъпничеството и лобирането в българските библиотеки. Сборник с добри практики и идеи. София: За буквите - О писменехь, 2016, с. 53-61. ISBN 978-619-185-258-1")</f>
        <v>В: Да поговорим за застъпничеството и лобирането в българските библиотеки. Сборник с добри практики и идеи. София: За буквите - О писменехь, 2016, с. 53-61. ISBN 978-619-185-258-1</v>
      </c>
      <c r="F4273" s="10"/>
      <c r="G4273" s="10"/>
      <c r="H4273" s="10"/>
      <c r="I4273" s="10"/>
      <c r="J4273" s="10"/>
      <c r="K4273" s="10"/>
      <c r="L4273" s="10"/>
      <c r="M4273" s="10"/>
      <c r="N4273" s="10"/>
      <c r="O4273" s="10"/>
      <c r="P4273" s="10"/>
      <c r="Q4273" s="10"/>
      <c r="R4273" s="10"/>
      <c r="S4273" s="10"/>
      <c r="T4273" s="10"/>
      <c r="U4273" s="10"/>
      <c r="V4273" s="10"/>
      <c r="W4273" s="10"/>
      <c r="X4273" s="10"/>
      <c r="Y4273" s="10"/>
      <c r="Z4273" s="10"/>
    </row>
    <row r="4274" spans="1:26" ht="12.75">
      <c r="A4274" s="10" t="str">
        <f ca="1">IFERROR(__xludf.DUMMYFUNCTION("""COMPUTED_VALUE"""),"Калина Йорданова Иванова")</f>
        <v>Калина Йорданова Иванова</v>
      </c>
      <c r="B4274" s="10" t="str">
        <f ca="1">IFERROR(__xludf.DUMMYFUNCTION("""COMPUTED_VALUE"""),"Доклад от конференция")</f>
        <v>Доклад от конференция</v>
      </c>
      <c r="C4274" s="10" t="str">
        <f ca="1">IFERROR(__xludf.DUMMYFUNCTION("""COMPUTED_VALUE"""),"История и современность Великотырновской народной библиотеки имени Петко Р. Славейкова")</f>
        <v>История и современность Великотырновской народной библиотеки имени Петко Р. Славейкова</v>
      </c>
      <c r="D4274" s="10">
        <f ca="1">IFERROR(__xludf.DUMMYFUNCTION("""COMPUTED_VALUE"""),2016)</f>
        <v>2016</v>
      </c>
      <c r="E4274" s="10" t="str">
        <f ca="1">IFERROR(__xludf.DUMMYFUNCTION("""COMPUTED_VALUE"""),"Петербургская библиотечная школа, – Санкт-Петербург 2016, № 1, с. 82-87. [Инд./Реф. в : ИНИОН РАН] С библиогр. / Иван Александров - Санкт-Петербург, Русия [Инд./Реф. в: ИНИОН РАН]")</f>
        <v>Петербургская библиотечная школа, – Санкт-Петербург 2016, № 1, с. 82-87. [Инд./Реф. в : ИНИОН РАН] С библиогр. / Иван Александров - Санкт-Петербург, Русия [Инд./Реф. в: ИНИОН РАН]</v>
      </c>
      <c r="F4274" s="10"/>
      <c r="G4274" s="10" t="str">
        <f ca="1">IFERROR(__xludf.DUMMYFUNCTION("""COMPUTED_VALUE"""),"Иван Александров")</f>
        <v>Иван Александров</v>
      </c>
      <c r="H4274" s="10"/>
      <c r="I4274" s="10"/>
      <c r="J4274" s="10"/>
      <c r="K4274" s="10"/>
      <c r="L4274" s="10"/>
      <c r="M4274" s="10"/>
      <c r="N4274" s="10"/>
      <c r="O4274" s="10"/>
      <c r="P4274" s="10"/>
      <c r="Q4274" s="10"/>
      <c r="R4274" s="10"/>
      <c r="S4274" s="10"/>
      <c r="T4274" s="10"/>
      <c r="U4274" s="10"/>
      <c r="V4274" s="10"/>
      <c r="W4274" s="10"/>
      <c r="X4274" s="10"/>
      <c r="Y4274" s="10"/>
      <c r="Z4274" s="10"/>
    </row>
    <row r="4275" spans="1:26" ht="12.75">
      <c r="A4275" s="10" t="str">
        <f ca="1">IFERROR(__xludf.DUMMYFUNCTION("""COMPUTED_VALUE"""),"Калина Йорданова Иванова")</f>
        <v>Калина Йорданова Иванова</v>
      </c>
      <c r="B4275" s="10" t="str">
        <f ca="1">IFERROR(__xludf.DUMMYFUNCTION("""COMPUTED_VALUE"""),"Доклад от конференция")</f>
        <v>Доклад от конференция</v>
      </c>
      <c r="C4275" s="10" t="str">
        <f ca="1">IFERROR(__xludf.DUMMYFUNCTION("""COMPUTED_VALUE"""),"Interdisciplinary studies for digitization of collections of cultural heritade in “North +” region")</f>
        <v>Interdisciplinary studies for digitization of collections of cultural heritade in “North +” region</v>
      </c>
      <c r="D4275" s="10">
        <f ca="1">IFERROR(__xludf.DUMMYFUNCTION("""COMPUTED_VALUE"""),2015)</f>
        <v>2015</v>
      </c>
      <c r="E4275" s="10" t="str">
        <f ca="1">IFERROR(__xludf.DUMMYFUNCTION("""COMPUTED_VALUE"""),"Digital Presentation and Preservation of Cultural and Scientific Heritage : International Conference, Veliko Tarnovo, Bulgaria 28-30 September 2015, vol. V. – Sofia, 2015, p. 9-17. ISSN:1314-4006")</f>
        <v>Digital Presentation and Preservation of Cultural and Scientific Heritage : International Conference, Veliko Tarnovo, Bulgaria 28-30 September 2015, vol. V. – Sofia, 2015, p. 9-17. ISSN:1314-4006</v>
      </c>
      <c r="F4275" s="10"/>
      <c r="G4275" s="10" t="str">
        <f ca="1">IFERROR(__xludf.DUMMYFUNCTION("""COMPUTED_VALUE"""),"Galina Bogdanova, Donka Koleva")</f>
        <v>Galina Bogdanova, Donka Koleva</v>
      </c>
      <c r="H4275" s="10"/>
      <c r="I4275" s="10"/>
      <c r="J4275" s="10"/>
      <c r="K4275" s="10"/>
      <c r="L4275" s="10"/>
      <c r="M4275" s="10"/>
      <c r="N4275" s="10"/>
      <c r="O4275" s="10"/>
      <c r="P4275" s="10"/>
      <c r="Q4275" s="10"/>
      <c r="R4275" s="10"/>
      <c r="S4275" s="10"/>
      <c r="T4275" s="10"/>
      <c r="U4275" s="10"/>
      <c r="V4275" s="10"/>
      <c r="W4275" s="10"/>
      <c r="X4275" s="10"/>
      <c r="Y4275" s="10"/>
      <c r="Z4275" s="10"/>
    </row>
    <row r="4276" spans="1:26" ht="12.75">
      <c r="A4276" s="10" t="str">
        <f ca="1">IFERROR(__xludf.DUMMYFUNCTION("""COMPUTED_VALUE"""),"Калина Йорданова Иванова")</f>
        <v>Калина Йорданова Иванова</v>
      </c>
      <c r="B4276" s="10" t="str">
        <f ca="1">IFERROR(__xludf.DUMMYFUNCTION("""COMPUTED_VALUE"""),"Статия в списания и поредици")</f>
        <v>Статия в списания и поредици</v>
      </c>
      <c r="C4276" s="10" t="str">
        <f ca="1">IFERROR(__xludf.DUMMYFUNCTION("""COMPUTED_VALUE"""),"Програмата „Учене през целия живот“- възможност за реализация на идеи и споделяне на добри европейски практики в българските библиотеки &lt;из опита на РНБ „П.Р.Славейков“-В.Търново")</f>
        <v>Програмата „Учене през целия живот“- възможност за реализация на идеи и споделяне на добри европейски практики в българските библиотеки &lt;из опита на РНБ „П.Р.Славейков“-В.Търново</v>
      </c>
      <c r="D4276" s="10">
        <f ca="1">IFERROR(__xludf.DUMMYFUNCTION("""COMPUTED_VALUE"""),2015)</f>
        <v>2015</v>
      </c>
      <c r="E4276" s="10" t="str">
        <f ca="1">IFERROR(__xludf.DUMMYFUNCTION("""COMPUTED_VALUE"""),"ББИА он лайн, 2015, 2, с. 17-19 ISSN 1314-7285")</f>
        <v>ББИА он лайн, 2015, 2, с. 17-19 ISSN 1314-7285</v>
      </c>
      <c r="F4276" s="10"/>
      <c r="G4276" s="10"/>
      <c r="H4276" s="10"/>
      <c r="I4276" s="10"/>
      <c r="J4276" s="10"/>
      <c r="K4276" s="10"/>
      <c r="L4276" s="10"/>
      <c r="M4276" s="10"/>
      <c r="N4276" s="10"/>
      <c r="O4276" s="10"/>
      <c r="P4276" s="10"/>
      <c r="Q4276" s="10"/>
      <c r="R4276" s="10"/>
      <c r="S4276" s="10"/>
      <c r="T4276" s="10"/>
      <c r="U4276" s="10"/>
      <c r="V4276" s="10"/>
      <c r="W4276" s="10"/>
      <c r="X4276" s="10"/>
      <c r="Y4276" s="10"/>
      <c r="Z4276" s="10"/>
    </row>
    <row r="4277" spans="1:26" ht="12.75">
      <c r="A4277" s="10" t="str">
        <f ca="1">IFERROR(__xludf.DUMMYFUNCTION("""COMPUTED_VALUE"""),"Калина Йорданова Иванова")</f>
        <v>Калина Йорданова Иванова</v>
      </c>
      <c r="B4277" s="10" t="str">
        <f ca="1">IFERROR(__xludf.DUMMYFUNCTION("""COMPUTED_VALUE"""),"Доклад от конференция")</f>
        <v>Доклад от конференция</v>
      </c>
      <c r="C4277" s="10" t="str">
        <f ca="1">IFERROR(__xludf.DUMMYFUNCTION("""COMPUTED_VALUE"""),"Обществената библиотека - ""дневната стая на града : Концепция за социализиране и адаптиране на неатрактивни терени и идеен проект за нова сграда на Народна библиотека ""Петко Р. Славейков"" - Велико Търново")</f>
        <v>Обществената библиотека - "дневната стая на града : Концепция за социализиране и адаптиране на неатрактивни терени и идеен проект за нова сграда на Народна библиотека "Петко Р. Славейков" - Велико Търново</v>
      </c>
      <c r="D4277" s="10">
        <f ca="1">IFERROR(__xludf.DUMMYFUNCTION("""COMPUTED_VALUE"""),2015)</f>
        <v>2015</v>
      </c>
      <c r="E4277" s="10" t="str">
        <f ca="1">IFERROR(__xludf.DUMMYFUNCTION("""COMPUTED_VALUE"""),"Визия за бъдещето на библиотеките в България : Доклади от XXV Национална конференция на ББИА Стара Загора, 4-5 юни 2015 г. - София, 2015, с. 33-36. ISBN 978-954-9837-29-2")</f>
        <v>Визия за бъдещето на библиотеките в България : Доклади от XXV Национална конференция на ББИА Стара Загора, 4-5 юни 2015 г. - София, 2015, с. 33-36. ISBN 978-954-9837-29-2</v>
      </c>
      <c r="F4277" s="10"/>
      <c r="G4277" s="10" t="str">
        <f ca="1">IFERROR(__xludf.DUMMYFUNCTION("""COMPUTED_VALUE"""),"Иван Александров")</f>
        <v>Иван Александров</v>
      </c>
      <c r="H4277" s="10"/>
      <c r="I4277" s="10"/>
      <c r="J4277" s="10"/>
      <c r="K4277" s="10"/>
      <c r="L4277" s="10"/>
      <c r="M4277" s="10"/>
      <c r="N4277" s="10"/>
      <c r="O4277" s="10"/>
      <c r="P4277" s="10"/>
      <c r="Q4277" s="10"/>
      <c r="R4277" s="10"/>
      <c r="S4277" s="10"/>
      <c r="T4277" s="10"/>
      <c r="U4277" s="10"/>
      <c r="V4277" s="10"/>
      <c r="W4277" s="10"/>
      <c r="X4277" s="10"/>
      <c r="Y4277" s="10"/>
      <c r="Z4277" s="10"/>
    </row>
    <row r="4278" spans="1:26" ht="12.75">
      <c r="A4278" s="10" t="str">
        <f ca="1">IFERROR(__xludf.DUMMYFUNCTION("""COMPUTED_VALUE"""),"Калина Йорданова Иванова")</f>
        <v>Калина Йорданова Иванова</v>
      </c>
      <c r="B4278" s="10" t="str">
        <f ca="1">IFERROR(__xludf.DUMMYFUNCTION("""COMPUTED_VALUE"""),"Доклад от конференция")</f>
        <v>Доклад от конференция</v>
      </c>
      <c r="C4278" s="10" t="str">
        <f ca="1">IFERROR(__xludf.DUMMYFUNCTION("""COMPUTED_VALUE"""),"Документиране на книжовното и историческо наследство чрез изграждане на дигиталната културна съкровищница Север +")</f>
        <v>Документиране на книжовното и историческо наследство чрез изграждане на дигиталната културна съкровищница Север +</v>
      </c>
      <c r="D4278" s="10">
        <f ca="1">IFERROR(__xludf.DUMMYFUNCTION("""COMPUTED_VALUE"""),2015)</f>
        <v>2015</v>
      </c>
      <c r="E4278" s="10" t="str">
        <f ca="1">IFERROR(__xludf.DUMMYFUNCTION("""COMPUTED_VALUE"""),"Дни на науката ` 2015 / Отг. ред. Петко Ст. Петков. - Велико Търново, 2016, с. 33-37. 
 ISSN 1314-2283")</f>
        <v>Дни на науката ` 2015 / Отг. ред. Петко Ст. Петков. - Велико Търново, 2016, с. 33-37. 
 ISSN 1314-2283</v>
      </c>
      <c r="F4278" s="10"/>
      <c r="G4278" s="10"/>
      <c r="H4278" s="10"/>
      <c r="I4278" s="10"/>
      <c r="J4278" s="10"/>
      <c r="K4278" s="10"/>
      <c r="L4278" s="10"/>
      <c r="M4278" s="10"/>
      <c r="N4278" s="10"/>
      <c r="O4278" s="10"/>
      <c r="P4278" s="10"/>
      <c r="Q4278" s="10"/>
      <c r="R4278" s="10"/>
      <c r="S4278" s="10"/>
      <c r="T4278" s="10"/>
      <c r="U4278" s="10"/>
      <c r="V4278" s="10"/>
      <c r="W4278" s="10"/>
      <c r="X4278" s="10"/>
      <c r="Y4278" s="10"/>
      <c r="Z4278" s="10"/>
    </row>
    <row r="4279" spans="1:26" ht="12.75">
      <c r="A4279" s="10" t="str">
        <f ca="1">IFERROR(__xludf.DUMMYFUNCTION("""COMPUTED_VALUE"""),"Калина Йорданова Иванова")</f>
        <v>Калина Йорданова Иванова</v>
      </c>
      <c r="B4279" s="10" t="str">
        <f ca="1">IFERROR(__xludf.DUMMYFUNCTION("""COMPUTED_VALUE"""),"Монография")</f>
        <v>Монография</v>
      </c>
      <c r="C4279" s="10" t="str">
        <f ca="1">IFERROR(__xludf.DUMMYFUNCTION("""COMPUTED_VALUE"""),"За духовността във Великотърновския регион: опит за историографско изследване на културно просветната дейност")</f>
        <v>За духовността във Великотърновския регион: опит за историографско изследване на културно просветната дейност</v>
      </c>
      <c r="D4279" s="10">
        <f ca="1">IFERROR(__xludf.DUMMYFUNCTION("""COMPUTED_VALUE"""),2015)</f>
        <v>2015</v>
      </c>
      <c r="E4279" s="10" t="str">
        <f ca="1">IFERROR(__xludf.DUMMYFUNCTION("""COMPUTED_VALUE"""),"Велико Търново: Регионална народна библиотека „Петко Р. Славейков”, 2015. ISBN 978-619-7173-06-2")</f>
        <v>Велико Търново: Регионална народна библиотека „Петко Р. Славейков”, 2015. ISBN 978-619-7173-06-2</v>
      </c>
      <c r="F4279" s="10"/>
      <c r="G4279" s="10"/>
      <c r="H4279" s="10"/>
      <c r="I4279" s="10"/>
      <c r="J4279" s="10"/>
      <c r="K4279" s="10"/>
      <c r="L4279" s="10"/>
      <c r="M4279" s="10"/>
      <c r="N4279" s="10"/>
      <c r="O4279" s="10"/>
      <c r="P4279" s="10"/>
      <c r="Q4279" s="10"/>
      <c r="R4279" s="10"/>
      <c r="S4279" s="10"/>
      <c r="T4279" s="10"/>
      <c r="U4279" s="10"/>
      <c r="V4279" s="10"/>
      <c r="W4279" s="10"/>
      <c r="X4279" s="10"/>
      <c r="Y4279" s="10"/>
      <c r="Z4279" s="10"/>
    </row>
    <row r="4280" spans="1:26" ht="12.75">
      <c r="A4280" s="10" t="str">
        <f ca="1">IFERROR(__xludf.DUMMYFUNCTION("""COMPUTED_VALUE"""),"Калина Йорданова Иванова")</f>
        <v>Калина Йорданова Иванова</v>
      </c>
      <c r="B4280" s="10" t="str">
        <f ca="1">IFERROR(__xludf.DUMMYFUNCTION("""COMPUTED_VALUE"""),"Доклад от конференция")</f>
        <v>Доклад от конференция</v>
      </c>
      <c r="C4280" s="10" t="str">
        <f ca="1">IFERROR(__xludf.DUMMYFUNCTION("""COMPUTED_VALUE"""),"Project “North+” : Documenting, Preserving and Providing Public Access to the Cultural Heritage in Libraries, Museums, Archives and Galeries in North and Central Bulgaria")</f>
        <v>Project “North+” : Documenting, Preserving and Providing Public Access to the Cultural Heritage in Libraries, Museums, Archives and Galeries in North and Central Bulgaria</v>
      </c>
      <c r="D4280" s="10">
        <f ca="1">IFERROR(__xludf.DUMMYFUNCTION("""COMPUTED_VALUE"""),2014)</f>
        <v>2014</v>
      </c>
      <c r="E4280" s="10" t="str">
        <f ca="1">IFERROR(__xludf.DUMMYFUNCTION("""COMPUTED_VALUE"""),"UNESCO, International Conference Digital Preservation and Presentation of Cultural and Scientific Heritage-DiPP 14, Veliko Tarnovo, Bulgaria,18-21 Sept., vol. 4, 2014, 263-269. ISSN:1314-4006 (C.E.E.O.L., Google Scholar, EuDML), (2014)")</f>
        <v>UNESCO, International Conference Digital Preservation and Presentation of Cultural and Scientific Heritage-DiPP 14, Veliko Tarnovo, Bulgaria,18-21 Sept., vol. 4, 2014, 263-269. ISSN:1314-4006 (C.E.E.O.L., Google Scholar, EuDML), (2014)</v>
      </c>
      <c r="F4280" s="10"/>
      <c r="G4280" s="10" t="str">
        <f ca="1">IFERROR(__xludf.DUMMYFUNCTION("""COMPUTED_VALUE"""),"Bogdanova G., Zdravkov K., Paneva-Marinova D., Pavlov R.")</f>
        <v>Bogdanova G., Zdravkov K., Paneva-Marinova D., Pavlov R.</v>
      </c>
      <c r="H4280" s="10"/>
      <c r="I4280" s="10"/>
      <c r="J4280" s="10"/>
      <c r="K4280" s="10"/>
      <c r="L4280" s="10"/>
      <c r="M4280" s="10"/>
      <c r="N4280" s="10"/>
      <c r="O4280" s="10"/>
      <c r="P4280" s="10"/>
      <c r="Q4280" s="10"/>
      <c r="R4280" s="10"/>
      <c r="S4280" s="10"/>
      <c r="T4280" s="10"/>
      <c r="U4280" s="10"/>
      <c r="V4280" s="10"/>
      <c r="W4280" s="10"/>
      <c r="X4280" s="10"/>
      <c r="Y4280" s="10"/>
      <c r="Z4280" s="10"/>
    </row>
    <row r="4281" spans="1:26" ht="12.75">
      <c r="A4281" s="10" t="str">
        <f ca="1">IFERROR(__xludf.DUMMYFUNCTION("""COMPUTED_VALUE"""),"Калина Йорданова Иванова")</f>
        <v>Калина Йорданова Иванова</v>
      </c>
      <c r="B4281" s="10" t="str">
        <f ca="1">IFERROR(__xludf.DUMMYFUNCTION("""COMPUTED_VALUE"""),"Книга")</f>
        <v>Книга</v>
      </c>
      <c r="C4281" s="10" t="str">
        <f ca="1">IFERROR(__xludf.DUMMYFUNCTION("""COMPUTED_VALUE"""),"История и съвременност на великотърновската народна библиотека „П. Р. Славейков”")</f>
        <v>История и съвременност на великотърновската народна библиотека „П. Р. Славейков”</v>
      </c>
      <c r="D4281" s="10">
        <f ca="1">IFERROR(__xludf.DUMMYFUNCTION("""COMPUTED_VALUE"""),2014)</f>
        <v>2014</v>
      </c>
      <c r="E4281" s="10" t="str">
        <f ca="1">IFERROR(__xludf.DUMMYFUNCTION("""COMPUTED_VALUE"""),"Велико Търново: Регионална народна библиотека „Петко Р. Славейков”, 2014. ISBN 978-619-7173-01-7")</f>
        <v>Велико Търново: Регионална народна библиотека „Петко Р. Славейков”, 2014. ISBN 978-619-7173-01-7</v>
      </c>
      <c r="F4281" s="10"/>
      <c r="G4281" s="10"/>
      <c r="H4281" s="10"/>
      <c r="I4281" s="10"/>
      <c r="J4281" s="10"/>
      <c r="K4281" s="10"/>
      <c r="L4281" s="10"/>
      <c r="M4281" s="10"/>
      <c r="N4281" s="10"/>
      <c r="O4281" s="10"/>
      <c r="P4281" s="10"/>
      <c r="Q4281" s="10"/>
      <c r="R4281" s="10"/>
      <c r="S4281" s="10"/>
      <c r="T4281" s="10"/>
      <c r="U4281" s="10"/>
      <c r="V4281" s="10"/>
      <c r="W4281" s="10"/>
      <c r="X4281" s="10"/>
      <c r="Y4281" s="10"/>
      <c r="Z4281" s="10"/>
    </row>
    <row r="4282" spans="1:26" ht="12.75">
      <c r="A4282" s="10" t="str">
        <f ca="1">IFERROR(__xludf.DUMMYFUNCTION("""COMPUTED_VALUE"""),"Калина Йорданова Иванова")</f>
        <v>Калина Йорданова Иванова</v>
      </c>
      <c r="B4282" s="10" t="str">
        <f ca="1">IFERROR(__xludf.DUMMYFUNCTION("""COMPUTED_VALUE"""),"Монография")</f>
        <v>Монография</v>
      </c>
      <c r="C4282" s="10" t="str">
        <f ca="1">IFERROR(__xludf.DUMMYFUNCTION("""COMPUTED_VALUE"""),"История и съвременност на великотърновската народна библиотека ""Петко Р. Славейков""")</f>
        <v>История и съвременност на великотърновската народна библиотека "Петко Р. Славейков"</v>
      </c>
      <c r="D4282" s="10">
        <f ca="1">IFERROR(__xludf.DUMMYFUNCTION("""COMPUTED_VALUE"""),2014)</f>
        <v>2014</v>
      </c>
      <c r="E4282" s="10" t="str">
        <f ca="1">IFERROR(__xludf.DUMMYFUNCTION("""COMPUTED_VALUE"""),"- В. Търново : Нар. библ. ""П. Р. Славейков"", 2014. - 319 с. ISBN: 978-619-7173-01-7 - Велико Търново")</f>
        <v>- В. Търново : Нар. библ. "П. Р. Славейков", 2014. - 319 с. ISBN: 978-619-7173-01-7 - Велико Търново</v>
      </c>
      <c r="F4282" s="10"/>
      <c r="G4282" s="10"/>
      <c r="H4282" s="10"/>
      <c r="I4282" s="10"/>
      <c r="J4282" s="10"/>
      <c r="K4282" s="10"/>
      <c r="L4282" s="10"/>
      <c r="M4282" s="10"/>
      <c r="N4282" s="10"/>
      <c r="O4282" s="10"/>
      <c r="P4282" s="10"/>
      <c r="Q4282" s="10"/>
      <c r="R4282" s="10"/>
      <c r="S4282" s="10"/>
      <c r="T4282" s="10"/>
      <c r="U4282" s="10"/>
      <c r="V4282" s="10"/>
      <c r="W4282" s="10"/>
      <c r="X4282" s="10"/>
      <c r="Y4282" s="10"/>
      <c r="Z4282" s="10"/>
    </row>
    <row r="4283" spans="1:26" ht="12.75">
      <c r="A4283" s="10" t="str">
        <f ca="1">IFERROR(__xludf.DUMMYFUNCTION("""COMPUTED_VALUE"""),"Калина Йорданова Иванова")</f>
        <v>Калина Йорданова Иванова</v>
      </c>
      <c r="B4283" s="10" t="str">
        <f ca="1">IFERROR(__xludf.DUMMYFUNCTION("""COMPUTED_VALUE"""),"Книга")</f>
        <v>Книга</v>
      </c>
      <c r="C4283" s="10" t="str">
        <f ca="1">IFERROR(__xludf.DUMMYFUNCTION("""COMPUTED_VALUE"""),"От първите стъпки до днес : Хроника на Народна библиотека „П. Р. Славейков” – Велико Търново")</f>
        <v>От първите стъпки до днес : Хроника на Народна библиотека „П. Р. Славейков” – Велико Търново</v>
      </c>
      <c r="D4283" s="10">
        <f ca="1">IFERROR(__xludf.DUMMYFUNCTION("""COMPUTED_VALUE"""),2013)</f>
        <v>2013</v>
      </c>
      <c r="E4283" s="10" t="str">
        <f ca="1">IFERROR(__xludf.DUMMYFUNCTION("""COMPUTED_VALUE"""),"В. Търново : НБ „П. Р. Славейков”, 2013. – 240 с. : с ил. ISBN 978-954-92946-8")</f>
        <v>В. Търново : НБ „П. Р. Славейков”, 2013. – 240 с. : с ил. ISBN 978-954-92946-8</v>
      </c>
      <c r="F4283" s="10"/>
      <c r="G4283" s="10"/>
      <c r="H4283" s="10"/>
      <c r="I4283" s="10"/>
      <c r="J4283" s="10"/>
      <c r="K4283" s="10"/>
      <c r="L4283" s="10"/>
      <c r="M4283" s="10"/>
      <c r="N4283" s="10"/>
      <c r="O4283" s="10"/>
      <c r="P4283" s="10"/>
      <c r="Q4283" s="10"/>
      <c r="R4283" s="10"/>
      <c r="S4283" s="10"/>
      <c r="T4283" s="10"/>
      <c r="U4283" s="10"/>
      <c r="V4283" s="10"/>
      <c r="W4283" s="10"/>
      <c r="X4283" s="10"/>
      <c r="Y4283" s="10"/>
      <c r="Z4283" s="10"/>
    </row>
    <row r="4284" spans="1:26" ht="12.75">
      <c r="A4284" s="10" t="str">
        <f ca="1">IFERROR(__xludf.DUMMYFUNCTION("""COMPUTED_VALUE"""),"Калина Йорданова Иванова")</f>
        <v>Калина Йорданова Иванова</v>
      </c>
      <c r="B4284" s="10" t="str">
        <f ca="1">IFERROR(__xludf.DUMMYFUNCTION("""COMPUTED_VALUE"""),"Доклад от конференция")</f>
        <v>Доклад от конференция</v>
      </c>
      <c r="C4284" s="10" t="str">
        <f ca="1">IFERROR(__xludf.DUMMYFUNCTION("""COMPUTED_VALUE"""),"Читальньш зал русской периодики и возникновение публичных библиотек в Велико Тырново в конце XIX - начале XX вв.")</f>
        <v>Читальньш зал русской периодики и возникновение публичных библиотек в Велико Тырново в конце XIX - начале XX вв.</v>
      </c>
      <c r="D4284" s="10">
        <f ca="1">IFERROR(__xludf.DUMMYFUNCTION("""COMPUTED_VALUE"""),2011)</f>
        <v>2011</v>
      </c>
      <c r="E4284" s="10" t="str">
        <f ca="1">IFERROR(__xludf.DUMMYFUNCTION("""COMPUTED_VALUE"""),"Чтения памяти Константина Илларионовича Шафрановского (1900-1973): Сборник тр. / Науч. рук. В. П. Леонов; Отв. ред. О. В. Скворцова. - СПб, 2011, с. 249-266. ISBN:978-5-336-00127-3")</f>
        <v>Чтения памяти Константина Илларионовича Шафрановского (1900-1973): Сборник тр. / Науч. рук. В. П. Леонов; Отв. ред. О. В. Скворцова. - СПб, 2011, с. 249-266. ISBN:978-5-336-00127-3</v>
      </c>
      <c r="F4284" s="10"/>
      <c r="G4284" s="10"/>
      <c r="H4284" s="10"/>
      <c r="I4284" s="10"/>
      <c r="J4284" s="10"/>
      <c r="K4284" s="10"/>
      <c r="L4284" s="10"/>
      <c r="M4284" s="10"/>
      <c r="N4284" s="10"/>
      <c r="O4284" s="10"/>
      <c r="P4284" s="10"/>
      <c r="Q4284" s="10"/>
      <c r="R4284" s="10"/>
      <c r="S4284" s="10"/>
      <c r="T4284" s="10"/>
      <c r="U4284" s="10"/>
      <c r="V4284" s="10"/>
      <c r="W4284" s="10"/>
      <c r="X4284" s="10"/>
      <c r="Y4284" s="10"/>
      <c r="Z4284" s="10"/>
    </row>
    <row r="4285" spans="1:26" ht="12.75">
      <c r="A4285" s="10" t="str">
        <f ca="1">IFERROR(__xludf.DUMMYFUNCTION("""COMPUTED_VALUE"""),"Калина Йорданова Иванова")</f>
        <v>Калина Йорданова Иванова</v>
      </c>
      <c r="B4285" s="10" t="str">
        <f ca="1">IFERROR(__xludf.DUMMYFUNCTION("""COMPUTED_VALUE"""),"Доклад от конференция")</f>
        <v>Доклад от конференция</v>
      </c>
      <c r="C4285" s="10" t="str">
        <f ca="1">IFERROR(__xludf.DUMMYFUNCTION("""COMPUTED_VALUE"""),"Обществената библиотека - една неконвенционална среда в сферата на неформалното и информално образование")</f>
        <v>Обществената библиотека - една неконвенционална среда в сферата на неформалното и информално образование</v>
      </c>
      <c r="D4285" s="10">
        <f ca="1">IFERROR(__xludf.DUMMYFUNCTION("""COMPUTED_VALUE"""),2010)</f>
        <v>2010</v>
      </c>
      <c r="E4285" s="10" t="str">
        <f ca="1">IFERROR(__xludf.DUMMYFUNCTION("""COMPUTED_VALUE"""),"Библиотечният мениджмънт. Научни и практически аспекти : Втора науч. конф. е междунар. участие, 26-27 ноем. 2009. - Шумен, 2010, с. 294-301. ISBN 978-954-400-249-7")</f>
        <v>Библиотечният мениджмънт. Научни и практически аспекти : Втора науч. конф. е междунар. участие, 26-27 ноем. 2009. - Шумен, 2010, с. 294-301. ISBN 978-954-400-249-7</v>
      </c>
      <c r="F4285" s="10"/>
      <c r="G4285" s="10"/>
      <c r="H4285" s="10"/>
      <c r="I4285" s="10"/>
      <c r="J4285" s="10"/>
      <c r="K4285" s="10"/>
      <c r="L4285" s="10"/>
      <c r="M4285" s="10"/>
      <c r="N4285" s="10"/>
      <c r="O4285" s="10"/>
      <c r="P4285" s="10"/>
      <c r="Q4285" s="10"/>
      <c r="R4285" s="10"/>
      <c r="S4285" s="10"/>
      <c r="T4285" s="10"/>
      <c r="U4285" s="10"/>
      <c r="V4285" s="10"/>
      <c r="W4285" s="10"/>
      <c r="X4285" s="10"/>
      <c r="Y4285" s="10"/>
      <c r="Z4285" s="10"/>
    </row>
    <row r="4286" spans="1:26" ht="12.75">
      <c r="A4286" s="10" t="str">
        <f ca="1">IFERROR(__xludf.DUMMYFUNCTION("""COMPUTED_VALUE"""),"Калина Йорданова Иванова")</f>
        <v>Калина Йорданова Иванова</v>
      </c>
      <c r="B4286" s="10" t="str">
        <f ca="1">IFERROR(__xludf.DUMMYFUNCTION("""COMPUTED_VALUE"""),"Доклад от конференция")</f>
        <v>Доклад от конференция</v>
      </c>
      <c r="C4286" s="10" t="str">
        <f ca="1">IFERROR(__xludf.DUMMYFUNCTION("""COMPUTED_VALUE"""),"Библиотечно и информационно обслужване на хората е увреждания в Народна библиотека „Петко Р. Славейков” - Велико Търново.")</f>
        <v>Библиотечно и информационно обслужване на хората е увреждания в Народна библиотека „Петко Р. Славейков” - Велико Търново.</v>
      </c>
      <c r="D4286" s="10">
        <f ca="1">IFERROR(__xludf.DUMMYFUNCTION("""COMPUTED_VALUE"""),2009)</f>
        <v>2009</v>
      </c>
      <c r="E4286" s="10" t="str">
        <f ca="1">IFERROR(__xludf.DUMMYFUNCTION("""COMPUTED_VALUE"""),"Добри библиотечни практики : Сб. - С., 2009, с. 124-128. ISBN 978-954-9437-09-6")</f>
        <v>Добри библиотечни практики : Сб. - С., 2009, с. 124-128. ISBN 978-954-9437-09-6</v>
      </c>
      <c r="F4286" s="10"/>
      <c r="G4286" s="10"/>
      <c r="H4286" s="10"/>
      <c r="I4286" s="10"/>
      <c r="J4286" s="10"/>
      <c r="K4286" s="10"/>
      <c r="L4286" s="10"/>
      <c r="M4286" s="10"/>
      <c r="N4286" s="10"/>
      <c r="O4286" s="10"/>
      <c r="P4286" s="10"/>
      <c r="Q4286" s="10"/>
      <c r="R4286" s="10"/>
      <c r="S4286" s="10"/>
      <c r="T4286" s="10"/>
      <c r="U4286" s="10"/>
      <c r="V4286" s="10"/>
      <c r="W4286" s="10"/>
      <c r="X4286" s="10"/>
      <c r="Y4286" s="10"/>
      <c r="Z4286" s="10"/>
    </row>
    <row r="4287" spans="1:26" ht="12.75">
      <c r="A4287" s="10" t="str">
        <f ca="1">IFERROR(__xludf.DUMMYFUNCTION("""COMPUTED_VALUE"""),"Калина Йорданова Иванова")</f>
        <v>Калина Йорданова Иванова</v>
      </c>
      <c r="B4287" s="10" t="str">
        <f ca="1">IFERROR(__xludf.DUMMYFUNCTION("""COMPUTED_VALUE"""),"Доклад от конференция")</f>
        <v>Доклад от конференция</v>
      </c>
      <c r="C4287" s="10" t="str">
        <f ca="1">IFERROR(__xludf.DUMMYFUNCTION("""COMPUTED_VALUE"""),"Приносът на Стилиян Чилингиров за развитието на читалищната и библиотечна дейност във Велико Търново.")</f>
        <v>Приносът на Стилиян Чилингиров за развитието на читалищната и библиотечна дейност във Велико Търново.</v>
      </c>
      <c r="D4287" s="10">
        <f ca="1">IFERROR(__xludf.DUMMYFUNCTION("""COMPUTED_VALUE"""),2007)</f>
        <v>2007</v>
      </c>
      <c r="E4287" s="10" t="str">
        <f ca="1">IFERROR(__xludf.DUMMYFUNCTION("""COMPUTED_VALUE"""),"Национална конференция : 125 г. от рождението на Стилиян Чилингиров. - Шумен, 2006, с. 87-94. ISBN 954-91993-2-1")</f>
        <v>Национална конференция : 125 г. от рождението на Стилиян Чилингиров. - Шумен, 2006, с. 87-94. ISBN 954-91993-2-1</v>
      </c>
      <c r="F4287" s="10"/>
      <c r="G4287" s="10"/>
      <c r="H4287" s="10"/>
      <c r="I4287" s="10"/>
      <c r="J4287" s="10"/>
      <c r="K4287" s="10"/>
      <c r="L4287" s="10"/>
      <c r="M4287" s="10"/>
      <c r="N4287" s="10"/>
      <c r="O4287" s="10"/>
      <c r="P4287" s="10"/>
      <c r="Q4287" s="10"/>
      <c r="R4287" s="10"/>
      <c r="S4287" s="10"/>
      <c r="T4287" s="10"/>
      <c r="U4287" s="10"/>
      <c r="V4287" s="10"/>
      <c r="W4287" s="10"/>
      <c r="X4287" s="10"/>
      <c r="Y4287" s="10"/>
      <c r="Z4287" s="10"/>
    </row>
    <row r="4288" spans="1:26" ht="12.75">
      <c r="A4288" s="10" t="str">
        <f ca="1">IFERROR(__xludf.DUMMYFUNCTION("""COMPUTED_VALUE"""),"Калина Йорданова Иванова")</f>
        <v>Калина Йорданова Иванова</v>
      </c>
      <c r="B4288" s="10" t="str">
        <f ca="1">IFERROR(__xludf.DUMMYFUNCTION("""COMPUTED_VALUE"""),"Доклад от конференция")</f>
        <v>Доклад от конференция</v>
      </c>
      <c r="C4288" s="10" t="str">
        <f ca="1">IFERROR(__xludf.DUMMYFUNCTION("""COMPUTED_VALUE"""),"Моско Москов и Народната библиотека във Велико Търново")</f>
        <v>Моско Москов и Народната библиотека във Велико Търново</v>
      </c>
      <c r="D4288" s="10">
        <f ca="1">IFERROR(__xludf.DUMMYFUNCTION("""COMPUTED_VALUE"""),2005)</f>
        <v>2005</v>
      </c>
      <c r="E4288" s="10" t="str">
        <f ca="1">IFERROR(__xludf.DUMMYFUNCTION("""COMPUTED_VALUE"""),"Моско Москов : Юбил. сб. : 140 г. от рождението му. - В. Търново, 2003, с. 25-35. ISBN 954-736-125-2")</f>
        <v>Моско Москов : Юбил. сб. : 140 г. от рождението му. - В. Търново, 2003, с. 25-35. ISBN 954-736-125-2</v>
      </c>
      <c r="F4288" s="10"/>
      <c r="G4288" s="10"/>
      <c r="H4288" s="10"/>
      <c r="I4288" s="10"/>
      <c r="J4288" s="10"/>
      <c r="K4288" s="10"/>
      <c r="L4288" s="10"/>
      <c r="M4288" s="10"/>
      <c r="N4288" s="10"/>
      <c r="O4288" s="10"/>
      <c r="P4288" s="10"/>
      <c r="Q4288" s="10"/>
      <c r="R4288" s="10"/>
      <c r="S4288" s="10"/>
      <c r="T4288" s="10"/>
      <c r="U4288" s="10"/>
      <c r="V4288" s="10"/>
      <c r="W4288" s="10"/>
      <c r="X4288" s="10"/>
      <c r="Y4288" s="10"/>
      <c r="Z4288" s="10"/>
    </row>
    <row r="4289" spans="1:26" ht="12.75">
      <c r="A4289" s="10" t="str">
        <f ca="1">IFERROR(__xludf.DUMMYFUNCTION("""COMPUTED_VALUE"""),"Калина Кръстева Минчева")</f>
        <v>Калина Кръстева Минчева</v>
      </c>
      <c r="B4289" s="10" t="str">
        <f ca="1">IFERROR(__xludf.DUMMYFUNCTION("""COMPUTED_VALUE"""),"Доклад от конференция")</f>
        <v>Доклад от конференция</v>
      </c>
      <c r="C4289" s="10" t="str">
        <f ca="1">IFERROR(__xludf.DUMMYFUNCTION("""COMPUTED_VALUE"""),"Student Practices: an Opportunity to Develop the Potential of Learners in a Real Working Environment")</f>
        <v>Student Practices: an Opportunity to Develop the Potential of Learners in a Real Working Environment</v>
      </c>
      <c r="D4289" s="10">
        <f ca="1">IFERROR(__xludf.DUMMYFUNCTION("""COMPUTED_VALUE"""),2020)</f>
        <v>2020</v>
      </c>
      <c r="E4289" s="10" t="str">
        <f ca="1">IFERROR(__xludf.DUMMYFUNCTION("""COMPUTED_VALUE"""),"INTED2020: 14th International Technology, Education and
 Development Conference, Valencia, Spain, 2-4 March, 2020, pp. 5151- 5155. ISBN: 978-84-09-17939-8 / ISSN: 2340-1079")</f>
        <v>INTED2020: 14th International Technology, Education and
 Development Conference, Valencia, Spain, 2-4 March, 2020, pp. 5151- 5155. ISBN: 978-84-09-17939-8 / ISSN: 2340-1079</v>
      </c>
      <c r="F4289" s="10" t="str">
        <f ca="1">IFERROR(__xludf.DUMMYFUNCTION("""COMPUTED_VALUE"""),"Web of Science")</f>
        <v>Web of Science</v>
      </c>
      <c r="G4289" s="10" t="str">
        <f ca="1">IFERROR(__xludf.DUMMYFUNCTION("""COMPUTED_VALUE"""),"P. Mukanova, S. Eftimova")</f>
        <v>P. Mukanova, S. Eftimova</v>
      </c>
      <c r="H4289" s="10"/>
      <c r="I4289" s="10"/>
      <c r="J4289" s="10"/>
      <c r="K4289" s="10"/>
      <c r="L4289" s="10"/>
      <c r="M4289" s="10"/>
      <c r="N4289" s="10"/>
      <c r="O4289" s="10"/>
      <c r="P4289" s="10"/>
      <c r="Q4289" s="10"/>
      <c r="R4289" s="10"/>
      <c r="S4289" s="10"/>
      <c r="T4289" s="10"/>
      <c r="U4289" s="10"/>
      <c r="V4289" s="10"/>
      <c r="W4289" s="10"/>
      <c r="X4289" s="10"/>
      <c r="Y4289" s="10"/>
      <c r="Z4289" s="10"/>
    </row>
    <row r="4290" spans="1:26" ht="12.75">
      <c r="A4290" s="10" t="str">
        <f ca="1">IFERROR(__xludf.DUMMYFUNCTION("""COMPUTED_VALUE"""),"Калина Кръстева Минчева")</f>
        <v>Калина Кръстева Минчева</v>
      </c>
      <c r="B4290" s="10" t="str">
        <f ca="1">IFERROR(__xludf.DUMMYFUNCTION("""COMPUTED_VALUE"""),"Доклад от конференция")</f>
        <v>Доклад от конференция</v>
      </c>
      <c r="C4290" s="10" t="str">
        <f ca="1">IFERROR(__xludf.DUMMYFUNCTION("""COMPUTED_VALUE"""),"Пътят от идеята, през текста и илюстрацията до куклата. Примерът на един проект за детска авторска книга")</f>
        <v>Пътят от идеята, през текста и илюстрацията до куклата. Примерът на един проект за детска авторска книга</v>
      </c>
      <c r="D4290" s="10">
        <f ca="1">IFERROR(__xludf.DUMMYFUNCTION("""COMPUTED_VALUE"""),2020)</f>
        <v>2020</v>
      </c>
      <c r="E4290" s="10" t="str">
        <f ca="1">IFERROR(__xludf.DUMMYFUNCTION("""COMPUTED_VALUE"""),"Сборник от кръгла маса на тема: „Куклата – художествени и образователни аспекти“, 31 октомври 2019 г.– С., ИИИзк, БАН, 2020, с 130-150. ISBN: 978-954-8594-87-5")</f>
        <v>Сборник от кръгла маса на тема: „Куклата – художествени и образователни аспекти“, 31 октомври 2019 г.– С., ИИИзк, БАН, 2020, с 130-150. ISBN: 978-954-8594-87-5</v>
      </c>
      <c r="F4290" s="10"/>
      <c r="G4290" s="10"/>
      <c r="H4290" s="10"/>
      <c r="I4290" s="10"/>
      <c r="J4290" s="10"/>
      <c r="K4290" s="10"/>
      <c r="L4290" s="10"/>
      <c r="M4290" s="10"/>
      <c r="N4290" s="10"/>
      <c r="O4290" s="10"/>
      <c r="P4290" s="10"/>
      <c r="Q4290" s="10"/>
      <c r="R4290" s="10"/>
      <c r="S4290" s="10"/>
      <c r="T4290" s="10"/>
      <c r="U4290" s="10"/>
      <c r="V4290" s="10"/>
      <c r="W4290" s="10"/>
      <c r="X4290" s="10"/>
      <c r="Y4290" s="10"/>
      <c r="Z4290" s="10"/>
    </row>
    <row r="4291" spans="1:26" ht="12.75">
      <c r="A4291" s="10" t="str">
        <f ca="1">IFERROR(__xludf.DUMMYFUNCTION("""COMPUTED_VALUE"""),"Калина Кръстева Минчева")</f>
        <v>Калина Кръстева Минчева</v>
      </c>
      <c r="B4291" s="10" t="str">
        <f ca="1">IFERROR(__xludf.DUMMYFUNCTION("""COMPUTED_VALUE"""),"Доклад от конференция")</f>
        <v>Доклад от конференция</v>
      </c>
      <c r="C4291" s="10" t="str">
        <f ca="1">IFERROR(__xludf.DUMMYFUNCTION("""COMPUTED_VALUE"""),"Possibilities for Evaluation of the Visual Culture of Students in Humanitarian Specialties")</f>
        <v>Possibilities for Evaluation of the Visual Culture of Students in Humanitarian Specialties</v>
      </c>
      <c r="D4291" s="10">
        <f ca="1">IFERROR(__xludf.DUMMYFUNCTION("""COMPUTED_VALUE"""),2019)</f>
        <v>2019</v>
      </c>
      <c r="E4291" s="10" t="str">
        <f ca="1">IFERROR(__xludf.DUMMYFUNCTION("""COMPUTED_VALUE"""),"ICERI2019: 12th annual International Conference of Education, Research and Innovation, Seville, Spain, 11-13 November, 2019, pp. . 8043-8048. ISBN: 978-84-09-14755-7/ ISSN: 2340-1095")</f>
        <v>ICERI2019: 12th annual International Conference of Education, Research and Innovation, Seville, Spain, 11-13 November, 2019, pp. . 8043-8048. ISBN: 978-84-09-14755-7/ ISSN: 2340-1095</v>
      </c>
      <c r="F4291" s="10" t="str">
        <f ca="1">IFERROR(__xludf.DUMMYFUNCTION("""COMPUTED_VALUE"""),"Web of Science")</f>
        <v>Web of Science</v>
      </c>
      <c r="G4291" s="10" t="str">
        <f ca="1">IFERROR(__xludf.DUMMYFUNCTION("""COMPUTED_VALUE"""),"K. Rasheva, K. Planska-Simeonova")</f>
        <v>K. Rasheva, K. Planska-Simeonova</v>
      </c>
      <c r="H4291" s="10"/>
      <c r="I4291" s="10"/>
      <c r="J4291" s="10"/>
      <c r="K4291" s="10"/>
      <c r="L4291" s="10"/>
      <c r="M4291" s="10"/>
      <c r="N4291" s="10"/>
      <c r="O4291" s="10"/>
      <c r="P4291" s="10"/>
      <c r="Q4291" s="10"/>
      <c r="R4291" s="10"/>
      <c r="S4291" s="10"/>
      <c r="T4291" s="10"/>
      <c r="U4291" s="10"/>
      <c r="V4291" s="10"/>
      <c r="W4291" s="10"/>
      <c r="X4291" s="10"/>
      <c r="Y4291" s="10"/>
      <c r="Z4291" s="10"/>
    </row>
    <row r="4292" spans="1:26" ht="12.75">
      <c r="A4292" s="10" t="str">
        <f ca="1">IFERROR(__xludf.DUMMYFUNCTION("""COMPUTED_VALUE"""),"Калина Кръстева Минчева")</f>
        <v>Калина Кръстева Минчева</v>
      </c>
      <c r="B4292" s="10" t="str">
        <f ca="1">IFERROR(__xludf.DUMMYFUNCTION("""COMPUTED_VALUE"""),"Доклад от конференция")</f>
        <v>Доклад от конференция</v>
      </c>
      <c r="C4292" s="10" t="str">
        <f ca="1">IFERROR(__xludf.DUMMYFUNCTION("""COMPUTED_VALUE"""),"Електронни ресурси за деца в българското интернет пространство")</f>
        <v>Електронни ресурси за деца в българското интернет пространство</v>
      </c>
      <c r="D4292" s="10">
        <f ca="1">IFERROR(__xludf.DUMMYFUNCTION("""COMPUTED_VALUE"""),2019)</f>
        <v>2019</v>
      </c>
      <c r="E4292" s="10" t="str">
        <f ca="1">IFERROR(__xludf.DUMMYFUNCTION("""COMPUTED_VALUE"""),"Сборник с доклади от XVIII-та национална научна конференция с международно участие „Библиотеки – четене – комуникации“, 14–15 ноември 2019 г., Велико Търново. ISSN 1313-8138")</f>
        <v>Сборник с доклади от XVIII-та национална научна конференция с международно участие „Библиотеки – четене – комуникации“, 14–15 ноември 2019 г., Велико Търново. ISSN 1313-8138</v>
      </c>
      <c r="F4292" s="10"/>
      <c r="G4292" s="10" t="str">
        <f ca="1">IFERROR(__xludf.DUMMYFUNCTION("""COMPUTED_VALUE"""),"Деница Младенова")</f>
        <v>Деница Младенова</v>
      </c>
      <c r="H4292" s="10"/>
      <c r="I4292" s="10"/>
      <c r="J4292" s="10"/>
      <c r="K4292" s="10"/>
      <c r="L4292" s="10"/>
      <c r="M4292" s="10"/>
      <c r="N4292" s="10"/>
      <c r="O4292" s="10"/>
      <c r="P4292" s="10"/>
      <c r="Q4292" s="10"/>
      <c r="R4292" s="10"/>
      <c r="S4292" s="10"/>
      <c r="T4292" s="10"/>
      <c r="U4292" s="10"/>
      <c r="V4292" s="10"/>
      <c r="W4292" s="10"/>
      <c r="X4292" s="10"/>
      <c r="Y4292" s="10"/>
      <c r="Z4292" s="10"/>
    </row>
    <row r="4293" spans="1:26" ht="12.75">
      <c r="A4293" s="10" t="str">
        <f ca="1">IFERROR(__xludf.DUMMYFUNCTION("""COMPUTED_VALUE"""),"Калина Кръстева Минчева")</f>
        <v>Калина Кръстева Минчева</v>
      </c>
      <c r="B4293" s="10" t="str">
        <f ca="1">IFERROR(__xludf.DUMMYFUNCTION("""COMPUTED_VALUE"""),"Статия в списания и поредици")</f>
        <v>Статия в списания и поредици</v>
      </c>
      <c r="C4293" s="10" t="str">
        <f ca="1">IFERROR(__xludf.DUMMYFUNCTION("""COMPUTED_VALUE"""),"Измерения на авторската книга в България")</f>
        <v>Измерения на авторската книга в България</v>
      </c>
      <c r="D4293" s="10">
        <f ca="1">IFERROR(__xludf.DUMMYFUNCTION("""COMPUTED_VALUE"""),2019)</f>
        <v>2019</v>
      </c>
      <c r="E4293" s="10" t="str">
        <f ca="1">IFERROR(__xludf.DUMMYFUNCTION("""COMPUTED_VALUE"""),"Комуникации и политики. Учебно пособие 3.– С., За буквите – О писменехь, 2019. ISSN 2683-0094")</f>
        <v>Комуникации и политики. Учебно пособие 3.– С., За буквите – О писменехь, 2019. ISSN 2683-0094</v>
      </c>
      <c r="F4293" s="10"/>
      <c r="G4293" s="10"/>
      <c r="H4293" s="10"/>
      <c r="I4293" s="10"/>
      <c r="J4293" s="10"/>
      <c r="K4293" s="10"/>
      <c r="L4293" s="10"/>
      <c r="M4293" s="10"/>
      <c r="N4293" s="10"/>
      <c r="O4293" s="10"/>
      <c r="P4293" s="10"/>
      <c r="Q4293" s="10"/>
      <c r="R4293" s="10"/>
      <c r="S4293" s="10"/>
      <c r="T4293" s="10"/>
      <c r="U4293" s="10"/>
      <c r="V4293" s="10"/>
      <c r="W4293" s="10"/>
      <c r="X4293" s="10"/>
      <c r="Y4293" s="10"/>
      <c r="Z4293" s="10"/>
    </row>
    <row r="4294" spans="1:26" ht="12.75">
      <c r="A4294" s="10" t="str">
        <f ca="1">IFERROR(__xludf.DUMMYFUNCTION("""COMPUTED_VALUE"""),"Калина Кръстева Минчева")</f>
        <v>Калина Кръстева Минчева</v>
      </c>
      <c r="B4294" s="10" t="str">
        <f ca="1">IFERROR(__xludf.DUMMYFUNCTION("""COMPUTED_VALUE"""),"Доклад от конференция")</f>
        <v>Доклад от конференция</v>
      </c>
      <c r="C4294" s="10" t="str">
        <f ca="1">IFERROR(__xludf.DUMMYFUNCTION("""COMPUTED_VALUE"""),"European Author’s Books Published in Bulgaria by the end of the 20th Century")</f>
        <v>European Author’s Books Published in Bulgaria by the end of the 20th Century</v>
      </c>
      <c r="D4294" s="10">
        <f ca="1">IFERROR(__xludf.DUMMYFUNCTION("""COMPUTED_VALUE"""),2019)</f>
        <v>2019</v>
      </c>
      <c r="E4294" s="10" t="str">
        <f ca="1">IFERROR(__xludf.DUMMYFUNCTION("""COMPUTED_VALUE"""),"Сollection with Papers of the Fifth Scientific Conference, 26-30
 August 2019, Geneva.– S., Za Bukvite – O Pismenech”, 2019, pp. 35-44. ISSN 2535-0250")</f>
        <v>Сollection with Papers of the Fifth Scientific Conference, 26-30
 August 2019, Geneva.– S., Za Bukvite – O Pismenech”, 2019, pp. 35-44. ISSN 2535-0250</v>
      </c>
      <c r="F4294" s="10"/>
      <c r="G4294" s="10"/>
      <c r="H4294" s="10"/>
      <c r="I4294" s="10"/>
      <c r="J4294" s="10"/>
      <c r="K4294" s="10"/>
      <c r="L4294" s="10"/>
      <c r="M4294" s="10"/>
      <c r="N4294" s="10"/>
      <c r="O4294" s="10"/>
      <c r="P4294" s="10"/>
      <c r="Q4294" s="10"/>
      <c r="R4294" s="10"/>
      <c r="S4294" s="10"/>
      <c r="T4294" s="10"/>
      <c r="U4294" s="10"/>
      <c r="V4294" s="10"/>
      <c r="W4294" s="10"/>
      <c r="X4294" s="10"/>
      <c r="Y4294" s="10"/>
      <c r="Z4294" s="10"/>
    </row>
    <row r="4295" spans="1:26" ht="12.75">
      <c r="A4295" s="10" t="str">
        <f ca="1">IFERROR(__xludf.DUMMYFUNCTION("""COMPUTED_VALUE"""),"Калина Кръстева Минчева")</f>
        <v>Калина Кръстева Минчева</v>
      </c>
      <c r="B4295" s="10" t="str">
        <f ca="1">IFERROR(__xludf.DUMMYFUNCTION("""COMPUTED_VALUE"""),"Доклад от конференция")</f>
        <v>Доклад от конференция</v>
      </c>
      <c r="C4295" s="10" t="str">
        <f ca="1">IFERROR(__xludf.DUMMYFUNCTION("""COMPUTED_VALUE"""),"Чудатостите на Чудомировите таланти")</f>
        <v>Чудатостите на Чудомировите таланти</v>
      </c>
      <c r="D4295" s="10">
        <f ca="1">IFERROR(__xludf.DUMMYFUNCTION("""COMPUTED_VALUE"""),2019)</f>
        <v>2019</v>
      </c>
      <c r="E4295" s="10" t="str">
        <f ca="1">IFERROR(__xludf.DUMMYFUNCTION("""COMPUTED_VALUE"""),"Сборник с доклади от Научна конференция посветена на Чудомир, проведена на 1 април 2018 г. в Казанлък.– В. Търново, 2019, с. 97-109. ISBN 978-619-168-224-9")</f>
        <v>Сборник с доклади от Научна конференция посветена на Чудомир, проведена на 1 април 2018 г. в Казанлък.– В. Търново, 2019, с. 97-109. ISBN 978-619-168-224-9</v>
      </c>
      <c r="F4295" s="10"/>
      <c r="G4295" s="10" t="str">
        <f ca="1">IFERROR(__xludf.DUMMYFUNCTION("""COMPUTED_VALUE"""),"Събина Ефтимова")</f>
        <v>Събина Ефтимова</v>
      </c>
      <c r="H4295" s="10"/>
      <c r="I4295" s="10"/>
      <c r="J4295" s="10"/>
      <c r="K4295" s="10"/>
      <c r="L4295" s="10"/>
      <c r="M4295" s="10"/>
      <c r="N4295" s="10"/>
      <c r="O4295" s="10"/>
      <c r="P4295" s="10"/>
      <c r="Q4295" s="10"/>
      <c r="R4295" s="10"/>
      <c r="S4295" s="10"/>
      <c r="T4295" s="10"/>
      <c r="U4295" s="10"/>
      <c r="V4295" s="10"/>
      <c r="W4295" s="10"/>
      <c r="X4295" s="10"/>
      <c r="Y4295" s="10"/>
      <c r="Z4295" s="10"/>
    </row>
    <row r="4296" spans="1:26" ht="12.75">
      <c r="A4296" s="10" t="str">
        <f ca="1">IFERROR(__xludf.DUMMYFUNCTION("""COMPUTED_VALUE"""),"Калина Кръстева Минчева")</f>
        <v>Калина Кръстева Минчева</v>
      </c>
      <c r="B4296" s="10" t="str">
        <f ca="1">IFERROR(__xludf.DUMMYFUNCTION("""COMPUTED_VALUE"""),"Доклад от конференция")</f>
        <v>Доклад от конференция</v>
      </c>
      <c r="C4296" s="10" t="str">
        <f ca="1">IFERROR(__xludf.DUMMYFUNCTION("""COMPUTED_VALUE"""),"Книги от царската библиотека в областта на изкуството")</f>
        <v>Книги от царската библиотека в областта на изкуството</v>
      </c>
      <c r="D4296" s="10">
        <f ca="1">IFERROR(__xludf.DUMMYFUNCTION("""COMPUTED_VALUE"""),2019)</f>
        <v>2019</v>
      </c>
      <c r="E4296" s="10" t="str">
        <f ca="1">IFERROR(__xludf.DUMMYFUNCTION("""COMPUTED_VALUE"""),"Сборник с доклади от Международен пътуващ семинар на
 УниБИТ – Съвременни измерения на европейското образователно и научно пространство. Българо-австрийски културни общувания, Виена, Австрия, 26-31 май 2019.– С., За буквите – О писменехь, 2019, с. 151-160"&amp;". ISSN: 2367 - 7988")</f>
        <v>Сборник с доклади от Международен пътуващ семинар на
 УниБИТ – Съвременни измерения на европейското образователно и научно пространство. Българо-австрийски културни общувания, Виена, Австрия, 26-31 май 2019.– С., За буквите – О писменехь, 2019, с. 151-160. ISSN: 2367 - 7988</v>
      </c>
      <c r="F4296" s="10"/>
      <c r="G4296" s="10"/>
      <c r="H4296" s="10"/>
      <c r="I4296" s="10"/>
      <c r="J4296" s="10"/>
      <c r="K4296" s="10"/>
      <c r="L4296" s="10"/>
      <c r="M4296" s="10"/>
      <c r="N4296" s="10"/>
      <c r="O4296" s="10"/>
      <c r="P4296" s="10"/>
      <c r="Q4296" s="10"/>
      <c r="R4296" s="10"/>
      <c r="S4296" s="10"/>
      <c r="T4296" s="10"/>
      <c r="U4296" s="10"/>
      <c r="V4296" s="10"/>
      <c r="W4296" s="10"/>
      <c r="X4296" s="10"/>
      <c r="Y4296" s="10"/>
      <c r="Z4296" s="10"/>
    </row>
    <row r="4297" spans="1:26" ht="12.75">
      <c r="A4297" s="10" t="str">
        <f ca="1">IFERROR(__xludf.DUMMYFUNCTION("""COMPUTED_VALUE"""),"Калина Кръстева Минчева")</f>
        <v>Калина Кръстева Минчева</v>
      </c>
      <c r="B4297" s="10" t="str">
        <f ca="1">IFERROR(__xludf.DUMMYFUNCTION("""COMPUTED_VALUE"""),"Доклад от конференция")</f>
        <v>Доклад от конференция</v>
      </c>
      <c r="C4297" s="10" t="str">
        <f ca="1">IFERROR(__xludf.DUMMYFUNCTION("""COMPUTED_VALUE"""),"Scientific research in the field of visual competency")</f>
        <v>Scientific research in the field of visual competency</v>
      </c>
      <c r="D4297" s="10">
        <f ca="1">IFERROR(__xludf.DUMMYFUNCTION("""COMPUTED_VALUE"""),2019)</f>
        <v>2019</v>
      </c>
      <c r="E4297" s="10" t="str">
        <f ca="1">IFERROR(__xludf.DUMMYFUNCTION("""COMPUTED_VALUE"""),"EDULearn19: 11-th International Conference on Education and New Learning Technologies, Palma / Spain, 1-3 July, pp. 5110-5117, 2019. ISBN: 978-84-09-02709-5 / ISSN: 2340-1117")</f>
        <v>EDULearn19: 11-th International Conference on Education and New Learning Technologies, Palma / Spain, 1-3 July, pp. 5110-5117, 2019. ISBN: 978-84-09-02709-5 / ISSN: 2340-1117</v>
      </c>
      <c r="F4297" s="10" t="str">
        <f ca="1">IFERROR(__xludf.DUMMYFUNCTION("""COMPUTED_VALUE"""),"Web of science")</f>
        <v>Web of science</v>
      </c>
      <c r="G4297" s="10" t="str">
        <f ca="1">IFERROR(__xludf.DUMMYFUNCTION("""COMPUTED_VALUE"""),"Kamelia Planska-Simeonova")</f>
        <v>Kamelia Planska-Simeonova</v>
      </c>
      <c r="H4297" s="10"/>
      <c r="I4297" s="10"/>
      <c r="J4297" s="10"/>
      <c r="K4297" s="10"/>
      <c r="L4297" s="10"/>
      <c r="M4297" s="10"/>
      <c r="N4297" s="10"/>
      <c r="O4297" s="10"/>
      <c r="P4297" s="10"/>
      <c r="Q4297" s="10"/>
      <c r="R4297" s="10"/>
      <c r="S4297" s="10"/>
      <c r="T4297" s="10"/>
      <c r="U4297" s="10"/>
      <c r="V4297" s="10"/>
      <c r="W4297" s="10"/>
      <c r="X4297" s="10"/>
      <c r="Y4297" s="10"/>
      <c r="Z4297" s="10"/>
    </row>
    <row r="4298" spans="1:26" ht="12.75">
      <c r="A4298" s="10" t="str">
        <f ca="1">IFERROR(__xludf.DUMMYFUNCTION("""COMPUTED_VALUE"""),"Калина Кръстева Минчева")</f>
        <v>Калина Кръстева Минчева</v>
      </c>
      <c r="B4298" s="10" t="str">
        <f ca="1">IFERROR(__xludf.DUMMYFUNCTION("""COMPUTED_VALUE"""),"Доклад от конференция")</f>
        <v>Доклад от конференция</v>
      </c>
      <c r="C4298" s="10" t="str">
        <f ca="1">IFERROR(__xludf.DUMMYFUNCTION("""COMPUTED_VALUE"""),"Model for Training in Visual Literacy in University Environment")</f>
        <v>Model for Training in Visual Literacy in University Environment</v>
      </c>
      <c r="D4298" s="10">
        <f ca="1">IFERROR(__xludf.DUMMYFUNCTION("""COMPUTED_VALUE"""),2019)</f>
        <v>2019</v>
      </c>
      <c r="E4298" s="10" t="str">
        <f ca="1">IFERROR(__xludf.DUMMYFUNCTION("""COMPUTED_VALUE"""),"ICERI2019: 12th annual International Conference of Education, Research and Innovation, Seville, Spain, 11-13 November, 2019, pp. 8050-8057. ISBN: 978-84-09-14755-7/ ISSN: 2340-1095")</f>
        <v>ICERI2019: 12th annual International Conference of Education, Research and Innovation, Seville, Spain, 11-13 November, 2019, pp. 8050-8057. ISBN: 978-84-09-14755-7/ ISSN: 2340-1095</v>
      </c>
      <c r="F4298" s="10" t="str">
        <f ca="1">IFERROR(__xludf.DUMMYFUNCTION("""COMPUTED_VALUE"""),"Web of Science")</f>
        <v>Web of Science</v>
      </c>
      <c r="G4298" s="10" t="str">
        <f ca="1">IFERROR(__xludf.DUMMYFUNCTION("""COMPUTED_VALUE"""),"K. Planska-Simeonova")</f>
        <v>K. Planska-Simeonova</v>
      </c>
      <c r="H4298" s="10"/>
      <c r="I4298" s="10"/>
      <c r="J4298" s="10"/>
      <c r="K4298" s="10"/>
      <c r="L4298" s="10"/>
      <c r="M4298" s="10"/>
      <c r="N4298" s="10"/>
      <c r="O4298" s="10"/>
      <c r="P4298" s="10"/>
      <c r="Q4298" s="10"/>
      <c r="R4298" s="10"/>
      <c r="S4298" s="10"/>
      <c r="T4298" s="10"/>
      <c r="U4298" s="10"/>
      <c r="V4298" s="10"/>
      <c r="W4298" s="10"/>
      <c r="X4298" s="10"/>
      <c r="Y4298" s="10"/>
      <c r="Z4298" s="10"/>
    </row>
    <row r="4299" spans="1:26" ht="12.75">
      <c r="A4299" s="10" t="str">
        <f ca="1">IFERROR(__xludf.DUMMYFUNCTION("""COMPUTED_VALUE"""),"Калина Кръстева Минчева")</f>
        <v>Калина Кръстева Минчева</v>
      </c>
      <c r="B4299" s="10" t="str">
        <f ca="1">IFERROR(__xludf.DUMMYFUNCTION("""COMPUTED_VALUE"""),"Доклад от конференция")</f>
        <v>Доклад от конференция</v>
      </c>
      <c r="C4299" s="10" t="str">
        <f ca="1">IFERROR(__xludf.DUMMYFUNCTION("""COMPUTED_VALUE"""),"Bulgarian author’s books for children in the 20th century")</f>
        <v>Bulgarian author’s books for children in the 20th century</v>
      </c>
      <c r="D4299" s="10">
        <f ca="1">IFERROR(__xludf.DUMMYFUNCTION("""COMPUTED_VALUE"""),2018)</f>
        <v>2018</v>
      </c>
      <c r="E4299" s="10" t="str">
        <f ca="1">IFERROR(__xludf.DUMMYFUNCTION("""COMPUTED_VALUE"""),"Сборник от научен семинар „Съвременни стратегии и иновации в управление на знанието”, проведен на 27 ноември 2018 г., Брюксел.– С., За буквите – О писменехь, 2018, p. 66-69. ISSN: 2535-0250")</f>
        <v>Сборник от научен семинар „Съвременни стратегии и иновации в управление на знанието”, проведен на 27 ноември 2018 г., Брюксел.– С., За буквите – О писменехь, 2018, p. 66-69. ISSN: 2535-0250</v>
      </c>
      <c r="F4299" s="10"/>
      <c r="G4299" s="10"/>
      <c r="H4299" s="10"/>
      <c r="I4299" s="10"/>
      <c r="J4299" s="10"/>
      <c r="K4299" s="10"/>
      <c r="L4299" s="10"/>
      <c r="M4299" s="10"/>
      <c r="N4299" s="10"/>
      <c r="O4299" s="10"/>
      <c r="P4299" s="10"/>
      <c r="Q4299" s="10"/>
      <c r="R4299" s="10"/>
      <c r="S4299" s="10"/>
      <c r="T4299" s="10"/>
      <c r="U4299" s="10"/>
      <c r="V4299" s="10"/>
      <c r="W4299" s="10"/>
      <c r="X4299" s="10"/>
      <c r="Y4299" s="10"/>
      <c r="Z4299" s="10"/>
    </row>
    <row r="4300" spans="1:26" ht="12.75">
      <c r="A4300" s="10" t="str">
        <f ca="1">IFERROR(__xludf.DUMMYFUNCTION("""COMPUTED_VALUE"""),"Калина Кръстева Минчева")</f>
        <v>Калина Кръстева Минчева</v>
      </c>
      <c r="B4300" s="10" t="str">
        <f ca="1">IFERROR(__xludf.DUMMYFUNCTION("""COMPUTED_VALUE"""),"Доклад от конференция")</f>
        <v>Доклад от конференция</v>
      </c>
      <c r="C4300" s="10" t="str">
        <f ca="1">IFERROR(__xludf.DUMMYFUNCTION("""COMPUTED_VALUE"""),"Литературният текст за деца и илюстрацията – съперници или съюзници")</f>
        <v>Литературният текст за деца и илюстрацията – съперници или съюзници</v>
      </c>
      <c r="D4300" s="10">
        <f ca="1">IFERROR(__xludf.DUMMYFUNCTION("""COMPUTED_VALUE"""),2018)</f>
        <v>2018</v>
      </c>
      <c r="E4300" s="10" t="str">
        <f ca="1">IFERROR(__xludf.DUMMYFUNCTION("""COMPUTED_VALUE"""),"Научни трудове на Съюза на учените в България – Пловдив Серия A. Обществени науки, изкуство и култура том IV, ISSN 1311-9400 (Print); ISSN2534-9368 (On-line), 2017, с. 35- 39.")</f>
        <v>Научни трудове на Съюза на учените в България – Пловдив Серия A. Обществени науки, изкуство и култура том IV, ISSN 1311-9400 (Print); ISSN2534-9368 (On-line), 2017, с. 35- 39.</v>
      </c>
      <c r="F4300" s="10"/>
      <c r="G4300" s="10" t="str">
        <f ca="1">IFERROR(__xludf.DUMMYFUNCTION("""COMPUTED_VALUE"""),"Събина Ефтимова")</f>
        <v>Събина Ефтимова</v>
      </c>
      <c r="H4300" s="10"/>
      <c r="I4300" s="10"/>
      <c r="J4300" s="10"/>
      <c r="K4300" s="10"/>
      <c r="L4300" s="10"/>
      <c r="M4300" s="10"/>
      <c r="N4300" s="10"/>
      <c r="O4300" s="10"/>
      <c r="P4300" s="10"/>
      <c r="Q4300" s="10"/>
      <c r="R4300" s="10"/>
      <c r="S4300" s="10"/>
      <c r="T4300" s="10"/>
      <c r="U4300" s="10"/>
      <c r="V4300" s="10"/>
      <c r="W4300" s="10"/>
      <c r="X4300" s="10"/>
      <c r="Y4300" s="10"/>
      <c r="Z4300" s="10"/>
    </row>
    <row r="4301" spans="1:26" ht="12.75">
      <c r="A4301" s="10" t="str">
        <f ca="1">IFERROR(__xludf.DUMMYFUNCTION("""COMPUTED_VALUE"""),"Калина Кръстева Минчева")</f>
        <v>Калина Кръстева Минчева</v>
      </c>
      <c r="B4301" s="10" t="str">
        <f ca="1">IFERROR(__xludf.DUMMYFUNCTION("""COMPUTED_VALUE"""),"Доклад от конференция")</f>
        <v>Доклад от конференция</v>
      </c>
      <c r="C4301" s="10" t="str">
        <f ca="1">IFERROR(__xludf.DUMMYFUNCTION("""COMPUTED_VALUE"""),"Чудомир в историята на българската илюстрация")</f>
        <v>Чудомир в историята на българската илюстрация</v>
      </c>
      <c r="D4301" s="10">
        <f ca="1">IFERROR(__xludf.DUMMYFUNCTION("""COMPUTED_VALUE"""),2018)</f>
        <v>2018</v>
      </c>
      <c r="E4301" s="10" t="str">
        <f ca="1">IFERROR(__xludf.DUMMYFUNCTION("""COMPUTED_VALUE"""),"Сборник с доклади от Научна конференция посветена на Чудомир, проведена на 1 април 2017 г. в Казанлък.– В. Търново, 2018, с. 53-64.")</f>
        <v>Сборник с доклади от Научна конференция посветена на Чудомир, проведена на 1 април 2017 г. в Казанлък.– В. Търново, 2018, с. 53-64.</v>
      </c>
      <c r="F4301" s="10"/>
      <c r="G4301" s="10"/>
      <c r="H4301" s="10"/>
      <c r="I4301" s="10"/>
      <c r="J4301" s="10"/>
      <c r="K4301" s="10"/>
      <c r="L4301" s="10"/>
      <c r="M4301" s="10"/>
      <c r="N4301" s="10"/>
      <c r="O4301" s="10"/>
      <c r="P4301" s="10"/>
      <c r="Q4301" s="10"/>
      <c r="R4301" s="10"/>
      <c r="S4301" s="10"/>
      <c r="T4301" s="10"/>
      <c r="U4301" s="10"/>
      <c r="V4301" s="10"/>
      <c r="W4301" s="10"/>
      <c r="X4301" s="10"/>
      <c r="Y4301" s="10"/>
      <c r="Z4301" s="10"/>
    </row>
    <row r="4302" spans="1:26" ht="12.75">
      <c r="A4302" s="10" t="str">
        <f ca="1">IFERROR(__xludf.DUMMYFUNCTION("""COMPUTED_VALUE"""),"Калина Кръстева Минчева")</f>
        <v>Калина Кръстева Минчева</v>
      </c>
      <c r="B4302" s="10" t="str">
        <f ca="1">IFERROR(__xludf.DUMMYFUNCTION("""COMPUTED_VALUE"""),"Статия в списания и поредици")</f>
        <v>Статия в списания и поредици</v>
      </c>
      <c r="C4302" s="10" t="str">
        <f ca="1">IFERROR(__xludf.DUMMYFUNCTION("""COMPUTED_VALUE"""),"За понятията авторска книга, арткнига, авторско издание")</f>
        <v>За понятията авторска книга, арткнига, авторско издание</v>
      </c>
      <c r="D4302" s="10">
        <f ca="1">IFERROR(__xludf.DUMMYFUNCTION("""COMPUTED_VALUE"""),2018)</f>
        <v>2018</v>
      </c>
      <c r="E4302" s="10" t="str">
        <f ca="1">IFERROR(__xludf.DUMMYFUNCTION("""COMPUTED_VALUE"""),"Комуникации и политики. Учебно пособие 2.– С., За буквите – О писменехь, 2018. ISSN 1314-7323")</f>
        <v>Комуникации и политики. Учебно пособие 2.– С., За буквите – О писменехь, 2018. ISSN 1314-7323</v>
      </c>
      <c r="F4302" s="10"/>
      <c r="G4302" s="10"/>
      <c r="H4302" s="10"/>
      <c r="I4302" s="10"/>
      <c r="J4302" s="10"/>
      <c r="K4302" s="10"/>
      <c r="L4302" s="10"/>
      <c r="M4302" s="10"/>
      <c r="N4302" s="10"/>
      <c r="O4302" s="10"/>
      <c r="P4302" s="10"/>
      <c r="Q4302" s="10"/>
      <c r="R4302" s="10"/>
      <c r="S4302" s="10"/>
      <c r="T4302" s="10"/>
      <c r="U4302" s="10"/>
      <c r="V4302" s="10"/>
      <c r="W4302" s="10"/>
      <c r="X4302" s="10"/>
      <c r="Y4302" s="10"/>
      <c r="Z4302" s="10"/>
    </row>
    <row r="4303" spans="1:26" ht="12.75">
      <c r="A4303" s="10" t="str">
        <f ca="1">IFERROR(__xludf.DUMMYFUNCTION("""COMPUTED_VALUE"""),"Калина Кръстева Минчева")</f>
        <v>Калина Кръстева Минчева</v>
      </c>
      <c r="B4303" s="10" t="str">
        <f ca="1">IFERROR(__xludf.DUMMYFUNCTION("""COMPUTED_VALUE"""),"Доклад от конференция")</f>
        <v>Доклад от конференция</v>
      </c>
      <c r="C4303" s="10" t="str">
        <f ca="1">IFERROR(__xludf.DUMMYFUNCTION("""COMPUTED_VALUE"""),"Европейски авторски книги до края на ХХ век издавани в България")</f>
        <v>Европейски авторски книги до края на ХХ век издавани в България</v>
      </c>
      <c r="D4303" s="10">
        <f ca="1">IFERROR(__xludf.DUMMYFUNCTION("""COMPUTED_VALUE"""),2018)</f>
        <v>2018</v>
      </c>
      <c r="E4303" s="10" t="str">
        <f ca="1">IFERROR(__xludf.DUMMYFUNCTION("""COMPUTED_VALUE"""),"Сборник от Шеснадесета национална научна конференция с международно участие. „Обществото на знанието и хуманизмът на XXI век”, УниБИТ, София, 1 ноември 2018 г. – С., За буквите – О писменехь, 2018.")</f>
        <v>Сборник от Шеснадесета национална научна конференция с международно участие. „Обществото на знанието и хуманизмът на XXI век”, УниБИТ, София, 1 ноември 2018 г. – С., За буквите – О писменехь, 2018.</v>
      </c>
      <c r="F4303" s="10"/>
      <c r="G4303" s="10"/>
      <c r="H4303" s="10"/>
      <c r="I4303" s="10"/>
      <c r="J4303" s="10"/>
      <c r="K4303" s="10"/>
      <c r="L4303" s="10"/>
      <c r="M4303" s="10"/>
      <c r="N4303" s="10"/>
      <c r="O4303" s="10"/>
      <c r="P4303" s="10"/>
      <c r="Q4303" s="10"/>
      <c r="R4303" s="10"/>
      <c r="S4303" s="10"/>
      <c r="T4303" s="10"/>
      <c r="U4303" s="10"/>
      <c r="V4303" s="10"/>
      <c r="W4303" s="10"/>
      <c r="X4303" s="10"/>
      <c r="Y4303" s="10"/>
      <c r="Z4303" s="10"/>
    </row>
    <row r="4304" spans="1:26" ht="12.75">
      <c r="A4304" s="10" t="str">
        <f ca="1">IFERROR(__xludf.DUMMYFUNCTION("""COMPUTED_VALUE"""),"Калина Кръстева Минчева")</f>
        <v>Калина Кръстева Минчева</v>
      </c>
      <c r="B4304" s="10" t="str">
        <f ca="1">IFERROR(__xludf.DUMMYFUNCTION("""COMPUTED_VALUE"""),"Доклад от конференция")</f>
        <v>Доклад от конференция</v>
      </c>
      <c r="C4304" s="10" t="str">
        <f ca="1">IFERROR(__xludf.DUMMYFUNCTION("""COMPUTED_VALUE"""),"Илюстрация на българската детска книгата като обект на авторско право.")</f>
        <v>Илюстрация на българската детска книгата като обект на авторско право.</v>
      </c>
      <c r="D4304" s="10">
        <f ca="1">IFERROR(__xludf.DUMMYFUNCTION("""COMPUTED_VALUE"""),2017)</f>
        <v>2017</v>
      </c>
      <c r="E4304" s="10" t="str">
        <f ca="1">IFERROR(__xludf.DUMMYFUNCTION("""COMPUTED_VALUE"""),"Сборник с доклади от Втората научна конференция на УМЛАУЗ ""Съвременни стратегии и иновации в управление на знанието"", която ще се проведе в периода 2-4 ноември 2015 г. в гр. Костенец. – С., За буквите – О писменехь, 2017, с. 131-140.")</f>
        <v>Сборник с доклади от Втората научна конференция на УМЛАУЗ "Съвременни стратегии и иновации в управление на знанието", която ще се проведе в периода 2-4 ноември 2015 г. в гр. Костенец. – С., За буквите – О писменехь, 2017, с. 131-140.</v>
      </c>
      <c r="F4304" s="10"/>
      <c r="G4304" s="10"/>
      <c r="H4304" s="10"/>
      <c r="I4304" s="10"/>
      <c r="J4304" s="10"/>
      <c r="K4304" s="10"/>
      <c r="L4304" s="10"/>
      <c r="M4304" s="10"/>
      <c r="N4304" s="10"/>
      <c r="O4304" s="10"/>
      <c r="P4304" s="10"/>
      <c r="Q4304" s="10"/>
      <c r="R4304" s="10"/>
      <c r="S4304" s="10"/>
      <c r="T4304" s="10"/>
      <c r="U4304" s="10"/>
      <c r="V4304" s="10"/>
      <c r="W4304" s="10"/>
      <c r="X4304" s="10"/>
      <c r="Y4304" s="10"/>
      <c r="Z4304" s="10"/>
    </row>
    <row r="4305" spans="1:26" ht="12.75">
      <c r="A4305" s="10" t="str">
        <f ca="1">IFERROR(__xludf.DUMMYFUNCTION("""COMPUTED_VALUE"""),"Калина Кръстева Минчева")</f>
        <v>Калина Кръстева Минчева</v>
      </c>
      <c r="B4305" s="10" t="str">
        <f ca="1">IFERROR(__xludf.DUMMYFUNCTION("""COMPUTED_VALUE"""),"Доклад от конференция")</f>
        <v>Доклад от конференция</v>
      </c>
      <c r="C4305" s="10" t="str">
        <f ca="1">IFERROR(__xludf.DUMMYFUNCTION("""COMPUTED_VALUE"""),"Патиланци през калейдоскопа на времето. Първа част")</f>
        <v>Патиланци през калейдоскопа на времето. Първа част</v>
      </c>
      <c r="D4305" s="10">
        <f ca="1">IFERROR(__xludf.DUMMYFUNCTION("""COMPUTED_VALUE"""),2017)</f>
        <v>2017</v>
      </c>
      <c r="E4305" s="10" t="str">
        <f ca="1">IFERROR(__xludf.DUMMYFUNCTION("""COMPUTED_VALUE"""),"Четиринадесета национална научна конференция с международно участие. „Обществото на знанието и хуманизмът на XXI век”, УниБИТ, София, 1 ноември 2016 г. – С., За буквите – О писменехь, 2017, с. 257-271. ISSN 1314-7099")</f>
        <v>Четиринадесета национална научна конференция с международно участие. „Обществото на знанието и хуманизмът на XXI век”, УниБИТ, София, 1 ноември 2016 г. – С., За буквите – О писменехь, 2017, с. 257-271. ISSN 1314-7099</v>
      </c>
      <c r="F4305" s="10"/>
      <c r="G4305" s="10" t="str">
        <f ca="1">IFERROR(__xludf.DUMMYFUNCTION("""COMPUTED_VALUE"""),"Събина Ефтимова")</f>
        <v>Събина Ефтимова</v>
      </c>
      <c r="H4305" s="10"/>
      <c r="I4305" s="10"/>
      <c r="J4305" s="10"/>
      <c r="K4305" s="10"/>
      <c r="L4305" s="10"/>
      <c r="M4305" s="10"/>
      <c r="N4305" s="10"/>
      <c r="O4305" s="10"/>
      <c r="P4305" s="10"/>
      <c r="Q4305" s="10"/>
      <c r="R4305" s="10"/>
      <c r="S4305" s="10"/>
      <c r="T4305" s="10"/>
      <c r="U4305" s="10"/>
      <c r="V4305" s="10"/>
      <c r="W4305" s="10"/>
      <c r="X4305" s="10"/>
      <c r="Y4305" s="10"/>
      <c r="Z4305" s="10"/>
    </row>
    <row r="4306" spans="1:26" ht="12.75">
      <c r="A4306" s="10" t="str">
        <f ca="1">IFERROR(__xludf.DUMMYFUNCTION("""COMPUTED_VALUE"""),"Калина Кръстева Минчева")</f>
        <v>Калина Кръстева Минчева</v>
      </c>
      <c r="B4306" s="10" t="str">
        <f ca="1">IFERROR(__xludf.DUMMYFUNCTION("""COMPUTED_VALUE"""),"Доклад от конференция")</f>
        <v>Доклад от конференция</v>
      </c>
      <c r="C4306" s="10" t="str">
        <f ca="1">IFERROR(__xludf.DUMMYFUNCTION("""COMPUTED_VALUE"""),"Патиланци през калейдоскопа на времето. Втора част")</f>
        <v>Патиланци през калейдоскопа на времето. Втора част</v>
      </c>
      <c r="D4306" s="10">
        <f ca="1">IFERROR(__xludf.DUMMYFUNCTION("""COMPUTED_VALUE"""),2017)</f>
        <v>2017</v>
      </c>
      <c r="E4306" s="10" t="str">
        <f ca="1">IFERROR(__xludf.DUMMYFUNCTION("""COMPUTED_VALUE"""),"Научен семинар „Съвременни стратегии и иновации в управление на знанието”, проведен на 3 - 5 май 2017 г., в Европейския парламент в Брюксел. – С., За буквите – О писменехь, 2017, с. 70-95.")</f>
        <v>Научен семинар „Съвременни стратегии и иновации в управление на знанието”, проведен на 3 - 5 май 2017 г., в Европейския парламент в Брюксел. – С., За буквите – О писменехь, 2017, с. 70-95.</v>
      </c>
      <c r="F4306" s="10"/>
      <c r="G4306" s="10" t="str">
        <f ca="1">IFERROR(__xludf.DUMMYFUNCTION("""COMPUTED_VALUE"""),"Събина Ефтимова, Поли Муканова")</f>
        <v>Събина Ефтимова, Поли Муканова</v>
      </c>
      <c r="H4306" s="10"/>
      <c r="I4306" s="10"/>
      <c r="J4306" s="10"/>
      <c r="K4306" s="10"/>
      <c r="L4306" s="10"/>
      <c r="M4306" s="10"/>
      <c r="N4306" s="10"/>
      <c r="O4306" s="10"/>
      <c r="P4306" s="10"/>
      <c r="Q4306" s="10"/>
      <c r="R4306" s="10"/>
      <c r="S4306" s="10"/>
      <c r="T4306" s="10"/>
      <c r="U4306" s="10"/>
      <c r="V4306" s="10"/>
      <c r="W4306" s="10"/>
      <c r="X4306" s="10"/>
      <c r="Y4306" s="10"/>
      <c r="Z4306" s="10"/>
    </row>
    <row r="4307" spans="1:26" ht="12.75">
      <c r="A4307" s="10" t="str">
        <f ca="1">IFERROR(__xludf.DUMMYFUNCTION("""COMPUTED_VALUE"""),"Калина Кръстева Минчева")</f>
        <v>Калина Кръстева Минчева</v>
      </c>
      <c r="B4307" s="10" t="str">
        <f ca="1">IFERROR(__xludf.DUMMYFUNCTION("""COMPUTED_VALUE"""),"Доклад от конференция")</f>
        <v>Доклад от конференция</v>
      </c>
      <c r="C4307" s="10" t="str">
        <f ca="1">IFERROR(__xludf.DUMMYFUNCTION("""COMPUTED_VALUE"""),"„Сладкият мехлем” за раната на читателя в творчеството на Чудомир. Първа част")</f>
        <v>„Сладкият мехлем” за раната на читателя в творчеството на Чудомир. Първа част</v>
      </c>
      <c r="D4307" s="10">
        <f ca="1">IFERROR(__xludf.DUMMYFUNCTION("""COMPUTED_VALUE"""),2017)</f>
        <v>2017</v>
      </c>
      <c r="E4307" s="10" t="str">
        <f ca="1">IFERROR(__xludf.DUMMYFUNCTION("""COMPUTED_VALUE"""),"Международен пътуващ семинар на УниБИТ „Съвременни измерения на европейското образователно и научно пространство. Българо-гръцки културни общувания“ 29 май - 05 юни 2017 г. Република Гърция . Т. 5. – С., За буквите – О писменехь, 2017, с. 231-235.")</f>
        <v>Международен пътуващ семинар на УниБИТ „Съвременни измерения на европейското образователно и научно пространство. Българо-гръцки културни общувания“ 29 май - 05 юни 2017 г. Република Гърция . Т. 5. – С., За буквите – О писменехь, 2017, с. 231-235.</v>
      </c>
      <c r="F4307" s="10"/>
      <c r="G4307" s="10" t="str">
        <f ca="1">IFERROR(__xludf.DUMMYFUNCTION("""COMPUTED_VALUE"""),"Събина Ефтимова")</f>
        <v>Събина Ефтимова</v>
      </c>
      <c r="H4307" s="10"/>
      <c r="I4307" s="10"/>
      <c r="J4307" s="10"/>
      <c r="K4307" s="10"/>
      <c r="L4307" s="10"/>
      <c r="M4307" s="10"/>
      <c r="N4307" s="10"/>
      <c r="O4307" s="10"/>
      <c r="P4307" s="10"/>
      <c r="Q4307" s="10"/>
      <c r="R4307" s="10"/>
      <c r="S4307" s="10"/>
      <c r="T4307" s="10"/>
      <c r="U4307" s="10"/>
      <c r="V4307" s="10"/>
      <c r="W4307" s="10"/>
      <c r="X4307" s="10"/>
      <c r="Y4307" s="10"/>
      <c r="Z4307" s="10"/>
    </row>
    <row r="4308" spans="1:26" ht="12.75">
      <c r="A4308" s="10" t="str">
        <f ca="1">IFERROR(__xludf.DUMMYFUNCTION("""COMPUTED_VALUE"""),"Калина Кръстева Минчева")</f>
        <v>Калина Кръстева Минчева</v>
      </c>
      <c r="B4308" s="10" t="str">
        <f ca="1">IFERROR(__xludf.DUMMYFUNCTION("""COMPUTED_VALUE"""),"Доклад от конференция")</f>
        <v>Доклад от конференция</v>
      </c>
      <c r="C4308" s="10" t="str">
        <f ca="1">IFERROR(__xludf.DUMMYFUNCTION("""COMPUTED_VALUE"""),"Авторски книги в българското книгоиздаване от първата половина на ХХ век")</f>
        <v>Авторски книги в българското книгоиздаване от първата половина на ХХ век</v>
      </c>
      <c r="D4308" s="10">
        <f ca="1">IFERROR(__xludf.DUMMYFUNCTION("""COMPUTED_VALUE"""),2016)</f>
        <v>2016</v>
      </c>
      <c r="E4308" s="10" t="str">
        <f ca="1">IFERROR(__xludf.DUMMYFUNCTION("""COMPUTED_VALUE"""),"Сборник с доклади от Десети международен пътуващ семинар на УниБИТ, проведен в Будапеща на 30 май – 5 юни 2016 г. Т. 4. – С., За буквите – О писменехь, 2016, с. 84-90.")</f>
        <v>Сборник с доклади от Десети международен пътуващ семинар на УниБИТ, проведен в Будапеща на 30 май – 5 юни 2016 г. Т. 4. – С., За буквите – О писменехь, 2016, с. 84-90.</v>
      </c>
      <c r="F4308" s="10"/>
      <c r="G4308" s="10"/>
      <c r="H4308" s="10"/>
      <c r="I4308" s="10"/>
      <c r="J4308" s="10"/>
      <c r="K4308" s="10"/>
      <c r="L4308" s="10"/>
      <c r="M4308" s="10"/>
      <c r="N4308" s="10"/>
      <c r="O4308" s="10"/>
      <c r="P4308" s="10"/>
      <c r="Q4308" s="10"/>
      <c r="R4308" s="10"/>
      <c r="S4308" s="10"/>
      <c r="T4308" s="10"/>
      <c r="U4308" s="10"/>
      <c r="V4308" s="10"/>
      <c r="W4308" s="10"/>
      <c r="X4308" s="10"/>
      <c r="Y4308" s="10"/>
      <c r="Z4308" s="10"/>
    </row>
    <row r="4309" spans="1:26" ht="12.75">
      <c r="A4309" s="10" t="str">
        <f ca="1">IFERROR(__xludf.DUMMYFUNCTION("""COMPUTED_VALUE"""),"Калина Кръстева Минчева")</f>
        <v>Калина Кръстева Минчева</v>
      </c>
      <c r="B4309" s="10" t="str">
        <f ca="1">IFERROR(__xludf.DUMMYFUNCTION("""COMPUTED_VALUE"""),"Доклад от конференция")</f>
        <v>Доклад от конференция</v>
      </c>
      <c r="C4309" s="10" t="str">
        <f ca="1">IFERROR(__xludf.DUMMYFUNCTION("""COMPUTED_VALUE"""),"Библиографски профил на Нева Тузсузова като илюстратор в българското книгоиздаване")</f>
        <v>Библиографски профил на Нева Тузсузова като илюстратор в българското книгоиздаване</v>
      </c>
      <c r="D4309" s="10">
        <f ca="1">IFERROR(__xludf.DUMMYFUNCTION("""COMPUTED_VALUE"""),2016)</f>
        <v>2016</v>
      </c>
      <c r="E4309" s="10" t="str">
        <f ca="1">IFERROR(__xludf.DUMMYFUNCTION("""COMPUTED_VALUE"""),"Gloria bibliospherae (Нишката на Ариадна). Изследвания в чест на акад. проф. Ал. Куманова. Юбилеен сборник.– С., За буквите – О писменехь, 2016, с. 685-695.")</f>
        <v>Gloria bibliospherae (Нишката на Ариадна). Изследвания в чест на акад. проф. Ал. Куманова. Юбилеен сборник.– С., За буквите – О писменехь, 2016, с. 685-695.</v>
      </c>
      <c r="F4309" s="10"/>
      <c r="G4309" s="10"/>
      <c r="H4309" s="10"/>
      <c r="I4309" s="10"/>
      <c r="J4309" s="10"/>
      <c r="K4309" s="10"/>
      <c r="L4309" s="10"/>
      <c r="M4309" s="10"/>
      <c r="N4309" s="10"/>
      <c r="O4309" s="10"/>
      <c r="P4309" s="10"/>
      <c r="Q4309" s="10"/>
      <c r="R4309" s="10"/>
      <c r="S4309" s="10"/>
      <c r="T4309" s="10"/>
      <c r="U4309" s="10"/>
      <c r="V4309" s="10"/>
      <c r="W4309" s="10"/>
      <c r="X4309" s="10"/>
      <c r="Y4309" s="10"/>
      <c r="Z4309" s="10"/>
    </row>
    <row r="4310" spans="1:26" ht="12.75">
      <c r="A4310" s="10" t="str">
        <f ca="1">IFERROR(__xludf.DUMMYFUNCTION("""COMPUTED_VALUE"""),"Калина Кръстева Минчева")</f>
        <v>Калина Кръстева Минчева</v>
      </c>
      <c r="B4310" s="10" t="str">
        <f ca="1">IFERROR(__xludf.DUMMYFUNCTION("""COMPUTED_VALUE"""),"Доклад от конференция")</f>
        <v>Доклад от конференция</v>
      </c>
      <c r="C4310" s="10" t="str">
        <f ca="1">IFERROR(__xludf.DUMMYFUNCTION("""COMPUTED_VALUE"""),"Предизвикателството „Божествена комедия” на Данте Алигиери пред художниците илюстратори")</f>
        <v>Предизвикателството „Божествена комедия” на Данте Алигиери пред художниците илюстратори</v>
      </c>
      <c r="D4310" s="10">
        <f ca="1">IFERROR(__xludf.DUMMYFUNCTION("""COMPUTED_VALUE"""),2015)</f>
        <v>2015</v>
      </c>
      <c r="E4310" s="10" t="str">
        <f ca="1">IFERROR(__xludf.DUMMYFUNCTION("""COMPUTED_VALUE"""),"Сборник с доклади от форума „Дни на книгата и авторското право в УниБИТ” 5/2015. – С., За буквите – О писменехь, 2015, с. 85-92.")</f>
        <v>Сборник с доклади от форума „Дни на книгата и авторското право в УниБИТ” 5/2015. – С., За буквите – О писменехь, 2015, с. 85-92.</v>
      </c>
      <c r="F4310" s="10"/>
      <c r="G4310" s="10"/>
      <c r="H4310" s="10"/>
      <c r="I4310" s="10"/>
      <c r="J4310" s="10"/>
      <c r="K4310" s="10"/>
      <c r="L4310" s="10"/>
      <c r="M4310" s="10"/>
      <c r="N4310" s="10"/>
      <c r="O4310" s="10"/>
      <c r="P4310" s="10"/>
      <c r="Q4310" s="10"/>
      <c r="R4310" s="10"/>
      <c r="S4310" s="10"/>
      <c r="T4310" s="10"/>
      <c r="U4310" s="10"/>
      <c r="V4310" s="10"/>
      <c r="W4310" s="10"/>
      <c r="X4310" s="10"/>
      <c r="Y4310" s="10"/>
      <c r="Z4310" s="10"/>
    </row>
    <row r="4311" spans="1:26" ht="12.75">
      <c r="A4311" s="10" t="str">
        <f ca="1">IFERROR(__xludf.DUMMYFUNCTION("""COMPUTED_VALUE"""),"Калина Кръстева Минчева")</f>
        <v>Калина Кръстева Минчева</v>
      </c>
      <c r="B4311" s="10" t="str">
        <f ca="1">IFERROR(__xludf.DUMMYFUNCTION("""COMPUTED_VALUE"""),"Доклад от конференция")</f>
        <v>Доклад от конференция</v>
      </c>
      <c r="C4311" s="10" t="str">
        <f ca="1">IFERROR(__xludf.DUMMYFUNCTION("""COMPUTED_VALUE"""),"Създаване на дигитални ресурси на книжовното наследство като елемент от учебното съдържание на бакалавърските и магистърските програми на УниБИТ")</f>
        <v>Създаване на дигитални ресурси на книжовното наследство като елемент от учебното съдържание на бакалавърските и магистърските програми на УниБИТ</v>
      </c>
      <c r="D4311" s="10">
        <f ca="1">IFERROR(__xludf.DUMMYFUNCTION("""COMPUTED_VALUE"""),2015)</f>
        <v>2015</v>
      </c>
      <c r="E4311" s="10" t="str">
        <f ca="1">IFERROR(__xludf.DUMMYFUNCTION("""COMPUTED_VALUE"""),"Нови информационни технологии в образователния процес. Доклади и съобщения от Деветия научен семинар на УниБИТ, проведен в Камчия на 26 – 30 май 2014 г. – С., За буквите – О писменехь, 2015, с. 17 – 27. ISSN 1313-2768")</f>
        <v>Нови информационни технологии в образователния процес. Доклади и съобщения от Деветия научен семинар на УниБИТ, проведен в Камчия на 26 – 30 май 2014 г. – С., За буквите – О писменехь, 2015, с. 17 – 27. ISSN 1313-2768</v>
      </c>
      <c r="F4311" s="10"/>
      <c r="G4311" s="10" t="str">
        <f ca="1">IFERROR(__xludf.DUMMYFUNCTION("""COMPUTED_VALUE"""),"Кристина Върбанова-Денчева")</f>
        <v>Кристина Върбанова-Денчева</v>
      </c>
      <c r="H4311" s="10"/>
      <c r="I4311" s="10"/>
      <c r="J4311" s="10"/>
      <c r="K4311" s="10"/>
      <c r="L4311" s="10"/>
      <c r="M4311" s="10"/>
      <c r="N4311" s="10"/>
      <c r="O4311" s="10"/>
      <c r="P4311" s="10"/>
      <c r="Q4311" s="10"/>
      <c r="R4311" s="10"/>
      <c r="S4311" s="10"/>
      <c r="T4311" s="10"/>
      <c r="U4311" s="10"/>
      <c r="V4311" s="10"/>
      <c r="W4311" s="10"/>
      <c r="X4311" s="10"/>
      <c r="Y4311" s="10"/>
      <c r="Z4311" s="10"/>
    </row>
    <row r="4312" spans="1:26" ht="12.75">
      <c r="A4312" s="10" t="str">
        <f ca="1">IFERROR(__xludf.DUMMYFUNCTION("""COMPUTED_VALUE"""),"Калина Кръстева Минчева")</f>
        <v>Калина Кръстева Минчева</v>
      </c>
      <c r="B4312" s="10" t="str">
        <f ca="1">IFERROR(__xludf.DUMMYFUNCTION("""COMPUTED_VALUE"""),"Доклад от конференция")</f>
        <v>Доклад от конференция</v>
      </c>
      <c r="C4312" s="10" t="str">
        <f ca="1">IFERROR(__xludf.DUMMYFUNCTION("""COMPUTED_VALUE"""),"Библиотеката като пространство в пространството")</f>
        <v>Библиотеката като пространство в пространството</v>
      </c>
      <c r="D4312" s="10">
        <f ca="1">IFERROR(__xludf.DUMMYFUNCTION("""COMPUTED_VALUE"""),2015)</f>
        <v>2015</v>
      </c>
      <c r="E4312" s="10" t="str">
        <f ca="1">IFERROR(__xludf.DUMMYFUNCTION("""COMPUTED_VALUE"""),"Scientific Research of the Union of Scientists in Bulgaria – Plovdiv, series B. Natural Sciences and Humanities, Vol. XVII, ISSN 1311-9192, International Conference of Young Scientists, 11 – 13 June 2015, Plovdiv. – Пловдив, 2015, с. 223-226.")</f>
        <v>Scientific Research of the Union of Scientists in Bulgaria – Plovdiv, series B. Natural Sciences and Humanities, Vol. XVII, ISSN 1311-9192, International Conference of Young Scientists, 11 – 13 June 2015, Plovdiv. – Пловдив, 2015, с. 223-226.</v>
      </c>
      <c r="F4312" s="10"/>
      <c r="G4312" s="10" t="str">
        <f ca="1">IFERROR(__xludf.DUMMYFUNCTION("""COMPUTED_VALUE"""),"Събина Ефтимова, Елена Симеонова")</f>
        <v>Събина Ефтимова, Елена Симеонова</v>
      </c>
      <c r="H4312" s="10"/>
      <c r="I4312" s="10"/>
      <c r="J4312" s="10"/>
      <c r="K4312" s="10"/>
      <c r="L4312" s="10"/>
      <c r="M4312" s="10"/>
      <c r="N4312" s="10"/>
      <c r="O4312" s="10"/>
      <c r="P4312" s="10"/>
      <c r="Q4312" s="10"/>
      <c r="R4312" s="10"/>
      <c r="S4312" s="10"/>
      <c r="T4312" s="10"/>
      <c r="U4312" s="10"/>
      <c r="V4312" s="10"/>
      <c r="W4312" s="10"/>
      <c r="X4312" s="10"/>
      <c r="Y4312" s="10"/>
      <c r="Z4312" s="10"/>
    </row>
    <row r="4313" spans="1:26" ht="12.75">
      <c r="A4313" s="10" t="str">
        <f ca="1">IFERROR(__xludf.DUMMYFUNCTION("""COMPUTED_VALUE"""),"Калина Кръстева Минчева")</f>
        <v>Калина Кръстева Минчева</v>
      </c>
      <c r="B4313" s="10" t="str">
        <f ca="1">IFERROR(__xludf.DUMMYFUNCTION("""COMPUTED_VALUE"""),"Доклад от конференция")</f>
        <v>Доклад от конференция</v>
      </c>
      <c r="C4313" s="10" t="str">
        <f ca="1">IFERROR(__xludf.DUMMYFUNCTION("""COMPUTED_VALUE"""),"Музеят и музейният фонд към читалище „Ал. Константинов” в с. Павелско – настоящо състояние и бъдеще развитие")</f>
        <v>Музеят и музейният фонд към читалище „Ал. Константинов” в с. Павелско – настоящо състояние и бъдеще развитие</v>
      </c>
      <c r="D4313" s="10">
        <f ca="1">IFERROR(__xludf.DUMMYFUNCTION("""COMPUTED_VALUE"""),2015)</f>
        <v>2015</v>
      </c>
      <c r="E4313" s="10" t="str">
        <f ca="1">IFERROR(__xludf.DUMMYFUNCTION("""COMPUTED_VALUE"""),"Тринадесета национална научна конференция с международно участие. „Обществото на знанието и хуманизмът на XXI век”, УниБИТ, София, 31 октомври – 1 ноември 2015 г. с. 348-353. ISSN 1314-7099.")</f>
        <v>Тринадесета национална научна конференция с международно участие. „Обществото на знанието и хуманизмът на XXI век”, УниБИТ, София, 31 октомври – 1 ноември 2015 г. с. 348-353. ISSN 1314-7099.</v>
      </c>
      <c r="F4313" s="10"/>
      <c r="G4313" s="10" t="str">
        <f ca="1">IFERROR(__xludf.DUMMYFUNCTION("""COMPUTED_VALUE"""),"Мария Николова, Вяра Николова")</f>
        <v>Мария Николова, Вяра Николова</v>
      </c>
      <c r="H4313" s="10"/>
      <c r="I4313" s="10"/>
      <c r="J4313" s="10"/>
      <c r="K4313" s="10"/>
      <c r="L4313" s="10"/>
      <c r="M4313" s="10"/>
      <c r="N4313" s="10"/>
      <c r="O4313" s="10"/>
      <c r="P4313" s="10"/>
      <c r="Q4313" s="10"/>
      <c r="R4313" s="10"/>
      <c r="S4313" s="10"/>
      <c r="T4313" s="10"/>
      <c r="U4313" s="10"/>
      <c r="V4313" s="10"/>
      <c r="W4313" s="10"/>
      <c r="X4313" s="10"/>
      <c r="Y4313" s="10"/>
      <c r="Z4313" s="10"/>
    </row>
    <row r="4314" spans="1:26" ht="12.75">
      <c r="A4314" s="10" t="str">
        <f ca="1">IFERROR(__xludf.DUMMYFUNCTION("""COMPUTED_VALUE"""),"Калина Кръстева Минчева")</f>
        <v>Калина Кръстева Минчева</v>
      </c>
      <c r="B4314" s="10" t="str">
        <f ca="1">IFERROR(__xludf.DUMMYFUNCTION("""COMPUTED_VALUE"""),"Доклад от конференция")</f>
        <v>Доклад от конференция</v>
      </c>
      <c r="C4314" s="10" t="str">
        <f ca="1">IFERROR(__xludf.DUMMYFUNCTION("""COMPUTED_VALUE"""),"Българското книгоиздаване по време на Световната война")</f>
        <v>Българското книгоиздаване по време на Световната война</v>
      </c>
      <c r="D4314" s="10">
        <f ca="1">IFERROR(__xludf.DUMMYFUNCTION("""COMPUTED_VALUE"""),2014)</f>
        <v>2014</v>
      </c>
      <c r="E4314" s="10" t="str">
        <f ca="1">IFERROR(__xludf.DUMMYFUNCTION("""COMPUTED_VALUE"""),"Сборник от Международна конференция „Първата световна война: памет на поколенията”. Посветена на стогодишнината от началото на Първата световна война, УниБИТ, София, 9-10 април 2014.– С., Ан-Ди, 2014, с. 136-146.")</f>
        <v>Сборник от Международна конференция „Първата световна война: памет на поколенията”. Посветена на стогодишнината от началото на Първата световна война, УниБИТ, София, 9-10 април 2014.– С., Ан-Ди, 2014, с. 136-146.</v>
      </c>
      <c r="F4314" s="10"/>
      <c r="G4314" s="10"/>
      <c r="H4314" s="10"/>
      <c r="I4314" s="10"/>
      <c r="J4314" s="10"/>
      <c r="K4314" s="10"/>
      <c r="L4314" s="10"/>
      <c r="M4314" s="10"/>
      <c r="N4314" s="10"/>
      <c r="O4314" s="10"/>
      <c r="P4314" s="10"/>
      <c r="Q4314" s="10"/>
      <c r="R4314" s="10"/>
      <c r="S4314" s="10"/>
      <c r="T4314" s="10"/>
      <c r="U4314" s="10"/>
      <c r="V4314" s="10"/>
      <c r="W4314" s="10"/>
      <c r="X4314" s="10"/>
      <c r="Y4314" s="10"/>
      <c r="Z4314" s="10"/>
    </row>
    <row r="4315" spans="1:26" ht="12.75">
      <c r="A4315" s="10" t="str">
        <f ca="1">IFERROR(__xludf.DUMMYFUNCTION("""COMPUTED_VALUE"""),"Калина Кръстева Минчева")</f>
        <v>Калина Кръстева Минчева</v>
      </c>
      <c r="B4315" s="10" t="str">
        <f ca="1">IFERROR(__xludf.DUMMYFUNCTION("""COMPUTED_VALUE"""),"Доклад от конференция")</f>
        <v>Доклад от конференция</v>
      </c>
      <c r="C4315" s="10" t="str">
        <f ca="1">IFERROR(__xludf.DUMMYFUNCTION("""COMPUTED_VALUE"""),"Издаването на българските песнопойки")</f>
        <v>Издаването на българските песнопойки</v>
      </c>
      <c r="D4315" s="10">
        <f ca="1">IFERROR(__xludf.DUMMYFUNCTION("""COMPUTED_VALUE"""),2014)</f>
        <v>2014</v>
      </c>
      <c r="E4315" s="10" t="str">
        <f ca="1">IFERROR(__xludf.DUMMYFUNCTION("""COMPUTED_VALUE"""),"Балканите – култури и манталитети. Сборник статии.– С., Ан-Ди, 2014, с. 82-94.")</f>
        <v>Балканите – култури и манталитети. Сборник статии.– С., Ан-Ди, 2014, с. 82-94.</v>
      </c>
      <c r="F4315" s="10"/>
      <c r="G4315" s="10"/>
      <c r="H4315" s="10"/>
      <c r="I4315" s="10"/>
      <c r="J4315" s="10"/>
      <c r="K4315" s="10"/>
      <c r="L4315" s="10"/>
      <c r="M4315" s="10"/>
      <c r="N4315" s="10"/>
      <c r="O4315" s="10"/>
      <c r="P4315" s="10"/>
      <c r="Q4315" s="10"/>
      <c r="R4315" s="10"/>
      <c r="S4315" s="10"/>
      <c r="T4315" s="10"/>
      <c r="U4315" s="10"/>
      <c r="V4315" s="10"/>
      <c r="W4315" s="10"/>
      <c r="X4315" s="10"/>
      <c r="Y4315" s="10"/>
      <c r="Z4315" s="10"/>
    </row>
    <row r="4316" spans="1:26" ht="12.75">
      <c r="A4316" s="10" t="str">
        <f ca="1">IFERROR(__xludf.DUMMYFUNCTION("""COMPUTED_VALUE"""),"Калина Кръстева Минчева")</f>
        <v>Калина Кръстева Минчева</v>
      </c>
      <c r="B4316" s="10" t="str">
        <f ca="1">IFERROR(__xludf.DUMMYFUNCTION("""COMPUTED_VALUE"""),"Доклад от конференция")</f>
        <v>Доклад от конференция</v>
      </c>
      <c r="C4316" s="10" t="str">
        <f ca="1">IFERROR(__xludf.DUMMYFUNCTION("""COMPUTED_VALUE"""),"Библиотека, медиатека, библиотечен медиацентър – за старото, новото и различното в библиотечната практика в България")</f>
        <v>Библиотека, медиатека, библиотечен медиацентър – за старото, новото и различното в библиотечната практика в България</v>
      </c>
      <c r="D4316" s="10">
        <f ca="1">IFERROR(__xludf.DUMMYFUNCTION("""COMPUTED_VALUE"""),2013)</f>
        <v>2013</v>
      </c>
      <c r="E4316" s="10" t="str">
        <f ca="1">IFERROR(__xludf.DUMMYFUNCTION("""COMPUTED_VALUE"""),"Трудове на Специализирано висше училище по библиотекознание и информационни технологии. Т. 10/2012. – С., За буквите – О писменехь, 2013, с. 145-162.")</f>
        <v>Трудове на Специализирано висше училище по библиотекознание и информационни технологии. Т. 10/2012. – С., За буквите – О писменехь, 2013, с. 145-162.</v>
      </c>
      <c r="F4316" s="10"/>
      <c r="G4316" s="10"/>
      <c r="H4316" s="10"/>
      <c r="I4316" s="10"/>
      <c r="J4316" s="10"/>
      <c r="K4316" s="10"/>
      <c r="L4316" s="10"/>
      <c r="M4316" s="10"/>
      <c r="N4316" s="10"/>
      <c r="O4316" s="10"/>
      <c r="P4316" s="10"/>
      <c r="Q4316" s="10"/>
      <c r="R4316" s="10"/>
      <c r="S4316" s="10"/>
      <c r="T4316" s="10"/>
      <c r="U4316" s="10"/>
      <c r="V4316" s="10"/>
      <c r="W4316" s="10"/>
      <c r="X4316" s="10"/>
      <c r="Y4316" s="10"/>
      <c r="Z4316" s="10"/>
    </row>
    <row r="4317" spans="1:26" ht="12.75">
      <c r="A4317" s="10" t="str">
        <f ca="1">IFERROR(__xludf.DUMMYFUNCTION("""COMPUTED_VALUE"""),"Калина Кръстева Минчева")</f>
        <v>Калина Кръстева Минчева</v>
      </c>
      <c r="B4317" s="10" t="str">
        <f ca="1">IFERROR(__xludf.DUMMYFUNCTION("""COMPUTED_VALUE"""),"Доклад от конференция")</f>
        <v>Доклад от конференция</v>
      </c>
      <c r="C4317" s="10" t="str">
        <f ca="1">IFERROR(__xludf.DUMMYFUNCTION("""COMPUTED_VALUE"""),"Организация и управление на библиотечните информационни ресурси")</f>
        <v>Организация и управление на библиотечните информационни ресурси</v>
      </c>
      <c r="D4317" s="10">
        <f ca="1">IFERROR(__xludf.DUMMYFUNCTION("""COMPUTED_VALUE"""),2013)</f>
        <v>2013</v>
      </c>
      <c r="E4317" s="10" t="str">
        <f ca="1">IFERROR(__xludf.DUMMYFUNCTION("""COMPUTED_VALUE"""),"Сборник с доклади от форума „Дни на книгата и авторското право в УниБИТ” 3/2013. – С., За буквите – О писменехь, 2013, с. 108-144.")</f>
        <v>Сборник с доклади от форума „Дни на книгата и авторското право в УниБИТ” 3/2013. – С., За буквите – О писменехь, 2013, с. 108-144.</v>
      </c>
      <c r="F4317" s="10"/>
      <c r="G4317" s="10"/>
      <c r="H4317" s="10"/>
      <c r="I4317" s="10"/>
      <c r="J4317" s="10"/>
      <c r="K4317" s="10"/>
      <c r="L4317" s="10"/>
      <c r="M4317" s="10"/>
      <c r="N4317" s="10"/>
      <c r="O4317" s="10"/>
      <c r="P4317" s="10"/>
      <c r="Q4317" s="10"/>
      <c r="R4317" s="10"/>
      <c r="S4317" s="10"/>
      <c r="T4317" s="10"/>
      <c r="U4317" s="10"/>
      <c r="V4317" s="10"/>
      <c r="W4317" s="10"/>
      <c r="X4317" s="10"/>
      <c r="Y4317" s="10"/>
      <c r="Z4317" s="10"/>
    </row>
    <row r="4318" spans="1:26" ht="12.75">
      <c r="A4318" s="10" t="str">
        <f ca="1">IFERROR(__xludf.DUMMYFUNCTION("""COMPUTED_VALUE"""),"Калина Кръстева Минчева")</f>
        <v>Калина Кръстева Минчева</v>
      </c>
      <c r="B4318" s="10" t="str">
        <f ca="1">IFERROR(__xludf.DUMMYFUNCTION("""COMPUTED_VALUE"""),"Доклад от конференция")</f>
        <v>Доклад от конференция</v>
      </c>
      <c r="C4318" s="10" t="str">
        <f ca="1">IFERROR(__xludf.DUMMYFUNCTION("""COMPUTED_VALUE"""),"Съвременни информационни ресурси за научноизследователска работа и обучение в библиотеката на Институт за изследване на изкуствата към БАН")</f>
        <v>Съвременни информационни ресурси за научноизследователска работа и обучение в библиотеката на Институт за изследване на изкуствата към БАН</v>
      </c>
      <c r="D4318" s="10">
        <f ca="1">IFERROR(__xludf.DUMMYFUNCTION("""COMPUTED_VALUE"""),2012)</f>
        <v>2012</v>
      </c>
      <c r="E4318" s="10" t="str">
        <f ca="1">IFERROR(__xludf.DUMMYFUNCTION("""COMPUTED_VALUE"""),"Десета национална научна конференция с международно участие „Библиотеки – четене – комуникации”. „Дигиталните колекции и способите за достъп до потребителите”. ВТУ „Св. Св. Кирил и Методий”, РНБ „Петко Р. Славейков”- Велико Търново, 17-18 ноемвр. Посветен"&amp;"а на 60-годишнината от рождението на проф. д-р Алберт Бенбасат. В. Търново, УИКМ, 2012, с. 263-271. ISSN 1313-8138")</f>
        <v>Десета национална научна конференция с международно участие „Библиотеки – четене – комуникации”. „Дигиталните колекции и способите за достъп до потребителите”. ВТУ „Св. Св. Кирил и Методий”, РНБ „Петко Р. Славейков”- Велико Търново, 17-18 ноемвр. Посветена на 60-годишнината от рождението на проф. д-р Алберт Бенбасат. В. Търново, УИКМ, 2012, с. 263-271. ISSN 1313-8138</v>
      </c>
      <c r="F4318" s="10"/>
      <c r="G4318" s="10"/>
      <c r="H4318" s="10"/>
      <c r="I4318" s="10"/>
      <c r="J4318" s="10"/>
      <c r="K4318" s="10"/>
      <c r="L4318" s="10"/>
      <c r="M4318" s="10"/>
      <c r="N4318" s="10"/>
      <c r="O4318" s="10"/>
      <c r="P4318" s="10"/>
      <c r="Q4318" s="10"/>
      <c r="R4318" s="10"/>
      <c r="S4318" s="10"/>
      <c r="T4318" s="10"/>
      <c r="U4318" s="10"/>
      <c r="V4318" s="10"/>
      <c r="W4318" s="10"/>
      <c r="X4318" s="10"/>
      <c r="Y4318" s="10"/>
      <c r="Z4318" s="10"/>
    </row>
    <row r="4319" spans="1:26" ht="12.75">
      <c r="A4319" s="10" t="str">
        <f ca="1">IFERROR(__xludf.DUMMYFUNCTION("""COMPUTED_VALUE"""),"Калина Кръстева Минчева")</f>
        <v>Калина Кръстева Минчева</v>
      </c>
      <c r="B4319" s="10" t="str">
        <f ca="1">IFERROR(__xludf.DUMMYFUNCTION("""COMPUTED_VALUE"""),"Доклад от конференция")</f>
        <v>Доклад от конференция</v>
      </c>
      <c r="C4319" s="10" t="str">
        <f ca="1">IFERROR(__xludf.DUMMYFUNCTION("""COMPUTED_VALUE"""),"Традиции и иновации в художественото оформление на електронните издания")</f>
        <v>Традиции и иновации в художественото оформление на електронните издания</v>
      </c>
      <c r="D4319" s="10">
        <f ca="1">IFERROR(__xludf.DUMMYFUNCTION("""COMPUTED_VALUE"""),2012)</f>
        <v>2012</v>
      </c>
      <c r="E4319" s="10" t="str">
        <f ca="1">IFERROR(__xludf.DUMMYFUNCTION("""COMPUTED_VALUE"""),"Сборник с доклади от форума „ Дни на книгата и авторското право в УниБИТ” 2/2012. – С., За буквите – О писменехь, 2012, с. 181–187.")</f>
        <v>Сборник с доклади от форума „ Дни на книгата и авторското право в УниБИТ” 2/2012. – С., За буквите – О писменехь, 2012, с. 181–187.</v>
      </c>
      <c r="F4319" s="10"/>
      <c r="G4319" s="10"/>
      <c r="H4319" s="10"/>
      <c r="I4319" s="10"/>
      <c r="J4319" s="10"/>
      <c r="K4319" s="10"/>
      <c r="L4319" s="10"/>
      <c r="M4319" s="10"/>
      <c r="N4319" s="10"/>
      <c r="O4319" s="10"/>
      <c r="P4319" s="10"/>
      <c r="Q4319" s="10"/>
      <c r="R4319" s="10"/>
      <c r="S4319" s="10"/>
      <c r="T4319" s="10"/>
      <c r="U4319" s="10"/>
      <c r="V4319" s="10"/>
      <c r="W4319" s="10"/>
      <c r="X4319" s="10"/>
      <c r="Y4319" s="10"/>
      <c r="Z4319" s="10"/>
    </row>
    <row r="4320" spans="1:26" ht="12.75">
      <c r="A4320" s="10" t="str">
        <f ca="1">IFERROR(__xludf.DUMMYFUNCTION("""COMPUTED_VALUE"""),"Калина Кръстева Минчева")</f>
        <v>Калина Кръстева Минчева</v>
      </c>
      <c r="B4320" s="10" t="str">
        <f ca="1">IFERROR(__xludf.DUMMYFUNCTION("""COMPUTED_VALUE"""),"Доклад от конференция")</f>
        <v>Доклад от конференция</v>
      </c>
      <c r="C4320" s="10" t="str">
        <f ca="1">IFERROR(__xludf.DUMMYFUNCTION("""COMPUTED_VALUE"""),"Еволюция на модела „Библиотека – архив – музей”")</f>
        <v>Еволюция на модела „Библиотека – архив – музей”</v>
      </c>
      <c r="D4320" s="10">
        <f ca="1">IFERROR(__xludf.DUMMYFUNCTION("""COMPUTED_VALUE"""),2012)</f>
        <v>2012</v>
      </c>
      <c r="E4320" s="10" t="str">
        <f ca="1">IFERROR(__xludf.DUMMYFUNCTION("""COMPUTED_VALUE"""),"Десета национална научна конференция с международно участие. „Обществото на знанието и хуманизмът на XXI век”, УниБИТ, София, 1-2 ноември 2012 г. – С., За буквите – О писменехь, 2012, с. 541–545.ISSN 1314-7099.")</f>
        <v>Десета национална научна конференция с международно участие. „Обществото на знанието и хуманизмът на XXI век”, УниБИТ, София, 1-2 ноември 2012 г. – С., За буквите – О писменехь, 2012, с. 541–545.ISSN 1314-7099.</v>
      </c>
      <c r="F4320" s="10"/>
      <c r="G4320" s="10"/>
      <c r="H4320" s="10"/>
      <c r="I4320" s="10"/>
      <c r="J4320" s="10"/>
      <c r="K4320" s="10"/>
      <c r="L4320" s="10"/>
      <c r="M4320" s="10"/>
      <c r="N4320" s="10"/>
      <c r="O4320" s="10"/>
      <c r="P4320" s="10"/>
      <c r="Q4320" s="10"/>
      <c r="R4320" s="10"/>
      <c r="S4320" s="10"/>
      <c r="T4320" s="10"/>
      <c r="U4320" s="10"/>
      <c r="V4320" s="10"/>
      <c r="W4320" s="10"/>
      <c r="X4320" s="10"/>
      <c r="Y4320" s="10"/>
      <c r="Z4320" s="10"/>
    </row>
    <row r="4321" spans="1:26" ht="12.75">
      <c r="A4321" s="10" t="str">
        <f ca="1">IFERROR(__xludf.DUMMYFUNCTION("""COMPUTED_VALUE"""),"Калина Кръстева Минчева")</f>
        <v>Калина Кръстева Минчева</v>
      </c>
      <c r="B4321" s="10" t="str">
        <f ca="1">IFERROR(__xludf.DUMMYFUNCTION("""COMPUTED_VALUE"""),"Доклад от конференция")</f>
        <v>Доклад от конференция</v>
      </c>
      <c r="C4321" s="10" t="str">
        <f ca="1">IFERROR(__xludf.DUMMYFUNCTION("""COMPUTED_VALUE"""),"Електронни информационни ресурси – класификация и интеграция във функционалното поле на библиотечните медиацентрове в България.")</f>
        <v>Електронни информационни ресурси – класификация и интеграция във функционалното поле на библиотечните медиацентрове в България.</v>
      </c>
      <c r="D4321" s="10">
        <f ca="1">IFERROR(__xludf.DUMMYFUNCTION("""COMPUTED_VALUE"""),2012)</f>
        <v>2012</v>
      </c>
      <c r="E4321" s="10" t="str">
        <f ca="1">IFERROR(__xludf.DUMMYFUNCTION("""COMPUTED_VALUE"""),"Нови информационни технологии в образователния процес. Доклади и съобщения от Шестия научен семинар на УниБИТ, проведен в Костенец на 24 – 26 март 2011 г. – С., За буквите – О писменехь, 2012, с.126 – 138. ISSN 1313-2768")</f>
        <v>Нови информационни технологии в образователния процес. Доклади и съобщения от Шестия научен семинар на УниБИТ, проведен в Костенец на 24 – 26 март 2011 г. – С., За буквите – О писменехь, 2012, с.126 – 138. ISSN 1313-2768</v>
      </c>
      <c r="F4321" s="10"/>
      <c r="G4321" s="10"/>
      <c r="H4321" s="10"/>
      <c r="I4321" s="10"/>
      <c r="J4321" s="10"/>
      <c r="K4321" s="10"/>
      <c r="L4321" s="10"/>
      <c r="M4321" s="10"/>
      <c r="N4321" s="10"/>
      <c r="O4321" s="10"/>
      <c r="P4321" s="10"/>
      <c r="Q4321" s="10"/>
      <c r="R4321" s="10"/>
      <c r="S4321" s="10"/>
      <c r="T4321" s="10"/>
      <c r="U4321" s="10"/>
      <c r="V4321" s="10"/>
      <c r="W4321" s="10"/>
      <c r="X4321" s="10"/>
      <c r="Y4321" s="10"/>
      <c r="Z4321" s="10"/>
    </row>
    <row r="4322" spans="1:26" ht="12.75">
      <c r="A4322" s="10" t="str">
        <f ca="1">IFERROR(__xludf.DUMMYFUNCTION("""COMPUTED_VALUE"""),"Калина Кръстева Минчева")</f>
        <v>Калина Кръстева Минчева</v>
      </c>
      <c r="B4322" s="10" t="str">
        <f ca="1">IFERROR(__xludf.DUMMYFUNCTION("""COMPUTED_VALUE"""),"Доклад от конференция")</f>
        <v>Доклад от конференция</v>
      </c>
      <c r="C4322" s="10" t="str">
        <f ca="1">IFERROR(__xludf.DUMMYFUNCTION("""COMPUTED_VALUE"""),"Поглед върху връзката ""текст-илюстрация""")</f>
        <v>Поглед върху връзката "текст-илюстрация"</v>
      </c>
      <c r="D4322" s="10">
        <f ca="1">IFERROR(__xludf.DUMMYFUNCTION("""COMPUTED_VALUE"""),2011)</f>
        <v>2011</v>
      </c>
      <c r="E4322" s="10" t="str">
        <f ca="1">IFERROR(__xludf.DUMMYFUNCTION("""COMPUTED_VALUE"""),"Девета национална научна конференция с международно участие „Обществото на знанието и хуманизмът на XXI век”,УниБИТ, София, 1-2 ноември 2011г. – С., За буквите – О писменехь, 2011, с. 538-545. ISSN 1314-7099.")</f>
        <v>Девета национална научна конференция с международно участие „Обществото на знанието и хуманизмът на XXI век”,УниБИТ, София, 1-2 ноември 2011г. – С., За буквите – О писменехь, 2011, с. 538-545. ISSN 1314-7099.</v>
      </c>
      <c r="F4322" s="10"/>
      <c r="G4322" s="10"/>
      <c r="H4322" s="10"/>
      <c r="I4322" s="10"/>
      <c r="J4322" s="10"/>
      <c r="K4322" s="10"/>
      <c r="L4322" s="10"/>
      <c r="M4322" s="10"/>
      <c r="N4322" s="10"/>
      <c r="O4322" s="10"/>
      <c r="P4322" s="10"/>
      <c r="Q4322" s="10"/>
      <c r="R4322" s="10"/>
      <c r="S4322" s="10"/>
      <c r="T4322" s="10"/>
      <c r="U4322" s="10"/>
      <c r="V4322" s="10"/>
      <c r="W4322" s="10"/>
      <c r="X4322" s="10"/>
      <c r="Y4322" s="10"/>
      <c r="Z4322" s="10"/>
    </row>
    <row r="4323" spans="1:26" ht="12.75">
      <c r="A4323" s="10" t="str">
        <f ca="1">IFERROR(__xludf.DUMMYFUNCTION("""COMPUTED_VALUE"""),"Калина Кръстева Минчева")</f>
        <v>Калина Кръстева Минчева</v>
      </c>
      <c r="B4323" s="10" t="str">
        <f ca="1">IFERROR(__xludf.DUMMYFUNCTION("""COMPUTED_VALUE"""),"Доклад от конференция")</f>
        <v>Доклад от конференция</v>
      </c>
      <c r="C4323" s="10" t="str">
        <f ca="1">IFERROR(__xludf.DUMMYFUNCTION("""COMPUTED_VALUE"""),"Ролята на илюстрацията за възприемане на текста в книгата.")</f>
        <v>Ролята на илюстрацията за възприемане на текста в книгата.</v>
      </c>
      <c r="D4323" s="10">
        <f ca="1">IFERROR(__xludf.DUMMYFUNCTION("""COMPUTED_VALUE"""),2011)</f>
        <v>2011</v>
      </c>
      <c r="E4323" s="10" t="str">
        <f ca="1">IFERROR(__xludf.DUMMYFUNCTION("""COMPUTED_VALUE"""),"Девети изкуствоведски четения, Институт за изследване на изкуствата – БАН, София, 9-12 юни 2011г. – С., ИИИзк. БАН, 2011, с. 157-161.")</f>
        <v>Девети изкуствоведски четения, Институт за изследване на изкуствата – БАН, София, 9-12 юни 2011г. – С., ИИИзк. БАН, 2011, с. 157-161.</v>
      </c>
      <c r="F4323" s="10"/>
      <c r="G4323" s="10"/>
      <c r="H4323" s="10"/>
      <c r="I4323" s="10"/>
      <c r="J4323" s="10"/>
      <c r="K4323" s="10"/>
      <c r="L4323" s="10"/>
      <c r="M4323" s="10"/>
      <c r="N4323" s="10"/>
      <c r="O4323" s="10"/>
      <c r="P4323" s="10"/>
      <c r="Q4323" s="10"/>
      <c r="R4323" s="10"/>
      <c r="S4323" s="10"/>
      <c r="T4323" s="10"/>
      <c r="U4323" s="10"/>
      <c r="V4323" s="10"/>
      <c r="W4323" s="10"/>
      <c r="X4323" s="10"/>
      <c r="Y4323" s="10"/>
      <c r="Z4323" s="10"/>
    </row>
    <row r="4324" spans="1:26" ht="12.75">
      <c r="A4324" s="10" t="str">
        <f ca="1">IFERROR(__xludf.DUMMYFUNCTION("""COMPUTED_VALUE"""),"Калина Кръстева Минчева")</f>
        <v>Калина Кръстева Минчева</v>
      </c>
      <c r="B4324" s="10" t="str">
        <f ca="1">IFERROR(__xludf.DUMMYFUNCTION("""COMPUTED_VALUE"""),"Доклад от конференция")</f>
        <v>Доклад от конференция</v>
      </c>
      <c r="C4324" s="10" t="str">
        <f ca="1">IFERROR(__xludf.DUMMYFUNCTION("""COMPUTED_VALUE"""),"Трансформации „библиотека – библиотечен медиацентър” – функционални модели и добри библиотечни практики.")</f>
        <v>Трансформации „библиотека – библиотечен медиацентър” – функционални модели и добри библиотечни практики.</v>
      </c>
      <c r="D4324" s="10">
        <f ca="1">IFERROR(__xludf.DUMMYFUNCTION("""COMPUTED_VALUE"""),2011)</f>
        <v>2011</v>
      </c>
      <c r="E4324" s="10" t="str">
        <f ca="1">IFERROR(__xludf.DUMMYFUNCTION("""COMPUTED_VALUE"""),"Девета национална научна конференция с международно участие „Библиотеки – четене – комуникации”, Велико Търново, 17 – 18 ноември 2010 г. Посветена на 65-годишнината от рождението на проф. дфн Мария Младенова. – В. Търново, УИКМ, 2011, с. 322 – 331. ISSN 1"&amp;"313-8138")</f>
        <v>Девета национална научна конференция с международно участие „Библиотеки – четене – комуникации”, Велико Търново, 17 – 18 ноември 2010 г. Посветена на 65-годишнината от рождението на проф. дфн Мария Младенова. – В. Търново, УИКМ, 2011, с. 322 – 331. ISSN 1313-8138</v>
      </c>
      <c r="F4324" s="10"/>
      <c r="G4324" s="10"/>
      <c r="H4324" s="10"/>
      <c r="I4324" s="10"/>
      <c r="J4324" s="10"/>
      <c r="K4324" s="10"/>
      <c r="L4324" s="10"/>
      <c r="M4324" s="10"/>
      <c r="N4324" s="10"/>
      <c r="O4324" s="10"/>
      <c r="P4324" s="10"/>
      <c r="Q4324" s="10"/>
      <c r="R4324" s="10"/>
      <c r="S4324" s="10"/>
      <c r="T4324" s="10"/>
      <c r="U4324" s="10"/>
      <c r="V4324" s="10"/>
      <c r="W4324" s="10"/>
      <c r="X4324" s="10"/>
      <c r="Y4324" s="10"/>
      <c r="Z4324" s="10"/>
    </row>
    <row r="4325" spans="1:26" ht="12.75">
      <c r="A4325" s="10" t="str">
        <f ca="1">IFERROR(__xludf.DUMMYFUNCTION("""COMPUTED_VALUE"""),"Калина Кръстева Минчева")</f>
        <v>Калина Кръстева Минчева</v>
      </c>
      <c r="B4325" s="10" t="str">
        <f ca="1">IFERROR(__xludf.DUMMYFUNCTION("""COMPUTED_VALUE"""),"Доклад от конференция")</f>
        <v>Доклад от конференция</v>
      </c>
      <c r="C4325" s="10" t="str">
        <f ca="1">IFERROR(__xludf.DUMMYFUNCTION("""COMPUTED_VALUE"""),"Ролята на библиотеката за развитие и съхранение на българската книжовност в два периода с ново начало – създаване и развитие на писмеността през средновековието и дигитализацията ѝ в съвременната информационно-техническа епоха.")</f>
        <v>Ролята на библиотеката за развитие и съхранение на българската книжовност в два периода с ново начало – създаване и развитие на писмеността през средновековието и дигитализацията ѝ в съвременната информационно-техническа епоха.</v>
      </c>
      <c r="D4325" s="10">
        <f ca="1">IFERROR(__xludf.DUMMYFUNCTION("""COMPUTED_VALUE"""),2010)</f>
        <v>2010</v>
      </c>
      <c r="E4325" s="10" t="str">
        <f ca="1">IFERROR(__xludf.DUMMYFUNCTION("""COMPUTED_VALUE"""),"Осма национална научна конференция с международно участие „Обществото на знанието и хуманизмът на XXI век”. Посветена на 60-годишния юбилей на УниБИТ, СВУБИТ, КБИТ, ДБИ. София, 1-2 ноември 2010 г. – С., За буквите – О писменехь, 2010, с. 658 – 666. ISSN 1"&amp;"314-7099.")</f>
        <v>Осма национална научна конференция с международно участие „Обществото на знанието и хуманизмът на XXI век”. Посветена на 60-годишния юбилей на УниБИТ, СВУБИТ, КБИТ, ДБИ. София, 1-2 ноември 2010 г. – С., За буквите – О писменехь, 2010, с. 658 – 666. ISSN 1314-7099.</v>
      </c>
      <c r="F4325" s="10"/>
      <c r="G4325" s="10"/>
      <c r="H4325" s="10"/>
      <c r="I4325" s="10"/>
      <c r="J4325" s="10"/>
      <c r="K4325" s="10"/>
      <c r="L4325" s="10"/>
      <c r="M4325" s="10"/>
      <c r="N4325" s="10"/>
      <c r="O4325" s="10"/>
      <c r="P4325" s="10"/>
      <c r="Q4325" s="10"/>
      <c r="R4325" s="10"/>
      <c r="S4325" s="10"/>
      <c r="T4325" s="10"/>
      <c r="U4325" s="10"/>
      <c r="V4325" s="10"/>
      <c r="W4325" s="10"/>
      <c r="X4325" s="10"/>
      <c r="Y4325" s="10"/>
      <c r="Z4325" s="10"/>
    </row>
    <row r="4326" spans="1:26" ht="12.75">
      <c r="A4326" s="10" t="str">
        <f ca="1">IFERROR(__xludf.DUMMYFUNCTION("""COMPUTED_VALUE"""),"Камелия Владимирова Планска-Симеонова")</f>
        <v>Камелия Владимирова Планска-Симеонова</v>
      </c>
      <c r="B4326" s="10" t="str">
        <f ca="1">IFERROR(__xludf.DUMMYFUNCTION("""COMPUTED_VALUE"""),"Доклад от конференция")</f>
        <v>Доклад от конференция</v>
      </c>
      <c r="C4326" s="10" t="str">
        <f ca="1">IFERROR(__xludf.DUMMYFUNCTION("""COMPUTED_VALUE"""),"Scinetific Researches in the Field of Visual Competency")</f>
        <v>Scinetific Researches in the Field of Visual Competency</v>
      </c>
      <c r="D4326" s="10">
        <f ca="1">IFERROR(__xludf.DUMMYFUNCTION("""COMPUTED_VALUE"""),2019)</f>
        <v>2019</v>
      </c>
      <c r="E4326" s="10" t="str">
        <f ca="1">IFERROR(__xludf.DUMMYFUNCTION("""COMPUTED_VALUE"""),"EDULEARN19 Proceedings, 11th annual International Conference on Education and New Learning Technologies Palma de Mallorca (Spain). 1st - 3rd of July, 2019, pp. 5110-5117
 ISBN: 978-84-09-12031-4 / 
 ISSN: 2340-1117")</f>
        <v>EDULEARN19 Proceedings, 11th annual International Conference on Education and New Learning Technologies Palma de Mallorca (Spain). 1st - 3rd of July, 2019, pp. 5110-5117
 ISBN: 978-84-09-12031-4 / 
 ISSN: 2340-1117</v>
      </c>
      <c r="F4326" s="10" t="str">
        <f ca="1">IFERROR(__xludf.DUMMYFUNCTION("""COMPUTED_VALUE"""),"Web of Science,
 Crossref")</f>
        <v>Web of Science,
 Crossref</v>
      </c>
      <c r="G4326" s="10" t="str">
        <f ca="1">IFERROR(__xludf.DUMMYFUNCTION("""COMPUTED_VALUE"""),"Kalina Mincheva")</f>
        <v>Kalina Mincheva</v>
      </c>
      <c r="H4326" s="10"/>
      <c r="I4326" s="10"/>
      <c r="J4326" s="10"/>
      <c r="K4326" s="10"/>
      <c r="L4326" s="10"/>
      <c r="M4326" s="10"/>
      <c r="N4326" s="10"/>
      <c r="O4326" s="10"/>
      <c r="P4326" s="10"/>
      <c r="Q4326" s="10"/>
      <c r="R4326" s="10"/>
      <c r="S4326" s="10"/>
      <c r="T4326" s="10"/>
      <c r="U4326" s="10"/>
      <c r="V4326" s="10"/>
      <c r="W4326" s="10"/>
      <c r="X4326" s="10"/>
      <c r="Y4326" s="10"/>
      <c r="Z4326" s="10"/>
    </row>
    <row r="4327" spans="1:26" ht="12.75">
      <c r="A4327" s="10" t="str">
        <f ca="1">IFERROR(__xludf.DUMMYFUNCTION("""COMPUTED_VALUE"""),"Камелия Владимирова Планска-Симеонова")</f>
        <v>Камелия Владимирова Планска-Симеонова</v>
      </c>
      <c r="B4327" s="10" t="str">
        <f ca="1">IFERROR(__xludf.DUMMYFUNCTION("""COMPUTED_VALUE"""),"Доклад от конференция")</f>
        <v>Доклад от конференция</v>
      </c>
      <c r="C4327" s="10" t="str">
        <f ca="1">IFERROR(__xludf.DUMMYFUNCTION("""COMPUTED_VALUE"""),"Model for training in visual literacy in university environment")</f>
        <v>Model for training in visual literacy in university environment</v>
      </c>
      <c r="D4327" s="10">
        <f ca="1">IFERROR(__xludf.DUMMYFUNCTION("""COMPUTED_VALUE"""),2019)</f>
        <v>2019</v>
      </c>
      <c r="E4327" s="10" t="str">
        <f ca="1">IFERROR(__xludf.DUMMYFUNCTION("""COMPUTED_VALUE"""),"ICERI2019 Proceedings, 12th annual International Conference of Education, Research and Innovation. Seville (Spain). 11th - 13th of November, 2019, pp. 8050-8057
 ISBN: 978-84-09-14755-7
 ISSN: 2340-1095")</f>
        <v>ICERI2019 Proceedings, 12th annual International Conference of Education, Research and Innovation. Seville (Spain). 11th - 13th of November, 2019, pp. 8050-8057
 ISBN: 978-84-09-14755-7
 ISSN: 2340-1095</v>
      </c>
      <c r="F4327" s="10" t="str">
        <f ca="1">IFERROR(__xludf.DUMMYFUNCTION("""COMPUTED_VALUE"""),"Web of Science
 Crossref")</f>
        <v>Web of Science
 Crossref</v>
      </c>
      <c r="G4327" s="10" t="str">
        <f ca="1">IFERROR(__xludf.DUMMYFUNCTION("""COMPUTED_VALUE"""),"Kalina Mincheva")</f>
        <v>Kalina Mincheva</v>
      </c>
      <c r="H4327" s="10"/>
      <c r="I4327" s="10"/>
      <c r="J4327" s="10"/>
      <c r="K4327" s="10"/>
      <c r="L4327" s="10"/>
      <c r="M4327" s="10"/>
      <c r="N4327" s="10"/>
      <c r="O4327" s="10"/>
      <c r="P4327" s="10"/>
      <c r="Q4327" s="10"/>
      <c r="R4327" s="10"/>
      <c r="S4327" s="10"/>
      <c r="T4327" s="10"/>
      <c r="U4327" s="10"/>
      <c r="V4327" s="10"/>
      <c r="W4327" s="10"/>
      <c r="X4327" s="10"/>
      <c r="Y4327" s="10"/>
      <c r="Z4327" s="10"/>
    </row>
    <row r="4328" spans="1:26" ht="12.75">
      <c r="A4328" s="10" t="str">
        <f ca="1">IFERROR(__xludf.DUMMYFUNCTION("""COMPUTED_VALUE"""),"Камелия Владимирова Планска-Симеонова")</f>
        <v>Камелия Владимирова Планска-Симеонова</v>
      </c>
      <c r="B4328" s="10" t="str">
        <f ca="1">IFERROR(__xludf.DUMMYFUNCTION("""COMPUTED_VALUE"""),"Доклад от конференция")</f>
        <v>Доклад от конференция</v>
      </c>
      <c r="C4328" s="10" t="str">
        <f ca="1">IFERROR(__xludf.DUMMYFUNCTION("""COMPUTED_VALUE"""),"Conceptual Framework of Digital visual literacy")</f>
        <v>Conceptual Framework of Digital visual literacy</v>
      </c>
      <c r="D4328" s="10">
        <f ca="1">IFERROR(__xludf.DUMMYFUNCTION("""COMPUTED_VALUE"""),2019)</f>
        <v>2019</v>
      </c>
      <c r="E4328" s="10" t="str">
        <f ca="1">IFERROR(__xludf.DUMMYFUNCTION("""COMPUTED_VALUE"""),"ICERI2019 Proceedings, 12th annual International Conference of Education, Research and Innovation. Seville (Spain). 11th - 13th of November, 2019, pp. 8035-8042,
 ISBN: 978-84-09-14755-7
 ISSN: 2340-1095")</f>
        <v>ICERI2019 Proceedings, 12th annual International Conference of Education, Research and Innovation. Seville (Spain). 11th - 13th of November, 2019, pp. 8035-8042,
 ISBN: 978-84-09-14755-7
 ISSN: 2340-1095</v>
      </c>
      <c r="F4328" s="10" t="str">
        <f ca="1">IFERROR(__xludf.DUMMYFUNCTION("""COMPUTED_VALUE"""),"Web of Science,
 Crossref")</f>
        <v>Web of Science,
 Crossref</v>
      </c>
      <c r="G4328" s="10" t="str">
        <f ca="1">IFERROR(__xludf.DUMMYFUNCTION("""COMPUTED_VALUE"""),"Katq Rasheva-Yordanova")</f>
        <v>Katq Rasheva-Yordanova</v>
      </c>
      <c r="H4328" s="10"/>
      <c r="I4328" s="10"/>
      <c r="J4328" s="10"/>
      <c r="K4328" s="10"/>
      <c r="L4328" s="10"/>
      <c r="M4328" s="10"/>
      <c r="N4328" s="10"/>
      <c r="O4328" s="10"/>
      <c r="P4328" s="10"/>
      <c r="Q4328" s="10"/>
      <c r="R4328" s="10"/>
      <c r="S4328" s="10"/>
      <c r="T4328" s="10"/>
      <c r="U4328" s="10"/>
      <c r="V4328" s="10"/>
      <c r="W4328" s="10"/>
      <c r="X4328" s="10"/>
      <c r="Y4328" s="10"/>
      <c r="Z4328" s="10"/>
    </row>
    <row r="4329" spans="1:26" ht="12.75">
      <c r="A4329" s="10" t="str">
        <f ca="1">IFERROR(__xludf.DUMMYFUNCTION("""COMPUTED_VALUE"""),"Камелия Владимирова Планска-Симеонова")</f>
        <v>Камелия Владимирова Планска-Симеонова</v>
      </c>
      <c r="B4329" s="10" t="str">
        <f ca="1">IFERROR(__xludf.DUMMYFUNCTION("""COMPUTED_VALUE"""),"Доклад от конференция")</f>
        <v>Доклад от конференция</v>
      </c>
      <c r="C4329" s="10" t="str">
        <f ca="1">IFERROR(__xludf.DUMMYFUNCTION("""COMPUTED_VALUE"""),"The role and importance of visual literacy training in the public communications and information sciences professional field")</f>
        <v>The role and importance of visual literacy training in the public communications and information sciences professional field</v>
      </c>
      <c r="D4329" s="10">
        <f ca="1">IFERROR(__xludf.DUMMYFUNCTION("""COMPUTED_VALUE"""),2019)</f>
        <v>2019</v>
      </c>
      <c r="E4329" s="10" t="str">
        <f ca="1">IFERROR(__xludf.DUMMYFUNCTION("""COMPUTED_VALUE"""),"Information and technology Transforming Lives: Connection, Interaction, Innovation, Proceedings of International Symposium BOBCATSSS, Osijek, Croatia 22-24 January 2019, pp. 540-543
 ISBN 978-953-314-121-3")</f>
        <v>Information and technology Transforming Lives: Connection, Interaction, Innovation, Proceedings of International Symposium BOBCATSSS, Osijek, Croatia 22-24 January 2019, pp. 540-543
 ISBN 978-953-314-121-3</v>
      </c>
      <c r="F4329" s="10"/>
      <c r="G4329" s="10"/>
      <c r="H4329" s="10"/>
      <c r="I4329" s="10"/>
      <c r="J4329" s="10"/>
      <c r="K4329" s="10"/>
      <c r="L4329" s="10"/>
      <c r="M4329" s="10"/>
      <c r="N4329" s="10"/>
      <c r="O4329" s="10"/>
      <c r="P4329" s="10"/>
      <c r="Q4329" s="10"/>
      <c r="R4329" s="10"/>
      <c r="S4329" s="10"/>
      <c r="T4329" s="10"/>
      <c r="U4329" s="10"/>
      <c r="V4329" s="10"/>
      <c r="W4329" s="10"/>
      <c r="X4329" s="10"/>
      <c r="Y4329" s="10"/>
      <c r="Z4329" s="10"/>
    </row>
    <row r="4330" spans="1:26" ht="12.75">
      <c r="A4330" s="10" t="str">
        <f ca="1">IFERROR(__xludf.DUMMYFUNCTION("""COMPUTED_VALUE"""),"Камелия Владимирова Планска-Симеонова")</f>
        <v>Камелия Владимирова Планска-Симеонова</v>
      </c>
      <c r="B4330" s="10" t="str">
        <f ca="1">IFERROR(__xludf.DUMMYFUNCTION("""COMPUTED_VALUE"""),"Доклад от конференция")</f>
        <v>Доклад от конференция</v>
      </c>
      <c r="C4330" s="10" t="str">
        <f ca="1">IFERROR(__xludf.DUMMYFUNCTION("""COMPUTED_VALUE"""),"Intellectual Property Problems on Photographic Information Analysis in University Environment")</f>
        <v>Intellectual Property Problems on Photographic Information Analysis in University Environment</v>
      </c>
      <c r="D4330" s="10">
        <f ca="1">IFERROR(__xludf.DUMMYFUNCTION("""COMPUTED_VALUE"""),2019)</f>
        <v>2019</v>
      </c>
      <c r="E4330" s="10" t="str">
        <f ca="1">IFERROR(__xludf.DUMMYFUNCTION("""COMPUTED_VALUE"""),"International Conference ""New Perspectives in Science Education"" held in Florence on 21 - 22 March 2019, pp. 182-186
 ISBN: ISBN 978-88-85813-56-4
 ISSN 2420-9732")</f>
        <v>International Conference "New Perspectives in Science Education" held in Florence on 21 - 22 March 2019, pp. 182-186
 ISBN: ISBN 978-88-85813-56-4
 ISSN 2420-9732</v>
      </c>
      <c r="F4330" s="10" t="str">
        <f ca="1">IFERROR(__xludf.DUMMYFUNCTION("""COMPUTED_VALUE"""),"Thomson Reuters (ISI-Clarivate). 
 The publication will also be included in Academia.edu and indexed in Google Scholar.")</f>
        <v>Thomson Reuters (ISI-Clarivate). 
 The publication will also be included in Academia.edu and indexed in Google Scholar.</v>
      </c>
      <c r="G4330" s="10" t="str">
        <f ca="1">IFERROR(__xludf.DUMMYFUNCTION("""COMPUTED_VALUE"""),"Stoyan Denchev, Tereza Trencheva,")</f>
        <v>Stoyan Denchev, Tereza Trencheva,</v>
      </c>
      <c r="H4330" s="10"/>
      <c r="I4330" s="10"/>
      <c r="J4330" s="10"/>
      <c r="K4330" s="10"/>
      <c r="L4330" s="10"/>
      <c r="M4330" s="10"/>
      <c r="N4330" s="10"/>
      <c r="O4330" s="10"/>
      <c r="P4330" s="10"/>
      <c r="Q4330" s="10"/>
      <c r="R4330" s="10"/>
      <c r="S4330" s="10"/>
      <c r="T4330" s="10"/>
      <c r="U4330" s="10"/>
      <c r="V4330" s="10"/>
      <c r="W4330" s="10"/>
      <c r="X4330" s="10"/>
      <c r="Y4330" s="10"/>
      <c r="Z4330" s="10"/>
    </row>
    <row r="4331" spans="1:26" ht="12.75">
      <c r="A4331" s="10" t="str">
        <f ca="1">IFERROR(__xludf.DUMMYFUNCTION("""COMPUTED_VALUE"""),"Камелия Владимирова Планска-Симеонова")</f>
        <v>Камелия Владимирова Планска-Симеонова</v>
      </c>
      <c r="B4331" s="10" t="str">
        <f ca="1">IFERROR(__xludf.DUMMYFUNCTION("""COMPUTED_VALUE"""),"Доклад от конференция")</f>
        <v>Доклад от конференция</v>
      </c>
      <c r="C4331" s="10" t="str">
        <f ca="1">IFERROR(__xludf.DUMMYFUNCTION("""COMPUTED_VALUE"""),"Copyright Protection of Photographic Information in Compliance with the New Regulations of the European Union")</f>
        <v>Copyright Protection of Photographic Information in Compliance with the New Regulations of the European Union</v>
      </c>
      <c r="D4331" s="10">
        <f ca="1">IFERROR(__xludf.DUMMYFUNCTION("""COMPUTED_VALUE"""),2019)</f>
        <v>2019</v>
      </c>
      <c r="E4331" s="10" t="str">
        <f ca="1">IFERROR(__xludf.DUMMYFUNCTION("""COMPUTED_VALUE"""),"EDULEARN19 Proceedings, 11th annual International Conference on Education and New Learning Technologies Palma de Mallorca (Spain). 1st - 3rd of July, 2019. pp. 5040-5046
 ISBN: 978-84-09-12031-4
 ISSN: 2340-1117")</f>
        <v>EDULEARN19 Proceedings, 11th annual International Conference on Education and New Learning Technologies Palma de Mallorca (Spain). 1st - 3rd of July, 2019. pp. 5040-5046
 ISBN: 978-84-09-12031-4
 ISSN: 2340-1117</v>
      </c>
      <c r="F4331" s="10" t="str">
        <f ca="1">IFERROR(__xludf.DUMMYFUNCTION("""COMPUTED_VALUE"""),"Web of Science
 Crossref")</f>
        <v>Web of Science
 Crossref</v>
      </c>
      <c r="G4331" s="10"/>
      <c r="H4331" s="10"/>
      <c r="I4331" s="10"/>
      <c r="J4331" s="10"/>
      <c r="K4331" s="10"/>
      <c r="L4331" s="10"/>
      <c r="M4331" s="10"/>
      <c r="N4331" s="10"/>
      <c r="O4331" s="10"/>
      <c r="P4331" s="10"/>
      <c r="Q4331" s="10"/>
      <c r="R4331" s="10"/>
      <c r="S4331" s="10"/>
      <c r="T4331" s="10"/>
      <c r="U4331" s="10"/>
      <c r="V4331" s="10"/>
      <c r="W4331" s="10"/>
      <c r="X4331" s="10"/>
      <c r="Y4331" s="10"/>
      <c r="Z4331" s="10"/>
    </row>
    <row r="4332" spans="1:26" ht="12.75">
      <c r="A4332" s="10" t="str">
        <f ca="1">IFERROR(__xludf.DUMMYFUNCTION("""COMPUTED_VALUE"""),"Камелия Владимирова Планска-Симеонова")</f>
        <v>Камелия Владимирова Планска-Симеонова</v>
      </c>
      <c r="B4332" s="10" t="str">
        <f ca="1">IFERROR(__xludf.DUMMYFUNCTION("""COMPUTED_VALUE"""),"Доклад от конференция")</f>
        <v>Доклад от конференция</v>
      </c>
      <c r="C4332" s="10" t="str">
        <f ca="1">IFERROR(__xludf.DUMMYFUNCTION("""COMPUTED_VALUE"""),"Роля и значение на обучение по визуална грамотност в университетска среда")</f>
        <v>Роля и значение на обучение по визуална грамотност в университетска среда</v>
      </c>
      <c r="D4332" s="10">
        <f ca="1">IFERROR(__xludf.DUMMYFUNCTION("""COMPUTED_VALUE"""),2019)</f>
        <v>2019</v>
      </c>
      <c r="E4332" s="10" t="str">
        <f ca="1">IFERROR(__xludf.DUMMYFUNCTION("""COMPUTED_VALUE"""),"Сборник с доклади от Международен пътуващ семинар на УниБИТ Съвременни измерения на европейското образователно и научно пространство. Българо-австрийски културни общувания. София, За буквите – О Писменехь, 2019, с. 186-191,
 ISSN: 2367-7988")</f>
        <v>Сборник с доклади от Международен пътуващ семинар на УниБИТ Съвременни измерения на европейското образователно и научно пространство. Българо-австрийски културни общувания. София, За буквите – О Писменехь, 2019, с. 186-191,
 ISSN: 2367-7988</v>
      </c>
      <c r="F4332" s="10"/>
      <c r="G4332" s="10"/>
      <c r="H4332" s="10"/>
      <c r="I4332" s="10"/>
      <c r="J4332" s="10"/>
      <c r="K4332" s="10"/>
      <c r="L4332" s="10"/>
      <c r="M4332" s="10"/>
      <c r="N4332" s="10"/>
      <c r="O4332" s="10"/>
      <c r="P4332" s="10"/>
      <c r="Q4332" s="10"/>
      <c r="R4332" s="10"/>
      <c r="S4332" s="10"/>
      <c r="T4332" s="10"/>
      <c r="U4332" s="10"/>
      <c r="V4332" s="10"/>
      <c r="W4332" s="10"/>
      <c r="X4332" s="10"/>
      <c r="Y4332" s="10"/>
      <c r="Z4332" s="10"/>
    </row>
    <row r="4333" spans="1:26" ht="12.75">
      <c r="A4333" s="10" t="str">
        <f ca="1">IFERROR(__xludf.DUMMYFUNCTION("""COMPUTED_VALUE"""),"Камелия Владимирова Планска-Симеонова")</f>
        <v>Камелия Владимирова Планска-Симеонова</v>
      </c>
      <c r="B4333" s="10" t="str">
        <f ca="1">IFERROR(__xludf.DUMMYFUNCTION("""COMPUTED_VALUE"""),"Доклад от конференция")</f>
        <v>Доклад от конференция</v>
      </c>
      <c r="C4333" s="10" t="str">
        <f ca="1">IFERROR(__xludf.DUMMYFUNCTION("""COMPUTED_VALUE"""),"Application of Photography in Visual Literacy Education in the Professional Field “Public Communications and Information Sciences”")</f>
        <v>Application of Photography in Visual Literacy Education in the Professional Field “Public Communications and Information Sciences”</v>
      </c>
      <c r="D4333" s="10">
        <f ca="1">IFERROR(__xludf.DUMMYFUNCTION("""COMPUTED_VALUE"""),2019)</f>
        <v>2019</v>
      </c>
      <c r="E4333" s="10" t="str">
        <f ca="1">IFERROR(__xludf.DUMMYFUNCTION("""COMPUTED_VALUE"""),"ICERI2019 Proceedings, 12th annual International Conference of Education, Research and Innovation. Seville (Spain). 11th - 13th of November, 2019, pp. 8064-8070,
 ISBN: 978-84-09-14755-7
 ISSN: 2340-1095")</f>
        <v>ICERI2019 Proceedings, 12th annual International Conference of Education, Research and Innovation. Seville (Spain). 11th - 13th of November, 2019, pp. 8064-8070,
 ISBN: 978-84-09-14755-7
 ISSN: 2340-1095</v>
      </c>
      <c r="F4333" s="10" t="str">
        <f ca="1">IFERROR(__xludf.DUMMYFUNCTION("""COMPUTED_VALUE"""),"Web of Science,
 Crossref")</f>
        <v>Web of Science,
 Crossref</v>
      </c>
      <c r="G4333" s="10"/>
      <c r="H4333" s="10"/>
      <c r="I4333" s="10"/>
      <c r="J4333" s="10"/>
      <c r="K4333" s="10"/>
      <c r="L4333" s="10"/>
      <c r="M4333" s="10"/>
      <c r="N4333" s="10"/>
      <c r="O4333" s="10"/>
      <c r="P4333" s="10"/>
      <c r="Q4333" s="10"/>
      <c r="R4333" s="10"/>
      <c r="S4333" s="10"/>
      <c r="T4333" s="10"/>
      <c r="U4333" s="10"/>
      <c r="V4333" s="10"/>
      <c r="W4333" s="10"/>
      <c r="X4333" s="10"/>
      <c r="Y4333" s="10"/>
      <c r="Z4333" s="10"/>
    </row>
    <row r="4334" spans="1:26" ht="12.75">
      <c r="A4334" s="10" t="str">
        <f ca="1">IFERROR(__xludf.DUMMYFUNCTION("""COMPUTED_VALUE"""),"Камелия Владимирова Планска-Симеонова")</f>
        <v>Камелия Владимирова Планска-Симеонова</v>
      </c>
      <c r="B4334" s="10" t="str">
        <f ca="1">IFERROR(__xludf.DUMMYFUNCTION("""COMPUTED_VALUE"""),"Доклад от конференция")</f>
        <v>Доклад от конференция</v>
      </c>
      <c r="C4334" s="10" t="str">
        <f ca="1">IFERROR(__xludf.DUMMYFUNCTION("""COMPUTED_VALUE"""),"Possibilities for Evaluation of the Visual Culture of Students in Humanitarian Specialties")</f>
        <v>Possibilities for Evaluation of the Visual Culture of Students in Humanitarian Specialties</v>
      </c>
      <c r="D4334" s="10">
        <f ca="1">IFERROR(__xludf.DUMMYFUNCTION("""COMPUTED_VALUE"""),2019)</f>
        <v>2019</v>
      </c>
      <c r="E4334" s="10" t="str">
        <f ca="1">IFERROR(__xludf.DUMMYFUNCTION("""COMPUTED_VALUE"""),"ICERI2019 Proceedings, 12th annual International Conference of Education, Research and Innovation. Seville (Spain). 11th - 13th of November, 2019, pp. 8043-8048,
 ISBN: 978-84-09-14755-7
 ISSN: 2340-1095")</f>
        <v>ICERI2019 Proceedings, 12th annual International Conference of Education, Research and Innovation. Seville (Spain). 11th - 13th of November, 2019, pp. 8043-8048,
 ISBN: 978-84-09-14755-7
 ISSN: 2340-1095</v>
      </c>
      <c r="F4334" s="10" t="str">
        <f ca="1">IFERROR(__xludf.DUMMYFUNCTION("""COMPUTED_VALUE"""),"Web of Science,
 Crossref")</f>
        <v>Web of Science,
 Crossref</v>
      </c>
      <c r="G4334" s="10" t="str">
        <f ca="1">IFERROR(__xludf.DUMMYFUNCTION("""COMPUTED_VALUE"""),"K. Rasheva-Yordanova, K. Mincheva")</f>
        <v>K. Rasheva-Yordanova, K. Mincheva</v>
      </c>
      <c r="H4334" s="10"/>
      <c r="I4334" s="10"/>
      <c r="J4334" s="10"/>
      <c r="K4334" s="10"/>
      <c r="L4334" s="10"/>
      <c r="M4334" s="10"/>
      <c r="N4334" s="10"/>
      <c r="O4334" s="10"/>
      <c r="P4334" s="10"/>
      <c r="Q4334" s="10"/>
      <c r="R4334" s="10"/>
      <c r="S4334" s="10"/>
      <c r="T4334" s="10"/>
      <c r="U4334" s="10"/>
      <c r="V4334" s="10"/>
      <c r="W4334" s="10"/>
      <c r="X4334" s="10"/>
      <c r="Y4334" s="10"/>
      <c r="Z4334" s="10"/>
    </row>
    <row r="4335" spans="1:26" ht="12.75">
      <c r="A4335" s="10" t="str">
        <f ca="1">IFERROR(__xludf.DUMMYFUNCTION("""COMPUTED_VALUE"""),"Камелия Владимирова Планска-Симеонова")</f>
        <v>Камелия Владимирова Планска-Симеонова</v>
      </c>
      <c r="B4335" s="10" t="str">
        <f ca="1">IFERROR(__xludf.DUMMYFUNCTION("""COMPUTED_VALUE"""),"Статия в списания и поредици")</f>
        <v>Статия в списания и поредици</v>
      </c>
      <c r="C4335" s="10" t="str">
        <f ca="1">IFERROR(__xludf.DUMMYFUNCTION("""COMPUTED_VALUE"""),"Фотографията – подарък за човечеството. 180 години от официалното оповестяване на изкуството фотография")</f>
        <v>Фотографията – подарък за човечеството. 180 години от официалното оповестяване на изкуството фотография</v>
      </c>
      <c r="D4335" s="10">
        <f ca="1">IFERROR(__xludf.DUMMYFUNCTION("""COMPUTED_VALUE"""),2019)</f>
        <v>2019</v>
      </c>
      <c r="E4335" s="10" t="str">
        <f ca="1">IFERROR(__xludf.DUMMYFUNCTION("""COMPUTED_VALUE"""),"За буквите – О писменехь, Година XLI, 2019, бр. 57, с. 21
 ISSN 1312-3785")</f>
        <v>За буквите – О писменехь, Година XLI, 2019, бр. 57, с. 21
 ISSN 1312-3785</v>
      </c>
      <c r="F4335" s="10"/>
      <c r="G4335" s="10"/>
      <c r="H4335" s="10"/>
      <c r="I4335" s="10"/>
      <c r="J4335" s="10"/>
      <c r="K4335" s="10"/>
      <c r="L4335" s="10"/>
      <c r="M4335" s="10"/>
      <c r="N4335" s="10"/>
      <c r="O4335" s="10"/>
      <c r="P4335" s="10"/>
      <c r="Q4335" s="10"/>
      <c r="R4335" s="10"/>
      <c r="S4335" s="10"/>
      <c r="T4335" s="10"/>
      <c r="U4335" s="10"/>
      <c r="V4335" s="10"/>
      <c r="W4335" s="10"/>
      <c r="X4335" s="10"/>
      <c r="Y4335" s="10"/>
      <c r="Z4335" s="10"/>
    </row>
    <row r="4336" spans="1:26" ht="12.75">
      <c r="A4336" s="10" t="str">
        <f ca="1">IFERROR(__xludf.DUMMYFUNCTION("""COMPUTED_VALUE"""),"Камелия Владимирова Планска-Симеонова")</f>
        <v>Камелия Владимирова Планска-Симеонова</v>
      </c>
      <c r="B4336" s="10" t="str">
        <f ca="1">IFERROR(__xludf.DUMMYFUNCTION("""COMPUTED_VALUE"""),"Доклад от конференция")</f>
        <v>Доклад от конференция</v>
      </c>
      <c r="C4336" s="10" t="str">
        <f ca="1">IFERROR(__xludf.DUMMYFUNCTION("""COMPUTED_VALUE"""),"Историкоправни аспекти на интелектуалната собственост върху фотографската информация")</f>
        <v>Историкоправни аспекти на интелектуалната собственост върху фотографската информация</v>
      </c>
      <c r="D4336" s="10">
        <f ca="1">IFERROR(__xludf.DUMMYFUNCTION("""COMPUTED_VALUE"""),2018)</f>
        <v>2018</v>
      </c>
      <c r="E4336" s="10" t="str">
        <f ca="1">IFERROR(__xludf.DUMMYFUNCTION("""COMPUTED_VALUE"""),"Сборник Съвременни изменения на европейското образователно и научно пространство. София, За буквите – О писменехь, Т.6, 2018, с. 186-191
  ISSN: 2367-7988")</f>
        <v>Сборник Съвременни изменения на европейското образователно и научно пространство. София, За буквите – О писменехь, Т.6, 2018, с. 186-191
  ISSN: 2367-7988</v>
      </c>
      <c r="F4336" s="10"/>
      <c r="G4336" s="10"/>
      <c r="H4336" s="10"/>
      <c r="I4336" s="10"/>
      <c r="J4336" s="10"/>
      <c r="K4336" s="10"/>
      <c r="L4336" s="10"/>
      <c r="M4336" s="10"/>
      <c r="N4336" s="10"/>
      <c r="O4336" s="10"/>
      <c r="P4336" s="10"/>
      <c r="Q4336" s="10"/>
      <c r="R4336" s="10"/>
      <c r="S4336" s="10"/>
      <c r="T4336" s="10"/>
      <c r="U4336" s="10"/>
      <c r="V4336" s="10"/>
      <c r="W4336" s="10"/>
      <c r="X4336" s="10"/>
      <c r="Y4336" s="10"/>
      <c r="Z4336" s="10"/>
    </row>
    <row r="4337" spans="1:26" ht="12.75">
      <c r="A4337" s="10" t="str">
        <f ca="1">IFERROR(__xludf.DUMMYFUNCTION("""COMPUTED_VALUE"""),"Камелия Владимирова Планска-Симеонова")</f>
        <v>Камелия Владимирова Планска-Симеонова</v>
      </c>
      <c r="B4337" s="10" t="str">
        <f ca="1">IFERROR(__xludf.DUMMYFUNCTION("""COMPUTED_VALUE"""),"Доклад от конференция")</f>
        <v>Доклад от конференция</v>
      </c>
      <c r="C4337" s="10" t="str">
        <f ca="1">IFERROR(__xludf.DUMMYFUNCTION("""COMPUTED_VALUE"""),"Interaction in Intellectual Property Education in University Infrastructure: the ULSIT’s Experience")</f>
        <v>Interaction in Intellectual Property Education in University Infrastructure: the ULSIT’s Experience</v>
      </c>
      <c r="D4337" s="10">
        <f ca="1">IFERROR(__xludf.DUMMYFUNCTION("""COMPUTED_VALUE"""),2018)</f>
        <v>2018</v>
      </c>
      <c r="E4337" s="10" t="str">
        <f ca="1">IFERROR(__xludf.DUMMYFUNCTION("""COMPUTED_VALUE"""),"ICERI2018: 11th annual International Conference on Education and New Learning Technologies. Seville (Spain) on the 12th, 13th and 14th of November, 2018, 1142-1149
 ISBN: 978-84-09-05948-5
 ISSN: 2340-1095")</f>
        <v>ICERI2018: 11th annual International Conference on Education and New Learning Technologies. Seville (Spain) on the 12th, 13th and 14th of November, 2018, 1142-1149
 ISBN: 978-84-09-05948-5
 ISSN: 2340-1095</v>
      </c>
      <c r="F4337" s="10" t="str">
        <f ca="1">IFERROR(__xludf.DUMMYFUNCTION("""COMPUTED_VALUE"""),"Web of Science,
 Crossref")</f>
        <v>Web of Science,
 Crossref</v>
      </c>
      <c r="G4337" s="10" t="str">
        <f ca="1">IFERROR(__xludf.DUMMYFUNCTION("""COMPUTED_VALUE"""),"Tereza Trencheva, Svetoslava Dimitrova")</f>
        <v>Tereza Trencheva, Svetoslava Dimitrova</v>
      </c>
      <c r="H4337" s="10"/>
      <c r="I4337" s="10"/>
      <c r="J4337" s="10"/>
      <c r="K4337" s="10"/>
      <c r="L4337" s="10"/>
      <c r="M4337" s="10"/>
      <c r="N4337" s="10"/>
      <c r="O4337" s="10"/>
      <c r="P4337" s="10"/>
      <c r="Q4337" s="10"/>
      <c r="R4337" s="10"/>
      <c r="S4337" s="10"/>
      <c r="T4337" s="10"/>
      <c r="U4337" s="10"/>
      <c r="V4337" s="10"/>
      <c r="W4337" s="10"/>
      <c r="X4337" s="10"/>
      <c r="Y4337" s="10"/>
      <c r="Z4337" s="10"/>
    </row>
    <row r="4338" spans="1:26" ht="12.75">
      <c r="A4338" s="10" t="str">
        <f ca="1">IFERROR(__xludf.DUMMYFUNCTION("""COMPUTED_VALUE"""),"Камелия Владимирова Планска-Симеонова")</f>
        <v>Камелия Владимирова Планска-Симеонова</v>
      </c>
      <c r="B4338" s="10" t="str">
        <f ca="1">IFERROR(__xludf.DUMMYFUNCTION("""COMPUTED_VALUE"""),"Доклад от конференция")</f>
        <v>Доклад от конференция</v>
      </c>
      <c r="C4338" s="10" t="str">
        <f ca="1">IFERROR(__xludf.DUMMYFUNCTION("""COMPUTED_VALUE"""),"KodakCoin &amp; KodakOne - блокчейн иновациите и интелектуалната собственост върху фотографска информация")</f>
        <v>KodakCoin &amp; KodakOne - блокчейн иновациите и интелектуалната собственост върху фотографска информация</v>
      </c>
      <c r="D4338" s="10">
        <f ca="1">IFERROR(__xludf.DUMMYFUNCTION("""COMPUTED_VALUE"""),2018)</f>
        <v>2018</v>
      </c>
      <c r="E4338" s="10" t="str">
        <f ca="1">IFERROR(__xludf.DUMMYFUNCTION("""COMPUTED_VALUE"""),"Eвропейските граждани и интелектуалната собственост – възприятие, осъзнатост, поведение. София, За буквите – О, Писменахь, 2018, с. 91-104
 ISBN 978-619-185-350-2")</f>
        <v>Eвропейските граждани и интелектуалната собственост – възприятие, осъзнатост, поведение. София, За буквите – О, Писменахь, 2018, с. 91-104
 ISBN 978-619-185-350-2</v>
      </c>
      <c r="F4338" s="10"/>
      <c r="G4338" s="10"/>
      <c r="H4338" s="10"/>
      <c r="I4338" s="10"/>
      <c r="J4338" s="10"/>
      <c r="K4338" s="10"/>
      <c r="L4338" s="10"/>
      <c r="M4338" s="10"/>
      <c r="N4338" s="10"/>
      <c r="O4338" s="10"/>
      <c r="P4338" s="10"/>
      <c r="Q4338" s="10"/>
      <c r="R4338" s="10"/>
      <c r="S4338" s="10"/>
      <c r="T4338" s="10"/>
      <c r="U4338" s="10"/>
      <c r="V4338" s="10"/>
      <c r="W4338" s="10"/>
      <c r="X4338" s="10"/>
      <c r="Y4338" s="10"/>
      <c r="Z4338" s="10"/>
    </row>
    <row r="4339" spans="1:26" ht="12.75">
      <c r="A4339" s="10" t="str">
        <f ca="1">IFERROR(__xludf.DUMMYFUNCTION("""COMPUTED_VALUE"""),"Камелия Владимирова Планска-Симеонова")</f>
        <v>Камелия Владимирова Планска-Симеонова</v>
      </c>
      <c r="B4339" s="10" t="str">
        <f ca="1">IFERROR(__xludf.DUMMYFUNCTION("""COMPUTED_VALUE"""),"Доклад от конференция")</f>
        <v>Доклад от конференция</v>
      </c>
      <c r="C4339" s="10" t="str">
        <f ca="1">IFERROR(__xludf.DUMMYFUNCTION("""COMPUTED_VALUE"""),"Публичност и визуализация на академичния живот и на инициативите на катедра „Библиотечен мениджмънт“ – в диалог с публиките")</f>
        <v>Публичност и визуализация на академичния живот и на инициативите на катедра „Библиотечен мениджмънт“ – в диалог с публиките</v>
      </c>
      <c r="D4339" s="10">
        <f ca="1">IFERROR(__xludf.DUMMYFUNCTION("""COMPUTED_VALUE"""),2018)</f>
        <v>2018</v>
      </c>
      <c r="E4339" s="10" t="str">
        <f ca="1">IFERROR(__xludf.DUMMYFUNCTION("""COMPUTED_VALUE"""),"Сборник „Библиотечният и информационен мениджмънт: 10 години постижения и предизвикателства“. За буквите –О, Писменехь, 2018, с. 254-270
 ISBN 978-619-185-347-2")</f>
        <v>Сборник „Библиотечният и информационен мениджмънт: 10 години постижения и предизвикателства“. За буквите –О, Писменехь, 2018, с. 254-270
 ISBN 978-619-185-347-2</v>
      </c>
      <c r="F4339" s="10"/>
      <c r="G4339" s="10"/>
      <c r="H4339" s="10"/>
      <c r="I4339" s="10"/>
      <c r="J4339" s="10"/>
      <c r="K4339" s="10"/>
      <c r="L4339" s="10"/>
      <c r="M4339" s="10"/>
      <c r="N4339" s="10"/>
      <c r="O4339" s="10"/>
      <c r="P4339" s="10"/>
      <c r="Q4339" s="10"/>
      <c r="R4339" s="10"/>
      <c r="S4339" s="10"/>
      <c r="T4339" s="10"/>
      <c r="U4339" s="10"/>
      <c r="V4339" s="10"/>
      <c r="W4339" s="10"/>
      <c r="X4339" s="10"/>
      <c r="Y4339" s="10"/>
      <c r="Z4339" s="10"/>
    </row>
    <row r="4340" spans="1:26" ht="12.75">
      <c r="A4340" s="10" t="str">
        <f ca="1">IFERROR(__xludf.DUMMYFUNCTION("""COMPUTED_VALUE"""),"Камелия Владимирова Планска-Симеонова")</f>
        <v>Камелия Владимирова Планска-Симеонова</v>
      </c>
      <c r="B4340" s="10" t="str">
        <f ca="1">IFERROR(__xludf.DUMMYFUNCTION("""COMPUTED_VALUE"""),"Доклад от конференция")</f>
        <v>Доклад от конференция</v>
      </c>
      <c r="C4340" s="10" t="str">
        <f ca="1">IFERROR(__xludf.DUMMYFUNCTION("""COMPUTED_VALUE"""),"Съвременно състояние на информираността на професионалните фотографи по проблемите свързани с интелектуалната собственост")</f>
        <v>Съвременно състояние на информираността на професионалните фотографи по проблемите свързани с интелектуалната собственост</v>
      </c>
      <c r="D4340" s="10">
        <f ca="1">IFERROR(__xludf.DUMMYFUNCTION("""COMPUTED_VALUE"""),2018)</f>
        <v>2018</v>
      </c>
      <c r="E4340" s="10" t="str">
        <f ca="1">IFERROR(__xludf.DUMMYFUNCTION("""COMPUTED_VALUE"""),"Общество на знанието и хуманизмън на ХХI век, София, За буквите –О, Писменехь, 2018, с. 935-945, 
 ISSN: 1314-7099")</f>
        <v>Общество на знанието и хуманизмън на ХХI век, София, За буквите –О, Писменехь, 2018, с. 935-945, 
 ISSN: 1314-7099</v>
      </c>
      <c r="F4340" s="10"/>
      <c r="G4340" s="10"/>
      <c r="H4340" s="10"/>
      <c r="I4340" s="10"/>
      <c r="J4340" s="10"/>
      <c r="K4340" s="10"/>
      <c r="L4340" s="10"/>
      <c r="M4340" s="10"/>
      <c r="N4340" s="10"/>
      <c r="O4340" s="10"/>
      <c r="P4340" s="10"/>
      <c r="Q4340" s="10"/>
      <c r="R4340" s="10"/>
      <c r="S4340" s="10"/>
      <c r="T4340" s="10"/>
      <c r="U4340" s="10"/>
      <c r="V4340" s="10"/>
      <c r="W4340" s="10"/>
      <c r="X4340" s="10"/>
      <c r="Y4340" s="10"/>
      <c r="Z4340" s="10"/>
    </row>
    <row r="4341" spans="1:26" ht="12.75">
      <c r="A4341" s="10" t="str">
        <f ca="1">IFERROR(__xludf.DUMMYFUNCTION("""COMPUTED_VALUE"""),"Камелия Владимирова Планска-Симеонова")</f>
        <v>Камелия Владимирова Планска-Симеонова</v>
      </c>
      <c r="B4341" s="10" t="str">
        <f ca="1">IFERROR(__xludf.DUMMYFUNCTION("""COMPUTED_VALUE"""),"Доклад от конференция")</f>
        <v>Доклад от конференция</v>
      </c>
      <c r="C4341" s="10" t="str">
        <f ca="1">IFERROR(__xludf.DUMMYFUNCTION("""COMPUTED_VALUE"""),"Main Aspects of Copyright Legislation in Europe and South-Eastern Asia &amp; Comparative Analysis")</f>
        <v>Main Aspects of Copyright Legislation in Europe and South-Eastern Asia &amp; Comparative Analysis</v>
      </c>
      <c r="D4341" s="10">
        <f ca="1">IFERROR(__xludf.DUMMYFUNCTION("""COMPUTED_VALUE"""),2018)</f>
        <v>2018</v>
      </c>
      <c r="E4341" s="10" t="str">
        <f ca="1">IFERROR(__xludf.DUMMYFUNCTION("""COMPUTED_VALUE"""),"Contemporary Strategies and Innovations in the Knowledge Management. 27th November 2018, Brussels, Belgium. pp. 27-41,
 ISSN 2535-0250")</f>
        <v>Contemporary Strategies and Innovations in the Knowledge Management. 27th November 2018, Brussels, Belgium. pp. 27-41,
 ISSN 2535-0250</v>
      </c>
      <c r="F4341" s="10"/>
      <c r="G4341" s="10" t="str">
        <f ca="1">IFERROR(__xludf.DUMMYFUNCTION("""COMPUTED_VALUE"""),"Svetoslava Dimitrova")</f>
        <v>Svetoslava Dimitrova</v>
      </c>
      <c r="H4341" s="10"/>
      <c r="I4341" s="10"/>
      <c r="J4341" s="10"/>
      <c r="K4341" s="10"/>
      <c r="L4341" s="10"/>
      <c r="M4341" s="10"/>
      <c r="N4341" s="10"/>
      <c r="O4341" s="10"/>
      <c r="P4341" s="10"/>
      <c r="Q4341" s="10"/>
      <c r="R4341" s="10"/>
      <c r="S4341" s="10"/>
      <c r="T4341" s="10"/>
      <c r="U4341" s="10"/>
      <c r="V4341" s="10"/>
      <c r="W4341" s="10"/>
      <c r="X4341" s="10"/>
      <c r="Y4341" s="10"/>
      <c r="Z4341" s="10"/>
    </row>
    <row r="4342" spans="1:26" ht="12.75">
      <c r="A4342" s="10" t="str">
        <f ca="1">IFERROR(__xludf.DUMMYFUNCTION("""COMPUTED_VALUE"""),"Камелия Владимирова Планска-Симеонова")</f>
        <v>Камелия Владимирова Планска-Симеонова</v>
      </c>
      <c r="B4342" s="10" t="str">
        <f ca="1">IFERROR(__xludf.DUMMYFUNCTION("""COMPUTED_VALUE"""),"Доклад от конференция")</f>
        <v>Доклад от конференция</v>
      </c>
      <c r="C4342" s="10" t="str">
        <f ca="1">IFERROR(__xludf.DUMMYFUNCTION("""COMPUTED_VALUE"""),"Интелектуална собственост върху фотографски изображения в издателския бизнес – приложение и достъп до продукти от категорията стокова фотография")</f>
        <v>Интелектуална собственост върху фотографски изображения в издателския бизнес – приложение и достъп до продукти от категорията стокова фотография</v>
      </c>
      <c r="D4342" s="10">
        <f ca="1">IFERROR(__xludf.DUMMYFUNCTION("""COMPUTED_VALUE"""),2017)</f>
        <v>2017</v>
      </c>
      <c r="E4342" s="10" t="str">
        <f ca="1">IFERROR(__xludf.DUMMYFUNCTION("""COMPUTED_VALUE"""),"[Сборник] Съвременни стратегии и иновации в управление на знанието / Състав. Стоян Денчев, Тереза Тренчева, Събина Ефтимова, Диана Стоянова. София, За буквите-О Писменехь, 2017, с. 117-124,
 ISBN 978-619-185-160-7")</f>
        <v>[Сборник] Съвременни стратегии и иновации в управление на знанието / Състав. Стоян Денчев, Тереза Тренчева, Събина Ефтимова, Диана Стоянова. София, За буквите-О Писменехь, 2017, с. 117-124,
 ISBN 978-619-185-160-7</v>
      </c>
      <c r="F4342" s="10"/>
      <c r="G4342" s="10" t="str">
        <f ca="1">IFERROR(__xludf.DUMMYFUNCTION("""COMPUTED_VALUE"""),"Гергана Георгиева")</f>
        <v>Гергана Георгиева</v>
      </c>
      <c r="H4342" s="10"/>
      <c r="I4342" s="10"/>
      <c r="J4342" s="10"/>
      <c r="K4342" s="10"/>
      <c r="L4342" s="10"/>
      <c r="M4342" s="10"/>
      <c r="N4342" s="10"/>
      <c r="O4342" s="10"/>
      <c r="P4342" s="10"/>
      <c r="Q4342" s="10"/>
      <c r="R4342" s="10"/>
      <c r="S4342" s="10"/>
      <c r="T4342" s="10"/>
      <c r="U4342" s="10"/>
      <c r="V4342" s="10"/>
      <c r="W4342" s="10"/>
      <c r="X4342" s="10"/>
      <c r="Y4342" s="10"/>
      <c r="Z4342" s="10"/>
    </row>
    <row r="4343" spans="1:26" ht="12.75">
      <c r="A4343" s="10" t="str">
        <f ca="1">IFERROR(__xludf.DUMMYFUNCTION("""COMPUTED_VALUE"""),"Камелия Владимирова Планска-Симеонова")</f>
        <v>Камелия Владимирова Планска-Симеонова</v>
      </c>
      <c r="B4343" s="10" t="str">
        <f ca="1">IFERROR(__xludf.DUMMYFUNCTION("""COMPUTED_VALUE"""),"Статия в списания и поредици")</f>
        <v>Статия в списания и поредици</v>
      </c>
      <c r="C4343" s="10" t="str">
        <f ca="1">IFERROR(__xludf.DUMMYFUNCTION("""COMPUTED_VALUE"""),"Intellectual Property Training in the Field of Photography and Media in Bulgaria")</f>
        <v>Intellectual Property Training in the Field of Photography and Media in Bulgaria</v>
      </c>
      <c r="D4343" s="10">
        <f ca="1">IFERROR(__xludf.DUMMYFUNCTION("""COMPUTED_VALUE"""),2017)</f>
        <v>2017</v>
      </c>
      <c r="E4343" s="10" t="str">
        <f ca="1">IFERROR(__xludf.DUMMYFUNCTION("""COMPUTED_VALUE"""),"International Conference “The New Perspectives in Science Education”, Conference Proceedings, 16-17 March 2017, Florence, Italy, Simonelli Ed., Vol. 6, pp. 38-42, ISBN:8862928475")</f>
        <v>International Conference “The New Perspectives in Science Education”, Conference Proceedings, 16-17 March 2017, Florence, Italy, Simonelli Ed., Vol. 6, pp. 38-42, ISBN:8862928475</v>
      </c>
      <c r="F4343" s="10" t="str">
        <f ca="1">IFERROR(__xludf.DUMMYFUNCTION("""COMPUTED_VALUE"""),"Google Scholar")</f>
        <v>Google Scholar</v>
      </c>
      <c r="G4343" s="10" t="str">
        <f ca="1">IFERROR(__xludf.DUMMYFUNCTION("""COMPUTED_VALUE"""),"Tereza Trencheva, Evelina Zdravkova-Velichkova")</f>
        <v>Tereza Trencheva, Evelina Zdravkova-Velichkova</v>
      </c>
      <c r="H4343" s="10"/>
      <c r="I4343" s="10"/>
      <c r="J4343" s="10"/>
      <c r="K4343" s="10"/>
      <c r="L4343" s="10"/>
      <c r="M4343" s="10"/>
      <c r="N4343" s="10"/>
      <c r="O4343" s="10"/>
      <c r="P4343" s="10"/>
      <c r="Q4343" s="10"/>
      <c r="R4343" s="10"/>
      <c r="S4343" s="10"/>
      <c r="T4343" s="10"/>
      <c r="U4343" s="10"/>
      <c r="V4343" s="10"/>
      <c r="W4343" s="10"/>
      <c r="X4343" s="10"/>
      <c r="Y4343" s="10"/>
      <c r="Z4343" s="10"/>
    </row>
    <row r="4344" spans="1:26" ht="12.75">
      <c r="A4344" s="10" t="str">
        <f ca="1">IFERROR(__xludf.DUMMYFUNCTION("""COMPUTED_VALUE"""),"Камелия Владимирова Планска-Симеонова")</f>
        <v>Камелия Владимирова Планска-Симеонова</v>
      </c>
      <c r="B4344" s="10" t="str">
        <f ca="1">IFERROR(__xludf.DUMMYFUNCTION("""COMPUTED_VALUE"""),"Доклад от конференция")</f>
        <v>Доклад от конференция</v>
      </c>
      <c r="C4344" s="10" t="str">
        <f ca="1">IFERROR(__xludf.DUMMYFUNCTION("""COMPUTED_VALUE"""),"Роля и значение на обучението по интелектуална собственост в областта на медиите и фотографията в университетска среда")</f>
        <v>Роля и значение на обучението по интелектуална собственост в областта на медиите и фотографията в университетска среда</v>
      </c>
      <c r="D4344" s="10">
        <f ca="1">IFERROR(__xludf.DUMMYFUNCTION("""COMPUTED_VALUE"""),2017)</f>
        <v>2017</v>
      </c>
      <c r="E4344" s="10" t="str">
        <f ca="1">IFERROR(__xludf.DUMMYFUNCTION("""COMPUTED_VALUE"""),"[Сборник] от VII-та международна конференция за млади учени. Научни трудове на Съюза на учените Пловдив. Серия А - Обществени науки, изкуство и култура, Том IV, 15-16 юни 2017 г., Пловдив, с. 230-233. 
 ISSN 1311-9400 (Print) 
 ISSN 2534-9368 (Online)")</f>
        <v>[Сборник] от VII-та международна конференция за млади учени. Научни трудове на Съюза на учените Пловдив. Серия А - Обществени науки, изкуство и култура, Том IV, 15-16 юни 2017 г., Пловдив, с. 230-233. 
 ISSN 1311-9400 (Print) 
 ISSN 2534-9368 (Online)</v>
      </c>
      <c r="F4344" s="28" t="str">
        <f ca="1">IFERROR(__xludf.DUMMYFUNCTION("""COMPUTED_VALUE"""),"eLibraru.ru")</f>
        <v>eLibraru.ru</v>
      </c>
      <c r="G4344" s="10" t="str">
        <f ca="1">IFERROR(__xludf.DUMMYFUNCTION("""COMPUTED_VALUE"""),"Евелина Здравкова-Величкова")</f>
        <v>Евелина Здравкова-Величкова</v>
      </c>
      <c r="H4344" s="10"/>
      <c r="I4344" s="10"/>
      <c r="J4344" s="10"/>
      <c r="K4344" s="10"/>
      <c r="L4344" s="10"/>
      <c r="M4344" s="10"/>
      <c r="N4344" s="10"/>
      <c r="O4344" s="10"/>
      <c r="P4344" s="10"/>
      <c r="Q4344" s="10"/>
      <c r="R4344" s="10"/>
      <c r="S4344" s="10"/>
      <c r="T4344" s="10"/>
      <c r="U4344" s="10"/>
      <c r="V4344" s="10"/>
      <c r="W4344" s="10"/>
      <c r="X4344" s="10"/>
      <c r="Y4344" s="10"/>
      <c r="Z4344" s="10"/>
    </row>
    <row r="4345" spans="1:26" ht="12.75">
      <c r="A4345" s="10" t="str">
        <f ca="1">IFERROR(__xludf.DUMMYFUNCTION("""COMPUTED_VALUE"""),"Камелия Владимирова Планска-Симеонова")</f>
        <v>Камелия Владимирова Планска-Симеонова</v>
      </c>
      <c r="B4345" s="10" t="str">
        <f ca="1">IFERROR(__xludf.DUMMYFUNCTION("""COMPUTED_VALUE"""),"Доклад от конференция")</f>
        <v>Доклад от конференция</v>
      </c>
      <c r="C4345" s="10" t="str">
        <f ca="1">IFERROR(__xludf.DUMMYFUNCTION("""COMPUTED_VALUE"""),"Университетската младежка академия за управление на знанията – една добавена реалност в реалността на УниБИТ")</f>
        <v>Университетската младежка академия за управление на знанията – една добавена реалност в реалността на УниБИТ</v>
      </c>
      <c r="D4345" s="10">
        <f ca="1">IFERROR(__xludf.DUMMYFUNCTION("""COMPUTED_VALUE"""),2017)</f>
        <v>2017</v>
      </c>
      <c r="E4345" s="10" t="str">
        <f ca="1">IFERROR(__xludf.DUMMYFUNCTION("""COMPUTED_VALUE"""),"[Сборник] Съвременни стратегии и иновации в управление на знанието / Състав. Стоян Денчев, Тереза Тренчева, Събина Ефтимова, Диана Стоянова. София, За буквите-О Писменехь, 2017, с. 33-44
 ISSN: 2535-0250")</f>
        <v>[Сборник] Съвременни стратегии и иновации в управление на знанието / Състав. Стоян Денчев, Тереза Тренчева, Събина Ефтимова, Диана Стоянова. София, За буквите-О Писменехь, 2017, с. 33-44
 ISSN: 2535-0250</v>
      </c>
      <c r="F4345" s="10"/>
      <c r="G4345" s="10" t="str">
        <f ca="1">IFERROR(__xludf.DUMMYFUNCTION("""COMPUTED_VALUE"""),"Стоян Денчев, Тереза Тренчева")</f>
        <v>Стоян Денчев, Тереза Тренчева</v>
      </c>
      <c r="H4345" s="10"/>
      <c r="I4345" s="10"/>
      <c r="J4345" s="10"/>
      <c r="K4345" s="10"/>
      <c r="L4345" s="10"/>
      <c r="M4345" s="10"/>
      <c r="N4345" s="10"/>
      <c r="O4345" s="10"/>
      <c r="P4345" s="10"/>
      <c r="Q4345" s="10"/>
      <c r="R4345" s="10"/>
      <c r="S4345" s="10"/>
      <c r="T4345" s="10"/>
      <c r="U4345" s="10"/>
      <c r="V4345" s="10"/>
      <c r="W4345" s="10"/>
      <c r="X4345" s="10"/>
      <c r="Y4345" s="10"/>
      <c r="Z4345" s="10"/>
    </row>
    <row r="4346" spans="1:26" ht="12.75">
      <c r="A4346" s="10" t="str">
        <f ca="1">IFERROR(__xludf.DUMMYFUNCTION("""COMPUTED_VALUE"""),"Камелия Владимирова Планска-Симеонова")</f>
        <v>Камелия Владимирова Планска-Симеонова</v>
      </c>
      <c r="B4346" s="10" t="str">
        <f ca="1">IFERROR(__xludf.DUMMYFUNCTION("""COMPUTED_VALUE"""),"Доклад от конференция")</f>
        <v>Доклад от конференция</v>
      </c>
      <c r="C4346" s="10" t="str">
        <f ca="1">IFERROR(__xludf.DUMMYFUNCTION("""COMPUTED_VALUE"""),"Взаимодействие между медийния бизнес и фотографията – интелектуалната собственост, правни аспекти и закрила")</f>
        <v>Взаимодействие между медийния бизнес и фотографията – интелектуалната собственост, правни аспекти и закрила</v>
      </c>
      <c r="D4346" s="10">
        <f ca="1">IFERROR(__xludf.DUMMYFUNCTION("""COMPUTED_VALUE"""),2016)</f>
        <v>2016</v>
      </c>
      <c r="E4346" s="10" t="str">
        <f ca="1">IFERROR(__xludf.DUMMYFUNCTION("""COMPUTED_VALUE"""),"[е-Сборник] Бизнесът в XXI век. Тенденции и предизвикателства - София, Издателски комплекс УНСС, 2016, с. 527-538 
 ISBN 978-954-644-937-5")</f>
        <v>[е-Сборник] Бизнесът в XXI век. Тенденции и предизвикателства - София, Издателски комплекс УНСС, 2016, с. 527-538 
 ISBN 978-954-644-937-5</v>
      </c>
      <c r="F4346" s="10"/>
      <c r="G4346" s="10" t="str">
        <f ca="1">IFERROR(__xludf.DUMMYFUNCTION("""COMPUTED_VALUE"""),"Евелина Здравкова-Величкова")</f>
        <v>Евелина Здравкова-Величкова</v>
      </c>
      <c r="H4346" s="10"/>
      <c r="I4346" s="10"/>
      <c r="J4346" s="10"/>
      <c r="K4346" s="10"/>
      <c r="L4346" s="10"/>
      <c r="M4346" s="10"/>
      <c r="N4346" s="10"/>
      <c r="O4346" s="10"/>
      <c r="P4346" s="10"/>
      <c r="Q4346" s="10"/>
      <c r="R4346" s="10"/>
      <c r="S4346" s="10"/>
      <c r="T4346" s="10"/>
      <c r="U4346" s="10"/>
      <c r="V4346" s="10"/>
      <c r="W4346" s="10"/>
      <c r="X4346" s="10"/>
      <c r="Y4346" s="10"/>
      <c r="Z4346" s="10"/>
    </row>
    <row r="4347" spans="1:26" ht="12.75">
      <c r="A4347" s="10" t="str">
        <f ca="1">IFERROR(__xludf.DUMMYFUNCTION("""COMPUTED_VALUE"""),"Камелия Владимирова Планска-Симеонова")</f>
        <v>Камелия Владимирова Планска-Симеонова</v>
      </c>
      <c r="B4347" s="10" t="str">
        <f ca="1">IFERROR(__xludf.DUMMYFUNCTION("""COMPUTED_VALUE"""),"Доклад от конференция")</f>
        <v>Доклад от конференция</v>
      </c>
      <c r="C4347" s="10" t="str">
        <f ca="1">IFERROR(__xludf.DUMMYFUNCTION("""COMPUTED_VALUE"""),"Фотографията като обект на интелектуална собственост - същност на авторското право и закрила")</f>
        <v>Фотографията като обект на интелектуална собственост - същност на авторското право и закрила</v>
      </c>
      <c r="D4347" s="10">
        <f ca="1">IFERROR(__xludf.DUMMYFUNCTION("""COMPUTED_VALUE"""),2016)</f>
        <v>2016</v>
      </c>
      <c r="E4347" s="10" t="str">
        <f ca="1">IFERROR(__xludf.DUMMYFUNCTION("""COMPUTED_VALUE"""),"[Сборник] Интернет либерализацията – предизвикателства и добри практики пред интелектуалната собственост / Състав. Тренчева, Т., Науч. ред. Таня Тодорова, София, За буквите-О Писменехь, 2016, с. 305-315,
 ISBN 978-619-185-231-4")</f>
        <v>[Сборник] Интернет либерализацията – предизвикателства и добри практики пред интелектуалната собственост / Състав. Тренчева, Т., Науч. ред. Таня Тодорова, София, За буквите-О Писменехь, 2016, с. 305-315,
 ISBN 978-619-185-231-4</v>
      </c>
      <c r="F4347" s="10"/>
      <c r="G4347" s="10"/>
      <c r="H4347" s="10"/>
      <c r="I4347" s="10"/>
      <c r="J4347" s="10"/>
      <c r="K4347" s="10"/>
      <c r="L4347" s="10"/>
      <c r="M4347" s="10"/>
      <c r="N4347" s="10"/>
      <c r="O4347" s="10"/>
      <c r="P4347" s="10"/>
      <c r="Q4347" s="10"/>
      <c r="R4347" s="10"/>
      <c r="S4347" s="10"/>
      <c r="T4347" s="10"/>
      <c r="U4347" s="10"/>
      <c r="V4347" s="10"/>
      <c r="W4347" s="10"/>
      <c r="X4347" s="10"/>
      <c r="Y4347" s="10"/>
      <c r="Z4347" s="10"/>
    </row>
    <row r="4348" spans="1:26" ht="12.75">
      <c r="A4348" s="10" t="str">
        <f ca="1">IFERROR(__xludf.DUMMYFUNCTION("""COMPUTED_VALUE"""),"Камелия Владимирова Планска-Симеонова")</f>
        <v>Камелия Владимирова Планска-Симеонова</v>
      </c>
      <c r="B4348" s="10" t="str">
        <f ca="1">IFERROR(__xludf.DUMMYFUNCTION("""COMPUTED_VALUE"""),"Доклад от конференция")</f>
        <v>Доклад от конференция</v>
      </c>
      <c r="C4348" s="10" t="str">
        <f ca="1">IFERROR(__xludf.DUMMYFUNCTION("""COMPUTED_VALUE"""),"Създаване и приложение на фотографията като творчески продукт. Зараждане на авторскоправна закрила")</f>
        <v>Създаване и приложение на фотографията като творчески продукт. Зараждане на авторскоправна закрила</v>
      </c>
      <c r="D4348" s="10">
        <f ca="1">IFERROR(__xludf.DUMMYFUNCTION("""COMPUTED_VALUE"""),2016)</f>
        <v>2016</v>
      </c>
      <c r="E4348" s="10" t="str">
        <f ca="1">IFERROR(__xludf.DUMMYFUNCTION("""COMPUTED_VALUE"""),"Обществото на знанието и хуманизмът на XXI век : Четиринадесета национална научна конференция с международно участие посветена на деня на народните будители, София, За буквите-О Писменехь, 2016, с. 785-793, ISSN 1314-7099")</f>
        <v>Обществото на знанието и хуманизмът на XXI век : Четиринадесета национална научна конференция с международно участие посветена на деня на народните будители, София, За буквите-О Писменехь, 2016, с. 785-793, ISSN 1314-7099</v>
      </c>
      <c r="F4348" s="10"/>
      <c r="G4348" s="10"/>
      <c r="H4348" s="10"/>
      <c r="I4348" s="10"/>
      <c r="J4348" s="10"/>
      <c r="K4348" s="10"/>
      <c r="L4348" s="10"/>
      <c r="M4348" s="10"/>
      <c r="N4348" s="10"/>
      <c r="O4348" s="10"/>
      <c r="P4348" s="10"/>
      <c r="Q4348" s="10"/>
      <c r="R4348" s="10"/>
      <c r="S4348" s="10"/>
      <c r="T4348" s="10"/>
      <c r="U4348" s="10"/>
      <c r="V4348" s="10"/>
      <c r="W4348" s="10"/>
      <c r="X4348" s="10"/>
      <c r="Y4348" s="10"/>
      <c r="Z4348" s="10"/>
    </row>
    <row r="4349" spans="1:26" ht="12.75">
      <c r="A4349" s="10" t="str">
        <f ca="1">IFERROR(__xludf.DUMMYFUNCTION("""COMPUTED_VALUE"""),"Камелия Владимирова Планска-Симеонова")</f>
        <v>Камелия Владимирова Планска-Симеонова</v>
      </c>
      <c r="B4349" s="10" t="str">
        <f ca="1">IFERROR(__xludf.DUMMYFUNCTION("""COMPUTED_VALUE"""),"Доклад от конференция")</f>
        <v>Доклад от конференция</v>
      </c>
      <c r="C4349" s="10" t="str">
        <f ca="1">IFERROR(__xludf.DUMMYFUNCTION("""COMPUTED_VALUE"""),"Визуална комуникация в книгата – рисунка, графика, илюстрация, фотография")</f>
        <v>Визуална комуникация в книгата – рисунка, графика, илюстрация, фотография</v>
      </c>
      <c r="D4349" s="10">
        <f ca="1">IFERROR(__xludf.DUMMYFUNCTION("""COMPUTED_VALUE"""),2015)</f>
        <v>2015</v>
      </c>
      <c r="E4349" s="10"/>
      <c r="F4349" s="10"/>
      <c r="G4349" s="10"/>
      <c r="H4349" s="10"/>
      <c r="I4349" s="10"/>
      <c r="J4349" s="10"/>
      <c r="K4349" s="10"/>
      <c r="L4349" s="10"/>
      <c r="M4349" s="10"/>
      <c r="N4349" s="10"/>
      <c r="O4349" s="10"/>
      <c r="P4349" s="10"/>
      <c r="Q4349" s="10"/>
      <c r="R4349" s="10"/>
      <c r="S4349" s="10"/>
      <c r="T4349" s="10"/>
      <c r="U4349" s="10"/>
      <c r="V4349" s="10"/>
      <c r="W4349" s="10"/>
      <c r="X4349" s="10"/>
      <c r="Y4349" s="10"/>
      <c r="Z4349" s="10"/>
    </row>
    <row r="4350" spans="1:26" ht="12.75">
      <c r="A4350" s="10" t="str">
        <f ca="1">IFERROR(__xludf.DUMMYFUNCTION("""COMPUTED_VALUE"""),"Камелия Владимирова Планска-Симеонова")</f>
        <v>Камелия Владимирова Планска-Симеонова</v>
      </c>
      <c r="B4350" s="10" t="str">
        <f ca="1">IFERROR(__xludf.DUMMYFUNCTION("""COMPUTED_VALUE"""),"Доклад от конференция")</f>
        <v>Доклад от конференция</v>
      </c>
      <c r="C4350" s="10" t="str">
        <f ca="1">IFERROR(__xludf.DUMMYFUNCTION("""COMPUTED_VALUE"""),"Управление на авторските правомощия върху музикални произведения в Интернет в България")</f>
        <v>Управление на авторските правомощия върху музикални произведения в Интернет в България</v>
      </c>
      <c r="D4350" s="10">
        <f ca="1">IFERROR(__xludf.DUMMYFUNCTION("""COMPUTED_VALUE"""),2015)</f>
        <v>2015</v>
      </c>
      <c r="E4350" s="10" t="str">
        <f ca="1">IFERROR(__xludf.DUMMYFUNCTION("""COMPUTED_VALUE"""),"[Сборник] Интелектуалната собственост – формула за успех, творчество и иновации / Състав. Тренчева, Т., Науч. ред. Таня Тодорова, София, За буквите О-Писменехь, 2015. с. 31-46,
 ISBN: 978-619-185-160-7")</f>
        <v>[Сборник] Интелектуалната собственост – формула за успех, творчество и иновации / Състав. Тренчева, Т., Науч. ред. Таня Тодорова, София, За буквите О-Писменехь, 2015. с. 31-46,
 ISBN: 978-619-185-160-7</v>
      </c>
      <c r="F4350" s="10"/>
      <c r="G4350" s="10" t="str">
        <f ca="1">IFERROR(__xludf.DUMMYFUNCTION("""COMPUTED_VALUE"""),"Тереза Тренчева, Ася Йорданова")</f>
        <v>Тереза Тренчева, Ася Йорданова</v>
      </c>
      <c r="H4350" s="10"/>
      <c r="I4350" s="10"/>
      <c r="J4350" s="10"/>
      <c r="K4350" s="10"/>
      <c r="L4350" s="10"/>
      <c r="M4350" s="10"/>
      <c r="N4350" s="10"/>
      <c r="O4350" s="10"/>
      <c r="P4350" s="10"/>
      <c r="Q4350" s="10"/>
      <c r="R4350" s="10"/>
      <c r="S4350" s="10"/>
      <c r="T4350" s="10"/>
      <c r="U4350" s="10"/>
      <c r="V4350" s="10"/>
      <c r="W4350" s="10"/>
      <c r="X4350" s="10"/>
      <c r="Y4350" s="10"/>
      <c r="Z4350" s="10"/>
    </row>
    <row r="4351" spans="1:26" ht="12.75">
      <c r="A4351" s="10" t="str">
        <f ca="1">IFERROR(__xludf.DUMMYFUNCTION("""COMPUTED_VALUE"""),"Камелия Владимирова Планска-Симеонова")</f>
        <v>Камелия Владимирова Планска-Симеонова</v>
      </c>
      <c r="B4351" s="10" t="str">
        <f ca="1">IFERROR(__xludf.DUMMYFUNCTION("""COMPUTED_VALUE"""),"Доклад от конференция")</f>
        <v>Доклад от конференция</v>
      </c>
      <c r="C4351" s="10" t="str">
        <f ca="1">IFERROR(__xludf.DUMMYFUNCTION("""COMPUTED_VALUE"""),"Университетска младежка академия за управление на знанията – иновация и инструмент за развитие на университетското образование в УниБИТ")</f>
        <v>Университетска младежка академия за управление на знанията – иновация и инструмент за развитие на университетското образование в УниБИТ</v>
      </c>
      <c r="D4351" s="10">
        <f ca="1">IFERROR(__xludf.DUMMYFUNCTION("""COMPUTED_VALUE"""),2015)</f>
        <v>2015</v>
      </c>
      <c r="E4351" s="10" t="str">
        <f ca="1">IFERROR(__xludf.DUMMYFUNCTION("""COMPUTED_VALUE"""),"Научни трудове на Съюза на учените Пловдив. Серия Б. Естествени науки и хуманитарни науки, Vol. XVII, Пловдив, СУБ")</f>
        <v>Научни трудове на Съюза на учените Пловдив. Серия Б. Естествени науки и хуманитарни науки, Vol. XVII, Пловдив, СУБ</v>
      </c>
      <c r="F4351" s="10"/>
      <c r="G4351" s="10" t="str">
        <f ca="1">IFERROR(__xludf.DUMMYFUNCTION("""COMPUTED_VALUE"""),"Ася Йоданова, Александра Михайлова")</f>
        <v>Ася Йоданова, Александра Михайлова</v>
      </c>
      <c r="H4351" s="10"/>
      <c r="I4351" s="10"/>
      <c r="J4351" s="10"/>
      <c r="K4351" s="10"/>
      <c r="L4351" s="10"/>
      <c r="M4351" s="10"/>
      <c r="N4351" s="10"/>
      <c r="O4351" s="10"/>
      <c r="P4351" s="10"/>
      <c r="Q4351" s="10"/>
      <c r="R4351" s="10"/>
      <c r="S4351" s="10"/>
      <c r="T4351" s="10"/>
      <c r="U4351" s="10"/>
      <c r="V4351" s="10"/>
      <c r="W4351" s="10"/>
      <c r="X4351" s="10"/>
      <c r="Y4351" s="10"/>
      <c r="Z4351" s="10"/>
    </row>
    <row r="4352" spans="1:26" ht="12.75">
      <c r="A4352" s="10" t="str">
        <f ca="1">IFERROR(__xludf.DUMMYFUNCTION("""COMPUTED_VALUE"""),"Камелия Владимирова Планска-Симеонова")</f>
        <v>Камелия Владимирова Планска-Симеонова</v>
      </c>
      <c r="B4352" s="10" t="str">
        <f ca="1">IFERROR(__xludf.DUMMYFUNCTION("""COMPUTED_VALUE"""),"Статия в списания и поредици")</f>
        <v>Статия в списания и поредици</v>
      </c>
      <c r="C4352" s="10" t="str">
        <f ca="1">IFERROR(__xludf.DUMMYFUNCTION("""COMPUTED_VALUE"""),"Нови образователни технологии в УниБИТ в прехода към формиране на умения в процеса на усвояване на знания")</f>
        <v>Нови образователни технологии в УниБИТ в прехода към формиране на умения в процеса на усвояване на знания</v>
      </c>
      <c r="D4352" s="10">
        <f ca="1">IFERROR(__xludf.DUMMYFUNCTION("""COMPUTED_VALUE"""),2015)</f>
        <v>2015</v>
      </c>
      <c r="E4352" s="10" t="str">
        <f ca="1">IFERROR(__xludf.DUMMYFUNCTION("""COMPUTED_VALUE"""),"Списание Образование и технологии, бр. 6, 2015")</f>
        <v>Списание Образование и технологии, бр. 6, 2015</v>
      </c>
      <c r="F4352" s="10"/>
      <c r="G4352" s="10" t="str">
        <f ca="1">IFERROR(__xludf.DUMMYFUNCTION("""COMPUTED_VALUE"""),"Тереза Тренчева, Стоян Денчев")</f>
        <v>Тереза Тренчева, Стоян Денчев</v>
      </c>
      <c r="H4352" s="10"/>
      <c r="I4352" s="10"/>
      <c r="J4352" s="10"/>
      <c r="K4352" s="10"/>
      <c r="L4352" s="10"/>
      <c r="M4352" s="10"/>
      <c r="N4352" s="10"/>
      <c r="O4352" s="10"/>
      <c r="P4352" s="10"/>
      <c r="Q4352" s="10"/>
      <c r="R4352" s="10"/>
      <c r="S4352" s="10"/>
      <c r="T4352" s="10"/>
      <c r="U4352" s="10"/>
      <c r="V4352" s="10"/>
      <c r="W4352" s="10"/>
      <c r="X4352" s="10"/>
      <c r="Y4352" s="10"/>
      <c r="Z4352" s="10"/>
    </row>
    <row r="4353" spans="1:26" ht="12.75">
      <c r="A4353" s="10" t="str">
        <f ca="1">IFERROR(__xludf.DUMMYFUNCTION("""COMPUTED_VALUE"""),"Камелия Владимирова Планска-Симеонова")</f>
        <v>Камелия Владимирова Планска-Симеонова</v>
      </c>
      <c r="B4353" s="10" t="str">
        <f ca="1">IFERROR(__xludf.DUMMYFUNCTION("""COMPUTED_VALUE"""),"Доклад от конференция")</f>
        <v>Доклад от конференция</v>
      </c>
      <c r="C4353" s="10" t="str">
        <f ca="1">IFERROR(__xludf.DUMMYFUNCTION("""COMPUTED_VALUE"""),"Графичният дизайн като обект на интелектуалната собственост: същност и основни правни аспекти")</f>
        <v>Графичният дизайн като обект на интелектуалната собственост: същност и основни правни аспекти</v>
      </c>
      <c r="D4353" s="10">
        <f ca="1">IFERROR(__xludf.DUMMYFUNCTION("""COMPUTED_VALUE"""),2014)</f>
        <v>2014</v>
      </c>
      <c r="E4353" s="10" t="str">
        <f ca="1">IFERROR(__xludf.DUMMYFUNCTION("""COMPUTED_VALUE"""),"Сборник „Съвременни стратегии и иновации в управление на знанието“. София. За буквите О-писменехь. 2014. 139-150, 978-619-185-140-9")</f>
        <v>Сборник „Съвременни стратегии и иновации в управление на знанието“. София. За буквите О-писменехь. 2014. 139-150, 978-619-185-140-9</v>
      </c>
      <c r="F4353" s="10"/>
      <c r="G4353" s="10" t="str">
        <f ca="1">IFERROR(__xludf.DUMMYFUNCTION("""COMPUTED_VALUE"""),"Деница Димитрова")</f>
        <v>Деница Димитрова</v>
      </c>
      <c r="H4353" s="10"/>
      <c r="I4353" s="10"/>
      <c r="J4353" s="10"/>
      <c r="K4353" s="10"/>
      <c r="L4353" s="10"/>
      <c r="M4353" s="10"/>
      <c r="N4353" s="10"/>
      <c r="O4353" s="10"/>
      <c r="P4353" s="10"/>
      <c r="Q4353" s="10"/>
      <c r="R4353" s="10"/>
      <c r="S4353" s="10"/>
      <c r="T4353" s="10"/>
      <c r="U4353" s="10"/>
      <c r="V4353" s="10"/>
      <c r="W4353" s="10"/>
      <c r="X4353" s="10"/>
      <c r="Y4353" s="10"/>
      <c r="Z4353" s="10"/>
    </row>
    <row r="4354" spans="1:26" ht="12.75">
      <c r="A4354" s="10" t="str">
        <f ca="1">IFERROR(__xludf.DUMMYFUNCTION("""COMPUTED_VALUE"""),"Камелия Миткова Нушева")</f>
        <v>Камелия Миткова Нушева</v>
      </c>
      <c r="B4354" s="10" t="str">
        <f ca="1">IFERROR(__xludf.DUMMYFUNCTION("""COMPUTED_VALUE"""),"Доклад от конференция")</f>
        <v>Доклад от конференция</v>
      </c>
      <c r="C4354" s="10" t="str">
        <f ca="1">IFERROR(__xludf.DUMMYFUNCTION("""COMPUTED_VALUE"""),"Positive practices for overcoming the crisis in education: Examples from Bulgaria")</f>
        <v>Positive practices for overcoming the crisis in education: Examples from Bulgaria</v>
      </c>
      <c r="D4354" s="10">
        <f ca="1">IFERROR(__xludf.DUMMYFUNCTION("""COMPUTED_VALUE"""),2019)</f>
        <v>2019</v>
      </c>
      <c r="E4354" s="10" t="str">
        <f ca="1">IFERROR(__xludf.DUMMYFUNCTION("""COMPUTED_VALUE"""),"Proceedings of INTET 2019 Conference: 13th International Technology, Education and Development Conference, 11th-13th March 2019, Valencia, Spain, 2019, pp. 4835-4840. ISBN: 978-84-09-08619-1 ISSN: 2340-1079.")</f>
        <v>Proceedings of INTET 2019 Conference: 13th International Technology, Education and Development Conference, 11th-13th March 2019, Valencia, Spain, 2019, pp. 4835-4840. ISBN: 978-84-09-08619-1 ISSN: 2340-1079.</v>
      </c>
      <c r="F4354" s="10"/>
      <c r="G4354" s="10" t="str">
        <f ca="1">IFERROR(__xludf.DUMMYFUNCTION("""COMPUTED_VALUE"""),"Dobreva, V., B. Hajieva, S. Stancheva, J. Dobreva, B. Buzhashka")</f>
        <v>Dobreva, V., B. Hajieva, S. Stancheva, J. Dobreva, B. Buzhashka</v>
      </c>
      <c r="H4354" s="10"/>
      <c r="I4354" s="10"/>
      <c r="J4354" s="10"/>
      <c r="K4354" s="10"/>
      <c r="L4354" s="10"/>
      <c r="M4354" s="10"/>
      <c r="N4354" s="10"/>
      <c r="O4354" s="10"/>
      <c r="P4354" s="10"/>
      <c r="Q4354" s="10"/>
      <c r="R4354" s="10"/>
      <c r="S4354" s="10"/>
      <c r="T4354" s="10"/>
      <c r="U4354" s="10"/>
      <c r="V4354" s="10"/>
      <c r="W4354" s="10"/>
      <c r="X4354" s="10"/>
      <c r="Y4354" s="10"/>
      <c r="Z4354" s="10"/>
    </row>
    <row r="4355" spans="1:26" ht="12.75">
      <c r="A4355" s="10" t="str">
        <f ca="1">IFERROR(__xludf.DUMMYFUNCTION("""COMPUTED_VALUE"""),"Камелия Миткова Нушева")</f>
        <v>Камелия Миткова Нушева</v>
      </c>
      <c r="B4355" s="10" t="str">
        <f ca="1">IFERROR(__xludf.DUMMYFUNCTION("""COMPUTED_VALUE"""),"Статия в списания и поредици")</f>
        <v>Статия в списания и поредици</v>
      </c>
      <c r="C4355" s="10" t="str">
        <f ca="1">IFERROR(__xludf.DUMMYFUNCTION("""COMPUTED_VALUE"""),"Създаване и развитие на уебсайта на проекта")</f>
        <v>Създаване и развитие на уебсайта на проекта</v>
      </c>
      <c r="D4355" s="10">
        <f ca="1">IFERROR(__xludf.DUMMYFUNCTION("""COMPUTED_VALUE"""),2018)</f>
        <v>2018</v>
      </c>
      <c r="E4355" s="10" t="str">
        <f ca="1">IFERROR(__xludf.DUMMYFUNCTION("""COMPUTED_VALUE"""),"Устойчиви тенденции и бизнес модели в публикационната активност на научните изследвания. Колективна монография. С., „За буквите – О писменехъ“, 2018.- с. 121-126")</f>
        <v>Устойчиви тенденции и бизнес модели в публикационната активност на научните изследвания. Колективна монография. С., „За буквите – О писменехъ“, 2018.- с. 121-126</v>
      </c>
      <c r="F435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55" s="10" t="str">
        <f ca="1">IFERROR(__xludf.DUMMYFUNCTION("""COMPUTED_VALUE"""),"Силвия Станчева")</f>
        <v>Силвия Станчева</v>
      </c>
      <c r="H4355" s="10"/>
      <c r="I4355" s="10"/>
      <c r="J4355" s="10"/>
      <c r="K4355" s="10"/>
      <c r="L4355" s="10"/>
      <c r="M4355" s="10"/>
      <c r="N4355" s="10"/>
      <c r="O4355" s="10"/>
      <c r="P4355" s="10"/>
      <c r="Q4355" s="10"/>
      <c r="R4355" s="10"/>
      <c r="S4355" s="10"/>
      <c r="T4355" s="10"/>
      <c r="U4355" s="10"/>
      <c r="V4355" s="10"/>
      <c r="W4355" s="10"/>
      <c r="X4355" s="10"/>
      <c r="Y4355" s="10"/>
      <c r="Z4355" s="10"/>
    </row>
    <row r="4356" spans="1:26" ht="12.75">
      <c r="A4356" s="10" t="str">
        <f ca="1">IFERROR(__xludf.DUMMYFUNCTION("""COMPUTED_VALUE"""),"Камелия Миткова Нушева")</f>
        <v>Камелия Миткова Нушева</v>
      </c>
      <c r="B4356" s="10" t="str">
        <f ca="1">IFERROR(__xludf.DUMMYFUNCTION("""COMPUTED_VALUE"""),"Статия в списания и поредици")</f>
        <v>Статия в списания и поредици</v>
      </c>
      <c r="C4356" s="10" t="str">
        <f ca="1">IFERROR(__xludf.DUMMYFUNCTION("""COMPUTED_VALUE"""),"Българските културни институти в чужбина и ролята им на популяризатори и пропагандатори на българската култура и изкуство")</f>
        <v>Българските културни институти в чужбина и ролята им на популяризатори и пропагандатори на българската култура и изкуство</v>
      </c>
      <c r="D4356" s="10">
        <f ca="1">IFERROR(__xludf.DUMMYFUNCTION("""COMPUTED_VALUE"""),2018)</f>
        <v>2018</v>
      </c>
      <c r="E4356"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204-213 с. ISBN 978-185-213-0")</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204-213 с. ISBN 978-185-213-0</v>
      </c>
      <c r="F435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56" s="10"/>
      <c r="H4356" s="10"/>
      <c r="I4356" s="10"/>
      <c r="J4356" s="10"/>
      <c r="K4356" s="10"/>
      <c r="L4356" s="10"/>
      <c r="M4356" s="10"/>
      <c r="N4356" s="10"/>
      <c r="O4356" s="10"/>
      <c r="P4356" s="10"/>
      <c r="Q4356" s="10"/>
      <c r="R4356" s="10"/>
      <c r="S4356" s="10"/>
      <c r="T4356" s="10"/>
      <c r="U4356" s="10"/>
      <c r="V4356" s="10"/>
      <c r="W4356" s="10"/>
      <c r="X4356" s="10"/>
      <c r="Y4356" s="10"/>
      <c r="Z4356" s="10"/>
    </row>
    <row r="4357" spans="1:26" ht="12.75">
      <c r="A4357" s="10" t="str">
        <f ca="1">IFERROR(__xludf.DUMMYFUNCTION("""COMPUTED_VALUE"""),"Камелия Миткова Нушева")</f>
        <v>Камелия Миткова Нушева</v>
      </c>
      <c r="B4357" s="10" t="str">
        <f ca="1">IFERROR(__xludf.DUMMYFUNCTION("""COMPUTED_VALUE"""),"Статия в списания и поредици")</f>
        <v>Статия в списания и поредици</v>
      </c>
      <c r="C4357" s="10" t="str">
        <f ca="1">IFERROR(__xludf.DUMMYFUNCTION("""COMPUTED_VALUE"""),"Проследяване на най-нови изследвания в областта на академичните издания и наукометрията")</f>
        <v>Проследяване на най-нови изследвания в областта на академичните издания и наукометрията</v>
      </c>
      <c r="D4357" s="10">
        <f ca="1">IFERROR(__xludf.DUMMYFUNCTION("""COMPUTED_VALUE"""),2018)</f>
        <v>2018</v>
      </c>
      <c r="E4357"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38-71.")</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38-71.</v>
      </c>
      <c r="F435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57" s="10" t="str">
        <f ca="1">IFERROR(__xludf.DUMMYFUNCTION("""COMPUTED_VALUE"""),"Румелина Василева")</f>
        <v>Румелина Василева</v>
      </c>
      <c r="H4357" s="10"/>
      <c r="I4357" s="10"/>
      <c r="J4357" s="10"/>
      <c r="K4357" s="10"/>
      <c r="L4357" s="10"/>
      <c r="M4357" s="10"/>
      <c r="N4357" s="10"/>
      <c r="O4357" s="10"/>
      <c r="P4357" s="10"/>
      <c r="Q4357" s="10"/>
      <c r="R4357" s="10"/>
      <c r="S4357" s="10"/>
      <c r="T4357" s="10"/>
      <c r="U4357" s="10"/>
      <c r="V4357" s="10"/>
      <c r="W4357" s="10"/>
      <c r="X4357" s="10"/>
      <c r="Y4357" s="10"/>
      <c r="Z4357" s="10"/>
    </row>
    <row r="4358" spans="1:26" ht="12.75">
      <c r="A4358" s="10" t="str">
        <f ca="1">IFERROR(__xludf.DUMMYFUNCTION("""COMPUTED_VALUE"""),"Камелия Миткова Нушева")</f>
        <v>Камелия Миткова Нушева</v>
      </c>
      <c r="B4358" s="10" t="str">
        <f ca="1">IFERROR(__xludf.DUMMYFUNCTION("""COMPUTED_VALUE"""),"Статия в списания и поредици")</f>
        <v>Статия в списания и поредици</v>
      </c>
      <c r="C4358" s="10" t="str">
        <f ca="1">IFERROR(__xludf.DUMMYFUNCTION("""COMPUTED_VALUE"""),"Методическите насоки за публикуване на качествени научни изследвания в областта на социалните и хуманитарните науки не са статукво")</f>
        <v>Методическите насоки за публикуване на качествени научни изследвания в областта на социалните и хуманитарните науки не са статукво</v>
      </c>
      <c r="D4358" s="10">
        <f ca="1">IFERROR(__xludf.DUMMYFUNCTION("""COMPUTED_VALUE"""),2018)</f>
        <v>2018</v>
      </c>
      <c r="E4358"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30-48.")</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30-48.</v>
      </c>
      <c r="F435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58" s="10" t="str">
        <f ca="1">IFERROR(__xludf.DUMMYFUNCTION("""COMPUTED_VALUE"""),"Румелина Василева")</f>
        <v>Румелина Василева</v>
      </c>
      <c r="H4358" s="10"/>
      <c r="I4358" s="10"/>
      <c r="J4358" s="10"/>
      <c r="K4358" s="10"/>
      <c r="L4358" s="10"/>
      <c r="M4358" s="10"/>
      <c r="N4358" s="10"/>
      <c r="O4358" s="10"/>
      <c r="P4358" s="10"/>
      <c r="Q4358" s="10"/>
      <c r="R4358" s="10"/>
      <c r="S4358" s="10"/>
      <c r="T4358" s="10"/>
      <c r="U4358" s="10"/>
      <c r="V4358" s="10"/>
      <c r="W4358" s="10"/>
      <c r="X4358" s="10"/>
      <c r="Y4358" s="10"/>
      <c r="Z4358" s="10"/>
    </row>
    <row r="4359" spans="1:26" ht="12.75">
      <c r="A4359" s="10" t="str">
        <f ca="1">IFERROR(__xludf.DUMMYFUNCTION("""COMPUTED_VALUE"""),"Камелия Миткова Нушева")</f>
        <v>Камелия Миткова Нушева</v>
      </c>
      <c r="B4359" s="10" t="str">
        <f ca="1">IFERROR(__xludf.DUMMYFUNCTION("""COMPUTED_VALUE"""),"Статия в списания и поредици")</f>
        <v>Статия в списания и поредици</v>
      </c>
      <c r="C4359" s="10" t="str">
        <f ca="1">IFERROR(__xludf.DUMMYFUNCTION("""COMPUTED_VALUE"""),"Индикатори и механизми, съдействащи редизайна на научните издания и изграждането на ефективни умения у авторите на научни продукти")</f>
        <v>Индикатори и механизми, съдействащи редизайна на научните издания и изграждането на ефективни умения у авторите на научни продукти</v>
      </c>
      <c r="D4359" s="10">
        <f ca="1">IFERROR(__xludf.DUMMYFUNCTION("""COMPUTED_VALUE"""),2018)</f>
        <v>2018</v>
      </c>
      <c r="E4359" s="10" t="str">
        <f ca="1">IFERROR(__xludf.DUMMYFUNCTION("""COMPUTED_VALUE"""),"Янкова, Иванка и др. Устойчиви тенденции и бизнес модели в публикационната активност на научните изследвания, София : За буквите – О писменехь, 2018, с. 72-83.")</f>
        <v>Янкова, Иванка и др. Устойчиви тенденции и бизнес модели в публикационната активност на научните изследвания, София : За буквите – О писменехь, 2018, с. 72-83.</v>
      </c>
      <c r="F435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59" s="10" t="str">
        <f ca="1">IFERROR(__xludf.DUMMYFUNCTION("""COMPUTED_VALUE"""),"Румелина Василева")</f>
        <v>Румелина Василева</v>
      </c>
      <c r="H4359" s="10"/>
      <c r="I4359" s="10"/>
      <c r="J4359" s="10"/>
      <c r="K4359" s="10"/>
      <c r="L4359" s="10"/>
      <c r="M4359" s="10"/>
      <c r="N4359" s="10"/>
      <c r="O4359" s="10"/>
      <c r="P4359" s="10"/>
      <c r="Q4359" s="10"/>
      <c r="R4359" s="10"/>
      <c r="S4359" s="10"/>
      <c r="T4359" s="10"/>
      <c r="U4359" s="10"/>
      <c r="V4359" s="10"/>
      <c r="W4359" s="10"/>
      <c r="X4359" s="10"/>
      <c r="Y4359" s="10"/>
      <c r="Z4359" s="10"/>
    </row>
    <row r="4360" spans="1:26" ht="12.75">
      <c r="A4360" s="10" t="str">
        <f ca="1">IFERROR(__xludf.DUMMYFUNCTION("""COMPUTED_VALUE"""),"Камелия Миткова Нушева")</f>
        <v>Камелия Миткова Нушева</v>
      </c>
      <c r="B4360" s="10" t="str">
        <f ca="1">IFERROR(__xludf.DUMMYFUNCTION("""COMPUTED_VALUE"""),"Книга")</f>
        <v>Книга</v>
      </c>
      <c r="C4360" s="10" t="str">
        <f ca="1">IFERROR(__xludf.DUMMYFUNCTION("""COMPUTED_VALUE"""),"Диалектиката „четене : писане“ – логосът на научната комуникация")</f>
        <v>Диалектиката „четене : писане“ – логосът на научната комуникация</v>
      </c>
      <c r="D4360" s="10">
        <f ca="1">IFERROR(__xludf.DUMMYFUNCTION("""COMPUTED_VALUE"""),2018)</f>
        <v>2018</v>
      </c>
      <c r="E4360" s="10" t="str">
        <f ca="1">IFERROR(__xludf.DUMMYFUNCTION("""COMPUTED_VALUE"""),"Янкова, Иванка и др. Устойчиви тенденции и бизнес модели в публикационната активност на научните изследвания, София : За буквите – О писменехь, 2018, с. 127-145.")</f>
        <v>Янкова, Иванка и др. Устойчиви тенденции и бизнес модели в публикационната активност на научните изследвания, София : За буквите – О писменехь, 2018, с. 127-145.</v>
      </c>
      <c r="F436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0" s="10" t="str">
        <f ca="1">IFERROR(__xludf.DUMMYFUNCTION("""COMPUTED_VALUE"""),"Иванка Янкова, Румелина Василева")</f>
        <v>Иванка Янкова, Румелина Василева</v>
      </c>
      <c r="H4360" s="10"/>
      <c r="I4360" s="10"/>
      <c r="J4360" s="10"/>
      <c r="K4360" s="10"/>
      <c r="L4360" s="10"/>
      <c r="M4360" s="10"/>
      <c r="N4360" s="10"/>
      <c r="O4360" s="10"/>
      <c r="P4360" s="10"/>
      <c r="Q4360" s="10"/>
      <c r="R4360" s="10"/>
      <c r="S4360" s="10"/>
      <c r="T4360" s="10"/>
      <c r="U4360" s="10"/>
      <c r="V4360" s="10"/>
      <c r="W4360" s="10"/>
      <c r="X4360" s="10"/>
      <c r="Y4360" s="10"/>
      <c r="Z4360" s="10"/>
    </row>
    <row r="4361" spans="1:26" ht="12.75">
      <c r="A4361" s="10" t="str">
        <f ca="1">IFERROR(__xludf.DUMMYFUNCTION("""COMPUTED_VALUE"""),"Камелия Миткова Нушева")</f>
        <v>Камелия Миткова Нушева</v>
      </c>
      <c r="B4361" s="10" t="str">
        <f ca="1">IFERROR(__xludf.DUMMYFUNCTION("""COMPUTED_VALUE"""),"Доклад от конференция")</f>
        <v>Доклад от конференция</v>
      </c>
      <c r="C4361" s="10" t="str">
        <f ca="1">IFERROR(__xludf.DUMMYFUNCTION("""COMPUTED_VALUE"""),"Innovative Opportunities of the Contemporary Interactive Educational Environment in the Area of Cultural and Creative Industries")</f>
        <v>Innovative Opportunities of the Contemporary Interactive Educational Environment in the Area of Cultural and Creative Industries</v>
      </c>
      <c r="D4361" s="10">
        <f ca="1">IFERROR(__xludf.DUMMYFUNCTION("""COMPUTED_VALUE"""),2018)</f>
        <v>2018</v>
      </c>
      <c r="E4361" s="10" t="str">
        <f ca="1">IFERROR(__xludf.DUMMYFUNCTION("""COMPUTED_VALUE"""),"Proceedings of EDULEARN18 Conference: 10th annual International Conference on Education and New Learning Technologies, 2nd-4th July 2018, Palma, Mallorca, Spain, 2018, pp. 3546-3553. ISBN: 978-84-09-02709-5. URL: &lt;file:///G:/files/papers/915.pdf&gt;")</f>
        <v>Proceedings of EDULEARN18 Conference: 10th annual International Conference on Education and New Learning Technologies, 2nd-4th July 2018, Palma, Mallorca, Spain, 2018, pp. 3546-3553. ISBN: 978-84-09-02709-5. URL: &lt;file:///G:/files/papers/915.pdf&gt;</v>
      </c>
      <c r="F4361" s="10" t="str">
        <f ca="1">IFERROR(__xludf.DUMMYFUNCTION("""COMPUTED_VALUE"""),"ISI Conference Proceedings Citation Index (ISI CPCI), Crossref, Clarivate Analytics, Web of Science")</f>
        <v>ISI Conference Proceedings Citation Index (ISI CPCI), Crossref, Clarivate Analytics, Web of Science</v>
      </c>
      <c r="G4361" s="10" t="str">
        <f ca="1">IFERROR(__xludf.DUMMYFUNCTION("""COMPUTED_VALUE"""),"Rumelina Vasileva, Ivanka Yankova, Ivanka Pavlova")</f>
        <v>Rumelina Vasileva, Ivanka Yankova, Ivanka Pavlova</v>
      </c>
      <c r="H4361" s="10"/>
      <c r="I4361" s="10"/>
      <c r="J4361" s="10"/>
      <c r="K4361" s="10"/>
      <c r="L4361" s="10"/>
      <c r="M4361" s="10"/>
      <c r="N4361" s="10"/>
      <c r="O4361" s="10"/>
      <c r="P4361" s="10"/>
      <c r="Q4361" s="10"/>
      <c r="R4361" s="10"/>
      <c r="S4361" s="10"/>
      <c r="T4361" s="10"/>
      <c r="U4361" s="10"/>
      <c r="V4361" s="10"/>
      <c r="W4361" s="10"/>
      <c r="X4361" s="10"/>
      <c r="Y4361" s="10"/>
      <c r="Z4361" s="10"/>
    </row>
    <row r="4362" spans="1:26" ht="12.75">
      <c r="A4362" s="10" t="str">
        <f ca="1">IFERROR(__xludf.DUMMYFUNCTION("""COMPUTED_VALUE"""),"Камелия Миткова Нушева")</f>
        <v>Камелия Миткова Нушева</v>
      </c>
      <c r="B4362" s="10" t="str">
        <f ca="1">IFERROR(__xludf.DUMMYFUNCTION("""COMPUTED_VALUE"""),"Статия в списания и поредици")</f>
        <v>Статия в списания и поредици</v>
      </c>
      <c r="C4362" s="10" t="str">
        <f ca="1">IFERROR(__xludf.DUMMYFUNCTION("""COMPUTED_VALUE"""),"Професионалното и продължаващото обучение в сферата на културните и творчески индустрии – възможности за професионална реализация")</f>
        <v>Професионалното и продължаващото обучение в сферата на културните и творчески индустрии – възможности за професионална реализация</v>
      </c>
      <c r="D4362" s="10">
        <f ca="1">IFERROR(__xludf.DUMMYFUNCTION("""COMPUTED_VALUE"""),2018)</f>
        <v>2018</v>
      </c>
      <c r="E4362"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64-72")</f>
        <v>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64-72</v>
      </c>
      <c r="F436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2" s="10" t="str">
        <f ca="1">IFERROR(__xludf.DUMMYFUNCTION("""COMPUTED_VALUE"""),"Силвия Станчева, Боряна Хаджиева")</f>
        <v>Силвия Станчева, Боряна Хаджиева</v>
      </c>
      <c r="H4362" s="10"/>
      <c r="I4362" s="10"/>
      <c r="J4362" s="10"/>
      <c r="K4362" s="10"/>
      <c r="L4362" s="10"/>
      <c r="M4362" s="10"/>
      <c r="N4362" s="10"/>
      <c r="O4362" s="10"/>
      <c r="P4362" s="10"/>
      <c r="Q4362" s="10"/>
      <c r="R4362" s="10"/>
      <c r="S4362" s="10"/>
      <c r="T4362" s="10"/>
      <c r="U4362" s="10"/>
      <c r="V4362" s="10"/>
      <c r="W4362" s="10"/>
      <c r="X4362" s="10"/>
      <c r="Y4362" s="10"/>
      <c r="Z4362" s="10"/>
    </row>
    <row r="4363" spans="1:26" ht="12.75">
      <c r="A4363" s="10" t="str">
        <f ca="1">IFERROR(__xludf.DUMMYFUNCTION("""COMPUTED_VALUE"""),"Камелия Миткова Нушева")</f>
        <v>Камелия Миткова Нушева</v>
      </c>
      <c r="B4363" s="10" t="str">
        <f ca="1">IFERROR(__xludf.DUMMYFUNCTION("""COMPUTED_VALUE"""),"Статия в списания и поредици")</f>
        <v>Статия в списания и поредици</v>
      </c>
      <c r="C4363" s="10" t="str">
        <f ca="1">IFERROR(__xludf.DUMMYFUNCTION("""COMPUTED_VALUE"""),"Creation and Implementation of Interactive Model for Training of Academic Authors How to Publish Successfully Research Publications")</f>
        <v>Creation and Implementation of Interactive Model for Training of Academic Authors How to Publish Successfully Research Publications</v>
      </c>
      <c r="D4363" s="10">
        <f ca="1">IFERROR(__xludf.DUMMYFUNCTION("""COMPUTED_VALUE"""),2018)</f>
        <v>2018</v>
      </c>
      <c r="E4363" s="10" t="str">
        <f ca="1">IFERROR(__xludf.DUMMYFUNCTION("""COMPUTED_VALUE"""),"Янкова, Иванка и др. Устойчиви тенденции и бизнес модели в публикационната активност на научните изследвания. София : За буквите – О писменехь, 2018, pp. 161-173.")</f>
        <v>Янкова, Иванка и др. Устойчиви тенденции и бизнес модели в публикационната активност на научните изследвания. София : За буквите – О писменехь, 2018, pp. 161-173.</v>
      </c>
      <c r="F436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3" s="10" t="str">
        <f ca="1">IFERROR(__xludf.DUMMYFUNCTION("""COMPUTED_VALUE"""),"Ivanka Yankova, Румелина Василева, Tzvetelina Dimitrova,")</f>
        <v>Ivanka Yankova, Румелина Василева, Tzvetelina Dimitrova,</v>
      </c>
      <c r="H4363" s="10"/>
      <c r="I4363" s="10"/>
      <c r="J4363" s="10"/>
      <c r="K4363" s="10"/>
      <c r="L4363" s="10"/>
      <c r="M4363" s="10"/>
      <c r="N4363" s="10"/>
      <c r="O4363" s="10"/>
      <c r="P4363" s="10"/>
      <c r="Q4363" s="10"/>
      <c r="R4363" s="10"/>
      <c r="S4363" s="10"/>
      <c r="T4363" s="10"/>
      <c r="U4363" s="10"/>
      <c r="V4363" s="10"/>
      <c r="W4363" s="10"/>
      <c r="X4363" s="10"/>
      <c r="Y4363" s="10"/>
      <c r="Z4363" s="10"/>
    </row>
    <row r="4364" spans="1:26" ht="12.75">
      <c r="A4364" s="10" t="str">
        <f ca="1">IFERROR(__xludf.DUMMYFUNCTION("""COMPUTED_VALUE"""),"Камелия Миткова Нушева")</f>
        <v>Камелия Миткова Нушева</v>
      </c>
      <c r="B4364" s="10" t="str">
        <f ca="1">IFERROR(__xludf.DUMMYFUNCTION("""COMPUTED_VALUE"""),"Статия в списания и поредици")</f>
        <v>Статия в списания и поредици</v>
      </c>
      <c r="C4364" s="10" t="str">
        <f ca="1">IFERROR(__xludf.DUMMYFUNCTION("""COMPUTED_VALUE"""),"Устойчиво развитие на културното наследство и ролята му за образованието")</f>
        <v>Устойчиво развитие на културното наследство и ролята му за образованието</v>
      </c>
      <c r="D4364" s="10">
        <f ca="1">IFERROR(__xludf.DUMMYFUNCTION("""COMPUTED_VALUE"""),2018)</f>
        <v>2018</v>
      </c>
      <c r="E4364"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364-371 с. ISBN 978-185-213-0")</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364-371 с. ISBN 978-185-213-0</v>
      </c>
      <c r="F436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4" s="10" t="str">
        <f ca="1">IFERROR(__xludf.DUMMYFUNCTION("""COMPUTED_VALUE"""),"Иванка Янкова")</f>
        <v>Иванка Янкова</v>
      </c>
      <c r="H4364" s="10"/>
      <c r="I4364" s="10"/>
      <c r="J4364" s="10"/>
      <c r="K4364" s="10"/>
      <c r="L4364" s="10"/>
      <c r="M4364" s="10"/>
      <c r="N4364" s="10"/>
      <c r="O4364" s="10"/>
      <c r="P4364" s="10"/>
      <c r="Q4364" s="10"/>
      <c r="R4364" s="10"/>
      <c r="S4364" s="10"/>
      <c r="T4364" s="10"/>
      <c r="U4364" s="10"/>
      <c r="V4364" s="10"/>
      <c r="W4364" s="10"/>
      <c r="X4364" s="10"/>
      <c r="Y4364" s="10"/>
      <c r="Z4364" s="10"/>
    </row>
    <row r="4365" spans="1:26" ht="12.75">
      <c r="A4365" s="10" t="str">
        <f ca="1">IFERROR(__xludf.DUMMYFUNCTION("""COMPUTED_VALUE"""),"Камелия Миткова Нушева")</f>
        <v>Камелия Миткова Нушева</v>
      </c>
      <c r="B4365" s="10" t="str">
        <f ca="1">IFERROR(__xludf.DUMMYFUNCTION("""COMPUTED_VALUE"""),"Монография")</f>
        <v>Монография</v>
      </c>
      <c r="C4365" s="10" t="str">
        <f ca="1">IFERROR(__xludf.DUMMYFUNCTION("""COMPUTED_VALUE"""),"Устойчиви тенденции и бизнес модели в публикационната активност на научните изследвания")</f>
        <v>Устойчиви тенденции и бизнес модели в публикационната активност на научните изследвания</v>
      </c>
      <c r="D4365" s="10">
        <f ca="1">IFERROR(__xludf.DUMMYFUNCTION("""COMPUTED_VALUE"""),2018)</f>
        <v>2018</v>
      </c>
      <c r="E4365" s="10" t="str">
        <f ca="1">IFERROR(__xludf.DUMMYFUNCTION("""COMPUTED_VALUE"""),"София : За буквите – О писменехь, 2018. 178 с.")</f>
        <v>София : За буквите – О писменехь, 2018. 178 с.</v>
      </c>
      <c r="F436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5" s="10" t="str">
        <f ca="1">IFERROR(__xludf.DUMMYFUNCTION("""COMPUTED_VALUE"""),"Иванка Янкова, Добринка Стойкова, Румелина Василева, Силвия Станчева, Стоян Денчев, Ирена Петева, Цветелина Димитрова,")</f>
        <v>Иванка Янкова, Добринка Стойкова, Румелина Василева, Силвия Станчева, Стоян Денчев, Ирена Петева, Цветелина Димитрова,</v>
      </c>
      <c r="H4365" s="10"/>
      <c r="I4365" s="10"/>
      <c r="J4365" s="10"/>
      <c r="K4365" s="10"/>
      <c r="L4365" s="10"/>
      <c r="M4365" s="10"/>
      <c r="N4365" s="10"/>
      <c r="O4365" s="10"/>
      <c r="P4365" s="10"/>
      <c r="Q4365" s="10"/>
      <c r="R4365" s="10"/>
      <c r="S4365" s="10"/>
      <c r="T4365" s="10"/>
      <c r="U4365" s="10"/>
      <c r="V4365" s="10"/>
      <c r="W4365" s="10"/>
      <c r="X4365" s="10"/>
      <c r="Y4365" s="10"/>
      <c r="Z4365" s="10"/>
    </row>
    <row r="4366" spans="1:26" ht="12.75">
      <c r="A4366" s="10" t="str">
        <f ca="1">IFERROR(__xludf.DUMMYFUNCTION("""COMPUTED_VALUE"""),"Камелия Миткова Нушева")</f>
        <v>Камелия Миткова Нушева</v>
      </c>
      <c r="B4366" s="10" t="str">
        <f ca="1">IFERROR(__xludf.DUMMYFUNCTION("""COMPUTED_VALUE"""),"Книга")</f>
        <v>Книга</v>
      </c>
      <c r="C4366" s="10" t="str">
        <f ca="1">IFERROR(__xludf.DUMMYFUNCTION("""COMPUTED_VALUE"""),"Политики и практики в образованието по изкуство и култура. Сборник с доклади 2015-2018 г.")</f>
        <v>Политики и практики в образованието по изкуство и култура. Сборник с доклади 2015-2018 г.</v>
      </c>
      <c r="D4366" s="10">
        <f ca="1">IFERROR(__xludf.DUMMYFUNCTION("""COMPUTED_VALUE"""),2018)</f>
        <v>2018</v>
      </c>
      <c r="E4366" s="10" t="str">
        <f ca="1">IFERROR(__xludf.DUMMYFUNCTION("""COMPUTED_VALUE"""),"София: За буквите – О писменех, 2018, 480 с.")</f>
        <v>София: За буквите – О писменех, 2018, 480 с.</v>
      </c>
      <c r="F436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6" s="10" t="str">
        <f ca="1">IFERROR(__xludf.DUMMYFUNCTION("""COMPUTED_VALUE"""),"Евгени Велев")</f>
        <v>Евгени Велев</v>
      </c>
      <c r="H4366" s="10"/>
      <c r="I4366" s="10"/>
      <c r="J4366" s="10"/>
      <c r="K4366" s="10"/>
      <c r="L4366" s="10"/>
      <c r="M4366" s="10"/>
      <c r="N4366" s="10"/>
      <c r="O4366" s="10"/>
      <c r="P4366" s="10"/>
      <c r="Q4366" s="10"/>
      <c r="R4366" s="10"/>
      <c r="S4366" s="10"/>
      <c r="T4366" s="10"/>
      <c r="U4366" s="10"/>
      <c r="V4366" s="10"/>
      <c r="W4366" s="10"/>
      <c r="X4366" s="10"/>
      <c r="Y4366" s="10"/>
      <c r="Z4366" s="10"/>
    </row>
    <row r="4367" spans="1:26" ht="12.75">
      <c r="A4367" s="10" t="str">
        <f ca="1">IFERROR(__xludf.DUMMYFUNCTION("""COMPUTED_VALUE"""),"Камелия Миткова Нушева")</f>
        <v>Камелия Миткова Нушева</v>
      </c>
      <c r="B4367" s="10" t="str">
        <f ca="1">IFERROR(__xludf.DUMMYFUNCTION("""COMPUTED_VALUE"""),"Статия в списания и поредици")</f>
        <v>Статия в списания и поредици</v>
      </c>
      <c r="C4367" s="10" t="str">
        <f ca="1">IFERROR(__xludf.DUMMYFUNCTION("""COMPUTED_VALUE"""),"Стратегии и програми за опазване на културното наследство")</f>
        <v>Стратегии и програми за опазване на културното наследство</v>
      </c>
      <c r="D4367" s="10">
        <f ca="1">IFERROR(__xludf.DUMMYFUNCTION("""COMPUTED_VALUE"""),2018)</f>
        <v>2018</v>
      </c>
      <c r="E4367" s="10" t="str">
        <f ca="1">IFERROR(__xludf.DUMMYFUNCTION("""COMPUTED_VALUE"""),"Политики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467-473с.")</f>
        <v>Политики и практики в образованието по изкуство и култура. Сборник с доклади от международна научна конференция по проект № ДФНИ К02/17 - София: За буквите – О писменех, 2018, 467-473с.</v>
      </c>
      <c r="F436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7" s="10" t="str">
        <f ca="1">IFERROR(__xludf.DUMMYFUNCTION("""COMPUTED_VALUE"""),"Радослав Кацаров")</f>
        <v>Радослав Кацаров</v>
      </c>
      <c r="H4367" s="10"/>
      <c r="I4367" s="10"/>
      <c r="J4367" s="10"/>
      <c r="K4367" s="10"/>
      <c r="L4367" s="10"/>
      <c r="M4367" s="10"/>
      <c r="N4367" s="10"/>
      <c r="O4367" s="10"/>
      <c r="P4367" s="10"/>
      <c r="Q4367" s="10"/>
      <c r="R4367" s="10"/>
      <c r="S4367" s="10"/>
      <c r="T4367" s="10"/>
      <c r="U4367" s="10"/>
      <c r="V4367" s="10"/>
      <c r="W4367" s="10"/>
      <c r="X4367" s="10"/>
      <c r="Y4367" s="10"/>
      <c r="Z4367" s="10"/>
    </row>
    <row r="4368" spans="1:26" ht="12.75">
      <c r="A4368" s="10" t="str">
        <f ca="1">IFERROR(__xludf.DUMMYFUNCTION("""COMPUTED_VALUE"""),"Камелия Миткова Нушева")</f>
        <v>Камелия Миткова Нушева</v>
      </c>
      <c r="B4368" s="10" t="str">
        <f ca="1">IFERROR(__xludf.DUMMYFUNCTION("""COMPUTED_VALUE"""),"Статия в списания и поредици")</f>
        <v>Статия в списания и поредици</v>
      </c>
      <c r="C4368" s="10" t="str">
        <f ca="1">IFERROR(__xludf.DUMMYFUNCTION("""COMPUTED_VALUE"""),"Лобирането и застъпничеството – новата грамотност за нова визия на културните институции")</f>
        <v>Лобирането и застъпничеството – новата грамотност за нова визия на културните институции</v>
      </c>
      <c r="D4368" s="10">
        <f ca="1">IFERROR(__xludf.DUMMYFUNCTION("""COMPUTED_VALUE"""),2017)</f>
        <v>2017</v>
      </c>
      <c r="E4368" s="10" t="str">
        <f ca="1">IFERROR(__xludf.DUMMYFUNCTION("""COMPUTED_VALUE"""),"Библиотеки – четене – комуникации: Дигиталната конверсия на книжовното и културно-историческо наследство: XV нац. науч. конф. с междунар. уч., В. Търново, 17-18 ноември, 2016. Велико Търново: НБ „П. Р. Славейков“, 2017, c. 48-59")</f>
        <v>Библиотеки – четене – комуникации: Дигиталната конверсия на книжовното и културно-историческо наследство: XV нац. науч. конф. с междунар. уч., В. Търново, 17-18 ноември, 2016. Велико Търново: НБ „П. Р. Славейков“, 2017, c. 48-59</v>
      </c>
      <c r="F436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68" s="10" t="str">
        <f ca="1">IFERROR(__xludf.DUMMYFUNCTION("""COMPUTED_VALUE"""),"Румелина Bасилева Иванка Янкова")</f>
        <v>Румелина Bасилева Иванка Янкова</v>
      </c>
      <c r="H4368" s="10"/>
      <c r="I4368" s="10"/>
      <c r="J4368" s="10"/>
      <c r="K4368" s="10"/>
      <c r="L4368" s="10"/>
      <c r="M4368" s="10"/>
      <c r="N4368" s="10"/>
      <c r="O4368" s="10"/>
      <c r="P4368" s="10"/>
      <c r="Q4368" s="10"/>
      <c r="R4368" s="10"/>
      <c r="S4368" s="10"/>
      <c r="T4368" s="10"/>
      <c r="U4368" s="10"/>
      <c r="V4368" s="10"/>
      <c r="W4368" s="10"/>
      <c r="X4368" s="10"/>
      <c r="Y4368" s="10"/>
      <c r="Z4368" s="10"/>
    </row>
    <row r="4369" spans="1:26" ht="12.75">
      <c r="A4369" s="10" t="str">
        <f ca="1">IFERROR(__xludf.DUMMYFUNCTION("""COMPUTED_VALUE"""),"Камелия Миткова Нушева")</f>
        <v>Камелия Миткова Нушева</v>
      </c>
      <c r="B4369" s="10" t="str">
        <f ca="1">IFERROR(__xludf.DUMMYFUNCTION("""COMPUTED_VALUE"""),"Доклад от конференция")</f>
        <v>Доклад от конференция</v>
      </c>
      <c r="C4369" s="10" t="str">
        <f ca="1">IFERROR(__xludf.DUMMYFUNCTION("""COMPUTED_VALUE"""),"Американската библиотечна асоциация и ролята и за застъпничеството в библиотеките")</f>
        <v>Американската библиотечна асоциация и ролята и за застъпничеството в библиотеките</v>
      </c>
      <c r="D4369" s="10">
        <f ca="1">IFERROR(__xludf.DUMMYFUNCTION("""COMPUTED_VALUE"""),2017)</f>
        <v>2017</v>
      </c>
      <c r="E4369" s="10" t="str">
        <f ca="1">IFERROR(__xludf.DUMMYFUNCTION("""COMPUTED_VALUE"""),"Съставител: Р. Василева. – София: За буквите О писменехь, 2016, с. 181-189")</f>
        <v>Съставител: Р. Василева. – София: За буквите О писменехь, 2016, с. 181-189</v>
      </c>
      <c r="F4369" s="10"/>
      <c r="G4369" s="10"/>
      <c r="H4369" s="10"/>
      <c r="I4369" s="10"/>
      <c r="J4369" s="10"/>
      <c r="K4369" s="10"/>
      <c r="L4369" s="10"/>
      <c r="M4369" s="10"/>
      <c r="N4369" s="10"/>
      <c r="O4369" s="10"/>
      <c r="P4369" s="10"/>
      <c r="Q4369" s="10"/>
      <c r="R4369" s="10"/>
      <c r="S4369" s="10"/>
      <c r="T4369" s="10"/>
      <c r="U4369" s="10"/>
      <c r="V4369" s="10"/>
      <c r="W4369" s="10"/>
      <c r="X4369" s="10"/>
      <c r="Y4369" s="10"/>
      <c r="Z4369" s="10"/>
    </row>
    <row r="4370" spans="1:26" ht="12.75">
      <c r="A4370" s="10" t="str">
        <f ca="1">IFERROR(__xludf.DUMMYFUNCTION("""COMPUTED_VALUE"""),"Камелия Миткова Нушева")</f>
        <v>Камелия Миткова Нушева</v>
      </c>
      <c r="B4370" s="10" t="str">
        <f ca="1">IFERROR(__xludf.DUMMYFUNCTION("""COMPUTED_VALUE"""),"Доклад от конференция")</f>
        <v>Доклад от конференция</v>
      </c>
      <c r="C4370" s="10" t="str">
        <f ca="1">IFERROR(__xludf.DUMMYFUNCTION("""COMPUTED_VALUE"""),"Стажантски и степендиантски програми като фактор за професионално развитие на студентите в България")</f>
        <v>Стажантски и степендиантски програми като фактор за професионално развитие на студентите в България</v>
      </c>
      <c r="D4370" s="10">
        <f ca="1">IFERROR(__xludf.DUMMYFUNCTION("""COMPUTED_VALUE"""),2017)</f>
        <v>2017</v>
      </c>
      <c r="E4370" s="10" t="str">
        <f ca="1">IFERROR(__xludf.DUMMYFUNCTION("""COMPUTED_VALUE"""),"Съставител:Силвия Станчева.- София: За буквите – О писменехь, 2016, с 127-139.")</f>
        <v>Съставител:Силвия Станчева.- София: За буквите – О писменехь, 2016, с 127-139.</v>
      </c>
      <c r="F437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70" s="10"/>
      <c r="H4370" s="10"/>
      <c r="I4370" s="10"/>
      <c r="J4370" s="10"/>
      <c r="K4370" s="10"/>
      <c r="L4370" s="10"/>
      <c r="M4370" s="10"/>
      <c r="N4370" s="10"/>
      <c r="O4370" s="10"/>
      <c r="P4370" s="10"/>
      <c r="Q4370" s="10"/>
      <c r="R4370" s="10"/>
      <c r="S4370" s="10"/>
      <c r="T4370" s="10"/>
      <c r="U4370" s="10"/>
      <c r="V4370" s="10"/>
      <c r="W4370" s="10"/>
      <c r="X4370" s="10"/>
      <c r="Y4370" s="10"/>
      <c r="Z4370" s="10"/>
    </row>
    <row r="4371" spans="1:26" ht="12.75">
      <c r="A4371" s="10" t="str">
        <f ca="1">IFERROR(__xludf.DUMMYFUNCTION("""COMPUTED_VALUE"""),"Камелия Миткова Нушева")</f>
        <v>Камелия Миткова Нушева</v>
      </c>
      <c r="B4371" s="10" t="str">
        <f ca="1">IFERROR(__xludf.DUMMYFUNCTION("""COMPUTED_VALUE"""),"Статия в списания и поредици")</f>
        <v>Статия в списания и поредици</v>
      </c>
      <c r="C4371" s="10" t="str">
        <f ca="1">IFERROR(__xludf.DUMMYFUNCTION("""COMPUTED_VALUE"""),"Професионалната квалификация в университетска информационна среда.")</f>
        <v>Професионалната квалификация в университетска информационна среда.</v>
      </c>
      <c r="D4371" s="10">
        <f ca="1">IFERROR(__xludf.DUMMYFUNCTION("""COMPUTED_VALUE"""),2017)</f>
        <v>2017</v>
      </c>
      <c r="E4371" s="10" t="str">
        <f ca="1">IFERROR(__xludf.DUMMYFUNCTION("""COMPUTED_VALUE"""),"Образованието и изследванията в информационното общество. Науч. докл. и съобщения от Десета национална научна конференция. 22-23 юни 2017 г., гр. Пловдив, с.112-120")</f>
        <v>Образованието и изследванията в информационното общество. Науч. докл. и съобщения от Десета национална научна конференция. 22-23 юни 2017 г., гр. Пловдив, с.112-120</v>
      </c>
      <c r="F437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71" s="10" t="str">
        <f ca="1">IFERROR(__xludf.DUMMYFUNCTION("""COMPUTED_VALUE"""),"Иванка Янкова, Деница Димитрова")</f>
        <v>Иванка Янкова, Деница Димитрова</v>
      </c>
      <c r="H4371" s="10"/>
      <c r="I4371" s="10"/>
      <c r="J4371" s="10"/>
      <c r="K4371" s="10"/>
      <c r="L4371" s="10"/>
      <c r="M4371" s="10"/>
      <c r="N4371" s="10"/>
      <c r="O4371" s="10"/>
      <c r="P4371" s="10"/>
      <c r="Q4371" s="10"/>
      <c r="R4371" s="10"/>
      <c r="S4371" s="10"/>
      <c r="T4371" s="10"/>
      <c r="U4371" s="10"/>
      <c r="V4371" s="10"/>
      <c r="W4371" s="10"/>
      <c r="X4371" s="10"/>
      <c r="Y4371" s="10"/>
      <c r="Z4371" s="10"/>
    </row>
    <row r="4372" spans="1:26" ht="12.75">
      <c r="A4372" s="10" t="str">
        <f ca="1">IFERROR(__xludf.DUMMYFUNCTION("""COMPUTED_VALUE"""),"Камелия Миткова Нушева")</f>
        <v>Камелия Миткова Нушева</v>
      </c>
      <c r="B4372" s="10" t="str">
        <f ca="1">IFERROR(__xludf.DUMMYFUNCTION("""COMPUTED_VALUE"""),"Доклад от конференция")</f>
        <v>Доклад от конференция</v>
      </c>
      <c r="C4372" s="10" t="str">
        <f ca="1">IFERROR(__xludf.DUMMYFUNCTION("""COMPUTED_VALUE"""),"Ролята на логистичните системи за устойчиво развитие на туристическия сектор")</f>
        <v>Ролята на логистичните системи за устойчиво развитие на туристическия сектор</v>
      </c>
      <c r="D4372" s="10">
        <f ca="1">IFERROR(__xludf.DUMMYFUNCTION("""COMPUTED_VALUE"""),2017)</f>
        <v>2017</v>
      </c>
      <c r="E4372" s="10" t="str">
        <f ca="1">IFERROR(__xludf.DUMMYFUNCTION("""COMPUTED_VALUE"""),"Knowledge – International Journal, 2017, 15.3., с.256-261")</f>
        <v>Knowledge – International Journal, 2017, 15.3., с.256-261</v>
      </c>
      <c r="F4372" s="10" t="str">
        <f ca="1">IFERROR(__xludf.DUMMYFUNCTION("""COMPUTED_VALUE"""),"scopus")</f>
        <v>scopus</v>
      </c>
      <c r="G4372" s="10" t="str">
        <f ca="1">IFERROR(__xludf.DUMMYFUNCTION("""COMPUTED_VALUE"""),"Боряна Хаджиева")</f>
        <v>Боряна Хаджиева</v>
      </c>
      <c r="H4372" s="10"/>
      <c r="I4372" s="10"/>
      <c r="J4372" s="10"/>
      <c r="K4372" s="10"/>
      <c r="L4372" s="10"/>
      <c r="M4372" s="10"/>
      <c r="N4372" s="10"/>
      <c r="O4372" s="10"/>
      <c r="P4372" s="10"/>
      <c r="Q4372" s="10"/>
      <c r="R4372" s="10"/>
      <c r="S4372" s="10"/>
      <c r="T4372" s="10"/>
      <c r="U4372" s="10"/>
      <c r="V4372" s="10"/>
      <c r="W4372" s="10"/>
      <c r="X4372" s="10"/>
      <c r="Y4372" s="10"/>
      <c r="Z4372" s="10"/>
    </row>
    <row r="4373" spans="1:26" ht="12.75">
      <c r="A4373" s="10" t="str">
        <f ca="1">IFERROR(__xludf.DUMMYFUNCTION("""COMPUTED_VALUE"""),"Камелия Миткова Нушева")</f>
        <v>Камелия Миткова Нушева</v>
      </c>
      <c r="B4373" s="10" t="str">
        <f ca="1">IFERROR(__xludf.DUMMYFUNCTION("""COMPUTED_VALUE"""),"Доклад от конференция")</f>
        <v>Доклад от конференция</v>
      </c>
      <c r="C4373" s="10" t="str">
        <f ca="1">IFERROR(__xludf.DUMMYFUNCTION("""COMPUTED_VALUE"""),"Информационно - комуникационна среда за устойчиво развитие на туризма в България")</f>
        <v>Информационно - комуникационна среда за устойчиво развитие на туризма в България</v>
      </c>
      <c r="D4373" s="10">
        <f ca="1">IFERROR(__xludf.DUMMYFUNCTION("""COMPUTED_VALUE"""),2017)</f>
        <v>2017</v>
      </c>
      <c r="E4373" s="10" t="str">
        <f ca="1">IFERROR(__xludf.DUMMYFUNCTION("""COMPUTED_VALUE"""),"Сборник доклади от Единадесети Международен пътуващ семинар на УниБИТ 29 май - 05 юни 2017 г. Република Гърция")</f>
        <v>Сборник доклади от Единадесети Международен пътуващ семинар на УниБИТ 29 май - 05 юни 2017 г. Република Гърция</v>
      </c>
      <c r="F4373" s="10"/>
      <c r="G4373" s="10" t="str">
        <f ca="1">IFERROR(__xludf.DUMMYFUNCTION("""COMPUTED_VALUE"""),"Хаджиева, Боряна")</f>
        <v>Хаджиева, Боряна</v>
      </c>
      <c r="H4373" s="10"/>
      <c r="I4373" s="10"/>
      <c r="J4373" s="10"/>
      <c r="K4373" s="10"/>
      <c r="L4373" s="10"/>
      <c r="M4373" s="10"/>
      <c r="N4373" s="10"/>
      <c r="O4373" s="10"/>
      <c r="P4373" s="10"/>
      <c r="Q4373" s="10"/>
      <c r="R4373" s="10"/>
      <c r="S4373" s="10"/>
      <c r="T4373" s="10"/>
      <c r="U4373" s="10"/>
      <c r="V4373" s="10"/>
      <c r="W4373" s="10"/>
      <c r="X4373" s="10"/>
      <c r="Y4373" s="10"/>
      <c r="Z4373" s="10"/>
    </row>
    <row r="4374" spans="1:26" ht="12.75">
      <c r="A4374" s="10" t="str">
        <f ca="1">IFERROR(__xludf.DUMMYFUNCTION("""COMPUTED_VALUE"""),"Камелия Миткова Нушева")</f>
        <v>Камелия Миткова Нушева</v>
      </c>
      <c r="B4374" s="10" t="str">
        <f ca="1">IFERROR(__xludf.DUMMYFUNCTION("""COMPUTED_VALUE"""),"Доклад от конференция")</f>
        <v>Доклад от конференция</v>
      </c>
      <c r="C4374" s="10" t="str">
        <f ca="1">IFERROR(__xludf.DUMMYFUNCTION("""COMPUTED_VALUE"""),"Information Literacy and Professional Development of Students Graduating from Library Studies in Bulgaria: the Impact of the Indicators for Intelligent Growth in Modern Society of Knowledge. European Conference on Information Literacy")</f>
        <v>Information Literacy and Professional Development of Students Graduating from Library Studies in Bulgaria: the Impact of the Indicators for Intelligent Growth in Modern Society of Knowledge. European Conference on Information Literacy</v>
      </c>
      <c r="D4374" s="10">
        <f ca="1">IFERROR(__xludf.DUMMYFUNCTION("""COMPUTED_VALUE"""),2017)</f>
        <v>2017</v>
      </c>
      <c r="E4374" s="10" t="str">
        <f ca="1">IFERROR(__xludf.DUMMYFUNCTION("""COMPUTED_VALUE"""),"ECIL 2017, 18-21 September 2017 in Saint-Malo France.")</f>
        <v>ECIL 2017, 18-21 September 2017 in Saint-Malo France.</v>
      </c>
      <c r="F4374" s="10"/>
      <c r="G4374" s="10" t="str">
        <f ca="1">IFERROR(__xludf.DUMMYFUNCTION("""COMPUTED_VALUE"""),"Yankova, Ivanka, Silviya Stantcheva, Kamelia Nusheva, Tzvetelina Dimitrova, Irena Peteva")</f>
        <v>Yankova, Ivanka, Silviya Stantcheva, Kamelia Nusheva, Tzvetelina Dimitrova, Irena Peteva</v>
      </c>
      <c r="H4374" s="10"/>
      <c r="I4374" s="10"/>
      <c r="J4374" s="10"/>
      <c r="K4374" s="10"/>
      <c r="L4374" s="10"/>
      <c r="M4374" s="10"/>
      <c r="N4374" s="10"/>
      <c r="O4374" s="10"/>
      <c r="P4374" s="10"/>
      <c r="Q4374" s="10"/>
      <c r="R4374" s="10"/>
      <c r="S4374" s="10"/>
      <c r="T4374" s="10"/>
      <c r="U4374" s="10"/>
      <c r="V4374" s="10"/>
      <c r="W4374" s="10"/>
      <c r="X4374" s="10"/>
      <c r="Y4374" s="10"/>
      <c r="Z4374" s="10"/>
    </row>
    <row r="4375" spans="1:26" ht="12.75">
      <c r="A4375" s="10" t="str">
        <f ca="1">IFERROR(__xludf.DUMMYFUNCTION("""COMPUTED_VALUE"""),"Камелия Миткова Нушева")</f>
        <v>Камелия Миткова Нушева</v>
      </c>
      <c r="B4375" s="10" t="str">
        <f ca="1">IFERROR(__xludf.DUMMYFUNCTION("""COMPUTED_VALUE"""),"Доклад от конференция")</f>
        <v>Доклад от конференция</v>
      </c>
      <c r="C4375" s="10" t="str">
        <f ca="1">IFERROR(__xludf.DUMMYFUNCTION("""COMPUTED_VALUE"""),"Информационно – резервационните системи в подкрепа и стимулиране развитието на туристическия сектор")</f>
        <v>Информационно – резервационните системи в подкрепа и стимулиране развитието на туристическия сектор</v>
      </c>
      <c r="D4375" s="10">
        <f ca="1">IFERROR(__xludf.DUMMYFUNCTION("""COMPUTED_VALUE"""),2017)</f>
        <v>2017</v>
      </c>
      <c r="E4375" s="10" t="str">
        <f ca="1">IFERROR(__xludf.DUMMYFUNCTION("""COMPUTED_VALUE"""),"Сборник доклади от Десети международен пътуващ семинар на УниБИТ 30 май - 05 юни 2016 г. гр. Будапеща, Унгария. – София: За буквите – О писменехь, 2016, с.161-169")</f>
        <v>Сборник доклади от Десети международен пътуващ семинар на УниБИТ 30 май - 05 юни 2016 г. гр. Будапеща, Унгария. – София: За буквите – О писменехь, 2016, с.161-169</v>
      </c>
      <c r="F4375" s="10"/>
      <c r="G4375" s="10" t="str">
        <f ca="1">IFERROR(__xludf.DUMMYFUNCTION("""COMPUTED_VALUE"""),"Хаджиева, Боряна")</f>
        <v>Хаджиева, Боряна</v>
      </c>
      <c r="H4375" s="10"/>
      <c r="I4375" s="10"/>
      <c r="J4375" s="10"/>
      <c r="K4375" s="10"/>
      <c r="L4375" s="10"/>
      <c r="M4375" s="10"/>
      <c r="N4375" s="10"/>
      <c r="O4375" s="10"/>
      <c r="P4375" s="10"/>
      <c r="Q4375" s="10"/>
      <c r="R4375" s="10"/>
      <c r="S4375" s="10"/>
      <c r="T4375" s="10"/>
      <c r="U4375" s="10"/>
      <c r="V4375" s="10"/>
      <c r="W4375" s="10"/>
      <c r="X4375" s="10"/>
      <c r="Y4375" s="10"/>
      <c r="Z4375" s="10"/>
    </row>
    <row r="4376" spans="1:26" ht="12.75">
      <c r="A4376" s="10" t="str">
        <f ca="1">IFERROR(__xludf.DUMMYFUNCTION("""COMPUTED_VALUE"""),"Камелия Миткова Нушева")</f>
        <v>Камелия Миткова Нушева</v>
      </c>
      <c r="B4376" s="10" t="str">
        <f ca="1">IFERROR(__xludf.DUMMYFUNCTION("""COMPUTED_VALUE"""),"Доклад от конференция")</f>
        <v>Доклад от конференция</v>
      </c>
      <c r="C4376" s="10" t="str">
        <f ca="1">IFERROR(__xludf.DUMMYFUNCTION("""COMPUTED_VALUE"""),"Диалектиката „четене : писане“ –логосът на научната комуникация")</f>
        <v>Диалектиката „четене : писане“ –логосът на научната комуникация</v>
      </c>
      <c r="D4376" s="10">
        <f ca="1">IFERROR(__xludf.DUMMYFUNCTION("""COMPUTED_VALUE"""),2017)</f>
        <v>2017</v>
      </c>
      <c r="E4376" s="10" t="str">
        <f ca="1">IFERROR(__xludf.DUMMYFUNCTION("""COMPUTED_VALUE"""),"Сборник доклади от Десети международен пътуващ семинар на УниБИТ 30 май - 05 юни 2016 г. гр. Будапеща, Унгария. – София: За буквите – О писменехь, 2017.")</f>
        <v>Сборник доклади от Десети международен пътуващ семинар на УниБИТ 30 май - 05 юни 2016 г. гр. Будапеща, Унгария. – София: За буквите – О писменехь, 2017.</v>
      </c>
      <c r="F4376" s="10"/>
      <c r="G4376" s="10" t="str">
        <f ca="1">IFERROR(__xludf.DUMMYFUNCTION("""COMPUTED_VALUE"""),"Янкова, Иванка, Румелина Василева")</f>
        <v>Янкова, Иванка, Румелина Василева</v>
      </c>
      <c r="H4376" s="10"/>
      <c r="I4376" s="10"/>
      <c r="J4376" s="10"/>
      <c r="K4376" s="10"/>
      <c r="L4376" s="10"/>
      <c r="M4376" s="10"/>
      <c r="N4376" s="10"/>
      <c r="O4376" s="10"/>
      <c r="P4376" s="10"/>
      <c r="Q4376" s="10"/>
      <c r="R4376" s="10"/>
      <c r="S4376" s="10"/>
      <c r="T4376" s="10"/>
      <c r="U4376" s="10"/>
      <c r="V4376" s="10"/>
      <c r="W4376" s="10"/>
      <c r="X4376" s="10"/>
      <c r="Y4376" s="10"/>
      <c r="Z4376" s="10"/>
    </row>
    <row r="4377" spans="1:26" ht="12.75">
      <c r="A4377" s="10" t="str">
        <f ca="1">IFERROR(__xludf.DUMMYFUNCTION("""COMPUTED_VALUE"""),"Камелия Миткова Нушева")</f>
        <v>Камелия Миткова Нушева</v>
      </c>
      <c r="B4377" s="10" t="str">
        <f ca="1">IFERROR(__xludf.DUMMYFUNCTION("""COMPUTED_VALUE"""),"Доклад от конференция")</f>
        <v>Доклад от конференция</v>
      </c>
      <c r="C4377" s="10" t="str">
        <f ca="1">IFERROR(__xludf.DUMMYFUNCTION("""COMPUTED_VALUE"""),"The role of logistic systems for sustainable development of the tourist sector= Ролята на логистичните системи за устойчиво развитие на туристическия сектор")</f>
        <v>The role of logistic systems for sustainable development of the tourist sector= Ролята на логистичните системи за устойчиво развитие на туристическия сектор</v>
      </c>
      <c r="D4377" s="10">
        <f ca="1">IFERROR(__xludf.DUMMYFUNCTION("""COMPUTED_VALUE"""),2017)</f>
        <v>2017</v>
      </c>
      <c r="E4377" s="10" t="str">
        <f ca="1">IFERROR(__xludf.DUMMYFUNCTION("""COMPUTED_VALUE"""),"Knowledge – International Journal, 2017, 15.3., с.256-261")</f>
        <v>Knowledge – International Journal, 2017, 15.3., с.256-261</v>
      </c>
      <c r="F4377" s="10" t="str">
        <f ca="1">IFERROR(__xludf.DUMMYFUNCTION("""COMPUTED_VALUE"""),"International Journal with an ISSN number and Global Impact &amp; Quality Factor (GIF) 1.023 (for 2015 z.) (http://globalimpactfactor.com/knowledge-international-journal/) KNOWLEDGE – International Journal")</f>
        <v>International Journal with an ISSN number and Global Impact &amp; Quality Factor (GIF) 1.023 (for 2015 z.) (http://globalimpactfactor.com/knowledge-international-journal/) KNOWLEDGE – International Journal</v>
      </c>
      <c r="G4377" s="10" t="str">
        <f ca="1">IFERROR(__xludf.DUMMYFUNCTION("""COMPUTED_VALUE"""),"Boryana Hadjieva")</f>
        <v>Boryana Hadjieva</v>
      </c>
      <c r="H4377" s="10"/>
      <c r="I4377" s="10"/>
      <c r="J4377" s="10"/>
      <c r="K4377" s="10"/>
      <c r="L4377" s="10"/>
      <c r="M4377" s="10"/>
      <c r="N4377" s="10"/>
      <c r="O4377" s="10"/>
      <c r="P4377" s="10"/>
      <c r="Q4377" s="10"/>
      <c r="R4377" s="10"/>
      <c r="S4377" s="10"/>
      <c r="T4377" s="10"/>
      <c r="U4377" s="10"/>
      <c r="V4377" s="10"/>
      <c r="W4377" s="10"/>
      <c r="X4377" s="10"/>
      <c r="Y4377" s="10"/>
      <c r="Z4377" s="10"/>
    </row>
    <row r="4378" spans="1:26" ht="12.75">
      <c r="A4378" s="10" t="str">
        <f ca="1">IFERROR(__xludf.DUMMYFUNCTION("""COMPUTED_VALUE"""),"Камелия Миткова Нушева")</f>
        <v>Камелия Миткова Нушева</v>
      </c>
      <c r="B4378" s="10" t="str">
        <f ca="1">IFERROR(__xludf.DUMMYFUNCTION("""COMPUTED_VALUE"""),"Доклад от конференция")</f>
        <v>Доклад от конференция</v>
      </c>
      <c r="C4378" s="10" t="str">
        <f ca="1">IFERROR(__xludf.DUMMYFUNCTION("""COMPUTED_VALUE"""),"Информационно - комуникационна среда за устойчиво развитие на туризма в България")</f>
        <v>Информационно - комуникационна среда за устойчиво развитие на туризма в България</v>
      </c>
      <c r="D4378" s="10">
        <f ca="1">IFERROR(__xludf.DUMMYFUNCTION("""COMPUTED_VALUE"""),2017)</f>
        <v>2017</v>
      </c>
      <c r="E4378" s="10" t="str">
        <f ca="1">IFERROR(__xludf.DUMMYFUNCTION("""COMPUTED_VALUE"""),"Сборник доклади от Десети международен пътуващ семинар на УниБИТ 29 май - 05 юни 2017 г. Гърция. – София: За буквите – О писменехь, 2017, с.220-227")</f>
        <v>Сборник доклади от Десети международен пътуващ семинар на УниБИТ 29 май - 05 юни 2017 г. Гърция. – София: За буквите – О писменехь, 2017, с.220-227</v>
      </c>
      <c r="F4378" s="10"/>
      <c r="G4378" s="10" t="str">
        <f ca="1">IFERROR(__xludf.DUMMYFUNCTION("""COMPUTED_VALUE"""),"Боряна Хаджиева")</f>
        <v>Боряна Хаджиева</v>
      </c>
      <c r="H4378" s="10"/>
      <c r="I4378" s="10"/>
      <c r="J4378" s="10"/>
      <c r="K4378" s="10"/>
      <c r="L4378" s="10"/>
      <c r="M4378" s="10"/>
      <c r="N4378" s="10"/>
      <c r="O4378" s="10"/>
      <c r="P4378" s="10"/>
      <c r="Q4378" s="10"/>
      <c r="R4378" s="10"/>
      <c r="S4378" s="10"/>
      <c r="T4378" s="10"/>
      <c r="U4378" s="10"/>
      <c r="V4378" s="10"/>
      <c r="W4378" s="10"/>
      <c r="X4378" s="10"/>
      <c r="Y4378" s="10"/>
      <c r="Z4378" s="10"/>
    </row>
    <row r="4379" spans="1:26" ht="12.75">
      <c r="A4379" s="10" t="str">
        <f ca="1">IFERROR(__xludf.DUMMYFUNCTION("""COMPUTED_VALUE"""),"Камелия Миткова Нушева")</f>
        <v>Камелия Миткова Нушева</v>
      </c>
      <c r="B4379" s="10" t="str">
        <f ca="1">IFERROR(__xludf.DUMMYFUNCTION("""COMPUTED_VALUE"""),"Статия в списания и поредици")</f>
        <v>Статия в списания и поредици</v>
      </c>
      <c r="C4379" s="10" t="str">
        <f ca="1">IFERROR(__xludf.DUMMYFUNCTION("""COMPUTED_VALUE"""),"Професионалната квалификация в университетска информационна среда.")</f>
        <v>Професионалната квалификация в университетска информационна среда.</v>
      </c>
      <c r="D4379" s="10">
        <f ca="1">IFERROR(__xludf.DUMMYFUNCTION("""COMPUTED_VALUE"""),2017)</f>
        <v>2017</v>
      </c>
      <c r="E4379" s="10" t="str">
        <f ca="1">IFERROR(__xludf.DUMMYFUNCTION("""COMPUTED_VALUE"""),"Образованието и изследванията в информационното общество. Науч. докл. и съобщения от Десета национална научна конференция. 22-23 юни 2017 г., гр. Пловдив, с.112-120")</f>
        <v>Образованието и изследванията в информационното общество. Науч. докл. и съобщения от Десета национална научна конференция. 22-23 юни 2017 г., гр. Пловдив, с.112-120</v>
      </c>
      <c r="F437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79" s="10" t="str">
        <f ca="1">IFERROR(__xludf.DUMMYFUNCTION("""COMPUTED_VALUE"""),"Янкова, И., Д. Димитрова")</f>
        <v>Янкова, И., Д. Димитрова</v>
      </c>
      <c r="H4379" s="10"/>
      <c r="I4379" s="10"/>
      <c r="J4379" s="10"/>
      <c r="K4379" s="10"/>
      <c r="L4379" s="10"/>
      <c r="M4379" s="10"/>
      <c r="N4379" s="10"/>
      <c r="O4379" s="10"/>
      <c r="P4379" s="10"/>
      <c r="Q4379" s="10"/>
      <c r="R4379" s="10"/>
      <c r="S4379" s="10"/>
      <c r="T4379" s="10"/>
      <c r="U4379" s="10"/>
      <c r="V4379" s="10"/>
      <c r="W4379" s="10"/>
      <c r="X4379" s="10"/>
      <c r="Y4379" s="10"/>
      <c r="Z4379" s="10"/>
    </row>
    <row r="4380" spans="1:26" ht="12.75">
      <c r="A4380" s="10" t="str">
        <f ca="1">IFERROR(__xludf.DUMMYFUNCTION("""COMPUTED_VALUE"""),"Камелия Миткова Нушева")</f>
        <v>Камелия Миткова Нушева</v>
      </c>
      <c r="B4380" s="10" t="str">
        <f ca="1">IFERROR(__xludf.DUMMYFUNCTION("""COMPUTED_VALUE"""),"Статия в списания и поредици")</f>
        <v>Статия в списания и поредици</v>
      </c>
      <c r="C4380" s="10" t="str">
        <f ca="1">IFERROR(__xludf.DUMMYFUNCTION("""COMPUTED_VALUE"""),"Перспективи за развитие и насърчаване на образованието по изкуствата и културата в България")</f>
        <v>Перспективи за развитие и насърчаване на образованието по изкуствата и културата в България</v>
      </c>
      <c r="D4380" s="10">
        <f ca="1">IFERROR(__xludf.DUMMYFUNCTION("""COMPUTED_VALUE"""),2017)</f>
        <v>2017</v>
      </c>
      <c r="E4380" s="10" t="str">
        <f ca="1">IFERROR(__xludf.DUMMYFUNCTION("""COMPUTED_VALUE"""),"Ролята на ЮНЕСКО за развитие на образованието, науката и културата в Р България. Сб. доклади от научен семинар, проведен на 24.05.2017 г. в Париж. - София: За буквите – Описменехь, 2017, 56-68 с.")</f>
        <v>Ролята на ЮНЕСКО за развитие на образованието, науката и културата в Р България. Сб. доклади от научен семинар, проведен на 24.05.2017 г. в Париж. - София: За буквите – Описменехь, 2017, 56-68 с.</v>
      </c>
      <c r="F438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0" s="10" t="str">
        <f ca="1">IFERROR(__xludf.DUMMYFUNCTION("""COMPUTED_VALUE"""),"Ирена Петева")</f>
        <v>Ирена Петева</v>
      </c>
      <c r="H4380" s="10"/>
      <c r="I4380" s="10"/>
      <c r="J4380" s="10"/>
      <c r="K4380" s="10"/>
      <c r="L4380" s="10"/>
      <c r="M4380" s="10"/>
      <c r="N4380" s="10"/>
      <c r="O4380" s="10"/>
      <c r="P4380" s="10"/>
      <c r="Q4380" s="10"/>
      <c r="R4380" s="10"/>
      <c r="S4380" s="10"/>
      <c r="T4380" s="10"/>
      <c r="U4380" s="10"/>
      <c r="V4380" s="10"/>
      <c r="W4380" s="10"/>
      <c r="X4380" s="10"/>
      <c r="Y4380" s="10"/>
      <c r="Z4380" s="10"/>
    </row>
    <row r="4381" spans="1:26" ht="12.75">
      <c r="A4381" s="10" t="str">
        <f ca="1">IFERROR(__xludf.DUMMYFUNCTION("""COMPUTED_VALUE"""),"Камелия Миткова Нушева")</f>
        <v>Камелия Миткова Нушева</v>
      </c>
      <c r="B4381" s="10" t="str">
        <f ca="1">IFERROR(__xludf.DUMMYFUNCTION("""COMPUTED_VALUE"""),"Доклад от конференция")</f>
        <v>Доклад от конференция</v>
      </c>
      <c r="C4381" s="10" t="str">
        <f ca="1">IFERROR(__xludf.DUMMYFUNCTION("""COMPUTED_VALUE"""),"Информационно – резервационните системи в подкрепа и стимулиране развитието на туристическия сектор")</f>
        <v>Информационно – резервационните системи в подкрепа и стимулиране развитието на туристическия сектор</v>
      </c>
      <c r="D4381" s="10">
        <f ca="1">IFERROR(__xludf.DUMMYFUNCTION("""COMPUTED_VALUE"""),2016)</f>
        <v>2016</v>
      </c>
      <c r="E4381" s="10" t="str">
        <f ca="1">IFERROR(__xludf.DUMMYFUNCTION("""COMPUTED_VALUE"""),"Сборник доклади от Десети международен пътуващ семинар на УниБИТ 30 май - 05 юни 2016 г. гр. Будапеща, Унгария. – София: За буквите – О писменехь, 2016, с.161-169")</f>
        <v>Сборник доклади от Десети международен пътуващ семинар на УниБИТ 30 май - 05 юни 2016 г. гр. Будапеща, Унгария. – София: За буквите – О писменехь, 2016, с.161-169</v>
      </c>
      <c r="F4381" s="10"/>
      <c r="G4381" s="10" t="str">
        <f ca="1">IFERROR(__xludf.DUMMYFUNCTION("""COMPUTED_VALUE"""),"Боряна Хаджиева")</f>
        <v>Боряна Хаджиева</v>
      </c>
      <c r="H4381" s="10"/>
      <c r="I4381" s="10"/>
      <c r="J4381" s="10"/>
      <c r="K4381" s="10"/>
      <c r="L4381" s="10"/>
      <c r="M4381" s="10"/>
      <c r="N4381" s="10"/>
      <c r="O4381" s="10"/>
      <c r="P4381" s="10"/>
      <c r="Q4381" s="10"/>
      <c r="R4381" s="10"/>
      <c r="S4381" s="10"/>
      <c r="T4381" s="10"/>
      <c r="U4381" s="10"/>
      <c r="V4381" s="10"/>
      <c r="W4381" s="10"/>
      <c r="X4381" s="10"/>
      <c r="Y4381" s="10"/>
      <c r="Z4381" s="10"/>
    </row>
    <row r="4382" spans="1:26" ht="12.75">
      <c r="A4382" s="10" t="str">
        <f ca="1">IFERROR(__xludf.DUMMYFUNCTION("""COMPUTED_VALUE"""),"Камелия Миткова Нушева")</f>
        <v>Камелия Миткова Нушева</v>
      </c>
      <c r="B4382" s="10" t="str">
        <f ca="1">IFERROR(__xludf.DUMMYFUNCTION("""COMPUTED_VALUE"""),"Статия в списания и поредици")</f>
        <v>Статия в списания и поредици</v>
      </c>
      <c r="C4382" s="10" t="str">
        <f ca="1">IFERROR(__xludf.DUMMYFUNCTION("""COMPUTED_VALUE"""),"Development of the informational assurance in the tourist sector within the context of the national tourist register")</f>
        <v>Development of the informational assurance in the tourist sector within the context of the national tourist register</v>
      </c>
      <c r="D4382" s="10">
        <f ca="1">IFERROR(__xludf.DUMMYFUNCTION("""COMPUTED_VALUE"""),2016)</f>
        <v>2016</v>
      </c>
      <c r="E4382" s="10" t="str">
        <f ca="1">IFERROR(__xludf.DUMMYFUNCTION("""COMPUTED_VALUE"""),"Knowledge – International Journal, 2016, 15.3., с. 168-172")</f>
        <v>Knowledge – International Journal, 2016, 15.3., с. 168-172</v>
      </c>
      <c r="F4382" s="10" t="str">
        <f ca="1">IFERROR(__xludf.DUMMYFUNCTION("""COMPUTED_VALUE"""),"International Journal with an ISSN number and Global Impact &amp; Quality Factor (GIF) 1.023 (for 2015 z.) (http://globalimpactfactor.com/knowledge-international-journal/) KNOWLEDGE – International Journal")</f>
        <v>International Journal with an ISSN number and Global Impact &amp; Quality Factor (GIF) 1.023 (for 2015 z.) (http://globalimpactfactor.com/knowledge-international-journal/) KNOWLEDGE – International Journal</v>
      </c>
      <c r="G4382" s="10" t="str">
        <f ca="1">IFERROR(__xludf.DUMMYFUNCTION("""COMPUTED_VALUE"""),"Боряна Хаджиева")</f>
        <v>Боряна Хаджиева</v>
      </c>
      <c r="H4382" s="10"/>
      <c r="I4382" s="10"/>
      <c r="J4382" s="10"/>
      <c r="K4382" s="10"/>
      <c r="L4382" s="10"/>
      <c r="M4382" s="10"/>
      <c r="N4382" s="10"/>
      <c r="O4382" s="10"/>
      <c r="P4382" s="10"/>
      <c r="Q4382" s="10"/>
      <c r="R4382" s="10"/>
      <c r="S4382" s="10"/>
      <c r="T4382" s="10"/>
      <c r="U4382" s="10"/>
      <c r="V4382" s="10"/>
      <c r="W4382" s="10"/>
      <c r="X4382" s="10"/>
      <c r="Y4382" s="10"/>
      <c r="Z4382" s="10"/>
    </row>
    <row r="4383" spans="1:26" ht="12.75">
      <c r="A4383" s="10" t="str">
        <f ca="1">IFERROR(__xludf.DUMMYFUNCTION("""COMPUTED_VALUE"""),"Камелия Миткова Нушева")</f>
        <v>Камелия Миткова Нушева</v>
      </c>
      <c r="B4383" s="10" t="str">
        <f ca="1">IFERROR(__xludf.DUMMYFUNCTION("""COMPUTED_VALUE"""),"Статия в списания и поредици")</f>
        <v>Статия в списания и поредици</v>
      </c>
      <c r="C4383" s="10" t="str">
        <f ca="1">IFERROR(__xludf.DUMMYFUNCTION("""COMPUTED_VALUE"""),"Американската библиотечна асоциация и ролята и за застъпничеството в библиотеките")</f>
        <v>Американската библиотечна асоциация и ролята и за застъпничеството в библиотеките</v>
      </c>
      <c r="D4383" s="10">
        <f ca="1">IFERROR(__xludf.DUMMYFUNCTION("""COMPUTED_VALUE"""),2016)</f>
        <v>2016</v>
      </c>
      <c r="E4383" s="10" t="str">
        <f ca="1">IFERROR(__xludf.DUMMYFUNCTION("""COMPUTED_VALUE"""),"София : За буквите – О писменехь, 2016, с. 181-189")</f>
        <v>София : За буквите – О писменехь, 2016, с. 181-189</v>
      </c>
      <c r="F438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3" s="10"/>
      <c r="H4383" s="10"/>
      <c r="I4383" s="10"/>
      <c r="J4383" s="10"/>
      <c r="K4383" s="10"/>
      <c r="L4383" s="10"/>
      <c r="M4383" s="10"/>
      <c r="N4383" s="10"/>
      <c r="O4383" s="10"/>
      <c r="P4383" s="10"/>
      <c r="Q4383" s="10"/>
      <c r="R4383" s="10"/>
      <c r="S4383" s="10"/>
      <c r="T4383" s="10"/>
      <c r="U4383" s="10"/>
      <c r="V4383" s="10"/>
      <c r="W4383" s="10"/>
      <c r="X4383" s="10"/>
      <c r="Y4383" s="10"/>
      <c r="Z4383" s="10"/>
    </row>
    <row r="4384" spans="1:26" ht="12.75">
      <c r="A4384" s="10" t="str">
        <f ca="1">IFERROR(__xludf.DUMMYFUNCTION("""COMPUTED_VALUE"""),"Камелия Миткова Нушева")</f>
        <v>Камелия Миткова Нушева</v>
      </c>
      <c r="B4384" s="10" t="str">
        <f ca="1">IFERROR(__xludf.DUMMYFUNCTION("""COMPUTED_VALUE"""),"Статия в списания и поредици")</f>
        <v>Статия в списания и поредици</v>
      </c>
      <c r="C4384" s="10" t="str">
        <f ca="1">IFERROR(__xludf.DUMMYFUNCTION("""COMPUTED_VALUE"""),"Стажантски и степендиантски програми като фактор за професионално развитие на студентите в България")</f>
        <v>Стажантски и степендиантски програми като фактор за професионално развитие на студентите в България</v>
      </c>
      <c r="D4384" s="10">
        <f ca="1">IFERROR(__xludf.DUMMYFUNCTION("""COMPUTED_VALUE"""),2016)</f>
        <v>2016</v>
      </c>
      <c r="E4384" s="10" t="str">
        <f ca="1">IFERROR(__xludf.DUMMYFUNCTION("""COMPUTED_VALUE"""),"Професионалната реализация – възможности и реалности : Сборник със студии и статии по проблеми, свързани с професионалната реализация на студентите. Състав. Силвия Станчева. София : За буквите – О писменехь, 2016, с 127-139.")</f>
        <v>Професионалната реализация – възможности и реалности : Сборник със студии и статии по проблеми, свързани с професионалната реализация на студентите. Състав. Силвия Станчева. София : За буквите – О писменехь, 2016, с 127-139.</v>
      </c>
      <c r="F438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4" s="10"/>
      <c r="H4384" s="10"/>
      <c r="I4384" s="10"/>
      <c r="J4384" s="10"/>
      <c r="K4384" s="10"/>
      <c r="L4384" s="10"/>
      <c r="M4384" s="10"/>
      <c r="N4384" s="10"/>
      <c r="O4384" s="10"/>
      <c r="P4384" s="10"/>
      <c r="Q4384" s="10"/>
      <c r="R4384" s="10"/>
      <c r="S4384" s="10"/>
      <c r="T4384" s="10"/>
      <c r="U4384" s="10"/>
      <c r="V4384" s="10"/>
      <c r="W4384" s="10"/>
      <c r="X4384" s="10"/>
      <c r="Y4384" s="10"/>
      <c r="Z4384" s="10"/>
    </row>
    <row r="4385" spans="1:26" ht="12.75">
      <c r="A4385" s="10" t="str">
        <f ca="1">IFERROR(__xludf.DUMMYFUNCTION("""COMPUTED_VALUE"""),"Камелия Миткова Нушева")</f>
        <v>Камелия Миткова Нушева</v>
      </c>
      <c r="B4385" s="10" t="str">
        <f ca="1">IFERROR(__xludf.DUMMYFUNCTION("""COMPUTED_VALUE"""),"Доклад от конференция")</f>
        <v>Доклад от конференция</v>
      </c>
      <c r="C4385" s="10" t="str">
        <f ca="1">IFERROR(__xludf.DUMMYFUNCTION("""COMPUTED_VALUE"""),"Българските културни институти в чужбина и ролята им на популяризатори на културата и изкуството")</f>
        <v>Българските културни институти в чужбина и ролята им на популяризатори на културата и изкуството</v>
      </c>
      <c r="D4385" s="10">
        <f ca="1">IFERROR(__xludf.DUMMYFUNCTION("""COMPUTED_VALUE"""),2016)</f>
        <v>2016</v>
      </c>
      <c r="E4385" s="10" t="str">
        <f ca="1">IFERROR(__xludf.DUMMYFUNCTION("""COMPUTED_VALUE"""),"Международна научна конференция „Традиционни и иновативни културни и арт събития в природна и градска среда“ по прооект „Разрабо")</f>
        <v>Международна научна конференция „Традиционни и иновативни културни и арт събития в природна и градска среда“ по прооект „Разрабо</v>
      </c>
      <c r="F438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5" s="10"/>
      <c r="H4385" s="10"/>
      <c r="I4385" s="10"/>
      <c r="J4385" s="10"/>
      <c r="K4385" s="10"/>
      <c r="L4385" s="10"/>
      <c r="M4385" s="10"/>
      <c r="N4385" s="10"/>
      <c r="O4385" s="10"/>
      <c r="P4385" s="10"/>
      <c r="Q4385" s="10"/>
      <c r="R4385" s="10"/>
      <c r="S4385" s="10"/>
      <c r="T4385" s="10"/>
      <c r="U4385" s="10"/>
      <c r="V4385" s="10"/>
      <c r="W4385" s="10"/>
      <c r="X4385" s="10"/>
      <c r="Y4385" s="10"/>
      <c r="Z4385" s="10"/>
    </row>
    <row r="4386" spans="1:26" ht="12.75">
      <c r="A4386" s="10" t="str">
        <f ca="1">IFERROR(__xludf.DUMMYFUNCTION("""COMPUTED_VALUE"""),"Камелия Миткова Нушева")</f>
        <v>Камелия Миткова Нушева</v>
      </c>
      <c r="B4386" s="10" t="str">
        <f ca="1">IFERROR(__xludf.DUMMYFUNCTION("""COMPUTED_VALUE"""),"Доклад от конференция")</f>
        <v>Доклад от конференция</v>
      </c>
      <c r="C4386" s="10" t="str">
        <f ca="1">IFERROR(__xludf.DUMMYFUNCTION("""COMPUTED_VALUE"""),"Развитие на информационното осигуряване в туристическия сектор в контекста на национален туристически регистър")</f>
        <v>Развитие на информационното осигуряване в туристическия сектор в контекста на национален туристически регистър</v>
      </c>
      <c r="D4386" s="10">
        <f ca="1">IFERROR(__xludf.DUMMYFUNCTION("""COMPUTED_VALUE"""),2016)</f>
        <v>2016</v>
      </c>
      <c r="E4386" s="10" t="str">
        <f ca="1">IFERROR(__xludf.DUMMYFUNCTION("""COMPUTED_VALUE"""),"Knowledge – International Journal, 2016, 15.3., с.168-172")</f>
        <v>Knowledge – International Journal, 2016, 15.3., с.168-172</v>
      </c>
      <c r="F4386" s="10" t="str">
        <f ca="1">IFERROR(__xludf.DUMMYFUNCTION("""COMPUTED_VALUE"""),"scopus")</f>
        <v>scopus</v>
      </c>
      <c r="G4386" s="10" t="str">
        <f ca="1">IFERROR(__xludf.DUMMYFUNCTION("""COMPUTED_VALUE"""),"Хаджиева, Боряна")</f>
        <v>Хаджиева, Боряна</v>
      </c>
      <c r="H4386" s="10"/>
      <c r="I4386" s="10"/>
      <c r="J4386" s="10"/>
      <c r="K4386" s="10"/>
      <c r="L4386" s="10"/>
      <c r="M4386" s="10"/>
      <c r="N4386" s="10"/>
      <c r="O4386" s="10"/>
      <c r="P4386" s="10"/>
      <c r="Q4386" s="10"/>
      <c r="R4386" s="10"/>
      <c r="S4386" s="10"/>
      <c r="T4386" s="10"/>
      <c r="U4386" s="10"/>
      <c r="V4386" s="10"/>
      <c r="W4386" s="10"/>
      <c r="X4386" s="10"/>
      <c r="Y4386" s="10"/>
      <c r="Z4386" s="10"/>
    </row>
    <row r="4387" spans="1:26" ht="12.75">
      <c r="A4387" s="10" t="str">
        <f ca="1">IFERROR(__xludf.DUMMYFUNCTION("""COMPUTED_VALUE"""),"Камелия Миткова Нушева")</f>
        <v>Камелия Миткова Нушева</v>
      </c>
      <c r="B4387" s="10" t="str">
        <f ca="1">IFERROR(__xludf.DUMMYFUNCTION("""COMPUTED_VALUE"""),"Доклад от конференция")</f>
        <v>Доклад от конференция</v>
      </c>
      <c r="C4387" s="10" t="str">
        <f ca="1">IFERROR(__xludf.DUMMYFUNCTION("""COMPUTED_VALUE"""),"Добри практики и иновативни събития в процесите на обучение по изкуствата и културата през целия живот")</f>
        <v>Добри практики и иновативни събития в процесите на обучение по изкуствата и културата през целия живот</v>
      </c>
      <c r="D4387" s="10">
        <f ca="1">IFERROR(__xludf.DUMMYFUNCTION("""COMPUTED_VALUE"""),2015)</f>
        <v>2015</v>
      </c>
      <c r="E4387" s="10" t="str">
        <f ca="1">IFERROR(__xludf.DUMMYFUNCTION("""COMPUTED_VALUE"""),"Сборник научни грудове на УниБИТ")</f>
        <v>Сборник научни грудове на УниБИТ</v>
      </c>
      <c r="F438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7" s="10" t="str">
        <f ca="1">IFERROR(__xludf.DUMMYFUNCTION("""COMPUTED_VALUE"""),"Евгени Велев")</f>
        <v>Евгени Велев</v>
      </c>
      <c r="H4387" s="10"/>
      <c r="I4387" s="10"/>
      <c r="J4387" s="10"/>
      <c r="K4387" s="10"/>
      <c r="L4387" s="10"/>
      <c r="M4387" s="10"/>
      <c r="N4387" s="10"/>
      <c r="O4387" s="10"/>
      <c r="P4387" s="10"/>
      <c r="Q4387" s="10"/>
      <c r="R4387" s="10"/>
      <c r="S4387" s="10"/>
      <c r="T4387" s="10"/>
      <c r="U4387" s="10"/>
      <c r="V4387" s="10"/>
      <c r="W4387" s="10"/>
      <c r="X4387" s="10"/>
      <c r="Y4387" s="10"/>
      <c r="Z4387" s="10"/>
    </row>
    <row r="4388" spans="1:26" ht="12.75">
      <c r="A4388" s="10" t="str">
        <f ca="1">IFERROR(__xludf.DUMMYFUNCTION("""COMPUTED_VALUE"""),"Камелия Миткова Нушева")</f>
        <v>Камелия Миткова Нушева</v>
      </c>
      <c r="B4388" s="10" t="str">
        <f ca="1">IFERROR(__xludf.DUMMYFUNCTION("""COMPUTED_VALUE"""),"Доклад от конференция")</f>
        <v>Доклад от конференция</v>
      </c>
      <c r="C4388" s="10" t="str">
        <f ca="1">IFERROR(__xludf.DUMMYFUNCTION("""COMPUTED_VALUE"""),"The European Digital Library – Factor for Long-life Learning in Arts and Cultural Studies.")</f>
        <v>The European Digital Library – Factor for Long-life Learning in Arts and Cultural Studies.</v>
      </c>
      <c r="D4388" s="10">
        <f ca="1">IFERROR(__xludf.DUMMYFUNCTION("""COMPUTED_VALUE"""),2015)</f>
        <v>2015</v>
      </c>
      <c r="E4388" s="10" t="str">
        <f ca="1">IFERROR(__xludf.DUMMYFUNCTION("""COMPUTED_VALUE"""),"QQML 2015. Book of Abstr. Qualitative and Quantitative Methods in Libraries. 7th Qualitative and Quantitative Intern. Conf., 26-")</f>
        <v>QQML 2015. Book of Abstr. Qualitative and Quantitative Methods in Libraries. 7th Qualitative and Quantitative Intern. Conf., 26-</v>
      </c>
      <c r="F4388" s="28" t="str">
        <f ca="1">IFERROR(__xludf.DUMMYFUNCTION("""COMPUTED_VALUE"""),"https://scholar.google.bg/")</f>
        <v>https://scholar.google.bg/</v>
      </c>
      <c r="G4388" s="10" t="str">
        <f ca="1">IFERROR(__xludf.DUMMYFUNCTION("""COMPUTED_VALUE"""),"Yankova,I, E Velev, , S Spasova")</f>
        <v>Yankova,I, E Velev, , S Spasova</v>
      </c>
      <c r="H4388" s="10"/>
      <c r="I4388" s="10"/>
      <c r="J4388" s="10"/>
      <c r="K4388" s="10"/>
      <c r="L4388" s="10"/>
      <c r="M4388" s="10"/>
      <c r="N4388" s="10"/>
      <c r="O4388" s="10"/>
      <c r="P4388" s="10"/>
      <c r="Q4388" s="10"/>
      <c r="R4388" s="10"/>
      <c r="S4388" s="10"/>
      <c r="T4388" s="10"/>
      <c r="U4388" s="10"/>
      <c r="V4388" s="10"/>
      <c r="W4388" s="10"/>
      <c r="X4388" s="10"/>
      <c r="Y4388" s="10"/>
      <c r="Z4388" s="10"/>
    </row>
    <row r="4389" spans="1:26" ht="12.75">
      <c r="A4389" s="10" t="str">
        <f ca="1">IFERROR(__xludf.DUMMYFUNCTION("""COMPUTED_VALUE"""),"Камелия Миткова Нушева")</f>
        <v>Камелия Миткова Нушева</v>
      </c>
      <c r="B4389" s="10" t="str">
        <f ca="1">IFERROR(__xludf.DUMMYFUNCTION("""COMPUTED_VALUE"""),"Доклад от конференция")</f>
        <v>Доклад от конференция</v>
      </c>
      <c r="C4389" s="10" t="str">
        <f ca="1">IFERROR(__xludf.DUMMYFUNCTION("""COMPUTED_VALUE"""),"Creation and Implementation of Interactive Modell for Training of Academic Authors How to Publish Successfully Research Publications.")</f>
        <v>Creation and Implementation of Interactive Modell for Training of Academic Authors How to Publish Successfully Research Publications.</v>
      </c>
      <c r="D4389" s="10">
        <f ca="1">IFERROR(__xludf.DUMMYFUNCTION("""COMPUTED_VALUE"""),2015)</f>
        <v>2015</v>
      </c>
      <c r="E4389" s="10" t="str">
        <f ca="1">IFERROR(__xludf.DUMMYFUNCTION("""COMPUTED_VALUE"""),"The Third European Conference on Information Literacy (ECIL), Oct. 19-22, 2015, Tallinn, Estonia : Abstracts.")</f>
        <v>The Third European Conference on Information Literacy (ECIL), Oct. 19-22, 2015, Tallinn, Estonia : Abstracts.</v>
      </c>
      <c r="F438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89" s="10"/>
      <c r="H4389" s="10"/>
      <c r="I4389" s="10"/>
      <c r="J4389" s="10"/>
      <c r="K4389" s="10"/>
      <c r="L4389" s="10"/>
      <c r="M4389" s="10"/>
      <c r="N4389" s="10"/>
      <c r="O4389" s="10"/>
      <c r="P4389" s="10"/>
      <c r="Q4389" s="10"/>
      <c r="R4389" s="10"/>
      <c r="S4389" s="10"/>
      <c r="T4389" s="10"/>
      <c r="U4389" s="10"/>
      <c r="V4389" s="10"/>
      <c r="W4389" s="10"/>
      <c r="X4389" s="10"/>
      <c r="Y4389" s="10"/>
      <c r="Z4389" s="10"/>
    </row>
    <row r="4390" spans="1:26" ht="12.75">
      <c r="A4390" s="10" t="str">
        <f ca="1">IFERROR(__xludf.DUMMYFUNCTION("""COMPUTED_VALUE"""),"Камелия Миткова Нушева")</f>
        <v>Камелия Миткова Нушева</v>
      </c>
      <c r="B4390" s="10" t="str">
        <f ca="1">IFERROR(__xludf.DUMMYFUNCTION("""COMPUTED_VALUE"""),"Доклад от конференция")</f>
        <v>Доклад от конференция</v>
      </c>
      <c r="C4390" s="10" t="str">
        <f ca="1">IFERROR(__xludf.DUMMYFUNCTION("""COMPUTED_VALUE"""),"Основни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f>
        <v>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v>
      </c>
      <c r="D4390" s="10">
        <f ca="1">IFERROR(__xludf.DUMMYFUNCTION("""COMPUTED_VALUE"""),2015)</f>
        <v>2015</v>
      </c>
      <c r="E4390" s="10" t="str">
        <f ca="1">IFERROR(__xludf.DUMMYFUNCTION("""COMPUTED_VALUE"""),"Нови информационни технологии в образователния процес, 2015, с. 60-66.")</f>
        <v>Нови информационни технологии в образователния процес, 2015, с. 60-66.</v>
      </c>
      <c r="F439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0" s="10" t="str">
        <f ca="1">IFERROR(__xludf.DUMMYFUNCTION("""COMPUTED_VALUE"""),"Станчева, Силвия, Румелина Василева")</f>
        <v>Станчева, Силвия, Румелина Василева</v>
      </c>
      <c r="H4390" s="10"/>
      <c r="I4390" s="10"/>
      <c r="J4390" s="10"/>
      <c r="K4390" s="10"/>
      <c r="L4390" s="10"/>
      <c r="M4390" s="10"/>
      <c r="N4390" s="10"/>
      <c r="O4390" s="10"/>
      <c r="P4390" s="10"/>
      <c r="Q4390" s="10"/>
      <c r="R4390" s="10"/>
      <c r="S4390" s="10"/>
      <c r="T4390" s="10"/>
      <c r="U4390" s="10"/>
      <c r="V4390" s="10"/>
      <c r="W4390" s="10"/>
      <c r="X4390" s="10"/>
      <c r="Y4390" s="10"/>
      <c r="Z4390" s="10"/>
    </row>
    <row r="4391" spans="1:26" ht="12.75">
      <c r="A4391" s="10" t="str">
        <f ca="1">IFERROR(__xludf.DUMMYFUNCTION("""COMPUTED_VALUE"""),"Камелия Миткова Нушева")</f>
        <v>Камелия Миткова Нушева</v>
      </c>
      <c r="B4391" s="10" t="str">
        <f ca="1">IFERROR(__xludf.DUMMYFUNCTION("""COMPUTED_VALUE"""),"Статия в списания и поредици")</f>
        <v>Статия в списания и поредици</v>
      </c>
      <c r="C4391" s="10" t="str">
        <f ca="1">IFERROR(__xludf.DUMMYFUNCTION("""COMPUTED_VALUE"""),"Регистрацията като средство за добрата организация и опазване на библиотечния фонда")</f>
        <v>Регистрацията като средство за добрата организация и опазване на библиотечния фонда</v>
      </c>
      <c r="D4391" s="10">
        <f ca="1">IFERROR(__xludf.DUMMYFUNCTION("""COMPUTED_VALUE"""),2014)</f>
        <v>2014</v>
      </c>
      <c r="E4391" s="10" t="str">
        <f ca="1">IFERROR(__xludf.DUMMYFUNCTION("""COMPUTED_VALUE"""),"Младите в науката – инвестиция в бъдещето.Сборник с доклади от международна научна конференция София – Пловдив, 18-20.10.2013 г")</f>
        <v>Младите в науката – инвестиция в бъдещето.Сборник с доклади от международна научна конференция София – Пловдив, 18-20.10.2013 г</v>
      </c>
      <c r="F439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1" s="10"/>
      <c r="H4391" s="10"/>
      <c r="I4391" s="10"/>
      <c r="J4391" s="10"/>
      <c r="K4391" s="10"/>
      <c r="L4391" s="10"/>
      <c r="M4391" s="10"/>
      <c r="N4391" s="10"/>
      <c r="O4391" s="10"/>
      <c r="P4391" s="10"/>
      <c r="Q4391" s="10"/>
      <c r="R4391" s="10"/>
      <c r="S4391" s="10"/>
      <c r="T4391" s="10"/>
      <c r="U4391" s="10"/>
      <c r="V4391" s="10"/>
      <c r="W4391" s="10"/>
      <c r="X4391" s="10"/>
      <c r="Y4391" s="10"/>
      <c r="Z4391" s="10"/>
    </row>
    <row r="4392" spans="1:26" ht="12.75">
      <c r="A4392" s="10" t="str">
        <f ca="1">IFERROR(__xludf.DUMMYFUNCTION("""COMPUTED_VALUE"""),"Камелия Миткова Нушева")</f>
        <v>Камелия Миткова Нушева</v>
      </c>
      <c r="B4392" s="10" t="str">
        <f ca="1">IFERROR(__xludf.DUMMYFUNCTION("""COMPUTED_VALUE"""),"Доклад от конференция")</f>
        <v>Доклад от конференция</v>
      </c>
      <c r="C4392" s="10" t="str">
        <f ca="1">IFERROR(__xludf.DUMMYFUNCTION("""COMPUTED_VALUE"""),"Опитът на Бодлеанската библиотека в Оксфорд в изграждането на авторскоправната компетентност на библиотекари и потребители")</f>
        <v>Опитът на Бодлеанската библиотека в Оксфорд в изграждането на авторскоправната компетентност на библиотекари и потребители</v>
      </c>
      <c r="D4392" s="10">
        <f ca="1">IFERROR(__xludf.DUMMYFUNCTION("""COMPUTED_VALUE"""),2013)</f>
        <v>2013</v>
      </c>
      <c r="E4392" s="10" t="str">
        <f ca="1">IFERROR(__xludf.DUMMYFUNCTION("""COMPUTED_VALUE"""),"Дигиталното настояще и бъдеще: Икономически, културни, образователни, правни и технологични въздействия")</f>
        <v>Дигиталното настояще и бъдеще: Икономически, културни, образователни, правни и технологични въздействия</v>
      </c>
      <c r="F439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2" s="10"/>
      <c r="H4392" s="10"/>
      <c r="I4392" s="10"/>
      <c r="J4392" s="10"/>
      <c r="K4392" s="10"/>
      <c r="L4392" s="10"/>
      <c r="M4392" s="10"/>
      <c r="N4392" s="10"/>
      <c r="O4392" s="10"/>
      <c r="P4392" s="10"/>
      <c r="Q4392" s="10"/>
      <c r="R4392" s="10"/>
      <c r="S4392" s="10"/>
      <c r="T4392" s="10"/>
      <c r="U4392" s="10"/>
      <c r="V4392" s="10"/>
      <c r="W4392" s="10"/>
      <c r="X4392" s="10"/>
      <c r="Y4392" s="10"/>
      <c r="Z4392" s="10"/>
    </row>
    <row r="4393" spans="1:26" ht="12.75">
      <c r="A4393" s="10" t="str">
        <f ca="1">IFERROR(__xludf.DUMMYFUNCTION("""COMPUTED_VALUE"""),"Камелия Миткова Нушева")</f>
        <v>Камелия Миткова Нушева</v>
      </c>
      <c r="B4393" s="10" t="str">
        <f ca="1">IFERROR(__xludf.DUMMYFUNCTION("""COMPUTED_VALUE"""),"Статия в списания и поредици")</f>
        <v>Статия в списания и поредици</v>
      </c>
      <c r="C4393" s="10" t="str">
        <f ca="1">IFERROR(__xludf.DUMMYFUNCTION("""COMPUTED_VALUE"""),"Дигитализацията като начин на опазване на библиотечните фондове")</f>
        <v>Дигитализацията като начин на опазване на библиотечните фондове</v>
      </c>
      <c r="D4393" s="10">
        <f ca="1">IFERROR(__xludf.DUMMYFUNCTION("""COMPUTED_VALUE"""),2012)</f>
        <v>2012</v>
      </c>
      <c r="E4393" s="10" t="str">
        <f ca="1">IFERROR(__xludf.DUMMYFUNCTION("""COMPUTED_VALUE"""),"Книгата – нашето по-смислено настояще. Сборник с доклади от форума „Дни на книгата и авторското право в УниБИТ“ 2/2012 г. Състав. Любомира Парижкова. София, „За буквите – О писменехь”, София, 2012, с. 214-221.")</f>
        <v>Книгата – нашето по-смислено настояще. Сборник с доклади от форума „Дни на книгата и авторското право в УниБИТ“ 2/2012 г. Състав. Любомира Парижкова. София, „За буквите – О писменехь”, София, 2012, с. 214-221.</v>
      </c>
      <c r="F439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3" s="10"/>
      <c r="H4393" s="10"/>
      <c r="I4393" s="10"/>
      <c r="J4393" s="10"/>
      <c r="K4393" s="10"/>
      <c r="L4393" s="10"/>
      <c r="M4393" s="10"/>
      <c r="N4393" s="10"/>
      <c r="O4393" s="10"/>
      <c r="P4393" s="10"/>
      <c r="Q4393" s="10"/>
      <c r="R4393" s="10"/>
      <c r="S4393" s="10"/>
      <c r="T4393" s="10"/>
      <c r="U4393" s="10"/>
      <c r="V4393" s="10"/>
      <c r="W4393" s="10"/>
      <c r="X4393" s="10"/>
      <c r="Y4393" s="10"/>
      <c r="Z4393" s="10"/>
    </row>
    <row r="4394" spans="1:26" ht="12.75">
      <c r="A4394" s="10" t="str">
        <f ca="1">IFERROR(__xludf.DUMMYFUNCTION("""COMPUTED_VALUE"""),"Камелия Миткова Нушева")</f>
        <v>Камелия Миткова Нушева</v>
      </c>
      <c r="B4394" s="10" t="str">
        <f ca="1">IFERROR(__xludf.DUMMYFUNCTION("""COMPUTED_VALUE"""),"Доклад от конференция")</f>
        <v>Доклад от конференция</v>
      </c>
      <c r="C4394" s="10" t="str">
        <f ca="1">IFERROR(__xludf.DUMMYFUNCTION("""COMPUTED_VALUE"""),"Маркетинговият подход при моделиране на фонда")</f>
        <v>Маркетинговият подход при моделиране на фонда</v>
      </c>
      <c r="D4394" s="10">
        <f ca="1">IFERROR(__xludf.DUMMYFUNCTION("""COMPUTED_VALUE"""),2012)</f>
        <v>2012</v>
      </c>
      <c r="E4394" s="10" t="str">
        <f ca="1">IFERROR(__xludf.DUMMYFUNCTION("""COMPUTED_VALUE"""),"Библиотеки, четене, комуникации. ХІ нац. науч. конф. с междунар. уч., посветена на 20-год. на кат. “Библиотекознание и масови к")</f>
        <v>Библиотеки, четене, комуникации. ХІ нац. науч. конф. с междунар. уч., посветена на 20-год. на кат. “Библиотекознание и масови к</v>
      </c>
      <c r="F439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4" s="10"/>
      <c r="H4394" s="10"/>
      <c r="I4394" s="10"/>
      <c r="J4394" s="10"/>
      <c r="K4394" s="10"/>
      <c r="L4394" s="10"/>
      <c r="M4394" s="10"/>
      <c r="N4394" s="10"/>
      <c r="O4394" s="10"/>
      <c r="P4394" s="10"/>
      <c r="Q4394" s="10"/>
      <c r="R4394" s="10"/>
      <c r="S4394" s="10"/>
      <c r="T4394" s="10"/>
      <c r="U4394" s="10"/>
      <c r="V4394" s="10"/>
      <c r="W4394" s="10"/>
      <c r="X4394" s="10"/>
      <c r="Y4394" s="10"/>
      <c r="Z4394" s="10"/>
    </row>
    <row r="4395" spans="1:26" ht="12.75">
      <c r="A4395" s="10" t="str">
        <f ca="1">IFERROR(__xludf.DUMMYFUNCTION("""COMPUTED_VALUE"""),"Камелия Миткова Нушева")</f>
        <v>Камелия Миткова Нушева</v>
      </c>
      <c r="B4395" s="10" t="str">
        <f ca="1">IFERROR(__xludf.DUMMYFUNCTION("""COMPUTED_VALUE"""),"Статия в списания и поредици")</f>
        <v>Статия в списания и поредици</v>
      </c>
      <c r="C4395" s="10" t="str">
        <f ca="1">IFERROR(__xludf.DUMMYFUNCTION("""COMPUTED_VALUE"""),"Информационна грамотност и търсене в електранните ресурси на библиотеките")</f>
        <v>Информационна грамотност и търсене в електранните ресурси на библиотеките</v>
      </c>
      <c r="D4395" s="10">
        <f ca="1">IFERROR(__xludf.DUMMYFUNCTION("""COMPUTED_VALUE"""),2012)</f>
        <v>2012</v>
      </c>
      <c r="E4395" s="10" t="str">
        <f ca="1">IFERROR(__xludf.DUMMYFUNCTION("""COMPUTED_VALUE"""),"Информационна грамотност – модели и добри практики. Сб. науч. докл. и съобщ. от науч. конф. с междунар. уч., 18-19 октомври 2012 г., Университетска библиотека на Икономическия университет, Варна. София, „За буквите – О писменехь”, София, 2012, с.286-299.")</f>
        <v>Информационна грамотност – модели и добри практики. Сб. науч. докл. и съобщ. от науч. конф. с междунар. уч., 18-19 октомври 2012 г., Университетска библиотека на Икономическия университет, Варна. София, „За буквите – О писменехь”, София, 2012, с.286-299.</v>
      </c>
      <c r="F439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5" s="10"/>
      <c r="H4395" s="10"/>
      <c r="I4395" s="10"/>
      <c r="J4395" s="10"/>
      <c r="K4395" s="10"/>
      <c r="L4395" s="10"/>
      <c r="M4395" s="10"/>
      <c r="N4395" s="10"/>
      <c r="O4395" s="10"/>
      <c r="P4395" s="10"/>
      <c r="Q4395" s="10"/>
      <c r="R4395" s="10"/>
      <c r="S4395" s="10"/>
      <c r="T4395" s="10"/>
      <c r="U4395" s="10"/>
      <c r="V4395" s="10"/>
      <c r="W4395" s="10"/>
      <c r="X4395" s="10"/>
      <c r="Y4395" s="10"/>
      <c r="Z4395" s="10"/>
    </row>
    <row r="4396" spans="1:26" ht="12.75">
      <c r="A4396" s="10" t="str">
        <f ca="1">IFERROR(__xludf.DUMMYFUNCTION("""COMPUTED_VALUE"""),"Камелия Миткова Нушева")</f>
        <v>Камелия Миткова Нушева</v>
      </c>
      <c r="B4396" s="10" t="str">
        <f ca="1">IFERROR(__xludf.DUMMYFUNCTION("""COMPUTED_VALUE"""),"Статия в списания и поредици")</f>
        <v>Статия в списания и поредици</v>
      </c>
      <c r="C4396" s="10" t="str">
        <f ca="1">IFERROR(__xludf.DUMMYFUNCTION("""COMPUTED_VALUE"""),"Предизвикателства пред съвременното комплектуване.")</f>
        <v>Предизвикателства пред съвременното комплектуване.</v>
      </c>
      <c r="D4396" s="10">
        <f ca="1">IFERROR(__xludf.DUMMYFUNCTION("""COMPUTED_VALUE"""),2011)</f>
        <v>2011</v>
      </c>
      <c r="E4396" s="10" t="str">
        <f ca="1">IFERROR(__xludf.DUMMYFUNCTION("""COMPUTED_VALUE"""),"Библиотечният и културен мениджмънт и информационно-комуникационните технологии. Сб. науч. докл. и съобщ. от науч. конф. с междунар. уч., 3-4 септември 2011 г., БСУ, Бургас. Състав. И. Янкова, Т. Тодорова. София, „За буквите – О писменехь”, София, 2011, с"&amp;". 255-263.")</f>
        <v>Библиотечният и културен мениджмънт и информационно-комуникационните технологии. Сб. науч. докл. и съобщ. от науч. конф. с междунар. уч., 3-4 септември 2011 г., БСУ, Бургас. Състав. И. Янкова, Т. Тодорова. София, „За буквите – О писменехь”, София, 2011, с. 255-263.</v>
      </c>
      <c r="F439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4396" s="10"/>
      <c r="H4396" s="10"/>
      <c r="I4396" s="10"/>
      <c r="J4396" s="10"/>
      <c r="K4396" s="10"/>
      <c r="L4396" s="10"/>
      <c r="M4396" s="10"/>
      <c r="N4396" s="10"/>
      <c r="O4396" s="10"/>
      <c r="P4396" s="10"/>
      <c r="Q4396" s="10"/>
      <c r="R4396" s="10"/>
      <c r="S4396" s="10"/>
      <c r="T4396" s="10"/>
      <c r="U4396" s="10"/>
      <c r="V4396" s="10"/>
      <c r="W4396" s="10"/>
      <c r="X4396" s="10"/>
      <c r="Y4396" s="10"/>
      <c r="Z4396" s="10"/>
    </row>
    <row r="4397" spans="1:26" ht="12.75">
      <c r="A4397" s="10" t="str">
        <f ca="1">IFERROR(__xludf.DUMMYFUNCTION("""COMPUTED_VALUE"""),"Катя Христова Рашева-Йорданова")</f>
        <v>Катя Христова Рашева-Йорданова</v>
      </c>
      <c r="B4397" s="10" t="str">
        <f ca="1">IFERROR(__xludf.DUMMYFUNCTION("""COMPUTED_VALUE"""),"Глава от колективна монография")</f>
        <v>Глава от колективна монография</v>
      </c>
      <c r="C4397" s="10" t="str">
        <f ca="1">IFERROR(__xludf.DUMMYFUNCTION("""COMPUTED_VALUE"""),"Data Science is Here: Are We Ready to Benefit From the Opportunities It Provides?")</f>
        <v>Data Science is Here: Are We Ready to Benefit From the Opportunities It Provides?</v>
      </c>
      <c r="D4397" s="10">
        <f ca="1">IFERROR(__xludf.DUMMYFUNCTION("""COMPUTED_VALUE"""),2020)</f>
        <v>2020</v>
      </c>
      <c r="E4397" s="10" t="str">
        <f ca="1">IFERROR(__xludf.DUMMYFUNCTION("""COMPUTED_VALUE"""),"Examining the Roles of Teachers and Students in Mastering New Technologies, Pages: 434, ISBN13: 9781799821045, ISBN10: 1799821048, EISBN13: 9781799821069, DOI: 10.4018/978-1-7998-2104-5")</f>
        <v>Examining the Roles of Teachers and Students in Mastering New Technologies, Pages: 434, ISBN13: 9781799821045, ISBN10: 1799821048, EISBN13: 9781799821069, DOI: 10.4018/978-1-7998-2104-5</v>
      </c>
      <c r="F4397" s="10"/>
      <c r="G4397" s="10" t="str">
        <f ca="1">IFERROR(__xludf.DUMMYFUNCTION("""COMPUTED_VALUE"""),"Dimitar Grozdanov Christozov, Katia Rasheva-Yordanova, Stefka Toleva-Stoimenova")</f>
        <v>Dimitar Grozdanov Christozov, Katia Rasheva-Yordanova, Stefka Toleva-Stoimenova</v>
      </c>
      <c r="H4397" s="10"/>
      <c r="I4397" s="10"/>
      <c r="J4397" s="10"/>
      <c r="K4397" s="10"/>
      <c r="L4397" s="10"/>
      <c r="M4397" s="10"/>
      <c r="N4397" s="10"/>
      <c r="O4397" s="10"/>
      <c r="P4397" s="10"/>
      <c r="Q4397" s="10"/>
      <c r="R4397" s="10"/>
      <c r="S4397" s="10"/>
      <c r="T4397" s="10"/>
      <c r="U4397" s="10"/>
      <c r="V4397" s="10"/>
      <c r="W4397" s="10"/>
      <c r="X4397" s="10"/>
      <c r="Y4397" s="10"/>
      <c r="Z4397" s="10"/>
    </row>
    <row r="4398" spans="1:26" ht="12.75">
      <c r="A4398" s="10" t="str">
        <f ca="1">IFERROR(__xludf.DUMMYFUNCTION("""COMPUTED_VALUE"""),"Катя Христова Рашева-Йорданова")</f>
        <v>Катя Христова Рашева-Йорданова</v>
      </c>
      <c r="B4398" s="10" t="str">
        <f ca="1">IFERROR(__xludf.DUMMYFUNCTION("""COMPUTED_VALUE"""),"Доклад от конференция")</f>
        <v>Доклад от конференция</v>
      </c>
      <c r="C4398" s="10" t="str">
        <f ca="1">IFERROR(__xludf.DUMMYFUNCTION("""COMPUTED_VALUE"""),"ASSESSING THE ANALYTICAL SKILLS OF THE POTENTIAL STUDENTS IN DATA SCIENCE PROGRAM: RESULTS FROM EMPIRICAL STUDY")</f>
        <v>ASSESSING THE ANALYTICAL SKILLS OF THE POTENTIAL STUDENTS IN DATA SCIENCE PROGRAM: RESULTS FROM EMPIRICAL STUDY</v>
      </c>
      <c r="D4398" s="10">
        <f ca="1">IFERROR(__xludf.DUMMYFUNCTION("""COMPUTED_VALUE"""),2020)</f>
        <v>2020</v>
      </c>
      <c r="E4398" s="10" t="str">
        <f ca="1">IFERROR(__xludf.DUMMYFUNCTION("""COMPUTED_VALUE"""),"INTED2020 Proceedings, 14th International Technology, Education and Development Conference, 2-4 March, 2020, Valencia, Spain. ISBN: 978-84-09-17939-8; ISSN: 2340-1079; doi: 10.21125/inted.2020.1917")</f>
        <v>INTED2020 Proceedings, 14th International Technology, Education and Development Conference, 2-4 March, 2020, Valencia, Spain. ISBN: 978-84-09-17939-8; ISSN: 2340-1079; doi: 10.21125/inted.2020.1917</v>
      </c>
      <c r="F4398" s="10"/>
      <c r="G4398" s="10" t="str">
        <f ca="1">IFERROR(__xludf.DUMMYFUNCTION("""COMPUTED_VALUE"""),"Toleva-Stoimenova Stefka, Garvanova Magdalena, Rasheva-Yordanova Katia")</f>
        <v>Toleva-Stoimenova Stefka, Garvanova Magdalena, Rasheva-Yordanova Katia</v>
      </c>
      <c r="H4398" s="10"/>
      <c r="I4398" s="10"/>
      <c r="J4398" s="10"/>
      <c r="K4398" s="10"/>
      <c r="L4398" s="10"/>
      <c r="M4398" s="10"/>
      <c r="N4398" s="10"/>
      <c r="O4398" s="10"/>
      <c r="P4398" s="10"/>
      <c r="Q4398" s="10"/>
      <c r="R4398" s="10"/>
      <c r="S4398" s="10"/>
      <c r="T4398" s="10"/>
      <c r="U4398" s="10"/>
      <c r="V4398" s="10"/>
      <c r="W4398" s="10"/>
      <c r="X4398" s="10"/>
      <c r="Y4398" s="10"/>
      <c r="Z4398" s="10"/>
    </row>
    <row r="4399" spans="1:26" ht="12.75">
      <c r="A4399" s="10" t="str">
        <f ca="1">IFERROR(__xludf.DUMMYFUNCTION("""COMPUTED_VALUE"""),"Катя Христова Рашева-Йорданова")</f>
        <v>Катя Христова Рашева-Йорданова</v>
      </c>
      <c r="B4399" s="10" t="str">
        <f ca="1">IFERROR(__xludf.DUMMYFUNCTION("""COMPUTED_VALUE"""),"Доклад от конференция")</f>
        <v>Доклад от конференция</v>
      </c>
      <c r="C4399" s="10" t="str">
        <f ca="1">IFERROR(__xludf.DUMMYFUNCTION("""COMPUTED_VALUE"""),"CONCEPTUAL FRAMEWORK OF DIGITAL VISUAL LITERACY")</f>
        <v>CONCEPTUAL FRAMEWORK OF DIGITAL VISUAL LITERACY</v>
      </c>
      <c r="D4399" s="10">
        <f ca="1">IFERROR(__xludf.DUMMYFUNCTION("""COMPUTED_VALUE"""),2019)</f>
        <v>2019</v>
      </c>
      <c r="E4399" s="10" t="str">
        <f ca="1">IFERROR(__xludf.DUMMYFUNCTION("""COMPUTED_VALUE"""),"K. Rasheva-Yordanova, , K. Planska-Simeonova. ICERI2019 Proceedings.pp: 8035-8042, 2019. ISBN: 978-84-09-14755-7, ISSN: 2340-1095, doi: 10.21125/iceri.2019.2689. 12th annual International Conference of Education, Research and Innovation, 11-13 November, 2"&amp;"019, Seville, Spain, ISBN: 978-84-09-14755-7")</f>
        <v>K. Rasheva-Yordanova, , K. Planska-Simeonova. ICERI2019 Proceedings.pp: 8035-8042, 2019. ISBN: 978-84-09-14755-7, ISSN: 2340-1095, doi: 10.21125/iceri.2019.2689. 12th annual International Conference of Education, Research and Innovation, 11-13 November, 2019, Seville, Spain, ISBN: 978-84-09-14755-7</v>
      </c>
      <c r="F4399" s="10"/>
      <c r="G4399" s="10" t="str">
        <f ca="1">IFERROR(__xludf.DUMMYFUNCTION("""COMPUTED_VALUE"""),"K. Rasheva-Yordanova, , K. Planska-Simeonova")</f>
        <v>K. Rasheva-Yordanova, , K. Planska-Simeonova</v>
      </c>
      <c r="H4399" s="10"/>
      <c r="I4399" s="10"/>
      <c r="J4399" s="10"/>
      <c r="K4399" s="10"/>
      <c r="L4399" s="10"/>
      <c r="M4399" s="10"/>
      <c r="N4399" s="10"/>
      <c r="O4399" s="10"/>
      <c r="P4399" s="10"/>
      <c r="Q4399" s="10"/>
      <c r="R4399" s="10"/>
      <c r="S4399" s="10"/>
      <c r="T4399" s="10"/>
      <c r="U4399" s="10"/>
      <c r="V4399" s="10"/>
      <c r="W4399" s="10"/>
      <c r="X4399" s="10"/>
      <c r="Y4399" s="10"/>
      <c r="Z4399" s="10"/>
    </row>
    <row r="4400" spans="1:26" ht="12.75">
      <c r="A4400" s="10" t="str">
        <f ca="1">IFERROR(__xludf.DUMMYFUNCTION("""COMPUTED_VALUE"""),"Катя Христова Рашева-Йорданова")</f>
        <v>Катя Христова Рашева-Йорданова</v>
      </c>
      <c r="B4400" s="10" t="str">
        <f ca="1">IFERROR(__xludf.DUMMYFUNCTION("""COMPUTED_VALUE"""),"Доклад от конференция")</f>
        <v>Доклад от конференция</v>
      </c>
      <c r="C4400" s="10" t="str">
        <f ca="1">IFERROR(__xludf.DUMMYFUNCTION("""COMPUTED_VALUE"""),"INTRODUCTION OF EMERGING TECHNOLOGY INTO HIGHER EDUCATION CURRICULUM: THE CASE OF BLOCKCHAIN TECHNOLOGY AS PART OF DATA SCIENCE MASTER PROGRAM")</f>
        <v>INTRODUCTION OF EMERGING TECHNOLOGY INTO HIGHER EDUCATION CURRICULUM: THE CASE OF BLOCKCHAIN TECHNOLOGY AS PART OF DATA SCIENCE MASTER PROGRAM</v>
      </c>
      <c r="D4400" s="10">
        <f ca="1">IFERROR(__xludf.DUMMYFUNCTION("""COMPUTED_VALUE"""),2019)</f>
        <v>2019</v>
      </c>
      <c r="E4400" s="10" t="str">
        <f ca="1">IFERROR(__xludf.DUMMYFUNCTION("""COMPUTED_VALUE"""),"Proceeding of 9th International Conference The Future of Education, 2019. pp. 186-190, ISBN 978-88-85813-45-8")</f>
        <v>Proceeding of 9th International Conference The Future of Education, 2019. pp. 186-190, ISBN 978-88-85813-45-8</v>
      </c>
      <c r="F4400" s="10"/>
      <c r="G4400" s="10" t="str">
        <f ca="1">IFERROR(__xludf.DUMMYFUNCTION("""COMPUTED_VALUE"""),"Stefka Toleva-Stoimenova, Katia Rasheva-Yordanova, Dimitar Christozov")</f>
        <v>Stefka Toleva-Stoimenova, Katia Rasheva-Yordanova, Dimitar Christozov</v>
      </c>
      <c r="H4400" s="10"/>
      <c r="I4400" s="10"/>
      <c r="J4400" s="10"/>
      <c r="K4400" s="10"/>
      <c r="L4400" s="10"/>
      <c r="M4400" s="10"/>
      <c r="N4400" s="10"/>
      <c r="O4400" s="10"/>
      <c r="P4400" s="10"/>
      <c r="Q4400" s="10"/>
      <c r="R4400" s="10"/>
      <c r="S4400" s="10"/>
      <c r="T4400" s="10"/>
      <c r="U4400" s="10"/>
      <c r="V4400" s="10"/>
      <c r="W4400" s="10"/>
      <c r="X4400" s="10"/>
      <c r="Y4400" s="10"/>
      <c r="Z4400" s="10"/>
    </row>
    <row r="4401" spans="1:26" ht="12.75">
      <c r="A4401" s="10" t="str">
        <f ca="1">IFERROR(__xludf.DUMMYFUNCTION("""COMPUTED_VALUE"""),"Катя Христова Рашева-Йорданова")</f>
        <v>Катя Христова Рашева-Йорданова</v>
      </c>
      <c r="B4401" s="10" t="str">
        <f ca="1">IFERROR(__xludf.DUMMYFUNCTION("""COMPUTED_VALUE"""),"Книга")</f>
        <v>Книга</v>
      </c>
      <c r="C4401" s="10" t="str">
        <f ca="1">IFERROR(__xludf.DUMMYFUNCTION("""COMPUTED_VALUE"""),"ТЕХНОЛОГИИ ЗА USER INTERFACE, Втора част, jQueryUI,")</f>
        <v>ТЕХНОЛОГИИ ЗА USER INTERFACE, Втора част, jQueryUI,</v>
      </c>
      <c r="D4401" s="10">
        <f ca="1">IFERROR(__xludf.DUMMYFUNCTION("""COMPUTED_VALUE"""),2019)</f>
        <v>2019</v>
      </c>
      <c r="E4401" s="10" t="str">
        <f ca="1">IFERROR(__xludf.DUMMYFUNCTION("""COMPUTED_VALUE"""),"„Авангард Прима“, София 2019, ISBN 978-619-239-170-6")</f>
        <v>„Авангард Прима“, София 2019, ISBN 978-619-239-170-6</v>
      </c>
      <c r="F4401" s="10"/>
      <c r="G4401" s="10" t="str">
        <f ca="1">IFERROR(__xludf.DUMMYFUNCTION("""COMPUTED_VALUE"""),"Васил Тотев, Катя Рашева – Йорданова, Ива Костадинова")</f>
        <v>Васил Тотев, Катя Рашева – Йорданова, Ива Костадинова</v>
      </c>
      <c r="H4401" s="10"/>
      <c r="I4401" s="10"/>
      <c r="J4401" s="10"/>
      <c r="K4401" s="10"/>
      <c r="L4401" s="10"/>
      <c r="M4401" s="10"/>
      <c r="N4401" s="10"/>
      <c r="O4401" s="10"/>
      <c r="P4401" s="10"/>
      <c r="Q4401" s="10"/>
      <c r="R4401" s="10"/>
      <c r="S4401" s="10"/>
      <c r="T4401" s="10"/>
      <c r="U4401" s="10"/>
      <c r="V4401" s="10"/>
      <c r="W4401" s="10"/>
      <c r="X4401" s="10"/>
      <c r="Y4401" s="10"/>
      <c r="Z4401" s="10"/>
    </row>
    <row r="4402" spans="1:26" ht="12.75">
      <c r="A4402" s="10" t="str">
        <f ca="1">IFERROR(__xludf.DUMMYFUNCTION("""COMPUTED_VALUE"""),"Катя Христова Рашева-Йорданова")</f>
        <v>Катя Христова Рашева-Йорданова</v>
      </c>
      <c r="B4402" s="10" t="str">
        <f ca="1">IFERROR(__xludf.DUMMYFUNCTION("""COMPUTED_VALUE"""),"Доклад от конференция")</f>
        <v>Доклад от конференция</v>
      </c>
      <c r="C4402" s="10" t="str">
        <f ca="1">IFERROR(__xludf.DUMMYFUNCTION("""COMPUTED_VALUE"""),"DESIGNING DATA SCIENCE CURRICULUM IN A WAY TO ADDRESS EXPECTED STUDENTS ENTRY COMPETENCES")</f>
        <v>DESIGNING DATA SCIENCE CURRICULUM IN A WAY TO ADDRESS EXPECTED STUDENTS ENTRY COMPETENCES</v>
      </c>
      <c r="D4402" s="10">
        <f ca="1">IFERROR(__xludf.DUMMYFUNCTION("""COMPUTED_VALUE"""),2019)</f>
        <v>2019</v>
      </c>
      <c r="E4402" s="10" t="str">
        <f ca="1">IFERROR(__xludf.DUMMYFUNCTION("""COMPUTED_VALUE"""),"Proceedings of INTED2019 Conference 11th-13th March 2019, Valencia, Spain, pp. 2635 - 2640, ISBN: 978-84-09-08619-1")</f>
        <v>Proceedings of INTED2019 Conference 11th-13th March 2019, Valencia, Spain, pp. 2635 - 2640, ISBN: 978-84-09-08619-1</v>
      </c>
      <c r="F4402" s="10"/>
      <c r="G4402" s="10" t="str">
        <f ca="1">IFERROR(__xludf.DUMMYFUNCTION("""COMPUTED_VALUE"""),"Stefka Toleva-Stoimenova, Katia Rasheva-Yordanova, Dimitar Christozov")</f>
        <v>Stefka Toleva-Stoimenova, Katia Rasheva-Yordanova, Dimitar Christozov</v>
      </c>
      <c r="H4402" s="10"/>
      <c r="I4402" s="10"/>
      <c r="J4402" s="10"/>
      <c r="K4402" s="10"/>
      <c r="L4402" s="10"/>
      <c r="M4402" s="10"/>
      <c r="N4402" s="10"/>
      <c r="O4402" s="10"/>
      <c r="P4402" s="10"/>
      <c r="Q4402" s="10"/>
      <c r="R4402" s="10"/>
      <c r="S4402" s="10"/>
      <c r="T4402" s="10"/>
      <c r="U4402" s="10"/>
      <c r="V4402" s="10"/>
      <c r="W4402" s="10"/>
      <c r="X4402" s="10"/>
      <c r="Y4402" s="10"/>
      <c r="Z4402" s="10"/>
    </row>
    <row r="4403" spans="1:26" ht="12.75">
      <c r="A4403" s="10" t="str">
        <f ca="1">IFERROR(__xludf.DUMMYFUNCTION("""COMPUTED_VALUE"""),"Катя Христова Рашева-Йорданова")</f>
        <v>Катя Христова Рашева-Йорданова</v>
      </c>
      <c r="B4403" s="10" t="str">
        <f ca="1">IFERROR(__xludf.DUMMYFUNCTION("""COMPUTED_VALUE"""),"Доклад от конференция")</f>
        <v>Доклад от конференция</v>
      </c>
      <c r="C4403" s="10" t="str">
        <f ca="1">IFERROR(__xludf.DUMMYFUNCTION("""COMPUTED_VALUE"""),"Приписките – нов поглед върху книжовния феномен (Oпит за експониране в дигитална среда).")</f>
        <v>Приписките – нов поглед върху книжовния феномен (Oпит за експониране в дигитална среда).</v>
      </c>
      <c r="D4403" s="10">
        <f ca="1">IFERROR(__xludf.DUMMYFUNCTION("""COMPUTED_VALUE"""),2019)</f>
        <v>2019</v>
      </c>
      <c r="E4403" s="10" t="str">
        <f ca="1">IFERROR(__xludf.DUMMYFUNCTION("""COMPUTED_VALUE"""),"Обществото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с. 996-1002, ISSN 1314-7099")</f>
        <v>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с. 996-1002, ISSN 1314-7099</v>
      </c>
      <c r="F4403" s="10"/>
      <c r="G4403" s="10" t="str">
        <f ca="1">IFERROR(__xludf.DUMMYFUNCTION("""COMPUTED_VALUE"""),"Поли Муканова, Катя Рашева-Йорданова")</f>
        <v>Поли Муканова, Катя Рашева-Йорданова</v>
      </c>
      <c r="H4403" s="10"/>
      <c r="I4403" s="10"/>
      <c r="J4403" s="10"/>
      <c r="K4403" s="10"/>
      <c r="L4403" s="10"/>
      <c r="M4403" s="10"/>
      <c r="N4403" s="10"/>
      <c r="O4403" s="10"/>
      <c r="P4403" s="10"/>
      <c r="Q4403" s="10"/>
      <c r="R4403" s="10"/>
      <c r="S4403" s="10"/>
      <c r="T4403" s="10"/>
      <c r="U4403" s="10"/>
      <c r="V4403" s="10"/>
      <c r="W4403" s="10"/>
      <c r="X4403" s="10"/>
      <c r="Y4403" s="10"/>
      <c r="Z4403" s="10"/>
    </row>
    <row r="4404" spans="1:26" ht="12.75">
      <c r="A4404" s="10" t="str">
        <f ca="1">IFERROR(__xludf.DUMMYFUNCTION("""COMPUTED_VALUE"""),"Катя Христова Рашева-Йорданова")</f>
        <v>Катя Христова Рашева-Йорданова</v>
      </c>
      <c r="B4404" s="10" t="str">
        <f ca="1">IFERROR(__xludf.DUMMYFUNCTION("""COMPUTED_VALUE"""),"Доклад от конференция")</f>
        <v>Доклад от конференция</v>
      </c>
      <c r="C4404" s="10" t="str">
        <f ca="1">IFERROR(__xludf.DUMMYFUNCTION("""COMPUTED_VALUE"""),"ROAD MAP IN DEVELOPING DATA SCIENCE COMPETENCES")</f>
        <v>ROAD MAP IN DEVELOPING DATA SCIENCE COMPETENCES</v>
      </c>
      <c r="D4404" s="10">
        <f ca="1">IFERROR(__xludf.DUMMYFUNCTION("""COMPUTED_VALUE"""),2019)</f>
        <v>2019</v>
      </c>
      <c r="E4404" s="10" t="str">
        <f ca="1">IFERROR(__xludf.DUMMYFUNCTION("""COMPUTED_VALUE"""),"Proceedings of INTED2019 Conference 11th-13th March 2019, Valencia, Spain, pp. 6643 - 6650., ISBN: 978-84-09-08619-1")</f>
        <v>Proceedings of INTED2019 Conference 11th-13th March 2019, Valencia, Spain, pp. 6643 - 6650., ISBN: 978-84-09-08619-1</v>
      </c>
      <c r="F4404" s="10"/>
      <c r="G4404" s="10" t="str">
        <f ca="1">IFERROR(__xludf.DUMMYFUNCTION("""COMPUTED_VALUE"""),"Katia Rasheva-Yordanova, Stefka Toleva-Stoimenova, Dimitar Christozov")</f>
        <v>Katia Rasheva-Yordanova, Stefka Toleva-Stoimenova, Dimitar Christozov</v>
      </c>
      <c r="H4404" s="10"/>
      <c r="I4404" s="10"/>
      <c r="J4404" s="10"/>
      <c r="K4404" s="10"/>
      <c r="L4404" s="10"/>
      <c r="M4404" s="10"/>
      <c r="N4404" s="10"/>
      <c r="O4404" s="10"/>
      <c r="P4404" s="10"/>
      <c r="Q4404" s="10"/>
      <c r="R4404" s="10"/>
      <c r="S4404" s="10"/>
      <c r="T4404" s="10"/>
      <c r="U4404" s="10"/>
      <c r="V4404" s="10"/>
      <c r="W4404" s="10"/>
      <c r="X4404" s="10"/>
      <c r="Y4404" s="10"/>
      <c r="Z4404" s="10"/>
    </row>
    <row r="4405" spans="1:26" ht="12.75">
      <c r="A4405" s="10" t="str">
        <f ca="1">IFERROR(__xludf.DUMMYFUNCTION("""COMPUTED_VALUE"""),"Катя Христова Рашева-Йорданова")</f>
        <v>Катя Христова Рашева-Йорданова</v>
      </c>
      <c r="B4405" s="10" t="str">
        <f ca="1">IFERROR(__xludf.DUMMYFUNCTION("""COMPUTED_VALUE"""),"Доклад от конференция")</f>
        <v>Доклад от конференция</v>
      </c>
      <c r="C4405" s="10" t="str">
        <f ca="1">IFERROR(__xludf.DUMMYFUNCTION("""COMPUTED_VALUE"""),"FORMING OF DATA SCIENCE COMPETENCE FOR BRIDGING THE DIGITAL DIVIDE")</f>
        <v>FORMING OF DATA SCIENCE COMPETENCE FOR BRIDGING THE DIGITAL DIVIDE</v>
      </c>
      <c r="D4405" s="10">
        <f ca="1">IFERROR(__xludf.DUMMYFUNCTION("""COMPUTED_VALUE"""),2019)</f>
        <v>2019</v>
      </c>
      <c r="E4405" s="10" t="str">
        <f ca="1">IFERROR(__xludf.DUMMYFUNCTION("""COMPUTED_VALUE"""),"Proceeding of 9th International Conference The Future of Education, 2019. pp. 174-179., ISBN 978-88-85813-45-8")</f>
        <v>Proceeding of 9th International Conference The Future of Education, 2019. pp. 174-179., ISBN 978-88-85813-45-8</v>
      </c>
      <c r="F4405" s="10"/>
      <c r="G4405" s="10" t="str">
        <f ca="1">IFERROR(__xludf.DUMMYFUNCTION("""COMPUTED_VALUE"""),"Katia Rasheva-Yordanova, Veselin Chantov, Iva Kostadinova, Evtim Iliev, Pepa Petrova, Boriana Nikolova.")</f>
        <v>Katia Rasheva-Yordanova, Veselin Chantov, Iva Kostadinova, Evtim Iliev, Pepa Petrova, Boriana Nikolova.</v>
      </c>
      <c r="H4405" s="10"/>
      <c r="I4405" s="10"/>
      <c r="J4405" s="10"/>
      <c r="K4405" s="10"/>
      <c r="L4405" s="10"/>
      <c r="M4405" s="10"/>
      <c r="N4405" s="10"/>
      <c r="O4405" s="10"/>
      <c r="P4405" s="10"/>
      <c r="Q4405" s="10"/>
      <c r="R4405" s="10"/>
      <c r="S4405" s="10"/>
      <c r="T4405" s="10"/>
      <c r="U4405" s="10"/>
      <c r="V4405" s="10"/>
      <c r="W4405" s="10"/>
      <c r="X4405" s="10"/>
      <c r="Y4405" s="10"/>
      <c r="Z4405" s="10"/>
    </row>
    <row r="4406" spans="1:26" ht="12.75">
      <c r="A4406" s="10" t="str">
        <f ca="1">IFERROR(__xludf.DUMMYFUNCTION("""COMPUTED_VALUE"""),"Катя Христова Рашева-Йорданова")</f>
        <v>Катя Христова Рашева-Йорданова</v>
      </c>
      <c r="B4406" s="10" t="str">
        <f ca="1">IFERROR(__xludf.DUMMYFUNCTION("""COMPUTED_VALUE"""),"Доклад от конференция")</f>
        <v>Доклад от конференция</v>
      </c>
      <c r="C4406" s="10" t="str">
        <f ca="1">IFERROR(__xludf.DUMMYFUNCTION("""COMPUTED_VALUE"""),"ASSESSING THE ENTRY COMPETENCES OF DATA SCIENCE MASTER PROGRAM POTENTIAL STUDENTS")</f>
        <v>ASSESSING THE ENTRY COMPETENCES OF DATA SCIENCE MASTER PROGRAM POTENTIAL STUDENTS</v>
      </c>
      <c r="D4406" s="10">
        <f ca="1">IFERROR(__xludf.DUMMYFUNCTION("""COMPUTED_VALUE"""),2019)</f>
        <v>2019</v>
      </c>
      <c r="E4406" s="10" t="str">
        <f ca="1">IFERROR(__xludf.DUMMYFUNCTION("""COMPUTED_VALUE"""),"Proceedings of EDULEARN19 Conference 1st-3rd July 2019, Palma, Mallorca, Spain. pp. 4389-4394. , ISBN: 978-84-09-12031-4.")</f>
        <v>Proceedings of EDULEARN19 Conference 1st-3rd July 2019, Palma, Mallorca, Spain. pp. 4389-4394. , ISBN: 978-84-09-12031-4.</v>
      </c>
      <c r="F4406" s="10"/>
      <c r="G4406" s="10" t="str">
        <f ca="1">IFERROR(__xludf.DUMMYFUNCTION("""COMPUTED_VALUE"""),"Katia Rasheva-Yordanova, Stefka Toleva-Stoimenova Dimitar Christozov Iva Kostadinova Boriana Nikolova")</f>
        <v>Katia Rasheva-Yordanova, Stefka Toleva-Stoimenova Dimitar Christozov Iva Kostadinova Boriana Nikolova</v>
      </c>
      <c r="H4406" s="10"/>
      <c r="I4406" s="10"/>
      <c r="J4406" s="10"/>
      <c r="K4406" s="10"/>
      <c r="L4406" s="10"/>
      <c r="M4406" s="10"/>
      <c r="N4406" s="10"/>
      <c r="O4406" s="10"/>
      <c r="P4406" s="10"/>
      <c r="Q4406" s="10"/>
      <c r="R4406" s="10"/>
      <c r="S4406" s="10"/>
      <c r="T4406" s="10"/>
      <c r="U4406" s="10"/>
      <c r="V4406" s="10"/>
      <c r="W4406" s="10"/>
      <c r="X4406" s="10"/>
      <c r="Y4406" s="10"/>
      <c r="Z4406" s="10"/>
    </row>
    <row r="4407" spans="1:26" ht="12.75">
      <c r="A4407" s="10" t="str">
        <f ca="1">IFERROR(__xludf.DUMMYFUNCTION("""COMPUTED_VALUE"""),"Катя Христова Рашева-Йорданова")</f>
        <v>Катя Христова Рашева-Йорданова</v>
      </c>
      <c r="B4407" s="10" t="str">
        <f ca="1">IFERROR(__xludf.DUMMYFUNCTION("""COMPUTED_VALUE"""),"Статия в списания и поредици")</f>
        <v>Статия в списания и поредици</v>
      </c>
      <c r="C4407" s="10" t="str">
        <f ca="1">IFERROR(__xludf.DUMMYFUNCTION("""COMPUTED_VALUE"""),"ПРОЕКТИРАНЕ И ИЗГРАЖДАНЕ НА ХИПОТЕТИЧНА ТУРИСТИЧЕСКА ДЕСТИНАЦИЯ")</f>
        <v>ПРОЕКТИРАНЕ И ИЗГРАЖДАНЕ НА ХИПОТЕТИЧНА ТУРИСТИЧЕСКА ДЕСТИНАЦИЯ</v>
      </c>
      <c r="D4407" s="10">
        <f ca="1">IFERROR(__xludf.DUMMYFUNCTION("""COMPUTED_VALUE"""),2019)</f>
        <v>2019</v>
      </c>
      <c r="E4407" s="10" t="str">
        <f ca="1">IFERROR(__xludf.DUMMYFUNCTION("""COMPUTED_VALUE"""),"Съвременни подходи за дифузия на информация, знания и хипотези - иновативен модел за мотивация на постдокторанти, докторанти, млади учени и студенти. стр. 223-235, ISBN 978-619-185-353-3 издател: Издателство ""За буквите - О писменехь"", SBN 978-619-185-3"&amp;"53-3")</f>
        <v>Съвременни подходи за дифузия на информация, знания и хипотези - иновативен модел за мотивация на постдокторанти, докторанти, млади учени и студенти. стр. 223-235, ISBN 978-619-185-353-3 издател: Издателство "За буквите - О писменехь", SBN 978-619-185-353-3</v>
      </c>
      <c r="F4407" s="10"/>
      <c r="G4407" s="10"/>
      <c r="H4407" s="10"/>
      <c r="I4407" s="10"/>
      <c r="J4407" s="10"/>
      <c r="K4407" s="10"/>
      <c r="L4407" s="10"/>
      <c r="M4407" s="10"/>
      <c r="N4407" s="10"/>
      <c r="O4407" s="10"/>
      <c r="P4407" s="10"/>
      <c r="Q4407" s="10"/>
      <c r="R4407" s="10"/>
      <c r="S4407" s="10"/>
      <c r="T4407" s="10"/>
      <c r="U4407" s="10"/>
      <c r="V4407" s="10"/>
      <c r="W4407" s="10"/>
      <c r="X4407" s="10"/>
      <c r="Y4407" s="10"/>
      <c r="Z4407" s="10"/>
    </row>
    <row r="4408" spans="1:26" ht="12.75">
      <c r="A4408" s="10" t="str">
        <f ca="1">IFERROR(__xludf.DUMMYFUNCTION("""COMPUTED_VALUE"""),"Катя Христова Рашева-Йорданова")</f>
        <v>Катя Христова Рашева-Йорданова</v>
      </c>
      <c r="B4408" s="10" t="str">
        <f ca="1">IFERROR(__xludf.DUMMYFUNCTION("""COMPUTED_VALUE"""),"Доклад от конференция")</f>
        <v>Доклад от конференция</v>
      </c>
      <c r="C4408" s="10" t="str">
        <f ca="1">IFERROR(__xludf.DUMMYFUNCTION("""COMPUTED_VALUE"""),"ПРИЛАГАНЕ НА ДИГИТАЛНАТА КОМПЕТЕНТНОСТ ОТ УЧЕНИЦИТЕ В ПЪРВИ ГИМНАЗИАЛЕН ЕТАП")</f>
        <v>ПРИЛАГАНЕ НА ДИГИТАЛНАТА КОМПЕТЕНТНОСТ ОТ УЧЕНИЦИТЕ В ПЪРВИ ГИМНАЗИАЛЕН ЕТАП</v>
      </c>
      <c r="D4408" s="10">
        <f ca="1">IFERROR(__xludf.DUMMYFUNCTION("""COMPUTED_VALUE"""),2019)</f>
        <v>2019</v>
      </c>
      <c r="E4408" s="10" t="str">
        <f ca="1">IFERROR(__xludf.DUMMYFUNCTION("""COMPUTED_VALUE"""),"Обществото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f>
        <v>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v>
      </c>
      <c r="F4408" s="10"/>
      <c r="G4408" s="10" t="str">
        <f ca="1">IFERROR(__xludf.DUMMYFUNCTION("""COMPUTED_VALUE"""),"Ивелина Крумова. Катя Рашева-Йорданова")</f>
        <v>Ивелина Крумова. Катя Рашева-Йорданова</v>
      </c>
      <c r="H4408" s="10"/>
      <c r="I4408" s="10"/>
      <c r="J4408" s="10"/>
      <c r="K4408" s="10"/>
      <c r="L4408" s="10"/>
      <c r="M4408" s="10"/>
      <c r="N4408" s="10"/>
      <c r="O4408" s="10"/>
      <c r="P4408" s="10"/>
      <c r="Q4408" s="10"/>
      <c r="R4408" s="10"/>
      <c r="S4408" s="10"/>
      <c r="T4408" s="10"/>
      <c r="U4408" s="10"/>
      <c r="V4408" s="10"/>
      <c r="W4408" s="10"/>
      <c r="X4408" s="10"/>
      <c r="Y4408" s="10"/>
      <c r="Z4408" s="10"/>
    </row>
    <row r="4409" spans="1:26" ht="12.75">
      <c r="A4409" s="10" t="str">
        <f ca="1">IFERROR(__xludf.DUMMYFUNCTION("""COMPUTED_VALUE"""),"Катя Христова Рашева-Йорданова")</f>
        <v>Катя Христова Рашева-Йорданова</v>
      </c>
      <c r="B4409" s="10" t="str">
        <f ca="1">IFERROR(__xludf.DUMMYFUNCTION("""COMPUTED_VALUE"""),"Доклад от конференция")</f>
        <v>Доклад от конференция</v>
      </c>
      <c r="C4409" s="10" t="str">
        <f ca="1">IFERROR(__xludf.DUMMYFUNCTION("""COMPUTED_VALUE"""),"ЕТИЧНИ АСПЕКТИ ПРИ АНАЛИЗ НА ДАННИ ВЪВ ВРЪЗКА С ЕВРОПЕЙСКИ РЕГЛАМЕНТ ЗА ЗАЩИТА НА ЛИЧНИТЕ ДАННИ")</f>
        <v>ЕТИЧНИ АСПЕКТИ ПРИ АНАЛИЗ НА ДАННИ ВЪВ ВРЪЗКА С ЕВРОПЕЙСКИ РЕГЛАМЕНТ ЗА ЗАЩИТА НА ЛИЧНИТЕ ДАННИ</v>
      </c>
      <c r="D4409" s="10">
        <f ca="1">IFERROR(__xludf.DUMMYFUNCTION("""COMPUTED_VALUE"""),2019)</f>
        <v>2019</v>
      </c>
      <c r="E4409" s="10" t="str">
        <f ca="1">IFERROR(__xludf.DUMMYFUNCTION("""COMPUTED_VALUE"""),"Сборник с доклади от НАЦИОНАЛЕН СЕМИНАР «ИНТЕЛЕКТУАЛНАТА СОБСТВЕНОСТ И ДИГИТАЛНИТЕ ХОРА» 24 април 2019 г.,")</f>
        <v>Сборник с доклади от НАЦИОНАЛЕН СЕМИНАР «ИНТЕЛЕКТУАЛНАТА СОБСТВЕНОСТ И ДИГИТАЛНИТЕ ХОРА» 24 април 2019 г.,</v>
      </c>
      <c r="F4409" s="10"/>
      <c r="G4409" s="10" t="str">
        <f ca="1">IFERROR(__xludf.DUMMYFUNCTION("""COMPUTED_VALUE"""),"Катя Рашева-Йорданова, Стефка Толева-Стоименова, Димитър Христозов")</f>
        <v>Катя Рашева-Йорданова, Стефка Толева-Стоименова, Димитър Христозов</v>
      </c>
      <c r="H4409" s="10"/>
      <c r="I4409" s="10"/>
      <c r="J4409" s="10"/>
      <c r="K4409" s="10"/>
      <c r="L4409" s="10"/>
      <c r="M4409" s="10"/>
      <c r="N4409" s="10"/>
      <c r="O4409" s="10"/>
      <c r="P4409" s="10"/>
      <c r="Q4409" s="10"/>
      <c r="R4409" s="10"/>
      <c r="S4409" s="10"/>
      <c r="T4409" s="10"/>
      <c r="U4409" s="10"/>
      <c r="V4409" s="10"/>
      <c r="W4409" s="10"/>
      <c r="X4409" s="10"/>
      <c r="Y4409" s="10"/>
      <c r="Z4409" s="10"/>
    </row>
    <row r="4410" spans="1:26" ht="12.75">
      <c r="A4410" s="10" t="str">
        <f ca="1">IFERROR(__xludf.DUMMYFUNCTION("""COMPUTED_VALUE"""),"Катя Христова Рашева-Йорданова")</f>
        <v>Катя Христова Рашева-Йорданова</v>
      </c>
      <c r="B4410" s="10" t="str">
        <f ca="1">IFERROR(__xludf.DUMMYFUNCTION("""COMPUTED_VALUE"""),"Монография")</f>
        <v>Монография</v>
      </c>
      <c r="C4410" s="10" t="str">
        <f ca="1">IFERROR(__xludf.DUMMYFUNCTION("""COMPUTED_VALUE"""),"Изграждане на Data Science компетентност за преодоляване на дигиталното неравенство")</f>
        <v>Изграждане на Data Science компетентност за преодоляване на дигиталното неравенство</v>
      </c>
      <c r="D4410" s="10">
        <f ca="1">IFERROR(__xludf.DUMMYFUNCTION("""COMPUTED_VALUE"""),2019)</f>
        <v>2019</v>
      </c>
      <c r="E4410" s="10" t="str">
        <f ca="1">IFERROR(__xludf.DUMMYFUNCTION("""COMPUTED_VALUE"""),"Изграждане на Data Science компетентност за преодоляване на дигиталното неравенство, Стефка Янкова Толева-Стоименова, Катя Христова Рашева-Йорданова, ISBN 978-619-185-393-9")</f>
        <v>Изграждане на Data Science компетентност за преодоляване на дигиталното неравенство, Стефка Янкова Толева-Стоименова, Катя Христова Рашева-Йорданова, ISBN 978-619-185-393-9</v>
      </c>
      <c r="F4410" s="10"/>
      <c r="G4410" s="10" t="str">
        <f ca="1">IFERROR(__xludf.DUMMYFUNCTION("""COMPUTED_VALUE"""),"Катя Рашева-Йорданова, Стефка Янкова Толева-Стоименова")</f>
        <v>Катя Рашева-Йорданова, Стефка Янкова Толева-Стоименова</v>
      </c>
      <c r="H4410" s="10"/>
      <c r="I4410" s="10"/>
      <c r="J4410" s="10"/>
      <c r="K4410" s="10"/>
      <c r="L4410" s="10"/>
      <c r="M4410" s="10"/>
      <c r="N4410" s="10"/>
      <c r="O4410" s="10"/>
      <c r="P4410" s="10"/>
      <c r="Q4410" s="10"/>
      <c r="R4410" s="10"/>
      <c r="S4410" s="10"/>
      <c r="T4410" s="10"/>
      <c r="U4410" s="10"/>
      <c r="V4410" s="10"/>
      <c r="W4410" s="10"/>
      <c r="X4410" s="10"/>
      <c r="Y4410" s="10"/>
      <c r="Z4410" s="10"/>
    </row>
    <row r="4411" spans="1:26" ht="12.75">
      <c r="A4411" s="10" t="str">
        <f ca="1">IFERROR(__xludf.DUMMYFUNCTION("""COMPUTED_VALUE"""),"Катя Христова Рашева-Йорданова")</f>
        <v>Катя Христова Рашева-Йорданова</v>
      </c>
      <c r="B4411" s="10" t="str">
        <f ca="1">IFERROR(__xludf.DUMMYFUNCTION("""COMPUTED_VALUE"""),"Монография")</f>
        <v>Монография</v>
      </c>
      <c r="C4411" s="10" t="str">
        <f ca="1">IFERROR(__xludf.DUMMYFUNCTION("""COMPUTED_VALUE"""),"Изграждане на Data Science компетентност за преодоляване на дигиталното неравенство")</f>
        <v>Изграждане на Data Science компетентност за преодоляване на дигиталното неравенство</v>
      </c>
      <c r="D4411" s="10">
        <f ca="1">IFERROR(__xludf.DUMMYFUNCTION("""COMPUTED_VALUE"""),2019)</f>
        <v>2019</v>
      </c>
      <c r="E4411" s="10" t="str">
        <f ca="1">IFERROR(__xludf.DUMMYFUNCTION("""COMPUTED_VALUE"""),"Изграждане на Data Science компетентност за преодоляване на дигиталното неравенство, Катя Христова Рашева-Йорданова, Стефка Янкова Толева-Стоименова, ISBN 978-619-185-392-2")</f>
        <v>Изграждане на Data Science компетентност за преодоляване на дигиталното неравенство, Катя Христова Рашева-Йорданова, Стефка Янкова Толева-Стоименова, ISBN 978-619-185-392-2</v>
      </c>
      <c r="F4411" s="10"/>
      <c r="G4411" s="10" t="str">
        <f ca="1">IFERROR(__xludf.DUMMYFUNCTION("""COMPUTED_VALUE"""),"Стефка Янкова Толева-Стоименова")</f>
        <v>Стефка Янкова Толева-Стоименова</v>
      </c>
      <c r="H4411" s="10"/>
      <c r="I4411" s="10"/>
      <c r="J4411" s="10"/>
      <c r="K4411" s="10"/>
      <c r="L4411" s="10"/>
      <c r="M4411" s="10"/>
      <c r="N4411" s="10"/>
      <c r="O4411" s="10"/>
      <c r="P4411" s="10"/>
      <c r="Q4411" s="10"/>
      <c r="R4411" s="10"/>
      <c r="S4411" s="10"/>
      <c r="T4411" s="10"/>
      <c r="U4411" s="10"/>
      <c r="V4411" s="10"/>
      <c r="W4411" s="10"/>
      <c r="X4411" s="10"/>
      <c r="Y4411" s="10"/>
      <c r="Z4411" s="10"/>
    </row>
    <row r="4412" spans="1:26" ht="12.75">
      <c r="A4412" s="10" t="str">
        <f ca="1">IFERROR(__xludf.DUMMYFUNCTION("""COMPUTED_VALUE"""),"Катя Христова Рашева-Йорданова")</f>
        <v>Катя Христова Рашева-Йорданова</v>
      </c>
      <c r="B4412" s="10" t="str">
        <f ca="1">IFERROR(__xludf.DUMMYFUNCTION("""COMPUTED_VALUE"""),"Доклад от конференция")</f>
        <v>Доклад от конференция</v>
      </c>
      <c r="C4412" s="10" t="str">
        <f ca="1">IFERROR(__xludf.DUMMYFUNCTION("""COMPUTED_VALUE"""),"DATA SCIENCE: CHALLENGES AND TRENDS")</f>
        <v>DATA SCIENCE: CHALLENGES AND TRENDS</v>
      </c>
      <c r="D4412" s="10">
        <f ca="1">IFERROR(__xludf.DUMMYFUNCTION("""COMPUTED_VALUE"""),2019)</f>
        <v>2019</v>
      </c>
      <c r="E4412" s="10" t="str">
        <f ca="1">IFERROR(__xludf.DUMMYFUNCTION("""COMPUTED_VALUE"""),"K. Rasheva-Yordanova, S. Toleva-Stoimenova, D. Christozov. Pages: 10935-10943, 2019. ISBN: 978-84-09-14755-7, ISSN: 2340-1095, doi: 10.21125/iceri.2019.2689. 12th annual International Conference of Education, Research and Innovation, 11-13 November, 2019,"&amp;" Seville, Spain., ISBN: 978-84-09-14755-7")</f>
        <v>K. Rasheva-Yordanova, S. Toleva-Stoimenova, D. Christozov. Pages: 10935-10943, 2019. ISBN: 978-84-09-14755-7, ISSN: 2340-1095, doi: 10.21125/iceri.2019.2689. 12th annual International Conference of Education, Research and Innovation, 11-13 November, 2019, Seville, Spain., ISBN: 978-84-09-14755-7</v>
      </c>
      <c r="F4412" s="10"/>
      <c r="G4412" s="10" t="str">
        <f ca="1">IFERROR(__xludf.DUMMYFUNCTION("""COMPUTED_VALUE"""),"K. Rasheva-Yordanova, S. Toleva-Stoimenova, D. Christozov.")</f>
        <v>K. Rasheva-Yordanova, S. Toleva-Stoimenova, D. Christozov.</v>
      </c>
      <c r="H4412" s="10"/>
      <c r="I4412" s="10"/>
      <c r="J4412" s="10"/>
      <c r="K4412" s="10"/>
      <c r="L4412" s="10"/>
      <c r="M4412" s="10"/>
      <c r="N4412" s="10"/>
      <c r="O4412" s="10"/>
      <c r="P4412" s="10"/>
      <c r="Q4412" s="10"/>
      <c r="R4412" s="10"/>
      <c r="S4412" s="10"/>
      <c r="T4412" s="10"/>
      <c r="U4412" s="10"/>
      <c r="V4412" s="10"/>
      <c r="W4412" s="10"/>
      <c r="X4412" s="10"/>
      <c r="Y4412" s="10"/>
      <c r="Z4412" s="10"/>
    </row>
    <row r="4413" spans="1:26" ht="12.75">
      <c r="A4413" s="10" t="str">
        <f ca="1">IFERROR(__xludf.DUMMYFUNCTION("""COMPUTED_VALUE"""),"Катя Христова Рашева-Йорданова")</f>
        <v>Катя Христова Рашева-Йорданова</v>
      </c>
      <c r="B4413" s="10" t="str">
        <f ca="1">IFERROR(__xludf.DUMMYFUNCTION("""COMPUTED_VALUE"""),"Доклад от конференция")</f>
        <v>Доклад от конференция</v>
      </c>
      <c r="C4413" s="10" t="str">
        <f ca="1">IFERROR(__xludf.DUMMYFUNCTION("""COMPUTED_VALUE"""),"POSSIBILITIES FOR EVALUATION OF THE VISUAL CULTURE OF STUDENTS IN HUMANITARIAN SPECIALTIES")</f>
        <v>POSSIBILITIES FOR EVALUATION OF THE VISUAL CULTURE OF STUDENTS IN HUMANITARIAN SPECIALTIES</v>
      </c>
      <c r="D4413" s="10">
        <f ca="1">IFERROR(__xludf.DUMMYFUNCTION("""COMPUTED_VALUE"""),2019)</f>
        <v>2019</v>
      </c>
      <c r="E4413" s="10" t="str">
        <f ca="1">IFERROR(__xludf.DUMMYFUNCTION("""COMPUTED_VALUE"""),"K. Rasheva-Yordanova, K. Planska-Simeonova, K. Mincheva. ICERI2019 Proceedings, pp: 8043-8048, 2019. ISBN: 978-84-09-14755-7, ISSN: 2340-1095, doi: 10.21125/iceri.2019.1898. Conference name: 12th annual International Conference of Education, Research and "&amp;"Innovation 11-13 November, 2019. Seville, Spain., ISBN: 978-84-09-14755-7")</f>
        <v>K. Rasheva-Yordanova, K. Planska-Simeonova, K. Mincheva. ICERI2019 Proceedings, pp: 8043-8048, 2019. ISBN: 978-84-09-14755-7, ISSN: 2340-1095, doi: 10.21125/iceri.2019.1898. Conference name: 12th annual International Conference of Education, Research and Innovation 11-13 November, 2019. Seville, Spain., ISBN: 978-84-09-14755-7</v>
      </c>
      <c r="F4413" s="10"/>
      <c r="G4413" s="10" t="str">
        <f ca="1">IFERROR(__xludf.DUMMYFUNCTION("""COMPUTED_VALUE"""),"K. Rasheva-Yordanova, K. Planska-Simeonova, K. Mincheva.")</f>
        <v>K. Rasheva-Yordanova, K. Planska-Simeonova, K. Mincheva.</v>
      </c>
      <c r="H4413" s="10"/>
      <c r="I4413" s="10"/>
      <c r="J4413" s="10"/>
      <c r="K4413" s="10"/>
      <c r="L4413" s="10"/>
      <c r="M4413" s="10"/>
      <c r="N4413" s="10"/>
      <c r="O4413" s="10"/>
      <c r="P4413" s="10"/>
      <c r="Q4413" s="10"/>
      <c r="R4413" s="10"/>
      <c r="S4413" s="10"/>
      <c r="T4413" s="10"/>
      <c r="U4413" s="10"/>
      <c r="V4413" s="10"/>
      <c r="W4413" s="10"/>
      <c r="X4413" s="10"/>
      <c r="Y4413" s="10"/>
      <c r="Z4413" s="10"/>
    </row>
    <row r="4414" spans="1:26" ht="12.75">
      <c r="A4414" s="10" t="str">
        <f ca="1">IFERROR(__xludf.DUMMYFUNCTION("""COMPUTED_VALUE"""),"Катя Христова Рашева-Йорданова")</f>
        <v>Катя Христова Рашева-Йорданова</v>
      </c>
      <c r="B4414" s="10" t="str">
        <f ca="1">IFERROR(__xludf.DUMMYFUNCTION("""COMPUTED_VALUE"""),"Доклад от конференция")</f>
        <v>Доклад от конференция</v>
      </c>
      <c r="C4414" s="10" t="str">
        <f ca="1">IFERROR(__xludf.DUMMYFUNCTION("""COMPUTED_VALUE"""),"ENTRY COMPETENCES ASSESSMENT OF DATA SCIENCE POTENTIAL STUDENTS")</f>
        <v>ENTRY COMPETENCES ASSESSMENT OF DATA SCIENCE POTENTIAL STUDENTS</v>
      </c>
      <c r="D4414" s="10">
        <f ca="1">IFERROR(__xludf.DUMMYFUNCTION("""COMPUTED_VALUE"""),2019)</f>
        <v>2019</v>
      </c>
      <c r="E4414" s="10" t="str">
        <f ca="1">IFERROR(__xludf.DUMMYFUNCTION("""COMPUTED_VALUE"""),"Proceedings of INTED2019 Conference 11th-13th March 2019, Valencia, Spain, pp. 4248 - 4256., ISBN: 978-84-09-08619-1")</f>
        <v>Proceedings of INTED2019 Conference 11th-13th March 2019, Valencia, Spain, pp. 4248 - 4256., ISBN: 978-84-09-08619-1</v>
      </c>
      <c r="F4414" s="10"/>
      <c r="G4414" s="10" t="str">
        <f ca="1">IFERROR(__xludf.DUMMYFUNCTION("""COMPUTED_VALUE"""),"Stefka Toleva-Stoimenova, Katia Rasheva-Yordanova, Dimitar Christozov")</f>
        <v>Stefka Toleva-Stoimenova, Katia Rasheva-Yordanova, Dimitar Christozov</v>
      </c>
      <c r="H4414" s="10"/>
      <c r="I4414" s="10"/>
      <c r="J4414" s="10"/>
      <c r="K4414" s="10"/>
      <c r="L4414" s="10"/>
      <c r="M4414" s="10"/>
      <c r="N4414" s="10"/>
      <c r="O4414" s="10"/>
      <c r="P4414" s="10"/>
      <c r="Q4414" s="10"/>
      <c r="R4414" s="10"/>
      <c r="S4414" s="10"/>
      <c r="T4414" s="10"/>
      <c r="U4414" s="10"/>
      <c r="V4414" s="10"/>
      <c r="W4414" s="10"/>
      <c r="X4414" s="10"/>
      <c r="Y4414" s="10"/>
      <c r="Z4414" s="10"/>
    </row>
    <row r="4415" spans="1:26" ht="12.75">
      <c r="A4415" s="10" t="str">
        <f ca="1">IFERROR(__xludf.DUMMYFUNCTION("""COMPUTED_VALUE"""),"Катя Христова Рашева-Йорданова")</f>
        <v>Катя Христова Рашева-Йорданова</v>
      </c>
      <c r="B4415" s="10" t="str">
        <f ca="1">IFERROR(__xludf.DUMMYFUNCTION("""COMPUTED_VALUE"""),"Статия в списания и поредици")</f>
        <v>Статия в списания и поредици</v>
      </c>
      <c r="C4415" s="10" t="str">
        <f ca="1">IFERROR(__xludf.DUMMYFUNCTION("""COMPUTED_VALUE"""),"CHALLENGES IN DESIGNING CURRICULUM FOR TRANS-DISCIPLINARY EDUCATION: ON CASES OF DESIGNING CONCENTRATION ON INFORMING SCIENCE AND MASTER PROGRAM ON DATA SCIENCE")</f>
        <v>CHALLENGES IN DESIGNING CURRICULUM FOR TRANS-DISCIPLINARY EDUCATION: ON CASES OF DESIGNING CONCENTRATION ON INFORMING SCIENCE AND MASTER PROGRAM ON DATA SCIENCE</v>
      </c>
      <c r="D4415" s="10">
        <f ca="1">IFERROR(__xludf.DUMMYFUNCTION("""COMPUTED_VALUE"""),2019)</f>
        <v>2019</v>
      </c>
      <c r="E4415" s="10" t="str">
        <f ca="1">IFERROR(__xludf.DUMMYFUNCTION("""COMPUTED_VALUE"""),"Informing Science: The International Journal of an Emerging Transdiscipline, Volume 22, 2019, pp. 019-030, https://doi.org/10.28945/4300")</f>
        <v>Informing Science: The International Journal of an Emerging Transdiscipline, Volume 22, 2019, pp. 019-030, https://doi.org/10.28945/4300</v>
      </c>
      <c r="F4415" s="10"/>
      <c r="G4415" s="10" t="str">
        <f ca="1">IFERROR(__xludf.DUMMYFUNCTION("""COMPUTED_VALUE"""),"Dimitar Christozov, Katia Rasheva-Yordanova, Stefka Toleva-Stoimenova")</f>
        <v>Dimitar Christozov, Katia Rasheva-Yordanova, Stefka Toleva-Stoimenova</v>
      </c>
      <c r="H4415" s="10"/>
      <c r="I4415" s="10"/>
      <c r="J4415" s="10"/>
      <c r="K4415" s="10"/>
      <c r="L4415" s="10"/>
      <c r="M4415" s="10"/>
      <c r="N4415" s="10"/>
      <c r="O4415" s="10"/>
      <c r="P4415" s="10"/>
      <c r="Q4415" s="10"/>
      <c r="R4415" s="10"/>
      <c r="S4415" s="10"/>
      <c r="T4415" s="10"/>
      <c r="U4415" s="10"/>
      <c r="V4415" s="10"/>
      <c r="W4415" s="10"/>
      <c r="X4415" s="10"/>
      <c r="Y4415" s="10"/>
      <c r="Z4415" s="10"/>
    </row>
    <row r="4416" spans="1:26" ht="12.75">
      <c r="A4416" s="10" t="str">
        <f ca="1">IFERROR(__xludf.DUMMYFUNCTION("""COMPUTED_VALUE"""),"Катя Христова Рашева-Йорданова")</f>
        <v>Катя Христова Рашева-Йорданова</v>
      </c>
      <c r="B4416" s="10" t="str">
        <f ca="1">IFERROR(__xludf.DUMMYFUNCTION("""COMPUTED_VALUE"""),"Доклад от конференция")</f>
        <v>Доклад от конференция</v>
      </c>
      <c r="C4416" s="10" t="str">
        <f ca="1">IFERROR(__xludf.DUMMYFUNCTION("""COMPUTED_VALUE"""),"ANALYSIS OF ALGORITHMS FOR GENERATING TEST QUESTIONS IN E-TESTING SYSTEMS")</f>
        <v>ANALYSIS OF ALGORITHMS FOR GENERATING TEST QUESTIONS IN E-TESTING SYSTEMS</v>
      </c>
      <c r="D4416" s="10">
        <f ca="1">IFERROR(__xludf.DUMMYFUNCTION("""COMPUTED_VALUE"""),2019)</f>
        <v>2019</v>
      </c>
      <c r="E4416" s="10" t="str">
        <f ca="1">IFERROR(__xludf.DUMMYFUNCTION("""COMPUTED_VALUE"""),"EDULEARN19 Proceedings. 11th Annual International Conference on Education and New Learning Technologies, July 1st-3rd, 2019 — Palma, Mallorca, Spain. IATED Academy, 1714-1719., ISBN 978-84-09-12031-4, ISSN 2340-1117")</f>
        <v>EDULEARN19 Proceedings. 11th Annual International Conference on Education and New Learning Technologies, July 1st-3rd, 2019 — Palma, Mallorca, Spain. IATED Academy, 1714-1719., ISBN 978-84-09-12031-4, ISSN 2340-1117</v>
      </c>
      <c r="F4416" s="10"/>
      <c r="G4416" s="10" t="str">
        <f ca="1">IFERROR(__xludf.DUMMYFUNCTION("""COMPUTED_VALUE"""),"Iva Kostadinova, Katia Rasheva-Yordanova, Magdalena Garvanova")</f>
        <v>Iva Kostadinova, Katia Rasheva-Yordanova, Magdalena Garvanova</v>
      </c>
      <c r="H4416" s="10"/>
      <c r="I4416" s="10"/>
      <c r="J4416" s="10"/>
      <c r="K4416" s="10"/>
      <c r="L4416" s="10"/>
      <c r="M4416" s="10"/>
      <c r="N4416" s="10"/>
      <c r="O4416" s="10"/>
      <c r="P4416" s="10"/>
      <c r="Q4416" s="10"/>
      <c r="R4416" s="10"/>
      <c r="S4416" s="10"/>
      <c r="T4416" s="10"/>
      <c r="U4416" s="10"/>
      <c r="V4416" s="10"/>
      <c r="W4416" s="10"/>
      <c r="X4416" s="10"/>
      <c r="Y4416" s="10"/>
      <c r="Z4416" s="10"/>
    </row>
    <row r="4417" spans="1:26" ht="12.75">
      <c r="A4417" s="10" t="str">
        <f ca="1">IFERROR(__xludf.DUMMYFUNCTION("""COMPUTED_VALUE"""),"Катя Христова Рашева-Йорданова")</f>
        <v>Катя Христова Рашева-Йорданова</v>
      </c>
      <c r="B4417" s="10" t="str">
        <f ca="1">IFERROR(__xludf.DUMMYFUNCTION("""COMPUTED_VALUE"""),"Доклад от конференция")</f>
        <v>Доклад от конференция</v>
      </c>
      <c r="C4417" s="10" t="str">
        <f ca="1">IFERROR(__xludf.DUMMYFUNCTION("""COMPUTED_VALUE"""),"TOWARD OVERCOMING THE DISPROPORTION BETWEEN THE DEMAND FOR PROFESSIONALS AND THE PROVISION OF TRAINING IN CYBERSECURITY")</f>
        <v>TOWARD OVERCOMING THE DISPROPORTION BETWEEN THE DEMAND FOR PROFESSIONALS AND THE PROVISION OF TRAINING IN CYBERSECURITY</v>
      </c>
      <c r="D4417" s="10">
        <f ca="1">IFERROR(__xludf.DUMMYFUNCTION("""COMPUTED_VALUE"""),2019)</f>
        <v>2019</v>
      </c>
      <c r="E4417" s="10" t="str">
        <f ca="1">IFERROR(__xludf.DUMMYFUNCTION("""COMPUTED_VALUE"""),"EDULEARN19 Proceedings. 11th Annual International Conference on Education and New Learning Technologies, July 1st-3rd, 2019 — Palma, Mallorca, Spain. IATED Academy, 1714-1719., ISBN 978-84-09-12031-4, ISSN 2340-1117")</f>
        <v>EDULEARN19 Proceedings. 11th Annual International Conference on Education and New Learning Technologies, July 1st-3rd, 2019 — Palma, Mallorca, Spain. IATED Academy, 1714-1719., ISBN 978-84-09-12031-4, ISSN 2340-1117</v>
      </c>
      <c r="F4417" s="10"/>
      <c r="G4417" s="10" t="str">
        <f ca="1">IFERROR(__xludf.DUMMYFUNCTION("""COMPUTED_VALUE"""),"Willian Dimitrov, Katia Rasheva-Yordanova, Oleg Konstantinov Kristina Bosakova Viktoriya Angelova")</f>
        <v>Willian Dimitrov, Katia Rasheva-Yordanova, Oleg Konstantinov Kristina Bosakova Viktoriya Angelova</v>
      </c>
      <c r="H4417" s="10"/>
      <c r="I4417" s="10"/>
      <c r="J4417" s="10"/>
      <c r="K4417" s="10"/>
      <c r="L4417" s="10"/>
      <c r="M4417" s="10"/>
      <c r="N4417" s="10"/>
      <c r="O4417" s="10"/>
      <c r="P4417" s="10"/>
      <c r="Q4417" s="10"/>
      <c r="R4417" s="10"/>
      <c r="S4417" s="10"/>
      <c r="T4417" s="10"/>
      <c r="U4417" s="10"/>
      <c r="V4417" s="10"/>
      <c r="W4417" s="10"/>
      <c r="X4417" s="10"/>
      <c r="Y4417" s="10"/>
      <c r="Z4417" s="10"/>
    </row>
    <row r="4418" spans="1:26" ht="12.75">
      <c r="A4418" s="10" t="str">
        <f ca="1">IFERROR(__xludf.DUMMYFUNCTION("""COMPUTED_VALUE"""),"Катя Христова Рашева-Йорданова")</f>
        <v>Катя Христова Рашева-Йорданова</v>
      </c>
      <c r="B4418" s="10" t="str">
        <f ca="1">IFERROR(__xludf.DUMMYFUNCTION("""COMPUTED_VALUE"""),"Доклад от конференция")</f>
        <v>Доклад от конференция</v>
      </c>
      <c r="C4418" s="10" t="str">
        <f ca="1">IFERROR(__xludf.DUMMYFUNCTION("""COMPUTED_VALUE"""),"Формиране на Data Science компетентност за преодоляване на дигиталното неравенство")</f>
        <v>Формиране на Data Science компетентност за преодоляване на дигиталното неравенство</v>
      </c>
      <c r="D4418" s="10">
        <f ca="1">IFERROR(__xludf.DUMMYFUNCTION("""COMPUTED_VALUE"""),2019)</f>
        <v>2019</v>
      </c>
      <c r="E4418" s="10" t="str">
        <f ca="1">IFERROR(__xludf.DUMMYFUNCTION("""COMPUTED_VALUE"""),"Обществото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ISSN 1314-7099")</f>
        <v>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ISSN 1314-7099</v>
      </c>
      <c r="F4418" s="10"/>
      <c r="G4418" s="10" t="str">
        <f ca="1">IFERROR(__xludf.DUMMYFUNCTION("""COMPUTED_VALUE"""),"Катя Рашева-Йорданова, Стефка Толева-Стоименова")</f>
        <v>Катя Рашева-Йорданова, Стефка Толева-Стоименова</v>
      </c>
      <c r="H4418" s="10"/>
      <c r="I4418" s="10"/>
      <c r="J4418" s="10"/>
      <c r="K4418" s="10"/>
      <c r="L4418" s="10"/>
      <c r="M4418" s="10"/>
      <c r="N4418" s="10"/>
      <c r="O4418" s="10"/>
      <c r="P4418" s="10"/>
      <c r="Q4418" s="10"/>
      <c r="R4418" s="10"/>
      <c r="S4418" s="10"/>
      <c r="T4418" s="10"/>
      <c r="U4418" s="10"/>
      <c r="V4418" s="10"/>
      <c r="W4418" s="10"/>
      <c r="X4418" s="10"/>
      <c r="Y4418" s="10"/>
      <c r="Z4418" s="10"/>
    </row>
    <row r="4419" spans="1:26" ht="12.75">
      <c r="A4419" s="10" t="str">
        <f ca="1">IFERROR(__xludf.DUMMYFUNCTION("""COMPUTED_VALUE"""),"Катя Христова Рашева-Йорданова")</f>
        <v>Катя Христова Рашева-Йорданова</v>
      </c>
      <c r="B4419" s="10" t="str">
        <f ca="1">IFERROR(__xludf.DUMMYFUNCTION("""COMPUTED_VALUE"""),"Доклад от конференция")</f>
        <v>Доклад от конференция</v>
      </c>
      <c r="C4419" s="10" t="str">
        <f ca="1">IFERROR(__xludf.DUMMYFUNCTION("""COMPUTED_VALUE"""),"ГOЛЕМИ ДАННИ – ОСНОВНИ ХАРАКТЕРИСТИКИ И ПРИЛОЖЕНИЯ")</f>
        <v>ГOЛЕМИ ДАННИ – ОСНОВНИ ХАРАКТЕРИСТИКИ И ПРИЛОЖЕНИЯ</v>
      </c>
      <c r="D4419" s="10">
        <f ca="1">IFERROR(__xludf.DUMMYFUNCTION("""COMPUTED_VALUE"""),2019)</f>
        <v>2019</v>
      </c>
      <c r="E4419" s="10" t="str">
        <f ca="1">IFERROR(__xludf.DUMMYFUNCTION("""COMPUTED_VALUE"""),"Обществото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f>
        <v>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v>
      </c>
      <c r="F4419" s="10"/>
      <c r="G4419" s="10" t="str">
        <f ca="1">IFERROR(__xludf.DUMMYFUNCTION("""COMPUTED_VALUE"""),"Стефка Толева-Стоименова, Катя Рашева-Йорданова, Димитър Христозов")</f>
        <v>Стефка Толева-Стоименова, Катя Рашева-Йорданова, Димитър Христозов</v>
      </c>
      <c r="H4419" s="10"/>
      <c r="I4419" s="10"/>
      <c r="J4419" s="10"/>
      <c r="K4419" s="10"/>
      <c r="L4419" s="10"/>
      <c r="M4419" s="10"/>
      <c r="N4419" s="10"/>
      <c r="O4419" s="10"/>
      <c r="P4419" s="10"/>
      <c r="Q4419" s="10"/>
      <c r="R4419" s="10"/>
      <c r="S4419" s="10"/>
      <c r="T4419" s="10"/>
      <c r="U4419" s="10"/>
      <c r="V4419" s="10"/>
      <c r="W4419" s="10"/>
      <c r="X4419" s="10"/>
      <c r="Y4419" s="10"/>
      <c r="Z4419" s="10"/>
    </row>
    <row r="4420" spans="1:26" ht="12.75">
      <c r="A4420" s="10" t="str">
        <f ca="1">IFERROR(__xludf.DUMMYFUNCTION("""COMPUTED_VALUE"""),"Катя Христова Рашева-Йорданова")</f>
        <v>Катя Христова Рашева-Йорданова</v>
      </c>
      <c r="B4420" s="10" t="str">
        <f ca="1">IFERROR(__xludf.DUMMYFUNCTION("""COMPUTED_VALUE"""),"Доклад от конференция")</f>
        <v>Доклад от конференция</v>
      </c>
      <c r="C4420" s="10" t="str">
        <f ca="1">IFERROR(__xludf.DUMMYFUNCTION("""COMPUTED_VALUE"""),"MARGINAL NOTES – A NEW APPROACH TO SECONDARY SOURCES IN DIGITAL ENVIRONMENT")</f>
        <v>MARGINAL NOTES – A NEW APPROACH TO SECONDARY SOURCES IN DIGITAL ENVIRONMENT</v>
      </c>
      <c r="D4420" s="10">
        <f ca="1">IFERROR(__xludf.DUMMYFUNCTION("""COMPUTED_VALUE"""),2019)</f>
        <v>2019</v>
      </c>
      <c r="E4420" s="10" t="str">
        <f ca="1">IFERROR(__xludf.DUMMYFUNCTION("""COMPUTED_VALUE"""),"Proceedings of INTED2019 Conference 11th-13th March 2019, Valencia, Spain, ISBN: 978-84-09-08619-1,")</f>
        <v>Proceedings of INTED2019 Conference 11th-13th March 2019, Valencia, Spain, ISBN: 978-84-09-08619-1,</v>
      </c>
      <c r="F4420" s="10"/>
      <c r="G4420" s="10" t="str">
        <f ca="1">IFERROR(__xludf.DUMMYFUNCTION("""COMPUTED_VALUE"""),"Polly Mukanova, Katia Rasheva-Yordanova")</f>
        <v>Polly Mukanova, Katia Rasheva-Yordanova</v>
      </c>
      <c r="H4420" s="10"/>
      <c r="I4420" s="10"/>
      <c r="J4420" s="10"/>
      <c r="K4420" s="10"/>
      <c r="L4420" s="10"/>
      <c r="M4420" s="10"/>
      <c r="N4420" s="10"/>
      <c r="O4420" s="10"/>
      <c r="P4420" s="10"/>
      <c r="Q4420" s="10"/>
      <c r="R4420" s="10"/>
      <c r="S4420" s="10"/>
      <c r="T4420" s="10"/>
      <c r="U4420" s="10"/>
      <c r="V4420" s="10"/>
      <c r="W4420" s="10"/>
      <c r="X4420" s="10"/>
      <c r="Y4420" s="10"/>
      <c r="Z4420" s="10"/>
    </row>
    <row r="4421" spans="1:26" ht="12.75">
      <c r="A4421" s="10" t="str">
        <f ca="1">IFERROR(__xludf.DUMMYFUNCTION("""COMPUTED_VALUE"""),"Катя Христова Рашева-Йорданова")</f>
        <v>Катя Христова Рашева-Йорданова</v>
      </c>
      <c r="B4421" s="10" t="str">
        <f ca="1">IFERROR(__xludf.DUMMYFUNCTION("""COMPUTED_VALUE"""),"Доклад от конференция")</f>
        <v>Доклад от конференция</v>
      </c>
      <c r="C4421" s="10" t="str">
        <f ca="1">IFERROR(__xludf.DUMMYFUNCTION("""COMPUTED_VALUE"""),"EXPERIENCE AND EXPERTISE OF DATA SCIENCE AREA SPECIALISTS")</f>
        <v>EXPERIENCE AND EXPERTISE OF DATA SCIENCE AREA SPECIALISTS</v>
      </c>
      <c r="D4421" s="10">
        <f ca="1">IFERROR(__xludf.DUMMYFUNCTION("""COMPUTED_VALUE"""),2019)</f>
        <v>2019</v>
      </c>
      <c r="E4421" s="10" t="str">
        <f ca="1">IFERROR(__xludf.DUMMYFUNCTION("""COMPUTED_VALUE"""),"Rasheva-Yordanova К., S. Toleva-Stoimenova, D. Christozov, V. Chantov, B. Nikolova. EXPERIENCE AND EXPERTISE OF DATA SCIENCE AREA SPECIALISTS. Collection with papers of the fourth scientific conference 27th November, 2018, European Parliament in Brussels."&amp;" pp. 156-164. ISSN: 2535-0250.")</f>
        <v>Rasheva-Yordanova К., S. Toleva-Stoimenova, D. Christozov, V. Chantov, B. Nikolova. EXPERIENCE AND EXPERTISE OF DATA SCIENCE AREA SPECIALISTS. Collection with papers of the fourth scientific conference 27th November, 2018, European Parliament in Brussels. pp. 156-164. ISSN: 2535-0250.</v>
      </c>
      <c r="F4421" s="10"/>
      <c r="G4421" s="10"/>
      <c r="H4421" s="10"/>
      <c r="I4421" s="10"/>
      <c r="J4421" s="10"/>
      <c r="K4421" s="10"/>
      <c r="L4421" s="10"/>
      <c r="M4421" s="10"/>
      <c r="N4421" s="10"/>
      <c r="O4421" s="10"/>
      <c r="P4421" s="10"/>
      <c r="Q4421" s="10"/>
      <c r="R4421" s="10"/>
      <c r="S4421" s="10"/>
      <c r="T4421" s="10"/>
      <c r="U4421" s="10"/>
      <c r="V4421" s="10"/>
      <c r="W4421" s="10"/>
      <c r="X4421" s="10"/>
      <c r="Y4421" s="10"/>
      <c r="Z4421" s="10"/>
    </row>
    <row r="4422" spans="1:26" ht="12.75">
      <c r="A4422" s="10" t="str">
        <f ca="1">IFERROR(__xludf.DUMMYFUNCTION("""COMPUTED_VALUE"""),"Катя Христова Рашева-Йорданова")</f>
        <v>Катя Христова Рашева-Йорданова</v>
      </c>
      <c r="B4422" s="10" t="str">
        <f ca="1">IFERROR(__xludf.DUMMYFUNCTION("""COMPUTED_VALUE"""),"Доклад от конференция")</f>
        <v>Доклад от конференция</v>
      </c>
      <c r="C4422" s="10" t="str">
        <f ca="1">IFERROR(__xludf.DUMMYFUNCTION("""COMPUTED_VALUE"""),"CREATING READING AND WRITING LITERACY AMONG PRESCHOOL AND SCHOOL-AGE MINORITIES: A FACTOR IN REDUCING SOCIAL DISPARITIES IN SOCIETY")</f>
        <v>CREATING READING AND WRITING LITERACY AMONG PRESCHOOL AND SCHOOL-AGE MINORITIES: A FACTOR IN REDUCING SOCIAL DISPARITIES IN SOCIETY</v>
      </c>
      <c r="D4422" s="10">
        <f ca="1">IFERROR(__xludf.DUMMYFUNCTION("""COMPUTED_VALUE"""),2018)</f>
        <v>2018</v>
      </c>
      <c r="E4422" s="10" t="str">
        <f ca="1">IFERROR(__xludf.DUMMYFUNCTION("""COMPUTED_VALUE"""),"Proceedings of INTED2018 Conference 5th-7th March 2018, Valencia, Spain, ISBN: 978-84-697-9480-7")</f>
        <v>Proceedings of INTED2018 Conference 5th-7th March 2018, Valencia, Spain, ISBN: 978-84-697-9480-7</v>
      </c>
      <c r="F4422" s="10" t="str">
        <f ca="1">IFERROR(__xludf.DUMMYFUNCTION("""COMPUTED_VALUE"""),"Web of Science")</f>
        <v>Web of Science</v>
      </c>
      <c r="G4422" s="10" t="str">
        <f ca="1">IFERROR(__xludf.DUMMYFUNCTION("""COMPUTED_VALUE"""),"Boriana Nikolova")</f>
        <v>Boriana Nikolova</v>
      </c>
      <c r="H4422" s="10"/>
      <c r="I4422" s="10"/>
      <c r="J4422" s="10"/>
      <c r="K4422" s="10"/>
      <c r="L4422" s="10"/>
      <c r="M4422" s="10"/>
      <c r="N4422" s="10"/>
      <c r="O4422" s="10"/>
      <c r="P4422" s="10"/>
      <c r="Q4422" s="10"/>
      <c r="R4422" s="10"/>
      <c r="S4422" s="10"/>
      <c r="T4422" s="10"/>
      <c r="U4422" s="10"/>
      <c r="V4422" s="10"/>
      <c r="W4422" s="10"/>
      <c r="X4422" s="10"/>
      <c r="Y4422" s="10"/>
      <c r="Z4422" s="10"/>
    </row>
    <row r="4423" spans="1:26" ht="12.75">
      <c r="A4423" s="10" t="str">
        <f ca="1">IFERROR(__xludf.DUMMYFUNCTION("""COMPUTED_VALUE"""),"Катя Христова Рашева-Йорданова")</f>
        <v>Катя Христова Рашева-Йорданова</v>
      </c>
      <c r="B4423" s="10" t="str">
        <f ca="1">IFERROR(__xludf.DUMMYFUNCTION("""COMPUTED_VALUE"""),"Доклад от конференция")</f>
        <v>Доклад от конференция</v>
      </c>
      <c r="C4423" s="10" t="str">
        <f ca="1">IFERROR(__xludf.DUMMYFUNCTION("""COMPUTED_VALUE"""),"ANALYTICAL THINKING AS A KEY COMPETENCE FOR OVERCOMING THE DATA SCIENCE DIVIDE")</f>
        <v>ANALYTICAL THINKING AS A KEY COMPETENCE FOR OVERCOMING THE DATA SCIENCE DIVIDE</v>
      </c>
      <c r="D4423" s="10">
        <f ca="1">IFERROR(__xludf.DUMMYFUNCTION("""COMPUTED_VALUE"""),2018)</f>
        <v>2018</v>
      </c>
      <c r="E4423" s="10" t="str">
        <f ca="1">IFERROR(__xludf.DUMMYFUNCTION("""COMPUTED_VALUE"""),"Proceedings of EDULEARN18 Conference 2nd-4th July 2018, Palma, Mallorca, Spain 2nd-4th July 2018, ISBN: 978-84-09-02709-5")</f>
        <v>Proceedings of EDULEARN18 Conference 2nd-4th July 2018, Palma, Mallorca, Spain 2nd-4th July 2018, ISBN: 978-84-09-02709-5</v>
      </c>
      <c r="F4423" s="10" t="str">
        <f ca="1">IFERROR(__xludf.DUMMYFUNCTION("""COMPUTED_VALUE"""),"Web of Science")</f>
        <v>Web of Science</v>
      </c>
      <c r="G4423" s="10" t="str">
        <f ca="1">IFERROR(__xludf.DUMMYFUNCTION("""COMPUTED_VALUE"""),"Evtim Iliev Boriana Nikolova")</f>
        <v>Evtim Iliev Boriana Nikolova</v>
      </c>
      <c r="H4423" s="10"/>
      <c r="I4423" s="10"/>
      <c r="J4423" s="10"/>
      <c r="K4423" s="10"/>
      <c r="L4423" s="10"/>
      <c r="M4423" s="10"/>
      <c r="N4423" s="10"/>
      <c r="O4423" s="10"/>
      <c r="P4423" s="10"/>
      <c r="Q4423" s="10"/>
      <c r="R4423" s="10"/>
      <c r="S4423" s="10"/>
      <c r="T4423" s="10"/>
      <c r="U4423" s="10"/>
      <c r="V4423" s="10"/>
      <c r="W4423" s="10"/>
      <c r="X4423" s="10"/>
      <c r="Y4423" s="10"/>
      <c r="Z4423" s="10"/>
    </row>
    <row r="4424" spans="1:26" ht="12.75">
      <c r="A4424" s="10" t="str">
        <f ca="1">IFERROR(__xludf.DUMMYFUNCTION("""COMPUTED_VALUE"""),"Катя Христова Рашева-Йорданова")</f>
        <v>Катя Христова Рашева-Йорданова</v>
      </c>
      <c r="B4424" s="10" t="str">
        <f ca="1">IFERROR(__xludf.DUMMYFUNCTION("""COMPUTED_VALUE"""),"Доклад от конференция")</f>
        <v>Доклад от конференция</v>
      </c>
      <c r="C4424" s="10" t="str">
        <f ca="1">IFERROR(__xludf.DUMMYFUNCTION("""COMPUTED_VALUE"""),"ANALYTICAL COMPETENCES IN BIG DATA ERA: TAXONOMY")</f>
        <v>ANALYTICAL COMPETENCES IN BIG DATA ERA: TAXONOMY</v>
      </c>
      <c r="D4424" s="10">
        <f ca="1">IFERROR(__xludf.DUMMYFUNCTION("""COMPUTED_VALUE"""),2018)</f>
        <v>2018</v>
      </c>
      <c r="E4424" s="10" t="str">
        <f ca="1">IFERROR(__xludf.DUMMYFUNCTION("""COMPUTED_VALUE"""),"Proceedings of ICERI2018 Conference. 12th-14th November 2018, Seville, Spain. pp. 7182-7191,ISBN: 978-84-09-05948-5.")</f>
        <v>Proceedings of ICERI2018 Conference. 12th-14th November 2018, Seville, Spain. pp. 7182-7191,ISBN: 978-84-09-05948-5.</v>
      </c>
      <c r="F4424" s="10"/>
      <c r="G4424" s="10" t="str">
        <f ca="1">IFERROR(__xludf.DUMMYFUNCTION("""COMPUTED_VALUE"""),"Dimitar Christozov, Katia Rasheva-Yordanova, Stefka Toleva-Stoimenova")</f>
        <v>Dimitar Christozov, Katia Rasheva-Yordanova, Stefka Toleva-Stoimenova</v>
      </c>
      <c r="H4424" s="10"/>
      <c r="I4424" s="10"/>
      <c r="J4424" s="10"/>
      <c r="K4424" s="10"/>
      <c r="L4424" s="10"/>
      <c r="M4424" s="10"/>
      <c r="N4424" s="10"/>
      <c r="O4424" s="10"/>
      <c r="P4424" s="10"/>
      <c r="Q4424" s="10"/>
      <c r="R4424" s="10"/>
      <c r="S4424" s="10"/>
      <c r="T4424" s="10"/>
      <c r="U4424" s="10"/>
      <c r="V4424" s="10"/>
      <c r="W4424" s="10"/>
      <c r="X4424" s="10"/>
      <c r="Y4424" s="10"/>
      <c r="Z4424" s="10"/>
    </row>
    <row r="4425" spans="1:26" ht="12.75">
      <c r="A4425" s="10" t="str">
        <f ca="1">IFERROR(__xludf.DUMMYFUNCTION("""COMPUTED_VALUE"""),"Катя Христова Рашева-Йорданова")</f>
        <v>Катя Христова Рашева-Йорданова</v>
      </c>
      <c r="B4425" s="10" t="str">
        <f ca="1">IFERROR(__xludf.DUMMYFUNCTION("""COMPUTED_VALUE"""),"Доклад от конференция")</f>
        <v>Доклад от конференция</v>
      </c>
      <c r="C4425" s="10" t="str">
        <f ca="1">IFERROR(__xludf.DUMMYFUNCTION("""COMPUTED_VALUE"""),"ANALYSIS OF MISSING DATA SCIENCE COMPETENCE IN IT SECTOR")</f>
        <v>ANALYSIS OF MISSING DATA SCIENCE COMPETENCE IN IT SECTOR</v>
      </c>
      <c r="D4425" s="10">
        <f ca="1">IFERROR(__xludf.DUMMYFUNCTION("""COMPUTED_VALUE"""),2018)</f>
        <v>2018</v>
      </c>
      <c r="E4425" s="10" t="str">
        <f ca="1">IFERROR(__xludf.DUMMYFUNCTION("""COMPUTED_VALUE"""),"Proceedings of EDULEARN18 Conference 2nd-4th July 2018, Palma, Mallorca, Spain 2nd-4th July 2018, ISBN: 978-84-09-02709-5")</f>
        <v>Proceedings of EDULEARN18 Conference 2nd-4th July 2018, Palma, Mallorca, Spain 2nd-4th July 2018, ISBN: 978-84-09-02709-5</v>
      </c>
      <c r="F4425" s="10" t="str">
        <f ca="1">IFERROR(__xludf.DUMMYFUNCTION("""COMPUTED_VALUE"""),"Web of Science")</f>
        <v>Web of Science</v>
      </c>
      <c r="G4425" s="10" t="str">
        <f ca="1">IFERROR(__xludf.DUMMYFUNCTION("""COMPUTED_VALUE"""),"Evtim Iliev, Veselin Chantov")</f>
        <v>Evtim Iliev, Veselin Chantov</v>
      </c>
      <c r="H4425" s="10"/>
      <c r="I4425" s="10"/>
      <c r="J4425" s="10"/>
      <c r="K4425" s="10"/>
      <c r="L4425" s="10"/>
      <c r="M4425" s="10"/>
      <c r="N4425" s="10"/>
      <c r="O4425" s="10"/>
      <c r="P4425" s="10"/>
      <c r="Q4425" s="10"/>
      <c r="R4425" s="10"/>
      <c r="S4425" s="10"/>
      <c r="T4425" s="10"/>
      <c r="U4425" s="10"/>
      <c r="V4425" s="10"/>
      <c r="W4425" s="10"/>
      <c r="X4425" s="10"/>
      <c r="Y4425" s="10"/>
      <c r="Z4425" s="10"/>
    </row>
    <row r="4426" spans="1:26" ht="12.75">
      <c r="A4426" s="10" t="str">
        <f ca="1">IFERROR(__xludf.DUMMYFUNCTION("""COMPUTED_VALUE"""),"Катя Христова Рашева-Йорданова")</f>
        <v>Катя Христова Рашева-Йорданова</v>
      </c>
      <c r="B4426" s="10" t="str">
        <f ca="1">IFERROR(__xludf.DUMMYFUNCTION("""COMPUTED_VALUE"""),"Доклад от конференция")</f>
        <v>Доклад от конференция</v>
      </c>
      <c r="C4426" s="10" t="str">
        <f ca="1">IFERROR(__xludf.DUMMYFUNCTION("""COMPUTED_VALUE"""),"RISKS MANAGEMENT IN DATA SCIENCE TRAINING")</f>
        <v>RISKS MANAGEMENT IN DATA SCIENCE TRAINING</v>
      </c>
      <c r="D4426" s="10">
        <f ca="1">IFERROR(__xludf.DUMMYFUNCTION("""COMPUTED_VALUE"""),2018)</f>
        <v>2018</v>
      </c>
      <c r="E4426" s="10" t="str">
        <f ca="1">IFERROR(__xludf.DUMMYFUNCTION("""COMPUTED_VALUE"""),"Proceeding of Regional international conference on APPLIED PROTECTION AND ITS TRENDS, Zlatibor, 07-10 Octomber, 2018.")</f>
        <v>Proceeding of Regional international conference on APPLIED PROTECTION AND ITS TRENDS, Zlatibor, 07-10 Octomber, 2018.</v>
      </c>
      <c r="F4426" s="10"/>
      <c r="G4426" s="10" t="str">
        <f ca="1">IFERROR(__xludf.DUMMYFUNCTION("""COMPUTED_VALUE"""),"Dimitar Christozov, Katia Rasheva-Yordanova, Stefka Toleva-Stoimenova")</f>
        <v>Dimitar Christozov, Katia Rasheva-Yordanova, Stefka Toleva-Stoimenova</v>
      </c>
      <c r="H4426" s="10"/>
      <c r="I4426" s="10"/>
      <c r="J4426" s="10"/>
      <c r="K4426" s="10"/>
      <c r="L4426" s="10"/>
      <c r="M4426" s="10"/>
      <c r="N4426" s="10"/>
      <c r="O4426" s="10"/>
      <c r="P4426" s="10"/>
      <c r="Q4426" s="10"/>
      <c r="R4426" s="10"/>
      <c r="S4426" s="10"/>
      <c r="T4426" s="10"/>
      <c r="U4426" s="10"/>
      <c r="V4426" s="10"/>
      <c r="W4426" s="10"/>
      <c r="X4426" s="10"/>
      <c r="Y4426" s="10"/>
      <c r="Z4426" s="10"/>
    </row>
    <row r="4427" spans="1:26" ht="12.75">
      <c r="A4427" s="10" t="str">
        <f ca="1">IFERROR(__xludf.DUMMYFUNCTION("""COMPUTED_VALUE"""),"Катя Христова Рашева-Йорданова")</f>
        <v>Катя Христова Рашева-Йорданова</v>
      </c>
      <c r="B4427" s="10" t="str">
        <f ca="1">IFERROR(__xludf.DUMMYFUNCTION("""COMPUTED_VALUE"""),"Доклад от конференция")</f>
        <v>Доклад от конференция</v>
      </c>
      <c r="C4427" s="10" t="str">
        <f ca="1">IFERROR(__xludf.DUMMYFUNCTION("""COMPUTED_VALUE"""),"NEW DIMENSIONS OF DATA SCIENCE PROFESSIONAL SKILLS AS EMERGED BY IDENTIFIED ETHICAL ISSUES: GDPR")</f>
        <v>NEW DIMENSIONS OF DATA SCIENCE PROFESSIONAL SKILLS AS EMERGED BY IDENTIFIED ETHICAL ISSUES: GDPR</v>
      </c>
      <c r="D4427" s="10">
        <f ca="1">IFERROR(__xludf.DUMMYFUNCTION("""COMPUTED_VALUE"""),2018)</f>
        <v>2018</v>
      </c>
      <c r="E4427" s="10" t="str">
        <f ca="1">IFERROR(__xludf.DUMMYFUNCTION("""COMPUTED_VALUE"""),"Proceedings of ICERI2018 Conference 12th-14th November 2018, Seville, Spain. pp. 0488-0497., ISBN: 978-84-09-05948-5")</f>
        <v>Proceedings of ICERI2018 Conference 12th-14th November 2018, Seville, Spain. pp. 0488-0497., ISBN: 978-84-09-05948-5</v>
      </c>
      <c r="F4427" s="10"/>
      <c r="G4427" s="10" t="str">
        <f ca="1">IFERROR(__xludf.DUMMYFUNCTION("""COMPUTED_VALUE"""),"Stefka Toleva-Stoimenova, Katia Rasheva-Yordanova, Dimitar Christozov")</f>
        <v>Stefka Toleva-Stoimenova, Katia Rasheva-Yordanova, Dimitar Christozov</v>
      </c>
      <c r="H4427" s="10"/>
      <c r="I4427" s="10"/>
      <c r="J4427" s="10"/>
      <c r="K4427" s="10"/>
      <c r="L4427" s="10"/>
      <c r="M4427" s="10"/>
      <c r="N4427" s="10"/>
      <c r="O4427" s="10"/>
      <c r="P4427" s="10"/>
      <c r="Q4427" s="10"/>
      <c r="R4427" s="10"/>
      <c r="S4427" s="10"/>
      <c r="T4427" s="10"/>
      <c r="U4427" s="10"/>
      <c r="V4427" s="10"/>
      <c r="W4427" s="10"/>
      <c r="X4427" s="10"/>
      <c r="Y4427" s="10"/>
      <c r="Z4427" s="10"/>
    </row>
    <row r="4428" spans="1:26" ht="12.75">
      <c r="A4428" s="10" t="str">
        <f ca="1">IFERROR(__xludf.DUMMYFUNCTION("""COMPUTED_VALUE"""),"Катя Христова Рашева-Йорданова")</f>
        <v>Катя Христова Рашева-Йорданова</v>
      </c>
      <c r="B4428" s="10" t="str">
        <f ca="1">IFERROR(__xludf.DUMMYFUNCTION("""COMPUTED_VALUE"""),"Доклад от конференция")</f>
        <v>Доклад от конференция</v>
      </c>
      <c r="C4428" s="10" t="str">
        <f ca="1">IFERROR(__xludf.DUMMYFUNCTION("""COMPUTED_VALUE"""),"INFORMING AND DIGITAL LITERACY IN CONDITIONS OF DIGITAL DIVIDE")</f>
        <v>INFORMING AND DIGITAL LITERACY IN CONDITIONS OF DIGITAL DIVIDE</v>
      </c>
      <c r="D4428" s="10">
        <f ca="1">IFERROR(__xludf.DUMMYFUNCTION("""COMPUTED_VALUE"""),2017)</f>
        <v>2017</v>
      </c>
      <c r="E4428" s="10" t="str">
        <f ca="1">IFERROR(__xludf.DUMMYFUNCTION("""COMPUTED_VALUE"""),"Proceedings of ICERI2017 Conference 16th-18th November 2017, Seville, Spain, ISBN: 978-84-697-6957-7")</f>
        <v>Proceedings of ICERI2017 Conference 16th-18th November 2017, Seville, Spain, ISBN: 978-84-697-6957-7</v>
      </c>
      <c r="F4428" s="10" t="str">
        <f ca="1">IFERROR(__xludf.DUMMYFUNCTION("""COMPUTED_VALUE"""),"Web of Science")</f>
        <v>Web of Science</v>
      </c>
      <c r="G4428" s="10" t="str">
        <f ca="1">IFERROR(__xludf.DUMMYFUNCTION("""COMPUTED_VALUE"""),"Stefka Toleva-Stoimenova, Iva Kostadinova Boriana Nikolova")</f>
        <v>Stefka Toleva-Stoimenova, Iva Kostadinova Boriana Nikolova</v>
      </c>
      <c r="H4428" s="10"/>
      <c r="I4428" s="10"/>
      <c r="J4428" s="10"/>
      <c r="K4428" s="10"/>
      <c r="L4428" s="10"/>
      <c r="M4428" s="10"/>
      <c r="N4428" s="10"/>
      <c r="O4428" s="10"/>
      <c r="P4428" s="10"/>
      <c r="Q4428" s="10"/>
      <c r="R4428" s="10"/>
      <c r="S4428" s="10"/>
      <c r="T4428" s="10"/>
      <c r="U4428" s="10"/>
      <c r="V4428" s="10"/>
      <c r="W4428" s="10"/>
      <c r="X4428" s="10"/>
      <c r="Y4428" s="10"/>
      <c r="Z4428" s="10"/>
    </row>
    <row r="4429" spans="1:26" ht="12.75">
      <c r="A4429" s="10" t="str">
        <f ca="1">IFERROR(__xludf.DUMMYFUNCTION("""COMPUTED_VALUE"""),"Катя Христова Рашева-Йорданова")</f>
        <v>Катя Христова Рашева-Йорданова</v>
      </c>
      <c r="B4429" s="10" t="str">
        <f ca="1">IFERROR(__xludf.DUMMYFUNCTION("""COMPUTED_VALUE"""),"Доклад от конференция")</f>
        <v>Доклад от конференция</v>
      </c>
      <c r="C4429" s="10" t="str">
        <f ca="1">IFERROR(__xludf.DUMMYFUNCTION("""COMPUTED_VALUE"""),"AN APPROACH TO STIMULATE INTEREST TO READING IN CHILDREN'S AUDIENCES")</f>
        <v>AN APPROACH TO STIMULATE INTEREST TO READING IN CHILDREN'S AUDIENCES</v>
      </c>
      <c r="D4429" s="10">
        <f ca="1">IFERROR(__xludf.DUMMYFUNCTION("""COMPUTED_VALUE"""),2017)</f>
        <v>2017</v>
      </c>
      <c r="E4429" s="10" t="str">
        <f ca="1">IFERROR(__xludf.DUMMYFUNCTION("""COMPUTED_VALUE"""),"Proceedings of ICERI2017 Conference 16th-18th November 2017, Seville, Spain, ISBN: 978-84-697-6957-7")</f>
        <v>Proceedings of ICERI2017 Conference 16th-18th November 2017, Seville, Spain, ISBN: 978-84-697-6957-7</v>
      </c>
      <c r="F4429" s="10" t="str">
        <f ca="1">IFERROR(__xludf.DUMMYFUNCTION("""COMPUTED_VALUE"""),"Web of Science")</f>
        <v>Web of Science</v>
      </c>
      <c r="G4429" s="10" t="str">
        <f ca="1">IFERROR(__xludf.DUMMYFUNCTION("""COMPUTED_VALUE"""),"Boriana Nikolova")</f>
        <v>Boriana Nikolova</v>
      </c>
      <c r="H4429" s="10"/>
      <c r="I4429" s="10"/>
      <c r="J4429" s="10"/>
      <c r="K4429" s="10"/>
      <c r="L4429" s="10"/>
      <c r="M4429" s="10"/>
      <c r="N4429" s="10"/>
      <c r="O4429" s="10"/>
      <c r="P4429" s="10"/>
      <c r="Q4429" s="10"/>
      <c r="R4429" s="10"/>
      <c r="S4429" s="10"/>
      <c r="T4429" s="10"/>
      <c r="U4429" s="10"/>
      <c r="V4429" s="10"/>
      <c r="W4429" s="10"/>
      <c r="X4429" s="10"/>
      <c r="Y4429" s="10"/>
      <c r="Z4429" s="10"/>
    </row>
    <row r="4430" spans="1:26" ht="12.75">
      <c r="A4430" s="10" t="str">
        <f ca="1">IFERROR(__xludf.DUMMYFUNCTION("""COMPUTED_VALUE"""),"Катя Христова Рашева-Йорданова")</f>
        <v>Катя Христова Рашева-Йорданова</v>
      </c>
      <c r="B4430" s="10" t="str">
        <f ca="1">IFERROR(__xludf.DUMMYFUNCTION("""COMPUTED_VALUE"""),"Доклад от конференция")</f>
        <v>Доклад от конференция</v>
      </c>
      <c r="C4430" s="10" t="str">
        <f ca="1">IFERROR(__xludf.DUMMYFUNCTION("""COMPUTED_VALUE"""),"MODEL FOR A REGULAR EVALUATION OF THE EFFECTIVENESS OF MANAGEMENT PROCESSES IN HIGHER EDUCATION USING CORRECTIVE ACTIONS")</f>
        <v>MODEL FOR A REGULAR EVALUATION OF THE EFFECTIVENESS OF MANAGEMENT PROCESSES IN HIGHER EDUCATION USING CORRECTIVE ACTIONS</v>
      </c>
      <c r="D4430" s="10">
        <f ca="1">IFERROR(__xludf.DUMMYFUNCTION("""COMPUTED_VALUE"""),2017)</f>
        <v>2017</v>
      </c>
      <c r="E4430" s="10" t="str">
        <f ca="1">IFERROR(__xludf.DUMMYFUNCTION("""COMPUTED_VALUE"""),"Proceedings of EDULEARN17 Conference 3rd-5th July 2017, Barcelona, Spain, ISBN: 978-84-697-3777-4")</f>
        <v>Proceedings of EDULEARN17 Conference 3rd-5th July 2017, Barcelona, Spain, ISBN: 978-84-697-3777-4</v>
      </c>
      <c r="F4430" s="10" t="str">
        <f ca="1">IFERROR(__xludf.DUMMYFUNCTION("""COMPUTED_VALUE"""),"Web of Science")</f>
        <v>Web of Science</v>
      </c>
      <c r="G4430" s="10" t="str">
        <f ca="1">IFERROR(__xludf.DUMMYFUNCTION("""COMPUTED_VALUE"""),"Yoana Hadzhiyska, Ivan T. Ivanov")</f>
        <v>Yoana Hadzhiyska, Ivan T. Ivanov</v>
      </c>
      <c r="H4430" s="10"/>
      <c r="I4430" s="10"/>
      <c r="J4430" s="10"/>
      <c r="K4430" s="10"/>
      <c r="L4430" s="10"/>
      <c r="M4430" s="10"/>
      <c r="N4430" s="10"/>
      <c r="O4430" s="10"/>
      <c r="P4430" s="10"/>
      <c r="Q4430" s="10"/>
      <c r="R4430" s="10"/>
      <c r="S4430" s="10"/>
      <c r="T4430" s="10"/>
      <c r="U4430" s="10"/>
      <c r="V4430" s="10"/>
      <c r="W4430" s="10"/>
      <c r="X4430" s="10"/>
      <c r="Y4430" s="10"/>
      <c r="Z4430" s="10"/>
    </row>
    <row r="4431" spans="1:26" ht="12.75">
      <c r="A4431" s="10" t="str">
        <f ca="1">IFERROR(__xludf.DUMMYFUNCTION("""COMPUTED_VALUE"""),"Катя Христова Рашева-Йорданова")</f>
        <v>Катя Христова Рашева-Йорданова</v>
      </c>
      <c r="B4431" s="10" t="str">
        <f ca="1">IFERROR(__xludf.DUMMYFUNCTION("""COMPUTED_VALUE"""),"Доклад от конференция")</f>
        <v>Доклад от конференция</v>
      </c>
      <c r="C4431" s="10" t="str">
        <f ca="1">IFERROR(__xludf.DUMMYFUNCTION("""COMPUTED_VALUE"""),"AUTOMATED SYSTEM FOR GENERATING AND VALIDATION A LEARNING TESTS")</f>
        <v>AUTOMATED SYSTEM FOR GENERATING AND VALIDATION A LEARNING TESTS</v>
      </c>
      <c r="D4431" s="10">
        <f ca="1">IFERROR(__xludf.DUMMYFUNCTION("""COMPUTED_VALUE"""),2017)</f>
        <v>2017</v>
      </c>
      <c r="E4431" s="10" t="str">
        <f ca="1">IFERROR(__xludf.DUMMYFUNCTION("""COMPUTED_VALUE"""),"Proceedings of ICERI2017 Conference 16th-18th November 2017, Seville, Spain, ISBN: 978-84-697-6957-7")</f>
        <v>Proceedings of ICERI2017 Conference 16th-18th November 2017, Seville, Spain, ISBN: 978-84-697-6957-7</v>
      </c>
      <c r="F4431" s="10" t="str">
        <f ca="1">IFERROR(__xludf.DUMMYFUNCTION("""COMPUTED_VALUE"""),"Web of Science")</f>
        <v>Web of Science</v>
      </c>
      <c r="G4431" s="10" t="str">
        <f ca="1">IFERROR(__xludf.DUMMYFUNCTION("""COMPUTED_VALUE"""),"Iva Kostadinova Ivan T. Ivanov Pepa Petrova")</f>
        <v>Iva Kostadinova Ivan T. Ivanov Pepa Petrova</v>
      </c>
      <c r="H4431" s="10"/>
      <c r="I4431" s="10"/>
      <c r="J4431" s="10"/>
      <c r="K4431" s="10"/>
      <c r="L4431" s="10"/>
      <c r="M4431" s="10"/>
      <c r="N4431" s="10"/>
      <c r="O4431" s="10"/>
      <c r="P4431" s="10"/>
      <c r="Q4431" s="10"/>
      <c r="R4431" s="10"/>
      <c r="S4431" s="10"/>
      <c r="T4431" s="10"/>
      <c r="U4431" s="10"/>
      <c r="V4431" s="10"/>
      <c r="W4431" s="10"/>
      <c r="X4431" s="10"/>
      <c r="Y4431" s="10"/>
      <c r="Z4431" s="10"/>
    </row>
    <row r="4432" spans="1:26" ht="12.75">
      <c r="A4432" s="10" t="str">
        <f ca="1">IFERROR(__xludf.DUMMYFUNCTION("""COMPUTED_VALUE"""),"Катя Христова Рашева-Йорданова")</f>
        <v>Катя Христова Рашева-Йорданова</v>
      </c>
      <c r="B4432" s="10" t="str">
        <f ca="1">IFERROR(__xludf.DUMMYFUNCTION("""COMPUTED_VALUE"""),"Доклад от конференция")</f>
        <v>Доклад от конференция</v>
      </c>
      <c r="C4432" s="10" t="str">
        <f ca="1">IFERROR(__xludf.DUMMYFUNCTION("""COMPUTED_VALUE"""),"ANALYSIS OF THE POSSIBILITIES FOR ENHANCING STUDENTS’ TRAINING PERFORMANCE IN HARD SKILLS SUBJECTS")</f>
        <v>ANALYSIS OF THE POSSIBILITIES FOR ENHANCING STUDENTS’ TRAINING PERFORMANCE IN HARD SKILLS SUBJECTS</v>
      </c>
      <c r="D4432" s="10">
        <f ca="1">IFERROR(__xludf.DUMMYFUNCTION("""COMPUTED_VALUE"""),2017)</f>
        <v>2017</v>
      </c>
      <c r="E4432" s="10" t="str">
        <f ca="1">IFERROR(__xludf.DUMMYFUNCTION("""COMPUTED_VALUE"""),"Proceedings of EDULEARN17 Conference 3rd-5th July 2017, Barcelona, Spain, ISBN: 978-84-697-3777-4")</f>
        <v>Proceedings of EDULEARN17 Conference 3rd-5th July 2017, Barcelona, Spain, ISBN: 978-84-697-3777-4</v>
      </c>
      <c r="F4432" s="10" t="str">
        <f ca="1">IFERROR(__xludf.DUMMYFUNCTION("""COMPUTED_VALUE"""),"Web of Science")</f>
        <v>Web of Science</v>
      </c>
      <c r="G4432" s="10" t="str">
        <f ca="1">IFERROR(__xludf.DUMMYFUNCTION("""COMPUTED_VALUE"""),"Iva Kostadinova, Boryana Nikolova, Yoana Hadzhiyska")</f>
        <v>Iva Kostadinova, Boryana Nikolova, Yoana Hadzhiyska</v>
      </c>
      <c r="H4432" s="10"/>
      <c r="I4432" s="10"/>
      <c r="J4432" s="10"/>
      <c r="K4432" s="10"/>
      <c r="L4432" s="10"/>
      <c r="M4432" s="10"/>
      <c r="N4432" s="10"/>
      <c r="O4432" s="10"/>
      <c r="P4432" s="10"/>
      <c r="Q4432" s="10"/>
      <c r="R4432" s="10"/>
      <c r="S4432" s="10"/>
      <c r="T4432" s="10"/>
      <c r="U4432" s="10"/>
      <c r="V4432" s="10"/>
      <c r="W4432" s="10"/>
      <c r="X4432" s="10"/>
      <c r="Y4432" s="10"/>
      <c r="Z4432" s="10"/>
    </row>
    <row r="4433" spans="1:26" ht="12.75">
      <c r="A4433" s="10" t="str">
        <f ca="1">IFERROR(__xludf.DUMMYFUNCTION("""COMPUTED_VALUE"""),"Катя Христова Рашева-Йорданова")</f>
        <v>Катя Христова Рашева-Йорданова</v>
      </c>
      <c r="B4433" s="10" t="str">
        <f ca="1">IFERROR(__xludf.DUMMYFUNCTION("""COMPUTED_VALUE"""),"Доклад от конференция")</f>
        <v>Доклад от конференция</v>
      </c>
      <c r="C4433" s="10" t="str">
        <f ca="1">IFERROR(__xludf.DUMMYFUNCTION("""COMPUTED_VALUE"""),"MODEL OF STIMULATING THE MOTIVATION AS A KEY FACTOR IN OVERCOMING THE DIGITAL DIVIDE PHENOMENON")</f>
        <v>MODEL OF STIMULATING THE MOTIVATION AS A KEY FACTOR IN OVERCOMING THE DIGITAL DIVIDE PHENOMENON</v>
      </c>
      <c r="D4433" s="10">
        <f ca="1">IFERROR(__xludf.DUMMYFUNCTION("""COMPUTED_VALUE"""),2017)</f>
        <v>2017</v>
      </c>
      <c r="E4433" s="10" t="str">
        <f ca="1">IFERROR(__xludf.DUMMYFUNCTION("""COMPUTED_VALUE"""),"Proceedings of INTED2017 Conference, 6th-8th March 2017, Valencia, Spain ISBN: 978-84-617-8491-2")</f>
        <v>Proceedings of INTED2017 Conference, 6th-8th March 2017, Valencia, Spain ISBN: 978-84-617-8491-2</v>
      </c>
      <c r="F4433" s="10" t="str">
        <f ca="1">IFERROR(__xludf.DUMMYFUNCTION("""COMPUTED_VALUE"""),"Web of Science")</f>
        <v>Web of Science</v>
      </c>
      <c r="G4433" s="10" t="str">
        <f ca="1">IFERROR(__xludf.DUMMYFUNCTION("""COMPUTED_VALUE"""),"Dimitar Christozov, Iva Kostadinova")</f>
        <v>Dimitar Christozov, Iva Kostadinova</v>
      </c>
      <c r="H4433" s="10"/>
      <c r="I4433" s="10"/>
      <c r="J4433" s="10"/>
      <c r="K4433" s="10"/>
      <c r="L4433" s="10"/>
      <c r="M4433" s="10"/>
      <c r="N4433" s="10"/>
      <c r="O4433" s="10"/>
      <c r="P4433" s="10"/>
      <c r="Q4433" s="10"/>
      <c r="R4433" s="10"/>
      <c r="S4433" s="10"/>
      <c r="T4433" s="10"/>
      <c r="U4433" s="10"/>
      <c r="V4433" s="10"/>
      <c r="W4433" s="10"/>
      <c r="X4433" s="10"/>
      <c r="Y4433" s="10"/>
      <c r="Z4433" s="10"/>
    </row>
    <row r="4434" spans="1:26" ht="12.75">
      <c r="A4434" s="10" t="str">
        <f ca="1">IFERROR(__xludf.DUMMYFUNCTION("""COMPUTED_VALUE"""),"Катя Христова Рашева-Йорданова")</f>
        <v>Катя Христова Рашева-Йорданова</v>
      </c>
      <c r="B4434" s="10" t="str">
        <f ca="1">IFERROR(__xludf.DUMMYFUNCTION("""COMPUTED_VALUE"""),"Доклад от конференция")</f>
        <v>Доклад от конференция</v>
      </c>
      <c r="C4434" s="10" t="str">
        <f ca="1">IFERROR(__xludf.DUMMYFUNCTION("""COMPUTED_VALUE"""),"RESIDENCE AND THE SOCIAL ENVIRONMENT AS A FACTOR AFFECTING DIGITAL SKILLS AND COMPETENCE IN BULGARIA. STEPS AND METHODS TO OVERCOME THE PROBLEM")</f>
        <v>RESIDENCE AND THE SOCIAL ENVIRONMENT AS A FACTOR AFFECTING DIGITAL SKILLS AND COMPETENCE IN BULGARIA. STEPS AND METHODS TO OVERCOME THE PROBLEM</v>
      </c>
      <c r="D4434" s="10">
        <f ca="1">IFERROR(__xludf.DUMMYFUNCTION("""COMPUTED_VALUE"""),2016)</f>
        <v>2016</v>
      </c>
      <c r="E4434" s="10" t="str">
        <f ca="1">IFERROR(__xludf.DUMMYFUNCTION("""COMPUTED_VALUE"""),"Proceedings of ICERI2016 Conference, 14th-16th November 2016, Seville, Spain ISBN: 978-84-617-5895-1")</f>
        <v>Proceedings of ICERI2016 Conference, 14th-16th November 2016, Seville, Spain ISBN: 978-84-617-5895-1</v>
      </c>
      <c r="F4434" s="10" t="str">
        <f ca="1">IFERROR(__xludf.DUMMYFUNCTION("""COMPUTED_VALUE"""),"Web of Science")</f>
        <v>Web of Science</v>
      </c>
      <c r="G4434" s="10" t="str">
        <f ca="1">IFERROR(__xludf.DUMMYFUNCTION("""COMPUTED_VALUE"""),"Iva Kostadinova, Georgie Dimitrov")</f>
        <v>Iva Kostadinova, Georgie Dimitrov</v>
      </c>
      <c r="H4434" s="10"/>
      <c r="I4434" s="10"/>
      <c r="J4434" s="10"/>
      <c r="K4434" s="10"/>
      <c r="L4434" s="10"/>
      <c r="M4434" s="10"/>
      <c r="N4434" s="10"/>
      <c r="O4434" s="10"/>
      <c r="P4434" s="10"/>
      <c r="Q4434" s="10"/>
      <c r="R4434" s="10"/>
      <c r="S4434" s="10"/>
      <c r="T4434" s="10"/>
      <c r="U4434" s="10"/>
      <c r="V4434" s="10"/>
      <c r="W4434" s="10"/>
      <c r="X4434" s="10"/>
      <c r="Y4434" s="10"/>
      <c r="Z4434" s="10"/>
    </row>
    <row r="4435" spans="1:26" ht="12.75">
      <c r="A4435" s="10" t="str">
        <f ca="1">IFERROR(__xludf.DUMMYFUNCTION("""COMPUTED_VALUE"""),"Катя Христова Рашева-Йорданова")</f>
        <v>Катя Христова Рашева-Йорданова</v>
      </c>
      <c r="B4435" s="10" t="str">
        <f ca="1">IFERROR(__xludf.DUMMYFUNCTION("""COMPUTED_VALUE"""),"Книга")</f>
        <v>Книга</v>
      </c>
      <c r="C4435" s="10" t="str">
        <f ca="1">IFERROR(__xludf.DUMMYFUNCTION("""COMPUTED_VALUE"""),"Контент мениджмънт системи. Част 2. Практическо ръководство за работа с Plone 4.x.")</f>
        <v>Контент мениджмънт системи. Част 2. Практическо ръководство за работа с Plone 4.x.</v>
      </c>
      <c r="D4435" s="10">
        <f ca="1">IFERROR(__xludf.DUMMYFUNCTION("""COMPUTED_VALUE"""),2016)</f>
        <v>2016</v>
      </c>
      <c r="E4435" s="10" t="str">
        <f ca="1">IFERROR(__xludf.DUMMYFUNCTION("""COMPUTED_VALUE"""),"Изд. “Про Лангс”, София, 2016, с. 124. ISBN 978-954-2995-28-9")</f>
        <v>Изд. “Про Лангс”, София, 2016, с. 124. ISBN 978-954-2995-28-9</v>
      </c>
      <c r="F4435" s="10"/>
      <c r="G4435" s="10"/>
      <c r="H4435" s="10"/>
      <c r="I4435" s="10"/>
      <c r="J4435" s="10"/>
      <c r="K4435" s="10"/>
      <c r="L4435" s="10"/>
      <c r="M4435" s="10"/>
      <c r="N4435" s="10"/>
      <c r="O4435" s="10"/>
      <c r="P4435" s="10"/>
      <c r="Q4435" s="10"/>
      <c r="R4435" s="10"/>
      <c r="S4435" s="10"/>
      <c r="T4435" s="10"/>
      <c r="U4435" s="10"/>
      <c r="V4435" s="10"/>
      <c r="W4435" s="10"/>
      <c r="X4435" s="10"/>
      <c r="Y4435" s="10"/>
      <c r="Z4435" s="10"/>
    </row>
    <row r="4436" spans="1:26" ht="12.75">
      <c r="A4436" s="10" t="str">
        <f ca="1">IFERROR(__xludf.DUMMYFUNCTION("""COMPUTED_VALUE"""),"Катя Христова Рашева-Йорданова")</f>
        <v>Катя Христова Рашева-Йорданова</v>
      </c>
      <c r="B4436" s="10" t="str">
        <f ca="1">IFERROR(__xludf.DUMMYFUNCTION("""COMPUTED_VALUE"""),"Доклад от конференция")</f>
        <v>Доклад от конференция</v>
      </c>
      <c r="C4436" s="10" t="str">
        <f ca="1">IFERROR(__xludf.DUMMYFUNCTION("""COMPUTED_VALUE"""),"Overcoming the Digital Divide in Bulgaria via usage of Smartphone device")</f>
        <v>Overcoming the Digital Divide in Bulgaria via usage of Smartphone device</v>
      </c>
      <c r="D4436" s="10">
        <f ca="1">IFERROR(__xludf.DUMMYFUNCTION("""COMPUTED_VALUE"""),2016)</f>
        <v>2016</v>
      </c>
      <c r="E4436" s="10" t="str">
        <f ca="1">IFERROR(__xludf.DUMMYFUNCTION("""COMPUTED_VALUE"""),"Proceedings of ATTENTIS 2016; ISBN: 978-80-554-1302-0")</f>
        <v>Proceedings of ATTENTIS 2016; ISBN: 978-80-554-1302-0</v>
      </c>
      <c r="F4436" s="10" t="str">
        <f ca="1">IFERROR(__xludf.DUMMYFUNCTION("""COMPUTED_VALUE"""),"ELSEVIER (www.sciencedirect.com)")</f>
        <v>ELSEVIER (www.sciencedirect.com)</v>
      </c>
      <c r="G4436" s="10" t="str">
        <f ca="1">IFERROR(__xludf.DUMMYFUNCTION("""COMPUTED_VALUE"""),"Stefka Toleva-Stoimenova, Iva Kostadinova")</f>
        <v>Stefka Toleva-Stoimenova, Iva Kostadinova</v>
      </c>
      <c r="H4436" s="10"/>
      <c r="I4436" s="10"/>
      <c r="J4436" s="10"/>
      <c r="K4436" s="10"/>
      <c r="L4436" s="10"/>
      <c r="M4436" s="10"/>
      <c r="N4436" s="10"/>
      <c r="O4436" s="10"/>
      <c r="P4436" s="10"/>
      <c r="Q4436" s="10"/>
      <c r="R4436" s="10"/>
      <c r="S4436" s="10"/>
      <c r="T4436" s="10"/>
      <c r="U4436" s="10"/>
      <c r="V4436" s="10"/>
      <c r="W4436" s="10"/>
      <c r="X4436" s="10"/>
      <c r="Y4436" s="10"/>
      <c r="Z4436" s="10"/>
    </row>
    <row r="4437" spans="1:26" ht="12.75">
      <c r="A4437" s="10" t="str">
        <f ca="1">IFERROR(__xludf.DUMMYFUNCTION("""COMPUTED_VALUE"""),"Катя Христова Рашева-Йорданова")</f>
        <v>Катя Христова Рашева-Йорданова</v>
      </c>
      <c r="B4437" s="10" t="str">
        <f ca="1">IFERROR(__xludf.DUMMYFUNCTION("""COMPUTED_VALUE"""),"Доклад от конференция")</f>
        <v>Доклад от конференция</v>
      </c>
      <c r="C4437" s="10" t="str">
        <f ca="1">IFERROR(__xludf.DUMMYFUNCTION("""COMPUTED_VALUE"""),"An Approach to constructing a model for creating a system for automated generation of tests")</f>
        <v>An Approach to constructing a model for creating a system for automated generation of tests</v>
      </c>
      <c r="D4437" s="10">
        <f ca="1">IFERROR(__xludf.DUMMYFUNCTION("""COMPUTED_VALUE"""),2016)</f>
        <v>2016</v>
      </c>
      <c r="E4437" s="10" t="str">
        <f ca="1">IFERROR(__xludf.DUMMYFUNCTION("""COMPUTED_VALUE"""),"Proceedings of ATTENTIS 2016; ISBN: 978-80-554-1302-0")</f>
        <v>Proceedings of ATTENTIS 2016; ISBN: 978-80-554-1302-0</v>
      </c>
      <c r="F4437" s="10" t="str">
        <f ca="1">IFERROR(__xludf.DUMMYFUNCTION("""COMPUTED_VALUE"""),"ELSEVIER (www.sciencedirect.com)")</f>
        <v>ELSEVIER (www.sciencedirect.com)</v>
      </c>
      <c r="G4437" s="10" t="str">
        <f ca="1">IFERROR(__xludf.DUMMYFUNCTION("""COMPUTED_VALUE"""),"Iva Kostadinova, Ivan T. Ivanov")</f>
        <v>Iva Kostadinova, Ivan T. Ivanov</v>
      </c>
      <c r="H4437" s="10"/>
      <c r="I4437" s="10"/>
      <c r="J4437" s="10"/>
      <c r="K4437" s="10"/>
      <c r="L4437" s="10"/>
      <c r="M4437" s="10"/>
      <c r="N4437" s="10"/>
      <c r="O4437" s="10"/>
      <c r="P4437" s="10"/>
      <c r="Q4437" s="10"/>
      <c r="R4437" s="10"/>
      <c r="S4437" s="10"/>
      <c r="T4437" s="10"/>
      <c r="U4437" s="10"/>
      <c r="V4437" s="10"/>
      <c r="W4437" s="10"/>
      <c r="X4437" s="10"/>
      <c r="Y4437" s="10"/>
      <c r="Z4437" s="10"/>
    </row>
    <row r="4438" spans="1:26" ht="12.75">
      <c r="A4438" s="10" t="str">
        <f ca="1">IFERROR(__xludf.DUMMYFUNCTION("""COMPUTED_VALUE"""),"Катя Христова Рашева-Йорданова")</f>
        <v>Катя Христова Рашева-Йорданова</v>
      </c>
      <c r="B4438" s="10" t="str">
        <f ca="1">IFERROR(__xludf.DUMMYFUNCTION("""COMPUTED_VALUE"""),"Книга")</f>
        <v>Книга</v>
      </c>
      <c r="C4438" s="10" t="str">
        <f ca="1">IFERROR(__xludf.DUMMYFUNCTION("""COMPUTED_VALUE"""),"Data Literacy: Developing Skills on Exploring Big Data Applications")</f>
        <v>Data Literacy: Developing Skills on Exploring Big Data Applications</v>
      </c>
      <c r="D4438" s="10">
        <f ca="1">IFERROR(__xludf.DUMMYFUNCTION("""COMPUTED_VALUE"""),2016)</f>
        <v>2016</v>
      </c>
      <c r="E4438" s="10" t="str">
        <f ca="1">IFERROR(__xludf.DUMMYFUNCTION("""COMPUTED_VALUE"""),"International Journal of Digital Literacy and Digital Competence (IJDLDC) 8(2), ISSN: 1947-3494")</f>
        <v>International Journal of Digital Literacy and Digital Competence (IJDLDC) 8(2), ISSN: 1947-3494</v>
      </c>
      <c r="F4438" s="10" t="str">
        <f ca="1">IFERROR(__xludf.DUMMYFUNCTION("""COMPUTED_VALUE"""),"Google Scholar")</f>
        <v>Google Scholar</v>
      </c>
      <c r="G4438" s="10" t="str">
        <f ca="1">IFERROR(__xludf.DUMMYFUNCTION("""COMPUTED_VALUE"""),"Dimitar Christozov")</f>
        <v>Dimitar Christozov</v>
      </c>
      <c r="H4438" s="10"/>
      <c r="I4438" s="10"/>
      <c r="J4438" s="10"/>
      <c r="K4438" s="10"/>
      <c r="L4438" s="10"/>
      <c r="M4438" s="10"/>
      <c r="N4438" s="10"/>
      <c r="O4438" s="10"/>
      <c r="P4438" s="10"/>
      <c r="Q4438" s="10"/>
      <c r="R4438" s="10"/>
      <c r="S4438" s="10"/>
      <c r="T4438" s="10"/>
      <c r="U4438" s="10"/>
      <c r="V4438" s="10"/>
      <c r="W4438" s="10"/>
      <c r="X4438" s="10"/>
      <c r="Y4438" s="10"/>
      <c r="Z4438" s="10"/>
    </row>
    <row r="4439" spans="1:26" ht="12.75">
      <c r="A4439" s="10" t="str">
        <f ca="1">IFERROR(__xludf.DUMMYFUNCTION("""COMPUTED_VALUE"""),"Катя Христова Рашева-Йорданова")</f>
        <v>Катя Христова Рашева-Йорданова</v>
      </c>
      <c r="B4439" s="10" t="str">
        <f ca="1">IFERROR(__xludf.DUMMYFUNCTION("""COMPUTED_VALUE"""),"Доклад от конференция")</f>
        <v>Доклад от конференция</v>
      </c>
      <c r="C4439" s="10" t="str">
        <f ca="1">IFERROR(__xludf.DUMMYFUNCTION("""COMPUTED_VALUE"""),"ROLE OF THE INSTITUTION “CHITALISHTE” FOR BRIDGING THE DIGITAL DIVIDE IN BULGARIA")</f>
        <v>ROLE OF THE INSTITUTION “CHITALISHTE” FOR BRIDGING THE DIGITAL DIVIDE IN BULGARIA</v>
      </c>
      <c r="D4439" s="10">
        <f ca="1">IFERROR(__xludf.DUMMYFUNCTION("""COMPUTED_VALUE"""),2016)</f>
        <v>2016</v>
      </c>
      <c r="E4439" s="10" t="str">
        <f ca="1">IFERROR(__xludf.DUMMYFUNCTION("""COMPUTED_VALUE"""),"Proceedings of ICERI2016 Conference, 14th-16th November 2016, Seville, Spain ISBN: 978-84-617-5895-1")</f>
        <v>Proceedings of ICERI2016 Conference, 14th-16th November 2016, Seville, Spain ISBN: 978-84-617-5895-1</v>
      </c>
      <c r="F4439" s="10" t="str">
        <f ca="1">IFERROR(__xludf.DUMMYFUNCTION("""COMPUTED_VALUE"""),"Web Science")</f>
        <v>Web Science</v>
      </c>
      <c r="G4439" s="10" t="str">
        <f ca="1">IFERROR(__xludf.DUMMYFUNCTION("""COMPUTED_VALUE"""),"Dimitar Christozov Iva Kostadinova")</f>
        <v>Dimitar Christozov Iva Kostadinova</v>
      </c>
      <c r="H4439" s="10"/>
      <c r="I4439" s="10"/>
      <c r="J4439" s="10"/>
      <c r="K4439" s="10"/>
      <c r="L4439" s="10"/>
      <c r="M4439" s="10"/>
      <c r="N4439" s="10"/>
      <c r="O4439" s="10"/>
      <c r="P4439" s="10"/>
      <c r="Q4439" s="10"/>
      <c r="R4439" s="10"/>
      <c r="S4439" s="10"/>
      <c r="T4439" s="10"/>
      <c r="U4439" s="10"/>
      <c r="V4439" s="10"/>
      <c r="W4439" s="10"/>
      <c r="X4439" s="10"/>
      <c r="Y4439" s="10"/>
      <c r="Z4439" s="10"/>
    </row>
    <row r="4440" spans="1:26" ht="12.75">
      <c r="A4440" s="10" t="str">
        <f ca="1">IFERROR(__xludf.DUMMYFUNCTION("""COMPUTED_VALUE"""),"Катя Христова Рашева-Йорданова")</f>
        <v>Катя Христова Рашева-Йорданова</v>
      </c>
      <c r="B4440" s="10" t="str">
        <f ca="1">IFERROR(__xludf.DUMMYFUNCTION("""COMPUTED_VALUE"""),"Доклад от конференция")</f>
        <v>Доклад от конференция</v>
      </c>
      <c r="C4440" s="10" t="str">
        <f ca="1">IFERROR(__xludf.DUMMYFUNCTION("""COMPUTED_VALUE"""),"Концептуален модел на уебсайт на библиотеката към УниБИТ")</f>
        <v>Концептуален модел на уебсайт на библиотеката към УниБИТ</v>
      </c>
      <c r="D4440" s="10">
        <f ca="1">IFERROR(__xludf.DUMMYFUNCTION("""COMPUTED_VALUE"""),2016)</f>
        <v>2016</v>
      </c>
      <c r="E4440" s="10" t="str">
        <f ca="1">IFERROR(__xludf.DUMMYFUNCTION("""COMPUTED_VALUE"""),"Сборник с доклади от XIII Национална научна конференция с международно участие „Обществото на знанието и хуманизмът на XXI век”, 1 Ноември 2015 г, София")</f>
        <v>Сборник с доклади от XIII Национална научна конференция с международно участие „Обществото на знанието и хуманизмът на XXI век”, 1 Ноември 2015 г, София</v>
      </c>
      <c r="F4440" s="10"/>
      <c r="G4440" s="10" t="str">
        <f ca="1">IFERROR(__xludf.DUMMYFUNCTION("""COMPUTED_VALUE"""),"Н. Павлова")</f>
        <v>Н. Павлова</v>
      </c>
      <c r="H4440" s="10"/>
      <c r="I4440" s="10"/>
      <c r="J4440" s="10"/>
      <c r="K4440" s="10"/>
      <c r="L4440" s="10"/>
      <c r="M4440" s="10"/>
      <c r="N4440" s="10"/>
      <c r="O4440" s="10"/>
      <c r="P4440" s="10"/>
      <c r="Q4440" s="10"/>
      <c r="R4440" s="10"/>
      <c r="S4440" s="10"/>
      <c r="T4440" s="10"/>
      <c r="U4440" s="10"/>
      <c r="V4440" s="10"/>
      <c r="W4440" s="10"/>
      <c r="X4440" s="10"/>
      <c r="Y4440" s="10"/>
      <c r="Z4440" s="10"/>
    </row>
    <row r="4441" spans="1:26" ht="12.75">
      <c r="A4441" s="10" t="str">
        <f ca="1">IFERROR(__xludf.DUMMYFUNCTION("""COMPUTED_VALUE"""),"Катя Христова Рашева-Йорданова")</f>
        <v>Катя Христова Рашева-Йорданова</v>
      </c>
      <c r="B4441" s="10" t="str">
        <f ca="1">IFERROR(__xludf.DUMMYFUNCTION("""COMPUTED_VALUE"""),"Доклад от конференция")</f>
        <v>Доклад от конференция</v>
      </c>
      <c r="C4441" s="10" t="str">
        <f ca="1">IFERROR(__xludf.DUMMYFUNCTION("""COMPUTED_VALUE"""),"Приложимост на Естонския опит при създаване на PIAP (PUBLIC INTERNET ACCESS POINT) в България")</f>
        <v>Приложимост на Естонския опит при създаване на PIAP (PUBLIC INTERNET ACCESS POINT) в България</v>
      </c>
      <c r="D4441" s="10">
        <f ca="1">IFERROR(__xludf.DUMMYFUNCTION("""COMPUTED_VALUE"""),2016)</f>
        <v>2016</v>
      </c>
      <c r="E4441" s="10" t="str">
        <f ca="1">IFERROR(__xludf.DUMMYFUNCTION("""COMPUTED_VALUE"""),"Сборник с доклади от четвърти национален семинар с международно участие „Интернет либерализацията – предизвикателства и добри практики пред интелектуалната собственост“, 26-27 април 2016 г., УниБИТ, изд. „За буквите“.")</f>
        <v>Сборник с доклади от четвърти национален семинар с международно участие „Интернет либерализацията – предизвикателства и добри практики пред интелектуалната собственост“, 26-27 април 2016 г., УниБИТ, изд. „За буквите“.</v>
      </c>
      <c r="F4441" s="10"/>
      <c r="G4441" s="10" t="str">
        <f ca="1">IFERROR(__xludf.DUMMYFUNCTION("""COMPUTED_VALUE"""),"Димитър Христозов")</f>
        <v>Димитър Христозов</v>
      </c>
      <c r="H4441" s="10"/>
      <c r="I4441" s="10"/>
      <c r="J4441" s="10"/>
      <c r="K4441" s="10"/>
      <c r="L4441" s="10"/>
      <c r="M4441" s="10"/>
      <c r="N4441" s="10"/>
      <c r="O4441" s="10"/>
      <c r="P4441" s="10"/>
      <c r="Q4441" s="10"/>
      <c r="R4441" s="10"/>
      <c r="S4441" s="10"/>
      <c r="T4441" s="10"/>
      <c r="U4441" s="10"/>
      <c r="V4441" s="10"/>
      <c r="W4441" s="10"/>
      <c r="X4441" s="10"/>
      <c r="Y4441" s="10"/>
      <c r="Z4441" s="10"/>
    </row>
    <row r="4442" spans="1:26" ht="12.75">
      <c r="A4442" s="10" t="str">
        <f ca="1">IFERROR(__xludf.DUMMYFUNCTION("""COMPUTED_VALUE"""),"Катя Христова Рашева-Йорданова")</f>
        <v>Катя Христова Рашева-Йорданова</v>
      </c>
      <c r="B4442" s="10" t="str">
        <f ca="1">IFERROR(__xludf.DUMMYFUNCTION("""COMPUTED_VALUE"""),"Доклад от конференция")</f>
        <v>Доклад от конференция</v>
      </c>
      <c r="C4442" s="10" t="str">
        <f ca="1">IFERROR(__xludf.DUMMYFUNCTION("""COMPUTED_VALUE"""),"Опитът на Естония при преодоляване на проблема с дигиталното неравенство.")</f>
        <v>Опитът на Естония при преодоляване на проблема с дигиталното неравенство.</v>
      </c>
      <c r="D4442" s="10">
        <f ca="1">IFERROR(__xludf.DUMMYFUNCTION("""COMPUTED_VALUE"""),2016)</f>
        <v>2016</v>
      </c>
      <c r="E4442" s="10" t="str">
        <f ca="1">IFERROR(__xludf.DUMMYFUNCTION("""COMPUTED_VALUE"""),"Юбилеен сборник по случай 65 години от основаването на УниБИТ: GLORIA BIBLIOSPHERAE (Нишката на Ариадна). Изследвания в чест на акад. проф. Александра Куманова. Изд. „За буквите“")</f>
        <v>Юбилеен сборник по случай 65 години от основаването на УниБИТ: GLORIA BIBLIOSPHERAE (Нишката на Ариадна). Изследвания в чест на акад. проф. Александра Куманова. Изд. „За буквите“</v>
      </c>
      <c r="F4442" s="10"/>
      <c r="G4442" s="10"/>
      <c r="H4442" s="10"/>
      <c r="I4442" s="10"/>
      <c r="J4442" s="10"/>
      <c r="K4442" s="10"/>
      <c r="L4442" s="10"/>
      <c r="M4442" s="10"/>
      <c r="N4442" s="10"/>
      <c r="O4442" s="10"/>
      <c r="P4442" s="10"/>
      <c r="Q4442" s="10"/>
      <c r="R4442" s="10"/>
      <c r="S4442" s="10"/>
      <c r="T4442" s="10"/>
      <c r="U4442" s="10"/>
      <c r="V4442" s="10"/>
      <c r="W4442" s="10"/>
      <c r="X4442" s="10"/>
      <c r="Y4442" s="10"/>
      <c r="Z4442" s="10"/>
    </row>
    <row r="4443" spans="1:26" ht="12.75">
      <c r="A4443" s="10" t="str">
        <f ca="1">IFERROR(__xludf.DUMMYFUNCTION("""COMPUTED_VALUE"""),"Катя Христова Рашева-Йорданова")</f>
        <v>Катя Христова Рашева-Йорданова</v>
      </c>
      <c r="B4443" s="10" t="str">
        <f ca="1">IFERROR(__xludf.DUMMYFUNCTION("""COMPUTED_VALUE"""),"Доклад от конференция")</f>
        <v>Доклад от конференция</v>
      </c>
      <c r="C4443" s="10" t="str">
        <f ca="1">IFERROR(__xludf.DUMMYFUNCTION("""COMPUTED_VALUE"""),"Онлайн достъп до систематизирани знания като средство за самообучение")</f>
        <v>Онлайн достъп до систематизирани знания като средство за самообучение</v>
      </c>
      <c r="D4443" s="10">
        <f ca="1">IFERROR(__xludf.DUMMYFUNCTION("""COMPUTED_VALUE"""),2016)</f>
        <v>2016</v>
      </c>
      <c r="E4443" s="10" t="str">
        <f ca="1">IFERROR(__xludf.DUMMYFUNCTION("""COMPUTED_VALUE"""),"Сборник с доклади от Научна конференция на младите изследователи, 13 май 2016 г. Великотърновски университет. Изд.„Фабер“, 2016, с.112-115, ISBN 978-619-00-0476-9.")</f>
        <v>Сборник с доклади от Научна конференция на младите изследователи, 13 май 2016 г. Великотърновски университет. Изд.„Фабер“, 2016, с.112-115, ISBN 978-619-00-0476-9.</v>
      </c>
      <c r="F4443" s="10"/>
      <c r="G4443" s="10" t="str">
        <f ca="1">IFERROR(__xludf.DUMMYFUNCTION("""COMPUTED_VALUE"""),"Ива Костадинова")</f>
        <v>Ива Костадинова</v>
      </c>
      <c r="H4443" s="10"/>
      <c r="I4443" s="10"/>
      <c r="J4443" s="10"/>
      <c r="K4443" s="10"/>
      <c r="L4443" s="10"/>
      <c r="M4443" s="10"/>
      <c r="N4443" s="10"/>
      <c r="O4443" s="10"/>
      <c r="P4443" s="10"/>
      <c r="Q4443" s="10"/>
      <c r="R4443" s="10"/>
      <c r="S4443" s="10"/>
      <c r="T4443" s="10"/>
      <c r="U4443" s="10"/>
      <c r="V4443" s="10"/>
      <c r="W4443" s="10"/>
      <c r="X4443" s="10"/>
      <c r="Y4443" s="10"/>
      <c r="Z4443" s="10"/>
    </row>
    <row r="4444" spans="1:26" ht="12.75">
      <c r="A4444" s="10" t="str">
        <f ca="1">IFERROR(__xludf.DUMMYFUNCTION("""COMPUTED_VALUE"""),"Катя Христова Рашева-Йорданова")</f>
        <v>Катя Христова Рашева-Йорданова</v>
      </c>
      <c r="B4444" s="10" t="str">
        <f ca="1">IFERROR(__xludf.DUMMYFUNCTION("""COMPUTED_VALUE"""),"Доклад от конференция")</f>
        <v>Доклад от конференция</v>
      </c>
      <c r="C4444" s="10" t="str">
        <f ca="1">IFERROR(__xludf.DUMMYFUNCTION("""COMPUTED_VALUE"""),"Нови измерения на дигиталното неравенство.")</f>
        <v>Нови измерения на дигиталното неравенство.</v>
      </c>
      <c r="D4444" s="10">
        <f ca="1">IFERROR(__xludf.DUMMYFUNCTION("""COMPUTED_VALUE"""),2016)</f>
        <v>2016</v>
      </c>
      <c r="E4444" s="10" t="str">
        <f ca="1">IFERROR(__xludf.DUMMYFUNCTION("""COMPUTED_VALUE"""),"Сборник с доклади от Научна конференция на младите изследователи, 13 май 2016 г. Великотърновски университет. Изд.„Фабер“, 2016, с.112-115, ISBN 978-619-00-0476-9.")</f>
        <v>Сборник с доклади от Научна конференция на младите изследователи, 13 май 2016 г. Великотърновски университет. Изд.„Фабер“, 2016, с.112-115, ISBN 978-619-00-0476-9.</v>
      </c>
      <c r="F4444" s="10"/>
      <c r="G4444" s="10" t="str">
        <f ca="1">IFERROR(__xludf.DUMMYFUNCTION("""COMPUTED_VALUE"""),"Ива Костадинова")</f>
        <v>Ива Костадинова</v>
      </c>
      <c r="H4444" s="10"/>
      <c r="I4444" s="10"/>
      <c r="J4444" s="10"/>
      <c r="K4444" s="10"/>
      <c r="L4444" s="10"/>
      <c r="M4444" s="10"/>
      <c r="N4444" s="10"/>
      <c r="O4444" s="10"/>
      <c r="P4444" s="10"/>
      <c r="Q4444" s="10"/>
      <c r="R4444" s="10"/>
      <c r="S4444" s="10"/>
      <c r="T4444" s="10"/>
      <c r="U4444" s="10"/>
      <c r="V4444" s="10"/>
      <c r="W4444" s="10"/>
      <c r="X4444" s="10"/>
      <c r="Y4444" s="10"/>
      <c r="Z4444" s="10"/>
    </row>
    <row r="4445" spans="1:26" ht="12.75">
      <c r="A4445" s="10" t="str">
        <f ca="1">IFERROR(__xludf.DUMMYFUNCTION("""COMPUTED_VALUE"""),"Катя Христова Рашева-Йорданова")</f>
        <v>Катя Христова Рашева-Йорданова</v>
      </c>
      <c r="B4445" s="10" t="str">
        <f ca="1">IFERROR(__xludf.DUMMYFUNCTION("""COMPUTED_VALUE"""),"Доклад от конференция")</f>
        <v>Доклад от конференция</v>
      </c>
      <c r="C4445" s="10" t="str">
        <f ca="1">IFERROR(__xludf.DUMMYFUNCTION("""COMPUTED_VALUE"""),"Изследване на необходимостта от изграждане на учебни пособия, адаптирани към готовността на обучаваните по отношение на проблемната област.")</f>
        <v>Изследване на необходимостта от изграждане на учебни пособия, адаптирани към готовността на обучаваните по отношение на проблемната област.</v>
      </c>
      <c r="D4445" s="10">
        <f ca="1">IFERROR(__xludf.DUMMYFUNCTION("""COMPUTED_VALUE"""),2016)</f>
        <v>2016</v>
      </c>
      <c r="E4445" s="10" t="str">
        <f ca="1">IFERROR(__xludf.DUMMYFUNCTION("""COMPUTED_VALUE"""),"Сборник с доклади от Национална научна конференция с международно участие „Обществото на знанието и хуманизмът на XXI век”, 1 Ноември 2016 г, София, изд. „За буквите – О, писменехь“")</f>
        <v>Сборник с доклади от Национална научна конференция с международно участие „Обществото на знанието и хуманизмът на XXI век”, 1 Ноември 2016 г, София, изд. „За буквите – О, писменехь“</v>
      </c>
      <c r="F4445" s="10"/>
      <c r="G4445" s="10"/>
      <c r="H4445" s="10"/>
      <c r="I4445" s="10"/>
      <c r="J4445" s="10"/>
      <c r="K4445" s="10"/>
      <c r="L4445" s="10"/>
      <c r="M4445" s="10"/>
      <c r="N4445" s="10"/>
      <c r="O4445" s="10"/>
      <c r="P4445" s="10"/>
      <c r="Q4445" s="10"/>
      <c r="R4445" s="10"/>
      <c r="S4445" s="10"/>
      <c r="T4445" s="10"/>
      <c r="U4445" s="10"/>
      <c r="V4445" s="10"/>
      <c r="W4445" s="10"/>
      <c r="X4445" s="10"/>
      <c r="Y4445" s="10"/>
      <c r="Z4445" s="10"/>
    </row>
    <row r="4446" spans="1:26" ht="12.75">
      <c r="A4446" s="10" t="str">
        <f ca="1">IFERROR(__xludf.DUMMYFUNCTION("""COMPUTED_VALUE"""),"Катя Христова Рашева-Йорданова")</f>
        <v>Катя Христова Рашева-Йорданова</v>
      </c>
      <c r="B4446" s="10" t="str">
        <f ca="1">IFERROR(__xludf.DUMMYFUNCTION("""COMPUTED_VALUE"""),"Доклад от конференция")</f>
        <v>Доклад от конференция</v>
      </c>
      <c r="C4446" s="10" t="str">
        <f ca="1">IFERROR(__xludf.DUMMYFUNCTION("""COMPUTED_VALUE"""),"DEVELOPING BIG DATA COMPETENCES IN THE DIGITAL ERA")</f>
        <v>DEVELOPING BIG DATA COMPETENCES IN THE DIGITAL ERA</v>
      </c>
      <c r="D4446" s="10">
        <f ca="1">IFERROR(__xludf.DUMMYFUNCTION("""COMPUTED_VALUE"""),2016)</f>
        <v>2016</v>
      </c>
      <c r="E4446" s="10" t="str">
        <f ca="1">IFERROR(__xludf.DUMMYFUNCTION("""COMPUTED_VALUE"""),"BdKCSE'2016 International Conference on 1-2 December 2016, Sofia, Bulgaria, САИ, ISSN: 2367 - 6450")</f>
        <v>BdKCSE'2016 International Conference on 1-2 December 2016, Sofia, Bulgaria, САИ, ISSN: 2367 - 6450</v>
      </c>
      <c r="F4446" s="10" t="str">
        <f ca="1">IFERROR(__xludf.DUMMYFUNCTION("""COMPUTED_VALUE"""),"Google Scholar")</f>
        <v>Google Scholar</v>
      </c>
      <c r="G4446" s="10" t="str">
        <f ca="1">IFERROR(__xludf.DUMMYFUNCTION("""COMPUTED_VALUE"""),"Dimitar Christozov, Stefka Toleva-Stoimenova Iliya Vukarski")</f>
        <v>Dimitar Christozov, Stefka Toleva-Stoimenova Iliya Vukarski</v>
      </c>
      <c r="H4446" s="10"/>
      <c r="I4446" s="10"/>
      <c r="J4446" s="10"/>
      <c r="K4446" s="10"/>
      <c r="L4446" s="10"/>
      <c r="M4446" s="10"/>
      <c r="N4446" s="10"/>
      <c r="O4446" s="10"/>
      <c r="P4446" s="10"/>
      <c r="Q4446" s="10"/>
      <c r="R4446" s="10"/>
      <c r="S4446" s="10"/>
      <c r="T4446" s="10"/>
      <c r="U4446" s="10"/>
      <c r="V4446" s="10"/>
      <c r="W4446" s="10"/>
      <c r="X4446" s="10"/>
      <c r="Y4446" s="10"/>
      <c r="Z4446" s="10"/>
    </row>
    <row r="4447" spans="1:26" ht="12.75">
      <c r="A4447" s="10" t="str">
        <f ca="1">IFERROR(__xludf.DUMMYFUNCTION("""COMPUTED_VALUE"""),"Катя Христова Рашева-Йорданова")</f>
        <v>Катя Христова Рашева-Йорданова</v>
      </c>
      <c r="B4447" s="10" t="str">
        <f ca="1">IFERROR(__xludf.DUMMYFUNCTION("""COMPUTED_VALUE"""),"Доклад от конференция")</f>
        <v>Доклад от конференция</v>
      </c>
      <c r="C4447" s="10" t="str">
        <f ca="1">IFERROR(__xludf.DUMMYFUNCTION("""COMPUTED_VALUE"""),"Continuing education of chitalishte librarians – a factor in overcoming the digital divide.")</f>
        <v>Continuing education of chitalishte librarians – a factor in overcoming the digital divide.</v>
      </c>
      <c r="D4447" s="10">
        <f ca="1">IFERROR(__xludf.DUMMYFUNCTION("""COMPUTED_VALUE"""),2016)</f>
        <v>2016</v>
      </c>
      <c r="E4447" s="10" t="str">
        <f ca="1">IFERROR(__xludf.DUMMYFUNCTION("""COMPUTED_VALUE"""),"UNESCO International Workshop QED’14, Sofia 2015, Za bukvite, O’pismeneh, pp. 110 - 116. ISBN 978-619-185-163-8 – online, published on http://unesco.unibit.bg/sites/default/files/QED-15-book.pdf")</f>
        <v>UNESCO International Workshop QED’14, Sofia 2015, Za bukvite, O’pismeneh, pp. 110 - 116. ISBN 978-619-185-163-8 – online, published on http://unesco.unibit.bg/sites/default/files/QED-15-book.pdf</v>
      </c>
      <c r="F4447" s="10"/>
      <c r="G4447" s="10"/>
      <c r="H4447" s="10"/>
      <c r="I4447" s="10"/>
      <c r="J4447" s="10"/>
      <c r="K4447" s="10"/>
      <c r="L4447" s="10"/>
      <c r="M4447" s="10"/>
      <c r="N4447" s="10"/>
      <c r="O4447" s="10"/>
      <c r="P4447" s="10"/>
      <c r="Q4447" s="10"/>
      <c r="R4447" s="10"/>
      <c r="S4447" s="10"/>
      <c r="T4447" s="10"/>
      <c r="U4447" s="10"/>
      <c r="V4447" s="10"/>
      <c r="W4447" s="10"/>
      <c r="X4447" s="10"/>
      <c r="Y4447" s="10"/>
      <c r="Z4447" s="10"/>
    </row>
    <row r="4448" spans="1:26" ht="12.75">
      <c r="A4448" s="10" t="str">
        <f ca="1">IFERROR(__xludf.DUMMYFUNCTION("""COMPUTED_VALUE"""),"Катя Христова Рашева-Йорданова")</f>
        <v>Катя Христова Рашева-Йорданова</v>
      </c>
      <c r="B4448" s="10" t="str">
        <f ca="1">IFERROR(__xludf.DUMMYFUNCTION("""COMPUTED_VALUE"""),"Статия в списания и поредици")</f>
        <v>Статия в списания и поредици</v>
      </c>
      <c r="C4448" s="10" t="str">
        <f ca="1">IFERROR(__xludf.DUMMYFUNCTION("""COMPUTED_VALUE"""),"Смартфонът – устройство, подпомагащо преодоляването на дигиталното неравенство")</f>
        <v>Смартфонът – устройство, подпомагащо преодоляването на дигиталното неравенство</v>
      </c>
      <c r="D4448" s="10">
        <f ca="1">IFERROR(__xludf.DUMMYFUNCTION("""COMPUTED_VALUE"""),2015)</f>
        <v>2015</v>
      </c>
      <c r="E4448" s="10" t="str">
        <f ca="1">IFERROR(__xludf.DUMMYFUNCTION("""COMPUTED_VALUE"""),"„За буквите”, Трудове на УниБИТ, Том 12, 2015.")</f>
        <v>„За буквите”, Трудове на УниБИТ, Том 12, 2015.</v>
      </c>
      <c r="F4448" s="10"/>
      <c r="G4448" s="10" t="str">
        <f ca="1">IFERROR(__xludf.DUMMYFUNCTION("""COMPUTED_VALUE"""),"С. Толева-Стоименова")</f>
        <v>С. Толева-Стоименова</v>
      </c>
      <c r="H4448" s="10"/>
      <c r="I4448" s="10"/>
      <c r="J4448" s="10"/>
      <c r="K4448" s="10"/>
      <c r="L4448" s="10"/>
      <c r="M4448" s="10"/>
      <c r="N4448" s="10"/>
      <c r="O4448" s="10"/>
      <c r="P4448" s="10"/>
      <c r="Q4448" s="10"/>
      <c r="R4448" s="10"/>
      <c r="S4448" s="10"/>
      <c r="T4448" s="10"/>
      <c r="U4448" s="10"/>
      <c r="V4448" s="10"/>
      <c r="W4448" s="10"/>
      <c r="X4448" s="10"/>
      <c r="Y4448" s="10"/>
      <c r="Z4448" s="10"/>
    </row>
    <row r="4449" spans="1:26" ht="12.75">
      <c r="A4449" s="10" t="str">
        <f ca="1">IFERROR(__xludf.DUMMYFUNCTION("""COMPUTED_VALUE"""),"Катя Христова Рашева-Йорданова")</f>
        <v>Катя Христова Рашева-Йорданова</v>
      </c>
      <c r="B4449" s="10" t="str">
        <f ca="1">IFERROR(__xludf.DUMMYFUNCTION("""COMPUTED_VALUE"""),"Доклад от конференция")</f>
        <v>Доклад от конференция</v>
      </c>
      <c r="C4449" s="10" t="str">
        <f ca="1">IFERROR(__xludf.DUMMYFUNCTION("""COMPUTED_VALUE"""),"Контент мениджмънт в цветове")</f>
        <v>Контент мениджмънт в цветове</v>
      </c>
      <c r="D4449" s="10">
        <f ca="1">IFERROR(__xludf.DUMMYFUNCTION("""COMPUTED_VALUE"""),2015)</f>
        <v>2015</v>
      </c>
      <c r="E4449" s="10" t="str">
        <f ca="1">IFERROR(__xludf.DUMMYFUNCTION("""COMPUTED_VALUE"""),"Сборник с доклади от пътуващи семинари на УниБИТ „Съвременни измерения на Европейското образователно и научно пространство“ - ТО")</f>
        <v>Сборник с доклади от пътуващи семинари на УниБИТ „Съвременни измерения на Европейското образователно и научно пространство“ - ТО</v>
      </c>
      <c r="F4449" s="10"/>
      <c r="G4449" s="10"/>
      <c r="H4449" s="10"/>
      <c r="I4449" s="10"/>
      <c r="J4449" s="10"/>
      <c r="K4449" s="10"/>
      <c r="L4449" s="10"/>
      <c r="M4449" s="10"/>
      <c r="N4449" s="10"/>
      <c r="O4449" s="10"/>
      <c r="P4449" s="10"/>
      <c r="Q4449" s="10"/>
      <c r="R4449" s="10"/>
      <c r="S4449" s="10"/>
      <c r="T4449" s="10"/>
      <c r="U4449" s="10"/>
      <c r="V4449" s="10"/>
      <c r="W4449" s="10"/>
      <c r="X4449" s="10"/>
      <c r="Y4449" s="10"/>
      <c r="Z4449" s="10"/>
    </row>
    <row r="4450" spans="1:26" ht="12.75">
      <c r="A4450" s="10" t="str">
        <f ca="1">IFERROR(__xludf.DUMMYFUNCTION("""COMPUTED_VALUE"""),"Катя Христова Рашева-Йорданова")</f>
        <v>Катя Христова Рашева-Йорданова</v>
      </c>
      <c r="B4450" s="10" t="str">
        <f ca="1">IFERROR(__xludf.DUMMYFUNCTION("""COMPUTED_VALUE"""),"Доклад от конференция")</f>
        <v>Доклад от конференция</v>
      </c>
      <c r="C4450" s="10" t="str">
        <f ca="1">IFERROR(__xludf.DUMMYFUNCTION("""COMPUTED_VALUE"""),"Процес на информиране и грамотност на потребителите.")</f>
        <v>Процес на информиране и грамотност на потребителите.</v>
      </c>
      <c r="D4450" s="10">
        <f ca="1">IFERROR(__xludf.DUMMYFUNCTION("""COMPUTED_VALUE"""),2015)</f>
        <v>2015</v>
      </c>
      <c r="E4450" s="10" t="str">
        <f ca="1">IFERROR(__xludf.DUMMYFUNCTION("""COMPUTED_VALUE"""),"„За буквите”, Трудове на УниБИТ, Том 12, 2015")</f>
        <v>„За буквите”, Трудове на УниБИТ, Том 12, 2015</v>
      </c>
      <c r="F4450" s="10"/>
      <c r="G4450" s="10" t="str">
        <f ca="1">IFERROR(__xludf.DUMMYFUNCTION("""COMPUTED_VALUE"""),"С. Толева-Стоименова")</f>
        <v>С. Толева-Стоименова</v>
      </c>
      <c r="H4450" s="10"/>
      <c r="I4450" s="10"/>
      <c r="J4450" s="10"/>
      <c r="K4450" s="10"/>
      <c r="L4450" s="10"/>
      <c r="M4450" s="10"/>
      <c r="N4450" s="10"/>
      <c r="O4450" s="10"/>
      <c r="P4450" s="10"/>
      <c r="Q4450" s="10"/>
      <c r="R4450" s="10"/>
      <c r="S4450" s="10"/>
      <c r="T4450" s="10"/>
      <c r="U4450" s="10"/>
      <c r="V4450" s="10"/>
      <c r="W4450" s="10"/>
      <c r="X4450" s="10"/>
      <c r="Y4450" s="10"/>
      <c r="Z4450" s="10"/>
    </row>
    <row r="4451" spans="1:26" ht="12.75">
      <c r="A4451" s="10" t="str">
        <f ca="1">IFERROR(__xludf.DUMMYFUNCTION("""COMPUTED_VALUE"""),"Катя Христова Рашева-Йорданова")</f>
        <v>Катя Христова Рашева-Йорданова</v>
      </c>
      <c r="B4451" s="10" t="str">
        <f ca="1">IFERROR(__xludf.DUMMYFUNCTION("""COMPUTED_VALUE"""),"Книга")</f>
        <v>Книга</v>
      </c>
      <c r="C4451" s="10" t="str">
        <f ca="1">IFERROR(__xludf.DUMMYFUNCTION("""COMPUTED_VALUE"""),"Web дизайн")</f>
        <v>Web дизайн</v>
      </c>
      <c r="D4451" s="10">
        <f ca="1">IFERROR(__xludf.DUMMYFUNCTION("""COMPUTED_VALUE"""),2015)</f>
        <v>2015</v>
      </c>
      <c r="E4451" s="10" t="str">
        <f ca="1">IFERROR(__xludf.DUMMYFUNCTION("""COMPUTED_VALUE"""),"Изд. “Про Лангс”, София, 2015, с. 136. ISBN 978-954- 2995-17-3.")</f>
        <v>Изд. “Про Лангс”, София, 2015, с. 136. ISBN 978-954- 2995-17-3.</v>
      </c>
      <c r="F4451" s="10"/>
      <c r="G4451" s="10"/>
      <c r="H4451" s="10"/>
      <c r="I4451" s="10"/>
      <c r="J4451" s="10"/>
      <c r="K4451" s="10"/>
      <c r="L4451" s="10"/>
      <c r="M4451" s="10"/>
      <c r="N4451" s="10"/>
      <c r="O4451" s="10"/>
      <c r="P4451" s="10"/>
      <c r="Q4451" s="10"/>
      <c r="R4451" s="10"/>
      <c r="S4451" s="10"/>
      <c r="T4451" s="10"/>
      <c r="U4451" s="10"/>
      <c r="V4451" s="10"/>
      <c r="W4451" s="10"/>
      <c r="X4451" s="10"/>
      <c r="Y4451" s="10"/>
      <c r="Z4451" s="10"/>
    </row>
    <row r="4452" spans="1:26" ht="12.75">
      <c r="A4452" s="10" t="str">
        <f ca="1">IFERROR(__xludf.DUMMYFUNCTION("""COMPUTED_VALUE"""),"Катя Христова Рашева-Йорданова")</f>
        <v>Катя Христова Рашева-Йорданова</v>
      </c>
      <c r="B4452" s="10" t="str">
        <f ca="1">IFERROR(__xludf.DUMMYFUNCTION("""COMPUTED_VALUE"""),"Книга")</f>
        <v>Книга</v>
      </c>
      <c r="C4452" s="10" t="str">
        <f ca="1">IFERROR(__xludf.DUMMYFUNCTION("""COMPUTED_VALUE"""),"Web дизайн за неспециалисти. Част 2. Практическо ръководство за работа с MS Expression Web 4")</f>
        <v>Web дизайн за неспециалисти. Част 2. Практическо ръководство за работа с MS Expression Web 4</v>
      </c>
      <c r="D4452" s="10">
        <f ca="1">IFERROR(__xludf.DUMMYFUNCTION("""COMPUTED_VALUE"""),2015)</f>
        <v>2015</v>
      </c>
      <c r="E4452" s="10" t="str">
        <f ca="1">IFERROR(__xludf.DUMMYFUNCTION("""COMPUTED_VALUE"""),"Изд. “Про Лангс”, София, 2015, с. 140. ISBN 978-954-2995-08-1")</f>
        <v>Изд. “Про Лангс”, София, 2015, с. 140. ISBN 978-954-2995-08-1</v>
      </c>
      <c r="F4452" s="10"/>
      <c r="G4452" s="10"/>
      <c r="H4452" s="10"/>
      <c r="I4452" s="10"/>
      <c r="J4452" s="10"/>
      <c r="K4452" s="10"/>
      <c r="L4452" s="10"/>
      <c r="M4452" s="10"/>
      <c r="N4452" s="10"/>
      <c r="O4452" s="10"/>
      <c r="P4452" s="10"/>
      <c r="Q4452" s="10"/>
      <c r="R4452" s="10"/>
      <c r="S4452" s="10"/>
      <c r="T4452" s="10"/>
      <c r="U4452" s="10"/>
      <c r="V4452" s="10"/>
      <c r="W4452" s="10"/>
      <c r="X4452" s="10"/>
      <c r="Y4452" s="10"/>
      <c r="Z4452" s="10"/>
    </row>
    <row r="4453" spans="1:26" ht="12.75">
      <c r="A4453" s="10" t="str">
        <f ca="1">IFERROR(__xludf.DUMMYFUNCTION("""COMPUTED_VALUE"""),"Катя Христова Рашева-Йорданова")</f>
        <v>Катя Христова Рашева-Йорданова</v>
      </c>
      <c r="B4453" s="10" t="str">
        <f ca="1">IFERROR(__xludf.DUMMYFUNCTION("""COMPUTED_VALUE"""),"Доклад от конференция")</f>
        <v>Доклад от конференция</v>
      </c>
      <c r="C4453" s="10" t="str">
        <f ca="1">IFERROR(__xludf.DUMMYFUNCTION("""COMPUTED_VALUE"""),"Continuing education of chitalishte librarians – a factor in overcoming the digital divide")</f>
        <v>Continuing education of chitalishte librarians – a factor in overcoming the digital divide</v>
      </c>
      <c r="D4453" s="10">
        <f ca="1">IFERROR(__xludf.DUMMYFUNCTION("""COMPUTED_VALUE"""),2015)</f>
        <v>2015</v>
      </c>
      <c r="E4453" s="10" t="str">
        <f ca="1">IFERROR(__xludf.DUMMYFUNCTION("""COMPUTED_VALUE"""),"UNESCO International Workshop QED’14, Sofia 2015, Za bukvite, O’pismeneh, pp. 110 - 116. ISBN 978-619-185-163-8 – online, publis")</f>
        <v>UNESCO International Workshop QED’14, Sofia 2015, Za bukvite, O’pismeneh, pp. 110 - 116. ISBN 978-619-185-163-8 – online, publis</v>
      </c>
      <c r="F4453" s="10"/>
      <c r="G4453" s="10"/>
      <c r="H4453" s="10"/>
      <c r="I4453" s="10"/>
      <c r="J4453" s="10"/>
      <c r="K4453" s="10"/>
      <c r="L4453" s="10"/>
      <c r="M4453" s="10"/>
      <c r="N4453" s="10"/>
      <c r="O4453" s="10"/>
      <c r="P4453" s="10"/>
      <c r="Q4453" s="10"/>
      <c r="R4453" s="10"/>
      <c r="S4453" s="10"/>
      <c r="T4453" s="10"/>
      <c r="U4453" s="10"/>
      <c r="V4453" s="10"/>
      <c r="W4453" s="10"/>
      <c r="X4453" s="10"/>
      <c r="Y4453" s="10"/>
      <c r="Z4453" s="10"/>
    </row>
    <row r="4454" spans="1:26" ht="12.75">
      <c r="A4454" s="10" t="str">
        <f ca="1">IFERROR(__xludf.DUMMYFUNCTION("""COMPUTED_VALUE"""),"Катя Христова Рашева-Йорданова")</f>
        <v>Катя Христова Рашева-Йорданова</v>
      </c>
      <c r="B4454" s="10" t="str">
        <f ca="1">IFERROR(__xludf.DUMMYFUNCTION("""COMPUTED_VALUE"""),"Статия в списания и поредици")</f>
        <v>Статия в списания и поредици</v>
      </c>
      <c r="C4454" s="10" t="str">
        <f ca="1">IFERROR(__xludf.DUMMYFUNCTION("""COMPUTED_VALUE"""),"Роля на читалището за преодоляване на дигиталното неравенство в България")</f>
        <v>Роля на читалището за преодоляване на дигиталното неравенство в България</v>
      </c>
      <c r="D4454" s="10">
        <f ca="1">IFERROR(__xludf.DUMMYFUNCTION("""COMPUTED_VALUE"""),2014)</f>
        <v>2014</v>
      </c>
      <c r="E4454" s="10" t="str">
        <f ca="1">IFERROR(__xludf.DUMMYFUNCTION("""COMPUTED_VALUE"""),"ББИА онлайн: брой 4, 2014 г. ISSN 1314-4944")</f>
        <v>ББИА онлайн: брой 4, 2014 г. ISSN 1314-4944</v>
      </c>
      <c r="F4454" s="10"/>
      <c r="G4454" s="10"/>
      <c r="H4454" s="10"/>
      <c r="I4454" s="10"/>
      <c r="J4454" s="10"/>
      <c r="K4454" s="10"/>
      <c r="L4454" s="10"/>
      <c r="M4454" s="10"/>
      <c r="N4454" s="10"/>
      <c r="O4454" s="10"/>
      <c r="P4454" s="10"/>
      <c r="Q4454" s="10"/>
      <c r="R4454" s="10"/>
      <c r="S4454" s="10"/>
      <c r="T4454" s="10"/>
      <c r="U4454" s="10"/>
      <c r="V4454" s="10"/>
      <c r="W4454" s="10"/>
      <c r="X4454" s="10"/>
      <c r="Y4454" s="10"/>
      <c r="Z4454" s="10"/>
    </row>
    <row r="4455" spans="1:26" ht="12.75">
      <c r="A4455" s="10" t="str">
        <f ca="1">IFERROR(__xludf.DUMMYFUNCTION("""COMPUTED_VALUE"""),"Катя Христова Рашева-Йорданова")</f>
        <v>Катя Христова Рашева-Йорданова</v>
      </c>
      <c r="B4455" s="10" t="str">
        <f ca="1">IFERROR(__xludf.DUMMYFUNCTION("""COMPUTED_VALUE"""),"Книга")</f>
        <v>Книга</v>
      </c>
      <c r="C4455" s="10" t="str">
        <f ca="1">IFERROR(__xludf.DUMMYFUNCTION("""COMPUTED_VALUE"""),"Геоинформационни системи. Част 1: Теоретични аспекти.")</f>
        <v>Геоинформационни системи. Част 1: Теоретични аспекти.</v>
      </c>
      <c r="D4455" s="10">
        <f ca="1">IFERROR(__xludf.DUMMYFUNCTION("""COMPUTED_VALUE"""),2014)</f>
        <v>2014</v>
      </c>
      <c r="E4455" s="10" t="str">
        <f ca="1">IFERROR(__xludf.DUMMYFUNCTION("""COMPUTED_VALUE"""),"За буквите „О-писменех“, 2014, с. 192, ISBN 9786191850990")</f>
        <v>За буквите „О-писменех“, 2014, с. 192, ISBN 9786191850990</v>
      </c>
      <c r="F4455" s="10"/>
      <c r="G4455" s="10"/>
      <c r="H4455" s="10"/>
      <c r="I4455" s="10"/>
      <c r="J4455" s="10"/>
      <c r="K4455" s="10"/>
      <c r="L4455" s="10"/>
      <c r="M4455" s="10"/>
      <c r="N4455" s="10"/>
      <c r="O4455" s="10"/>
      <c r="P4455" s="10"/>
      <c r="Q4455" s="10"/>
      <c r="R4455" s="10"/>
      <c r="S4455" s="10"/>
      <c r="T4455" s="10"/>
      <c r="U4455" s="10"/>
      <c r="V4455" s="10"/>
      <c r="W4455" s="10"/>
      <c r="X4455" s="10"/>
      <c r="Y4455" s="10"/>
      <c r="Z4455" s="10"/>
    </row>
    <row r="4456" spans="1:26" ht="12.75">
      <c r="A4456" s="10" t="str">
        <f ca="1">IFERROR(__xludf.DUMMYFUNCTION("""COMPUTED_VALUE"""),"Катя Христова Рашева-Йорданова")</f>
        <v>Катя Христова Рашева-Йорданова</v>
      </c>
      <c r="B4456" s="10" t="str">
        <f ca="1">IFERROR(__xludf.DUMMYFUNCTION("""COMPUTED_VALUE"""),"Доклад от конференция")</f>
        <v>Доклад от конференция</v>
      </c>
      <c r="C4456" s="10" t="str">
        <f ca="1">IFERROR(__xludf.DUMMYFUNCTION("""COMPUTED_VALUE"""),"Изследване на факторите, влияещи върху употребата на интернет от населението (резултати от емпирично изследване)")</f>
        <v>Изследване на факторите, влияещи върху употребата на интернет от населението (резултати от емпирично изследване)</v>
      </c>
      <c r="D4456" s="10">
        <f ca="1">IFERROR(__xludf.DUMMYFUNCTION("""COMPUTED_VALUE"""),2014)</f>
        <v>2014</v>
      </c>
      <c r="E4456" s="10" t="str">
        <f ca="1">IFERROR(__xludf.DUMMYFUNCTION("""COMPUTED_VALUE"""),"Сборник с доклади от Научен семинар на УниБИТ „Нови информационни технологии в образователния процес”, Май 2014, Камчия, За букв")</f>
        <v>Сборник с доклади от Научен семинар на УниБИТ „Нови информационни технологии в образователния процес”, Май 2014, Камчия, За букв</v>
      </c>
      <c r="F4456" s="10"/>
      <c r="G4456" s="10"/>
      <c r="H4456" s="10"/>
      <c r="I4456" s="10"/>
      <c r="J4456" s="10"/>
      <c r="K4456" s="10"/>
      <c r="L4456" s="10"/>
      <c r="M4456" s="10"/>
      <c r="N4456" s="10"/>
      <c r="O4456" s="10"/>
      <c r="P4456" s="10"/>
      <c r="Q4456" s="10"/>
      <c r="R4456" s="10"/>
      <c r="S4456" s="10"/>
      <c r="T4456" s="10"/>
      <c r="U4456" s="10"/>
      <c r="V4456" s="10"/>
      <c r="W4456" s="10"/>
      <c r="X4456" s="10"/>
      <c r="Y4456" s="10"/>
      <c r="Z4456" s="10"/>
    </row>
    <row r="4457" spans="1:26" ht="12.75">
      <c r="A4457" s="10" t="str">
        <f ca="1">IFERROR(__xludf.DUMMYFUNCTION("""COMPUTED_VALUE"""),"Катя Христова Рашева-Йорданова")</f>
        <v>Катя Христова Рашева-Йорданова</v>
      </c>
      <c r="B4457" s="10" t="str">
        <f ca="1">IFERROR(__xludf.DUMMYFUNCTION("""COMPUTED_VALUE"""),"Книга")</f>
        <v>Книга</v>
      </c>
      <c r="C4457" s="10" t="str">
        <f ca="1">IFERROR(__xludf.DUMMYFUNCTION("""COMPUTED_VALUE"""),"Контент мениджмънт системи. Част 1: Теоретични аспекти.")</f>
        <v>Контент мениджмънт системи. Част 1: Теоретични аспекти.</v>
      </c>
      <c r="D4457" s="10">
        <f ca="1">IFERROR(__xludf.DUMMYFUNCTION("""COMPUTED_VALUE"""),2014)</f>
        <v>2014</v>
      </c>
      <c r="E4457" s="10" t="str">
        <f ca="1">IFERROR(__xludf.DUMMYFUNCTION("""COMPUTED_VALUE"""),"За буквите О-писменех, 2014, с.182, ISBN 9786191851164.")</f>
        <v>За буквите О-писменех, 2014, с.182, ISBN 9786191851164.</v>
      </c>
      <c r="F4457" s="10"/>
      <c r="G4457" s="10"/>
      <c r="H4457" s="10"/>
      <c r="I4457" s="10"/>
      <c r="J4457" s="10"/>
      <c r="K4457" s="10"/>
      <c r="L4457" s="10"/>
      <c r="M4457" s="10"/>
      <c r="N4457" s="10"/>
      <c r="O4457" s="10"/>
      <c r="P4457" s="10"/>
      <c r="Q4457" s="10"/>
      <c r="R4457" s="10"/>
      <c r="S4457" s="10"/>
      <c r="T4457" s="10"/>
      <c r="U4457" s="10"/>
      <c r="V4457" s="10"/>
      <c r="W4457" s="10"/>
      <c r="X4457" s="10"/>
      <c r="Y4457" s="10"/>
      <c r="Z4457" s="10"/>
    </row>
    <row r="4458" spans="1:26" ht="12.75">
      <c r="A4458" s="10" t="str">
        <f ca="1">IFERROR(__xludf.DUMMYFUNCTION("""COMPUTED_VALUE"""),"Катя Христова Рашева-Йорданова")</f>
        <v>Катя Христова Рашева-Йорданова</v>
      </c>
      <c r="B4458" s="10" t="str">
        <f ca="1">IFERROR(__xludf.DUMMYFUNCTION("""COMPUTED_VALUE"""),"Доклад от конференция")</f>
        <v>Доклад от конференция</v>
      </c>
      <c r="C4458" s="10" t="str">
        <f ca="1">IFERROR(__xludf.DUMMYFUNCTION("""COMPUTED_VALUE"""),"Фактори за ефективно използване на информационни и комуникационни технологии в условията на дигитално неравенство")</f>
        <v>Фактори за ефективно използване на информационни и комуникационни технологии в условията на дигитално неравенство</v>
      </c>
      <c r="D4458" s="10">
        <f ca="1">IFERROR(__xludf.DUMMYFUNCTION("""COMPUTED_VALUE"""),2014)</f>
        <v>2014</v>
      </c>
      <c r="E4458" s="10" t="str">
        <f ca="1">IFERROR(__xludf.DUMMYFUNCTION("""COMPUTED_VALUE"""),"Сборник с доклади от XII Национална научна конференция на УниБИТ с международно участие „Обществото на знанието и хуманизмът на")</f>
        <v>Сборник с доклади от XII Национална научна конференция на УниБИТ с международно участие „Обществото на знанието и хуманизмът на</v>
      </c>
      <c r="F4458" s="10"/>
      <c r="G4458" s="10" t="str">
        <f ca="1">IFERROR(__xludf.DUMMYFUNCTION("""COMPUTED_VALUE"""),"С. Толева-Стоименова")</f>
        <v>С. Толева-Стоименова</v>
      </c>
      <c r="H4458" s="10"/>
      <c r="I4458" s="10"/>
      <c r="J4458" s="10"/>
      <c r="K4458" s="10"/>
      <c r="L4458" s="10"/>
      <c r="M4458" s="10"/>
      <c r="N4458" s="10"/>
      <c r="O4458" s="10"/>
      <c r="P4458" s="10"/>
      <c r="Q4458" s="10"/>
      <c r="R4458" s="10"/>
      <c r="S4458" s="10"/>
      <c r="T4458" s="10"/>
      <c r="U4458" s="10"/>
      <c r="V4458" s="10"/>
      <c r="W4458" s="10"/>
      <c r="X4458" s="10"/>
      <c r="Y4458" s="10"/>
      <c r="Z4458" s="10"/>
    </row>
    <row r="4459" spans="1:26" ht="12.75">
      <c r="A4459" s="10" t="str">
        <f ca="1">IFERROR(__xludf.DUMMYFUNCTION("""COMPUTED_VALUE"""),"Катя Христова Рашева-Йорданова")</f>
        <v>Катя Христова Рашева-Йорданова</v>
      </c>
      <c r="B4459" s="10" t="str">
        <f ca="1">IFERROR(__xludf.DUMMYFUNCTION("""COMPUTED_VALUE"""),"Доклад от конференция")</f>
        <v>Доклад от конференция</v>
      </c>
      <c r="C4459" s="10" t="str">
        <f ca="1">IFERROR(__xludf.DUMMYFUNCTION("""COMPUTED_VALUE"""),"Дефиниции, измерения и измерители на дигиталното неравенство")</f>
        <v>Дефиниции, измерения и измерители на дигиталното неравенство</v>
      </c>
      <c r="D4459" s="10">
        <f ca="1">IFERROR(__xludf.DUMMYFUNCTION("""COMPUTED_VALUE"""),2013)</f>
        <v>2013</v>
      </c>
      <c r="E4459" s="10" t="str">
        <f ca="1">IFERROR(__xludf.DUMMYFUNCTION("""COMPUTED_VALUE"""),"Сборник с доклади от Научна конференция „Младите – инвестиция в бъдещето“, организирана от УниБИТ с подкрепата на ОПЧР по проект")</f>
        <v>Сборник с доклади от Научна конференция „Младите – инвестиция в бъдещето“, организирана от УниБИТ с подкрепата на ОПЧР по проект</v>
      </c>
      <c r="F4459" s="10"/>
      <c r="G4459" s="10"/>
      <c r="H4459" s="10"/>
      <c r="I4459" s="10"/>
      <c r="J4459" s="10"/>
      <c r="K4459" s="10"/>
      <c r="L4459" s="10"/>
      <c r="M4459" s="10"/>
      <c r="N4459" s="10"/>
      <c r="O4459" s="10"/>
      <c r="P4459" s="10"/>
      <c r="Q4459" s="10"/>
      <c r="R4459" s="10"/>
      <c r="S4459" s="10"/>
      <c r="T4459" s="10"/>
      <c r="U4459" s="10"/>
      <c r="V4459" s="10"/>
      <c r="W4459" s="10"/>
      <c r="X4459" s="10"/>
      <c r="Y4459" s="10"/>
      <c r="Z4459" s="10"/>
    </row>
    <row r="4460" spans="1:26" ht="12.75">
      <c r="A4460" s="10" t="str">
        <f ca="1">IFERROR(__xludf.DUMMYFUNCTION("""COMPUTED_VALUE"""),"Катя Христова Рашева-Йорданова")</f>
        <v>Катя Христова Рашева-Йорданова</v>
      </c>
      <c r="B4460" s="10" t="str">
        <f ca="1">IFERROR(__xludf.DUMMYFUNCTION("""COMPUTED_VALUE"""),"Доклад от конференция")</f>
        <v>Доклад от конференция</v>
      </c>
      <c r="C4460" s="10" t="str">
        <f ca="1">IFERROR(__xludf.DUMMYFUNCTION("""COMPUTED_VALUE"""),"Еволюция на дигиталната компетентност")</f>
        <v>Еволюция на дигиталната компетентност</v>
      </c>
      <c r="D4460" s="10">
        <f ca="1">IFERROR(__xludf.DUMMYFUNCTION("""COMPUTED_VALUE"""),2013)</f>
        <v>2013</v>
      </c>
      <c r="E4460" s="10" t="str">
        <f ca="1">IFERROR(__xludf.DUMMYFUNCTION("""COMPUTED_VALUE"""),"Сборник с доклади от Научен семинар на УниБИТ „Нови информационни технологии в образователния процес”, Май 2013, Камчия, За букв")</f>
        <v>Сборник с доклади от Научен семинар на УниБИТ „Нови информационни технологии в образователния процес”, Май 2013, Камчия, За букв</v>
      </c>
      <c r="F4460" s="10"/>
      <c r="G4460" s="10"/>
      <c r="H4460" s="10"/>
      <c r="I4460" s="10"/>
      <c r="J4460" s="10"/>
      <c r="K4460" s="10"/>
      <c r="L4460" s="10"/>
      <c r="M4460" s="10"/>
      <c r="N4460" s="10"/>
      <c r="O4460" s="10"/>
      <c r="P4460" s="10"/>
      <c r="Q4460" s="10"/>
      <c r="R4460" s="10"/>
      <c r="S4460" s="10"/>
      <c r="T4460" s="10"/>
      <c r="U4460" s="10"/>
      <c r="V4460" s="10"/>
      <c r="W4460" s="10"/>
      <c r="X4460" s="10"/>
      <c r="Y4460" s="10"/>
      <c r="Z4460" s="10"/>
    </row>
    <row r="4461" spans="1:26" ht="12.75">
      <c r="A4461" s="10" t="str">
        <f ca="1">IFERROR(__xludf.DUMMYFUNCTION("""COMPUTED_VALUE"""),"Константин Кирилов Казаков")</f>
        <v>Константин Кирилов Казаков</v>
      </c>
      <c r="B4461" s="10" t="str">
        <f ca="1">IFERROR(__xludf.DUMMYFUNCTION("""COMPUTED_VALUE"""),"Доклад от конференция")</f>
        <v>Доклад от конференция</v>
      </c>
      <c r="C4461" s="10" t="str">
        <f ca="1">IFERROR(__xludf.DUMMYFUNCTION("""COMPUTED_VALUE"""),"Фалшиви новини, базирани на реални данни")</f>
        <v>Фалшиви новини, базирани на реални данни</v>
      </c>
      <c r="D4461" s="10">
        <f ca="1">IFERROR(__xludf.DUMMYFUNCTION("""COMPUTED_VALUE"""),2019)</f>
        <v>2019</v>
      </c>
      <c r="E4461" s="10" t="str">
        <f ca="1">IFERROR(__xludf.DUMMYFUNCTION("""COMPUTED_VALUE"""),"ОБЩЕСТВОТО на знанието и хуманизмът на XXI век – София: За буквите - О писменехь, 2012, ISSN 1314-7099 ; ISSN 2683-0094")</f>
        <v>ОБЩЕСТВОТО на знанието и хуманизмът на XXI век – София: За буквите - О писменехь, 2012, ISSN 1314-7099 ; ISSN 2683-0094</v>
      </c>
      <c r="F4461" s="10"/>
      <c r="G4461" s="10"/>
      <c r="H4461" s="10"/>
      <c r="I4461" s="10"/>
      <c r="J4461" s="10"/>
      <c r="K4461" s="10"/>
      <c r="L4461" s="10"/>
      <c r="M4461" s="10"/>
      <c r="N4461" s="10"/>
      <c r="O4461" s="10"/>
      <c r="P4461" s="10"/>
      <c r="Q4461" s="10"/>
      <c r="R4461" s="10"/>
      <c r="S4461" s="10"/>
      <c r="T4461" s="10"/>
      <c r="U4461" s="10"/>
      <c r="V4461" s="10"/>
      <c r="W4461" s="10"/>
      <c r="X4461" s="10"/>
      <c r="Y4461" s="10"/>
      <c r="Z4461" s="10"/>
    </row>
    <row r="4462" spans="1:26" ht="12.75">
      <c r="A4462" s="10" t="str">
        <f ca="1">IFERROR(__xludf.DUMMYFUNCTION("""COMPUTED_VALUE"""),"Константин Кирилов Казаков")</f>
        <v>Константин Кирилов Казаков</v>
      </c>
      <c r="B4462" s="10" t="str">
        <f ca="1">IFERROR(__xludf.DUMMYFUNCTION("""COMPUTED_VALUE"""),"Монография")</f>
        <v>Монография</v>
      </c>
      <c r="C4462" s="10" t="str">
        <f ca="1">IFERROR(__xludf.DUMMYFUNCTION("""COMPUTED_VALUE"""),"Стратегическо управление на информационните услуги в сигурността")</f>
        <v>Стратегическо управление на информационните услуги в сигурността</v>
      </c>
      <c r="D4462" s="10">
        <f ca="1">IFERROR(__xludf.DUMMYFUNCTION("""COMPUTED_VALUE"""),2019)</f>
        <v>2019</v>
      </c>
      <c r="E4462" s="10" t="str">
        <f ca="1">IFERROR(__xludf.DUMMYFUNCTION("""COMPUTED_VALUE"""),"Софттрейд, С. 2019, ISBN 978-954-334-220-4 COBISS.BG-ID 1289504996")</f>
        <v>Софттрейд, С. 2019, ISBN 978-954-334-220-4 COBISS.BG-ID 1289504996</v>
      </c>
      <c r="F4462" s="10" t="str">
        <f ca="1">IFERROR(__xludf.DUMMYFUNCTION("""COMPUTED_VALUE"""),"COBISS.BG-ID 1289504996")</f>
        <v>COBISS.BG-ID 1289504996</v>
      </c>
      <c r="G4462" s="10"/>
      <c r="H4462" s="10"/>
      <c r="I4462" s="10"/>
      <c r="J4462" s="10"/>
      <c r="K4462" s="10"/>
      <c r="L4462" s="10"/>
      <c r="M4462" s="10"/>
      <c r="N4462" s="10"/>
      <c r="O4462" s="10"/>
      <c r="P4462" s="10"/>
      <c r="Q4462" s="10"/>
      <c r="R4462" s="10"/>
      <c r="S4462" s="10"/>
      <c r="T4462" s="10"/>
      <c r="U4462" s="10"/>
      <c r="V4462" s="10"/>
      <c r="W4462" s="10"/>
      <c r="X4462" s="10"/>
      <c r="Y4462" s="10"/>
      <c r="Z4462" s="10"/>
    </row>
    <row r="4463" spans="1:26" ht="12.75">
      <c r="A4463" s="10" t="str">
        <f ca="1">IFERROR(__xludf.DUMMYFUNCTION("""COMPUTED_VALUE"""),"Константин Кирилов Казаков")</f>
        <v>Константин Кирилов Казаков</v>
      </c>
      <c r="B4463" s="10" t="str">
        <f ca="1">IFERROR(__xludf.DUMMYFUNCTION("""COMPUTED_VALUE"""),"Доклад от конференция")</f>
        <v>Доклад от конференция</v>
      </c>
      <c r="C4463" s="10" t="str">
        <f ca="1">IFERROR(__xludf.DUMMYFUNCTION("""COMPUTED_VALUE"""),"ПРОЦЕСЕН ПОДХОД КЪМ СТРАТЕГИЧЕСКОТО РАЗУЗНАВАНЕ И АНАЛИЗ В СИСТЕМАТА НА НАЦИОНАЛНА СИГУРНОСТ")</f>
        <v>ПРОЦЕСЕН ПОДХОД КЪМ СТРАТЕГИЧЕСКОТО РАЗУЗНАВАНЕ И АНАЛИЗ В СИСТЕМАТА НА НАЦИОНАЛНА СИГУРНОСТ</v>
      </c>
      <c r="D4463" s="10">
        <f ca="1">IFERROR(__xludf.DUMMYFUNCTION("""COMPUTED_VALUE"""),2019)</f>
        <v>2019</v>
      </c>
      <c r="E4463" s="10" t="str">
        <f ca="1">IFERROR(__xludf.DUMMYFUNCTION("""COMPUTED_VALUE"""),"Годишна университетска научна конференция – НВУ „Васил
 Левски“, Велико Търново, 2019г., ISSN 2367-7465")</f>
        <v>Годишна университетска научна конференция – НВУ „Васил
 Левски“, Велико Търново, 2019г., ISSN 2367-7465</v>
      </c>
      <c r="F4463" s="10"/>
      <c r="G4463" s="10"/>
      <c r="H4463" s="10"/>
      <c r="I4463" s="10"/>
      <c r="J4463" s="10"/>
      <c r="K4463" s="10"/>
      <c r="L4463" s="10"/>
      <c r="M4463" s="10"/>
      <c r="N4463" s="10"/>
      <c r="O4463" s="10"/>
      <c r="P4463" s="10"/>
      <c r="Q4463" s="10"/>
      <c r="R4463" s="10"/>
      <c r="S4463" s="10"/>
      <c r="T4463" s="10"/>
      <c r="U4463" s="10"/>
      <c r="V4463" s="10"/>
      <c r="W4463" s="10"/>
      <c r="X4463" s="10"/>
      <c r="Y4463" s="10"/>
      <c r="Z4463" s="10"/>
    </row>
    <row r="4464" spans="1:26" ht="12.75">
      <c r="A4464" s="10" t="str">
        <f ca="1">IFERROR(__xludf.DUMMYFUNCTION("""COMPUTED_VALUE"""),"Константин Кирилов Казаков")</f>
        <v>Константин Кирилов Казаков</v>
      </c>
      <c r="B4464" s="10" t="str">
        <f ca="1">IFERROR(__xludf.DUMMYFUNCTION("""COMPUTED_VALUE"""),"Статия в списания и поредици")</f>
        <v>Статия в списания и поредици</v>
      </c>
      <c r="C4464" s="10" t="str">
        <f ca="1">IFERROR(__xludf.DUMMYFUNCTION("""COMPUTED_VALUE"""),"Ключови управленски умения в разузнавателни и контраразузнавателни организации")</f>
        <v>Ключови управленски умения в разузнавателни и контраразузнавателни организации</v>
      </c>
      <c r="D4464" s="10">
        <f ca="1">IFERROR(__xludf.DUMMYFUNCTION("""COMPUTED_VALUE"""),2019)</f>
        <v>2019</v>
      </c>
      <c r="E4464" s="10" t="str">
        <f ca="1">IFERROR(__xludf.DUMMYFUNCTION("""COMPUTED_VALUE"""),"ВСУ ""Черноризец Храбър"", e-Journal VFU, брой 12 - 2019, ISSN 1313-7514")</f>
        <v>ВСУ "Черноризец Храбър", e-Journal VFU, брой 12 - 2019, ISSN 1313-7514</v>
      </c>
      <c r="F4464" s="10"/>
      <c r="G4464" s="10"/>
      <c r="H4464" s="10"/>
      <c r="I4464" s="10"/>
      <c r="J4464" s="10"/>
      <c r="K4464" s="10"/>
      <c r="L4464" s="10"/>
      <c r="M4464" s="10"/>
      <c r="N4464" s="10"/>
      <c r="O4464" s="10"/>
      <c r="P4464" s="10"/>
      <c r="Q4464" s="10"/>
      <c r="R4464" s="10"/>
      <c r="S4464" s="10"/>
      <c r="T4464" s="10"/>
      <c r="U4464" s="10"/>
      <c r="V4464" s="10"/>
      <c r="W4464" s="10"/>
      <c r="X4464" s="10"/>
      <c r="Y4464" s="10"/>
      <c r="Z4464" s="10"/>
    </row>
    <row r="4465" spans="1:26" ht="12.75">
      <c r="A4465" s="10" t="str">
        <f ca="1">IFERROR(__xludf.DUMMYFUNCTION("""COMPUTED_VALUE"""),"Константин Кирилов Казаков")</f>
        <v>Константин Кирилов Казаков</v>
      </c>
      <c r="B4465" s="10" t="str">
        <f ca="1">IFERROR(__xludf.DUMMYFUNCTION("""COMPUTED_VALUE"""),"Доклад от конференция")</f>
        <v>Доклад от конференция</v>
      </c>
      <c r="C4465" s="10" t="str">
        <f ca="1">IFERROR(__xludf.DUMMYFUNCTION("""COMPUTED_VALUE"""),"АДАПТИРАНЕ КЪМ ПРОМЕНЯЩА СЕ СРЕДА ЗА СИГУРНОСТ")</f>
        <v>АДАПТИРАНЕ КЪМ ПРОМЕНЯЩА СЕ СРЕДА ЗА СИГУРНОСТ</v>
      </c>
      <c r="D4465" s="10">
        <f ca="1">IFERROR(__xludf.DUMMYFUNCTION("""COMPUTED_VALUE"""),2018)</f>
        <v>2018</v>
      </c>
      <c r="E4465" s="10" t="str">
        <f ca="1">IFERROR(__xludf.DUMMYFUNCTION("""COMPUTED_VALUE"""),"Международен пътуващ семинар на УниБИТ, Рим, 2018г., ISSN 2367-7988; УДК 378.902(497.223) (062.2); COBISS.BG-ID 1273079524")</f>
        <v>Международен пътуващ семинар на УниБИТ, Рим, 2018г., ISSN 2367-7988; УДК 378.902(497.223) (062.2); COBISS.BG-ID 1273079524</v>
      </c>
      <c r="F4465" s="10" t="str">
        <f ca="1">IFERROR(__xludf.DUMMYFUNCTION("""COMPUTED_VALUE"""),"УДК 378.902(497.223) (062.2); COBISS.BG-ID 1273079524")</f>
        <v>УДК 378.902(497.223) (062.2); COBISS.BG-ID 1273079524</v>
      </c>
      <c r="G4465" s="10"/>
      <c r="H4465" s="10"/>
      <c r="I4465" s="10"/>
      <c r="J4465" s="10"/>
      <c r="K4465" s="10"/>
      <c r="L4465" s="10"/>
      <c r="M4465" s="10"/>
      <c r="N4465" s="10"/>
      <c r="O4465" s="10"/>
      <c r="P4465" s="10"/>
      <c r="Q4465" s="10"/>
      <c r="R4465" s="10"/>
      <c r="S4465" s="10"/>
      <c r="T4465" s="10"/>
      <c r="U4465" s="10"/>
      <c r="V4465" s="10"/>
      <c r="W4465" s="10"/>
      <c r="X4465" s="10"/>
      <c r="Y4465" s="10"/>
      <c r="Z4465" s="10"/>
    </row>
    <row r="4466" spans="1:26" ht="12.75">
      <c r="A4466" s="10" t="str">
        <f ca="1">IFERROR(__xludf.DUMMYFUNCTION("""COMPUTED_VALUE"""),"Константин Кирилов Казаков")</f>
        <v>Константин Кирилов Казаков</v>
      </c>
      <c r="B4466" s="10" t="str">
        <f ca="1">IFERROR(__xludf.DUMMYFUNCTION("""COMPUTED_VALUE"""),"Доклад от конференция")</f>
        <v>Доклад от конференция</v>
      </c>
      <c r="C4466" s="10" t="str">
        <f ca="1">IFERROR(__xludf.DUMMYFUNCTION("""COMPUTED_VALUE"""),"МОДЕЛ ЗА СТРАТЕГИЧЕСКО УПРАВЛЕНИЕ НА РАЗУЗНАВАТЕЛНИ И КОНТРАРАЗУЗНАВАТЕЛНИ СЛУЖБИ")</f>
        <v>МОДЕЛ ЗА СТРАТЕГИЧЕСКО УПРАВЛЕНИЕ НА РАЗУЗНАВАТЕЛНИ И КОНТРАРАЗУЗНАВАТЕЛНИ СЛУЖБИ</v>
      </c>
      <c r="D4466" s="10">
        <f ca="1">IFERROR(__xludf.DUMMYFUNCTION("""COMPUTED_VALUE"""),2018)</f>
        <v>2018</v>
      </c>
      <c r="E4466" s="10" t="str">
        <f ca="1">IFERROR(__xludf.DUMMYFUNCTION("""COMPUTED_VALUE"""),"МЕЖДУНАРОДНА НАУЧНА КОНФЕРЕНЦИЯ „Предизвикателствата пред ЕС и НАТО в контекста на радикализацията, тероризма и миграцията“, ВОЕННА АКАДЕМИЯ „ГЕОРГИ СТОЙКОВ РАКОВСКИ“, 11 – 12 април 2018 г.")</f>
        <v>МЕЖДУНАРОДНА НАУЧНА КОНФЕРЕНЦИЯ „Предизвикателствата пред ЕС и НАТО в контекста на радикализацията, тероризма и миграцията“, ВОЕННА АКАДЕМИЯ „ГЕОРГИ СТОЙКОВ РАКОВСКИ“, 11 – 12 април 2018 г.</v>
      </c>
      <c r="F4466" s="10"/>
      <c r="G4466" s="10"/>
      <c r="H4466" s="10"/>
      <c r="I4466" s="10"/>
      <c r="J4466" s="10"/>
      <c r="K4466" s="10"/>
      <c r="L4466" s="10"/>
      <c r="M4466" s="10"/>
      <c r="N4466" s="10"/>
      <c r="O4466" s="10"/>
      <c r="P4466" s="10"/>
      <c r="Q4466" s="10"/>
      <c r="R4466" s="10"/>
      <c r="S4466" s="10"/>
      <c r="T4466" s="10"/>
      <c r="U4466" s="10"/>
      <c r="V4466" s="10"/>
      <c r="W4466" s="10"/>
      <c r="X4466" s="10"/>
      <c r="Y4466" s="10"/>
      <c r="Z4466" s="10"/>
    </row>
    <row r="4467" spans="1:26" ht="12.75">
      <c r="A4467" s="10" t="str">
        <f ca="1">IFERROR(__xludf.DUMMYFUNCTION("""COMPUTED_VALUE"""),"Константин Кирилов Казаков")</f>
        <v>Константин Кирилов Казаков</v>
      </c>
      <c r="B4467" s="10" t="str">
        <f ca="1">IFERROR(__xludf.DUMMYFUNCTION("""COMPUTED_VALUE"""),"Доклад от конференция")</f>
        <v>Доклад от конференция</v>
      </c>
      <c r="C4467" s="10" t="str">
        <f ca="1">IFERROR(__xludf.DUMMYFUNCTION("""COMPUTED_VALUE"""),"Идентифициране и оценка на потенциални заплахи, насочени срещу стратегически обекти и дейности от значение за националната сигурност")</f>
        <v>Идентифициране и оценка на потенциални заплахи, насочени срещу стратегически обекти и дейности от значение за националната сигурност</v>
      </c>
      <c r="D4467" s="10">
        <f ca="1">IFERROR(__xludf.DUMMYFUNCTION("""COMPUTED_VALUE"""),2018)</f>
        <v>2018</v>
      </c>
      <c r="E4467" s="10" t="str">
        <f ca="1">IFERROR(__xludf.DUMMYFUNCTION("""COMPUTED_VALUE"""),"ВСУ ""Черноризец Храбър"", e-Journal VFU, брой 11 - 2018, ISSN 1313-7514")</f>
        <v>ВСУ "Черноризец Храбър", e-Journal VFU, брой 11 - 2018, ISSN 1313-7514</v>
      </c>
      <c r="F4467" s="10"/>
      <c r="G4467" s="10"/>
      <c r="H4467" s="10"/>
      <c r="I4467" s="10"/>
      <c r="J4467" s="10"/>
      <c r="K4467" s="10"/>
      <c r="L4467" s="10"/>
      <c r="M4467" s="10"/>
      <c r="N4467" s="10"/>
      <c r="O4467" s="10"/>
      <c r="P4467" s="10"/>
      <c r="Q4467" s="10"/>
      <c r="R4467" s="10"/>
      <c r="S4467" s="10"/>
      <c r="T4467" s="10"/>
      <c r="U4467" s="10"/>
      <c r="V4467" s="10"/>
      <c r="W4467" s="10"/>
      <c r="X4467" s="10"/>
      <c r="Y4467" s="10"/>
      <c r="Z4467" s="10"/>
    </row>
    <row r="4468" spans="1:26" ht="12.75">
      <c r="A4468" s="10" t="str">
        <f ca="1">IFERROR(__xludf.DUMMYFUNCTION("""COMPUTED_VALUE"""),"Константин Кирилов Казаков")</f>
        <v>Константин Кирилов Казаков</v>
      </c>
      <c r="B4468" s="10" t="str">
        <f ca="1">IFERROR(__xludf.DUMMYFUNCTION("""COMPUTED_VALUE"""),"Доклад от конференция")</f>
        <v>Доклад от конференция</v>
      </c>
      <c r="C4468" s="10" t="str">
        <f ca="1">IFERROR(__xludf.DUMMYFUNCTION("""COMPUTED_VALUE"""),"СЛИВАНЕ НА ДАННИ В СИГУРНОСТТА")</f>
        <v>СЛИВАНЕ НА ДАННИ В СИГУРНОСТТА</v>
      </c>
      <c r="D4468" s="10">
        <f ca="1">IFERROR(__xludf.DUMMYFUNCTION("""COMPUTED_VALUE"""),2018)</f>
        <v>2018</v>
      </c>
      <c r="E4468" s="10" t="str">
        <f ca="1">IFERROR(__xludf.DUMMYFUNCTION("""COMPUTED_VALUE"""),"ШУМЕНСКИ УНИВЕРСИТЕТ „ЕПИСКОП КОНСТАНТИН ПРЕСЛАВСКИ“ НАУЧНА КОНФЕРЕНЦИЯ С МЕЖДУНАРОДНО УЧАСТИЕ МАТТЕХ 2018")</f>
        <v>ШУМЕНСКИ УНИВЕРСИТЕТ „ЕПИСКОП КОНСТАНТИН ПРЕСЛАВСКИ“ НАУЧНА КОНФЕРЕНЦИЯ С МЕЖДУНАРОДНО УЧАСТИЕ МАТТЕХ 2018</v>
      </c>
      <c r="F4468" s="10"/>
      <c r="G4468" s="10"/>
      <c r="H4468" s="10"/>
      <c r="I4468" s="10"/>
      <c r="J4468" s="10"/>
      <c r="K4468" s="10"/>
      <c r="L4468" s="10"/>
      <c r="M4468" s="10"/>
      <c r="N4468" s="10"/>
      <c r="O4468" s="10"/>
      <c r="P4468" s="10"/>
      <c r="Q4468" s="10"/>
      <c r="R4468" s="10"/>
      <c r="S4468" s="10"/>
      <c r="T4468" s="10"/>
      <c r="U4468" s="10"/>
      <c r="V4468" s="10"/>
      <c r="W4468" s="10"/>
      <c r="X4468" s="10"/>
      <c r="Y4468" s="10"/>
      <c r="Z4468" s="10"/>
    </row>
    <row r="4469" spans="1:26" ht="12.75">
      <c r="A4469" s="10" t="str">
        <f ca="1">IFERROR(__xludf.DUMMYFUNCTION("""COMPUTED_VALUE"""),"Константин Кирилов Казаков")</f>
        <v>Константин Кирилов Казаков</v>
      </c>
      <c r="B4469" s="10" t="str">
        <f ca="1">IFERROR(__xludf.DUMMYFUNCTION("""COMPUTED_VALUE"""),"Доклад от конференция")</f>
        <v>Доклад от конференция</v>
      </c>
      <c r="C4469" s="10" t="str">
        <f ca="1">IFERROR(__xludf.DUMMYFUNCTION("""COMPUTED_VALUE"""),"Процесен подход в управлението на разузнавателни и контраразузнавателни служби")</f>
        <v>Процесен подход в управлението на разузнавателни и контраразузнавателни служби</v>
      </c>
      <c r="D4469" s="10">
        <f ca="1">IFERROR(__xludf.DUMMYFUNCTION("""COMPUTED_VALUE"""),2018)</f>
        <v>2018</v>
      </c>
      <c r="E4469" s="10" t="str">
        <f ca="1">IFERROR(__xludf.DUMMYFUNCTION("""COMPUTED_VALUE"""),"Сборник доклади от годишна университетска научна конференция, НВУ „Васил Левски“, 2018г., Велико Търново, ISSN 1314-1937, ISBN 078-619-7246-20-9 (online e-book)")</f>
        <v>Сборник доклади от годишна университетска научна конференция, НВУ „Васил Левски“, 2018г., Велико Търново, ISSN 1314-1937, ISBN 078-619-7246-20-9 (online e-book)</v>
      </c>
      <c r="F4469" s="10"/>
      <c r="G4469" s="10"/>
      <c r="H4469" s="10"/>
      <c r="I4469" s="10"/>
      <c r="J4469" s="10"/>
      <c r="K4469" s="10"/>
      <c r="L4469" s="10"/>
      <c r="M4469" s="10"/>
      <c r="N4469" s="10"/>
      <c r="O4469" s="10"/>
      <c r="P4469" s="10"/>
      <c r="Q4469" s="10"/>
      <c r="R4469" s="10"/>
      <c r="S4469" s="10"/>
      <c r="T4469" s="10"/>
      <c r="U4469" s="10"/>
      <c r="V4469" s="10"/>
      <c r="W4469" s="10"/>
      <c r="X4469" s="10"/>
      <c r="Y4469" s="10"/>
      <c r="Z4469" s="10"/>
    </row>
    <row r="4470" spans="1:26" ht="12.75">
      <c r="A4470" s="10" t="str">
        <f ca="1">IFERROR(__xludf.DUMMYFUNCTION("""COMPUTED_VALUE"""),"Константин Кирилов Казаков")</f>
        <v>Константин Кирилов Казаков</v>
      </c>
      <c r="B4470" s="10" t="str">
        <f ca="1">IFERROR(__xludf.DUMMYFUNCTION("""COMPUTED_VALUE"""),"Доклад от конференция")</f>
        <v>Доклад от конференция</v>
      </c>
      <c r="C4470" s="10" t="str">
        <f ca="1">IFERROR(__xludf.DUMMYFUNCTION("""COMPUTED_VALUE"""),"СЛИВАНЕ НА ДАННИ В РАЗУЗНАВАТЕЛНИ И КОНТРАРАЗУЗНАВАТЕЛНИ СЛУЖБИ")</f>
        <v>СЛИВАНЕ НА ДАННИ В РАЗУЗНАВАТЕЛНИ И КОНТРАРАЗУЗНАВАТЕЛНИ СЛУЖБИ</v>
      </c>
      <c r="D4470" s="10">
        <f ca="1">IFERROR(__xludf.DUMMYFUNCTION("""COMPUTED_VALUE"""),2017)</f>
        <v>2017</v>
      </c>
      <c r="E4470" s="10" t="str">
        <f ca="1">IFERROR(__xludf.DUMMYFUNCTION("""COMPUTED_VALUE"""),"Международен пътуващ семинар на УниБИТ „Съвременни измерения на европейското образователно и научно пространство. Българо-гръцки културни общувания“ Гърция, 2017. ISSN 2367-7988; УДК 378.902(497.223) (062.2); COBISS.BG-ID 1273079524")</f>
        <v>Международен пътуващ семинар на УниБИТ „Съвременни измерения на европейското образователно и научно пространство. Българо-гръцки културни общувания“ Гърция, 2017. ISSN 2367-7988; УДК 378.902(497.223) (062.2); COBISS.BG-ID 1273079524</v>
      </c>
      <c r="F4470" s="10" t="str">
        <f ca="1">IFERROR(__xludf.DUMMYFUNCTION("""COMPUTED_VALUE"""),"УДК 378.902(497.223) (062.2); COBISS.BG-ID 1273079524")</f>
        <v>УДК 378.902(497.223) (062.2); COBISS.BG-ID 1273079524</v>
      </c>
      <c r="G4470" s="10"/>
      <c r="H4470" s="10"/>
      <c r="I4470" s="10"/>
      <c r="J4470" s="10"/>
      <c r="K4470" s="10"/>
      <c r="L4470" s="10"/>
      <c r="M4470" s="10"/>
      <c r="N4470" s="10"/>
      <c r="O4470" s="10"/>
      <c r="P4470" s="10"/>
      <c r="Q4470" s="10"/>
      <c r="R4470" s="10"/>
      <c r="S4470" s="10"/>
      <c r="T4470" s="10"/>
      <c r="U4470" s="10"/>
      <c r="V4470" s="10"/>
      <c r="W4470" s="10"/>
      <c r="X4470" s="10"/>
      <c r="Y4470" s="10"/>
      <c r="Z4470" s="10"/>
    </row>
    <row r="4471" spans="1:26" ht="12.75">
      <c r="A4471" s="10" t="str">
        <f ca="1">IFERROR(__xludf.DUMMYFUNCTION("""COMPUTED_VALUE"""),"Константин Кирилов Казаков")</f>
        <v>Константин Кирилов Казаков</v>
      </c>
      <c r="B4471" s="10" t="str">
        <f ca="1">IFERROR(__xludf.DUMMYFUNCTION("""COMPUTED_VALUE"""),"Доклад от конференция")</f>
        <v>Доклад от конференция</v>
      </c>
      <c r="C4471" s="10" t="str">
        <f ca="1">IFERROR(__xludf.DUMMYFUNCTION("""COMPUTED_VALUE"""),"Analytic Techniques for Counterterrorism")</f>
        <v>Analytic Techniques for Counterterrorism</v>
      </c>
      <c r="D4471" s="10">
        <f ca="1">IFERROR(__xludf.DUMMYFUNCTION("""COMPUTED_VALUE"""),2017)</f>
        <v>2017</v>
      </c>
      <c r="E4471" s="10" t="str">
        <f ca="1">IFERROR(__xludf.DUMMYFUNCTION("""COMPUTED_VALUE"""),"8th International Scientific Conference “SECURITY CONCEPTS AND POLICIES – NEW GENERATION OF RISKS AND THREATS” Ohrid, Republic of Macedonia 4 - 5 June, 2017.")</f>
        <v>8th International Scientific Conference “SECURITY CONCEPTS AND POLICIES – NEW GENERATION OF RISKS AND THREATS” Ohrid, Republic of Macedonia 4 - 5 June, 2017.</v>
      </c>
      <c r="F4471" s="10"/>
      <c r="G4471" s="10"/>
      <c r="H4471" s="10"/>
      <c r="I4471" s="10"/>
      <c r="J4471" s="10"/>
      <c r="K4471" s="10"/>
      <c r="L4471" s="10"/>
      <c r="M4471" s="10"/>
      <c r="N4471" s="10"/>
      <c r="O4471" s="10"/>
      <c r="P4471" s="10"/>
      <c r="Q4471" s="10"/>
      <c r="R4471" s="10"/>
      <c r="S4471" s="10"/>
      <c r="T4471" s="10"/>
      <c r="U4471" s="10"/>
      <c r="V4471" s="10"/>
      <c r="W4471" s="10"/>
      <c r="X4471" s="10"/>
      <c r="Y4471" s="10"/>
      <c r="Z4471" s="10"/>
    </row>
    <row r="4472" spans="1:26" ht="12.75">
      <c r="A4472" s="10" t="str">
        <f ca="1">IFERROR(__xludf.DUMMYFUNCTION("""COMPUTED_VALUE"""),"Константин Кирилов Казаков")</f>
        <v>Константин Кирилов Казаков</v>
      </c>
      <c r="B4472" s="10" t="str">
        <f ca="1">IFERROR(__xludf.DUMMYFUNCTION("""COMPUTED_VALUE"""),"Доклад от конференция")</f>
        <v>Доклад от конференция</v>
      </c>
      <c r="C4472" s="10" t="str">
        <f ca="1">IFERROR(__xludf.DUMMYFUNCTION("""COMPUTED_VALUE"""),"СЛИВАНЕ НА ДАННИ В НАЦИОНАЛНАТА СИГУРНОСТ")</f>
        <v>СЛИВАНЕ НА ДАННИ В НАЦИОНАЛНАТА СИГУРНОСТ</v>
      </c>
      <c r="D4472" s="10">
        <f ca="1">IFERROR(__xludf.DUMMYFUNCTION("""COMPUTED_VALUE"""),2017)</f>
        <v>2017</v>
      </c>
      <c r="E4472" s="10" t="str">
        <f ca="1">IFERROR(__xludf.DUMMYFUNCTION("""COMPUTED_VALUE"""),"Научна конференция на тема: “ПРАВОТО НА СИГУРНОСТ”, 23-24 юни 2017 г.;")</f>
        <v>Научна конференция на тема: “ПРАВОТО НА СИГУРНОСТ”, 23-24 юни 2017 г.;</v>
      </c>
      <c r="F4472" s="10"/>
      <c r="G4472" s="10"/>
      <c r="H4472" s="10"/>
      <c r="I4472" s="10"/>
      <c r="J4472" s="10"/>
      <c r="K4472" s="10"/>
      <c r="L4472" s="10"/>
      <c r="M4472" s="10"/>
      <c r="N4472" s="10"/>
      <c r="O4472" s="10"/>
      <c r="P4472" s="10"/>
      <c r="Q4472" s="10"/>
      <c r="R4472" s="10"/>
      <c r="S4472" s="10"/>
      <c r="T4472" s="10"/>
      <c r="U4472" s="10"/>
      <c r="V4472" s="10"/>
      <c r="W4472" s="10"/>
      <c r="X4472" s="10"/>
      <c r="Y4472" s="10"/>
      <c r="Z4472" s="10"/>
    </row>
    <row r="4473" spans="1:26" ht="12.75">
      <c r="A4473" s="10" t="str">
        <f ca="1">IFERROR(__xludf.DUMMYFUNCTION("""COMPUTED_VALUE"""),"Константин Кирилов Казаков")</f>
        <v>Константин Кирилов Казаков</v>
      </c>
      <c r="B4473" s="10" t="str">
        <f ca="1">IFERROR(__xludf.DUMMYFUNCTION("""COMPUTED_VALUE"""),"Доклад от конференция")</f>
        <v>Доклад от конференция</v>
      </c>
      <c r="C4473" s="10" t="str">
        <f ca="1">IFERROR(__xludf.DUMMYFUNCTION("""COMPUTED_VALUE"""),"COUNTERTERRORISM ANALISIS-SYNTHESIS IN THE NATIONAL SECURITY SYSTEM")</f>
        <v>COUNTERTERRORISM ANALISIS-SYNTHESIS IN THE NATIONAL SECURITY SYSTEM</v>
      </c>
      <c r="D4473" s="10">
        <f ca="1">IFERROR(__xludf.DUMMYFUNCTION("""COMPUTED_VALUE"""),2017)</f>
        <v>2017</v>
      </c>
      <c r="E4473" s="10" t="str">
        <f ca="1">IFERROR(__xludf.DUMMYFUNCTION("""COMPUTED_VALUE"""),"Fakultet za parvo, bezbednost I menadzment “Konstantin Veliki”, Nis 03.11.2017, ., ISBN: 978-86-6113-046-5; UDC 314.15:351.82/.86(082); 005.334:314.15(082); 351.756(082) 341.231.14-054.73(082) COBISS.SR-ID 248218380")</f>
        <v>Fakultet za parvo, bezbednost I menadzment “Konstantin Veliki”, Nis 03.11.2017, ., ISBN: 978-86-6113-046-5; UDC 314.15:351.82/.86(082); 005.334:314.15(082); 351.756(082) 341.231.14-054.73(082) COBISS.SR-ID 248218380</v>
      </c>
      <c r="F4473" s="10" t="str">
        <f ca="1">IFERROR(__xludf.DUMMYFUNCTION("""COMPUTED_VALUE"""),"UDC 314.15:351.82/.86(082); 005.334:314.15(082); 351.756(082); 
 341.231.14-054.73(082); COBISS.SR-ID 248218380")</f>
        <v>UDC 314.15:351.82/.86(082); 005.334:314.15(082); 351.756(082); 
 341.231.14-054.73(082); COBISS.SR-ID 248218380</v>
      </c>
      <c r="G4473" s="10"/>
      <c r="H4473" s="10"/>
      <c r="I4473" s="10"/>
      <c r="J4473" s="10"/>
      <c r="K4473" s="10"/>
      <c r="L4473" s="10"/>
      <c r="M4473" s="10"/>
      <c r="N4473" s="10"/>
      <c r="O4473" s="10"/>
      <c r="P4473" s="10"/>
      <c r="Q4473" s="10"/>
      <c r="R4473" s="10"/>
      <c r="S4473" s="10"/>
      <c r="T4473" s="10"/>
      <c r="U4473" s="10"/>
      <c r="V4473" s="10"/>
      <c r="W4473" s="10"/>
      <c r="X4473" s="10"/>
      <c r="Y4473" s="10"/>
      <c r="Z4473" s="10"/>
    </row>
    <row r="4474" spans="1:26" ht="12.75">
      <c r="A4474" s="10" t="str">
        <f ca="1">IFERROR(__xludf.DUMMYFUNCTION("""COMPUTED_VALUE"""),"Константин Кирилов Казаков")</f>
        <v>Константин Кирилов Казаков</v>
      </c>
      <c r="B4474" s="10" t="str">
        <f ca="1">IFERROR(__xludf.DUMMYFUNCTION("""COMPUTED_VALUE"""),"Доклад от конференция")</f>
        <v>Доклад от конференция</v>
      </c>
      <c r="C4474" s="10" t="str">
        <f ca="1">IFERROR(__xludf.DUMMYFUNCTION("""COMPUTED_VALUE"""),"ПРАКТИКА НА РАЗУЗНАВАТЕЛНИЯ АНАЛИЗ И СИНТЕЗ")</f>
        <v>ПРАКТИКА НА РАЗУЗНАВАТЕЛНИЯ АНАЛИЗ И СИНТЕЗ</v>
      </c>
      <c r="D4474" s="10">
        <f ca="1">IFERROR(__xludf.DUMMYFUNCTION("""COMPUTED_VALUE"""),2017)</f>
        <v>2017</v>
      </c>
      <c r="E4474" s="10" t="str">
        <f ca="1">IFERROR(__xludf.DUMMYFUNCTION("""COMPUTED_VALUE"""),"Научно-практическа конференция на тема „ПРАВО И СИГУРНОСТ“, Бургаския свободен университет, гр. Бургас, 2017 г., ISSN 1311-3771 УДК 34; COBISS.BG-ID 1119945700")</f>
        <v>Научно-практическа конференция на тема „ПРАВО И СИГУРНОСТ“, Бургаския свободен университет, гр. Бургас, 2017 г., ISSN 1311-3771 УДК 34; COBISS.BG-ID 1119945700</v>
      </c>
      <c r="F4474" s="10" t="str">
        <f ca="1">IFERROR(__xludf.DUMMYFUNCTION("""COMPUTED_VALUE"""),"УДК 34; COBISS.BG-ID 1119945700")</f>
        <v>УДК 34; COBISS.BG-ID 1119945700</v>
      </c>
      <c r="G4474" s="10"/>
      <c r="H4474" s="10"/>
      <c r="I4474" s="10"/>
      <c r="J4474" s="10"/>
      <c r="K4474" s="10"/>
      <c r="L4474" s="10"/>
      <c r="M4474" s="10"/>
      <c r="N4474" s="10"/>
      <c r="O4474" s="10"/>
      <c r="P4474" s="10"/>
      <c r="Q4474" s="10"/>
      <c r="R4474" s="10"/>
      <c r="S4474" s="10"/>
      <c r="T4474" s="10"/>
      <c r="U4474" s="10"/>
      <c r="V4474" s="10"/>
      <c r="W4474" s="10"/>
      <c r="X4474" s="10"/>
      <c r="Y4474" s="10"/>
      <c r="Z4474" s="10"/>
    </row>
    <row r="4475" spans="1:26" ht="12.75">
      <c r="A4475" s="10" t="str">
        <f ca="1">IFERROR(__xludf.DUMMYFUNCTION("""COMPUTED_VALUE"""),"Константин Кирилов Казаков")</f>
        <v>Константин Кирилов Казаков</v>
      </c>
      <c r="B4475" s="10" t="str">
        <f ca="1">IFERROR(__xludf.DUMMYFUNCTION("""COMPUTED_VALUE"""),"Доклад от конференция")</f>
        <v>Доклад от конференция</v>
      </c>
      <c r="C4475" s="10" t="str">
        <f ca="1">IFERROR(__xludf.DUMMYFUNCTION("""COMPUTED_VALUE"""),"ПРИНЦИПИ НА РАЗУЗНАВАТЕЛНИЯ АНАЛИЗ И СИНТЕЗ")</f>
        <v>ПРИНЦИПИ НА РАЗУЗНАВАТЕЛНИЯ АНАЛИЗ И СИНТЕЗ</v>
      </c>
      <c r="D4475" s="10">
        <f ca="1">IFERROR(__xludf.DUMMYFUNCTION("""COMPUTED_VALUE"""),2017)</f>
        <v>2017</v>
      </c>
      <c r="E4475" s="10" t="str">
        <f ca="1">IFERROR(__xludf.DUMMYFUNCTION("""COMPUTED_VALUE"""),"МЕЖДУНАРОДНА НАУЧНА КОНФЕРЕНЦИЯ ИЗЛОЖЕНИЕ НА СЪВРЕМЕННИ ОТБРАНИТЕЛНИ ПРОДУКТИ, 2017 г. НВУ „Васил Левски“, гр. Шумен, ISSN 2367-7902")</f>
        <v>МЕЖДУНАРОДНА НАУЧНА КОНФЕРЕНЦИЯ ИЗЛОЖЕНИЕ НА СЪВРЕМЕННИ ОТБРАНИТЕЛНИ ПРОДУКТИ, 2017 г. НВУ „Васил Левски“, гр. Шумен, ISSN 2367-7902</v>
      </c>
      <c r="F4475" s="10"/>
      <c r="G4475" s="10"/>
      <c r="H4475" s="10"/>
      <c r="I4475" s="10"/>
      <c r="J4475" s="10"/>
      <c r="K4475" s="10"/>
      <c r="L4475" s="10"/>
      <c r="M4475" s="10"/>
      <c r="N4475" s="10"/>
      <c r="O4475" s="10"/>
      <c r="P4475" s="10"/>
      <c r="Q4475" s="10"/>
      <c r="R4475" s="10"/>
      <c r="S4475" s="10"/>
      <c r="T4475" s="10"/>
      <c r="U4475" s="10"/>
      <c r="V4475" s="10"/>
      <c r="W4475" s="10"/>
      <c r="X4475" s="10"/>
      <c r="Y4475" s="10"/>
      <c r="Z4475" s="10"/>
    </row>
    <row r="4476" spans="1:26" ht="12.75">
      <c r="A4476" s="10" t="str">
        <f ca="1">IFERROR(__xludf.DUMMYFUNCTION("""COMPUTED_VALUE"""),"Константин Кирилов Казаков")</f>
        <v>Константин Кирилов Казаков</v>
      </c>
      <c r="B4476" s="10" t="str">
        <f ca="1">IFERROR(__xludf.DUMMYFUNCTION("""COMPUTED_VALUE"""),"Доклад от конференция")</f>
        <v>Доклад от конференция</v>
      </c>
      <c r="C4476" s="10" t="str">
        <f ca="1">IFERROR(__xludf.DUMMYFUNCTION("""COMPUTED_VALUE"""),"АДАПТИРАНЕ КЪМ СЛОЖНА И НЕПРЕДВИДИМА СРЕДА ЗА СИГУРНОСТ")</f>
        <v>АДАПТИРАНЕ КЪМ СЛОЖНА И НЕПРЕДВИДИМА СРЕДА ЗА СИГУРНОСТ</v>
      </c>
      <c r="D4476" s="10">
        <f ca="1">IFERROR(__xludf.DUMMYFUNCTION("""COMPUTED_VALUE"""),2017)</f>
        <v>2017</v>
      </c>
      <c r="E4476" s="10" t="str">
        <f ca="1">IFERROR(__xludf.DUMMYFUNCTION("""COMPUTED_VALUE"""),"Сборник доклади от международна научна конференция „Трансгранично сътрудничество, сигурност и перспективи за развитие в широкия черноморски регион“, 2017, Велико Търново, ISBN 978-619-205-080-1; COBISS.BG-ID 1288488420")</f>
        <v>Сборник доклади от международна научна конференция „Трансгранично сътрудничество, сигурност и перспективи за развитие в широкия черноморски регион“, 2017, Велико Търново, ISBN 978-619-205-080-1; COBISS.BG-ID 1288488420</v>
      </c>
      <c r="F4476" s="10" t="str">
        <f ca="1">IFERROR(__xludf.DUMMYFUNCTION("""COMPUTED_VALUE"""),"COBISS.BG-ID 1288488420")</f>
        <v>COBISS.BG-ID 1288488420</v>
      </c>
      <c r="G4476" s="10"/>
      <c r="H4476" s="10"/>
      <c r="I4476" s="10"/>
      <c r="J4476" s="10"/>
      <c r="K4476" s="10"/>
      <c r="L4476" s="10"/>
      <c r="M4476" s="10"/>
      <c r="N4476" s="10"/>
      <c r="O4476" s="10"/>
      <c r="P4476" s="10"/>
      <c r="Q4476" s="10"/>
      <c r="R4476" s="10"/>
      <c r="S4476" s="10"/>
      <c r="T4476" s="10"/>
      <c r="U4476" s="10"/>
      <c r="V4476" s="10"/>
      <c r="W4476" s="10"/>
      <c r="X4476" s="10"/>
      <c r="Y4476" s="10"/>
      <c r="Z4476" s="10"/>
    </row>
    <row r="4477" spans="1:26" ht="12.75">
      <c r="A4477" s="10" t="str">
        <f ca="1">IFERROR(__xludf.DUMMYFUNCTION("""COMPUTED_VALUE"""),"Константин Кирилов Казаков")</f>
        <v>Константин Кирилов Казаков</v>
      </c>
      <c r="B4477" s="10" t="str">
        <f ca="1">IFERROR(__xludf.DUMMYFUNCTION("""COMPUTED_VALUE"""),"Статия в списания и поредици")</f>
        <v>Статия в списания и поредици</v>
      </c>
      <c r="C4477" s="10" t="str">
        <f ca="1">IFERROR(__xludf.DUMMYFUNCTION("""COMPUTED_VALUE"""),"Стратегията на ИДИЛ")</f>
        <v>Стратегията на ИДИЛ</v>
      </c>
      <c r="D4477" s="10">
        <f ca="1">IFERROR(__xludf.DUMMYFUNCTION("""COMPUTED_VALUE"""),2017)</f>
        <v>2017</v>
      </c>
      <c r="E4477" s="10" t="str">
        <f ca="1">IFERROR(__xludf.DUMMYFUNCTION("""COMPUTED_VALUE"""),"Военен журнал, бр. 1/2017г., ISSN 0861-7392")</f>
        <v>Военен журнал, бр. 1/2017г., ISSN 0861-7392</v>
      </c>
      <c r="F4477" s="10"/>
      <c r="G4477" s="10"/>
      <c r="H4477" s="10"/>
      <c r="I4477" s="10"/>
      <c r="J4477" s="10"/>
      <c r="K4477" s="10"/>
      <c r="L4477" s="10"/>
      <c r="M4477" s="10"/>
      <c r="N4477" s="10"/>
      <c r="O4477" s="10"/>
      <c r="P4477" s="10"/>
      <c r="Q4477" s="10"/>
      <c r="R4477" s="10"/>
      <c r="S4477" s="10"/>
      <c r="T4477" s="10"/>
      <c r="U4477" s="10"/>
      <c r="V4477" s="10"/>
      <c r="W4477" s="10"/>
      <c r="X4477" s="10"/>
      <c r="Y4477" s="10"/>
      <c r="Z4477" s="10"/>
    </row>
    <row r="4478" spans="1:26" ht="12.75">
      <c r="A4478" s="10" t="str">
        <f ca="1">IFERROR(__xludf.DUMMYFUNCTION("""COMPUTED_VALUE"""),"Константин Кирилов Казаков")</f>
        <v>Константин Кирилов Казаков</v>
      </c>
      <c r="B4478" s="10" t="str">
        <f ca="1">IFERROR(__xludf.DUMMYFUNCTION("""COMPUTED_VALUE"""),"Доклад от конференция")</f>
        <v>Доклад от конференция</v>
      </c>
      <c r="C4478" s="10" t="str">
        <f ca="1">IFERROR(__xludf.DUMMYFUNCTION("""COMPUTED_VALUE"""),"ОЦЕНКА НА ПРОЕКТИТЕ НА ЗАКОН ЗА ПРОТИВОДЕЙСТВИЕ НА КОРУПЦИЯТА")</f>
        <v>ОЦЕНКА НА ПРОЕКТИТЕ НА ЗАКОН ЗА ПРОТИВОДЕЙСТВИЕ НА КОРУПЦИЯТА</v>
      </c>
      <c r="D4478" s="10">
        <f ca="1">IFERROR(__xludf.DUMMYFUNCTION("""COMPUTED_VALUE"""),2017)</f>
        <v>2017</v>
      </c>
      <c r="E4478" s="10" t="str">
        <f ca="1">IFERROR(__xludf.DUMMYFUNCTION("""COMPUTED_VALUE"""),"Университет по библиотекознание и информационни технологии, София, 2017г. Издателство „За буквите – О писменехь“ ISSN 1314-7099;")</f>
        <v>Университет по библиотекознание и информационни технологии, София, 2017г. Издателство „За буквите – О писменехь“ ISSN 1314-7099;</v>
      </c>
      <c r="F4478" s="10"/>
      <c r="G4478" s="10" t="str">
        <f ca="1">IFERROR(__xludf.DUMMYFUNCTION("""COMPUTED_VALUE"""),"Ангел Дуков, Анна Тодорова, Георги Георгиев, Йоанна Веселинова, Стела Стоянова, Теодор Христов")</f>
        <v>Ангел Дуков, Анна Тодорова, Георги Георгиев, Йоанна Веселинова, Стела Стоянова, Теодор Христов</v>
      </c>
      <c r="H4478" s="10"/>
      <c r="I4478" s="10"/>
      <c r="J4478" s="10"/>
      <c r="K4478" s="10"/>
      <c r="L4478" s="10"/>
      <c r="M4478" s="10"/>
      <c r="N4478" s="10"/>
      <c r="O4478" s="10"/>
      <c r="P4478" s="10"/>
      <c r="Q4478" s="10"/>
      <c r="R4478" s="10"/>
      <c r="S4478" s="10"/>
      <c r="T4478" s="10"/>
      <c r="U4478" s="10"/>
      <c r="V4478" s="10"/>
      <c r="W4478" s="10"/>
      <c r="X4478" s="10"/>
      <c r="Y4478" s="10"/>
      <c r="Z4478" s="10"/>
    </row>
    <row r="4479" spans="1:26" ht="12.75">
      <c r="A4479" s="10" t="str">
        <f ca="1">IFERROR(__xludf.DUMMYFUNCTION("""COMPUTED_VALUE"""),"Константин Кирилов Казаков")</f>
        <v>Константин Кирилов Казаков</v>
      </c>
      <c r="B4479" s="10" t="str">
        <f ca="1">IFERROR(__xludf.DUMMYFUNCTION("""COMPUTED_VALUE"""),"Доклад от конференция")</f>
        <v>Доклад от конференция</v>
      </c>
      <c r="C4479" s="10" t="str">
        <f ca="1">IFERROR(__xludf.DUMMYFUNCTION("""COMPUTED_VALUE"""),"Управление на знанието в разузнавателни и контраразузнавателни служби")</f>
        <v>Управление на знанието в разузнавателни и контраразузнавателни служби</v>
      </c>
      <c r="D4479" s="10">
        <f ca="1">IFERROR(__xludf.DUMMYFUNCTION("""COMPUTED_VALUE"""),2017)</f>
        <v>2017</v>
      </c>
      <c r="E4479" s="10" t="str">
        <f ca="1">IFERROR(__xludf.DUMMYFUNCTION("""COMPUTED_VALUE"""),"Международна научна конференция „Военна академия „Георги Стойков Раковски“ – 105 години знание в интерес на сигурността и отбраната“, гр. София, 6 – 7 април 2017г. ISBN 978-619-7478-00-6.")</f>
        <v>Международна научна конференция „Военна академия „Георги Стойков Раковски“ – 105 години знание в интерес на сигурността и отбраната“, гр. София, 6 – 7 април 2017г. ISBN 978-619-7478-00-6.</v>
      </c>
      <c r="F4479" s="10"/>
      <c r="G4479" s="10"/>
      <c r="H4479" s="10"/>
      <c r="I4479" s="10"/>
      <c r="J4479" s="10"/>
      <c r="K4479" s="10"/>
      <c r="L4479" s="10"/>
      <c r="M4479" s="10"/>
      <c r="N4479" s="10"/>
      <c r="O4479" s="10"/>
      <c r="P4479" s="10"/>
      <c r="Q4479" s="10"/>
      <c r="R4479" s="10"/>
      <c r="S4479" s="10"/>
      <c r="T4479" s="10"/>
      <c r="U4479" s="10"/>
      <c r="V4479" s="10"/>
      <c r="W4479" s="10"/>
      <c r="X4479" s="10"/>
      <c r="Y4479" s="10"/>
      <c r="Z4479" s="10"/>
    </row>
    <row r="4480" spans="1:26" ht="12.75">
      <c r="A4480" s="10" t="str">
        <f ca="1">IFERROR(__xludf.DUMMYFUNCTION("""COMPUTED_VALUE"""),"Константин Кирилов Казаков")</f>
        <v>Константин Кирилов Казаков</v>
      </c>
      <c r="B4480" s="10" t="str">
        <f ca="1">IFERROR(__xludf.DUMMYFUNCTION("""COMPUTED_VALUE"""),"Доклад от конференция")</f>
        <v>Доклад от конференция</v>
      </c>
      <c r="C4480" s="10" t="str">
        <f ca="1">IFERROR(__xludf.DUMMYFUNCTION("""COMPUTED_VALUE"""),"ВЪВЕЖДАНЕ НА АНТИКОРУПЦИОННО ОБУЧЕНИЕ КАТО ЧАСТ ОТ ГРАЖДАНСКОТО ОБРАЗОВАНИЕ")</f>
        <v>ВЪВЕЖДАНЕ НА АНТИКОРУПЦИОННО ОБУЧЕНИЕ КАТО ЧАСТ ОТ ГРАЖДАНСКОТО ОБРАЗОВАНИЕ</v>
      </c>
      <c r="D4480" s="10">
        <f ca="1">IFERROR(__xludf.DUMMYFUNCTION("""COMPUTED_VALUE"""),2017)</f>
        <v>2017</v>
      </c>
      <c r="E4480" s="10" t="str">
        <f ca="1">IFERROR(__xludf.DUMMYFUNCTION("""COMPUTED_VALUE"""),"Университет по библиотекознание и информационни технологии, София, 2017г. Издателство „За буквите – О писменехь“ ISSN 1314-7099;")</f>
        <v>Университет по библиотекознание и информационни технологии, София, 2017г. Издателство „За буквите – О писменехь“ ISSN 1314-7099;</v>
      </c>
      <c r="F4480" s="10"/>
      <c r="G4480" s="10" t="str">
        <f ca="1">IFERROR(__xludf.DUMMYFUNCTION("""COMPUTED_VALUE"""),"Ангел Дуков, Анна Тодорова, Георги Георгиев, Йоанна Веселинова, Стела Стоянова, Теодор Христов")</f>
        <v>Ангел Дуков, Анна Тодорова, Георги Георгиев, Йоанна Веселинова, Стела Стоянова, Теодор Христов</v>
      </c>
      <c r="H4480" s="10"/>
      <c r="I4480" s="10"/>
      <c r="J4480" s="10"/>
      <c r="K4480" s="10"/>
      <c r="L4480" s="10"/>
      <c r="M4480" s="10"/>
      <c r="N4480" s="10"/>
      <c r="O4480" s="10"/>
      <c r="P4480" s="10"/>
      <c r="Q4480" s="10"/>
      <c r="R4480" s="10"/>
      <c r="S4480" s="10"/>
      <c r="T4480" s="10"/>
      <c r="U4480" s="10"/>
      <c r="V4480" s="10"/>
      <c r="W4480" s="10"/>
      <c r="X4480" s="10"/>
      <c r="Y4480" s="10"/>
      <c r="Z4480" s="10"/>
    </row>
    <row r="4481" spans="1:26" ht="12.75">
      <c r="A4481" s="10" t="str">
        <f ca="1">IFERROR(__xludf.DUMMYFUNCTION("""COMPUTED_VALUE"""),"Константин Кирилов Казаков")</f>
        <v>Константин Кирилов Казаков</v>
      </c>
      <c r="B4481" s="10" t="str">
        <f ca="1">IFERROR(__xludf.DUMMYFUNCTION("""COMPUTED_VALUE"""),"Доклад от конференция")</f>
        <v>Доклад от конференция</v>
      </c>
      <c r="C4481" s="10" t="str">
        <f ca="1">IFERROR(__xludf.DUMMYFUNCTION("""COMPUTED_VALUE"""),"Организационно обучение в разузнавателни и контраразузнавателни служби")</f>
        <v>Организационно обучение в разузнавателни и контраразузнавателни служби</v>
      </c>
      <c r="D4481" s="10">
        <f ca="1">IFERROR(__xludf.DUMMYFUNCTION("""COMPUTED_VALUE"""),2017)</f>
        <v>2017</v>
      </c>
      <c r="E4481" s="10" t="str">
        <f ca="1">IFERROR(__xludf.DUMMYFUNCTION("""COMPUTED_VALUE"""),"Трета научна конференция „Съвременни стратегии в управление на знанието“ УниБИТ, 2017г. ISSN 2535-0250 УДК 001.89 65.01; COBISS.BG-ID 1283630308")</f>
        <v>Трета научна конференция „Съвременни стратегии в управление на знанието“ УниБИТ, 2017г. ISSN 2535-0250 УДК 001.89 65.01; COBISS.BG-ID 1283630308</v>
      </c>
      <c r="F4481" s="10" t="str">
        <f ca="1">IFERROR(__xludf.DUMMYFUNCTION("""COMPUTED_VALUE"""),"COBISS.BG-ID 1283630308")</f>
        <v>COBISS.BG-ID 1283630308</v>
      </c>
      <c r="G4481" s="10"/>
      <c r="H4481" s="10"/>
      <c r="I4481" s="10"/>
      <c r="J4481" s="10"/>
      <c r="K4481" s="10"/>
      <c r="L4481" s="10"/>
      <c r="M4481" s="10"/>
      <c r="N4481" s="10"/>
      <c r="O4481" s="10"/>
      <c r="P4481" s="10"/>
      <c r="Q4481" s="10"/>
      <c r="R4481" s="10"/>
      <c r="S4481" s="10"/>
      <c r="T4481" s="10"/>
      <c r="U4481" s="10"/>
      <c r="V4481" s="10"/>
      <c r="W4481" s="10"/>
      <c r="X4481" s="10"/>
      <c r="Y4481" s="10"/>
      <c r="Z4481" s="10"/>
    </row>
    <row r="4482" spans="1:26" ht="12.75">
      <c r="A4482" s="10" t="str">
        <f ca="1">IFERROR(__xludf.DUMMYFUNCTION("""COMPUTED_VALUE"""),"Константин Кирилов Казаков")</f>
        <v>Константин Кирилов Казаков</v>
      </c>
      <c r="B4482" s="10" t="str">
        <f ca="1">IFERROR(__xludf.DUMMYFUNCTION("""COMPUTED_VALUE"""),"Монография")</f>
        <v>Монография</v>
      </c>
      <c r="C4482" s="10" t="str">
        <f ca="1">IFERROR(__xludf.DUMMYFUNCTION("""COMPUTED_VALUE"""),"Управление на информационни услуги")</f>
        <v>Управление на информационни услуги</v>
      </c>
      <c r="D4482" s="10">
        <f ca="1">IFERROR(__xludf.DUMMYFUNCTION("""COMPUTED_VALUE"""),2016)</f>
        <v>2016</v>
      </c>
      <c r="E4482" s="10" t="str">
        <f ca="1">IFERROR(__xludf.DUMMYFUNCTION("""COMPUTED_VALUE"""),"изд. Софттрейд, С. 2016, ISBN 978-954-334-180-1")</f>
        <v>изд. Софттрейд, С. 2016, ISBN 978-954-334-180-1</v>
      </c>
      <c r="F4482" s="10"/>
      <c r="G4482" s="10" t="str">
        <f ca="1">IFERROR(__xludf.DUMMYFUNCTION("""COMPUTED_VALUE"""),"-")</f>
        <v>-</v>
      </c>
      <c r="H4482" s="10"/>
      <c r="I4482" s="10"/>
      <c r="J4482" s="10"/>
      <c r="K4482" s="10"/>
      <c r="L4482" s="10"/>
      <c r="M4482" s="10"/>
      <c r="N4482" s="10"/>
      <c r="O4482" s="10"/>
      <c r="P4482" s="10"/>
      <c r="Q4482" s="10"/>
      <c r="R4482" s="10"/>
      <c r="S4482" s="10"/>
      <c r="T4482" s="10"/>
      <c r="U4482" s="10"/>
      <c r="V4482" s="10"/>
      <c r="W4482" s="10"/>
      <c r="X4482" s="10"/>
      <c r="Y4482" s="10"/>
      <c r="Z4482" s="10"/>
    </row>
    <row r="4483" spans="1:26" ht="12.75">
      <c r="A4483" s="10" t="str">
        <f ca="1">IFERROR(__xludf.DUMMYFUNCTION("""COMPUTED_VALUE"""),"Константин Кирилов Казаков")</f>
        <v>Константин Кирилов Казаков</v>
      </c>
      <c r="B4483" s="10" t="str">
        <f ca="1">IFERROR(__xludf.DUMMYFUNCTION("""COMPUTED_VALUE"""),"Доклад от конференция")</f>
        <v>Доклад от конференция</v>
      </c>
      <c r="C4483" s="10" t="str">
        <f ca="1">IFERROR(__xludf.DUMMYFUNCTION("""COMPUTED_VALUE"""),"Стратегията на тероризма")</f>
        <v>Стратегията на тероризма</v>
      </c>
      <c r="D4483" s="10">
        <f ca="1">IFERROR(__xludf.DUMMYFUNCTION("""COMPUTED_VALUE"""),2016)</f>
        <v>2016</v>
      </c>
      <c r="E4483" s="10" t="str">
        <f ca="1">IFERROR(__xludf.DUMMYFUNCTION("""COMPUTED_VALUE"""),"Международна научна конференция „Трансгранично сътрудничество и политики на развитие в България и на Балканите“, ВТУ „Св. Св. Кирил и Методий“ , Велико Търново 17-18 ноември 2016г.,.")</f>
        <v>Международна научна конференция „Трансгранично сътрудничество и политики на развитие в България и на Балканите“, ВТУ „Св. Св. Кирил и Методий“ , Велико Търново 17-18 ноември 2016г.,.</v>
      </c>
      <c r="F4483" s="10"/>
      <c r="G4483" s="10"/>
      <c r="H4483" s="10"/>
      <c r="I4483" s="10"/>
      <c r="J4483" s="10"/>
      <c r="K4483" s="10"/>
      <c r="L4483" s="10"/>
      <c r="M4483" s="10"/>
      <c r="N4483" s="10"/>
      <c r="O4483" s="10"/>
      <c r="P4483" s="10"/>
      <c r="Q4483" s="10"/>
      <c r="R4483" s="10"/>
      <c r="S4483" s="10"/>
      <c r="T4483" s="10"/>
      <c r="U4483" s="10"/>
      <c r="V4483" s="10"/>
      <c r="W4483" s="10"/>
      <c r="X4483" s="10"/>
      <c r="Y4483" s="10"/>
      <c r="Z4483" s="10"/>
    </row>
    <row r="4484" spans="1:26" ht="12.75">
      <c r="A4484" s="10" t="str">
        <f ca="1">IFERROR(__xludf.DUMMYFUNCTION("""COMPUTED_VALUE"""),"Константин Кирилов Казаков")</f>
        <v>Константин Кирилов Казаков</v>
      </c>
      <c r="B4484" s="10" t="str">
        <f ca="1">IFERROR(__xludf.DUMMYFUNCTION("""COMPUTED_VALUE"""),"Монография")</f>
        <v>Монография</v>
      </c>
      <c r="C4484" s="10" t="str">
        <f ca="1">IFERROR(__xludf.DUMMYFUNCTION("""COMPUTED_VALUE"""),"Управление на системата за защита на националната сигурност")</f>
        <v>Управление на системата за защита на националната сигурност</v>
      </c>
      <c r="D4484" s="10">
        <f ca="1">IFERROR(__xludf.DUMMYFUNCTION("""COMPUTED_VALUE"""),2016)</f>
        <v>2016</v>
      </c>
      <c r="E4484" s="10" t="str">
        <f ca="1">IFERROR(__xludf.DUMMYFUNCTION("""COMPUTED_VALUE"""),"изд. Софттрейд, С. 2016, ISBN 978-954-334-181-8")</f>
        <v>изд. Софттрейд, С. 2016, ISBN 978-954-334-181-8</v>
      </c>
      <c r="F4484" s="10"/>
      <c r="G4484" s="10" t="str">
        <f ca="1">IFERROR(__xludf.DUMMYFUNCTION("""COMPUTED_VALUE"""),"-")</f>
        <v>-</v>
      </c>
      <c r="H4484" s="10"/>
      <c r="I4484" s="10"/>
      <c r="J4484" s="10"/>
      <c r="K4484" s="10"/>
      <c r="L4484" s="10"/>
      <c r="M4484" s="10"/>
      <c r="N4484" s="10"/>
      <c r="O4484" s="10"/>
      <c r="P4484" s="10"/>
      <c r="Q4484" s="10"/>
      <c r="R4484" s="10"/>
      <c r="S4484" s="10"/>
      <c r="T4484" s="10"/>
      <c r="U4484" s="10"/>
      <c r="V4484" s="10"/>
      <c r="W4484" s="10"/>
      <c r="X4484" s="10"/>
      <c r="Y4484" s="10"/>
      <c r="Z4484" s="10"/>
    </row>
    <row r="4485" spans="1:26" ht="12.75">
      <c r="A4485" s="10" t="str">
        <f ca="1">IFERROR(__xludf.DUMMYFUNCTION("""COMPUTED_VALUE"""),"Константин Кирилов Казаков")</f>
        <v>Константин Кирилов Казаков</v>
      </c>
      <c r="B4485" s="10" t="str">
        <f ca="1">IFERROR(__xludf.DUMMYFUNCTION("""COMPUTED_VALUE"""),"Статия в списания и поредици")</f>
        <v>Статия в списания и поредици</v>
      </c>
      <c r="C4485" s="10" t="str">
        <f ca="1">IFERROR(__xludf.DUMMYFUNCTION("""COMPUTED_VALUE"""),"Стратегическа информация в разузнавателните и контраразузнавателни служби")</f>
        <v>Стратегическа информация в разузнавателните и контраразузнавателни служби</v>
      </c>
      <c r="D4485" s="10">
        <f ca="1">IFERROR(__xludf.DUMMYFUNCTION("""COMPUTED_VALUE"""),2016)</f>
        <v>2016</v>
      </c>
      <c r="E4485" s="10" t="str">
        <f ca="1">IFERROR(__xludf.DUMMYFUNCTION("""COMPUTED_VALUE"""),"Военен журнал, бр. 1, 2016г.")</f>
        <v>Военен журнал, бр. 1, 2016г.</v>
      </c>
      <c r="F4485" s="10"/>
      <c r="G4485" s="10"/>
      <c r="H4485" s="10"/>
      <c r="I4485" s="10"/>
      <c r="J4485" s="10"/>
      <c r="K4485" s="10"/>
      <c r="L4485" s="10"/>
      <c r="M4485" s="10"/>
      <c r="N4485" s="10"/>
      <c r="O4485" s="10"/>
      <c r="P4485" s="10"/>
      <c r="Q4485" s="10"/>
      <c r="R4485" s="10"/>
      <c r="S4485" s="10"/>
      <c r="T4485" s="10"/>
      <c r="U4485" s="10"/>
      <c r="V4485" s="10"/>
      <c r="W4485" s="10"/>
      <c r="X4485" s="10"/>
      <c r="Y4485" s="10"/>
      <c r="Z4485" s="10"/>
    </row>
    <row r="4486" spans="1:26" ht="12.75">
      <c r="A4486" s="10" t="str">
        <f ca="1">IFERROR(__xludf.DUMMYFUNCTION("""COMPUTED_VALUE"""),"Константин Кирилов Казаков")</f>
        <v>Константин Кирилов Казаков</v>
      </c>
      <c r="B4486" s="10" t="str">
        <f ca="1">IFERROR(__xludf.DUMMYFUNCTION("""COMPUTED_VALUE"""),"Доклад от конференция")</f>
        <v>Доклад от конференция</v>
      </c>
      <c r="C4486" s="10" t="str">
        <f ca="1">IFERROR(__xludf.DUMMYFUNCTION("""COMPUTED_VALUE"""),"Тероризмът, като стратегическа заплаха")</f>
        <v>Тероризмът, като стратегическа заплаха</v>
      </c>
      <c r="D4486" s="10">
        <f ca="1">IFERROR(__xludf.DUMMYFUNCTION("""COMPUTED_VALUE"""),2016)</f>
        <v>2016</v>
      </c>
      <c r="E4486" s="10" t="str">
        <f ca="1">IFERROR(__xludf.DUMMYFUNCTION("""COMPUTED_VALUE"""),"Годишна университетска научна конференция – НВУ „Васил Левски“, 20 – 21 октомври 2016г., ISSN 1314-1937. COBISS.BG-ID 1237830884")</f>
        <v>Годишна университетска научна конференция – НВУ „Васил Левски“, 20 – 21 октомври 2016г., ISSN 1314-1937. COBISS.BG-ID 1237830884</v>
      </c>
      <c r="F4486" s="10" t="str">
        <f ca="1">IFERROR(__xludf.DUMMYFUNCTION("""COMPUTED_VALUE"""),"COBISS.BG-ID 1237830884")</f>
        <v>COBISS.BG-ID 1237830884</v>
      </c>
      <c r="G4486" s="10"/>
      <c r="H4486" s="10"/>
      <c r="I4486" s="10"/>
      <c r="J4486" s="10"/>
      <c r="K4486" s="10"/>
      <c r="L4486" s="10"/>
      <c r="M4486" s="10"/>
      <c r="N4486" s="10"/>
      <c r="O4486" s="10"/>
      <c r="P4486" s="10"/>
      <c r="Q4486" s="10"/>
      <c r="R4486" s="10"/>
      <c r="S4486" s="10"/>
      <c r="T4486" s="10"/>
      <c r="U4486" s="10"/>
      <c r="V4486" s="10"/>
      <c r="W4486" s="10"/>
      <c r="X4486" s="10"/>
      <c r="Y4486" s="10"/>
      <c r="Z4486" s="10"/>
    </row>
    <row r="4487" spans="1:26" ht="12.75">
      <c r="A4487" s="10" t="str">
        <f ca="1">IFERROR(__xludf.DUMMYFUNCTION("""COMPUTED_VALUE"""),"Константин Кирилов Казаков")</f>
        <v>Константин Кирилов Казаков</v>
      </c>
      <c r="B4487" s="10" t="str">
        <f ca="1">IFERROR(__xludf.DUMMYFUNCTION("""COMPUTED_VALUE"""),"Доклад от конференция")</f>
        <v>Доклад от конференция</v>
      </c>
      <c r="C4487" s="10" t="str">
        <f ca="1">IFERROR(__xludf.DUMMYFUNCTION("""COMPUTED_VALUE"""),"Гарантирано споделяне на информация в системата за национална сигурност")</f>
        <v>Гарантирано споделяне на информация в системата за национална сигурност</v>
      </c>
      <c r="D4487" s="10">
        <f ca="1">IFERROR(__xludf.DUMMYFUNCTION("""COMPUTED_VALUE"""),2016)</f>
        <v>2016</v>
      </c>
      <c r="E4487" s="10" t="str">
        <f ca="1">IFERROR(__xludf.DUMMYFUNCTION("""COMPUTED_VALUE"""),"Юридически сборник, БСУ, Бургас 2016г., ISSN 1311-3771")</f>
        <v>Юридически сборник, БСУ, Бургас 2016г., ISSN 1311-3771</v>
      </c>
      <c r="F4487" s="10"/>
      <c r="G4487" s="10"/>
      <c r="H4487" s="10"/>
      <c r="I4487" s="10"/>
      <c r="J4487" s="10"/>
      <c r="K4487" s="10"/>
      <c r="L4487" s="10"/>
      <c r="M4487" s="10"/>
      <c r="N4487" s="10"/>
      <c r="O4487" s="10"/>
      <c r="P4487" s="10"/>
      <c r="Q4487" s="10"/>
      <c r="R4487" s="10"/>
      <c r="S4487" s="10"/>
      <c r="T4487" s="10"/>
      <c r="U4487" s="10"/>
      <c r="V4487" s="10"/>
      <c r="W4487" s="10"/>
      <c r="X4487" s="10"/>
      <c r="Y4487" s="10"/>
      <c r="Z4487" s="10"/>
    </row>
    <row r="4488" spans="1:26" ht="12.75">
      <c r="A4488" s="10" t="str">
        <f ca="1">IFERROR(__xludf.DUMMYFUNCTION("""COMPUTED_VALUE"""),"Константин Кирилов Казаков")</f>
        <v>Константин Кирилов Казаков</v>
      </c>
      <c r="B4488" s="10" t="str">
        <f ca="1">IFERROR(__xludf.DUMMYFUNCTION("""COMPUTED_VALUE"""),"Доклад от конференция")</f>
        <v>Доклад от конференция</v>
      </c>
      <c r="C4488" s="10" t="str">
        <f ca="1">IFERROR(__xludf.DUMMYFUNCTION("""COMPUTED_VALUE"""),"Подход към информацията, ориентиран към изпълнение на мисия")</f>
        <v>Подход към информацията, ориентиран към изпълнение на мисия</v>
      </c>
      <c r="D4488" s="10">
        <f ca="1">IFERROR(__xludf.DUMMYFUNCTION("""COMPUTED_VALUE"""),2016)</f>
        <v>2016</v>
      </c>
      <c r="E4488" s="10" t="str">
        <f ca="1">IFERROR(__xludf.DUMMYFUNCTION("""COMPUTED_VALUE"""),"Сборник с доклади „Десети международен семинар“ УниБИТ, Унгария, 2016г., ISSN 2367-7988 УДК 378.902(497.223) (062.2); COBISS.BG-ID 1273079524")</f>
        <v>Сборник с доклади „Десети международен семинар“ УниБИТ, Унгария, 2016г., ISSN 2367-7988 УДК 378.902(497.223) (062.2); COBISS.BG-ID 1273079524</v>
      </c>
      <c r="F4488" s="10" t="str">
        <f ca="1">IFERROR(__xludf.DUMMYFUNCTION("""COMPUTED_VALUE"""),"УДК 378.902(497.223) (062.2); COBISS.BG-ID 1273079524")</f>
        <v>УДК 378.902(497.223) (062.2); COBISS.BG-ID 1273079524</v>
      </c>
      <c r="G4488" s="10"/>
      <c r="H4488" s="10"/>
      <c r="I4488" s="10"/>
      <c r="J4488" s="10"/>
      <c r="K4488" s="10"/>
      <c r="L4488" s="10"/>
      <c r="M4488" s="10"/>
      <c r="N4488" s="10"/>
      <c r="O4488" s="10"/>
      <c r="P4488" s="10"/>
      <c r="Q4488" s="10"/>
      <c r="R4488" s="10"/>
      <c r="S4488" s="10"/>
      <c r="T4488" s="10"/>
      <c r="U4488" s="10"/>
      <c r="V4488" s="10"/>
      <c r="W4488" s="10"/>
      <c r="X4488" s="10"/>
      <c r="Y4488" s="10"/>
      <c r="Z4488" s="10"/>
    </row>
    <row r="4489" spans="1:26" ht="12.75">
      <c r="A4489" s="10" t="str">
        <f ca="1">IFERROR(__xludf.DUMMYFUNCTION("""COMPUTED_VALUE"""),"Константин Кирилов Казаков")</f>
        <v>Константин Кирилов Казаков</v>
      </c>
      <c r="B4489" s="10" t="str">
        <f ca="1">IFERROR(__xludf.DUMMYFUNCTION("""COMPUTED_VALUE"""),"Монография")</f>
        <v>Монография</v>
      </c>
      <c r="C4489" s="10" t="str">
        <f ca="1">IFERROR(__xludf.DUMMYFUNCTION("""COMPUTED_VALUE"""),"Мениджмънт на информационните услуги в сигурността")</f>
        <v>Мениджмънт на информационните услуги в сигурността</v>
      </c>
      <c r="D4489" s="10">
        <f ca="1">IFERROR(__xludf.DUMMYFUNCTION("""COMPUTED_VALUE"""),2016)</f>
        <v>2016</v>
      </c>
      <c r="E4489" s="10" t="str">
        <f ca="1">IFERROR(__xludf.DUMMYFUNCTION("""COMPUTED_VALUE"""),"Софттрейд, София. 2016, ISBN 978-954-334-181-8")</f>
        <v>Софттрейд, София. 2016, ISBN 978-954-334-181-8</v>
      </c>
      <c r="F4489" s="10"/>
      <c r="G4489" s="10" t="str">
        <f ca="1">IFERROR(__xludf.DUMMYFUNCTION("""COMPUTED_VALUE"""),"-")</f>
        <v>-</v>
      </c>
      <c r="H4489" s="10"/>
      <c r="I4489" s="10"/>
      <c r="J4489" s="10"/>
      <c r="K4489" s="10"/>
      <c r="L4489" s="10"/>
      <c r="M4489" s="10"/>
      <c r="N4489" s="10"/>
      <c r="O4489" s="10"/>
      <c r="P4489" s="10"/>
      <c r="Q4489" s="10"/>
      <c r="R4489" s="10"/>
      <c r="S4489" s="10"/>
      <c r="T4489" s="10"/>
      <c r="U4489" s="10"/>
      <c r="V4489" s="10"/>
      <c r="W4489" s="10"/>
      <c r="X4489" s="10"/>
      <c r="Y4489" s="10"/>
      <c r="Z4489" s="10"/>
    </row>
    <row r="4490" spans="1:26" ht="12.75">
      <c r="A4490" s="10" t="str">
        <f ca="1">IFERROR(__xludf.DUMMYFUNCTION("""COMPUTED_VALUE"""),"Константин Кирилов Казаков")</f>
        <v>Константин Кирилов Казаков</v>
      </c>
      <c r="B4490" s="10" t="str">
        <f ca="1">IFERROR(__xludf.DUMMYFUNCTION("""COMPUTED_VALUE"""),"Доклад от конференция")</f>
        <v>Доклад от конференция</v>
      </c>
      <c r="C4490" s="10" t="str">
        <f ca="1">IFERROR(__xludf.DUMMYFUNCTION("""COMPUTED_VALUE"""),"Използване на криптографски средства в Република България")</f>
        <v>Използване на криптографски средства в Република България</v>
      </c>
      <c r="D4490" s="10">
        <f ca="1">IFERROR(__xludf.DUMMYFUNCTION("""COMPUTED_VALUE"""),2016)</f>
        <v>2016</v>
      </c>
      <c r="E4490" s="10" t="str">
        <f ca="1">IFERROR(__xludf.DUMMYFUNCTION("""COMPUTED_VALUE"""),"Кръгла маса „Научни комуникации в Югоизточна Европа. Българо-турски общувания“, 26 – 27 май 2016г. Република България – Република Турция; ISSN 2367-7988; УДК 378.902(497.223) (062.2)")</f>
        <v>Кръгла маса „Научни комуникации в Югоизточна Европа. Българо-турски общувания“, 26 – 27 май 2016г. Република България – Република Турция; ISSN 2367-7988; УДК 378.902(497.223) (062.2)</v>
      </c>
      <c r="F4490" s="10" t="str">
        <f ca="1">IFERROR(__xludf.DUMMYFUNCTION("""COMPUTED_VALUE"""),"УДК 378.902(497.223) (062.2)")</f>
        <v>УДК 378.902(497.223) (062.2)</v>
      </c>
      <c r="G4490" s="10"/>
      <c r="H4490" s="10"/>
      <c r="I4490" s="10"/>
      <c r="J4490" s="10"/>
      <c r="K4490" s="10"/>
      <c r="L4490" s="10"/>
      <c r="M4490" s="10"/>
      <c r="N4490" s="10"/>
      <c r="O4490" s="10"/>
      <c r="P4490" s="10"/>
      <c r="Q4490" s="10"/>
      <c r="R4490" s="10"/>
      <c r="S4490" s="10"/>
      <c r="T4490" s="10"/>
      <c r="U4490" s="10"/>
      <c r="V4490" s="10"/>
      <c r="W4490" s="10"/>
      <c r="X4490" s="10"/>
      <c r="Y4490" s="10"/>
      <c r="Z4490" s="10"/>
    </row>
    <row r="4491" spans="1:26" ht="12.75">
      <c r="A4491" s="10" t="str">
        <f ca="1">IFERROR(__xludf.DUMMYFUNCTION("""COMPUTED_VALUE"""),"Константин Кирилов Казаков")</f>
        <v>Константин Кирилов Казаков</v>
      </c>
      <c r="B4491" s="10" t="str">
        <f ca="1">IFERROR(__xludf.DUMMYFUNCTION("""COMPUTED_VALUE"""),"Доклад от конференция")</f>
        <v>Доклад от конференция</v>
      </c>
      <c r="C4491" s="10" t="str">
        <f ca="1">IFERROR(__xludf.DUMMYFUNCTION("""COMPUTED_VALUE"""),"Организационната култура в разузнавателни и контраразузнавателни организации")</f>
        <v>Организационната култура в разузнавателни и контраразузнавателни организации</v>
      </c>
      <c r="D4491" s="10">
        <f ca="1">IFERROR(__xludf.DUMMYFUNCTION("""COMPUTED_VALUE"""),2016)</f>
        <v>2016</v>
      </c>
      <c r="E4491" s="10" t="str">
        <f ca="1">IFERROR(__xludf.DUMMYFUNCTION("""COMPUTED_VALUE"""),"Бургаски свободен университет, 20 - 21 септември 2016г., гр. Бургас, ISBN 978-619-7126-27-3; УДК 7.01(063); COBISS.BG-ID 1283846116")</f>
        <v>Бургаски свободен университет, 20 - 21 септември 2016г., гр. Бургас, ISBN 978-619-7126-27-3; УДК 7.01(063); COBISS.BG-ID 1283846116</v>
      </c>
      <c r="F4491" s="10" t="str">
        <f ca="1">IFERROR(__xludf.DUMMYFUNCTION("""COMPUTED_VALUE"""),"УДК 7.01(063); COBISS.BG-ID 1283846116")</f>
        <v>УДК 7.01(063); COBISS.BG-ID 1283846116</v>
      </c>
      <c r="G4491" s="10"/>
      <c r="H4491" s="10"/>
      <c r="I4491" s="10"/>
      <c r="J4491" s="10"/>
      <c r="K4491" s="10"/>
      <c r="L4491" s="10"/>
      <c r="M4491" s="10"/>
      <c r="N4491" s="10"/>
      <c r="O4491" s="10"/>
      <c r="P4491" s="10"/>
      <c r="Q4491" s="10"/>
      <c r="R4491" s="10"/>
      <c r="S4491" s="10"/>
      <c r="T4491" s="10"/>
      <c r="U4491" s="10"/>
      <c r="V4491" s="10"/>
      <c r="W4491" s="10"/>
      <c r="X4491" s="10"/>
      <c r="Y4491" s="10"/>
      <c r="Z4491" s="10"/>
    </row>
    <row r="4492" spans="1:26" ht="12.75">
      <c r="A4492" s="10" t="str">
        <f ca="1">IFERROR(__xludf.DUMMYFUNCTION("""COMPUTED_VALUE"""),"Константин Кирилов Казаков")</f>
        <v>Константин Кирилов Казаков</v>
      </c>
      <c r="B4492" s="10" t="str">
        <f ca="1">IFERROR(__xludf.DUMMYFUNCTION("""COMPUTED_VALUE"""),"Статия в списания и поредици")</f>
        <v>Статия в списания и поредици</v>
      </c>
      <c r="C4492" s="10" t="str">
        <f ca="1">IFERROR(__xludf.DUMMYFUNCTION("""COMPUTED_VALUE"""),"КЛЮЧОВИ КОМПЕТЕНТНОСТИ В РАЗУЗНАВАТЕЛНИТЕ И КОНТРАРАЗУЗНАВАТЕЛНИТЕ СЛУЖБИ")</f>
        <v>КЛЮЧОВИ КОМПЕТЕНТНОСТИ В РАЗУЗНАВАТЕЛНИТЕ И КОНТРАРАЗУЗНАВАТЕЛНИТЕ СЛУЖБИ</v>
      </c>
      <c r="D4492" s="10">
        <f ca="1">IFERROR(__xludf.DUMMYFUNCTION("""COMPUTED_VALUE"""),2015)</f>
        <v>2015</v>
      </c>
      <c r="E4492" s="10" t="str">
        <f ca="1">IFERROR(__xludf.DUMMYFUNCTION("""COMPUTED_VALUE"""),"сп. Военен журнал 4/2015г., ISSN 0861-7392")</f>
        <v>сп. Военен журнал 4/2015г., ISSN 0861-7392</v>
      </c>
      <c r="F4492" s="10"/>
      <c r="G4492" s="10" t="str">
        <f ca="1">IFERROR(__xludf.DUMMYFUNCTION("""COMPUTED_VALUE"""),"-")</f>
        <v>-</v>
      </c>
      <c r="H4492" s="10"/>
      <c r="I4492" s="10"/>
      <c r="J4492" s="10"/>
      <c r="K4492" s="10"/>
      <c r="L4492" s="10"/>
      <c r="M4492" s="10"/>
      <c r="N4492" s="10"/>
      <c r="O4492" s="10"/>
      <c r="P4492" s="10"/>
      <c r="Q4492" s="10"/>
      <c r="R4492" s="10"/>
      <c r="S4492" s="10"/>
      <c r="T4492" s="10"/>
      <c r="U4492" s="10"/>
      <c r="V4492" s="10"/>
      <c r="W4492" s="10"/>
      <c r="X4492" s="10"/>
      <c r="Y4492" s="10"/>
      <c r="Z4492" s="10"/>
    </row>
    <row r="4493" spans="1:26" ht="12.75">
      <c r="A4493" s="10" t="str">
        <f ca="1">IFERROR(__xludf.DUMMYFUNCTION("""COMPUTED_VALUE"""),"Константин Кирилов Казаков")</f>
        <v>Константин Кирилов Казаков</v>
      </c>
      <c r="B4493" s="10" t="str">
        <f ca="1">IFERROR(__xludf.DUMMYFUNCTION("""COMPUTED_VALUE"""),"Доклад от конференция")</f>
        <v>Доклад от конференция</v>
      </c>
      <c r="C4493" s="10" t="str">
        <f ca="1">IFERROR(__xludf.DUMMYFUNCTION("""COMPUTED_VALUE"""),"Органи за криптографска сигурност в България")</f>
        <v>Органи за криптографска сигурност в България</v>
      </c>
      <c r="D4493" s="10">
        <f ca="1">IFERROR(__xludf.DUMMYFUNCTION("""COMPUTED_VALUE"""),2015)</f>
        <v>2015</v>
      </c>
      <c r="E4493" s="10" t="str">
        <f ca="1">IFERROR(__xludf.DUMMYFUNCTION("""COMPUTED_VALUE"""),"Втора научна конференция „Съвременни стратегии и иновации в управление на знанието“, 2-4 ноември 2015г., гр. Костенец, ISSN 2535-0250")</f>
        <v>Втора научна конференция „Съвременни стратегии и иновации в управление на знанието“, 2-4 ноември 2015г., гр. Костенец, ISSN 2535-0250</v>
      </c>
      <c r="F4493" s="10"/>
      <c r="G4493" s="10"/>
      <c r="H4493" s="10"/>
      <c r="I4493" s="10"/>
      <c r="J4493" s="10"/>
      <c r="K4493" s="10"/>
      <c r="L4493" s="10"/>
      <c r="M4493" s="10"/>
      <c r="N4493" s="10"/>
      <c r="O4493" s="10"/>
      <c r="P4493" s="10"/>
      <c r="Q4493" s="10"/>
      <c r="R4493" s="10"/>
      <c r="S4493" s="10"/>
      <c r="T4493" s="10"/>
      <c r="U4493" s="10"/>
      <c r="V4493" s="10"/>
      <c r="W4493" s="10"/>
      <c r="X4493" s="10"/>
      <c r="Y4493" s="10"/>
      <c r="Z4493" s="10"/>
    </row>
    <row r="4494" spans="1:26" ht="12.75">
      <c r="A4494" s="10" t="str">
        <f ca="1">IFERROR(__xludf.DUMMYFUNCTION("""COMPUTED_VALUE"""),"Константин Кирилов Казаков")</f>
        <v>Константин Кирилов Казаков</v>
      </c>
      <c r="B4494" s="10" t="str">
        <f ca="1">IFERROR(__xludf.DUMMYFUNCTION("""COMPUTED_VALUE"""),"Доклад от конференция")</f>
        <v>Доклад от конференция</v>
      </c>
      <c r="C4494" s="10" t="str">
        <f ca="1">IFERROR(__xludf.DUMMYFUNCTION("""COMPUTED_VALUE"""),"Прилагане на балансирана система от показатели за ефективност в организации за сигурност")</f>
        <v>Прилагане на балансирана система от показатели за ефективност в организации за сигурност</v>
      </c>
      <c r="D4494" s="10">
        <f ca="1">IFERROR(__xludf.DUMMYFUNCTION("""COMPUTED_VALUE"""),2015)</f>
        <v>2015</v>
      </c>
      <c r="E4494" s="10" t="str">
        <f ca="1">IFERROR(__xludf.DUMMYFUNCTION("""COMPUTED_VALUE"""),"Съвременни измерения на европейското образователно и научно пространство, том 3, УниБИТ. София: За буквите – О писменахь“, 2015, ISSN 2367-7988; УДК 378.902(497.223) (062.2)")</f>
        <v>Съвременни измерения на европейското образователно и научно пространство, том 3, УниБИТ. София: За буквите – О писменахь“, 2015, ISSN 2367-7988; УДК 378.902(497.223) (062.2)</v>
      </c>
      <c r="F4494" s="10" t="str">
        <f ca="1">IFERROR(__xludf.DUMMYFUNCTION("""COMPUTED_VALUE"""),"УДК 378.902(497.223) (062.2)")</f>
        <v>УДК 378.902(497.223) (062.2)</v>
      </c>
      <c r="G4494" s="10"/>
      <c r="H4494" s="10"/>
      <c r="I4494" s="10"/>
      <c r="J4494" s="10"/>
      <c r="K4494" s="10"/>
      <c r="L4494" s="10"/>
      <c r="M4494" s="10"/>
      <c r="N4494" s="10"/>
      <c r="O4494" s="10"/>
      <c r="P4494" s="10"/>
      <c r="Q4494" s="10"/>
      <c r="R4494" s="10"/>
      <c r="S4494" s="10"/>
      <c r="T4494" s="10"/>
      <c r="U4494" s="10"/>
      <c r="V4494" s="10"/>
      <c r="W4494" s="10"/>
      <c r="X4494" s="10"/>
      <c r="Y4494" s="10"/>
      <c r="Z4494" s="10"/>
    </row>
    <row r="4495" spans="1:26" ht="12.75">
      <c r="A4495" s="10" t="str">
        <f ca="1">IFERROR(__xludf.DUMMYFUNCTION("""COMPUTED_VALUE"""),"Константин Кирилов Казаков")</f>
        <v>Константин Кирилов Казаков</v>
      </c>
      <c r="B4495" s="10" t="str">
        <f ca="1">IFERROR(__xludf.DUMMYFUNCTION("""COMPUTED_VALUE"""),"Статия в списания и поредици")</f>
        <v>Статия в списания и поредици</v>
      </c>
      <c r="C4495" s="10" t="str">
        <f ca="1">IFERROR(__xludf.DUMMYFUNCTION("""COMPUTED_VALUE"""),"ЗАИНТЕРЕСОВАНИ СТРАНИ В РАЗУЗНАВАНЕТО И КОНТРАРАЗУЗНАВАНЕТО")</f>
        <v>ЗАИНТЕРЕСОВАНИ СТРАНИ В РАЗУЗНАВАНЕТО И КОНТРАРАЗУЗНАВАНЕТО</v>
      </c>
      <c r="D4495" s="10">
        <f ca="1">IFERROR(__xludf.DUMMYFUNCTION("""COMPUTED_VALUE"""),2015)</f>
        <v>2015</v>
      </c>
      <c r="E4495" s="10" t="str">
        <f ca="1">IFERROR(__xludf.DUMMYFUNCTION("""COMPUTED_VALUE"""),"сп. Военен журнал 3/2015., ISSN 0861-7392")</f>
        <v>сп. Военен журнал 3/2015., ISSN 0861-7392</v>
      </c>
      <c r="F4495" s="10"/>
      <c r="G4495" s="10" t="str">
        <f ca="1">IFERROR(__xludf.DUMMYFUNCTION("""COMPUTED_VALUE"""),"-")</f>
        <v>-</v>
      </c>
      <c r="H4495" s="10"/>
      <c r="I4495" s="10"/>
      <c r="J4495" s="10"/>
      <c r="K4495" s="10"/>
      <c r="L4495" s="10"/>
      <c r="M4495" s="10"/>
      <c r="N4495" s="10"/>
      <c r="O4495" s="10"/>
      <c r="P4495" s="10"/>
      <c r="Q4495" s="10"/>
      <c r="R4495" s="10"/>
      <c r="S4495" s="10"/>
      <c r="T4495" s="10"/>
      <c r="U4495" s="10"/>
      <c r="V4495" s="10"/>
      <c r="W4495" s="10"/>
      <c r="X4495" s="10"/>
      <c r="Y4495" s="10"/>
      <c r="Z4495" s="10"/>
    </row>
    <row r="4496" spans="1:26" ht="12.75">
      <c r="A4496" s="10" t="str">
        <f ca="1">IFERROR(__xludf.DUMMYFUNCTION("""COMPUTED_VALUE"""),"Константин Кирилов Казаков")</f>
        <v>Константин Кирилов Казаков</v>
      </c>
      <c r="B4496" s="10" t="str">
        <f ca="1">IFERROR(__xludf.DUMMYFUNCTION("""COMPUTED_VALUE"""),"Статия в списания и поредици")</f>
        <v>Статия в списания и поредици</v>
      </c>
      <c r="C4496" s="10" t="str">
        <f ca="1">IFERROR(__xludf.DUMMYFUNCTION("""COMPUTED_VALUE"""),"РАЗУЗНАВАТЕЛНА И КОНТРАРАЗУЗНАВАТЕЛНА ИНФОРМАЦИЯ В СИСТЕМАТА ЗА НАЦИОНАЛНА СИГУРНОСТ")</f>
        <v>РАЗУЗНАВАТЕЛНА И КОНТРАРАЗУЗНАВАТЕЛНА ИНФОРМАЦИЯ В СИСТЕМАТА ЗА НАЦИОНАЛНА СИГУРНОСТ</v>
      </c>
      <c r="D4496" s="10">
        <f ca="1">IFERROR(__xludf.DUMMYFUNCTION("""COMPUTED_VALUE"""),2015)</f>
        <v>2015</v>
      </c>
      <c r="E4496" s="10" t="str">
        <f ca="1">IFERROR(__xludf.DUMMYFUNCTION("""COMPUTED_VALUE"""),"сп. Военен журнал, бр. 2, 2015г. с. 48 – 55. ISSN 0861-7392")</f>
        <v>сп. Военен журнал, бр. 2, 2015г. с. 48 – 55. ISSN 0861-7392</v>
      </c>
      <c r="F4496" s="10"/>
      <c r="G4496" s="10"/>
      <c r="H4496" s="10"/>
      <c r="I4496" s="10"/>
      <c r="J4496" s="10"/>
      <c r="K4496" s="10"/>
      <c r="L4496" s="10"/>
      <c r="M4496" s="10"/>
      <c r="N4496" s="10"/>
      <c r="O4496" s="10"/>
      <c r="P4496" s="10"/>
      <c r="Q4496" s="10"/>
      <c r="R4496" s="10"/>
      <c r="S4496" s="10"/>
      <c r="T4496" s="10"/>
      <c r="U4496" s="10"/>
      <c r="V4496" s="10"/>
      <c r="W4496" s="10"/>
      <c r="X4496" s="10"/>
      <c r="Y4496" s="10"/>
      <c r="Z4496" s="10"/>
    </row>
    <row r="4497" spans="1:26" ht="12.75">
      <c r="A4497" s="10" t="str">
        <f ca="1">IFERROR(__xludf.DUMMYFUNCTION("""COMPUTED_VALUE"""),"Константин Кирилов Казаков")</f>
        <v>Константин Кирилов Казаков</v>
      </c>
      <c r="B4497" s="10" t="str">
        <f ca="1">IFERROR(__xludf.DUMMYFUNCTION("""COMPUTED_VALUE"""),"Статия в списания и поредици")</f>
        <v>Статия в списания и поредици</v>
      </c>
      <c r="C4497" s="10" t="str">
        <f ca="1">IFERROR(__xludf.DUMMYFUNCTION("""COMPUTED_VALUE"""),"Прилагане на Балансирана система от показатели за ефективност в Държавна агенция „Национална сигурност“")</f>
        <v>Прилагане на Балансирана система от показатели за ефективност в Държавна агенция „Национална сигурност“</v>
      </c>
      <c r="D4497" s="10">
        <f ca="1">IFERROR(__xludf.DUMMYFUNCTION("""COMPUTED_VALUE"""),2014)</f>
        <v>2014</v>
      </c>
      <c r="E4497" s="10" t="str">
        <f ca="1">IFERROR(__xludf.DUMMYFUNCTION("""COMPUTED_VALUE"""),"Научни трудове на Университета по библиотекознание и информационни технологии, том 12, 2014г., ISSN 1314-2623 УДК 02; COBISS.BG-ID 1247225316")</f>
        <v>Научни трудове на Университета по библиотекознание и информационни технологии, том 12, 2014г., ISSN 1314-2623 УДК 02; COBISS.BG-ID 1247225316</v>
      </c>
      <c r="F4497" s="10" t="str">
        <f ca="1">IFERROR(__xludf.DUMMYFUNCTION("""COMPUTED_VALUE"""),"УДК 02; COBISS.BG-ID 1247225316")</f>
        <v>УДК 02; COBISS.BG-ID 1247225316</v>
      </c>
      <c r="G4497" s="10"/>
      <c r="H4497" s="10"/>
      <c r="I4497" s="10"/>
      <c r="J4497" s="10"/>
      <c r="K4497" s="10"/>
      <c r="L4497" s="10"/>
      <c r="M4497" s="10"/>
      <c r="N4497" s="10"/>
      <c r="O4497" s="10"/>
      <c r="P4497" s="10"/>
      <c r="Q4497" s="10"/>
      <c r="R4497" s="10"/>
      <c r="S4497" s="10"/>
      <c r="T4497" s="10"/>
      <c r="U4497" s="10"/>
      <c r="V4497" s="10"/>
      <c r="W4497" s="10"/>
      <c r="X4497" s="10"/>
      <c r="Y4497" s="10"/>
      <c r="Z4497" s="10"/>
    </row>
    <row r="4498" spans="1:26" ht="12.75">
      <c r="A4498" s="10" t="str">
        <f ca="1">IFERROR(__xludf.DUMMYFUNCTION("""COMPUTED_VALUE"""),"Константин Кирилов Казаков")</f>
        <v>Константин Кирилов Казаков</v>
      </c>
      <c r="B4498" s="10" t="str">
        <f ca="1">IFERROR(__xludf.DUMMYFUNCTION("""COMPUTED_VALUE"""),"Доклад от конференция")</f>
        <v>Доклад от конференция</v>
      </c>
      <c r="C4498" s="10" t="str">
        <f ca="1">IFERROR(__xludf.DUMMYFUNCTION("""COMPUTED_VALUE"""),"Управление на човешките ресурси в службите за сигурност, чрез използване на Балансирана система от показатели за ефективност и Стратегическа карта")</f>
        <v>Управление на човешките ресурси в службите за сигурност, чрез използване на Балансирана система от показатели за ефективност и Стратегическа карта</v>
      </c>
      <c r="D4498" s="10">
        <f ca="1">IFERROR(__xludf.DUMMYFUNCTION("""COMPUTED_VALUE"""),2014)</f>
        <v>2014</v>
      </c>
      <c r="E4498" s="10" t="str">
        <f ca="1">IFERROR(__xludf.DUMMYFUNCTION("""COMPUTED_VALUE"""),"Сборник доклади от научна конференция „Актуални проблеми на сигурността“, 2014г., НВУ „Васил Левски“, Велико Търново, ISSN 2367-7465")</f>
        <v>Сборник доклади от научна конференция „Актуални проблеми на сигурността“, 2014г., НВУ „Васил Левски“, Велико Търново, ISSN 2367-7465</v>
      </c>
      <c r="F4498" s="10"/>
      <c r="G4498" s="10"/>
      <c r="H4498" s="10"/>
      <c r="I4498" s="10"/>
      <c r="J4498" s="10"/>
      <c r="K4498" s="10"/>
      <c r="L4498" s="10"/>
      <c r="M4498" s="10"/>
      <c r="N4498" s="10"/>
      <c r="O4498" s="10"/>
      <c r="P4498" s="10"/>
      <c r="Q4498" s="10"/>
      <c r="R4498" s="10"/>
      <c r="S4498" s="10"/>
      <c r="T4498" s="10"/>
      <c r="U4498" s="10"/>
      <c r="V4498" s="10"/>
      <c r="W4498" s="10"/>
      <c r="X4498" s="10"/>
      <c r="Y4498" s="10"/>
      <c r="Z4498" s="10"/>
    </row>
    <row r="4499" spans="1:26" ht="12.75">
      <c r="A4499" s="10" t="str">
        <f ca="1">IFERROR(__xludf.DUMMYFUNCTION("""COMPUTED_VALUE"""),"Константин Кирилов Казаков")</f>
        <v>Константин Кирилов Казаков</v>
      </c>
      <c r="B4499" s="10" t="str">
        <f ca="1">IFERROR(__xludf.DUMMYFUNCTION("""COMPUTED_VALUE"""),"Доклад от конференция")</f>
        <v>Доклад от конференция</v>
      </c>
      <c r="C4499" s="10" t="str">
        <f ca="1">IFERROR(__xludf.DUMMYFUNCTION("""COMPUTED_VALUE"""),"Модел на киберсигурност")</f>
        <v>Модел на киберсигурност</v>
      </c>
      <c r="D4499" s="10">
        <f ca="1">IFERROR(__xludf.DUMMYFUNCTION("""COMPUTED_VALUE"""),2014)</f>
        <v>2014</v>
      </c>
      <c r="E4499" s="10" t="str">
        <f ca="1">IFERROR(__xludf.DUMMYFUNCTION("""COMPUTED_VALUE"""),"Първа научна конференция, „Съвременни стратегии и иновации в управление на знанието“ УниБИТ, 2014 г., ISBN 978-619-185-140-9")</f>
        <v>Първа научна конференция, „Съвременни стратегии и иновации в управление на знанието“ УниБИТ, 2014 г., ISBN 978-619-185-140-9</v>
      </c>
      <c r="F4499" s="10"/>
      <c r="G4499" s="10"/>
      <c r="H4499" s="10"/>
      <c r="I4499" s="10"/>
      <c r="J4499" s="10"/>
      <c r="K4499" s="10"/>
      <c r="L4499" s="10"/>
      <c r="M4499" s="10"/>
      <c r="N4499" s="10"/>
      <c r="O4499" s="10"/>
      <c r="P4499" s="10"/>
      <c r="Q4499" s="10"/>
      <c r="R4499" s="10"/>
      <c r="S4499" s="10"/>
      <c r="T4499" s="10"/>
      <c r="U4499" s="10"/>
      <c r="V4499" s="10"/>
      <c r="W4499" s="10"/>
      <c r="X4499" s="10"/>
      <c r="Y4499" s="10"/>
      <c r="Z4499" s="10"/>
    </row>
    <row r="4500" spans="1:26" ht="12.75">
      <c r="A4500" s="10" t="str">
        <f ca="1">IFERROR(__xludf.DUMMYFUNCTION("""COMPUTED_VALUE"""),"Константин Кирилов Казаков")</f>
        <v>Константин Кирилов Казаков</v>
      </c>
      <c r="B4500" s="10" t="str">
        <f ca="1">IFERROR(__xludf.DUMMYFUNCTION("""COMPUTED_VALUE"""),"Доклад от конференция")</f>
        <v>Доклад от конференция</v>
      </c>
      <c r="C4500" s="10" t="str">
        <f ca="1">IFERROR(__xludf.DUMMYFUNCTION("""COMPUTED_VALUE"""),"Предизвикателства пред държавната администрация в контекста на съвременните кризи")</f>
        <v>Предизвикателства пред държавната администрация в контекста на съвременните кризи</v>
      </c>
      <c r="D4500" s="10">
        <f ca="1">IFERROR(__xludf.DUMMYFUNCTION("""COMPUTED_VALUE"""),2011)</f>
        <v>2011</v>
      </c>
      <c r="E4500" s="10" t="str">
        <f ca="1">IFERROR(__xludf.DUMMYFUNCTION("""COMPUTED_VALUE"""),"Девета международна конференция „Сигурността в Югоизточна Европа кризи, предизвикателства, политики“, 2011г., София, ISBN 978-954-479-038-7 УДК 355.02(497)(063) 351.75(497)(063); COBISS.BG-ID 1247507940")</f>
        <v>Девета международна конференция „Сигурността в Югоизточна Европа кризи, предизвикателства, политики“, 2011г., София, ISBN 978-954-479-038-7 УДК 355.02(497)(063) 351.75(497)(063); COBISS.BG-ID 1247507940</v>
      </c>
      <c r="F4500" s="10" t="str">
        <f ca="1">IFERROR(__xludf.DUMMYFUNCTION("""COMPUTED_VALUE"""),"УДК 355.02(497)(063) 351.75(497)(063); COBISS.BG-ID 1247507940")</f>
        <v>УДК 355.02(497)(063) 351.75(497)(063); COBISS.BG-ID 1247507940</v>
      </c>
      <c r="G4500" s="10"/>
      <c r="H4500" s="10"/>
      <c r="I4500" s="10"/>
      <c r="J4500" s="10"/>
      <c r="K4500" s="10"/>
      <c r="L4500" s="10"/>
      <c r="M4500" s="10"/>
      <c r="N4500" s="10"/>
      <c r="O4500" s="10"/>
      <c r="P4500" s="10"/>
      <c r="Q4500" s="10"/>
      <c r="R4500" s="10"/>
      <c r="S4500" s="10"/>
      <c r="T4500" s="10"/>
      <c r="U4500" s="10"/>
      <c r="V4500" s="10"/>
      <c r="W4500" s="10"/>
      <c r="X4500" s="10"/>
      <c r="Y4500" s="10"/>
      <c r="Z4500" s="10"/>
    </row>
    <row r="4501" spans="1:26" ht="12.75">
      <c r="A4501" s="10" t="str">
        <f ca="1">IFERROR(__xludf.DUMMYFUNCTION("""COMPUTED_VALUE"""),"Красимир Тодоров Георгиев")</f>
        <v>Красимир Тодоров Георгиев</v>
      </c>
      <c r="B4501" s="10" t="str">
        <f ca="1">IFERROR(__xludf.DUMMYFUNCTION("""COMPUTED_VALUE"""),"Статия в списания и поредици")</f>
        <v>Статия в списания и поредици</v>
      </c>
      <c r="C4501" s="10" t="str">
        <f ca="1">IFERROR(__xludf.DUMMYFUNCTION("""COMPUTED_VALUE"""),"Stability Properties of Repeated Richardson Extrapolation Applied Together with Some Implicit Runge-Kutta Methods")</f>
        <v>Stability Properties of Repeated Richardson Extrapolation Applied Together with Some Implicit Runge-Kutta Methods</v>
      </c>
      <c r="D4501" s="10">
        <f ca="1">IFERROR(__xludf.DUMMYFUNCTION("""COMPUTED_VALUE"""),2019)</f>
        <v>2019</v>
      </c>
      <c r="E4501" s="10" t="str">
        <f ca="1">IFERROR(__xludf.DUMMYFUNCTION("""COMPUTED_VALUE"""),"Zlatev, Z., Dimov, I., Farago, I., Georgiev, K., Havasi, A., Stability Properties of Repeated Richardson Extrapolation Applied Together with Some Implicit Runge-Kutta Methods, Lecture Notes in Computer Science, Volume 11386 LNCS, 2019, Pages 114-125, DOI:"&amp;" 10.1007/978-3-030-11539-5_80")</f>
        <v>Zlatev, Z., Dimov, I., Farago, I., Georgiev, K., Havasi, A., Stability Properties of Repeated Richardson Extrapolation Applied Together with Some Implicit Runge-Kutta Methods, Lecture Notes in Computer Science, Volume 11386 LNCS, 2019, Pages 114-125, DOI: 10.1007/978-3-030-11539-5_80</v>
      </c>
      <c r="F4501" s="10" t="str">
        <f ca="1">IFERROR(__xludf.DUMMYFUNCTION("""COMPUTED_VALUE"""),"Scopus/WoS")</f>
        <v>Scopus/WoS</v>
      </c>
      <c r="G4501" s="10" t="str">
        <f ca="1">IFERROR(__xludf.DUMMYFUNCTION("""COMPUTED_VALUE"""),"Zlatev, Z., Dimov, I., Farago, I., Georgiev, K., Havasi, A.")</f>
        <v>Zlatev, Z., Dimov, I., Farago, I., Georgiev, K., Havasi, A.</v>
      </c>
      <c r="H4501" s="10"/>
      <c r="I4501" s="10"/>
      <c r="J4501" s="10"/>
      <c r="K4501" s="10"/>
      <c r="L4501" s="10"/>
      <c r="M4501" s="10"/>
      <c r="N4501" s="10"/>
      <c r="O4501" s="10"/>
      <c r="P4501" s="10"/>
      <c r="Q4501" s="10"/>
      <c r="R4501" s="10"/>
      <c r="S4501" s="10"/>
      <c r="T4501" s="10"/>
      <c r="U4501" s="10"/>
      <c r="V4501" s="10"/>
      <c r="W4501" s="10"/>
      <c r="X4501" s="10"/>
      <c r="Y4501" s="10"/>
      <c r="Z4501" s="10"/>
    </row>
    <row r="4502" spans="1:26" ht="12.75">
      <c r="A4502" s="10" t="str">
        <f ca="1">IFERROR(__xludf.DUMMYFUNCTION("""COMPUTED_VALUE"""),"Красимир Тодоров Георгиев")</f>
        <v>Красимир Тодоров Георгиев</v>
      </c>
      <c r="B4502" s="10" t="str">
        <f ca="1">IFERROR(__xludf.DUMMYFUNCTION("""COMPUTED_VALUE"""),"Статия в списания и поредици")</f>
        <v>Статия в списания и поредици</v>
      </c>
      <c r="C4502" s="10" t="str">
        <f ca="1">IFERROR(__xludf.DUMMYFUNCTION("""COMPUTED_VALUE"""),"Absolute Stability and Implementation of the Two-Times Repeated Richardson Extrapolation Together with Explicit Runge-Kutta Methods")</f>
        <v>Absolute Stability and Implementation of the Two-Times Repeated Richardson Extrapolation Together with Explicit Runge-Kutta Methods</v>
      </c>
      <c r="D4502" s="10">
        <f ca="1">IFERROR(__xludf.DUMMYFUNCTION("""COMPUTED_VALUE"""),2019)</f>
        <v>2019</v>
      </c>
      <c r="E4502" s="10" t="str">
        <f ca="1">IFERROR(__xludf.DUMMYFUNCTION("""COMPUTED_VALUE"""),"Zlatev, Z., Dimov, I., Farago, I., Georgiev, K., Havasi, A., Absolute Stability and Implementation of the Two-Times Repeated Richardson Extrapolation Together with Explicit Runge-Kutta Methods, Lecture Notes in Computer Science, Volume 11386 LNCS, 2019, P"&amp;"ages 678-686, DOI: 10.1007/978-3-030-11539-5_80")</f>
        <v>Zlatev, Z., Dimov, I., Farago, I., Georgiev, K., Havasi, A., Absolute Stability and Implementation of the Two-Times Repeated Richardson Extrapolation Together with Explicit Runge-Kutta Methods, Lecture Notes in Computer Science, Volume 11386 LNCS, 2019, Pages 678-686, DOI: 10.1007/978-3-030-11539-5_80</v>
      </c>
      <c r="F4502" s="10" t="str">
        <f ca="1">IFERROR(__xludf.DUMMYFUNCTION("""COMPUTED_VALUE"""),"Scopus/WoS")</f>
        <v>Scopus/WoS</v>
      </c>
      <c r="G4502" s="10" t="str">
        <f ca="1">IFERROR(__xludf.DUMMYFUNCTION("""COMPUTED_VALUE"""),"Zlatev, Z., Dimov, I., Farago, I., Georgiev, K., Havasi, A.")</f>
        <v>Zlatev, Z., Dimov, I., Farago, I., Georgiev, K., Havasi, A.</v>
      </c>
      <c r="H4502" s="10"/>
      <c r="I4502" s="10"/>
      <c r="J4502" s="10"/>
      <c r="K4502" s="10"/>
      <c r="L4502" s="10"/>
      <c r="M4502" s="10"/>
      <c r="N4502" s="10"/>
      <c r="O4502" s="10"/>
      <c r="P4502" s="10"/>
      <c r="Q4502" s="10"/>
      <c r="R4502" s="10"/>
      <c r="S4502" s="10"/>
      <c r="T4502" s="10"/>
      <c r="U4502" s="10"/>
      <c r="V4502" s="10"/>
      <c r="W4502" s="10"/>
      <c r="X4502" s="10"/>
      <c r="Y4502" s="10"/>
      <c r="Z4502" s="10"/>
    </row>
    <row r="4503" spans="1:26" ht="12.75">
      <c r="A4503" s="10" t="str">
        <f ca="1">IFERROR(__xludf.DUMMYFUNCTION("""COMPUTED_VALUE"""),"Красимир Тодоров Георгиев")</f>
        <v>Красимир Тодоров Георгиев</v>
      </c>
      <c r="B4503" s="10" t="str">
        <f ca="1">IFERROR(__xludf.DUMMYFUNCTION("""COMPUTED_VALUE"""),"Статия в списания и поредици")</f>
        <v>Статия в списания и поредици</v>
      </c>
      <c r="C4503" s="10" t="str">
        <f ca="1">IFERROR(__xludf.DUMMYFUNCTION("""COMPUTED_VALUE"""),"Using advanced mathematical tools in complex studies related to climate changes and high pollution levels")</f>
        <v>Using advanced mathematical tools in complex studies related to climate changes and high pollution levels</v>
      </c>
      <c r="D4503" s="10">
        <f ca="1">IFERROR(__xludf.DUMMYFUNCTION("""COMPUTED_VALUE"""),2018)</f>
        <v>2018</v>
      </c>
      <c r="E4503" s="10" t="str">
        <f ca="1">IFERROR(__xludf.DUMMYFUNCTION("""COMPUTED_VALUE"""),"Zlatev, Z., Dimov, I., Georgiev, K., Blaheta, R., Using advanced mathematical tools in complex studies related to climate changes and high pollution levels, Volume 10665 LNCS, 2018, Pages 552-559")</f>
        <v>Zlatev, Z., Dimov, I., Georgiev, K., Blaheta, R., Using advanced mathematical tools in complex studies related to climate changes and high pollution levels, Volume 10665 LNCS, 2018, Pages 552-559</v>
      </c>
      <c r="F4503" s="10" t="str">
        <f ca="1">IFERROR(__xludf.DUMMYFUNCTION("""COMPUTED_VALUE"""),"Scopus/WoS")</f>
        <v>Scopus/WoS</v>
      </c>
      <c r="G4503" s="10" t="str">
        <f ca="1">IFERROR(__xludf.DUMMYFUNCTION("""COMPUTED_VALUE"""),"Zlatev, Z., Dimov, I., Georgiev, K., Blaheta, R.")</f>
        <v>Zlatev, Z., Dimov, I., Georgiev, K., Blaheta, R.</v>
      </c>
      <c r="H4503" s="10"/>
      <c r="I4503" s="10"/>
      <c r="J4503" s="10"/>
      <c r="K4503" s="10"/>
      <c r="L4503" s="10"/>
      <c r="M4503" s="10"/>
      <c r="N4503" s="10"/>
      <c r="O4503" s="10"/>
      <c r="P4503" s="10"/>
      <c r="Q4503" s="10"/>
      <c r="R4503" s="10"/>
      <c r="S4503" s="10"/>
      <c r="T4503" s="10"/>
      <c r="U4503" s="10"/>
      <c r="V4503" s="10"/>
      <c r="W4503" s="10"/>
      <c r="X4503" s="10"/>
      <c r="Y4503" s="10"/>
      <c r="Z4503" s="10"/>
    </row>
    <row r="4504" spans="1:26" ht="12.75">
      <c r="A4504" s="10" t="str">
        <f ca="1">IFERROR(__xludf.DUMMYFUNCTION("""COMPUTED_VALUE"""),"Красимир Тодоров Георгиев")</f>
        <v>Красимир Тодоров Георгиев</v>
      </c>
      <c r="B4504" s="10" t="str">
        <f ca="1">IFERROR(__xludf.DUMMYFUNCTION("""COMPUTED_VALUE"""),"Статия в списания и поредици")</f>
        <v>Статия в списания и поредици</v>
      </c>
      <c r="C4504" s="10" t="str">
        <f ca="1">IFERROR(__xludf.DUMMYFUNCTION("""COMPUTED_VALUE"""),"Cultural heritage RC structures environmentally degradated: Optimal seismic upgrading by tention-ties under shear effects")</f>
        <v>Cultural heritage RC structures environmentally degradated: Optimal seismic upgrading by tention-ties under shear effects</v>
      </c>
      <c r="D4504" s="10">
        <f ca="1">IFERROR(__xludf.DUMMYFUNCTION("""COMPUTED_VALUE"""),2018)</f>
        <v>2018</v>
      </c>
      <c r="E4504" s="10" t="str">
        <f ca="1">IFERROR(__xludf.DUMMYFUNCTION("""COMPUTED_VALUE"""),"Liolios, A., Liolios, K., Moropoulou, A., Georgiev, K., Georgiev, I., Cultural heritage RC structures environmentally degradated: Optimal seismic upgrading by tention-ties under shear effects, Volume 10665 LNCS, 2018, Pages 516-526")</f>
        <v>Liolios, A., Liolios, K., Moropoulou, A., Georgiev, K., Georgiev, I., Cultural heritage RC structures environmentally degradated: Optimal seismic upgrading by tention-ties under shear effects, Volume 10665 LNCS, 2018, Pages 516-526</v>
      </c>
      <c r="F4504" s="10" t="str">
        <f ca="1">IFERROR(__xludf.DUMMYFUNCTION("""COMPUTED_VALUE"""),"Scopus/WoS")</f>
        <v>Scopus/WoS</v>
      </c>
      <c r="G4504" s="10" t="str">
        <f ca="1">IFERROR(__xludf.DUMMYFUNCTION("""COMPUTED_VALUE"""),"Liolios, A., Liolios, K., Moropoulou, A., Georgiev, K., Georgiev, I.")</f>
        <v>Liolios, A., Liolios, K., Moropoulou, A., Georgiev, K., Georgiev, I.</v>
      </c>
      <c r="H4504" s="10"/>
      <c r="I4504" s="10"/>
      <c r="J4504" s="10"/>
      <c r="K4504" s="10"/>
      <c r="L4504" s="10"/>
      <c r="M4504" s="10"/>
      <c r="N4504" s="10"/>
      <c r="O4504" s="10"/>
      <c r="P4504" s="10"/>
      <c r="Q4504" s="10"/>
      <c r="R4504" s="10"/>
      <c r="S4504" s="10"/>
      <c r="T4504" s="10"/>
      <c r="U4504" s="10"/>
      <c r="V4504" s="10"/>
      <c r="W4504" s="10"/>
      <c r="X4504" s="10"/>
      <c r="Y4504" s="10"/>
      <c r="Z4504" s="10"/>
    </row>
    <row r="4505" spans="1:26" ht="12.75">
      <c r="A4505" s="10" t="str">
        <f ca="1">IFERROR(__xludf.DUMMYFUNCTION("""COMPUTED_VALUE"""),"Красимир Тодоров Георгиев")</f>
        <v>Красимир Тодоров Георгиев</v>
      </c>
      <c r="B4505" s="10" t="str">
        <f ca="1">IFERROR(__xludf.DUMMYFUNCTION("""COMPUTED_VALUE"""),"Статия в списания и поредици")</f>
        <v>Статия в списания и поредици</v>
      </c>
      <c r="C4505" s="10" t="str">
        <f ca="1">IFERROR(__xludf.DUMMYFUNCTION("""COMPUTED_VALUE"""),"High Performance Computing in Micromechanics with an Application")</f>
        <v>High Performance Computing in Micromechanics with an Application</v>
      </c>
      <c r="D4505" s="10">
        <f ca="1">IFERROR(__xludf.DUMMYFUNCTION("""COMPUTED_VALUE"""),2017)</f>
        <v>2017</v>
      </c>
      <c r="E4505" s="10" t="str">
        <f ca="1">IFERROR(__xludf.DUMMYFUNCTION("""COMPUTED_VALUE"""),"Blaheta, R; Georgiev, I; Georgiev, K; Jakl, O; Kohut, R; Margenov, S; Stary, J, High Performance Computing in Micromechanics with an Application, CYBERNETICS AND INFORMATION TECHNOLOGIES, Vol: 17 Issue: 5 Pages: 5-16, DOI: 10.1515/cait-2017-0050, 2017")</f>
        <v>Blaheta, R; Georgiev, I; Georgiev, K; Jakl, O; Kohut, R; Margenov, S; Stary, J, High Performance Computing in Micromechanics with an Application, CYBERNETICS AND INFORMATION TECHNOLOGIES, Vol: 17 Issue: 5 Pages: 5-16, DOI: 10.1515/cait-2017-0050, 2017</v>
      </c>
      <c r="F4505" s="10" t="str">
        <f ca="1">IFERROR(__xludf.DUMMYFUNCTION("""COMPUTED_VALUE"""),"Scopus/WoS")</f>
        <v>Scopus/WoS</v>
      </c>
      <c r="G4505" s="10" t="str">
        <f ca="1">IFERROR(__xludf.DUMMYFUNCTION("""COMPUTED_VALUE"""),"Blaheta, R; Georgiev, I; Georgiev, K; Jakl, O; Kohut, R; Margenov, S; Stary, J")</f>
        <v>Blaheta, R; Georgiev, I; Georgiev, K; Jakl, O; Kohut, R; Margenov, S; Stary, J</v>
      </c>
      <c r="H4505" s="10"/>
      <c r="I4505" s="10"/>
      <c r="J4505" s="10"/>
      <c r="K4505" s="10"/>
      <c r="L4505" s="10"/>
      <c r="M4505" s="10"/>
      <c r="N4505" s="10"/>
      <c r="O4505" s="10"/>
      <c r="P4505" s="10"/>
      <c r="Q4505" s="10"/>
      <c r="R4505" s="10"/>
      <c r="S4505" s="10"/>
      <c r="T4505" s="10"/>
      <c r="U4505" s="10"/>
      <c r="V4505" s="10"/>
      <c r="W4505" s="10"/>
      <c r="X4505" s="10"/>
      <c r="Y4505" s="10"/>
      <c r="Z4505" s="10"/>
    </row>
    <row r="4506" spans="1:26" ht="12.75">
      <c r="A4506" s="10" t="str">
        <f ca="1">IFERROR(__xludf.DUMMYFUNCTION("""COMPUTED_VALUE"""),"Красимир Тодоров Георгиев")</f>
        <v>Красимир Тодоров Георгиев</v>
      </c>
      <c r="B4506" s="10" t="str">
        <f ca="1">IFERROR(__xludf.DUMMYFUNCTION("""COMPUTED_VALUE"""),"Статия в списания и поредици")</f>
        <v>Статия в списания и поредици</v>
      </c>
      <c r="C4506" s="10" t="str">
        <f ca="1">IFERROR(__xludf.DUMMYFUNCTION("""COMPUTED_VALUE"""),"Performance analysis of a parallel algorithm for restoring large-scale CT images")</f>
        <v>Performance analysis of a parallel algorithm for restoring large-scale CT images</v>
      </c>
      <c r="D4506" s="10">
        <f ca="1">IFERROR(__xludf.DUMMYFUNCTION("""COMPUTED_VALUE"""),2017)</f>
        <v>2017</v>
      </c>
      <c r="E4506" s="10" t="str">
        <f ca="1">IFERROR(__xludf.DUMMYFUNCTION("""COMPUTED_VALUE"""),"Harizanov, S; Lirkov, I; Georgiev, K; Paprzycki, M; Ganzha, M, Performance analysis of a parallel algorithm for restoring large-scale CT images, JOURNAL OF COMPUTATIONAL AND APPLIED MATHEMATICS, Vol: 310 Pages: 104-114, DOI: 10.1016/j.cam.2016.07.001, 201"&amp;"7")</f>
        <v>Harizanov, S; Lirkov, I; Georgiev, K; Paprzycki, M; Ganzha, M, Performance analysis of a parallel algorithm for restoring large-scale CT images, JOURNAL OF COMPUTATIONAL AND APPLIED MATHEMATICS, Vol: 310 Pages: 104-114, DOI: 10.1016/j.cam.2016.07.001, 2017</v>
      </c>
      <c r="F4506" s="10" t="str">
        <f ca="1">IFERROR(__xludf.DUMMYFUNCTION("""COMPUTED_VALUE"""),"Scopus/WoS")</f>
        <v>Scopus/WoS</v>
      </c>
      <c r="G4506" s="10" t="str">
        <f ca="1">IFERROR(__xludf.DUMMYFUNCTION("""COMPUTED_VALUE"""),"Harizanov, S; Lirkov, I; Georgiev, K; Paprzycki, M; Ganzha, M")</f>
        <v>Harizanov, S; Lirkov, I; Georgiev, K; Paprzycki, M; Ganzha, M</v>
      </c>
      <c r="H4506" s="10"/>
      <c r="I4506" s="10"/>
      <c r="J4506" s="10"/>
      <c r="K4506" s="10"/>
      <c r="L4506" s="10"/>
      <c r="M4506" s="10"/>
      <c r="N4506" s="10"/>
      <c r="O4506" s="10"/>
      <c r="P4506" s="10"/>
      <c r="Q4506" s="10"/>
      <c r="R4506" s="10"/>
      <c r="S4506" s="10"/>
      <c r="T4506" s="10"/>
      <c r="U4506" s="10"/>
      <c r="V4506" s="10"/>
      <c r="W4506" s="10"/>
      <c r="X4506" s="10"/>
      <c r="Y4506" s="10"/>
      <c r="Z4506" s="10"/>
    </row>
    <row r="4507" spans="1:26" ht="12.75">
      <c r="A4507" s="10" t="str">
        <f ca="1">IFERROR(__xludf.DUMMYFUNCTION("""COMPUTED_VALUE"""),"Красимир Тодоров Георгиев")</f>
        <v>Красимир Тодоров Георгиев</v>
      </c>
      <c r="B4507" s="10" t="str">
        <f ca="1">IFERROR(__xludf.DUMMYFUNCTION("""COMPUTED_VALUE"""),"Статия в списания и поредици")</f>
        <v>Статия в списания и поредици</v>
      </c>
      <c r="C4507" s="10" t="str">
        <f ca="1">IFERROR(__xludf.DUMMYFUNCTION("""COMPUTED_VALUE"""),"Stability of the Richardson Extrapolation combined with some implicit Runge-Kutta methods")</f>
        <v>Stability of the Richardson Extrapolation combined with some implicit Runge-Kutta methods</v>
      </c>
      <c r="D4507" s="10">
        <f ca="1">IFERROR(__xludf.DUMMYFUNCTION("""COMPUTED_VALUE"""),2017)</f>
        <v>2017</v>
      </c>
      <c r="E4507" s="10" t="str">
        <f ca="1">IFERROR(__xludf.DUMMYFUNCTION("""COMPUTED_VALUE"""),"Zlatev, Z; Dimov, I; Farago, I; Georgiev, K; Havasi, A, Stability of the Richardson Extrapolation combined with some implicit Runge-Kutta methods, JOURNAL OF COMPUTATIONAL AND APPLIED MATHEMATICS, Vol: 310 Pages: 224-240, DOI: 10.1016/j.cam.2016.03.018, 2"&amp;"017")</f>
        <v>Zlatev, Z; Dimov, I; Farago, I; Georgiev, K; Havasi, A, Stability of the Richardson Extrapolation combined with some implicit Runge-Kutta methods, JOURNAL OF COMPUTATIONAL AND APPLIED MATHEMATICS, Vol: 310 Pages: 224-240, DOI: 10.1016/j.cam.2016.03.018, 2017</v>
      </c>
      <c r="F4507" s="10" t="str">
        <f ca="1">IFERROR(__xludf.DUMMYFUNCTION("""COMPUTED_VALUE"""),"Scopus/WoS")</f>
        <v>Scopus/WoS</v>
      </c>
      <c r="G4507" s="10" t="str">
        <f ca="1">IFERROR(__xludf.DUMMYFUNCTION("""COMPUTED_VALUE"""),"Zlatev, Z; Dimov, I; Farago, I; Georgiev, K; Havasi, A")</f>
        <v>Zlatev, Z; Dimov, I; Farago, I; Georgiev, K; Havasi, A</v>
      </c>
      <c r="H4507" s="10"/>
      <c r="I4507" s="10"/>
      <c r="J4507" s="10"/>
      <c r="K4507" s="10"/>
      <c r="L4507" s="10"/>
      <c r="M4507" s="10"/>
      <c r="N4507" s="10"/>
      <c r="O4507" s="10"/>
      <c r="P4507" s="10"/>
      <c r="Q4507" s="10"/>
      <c r="R4507" s="10"/>
      <c r="S4507" s="10"/>
      <c r="T4507" s="10"/>
      <c r="U4507" s="10"/>
      <c r="V4507" s="10"/>
      <c r="W4507" s="10"/>
      <c r="X4507" s="10"/>
      <c r="Y4507" s="10"/>
      <c r="Z4507" s="10"/>
    </row>
    <row r="4508" spans="1:26" ht="12.75">
      <c r="A4508" s="10" t="str">
        <f ca="1">IFERROR(__xludf.DUMMYFUNCTION("""COMPUTED_VALUE"""),"Красимир Тодоров Георгиев")</f>
        <v>Красимир Тодоров Георгиев</v>
      </c>
      <c r="B4508" s="10" t="str">
        <f ca="1">IFERROR(__xludf.DUMMYFUNCTION("""COMPUTED_VALUE"""),"Статия в списания и поредици")</f>
        <v>Статия в списания и поредици</v>
      </c>
      <c r="C4508" s="10" t="str">
        <f ca="1">IFERROR(__xludf.DUMMYFUNCTION("""COMPUTED_VALUE"""),"A Computational Approach for the Seismic Sequences Induced Response of Cultural Heritage Structures Upgraded by Ties")</f>
        <v>A Computational Approach for the Seismic Sequences Induced Response of Cultural Heritage Structures Upgraded by Ties</v>
      </c>
      <c r="D4508" s="10">
        <f ca="1">IFERROR(__xludf.DUMMYFUNCTION("""COMPUTED_VALUE"""),2016)</f>
        <v>2016</v>
      </c>
      <c r="E4508" s="10" t="str">
        <f ca="1">IFERROR(__xludf.DUMMYFUNCTION("""COMPUTED_VALUE"""),"Liolios, Angelos; Moropoulou, A; Liolios, A; Georgiev, K; Georgiev, I, A Computational Approach for the Seismic Sequences Induced Response of Cultural Heritage Structures Upgraded by Ties, Studies in Computational Intelligence, Vol: 648 Pages: 47-58, DOI:"&amp;" 10.1007/978-3-319-32207-0_4, 2016")</f>
        <v>Liolios, Angelos; Moropoulou, A; Liolios, A; Georgiev, K; Georgiev, I, A Computational Approach for the Seismic Sequences Induced Response of Cultural Heritage Structures Upgraded by Ties, Studies in Computational Intelligence, Vol: 648 Pages: 47-58, DOI: 10.1007/978-3-319-32207-0_4, 2016</v>
      </c>
      <c r="F4508" s="10" t="str">
        <f ca="1">IFERROR(__xludf.DUMMYFUNCTION("""COMPUTED_VALUE"""),"Scopus/WoS")</f>
        <v>Scopus/WoS</v>
      </c>
      <c r="G4508" s="10" t="str">
        <f ca="1">IFERROR(__xludf.DUMMYFUNCTION("""COMPUTED_VALUE"""),"Liolios, Angelos; Moropoulou, A; Liolios, A; Georgiev, K; Georgiev, I")</f>
        <v>Liolios, Angelos; Moropoulou, A; Liolios, A; Georgiev, K; Georgiev, I</v>
      </c>
      <c r="H4508" s="10"/>
      <c r="I4508" s="10"/>
      <c r="J4508" s="10"/>
      <c r="K4508" s="10"/>
      <c r="L4508" s="10"/>
      <c r="M4508" s="10"/>
      <c r="N4508" s="10"/>
      <c r="O4508" s="10"/>
      <c r="P4508" s="10"/>
      <c r="Q4508" s="10"/>
      <c r="R4508" s="10"/>
      <c r="S4508" s="10"/>
      <c r="T4508" s="10"/>
      <c r="U4508" s="10"/>
      <c r="V4508" s="10"/>
      <c r="W4508" s="10"/>
      <c r="X4508" s="10"/>
      <c r="Y4508" s="10"/>
      <c r="Z4508" s="10"/>
    </row>
    <row r="4509" spans="1:26" ht="12.75">
      <c r="A4509" s="10" t="str">
        <f ca="1">IFERROR(__xludf.DUMMYFUNCTION("""COMPUTED_VALUE"""),"Красимир Тодоров Георгиев")</f>
        <v>Красимир Тодоров Георгиев</v>
      </c>
      <c r="B4509" s="10" t="str">
        <f ca="1">IFERROR(__xludf.DUMMYFUNCTION("""COMPUTED_VALUE"""),"Статия в списания и поредици")</f>
        <v>Статия в списания и поредици</v>
      </c>
      <c r="C4509" s="10" t="str">
        <f ca="1">IFERROR(__xludf.DUMMYFUNCTION("""COMPUTED_VALUE"""),"Relations between Climatic Changes and High Pollution Levels in Bulgaria")</f>
        <v>Relations between Climatic Changes and High Pollution Levels in Bulgaria</v>
      </c>
      <c r="D4509" s="10">
        <f ca="1">IFERROR(__xludf.DUMMYFUNCTION("""COMPUTED_VALUE"""),2016)</f>
        <v>2016</v>
      </c>
      <c r="E4509" s="10" t="str">
        <f ca="1">IFERROR(__xludf.DUMMYFUNCTION("""COMPUTED_VALUE"""),"Zahari Zlatev, Ivan Dimov, Krassimir Georgiev, Relations between Climatic Changes and High Pollution Levels in Bulgaria, Open Journal of Applied Sciences, 2016, 6, 386-401, Published Online July 2016 in SciRes. http://www.scirp.org/journal/ojapps, http://"&amp;"dx.doi.org/10.4236/ojapps.2016.67040")</f>
        <v>Zahari Zlatev, Ivan Dimov, Krassimir Georgiev, Relations between Climatic Changes and High Pollution Levels in Bulgaria, Open Journal of Applied Sciences, 2016, 6, 386-401, Published Online July 2016 in SciRes. http://www.scirp.org/journal/ojapps, http://dx.doi.org/10.4236/ojapps.2016.67040</v>
      </c>
      <c r="F4509" s="10" t="str">
        <f ca="1">IFERROR(__xludf.DUMMYFUNCTION("""COMPUTED_VALUE"""),"Scopus/WoS")</f>
        <v>Scopus/WoS</v>
      </c>
      <c r="G4509" s="10" t="str">
        <f ca="1">IFERROR(__xludf.DUMMYFUNCTION("""COMPUTED_VALUE"""),"Zahari Zlatev, Ivan Dimov, Krassimir Georgiev")</f>
        <v>Zahari Zlatev, Ivan Dimov, Krassimir Georgiev</v>
      </c>
      <c r="H4509" s="10"/>
      <c r="I4509" s="10"/>
      <c r="J4509" s="10"/>
      <c r="K4509" s="10"/>
      <c r="L4509" s="10"/>
      <c r="M4509" s="10"/>
      <c r="N4509" s="10"/>
      <c r="O4509" s="10"/>
      <c r="P4509" s="10"/>
      <c r="Q4509" s="10"/>
      <c r="R4509" s="10"/>
      <c r="S4509" s="10"/>
      <c r="T4509" s="10"/>
      <c r="U4509" s="10"/>
      <c r="V4509" s="10"/>
      <c r="W4509" s="10"/>
      <c r="X4509" s="10"/>
      <c r="Y4509" s="10"/>
      <c r="Z4509" s="10"/>
    </row>
    <row r="4510" spans="1:26" ht="12.75">
      <c r="A4510" s="10" t="str">
        <f ca="1">IFERROR(__xludf.DUMMYFUNCTION("""COMPUTED_VALUE"""),"Красимир Тодоров Георгиев")</f>
        <v>Красимир Тодоров Георгиев</v>
      </c>
      <c r="B4510" s="10" t="str">
        <f ca="1">IFERROR(__xludf.DUMMYFUNCTION("""COMPUTED_VALUE"""),"Статия в списания и поредици")</f>
        <v>Статия в списания и поредици</v>
      </c>
      <c r="C4510" s="10" t="str">
        <f ca="1">IFERROR(__xludf.DUMMYFUNCTION("""COMPUTED_VALUE"""),"An application of partition method for solving 3D Stokes equation")</f>
        <v>An application of partition method for solving 3D Stokes equation</v>
      </c>
      <c r="D4510" s="10">
        <f ca="1">IFERROR(__xludf.DUMMYFUNCTION("""COMPUTED_VALUE"""),2015)</f>
        <v>2015</v>
      </c>
      <c r="E4510" s="10" t="str">
        <f ca="1">IFERROR(__xludf.DUMMYFUNCTION("""COMPUTED_VALUE"""),"Ganzha, Maria; Georgiev, K; Lirkov, I; Paprzycki, M., An application of partition method for solving 3D Stokes equation, COMPUTERS &amp; MATHEMATICS WITH APPLICATIONS, Vol: 70 Issue: 11 Pages: 2762-2772, DOI: 10.1016/j.camwa.2015.04.025, 2015")</f>
        <v>Ganzha, Maria; Georgiev, K; Lirkov, I; Paprzycki, M., An application of partition method for solving 3D Stokes equation, COMPUTERS &amp; MATHEMATICS WITH APPLICATIONS, Vol: 70 Issue: 11 Pages: 2762-2772, DOI: 10.1016/j.camwa.2015.04.025, 2015</v>
      </c>
      <c r="F4510" s="10" t="str">
        <f ca="1">IFERROR(__xludf.DUMMYFUNCTION("""COMPUTED_VALUE"""),"Scopus/WoS")</f>
        <v>Scopus/WoS</v>
      </c>
      <c r="G4510" s="10" t="str">
        <f ca="1">IFERROR(__xludf.DUMMYFUNCTION("""COMPUTED_VALUE"""),"Ganzha, Maria; Georgiev, K; Lirkov, I; Paprzycki, M.")</f>
        <v>Ganzha, Maria; Georgiev, K; Lirkov, I; Paprzycki, M.</v>
      </c>
      <c r="H4510" s="10"/>
      <c r="I4510" s="10"/>
      <c r="J4510" s="10"/>
      <c r="K4510" s="10"/>
      <c r="L4510" s="10"/>
      <c r="M4510" s="10"/>
      <c r="N4510" s="10"/>
      <c r="O4510" s="10"/>
      <c r="P4510" s="10"/>
      <c r="Q4510" s="10"/>
      <c r="R4510" s="10"/>
      <c r="S4510" s="10"/>
      <c r="T4510" s="10"/>
      <c r="U4510" s="10"/>
      <c r="V4510" s="10"/>
      <c r="W4510" s="10"/>
      <c r="X4510" s="10"/>
      <c r="Y4510" s="10"/>
      <c r="Z4510" s="10"/>
    </row>
    <row r="4511" spans="1:26" ht="12.75">
      <c r="A4511" s="10" t="str">
        <f ca="1">IFERROR(__xludf.DUMMYFUNCTION("""COMPUTED_VALUE"""),"Красимир Тодоров Георгиев")</f>
        <v>Красимир Тодоров Георгиев</v>
      </c>
      <c r="B4511" s="10" t="str">
        <f ca="1">IFERROR(__xludf.DUMMYFUNCTION("""COMPUTED_VALUE"""),"Статия в списания и поредици")</f>
        <v>Статия в списания и поредици</v>
      </c>
      <c r="C4511" s="10" t="str">
        <f ca="1">IFERROR(__xludf.DUMMYFUNCTION("""COMPUTED_VALUE"""),"Numerical Methods for Scientific Computations and Advanced Applications")</f>
        <v>Numerical Methods for Scientific Computations and Advanced Applications</v>
      </c>
      <c r="D4511" s="10">
        <f ca="1">IFERROR(__xludf.DUMMYFUNCTION("""COMPUTED_VALUE"""),2015)</f>
        <v>2015</v>
      </c>
      <c r="E4511" s="10" t="str">
        <f ca="1">IFERROR(__xludf.DUMMYFUNCTION("""COMPUTED_VALUE"""),"Georgiev, K; Iliev, O; Minev, P, Numerical Methods for Scientific Computations and Advanced Applications, COMPUTERS &amp; MATHEMATICS WITH APPLICATIONS, Vol: 70 Issue: 11 Pages: 2619-2620, DOI: 10.1016/j.camwa.2015.11.004, 2015")</f>
        <v>Georgiev, K; Iliev, O; Minev, P, Numerical Methods for Scientific Computations and Advanced Applications, COMPUTERS &amp; MATHEMATICS WITH APPLICATIONS, Vol: 70 Issue: 11 Pages: 2619-2620, DOI: 10.1016/j.camwa.2015.11.004, 2015</v>
      </c>
      <c r="F4511" s="10" t="str">
        <f ca="1">IFERROR(__xludf.DUMMYFUNCTION("""COMPUTED_VALUE"""),"Scopus/WoS")</f>
        <v>Scopus/WoS</v>
      </c>
      <c r="G4511" s="10" t="str">
        <f ca="1">IFERROR(__xludf.DUMMYFUNCTION("""COMPUTED_VALUE"""),"Georgiev, K; Iliev, O; Minev, P")</f>
        <v>Georgiev, K; Iliev, O; Minev, P</v>
      </c>
      <c r="H4511" s="10"/>
      <c r="I4511" s="10"/>
      <c r="J4511" s="10"/>
      <c r="K4511" s="10"/>
      <c r="L4511" s="10"/>
      <c r="M4511" s="10"/>
      <c r="N4511" s="10"/>
      <c r="O4511" s="10"/>
      <c r="P4511" s="10"/>
      <c r="Q4511" s="10"/>
      <c r="R4511" s="10"/>
      <c r="S4511" s="10"/>
      <c r="T4511" s="10"/>
      <c r="U4511" s="10"/>
      <c r="V4511" s="10"/>
      <c r="W4511" s="10"/>
      <c r="X4511" s="10"/>
      <c r="Y4511" s="10"/>
      <c r="Z4511" s="10"/>
    </row>
    <row r="4512" spans="1:26" ht="12.75">
      <c r="A4512" s="10" t="str">
        <f ca="1">IFERROR(__xludf.DUMMYFUNCTION("""COMPUTED_VALUE"""),"Красимир Тодоров Георгиев")</f>
        <v>Красимир Тодоров Георгиев</v>
      </c>
      <c r="B4512" s="10" t="str">
        <f ca="1">IFERROR(__xludf.DUMMYFUNCTION("""COMPUTED_VALUE"""),"Статия в списания и поредици")</f>
        <v>Статия в списания и поредици</v>
      </c>
      <c r="C4512" s="10" t="str">
        <f ca="1">IFERROR(__xludf.DUMMYFUNCTION("""COMPUTED_VALUE"""),"A computational approach for the seismic damage response under multiple earthquakes excitations of adjacent RC structures strengthened by ties")</f>
        <v>A computational approach for the seismic damage response under multiple earthquakes excitations of adjacent RC structures strengthened by ties</v>
      </c>
      <c r="D4512" s="10">
        <f ca="1">IFERROR(__xludf.DUMMYFUNCTION("""COMPUTED_VALUE"""),2015)</f>
        <v>2015</v>
      </c>
      <c r="E4512" s="10" t="str">
        <f ca="1">IFERROR(__xludf.DUMMYFUNCTION("""COMPUTED_VALUE"""),"Liolios, Angelos; Karabinis, A; Liolios, A; Radev, S; Georgiev, K; Georgiev, I, A computational approach for the seismic damage response under multiple earthquakes excitations of adjacent RC structures strengthened by ties, COMPUTERS &amp; MATHEMATICS WITH AP"&amp;"PLICATIONS, Vol: 70 Issue: 11 Pages: 2742-2751, DOI: 10.1016/j.camwa.2015.08.012, 2015")</f>
        <v>Liolios, Angelos; Karabinis, A; Liolios, A; Radev, S; Georgiev, K; Georgiev, I, A computational approach for the seismic damage response under multiple earthquakes excitations of adjacent RC structures strengthened by ties, COMPUTERS &amp; MATHEMATICS WITH APPLICATIONS, Vol: 70 Issue: 11 Pages: 2742-2751, DOI: 10.1016/j.camwa.2015.08.012, 2015</v>
      </c>
      <c r="F4512" s="10" t="str">
        <f ca="1">IFERROR(__xludf.DUMMYFUNCTION("""COMPUTED_VALUE"""),"Scopus/WoS")</f>
        <v>Scopus/WoS</v>
      </c>
      <c r="G4512" s="10" t="str">
        <f ca="1">IFERROR(__xludf.DUMMYFUNCTION("""COMPUTED_VALUE"""),"Liolios, Angelos; Karabinis, A; Liolios, A; Radev, S; Georgiev, K; Georgiev, I")</f>
        <v>Liolios, Angelos; Karabinis, A; Liolios, A; Radev, S; Georgiev, K; Georgiev, I</v>
      </c>
      <c r="H4512" s="10"/>
      <c r="I4512" s="10"/>
      <c r="J4512" s="10"/>
      <c r="K4512" s="10"/>
      <c r="L4512" s="10"/>
      <c r="M4512" s="10"/>
      <c r="N4512" s="10"/>
      <c r="O4512" s="10"/>
      <c r="P4512" s="10"/>
      <c r="Q4512" s="10"/>
      <c r="R4512" s="10"/>
      <c r="S4512" s="10"/>
      <c r="T4512" s="10"/>
      <c r="U4512" s="10"/>
      <c r="V4512" s="10"/>
      <c r="W4512" s="10"/>
      <c r="X4512" s="10"/>
      <c r="Y4512" s="10"/>
      <c r="Z4512" s="10"/>
    </row>
    <row r="4513" spans="1:26" ht="12.75">
      <c r="A4513" s="10" t="str">
        <f ca="1">IFERROR(__xludf.DUMMYFUNCTION("""COMPUTED_VALUE"""),"Красимир Тодоров Георгиев")</f>
        <v>Красимир Тодоров Георгиев</v>
      </c>
      <c r="B4513" s="10" t="str">
        <f ca="1">IFERROR(__xludf.DUMMYFUNCTION("""COMPUTED_VALUE"""),"Статия в списания и поредици")</f>
        <v>Статия в списания и поредици</v>
      </c>
      <c r="C4513" s="10" t="str">
        <f ca="1">IFERROR(__xludf.DUMMYFUNCTION("""COMPUTED_VALUE"""),"Selecting Explicit Runge-Kutta Methods with Improved Stability Properties")</f>
        <v>Selecting Explicit Runge-Kutta Methods with Improved Stability Properties</v>
      </c>
      <c r="D4513" s="10">
        <f ca="1">IFERROR(__xludf.DUMMYFUNCTION("""COMPUTED_VALUE"""),2015)</f>
        <v>2015</v>
      </c>
      <c r="E4513" s="10" t="str">
        <f ca="1">IFERROR(__xludf.DUMMYFUNCTION("""COMPUTED_VALUE"""),"Zlatev, Z; Georgiev, K; Dimov, I, Selecting Explicit Runge-Kutta Methods with Improved Stability Properties, Lecture Notes in Computer Science, Vol: 9374 Pages: 409-416, DOI: 10.1007/978-3-319-26520-9_4, 2015")</f>
        <v>Zlatev, Z; Georgiev, K; Dimov, I, Selecting Explicit Runge-Kutta Methods with Improved Stability Properties, Lecture Notes in Computer Science, Vol: 9374 Pages: 409-416, DOI: 10.1007/978-3-319-26520-9_4, 2015</v>
      </c>
      <c r="F4513" s="10" t="str">
        <f ca="1">IFERROR(__xludf.DUMMYFUNCTION("""COMPUTED_VALUE"""),"Scopus/WoS")</f>
        <v>Scopus/WoS</v>
      </c>
      <c r="G4513" s="10" t="str">
        <f ca="1">IFERROR(__xludf.DUMMYFUNCTION("""COMPUTED_VALUE"""),"Zlatev, Z; Georgiev, K; Dimov, I")</f>
        <v>Zlatev, Z; Georgiev, K; Dimov, I</v>
      </c>
      <c r="H4513" s="10"/>
      <c r="I4513" s="10"/>
      <c r="J4513" s="10"/>
      <c r="K4513" s="10"/>
      <c r="L4513" s="10"/>
      <c r="M4513" s="10"/>
      <c r="N4513" s="10"/>
      <c r="O4513" s="10"/>
      <c r="P4513" s="10"/>
      <c r="Q4513" s="10"/>
      <c r="R4513" s="10"/>
      <c r="S4513" s="10"/>
      <c r="T4513" s="10"/>
      <c r="U4513" s="10"/>
      <c r="V4513" s="10"/>
      <c r="W4513" s="10"/>
      <c r="X4513" s="10"/>
      <c r="Y4513" s="10"/>
      <c r="Z4513" s="10"/>
    </row>
    <row r="4514" spans="1:26" ht="12.75">
      <c r="A4514" s="10" t="str">
        <f ca="1">IFERROR(__xludf.DUMMYFUNCTION("""COMPUTED_VALUE"""),"Красимир Тодоров Георгиев")</f>
        <v>Красимир Тодоров Георгиев</v>
      </c>
      <c r="B4514" s="10" t="str">
        <f ca="1">IFERROR(__xludf.DUMMYFUNCTION("""COMPUTED_VALUE"""),"Статия в списания и поредици")</f>
        <v>Статия в списания и поредици</v>
      </c>
      <c r="C4514" s="10" t="str">
        <f ca="1">IFERROR(__xludf.DUMMYFUNCTION("""COMPUTED_VALUE"""),"Tall RC Buildings Environmentally Degradated and Strengthened by Cables Under Multiple Earthquakes: A Numerical Approach")</f>
        <v>Tall RC Buildings Environmentally Degradated and Strengthened by Cables Under Multiple Earthquakes: A Numerical Approach</v>
      </c>
      <c r="D4514" s="10">
        <f ca="1">IFERROR(__xludf.DUMMYFUNCTION("""COMPUTED_VALUE"""),2015)</f>
        <v>2015</v>
      </c>
      <c r="E4514" s="10" t="str">
        <f ca="1">IFERROR(__xludf.DUMMYFUNCTION("""COMPUTED_VALUE"""),"Liolios, Angelos; Elenas, A; Liolios, A; Radev, S; Georgiev, K; Georgiev, I, Tall RC Buildings Environmentally Degradated and Strengthened by Cables Under Multiple Earthquakes: A Numerical Approach, Lecture Notes in Computer Science, Vol: 8962 Pages: 187-"&amp;"195, DOI: 10.1007/978-3-319-15585-2_21, 2015")</f>
        <v>Liolios, Angelos; Elenas, A; Liolios, A; Radev, S; Georgiev, K; Georgiev, I, Tall RC Buildings Environmentally Degradated and Strengthened by Cables Under Multiple Earthquakes: A Numerical Approach, Lecture Notes in Computer Science, Vol: 8962 Pages: 187-195, DOI: 10.1007/978-3-319-15585-2_21, 2015</v>
      </c>
      <c r="F4514" s="10" t="str">
        <f ca="1">IFERROR(__xludf.DUMMYFUNCTION("""COMPUTED_VALUE"""),"Scopus/WoS")</f>
        <v>Scopus/WoS</v>
      </c>
      <c r="G4514" s="10" t="str">
        <f ca="1">IFERROR(__xludf.DUMMYFUNCTION("""COMPUTED_VALUE"""),"Liolios, Angelos; Elenas, A; Liolios, A; Radev, S; Georgiev, K; Georgiev, I")</f>
        <v>Liolios, Angelos; Elenas, A; Liolios, A; Radev, S; Georgiev, K; Georgiev, I</v>
      </c>
      <c r="H4514" s="10"/>
      <c r="I4514" s="10"/>
      <c r="J4514" s="10"/>
      <c r="K4514" s="10"/>
      <c r="L4514" s="10"/>
      <c r="M4514" s="10"/>
      <c r="N4514" s="10"/>
      <c r="O4514" s="10"/>
      <c r="P4514" s="10"/>
      <c r="Q4514" s="10"/>
      <c r="R4514" s="10"/>
      <c r="S4514" s="10"/>
      <c r="T4514" s="10"/>
      <c r="U4514" s="10"/>
      <c r="V4514" s="10"/>
      <c r="W4514" s="10"/>
      <c r="X4514" s="10"/>
      <c r="Y4514" s="10"/>
      <c r="Z4514" s="10"/>
    </row>
    <row r="4515" spans="1:26" ht="12.75">
      <c r="A4515" s="10" t="str">
        <f ca="1">IFERROR(__xludf.DUMMYFUNCTION("""COMPUTED_VALUE"""),"Красимир Тодоров Георгиев")</f>
        <v>Красимир Тодоров Георгиев</v>
      </c>
      <c r="B4515" s="10" t="str">
        <f ca="1">IFERROR(__xludf.DUMMYFUNCTION("""COMPUTED_VALUE"""),"Статия в списания и поредици")</f>
        <v>Статия в списания и поредици</v>
      </c>
      <c r="C4515" s="10" t="str">
        <f ca="1">IFERROR(__xludf.DUMMYFUNCTION("""COMPUTED_VALUE"""),"Stability Properties of Explicit Runge-Kutta Methods Combined with Richardson Extrapolation")</f>
        <v>Stability Properties of Explicit Runge-Kutta Methods Combined with Richardson Extrapolation</v>
      </c>
      <c r="D4515" s="10">
        <f ca="1">IFERROR(__xludf.DUMMYFUNCTION("""COMPUTED_VALUE"""),2014)</f>
        <v>2014</v>
      </c>
      <c r="E4515" s="10" t="str">
        <f ca="1">IFERROR(__xludf.DUMMYFUNCTION("""COMPUTED_VALUE"""),"Zlatev, Z; Georgiev, K; Dimov, I, Stability Properties of Explicit Runge-Kutta Methods Combined with Richardson Extrapolation, Lecture Notes in Computer Science, Vol: 8353 Pages: 428-435, DOI: 10.1007/978-3-662-43880-0_49, 2014")</f>
        <v>Zlatev, Z; Georgiev, K; Dimov, I, Stability Properties of Explicit Runge-Kutta Methods Combined with Richardson Extrapolation, Lecture Notes in Computer Science, Vol: 8353 Pages: 428-435, DOI: 10.1007/978-3-662-43880-0_49, 2014</v>
      </c>
      <c r="F4515" s="10" t="str">
        <f ca="1">IFERROR(__xludf.DUMMYFUNCTION("""COMPUTED_VALUE"""),"Scopus/WoS")</f>
        <v>Scopus/WoS</v>
      </c>
      <c r="G4515" s="10" t="str">
        <f ca="1">IFERROR(__xludf.DUMMYFUNCTION("""COMPUTED_VALUE"""),"Zlatev, Z; Georgiev, K; Dimov, I")</f>
        <v>Zlatev, Z; Georgiev, K; Dimov, I</v>
      </c>
      <c r="H4515" s="10"/>
      <c r="I4515" s="10"/>
      <c r="J4515" s="10"/>
      <c r="K4515" s="10"/>
      <c r="L4515" s="10"/>
      <c r="M4515" s="10"/>
      <c r="N4515" s="10"/>
      <c r="O4515" s="10"/>
      <c r="P4515" s="10"/>
      <c r="Q4515" s="10"/>
      <c r="R4515" s="10"/>
      <c r="S4515" s="10"/>
      <c r="T4515" s="10"/>
      <c r="U4515" s="10"/>
      <c r="V4515" s="10"/>
      <c r="W4515" s="10"/>
      <c r="X4515" s="10"/>
      <c r="Y4515" s="10"/>
      <c r="Z4515" s="10"/>
    </row>
    <row r="4516" spans="1:26" ht="12.75">
      <c r="A4516" s="10" t="str">
        <f ca="1">IFERROR(__xludf.DUMMYFUNCTION("""COMPUTED_VALUE"""),"Красимир Тодоров Георгиев")</f>
        <v>Красимир Тодоров Георгиев</v>
      </c>
      <c r="B4516" s="10" t="str">
        <f ca="1">IFERROR(__xludf.DUMMYFUNCTION("""COMPUTED_VALUE"""),"Статия в списания и поредици")</f>
        <v>Статия в списания и поредици</v>
      </c>
      <c r="C4516" s="10" t="str">
        <f ca="1">IFERROR(__xludf.DUMMYFUNCTION("""COMPUTED_VALUE"""),"Efficient algorithms for large scale scientific computations: Introduction")</f>
        <v>Efficient algorithms for large scale scientific computations: Introduction</v>
      </c>
      <c r="D4516" s="10">
        <f ca="1">IFERROR(__xludf.DUMMYFUNCTION("""COMPUTED_VALUE"""),2014)</f>
        <v>2014</v>
      </c>
      <c r="E4516" s="10" t="str">
        <f ca="1">IFERROR(__xludf.DUMMYFUNCTION("""COMPUTED_VALUE"""),"Farago, I; Georgiev, K; Havasi, A; Zlatev, Z, Efficient algorithms for large scale scientific computations: Introduction, COMPUTERS &amp; MATHEMATICS WITH APPLICATIONS, Vol: 67 Issue: 12 Pages: 2085-2087, DOI: 10.1016/j.camwa.2014.05.021, 2014")</f>
        <v>Farago, I; Georgiev, K; Havasi, A; Zlatev, Z, Efficient algorithms for large scale scientific computations: Introduction, COMPUTERS &amp; MATHEMATICS WITH APPLICATIONS, Vol: 67 Issue: 12 Pages: 2085-2087, DOI: 10.1016/j.camwa.2014.05.021, 2014</v>
      </c>
      <c r="F4516" s="10" t="str">
        <f ca="1">IFERROR(__xludf.DUMMYFUNCTION("""COMPUTED_VALUE"""),"Scopus/WoS")</f>
        <v>Scopus/WoS</v>
      </c>
      <c r="G4516" s="10" t="str">
        <f ca="1">IFERROR(__xludf.DUMMYFUNCTION("""COMPUTED_VALUE"""),"Farago, I; Georgiev, K; Havasi, A; Zlatev, Z")</f>
        <v>Farago, I; Georgiev, K; Havasi, A; Zlatev, Z</v>
      </c>
      <c r="H4516" s="10"/>
      <c r="I4516" s="10"/>
      <c r="J4516" s="10"/>
      <c r="K4516" s="10"/>
      <c r="L4516" s="10"/>
      <c r="M4516" s="10"/>
      <c r="N4516" s="10"/>
      <c r="O4516" s="10"/>
      <c r="P4516" s="10"/>
      <c r="Q4516" s="10"/>
      <c r="R4516" s="10"/>
      <c r="S4516" s="10"/>
      <c r="T4516" s="10"/>
      <c r="U4516" s="10"/>
      <c r="V4516" s="10"/>
      <c r="W4516" s="10"/>
      <c r="X4516" s="10"/>
      <c r="Y4516" s="10"/>
      <c r="Z4516" s="10"/>
    </row>
    <row r="4517" spans="1:26" ht="12.75">
      <c r="A4517" s="10" t="str">
        <f ca="1">IFERROR(__xludf.DUMMYFUNCTION("""COMPUTED_VALUE"""),"Красимир Тодоров Георгиев")</f>
        <v>Красимир Тодоров Георгиев</v>
      </c>
      <c r="B4517" s="10" t="str">
        <f ca="1">IFERROR(__xludf.DUMMYFUNCTION("""COMPUTED_VALUE"""),"Статия в списания и поредици")</f>
        <v>Статия в списания и поредици</v>
      </c>
      <c r="C4517" s="10" t="str">
        <f ca="1">IFERROR(__xludf.DUMMYFUNCTION("""COMPUTED_VALUE"""),"Application of Richardson extrapolation for multi-dimensional advection equations")</f>
        <v>Application of Richardson extrapolation for multi-dimensional advection equations</v>
      </c>
      <c r="D4517" s="10">
        <f ca="1">IFERROR(__xludf.DUMMYFUNCTION("""COMPUTED_VALUE"""),2014)</f>
        <v>2014</v>
      </c>
      <c r="E4517" s="10" t="str">
        <f ca="1">IFERROR(__xludf.DUMMYFUNCTION("""COMPUTED_VALUE"""),"Zlatev, Z; Dimov, I; Farago, I; Georgiev, K; Havasi, A; Ostromsky, T, Application of Richardson extrapolation for multi-dimensional advection equations, COMPUTERS &amp; MATHEMATICS WITH APPLICATIONS, Vol: 67 Issue: 12 Pages: 2279-2293, DOI: 10.1016/j.camwa.20"&amp;"14.02.028, 2014")</f>
        <v>Zlatev, Z; Dimov, I; Farago, I; Georgiev, K; Havasi, A; Ostromsky, T, Application of Richardson extrapolation for multi-dimensional advection equations, COMPUTERS &amp; MATHEMATICS WITH APPLICATIONS, Vol: 67 Issue: 12 Pages: 2279-2293, DOI: 10.1016/j.camwa.2014.02.028, 2014</v>
      </c>
      <c r="F4517" s="10" t="str">
        <f ca="1">IFERROR(__xludf.DUMMYFUNCTION("""COMPUTED_VALUE"""),"Scopus/WoS")</f>
        <v>Scopus/WoS</v>
      </c>
      <c r="G4517" s="10" t="str">
        <f ca="1">IFERROR(__xludf.DUMMYFUNCTION("""COMPUTED_VALUE"""),"Zlatev, Z; Dimov, I; Farago, I; Georgiev, K; Havasi, A; Ostromsky, T")</f>
        <v>Zlatev, Z; Dimov, I; Farago, I; Georgiev, K; Havasi, A; Ostromsky, T</v>
      </c>
      <c r="H4517" s="10"/>
      <c r="I4517" s="10"/>
      <c r="J4517" s="10"/>
      <c r="K4517" s="10"/>
      <c r="L4517" s="10"/>
      <c r="M4517" s="10"/>
      <c r="N4517" s="10"/>
      <c r="O4517" s="10"/>
      <c r="P4517" s="10"/>
      <c r="Q4517" s="10"/>
      <c r="R4517" s="10"/>
      <c r="S4517" s="10"/>
      <c r="T4517" s="10"/>
      <c r="U4517" s="10"/>
      <c r="V4517" s="10"/>
      <c r="W4517" s="10"/>
      <c r="X4517" s="10"/>
      <c r="Y4517" s="10"/>
      <c r="Z4517" s="10"/>
    </row>
    <row r="4518" spans="1:26" ht="12.75">
      <c r="A4518" s="10" t="str">
        <f ca="1">IFERROR(__xludf.DUMMYFUNCTION("""COMPUTED_VALUE"""),"Красимир Тодоров Георгиев")</f>
        <v>Красимир Тодоров Георгиев</v>
      </c>
      <c r="B4518" s="10" t="str">
        <f ca="1">IFERROR(__xludf.DUMMYFUNCTION("""COMPUTED_VALUE"""),"Статия в списания и поредици")</f>
        <v>Статия в списания и поредици</v>
      </c>
      <c r="C4518" s="10" t="str">
        <f ca="1">IFERROR(__xludf.DUMMYFUNCTION("""COMPUTED_VALUE"""),"Studying absolute stability properties of the Richardson Extrapolation combined with explicit Runge-Kutta methods")</f>
        <v>Studying absolute stability properties of the Richardson Extrapolation combined with explicit Runge-Kutta methods</v>
      </c>
      <c r="D4518" s="10">
        <f ca="1">IFERROR(__xludf.DUMMYFUNCTION("""COMPUTED_VALUE"""),2014)</f>
        <v>2014</v>
      </c>
      <c r="E4518" s="10" t="str">
        <f ca="1">IFERROR(__xludf.DUMMYFUNCTION("""COMPUTED_VALUE"""),"Zlatev, Z; Georgiev, K; Dimov, I, Studying absolute stability properties of the Richardson Extrapolation combined with explicit Runge-Kutta methods, COMPUTERS &amp; MATHEMATICS WITH APPLICATIONS, Vol: 67, Issue: 12 Pages: 2294-2307, DOI: 10.1016/j.camwa.2014."&amp;"02.025, 2014")</f>
        <v>Zlatev, Z; Georgiev, K; Dimov, I, Studying absolute stability properties of the Richardson Extrapolation combined with explicit Runge-Kutta methods, COMPUTERS &amp; MATHEMATICS WITH APPLICATIONS, Vol: 67, Issue: 12 Pages: 2294-2307, DOI: 10.1016/j.camwa.2014.02.025, 2014</v>
      </c>
      <c r="F4518" s="10" t="str">
        <f ca="1">IFERROR(__xludf.DUMMYFUNCTION("""COMPUTED_VALUE"""),"Scopus/WoS")</f>
        <v>Scopus/WoS</v>
      </c>
      <c r="G4518" s="10" t="str">
        <f ca="1">IFERROR(__xludf.DUMMYFUNCTION("""COMPUTED_VALUE"""),"Zlatev, Z; Georgiev, K; Dimov, I")</f>
        <v>Zlatev, Z; Georgiev, K; Dimov, I</v>
      </c>
      <c r="H4518" s="10"/>
      <c r="I4518" s="10"/>
      <c r="J4518" s="10"/>
      <c r="K4518" s="10"/>
      <c r="L4518" s="10"/>
      <c r="M4518" s="10"/>
      <c r="N4518" s="10"/>
      <c r="O4518" s="10"/>
      <c r="P4518" s="10"/>
      <c r="Q4518" s="10"/>
      <c r="R4518" s="10"/>
      <c r="S4518" s="10"/>
      <c r="T4518" s="10"/>
      <c r="U4518" s="10"/>
      <c r="V4518" s="10"/>
      <c r="W4518" s="10"/>
      <c r="X4518" s="10"/>
      <c r="Y4518" s="10"/>
      <c r="Z4518" s="10"/>
    </row>
    <row r="4519" spans="1:26" ht="12.75">
      <c r="A4519" s="10" t="str">
        <f ca="1">IFERROR(__xludf.DUMMYFUNCTION("""COMPUTED_VALUE"""),"Красимир Тодоров Георгиев")</f>
        <v>Красимир Тодоров Георгиев</v>
      </c>
      <c r="B4519" s="10" t="str">
        <f ca="1">IFERROR(__xludf.DUMMYFUNCTION("""COMPUTED_VALUE"""),"Статия в списания и поредици")</f>
        <v>Статия в списания и поредици</v>
      </c>
      <c r="C4519" s="10" t="str">
        <f ca="1">IFERROR(__xludf.DUMMYFUNCTION("""COMPUTED_VALUE"""),"On the Adaptive Time-Stepping in Radio-Frequency Liver Ablation Simulation: Some Preliminary Results")</f>
        <v>On the Adaptive Time-Stepping in Radio-Frequency Liver Ablation Simulation: Some Preliminary Results</v>
      </c>
      <c r="D4519" s="10">
        <f ca="1">IFERROR(__xludf.DUMMYFUNCTION("""COMPUTED_VALUE"""),2014)</f>
        <v>2014</v>
      </c>
      <c r="E4519" s="10" t="str">
        <f ca="1">IFERROR(__xludf.DUMMYFUNCTION("""COMPUTED_VALUE"""),"Georgiev, K; Kosturski, N; Vutov, Y, On the Adaptive Time-Stepping in Radio-Frequency Liver Ablation Simulation: Some Preliminary Results, Lecture Notes in Computer Science, Vol: 8353, Pages: 397-404, DOI: 10.1007/978-3-662-43880-0_45, 2014")</f>
        <v>Georgiev, K; Kosturski, N; Vutov, Y, On the Adaptive Time-Stepping in Radio-Frequency Liver Ablation Simulation: Some Preliminary Results, Lecture Notes in Computer Science, Vol: 8353, Pages: 397-404, DOI: 10.1007/978-3-662-43880-0_45, 2014</v>
      </c>
      <c r="F4519" s="10" t="str">
        <f ca="1">IFERROR(__xludf.DUMMYFUNCTION("""COMPUTED_VALUE"""),"Scopus/WoS")</f>
        <v>Scopus/WoS</v>
      </c>
      <c r="G4519" s="10" t="str">
        <f ca="1">IFERROR(__xludf.DUMMYFUNCTION("""COMPUTED_VALUE"""),"Georgiev, K; Kosturski, N; Vutov, Y")</f>
        <v>Georgiev, K; Kosturski, N; Vutov, Y</v>
      </c>
      <c r="H4519" s="10"/>
      <c r="I4519" s="10"/>
      <c r="J4519" s="10"/>
      <c r="K4519" s="10"/>
      <c r="L4519" s="10"/>
      <c r="M4519" s="10"/>
      <c r="N4519" s="10"/>
      <c r="O4519" s="10"/>
      <c r="P4519" s="10"/>
      <c r="Q4519" s="10"/>
      <c r="R4519" s="10"/>
      <c r="S4519" s="10"/>
      <c r="T4519" s="10"/>
      <c r="U4519" s="10"/>
      <c r="V4519" s="10"/>
      <c r="W4519" s="10"/>
      <c r="X4519" s="10"/>
      <c r="Y4519" s="10"/>
      <c r="Z4519" s="10"/>
    </row>
    <row r="4520" spans="1:26" ht="12.75">
      <c r="A4520" s="10" t="str">
        <f ca="1">IFERROR(__xludf.DUMMYFUNCTION("""COMPUTED_VALUE"""),"Красимир Тодоров Георгиев")</f>
        <v>Красимир Тодоров Георгиев</v>
      </c>
      <c r="B4520" s="10" t="str">
        <f ca="1">IFERROR(__xludf.DUMMYFUNCTION("""COMPUTED_VALUE"""),"Статия в списания и поредици")</f>
        <v>Статия в списания и поредици</v>
      </c>
      <c r="C4520" s="10" t="str">
        <f ca="1">IFERROR(__xludf.DUMMYFUNCTION("""COMPUTED_VALUE"""),"Applying approximate LU-factorizations as preconditioners in eight iterative methods for solving systems of linear algebraic equations")</f>
        <v>Applying approximate LU-factorizations as preconditioners in eight iterative methods for solving systems of linear algebraic equations</v>
      </c>
      <c r="D4520" s="10">
        <f ca="1">IFERROR(__xludf.DUMMYFUNCTION("""COMPUTED_VALUE"""),2013)</f>
        <v>2013</v>
      </c>
      <c r="E4520" s="10" t="str">
        <f ca="1">IFERROR(__xludf.DUMMYFUNCTION("""COMPUTED_VALUE"""),"Zlatev, Z; Georgiev, K, Applying approximate LU-factorizations as preconditioners in eight iterative methods for solving systems of linear algebraic equations, CENTRAL EUROPEAN JOURNAL OF MATHEMATICS, Vol: 11 Issue: 8 Pages: 1510-1530, DOI: 10.2478/s11533"&amp;"-013-0248-2")</f>
        <v>Zlatev, Z; Georgiev, K, Applying approximate LU-factorizations as preconditioners in eight iterative methods for solving systems of linear algebraic equations, CENTRAL EUROPEAN JOURNAL OF MATHEMATICS, Vol: 11 Issue: 8 Pages: 1510-1530, DOI: 10.2478/s11533-013-0248-2</v>
      </c>
      <c r="F4520" s="10" t="str">
        <f ca="1">IFERROR(__xludf.DUMMYFUNCTION("""COMPUTED_VALUE"""),"Scopus/WoS")</f>
        <v>Scopus/WoS</v>
      </c>
      <c r="G4520" s="10" t="str">
        <f ca="1">IFERROR(__xludf.DUMMYFUNCTION("""COMPUTED_VALUE"""),"Zlatev, Z; Georgiev, K")</f>
        <v>Zlatev, Z; Georgiev, K</v>
      </c>
      <c r="H4520" s="10"/>
      <c r="I4520" s="10"/>
      <c r="J4520" s="10"/>
      <c r="K4520" s="10"/>
      <c r="L4520" s="10"/>
      <c r="M4520" s="10"/>
      <c r="N4520" s="10"/>
      <c r="O4520" s="10"/>
      <c r="P4520" s="10"/>
      <c r="Q4520" s="10"/>
      <c r="R4520" s="10"/>
      <c r="S4520" s="10"/>
      <c r="T4520" s="10"/>
      <c r="U4520" s="10"/>
      <c r="V4520" s="10"/>
      <c r="W4520" s="10"/>
      <c r="X4520" s="10"/>
      <c r="Y4520" s="10"/>
      <c r="Z4520" s="10"/>
    </row>
    <row r="4521" spans="1:26" ht="12.75">
      <c r="A4521" s="10" t="str">
        <f ca="1">IFERROR(__xludf.DUMMYFUNCTION("""COMPUTED_VALUE"""),"Красимир Тодоров Георгиев")</f>
        <v>Красимир Тодоров Георгиев</v>
      </c>
      <c r="B4521" s="10" t="str">
        <f ca="1">IFERROR(__xludf.DUMMYFUNCTION("""COMPUTED_VALUE"""),"Глава от колективна монография")</f>
        <v>Глава от колективна монография</v>
      </c>
      <c r="C4521" s="10" t="str">
        <f ca="1">IFERROR(__xludf.DUMMYFUNCTION("""COMPUTED_VALUE"""),"Part C: Sensitivity of European Pollution Levels to Changes of Human-Made Emissions, in: “Advanced Numerical Methods for Complex Environmental Models: Needs and Availability”")</f>
        <v>Part C: Sensitivity of European Pollution Levels to Changes of Human-Made Emissions, in: “Advanced Numerical Methods for Complex Environmental Models: Needs and Availability”</v>
      </c>
      <c r="D4521" s="10">
        <f ca="1">IFERROR(__xludf.DUMMYFUNCTION("""COMPUTED_VALUE"""),2013)</f>
        <v>2013</v>
      </c>
      <c r="E4521" s="10" t="str">
        <f ca="1">IFERROR(__xludf.DUMMYFUNCTION("""COMPUTED_VALUE"""),"Zahari Zlatev, Krassimir Georgiev, Ivan Dimov, Part C: Sensitivity of European Pollution Levels to Changes of Human-Made Emissions, in: “Advanced Numerical Methods for Complex Environmental Models: Needs and Availability”, István Faragó, Ágnes Havasi and "&amp;"Zahari Zlatev (Eds.), 2013, Bentham Science Publishers, 307-333, DOI: 10.2174/97816080577881130101; eISBN: 978-1-60805-778-8, 2013; ISBN: 978-1-60805-777-1")</f>
        <v>Zahari Zlatev, Krassimir Georgiev, Ivan Dimov, Part C: Sensitivity of European Pollution Levels to Changes of Human-Made Emissions, in: “Advanced Numerical Methods for Complex Environmental Models: Needs and Availability”, István Faragó, Ágnes Havasi and Zahari Zlatev (Eds.), 2013, Bentham Science Publishers, 307-333, DOI: 10.2174/97816080577881130101; eISBN: 978-1-60805-778-8, 2013; ISBN: 978-1-60805-777-1</v>
      </c>
      <c r="F4521" s="10" t="str">
        <f ca="1">IFERROR(__xludf.DUMMYFUNCTION("""COMPUTED_VALUE"""),"Scopus")</f>
        <v>Scopus</v>
      </c>
      <c r="G4521" s="10" t="str">
        <f ca="1">IFERROR(__xludf.DUMMYFUNCTION("""COMPUTED_VALUE"""),"Zahari Zlatev, Krassimir Georgiev, Ivan Dimov")</f>
        <v>Zahari Zlatev, Krassimir Georgiev, Ivan Dimov</v>
      </c>
      <c r="H4521" s="10"/>
      <c r="I4521" s="10"/>
      <c r="J4521" s="10"/>
      <c r="K4521" s="10"/>
      <c r="L4521" s="10"/>
      <c r="M4521" s="10"/>
      <c r="N4521" s="10"/>
      <c r="O4521" s="10"/>
      <c r="P4521" s="10"/>
      <c r="Q4521" s="10"/>
      <c r="R4521" s="10"/>
      <c r="S4521" s="10"/>
      <c r="T4521" s="10"/>
      <c r="U4521" s="10"/>
      <c r="V4521" s="10"/>
      <c r="W4521" s="10"/>
      <c r="X4521" s="10"/>
      <c r="Y4521" s="10"/>
      <c r="Z4521" s="10"/>
    </row>
    <row r="4522" spans="1:26" ht="12.75">
      <c r="A4522" s="10" t="str">
        <f ca="1">IFERROR(__xludf.DUMMYFUNCTION("""COMPUTED_VALUE"""),"Красимир Тодоров Георгиев")</f>
        <v>Красимир Тодоров Георгиев</v>
      </c>
      <c r="B4522" s="10" t="str">
        <f ca="1">IFERROR(__xludf.DUMMYFUNCTION("""COMPUTED_VALUE"""),"Статия в списания и поредици")</f>
        <v>Статия в списания и поредици</v>
      </c>
      <c r="C4522" s="10" t="str">
        <f ca="1">IFERROR(__xludf.DUMMYFUNCTION("""COMPUTED_VALUE"""),"Efficient numerical methods for scientific applications: Introduction")</f>
        <v>Efficient numerical methods for scientific applications: Introduction</v>
      </c>
      <c r="D4522" s="10">
        <f ca="1">IFERROR(__xludf.DUMMYFUNCTION("""COMPUTED_VALUE"""),2013)</f>
        <v>2013</v>
      </c>
      <c r="E4522" s="10" t="str">
        <f ca="1">IFERROR(__xludf.DUMMYFUNCTION("""COMPUTED_VALUE"""),"Farago, I; Georgiev, K; Havasi, A; Zlatev, Z, Efficient numerical methods for scientific applications: Introduction, COMPUTERS &amp; MATHEMATICS WITH APPLICATIONS, Vol: 65 Issue: 3 Pages: 297-300, DOI: 10.1016/j.camwa.2013.01.001, 2013")</f>
        <v>Farago, I; Georgiev, K; Havasi, A; Zlatev, Z, Efficient numerical methods for scientific applications: Introduction, COMPUTERS &amp; MATHEMATICS WITH APPLICATIONS, Vol: 65 Issue: 3 Pages: 297-300, DOI: 10.1016/j.camwa.2013.01.001, 2013</v>
      </c>
      <c r="F4522" s="10" t="str">
        <f ca="1">IFERROR(__xludf.DUMMYFUNCTION("""COMPUTED_VALUE"""),"Scopus/WoS")</f>
        <v>Scopus/WoS</v>
      </c>
      <c r="G4522" s="10" t="str">
        <f ca="1">IFERROR(__xludf.DUMMYFUNCTION("""COMPUTED_VALUE"""),"Farago, I; Georgiev, K; Havasi, A; Zlatev, Z")</f>
        <v>Farago, I; Georgiev, K; Havasi, A; Zlatev, Z</v>
      </c>
      <c r="H4522" s="10"/>
      <c r="I4522" s="10"/>
      <c r="J4522" s="10"/>
      <c r="K4522" s="10"/>
      <c r="L4522" s="10"/>
      <c r="M4522" s="10"/>
      <c r="N4522" s="10"/>
      <c r="O4522" s="10"/>
      <c r="P4522" s="10"/>
      <c r="Q4522" s="10"/>
      <c r="R4522" s="10"/>
      <c r="S4522" s="10"/>
      <c r="T4522" s="10"/>
      <c r="U4522" s="10"/>
      <c r="V4522" s="10"/>
      <c r="W4522" s="10"/>
      <c r="X4522" s="10"/>
      <c r="Y4522" s="10"/>
      <c r="Z4522" s="10"/>
    </row>
    <row r="4523" spans="1:26" ht="12.75">
      <c r="A4523" s="10" t="str">
        <f ca="1">IFERROR(__xludf.DUMMYFUNCTION("""COMPUTED_VALUE"""),"Красимир Тодоров Георгиев")</f>
        <v>Красимир Тодоров Георгиев</v>
      </c>
      <c r="B4523" s="10" t="str">
        <f ca="1">IFERROR(__xludf.DUMMYFUNCTION("""COMPUTED_VALUE"""),"Статия в списания и поредици")</f>
        <v>Статия в списания и поредици</v>
      </c>
      <c r="C4523" s="10" t="str">
        <f ca="1">IFERROR(__xludf.DUMMYFUNCTION("""COMPUTED_VALUE"""),"Influence of climatic changes on pollution levels in the Balkan Peninsula")</f>
        <v>Influence of climatic changes on pollution levels in the Balkan Peninsula</v>
      </c>
      <c r="D4523" s="10">
        <f ca="1">IFERROR(__xludf.DUMMYFUNCTION("""COMPUTED_VALUE"""),2013)</f>
        <v>2013</v>
      </c>
      <c r="E4523" s="10" t="str">
        <f ca="1">IFERROR(__xludf.DUMMYFUNCTION("""COMPUTED_VALUE"""),"Zlatev, Z; Georgiev, K; Dimov, I, Influence of climatic changes on pollution levels in the Balkan Peninsula, COMPUTERS &amp; MATHEMATICS WITH APPLICATIONS, Volume: 65 Issue: 3 Pages: 544-562, DOI: 10.1016/j.camwa.2012.07.006, 2013")</f>
        <v>Zlatev, Z; Georgiev, K; Dimov, I, Influence of climatic changes on pollution levels in the Balkan Peninsula, COMPUTERS &amp; MATHEMATICS WITH APPLICATIONS, Volume: 65 Issue: 3 Pages: 544-562, DOI: 10.1016/j.camwa.2012.07.006, 2013</v>
      </c>
      <c r="F4523" s="10" t="str">
        <f ca="1">IFERROR(__xludf.DUMMYFUNCTION("""COMPUTED_VALUE"""),"Scopus/WoS")</f>
        <v>Scopus/WoS</v>
      </c>
      <c r="G4523" s="10" t="str">
        <f ca="1">IFERROR(__xludf.DUMMYFUNCTION("""COMPUTED_VALUE"""),"Zlatev, Z; Georgiev, K; Dimov, I")</f>
        <v>Zlatev, Z; Georgiev, K; Dimov, I</v>
      </c>
      <c r="H4523" s="10"/>
      <c r="I4523" s="10"/>
      <c r="J4523" s="10"/>
      <c r="K4523" s="10"/>
      <c r="L4523" s="10"/>
      <c r="M4523" s="10"/>
      <c r="N4523" s="10"/>
      <c r="O4523" s="10"/>
      <c r="P4523" s="10"/>
      <c r="Q4523" s="10"/>
      <c r="R4523" s="10"/>
      <c r="S4523" s="10"/>
      <c r="T4523" s="10"/>
      <c r="U4523" s="10"/>
      <c r="V4523" s="10"/>
      <c r="W4523" s="10"/>
      <c r="X4523" s="10"/>
      <c r="Y4523" s="10"/>
      <c r="Z4523" s="10"/>
    </row>
    <row r="4524" spans="1:26" ht="12.75">
      <c r="A4524" s="10" t="str">
        <f ca="1">IFERROR(__xludf.DUMMYFUNCTION("""COMPUTED_VALUE"""),"Красимир Тодоров Георгиев")</f>
        <v>Красимир Тодоров Георгиев</v>
      </c>
      <c r="B4524" s="10" t="str">
        <f ca="1">IFERROR(__xludf.DUMMYFUNCTION("""COMPUTED_VALUE"""),"Глава от колективна монография")</f>
        <v>Глава от колективна монография</v>
      </c>
      <c r="C4524" s="10" t="str">
        <f ca="1">IFERROR(__xludf.DUMMYFUNCTION("""COMPUTED_VALUE"""),"Parallel Computations in a Large-Scale Air Pollution Model, in: “Advanced Numerical Methods for Complex Environmental Models: Needs and Availability”")</f>
        <v>Parallel Computations in a Large-Scale Air Pollution Model, in: “Advanced Numerical Methods for Complex Environmental Models: Needs and Availability”</v>
      </c>
      <c r="D4524" s="10">
        <f ca="1">IFERROR(__xludf.DUMMYFUNCTION("""COMPUTED_VALUE"""),2013)</f>
        <v>2013</v>
      </c>
      <c r="E4524" s="10" t="str">
        <f ca="1">IFERROR(__xludf.DUMMYFUNCTION("""COMPUTED_VALUE"""),"Zahari Zlatev, Krassimir Georgiev, Ivan Dimov, Parallel Computations in a Large-Scale Air Pollution Model, in: “Advanced Numerical Methods for Complex Environmental Models: Needs and Availability”, István Faragó, Ágnes Havasi and Zahari Zlatev (Eds.), 201"&amp;"3, Bentham Science Publishers, 169-207, DOI: 10.2174/97816080577881130101; eISBN: 978-1-60805-778-8, 2013; ISBN: 978-1-60805-777-1")</f>
        <v>Zahari Zlatev, Krassimir Georgiev, Ivan Dimov, Parallel Computations in a Large-Scale Air Pollution Model, in: “Advanced Numerical Methods for Complex Environmental Models: Needs and Availability”, István Faragó, Ágnes Havasi and Zahari Zlatev (Eds.), 2013, Bentham Science Publishers, 169-207, DOI: 10.2174/97816080577881130101; eISBN: 978-1-60805-778-8, 2013; ISBN: 978-1-60805-777-1</v>
      </c>
      <c r="F4524" s="10" t="str">
        <f ca="1">IFERROR(__xludf.DUMMYFUNCTION("""COMPUTED_VALUE"""),"Scipus")</f>
        <v>Scipus</v>
      </c>
      <c r="G4524" s="10" t="str">
        <f ca="1">IFERROR(__xludf.DUMMYFUNCTION("""COMPUTED_VALUE"""),"Zahari Zlatev, Krassimir Georgiev, Ivan Dimov")</f>
        <v>Zahari Zlatev, Krassimir Georgiev, Ivan Dimov</v>
      </c>
      <c r="H4524" s="10"/>
      <c r="I4524" s="10"/>
      <c r="J4524" s="10"/>
      <c r="K4524" s="10"/>
      <c r="L4524" s="10"/>
      <c r="M4524" s="10"/>
      <c r="N4524" s="10"/>
      <c r="O4524" s="10"/>
      <c r="P4524" s="10"/>
      <c r="Q4524" s="10"/>
      <c r="R4524" s="10"/>
      <c r="S4524" s="10"/>
      <c r="T4524" s="10"/>
      <c r="U4524" s="10"/>
      <c r="V4524" s="10"/>
      <c r="W4524" s="10"/>
      <c r="X4524" s="10"/>
      <c r="Y4524" s="10"/>
      <c r="Z4524" s="10"/>
    </row>
    <row r="4525" spans="1:26" ht="12.75">
      <c r="A4525" s="10" t="str">
        <f ca="1">IFERROR(__xludf.DUMMYFUNCTION("""COMPUTED_VALUE"""),"Красимир Тодоров Георгиев")</f>
        <v>Красимир Тодоров Георгиев</v>
      </c>
      <c r="B4525" s="10" t="str">
        <f ca="1">IFERROR(__xludf.DUMMYFUNCTION("""COMPUTED_VALUE"""),"Статия в списания и поредици")</f>
        <v>Статия в списания и поредици</v>
      </c>
      <c r="C4525" s="10" t="str">
        <f ca="1">IFERROR(__xludf.DUMMYFUNCTION("""COMPUTED_VALUE"""),"An Efficient Highly Parallel Implementation of a Large Air Pollution Model on an IBM Blue Gene Supercompute")</f>
        <v>An Efficient Highly Parallel Implementation of a Large Air Pollution Model on an IBM Blue Gene Supercompute</v>
      </c>
      <c r="D4525" s="10">
        <f ca="1">IFERROR(__xludf.DUMMYFUNCTION("""COMPUTED_VALUE"""),2012)</f>
        <v>2012</v>
      </c>
      <c r="E4525" s="10" t="str">
        <f ca="1">IFERROR(__xludf.DUMMYFUNCTION("""COMPUTED_VALUE"""),"Ostromsky, Tz; Georgiev, K; Zlatev, Z, An Efficient Highly Parallel Implementation of a Large Air Pollution Model on an IBM Blue Gene Supercomputer, AIP Conference Proceedings, Volume: 1487 Pages: 135-142 DOI: 10.1063/1.4758951, 2012")</f>
        <v>Ostromsky, Tz; Georgiev, K; Zlatev, Z, An Efficient Highly Parallel Implementation of a Large Air Pollution Model on an IBM Blue Gene Supercomputer, AIP Conference Proceedings, Volume: 1487 Pages: 135-142 DOI: 10.1063/1.4758951, 2012</v>
      </c>
      <c r="F4525" s="10" t="str">
        <f ca="1">IFERROR(__xludf.DUMMYFUNCTION("""COMPUTED_VALUE"""),"Scopus/WoS")</f>
        <v>Scopus/WoS</v>
      </c>
      <c r="G4525" s="10" t="str">
        <f ca="1">IFERROR(__xludf.DUMMYFUNCTION("""COMPUTED_VALUE"""),"Ostromsky, Tz; Georgiev, K; Zlatev, Z")</f>
        <v>Ostromsky, Tz; Georgiev, K; Zlatev, Z</v>
      </c>
      <c r="H4525" s="10"/>
      <c r="I4525" s="10"/>
      <c r="J4525" s="10"/>
      <c r="K4525" s="10"/>
      <c r="L4525" s="10"/>
      <c r="M4525" s="10"/>
      <c r="N4525" s="10"/>
      <c r="O4525" s="10"/>
      <c r="P4525" s="10"/>
      <c r="Q4525" s="10"/>
      <c r="R4525" s="10"/>
      <c r="S4525" s="10"/>
      <c r="T4525" s="10"/>
      <c r="U4525" s="10"/>
      <c r="V4525" s="10"/>
      <c r="W4525" s="10"/>
      <c r="X4525" s="10"/>
      <c r="Y4525" s="10"/>
      <c r="Z4525" s="10"/>
    </row>
    <row r="4526" spans="1:26" ht="12.75">
      <c r="A4526" s="10" t="str">
        <f ca="1">IFERROR(__xludf.DUMMYFUNCTION("""COMPUTED_VALUE"""),"Красимир Тодоров Георгиев")</f>
        <v>Красимир Тодоров Георгиев</v>
      </c>
      <c r="B4526" s="10" t="str">
        <f ca="1">IFERROR(__xludf.DUMMYFUNCTION("""COMPUTED_VALUE"""),"Статия в списания и поредици")</f>
        <v>Статия в списания и поредици</v>
      </c>
      <c r="C4526" s="10" t="str">
        <f ca="1">IFERROR(__xludf.DUMMYFUNCTION("""COMPUTED_VALUE"""),"Numerical Experiments with Applying Approximate LU-factorizations as Preconditioners for Solving SLAEs with Coefficient Matrices from the ""Sparse Matrix Market""")</f>
        <v>Numerical Experiments with Applying Approximate LU-factorizations as Preconditioners for Solving SLAEs with Coefficient Matrices from the "Sparse Matrix Market"</v>
      </c>
      <c r="D4526" s="10">
        <f ca="1">IFERROR(__xludf.DUMMYFUNCTION("""COMPUTED_VALUE"""),2012)</f>
        <v>2012</v>
      </c>
      <c r="E4526" s="10" t="str">
        <f ca="1">IFERROR(__xludf.DUMMYFUNCTION("""COMPUTED_VALUE"""),"Georgiev, K; Zlatev, Z, Numerical Experiments with Applying Approximate LU-factorizations as Preconditioners for Solving SLAEs with Coefficient Matrices from the ""Sparse Matrix Market"", AIP Conference Proceedings, Vol: 1487, pp 104-111, 2012")</f>
        <v>Georgiev, K; Zlatev, Z, Numerical Experiments with Applying Approximate LU-factorizations as Preconditioners for Solving SLAEs with Coefficient Matrices from the "Sparse Matrix Market", AIP Conference Proceedings, Vol: 1487, pp 104-111, 2012</v>
      </c>
      <c r="F4526" s="10" t="str">
        <f ca="1">IFERROR(__xludf.DUMMYFUNCTION("""COMPUTED_VALUE"""),"Scopus/WoS")</f>
        <v>Scopus/WoS</v>
      </c>
      <c r="G4526" s="10" t="str">
        <f ca="1">IFERROR(__xludf.DUMMYFUNCTION("""COMPUTED_VALUE"""),"Georgiev, K; Zlatev, Z")</f>
        <v>Georgiev, K; Zlatev, Z</v>
      </c>
      <c r="H4526" s="10"/>
      <c r="I4526" s="10"/>
      <c r="J4526" s="10"/>
      <c r="K4526" s="10"/>
      <c r="L4526" s="10"/>
      <c r="M4526" s="10"/>
      <c r="N4526" s="10"/>
      <c r="O4526" s="10"/>
      <c r="P4526" s="10"/>
      <c r="Q4526" s="10"/>
      <c r="R4526" s="10"/>
      <c r="S4526" s="10"/>
      <c r="T4526" s="10"/>
      <c r="U4526" s="10"/>
      <c r="V4526" s="10"/>
      <c r="W4526" s="10"/>
      <c r="X4526" s="10"/>
      <c r="Y4526" s="10"/>
      <c r="Z4526" s="10"/>
    </row>
    <row r="4527" spans="1:26" ht="12.75">
      <c r="A4527" s="10" t="str">
        <f ca="1">IFERROR(__xludf.DUMMYFUNCTION("""COMPUTED_VALUE"""),"Красимир Тодоров Георгиев")</f>
        <v>Красимир Тодоров Георгиев</v>
      </c>
      <c r="B4527" s="10" t="str">
        <f ca="1">IFERROR(__xludf.DUMMYFUNCTION("""COMPUTED_VALUE"""),"Статия в списания и поредици")</f>
        <v>Статия в списания и поредици</v>
      </c>
      <c r="C4527" s="10" t="str">
        <f ca="1">IFERROR(__xludf.DUMMYFUNCTION("""COMPUTED_VALUE"""),"New Parallel Implementation of an Air Pollution Computer Model – Performance Study on an IBM Blue Gene/P Computer")</f>
        <v>New Parallel Implementation of an Air Pollution Computer Model – Performance Study on an IBM Blue Gene/P Computer</v>
      </c>
      <c r="D4527" s="10">
        <f ca="1">IFERROR(__xludf.DUMMYFUNCTION("""COMPUTED_VALUE"""),2012)</f>
        <v>2012</v>
      </c>
      <c r="E4527" s="10" t="str">
        <f ca="1">IFERROR(__xludf.DUMMYFUNCTION("""COMPUTED_VALUE"""),"Lecture Notes on Computer Science (LNCS), 7116")</f>
        <v>Lecture Notes on Computer Science (LNCS), 7116</v>
      </c>
      <c r="F4527" s="10"/>
      <c r="G4527" s="10" t="str">
        <f ca="1">IFERROR(__xludf.DUMMYFUNCTION("""COMPUTED_VALUE"""),"Да")</f>
        <v>Да</v>
      </c>
      <c r="H4527" s="10"/>
      <c r="I4527" s="10"/>
      <c r="J4527" s="10"/>
      <c r="K4527" s="10"/>
      <c r="L4527" s="10"/>
      <c r="M4527" s="10"/>
      <c r="N4527" s="10"/>
      <c r="O4527" s="10"/>
      <c r="P4527" s="10"/>
      <c r="Q4527" s="10"/>
      <c r="R4527" s="10"/>
      <c r="S4527" s="10"/>
      <c r="T4527" s="10"/>
      <c r="U4527" s="10"/>
      <c r="V4527" s="10"/>
      <c r="W4527" s="10"/>
      <c r="X4527" s="10"/>
      <c r="Y4527" s="10"/>
      <c r="Z4527" s="10"/>
    </row>
    <row r="4528" spans="1:26" ht="12.75">
      <c r="A4528" s="10" t="str">
        <f ca="1">IFERROR(__xludf.DUMMYFUNCTION("""COMPUTED_VALUE"""),"Красимир Тодоров Георгиев")</f>
        <v>Красимир Тодоров Георгиев</v>
      </c>
      <c r="B4528" s="10" t="str">
        <f ca="1">IFERROR(__xludf.DUMMYFUNCTION("""COMPUTED_VALUE"""),"Статия в списания и поредици")</f>
        <v>Статия в списания и поредици</v>
      </c>
      <c r="C4528" s="10" t="str">
        <f ca="1">IFERROR(__xludf.DUMMYFUNCTION("""COMPUTED_VALUE"""),"Computational approach for remediation procedures in horizontal subsurface flow constructed wetlands")</f>
        <v>Computational approach for remediation procedures in horizontal subsurface flow constructed wetlands</v>
      </c>
      <c r="D4528" s="10">
        <f ca="1">IFERROR(__xludf.DUMMYFUNCTION("""COMPUTED_VALUE"""),2012)</f>
        <v>2012</v>
      </c>
      <c r="E4528" s="10" t="str">
        <f ca="1">IFERROR(__xludf.DUMMYFUNCTION("""COMPUTED_VALUE"""),"Lecture Note on Computer Science (LNCS), 7116")</f>
        <v>Lecture Note on Computer Science (LNCS), 7116</v>
      </c>
      <c r="F4528" s="10"/>
      <c r="G4528" s="10" t="str">
        <f ca="1">IFERROR(__xludf.DUMMYFUNCTION("""COMPUTED_VALUE"""),"Да")</f>
        <v>Да</v>
      </c>
      <c r="H4528" s="10"/>
      <c r="I4528" s="10"/>
      <c r="J4528" s="10"/>
      <c r="K4528" s="10"/>
      <c r="L4528" s="10"/>
      <c r="M4528" s="10"/>
      <c r="N4528" s="10"/>
      <c r="O4528" s="10"/>
      <c r="P4528" s="10"/>
      <c r="Q4528" s="10"/>
      <c r="R4528" s="10"/>
      <c r="S4528" s="10"/>
      <c r="T4528" s="10"/>
      <c r="U4528" s="10"/>
      <c r="V4528" s="10"/>
      <c r="W4528" s="10"/>
      <c r="X4528" s="10"/>
      <c r="Y4528" s="10"/>
      <c r="Z4528" s="10"/>
    </row>
    <row r="4529" spans="1:26" ht="12.75">
      <c r="A4529" s="10" t="str">
        <f ca="1">IFERROR(__xludf.DUMMYFUNCTION("""COMPUTED_VALUE"""),"Красимир Тодоров Георгиев")</f>
        <v>Красимир Тодоров Георгиев</v>
      </c>
      <c r="B4529" s="10" t="str">
        <f ca="1">IFERROR(__xludf.DUMMYFUNCTION("""COMPUTED_VALUE"""),"Статия в списания и поредици")</f>
        <v>Статия в списания и поредици</v>
      </c>
      <c r="C4529" s="10" t="str">
        <f ca="1">IFERROR(__xludf.DUMMYFUNCTION("""COMPUTED_VALUE"""),"New Parallel Implementation of an Air Pollution Computer Model – Performance Study on an IBM Blue Gene/P Computer")</f>
        <v>New Parallel Implementation of an Air Pollution Computer Model – Performance Study on an IBM Blue Gene/P Computer</v>
      </c>
      <c r="D4529" s="10">
        <f ca="1">IFERROR(__xludf.DUMMYFUNCTION("""COMPUTED_VALUE"""),2012)</f>
        <v>2012</v>
      </c>
      <c r="E4529" s="10" t="str">
        <f ca="1">IFERROR(__xludf.DUMMYFUNCTION("""COMPUTED_VALUE"""),"Krassimir Georgiev, Tzvetan Ostromsky, and Zahari Zlatev, New Parallel Implementation of an Air Pollution Computer Model – Performance Study on an IBM Blue Gene/P Computer, LNCS 7116, pp. 283–290, 2012, Springer-Verlag Berlin Heidelberg")</f>
        <v>Krassimir Georgiev, Tzvetan Ostromsky, and Zahari Zlatev, New Parallel Implementation of an Air Pollution Computer Model – Performance Study on an IBM Blue Gene/P Computer, LNCS 7116, pp. 283–290, 2012, Springer-Verlag Berlin Heidelberg</v>
      </c>
      <c r="F4529" s="10" t="str">
        <f ca="1">IFERROR(__xludf.DUMMYFUNCTION("""COMPUTED_VALUE"""),"Scopus/WoS")</f>
        <v>Scopus/WoS</v>
      </c>
      <c r="G4529" s="10" t="str">
        <f ca="1">IFERROR(__xludf.DUMMYFUNCTION("""COMPUTED_VALUE"""),"Krassimir Georgiev, Tzvetan Ostromsky, and Zahari Zlatev")</f>
        <v>Krassimir Georgiev, Tzvetan Ostromsky, and Zahari Zlatev</v>
      </c>
      <c r="H4529" s="10"/>
      <c r="I4529" s="10"/>
      <c r="J4529" s="10"/>
      <c r="K4529" s="10"/>
      <c r="L4529" s="10"/>
      <c r="M4529" s="10"/>
      <c r="N4529" s="10"/>
      <c r="O4529" s="10"/>
      <c r="P4529" s="10"/>
      <c r="Q4529" s="10"/>
      <c r="R4529" s="10"/>
      <c r="S4529" s="10"/>
      <c r="T4529" s="10"/>
      <c r="U4529" s="10"/>
      <c r="V4529" s="10"/>
      <c r="W4529" s="10"/>
      <c r="X4529" s="10"/>
      <c r="Y4529" s="10"/>
      <c r="Z4529" s="10"/>
    </row>
    <row r="4530" spans="1:26" ht="12.75">
      <c r="A4530" s="10" t="str">
        <f ca="1">IFERROR(__xludf.DUMMYFUNCTION("""COMPUTED_VALUE"""),"Красимир Тодоров Георгиев")</f>
        <v>Красимир Тодоров Георгиев</v>
      </c>
      <c r="B4530" s="10" t="str">
        <f ca="1">IFERROR(__xludf.DUMMYFUNCTION("""COMPUTED_VALUE"""),"Статия в списания и поредици")</f>
        <v>Статия в списания и поредици</v>
      </c>
      <c r="C4530" s="10" t="str">
        <f ca="1">IFERROR(__xludf.DUMMYFUNCTION("""COMPUTED_VALUE"""),"Richardson Extrapolated Numerical Methods for Treatment of One-Dimensional Advection Equations")</f>
        <v>Richardson Extrapolated Numerical Methods for Treatment of One-Dimensional Advection Equations</v>
      </c>
      <c r="D4530" s="10">
        <f ca="1">IFERROR(__xludf.DUMMYFUNCTION("""COMPUTED_VALUE"""),2011)</f>
        <v>2011</v>
      </c>
      <c r="E4530" s="10" t="str">
        <f ca="1">IFERROR(__xludf.DUMMYFUNCTION("""COMPUTED_VALUE"""),"Zlatev, Z; Dimov, I; Farago, I; Georgiev, K; Havasi, A; Ostromsky, T, Richardson Extrapolated Numerical Methods for Treatment of One-Dimensional Advection Equations, Lecture Notes in Computer Science, Vol: 6046 Pages: 198-+, 2011")</f>
        <v>Zlatev, Z; Dimov, I; Farago, I; Georgiev, K; Havasi, A; Ostromsky, T, Richardson Extrapolated Numerical Methods for Treatment of One-Dimensional Advection Equations, Lecture Notes in Computer Science, Vol: 6046 Pages: 198-+, 2011</v>
      </c>
      <c r="F4530" s="10" t="str">
        <f ca="1">IFERROR(__xludf.DUMMYFUNCTION("""COMPUTED_VALUE"""),"Scopus/WoS")</f>
        <v>Scopus/WoS</v>
      </c>
      <c r="G4530" s="10" t="str">
        <f ca="1">IFERROR(__xludf.DUMMYFUNCTION("""COMPUTED_VALUE"""),"Zlatev, Z; Dimov, I; Farago, I; Georgiev, K; Havasi, A; Ostromsky, T")</f>
        <v>Zlatev, Z; Dimov, I; Farago, I; Georgiev, K; Havasi, A; Ostromsky, T</v>
      </c>
      <c r="H4530" s="10"/>
      <c r="I4530" s="10"/>
      <c r="J4530" s="10"/>
      <c r="K4530" s="10"/>
      <c r="L4530" s="10"/>
      <c r="M4530" s="10"/>
      <c r="N4530" s="10"/>
      <c r="O4530" s="10"/>
      <c r="P4530" s="10"/>
      <c r="Q4530" s="10"/>
      <c r="R4530" s="10"/>
      <c r="S4530" s="10"/>
      <c r="T4530" s="10"/>
      <c r="U4530" s="10"/>
      <c r="V4530" s="10"/>
      <c r="W4530" s="10"/>
      <c r="X4530" s="10"/>
      <c r="Y4530" s="10"/>
      <c r="Z4530" s="10"/>
    </row>
    <row r="4531" spans="1:26" ht="12.75">
      <c r="A4531" s="10" t="str">
        <f ca="1">IFERROR(__xludf.DUMMYFUNCTION("""COMPUTED_VALUE"""),"Красимир Тодоров Георгиев")</f>
        <v>Красимир Тодоров Георгиев</v>
      </c>
      <c r="B4531" s="10" t="str">
        <f ca="1">IFERROR(__xludf.DUMMYFUNCTION("""COMPUTED_VALUE"""),"Статия в списания и поредици")</f>
        <v>Статия в списания и поредици</v>
      </c>
      <c r="C4531" s="10" t="str">
        <f ca="1">IFERROR(__xludf.DUMMYFUNCTION("""COMPUTED_VALUE"""),"Solving Advection Equations by Applying the Crank-Nicolson Scheme Combined with the Richardson Extrapolation")</f>
        <v>Solving Advection Equations by Applying the Crank-Nicolson Scheme Combined with the Richardson Extrapolation</v>
      </c>
      <c r="D4531" s="10">
        <f ca="1">IFERROR(__xludf.DUMMYFUNCTION("""COMPUTED_VALUE"""),2011)</f>
        <v>2011</v>
      </c>
      <c r="E4531" s="10" t="str">
        <f ca="1">IFERROR(__xludf.DUMMYFUNCTION("""COMPUTED_VALUE"""),"Zahari Zlatev, Ivan Dimov, Istvan Farago, Krassimir Georgiev, Agnes Havasi, and Tzvetan Ostromsky, Solving Advection Equations by Applying the Crank-Nicolson Scheme Combined with the Richardson Extrapolation, Hindawi Publishing Corporation, International "&amp;"Journal of Differential Equations, Volume 2011, Article ID 520840, 16 pages, doi:10.1155/2011/520840")</f>
        <v>Zahari Zlatev, Ivan Dimov, Istvan Farago, Krassimir Georgiev, Agnes Havasi, and Tzvetan Ostromsky, Solving Advection Equations by Applying the Crank-Nicolson Scheme Combined with the Richardson Extrapolation, Hindawi Publishing Corporation, International Journal of Differential Equations, Volume 2011, Article ID 520840, 16 pages, doi:10.1155/2011/520840</v>
      </c>
      <c r="F4531" s="10" t="str">
        <f ca="1">IFERROR(__xludf.DUMMYFUNCTION("""COMPUTED_VALUE"""),"Scopus/WoS")</f>
        <v>Scopus/WoS</v>
      </c>
      <c r="G4531" s="10" t="str">
        <f ca="1">IFERROR(__xludf.DUMMYFUNCTION("""COMPUTED_VALUE"""),"Zahari Zlatev, Ivan Dimov, Istvan Farago, Krassimir Georgiev, Agnes Havasi, and Tzvetan Ostromsky")</f>
        <v>Zahari Zlatev, Ivan Dimov, Istvan Farago, Krassimir Georgiev, Agnes Havasi, and Tzvetan Ostromsky</v>
      </c>
      <c r="H4531" s="10"/>
      <c r="I4531" s="10"/>
      <c r="J4531" s="10"/>
      <c r="K4531" s="10"/>
      <c r="L4531" s="10"/>
      <c r="M4531" s="10"/>
      <c r="N4531" s="10"/>
      <c r="O4531" s="10"/>
      <c r="P4531" s="10"/>
      <c r="Q4531" s="10"/>
      <c r="R4531" s="10"/>
      <c r="S4531" s="10"/>
      <c r="T4531" s="10"/>
      <c r="U4531" s="10"/>
      <c r="V4531" s="10"/>
      <c r="W4531" s="10"/>
      <c r="X4531" s="10"/>
      <c r="Y4531" s="10"/>
      <c r="Z4531" s="10"/>
    </row>
    <row r="4532" spans="1:26" ht="12.75">
      <c r="A4532" s="10" t="str">
        <f ca="1">IFERROR(__xludf.DUMMYFUNCTION("""COMPUTED_VALUE"""),"Красимир Тодоров Георгиев")</f>
        <v>Красимир Тодоров Георгиев</v>
      </c>
      <c r="B4532" s="10" t="str">
        <f ca="1">IFERROR(__xludf.DUMMYFUNCTION("""COMPUTED_VALUE"""),"Статия в списания и поредици")</f>
        <v>Статия в списания и поредици</v>
      </c>
      <c r="C4532" s="10" t="str">
        <f ca="1">IFERROR(__xludf.DUMMYFUNCTION("""COMPUTED_VALUE"""),"Implementation of sparse matrix algorithms in an advection-diffusion-chemistry module")</f>
        <v>Implementation of sparse matrix algorithms in an advection-diffusion-chemistry module</v>
      </c>
      <c r="D4532" s="10">
        <f ca="1">IFERROR(__xludf.DUMMYFUNCTION("""COMPUTED_VALUE"""),2011)</f>
        <v>2011</v>
      </c>
      <c r="E4532" s="10" t="str">
        <f ca="1">IFERROR(__xludf.DUMMYFUNCTION("""COMPUTED_VALUE"""),"Georgiev, K; Zlatev, Z, Implementation of sparse matrix algorithms in an advection-diffusion-chemistry module, JOURNAL OF COMPUTATIONAL AND APPLIED MATHEMATICS, Vol: 236 Issue: 3 Pages: 342-353, DOI: 10.1016/j.cam.2011.07.026, 2011")</f>
        <v>Georgiev, K; Zlatev, Z, Implementation of sparse matrix algorithms in an advection-diffusion-chemistry module, JOURNAL OF COMPUTATIONAL AND APPLIED MATHEMATICS, Vol: 236 Issue: 3 Pages: 342-353, DOI: 10.1016/j.cam.2011.07.026, 2011</v>
      </c>
      <c r="F4532" s="10" t="str">
        <f ca="1">IFERROR(__xludf.DUMMYFUNCTION("""COMPUTED_VALUE"""),"Scopus/WoS")</f>
        <v>Scopus/WoS</v>
      </c>
      <c r="G4532" s="10" t="str">
        <f ca="1">IFERROR(__xludf.DUMMYFUNCTION("""COMPUTED_VALUE"""),"Georgiev, K; Zlatev, Z")</f>
        <v>Georgiev, K; Zlatev, Z</v>
      </c>
      <c r="H4532" s="10"/>
      <c r="I4532" s="10"/>
      <c r="J4532" s="10"/>
      <c r="K4532" s="10"/>
      <c r="L4532" s="10"/>
      <c r="M4532" s="10"/>
      <c r="N4532" s="10"/>
      <c r="O4532" s="10"/>
      <c r="P4532" s="10"/>
      <c r="Q4532" s="10"/>
      <c r="R4532" s="10"/>
      <c r="S4532" s="10"/>
      <c r="T4532" s="10"/>
      <c r="U4532" s="10"/>
      <c r="V4532" s="10"/>
      <c r="W4532" s="10"/>
      <c r="X4532" s="10"/>
      <c r="Y4532" s="10"/>
      <c r="Z4532" s="10"/>
    </row>
    <row r="4533" spans="1:26" ht="12.75">
      <c r="A4533" s="10" t="str">
        <f ca="1">IFERROR(__xludf.DUMMYFUNCTION("""COMPUTED_VALUE"""),"Красимир Тодоров Георгиев")</f>
        <v>Красимир Тодоров Георгиев</v>
      </c>
      <c r="B4533" s="10" t="str">
        <f ca="1">IFERROR(__xludf.DUMMYFUNCTION("""COMPUTED_VALUE"""),"Статия в списания и поредици")</f>
        <v>Статия в списания и поредици</v>
      </c>
      <c r="C4533" s="10" t="str">
        <f ca="1">IFERROR(__xludf.DUMMYFUNCTION("""COMPUTED_VALUE"""),"Special Issue on Advanced Applications of Environmental Modelling Systems")</f>
        <v>Special Issue on Advanced Applications of Environmental Modelling Systems</v>
      </c>
      <c r="D4533" s="10">
        <f ca="1">IFERROR(__xludf.DUMMYFUNCTION("""COMPUTED_VALUE"""),2011)</f>
        <v>2011</v>
      </c>
      <c r="E4533" s="10" t="str">
        <f ca="1">IFERROR(__xludf.DUMMYFUNCTION("""COMPUTED_VALUE"""),"Georgiev, K; Zlatev, Z, Ebel, A, Special Issue on Advanced Applications of Environmental Modelling Systems, , INTERNATIONAL JOURNAL OF ENVIRONMENT AND POLLUTION, Vol: 46 Issue: 1-2 Pages: 1-5, DOI: 10.1504/IJEP.2011.042611, 2011")</f>
        <v>Georgiev, K; Zlatev, Z, Ebel, A, Special Issue on Advanced Applications of Environmental Modelling Systems, , INTERNATIONAL JOURNAL OF ENVIRONMENT AND POLLUTION, Vol: 46 Issue: 1-2 Pages: 1-5, DOI: 10.1504/IJEP.2011.042611, 2011</v>
      </c>
      <c r="F4533" s="10" t="str">
        <f ca="1">IFERROR(__xludf.DUMMYFUNCTION("""COMPUTED_VALUE"""),"Scopus/WoS")</f>
        <v>Scopus/WoS</v>
      </c>
      <c r="G4533" s="10" t="str">
        <f ca="1">IFERROR(__xludf.DUMMYFUNCTION("""COMPUTED_VALUE"""),"Georgiev, K; Zlatev, Z, Ebel, A")</f>
        <v>Georgiev, K; Zlatev, Z, Ebel, A</v>
      </c>
      <c r="H4533" s="10"/>
      <c r="I4533" s="10"/>
      <c r="J4533" s="10"/>
      <c r="K4533" s="10"/>
      <c r="L4533" s="10"/>
      <c r="M4533" s="10"/>
      <c r="N4533" s="10"/>
      <c r="O4533" s="10"/>
      <c r="P4533" s="10"/>
      <c r="Q4533" s="10"/>
      <c r="R4533" s="10"/>
      <c r="S4533" s="10"/>
      <c r="T4533" s="10"/>
      <c r="U4533" s="10"/>
      <c r="V4533" s="10"/>
      <c r="W4533" s="10"/>
      <c r="X4533" s="10"/>
      <c r="Y4533" s="10"/>
      <c r="Z4533" s="10"/>
    </row>
    <row r="4534" spans="1:26" ht="12.75">
      <c r="A4534" s="10" t="str">
        <f ca="1">IFERROR(__xludf.DUMMYFUNCTION("""COMPUTED_VALUE"""),"Красимир Тодоров Георгиев")</f>
        <v>Красимир Тодоров Георгиев</v>
      </c>
      <c r="B4534" s="10" t="str">
        <f ca="1">IFERROR(__xludf.DUMMYFUNCTION("""COMPUTED_VALUE"""),"Статия в списания и поредици")</f>
        <v>Статия в списания и поредици</v>
      </c>
      <c r="C4534" s="10" t="str">
        <f ca="1">IFERROR(__xludf.DUMMYFUNCTION("""COMPUTED_VALUE"""),"Studying air pollution levels in the Balkan Peninsula area by using an IBM Blue Gene/P computer")</f>
        <v>Studying air pollution levels in the Balkan Peninsula area by using an IBM Blue Gene/P computer</v>
      </c>
      <c r="D4534" s="10">
        <f ca="1">IFERROR(__xludf.DUMMYFUNCTION("""COMPUTED_VALUE"""),2011)</f>
        <v>2011</v>
      </c>
      <c r="E4534" s="10" t="str">
        <f ca="1">IFERROR(__xludf.DUMMYFUNCTION("""COMPUTED_VALUE"""),"Georgiev, K; Zlatev, Z, Studying air pollution levels in the Balkan Peninsula area by using an IBM Blue Gene/P computer, INTERNATIONAL JOURNAL OF ENVIRONMENT AND POLLUTION, Vol: 46 Issue: 1-2 Pages: 97-114, DOI: 10.1504/IJEP.2011.042611, 2011")</f>
        <v>Georgiev, K; Zlatev, Z, Studying air pollution levels in the Balkan Peninsula area by using an IBM Blue Gene/P computer, INTERNATIONAL JOURNAL OF ENVIRONMENT AND POLLUTION, Vol: 46 Issue: 1-2 Pages: 97-114, DOI: 10.1504/IJEP.2011.042611, 2011</v>
      </c>
      <c r="F4534" s="10" t="str">
        <f ca="1">IFERROR(__xludf.DUMMYFUNCTION("""COMPUTED_VALUE"""),"Scopus/WoS")</f>
        <v>Scopus/WoS</v>
      </c>
      <c r="G4534" s="10" t="str">
        <f ca="1">IFERROR(__xludf.DUMMYFUNCTION("""COMPUTED_VALUE"""),"Georgiev, K; Zlatev, Z")</f>
        <v>Georgiev, K; Zlatev, Z</v>
      </c>
      <c r="H4534" s="10"/>
      <c r="I4534" s="10"/>
      <c r="J4534" s="10"/>
      <c r="K4534" s="10"/>
      <c r="L4534" s="10"/>
      <c r="M4534" s="10"/>
      <c r="N4534" s="10"/>
      <c r="O4534" s="10"/>
      <c r="P4534" s="10"/>
      <c r="Q4534" s="10"/>
      <c r="R4534" s="10"/>
      <c r="S4534" s="10"/>
      <c r="T4534" s="10"/>
      <c r="U4534" s="10"/>
      <c r="V4534" s="10"/>
      <c r="W4534" s="10"/>
      <c r="X4534" s="10"/>
      <c r="Y4534" s="10"/>
      <c r="Z4534" s="10"/>
    </row>
    <row r="4535" spans="1:26" ht="12.75">
      <c r="A4535" s="10" t="str">
        <f ca="1">IFERROR(__xludf.DUMMYFUNCTION("""COMPUTED_VALUE"""),"Красимир Тодоров Георгиев")</f>
        <v>Красимир Тодоров Георгиев</v>
      </c>
      <c r="B4535" s="10" t="str">
        <f ca="1">IFERROR(__xludf.DUMMYFUNCTION("""COMPUTED_VALUE"""),"Статия в списания и поредици")</f>
        <v>Статия в списания и поредици</v>
      </c>
      <c r="C4535" s="10" t="str">
        <f ca="1">IFERROR(__xludf.DUMMYFUNCTION("""COMPUTED_VALUE"""),"Specialized Sparse Matrices Solver in the Chemical Part of an Environmental Model")</f>
        <v>Specialized Sparse Matrices Solver in the Chemical Part of an Environmental Model</v>
      </c>
      <c r="D4535" s="10">
        <f ca="1">IFERROR(__xludf.DUMMYFUNCTION("""COMPUTED_VALUE"""),2011)</f>
        <v>2011</v>
      </c>
      <c r="E4535" s="10" t="str">
        <f ca="1">IFERROR(__xludf.DUMMYFUNCTION("""COMPUTED_VALUE"""),"Georgiev, K; Zlatev, Specialized Sparse Matrices Solver in the Chemical Part of an Environmental Model, Lecture Notes in Computer Science, Vol: 6046 Pages: 158-+, 2011")</f>
        <v>Georgiev, K; Zlatev, Specialized Sparse Matrices Solver in the Chemical Part of an Environmental Model, Lecture Notes in Computer Science, Vol: 6046 Pages: 158-+, 2011</v>
      </c>
      <c r="F4535" s="10" t="str">
        <f ca="1">IFERROR(__xludf.DUMMYFUNCTION("""COMPUTED_VALUE"""),"Scopus/WoS")</f>
        <v>Scopus/WoS</v>
      </c>
      <c r="G4535" s="10" t="str">
        <f ca="1">IFERROR(__xludf.DUMMYFUNCTION("""COMPUTED_VALUE"""),"Georgiev, K; Zlatev, Z.")</f>
        <v>Georgiev, K; Zlatev, Z.</v>
      </c>
      <c r="H4535" s="10"/>
      <c r="I4535" s="10"/>
      <c r="J4535" s="10"/>
      <c r="K4535" s="10"/>
      <c r="L4535" s="10"/>
      <c r="M4535" s="10"/>
      <c r="N4535" s="10"/>
      <c r="O4535" s="10"/>
      <c r="P4535" s="10"/>
      <c r="Q4535" s="10"/>
      <c r="R4535" s="10"/>
      <c r="S4535" s="10"/>
      <c r="T4535" s="10"/>
      <c r="U4535" s="10"/>
      <c r="V4535" s="10"/>
      <c r="W4535" s="10"/>
      <c r="X4535" s="10"/>
      <c r="Y4535" s="10"/>
      <c r="Z4535" s="10"/>
    </row>
    <row r="4536" spans="1:26" ht="12.75">
      <c r="A4536" s="10" t="str">
        <f ca="1">IFERROR(__xludf.DUMMYFUNCTION("""COMPUTED_VALUE"""),"Красимир Тодоров Георгиев")</f>
        <v>Красимир Тодоров Георгиев</v>
      </c>
      <c r="B4536" s="10" t="str">
        <f ca="1">IFERROR(__xludf.DUMMYFUNCTION("""COMPUTED_VALUE"""),"Статия в списания и поредици")</f>
        <v>Статия в списания и поредици</v>
      </c>
      <c r="C4536" s="10" t="str">
        <f ca="1">IFERROR(__xludf.DUMMYFUNCTION("""COMPUTED_VALUE"""),"Highly Parallel Alternating Directions Algorithm for Time Dependent Problems")</f>
        <v>Highly Parallel Alternating Directions Algorithm for Time Dependent Problems</v>
      </c>
      <c r="D4536" s="10">
        <f ca="1">IFERROR(__xludf.DUMMYFUNCTION("""COMPUTED_VALUE"""),2011)</f>
        <v>2011</v>
      </c>
      <c r="E4536" s="10" t="str">
        <f ca="1">IFERROR(__xludf.DUMMYFUNCTION("""COMPUTED_VALUE"""),"Ganzha, M; Georgiev, K; Lirkov, I; Margenov, S; Paprzycki, M, Highly Parallel Alternating Directions Algorithm for Time Dependent Problems, AIP Conference Proceedings, Vol: 1404, DOI: 10.1063/1.3659922, 2011")</f>
        <v>Ganzha, M; Georgiev, K; Lirkov, I; Margenov, S; Paprzycki, M, Highly Parallel Alternating Directions Algorithm for Time Dependent Problems, AIP Conference Proceedings, Vol: 1404, DOI: 10.1063/1.3659922, 2011</v>
      </c>
      <c r="F4536" s="10" t="str">
        <f ca="1">IFERROR(__xludf.DUMMYFUNCTION("""COMPUTED_VALUE"""),"Scopus/WoS")</f>
        <v>Scopus/WoS</v>
      </c>
      <c r="G4536" s="10" t="str">
        <f ca="1">IFERROR(__xludf.DUMMYFUNCTION("""COMPUTED_VALUE"""),"Ganzha, M; Georgiev, K; Lirkov, I; Margenov, S; Paprzycki, M")</f>
        <v>Ganzha, M; Georgiev, K; Lirkov, I; Margenov, S; Paprzycki, M</v>
      </c>
      <c r="H4536" s="10"/>
      <c r="I4536" s="10"/>
      <c r="J4536" s="10"/>
      <c r="K4536" s="10"/>
      <c r="L4536" s="10"/>
      <c r="M4536" s="10"/>
      <c r="N4536" s="10"/>
      <c r="O4536" s="10"/>
      <c r="P4536" s="10"/>
      <c r="Q4536" s="10"/>
      <c r="R4536" s="10"/>
      <c r="S4536" s="10"/>
      <c r="T4536" s="10"/>
      <c r="U4536" s="10"/>
      <c r="V4536" s="10"/>
      <c r="W4536" s="10"/>
      <c r="X4536" s="10"/>
      <c r="Y4536" s="10"/>
      <c r="Z4536" s="10"/>
    </row>
    <row r="4537" spans="1:26" ht="12.75">
      <c r="A4537" s="10" t="str">
        <f ca="1">IFERROR(__xludf.DUMMYFUNCTION("""COMPUTED_VALUE"""),"Красимир Тодоров Георгиев")</f>
        <v>Красимир Тодоров Георгиев</v>
      </c>
      <c r="B4537" s="10" t="str">
        <f ca="1">IFERROR(__xludf.DUMMYFUNCTION("""COMPUTED_VALUE"""),"Статия в списания и поредици")</f>
        <v>Статия в списания и поредици</v>
      </c>
      <c r="C4537" s="10" t="str">
        <f ca="1">IFERROR(__xludf.DUMMYFUNCTION("""COMPUTED_VALUE"""),"Изследване на далечния пренос на замърсители във въздуха с използване на суперкомпютъра IBM Blue Gene/P")</f>
        <v>Изследване на далечния пренос на замърсители във въздуха с използване на суперкомпютъра IBM Blue Gene/P</v>
      </c>
      <c r="D4537" s="10">
        <f ca="1">IFERROR(__xludf.DUMMYFUNCTION("""COMPUTED_VALUE"""),2011)</f>
        <v>2011</v>
      </c>
      <c r="E4537" s="10" t="str">
        <f ca="1">IFERROR(__xludf.DUMMYFUNCTION("""COMPUTED_VALUE"""),"Автоматика и Информатика, Год. XLV")</f>
        <v>Автоматика и Информатика, Год. XLV</v>
      </c>
      <c r="F4537" s="10"/>
      <c r="G4537" s="10" t="str">
        <f ca="1">IFERROR(__xludf.DUMMYFUNCTION("""COMPUTED_VALUE"""),"Да")</f>
        <v>Да</v>
      </c>
      <c r="H4537" s="10"/>
      <c r="I4537" s="10"/>
      <c r="J4537" s="10"/>
      <c r="K4537" s="10"/>
      <c r="L4537" s="10"/>
      <c r="M4537" s="10"/>
      <c r="N4537" s="10"/>
      <c r="O4537" s="10"/>
      <c r="P4537" s="10"/>
      <c r="Q4537" s="10"/>
      <c r="R4537" s="10"/>
      <c r="S4537" s="10"/>
      <c r="T4537" s="10"/>
      <c r="U4537" s="10"/>
      <c r="V4537" s="10"/>
      <c r="W4537" s="10"/>
      <c r="X4537" s="10"/>
      <c r="Y4537" s="10"/>
      <c r="Z4537" s="10"/>
    </row>
    <row r="4538" spans="1:26" ht="12.75">
      <c r="A4538" s="10" t="str">
        <f ca="1">IFERROR(__xludf.DUMMYFUNCTION("""COMPUTED_VALUE"""),"Красимир Тодоров Георгиев")</f>
        <v>Красимир Тодоров Георгиев</v>
      </c>
      <c r="B4538" s="10" t="str">
        <f ca="1">IFERROR(__xludf.DUMMYFUNCTION("""COMPUTED_VALUE"""),"Статия в списания и поредици")</f>
        <v>Статия в списания и поредици</v>
      </c>
      <c r="C4538" s="10" t="str">
        <f ca="1">IFERROR(__xludf.DUMMYFUNCTION("""COMPUTED_VALUE"""),"Studying air pollution levels in the Balkan peninsula area by using an IBM Blue Gene/P computer")</f>
        <v>Studying air pollution levels in the Balkan peninsula area by using an IBM Blue Gene/P computer</v>
      </c>
      <c r="D4538" s="10">
        <f ca="1">IFERROR(__xludf.DUMMYFUNCTION("""COMPUTED_VALUE"""),2011)</f>
        <v>2011</v>
      </c>
      <c r="E4538" s="10" t="str">
        <f ca="1">IFERROR(__xludf.DUMMYFUNCTION("""COMPUTED_VALUE"""),"Int. J. Environment and Pollution, Vol. 46")</f>
        <v>Int. J. Environment and Pollution, Vol. 46</v>
      </c>
      <c r="F4538" s="10"/>
      <c r="G4538" s="10" t="str">
        <f ca="1">IFERROR(__xludf.DUMMYFUNCTION("""COMPUTED_VALUE"""),"Да")</f>
        <v>Да</v>
      </c>
      <c r="H4538" s="10"/>
      <c r="I4538" s="10"/>
      <c r="J4538" s="10"/>
      <c r="K4538" s="10"/>
      <c r="L4538" s="10"/>
      <c r="M4538" s="10"/>
      <c r="N4538" s="10"/>
      <c r="O4538" s="10"/>
      <c r="P4538" s="10"/>
      <c r="Q4538" s="10"/>
      <c r="R4538" s="10"/>
      <c r="S4538" s="10"/>
      <c r="T4538" s="10"/>
      <c r="U4538" s="10"/>
      <c r="V4538" s="10"/>
      <c r="W4538" s="10"/>
      <c r="X4538" s="10"/>
      <c r="Y4538" s="10"/>
      <c r="Z4538" s="10"/>
    </row>
    <row r="4539" spans="1:26" ht="12.75">
      <c r="A4539" s="10" t="str">
        <f ca="1">IFERROR(__xludf.DUMMYFUNCTION("""COMPUTED_VALUE"""),"Красимир Тодоров Георгиев")</f>
        <v>Красимир Тодоров Георгиев</v>
      </c>
      <c r="B4539" s="10" t="str">
        <f ca="1">IFERROR(__xludf.DUMMYFUNCTION("""COMPUTED_VALUE"""),"Статия в списания и поредици")</f>
        <v>Статия в списания и поредици</v>
      </c>
      <c r="C4539" s="10" t="str">
        <f ca="1">IFERROR(__xludf.DUMMYFUNCTION("""COMPUTED_VALUE"""),"Implementation of sparse matrix algorithms in an advection-diffusion-chemistry module")</f>
        <v>Implementation of sparse matrix algorithms in an advection-diffusion-chemistry module</v>
      </c>
      <c r="D4539" s="10">
        <f ca="1">IFERROR(__xludf.DUMMYFUNCTION("""COMPUTED_VALUE"""),2011)</f>
        <v>2011</v>
      </c>
      <c r="E4539" s="10" t="str">
        <f ca="1">IFERROR(__xludf.DUMMYFUNCTION("""COMPUTED_VALUE"""),"J. of Computational and Applied Mathematics")</f>
        <v>J. of Computational and Applied Mathematics</v>
      </c>
      <c r="F4539" s="10"/>
      <c r="G4539" s="10" t="str">
        <f ca="1">IFERROR(__xludf.DUMMYFUNCTION("""COMPUTED_VALUE"""),"Да")</f>
        <v>Да</v>
      </c>
      <c r="H4539" s="10"/>
      <c r="I4539" s="10"/>
      <c r="J4539" s="10"/>
      <c r="K4539" s="10"/>
      <c r="L4539" s="10"/>
      <c r="M4539" s="10"/>
      <c r="N4539" s="10"/>
      <c r="O4539" s="10"/>
      <c r="P4539" s="10"/>
      <c r="Q4539" s="10"/>
      <c r="R4539" s="10"/>
      <c r="S4539" s="10"/>
      <c r="T4539" s="10"/>
      <c r="U4539" s="10"/>
      <c r="V4539" s="10"/>
      <c r="W4539" s="10"/>
      <c r="X4539" s="10"/>
      <c r="Y4539" s="10"/>
      <c r="Z4539" s="10"/>
    </row>
    <row r="4540" spans="1:26" ht="12.75">
      <c r="A4540" s="10" t="str">
        <f ca="1">IFERROR(__xludf.DUMMYFUNCTION("""COMPUTED_VALUE"""),"Красимир Тодоров Георгиев")</f>
        <v>Красимир Тодоров Георгиев</v>
      </c>
      <c r="B4540" s="10" t="str">
        <f ca="1">IFERROR(__xludf.DUMMYFUNCTION("""COMPUTED_VALUE"""),"Статия в списания и поредици")</f>
        <v>Статия в списания и поредици</v>
      </c>
      <c r="C4540" s="10" t="str">
        <f ca="1">IFERROR(__xludf.DUMMYFUNCTION("""COMPUTED_VALUE"""),"Highly Parallel Alternating Directions Algorithm for Time Dependent Problems")</f>
        <v>Highly Parallel Alternating Directions Algorithm for Time Dependent Problems</v>
      </c>
      <c r="D4540" s="10">
        <f ca="1">IFERROR(__xludf.DUMMYFUNCTION("""COMPUTED_VALUE"""),2011)</f>
        <v>2011</v>
      </c>
      <c r="E4540" s="10" t="str">
        <f ca="1">IFERROR(__xludf.DUMMYFUNCTION("""COMPUTED_VALUE"""),"AIP Conf. Proc. 1404")</f>
        <v>AIP Conf. Proc. 1404</v>
      </c>
      <c r="F4540" s="10"/>
      <c r="G4540" s="10" t="str">
        <f ca="1">IFERROR(__xludf.DUMMYFUNCTION("""COMPUTED_VALUE"""),"Да")</f>
        <v>Да</v>
      </c>
      <c r="H4540" s="10"/>
      <c r="I4540" s="10"/>
      <c r="J4540" s="10"/>
      <c r="K4540" s="10"/>
      <c r="L4540" s="10"/>
      <c r="M4540" s="10"/>
      <c r="N4540" s="10"/>
      <c r="O4540" s="10"/>
      <c r="P4540" s="10"/>
      <c r="Q4540" s="10"/>
      <c r="R4540" s="10"/>
      <c r="S4540" s="10"/>
      <c r="T4540" s="10"/>
      <c r="U4540" s="10"/>
      <c r="V4540" s="10"/>
      <c r="W4540" s="10"/>
      <c r="X4540" s="10"/>
      <c r="Y4540" s="10"/>
      <c r="Z4540" s="10"/>
    </row>
    <row r="4541" spans="1:26" ht="12.75">
      <c r="A4541" s="10" t="str">
        <f ca="1">IFERROR(__xludf.DUMMYFUNCTION("""COMPUTED_VALUE"""),"Красимир Тодоров Георгиев")</f>
        <v>Красимир Тодоров Георгиев</v>
      </c>
      <c r="B4541" s="10" t="str">
        <f ca="1">IFERROR(__xludf.DUMMYFUNCTION("""COMPUTED_VALUE"""),"Статия в списания и поредици")</f>
        <v>Статия в списания и поредици</v>
      </c>
      <c r="C4541" s="10" t="str">
        <f ca="1">IFERROR(__xludf.DUMMYFUNCTION("""COMPUTED_VALUE"""),"Implementation of sparse matrix algorithms in an advection-diffusion-chemistry module")</f>
        <v>Implementation of sparse matrix algorithms in an advection-diffusion-chemistry module</v>
      </c>
      <c r="D4541" s="10">
        <f ca="1">IFERROR(__xludf.DUMMYFUNCTION("""COMPUTED_VALUE"""),2011)</f>
        <v>2011</v>
      </c>
      <c r="E4541" s="10" t="str">
        <f ca="1">IFERROR(__xludf.DUMMYFUNCTION("""COMPUTED_VALUE"""),"J. of Computational and Applied Mathematics, Vol. 236")</f>
        <v>J. of Computational and Applied Mathematics, Vol. 236</v>
      </c>
      <c r="F4541" s="10"/>
      <c r="G4541" s="10" t="str">
        <f ca="1">IFERROR(__xludf.DUMMYFUNCTION("""COMPUTED_VALUE"""),"Да")</f>
        <v>Да</v>
      </c>
      <c r="H4541" s="10"/>
      <c r="I4541" s="10"/>
      <c r="J4541" s="10"/>
      <c r="K4541" s="10"/>
      <c r="L4541" s="10"/>
      <c r="M4541" s="10"/>
      <c r="N4541" s="10"/>
      <c r="O4541" s="10"/>
      <c r="P4541" s="10"/>
      <c r="Q4541" s="10"/>
      <c r="R4541" s="10"/>
      <c r="S4541" s="10"/>
      <c r="T4541" s="10"/>
      <c r="U4541" s="10"/>
      <c r="V4541" s="10"/>
      <c r="W4541" s="10"/>
      <c r="X4541" s="10"/>
      <c r="Y4541" s="10"/>
      <c r="Z4541" s="10"/>
    </row>
    <row r="4542" spans="1:26" ht="12.75">
      <c r="A4542" s="10" t="str">
        <f ca="1">IFERROR(__xludf.DUMMYFUNCTION("""COMPUTED_VALUE"""),"Красимир Тодоров Георгиев")</f>
        <v>Красимир Тодоров Георгиев</v>
      </c>
      <c r="B4542" s="10" t="str">
        <f ca="1">IFERROR(__xludf.DUMMYFUNCTION("""COMPUTED_VALUE"""),"Статия в списания и поредици")</f>
        <v>Статия в списания и поредици</v>
      </c>
      <c r="C4542" s="10" t="str">
        <f ca="1">IFERROR(__xludf.DUMMYFUNCTION("""COMPUTED_VALUE"""),"Solving Advection Equations by Applying the Crank-Nicolson Scheme Combined with the Richardson Extrapolation")</f>
        <v>Solving Advection Equations by Applying the Crank-Nicolson Scheme Combined with the Richardson Extrapolation</v>
      </c>
      <c r="D4542" s="10">
        <f ca="1">IFERROR(__xludf.DUMMYFUNCTION("""COMPUTED_VALUE"""),2011)</f>
        <v>2011</v>
      </c>
      <c r="E4542" s="10" t="str">
        <f ca="1">IFERROR(__xludf.DUMMYFUNCTION("""COMPUTED_VALUE"""),"Int. J. of Differential Equations, Vol. 2011")</f>
        <v>Int. J. of Differential Equations, Vol. 2011</v>
      </c>
      <c r="F4542" s="10"/>
      <c r="G4542" s="10" t="str">
        <f ca="1">IFERROR(__xludf.DUMMYFUNCTION("""COMPUTED_VALUE"""),"Да")</f>
        <v>Да</v>
      </c>
      <c r="H4542" s="10"/>
      <c r="I4542" s="10"/>
      <c r="J4542" s="10"/>
      <c r="K4542" s="10"/>
      <c r="L4542" s="10"/>
      <c r="M4542" s="10"/>
      <c r="N4542" s="10"/>
      <c r="O4542" s="10"/>
      <c r="P4542" s="10"/>
      <c r="Q4542" s="10"/>
      <c r="R4542" s="10"/>
      <c r="S4542" s="10"/>
      <c r="T4542" s="10"/>
      <c r="U4542" s="10"/>
      <c r="V4542" s="10"/>
      <c r="W4542" s="10"/>
      <c r="X4542" s="10"/>
      <c r="Y4542" s="10"/>
      <c r="Z4542" s="10"/>
    </row>
    <row r="4543" spans="1:26" ht="12.75">
      <c r="A4543" s="10" t="str">
        <f ca="1">IFERROR(__xludf.DUMMYFUNCTION("""COMPUTED_VALUE"""),"Красимир Тодоров Георгиев")</f>
        <v>Красимир Тодоров Георгиев</v>
      </c>
      <c r="B4543" s="10" t="str">
        <f ca="1">IFERROR(__xludf.DUMMYFUNCTION("""COMPUTED_VALUE"""),"Статия в списания и поредици")</f>
        <v>Статия в списания и поредици</v>
      </c>
      <c r="C4543" s="10" t="str">
        <f ca="1">IFERROR(__xludf.DUMMYFUNCTION("""COMPUTED_VALUE"""),"Comparison results of running of the Danish Eulerian model for long-range transport of air pollutants on different kind of high-performance computer architectures")</f>
        <v>Comparison results of running of the Danish Eulerian model for long-range transport of air pollutants on different kind of high-performance computer architectures</v>
      </c>
      <c r="D4543" s="10">
        <f ca="1">IFERROR(__xludf.DUMMYFUNCTION("""COMPUTED_VALUE"""),2010)</f>
        <v>2010</v>
      </c>
      <c r="E4543" s="10" t="str">
        <f ca="1">IFERROR(__xludf.DUMMYFUNCTION("""COMPUTED_VALUE"""),"Journal of Theoretical and Applied Mechanics, Sofia")</f>
        <v>Journal of Theoretical and Applied Mechanics, Sofia</v>
      </c>
      <c r="F4543" s="10"/>
      <c r="G4543" s="10" t="str">
        <f ca="1">IFERROR(__xludf.DUMMYFUNCTION("""COMPUTED_VALUE"""),"Да")</f>
        <v>Да</v>
      </c>
      <c r="H4543" s="10"/>
      <c r="I4543" s="10"/>
      <c r="J4543" s="10"/>
      <c r="K4543" s="10"/>
      <c r="L4543" s="10"/>
      <c r="M4543" s="10"/>
      <c r="N4543" s="10"/>
      <c r="O4543" s="10"/>
      <c r="P4543" s="10"/>
      <c r="Q4543" s="10"/>
      <c r="R4543" s="10"/>
      <c r="S4543" s="10"/>
      <c r="T4543" s="10"/>
      <c r="U4543" s="10"/>
      <c r="V4543" s="10"/>
      <c r="W4543" s="10"/>
      <c r="X4543" s="10"/>
      <c r="Y4543" s="10"/>
      <c r="Z4543" s="10"/>
    </row>
    <row r="4544" spans="1:26" ht="12.75">
      <c r="A4544" s="10" t="str">
        <f ca="1">IFERROR(__xludf.DUMMYFUNCTION("""COMPUTED_VALUE"""),"Красимир Тодоров Георгиев")</f>
        <v>Красимир Тодоров Георгиев</v>
      </c>
      <c r="B4544" s="10" t="str">
        <f ca="1">IFERROR(__xludf.DUMMYFUNCTION("""COMPUTED_VALUE"""),"Статия в списания и поредици")</f>
        <v>Статия в списания и поредици</v>
      </c>
      <c r="C4544" s="10" t="str">
        <f ca="1">IFERROR(__xludf.DUMMYFUNCTION("""COMPUTED_VALUE"""),"Runs of UNI-DEM Model on IBM Blue Gene/P Computer and Analysis of the Model Performance")</f>
        <v>Runs of UNI-DEM Model on IBM Blue Gene/P Computer and Analysis of the Model Performance</v>
      </c>
      <c r="D4544" s="10">
        <f ca="1">IFERROR(__xludf.DUMMYFUNCTION("""COMPUTED_VALUE"""),2010)</f>
        <v>2010</v>
      </c>
      <c r="E4544" s="10" t="str">
        <f ca="1">IFERROR(__xludf.DUMMYFUNCTION("""COMPUTED_VALUE"""),"Georgiev, K; Zlatev, Z; Runs of UNI-DEM Model on IBM Blue Gene/P Computer and Analysis of the Model Performance, Lecture Notes in Computer Science, Vol: 5910 Pages: 188-+, DOI: 10.1007/978-3-642-12535-5_21, 2010")</f>
        <v>Georgiev, K; Zlatev, Z; Runs of UNI-DEM Model on IBM Blue Gene/P Computer and Analysis of the Model Performance, Lecture Notes in Computer Science, Vol: 5910 Pages: 188-+, DOI: 10.1007/978-3-642-12535-5_21, 2010</v>
      </c>
      <c r="F4544" s="10" t="str">
        <f ca="1">IFERROR(__xludf.DUMMYFUNCTION("""COMPUTED_VALUE"""),"Scopus/WoS")</f>
        <v>Scopus/WoS</v>
      </c>
      <c r="G4544" s="10" t="str">
        <f ca="1">IFERROR(__xludf.DUMMYFUNCTION("""COMPUTED_VALUE"""),"Georgiev, K; Zlatev, Z")</f>
        <v>Georgiev, K; Zlatev, Z</v>
      </c>
      <c r="H4544" s="10"/>
      <c r="I4544" s="10"/>
      <c r="J4544" s="10"/>
      <c r="K4544" s="10"/>
      <c r="L4544" s="10"/>
      <c r="M4544" s="10"/>
      <c r="N4544" s="10"/>
      <c r="O4544" s="10"/>
      <c r="P4544" s="10"/>
      <c r="Q4544" s="10"/>
      <c r="R4544" s="10"/>
      <c r="S4544" s="10"/>
      <c r="T4544" s="10"/>
      <c r="U4544" s="10"/>
      <c r="V4544" s="10"/>
      <c r="W4544" s="10"/>
      <c r="X4544" s="10"/>
      <c r="Y4544" s="10"/>
      <c r="Z4544" s="10"/>
    </row>
    <row r="4545" spans="1:26" ht="12.75">
      <c r="A4545" s="10" t="str">
        <f ca="1">IFERROR(__xludf.DUMMYFUNCTION("""COMPUTED_VALUE"""),"Красимир Тодоров Георгиев")</f>
        <v>Красимир Тодоров Георгиев</v>
      </c>
      <c r="B4545" s="10" t="str">
        <f ca="1">IFERROR(__xludf.DUMMYFUNCTION("""COMPUTED_VALUE"""),"Статия в списания и поредици")</f>
        <v>Статия в списания и поредици</v>
      </c>
      <c r="C4545" s="10" t="str">
        <f ca="1">IFERROR(__xludf.DUMMYFUNCTION("""COMPUTED_VALUE"""),"Studying an Eulerian Computer Model on Different High-performance Computer Platforms and Some Applications")</f>
        <v>Studying an Eulerian Computer Model on Different High-performance Computer Platforms and Some Applications</v>
      </c>
      <c r="D4545" s="10">
        <f ca="1">IFERROR(__xludf.DUMMYFUNCTION("""COMPUTED_VALUE"""),2010)</f>
        <v>2010</v>
      </c>
      <c r="E4545" s="10" t="str">
        <f ca="1">IFERROR(__xludf.DUMMYFUNCTION("""COMPUTED_VALUE"""),"Georgiev, K; Zlatev, Z; Studying an Eulerian Computer Model on Different High-performance Computer Platforms and Some Applications, AIP Conference Proceedings, Vol: 1301 Pages: 476-+, 2010")</f>
        <v>Georgiev, K; Zlatev, Z; Studying an Eulerian Computer Model on Different High-performance Computer Platforms and Some Applications, AIP Conference Proceedings, Vol: 1301 Pages: 476-+, 2010</v>
      </c>
      <c r="F4545" s="10" t="str">
        <f ca="1">IFERROR(__xludf.DUMMYFUNCTION("""COMPUTED_VALUE"""),"Scopus/WoS")</f>
        <v>Scopus/WoS</v>
      </c>
      <c r="G4545" s="10" t="str">
        <f ca="1">IFERROR(__xludf.DUMMYFUNCTION("""COMPUTED_VALUE"""),"Georgiev, K; Zlatev, Z")</f>
        <v>Georgiev, K; Zlatev, Z</v>
      </c>
      <c r="H4545" s="10"/>
      <c r="I4545" s="10"/>
      <c r="J4545" s="10"/>
      <c r="K4545" s="10"/>
      <c r="L4545" s="10"/>
      <c r="M4545" s="10"/>
      <c r="N4545" s="10"/>
      <c r="O4545" s="10"/>
      <c r="P4545" s="10"/>
      <c r="Q4545" s="10"/>
      <c r="R4545" s="10"/>
      <c r="S4545" s="10"/>
      <c r="T4545" s="10"/>
      <c r="U4545" s="10"/>
      <c r="V4545" s="10"/>
      <c r="W4545" s="10"/>
      <c r="X4545" s="10"/>
      <c r="Y4545" s="10"/>
      <c r="Z4545" s="10"/>
    </row>
    <row r="4546" spans="1:26" ht="12.75">
      <c r="A4546" s="10" t="str">
        <f ca="1">IFERROR(__xludf.DUMMYFUNCTION("""COMPUTED_VALUE"""),"Красимир Тодоров Георгиев")</f>
        <v>Красимир Тодоров Георгиев</v>
      </c>
      <c r="B4546" s="10" t="str">
        <f ca="1">IFERROR(__xludf.DUMMYFUNCTION("""COMPUTED_VALUE"""),"Статия в списания и поредици")</f>
        <v>Статия в списания и поредици</v>
      </c>
      <c r="C4546" s="10" t="str">
        <f ca="1">IFERROR(__xludf.DUMMYFUNCTION("""COMPUTED_VALUE"""),"Runs of UNI–DEM Model on IBM BlueGene/P Computer and Analysis of the Model Performance")</f>
        <v>Runs of UNI–DEM Model on IBM BlueGene/P Computer and Analysis of the Model Performance</v>
      </c>
      <c r="D4546" s="10">
        <f ca="1">IFERROR(__xludf.DUMMYFUNCTION("""COMPUTED_VALUE"""),2009)</f>
        <v>2009</v>
      </c>
      <c r="E4546" s="10" t="str">
        <f ca="1">IFERROR(__xludf.DUMMYFUNCTION("""COMPUTED_VALUE"""),"Lecture Notes in Computer Science, 5910")</f>
        <v>Lecture Notes in Computer Science, 5910</v>
      </c>
      <c r="F4546" s="10"/>
      <c r="G4546" s="10" t="str">
        <f ca="1">IFERROR(__xludf.DUMMYFUNCTION("""COMPUTED_VALUE"""),"Да")</f>
        <v>Да</v>
      </c>
      <c r="H4546" s="10"/>
      <c r="I4546" s="10"/>
      <c r="J4546" s="10"/>
      <c r="K4546" s="10"/>
      <c r="L4546" s="10"/>
      <c r="M4546" s="10"/>
      <c r="N4546" s="10"/>
      <c r="O4546" s="10"/>
      <c r="P4546" s="10"/>
      <c r="Q4546" s="10"/>
      <c r="R4546" s="10"/>
      <c r="S4546" s="10"/>
      <c r="T4546" s="10"/>
      <c r="U4546" s="10"/>
      <c r="V4546" s="10"/>
      <c r="W4546" s="10"/>
      <c r="X4546" s="10"/>
      <c r="Y4546" s="10"/>
      <c r="Z4546" s="10"/>
    </row>
    <row r="4547" spans="1:26" ht="12.75">
      <c r="A4547" s="10" t="str">
        <f ca="1">IFERROR(__xludf.DUMMYFUNCTION("""COMPUTED_VALUE"""),"Красимир Тодоров Георгиев")</f>
        <v>Красимир Тодоров Георгиев</v>
      </c>
      <c r="B4547" s="10" t="str">
        <f ca="1">IFERROR(__xludf.DUMMYFUNCTION("""COMPUTED_VALUE"""),"Статия в списания и поредици")</f>
        <v>Статия в списания и поредици</v>
      </c>
      <c r="C4547" s="10" t="str">
        <f ca="1">IFERROR(__xludf.DUMMYFUNCTION("""COMPUTED_VALUE"""),"On the adaptive time-stepping for large scale parabolic problems: computer simulation of heat and mass transfer in vacuum freeze-drying")</f>
        <v>On the adaptive time-stepping for large scale parabolic problems: computer simulation of heat and mass transfer in vacuum freeze-drying</v>
      </c>
      <c r="D4547" s="10">
        <f ca="1">IFERROR(__xludf.DUMMYFUNCTION("""COMPUTED_VALUE"""),2009)</f>
        <v>2009</v>
      </c>
      <c r="E4547" s="10" t="str">
        <f ca="1">IFERROR(__xludf.DUMMYFUNCTION("""COMPUTED_VALUE"""),"J. of Computational and Applied Mathematics")</f>
        <v>J. of Computational and Applied Mathematics</v>
      </c>
      <c r="F4547" s="10"/>
      <c r="G4547" s="10" t="str">
        <f ca="1">IFERROR(__xludf.DUMMYFUNCTION("""COMPUTED_VALUE"""),"Да")</f>
        <v>Да</v>
      </c>
      <c r="H4547" s="10"/>
      <c r="I4547" s="10"/>
      <c r="J4547" s="10"/>
      <c r="K4547" s="10"/>
      <c r="L4547" s="10"/>
      <c r="M4547" s="10"/>
      <c r="N4547" s="10"/>
      <c r="O4547" s="10"/>
      <c r="P4547" s="10"/>
      <c r="Q4547" s="10"/>
      <c r="R4547" s="10"/>
      <c r="S4547" s="10"/>
      <c r="T4547" s="10"/>
      <c r="U4547" s="10"/>
      <c r="V4547" s="10"/>
      <c r="W4547" s="10"/>
      <c r="X4547" s="10"/>
      <c r="Y4547" s="10"/>
      <c r="Z4547" s="10"/>
    </row>
    <row r="4548" spans="1:26" ht="12.75">
      <c r="A4548" s="10" t="str">
        <f ca="1">IFERROR(__xludf.DUMMYFUNCTION("""COMPUTED_VALUE"""),"Красимир Тодоров Георгиев")</f>
        <v>Красимир Тодоров Георгиев</v>
      </c>
      <c r="B4548" s="10" t="str">
        <f ca="1">IFERROR(__xludf.DUMMYFUNCTION("""COMPUTED_VALUE"""),"Статия в списания и поредици")</f>
        <v>Статия в списания и поредици</v>
      </c>
      <c r="C4548" s="10" t="str">
        <f ca="1">IFERROR(__xludf.DUMMYFUNCTION("""COMPUTED_VALUE"""),"On adaptive time stepping for large-scale parabolic problems: Computer simulation of heat and mass transfer in vacuum freeze-drying")</f>
        <v>On adaptive time stepping for large-scale parabolic problems: Computer simulation of heat and mass transfer in vacuum freeze-drying</v>
      </c>
      <c r="D4548" s="10">
        <f ca="1">IFERROR(__xludf.DUMMYFUNCTION("""COMPUTED_VALUE"""),2009)</f>
        <v>2009</v>
      </c>
      <c r="E4548" s="10" t="str">
        <f ca="1">IFERROR(__xludf.DUMMYFUNCTION("""COMPUTED_VALUE"""),"Georgiev, K; Kosturski, N; Margenov, S; Stary, J; On adaptive time stepping for large-scale parabolic problems: Computer simulation of heat and mass transfer in vacuum freeze-drying, JOURNAL OF COMPUTATIONAL AND APPLIED MATHEMATICS, Vol: 226 Issue: 2, Pag"&amp;"es: 268-274, DOI: 10.1016/j.cam.2008.08.020, 2009")</f>
        <v>Georgiev, K; Kosturski, N; Margenov, S; Stary, J; On adaptive time stepping for large-scale parabolic problems: Computer simulation of heat and mass transfer in vacuum freeze-drying, JOURNAL OF COMPUTATIONAL AND APPLIED MATHEMATICS, Vol: 226 Issue: 2, Pages: 268-274, DOI: 10.1016/j.cam.2008.08.020, 2009</v>
      </c>
      <c r="F4548" s="10" t="str">
        <f ca="1">IFERROR(__xludf.DUMMYFUNCTION("""COMPUTED_VALUE"""),"Scopus/WoS")</f>
        <v>Scopus/WoS</v>
      </c>
      <c r="G4548" s="10" t="str">
        <f ca="1">IFERROR(__xludf.DUMMYFUNCTION("""COMPUTED_VALUE"""),"Georgiev, K; Kosturski, N; Margenov, S; Stary, J")</f>
        <v>Georgiev, K; Kosturski, N; Margenov, S; Stary, J</v>
      </c>
      <c r="H4548" s="10"/>
      <c r="I4548" s="10"/>
      <c r="J4548" s="10"/>
      <c r="K4548" s="10"/>
      <c r="L4548" s="10"/>
      <c r="M4548" s="10"/>
      <c r="N4548" s="10"/>
      <c r="O4548" s="10"/>
      <c r="P4548" s="10"/>
      <c r="Q4548" s="10"/>
      <c r="R4548" s="10"/>
      <c r="S4548" s="10"/>
      <c r="T4548" s="10"/>
      <c r="U4548" s="10"/>
      <c r="V4548" s="10"/>
      <c r="W4548" s="10"/>
      <c r="X4548" s="10"/>
      <c r="Y4548" s="10"/>
      <c r="Z4548" s="10"/>
    </row>
    <row r="4549" spans="1:26" ht="12.75">
      <c r="A4549" s="10" t="str">
        <f ca="1">IFERROR(__xludf.DUMMYFUNCTION("""COMPUTED_VALUE"""),"Красимир Тодоров Георгиев")</f>
        <v>Красимир Тодоров Георгиев</v>
      </c>
      <c r="B4549" s="10" t="str">
        <f ca="1">IFERROR(__xludf.DUMMYFUNCTION("""COMPUTED_VALUE"""),"Статия в списания и поредици")</f>
        <v>Статия в списания и поредици</v>
      </c>
      <c r="C4549" s="10" t="str">
        <f ca="1">IFERROR(__xludf.DUMMYFUNCTION("""COMPUTED_VALUE"""),"Editorial: large-scale computations in environmental modelling")</f>
        <v>Editorial: large-scale computations in environmental modelling</v>
      </c>
      <c r="D4549" s="10">
        <f ca="1">IFERROR(__xludf.DUMMYFUNCTION("""COMPUTED_VALUE"""),2008)</f>
        <v>2008</v>
      </c>
      <c r="E4549" s="10" t="str">
        <f ca="1">IFERROR(__xludf.DUMMYFUNCTION("""COMPUTED_VALUE"""),"Zlatev, Z; Ebel, A; Georgiev, K, Editorial: large-scale computations in environmental modelling, INTERNATIONAL JOURNAL OF ENVIRONMENT AND POLLUTION, Vol: 32 Issue: 2 Pages: 135-138, 2008")</f>
        <v>Zlatev, Z; Ebel, A; Georgiev, K, Editorial: large-scale computations in environmental modelling, INTERNATIONAL JOURNAL OF ENVIRONMENT AND POLLUTION, Vol: 32 Issue: 2 Pages: 135-138, 2008</v>
      </c>
      <c r="F4549" s="10" t="str">
        <f ca="1">IFERROR(__xludf.DUMMYFUNCTION("""COMPUTED_VALUE"""),"Scopus/WoS")</f>
        <v>Scopus/WoS</v>
      </c>
      <c r="G4549" s="10" t="str">
        <f ca="1">IFERROR(__xludf.DUMMYFUNCTION("""COMPUTED_VALUE"""),"Zlatev, Z; Ebel, A; Georgiev, K")</f>
        <v>Zlatev, Z; Ebel, A; Georgiev, K</v>
      </c>
      <c r="H4549" s="10"/>
      <c r="I4549" s="10"/>
      <c r="J4549" s="10"/>
      <c r="K4549" s="10"/>
      <c r="L4549" s="10"/>
      <c r="M4549" s="10"/>
      <c r="N4549" s="10"/>
      <c r="O4549" s="10"/>
      <c r="P4549" s="10"/>
      <c r="Q4549" s="10"/>
      <c r="R4549" s="10"/>
      <c r="S4549" s="10"/>
      <c r="T4549" s="10"/>
      <c r="U4549" s="10"/>
      <c r="V4549" s="10"/>
      <c r="W4549" s="10"/>
      <c r="X4549" s="10"/>
      <c r="Y4549" s="10"/>
      <c r="Z4549" s="10"/>
    </row>
    <row r="4550" spans="1:26" ht="12.75">
      <c r="A4550" s="10" t="str">
        <f ca="1">IFERROR(__xludf.DUMMYFUNCTION("""COMPUTED_VALUE"""),"Красимир Тодоров Георгиев")</f>
        <v>Красимир Тодоров Георгиев</v>
      </c>
      <c r="B4550" s="10" t="str">
        <f ca="1">IFERROR(__xludf.DUMMYFUNCTION("""COMPUTED_VALUE"""),"Статия в списания и поредици")</f>
        <v>Статия в списания и поредици</v>
      </c>
      <c r="C4550" s="10" t="str">
        <f ca="1">IFERROR(__xludf.DUMMYFUNCTION("""COMPUTED_VALUE"""),"Qualitatively correct discretizations in an air pollution model")</f>
        <v>Qualitatively correct discretizations in an air pollution model</v>
      </c>
      <c r="D4550" s="10">
        <f ca="1">IFERROR(__xludf.DUMMYFUNCTION("""COMPUTED_VALUE"""),2008)</f>
        <v>2008</v>
      </c>
      <c r="E4550" s="10" t="str">
        <f ca="1">IFERROR(__xludf.DUMMYFUNCTION("""COMPUTED_VALUE"""),"Qualitatively correct discretizations in an air pollution model, Lecture Notes in Computer Science, Volume: 4818 Pages: 201-+, DOI: 10.1007/978-3-540-78827-0_21")</f>
        <v>Qualitatively correct discretizations in an air pollution model, Lecture Notes in Computer Science, Volume: 4818 Pages: 201-+, DOI: 10.1007/978-3-540-78827-0_21</v>
      </c>
      <c r="F4550" s="10" t="str">
        <f ca="1">IFERROR(__xludf.DUMMYFUNCTION("""COMPUTED_VALUE"""),"Scopus/WoS")</f>
        <v>Scopus/WoS</v>
      </c>
      <c r="G4550" s="10" t="str">
        <f ca="1">IFERROR(__xludf.DUMMYFUNCTION("""COMPUTED_VALUE"""),"Mincsovics, M")</f>
        <v>Mincsovics, M</v>
      </c>
      <c r="H4550" s="10"/>
      <c r="I4550" s="10"/>
      <c r="J4550" s="10"/>
      <c r="K4550" s="10"/>
      <c r="L4550" s="10"/>
      <c r="M4550" s="10"/>
      <c r="N4550" s="10"/>
      <c r="O4550" s="10"/>
      <c r="P4550" s="10"/>
      <c r="Q4550" s="10"/>
      <c r="R4550" s="10"/>
      <c r="S4550" s="10"/>
      <c r="T4550" s="10"/>
      <c r="U4550" s="10"/>
      <c r="V4550" s="10"/>
      <c r="W4550" s="10"/>
      <c r="X4550" s="10"/>
      <c r="Y4550" s="10"/>
      <c r="Z4550" s="10"/>
    </row>
    <row r="4551" spans="1:26" ht="12.75">
      <c r="A4551" s="10" t="str">
        <f ca="1">IFERROR(__xludf.DUMMYFUNCTION("""COMPUTED_VALUE"""),"Красимир Тодоров Георгиев")</f>
        <v>Красимир Тодоров Георгиев</v>
      </c>
      <c r="B4551" s="10" t="str">
        <f ca="1">IFERROR(__xludf.DUMMYFUNCTION("""COMPUTED_VALUE"""),"Статия в списания и поредици")</f>
        <v>Статия в списания и поредици</v>
      </c>
      <c r="C4551" s="10" t="str">
        <f ca="1">IFERROR(__xludf.DUMMYFUNCTION("""COMPUTED_VALUE"""),"Large-Scale computations in environmental modelling. An Introduction, Ecological Modelling")</f>
        <v>Large-Scale computations in environmental modelling. An Introduction, Ecological Modelling</v>
      </c>
      <c r="D4551" s="10">
        <f ca="1">IFERROR(__xludf.DUMMYFUNCTION("""COMPUTED_VALUE"""),2008)</f>
        <v>2008</v>
      </c>
      <c r="E4551" s="10" t="str">
        <f ca="1">IFERROR(__xludf.DUMMYFUNCTION("""COMPUTED_VALUE"""),"Elsevier, ISSN 0304–3800")</f>
        <v>Elsevier, ISSN 0304–3800</v>
      </c>
      <c r="F4551" s="10"/>
      <c r="G4551" s="10" t="str">
        <f ca="1">IFERROR(__xludf.DUMMYFUNCTION("""COMPUTED_VALUE"""),"Да")</f>
        <v>Да</v>
      </c>
      <c r="H4551" s="10"/>
      <c r="I4551" s="10"/>
      <c r="J4551" s="10"/>
      <c r="K4551" s="10"/>
      <c r="L4551" s="10"/>
      <c r="M4551" s="10"/>
      <c r="N4551" s="10"/>
      <c r="O4551" s="10"/>
      <c r="P4551" s="10"/>
      <c r="Q4551" s="10"/>
      <c r="R4551" s="10"/>
      <c r="S4551" s="10"/>
      <c r="T4551" s="10"/>
      <c r="U4551" s="10"/>
      <c r="V4551" s="10"/>
      <c r="W4551" s="10"/>
      <c r="X4551" s="10"/>
      <c r="Y4551" s="10"/>
      <c r="Z4551" s="10"/>
    </row>
    <row r="4552" spans="1:26" ht="12.75">
      <c r="A4552" s="10" t="str">
        <f ca="1">IFERROR(__xludf.DUMMYFUNCTION("""COMPUTED_VALUE"""),"Красимир Тодоров Георгиев")</f>
        <v>Красимир Тодоров Георгиев</v>
      </c>
      <c r="B4552" s="10" t="str">
        <f ca="1">IFERROR(__xludf.DUMMYFUNCTION("""COMPUTED_VALUE"""),"Статия в списания и поредици")</f>
        <v>Статия в списания и поредици</v>
      </c>
      <c r="C4552" s="10" t="str">
        <f ca="1">IFERROR(__xludf.DUMMYFUNCTION("""COMPUTED_VALUE"""),"On the Numerical Solution of the Heat Transfer Equation in the Process of Freeze Drying")</f>
        <v>On the Numerical Solution of the Heat Transfer Equation in the Process of Freeze Drying</v>
      </c>
      <c r="D4552" s="10">
        <f ca="1">IFERROR(__xludf.DUMMYFUNCTION("""COMPUTED_VALUE"""),2008)</f>
        <v>2008</v>
      </c>
      <c r="E4552" s="10" t="str">
        <f ca="1">IFERROR(__xludf.DUMMYFUNCTION("""COMPUTED_VALUE"""),"LNCS, 4818, Springer")</f>
        <v>LNCS, 4818, Springer</v>
      </c>
      <c r="F4552" s="10"/>
      <c r="G4552" s="10" t="str">
        <f ca="1">IFERROR(__xludf.DUMMYFUNCTION("""COMPUTED_VALUE"""),"Да")</f>
        <v>Да</v>
      </c>
      <c r="H4552" s="10"/>
      <c r="I4552" s="10"/>
      <c r="J4552" s="10"/>
      <c r="K4552" s="10"/>
      <c r="L4552" s="10"/>
      <c r="M4552" s="10"/>
      <c r="N4552" s="10"/>
      <c r="O4552" s="10"/>
      <c r="P4552" s="10"/>
      <c r="Q4552" s="10"/>
      <c r="R4552" s="10"/>
      <c r="S4552" s="10"/>
      <c r="T4552" s="10"/>
      <c r="U4552" s="10"/>
      <c r="V4552" s="10"/>
      <c r="W4552" s="10"/>
      <c r="X4552" s="10"/>
      <c r="Y4552" s="10"/>
      <c r="Z4552" s="10"/>
    </row>
    <row r="4553" spans="1:26" ht="12.75">
      <c r="A4553" s="10" t="str">
        <f ca="1">IFERROR(__xludf.DUMMYFUNCTION("""COMPUTED_VALUE"""),"Красимир Тодоров Георгиев")</f>
        <v>Красимир Тодоров Георгиев</v>
      </c>
      <c r="B4553" s="10" t="str">
        <f ca="1">IFERROR(__xludf.DUMMYFUNCTION("""COMPUTED_VALUE"""),"Статия в списания и поредици")</f>
        <v>Статия в списания и поредици</v>
      </c>
      <c r="C4553" s="10" t="str">
        <f ca="1">IFERROR(__xludf.DUMMYFUNCTION("""COMPUTED_VALUE"""),"Parallelization of advection-diffusion-chemistry modules")</f>
        <v>Parallelization of advection-diffusion-chemistry modules</v>
      </c>
      <c r="D4553" s="10">
        <f ca="1">IFERROR(__xludf.DUMMYFUNCTION("""COMPUTED_VALUE"""),2008)</f>
        <v>2008</v>
      </c>
      <c r="E4553" s="10" t="str">
        <f ca="1">IFERROR(__xludf.DUMMYFUNCTION("""COMPUTED_VALUE"""),"Parallelization of advection-diffusion-chemistry modules, Lecture Notes in Computer Science, Volume: 4818 Pages: 28-+ DOI: 10.1007/978-3-540-78827-0_3")</f>
        <v>Parallelization of advection-diffusion-chemistry modules, Lecture Notes in Computer Science, Volume: 4818 Pages: 28-+ DOI: 10.1007/978-3-540-78827-0_3</v>
      </c>
      <c r="F4553" s="10" t="str">
        <f ca="1">IFERROR(__xludf.DUMMYFUNCTION("""COMPUTED_VALUE"""),"Scopus/WoS")</f>
        <v>Scopus/WoS</v>
      </c>
      <c r="G4553" s="10" t="str">
        <f ca="1">IFERROR(__xludf.DUMMYFUNCTION("""COMPUTED_VALUE"""),"Farago, Istvan; Zlatev, Z,")</f>
        <v>Farago, Istvan; Zlatev, Z,</v>
      </c>
      <c r="H4553" s="10"/>
      <c r="I4553" s="10"/>
      <c r="J4553" s="10"/>
      <c r="K4553" s="10"/>
      <c r="L4553" s="10"/>
      <c r="M4553" s="10"/>
      <c r="N4553" s="10"/>
      <c r="O4553" s="10"/>
      <c r="P4553" s="10"/>
      <c r="Q4553" s="10"/>
      <c r="R4553" s="10"/>
      <c r="S4553" s="10"/>
      <c r="T4553" s="10"/>
      <c r="U4553" s="10"/>
      <c r="V4553" s="10"/>
      <c r="W4553" s="10"/>
      <c r="X4553" s="10"/>
      <c r="Y4553" s="10"/>
      <c r="Z4553" s="10"/>
    </row>
    <row r="4554" spans="1:26" ht="12.75">
      <c r="A4554" s="10" t="str">
        <f ca="1">IFERROR(__xludf.DUMMYFUNCTION("""COMPUTED_VALUE"""),"Красимир Тодоров Георгиев")</f>
        <v>Красимир Тодоров Георгиев</v>
      </c>
      <c r="B4554" s="10" t="str">
        <f ca="1">IFERROR(__xludf.DUMMYFUNCTION("""COMPUTED_VALUE"""),"Статия в списания и поредици")</f>
        <v>Статия в списания и поредици</v>
      </c>
      <c r="C4554" s="10" t="str">
        <f ca="1">IFERROR(__xludf.DUMMYFUNCTION("""COMPUTED_VALUE"""),"Large scale computations in environmental modelling: Editorial introduction")</f>
        <v>Large scale computations in environmental modelling: Editorial introduction</v>
      </c>
      <c r="D4554" s="10">
        <f ca="1">IFERROR(__xludf.DUMMYFUNCTION("""COMPUTED_VALUE"""),2008)</f>
        <v>2008</v>
      </c>
      <c r="E4554" s="10" t="str">
        <f ca="1">IFERROR(__xludf.DUMMYFUNCTION("""COMPUTED_VALUE"""),"Zlatev, Z; Ebel, A; Georgiev, K; Jose, R.S; Large scale computations in environmental modelling: Editorial introduction, ECOLOGICAL MODELLING, Vol: 217 Issue: 3-4 Pages: 207-208, DOI: 10.1016/j.ecolmodel.2008.06.001, 2008")</f>
        <v>Zlatev, Z; Ebel, A; Georgiev, K; Jose, R.S; Large scale computations in environmental modelling: Editorial introduction, ECOLOGICAL MODELLING, Vol: 217 Issue: 3-4 Pages: 207-208, DOI: 10.1016/j.ecolmodel.2008.06.001, 2008</v>
      </c>
      <c r="F4554" s="10" t="str">
        <f ca="1">IFERROR(__xludf.DUMMYFUNCTION("""COMPUTED_VALUE"""),"Scopus/WoS")</f>
        <v>Scopus/WoS</v>
      </c>
      <c r="G4554" s="10" t="str">
        <f ca="1">IFERROR(__xludf.DUMMYFUNCTION("""COMPUTED_VALUE"""),"Zlatev, Z; Ebel, A; Georgiev, K; Jose, R.S")</f>
        <v>Zlatev, Z; Ebel, A; Georgiev, K; Jose, R.S</v>
      </c>
      <c r="H4554" s="10"/>
      <c r="I4554" s="10"/>
      <c r="J4554" s="10"/>
      <c r="K4554" s="10"/>
      <c r="L4554" s="10"/>
      <c r="M4554" s="10"/>
      <c r="N4554" s="10"/>
      <c r="O4554" s="10"/>
      <c r="P4554" s="10"/>
      <c r="Q4554" s="10"/>
      <c r="R4554" s="10"/>
      <c r="S4554" s="10"/>
      <c r="T4554" s="10"/>
      <c r="U4554" s="10"/>
      <c r="V4554" s="10"/>
      <c r="W4554" s="10"/>
      <c r="X4554" s="10"/>
      <c r="Y4554" s="10"/>
      <c r="Z4554" s="10"/>
    </row>
    <row r="4555" spans="1:26" ht="12.75">
      <c r="A4555" s="10" t="str">
        <f ca="1">IFERROR(__xludf.DUMMYFUNCTION("""COMPUTED_VALUE"""),"Красимир Тодоров Георгиев")</f>
        <v>Красимир Тодоров Георгиев</v>
      </c>
      <c r="B4555" s="10" t="str">
        <f ca="1">IFERROR(__xludf.DUMMYFUNCTION("""COMPUTED_VALUE"""),"Статия в списания и поредици")</f>
        <v>Статия в списания и поредици</v>
      </c>
      <c r="C4555" s="10" t="str">
        <f ca="1">IFERROR(__xludf.DUMMYFUNCTION("""COMPUTED_VALUE"""),"Numerical and computational issues related to applied mathematical modelling – Preface")</f>
        <v>Numerical and computational issues related to applied mathematical modelling – Preface</v>
      </c>
      <c r="D4555" s="10">
        <f ca="1">IFERROR(__xludf.DUMMYFUNCTION("""COMPUTED_VALUE"""),2008)</f>
        <v>2008</v>
      </c>
      <c r="E4555" s="10" t="str">
        <f ca="1">IFERROR(__xludf.DUMMYFUNCTION("""COMPUTED_VALUE"""),"Farago, I; Georgiev, K; Thomsen, P.G; Zlatev, Z; Numerical and computational issues related to applied mathematical modelling – Preface, APPLIED MATHEMATICAL MODELLING, Vol: 32 Issue: 8 Pages: 1475-1476, 2008, DOI: 10.1016/j.apm.2007.06.035")</f>
        <v>Farago, I; Georgiev, K; Thomsen, P.G; Zlatev, Z; Numerical and computational issues related to applied mathematical modelling – Preface, APPLIED MATHEMATICAL MODELLING, Vol: 32 Issue: 8 Pages: 1475-1476, 2008, DOI: 10.1016/j.apm.2007.06.035</v>
      </c>
      <c r="F4555" s="10" t="str">
        <f ca="1">IFERROR(__xludf.DUMMYFUNCTION("""COMPUTED_VALUE"""),"Scopus/WoS")</f>
        <v>Scopus/WoS</v>
      </c>
      <c r="G4555" s="10" t="str">
        <f ca="1">IFERROR(__xludf.DUMMYFUNCTION("""COMPUTED_VALUE"""),"Farago, I; Georgiev, K; Thomsen, P.G; Zlatev, Z")</f>
        <v>Farago, I; Georgiev, K; Thomsen, P.G; Zlatev, Z</v>
      </c>
      <c r="H4555" s="10"/>
      <c r="I4555" s="10"/>
      <c r="J4555" s="10"/>
      <c r="K4555" s="10"/>
      <c r="L4555" s="10"/>
      <c r="M4555" s="10"/>
      <c r="N4555" s="10"/>
      <c r="O4555" s="10"/>
      <c r="P4555" s="10"/>
      <c r="Q4555" s="10"/>
      <c r="R4555" s="10"/>
      <c r="S4555" s="10"/>
      <c r="T4555" s="10"/>
      <c r="U4555" s="10"/>
      <c r="V4555" s="10"/>
      <c r="W4555" s="10"/>
      <c r="X4555" s="10"/>
      <c r="Y4555" s="10"/>
      <c r="Z4555" s="10"/>
    </row>
    <row r="4556" spans="1:26" ht="12.75">
      <c r="A4556" s="10" t="str">
        <f ca="1">IFERROR(__xludf.DUMMYFUNCTION("""COMPUTED_VALUE"""),"Красимир Тодоров Георгиев")</f>
        <v>Красимир Тодоров Георгиев</v>
      </c>
      <c r="B4556" s="10" t="str">
        <f ca="1">IFERROR(__xludf.DUMMYFUNCTION("""COMPUTED_VALUE"""),"Статия в списания и поредици")</f>
        <v>Статия в списания и поредици</v>
      </c>
      <c r="C4556" s="10" t="str">
        <f ca="1">IFERROR(__xludf.DUMMYFUNCTION("""COMPUTED_VALUE"""),"Large-Scale computations in environmental modelling")</f>
        <v>Large-Scale computations in environmental modelling</v>
      </c>
      <c r="D4556" s="10">
        <f ca="1">IFERROR(__xludf.DUMMYFUNCTION("""COMPUTED_VALUE"""),2008)</f>
        <v>2008</v>
      </c>
      <c r="E4556" s="10" t="str">
        <f ca="1">IFERROR(__xludf.DUMMYFUNCTION("""COMPUTED_VALUE"""),"IJEP, 32 (2)")</f>
        <v>IJEP, 32 (2)</v>
      </c>
      <c r="F4556" s="10"/>
      <c r="G4556" s="10" t="str">
        <f ca="1">IFERROR(__xludf.DUMMYFUNCTION("""COMPUTED_VALUE"""),"Да")</f>
        <v>Да</v>
      </c>
      <c r="H4556" s="10"/>
      <c r="I4556" s="10"/>
      <c r="J4556" s="10"/>
      <c r="K4556" s="10"/>
      <c r="L4556" s="10"/>
      <c r="M4556" s="10"/>
      <c r="N4556" s="10"/>
      <c r="O4556" s="10"/>
      <c r="P4556" s="10"/>
      <c r="Q4556" s="10"/>
      <c r="R4556" s="10"/>
      <c r="S4556" s="10"/>
      <c r="T4556" s="10"/>
      <c r="U4556" s="10"/>
      <c r="V4556" s="10"/>
      <c r="W4556" s="10"/>
      <c r="X4556" s="10"/>
      <c r="Y4556" s="10"/>
      <c r="Z4556" s="10"/>
    </row>
    <row r="4557" spans="1:26" ht="12.75">
      <c r="A4557" s="10" t="str">
        <f ca="1">IFERROR(__xludf.DUMMYFUNCTION("""COMPUTED_VALUE"""),"Красимир Тодоров Георгиев")</f>
        <v>Красимир Тодоров Георгиев</v>
      </c>
      <c r="B4557" s="10" t="str">
        <f ca="1">IFERROR(__xludf.DUMMYFUNCTION("""COMPUTED_VALUE"""),"Статия в списания и поредици")</f>
        <v>Статия в списания и поредици</v>
      </c>
      <c r="C4557" s="10" t="str">
        <f ca="1">IFERROR(__xludf.DUMMYFUNCTION("""COMPUTED_VALUE"""),"On the numerical solution of the heat transfer equation in the process of freeze drying")</f>
        <v>On the numerical solution of the heat transfer equation in the process of freeze drying</v>
      </c>
      <c r="D4557" s="10">
        <f ca="1">IFERROR(__xludf.DUMMYFUNCTION("""COMPUTED_VALUE"""),2008)</f>
        <v>2008</v>
      </c>
      <c r="E4557" s="10" t="str">
        <f ca="1">IFERROR(__xludf.DUMMYFUNCTION("""COMPUTED_VALUE"""),"Georgiev, K; Kosturski, N; Margenov S; On the numerical solution of the heat transfer equation in the process of freeze drying, Lecture Notes in Computer Science, Vol: 4818 Pages: 410-416, DOI: 10.1007/978-3-540-78827-0_46, 2008")</f>
        <v>Georgiev, K; Kosturski, N; Margenov S; On the numerical solution of the heat transfer equation in the process of freeze drying, Lecture Notes in Computer Science, Vol: 4818 Pages: 410-416, DOI: 10.1007/978-3-540-78827-0_46, 2008</v>
      </c>
      <c r="F4557" s="10" t="str">
        <f ca="1">IFERROR(__xludf.DUMMYFUNCTION("""COMPUTED_VALUE"""),"Scopus/WoS")</f>
        <v>Scopus/WoS</v>
      </c>
      <c r="G4557" s="10" t="str">
        <f ca="1">IFERROR(__xludf.DUMMYFUNCTION("""COMPUTED_VALUE"""),"Georgiev, K; Kosturski, N; Margenov S")</f>
        <v>Georgiev, K; Kosturski, N; Margenov S</v>
      </c>
      <c r="H4557" s="10"/>
      <c r="I4557" s="10"/>
      <c r="J4557" s="10"/>
      <c r="K4557" s="10"/>
      <c r="L4557" s="10"/>
      <c r="M4557" s="10"/>
      <c r="N4557" s="10"/>
      <c r="O4557" s="10"/>
      <c r="P4557" s="10"/>
      <c r="Q4557" s="10"/>
      <c r="R4557" s="10"/>
      <c r="S4557" s="10"/>
      <c r="T4557" s="10"/>
      <c r="U4557" s="10"/>
      <c r="V4557" s="10"/>
      <c r="W4557" s="10"/>
      <c r="X4557" s="10"/>
      <c r="Y4557" s="10"/>
      <c r="Z4557" s="10"/>
    </row>
    <row r="4558" spans="1:26" ht="12.75">
      <c r="A4558" s="10" t="str">
        <f ca="1">IFERROR(__xludf.DUMMYFUNCTION("""COMPUTED_VALUE"""),"Красимир Тодоров Георгиев")</f>
        <v>Красимир Тодоров Георгиев</v>
      </c>
      <c r="B4558" s="10" t="str">
        <f ca="1">IFERROR(__xludf.DUMMYFUNCTION("""COMPUTED_VALUE"""),"Статия в списания и поредици")</f>
        <v>Статия в списания и поредици</v>
      </c>
      <c r="C4558" s="10" t="str">
        <f ca="1">IFERROR(__xludf.DUMMYFUNCTION("""COMPUTED_VALUE"""),"Model studies of sulfate and sulfur dioxide in the Atmosphere and some comparisons with measurements")</f>
        <v>Model studies of sulfate and sulfur dioxide in the Atmosphere and some comparisons with measurements</v>
      </c>
      <c r="D4558" s="10">
        <f ca="1">IFERROR(__xludf.DUMMYFUNCTION("""COMPUTED_VALUE"""),2007)</f>
        <v>2007</v>
      </c>
      <c r="E4558" s="10" t="str">
        <f ca="1">IFERROR(__xludf.DUMMYFUNCTION("""COMPUTED_VALUE"""),"NATO Science for Peace and Security Series, D")</f>
        <v>NATO Science for Peace and Security Series, D</v>
      </c>
      <c r="F4558" s="10"/>
      <c r="G4558" s="10" t="str">
        <f ca="1">IFERROR(__xludf.DUMMYFUNCTION("""COMPUTED_VALUE"""),"Не")</f>
        <v>Не</v>
      </c>
      <c r="H4558" s="10"/>
      <c r="I4558" s="10"/>
      <c r="J4558" s="10"/>
      <c r="K4558" s="10"/>
      <c r="L4558" s="10"/>
      <c r="M4558" s="10"/>
      <c r="N4558" s="10"/>
      <c r="O4558" s="10"/>
      <c r="P4558" s="10"/>
      <c r="Q4558" s="10"/>
      <c r="R4558" s="10"/>
      <c r="S4558" s="10"/>
      <c r="T4558" s="10"/>
      <c r="U4558" s="10"/>
      <c r="V4558" s="10"/>
      <c r="W4558" s="10"/>
      <c r="X4558" s="10"/>
      <c r="Y4558" s="10"/>
      <c r="Z4558" s="10"/>
    </row>
    <row r="4559" spans="1:26" ht="12.75">
      <c r="A4559" s="10" t="str">
        <f ca="1">IFERROR(__xludf.DUMMYFUNCTION("""COMPUTED_VALUE"""),"Красимир Тодоров Георгиев")</f>
        <v>Красимир Тодоров Георгиев</v>
      </c>
      <c r="B4559" s="10" t="str">
        <f ca="1">IFERROR(__xludf.DUMMYFUNCTION("""COMPUTED_VALUE"""),"Статия в списания и поредици")</f>
        <v>Статия в списания и поредици</v>
      </c>
      <c r="C4559" s="10" t="str">
        <f ca="1">IFERROR(__xludf.DUMMYFUNCTION("""COMPUTED_VALUE"""),"On an Implementation of the TM5 Global Model on a Cluster of Workstations")</f>
        <v>On an Implementation of the TM5 Global Model on a Cluster of Workstations</v>
      </c>
      <c r="D4559" s="10">
        <f ca="1">IFERROR(__xludf.DUMMYFUNCTION("""COMPUTED_VALUE"""),2007)</f>
        <v>2007</v>
      </c>
      <c r="E4559" s="10" t="str">
        <f ca="1">IFERROR(__xludf.DUMMYFUNCTION("""COMPUTED_VALUE"""),"Georgiev, K, On an Implementation of the TM5 Global Model on a Cluster of Workstations, Lecture Notes in Computer Science, Vol: 4310, pp. 451–457, 2007")</f>
        <v>Georgiev, K, On an Implementation of the TM5 Global Model on a Cluster of Workstations, Lecture Notes in Computer Science, Vol: 4310, pp. 451–457, 2007</v>
      </c>
      <c r="F4559" s="10" t="str">
        <f ca="1">IFERROR(__xludf.DUMMYFUNCTION("""COMPUTED_VALUE"""),"Scopus/WoS")</f>
        <v>Scopus/WoS</v>
      </c>
      <c r="G4559" s="10"/>
      <c r="H4559" s="10"/>
      <c r="I4559" s="10"/>
      <c r="J4559" s="10"/>
      <c r="K4559" s="10"/>
      <c r="L4559" s="10"/>
      <c r="M4559" s="10"/>
      <c r="N4559" s="10"/>
      <c r="O4559" s="10"/>
      <c r="P4559" s="10"/>
      <c r="Q4559" s="10"/>
      <c r="R4559" s="10"/>
      <c r="S4559" s="10"/>
      <c r="T4559" s="10"/>
      <c r="U4559" s="10"/>
      <c r="V4559" s="10"/>
      <c r="W4559" s="10"/>
      <c r="X4559" s="10"/>
      <c r="Y4559" s="10"/>
      <c r="Z4559" s="10"/>
    </row>
    <row r="4560" spans="1:26" ht="12.75">
      <c r="A4560" s="10" t="str">
        <f ca="1">IFERROR(__xludf.DUMMYFUNCTION("""COMPUTED_VALUE"""),"Красимир Тодоров Георгиев")</f>
        <v>Красимир Тодоров Георгиев</v>
      </c>
      <c r="B4560" s="10" t="str">
        <f ca="1">IFERROR(__xludf.DUMMYFUNCTION("""COMPUTED_VALUE"""),"Статия в списания и поредици")</f>
        <v>Статия в списания и поредици</v>
      </c>
      <c r="C4560" s="10" t="str">
        <f ca="1">IFERROR(__xludf.DUMMYFUNCTION("""COMPUTED_VALUE"""),"Environmental modelling for security: future needs and development of computer networking, numerics and algorithms")</f>
        <v>Environmental modelling for security: future needs and development of computer networking, numerics and algorithms</v>
      </c>
      <c r="D4560" s="10">
        <f ca="1">IFERROR(__xludf.DUMMYFUNCTION("""COMPUTED_VALUE"""),2007)</f>
        <v>2007</v>
      </c>
      <c r="E4560" s="10" t="str">
        <f ca="1">IFERROR(__xludf.DUMMYFUNCTION("""COMPUTED_VALUE"""),"NATO Science, Series C. Environmental Security")</f>
        <v>NATO Science, Series C. Environmental Security</v>
      </c>
      <c r="F4560" s="10"/>
      <c r="G4560" s="10" t="str">
        <f ca="1">IFERROR(__xludf.DUMMYFUNCTION("""COMPUTED_VALUE"""),"Да")</f>
        <v>Да</v>
      </c>
      <c r="H4560" s="10"/>
      <c r="I4560" s="10"/>
      <c r="J4560" s="10"/>
      <c r="K4560" s="10"/>
      <c r="L4560" s="10"/>
      <c r="M4560" s="10"/>
      <c r="N4560" s="10"/>
      <c r="O4560" s="10"/>
      <c r="P4560" s="10"/>
      <c r="Q4560" s="10"/>
      <c r="R4560" s="10"/>
      <c r="S4560" s="10"/>
      <c r="T4560" s="10"/>
      <c r="U4560" s="10"/>
      <c r="V4560" s="10"/>
      <c r="W4560" s="10"/>
      <c r="X4560" s="10"/>
      <c r="Y4560" s="10"/>
      <c r="Z4560" s="10"/>
    </row>
    <row r="4561" spans="1:26" ht="12.75">
      <c r="A4561" s="10" t="str">
        <f ca="1">IFERROR(__xludf.DUMMYFUNCTION("""COMPUTED_VALUE"""),"Красимир Тодоров Георгиев")</f>
        <v>Красимир Тодоров Георгиев</v>
      </c>
      <c r="B4561" s="10" t="str">
        <f ca="1">IFERROR(__xludf.DUMMYFUNCTION("""COMPUTED_VALUE"""),"Статия в списания и поредици")</f>
        <v>Статия в списания и поредици</v>
      </c>
      <c r="C4561" s="10" t="str">
        <f ca="1">IFERROR(__xludf.DUMMYFUNCTION("""COMPUTED_VALUE"""),"On the computer simulation of heat and mass transfer in vacuum freeze-drying")</f>
        <v>On the computer simulation of heat and mass transfer in vacuum freeze-drying</v>
      </c>
      <c r="D4561" s="10">
        <f ca="1">IFERROR(__xludf.DUMMYFUNCTION("""COMPUTED_VALUE"""),2007)</f>
        <v>2007</v>
      </c>
      <c r="E4561" s="10" t="str">
        <f ca="1">IFERROR(__xludf.DUMMYFUNCTION("""COMPUTED_VALUE"""),"Proc. of IEEE Multiconference on Computer Science and Information Technology, Wisla")</f>
        <v>Proc. of IEEE Multiconference on Computer Science and Information Technology, Wisla</v>
      </c>
      <c r="F4561" s="10"/>
      <c r="G4561" s="10" t="str">
        <f ca="1">IFERROR(__xludf.DUMMYFUNCTION("""COMPUTED_VALUE"""),"Да")</f>
        <v>Да</v>
      </c>
      <c r="H4561" s="10"/>
      <c r="I4561" s="10"/>
      <c r="J4561" s="10"/>
      <c r="K4561" s="10"/>
      <c r="L4561" s="10"/>
      <c r="M4561" s="10"/>
      <c r="N4561" s="10"/>
      <c r="O4561" s="10"/>
      <c r="P4561" s="10"/>
      <c r="Q4561" s="10"/>
      <c r="R4561" s="10"/>
      <c r="S4561" s="10"/>
      <c r="T4561" s="10"/>
      <c r="U4561" s="10"/>
      <c r="V4561" s="10"/>
      <c r="W4561" s="10"/>
      <c r="X4561" s="10"/>
      <c r="Y4561" s="10"/>
      <c r="Z4561" s="10"/>
    </row>
    <row r="4562" spans="1:26" ht="12.75">
      <c r="A4562" s="10" t="str">
        <f ca="1">IFERROR(__xludf.DUMMYFUNCTION("""COMPUTED_VALUE"""),"Красимир Тодоров Георгиев")</f>
        <v>Красимир Тодоров Георгиев</v>
      </c>
      <c r="B4562" s="10" t="str">
        <f ca="1">IFERROR(__xludf.DUMMYFUNCTION("""COMPUTED_VALUE"""),"Статия в списания и поредици")</f>
        <v>Статия в списания и поредици</v>
      </c>
      <c r="C4562" s="10" t="str">
        <f ca="1">IFERROR(__xludf.DUMMYFUNCTION("""COMPUTED_VALUE"""),"On an implementation of on the TM5 global model on a cluster of workstations")</f>
        <v>On an implementation of on the TM5 global model on a cluster of workstations</v>
      </c>
      <c r="D4562" s="10">
        <f ca="1">IFERROR(__xludf.DUMMYFUNCTION("""COMPUTED_VALUE"""),2007)</f>
        <v>2007</v>
      </c>
      <c r="E4562" s="10" t="str">
        <f ca="1">IFERROR(__xludf.DUMMYFUNCTION("""COMPUTED_VALUE"""),"On an implementation of the TM5 global model on a cluster of workstations, LECTURE NOTES IN COMPUTER SCIENCE, Volume: 4310 Pages: 451-457")</f>
        <v>On an implementation of the TM5 global model on a cluster of workstations, LECTURE NOTES IN COMPUTER SCIENCE, Volume: 4310 Pages: 451-457</v>
      </c>
      <c r="F4562" s="10" t="str">
        <f ca="1">IFERROR(__xludf.DUMMYFUNCTION("""COMPUTED_VALUE"""),"Scopus/WoS")</f>
        <v>Scopus/WoS</v>
      </c>
      <c r="G4562" s="10" t="str">
        <f ca="1">IFERROR(__xludf.DUMMYFUNCTION("""COMPUTED_VALUE"""),"Не")</f>
        <v>Не</v>
      </c>
      <c r="H4562" s="10"/>
      <c r="I4562" s="10"/>
      <c r="J4562" s="10"/>
      <c r="K4562" s="10"/>
      <c r="L4562" s="10"/>
      <c r="M4562" s="10"/>
      <c r="N4562" s="10"/>
      <c r="O4562" s="10"/>
      <c r="P4562" s="10"/>
      <c r="Q4562" s="10"/>
      <c r="R4562" s="10"/>
      <c r="S4562" s="10"/>
      <c r="T4562" s="10"/>
      <c r="U4562" s="10"/>
      <c r="V4562" s="10"/>
      <c r="W4562" s="10"/>
      <c r="X4562" s="10"/>
      <c r="Y4562" s="10"/>
      <c r="Z4562" s="10"/>
    </row>
    <row r="4563" spans="1:26" ht="12.75">
      <c r="A4563" s="10" t="str">
        <f ca="1">IFERROR(__xludf.DUMMYFUNCTION("""COMPUTED_VALUE"""),"Красимир Тодоров Георгиев")</f>
        <v>Красимир Тодоров Георгиев</v>
      </c>
      <c r="B4563" s="10" t="str">
        <f ca="1">IFERROR(__xludf.DUMMYFUNCTION("""COMPUTED_VALUE"""),"Статия в списания и поредици")</f>
        <v>Статия в списания и поредици</v>
      </c>
      <c r="C4563" s="10" t="str">
        <f ca="1">IFERROR(__xludf.DUMMYFUNCTION("""COMPUTED_VALUE"""),"Treatment of large scientific problems: An introduction")</f>
        <v>Treatment of large scientific problems: An introduction</v>
      </c>
      <c r="D4563" s="10">
        <f ca="1">IFERROR(__xludf.DUMMYFUNCTION("""COMPUTED_VALUE"""),2006)</f>
        <v>2006</v>
      </c>
      <c r="E4563" s="10" t="str">
        <f ca="1">IFERROR(__xludf.DUMMYFUNCTION("""COMPUTED_VALUE"""),"Zlatev, Z; Georgiev, K; Treatment of large scientific problems: An introduction, Lecture Notes in Computer Science, Volume: 3732, Pages: 828-830, 2006")</f>
        <v>Zlatev, Z; Georgiev, K; Treatment of large scientific problems: An introduction, Lecture Notes in Computer Science, Volume: 3732, Pages: 828-830, 2006</v>
      </c>
      <c r="F4563" s="10" t="str">
        <f ca="1">IFERROR(__xludf.DUMMYFUNCTION("""COMPUTED_VALUE"""),"Scopus/WoS")</f>
        <v>Scopus/WoS</v>
      </c>
      <c r="G4563" s="10" t="str">
        <f ca="1">IFERROR(__xludf.DUMMYFUNCTION("""COMPUTED_VALUE"""),"Zlatev, Z; Georgiev, K")</f>
        <v>Zlatev, Z; Georgiev, K</v>
      </c>
      <c r="H4563" s="10"/>
      <c r="I4563" s="10"/>
      <c r="J4563" s="10"/>
      <c r="K4563" s="10"/>
      <c r="L4563" s="10"/>
      <c r="M4563" s="10"/>
      <c r="N4563" s="10"/>
      <c r="O4563" s="10"/>
      <c r="P4563" s="10"/>
      <c r="Q4563" s="10"/>
      <c r="R4563" s="10"/>
      <c r="S4563" s="10"/>
      <c r="T4563" s="10"/>
      <c r="U4563" s="10"/>
      <c r="V4563" s="10"/>
      <c r="W4563" s="10"/>
      <c r="X4563" s="10"/>
      <c r="Y4563" s="10"/>
      <c r="Z4563" s="10"/>
    </row>
    <row r="4564" spans="1:26" ht="12.75">
      <c r="A4564" s="10" t="str">
        <f ca="1">IFERROR(__xludf.DUMMYFUNCTION("""COMPUTED_VALUE"""),"Красимир Тодоров Георгиев")</f>
        <v>Красимир Тодоров Георгиев</v>
      </c>
      <c r="B4564" s="10" t="str">
        <f ca="1">IFERROR(__xludf.DUMMYFUNCTION("""COMPUTED_VALUE"""),"Статия в списания и поредици")</f>
        <v>Статия в списания и поредици</v>
      </c>
      <c r="C4564" s="10" t="str">
        <f ca="1">IFERROR(__xludf.DUMMYFUNCTION("""COMPUTED_VALUE"""),"On some ozone studies: comparison of model results and measurments over the teritory of Bulgaria")</f>
        <v>On some ozone studies: comparison of model results and measurments over the teritory of Bulgaria</v>
      </c>
      <c r="D4564" s="10">
        <f ca="1">IFERROR(__xludf.DUMMYFUNCTION("""COMPUTED_VALUE"""),2006)</f>
        <v>2006</v>
      </c>
      <c r="E4564" s="10" t="str">
        <f ca="1">IFERROR(__xludf.DUMMYFUNCTION("""COMPUTED_VALUE"""),"Problems in Programming, No. 2–3")</f>
        <v>Problems in Programming, No. 2–3</v>
      </c>
      <c r="F4564" s="10"/>
      <c r="G4564" s="10" t="str">
        <f ca="1">IFERROR(__xludf.DUMMYFUNCTION("""COMPUTED_VALUE"""),"Да")</f>
        <v>Да</v>
      </c>
      <c r="H4564" s="10"/>
      <c r="I4564" s="10"/>
      <c r="J4564" s="10"/>
      <c r="K4564" s="10"/>
      <c r="L4564" s="10"/>
      <c r="M4564" s="10"/>
      <c r="N4564" s="10"/>
      <c r="O4564" s="10"/>
      <c r="P4564" s="10"/>
      <c r="Q4564" s="10"/>
      <c r="R4564" s="10"/>
      <c r="S4564" s="10"/>
      <c r="T4564" s="10"/>
      <c r="U4564" s="10"/>
      <c r="V4564" s="10"/>
      <c r="W4564" s="10"/>
      <c r="X4564" s="10"/>
      <c r="Y4564" s="10"/>
      <c r="Z4564" s="10"/>
    </row>
    <row r="4565" spans="1:26" ht="12.75">
      <c r="A4565" s="10" t="str">
        <f ca="1">IFERROR(__xludf.DUMMYFUNCTION("""COMPUTED_VALUE"""),"Красимир Тодоров Георгиев")</f>
        <v>Красимир Тодоров Георгиев</v>
      </c>
      <c r="B4565" s="10" t="str">
        <f ca="1">IFERROR(__xludf.DUMMYFUNCTION("""COMPUTED_VALUE"""),"Статия в списания и поредици")</f>
        <v>Статия в списания и поредици</v>
      </c>
      <c r="C4565" s="10" t="str">
        <f ca="1">IFERROR(__xludf.DUMMYFUNCTION("""COMPUTED_VALUE"""),"Emission Control in Single Species Air Pollution Problems, NATO Science, Series 2. Environmental Security")</f>
        <v>Emission Control in Single Species Air Pollution Problems, NATO Science, Series 2. Environmental Security</v>
      </c>
      <c r="D4565" s="10">
        <f ca="1">IFERROR(__xludf.DUMMYFUNCTION("""COMPUTED_VALUE"""),2005)</f>
        <v>2005</v>
      </c>
      <c r="E4565" s="10" t="str">
        <f ca="1">IFERROR(__xludf.DUMMYFUNCTION("""COMPUTED_VALUE"""),"Springer, Vol. 54")</f>
        <v>Springer, Vol. 54</v>
      </c>
      <c r="F4565" s="10"/>
      <c r="G4565" s="10" t="str">
        <f ca="1">IFERROR(__xludf.DUMMYFUNCTION("""COMPUTED_VALUE"""),"Да")</f>
        <v>Да</v>
      </c>
      <c r="H4565" s="10"/>
      <c r="I4565" s="10"/>
      <c r="J4565" s="10"/>
      <c r="K4565" s="10"/>
      <c r="L4565" s="10"/>
      <c r="M4565" s="10"/>
      <c r="N4565" s="10"/>
      <c r="O4565" s="10"/>
      <c r="P4565" s="10"/>
      <c r="Q4565" s="10"/>
      <c r="R4565" s="10"/>
      <c r="S4565" s="10"/>
      <c r="T4565" s="10"/>
      <c r="U4565" s="10"/>
      <c r="V4565" s="10"/>
      <c r="W4565" s="10"/>
      <c r="X4565" s="10"/>
      <c r="Y4565" s="10"/>
      <c r="Z4565" s="10"/>
    </row>
    <row r="4566" spans="1:26" ht="12.75">
      <c r="A4566" s="10" t="str">
        <f ca="1">IFERROR(__xludf.DUMMYFUNCTION("""COMPUTED_VALUE"""),"Красимир Тодоров Георгиев")</f>
        <v>Красимир Тодоров Георгиев</v>
      </c>
      <c r="B4566" s="10" t="str">
        <f ca="1">IFERROR(__xludf.DUMMYFUNCTION("""COMPUTED_VALUE"""),"Статия в списания и поредици")</f>
        <v>Статия в списания и поредици</v>
      </c>
      <c r="C4566" s="10" t="str">
        <f ca="1">IFERROR(__xludf.DUMMYFUNCTION("""COMPUTED_VALUE"""),"Higher order non-conforming FEM up-winding")</f>
        <v>Higher order non-conforming FEM up-winding</v>
      </c>
      <c r="D4566" s="10">
        <f ca="1">IFERROR(__xludf.DUMMYFUNCTION("""COMPUTED_VALUE"""),2005)</f>
        <v>2005</v>
      </c>
      <c r="E4566" s="10" t="str">
        <f ca="1">IFERROR(__xludf.DUMMYFUNCTION("""COMPUTED_VALUE"""),"NATO Science, Series 2. Environmental Security, Springer")</f>
        <v>NATO Science, Series 2. Environmental Security, Springer</v>
      </c>
      <c r="F4566" s="10"/>
      <c r="G4566" s="10" t="str">
        <f ca="1">IFERROR(__xludf.DUMMYFUNCTION("""COMPUTED_VALUE"""),"Да")</f>
        <v>Да</v>
      </c>
      <c r="H4566" s="10"/>
      <c r="I4566" s="10"/>
      <c r="J4566" s="10"/>
      <c r="K4566" s="10"/>
      <c r="L4566" s="10"/>
      <c r="M4566" s="10"/>
      <c r="N4566" s="10"/>
      <c r="O4566" s="10"/>
      <c r="P4566" s="10"/>
      <c r="Q4566" s="10"/>
      <c r="R4566" s="10"/>
      <c r="S4566" s="10"/>
      <c r="T4566" s="10"/>
      <c r="U4566" s="10"/>
      <c r="V4566" s="10"/>
      <c r="W4566" s="10"/>
      <c r="X4566" s="10"/>
      <c r="Y4566" s="10"/>
      <c r="Z4566" s="10"/>
    </row>
    <row r="4567" spans="1:26" ht="12.75">
      <c r="A4567" s="10" t="str">
        <f ca="1">IFERROR(__xludf.DUMMYFUNCTION("""COMPUTED_VALUE"""),"Красимир Тодоров Георгиев")</f>
        <v>Красимир Тодоров Георгиев</v>
      </c>
      <c r="B4567" s="10" t="str">
        <f ca="1">IFERROR(__xludf.DUMMYFUNCTION("""COMPUTED_VALUE"""),"Статия в списания и поредици")</f>
        <v>Статия в списания и поредици</v>
      </c>
      <c r="C4567" s="10" t="str">
        <f ca="1">IFERROR(__xludf.DUMMYFUNCTION("""COMPUTED_VALUE"""),"Performance results of a large-scale air pollution model on two parallel computers")</f>
        <v>Performance results of a large-scale air pollution model on two parallel computers</v>
      </c>
      <c r="D4567" s="10">
        <f ca="1">IFERROR(__xludf.DUMMYFUNCTION("""COMPUTED_VALUE"""),2004)</f>
        <v>2004</v>
      </c>
      <c r="E4567" s="10" t="str">
        <f ca="1">IFERROR(__xludf.DUMMYFUNCTION("""COMPUTED_VALUE"""),"Performance results of a large-scale air pollution model on two parallel computers, INTERNATIONAL JOURNAL OF ENVIRONMENT AND POLLUTION, Volume: 22 Issue: 1-2 Pages: 43-50, DOI: 10.1504/IJEP.2004.005486")</f>
        <v>Performance results of a large-scale air pollution model on two parallel computers, INTERNATIONAL JOURNAL OF ENVIRONMENT AND POLLUTION, Volume: 22 Issue: 1-2 Pages: 43-50, DOI: 10.1504/IJEP.2004.005486</v>
      </c>
      <c r="F4567" s="10" t="str">
        <f ca="1">IFERROR(__xludf.DUMMYFUNCTION("""COMPUTED_VALUE"""),"Scopus/WoS")</f>
        <v>Scopus/WoS</v>
      </c>
      <c r="G4567" s="10" t="str">
        <f ca="1">IFERROR(__xludf.DUMMYFUNCTION("""COMPUTED_VALUE"""),"Ostromsky, T,")</f>
        <v>Ostromsky, T,</v>
      </c>
      <c r="H4567" s="10"/>
      <c r="I4567" s="10"/>
      <c r="J4567" s="10"/>
      <c r="K4567" s="10"/>
      <c r="L4567" s="10"/>
      <c r="M4567" s="10"/>
      <c r="N4567" s="10"/>
      <c r="O4567" s="10"/>
      <c r="P4567" s="10"/>
      <c r="Q4567" s="10"/>
      <c r="R4567" s="10"/>
      <c r="S4567" s="10"/>
      <c r="T4567" s="10"/>
      <c r="U4567" s="10"/>
      <c r="V4567" s="10"/>
      <c r="W4567" s="10"/>
      <c r="X4567" s="10"/>
      <c r="Y4567" s="10"/>
      <c r="Z4567" s="10"/>
    </row>
    <row r="4568" spans="1:26" ht="12.75">
      <c r="A4568" s="10" t="str">
        <f ca="1">IFERROR(__xludf.DUMMYFUNCTION("""COMPUTED_VALUE"""),"Красимир Тодоров Георгиев")</f>
        <v>Красимир Тодоров Георгиев</v>
      </c>
      <c r="B4568" s="10" t="str">
        <f ca="1">IFERROR(__xludf.DUMMYFUNCTION("""COMPUTED_VALUE"""),"Статия в списания и поредици")</f>
        <v>Статия в списания и поредици</v>
      </c>
      <c r="C4568" s="10" t="str">
        <f ca="1">IFERROR(__xludf.DUMMYFUNCTION("""COMPUTED_VALUE"""),"Computational challeneges in the numerical treatment of large air pollution models")</f>
        <v>Computational challeneges in the numerical treatment of large air pollution models</v>
      </c>
      <c r="D4568" s="10">
        <f ca="1">IFERROR(__xludf.DUMMYFUNCTION("""COMPUTED_VALUE"""),2004)</f>
        <v>2004</v>
      </c>
      <c r="E4568" s="10" t="str">
        <f ca="1">IFERROR(__xludf.DUMMYFUNCTION("""COMPUTED_VALUE"""),"I. Dimov, K. Georgiev, Tz. Ostromsky, Z. Zlatev, Computational challeneges in the numerical treatment of large air pollution models, Ecological Modelling, 179 (2004)187 – 203, Elsevier, DOI: 10.1016/j.ecolmodel.2004.06.019")</f>
        <v>I. Dimov, K. Georgiev, Tz. Ostromsky, Z. Zlatev, Computational challeneges in the numerical treatment of large air pollution models, Ecological Modelling, 179 (2004)187 – 203, Elsevier, DOI: 10.1016/j.ecolmodel.2004.06.019</v>
      </c>
      <c r="F4568" s="10" t="str">
        <f ca="1">IFERROR(__xludf.DUMMYFUNCTION("""COMPUTED_VALUE"""),"Scopus/WoS")</f>
        <v>Scopus/WoS</v>
      </c>
      <c r="G4568" s="10" t="str">
        <f ca="1">IFERROR(__xludf.DUMMYFUNCTION("""COMPUTED_VALUE"""),"I. Dimov, K. Georgiev, Tz. Ostromsky, Z. Zlatev")</f>
        <v>I. Dimov, K. Georgiev, Tz. Ostromsky, Z. Zlatev</v>
      </c>
      <c r="H4568" s="10"/>
      <c r="I4568" s="10"/>
      <c r="J4568" s="10"/>
      <c r="K4568" s="10"/>
      <c r="L4568" s="10"/>
      <c r="M4568" s="10"/>
      <c r="N4568" s="10"/>
      <c r="O4568" s="10"/>
      <c r="P4568" s="10"/>
      <c r="Q4568" s="10"/>
      <c r="R4568" s="10"/>
      <c r="S4568" s="10"/>
      <c r="T4568" s="10"/>
      <c r="U4568" s="10"/>
      <c r="V4568" s="10"/>
      <c r="W4568" s="10"/>
      <c r="X4568" s="10"/>
      <c r="Y4568" s="10"/>
      <c r="Z4568" s="10"/>
    </row>
    <row r="4569" spans="1:26" ht="12.75">
      <c r="A4569" s="10" t="str">
        <f ca="1">IFERROR(__xludf.DUMMYFUNCTION("""COMPUTED_VALUE"""),"Красимир Тодоров Георгиев")</f>
        <v>Красимир Тодоров Георгиев</v>
      </c>
      <c r="B4569" s="10" t="str">
        <f ca="1">IFERROR(__xludf.DUMMYFUNCTION("""COMPUTED_VALUE"""),"Статия в списания и поредици")</f>
        <v>Статия в списания и поредици</v>
      </c>
      <c r="C4569" s="10" t="str">
        <f ca="1">IFERROR(__xludf.DUMMYFUNCTION("""COMPUTED_VALUE"""),"Large-scale scientific computations in air pollution modelling – Preface")</f>
        <v>Large-scale scientific computations in air pollution modelling – Preface</v>
      </c>
      <c r="D4569" s="10">
        <f ca="1">IFERROR(__xludf.DUMMYFUNCTION("""COMPUTED_VALUE"""),2004)</f>
        <v>2004</v>
      </c>
      <c r="E4569" s="10" t="str">
        <f ca="1">IFERROR(__xludf.DUMMYFUNCTION("""COMPUTED_VALUE"""),"Large-scale scientific computations in air pollution modelling – Preface, INTERNATIONAL JOURNAL OF ENVIRONMENT AND POLLUTION, Vol: 22 Issue: 1-2 Pages: 1-2")</f>
        <v>Large-scale scientific computations in air pollution modelling – Preface, INTERNATIONAL JOURNAL OF ENVIRONMENT AND POLLUTION, Vol: 22 Issue: 1-2 Pages: 1-2</v>
      </c>
      <c r="F4569" s="10" t="str">
        <f ca="1">IFERROR(__xludf.DUMMYFUNCTION("""COMPUTED_VALUE"""),"Scopus/WoS")</f>
        <v>Scopus/WoS</v>
      </c>
      <c r="G4569" s="10" t="str">
        <f ca="1">IFERROR(__xludf.DUMMYFUNCTION("""COMPUTED_VALUE"""),"Zlatev, Z; Ebel, A")</f>
        <v>Zlatev, Z; Ebel, A</v>
      </c>
      <c r="H4569" s="10"/>
      <c r="I4569" s="10"/>
      <c r="J4569" s="10"/>
      <c r="K4569" s="10"/>
      <c r="L4569" s="10"/>
      <c r="M4569" s="10"/>
      <c r="N4569" s="10"/>
      <c r="O4569" s="10"/>
      <c r="P4569" s="10"/>
      <c r="Q4569" s="10"/>
      <c r="R4569" s="10"/>
      <c r="S4569" s="10"/>
      <c r="T4569" s="10"/>
      <c r="U4569" s="10"/>
      <c r="V4569" s="10"/>
      <c r="W4569" s="10"/>
      <c r="X4569" s="10"/>
      <c r="Y4569" s="10"/>
      <c r="Z4569" s="10"/>
    </row>
    <row r="4570" spans="1:26" ht="12.75">
      <c r="A4570" s="10" t="str">
        <f ca="1">IFERROR(__xludf.DUMMYFUNCTION("""COMPUTED_VALUE"""),"Красимир Тодоров Георгиев")</f>
        <v>Красимир Тодоров Георгиев</v>
      </c>
      <c r="B4570" s="10" t="str">
        <f ca="1">IFERROR(__xludf.DUMMYFUNCTION("""COMPUTED_VALUE"""),"Статия в списания и поредици")</f>
        <v>Статия в списания и поредици</v>
      </c>
      <c r="C4570" s="10" t="str">
        <f ca="1">IFERROR(__xludf.DUMMYFUNCTION("""COMPUTED_VALUE"""),"An algorithm for parallel implementations of an Eulerian smog model")</f>
        <v>An algorithm for parallel implementations of an Eulerian smog model</v>
      </c>
      <c r="D4570" s="10">
        <f ca="1">IFERROR(__xludf.DUMMYFUNCTION("""COMPUTED_VALUE"""),2003)</f>
        <v>2003</v>
      </c>
      <c r="E4570" s="10" t="str">
        <f ca="1">IFERROR(__xludf.DUMMYFUNCTION("""COMPUTED_VALUE"""),"Georgiev, K, An algorithm for parallel implementations of an Eulerian smog model, Lecture Notes in Computer Science, Vol: 2542 Pages: 463-470, 2003")</f>
        <v>Georgiev, K, An algorithm for parallel implementations of an Eulerian smog model, Lecture Notes in Computer Science, Vol: 2542 Pages: 463-470, 2003</v>
      </c>
      <c r="F4570" s="10" t="str">
        <f ca="1">IFERROR(__xludf.DUMMYFUNCTION("""COMPUTED_VALUE"""),"Scopus")</f>
        <v>Scopus</v>
      </c>
      <c r="G4570" s="10"/>
      <c r="H4570" s="10"/>
      <c r="I4570" s="10"/>
      <c r="J4570" s="10"/>
      <c r="K4570" s="10"/>
      <c r="L4570" s="10"/>
      <c r="M4570" s="10"/>
      <c r="N4570" s="10"/>
      <c r="O4570" s="10"/>
      <c r="P4570" s="10"/>
      <c r="Q4570" s="10"/>
      <c r="R4570" s="10"/>
      <c r="S4570" s="10"/>
      <c r="T4570" s="10"/>
      <c r="U4570" s="10"/>
      <c r="V4570" s="10"/>
      <c r="W4570" s="10"/>
      <c r="X4570" s="10"/>
      <c r="Y4570" s="10"/>
      <c r="Z4570" s="10"/>
    </row>
    <row r="4571" spans="1:26" ht="12.75">
      <c r="A4571" s="10" t="str">
        <f ca="1">IFERROR(__xludf.DUMMYFUNCTION("""COMPUTED_VALUE"""),"Красимир Тодоров Георгиев")</f>
        <v>Красимир Тодоров Георгиев</v>
      </c>
      <c r="B4571" s="10" t="str">
        <f ca="1">IFERROR(__xludf.DUMMYFUNCTION("""COMPUTED_VALUE"""),"Статия в списания и поредици")</f>
        <v>Статия в списания и поредици</v>
      </c>
      <c r="C4571" s="10" t="str">
        <f ca="1">IFERROR(__xludf.DUMMYFUNCTION("""COMPUTED_VALUE"""),"Comparison of two local refinement methods for Large Scale Air Pollution simulations")</f>
        <v>Comparison of two local refinement methods for Large Scale Air Pollution simulations</v>
      </c>
      <c r="D4571" s="10">
        <f ca="1">IFERROR(__xludf.DUMMYFUNCTION("""COMPUTED_VALUE"""),2003)</f>
        <v>2003</v>
      </c>
      <c r="E4571" s="10" t="str">
        <f ca="1">IFERROR(__xludf.DUMMYFUNCTION("""COMPUTED_VALUE"""),"Antonov, A; Georgiev, K; Komsalova, E; Zlatev, Z; Comparison of two local refinement methods for Large Scale Air Pollution simulations, Lecture Notes in Computer Science, Vol: 2907 Pages: 287-294, 2003")</f>
        <v>Antonov, A; Georgiev, K; Komsalova, E; Zlatev, Z; Comparison of two local refinement methods for Large Scale Air Pollution simulations, Lecture Notes in Computer Science, Vol: 2907 Pages: 287-294, 2003</v>
      </c>
      <c r="F4571" s="10" t="str">
        <f ca="1">IFERROR(__xludf.DUMMYFUNCTION("""COMPUTED_VALUE"""),"Scopus/WoS")</f>
        <v>Scopus/WoS</v>
      </c>
      <c r="G4571" s="10" t="str">
        <f ca="1">IFERROR(__xludf.DUMMYFUNCTION("""COMPUTED_VALUE"""),"Antonov, A; Georgiev, K; Komsalova, E; Zlatev, Z")</f>
        <v>Antonov, A; Georgiev, K; Komsalova, E; Zlatev, Z</v>
      </c>
      <c r="H4571" s="10"/>
      <c r="I4571" s="10"/>
      <c r="J4571" s="10"/>
      <c r="K4571" s="10"/>
      <c r="L4571" s="10"/>
      <c r="M4571" s="10"/>
      <c r="N4571" s="10"/>
      <c r="O4571" s="10"/>
      <c r="P4571" s="10"/>
      <c r="Q4571" s="10"/>
      <c r="R4571" s="10"/>
      <c r="S4571" s="10"/>
      <c r="T4571" s="10"/>
      <c r="U4571" s="10"/>
      <c r="V4571" s="10"/>
      <c r="W4571" s="10"/>
      <c r="X4571" s="10"/>
      <c r="Y4571" s="10"/>
      <c r="Z4571" s="10"/>
    </row>
    <row r="4572" spans="1:26" ht="12.75">
      <c r="A4572" s="10" t="str">
        <f ca="1">IFERROR(__xludf.DUMMYFUNCTION("""COMPUTED_VALUE"""),"Красимир Тодоров Георгиев")</f>
        <v>Красимир Тодоров Георгиев</v>
      </c>
      <c r="B4572" s="10" t="str">
        <f ca="1">IFERROR(__xludf.DUMMYFUNCTION("""COMPUTED_VALUE"""),"Статия в списания и поредици")</f>
        <v>Статия в списания и поредици</v>
      </c>
      <c r="C4572" s="10" t="str">
        <f ca="1">IFERROR(__xludf.DUMMYFUNCTION("""COMPUTED_VALUE"""),"Recursive version of LU decomposition")</f>
        <v>Recursive version of LU decomposition</v>
      </c>
      <c r="D4572" s="10">
        <f ca="1">IFERROR(__xludf.DUMMYFUNCTION("""COMPUTED_VALUE"""),2001)</f>
        <v>2001</v>
      </c>
      <c r="E4572" s="10" t="str">
        <f ca="1">IFERROR(__xludf.DUMMYFUNCTION("""COMPUTED_VALUE"""),"Georgiev K., Wasniewski J., Recursive version of LU decomposition, Lecture Notes in Computer Science (including subseries Lecture Notes in Artificial Intelligence and Lecture Notes in Bioinformatics), 1988 , pp. 325-332, 2001")</f>
        <v>Georgiev K., Wasniewski J., Recursive version of LU decomposition, Lecture Notes in Computer Science (including subseries Lecture Notes in Artificial Intelligence and Lecture Notes in Bioinformatics), 1988 , pp. 325-332, 2001</v>
      </c>
      <c r="F4572" s="10" t="str">
        <f ca="1">IFERROR(__xludf.DUMMYFUNCTION("""COMPUTED_VALUE"""),"Scopus")</f>
        <v>Scopus</v>
      </c>
      <c r="G4572" s="10" t="str">
        <f ca="1">IFERROR(__xludf.DUMMYFUNCTION("""COMPUTED_VALUE"""),"Georgiev K., Wasniewski J.")</f>
        <v>Georgiev K., Wasniewski J.</v>
      </c>
      <c r="H4572" s="10"/>
      <c r="I4572" s="10"/>
      <c r="J4572" s="10"/>
      <c r="K4572" s="10"/>
      <c r="L4572" s="10"/>
      <c r="M4572" s="10"/>
      <c r="N4572" s="10"/>
      <c r="O4572" s="10"/>
      <c r="P4572" s="10"/>
      <c r="Q4572" s="10"/>
      <c r="R4572" s="10"/>
      <c r="S4572" s="10"/>
      <c r="T4572" s="10"/>
      <c r="U4572" s="10"/>
      <c r="V4572" s="10"/>
      <c r="W4572" s="10"/>
      <c r="X4572" s="10"/>
      <c r="Y4572" s="10"/>
      <c r="Z4572" s="10"/>
    </row>
    <row r="4573" spans="1:26" ht="12.75">
      <c r="A4573" s="10" t="str">
        <f ca="1">IFERROR(__xludf.DUMMYFUNCTION("""COMPUTED_VALUE"""),"Красимир Тодоров Георгиев")</f>
        <v>Красимир Тодоров Георгиев</v>
      </c>
      <c r="B4573" s="10" t="str">
        <f ca="1">IFERROR(__xludf.DUMMYFUNCTION("""COMPUTED_VALUE"""),"Статия в списания и поредици")</f>
        <v>Статия в списания и поредици</v>
      </c>
      <c r="C4573" s="10" t="str">
        <f ca="1">IFERROR(__xludf.DUMMYFUNCTION("""COMPUTED_VALUE"""),"Recursive version of LU decomposition")</f>
        <v>Recursive version of LU decomposition</v>
      </c>
      <c r="D4573" s="10">
        <f ca="1">IFERROR(__xludf.DUMMYFUNCTION("""COMPUTED_VALUE"""),2001)</f>
        <v>2001</v>
      </c>
      <c r="E4573" s="10" t="str">
        <f ca="1">IFERROR(__xludf.DUMMYFUNCTION("""COMPUTED_VALUE"""),"Recursive version of LU decomposition, Lecture Notes in Computer Science (including subseries Lecture Notes in Artificial Intelligence and Lecture Notes in Bioinformatics), 1988 , pp. 325-332")</f>
        <v>Recursive version of LU decomposition, Lecture Notes in Computer Science (including subseries Lecture Notes in Artificial Intelligence and Lecture Notes in Bioinformatics), 1988 , pp. 325-332</v>
      </c>
      <c r="F4573" s="10" t="str">
        <f ca="1">IFERROR(__xludf.DUMMYFUNCTION("""COMPUTED_VALUE"""),"Scopus/WoS")</f>
        <v>Scopus/WoS</v>
      </c>
      <c r="G4573" s="10" t="str">
        <f ca="1">IFERROR(__xludf.DUMMYFUNCTION("""COMPUTED_VALUE"""),"Wasniewski J.")</f>
        <v>Wasniewski J.</v>
      </c>
      <c r="H4573" s="10"/>
      <c r="I4573" s="10"/>
      <c r="J4573" s="10"/>
      <c r="K4573" s="10"/>
      <c r="L4573" s="10"/>
      <c r="M4573" s="10"/>
      <c r="N4573" s="10"/>
      <c r="O4573" s="10"/>
      <c r="P4573" s="10"/>
      <c r="Q4573" s="10"/>
      <c r="R4573" s="10"/>
      <c r="S4573" s="10"/>
      <c r="T4573" s="10"/>
      <c r="U4573" s="10"/>
      <c r="V4573" s="10"/>
      <c r="W4573" s="10"/>
      <c r="X4573" s="10"/>
      <c r="Y4573" s="10"/>
      <c r="Z4573" s="10"/>
    </row>
    <row r="4574" spans="1:26" ht="12.75">
      <c r="A4574" s="10" t="str">
        <f ca="1">IFERROR(__xludf.DUMMYFUNCTION("""COMPUTED_VALUE"""),"Красимир Тодоров Георгиев")</f>
        <v>Красимир Тодоров Георгиев</v>
      </c>
      <c r="B4574" s="10" t="str">
        <f ca="1">IFERROR(__xludf.DUMMYFUNCTION("""COMPUTED_VALUE"""),"Глава от колективна монография")</f>
        <v>Глава от колективна монография</v>
      </c>
      <c r="C4574" s="10" t="str">
        <f ca="1">IFERROR(__xludf.DUMMYFUNCTION("""COMPUTED_VALUE"""),"PARALLEL ALGORITHM FOR 3D ELASTICITY PROBLEMS BASED ON AN OVERLAPPING DD PRECONDITIONER, in: “Parallel numerical computations with applications”")</f>
        <v>PARALLEL ALGORITHM FOR 3D ELASTICITY PROBLEMS BASED ON AN OVERLAPPING DD PRECONDITIONER, in: “Parallel numerical computations with applications”</v>
      </c>
      <c r="D4574" s="10">
        <f ca="1">IFERROR(__xludf.DUMMYFUNCTION("""COMPUTED_VALUE"""),1999)</f>
        <v>1999</v>
      </c>
      <c r="E4574" s="10" t="str">
        <f ca="1">IFERROR(__xludf.DUMMYFUNCTION("""COMPUTED_VALUE"""),"K. Georgiev, PARALLEL ALGORITHM FOR 3D ELASTICITY PROBLEMS BASED ON AN OVERLAPPING DD PRECONDITIONER, in: “Parallel numerical computations with applications”, Ed. Tianruo Yang, Springer Science, pp 105 – 117, ISBN 978-1-4613-7371-1 ISBN 978-1-4615-5205-5 "&amp;"(eBook) DOI 10.1007/978-1-4615-5205-5, 1999")</f>
        <v>K. Georgiev, PARALLEL ALGORITHM FOR 3D ELASTICITY PROBLEMS BASED ON AN OVERLAPPING DD PRECONDITIONER, in: “Parallel numerical computations with applications”, Ed. Tianruo Yang, Springer Science, pp 105 – 117, ISBN 978-1-4613-7371-1 ISBN 978-1-4615-5205-5 (eBook) DOI 10.1007/978-1-4615-5205-5, 1999</v>
      </c>
      <c r="F4574" s="10" t="str">
        <f ca="1">IFERROR(__xludf.DUMMYFUNCTION("""COMPUTED_VALUE"""),"Scopus")</f>
        <v>Scopus</v>
      </c>
      <c r="G4574" s="10"/>
      <c r="H4574" s="10"/>
      <c r="I4574" s="10"/>
      <c r="J4574" s="10"/>
      <c r="K4574" s="10"/>
      <c r="L4574" s="10"/>
      <c r="M4574" s="10"/>
      <c r="N4574" s="10"/>
      <c r="O4574" s="10"/>
      <c r="P4574" s="10"/>
      <c r="Q4574" s="10"/>
      <c r="R4574" s="10"/>
      <c r="S4574" s="10"/>
      <c r="T4574" s="10"/>
      <c r="U4574" s="10"/>
      <c r="V4574" s="10"/>
      <c r="W4574" s="10"/>
      <c r="X4574" s="10"/>
      <c r="Y4574" s="10"/>
      <c r="Z4574" s="10"/>
    </row>
    <row r="4575" spans="1:26" ht="12.75">
      <c r="A4575" s="10" t="str">
        <f ca="1">IFERROR(__xludf.DUMMYFUNCTION("""COMPUTED_VALUE"""),"Красимир Тодоров Георгиев")</f>
        <v>Красимир Тодоров Георгиев</v>
      </c>
      <c r="B4575" s="10" t="str">
        <f ca="1">IFERROR(__xludf.DUMMYFUNCTION("""COMPUTED_VALUE"""),"Статия в списания и поредици")</f>
        <v>Статия в списания и поредици</v>
      </c>
      <c r="C4575" s="10" t="str">
        <f ca="1">IFERROR(__xludf.DUMMYFUNCTION("""COMPUTED_VALUE"""),"Running an advection-chemistry code on message passing computers")</f>
        <v>Running an advection-chemistry code on message passing computers</v>
      </c>
      <c r="D4575" s="10">
        <f ca="1">IFERROR(__xludf.DUMMYFUNCTION("""COMPUTED_VALUE"""),1998)</f>
        <v>1998</v>
      </c>
      <c r="E4575" s="10" t="str">
        <f ca="1">IFERROR(__xludf.DUMMYFUNCTION("""COMPUTED_VALUE"""),"Running an advection-chemistry code on message passing computers, RECENT ADVANCES IN PARALLEL VIRTUAL MACHINE AND MESSAGE PASSING INTERFACE, LECTURE NOTES IN COMPUTER SCIENCE, Volume: 1497, 354-363")</f>
        <v>Running an advection-chemistry code on message passing computers, RECENT ADVANCES IN PARALLEL VIRTUAL MACHINE AND MESSAGE PASSING INTERFACE, LECTURE NOTES IN COMPUTER SCIENCE, Volume: 1497, 354-363</v>
      </c>
      <c r="F4575" s="10" t="str">
        <f ca="1">IFERROR(__xludf.DUMMYFUNCTION("""COMPUTED_VALUE"""),"Scopus/WoS")</f>
        <v>Scopus/WoS</v>
      </c>
      <c r="G4575" s="10" t="str">
        <f ca="1">IFERROR(__xludf.DUMMYFUNCTION("""COMPUTED_VALUE"""),"Zlatev, Z")</f>
        <v>Zlatev, Z</v>
      </c>
      <c r="H4575" s="10"/>
      <c r="I4575" s="10"/>
      <c r="J4575" s="10"/>
      <c r="K4575" s="10"/>
      <c r="L4575" s="10"/>
      <c r="M4575" s="10"/>
      <c r="N4575" s="10"/>
      <c r="O4575" s="10"/>
      <c r="P4575" s="10"/>
      <c r="Q4575" s="10"/>
      <c r="R4575" s="10"/>
      <c r="S4575" s="10"/>
      <c r="T4575" s="10"/>
      <c r="U4575" s="10"/>
      <c r="V4575" s="10"/>
      <c r="W4575" s="10"/>
      <c r="X4575" s="10"/>
      <c r="Y4575" s="10"/>
      <c r="Z4575" s="10"/>
    </row>
    <row r="4576" spans="1:26" ht="12.75">
      <c r="A4576" s="10" t="str">
        <f ca="1">IFERROR(__xludf.DUMMYFUNCTION("""COMPUTED_VALUE"""),"Красимир Тодоров Георгиев")</f>
        <v>Красимир Тодоров Георгиев</v>
      </c>
      <c r="B4576" s="10" t="str">
        <f ca="1">IFERROR(__xludf.DUMMYFUNCTION("""COMPUTED_VALUE"""),"Статия в списания и поредици")</f>
        <v>Статия в списания и поредици</v>
      </c>
      <c r="C4576" s="10" t="str">
        <f ca="1">IFERROR(__xludf.DUMMYFUNCTION("""COMPUTED_VALUE"""),"Three-dimensional version of the Danish Eulerian Model")</f>
        <v>Three-dimensional version of the Danish Eulerian Model</v>
      </c>
      <c r="D4576" s="10">
        <f ca="1">IFERROR(__xludf.DUMMYFUNCTION("""COMPUTED_VALUE"""),1996)</f>
        <v>1996</v>
      </c>
      <c r="E4576" s="10" t="str">
        <f ca="1">IFERROR(__xludf.DUMMYFUNCTION("""COMPUTED_VALUE"""),"Three-dimensional version of the Danish Eulerian Model, ZEITSCHRIFT FUR ANGEWANDTE MATHEMATIK UND MECHANIK, Volume: 76 Pages: 337-340 Supplement: 2")</f>
        <v>Three-dimensional version of the Danish Eulerian Model, ZEITSCHRIFT FUR ANGEWANDTE MATHEMATIK UND MECHANIK, Volume: 76 Pages: 337-340 Supplement: 2</v>
      </c>
      <c r="F4576" s="10" t="str">
        <f ca="1">IFERROR(__xludf.DUMMYFUNCTION("""COMPUTED_VALUE"""),"Scopus/WoS")</f>
        <v>Scopus/WoS</v>
      </c>
      <c r="G4576" s="10" t="str">
        <f ca="1">IFERROR(__xludf.DUMMYFUNCTION("""COMPUTED_VALUE"""),"Zlatev, Z; Dimov, I")</f>
        <v>Zlatev, Z; Dimov, I</v>
      </c>
      <c r="H4576" s="10"/>
      <c r="I4576" s="10"/>
      <c r="J4576" s="10"/>
      <c r="K4576" s="10"/>
      <c r="L4576" s="10"/>
      <c r="M4576" s="10"/>
      <c r="N4576" s="10"/>
      <c r="O4576" s="10"/>
      <c r="P4576" s="10"/>
      <c r="Q4576" s="10"/>
      <c r="R4576" s="10"/>
      <c r="S4576" s="10"/>
      <c r="T4576" s="10"/>
      <c r="U4576" s="10"/>
      <c r="V4576" s="10"/>
      <c r="W4576" s="10"/>
      <c r="X4576" s="10"/>
      <c r="Y4576" s="10"/>
      <c r="Z4576" s="10"/>
    </row>
    <row r="4577" spans="1:26" ht="12.75">
      <c r="A4577" s="10" t="str">
        <f ca="1">IFERROR(__xludf.DUMMYFUNCTION("""COMPUTED_VALUE"""),"Красимир Тодоров Георгиев")</f>
        <v>Красимир Тодоров Георгиев</v>
      </c>
      <c r="B4577" s="10" t="str">
        <f ca="1">IFERROR(__xludf.DUMMYFUNCTION("""COMPUTED_VALUE"""),"Статия в списания и поредици")</f>
        <v>Статия в списания и поредици</v>
      </c>
      <c r="C4577" s="10" t="str">
        <f ca="1">IFERROR(__xludf.DUMMYFUNCTION("""COMPUTED_VALUE"""),"Three-dimensional version of the Danish Eulerian Model")</f>
        <v>Three-dimensional version of the Danish Eulerian Model</v>
      </c>
      <c r="D4577" s="10">
        <f ca="1">IFERROR(__xludf.DUMMYFUNCTION("""COMPUTED_VALUE"""),1996)</f>
        <v>1996</v>
      </c>
      <c r="E4577" s="10" t="str">
        <f ca="1">IFERROR(__xludf.DUMMYFUNCTION("""COMPUTED_VALUE"""),"Three-dimensional version of the Danish Eulerian Model (1996) ZAMM Zeitschrift fur Angewandte Mathematik und Mechanik, 76 (SUPPL. 4), pp. 473-476")</f>
        <v>Three-dimensional version of the Danish Eulerian Model (1996) ZAMM Zeitschrift fur Angewandte Mathematik und Mechanik, 76 (SUPPL. 4), pp. 473-476</v>
      </c>
      <c r="F4577" s="10" t="str">
        <f ca="1">IFERROR(__xludf.DUMMYFUNCTION("""COMPUTED_VALUE"""),"Scopus/WoS")</f>
        <v>Scopus/WoS</v>
      </c>
      <c r="G4577" s="10" t="str">
        <f ca="1">IFERROR(__xludf.DUMMYFUNCTION("""COMPUTED_VALUE"""),"Zlatev, Z., Dimov, I.")</f>
        <v>Zlatev, Z., Dimov, I.</v>
      </c>
      <c r="H4577" s="10"/>
      <c r="I4577" s="10"/>
      <c r="J4577" s="10"/>
      <c r="K4577" s="10"/>
      <c r="L4577" s="10"/>
      <c r="M4577" s="10"/>
      <c r="N4577" s="10"/>
      <c r="O4577" s="10"/>
      <c r="P4577" s="10"/>
      <c r="Q4577" s="10"/>
      <c r="R4577" s="10"/>
      <c r="S4577" s="10"/>
      <c r="T4577" s="10"/>
      <c r="U4577" s="10"/>
      <c r="V4577" s="10"/>
      <c r="W4577" s="10"/>
      <c r="X4577" s="10"/>
      <c r="Y4577" s="10"/>
      <c r="Z4577" s="10"/>
    </row>
    <row r="4578" spans="1:26" ht="12.75">
      <c r="A4578" s="10" t="str">
        <f ca="1">IFERROR(__xludf.DUMMYFUNCTION("""COMPUTED_VALUE"""),"Красимир Тодоров Георгиев")</f>
        <v>Красимир Тодоров Георгиев</v>
      </c>
      <c r="B4578" s="10" t="str">
        <f ca="1">IFERROR(__xludf.DUMMYFUNCTION("""COMPUTED_VALUE"""),"Статия в списания и поредици")</f>
        <v>Статия в списания и поредици</v>
      </c>
      <c r="C4578" s="10" t="str">
        <f ca="1">IFERROR(__xludf.DUMMYFUNCTION("""COMPUTED_VALUE"""),"Three-dimensional version of the danish eulerian model")</f>
        <v>Three-dimensional version of the danish eulerian model</v>
      </c>
      <c r="D4578" s="10">
        <f ca="1">IFERROR(__xludf.DUMMYFUNCTION("""COMPUTED_VALUE"""),1996)</f>
        <v>1996</v>
      </c>
      <c r="E4578" s="10" t="str">
        <f ca="1">IFERROR(__xludf.DUMMYFUNCTION("""COMPUTED_VALUE"""),"Three-dimensional version of the danish eulerian model, Lecture Notes in Computer Science (including subseries Lecture Notes in Artificial Intelligence and Lecture Notes in Bioinformatics), 1041 , pp. 151-157")</f>
        <v>Three-dimensional version of the danish eulerian model, Lecture Notes in Computer Science (including subseries Lecture Notes in Artificial Intelligence and Lecture Notes in Bioinformatics), 1041 , pp. 151-157</v>
      </c>
      <c r="F4578" s="10" t="str">
        <f ca="1">IFERROR(__xludf.DUMMYFUNCTION("""COMPUTED_VALUE"""),"Scopus/WoS")</f>
        <v>Scopus/WoS</v>
      </c>
      <c r="G4578" s="10" t="str">
        <f ca="1">IFERROR(__xludf.DUMMYFUNCTION("""COMPUTED_VALUE"""),"Dimov I., Wasniewski J., Zlatev Z")</f>
        <v>Dimov I., Wasniewski J., Zlatev Z</v>
      </c>
      <c r="H4578" s="10"/>
      <c r="I4578" s="10"/>
      <c r="J4578" s="10"/>
      <c r="K4578" s="10"/>
      <c r="L4578" s="10"/>
      <c r="M4578" s="10"/>
      <c r="N4578" s="10"/>
      <c r="O4578" s="10"/>
      <c r="P4578" s="10"/>
      <c r="Q4578" s="10"/>
      <c r="R4578" s="10"/>
      <c r="S4578" s="10"/>
      <c r="T4578" s="10"/>
      <c r="U4578" s="10"/>
      <c r="V4578" s="10"/>
      <c r="W4578" s="10"/>
      <c r="X4578" s="10"/>
      <c r="Y4578" s="10"/>
      <c r="Z4578" s="10"/>
    </row>
    <row r="4579" spans="1:26" ht="12.75">
      <c r="A4579" s="10" t="str">
        <f ca="1">IFERROR(__xludf.DUMMYFUNCTION("""COMPUTED_VALUE"""),"Красимир Тодоров Георгиев")</f>
        <v>Красимир Тодоров Георгиев</v>
      </c>
      <c r="B4579" s="10" t="str">
        <f ca="1">IFERROR(__xludf.DUMMYFUNCTION("""COMPUTED_VALUE"""),"Статия в списания и поредици")</f>
        <v>Статия в списания и поредици</v>
      </c>
      <c r="C4579" s="10" t="str">
        <f ca="1">IFERROR(__xludf.DUMMYFUNCTION("""COMPUTED_VALUE"""),"Modeling the Long-Range Transport of Air Pollutants")</f>
        <v>Modeling the Long-Range Transport of Air Pollutants</v>
      </c>
      <c r="D4579" s="10">
        <f ca="1">IFERROR(__xludf.DUMMYFUNCTION("""COMPUTED_VALUE"""),1994)</f>
        <v>1994</v>
      </c>
      <c r="E4579" s="10" t="str">
        <f ca="1">IFERROR(__xludf.DUMMYFUNCTION("""COMPUTED_VALUE"""),"Modeling the Long-Range Transport of Air Pollutants, IEEE Computational Science and Engineering, 1 (3) , pp. 45-52")</f>
        <v>Modeling the Long-Range Transport of Air Pollutants, IEEE Computational Science and Engineering, 1 (3) , pp. 45-52</v>
      </c>
      <c r="F4579" s="10" t="str">
        <f ca="1">IFERROR(__xludf.DUMMYFUNCTION("""COMPUTED_VALUE"""),"Scopus/WoS")</f>
        <v>Scopus/WoS</v>
      </c>
      <c r="G4579" s="10" t="str">
        <f ca="1">IFERROR(__xludf.DUMMYFUNCTION("""COMPUTED_VALUE"""),"Zlatev Z., Dimov I.,")</f>
        <v>Zlatev Z., Dimov I.,</v>
      </c>
      <c r="H4579" s="10"/>
      <c r="I4579" s="10"/>
      <c r="J4579" s="10"/>
      <c r="K4579" s="10"/>
      <c r="L4579" s="10"/>
      <c r="M4579" s="10"/>
      <c r="N4579" s="10"/>
      <c r="O4579" s="10"/>
      <c r="P4579" s="10"/>
      <c r="Q4579" s="10"/>
      <c r="R4579" s="10"/>
      <c r="S4579" s="10"/>
      <c r="T4579" s="10"/>
      <c r="U4579" s="10"/>
      <c r="V4579" s="10"/>
      <c r="W4579" s="10"/>
      <c r="X4579" s="10"/>
      <c r="Y4579" s="10"/>
      <c r="Z4579" s="10"/>
    </row>
    <row r="4580" spans="1:26" ht="12.75">
      <c r="A4580" s="10" t="str">
        <f ca="1">IFERROR(__xludf.DUMMYFUNCTION("""COMPUTED_VALUE"""),"Красимир Тодоров Георгиев")</f>
        <v>Красимир Тодоров Георгиев</v>
      </c>
      <c r="B4580" s="10" t="str">
        <f ca="1">IFERROR(__xludf.DUMMYFUNCTION("""COMPUTED_VALUE"""),"Статия в списания и поредици")</f>
        <v>Статия в списания и поредици</v>
      </c>
      <c r="C4580" s="10" t="str">
        <f ca="1">IFERROR(__xludf.DUMMYFUNCTION("""COMPUTED_VALUE"""),"Three-dimensional version of the Danish Eulerian Model")</f>
        <v>Three-dimensional version of the Danish Eulerian Model</v>
      </c>
      <c r="D4580" s="10">
        <f ca="1">IFERROR(__xludf.DUMMYFUNCTION("""COMPUTED_VALUE"""),1994)</f>
        <v>1994</v>
      </c>
      <c r="E4580" s="10" t="str">
        <f ca="1">IFERROR(__xludf.DUMMYFUNCTION("""COMPUTED_VALUE"""),"Zlatev, Z; Dimov, I; Georgiev, K, Three-dimensional version of the Danish Eulerian Model, ZEITSCHRIFT FUR ANGEWANDTE MATHEMATIK UND MECHANIK, Volume: 76 Pages: 337-340 Supplement: 2, 1996")</f>
        <v>Zlatev, Z; Dimov, I; Georgiev, K, Three-dimensional version of the Danish Eulerian Model, ZEITSCHRIFT FUR ANGEWANDTE MATHEMATIK UND MECHANIK, Volume: 76 Pages: 337-340 Supplement: 2, 1996</v>
      </c>
      <c r="F4580" s="10" t="str">
        <f ca="1">IFERROR(__xludf.DUMMYFUNCTION("""COMPUTED_VALUE"""),"Scopus")</f>
        <v>Scopus</v>
      </c>
      <c r="G4580" s="10" t="str">
        <f ca="1">IFERROR(__xludf.DUMMYFUNCTION("""COMPUTED_VALUE"""),"Zlatev, Z; Dimov, I; Georgiev, K")</f>
        <v>Zlatev, Z; Dimov, I; Georgiev, K</v>
      </c>
      <c r="H4580" s="10"/>
      <c r="I4580" s="10"/>
      <c r="J4580" s="10"/>
      <c r="K4580" s="10"/>
      <c r="L4580" s="10"/>
      <c r="M4580" s="10"/>
      <c r="N4580" s="10"/>
      <c r="O4580" s="10"/>
      <c r="P4580" s="10"/>
      <c r="Q4580" s="10"/>
      <c r="R4580" s="10"/>
      <c r="S4580" s="10"/>
      <c r="T4580" s="10"/>
      <c r="U4580" s="10"/>
      <c r="V4580" s="10"/>
      <c r="W4580" s="10"/>
      <c r="X4580" s="10"/>
      <c r="Y4580" s="10"/>
      <c r="Z4580" s="10"/>
    </row>
    <row r="4581" spans="1:26" ht="12.75">
      <c r="A4581" s="10" t="str">
        <f ca="1">IFERROR(__xludf.DUMMYFUNCTION("""COMPUTED_VALUE"""),"Красимир Тодоров Георгиев")</f>
        <v>Красимир Тодоров Георгиев</v>
      </c>
      <c r="B4581" s="10" t="str">
        <f ca="1">IFERROR(__xludf.DUMMYFUNCTION("""COMPUTED_VALUE"""),"Статия в списания и поредици")</f>
        <v>Статия в списания и поредици</v>
      </c>
      <c r="C4581" s="10" t="str">
        <f ca="1">IFERROR(__xludf.DUMMYFUNCTION("""COMPUTED_VALUE"""),"Modeling the Long-Range Transport of Air Pollutants")</f>
        <v>Modeling the Long-Range Transport of Air Pollutants</v>
      </c>
      <c r="D4581" s="10">
        <f ca="1">IFERROR(__xludf.DUMMYFUNCTION("""COMPUTED_VALUE"""),1994)</f>
        <v>1994</v>
      </c>
      <c r="E4581" s="10" t="str">
        <f ca="1">IFERROR(__xludf.DUMMYFUNCTION("""COMPUTED_VALUE"""),"Zlatev Z., Dimov I., Georgiev K., Modeling the Long-Range Transport of Air Pollutants, IEEE Computational Science and Engineering, 1 (3) , pp. 45-52, 1994")</f>
        <v>Zlatev Z., Dimov I., Georgiev K., Modeling the Long-Range Transport of Air Pollutants, IEEE Computational Science and Engineering, 1 (3) , pp. 45-52, 1994</v>
      </c>
      <c r="F4581" s="10" t="str">
        <f ca="1">IFERROR(__xludf.DUMMYFUNCTION("""COMPUTED_VALUE"""),"Scopus")</f>
        <v>Scopus</v>
      </c>
      <c r="G4581" s="10" t="str">
        <f ca="1">IFERROR(__xludf.DUMMYFUNCTION("""COMPUTED_VALUE"""),"Zlatev Z., Dimov I., Georgiev K.")</f>
        <v>Zlatev Z., Dimov I., Georgiev K.</v>
      </c>
      <c r="H4581" s="10"/>
      <c r="I4581" s="10"/>
      <c r="J4581" s="10"/>
      <c r="K4581" s="10"/>
      <c r="L4581" s="10"/>
      <c r="M4581" s="10"/>
      <c r="N4581" s="10"/>
      <c r="O4581" s="10"/>
      <c r="P4581" s="10"/>
      <c r="Q4581" s="10"/>
      <c r="R4581" s="10"/>
      <c r="S4581" s="10"/>
      <c r="T4581" s="10"/>
      <c r="U4581" s="10"/>
      <c r="V4581" s="10"/>
      <c r="W4581" s="10"/>
      <c r="X4581" s="10"/>
      <c r="Y4581" s="10"/>
      <c r="Z4581" s="10"/>
    </row>
    <row r="4582" spans="1:26" ht="12.75">
      <c r="A4582" s="10" t="str">
        <f ca="1">IFERROR(__xludf.DUMMYFUNCTION("""COMPUTED_VALUE"""),"Красимир Тодоров Георгиев")</f>
        <v>Красимир Тодоров Георгиев</v>
      </c>
      <c r="B4582" s="10" t="str">
        <f ca="1">IFERROR(__xludf.DUMMYFUNCTION("""COMPUTED_VALUE"""),"Статия в списания и поредици")</f>
        <v>Статия в списания и поредици</v>
      </c>
      <c r="C4582" s="10" t="str">
        <f ca="1">IFERROR(__xludf.DUMMYFUNCTION("""COMPUTED_VALUE"""),"BOUNDARY ELEMENT METHOD AND SPECKLE PHOTOGRAPHY FOR THE INVESTIGATION OF THE SOLIDIFICATION OF FILLED POLYMERS")</f>
        <v>BOUNDARY ELEMENT METHOD AND SPECKLE PHOTOGRAPHY FOR THE INVESTIGATION OF THE SOLIDIFICATION OF FILLED POLYMERS</v>
      </c>
      <c r="D4582" s="10">
        <f ca="1">IFERROR(__xludf.DUMMYFUNCTION("""COMPUTED_VALUE"""),1987)</f>
        <v>1987</v>
      </c>
      <c r="E4582" s="10" t="str">
        <f ca="1">IFERROR(__xludf.DUMMYFUNCTION("""COMPUTED_VALUE"""),"BOUNDARY ELEMENT METHOD AND SPECKLE PHOTOGRAPHY FOR THE INVESTIGATION OF THE SOLIDIFICATION OF FILLED POLYMERS, ENGINEERING ANALYSIS WITH BOUNDARY ELEMENTS, Volume: 4 Issue: 4 Pages: 204-208 DOI: 10.1016/0264-682X(87)90043-8")</f>
        <v>BOUNDARY ELEMENT METHOD AND SPECKLE PHOTOGRAPHY FOR THE INVESTIGATION OF THE SOLIDIFICATION OF FILLED POLYMERS, ENGINEERING ANALYSIS WITH BOUNDARY ELEMENTS, Volume: 4 Issue: 4 Pages: 204-208 DOI: 10.1016/0264-682X(87)90043-8</v>
      </c>
      <c r="F4582" s="10" t="str">
        <f ca="1">IFERROR(__xludf.DUMMYFUNCTION("""COMPUTED_VALUE"""),"Scopus/WoS")</f>
        <v>Scopus/WoS</v>
      </c>
      <c r="G4582" s="10" t="str">
        <f ca="1">IFERROR(__xludf.DUMMYFUNCTION("""COMPUTED_VALUE"""),"HADJIKOV L. KAVARDJIKOV, V; IVANOV, Y.,")</f>
        <v>HADJIKOV L. KAVARDJIKOV, V; IVANOV, Y.,</v>
      </c>
      <c r="H4582" s="10"/>
      <c r="I4582" s="10"/>
      <c r="J4582" s="10"/>
      <c r="K4582" s="10"/>
      <c r="L4582" s="10"/>
      <c r="M4582" s="10"/>
      <c r="N4582" s="10"/>
      <c r="O4582" s="10"/>
      <c r="P4582" s="10"/>
      <c r="Q4582" s="10"/>
      <c r="R4582" s="10"/>
      <c r="S4582" s="10"/>
      <c r="T4582" s="10"/>
      <c r="U4582" s="10"/>
      <c r="V4582" s="10"/>
      <c r="W4582" s="10"/>
      <c r="X4582" s="10"/>
      <c r="Y4582" s="10"/>
      <c r="Z4582" s="10"/>
    </row>
    <row r="4583" spans="1:26" ht="12.75">
      <c r="A4583" s="10" t="str">
        <f ca="1">IFERROR(__xludf.DUMMYFUNCTION("""COMPUTED_VALUE"""),"Красимир Тодоров Георгиев")</f>
        <v>Красимир Тодоров Георгиев</v>
      </c>
      <c r="B4583" s="10" t="str">
        <f ca="1">IFERROR(__xludf.DUMMYFUNCTION("""COMPUTED_VALUE"""),"Статия в списания и поредици")</f>
        <v>Статия в списания и поредици</v>
      </c>
      <c r="C4583" s="10" t="str">
        <f ca="1">IFERROR(__xludf.DUMMYFUNCTION("""COMPUTED_VALUE"""),"Dynamische Untersuchung des Spannungszustandes einiger ebenen Konstruktionen mit Hilfe der grossen Fragmente")</f>
        <v>Dynamische Untersuchung des Spannungszustandes einiger ebenen Konstruktionen mit Hilfe der grossen Fragmente</v>
      </c>
      <c r="D4583" s="10">
        <f ca="1">IFERROR(__xludf.DUMMYFUNCTION("""COMPUTED_VALUE"""),1984)</f>
        <v>1984</v>
      </c>
      <c r="E4583" s="10" t="str">
        <f ca="1">IFERROR(__xludf.DUMMYFUNCTION("""COMPUTED_VALUE"""),"Dynamische Untersuchung des Spannungszustandes einiger ebenen Konstruktionen mit Hilfe der grossen Fragmente, Theoretical and Applied Mechanics, Year XV, No. 1")</f>
        <v>Dynamische Untersuchung des Spannungszustandes einiger ebenen Konstruktionen mit Hilfe der grossen Fragmente, Theoretical and Applied Mechanics, Year XV, No. 1</v>
      </c>
      <c r="F4583" s="10" t="str">
        <f ca="1">IFERROR(__xludf.DUMMYFUNCTION("""COMPUTED_VALUE"""),"Zenntralblatt")</f>
        <v>Zenntralblatt</v>
      </c>
      <c r="G4583" s="10" t="str">
        <f ca="1">IFERROR(__xludf.DUMMYFUNCTION("""COMPUTED_VALUE"""),"Chr. Ganev")</f>
        <v>Chr. Ganev</v>
      </c>
      <c r="H4583" s="10"/>
      <c r="I4583" s="10"/>
      <c r="J4583" s="10"/>
      <c r="K4583" s="10"/>
      <c r="L4583" s="10"/>
      <c r="M4583" s="10"/>
      <c r="N4583" s="10"/>
      <c r="O4583" s="10"/>
      <c r="P4583" s="10"/>
      <c r="Q4583" s="10"/>
      <c r="R4583" s="10"/>
      <c r="S4583" s="10"/>
      <c r="T4583" s="10"/>
      <c r="U4583" s="10"/>
      <c r="V4583" s="10"/>
      <c r="W4583" s="10"/>
      <c r="X4583" s="10"/>
      <c r="Y4583" s="10"/>
      <c r="Z4583" s="10"/>
    </row>
    <row r="4584" spans="1:26" ht="12.75">
      <c r="A4584" s="10" t="str">
        <f ca="1">IFERROR(__xludf.DUMMYFUNCTION("""COMPUTED_VALUE"""),"Красимир Тодоров Георгиев")</f>
        <v>Красимир Тодоров Георгиев</v>
      </c>
      <c r="B4584" s="10" t="str">
        <f ca="1">IFERROR(__xludf.DUMMYFUNCTION("""COMPUTED_VALUE"""),"Статия в списания и поредици")</f>
        <v>Статия в списания и поредици</v>
      </c>
      <c r="C4584" s="10" t="str">
        <f ca="1">IFERROR(__xludf.DUMMYFUNCTION("""COMPUTED_VALUE"""),"Über di Lösung der allgemeinen Aufgabe der ebenen Elasizitätstheorie mittels der Methode der grossen Fragmente und einer sukcessiven Iteration")</f>
        <v>Über di Lösung der allgemeinen Aufgabe der ebenen Elasizitätstheorie mittels der Methode der grossen Fragmente und einer sukcessiven Iteration</v>
      </c>
      <c r="D4584" s="10">
        <f ca="1">IFERROR(__xludf.DUMMYFUNCTION("""COMPUTED_VALUE"""),1983)</f>
        <v>1983</v>
      </c>
      <c r="E4584" s="10" t="str">
        <f ca="1">IFERROR(__xludf.DUMMYFUNCTION("""COMPUTED_VALUE"""),"Über di Lösung der allgemeinen Aufgabe der ebenen Elasizitätstheorie mittels der Methode der grossen Fragmente und einer sukcessiven Iteration, Theoretical and Applied Mechanics, Year XIV, No. 4")</f>
        <v>Über di Lösung der allgemeinen Aufgabe der ebenen Elasizitätstheorie mittels der Methode der grossen Fragmente und einer sukcessiven Iteration, Theoretical and Applied Mechanics, Year XIV, No. 4</v>
      </c>
      <c r="F4584" s="10" t="str">
        <f ca="1">IFERROR(__xludf.DUMMYFUNCTION("""COMPUTED_VALUE"""),"Zentralblatt")</f>
        <v>Zentralblatt</v>
      </c>
      <c r="G4584" s="10" t="str">
        <f ca="1">IFERROR(__xludf.DUMMYFUNCTION("""COMPUTED_VALUE"""),"Chr. Ganev,")</f>
        <v>Chr. Ganev,</v>
      </c>
      <c r="H4584" s="10"/>
      <c r="I4584" s="10"/>
      <c r="J4584" s="10"/>
      <c r="K4584" s="10"/>
      <c r="L4584" s="10"/>
      <c r="M4584" s="10"/>
      <c r="N4584" s="10"/>
      <c r="O4584" s="10"/>
      <c r="P4584" s="10"/>
      <c r="Q4584" s="10"/>
      <c r="R4584" s="10"/>
      <c r="S4584" s="10"/>
      <c r="T4584" s="10"/>
      <c r="U4584" s="10"/>
      <c r="V4584" s="10"/>
      <c r="W4584" s="10"/>
      <c r="X4584" s="10"/>
      <c r="Y4584" s="10"/>
      <c r="Z4584" s="10"/>
    </row>
    <row r="4585" spans="1:26" ht="12.75">
      <c r="A4585" s="10" t="str">
        <f ca="1">IFERROR(__xludf.DUMMYFUNCTION("""COMPUTED_VALUE"""),"Красимир Тодоров Георгиев")</f>
        <v>Красимир Тодоров Георгиев</v>
      </c>
      <c r="B4585" s="10" t="str">
        <f ca="1">IFERROR(__xludf.DUMMYFUNCTION("""COMPUTED_VALUE"""),"Статия в списания и поредици")</f>
        <v>Статия в списания и поредици</v>
      </c>
      <c r="C4585" s="10" t="str">
        <f ca="1">IFERROR(__xludf.DUMMYFUNCTION("""COMPUTED_VALUE"""),"Error Estimate for the Decomposed Finite Element Solution of the Polyharmonic Equation")</f>
        <v>Error Estimate for the Decomposed Finite Element Solution of the Polyharmonic Equation</v>
      </c>
      <c r="D4585" s="10">
        <f ca="1">IFERROR(__xludf.DUMMYFUNCTION("""COMPUTED_VALUE"""),1981)</f>
        <v>1981</v>
      </c>
      <c r="E4585" s="10" t="str">
        <f ca="1">IFERROR(__xludf.DUMMYFUNCTION("""COMPUTED_VALUE"""),"Error Estimate for the Decomposed Finite Element Solution of the Polyharmonic Equation, Mathematica - Review D'Analyse Numerique et de Theorie de L'Approximation, Tome 23 (46), No. 1")</f>
        <v>Error Estimate for the Decomposed Finite Element Solution of the Polyharmonic Equation, Mathematica - Review D'Analyse Numerique et de Theorie de L'Approximation, Tome 23 (46), No. 1</v>
      </c>
      <c r="F4585" s="10" t="str">
        <f ca="1">IFERROR(__xludf.DUMMYFUNCTION("""COMPUTED_VALUE"""),"Zentralblatt, MathSciNet")</f>
        <v>Zentralblatt, MathSciNet</v>
      </c>
      <c r="G4585" s="10" t="str">
        <f ca="1">IFERROR(__xludf.DUMMYFUNCTION("""COMPUTED_VALUE"""),"Lazarov R")</f>
        <v>Lazarov R</v>
      </c>
      <c r="H4585" s="10"/>
      <c r="I4585" s="10"/>
      <c r="J4585" s="10"/>
      <c r="K4585" s="10"/>
      <c r="L4585" s="10"/>
      <c r="M4585" s="10"/>
      <c r="N4585" s="10"/>
      <c r="O4585" s="10"/>
      <c r="P4585" s="10"/>
      <c r="Q4585" s="10"/>
      <c r="R4585" s="10"/>
      <c r="S4585" s="10"/>
      <c r="T4585" s="10"/>
      <c r="U4585" s="10"/>
      <c r="V4585" s="10"/>
      <c r="W4585" s="10"/>
      <c r="X4585" s="10"/>
      <c r="Y4585" s="10"/>
      <c r="Z4585" s="10"/>
    </row>
    <row r="4586" spans="1:26" ht="12.75">
      <c r="A4586" s="10" t="str">
        <f ca="1">IFERROR(__xludf.DUMMYFUNCTION("""COMPUTED_VALUE"""),"Красимира Стойчева Александрова")</f>
        <v>Красимира Стойчева Александрова</v>
      </c>
      <c r="B4586" s="10" t="str">
        <f ca="1">IFERROR(__xludf.DUMMYFUNCTION("""COMPUTED_VALUE"""),"Статия в списания и поредици")</f>
        <v>Статия в списания и поредици</v>
      </c>
      <c r="C4586" s="10" t="str">
        <f ca="1">IFERROR(__xludf.DUMMYFUNCTION("""COMPUTED_VALUE"""),"Издателската дейност на Националната библиотека ""Св.св.Кирил и Методий")</f>
        <v>Издателската дейност на Националната библиотека "Св.св.Кирил и Методий</v>
      </c>
      <c r="D4586" s="10">
        <f ca="1">IFERROR(__xludf.DUMMYFUNCTION("""COMPUTED_VALUE"""),2020)</f>
        <v>2020</v>
      </c>
      <c r="E4586" s="10" t="str">
        <f ca="1">IFERROR(__xludf.DUMMYFUNCTION("""COMPUTED_VALUE"""),"Издател, 2020, 1, с. 5-13. ISSN 1310-4624")</f>
        <v>Издател, 2020, 1, с. 5-13. ISSN 1310-4624</v>
      </c>
      <c r="F4586" s="10"/>
      <c r="G4586" s="10" t="str">
        <f ca="1">IFERROR(__xludf.DUMMYFUNCTION("""COMPUTED_VALUE"""),"Красимира Александрова, Петър Величков, Яница Радева")</f>
        <v>Красимира Александрова, Петър Величков, Яница Радева</v>
      </c>
      <c r="H4586" s="10"/>
      <c r="I4586" s="10"/>
      <c r="J4586" s="10"/>
      <c r="K4586" s="10"/>
      <c r="L4586" s="10"/>
      <c r="M4586" s="10"/>
      <c r="N4586" s="10"/>
      <c r="O4586" s="10"/>
      <c r="P4586" s="10"/>
      <c r="Q4586" s="10"/>
      <c r="R4586" s="10"/>
      <c r="S4586" s="10"/>
      <c r="T4586" s="10"/>
      <c r="U4586" s="10"/>
      <c r="V4586" s="10"/>
      <c r="W4586" s="10"/>
      <c r="X4586" s="10"/>
      <c r="Y4586" s="10"/>
      <c r="Z4586" s="10"/>
    </row>
    <row r="4587" spans="1:26" ht="12.75">
      <c r="A4587" s="10" t="str">
        <f ca="1">IFERROR(__xludf.DUMMYFUNCTION("""COMPUTED_VALUE"""),"Красимира Стойчева Александрова")</f>
        <v>Красимира Стойчева Александрова</v>
      </c>
      <c r="B4587" s="10" t="str">
        <f ca="1">IFERROR(__xludf.DUMMYFUNCTION("""COMPUTED_VALUE"""),"Доклад от конференция")</f>
        <v>Доклад от конференция</v>
      </c>
      <c r="C4587" s="10" t="str">
        <f ca="1">IFERROR(__xludf.DUMMYFUNCTION("""COMPUTED_VALUE"""),"Документални свидетелства от фонда на Националната библиотека ""Св.св. Кирил и Методий"" за развитието на образователната и професионална подготовка на библиотечните специалисти в България")</f>
        <v>Документални свидетелства от фонда на Националната библиотека "Св.св. Кирил и Методий" за развитието на образователната и професионална подготовка на библиотечните специалисти в България</v>
      </c>
      <c r="D4587" s="10">
        <f ca="1">IFERROR(__xludf.DUMMYFUNCTION("""COMPUTED_VALUE"""),2020)</f>
        <v>2020</v>
      </c>
      <c r="E4587" s="10" t="str">
        <f ca="1">IFERROR(__xludf.DUMMYFUNCTION("""COMPUTED_VALUE"""),"Общество на знанието и хуманизмът на XXI век: XVIII Национална научна конференция с международно участие. - София, 1-2 ноември 2020 г./ За буквите-Описменехь, 2020, с.36-48. ISSN 2683-0094")</f>
        <v>Общество на знанието и хуманизмът на XXI век: XVIII Национална научна конференция с международно участие. - София, 1-2 ноември 2020 г./ За буквите-Описменехь, 2020, с.36-48. ISSN 2683-0094</v>
      </c>
      <c r="F4587" s="10"/>
      <c r="G4587" s="10" t="str">
        <f ca="1">IFERROR(__xludf.DUMMYFUNCTION("""COMPUTED_VALUE"""),"Ваня Аврамова")</f>
        <v>Ваня Аврамова</v>
      </c>
      <c r="H4587" s="10"/>
      <c r="I4587" s="10"/>
      <c r="J4587" s="10"/>
      <c r="K4587" s="10"/>
      <c r="L4587" s="10"/>
      <c r="M4587" s="10"/>
      <c r="N4587" s="10"/>
      <c r="O4587" s="10"/>
      <c r="P4587" s="10"/>
      <c r="Q4587" s="10"/>
      <c r="R4587" s="10"/>
      <c r="S4587" s="10"/>
      <c r="T4587" s="10"/>
      <c r="U4587" s="10"/>
      <c r="V4587" s="10"/>
      <c r="W4587" s="10"/>
      <c r="X4587" s="10"/>
      <c r="Y4587" s="10"/>
      <c r="Z4587" s="10"/>
    </row>
    <row r="4588" spans="1:26" ht="12.75">
      <c r="A4588" s="10" t="str">
        <f ca="1">IFERROR(__xludf.DUMMYFUNCTION("""COMPUTED_VALUE"""),"Красимира Стойчева Александрова")</f>
        <v>Красимира Стойчева Александрова</v>
      </c>
      <c r="B4588" s="10" t="str">
        <f ca="1">IFERROR(__xludf.DUMMYFUNCTION("""COMPUTED_VALUE"""),"Книга")</f>
        <v>Книга</v>
      </c>
      <c r="C4588" s="10" t="str">
        <f ca="1">IFERROR(__xludf.DUMMYFUNCTION("""COMPUTED_VALUE"""),"Библиотеките в условия на COVID-19: Препоръки за безопасност на персонала и дезинфекция на библиотечни документи")</f>
        <v>Библиотеките в условия на COVID-19: Препоръки за безопасност на персонала и дезинфекция на библиотечни документи</v>
      </c>
      <c r="D4588" s="10">
        <f ca="1">IFERROR(__xludf.DUMMYFUNCTION("""COMPUTED_VALUE"""),2020)</f>
        <v>2020</v>
      </c>
      <c r="E4588" s="10" t="str">
        <f ca="1">IFERROR(__xludf.DUMMYFUNCTION("""COMPUTED_VALUE"""),"София : Национална библиотека ""Св. св. Кирил и Методий"", 2020. - 82 с. с ил. ISBN 978-954-523-168-1")</f>
        <v>София : Национална библиотека "Св. св. Кирил и Методий", 2020. - 82 с. с ил. ISBN 978-954-523-168-1</v>
      </c>
      <c r="F4588" s="28" t="str">
        <f ca="1">IFERROR(__xludf.DUMMYFUNCTION("""COMPUTED_VALUE"""),"http://nationallibrary.bg/wp/?p=68233")</f>
        <v>http://nationallibrary.bg/wp/?p=68233</v>
      </c>
      <c r="G4588" s="10" t="str">
        <f ca="1">IFERROR(__xludf.DUMMYFUNCTION("""COMPUTED_VALUE"""),"Наталия Владинова")</f>
        <v>Наталия Владинова</v>
      </c>
      <c r="H4588" s="10"/>
      <c r="I4588" s="10"/>
      <c r="J4588" s="10"/>
      <c r="K4588" s="10"/>
      <c r="L4588" s="10"/>
      <c r="M4588" s="10"/>
      <c r="N4588" s="10"/>
      <c r="O4588" s="10"/>
      <c r="P4588" s="10"/>
      <c r="Q4588" s="10"/>
      <c r="R4588" s="10"/>
      <c r="S4588" s="10"/>
      <c r="T4588" s="10"/>
      <c r="U4588" s="10"/>
      <c r="V4588" s="10"/>
      <c r="W4588" s="10"/>
      <c r="X4588" s="10"/>
      <c r="Y4588" s="10"/>
      <c r="Z4588" s="10"/>
    </row>
    <row r="4589" spans="1:26" ht="12.75">
      <c r="A4589" s="10" t="str">
        <f ca="1">IFERROR(__xludf.DUMMYFUNCTION("""COMPUTED_VALUE"""),"Красимира Стойчева Александрова")</f>
        <v>Красимира Стойчева Александрова</v>
      </c>
      <c r="B4589" s="10" t="str">
        <f ca="1">IFERROR(__xludf.DUMMYFUNCTION("""COMPUTED_VALUE"""),"Статия в списания и поредици")</f>
        <v>Статия в списания и поредици</v>
      </c>
      <c r="C4589" s="10" t="str">
        <f ca="1">IFERROR(__xludf.DUMMYFUNCTION("""COMPUTED_VALUE"""),"Предизвикателството на промяната: COVID-19 и новите услуги, въведени в Националната библиотека ""Св.св.Кирил и Методий")</f>
        <v>Предизвикателството на промяната: COVID-19 и новите услуги, въведени в Националната библиотека "Св.св.Кирил и Методий</v>
      </c>
      <c r="D4589" s="10">
        <f ca="1">IFERROR(__xludf.DUMMYFUNCTION("""COMPUTED_VALUE"""),2020)</f>
        <v>2020</v>
      </c>
      <c r="E4589" s="10" t="str">
        <f ca="1">IFERROR(__xludf.DUMMYFUNCTION("""COMPUTED_VALUE"""),"Библиотека, София : Национална библиотека ""Св. св. Кирил и Методий"", 2020, 3, с. 9-12. ISSN 0861-847Х")</f>
        <v>Библиотека, София : Национална библиотека "Св. св. Кирил и Методий", 2020, 3, с. 9-12. ISSN 0861-847Х</v>
      </c>
      <c r="F4589" s="10"/>
      <c r="G4589" s="10" t="str">
        <f ca="1">IFERROR(__xludf.DUMMYFUNCTION("""COMPUTED_VALUE"""),"Красимира Александрова, Ваня Аврамова")</f>
        <v>Красимира Александрова, Ваня Аврамова</v>
      </c>
      <c r="H4589" s="10"/>
      <c r="I4589" s="10"/>
      <c r="J4589" s="10"/>
      <c r="K4589" s="10"/>
      <c r="L4589" s="10"/>
      <c r="M4589" s="10"/>
      <c r="N4589" s="10"/>
      <c r="O4589" s="10"/>
      <c r="P4589" s="10"/>
      <c r="Q4589" s="10"/>
      <c r="R4589" s="10"/>
      <c r="S4589" s="10"/>
      <c r="T4589" s="10"/>
      <c r="U4589" s="10"/>
      <c r="V4589" s="10"/>
      <c r="W4589" s="10"/>
      <c r="X4589" s="10"/>
      <c r="Y4589" s="10"/>
      <c r="Z4589" s="10"/>
    </row>
    <row r="4590" spans="1:26" ht="12.75">
      <c r="A4590" s="10" t="str">
        <f ca="1">IFERROR(__xludf.DUMMYFUNCTION("""COMPUTED_VALUE"""),"Красимира Стойчева Александрова")</f>
        <v>Красимира Стойчева Александрова</v>
      </c>
      <c r="B4590" s="10" t="str">
        <f ca="1">IFERROR(__xludf.DUMMYFUNCTION("""COMPUTED_VALUE"""),"Статия в списания и поредици")</f>
        <v>Статия в списания и поредици</v>
      </c>
      <c r="C4590" s="10" t="str">
        <f ca="1">IFERROR(__xludf.DUMMYFUNCTION("""COMPUTED_VALUE"""),"Новите технологии, традиционната роля на Библиотеката и COVID-19 - пресечни точки")</f>
        <v>Новите технологии, традиционната роля на Библиотеката и COVID-19 - пресечни точки</v>
      </c>
      <c r="D4590" s="10">
        <f ca="1">IFERROR(__xludf.DUMMYFUNCTION("""COMPUTED_VALUE"""),2020)</f>
        <v>2020</v>
      </c>
      <c r="E4590" s="10" t="str">
        <f ca="1">IFERROR(__xludf.DUMMYFUNCTION("""COMPUTED_VALUE"""),"Библиотека, София : Национална библиотека ""Св. св. Кирил и Методий"",2020, 2, с.5-15. ISSN 0861-847Х")</f>
        <v>Библиотека, София : Национална библиотека "Св. св. Кирил и Методий",2020, 2, с.5-15. ISSN 0861-847Х</v>
      </c>
      <c r="F4590" s="10"/>
      <c r="G4590" s="10"/>
      <c r="H4590" s="10"/>
      <c r="I4590" s="10"/>
      <c r="J4590" s="10"/>
      <c r="K4590" s="10"/>
      <c r="L4590" s="10"/>
      <c r="M4590" s="10"/>
      <c r="N4590" s="10"/>
      <c r="O4590" s="10"/>
      <c r="P4590" s="10"/>
      <c r="Q4590" s="10"/>
      <c r="R4590" s="10"/>
      <c r="S4590" s="10"/>
      <c r="T4590" s="10"/>
      <c r="U4590" s="10"/>
      <c r="V4590" s="10"/>
      <c r="W4590" s="10"/>
      <c r="X4590" s="10"/>
      <c r="Y4590" s="10"/>
      <c r="Z4590" s="10"/>
    </row>
    <row r="4591" spans="1:26" ht="12.75">
      <c r="A4591" s="10" t="str">
        <f ca="1">IFERROR(__xludf.DUMMYFUNCTION("""COMPUTED_VALUE"""),"Красимира Стойчева Александрова")</f>
        <v>Красимира Стойчева Александрова</v>
      </c>
      <c r="B4591" s="10" t="str">
        <f ca="1">IFERROR(__xludf.DUMMYFUNCTION("""COMPUTED_VALUE"""),"Монография")</f>
        <v>Монография</v>
      </c>
      <c r="C4591" s="10" t="str">
        <f ca="1">IFERROR(__xludf.DUMMYFUNCTION("""COMPUTED_VALUE"""),"Благотворителност и култура на дарителството : докл. от Межд. науч. конф., посветена на 140 год. от основаването на Националната библиотека „Св. св. Кирил и Методий”")</f>
        <v>Благотворителност и култура на дарителството : докл. от Межд. науч. конф., посветена на 140 год. от основаването на Националната библиотека „Св. св. Кирил и Методий”</v>
      </c>
      <c r="D4591" s="10">
        <f ca="1">IFERROR(__xludf.DUMMYFUNCTION("""COMPUTED_VALUE"""),2019)</f>
        <v>2019</v>
      </c>
      <c r="E4591" s="10" t="str">
        <f ca="1">IFERROR(__xludf.DUMMYFUNCTION("""COMPUTED_VALUE"""),"Благотворителност и култура на дарителството : докл.
 от Межд. науч. конф., посветена на 140 год. от
 основаването на Националната библиотека „Св. св.
 Кирил и Методий”, 10-11 дек. 2018 г., София / състав.
 Красимира Александрова, Антоанета Тотоманова =
 "&amp;"Donation and the culture of giving : сборник. – София :
 Нац. библ. Св. Св. Кирил и Методий, 2019. – 344 с. : с
 ил. ISBN 978-954-523-165-0")</f>
        <v>Благотворителност и култура на дарителството : докл.
 от Межд. науч. конф., посветена на 140 год. от
 основаването на Националната библиотека „Св. св.
 Кирил и Методий”, 10-11 дек. 2018 г., София / състав.
 Красимира Александрова, Антоанета Тотоманова =
 Donation and the culture of giving : сборник. – София :
 Нац. библ. Св. Св. Кирил и Методий, 2019. – 344 с. : с
 ил. ISBN 978-954-523-165-0</v>
      </c>
      <c r="F4591" s="10"/>
      <c r="G4591" s="10"/>
      <c r="H4591" s="10"/>
      <c r="I4591" s="10"/>
      <c r="J4591" s="10"/>
      <c r="K4591" s="10"/>
      <c r="L4591" s="10"/>
      <c r="M4591" s="10"/>
      <c r="N4591" s="10"/>
      <c r="O4591" s="10"/>
      <c r="P4591" s="10"/>
      <c r="Q4591" s="10"/>
      <c r="R4591" s="10"/>
      <c r="S4591" s="10"/>
      <c r="T4591" s="10"/>
      <c r="U4591" s="10"/>
      <c r="V4591" s="10"/>
      <c r="W4591" s="10"/>
      <c r="X4591" s="10"/>
      <c r="Y4591" s="10"/>
      <c r="Z4591" s="10"/>
    </row>
    <row r="4592" spans="1:26" ht="12.75">
      <c r="A4592" s="10" t="str">
        <f ca="1">IFERROR(__xludf.DUMMYFUNCTION("""COMPUTED_VALUE"""),"Красимира Стойчева Александрова")</f>
        <v>Красимира Стойчева Александрова</v>
      </c>
      <c r="B4592" s="10" t="str">
        <f ca="1">IFERROR(__xludf.DUMMYFUNCTION("""COMPUTED_VALUE"""),"Статия в списания и поредици")</f>
        <v>Статия в списания и поредици</v>
      </c>
      <c r="C4592" s="10" t="str">
        <f ca="1">IFERROR(__xludf.DUMMYFUNCTION("""COMPUTED_VALUE"""),"Списание ""Библиотека"" - 65 години")</f>
        <v>Списание "Библиотека" - 65 години</v>
      </c>
      <c r="D4592" s="10">
        <f ca="1">IFERROR(__xludf.DUMMYFUNCTION("""COMPUTED_VALUE"""),2019)</f>
        <v>2019</v>
      </c>
      <c r="E4592" s="10" t="str">
        <f ca="1">IFERROR(__xludf.DUMMYFUNCTION("""COMPUTED_VALUE"""),"Библиотека, София : Национална библиотека ""Св. св. Кирил и Методий"", 2019, 1, с.1-2. ISSN 0861-847Х")</f>
        <v>Библиотека, София : Национална библиотека "Св. св. Кирил и Методий", 2019, 1, с.1-2. ISSN 0861-847Х</v>
      </c>
      <c r="F4592" s="28" t="str">
        <f ca="1">IFERROR(__xludf.DUMMYFUNCTION("""COMPUTED_VALUE"""),"http://nationallibrary.bg/wp/wp-content/uploads/2020/06/Biblioteka_br_1_2019.pdf")</f>
        <v>http://nationallibrary.bg/wp/wp-content/uploads/2020/06/Biblioteka_br_1_2019.pdf</v>
      </c>
      <c r="G4592" s="10"/>
      <c r="H4592" s="10"/>
      <c r="I4592" s="10"/>
      <c r="J4592" s="10"/>
      <c r="K4592" s="10"/>
      <c r="L4592" s="10"/>
      <c r="M4592" s="10"/>
      <c r="N4592" s="10"/>
      <c r="O4592" s="10"/>
      <c r="P4592" s="10"/>
      <c r="Q4592" s="10"/>
      <c r="R4592" s="10"/>
      <c r="S4592" s="10"/>
      <c r="T4592" s="10"/>
      <c r="U4592" s="10"/>
      <c r="V4592" s="10"/>
      <c r="W4592" s="10"/>
      <c r="X4592" s="10"/>
      <c r="Y4592" s="10"/>
      <c r="Z4592" s="10"/>
    </row>
    <row r="4593" spans="1:26" ht="12.75">
      <c r="A4593" s="10" t="str">
        <f ca="1">IFERROR(__xludf.DUMMYFUNCTION("""COMPUTED_VALUE"""),"Красимира Стойчева Александрова")</f>
        <v>Красимира Стойчева Александрова</v>
      </c>
      <c r="B4593" s="10" t="str">
        <f ca="1">IFERROR(__xludf.DUMMYFUNCTION("""COMPUTED_VALUE"""),"Доклад от конференция")</f>
        <v>Доклад от конференция</v>
      </c>
      <c r="C4593" s="10" t="str">
        <f ca="1">IFERROR(__xludf.DUMMYFUNCTION("""COMPUTED_VALUE"""),"Дигитализацията на архивно-документално наследство в Национална библиотека „Св. св. Кирил и Методий” – настояще и перспективи")</f>
        <v>Дигитализацията на архивно-документално наследство в Национална библиотека „Св. св. Кирил и Методий” – настояще и перспективи</v>
      </c>
      <c r="D4593" s="10">
        <f ca="1">IFERROR(__xludf.DUMMYFUNCTION("""COMPUTED_VALUE"""),2019)</f>
        <v>2019</v>
      </c>
      <c r="E4593" s="10" t="str">
        <f ca="1">IFERROR(__xludf.DUMMYFUNCTION("""COMPUTED_VALUE"""),"ОБЩЕСТВОТО на знанието и хуманизмът на XXI век – София: За буквите - О писменехь, 2019. с. 224-235 ISSN 2683-0094")</f>
        <v>ОБЩЕСТВОТО на знанието и хуманизмът на XXI век – София: За буквите - О писменехь, 2019. с. 224-235 ISSN 2683-0094</v>
      </c>
      <c r="F4593" s="10" t="str">
        <f ca="1">IFERROR(__xludf.DUMMYFUNCTION("""COMPUTED_VALUE"""),"Рефериран списък на НАЦИД")</f>
        <v>Рефериран списък на НАЦИД</v>
      </c>
      <c r="G4593" s="10"/>
      <c r="H4593" s="10"/>
      <c r="I4593" s="10"/>
      <c r="J4593" s="10"/>
      <c r="K4593" s="10"/>
      <c r="L4593" s="10"/>
      <c r="M4593" s="10"/>
      <c r="N4593" s="10"/>
      <c r="O4593" s="10"/>
      <c r="P4593" s="10"/>
      <c r="Q4593" s="10"/>
      <c r="R4593" s="10"/>
      <c r="S4593" s="10"/>
      <c r="T4593" s="10"/>
      <c r="U4593" s="10"/>
      <c r="V4593" s="10"/>
      <c r="W4593" s="10"/>
      <c r="X4593" s="10"/>
      <c r="Y4593" s="10"/>
      <c r="Z4593" s="10"/>
    </row>
    <row r="4594" spans="1:26" ht="12.75">
      <c r="A4594" s="10" t="str">
        <f ca="1">IFERROR(__xludf.DUMMYFUNCTION("""COMPUTED_VALUE"""),"Красимира Стойчева Александрова")</f>
        <v>Красимира Стойчева Александрова</v>
      </c>
      <c r="B4594" s="10" t="str">
        <f ca="1">IFERROR(__xludf.DUMMYFUNCTION("""COMPUTED_VALUE"""),"Доклад от конференция")</f>
        <v>Доклад от конференция</v>
      </c>
      <c r="C4594" s="10" t="str">
        <f ca="1">IFERROR(__xludf.DUMMYFUNCTION("""COMPUTED_VALUE"""),"Дарителството в Националната библиотека „Св. св. Кирил и Методий”")</f>
        <v>Дарителството в Националната библиотека „Св. св. Кирил и Методий”</v>
      </c>
      <c r="D4594" s="10">
        <f ca="1">IFERROR(__xludf.DUMMYFUNCTION("""COMPUTED_VALUE"""),2019)</f>
        <v>2019</v>
      </c>
      <c r="E4594" s="10" t="str">
        <f ca="1">IFERROR(__xludf.DUMMYFUNCTION("""COMPUTED_VALUE"""),"Благотворителност и култура на дарителството : София. – София, 2019. с. 13-19. ISBN 978-954-523-165-0.")</f>
        <v>Благотворителност и култура на дарителството : София. – София, 2019. с. 13-19. ISBN 978-954-523-165-0.</v>
      </c>
      <c r="F4594" s="10"/>
      <c r="G4594" s="10"/>
      <c r="H4594" s="10"/>
      <c r="I4594" s="10"/>
      <c r="J4594" s="10"/>
      <c r="K4594" s="10"/>
      <c r="L4594" s="10"/>
      <c r="M4594" s="10"/>
      <c r="N4594" s="10"/>
      <c r="O4594" s="10"/>
      <c r="P4594" s="10"/>
      <c r="Q4594" s="10"/>
      <c r="R4594" s="10"/>
      <c r="S4594" s="10"/>
      <c r="T4594" s="10"/>
      <c r="U4594" s="10"/>
      <c r="V4594" s="10"/>
      <c r="W4594" s="10"/>
      <c r="X4594" s="10"/>
      <c r="Y4594" s="10"/>
      <c r="Z4594" s="10"/>
    </row>
    <row r="4595" spans="1:26" ht="12.75">
      <c r="A4595" s="10" t="str">
        <f ca="1">IFERROR(__xludf.DUMMYFUNCTION("""COMPUTED_VALUE"""),"Красимира Стойчева Александрова")</f>
        <v>Красимира Стойчева Александрова</v>
      </c>
      <c r="B4595" s="10" t="str">
        <f ca="1">IFERROR(__xludf.DUMMYFUNCTION("""COMPUTED_VALUE"""),"Статия в списания и поредици")</f>
        <v>Статия в списания и поредици</v>
      </c>
      <c r="C4595" s="10" t="str">
        <f ca="1">IFERROR(__xludf.DUMMYFUNCTION("""COMPUTED_VALUE"""),"Традиция в современности")</f>
        <v>Традиция в современности</v>
      </c>
      <c r="D4595" s="10">
        <f ca="1">IFERROR(__xludf.DUMMYFUNCTION("""COMPUTED_VALUE"""),2019)</f>
        <v>2019</v>
      </c>
      <c r="E4595" s="10" t="str">
        <f ca="1">IFERROR(__xludf.DUMMYFUNCTION("""COMPUTED_VALUE"""),"Открытый доступ: Библиотеки за рубежом
 2019: Национальная библиотека Болгарии: вчера, сегодня, завтра: Академия «Рудомино». — Академия ""Рудомино"", Москва, 2019. с. 6-17
 https://libfl.ru/attachments/attachment/original/5cd293989ac0ae5145685db1-
 origin"&amp;"al.pdf")</f>
        <v>Открытый доступ: Библиотеки за рубежом
 2019: Национальная библиотека Болгарии: вчера, сегодня, завтра: Академия «Рудомино». — Академия "Рудомино", Москва, 2019. с. 6-17
 https://libfl.ru/attachments/attachment/original/5cd293989ac0ae5145685db1-
 original.pdf</v>
      </c>
      <c r="F4595" s="10"/>
      <c r="G4595" s="10"/>
      <c r="H4595" s="10"/>
      <c r="I4595" s="10"/>
      <c r="J4595" s="10"/>
      <c r="K4595" s="10"/>
      <c r="L4595" s="10"/>
      <c r="M4595" s="10"/>
      <c r="N4595" s="10"/>
      <c r="O4595" s="10"/>
      <c r="P4595" s="10"/>
      <c r="Q4595" s="10"/>
      <c r="R4595" s="10"/>
      <c r="S4595" s="10"/>
      <c r="T4595" s="10"/>
      <c r="U4595" s="10"/>
      <c r="V4595" s="10"/>
      <c r="W4595" s="10"/>
      <c r="X4595" s="10"/>
      <c r="Y4595" s="10"/>
      <c r="Z4595" s="10"/>
    </row>
    <row r="4596" spans="1:26" ht="12.75">
      <c r="A4596" s="10" t="str">
        <f ca="1">IFERROR(__xludf.DUMMYFUNCTION("""COMPUTED_VALUE"""),"Красимира Стойчева Александрова")</f>
        <v>Красимира Стойчева Александрова</v>
      </c>
      <c r="B4596" s="10" t="str">
        <f ca="1">IFERROR(__xludf.DUMMYFUNCTION("""COMPUTED_VALUE"""),"Статия в списания и поредици")</f>
        <v>Статия в списания и поредици</v>
      </c>
      <c r="C4596" s="10" t="str">
        <f ca="1">IFERROR(__xludf.DUMMYFUNCTION("""COMPUTED_VALUE"""),"Paradigmaquartum decimum. Образци на синтеза на теорията и практиката в четиринайсет стъпки на обхван на библио-инфо-ноосферата като вестител на планетарната хуманитаристика: Препоръчителна енциклопедия за десетилетието 2009-2018 г., отразено във философс"&amp;"кия когнитологичен компаративистичен прочит на емблематични книги")</f>
        <v>Paradigmaquartum decimum. Образци на синтеза на теорията и практиката в четиринайсет стъпки на обхван на библио-инфо-ноосферата като вестител на планетарната хуманитаристика: Препоръчителна енциклопедия за десетилетието 2009-2018 г., отразено във философския когнитологичен компаративистичен прочит на емблематични книги</v>
      </c>
      <c r="D4596" s="10">
        <f ca="1">IFERROR(__xludf.DUMMYFUNCTION("""COMPUTED_VALUE"""),2018)</f>
        <v>2018</v>
      </c>
      <c r="E4596" s="10" t="str">
        <f ca="1">IFERROR(__xludf.DUMMYFUNCTION("""COMPUTED_VALUE"""),"Библиотека: Списание за библиотечни и информационни науки, книгознание и литературна история, год. XXV, бр. 5, 2018, София, с. 89-147. ISSN 0861-847X")</f>
        <v>Библиотека: Списание за библиотечни и информационни науки, книгознание и литературна история, год. XXV, бр. 5, 2018, София, с. 89-147. ISSN 0861-847X</v>
      </c>
      <c r="F4596" s="10"/>
      <c r="G4596" s="10" t="str">
        <f ca="1">IFERROR(__xludf.DUMMYFUNCTION("""COMPUTED_VALUE"""),"Куманова, Ал., Н. Казански, Н. Василев.")</f>
        <v>Куманова, Ал., Н. Казански, Н. Василев.</v>
      </c>
      <c r="H4596" s="10"/>
      <c r="I4596" s="10"/>
      <c r="J4596" s="10"/>
      <c r="K4596" s="10"/>
      <c r="L4596" s="10"/>
      <c r="M4596" s="10"/>
      <c r="N4596" s="10"/>
      <c r="O4596" s="10"/>
      <c r="P4596" s="10"/>
      <c r="Q4596" s="10"/>
      <c r="R4596" s="10"/>
      <c r="S4596" s="10"/>
      <c r="T4596" s="10"/>
      <c r="U4596" s="10"/>
      <c r="V4596" s="10"/>
      <c r="W4596" s="10"/>
      <c r="X4596" s="10"/>
      <c r="Y4596" s="10"/>
      <c r="Z4596" s="10"/>
    </row>
    <row r="4597" spans="1:26" ht="12.75">
      <c r="A4597" s="10" t="str">
        <f ca="1">IFERROR(__xludf.DUMMYFUNCTION("""COMPUTED_VALUE"""),"Красимира Стойчева Александрова")</f>
        <v>Красимира Стойчева Александрова</v>
      </c>
      <c r="B4597" s="10" t="str">
        <f ca="1">IFERROR(__xludf.DUMMYFUNCTION("""COMPUTED_VALUE"""),"Статия в списания и поредици")</f>
        <v>Статия в списания и поредици</v>
      </c>
      <c r="C4597" s="10" t="str">
        <f ca="1">IFERROR(__xludf.DUMMYFUNCTION("""COMPUTED_VALUE"""),"Часопис Библиотека – стручно изданье бугарске библиотечке заjеднице")</f>
        <v>Часопис Библиотека – стручно изданье бугарске библиотечке заjеднице</v>
      </c>
      <c r="D4597" s="10">
        <f ca="1">IFERROR(__xludf.DUMMYFUNCTION("""COMPUTED_VALUE"""),2018)</f>
        <v>2018</v>
      </c>
      <c r="E4597" s="10" t="str">
        <f ca="1">IFERROR(__xludf.DUMMYFUNCTION("""COMPUTED_VALUE"""),"Библиотекар: часопис за теорију и праксу библиотекарства, Год. LX св. 2 (2018) Број 2 (2018), с. 53-61")</f>
        <v>Библиотекар: часопис за теорију и праксу библиотекарства, Год. LX св. 2 (2018) Број 2 (2018), с. 53-61</v>
      </c>
      <c r="F4597" s="10" t="str">
        <f ca="1">IFERROR(__xludf.DUMMYFUNCTION("""COMPUTED_VALUE"""),"SCOPUS")</f>
        <v>SCOPUS</v>
      </c>
      <c r="G4597" s="10"/>
      <c r="H4597" s="10"/>
      <c r="I4597" s="10"/>
      <c r="J4597" s="10"/>
      <c r="K4597" s="10"/>
      <c r="L4597" s="10"/>
      <c r="M4597" s="10"/>
      <c r="N4597" s="10"/>
      <c r="O4597" s="10"/>
      <c r="P4597" s="10"/>
      <c r="Q4597" s="10"/>
      <c r="R4597" s="10"/>
      <c r="S4597" s="10"/>
      <c r="T4597" s="10"/>
      <c r="U4597" s="10"/>
      <c r="V4597" s="10"/>
      <c r="W4597" s="10"/>
      <c r="X4597" s="10"/>
      <c r="Y4597" s="10"/>
      <c r="Z4597" s="10"/>
    </row>
    <row r="4598" spans="1:26" ht="12.75">
      <c r="A4598" s="10" t="str">
        <f ca="1">IFERROR(__xludf.DUMMYFUNCTION("""COMPUTED_VALUE"""),"Красимира Стойчева Александрова")</f>
        <v>Красимира Стойчева Александрова</v>
      </c>
      <c r="B4598" s="10" t="str">
        <f ca="1">IFERROR(__xludf.DUMMYFUNCTION("""COMPUTED_VALUE"""),"Статия в списания и поредици")</f>
        <v>Статия в списания и поредици</v>
      </c>
      <c r="C4598" s="10" t="str">
        <f ca="1">IFERROR(__xludf.DUMMYFUNCTION("""COMPUTED_VALUE"""),"Universal contemporary information center – conceptual model and role in community buildin")</f>
        <v>Universal contemporary information center – conceptual model and role in community buildin</v>
      </c>
      <c r="D4598" s="10">
        <f ca="1">IFERROR(__xludf.DUMMYFUNCTION("""COMPUTED_VALUE"""),2018)</f>
        <v>2018</v>
      </c>
      <c r="E4598" s="10" t="str">
        <f ca="1">IFERROR(__xludf.DUMMYFUNCTION("""COMPUTED_VALUE"""),"10th annual International Conference EDULEARN18 Proceedings : 10th annual International Conference on Education and New Learning Technologies, 2nd-4th of July 2018, Palma de Mallorca (Spain), р. 3946.")</f>
        <v>10th annual International Conference EDULEARN18 Proceedings : 10th annual International Conference on Education and New Learning Technologies, 2nd-4th of July 2018, Palma de Mallorca (Spain), р. 3946.</v>
      </c>
      <c r="F4598" s="28" t="str">
        <f ca="1">IFERROR(__xludf.DUMMYFUNCTION("""COMPUTED_VALUE"""),"https://library.iated.org/publications/EDULEARN18")</f>
        <v>https://library.iated.org/publications/EDULEARN18</v>
      </c>
      <c r="G4598" s="10" t="str">
        <f ca="1">IFERROR(__xludf.DUMMYFUNCTION("""COMPUTED_VALUE"""),"Tsvetkova, Elisaveta, Ivanka Pavlova")</f>
        <v>Tsvetkova, Elisaveta, Ivanka Pavlova</v>
      </c>
      <c r="H4598" s="10"/>
      <c r="I4598" s="10"/>
      <c r="J4598" s="10"/>
      <c r="K4598" s="10"/>
      <c r="L4598" s="10"/>
      <c r="M4598" s="10"/>
      <c r="N4598" s="10"/>
      <c r="O4598" s="10"/>
      <c r="P4598" s="10"/>
      <c r="Q4598" s="10"/>
      <c r="R4598" s="10"/>
      <c r="S4598" s="10"/>
      <c r="T4598" s="10"/>
      <c r="U4598" s="10"/>
      <c r="V4598" s="10"/>
      <c r="W4598" s="10"/>
      <c r="X4598" s="10"/>
      <c r="Y4598" s="10"/>
      <c r="Z4598" s="10"/>
    </row>
    <row r="4599" spans="1:26" ht="12.75">
      <c r="A4599" s="10" t="str">
        <f ca="1">IFERROR(__xludf.DUMMYFUNCTION("""COMPUTED_VALUE"""),"Красимира Стойчева Александрова")</f>
        <v>Красимира Стойчева Александрова</v>
      </c>
      <c r="B4599" s="10" t="str">
        <f ca="1">IFERROR(__xludf.DUMMYFUNCTION("""COMPUTED_VALUE"""),"Статия в списания и поредици")</f>
        <v>Статия в списания и поредици</v>
      </c>
      <c r="C4599" s="10" t="str">
        <f ca="1">IFERROR(__xludf.DUMMYFUNCTION("""COMPUTED_VALUE"""),"Часопис Библиотека – стручно изданье бугарске библиотечке заjеднице")</f>
        <v>Часопис Библиотека – стручно изданье бугарске библиотечке заjеднице</v>
      </c>
      <c r="D4599" s="10">
        <f ca="1">IFERROR(__xludf.DUMMYFUNCTION("""COMPUTED_VALUE"""),2018)</f>
        <v>2018</v>
      </c>
      <c r="E4599" s="10" t="str">
        <f ca="1">IFERROR(__xludf.DUMMYFUNCTION("""COMPUTED_VALUE"""),"БИБЛИОТЕКАР: часопис за теорију и праксу библиотекарства Год. LX св. 2 (2018) Број 2 (2018), с. 53-61 ISSN 0006-1816")</f>
        <v>БИБЛИОТЕКАР: часопис за теорију и праксу библиотекарства Год. LX св. 2 (2018) Број 2 (2018), с. 53-61 ISSN 0006-1816</v>
      </c>
      <c r="F4599" s="10" t="str">
        <f ca="1">IFERROR(__xludf.DUMMYFUNCTION("""COMPUTED_VALUE"""),"EBSCO и CEEOL")</f>
        <v>EBSCO и CEEOL</v>
      </c>
      <c r="G4599" s="10" t="str">
        <f ca="1">IFERROR(__xludf.DUMMYFUNCTION("""COMPUTED_VALUE"""),"Марчела Борисова")</f>
        <v>Марчела Борисова</v>
      </c>
      <c r="H4599" s="10"/>
      <c r="I4599" s="10"/>
      <c r="J4599" s="10"/>
      <c r="K4599" s="10"/>
      <c r="L4599" s="10"/>
      <c r="M4599" s="10"/>
      <c r="N4599" s="10"/>
      <c r="O4599" s="10"/>
      <c r="P4599" s="10"/>
      <c r="Q4599" s="10"/>
      <c r="R4599" s="10"/>
      <c r="S4599" s="10"/>
      <c r="T4599" s="10"/>
      <c r="U4599" s="10"/>
      <c r="V4599" s="10"/>
      <c r="W4599" s="10"/>
      <c r="X4599" s="10"/>
      <c r="Y4599" s="10"/>
      <c r="Z4599" s="10"/>
    </row>
    <row r="4600" spans="1:26" ht="12.75">
      <c r="A4600" s="10" t="str">
        <f ca="1">IFERROR(__xludf.DUMMYFUNCTION("""COMPUTED_VALUE"""),"Красимира Стойчева Александрова")</f>
        <v>Красимира Стойчева Александрова</v>
      </c>
      <c r="B4600" s="10" t="str">
        <f ca="1">IFERROR(__xludf.DUMMYFUNCTION("""COMPUTED_VALUE"""),"Статия в списания и поредици")</f>
        <v>Статия в списания и поредици</v>
      </c>
      <c r="C4600" s="10" t="str">
        <f ca="1">IFERROR(__xludf.DUMMYFUNCTION("""COMPUTED_VALUE"""),"120 години Закон за задължителното депозиране")</f>
        <v>120 години Закон за задължителното депозиране</v>
      </c>
      <c r="D4600" s="10">
        <f ca="1">IFERROR(__xludf.DUMMYFUNCTION("""COMPUTED_VALUE"""),2018)</f>
        <v>2018</v>
      </c>
      <c r="E4600" s="10" t="str">
        <f ca="1">IFERROR(__xludf.DUMMYFUNCTION("""COMPUTED_VALUE"""),"Библиотека: Списание за библиотечни и информационни науки, книгознание и литературна история, год. XXV, бр. 1, 2018, София, с. 5-9. ISSN 0861-847X")</f>
        <v>Библиотека: Списание за библиотечни и информационни науки, книгознание и литературна история, год. XXV, бр. 1, 2018, София, с. 5-9. ISSN 0861-847X</v>
      </c>
      <c r="F4600" s="10"/>
      <c r="G4600" s="10"/>
      <c r="H4600" s="10"/>
      <c r="I4600" s="10"/>
      <c r="J4600" s="10"/>
      <c r="K4600" s="10"/>
      <c r="L4600" s="10"/>
      <c r="M4600" s="10"/>
      <c r="N4600" s="10"/>
      <c r="O4600" s="10"/>
      <c r="P4600" s="10"/>
      <c r="Q4600" s="10"/>
      <c r="R4600" s="10"/>
      <c r="S4600" s="10"/>
      <c r="T4600" s="10"/>
      <c r="U4600" s="10"/>
      <c r="V4600" s="10"/>
      <c r="W4600" s="10"/>
      <c r="X4600" s="10"/>
      <c r="Y4600" s="10"/>
      <c r="Z4600" s="10"/>
    </row>
    <row r="4601" spans="1:26" ht="12.75">
      <c r="A4601" s="10" t="str">
        <f ca="1">IFERROR(__xludf.DUMMYFUNCTION("""COMPUTED_VALUE"""),"Красимира Стойчева Александрова")</f>
        <v>Красимира Стойчева Александрова</v>
      </c>
      <c r="B4601" s="10" t="str">
        <f ca="1">IFERROR(__xludf.DUMMYFUNCTION("""COMPUTED_VALUE"""),"Книга")</f>
        <v>Книга</v>
      </c>
      <c r="C4601" s="10" t="str">
        <f ca="1">IFERROR(__xludf.DUMMYFUNCTION("""COMPUTED_VALUE"""),"GENERATIO SPONTANEA : Synoptic table of the World universal bibliography from 3RD c. BC to 21st c. : An atlas – electronic library „Universalica” (Model of the secondary-documental framework of the biblio-info-noosphere) : Textbook-compendium of General B"&amp;"ibliography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библиографов"&amp;"едению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библиог"&amp;"рафознание")</f>
        <v>GENERATIO SPONTANEA : Synoptic table of the World universal bibliography from 3RD c. BC to 21st c. : An atlas – electronic library „Universalica” (Model of the secondary-documental framework of the biblio-info-noosphere) : Textbook-compendium of General Bibliography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библиографознание</v>
      </c>
      <c r="D4601" s="10">
        <f ca="1">IFERROR(__xludf.DUMMYFUNCTION("""COMPUTED_VALUE"""),2018)</f>
        <v>2018</v>
      </c>
      <c r="E4601" s="10" t="str">
        <f ca="1">IFERROR(__xludf.DUMMYFUNCTION("""COMPUTED_VALUE"""),"Comp., bibliogr., preface Alexandra Kumanova ; Sci. ed. Stoyan Denchev Bibliogr. еd. Krasimira Alexandrova ISBN 978-619-185-321-2")</f>
        <v>Comp., bibliogr., preface Alexandra Kumanova ; Sci. ed. Stoyan Denchev Bibliogr. еd. Krasimira Alexandrova ISBN 978-619-185-321-2</v>
      </c>
      <c r="F4601" s="10" t="str">
        <f ca="1">IFERROR(__xludf.DUMMYFUNCTION("""COMPUTED_VALUE"""),"Публ. &lt;http://www.sno.unibit.bg&gt;")</f>
        <v>Публ. &lt;http://www.sno.unibit.bg&gt;</v>
      </c>
      <c r="G4601" s="10"/>
      <c r="H4601" s="10"/>
      <c r="I4601" s="10"/>
      <c r="J4601" s="10"/>
      <c r="K4601" s="10"/>
      <c r="L4601" s="10"/>
      <c r="M4601" s="10"/>
      <c r="N4601" s="10"/>
      <c r="O4601" s="10"/>
      <c r="P4601" s="10"/>
      <c r="Q4601" s="10"/>
      <c r="R4601" s="10"/>
      <c r="S4601" s="10"/>
      <c r="T4601" s="10"/>
      <c r="U4601" s="10"/>
      <c r="V4601" s="10"/>
      <c r="W4601" s="10"/>
      <c r="X4601" s="10"/>
      <c r="Y4601" s="10"/>
      <c r="Z4601" s="10"/>
    </row>
    <row r="4602" spans="1:26" ht="12.75">
      <c r="A4602" s="10" t="str">
        <f ca="1">IFERROR(__xludf.DUMMYFUNCTION("""COMPUTED_VALUE"""),"Красимира Стойчева Александрова")</f>
        <v>Красимира Стойчева Александрова</v>
      </c>
      <c r="B4602" s="10" t="str">
        <f ca="1">IFERROR(__xludf.DUMMYFUNCTION("""COMPUTED_VALUE"""),"Статия в списания и поредици")</f>
        <v>Статия в списания и поредици</v>
      </c>
      <c r="C4602" s="10" t="str">
        <f ca="1">IFERROR(__xludf.DUMMYFUNCTION("""COMPUTED_VALUE"""),"Universal contemporary information center – conceptual model and role in community building")</f>
        <v>Universal contemporary information center – conceptual model and role in community building</v>
      </c>
      <c r="D4602" s="10">
        <f ca="1">IFERROR(__xludf.DUMMYFUNCTION("""COMPUTED_VALUE"""),2018)</f>
        <v>2018</v>
      </c>
      <c r="E4602" s="10" t="str">
        <f ca="1">IFERROR(__xludf.DUMMYFUNCTION("""COMPUTED_VALUE"""),"EDULEARN18 Proceedings : 10th annual International Conference on Education and New Learning Technologies, 2018, Palma de Mallorca (Spain), р. 3946. ISSN 2340-1079")</f>
        <v>EDULEARN18 Proceedings : 10th annual International Conference on Education and New Learning Technologies, 2018, Palma de Mallorca (Spain), р. 3946. ISSN 2340-1079</v>
      </c>
      <c r="F4602" s="10" t="str">
        <f ca="1">IFERROR(__xludf.DUMMYFUNCTION("""COMPUTED_VALUE"""),"SCOPUS")</f>
        <v>SCOPUS</v>
      </c>
      <c r="G4602" s="10" t="str">
        <f ca="1">IFERROR(__xludf.DUMMYFUNCTION("""COMPUTED_VALUE"""),"Tsvetkova, E., Iv. Pavlova")</f>
        <v>Tsvetkova, E., Iv. Pavlova</v>
      </c>
      <c r="H4602" s="10"/>
      <c r="I4602" s="10"/>
      <c r="J4602" s="10"/>
      <c r="K4602" s="10"/>
      <c r="L4602" s="10"/>
      <c r="M4602" s="10"/>
      <c r="N4602" s="10"/>
      <c r="O4602" s="10"/>
      <c r="P4602" s="10"/>
      <c r="Q4602" s="10"/>
      <c r="R4602" s="10"/>
      <c r="S4602" s="10"/>
      <c r="T4602" s="10"/>
      <c r="U4602" s="10"/>
      <c r="V4602" s="10"/>
      <c r="W4602" s="10"/>
      <c r="X4602" s="10"/>
      <c r="Y4602" s="10"/>
      <c r="Z4602" s="10"/>
    </row>
    <row r="4603" spans="1:26" ht="12.75">
      <c r="A4603" s="10" t="str">
        <f ca="1">IFERROR(__xludf.DUMMYFUNCTION("""COMPUTED_VALUE"""),"Красимира Стойчева Александрова")</f>
        <v>Красимира Стойчева Александрова</v>
      </c>
      <c r="B4603" s="10" t="str">
        <f ca="1">IFERROR(__xludf.DUMMYFUNCTION("""COMPUTED_VALUE"""),"Доклад от конференция")</f>
        <v>Доклад от конференция</v>
      </c>
      <c r="C4603" s="10" t="str">
        <f ca="1">IFERROR(__xludf.DUMMYFUNCTION("""COMPUTED_VALUE"""),"Тайни за дългия живот на пергаментните ръкописи")</f>
        <v>Тайни за дългия живот на пергаментните ръкописи</v>
      </c>
      <c r="D4603" s="10">
        <f ca="1">IFERROR(__xludf.DUMMYFUNCTION("""COMPUTED_VALUE"""),2018)</f>
        <v>2018</v>
      </c>
      <c r="E4603" s="10" t="str">
        <f ca="1">IFERROR(__xludf.DUMMYFUNCTION("""COMPUTED_VALUE"""),"Истини и лъжи за факти, новини и събития: Сборник с доклади от Международна научна конференция 24-25 април 2018 г., т.1 - : Truths and lies about facts, news and events: Proceedings of the International Scientific Conference 24-25 April 2018, vol. 1 - Рус"&amp;"е : Регионална библиотека Л. Каравелов, 2018. - 338 с. ISBN 978-619-7404-03-6")</f>
        <v>Истини и лъжи за факти, новини и събития: Сборник с доклади от Международна научна конференция 24-25 април 2018 г., т.1 - : Truths and lies about facts, news and events: Proceedings of the International Scientific Conference 24-25 April 2018, vol. 1 - Русе : Регионална библиотека Л. Каравелов, 2018. - 338 с. ISBN 978-619-7404-03-6</v>
      </c>
      <c r="F4603" s="10"/>
      <c r="G4603" s="10" t="str">
        <f ca="1">IFERROR(__xludf.DUMMYFUNCTION("""COMPUTED_VALUE"""),"Искра Цветанска")</f>
        <v>Искра Цветанска</v>
      </c>
      <c r="H4603" s="10"/>
      <c r="I4603" s="10"/>
      <c r="J4603" s="10"/>
      <c r="K4603" s="10"/>
      <c r="L4603" s="10"/>
      <c r="M4603" s="10"/>
      <c r="N4603" s="10"/>
      <c r="O4603" s="10"/>
      <c r="P4603" s="10"/>
      <c r="Q4603" s="10"/>
      <c r="R4603" s="10"/>
      <c r="S4603" s="10"/>
      <c r="T4603" s="10"/>
      <c r="U4603" s="10"/>
      <c r="V4603" s="10"/>
      <c r="W4603" s="10"/>
      <c r="X4603" s="10"/>
      <c r="Y4603" s="10"/>
      <c r="Z4603" s="10"/>
    </row>
    <row r="4604" spans="1:26" ht="12.75">
      <c r="A4604" s="10" t="str">
        <f ca="1">IFERROR(__xludf.DUMMYFUNCTION("""COMPUTED_VALUE"""),"Красимира Стойчева Александрова")</f>
        <v>Красимира Стойчева Александрова</v>
      </c>
      <c r="B4604" s="10" t="str">
        <f ca="1">IFERROR(__xludf.DUMMYFUNCTION("""COMPUTED_VALUE"""),"Статия в списания и поредици")</f>
        <v>Статия в списания и поредици</v>
      </c>
      <c r="C4604" s="10" t="str">
        <f ca="1">IFERROR(__xludf.DUMMYFUNCTION("""COMPUTED_VALUE"""),"Среща на високо равнище по въпросите на книгата в Баку.")</f>
        <v>Среща на високо равнище по въпросите на книгата в Баку.</v>
      </c>
      <c r="D4604" s="10">
        <f ca="1">IFERROR(__xludf.DUMMYFUNCTION("""COMPUTED_VALUE"""),2018)</f>
        <v>2018</v>
      </c>
      <c r="E4604" s="10" t="str">
        <f ca="1">IFERROR(__xludf.DUMMYFUNCTION("""COMPUTED_VALUE"""),"Библиотека: Списание за библиотечни и информационни науки, книгознание и литературна история, год. XXV, бр. 2, 2018, София, с. 41- 51. ISSN 0861-847X")</f>
        <v>Библиотека: Списание за библиотечни и информационни науки, книгознание и литературна история, год. XXV, бр. 2, 2018, София, с. 41- 51. ISSN 0861-847X</v>
      </c>
      <c r="F4604" s="10"/>
      <c r="G4604" s="10"/>
      <c r="H4604" s="10"/>
      <c r="I4604" s="10"/>
      <c r="J4604" s="10"/>
      <c r="K4604" s="10"/>
      <c r="L4604" s="10"/>
      <c r="M4604" s="10"/>
      <c r="N4604" s="10"/>
      <c r="O4604" s="10"/>
      <c r="P4604" s="10"/>
      <c r="Q4604" s="10"/>
      <c r="R4604" s="10"/>
      <c r="S4604" s="10"/>
      <c r="T4604" s="10"/>
      <c r="U4604" s="10"/>
      <c r="V4604" s="10"/>
      <c r="W4604" s="10"/>
      <c r="X4604" s="10"/>
      <c r="Y4604" s="10"/>
      <c r="Z4604" s="10"/>
    </row>
    <row r="4605" spans="1:26" ht="12.75">
      <c r="A4605" s="10" t="str">
        <f ca="1">IFERROR(__xludf.DUMMYFUNCTION("""COMPUTED_VALUE"""),"Красимира Стойчева Александрова")</f>
        <v>Красимира Стойчева Александрова</v>
      </c>
      <c r="B4605" s="10" t="str">
        <f ca="1">IFERROR(__xludf.DUMMYFUNCTION("""COMPUTED_VALUE"""),"Статия в списания и поредици")</f>
        <v>Статия в списания и поредици</v>
      </c>
      <c r="C4605" s="10" t="str">
        <f ca="1">IFERROR(__xludf.DUMMYFUNCTION("""COMPUTED_VALUE"""),"Съхранение и експониране на пергаментни ръкописи")</f>
        <v>Съхранение и експониране на пергаментни ръкописи</v>
      </c>
      <c r="D4605" s="10">
        <f ca="1">IFERROR(__xludf.DUMMYFUNCTION("""COMPUTED_VALUE"""),2018)</f>
        <v>2018</v>
      </c>
      <c r="E4605" s="10" t="str">
        <f ca="1">IFERROR(__xludf.DUMMYFUNCTION("""COMPUTED_VALUE"""),"Библиотека, Год. 25, 2018, № 4, с. 21-27. ISSN 0861-847X")</f>
        <v>Библиотека, Год. 25, 2018, № 4, с. 21-27. ISSN 0861-847X</v>
      </c>
      <c r="F4605" s="10"/>
      <c r="G4605" s="10" t="str">
        <f ca="1">IFERROR(__xludf.DUMMYFUNCTION("""COMPUTED_VALUE"""),"Искра Цветанска")</f>
        <v>Искра Цветанска</v>
      </c>
      <c r="H4605" s="10"/>
      <c r="I4605" s="10"/>
      <c r="J4605" s="10"/>
      <c r="K4605" s="10"/>
      <c r="L4605" s="10"/>
      <c r="M4605" s="10"/>
      <c r="N4605" s="10"/>
      <c r="O4605" s="10"/>
      <c r="P4605" s="10"/>
      <c r="Q4605" s="10"/>
      <c r="R4605" s="10"/>
      <c r="S4605" s="10"/>
      <c r="T4605" s="10"/>
      <c r="U4605" s="10"/>
      <c r="V4605" s="10"/>
      <c r="W4605" s="10"/>
      <c r="X4605" s="10"/>
      <c r="Y4605" s="10"/>
      <c r="Z4605" s="10"/>
    </row>
    <row r="4606" spans="1:26" ht="12.75">
      <c r="A4606" s="10" t="str">
        <f ca="1">IFERROR(__xludf.DUMMYFUNCTION("""COMPUTED_VALUE"""),"Красимира Стойчева Александрова")</f>
        <v>Красимира Стойчева Александрова</v>
      </c>
      <c r="B4606" s="10" t="str">
        <f ca="1">IFERROR(__xludf.DUMMYFUNCTION("""COMPUTED_VALUE"""),"Статия в списания и поредици")</f>
        <v>Статия в списания и поредици</v>
      </c>
      <c r="C4606" s="10" t="str">
        <f ca="1">IFERROR(__xludf.DUMMYFUNCTION("""COMPUTED_VALUE"""),"Опазване на документалното наследство в институциите на паметта")</f>
        <v>Опазване на документалното наследство в институциите на паметта</v>
      </c>
      <c r="D4606" s="10">
        <f ca="1">IFERROR(__xludf.DUMMYFUNCTION("""COMPUTED_VALUE"""),2017)</f>
        <v>2017</v>
      </c>
      <c r="E4606" s="10" t="str">
        <f ca="1">IFERROR(__xludf.DUMMYFUNCTION("""COMPUTED_VALUE"""),"Библиотека, Год. 24, 2017, № 4, с. 27-31 ISSN 0861-847X")</f>
        <v>Библиотека, Год. 24, 2017, № 4, с. 27-31 ISSN 0861-847X</v>
      </c>
      <c r="F4606" s="10"/>
      <c r="G4606" s="10" t="str">
        <f ca="1">IFERROR(__xludf.DUMMYFUNCTION("""COMPUTED_VALUE"""),"Искра Цветанска")</f>
        <v>Искра Цветанска</v>
      </c>
      <c r="H4606" s="10"/>
      <c r="I4606" s="10"/>
      <c r="J4606" s="10"/>
      <c r="K4606" s="10"/>
      <c r="L4606" s="10"/>
      <c r="M4606" s="10"/>
      <c r="N4606" s="10"/>
      <c r="O4606" s="10"/>
      <c r="P4606" s="10"/>
      <c r="Q4606" s="10"/>
      <c r="R4606" s="10"/>
      <c r="S4606" s="10"/>
      <c r="T4606" s="10"/>
      <c r="U4606" s="10"/>
      <c r="V4606" s="10"/>
      <c r="W4606" s="10"/>
      <c r="X4606" s="10"/>
      <c r="Y4606" s="10"/>
      <c r="Z4606" s="10"/>
    </row>
    <row r="4607" spans="1:26" ht="12.75">
      <c r="A4607" s="10" t="str">
        <f ca="1">IFERROR(__xludf.DUMMYFUNCTION("""COMPUTED_VALUE"""),"Красимира Стойчева Александрова")</f>
        <v>Красимира Стойчева Александрова</v>
      </c>
      <c r="B4607" s="10" t="str">
        <f ca="1">IFERROR(__xludf.DUMMYFUNCTION("""COMPUTED_VALUE"""),"Книга")</f>
        <v>Книга</v>
      </c>
      <c r="C4607" s="10" t="str">
        <f ca="1">IFERROR(__xludf.DUMMYFUNCTION("""COMPUTED_VALUE"""),"Tabula gratulatorum [ХІІ]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2005-2016 (NN 1-1725) "&amp;"/ [Състав. А. Куманова ... [и др.] ; Библиогр. ред. М. Максимова ; Посв. се на С. Денчев]")</f>
        <v>Tabula gratulatorum [ХІІ]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2005-2016 (NN 1-1725) / [Състав. А. Куманова ... [и др.] ; Библиогр. ред. М. Максимова ; Посв. се на С. Денчев]</v>
      </c>
      <c r="D4607" s="10">
        <f ca="1">IFERROR(__xludf.DUMMYFUNCTION("""COMPUTED_VALUE"""),2017)</f>
        <v>2017</v>
      </c>
      <c r="E4607" s="10" t="str">
        <f ca="1">IFERROR(__xludf.DUMMYFUNCTION("""COMPUTED_VALUE"""),"// Тр. на Студентското науч. о-во при Унив. по библиотекознание и информ. технолог. (София). – ISSN 1314-2526. – Т. 12, 2017, с. 7-134 : 1725 номерирани назв. – Други състав.: Н. Василев, К. Александрова, М. Матова. – Именен показалец. – Без подпис.")</f>
        <v>// Тр. на Студентското науч. о-во при Унив. по библиотекознание и информ. технолог. (София). – ISSN 1314-2526. – Т. 12, 2017, с. 7-134 : 1725 номерирани назв. – Други състав.: Н. Василев, К. Александрова, М. Матова. – Именен показалец. – Без подпис.</v>
      </c>
      <c r="F4607" s="10" t="str">
        <f ca="1">IFERROR(__xludf.DUMMYFUNCTION("""COMPUTED_VALUE"""),"Публ. и в: &lt;http://sno.unibit.bg/files/TG-1725-MM-DR-22-05-16.pdf&gt;.")</f>
        <v>Публ. и в: &lt;http://sno.unibit.bg/files/TG-1725-MM-DR-22-05-16.pdf&gt;.</v>
      </c>
      <c r="G4607" s="10"/>
      <c r="H4607" s="10"/>
      <c r="I4607" s="10"/>
      <c r="J4607" s="10"/>
      <c r="K4607" s="10"/>
      <c r="L4607" s="10"/>
      <c r="M4607" s="10"/>
      <c r="N4607" s="10"/>
      <c r="O4607" s="10"/>
      <c r="P4607" s="10"/>
      <c r="Q4607" s="10"/>
      <c r="R4607" s="10"/>
      <c r="S4607" s="10"/>
      <c r="T4607" s="10"/>
      <c r="U4607" s="10"/>
      <c r="V4607" s="10"/>
      <c r="W4607" s="10"/>
      <c r="X4607" s="10"/>
      <c r="Y4607" s="10"/>
      <c r="Z4607" s="10"/>
    </row>
    <row r="4608" spans="1:26" ht="12.75">
      <c r="A4608" s="10" t="str">
        <f ca="1">IFERROR(__xludf.DUMMYFUNCTION("""COMPUTED_VALUE"""),"Красимира Стойчева Александрова")</f>
        <v>Красимира Стойчева Александрова</v>
      </c>
      <c r="B4608" s="10" t="str">
        <f ca="1">IFERROR(__xludf.DUMMYFUNCTION("""COMPUTED_VALUE"""),"Книга")</f>
        <v>Книга</v>
      </c>
      <c r="C4608" s="10" t="str">
        <f ca="1">IFERROR(__xludf.DUMMYFUNCTION("""COMPUTED_VALUE"""),"Т. ХІІ. [Дванайста] ХІІ Студентска научна конференция / Обща, ез., науч. и граф. ред. Н. Василев ; Науч. ред. К. Александрова и др. ; Рец. И. Янкова … [и др.]. Други рец.: Ж. Стоянов, Д. Христозов, И. Петева, И. Павлова. – Юбилейно изд., посв. на 1150-год"&amp;". от Покръстването на българите.")</f>
        <v>Т. ХІІ. [Дванайста] ХІІ Студентска научна конференция / Обща, ез., науч. и граф. ред. Н. Василев ; Науч. ред. К. Александрова и др. ; Рец. И. Янкова … [и др.]. Други рец.: Ж. Стоянов, Д. Христозов, И. Петева, И. Павлова. – Юбилейно изд., посв. на 1150-год. от Покръстването на българите.</v>
      </c>
      <c r="D4608" s="10">
        <f ca="1">IFERROR(__xludf.DUMMYFUNCTION("""COMPUTED_VALUE"""),2017)</f>
        <v>2017</v>
      </c>
      <c r="E4608" s="10" t="str">
        <f ca="1">IFERROR(__xludf.DUMMYFUNCTION("""COMPUTED_VALUE"""),"– 2017. – 522 с. : с ил., табл., сх.")</f>
        <v>– 2017. – 522 с. : с ил., табл., сх.</v>
      </c>
      <c r="F4608" s="10"/>
      <c r="G4608" s="10"/>
      <c r="H4608" s="10"/>
      <c r="I4608" s="10"/>
      <c r="J4608" s="10"/>
      <c r="K4608" s="10"/>
      <c r="L4608" s="10"/>
      <c r="M4608" s="10"/>
      <c r="N4608" s="10"/>
      <c r="O4608" s="10"/>
      <c r="P4608" s="10"/>
      <c r="Q4608" s="10"/>
      <c r="R4608" s="10"/>
      <c r="S4608" s="10"/>
      <c r="T4608" s="10"/>
      <c r="U4608" s="10"/>
      <c r="V4608" s="10"/>
      <c r="W4608" s="10"/>
      <c r="X4608" s="10"/>
      <c r="Y4608" s="10"/>
      <c r="Z4608" s="10"/>
    </row>
    <row r="4609" spans="1:26" ht="12.75">
      <c r="A4609" s="10" t="str">
        <f ca="1">IFERROR(__xludf.DUMMYFUNCTION("""COMPUTED_VALUE"""),"Красимира Стойчева Александрова")</f>
        <v>Красимира Стойчева Александрова</v>
      </c>
      <c r="B4609" s="10" t="str">
        <f ca="1">IFERROR(__xludf.DUMMYFUNCTION("""COMPUTED_VALUE"""),"Статия в списания и поредици")</f>
        <v>Статия в списания и поредици</v>
      </c>
      <c r="C4609" s="10" t="str">
        <f ca="1">IFERROR(__xludf.DUMMYFUNCTION("""COMPUTED_VALUE"""),"Omnia praeclara rara На многая лета на професор Владимир Клюев : за 60-годишнината на библиотековеда")</f>
        <v>Omnia praeclara rara На многая лета на професор Владимир Клюев : за 60-годишнината на библиотековеда</v>
      </c>
      <c r="D4609" s="10">
        <f ca="1">IFERROR(__xludf.DUMMYFUNCTION("""COMPUTED_VALUE"""),2017)</f>
        <v>2017</v>
      </c>
      <c r="E4609" s="10" t="str">
        <f ca="1">IFERROR(__xludf.DUMMYFUNCTION("""COMPUTED_VALUE"""),"В: Библиотека. - ISSN 0861-847X. - Год. 24, бр. 1 (2017), с. 66-71")</f>
        <v>В: Библиотека. - ISSN 0861-847X. - Год. 24, бр. 1 (2017), с. 66-71</v>
      </c>
      <c r="F4609" s="10"/>
      <c r="G4609" s="10" t="str">
        <f ca="1">IFERROR(__xludf.DUMMYFUNCTION("""COMPUTED_VALUE"""),"Александра Куманова")</f>
        <v>Александра Куманова</v>
      </c>
      <c r="H4609" s="10"/>
      <c r="I4609" s="10"/>
      <c r="J4609" s="10"/>
      <c r="K4609" s="10"/>
      <c r="L4609" s="10"/>
      <c r="M4609" s="10"/>
      <c r="N4609" s="10"/>
      <c r="O4609" s="10"/>
      <c r="P4609" s="10"/>
      <c r="Q4609" s="10"/>
      <c r="R4609" s="10"/>
      <c r="S4609" s="10"/>
      <c r="T4609" s="10"/>
      <c r="U4609" s="10"/>
      <c r="V4609" s="10"/>
      <c r="W4609" s="10"/>
      <c r="X4609" s="10"/>
      <c r="Y4609" s="10"/>
      <c r="Z4609" s="10"/>
    </row>
    <row r="4610" spans="1:26" ht="12.75">
      <c r="A4610" s="10" t="str">
        <f ca="1">IFERROR(__xludf.DUMMYFUNCTION("""COMPUTED_VALUE"""),"Красимира Стойчева Александрова")</f>
        <v>Красимира Стойчева Александрова</v>
      </c>
      <c r="B4610" s="10" t="str">
        <f ca="1">IFERROR(__xludf.DUMMYFUNCTION("""COMPUTED_VALUE"""),"Статия в списания и поредици")</f>
        <v>Статия в списания и поредици</v>
      </c>
      <c r="C4610" s="10" t="str">
        <f ca="1">IFERROR(__xludf.DUMMYFUNCTION("""COMPUTED_VALUE"""),"Jавне библиотеке у Бугарскоj")</f>
        <v>Jавне библиотеке у Бугарскоj</v>
      </c>
      <c r="D4610" s="10">
        <f ca="1">IFERROR(__xludf.DUMMYFUNCTION("""COMPUTED_VALUE"""),2016)</f>
        <v>2016</v>
      </c>
      <c r="E4610" s="10" t="str">
        <f ca="1">IFERROR(__xludf.DUMMYFUNCTION("""COMPUTED_VALUE"""),"Читалиште: Научни часопис за теориjу и праксу библиотекарства, год. V, бр. 28 (маj 2016), Београд, с. 51-56. ISSN 2217-5563 ISSN 2217-5555 = Читалиште (Штампано изд.) COBISS.SR-ID 183237388")</f>
        <v>Читалиште: Научни часопис за теориjу и праксу библиотекарства, год. V, бр. 28 (маj 2016), Београд, с. 51-56. ISSN 2217-5563 ISSN 2217-5555 = Читалиште (Штампано изд.) COBISS.SR-ID 183237388</v>
      </c>
      <c r="F4610" s="10"/>
      <c r="G4610" s="10"/>
      <c r="H4610" s="10"/>
      <c r="I4610" s="10"/>
      <c r="J4610" s="10"/>
      <c r="K4610" s="10"/>
      <c r="L4610" s="10"/>
      <c r="M4610" s="10"/>
      <c r="N4610" s="10"/>
      <c r="O4610" s="10"/>
      <c r="P4610" s="10"/>
      <c r="Q4610" s="10"/>
      <c r="R4610" s="10"/>
      <c r="S4610" s="10"/>
      <c r="T4610" s="10"/>
      <c r="U4610" s="10"/>
      <c r="V4610" s="10"/>
      <c r="W4610" s="10"/>
      <c r="X4610" s="10"/>
      <c r="Y4610" s="10"/>
      <c r="Z4610" s="10"/>
    </row>
    <row r="4611" spans="1:26" ht="12.75">
      <c r="A4611" s="10" t="str">
        <f ca="1">IFERROR(__xludf.DUMMYFUNCTION("""COMPUTED_VALUE"""),"Красимира Стойчева Александрова")</f>
        <v>Красимира Стойчева Александрова</v>
      </c>
      <c r="B4611" s="10" t="str">
        <f ca="1">IFERROR(__xludf.DUMMYFUNCTION("""COMPUTED_VALUE"""),"Доклад от конференция")</f>
        <v>Доклад от конференция</v>
      </c>
      <c r="C4611" s="10" t="str">
        <f ca="1">IFERROR(__xludf.DUMMYFUNCTION("""COMPUTED_VALUE"""),"Мултикултуралистични проявления на българското малцинство в Сърбия")</f>
        <v>Мултикултуралистични проявления на българското малцинство в Сърбия</v>
      </c>
      <c r="D4611" s="10">
        <f ca="1">IFERROR(__xludf.DUMMYFUNCTION("""COMPUTED_VALUE"""),2016)</f>
        <v>2016</v>
      </c>
      <c r="E4611" s="10" t="str">
        <f ca="1">IFERROR(__xludf.DUMMYFUNCTION("""COMPUTED_VALUE"""),"Библиотеки. Четене. Комуникации : Четиринадесета нац. науч. конф. с международно участие, Велико Търново, 17 - 18 ноем. 2015 г. на тема ""Библиофилството - традиции и национална култура"". – В. Търново : Нар. библ. П. Р. Славейков, 2016. с.121-129 ISSN 13"&amp;"13-8138")</f>
        <v>Библиотеки. Четене. Комуникации : Четиринадесета нац. науч. конф. с международно участие, Велико Търново, 17 - 18 ноем. 2015 г. на тема "Библиофилството - традиции и национална култура". – В. Търново : Нар. библ. П. Р. Славейков, 2016. с.121-129 ISSN 1313-8138</v>
      </c>
      <c r="F4611" s="10"/>
      <c r="G4611" s="10" t="str">
        <f ca="1">IFERROR(__xludf.DUMMYFUNCTION("""COMPUTED_VALUE"""),"Елизабета Георгиев, Милица Матиевич")</f>
        <v>Елизабета Георгиев, Милица Матиевич</v>
      </c>
      <c r="H4611" s="10"/>
      <c r="I4611" s="10"/>
      <c r="J4611" s="10"/>
      <c r="K4611" s="10"/>
      <c r="L4611" s="10"/>
      <c r="M4611" s="10"/>
      <c r="N4611" s="10"/>
      <c r="O4611" s="10"/>
      <c r="P4611" s="10"/>
      <c r="Q4611" s="10"/>
      <c r="R4611" s="10"/>
      <c r="S4611" s="10"/>
      <c r="T4611" s="10"/>
      <c r="U4611" s="10"/>
      <c r="V4611" s="10"/>
      <c r="W4611" s="10"/>
      <c r="X4611" s="10"/>
      <c r="Y4611" s="10"/>
      <c r="Z4611" s="10"/>
    </row>
    <row r="4612" spans="1:26" ht="12.75">
      <c r="A4612" s="10" t="str">
        <f ca="1">IFERROR(__xludf.DUMMYFUNCTION("""COMPUTED_VALUE"""),"Красимира Стойчева Александрова")</f>
        <v>Красимира Стойчева Александрова</v>
      </c>
      <c r="B4612" s="10" t="str">
        <f ca="1">IFERROR(__xludf.DUMMYFUNCTION("""COMPUTED_VALUE"""),"Статия в списания и поредици")</f>
        <v>Статия в списания и поредици</v>
      </c>
      <c r="C4612" s="10" t="str">
        <f ca="1">IFERROR(__xludf.DUMMYFUNCTION("""COMPUTED_VALUE"""),"Библиотечен пиар: Роля на библиотеката в хуманизацията, като фактор на общественото развитие")</f>
        <v>Библиотечен пиар: Роля на библиотеката в хуманизацията, като фактор на общественото развитие</v>
      </c>
      <c r="D4612" s="10">
        <f ca="1">IFERROR(__xludf.DUMMYFUNCTION("""COMPUTED_VALUE"""),2016)</f>
        <v>2016</v>
      </c>
      <c r="E4612" s="10" t="str">
        <f ca="1">IFERROR(__xludf.DUMMYFUNCTION("""COMPUTED_VALUE"""),"Международная научно-практическая конференция “Язык в координатах массмедиа” Санкт-Петербургский государственный университет Институт «Высшая школа журналистики и массовых коммуникаций» № 3(13). Варна,3-9 септември 2016. ISSN 2312-9263")</f>
        <v>Международная научно-практическая конференция “Язык в координатах массмедиа” Санкт-Петербургский государственный университет Институт «Высшая школа журналистики и массовых коммуникаций» № 3(13). Варна,3-9 септември 2016. ISSN 2312-9263</v>
      </c>
      <c r="F4612" s="10" t="str">
        <f ca="1">IFERROR(__xludf.DUMMYFUNCTION("""COMPUTED_VALUE"""),"http://medialing.spbu.ru/part10/Научный журнал")</f>
        <v>http://medialing.spbu.ru/part10/Научный журнал</v>
      </c>
      <c r="G4612" s="10"/>
      <c r="H4612" s="10"/>
      <c r="I4612" s="10"/>
      <c r="J4612" s="10"/>
      <c r="K4612" s="10"/>
      <c r="L4612" s="10"/>
      <c r="M4612" s="10"/>
      <c r="N4612" s="10"/>
      <c r="O4612" s="10"/>
      <c r="P4612" s="10"/>
      <c r="Q4612" s="10"/>
      <c r="R4612" s="10"/>
      <c r="S4612" s="10"/>
      <c r="T4612" s="10"/>
      <c r="U4612" s="10"/>
      <c r="V4612" s="10"/>
      <c r="W4612" s="10"/>
      <c r="X4612" s="10"/>
      <c r="Y4612" s="10"/>
      <c r="Z4612" s="10"/>
    </row>
    <row r="4613" spans="1:26" ht="12.75">
      <c r="A4613" s="10" t="str">
        <f ca="1">IFERROR(__xludf.DUMMYFUNCTION("""COMPUTED_VALUE"""),"Красимира Стойчева Александрова")</f>
        <v>Красимира Стойчева Александрова</v>
      </c>
      <c r="B4613" s="10" t="str">
        <f ca="1">IFERROR(__xludf.DUMMYFUNCTION("""COMPUTED_VALUE"""),"Книга")</f>
        <v>Книга</v>
      </c>
      <c r="C4613" s="10" t="str">
        <f ca="1">IFERROR(__xludf.DUMMYFUNCTION("""COMPUTED_VALUE"""),"Tabula gratulatorum [ХІ] : Систематизиран хронолог.-азб. библиогр. списък на публ. на чл. на Студентското науч. о-во на унив. : 2005-2015 (NN 1-1561) / [Състав. А. Куманова ... [и др.] ; Библиогр. ред. М. Максимова ; Посв. се на С. Денчев].")</f>
        <v>Tabula gratulatorum [ХІ] : Систематизиран хронолог.-азб. библиогр. списък на публ. на чл. на Студентското науч. о-во на унив. : 2005-2015 (NN 1-1561) / [Състав. А. Куманова ... [и др.] ; Библиогр. ред. М. Максимова ; Посв. се на С. Денчев].</v>
      </c>
      <c r="D4613" s="10">
        <f ca="1">IFERROR(__xludf.DUMMYFUNCTION("""COMPUTED_VALUE"""),2016)</f>
        <v>2016</v>
      </c>
      <c r="E4613" s="10" t="str">
        <f ca="1">IFERROR(__xludf.DUMMYFUNCTION("""COMPUTED_VALUE"""),"// Тр. на Студентското науч. о-во при Унив. по библиотекознание и информ. технолог. (София). – ISSN 1314-2526. – Т. 11, 2016, с. 7-185 : 1561 номерирани назв. – Други състав.: Н. Василев, К. Александрова, М. Матова. – Именен показалец. – Без подпис.")</f>
        <v>// Тр. на Студентското науч. о-во при Унив. по библиотекознание и информ. технолог. (София). – ISSN 1314-2526. – Т. 11, 2016, с. 7-185 : 1561 номерирани назв. – Други състав.: Н. Василев, К. Александрова, М. Матова. – Именен показалец. – Без подпис.</v>
      </c>
      <c r="F4613" s="10" t="str">
        <f ca="1">IFERROR(__xludf.DUMMYFUNCTION("""COMPUTED_VALUE"""),"Публ. и в: &lt;http://sno.unibit.bg/files/TG-1560-MM-DR-22-05-15.pdf&gt;.")</f>
        <v>Публ. и в: &lt;http://sno.unibit.bg/files/TG-1560-MM-DR-22-05-15.pdf&gt;.</v>
      </c>
      <c r="G4613" s="10"/>
      <c r="H4613" s="10"/>
      <c r="I4613" s="10"/>
      <c r="J4613" s="10"/>
      <c r="K4613" s="10"/>
      <c r="L4613" s="10"/>
      <c r="M4613" s="10"/>
      <c r="N4613" s="10"/>
      <c r="O4613" s="10"/>
      <c r="P4613" s="10"/>
      <c r="Q4613" s="10"/>
      <c r="R4613" s="10"/>
      <c r="S4613" s="10"/>
      <c r="T4613" s="10"/>
      <c r="U4613" s="10"/>
      <c r="V4613" s="10"/>
      <c r="W4613" s="10"/>
      <c r="X4613" s="10"/>
      <c r="Y4613" s="10"/>
      <c r="Z4613" s="10"/>
    </row>
    <row r="4614" spans="1:26" ht="12.75">
      <c r="A4614" s="10" t="str">
        <f ca="1">IFERROR(__xludf.DUMMYFUNCTION("""COMPUTED_VALUE"""),"Красимира Стойчева Александрова")</f>
        <v>Красимира Стойчева Александрова</v>
      </c>
      <c r="B4614" s="10" t="str">
        <f ca="1">IFERROR(__xludf.DUMMYFUNCTION("""COMPUTED_VALUE"""),"Статия в списания и поредици")</f>
        <v>Статия в списания и поредици</v>
      </c>
      <c r="C4614" s="10" t="str">
        <f ca="1">IFERROR(__xludf.DUMMYFUNCTION("""COMPUTED_VALUE"""),"The Role of Library Laboratory (LibLab) as an Innovative Project for Science Education in University Information Environment")</f>
        <v>The Role of Library Laboratory (LibLab) as an Innovative Project for Science Education in University Information Environment</v>
      </c>
      <c r="D4614" s="10">
        <f ca="1">IFERROR(__xludf.DUMMYFUNCTION("""COMPUTED_VALUE"""),2016)</f>
        <v>2016</v>
      </c>
      <c r="E4614" s="10" t="str">
        <f ca="1">IFERROR(__xludf.DUMMYFUNCTION("""COMPUTED_VALUE"""),"International Conference New Perspecves in Science Education, p.510-514 /International Conference New Perspecves in Science Education, Florence, Italy, 17 - 18 March 2016 p.510-514 Disponibilità immediata solo 1 pz. • Editore: libreriauniversitaria.it • A"&amp;" cura di: Pixel • Data di Pubblicazione: marzo 2016 • EAN: 9788862927055 • ISBN: 8862927053 • Pagine: 716 • Formato: brossura")</f>
        <v>International Conference New Perspecves in Science Education, p.510-514 /International Conference New Perspecves in Science Education, Florence, Italy, 17 - 18 March 2016 p.510-514 Disponibilità immediata solo 1 pz. • Editore: libreriauniversitaria.it • A cura di: Pixel • Data di Pubblicazione: marzo 2016 • EAN: 9788862927055 • ISBN: 8862927053 • Pagine: 716 • Formato: brossura</v>
      </c>
      <c r="F4614" s="10"/>
      <c r="G4614" s="10" t="str">
        <f ca="1">IFERROR(__xludf.DUMMYFUNCTION("""COMPUTED_VALUE"""),"Irena Peteva, Stoyan Denchev")</f>
        <v>Irena Peteva, Stoyan Denchev</v>
      </c>
      <c r="H4614" s="10"/>
      <c r="I4614" s="10"/>
      <c r="J4614" s="10"/>
      <c r="K4614" s="10"/>
      <c r="L4614" s="10"/>
      <c r="M4614" s="10"/>
      <c r="N4614" s="10"/>
      <c r="O4614" s="10"/>
      <c r="P4614" s="10"/>
      <c r="Q4614" s="10"/>
      <c r="R4614" s="10"/>
      <c r="S4614" s="10"/>
      <c r="T4614" s="10"/>
      <c r="U4614" s="10"/>
      <c r="V4614" s="10"/>
      <c r="W4614" s="10"/>
      <c r="X4614" s="10"/>
      <c r="Y4614" s="10"/>
      <c r="Z4614" s="10"/>
    </row>
    <row r="4615" spans="1:26" ht="12.75">
      <c r="A4615" s="10" t="str">
        <f ca="1">IFERROR(__xludf.DUMMYFUNCTION("""COMPUTED_VALUE"""),"Красимира Стойчева Александрова")</f>
        <v>Красимира Стойчева Александрова</v>
      </c>
      <c r="B4615" s="10" t="str">
        <f ca="1">IFERROR(__xludf.DUMMYFUNCTION("""COMPUTED_VALUE"""),"Статия в списания и поредици")</f>
        <v>Статия в списания и поредици</v>
      </c>
      <c r="C4615" s="10" t="str">
        <f ca="1">IFERROR(__xludf.DUMMYFUNCTION("""COMPUTED_VALUE"""),"Опазване и съхранение на документи, чрез метода аноксия в Национална библиотека ""Св.св Кирил и Методий""")</f>
        <v>Опазване и съхранение на документи, чрез метода аноксия в Национална библиотека "Св.св Кирил и Методий"</v>
      </c>
      <c r="D4615" s="10">
        <f ca="1">IFERROR(__xludf.DUMMYFUNCTION("""COMPUTED_VALUE"""),2016)</f>
        <v>2016</v>
      </c>
      <c r="E4615" s="10" t="str">
        <f ca="1">IFERROR(__xludf.DUMMYFUNCTION("""COMPUTED_VALUE"""),"Регионална библиотека „Стилиян Чилингиров"" Шумен, 8-9.09.2016 г. ISBN 978-954-2936-28-2")</f>
        <v>Регионална библиотека „Стилиян Чилингиров" Шумен, 8-9.09.2016 г. ISBN 978-954-2936-28-2</v>
      </c>
      <c r="F4615" s="10"/>
      <c r="G4615" s="10" t="str">
        <f ca="1">IFERROR(__xludf.DUMMYFUNCTION("""COMPUTED_VALUE"""),"Искра Цветанска, Христо Златанов")</f>
        <v>Искра Цветанска, Христо Златанов</v>
      </c>
      <c r="H4615" s="10"/>
      <c r="I4615" s="10"/>
      <c r="J4615" s="10"/>
      <c r="K4615" s="10"/>
      <c r="L4615" s="10"/>
      <c r="M4615" s="10"/>
      <c r="N4615" s="10"/>
      <c r="O4615" s="10"/>
      <c r="P4615" s="10"/>
      <c r="Q4615" s="10"/>
      <c r="R4615" s="10"/>
      <c r="S4615" s="10"/>
      <c r="T4615" s="10"/>
      <c r="U4615" s="10"/>
      <c r="V4615" s="10"/>
      <c r="W4615" s="10"/>
      <c r="X4615" s="10"/>
      <c r="Y4615" s="10"/>
      <c r="Z4615" s="10"/>
    </row>
    <row r="4616" spans="1:26" ht="12.75">
      <c r="A4616" s="10" t="str">
        <f ca="1">IFERROR(__xludf.DUMMYFUNCTION("""COMPUTED_VALUE"""),"Красимира Стойчева Александрова")</f>
        <v>Красимира Стойчева Александрова</v>
      </c>
      <c r="B4616" s="10" t="str">
        <f ca="1">IFERROR(__xludf.DUMMYFUNCTION("""COMPUTED_VALUE"""),"Доклад от конференция")</f>
        <v>Доклад от конференция</v>
      </c>
      <c r="C4616" s="10" t="str">
        <f ca="1">IFERROR(__xludf.DUMMYFUNCTION("""COMPUTED_VALUE"""),"'Learning by doing"" в библиотечната практика за популяризиране на краеведската дейност на библиотеките")</f>
        <v>'Learning by doing" в библиотечната практика за популяризиране на краеведската дейност на библиотеките</v>
      </c>
      <c r="D4616" s="10">
        <f ca="1">IFERROR(__xludf.DUMMYFUNCTION("""COMPUTED_VALUE"""),2015)</f>
        <v>2015</v>
      </c>
      <c r="E4616" s="10" t="str">
        <f ca="1">IFERROR(__xludf.DUMMYFUNCTION("""COMPUTED_VALUE"""),"XXV-та национална годишна конференция на ББИА на тема ""Визия за бъдещето на библиотеките в България"". – Стара Загора, РБ ""Захарий Княжески"", 4 – 5 юни 2015 г., с. 43-46. ISBN 978-954-9837-29-2")</f>
        <v>XXV-та национална годишна конференция на ББИА на тема "Визия за бъдещето на библиотеките в България". – Стара Загора, РБ "Захарий Княжески", 4 – 5 юни 2015 г., с. 43-46. ISBN 978-954-9837-29-2</v>
      </c>
      <c r="F4616" s="10"/>
      <c r="G4616" s="10" t="str">
        <f ca="1">IFERROR(__xludf.DUMMYFUNCTION("""COMPUTED_VALUE"""),"Росица Добрева")</f>
        <v>Росица Добрева</v>
      </c>
      <c r="H4616" s="10"/>
      <c r="I4616" s="10"/>
      <c r="J4616" s="10"/>
      <c r="K4616" s="10"/>
      <c r="L4616" s="10"/>
      <c r="M4616" s="10"/>
      <c r="N4616" s="10"/>
      <c r="O4616" s="10"/>
      <c r="P4616" s="10"/>
      <c r="Q4616" s="10"/>
      <c r="R4616" s="10"/>
      <c r="S4616" s="10"/>
      <c r="T4616" s="10"/>
      <c r="U4616" s="10"/>
      <c r="V4616" s="10"/>
      <c r="W4616" s="10"/>
      <c r="X4616" s="10"/>
      <c r="Y4616" s="10"/>
      <c r="Z4616" s="10"/>
    </row>
    <row r="4617" spans="1:26" ht="12.75">
      <c r="A4617" s="10" t="str">
        <f ca="1">IFERROR(__xludf.DUMMYFUNCTION("""COMPUTED_VALUE"""),"Красимира Стойчева Александрова")</f>
        <v>Красимира Стойчева Александрова</v>
      </c>
      <c r="B4617" s="10" t="str">
        <f ca="1">IFERROR(__xludf.DUMMYFUNCTION("""COMPUTED_VALUE"""),"Монография")</f>
        <v>Монография</v>
      </c>
      <c r="C4617" s="10" t="str">
        <f ca="1">IFERROR(__xludf.DUMMYFUNCTION("""COMPUTED_VALUE"""),"Библиографията в контекста на съвременната информационна парадигма : Черти на формирането")</f>
        <v>Библиографията в контекста на съвременната информационна парадигма : Черти на формирането</v>
      </c>
      <c r="D4617" s="10">
        <f ca="1">IFERROR(__xludf.DUMMYFUNCTION("""COMPUTED_VALUE"""),2015)</f>
        <v>2015</v>
      </c>
      <c r="E4617" s="10" t="str">
        <f ca="1">IFERROR(__xludf.DUMMYFUNCTION("""COMPUTED_VALUE"""),"София : За буквите – О писменехь, 2015. - 296 с. ISBN 978-619-185-161-4")</f>
        <v>София : За буквите – О писменехь, 2015. - 296 с. ISBN 978-619-185-161-4</v>
      </c>
      <c r="F4617" s="10"/>
      <c r="G4617" s="10"/>
      <c r="H4617" s="10"/>
      <c r="I4617" s="10"/>
      <c r="J4617" s="10"/>
      <c r="K4617" s="10"/>
      <c r="L4617" s="10"/>
      <c r="M4617" s="10"/>
      <c r="N4617" s="10"/>
      <c r="O4617" s="10"/>
      <c r="P4617" s="10"/>
      <c r="Q4617" s="10"/>
      <c r="R4617" s="10"/>
      <c r="S4617" s="10"/>
      <c r="T4617" s="10"/>
      <c r="U4617" s="10"/>
      <c r="V4617" s="10"/>
      <c r="W4617" s="10"/>
      <c r="X4617" s="10"/>
      <c r="Y4617" s="10"/>
      <c r="Z4617" s="10"/>
    </row>
    <row r="4618" spans="1:26" ht="12.75">
      <c r="A4618" s="10" t="str">
        <f ca="1">IFERROR(__xludf.DUMMYFUNCTION("""COMPUTED_VALUE"""),"Красимира Стойчева Александрова")</f>
        <v>Красимира Стойчева Александрова</v>
      </c>
      <c r="B4618" s="10" t="str">
        <f ca="1">IFERROR(__xludf.DUMMYFUNCTION("""COMPUTED_VALUE"""),"Доклад от конференция")</f>
        <v>Доклад от конференция</v>
      </c>
      <c r="C4618" s="10" t="str">
        <f ca="1">IFERROR(__xludf.DUMMYFUNCTION("""COMPUTED_VALUE"""),"Синергия на информационните дейности и библиографските процеси")</f>
        <v>Синергия на информационните дейности и библиографските процеси</v>
      </c>
      <c r="D4618" s="10">
        <f ca="1">IFERROR(__xludf.DUMMYFUNCTION("""COMPUTED_VALUE"""),2015)</f>
        <v>2015</v>
      </c>
      <c r="E4618" s="10" t="str">
        <f ca="1">IFERROR(__xludf.DUMMYFUNCTION("""COMPUTED_VALUE"""),"Библиотеки. Четене. Комуникации : Тринадесета нац. науч. конф. с международно участие, Велико Търново, 13-14ноем. 2014 г. : Посветена на 125-годишнината от създаването на първата публична библиотека във Велико Търново – В. Търново : Нар. библ. П. Р. Славе"&amp;"йков, 2015. с. 332-343. ISSN1313-8138")</f>
        <v>Библиотеки. Четене. Комуникации : Тринадесета нац. науч. конф. с международно участие, Велико Търново, 13-14ноем. 2014 г. : Посветена на 125-годишнината от създаването на първата публична библиотека във Велико Търново – В. Търново : Нар. библ. П. Р. Славейков, 2015. с. 332-343. ISSN1313-8138</v>
      </c>
      <c r="F4618" s="10"/>
      <c r="G4618" s="10"/>
      <c r="H4618" s="10"/>
      <c r="I4618" s="10"/>
      <c r="J4618" s="10"/>
      <c r="K4618" s="10"/>
      <c r="L4618" s="10"/>
      <c r="M4618" s="10"/>
      <c r="N4618" s="10"/>
      <c r="O4618" s="10"/>
      <c r="P4618" s="10"/>
      <c r="Q4618" s="10"/>
      <c r="R4618" s="10"/>
      <c r="S4618" s="10"/>
      <c r="T4618" s="10"/>
      <c r="U4618" s="10"/>
      <c r="V4618" s="10"/>
      <c r="W4618" s="10"/>
      <c r="X4618" s="10"/>
      <c r="Y4618" s="10"/>
      <c r="Z4618" s="10"/>
    </row>
    <row r="4619" spans="1:26" ht="12.75">
      <c r="A4619" s="10" t="str">
        <f ca="1">IFERROR(__xludf.DUMMYFUNCTION("""COMPUTED_VALUE"""),"Красимира Стойчева Александрова")</f>
        <v>Красимира Стойчева Александрова</v>
      </c>
      <c r="B4619" s="10" t="str">
        <f ca="1">IFERROR(__xludf.DUMMYFUNCTION("""COMPUTED_VALUE"""),"Статия в списания и поредици")</f>
        <v>Статия в списания и поредици</v>
      </c>
      <c r="C4619" s="10" t="str">
        <f ca="1">IFERROR(__xludf.DUMMYFUNCTION("""COMPUTED_VALUE"""),"Современные подходы при формировании библиографической культуры в лаборатории библиотечных технологий коммуникаций и информирования Университета библиотековедения и информационных технологий")</f>
        <v>Современные подходы при формировании библиографической культуры в лаборатории библиотечных технологий коммуникаций и информирования Университета библиотековедения и информационных технологий</v>
      </c>
      <c r="D4619" s="10">
        <f ca="1">IFERROR(__xludf.DUMMYFUNCTION("""COMPUTED_VALUE"""),2015)</f>
        <v>2015</v>
      </c>
      <c r="E4619" s="10" t="str">
        <f ca="1">IFERROR(__xludf.DUMMYFUNCTION("""COMPUTED_VALUE"""),"Десятые Макушинские чтения: Материалынауч. конф.(12–14 мая 2015 г., Томск) / Гос. публич. науч.-техн. б-каСиб. отд-ния Рос. акад. наук ; Том. универс. науч. б-каим. А. С. Пушкина ; отв. ред. И. В. Лизунова. – Новосибирск, 2015. с. 490-494. ISBN 978-5-9456"&amp;"0-272-4")</f>
        <v>Десятые Макушинские чтения: Материалынауч. конф.(12–14 мая 2015 г., Томск) / Гос. публич. науч.-техн. б-каСиб. отд-ния Рос. акад. наук ; Том. универс. науч. б-каим. А. С. Пушкина ; отв. ред. И. В. Лизунова. – Новосибирск, 2015. с. 490-494. ISBN 978-5-94560-272-4</v>
      </c>
      <c r="F4619" s="10"/>
      <c r="G4619" s="10"/>
      <c r="H4619" s="10"/>
      <c r="I4619" s="10"/>
      <c r="J4619" s="10"/>
      <c r="K4619" s="10"/>
      <c r="L4619" s="10"/>
      <c r="M4619" s="10"/>
      <c r="N4619" s="10"/>
      <c r="O4619" s="10"/>
      <c r="P4619" s="10"/>
      <c r="Q4619" s="10"/>
      <c r="R4619" s="10"/>
      <c r="S4619" s="10"/>
      <c r="T4619" s="10"/>
      <c r="U4619" s="10"/>
      <c r="V4619" s="10"/>
      <c r="W4619" s="10"/>
      <c r="X4619" s="10"/>
      <c r="Y4619" s="10"/>
      <c r="Z4619" s="10"/>
    </row>
    <row r="4620" spans="1:26" ht="12.75">
      <c r="A4620" s="10" t="str">
        <f ca="1">IFERROR(__xludf.DUMMYFUNCTION("""COMPUTED_VALUE"""),"Красимира Стойчева Александрова")</f>
        <v>Красимира Стойчева Александрова</v>
      </c>
      <c r="B4620" s="10" t="str">
        <f ca="1">IFERROR(__xludf.DUMMYFUNCTION("""COMPUTED_VALUE"""),"Статия в списания и поредици")</f>
        <v>Статия в списания и поредици</v>
      </c>
      <c r="C4620" s="10" t="str">
        <f ca="1">IFERROR(__xludf.DUMMYFUNCTION("""COMPUTED_VALUE"""),"Народные читалища как феномен болгарской культуры")</f>
        <v>Народные читалища как феномен болгарской культуры</v>
      </c>
      <c r="D4620" s="10">
        <f ca="1">IFERROR(__xludf.DUMMYFUNCTION("""COMPUTED_VALUE"""),2015)</f>
        <v>2015</v>
      </c>
      <c r="E4620" s="10" t="str">
        <f ca="1">IFERROR(__xludf.DUMMYFUNCTION("""COMPUTED_VALUE"""),"// Открытый доступ : Библиотеки за рубежом, Москва : Центр книги Рудомино, 2015. – с.263 -268. ISBN 978-5-00087-067-9")</f>
        <v>// Открытый доступ : Библиотеки за рубежом, Москва : Центр книги Рудомино, 2015. – с.263 -268. ISBN 978-5-00087-067-9</v>
      </c>
      <c r="F4620" s="10"/>
      <c r="G4620" s="10"/>
      <c r="H4620" s="10"/>
      <c r="I4620" s="10"/>
      <c r="J4620" s="10"/>
      <c r="K4620" s="10"/>
      <c r="L4620" s="10"/>
      <c r="M4620" s="10"/>
      <c r="N4620" s="10"/>
      <c r="O4620" s="10"/>
      <c r="P4620" s="10"/>
      <c r="Q4620" s="10"/>
      <c r="R4620" s="10"/>
      <c r="S4620" s="10"/>
      <c r="T4620" s="10"/>
      <c r="U4620" s="10"/>
      <c r="V4620" s="10"/>
      <c r="W4620" s="10"/>
      <c r="X4620" s="10"/>
      <c r="Y4620" s="10"/>
      <c r="Z4620" s="10"/>
    </row>
    <row r="4621" spans="1:26" ht="12.75">
      <c r="A4621" s="10" t="str">
        <f ca="1">IFERROR(__xludf.DUMMYFUNCTION("""COMPUTED_VALUE"""),"Красимира Стойчева Александрова")</f>
        <v>Красимира Стойчева Александрова</v>
      </c>
      <c r="B4621" s="10" t="str">
        <f ca="1">IFERROR(__xludf.DUMMYFUNCTION("""COMPUTED_VALUE"""),"Доклад от конференция")</f>
        <v>Доклад от конференция</v>
      </c>
      <c r="C4621" s="10" t="str">
        <f ca="1">IFERROR(__xludf.DUMMYFUNCTION("""COMPUTED_VALUE"""),"Образователни подходи по метода. Learning by doing в Лабораторията по библиотечни технологии, комуникации и информиране - LibLab при УниБИТ")</f>
        <v>Образователни подходи по метода. Learning by doing в Лабораторията по библиотечни технологии, комуникации и информиране - LibLab при УниБИТ</v>
      </c>
      <c r="D4621" s="10">
        <f ca="1">IFERROR(__xludf.DUMMYFUNCTION("""COMPUTED_VALUE"""),2015)</f>
        <v>2015</v>
      </c>
      <c r="E4621" s="10" t="str">
        <f ca="1">IFERROR(__xludf.DUMMYFUNCTION("""COMPUTED_VALUE"""),"Сборник доклади.// Обучение чрез практика в сферата на библиотекознанието - София, За буквите – О писменехь, 2015, с. 14-20. ISBN 978-619-185-206-2")</f>
        <v>Сборник доклади.// Обучение чрез практика в сферата на библиотекознанието - София, За буквите – О писменехь, 2015, с. 14-20. ISBN 978-619-185-206-2</v>
      </c>
      <c r="F4621" s="10"/>
      <c r="G4621" s="10"/>
      <c r="H4621" s="10"/>
      <c r="I4621" s="10"/>
      <c r="J4621" s="10"/>
      <c r="K4621" s="10"/>
      <c r="L4621" s="10"/>
      <c r="M4621" s="10"/>
      <c r="N4621" s="10"/>
      <c r="O4621" s="10"/>
      <c r="P4621" s="10"/>
      <c r="Q4621" s="10"/>
      <c r="R4621" s="10"/>
      <c r="S4621" s="10"/>
      <c r="T4621" s="10"/>
      <c r="U4621" s="10"/>
      <c r="V4621" s="10"/>
      <c r="W4621" s="10"/>
      <c r="X4621" s="10"/>
      <c r="Y4621" s="10"/>
      <c r="Z4621" s="10"/>
    </row>
    <row r="4622" spans="1:26" ht="12.75">
      <c r="A4622" s="10" t="str">
        <f ca="1">IFERROR(__xludf.DUMMYFUNCTION("""COMPUTED_VALUE"""),"Красимира Стойчева Александрова")</f>
        <v>Красимира Стойчева Александрова</v>
      </c>
      <c r="B4622" s="10" t="str">
        <f ca="1">IFERROR(__xludf.DUMMYFUNCTION("""COMPUTED_VALUE"""),"Статия в списания и поредици")</f>
        <v>Статия в списания и поредици</v>
      </c>
      <c r="C4622" s="10" t="str">
        <f ca="1">IFERROR(__xludf.DUMMYFUNCTION("""COMPUTED_VALUE"""),"Актуални подходи в краеведското библиографиране")</f>
        <v>Актуални подходи в краеведското библиографиране</v>
      </c>
      <c r="D4622" s="10">
        <f ca="1">IFERROR(__xludf.DUMMYFUNCTION("""COMPUTED_VALUE"""),2015)</f>
        <v>2015</v>
      </c>
      <c r="E4622" s="10" t="str">
        <f ca="1">IFERROR(__xludf.DUMMYFUNCTION("""COMPUTED_VALUE"""),"Нови информационни технолигии в образователния процес : Доклади и съобщения от деветия научен семинар на УниБИТ, проведен в Камчия на 26-30 май 2014 г. - София, За буквите - О писменехь, 2015, с. 73–85. ISSN 1313-2768")</f>
        <v>Нови информационни технолигии в образователния процес : Доклади и съобщения от деветия научен семинар на УниБИТ, проведен в Камчия на 26-30 май 2014 г. - София, За буквите - О писменехь, 2015, с. 73–85. ISSN 1313-2768</v>
      </c>
      <c r="F4622" s="10"/>
      <c r="G4622" s="10"/>
      <c r="H4622" s="10"/>
      <c r="I4622" s="10"/>
      <c r="J4622" s="10"/>
      <c r="K4622" s="10"/>
      <c r="L4622" s="10"/>
      <c r="M4622" s="10"/>
      <c r="N4622" s="10"/>
      <c r="O4622" s="10"/>
      <c r="P4622" s="10"/>
      <c r="Q4622" s="10"/>
      <c r="R4622" s="10"/>
      <c r="S4622" s="10"/>
      <c r="T4622" s="10"/>
      <c r="U4622" s="10"/>
      <c r="V4622" s="10"/>
      <c r="W4622" s="10"/>
      <c r="X4622" s="10"/>
      <c r="Y4622" s="10"/>
      <c r="Z4622" s="10"/>
    </row>
    <row r="4623" spans="1:26" ht="12.75">
      <c r="A4623" s="10" t="str">
        <f ca="1">IFERROR(__xludf.DUMMYFUNCTION("""COMPUTED_VALUE"""),"Красимира Стойчева Александрова")</f>
        <v>Красимира Стойчева Александрова</v>
      </c>
      <c r="B4623" s="10" t="str">
        <f ca="1">IFERROR(__xludf.DUMMYFUNCTION("""COMPUTED_VALUE"""),"Статия в списания и поредици")</f>
        <v>Статия в списания и поредици</v>
      </c>
      <c r="C4623" s="10" t="str">
        <f ca="1">IFERROR(__xludf.DUMMYFUNCTION("""COMPUTED_VALUE"""),"Библиотеката в образователното пространство на Университета: Възможности и перспективи в изменящата се информационна среда")</f>
        <v>Библиотеката в образователното пространство на Университета: Възможности и перспективи в изменящата се информационна среда</v>
      </c>
      <c r="D4623" s="10">
        <f ca="1">IFERROR(__xludf.DUMMYFUNCTION("""COMPUTED_VALUE"""),2015)</f>
        <v>2015</v>
      </c>
      <c r="E4623" s="10" t="str">
        <f ca="1">IFERROR(__xludf.DUMMYFUNCTION("""COMPUTED_VALUE"""),"Нови информационни технолигии в образователния процес : Доклади и съобщения от десетия научен семинар на УниБИТ, проведен в Истанбул на 25–30 април 2015 г., с.40-52. ISSN 1313-2768")</f>
        <v>Нови информационни технолигии в образователния процес : Доклади и съобщения от десетия научен семинар на УниБИТ, проведен в Истанбул на 25–30 април 2015 г., с.40-52. ISSN 1313-2768</v>
      </c>
      <c r="F4623" s="10"/>
      <c r="G4623" s="10" t="str">
        <f ca="1">IFERROR(__xludf.DUMMYFUNCTION("""COMPUTED_VALUE"""),"Ирена Петева, Елена Игнатова")</f>
        <v>Ирена Петева, Елена Игнатова</v>
      </c>
      <c r="H4623" s="10"/>
      <c r="I4623" s="10"/>
      <c r="J4623" s="10"/>
      <c r="K4623" s="10"/>
      <c r="L4623" s="10"/>
      <c r="M4623" s="10"/>
      <c r="N4623" s="10"/>
      <c r="O4623" s="10"/>
      <c r="P4623" s="10"/>
      <c r="Q4623" s="10"/>
      <c r="R4623" s="10"/>
      <c r="S4623" s="10"/>
      <c r="T4623" s="10"/>
      <c r="U4623" s="10"/>
      <c r="V4623" s="10"/>
      <c r="W4623" s="10"/>
      <c r="X4623" s="10"/>
      <c r="Y4623" s="10"/>
      <c r="Z4623" s="10"/>
    </row>
    <row r="4624" spans="1:26" ht="12.75">
      <c r="A4624" s="10" t="str">
        <f ca="1">IFERROR(__xludf.DUMMYFUNCTION("""COMPUTED_VALUE"""),"Красимира Стойчева Александрова")</f>
        <v>Красимира Стойчева Александрова</v>
      </c>
      <c r="B4624" s="10" t="str">
        <f ca="1">IFERROR(__xludf.DUMMYFUNCTION("""COMPUTED_VALUE"""),"Доклад от конференция")</f>
        <v>Доклад от конференция</v>
      </c>
      <c r="C4624" s="10" t="str">
        <f ca="1">IFERROR(__xludf.DUMMYFUNCTION("""COMPUTED_VALUE"""),"Современные подходы к формированию библиографической культуры в УниБИТе")</f>
        <v>Современные подходы к формированию библиографической культуры в УниБИТе</v>
      </c>
      <c r="D4624" s="10">
        <f ca="1">IFERROR(__xludf.DUMMYFUNCTION("""COMPUTED_VALUE"""),2015)</f>
        <v>2015</v>
      </c>
      <c r="E4624" s="10" t="str">
        <f ca="1">IFERROR(__xludf.DUMMYFUNCTION("""COMPUTED_VALUE"""),"// Открытый доступ : Библиотеки за рубежом, Москва : Центр книги Рудомино, 2015. – с.257 -262. ISBN 978-5-00087-067-9")</f>
        <v>// Открытый доступ : Библиотеки за рубежом, Москва : Центр книги Рудомино, 2015. – с.257 -262. ISBN 978-5-00087-067-9</v>
      </c>
      <c r="F4624" s="10"/>
      <c r="G4624" s="10"/>
      <c r="H4624" s="10"/>
      <c r="I4624" s="10"/>
      <c r="J4624" s="10"/>
      <c r="K4624" s="10"/>
      <c r="L4624" s="10"/>
      <c r="M4624" s="10"/>
      <c r="N4624" s="10"/>
      <c r="O4624" s="10"/>
      <c r="P4624" s="10"/>
      <c r="Q4624" s="10"/>
      <c r="R4624" s="10"/>
      <c r="S4624" s="10"/>
      <c r="T4624" s="10"/>
      <c r="U4624" s="10"/>
      <c r="V4624" s="10"/>
      <c r="W4624" s="10"/>
      <c r="X4624" s="10"/>
      <c r="Y4624" s="10"/>
      <c r="Z4624" s="10"/>
    </row>
    <row r="4625" spans="1:26" ht="12.75">
      <c r="A4625" s="10" t="str">
        <f ca="1">IFERROR(__xludf.DUMMYFUNCTION("""COMPUTED_VALUE"""),"Красимира Стойчева Александрова")</f>
        <v>Красимира Стойчева Александрова</v>
      </c>
      <c r="B4625" s="10" t="str">
        <f ca="1">IFERROR(__xludf.DUMMYFUNCTION("""COMPUTED_VALUE"""),"Доклад от конференция")</f>
        <v>Доклад от конференция</v>
      </c>
      <c r="C4625" s="10" t="str">
        <f ca="1">IFERROR(__xludf.DUMMYFUNCTION("""COMPUTED_VALUE"""),"Библиотека као платформа информационог окруженьа или неки акценти рада годишнье конференциje АЛА - Сан Франциско, сад, 24 - 30 jуна 2015 године")</f>
        <v>Библиотека као платформа информационог окруженьа или неки акценти рада годишнье конференциje АЛА - Сан Франциско, сад, 24 - 30 jуна 2015 године</v>
      </c>
      <c r="D4625" s="10">
        <f ca="1">IFERROR(__xludf.DUMMYFUNCTION("""COMPUTED_VALUE"""),2015)</f>
        <v>2015</v>
      </c>
      <c r="E4625" s="10" t="str">
        <f ca="1">IFERROR(__xludf.DUMMYFUNCTION("""COMPUTED_VALUE"""),"Тинеjцери – захтевни користници и библиотеке за нове генерациjе: Зборник радова са Меhународног стручног скупа о држаног у Лазаревацу 15-16. септембра 2015 - Лазаревац, с. 109-117. ISBN 978-86-81335-45-1")</f>
        <v>Тинеjцери – захтевни користници и библиотеке за нове генерациjе: Зборник радова са Меhународног стручног скупа о држаног у Лазаревацу 15-16. септембра 2015 - Лазаревац, с. 109-117. ISBN 978-86-81335-45-1</v>
      </c>
      <c r="F4625" s="10"/>
      <c r="G4625" s="10"/>
      <c r="H4625" s="10"/>
      <c r="I4625" s="10"/>
      <c r="J4625" s="10"/>
      <c r="K4625" s="10"/>
      <c r="L4625" s="10"/>
      <c r="M4625" s="10"/>
      <c r="N4625" s="10"/>
      <c r="O4625" s="10"/>
      <c r="P4625" s="10"/>
      <c r="Q4625" s="10"/>
      <c r="R4625" s="10"/>
      <c r="S4625" s="10"/>
      <c r="T4625" s="10"/>
      <c r="U4625" s="10"/>
      <c r="V4625" s="10"/>
      <c r="W4625" s="10"/>
      <c r="X4625" s="10"/>
      <c r="Y4625" s="10"/>
      <c r="Z4625" s="10"/>
    </row>
    <row r="4626" spans="1:26" ht="12.75">
      <c r="A4626" s="10" t="str">
        <f ca="1">IFERROR(__xludf.DUMMYFUNCTION("""COMPUTED_VALUE"""),"Красимира Стойчева Александрова")</f>
        <v>Красимира Стойчева Александрова</v>
      </c>
      <c r="B4626" s="10" t="str">
        <f ca="1">IFERROR(__xludf.DUMMYFUNCTION("""COMPUTED_VALUE"""),"Доклад от конференция")</f>
        <v>Доклад от конференция</v>
      </c>
      <c r="C4626" s="10" t="str">
        <f ca="1">IFERROR(__xludf.DUMMYFUNCTION("""COMPUTED_VALUE"""),"Библиотеки и библиофилство: За някои акценти при съхраняване на специалните колекции. Архивът на Стилиян Чилингиров в РБ „Ст. Чилингиров“ град Шумен")</f>
        <v>Библиотеки и библиофилство: За някои акценти при съхраняване на специалните колекции. Архивът на Стилиян Чилингиров в РБ „Ст. Чилингиров“ град Шумен</v>
      </c>
      <c r="D4626" s="10">
        <f ca="1">IFERROR(__xludf.DUMMYFUNCTION("""COMPUTED_VALUE"""),2015)</f>
        <v>2015</v>
      </c>
      <c r="E4626" s="10" t="str">
        <f ca="1">IFERROR(__xludf.DUMMYFUNCTION("""COMPUTED_VALUE"""),"Библиотеки. Четене. Комуникации : Четиринадесета нац. науч. конф. с международно участие, Велико Търново, 17 - 18 ноем. 2015 г. на тема ""Библиофилството - традиции и национална култура"". – В. Търново : Нар. библ. П. Р. Славейков, 2016. с.141-148 ISSN 13"&amp;"13-8138")</f>
        <v>Библиотеки. Четене. Комуникации : Четиринадесета нац. науч. конф. с международно участие, Велико Търново, 17 - 18 ноем. 2015 г. на тема "Библиофилството - традиции и национална култура". – В. Търново : Нар. библ. П. Р. Славейков, 2016. с.141-148 ISSN 1313-8138</v>
      </c>
      <c r="F4626" s="10"/>
      <c r="G4626" s="10" t="str">
        <f ca="1">IFERROR(__xludf.DUMMYFUNCTION("""COMPUTED_VALUE"""),"Росица Добрева")</f>
        <v>Росица Добрева</v>
      </c>
      <c r="H4626" s="10"/>
      <c r="I4626" s="10"/>
      <c r="J4626" s="10"/>
      <c r="K4626" s="10"/>
      <c r="L4626" s="10"/>
      <c r="M4626" s="10"/>
      <c r="N4626" s="10"/>
      <c r="O4626" s="10"/>
      <c r="P4626" s="10"/>
      <c r="Q4626" s="10"/>
      <c r="R4626" s="10"/>
      <c r="S4626" s="10"/>
      <c r="T4626" s="10"/>
      <c r="U4626" s="10"/>
      <c r="V4626" s="10"/>
      <c r="W4626" s="10"/>
      <c r="X4626" s="10"/>
      <c r="Y4626" s="10"/>
      <c r="Z4626" s="10"/>
    </row>
    <row r="4627" spans="1:26" ht="12.75">
      <c r="A4627" s="10" t="str">
        <f ca="1">IFERROR(__xludf.DUMMYFUNCTION("""COMPUTED_VALUE"""),"Красимира Стойчева Александрова")</f>
        <v>Красимира Стойчева Александрова</v>
      </c>
      <c r="B4627" s="10" t="str">
        <f ca="1">IFERROR(__xludf.DUMMYFUNCTION("""COMPUTED_VALUE"""),"Статия в списания и поредици")</f>
        <v>Статия в списания и поредици</v>
      </c>
      <c r="C4627" s="10" t="str">
        <f ca="1">IFERROR(__xludf.DUMMYFUNCTION("""COMPUTED_VALUE"""),"Трапеза на словото – бъдещето на нашата цивилизация")</f>
        <v>Трапеза на словото – бъдещето на нашата цивилизация</v>
      </c>
      <c r="D4627" s="10">
        <f ca="1">IFERROR(__xludf.DUMMYFUNCTION("""COMPUTED_VALUE"""),2015)</f>
        <v>2015</v>
      </c>
      <c r="E4627" s="10" t="str">
        <f ca="1">IFERROR(__xludf.DUMMYFUNCTION("""COMPUTED_VALUE"""),"Трудове на Студентското научно общество при УниБИТ, том XI. - София, За буквите - О писменехь, (Послание на интеракцията на УниБИТ ""Плетение словес"" – ""Homo narrans"") 2015, с. 289-291. ISSN 1314-2526")</f>
        <v>Трудове на Студентското научно общество при УниБИТ, том XI. - София, За буквите - О писменехь, (Послание на интеракцията на УниБИТ "Плетение словес" – "Homo narrans") 2015, с. 289-291. ISSN 1314-2526</v>
      </c>
      <c r="F4627" s="10"/>
      <c r="G4627" s="10"/>
      <c r="H4627" s="10"/>
      <c r="I4627" s="10"/>
      <c r="J4627" s="10"/>
      <c r="K4627" s="10"/>
      <c r="L4627" s="10"/>
      <c r="M4627" s="10"/>
      <c r="N4627" s="10"/>
      <c r="O4627" s="10"/>
      <c r="P4627" s="10"/>
      <c r="Q4627" s="10"/>
      <c r="R4627" s="10"/>
      <c r="S4627" s="10"/>
      <c r="T4627" s="10"/>
      <c r="U4627" s="10"/>
      <c r="V4627" s="10"/>
      <c r="W4627" s="10"/>
      <c r="X4627" s="10"/>
      <c r="Y4627" s="10"/>
      <c r="Z4627" s="10"/>
    </row>
    <row r="4628" spans="1:26" ht="12.75">
      <c r="A4628" s="10" t="str">
        <f ca="1">IFERROR(__xludf.DUMMYFUNCTION("""COMPUTED_VALUE"""),"Красимира Стойчева Александрова")</f>
        <v>Красимира Стойчева Александрова</v>
      </c>
      <c r="B4628" s="10" t="str">
        <f ca="1">IFERROR(__xludf.DUMMYFUNCTION("""COMPUTED_VALUE"""),"Доклад от конференция")</f>
        <v>Доклад от конференция</v>
      </c>
      <c r="C4628" s="10" t="str">
        <f ca="1">IFERROR(__xludf.DUMMYFUNCTION("""COMPUTED_VALUE"""),"Интегративни политики за придобиване на ключови компетентности по библиография и библиотекознание в обучението на студентите в УниБИТ")</f>
        <v>Интегративни политики за придобиване на ключови компетентности по библиография и библиотекознание в обучението на студентите в УниБИТ</v>
      </c>
      <c r="D4628" s="10">
        <f ca="1">IFERROR(__xludf.DUMMYFUNCTION("""COMPUTED_VALUE"""),2015)</f>
        <v>2015</v>
      </c>
      <c r="E4628" s="10" t="str">
        <f ca="1">IFERROR(__xludf.DUMMYFUNCTION("""COMPUTED_VALUE"""),"XXV-та национална годишна конференция наББИА на тема ""Визия за бъдещето на библиотеките в България"". – Стара Загора, РБ ""Захарий Княжески"", 4 – 5 юни 2015 г., с.71-74. ISBN 978-954-9837-29-2")</f>
        <v>XXV-та национална годишна конференция наББИА на тема "Визия за бъдещето на библиотеките в България". – Стара Загора, РБ "Захарий Княжески", 4 – 5 юни 2015 г., с.71-74. ISBN 978-954-9837-29-2</v>
      </c>
      <c r="F4628" s="10"/>
      <c r="G4628" s="10"/>
      <c r="H4628" s="10"/>
      <c r="I4628" s="10"/>
      <c r="J4628" s="10"/>
      <c r="K4628" s="10"/>
      <c r="L4628" s="10"/>
      <c r="M4628" s="10"/>
      <c r="N4628" s="10"/>
      <c r="O4628" s="10"/>
      <c r="P4628" s="10"/>
      <c r="Q4628" s="10"/>
      <c r="R4628" s="10"/>
      <c r="S4628" s="10"/>
      <c r="T4628" s="10"/>
      <c r="U4628" s="10"/>
      <c r="V4628" s="10"/>
      <c r="W4628" s="10"/>
      <c r="X4628" s="10"/>
      <c r="Y4628" s="10"/>
      <c r="Z4628" s="10"/>
    </row>
    <row r="4629" spans="1:26" ht="12.75">
      <c r="A4629" s="10" t="str">
        <f ca="1">IFERROR(__xludf.DUMMYFUNCTION("""COMPUTED_VALUE"""),"Красимира Стойчева Александрова")</f>
        <v>Красимира Стойчева Александрова</v>
      </c>
      <c r="B4629" s="10" t="str">
        <f ca="1">IFERROR(__xludf.DUMMYFUNCTION("""COMPUTED_VALUE"""),"Доклад от конференция")</f>
        <v>Доклад от конференция</v>
      </c>
      <c r="C4629" s="10" t="str">
        <f ca="1">IFERROR(__xludf.DUMMYFUNCTION("""COMPUTED_VALUE"""),"Нормативна уредба, регламентираща изискванията за инвентаризация")</f>
        <v>Нормативна уредба, регламентираща изискванията за инвентаризация</v>
      </c>
      <c r="D4629" s="10">
        <f ca="1">IFERROR(__xludf.DUMMYFUNCTION("""COMPUTED_VALUE"""),2014)</f>
        <v>2014</v>
      </c>
      <c r="E4629" s="10" t="str">
        <f ca="1">IFERROR(__xludf.DUMMYFUNCTION("""COMPUTED_VALUE"""),"Национална конференция с международно участие: Иновативни практики за нов маркетинг на библиотеката, Шумен, 10-11 октомври 2013 г., - Шумен : РБ ""Ст. Чилингиров"", 2014, с. 62-70. ISSN 978-954-2936-13-8")</f>
        <v>Национална конференция с международно участие: Иновативни практики за нов маркетинг на библиотеката, Шумен, 10-11 октомври 2013 г., - Шумен : РБ "Ст. Чилингиров", 2014, с. 62-70. ISSN 978-954-2936-13-8</v>
      </c>
      <c r="F4629" s="10"/>
      <c r="G4629" s="10"/>
      <c r="H4629" s="10"/>
      <c r="I4629" s="10"/>
      <c r="J4629" s="10"/>
      <c r="K4629" s="10"/>
      <c r="L4629" s="10"/>
      <c r="M4629" s="10"/>
      <c r="N4629" s="10"/>
      <c r="O4629" s="10"/>
      <c r="P4629" s="10"/>
      <c r="Q4629" s="10"/>
      <c r="R4629" s="10"/>
      <c r="S4629" s="10"/>
      <c r="T4629" s="10"/>
      <c r="U4629" s="10"/>
      <c r="V4629" s="10"/>
      <c r="W4629" s="10"/>
      <c r="X4629" s="10"/>
      <c r="Y4629" s="10"/>
      <c r="Z4629" s="10"/>
    </row>
    <row r="4630" spans="1:26" ht="12.75">
      <c r="A4630" s="10" t="str">
        <f ca="1">IFERROR(__xludf.DUMMYFUNCTION("""COMPUTED_VALUE"""),"Красимира Стойчева Александрова")</f>
        <v>Красимира Стойчева Александрова</v>
      </c>
      <c r="B4630" s="10" t="str">
        <f ca="1">IFERROR(__xludf.DUMMYFUNCTION("""COMPUTED_VALUE"""),"Статия в списания и поредици")</f>
        <v>Статия в списания и поредици</v>
      </c>
      <c r="C4630" s="10" t="str">
        <f ca="1">IFERROR(__xludf.DUMMYFUNCTION("""COMPUTED_VALUE"""),"Любен Каравелов – Литературен пътеводител")</f>
        <v>Любен Каравелов – Литературен пътеводител</v>
      </c>
      <c r="D4630" s="10">
        <f ca="1">IFERROR(__xludf.DUMMYFUNCTION("""COMPUTED_VALUE"""),2014)</f>
        <v>2014</v>
      </c>
      <c r="E4630" s="10" t="str">
        <f ca="1">IFERROR(__xludf.DUMMYFUNCTION("""COMPUTED_VALUE"""),"Годишник Българско възраждане: Идеи. Личности. Събития: т. 15. Любен Каравелов – писател, публицист, революционер, политик : Национална конференция с международно участие, Русе, 24-25 април 2014 г. – Русе, 2014, с. 200–210. ISSN 1311-1337")</f>
        <v>Годишник Българско възраждане: Идеи. Личности. Събития: т. 15. Любен Каравелов – писател, публицист, революционер, политик : Национална конференция с международно участие, Русе, 24-25 април 2014 г. – Русе, 2014, с. 200–210. ISSN 1311-1337</v>
      </c>
      <c r="F4630" s="10"/>
      <c r="G4630" s="10" t="str">
        <f ca="1">IFERROR(__xludf.DUMMYFUNCTION("""COMPUTED_VALUE"""),"Илияна Камбурова, Лилия Тодорова, Борислава Борисова")</f>
        <v>Илияна Камбурова, Лилия Тодорова, Борислава Борисова</v>
      </c>
      <c r="H4630" s="10"/>
      <c r="I4630" s="10"/>
      <c r="J4630" s="10"/>
      <c r="K4630" s="10"/>
      <c r="L4630" s="10"/>
      <c r="M4630" s="10"/>
      <c r="N4630" s="10"/>
      <c r="O4630" s="10"/>
      <c r="P4630" s="10"/>
      <c r="Q4630" s="10"/>
      <c r="R4630" s="10"/>
      <c r="S4630" s="10"/>
      <c r="T4630" s="10"/>
      <c r="U4630" s="10"/>
      <c r="V4630" s="10"/>
      <c r="W4630" s="10"/>
      <c r="X4630" s="10"/>
      <c r="Y4630" s="10"/>
      <c r="Z4630" s="10"/>
    </row>
    <row r="4631" spans="1:26" ht="12.75">
      <c r="A4631" s="10" t="str">
        <f ca="1">IFERROR(__xludf.DUMMYFUNCTION("""COMPUTED_VALUE"""),"Красимира Стойчева Александрова")</f>
        <v>Красимира Стойчева Александрова</v>
      </c>
      <c r="B4631" s="10" t="str">
        <f ca="1">IFERROR(__xludf.DUMMYFUNCTION("""COMPUTED_VALUE"""),"Доклад от конференция")</f>
        <v>Доклад от конференция</v>
      </c>
      <c r="C4631" s="10" t="str">
        <f ca="1">IFERROR(__xludf.DUMMYFUNCTION("""COMPUTED_VALUE"""),"Колекцията ""Нестинариана"" – библиографски указател, електронна и традиционна библиотека")</f>
        <v>Колекцията "Нестинариана" – библиографски указател, електронна и традиционна библиотека</v>
      </c>
      <c r="D4631" s="10">
        <f ca="1">IFERROR(__xludf.DUMMYFUNCTION("""COMPUTED_VALUE"""),2014)</f>
        <v>2014</v>
      </c>
      <c r="E4631" s="10" t="str">
        <f ca="1">IFERROR(__xludf.DUMMYFUNCTION("""COMPUTED_VALUE"""),"// Библиотеки, четене, комуникации: Ч.2. Дванадесета нац. науч. конф. с международно участие, Велико Търново, 14 -15 ноем. 2013 г. – В. Търново, 2014, с.134–141. ISSN 1313-8138")</f>
        <v>// Библиотеки, четене, комуникации: Ч.2. Дванадесета нац. науч. конф. с международно участие, Велико Търново, 14 -15 ноем. 2013 г. – В. Търново, 2014, с.134–141. ISSN 1313-8138</v>
      </c>
      <c r="F4631" s="10"/>
      <c r="G4631" s="10" t="str">
        <f ca="1">IFERROR(__xludf.DUMMYFUNCTION("""COMPUTED_VALUE"""),"Росица Добрева")</f>
        <v>Росица Добрева</v>
      </c>
      <c r="H4631" s="10"/>
      <c r="I4631" s="10"/>
      <c r="J4631" s="10"/>
      <c r="K4631" s="10"/>
      <c r="L4631" s="10"/>
      <c r="M4631" s="10"/>
      <c r="N4631" s="10"/>
      <c r="O4631" s="10"/>
      <c r="P4631" s="10"/>
      <c r="Q4631" s="10"/>
      <c r="R4631" s="10"/>
      <c r="S4631" s="10"/>
      <c r="T4631" s="10"/>
      <c r="U4631" s="10"/>
      <c r="V4631" s="10"/>
      <c r="W4631" s="10"/>
      <c r="X4631" s="10"/>
      <c r="Y4631" s="10"/>
      <c r="Z4631" s="10"/>
    </row>
    <row r="4632" spans="1:26" ht="12.75">
      <c r="A4632" s="10" t="str">
        <f ca="1">IFERROR(__xludf.DUMMYFUNCTION("""COMPUTED_VALUE"""),"Красимира Стойчева Александрова")</f>
        <v>Красимира Стойчева Александрова</v>
      </c>
      <c r="B4632" s="10" t="str">
        <f ca="1">IFERROR(__xludf.DUMMYFUNCTION("""COMPUTED_VALUE"""),"Доклад от конференция")</f>
        <v>Доклад от конференция</v>
      </c>
      <c r="C4632" s="10" t="str">
        <f ca="1">IFERROR(__xludf.DUMMYFUNCTION("""COMPUTED_VALUE"""),"Инфокултурата на XXI век в парадигмата на четенето")</f>
        <v>Инфокултурата на XXI век в парадигмата на четенето</v>
      </c>
      <c r="D4632" s="10">
        <f ca="1">IFERROR(__xludf.DUMMYFUNCTION("""COMPUTED_VALUE"""),2014)</f>
        <v>2014</v>
      </c>
      <c r="E4632" s="10" t="str">
        <f ca="1">IFERROR(__xludf.DUMMYFUNCTION("""COMPUTED_VALUE"""),"// Четенето в реална и електронна среда : Мотивация и опит на библиотеките и образователните институцииСборник с научни доклади и съобщения. Кръгла маса с международно участие, 18 септ. 2014 г., УнибИТ - София, За буквите - О писменехь, 2014, с. 9–16. ISB"&amp;"N 978-619-185-087-7")</f>
        <v>// Четенето в реална и електронна среда : Мотивация и опит на библиотеките и образователните институцииСборник с научни доклади и съобщения. Кръгла маса с международно участие, 18 септ. 2014 г., УнибИТ - София, За буквите - О писменехь, 2014, с. 9–16. ISBN 978-619-185-087-7</v>
      </c>
      <c r="F4632" s="10"/>
      <c r="G4632" s="10"/>
      <c r="H4632" s="10"/>
      <c r="I4632" s="10"/>
      <c r="J4632" s="10"/>
      <c r="K4632" s="10"/>
      <c r="L4632" s="10"/>
      <c r="M4632" s="10"/>
      <c r="N4632" s="10"/>
      <c r="O4632" s="10"/>
      <c r="P4632" s="10"/>
      <c r="Q4632" s="10"/>
      <c r="R4632" s="10"/>
      <c r="S4632" s="10"/>
      <c r="T4632" s="10"/>
      <c r="U4632" s="10"/>
      <c r="V4632" s="10"/>
      <c r="W4632" s="10"/>
      <c r="X4632" s="10"/>
      <c r="Y4632" s="10"/>
      <c r="Z4632" s="10"/>
    </row>
    <row r="4633" spans="1:26" ht="12.75">
      <c r="A4633" s="10" t="str">
        <f ca="1">IFERROR(__xludf.DUMMYFUNCTION("""COMPUTED_VALUE"""),"Красимира Стойчева Александрова")</f>
        <v>Красимира Стойчева Александрова</v>
      </c>
      <c r="B4633" s="10" t="str">
        <f ca="1">IFERROR(__xludf.DUMMYFUNCTION("""COMPUTED_VALUE"""),"Учебно пособие")</f>
        <v>Учебно пособие</v>
      </c>
      <c r="C4633" s="10" t="str">
        <f ca="1">IFERROR(__xludf.DUMMYFUNCTION("""COMPUTED_VALUE"""),"Образователни политики в обществените библиотеки")</f>
        <v>Образователни политики в обществените библиотеки</v>
      </c>
      <c r="D4633" s="10">
        <f ca="1">IFERROR(__xludf.DUMMYFUNCTION("""COMPUTED_VALUE"""),2014)</f>
        <v>2014</v>
      </c>
      <c r="E4633" s="10" t="str">
        <f ca="1">IFERROR(__xludf.DUMMYFUNCTION("""COMPUTED_VALUE"""),"2014. Е-ISBN 978-619-185-180-5")</f>
        <v>2014. Е-ISBN 978-619-185-180-5</v>
      </c>
      <c r="F4633" s="10"/>
      <c r="G4633" s="10"/>
      <c r="H4633" s="10"/>
      <c r="I4633" s="10"/>
      <c r="J4633" s="10"/>
      <c r="K4633" s="10"/>
      <c r="L4633" s="10"/>
      <c r="M4633" s="10"/>
      <c r="N4633" s="10"/>
      <c r="O4633" s="10"/>
      <c r="P4633" s="10"/>
      <c r="Q4633" s="10"/>
      <c r="R4633" s="10"/>
      <c r="S4633" s="10"/>
      <c r="T4633" s="10"/>
      <c r="U4633" s="10"/>
      <c r="V4633" s="10"/>
      <c r="W4633" s="10"/>
      <c r="X4633" s="10"/>
      <c r="Y4633" s="10"/>
      <c r="Z4633" s="10"/>
    </row>
    <row r="4634" spans="1:26" ht="12.75">
      <c r="A4634" s="10" t="str">
        <f ca="1">IFERROR(__xludf.DUMMYFUNCTION("""COMPUTED_VALUE"""),"Красимира Стойчева Александрова")</f>
        <v>Красимира Стойчева Александрова</v>
      </c>
      <c r="B4634" s="10" t="str">
        <f ca="1">IFERROR(__xludf.DUMMYFUNCTION("""COMPUTED_VALUE"""),"Учебно пособие")</f>
        <v>Учебно пособие</v>
      </c>
      <c r="C4634" s="10" t="str">
        <f ca="1">IFERROR(__xludf.DUMMYFUNCTION("""COMPUTED_VALUE"""),"Прозрачност и достъпност на информацията")</f>
        <v>Прозрачност и достъпност на информацията</v>
      </c>
      <c r="D4634" s="10">
        <f ca="1">IFERROR(__xludf.DUMMYFUNCTION("""COMPUTED_VALUE"""),2014)</f>
        <v>2014</v>
      </c>
      <c r="E4634" s="10" t="str">
        <f ca="1">IFERROR(__xludf.DUMMYFUNCTION("""COMPUTED_VALUE"""),"2014. Е-ISBN 978-619-185-179-9")</f>
        <v>2014. Е-ISBN 978-619-185-179-9</v>
      </c>
      <c r="F4634" s="10"/>
      <c r="G4634" s="10" t="str">
        <f ca="1">IFERROR(__xludf.DUMMYFUNCTION("""COMPUTED_VALUE"""),"Ирена Петева")</f>
        <v>Ирена Петева</v>
      </c>
      <c r="H4634" s="10"/>
      <c r="I4634" s="10"/>
      <c r="J4634" s="10"/>
      <c r="K4634" s="10"/>
      <c r="L4634" s="10"/>
      <c r="M4634" s="10"/>
      <c r="N4634" s="10"/>
      <c r="O4634" s="10"/>
      <c r="P4634" s="10"/>
      <c r="Q4634" s="10"/>
      <c r="R4634" s="10"/>
      <c r="S4634" s="10"/>
      <c r="T4634" s="10"/>
      <c r="U4634" s="10"/>
      <c r="V4634" s="10"/>
      <c r="W4634" s="10"/>
      <c r="X4634" s="10"/>
      <c r="Y4634" s="10"/>
      <c r="Z4634" s="10"/>
    </row>
    <row r="4635" spans="1:26" ht="12.75">
      <c r="A4635" s="10" t="str">
        <f ca="1">IFERROR(__xludf.DUMMYFUNCTION("""COMPUTED_VALUE"""),"Красимира Стойчева Александрова")</f>
        <v>Красимира Стойчева Александрова</v>
      </c>
      <c r="B4635" s="10" t="str">
        <f ca="1">IFERROR(__xludf.DUMMYFUNCTION("""COMPUTED_VALUE"""),"Доклад от конференция")</f>
        <v>Доклад от конференция</v>
      </c>
      <c r="C4635" s="10" t="str">
        <f ca="1">IFERROR(__xludf.DUMMYFUNCTION("""COMPUTED_VALUE"""),"Природните суровини, не алтернатива а бъдеще при опазване на културното наследство")</f>
        <v>Природните суровини, не алтернатива а бъдеще при опазване на културното наследство</v>
      </c>
      <c r="D4635" s="10">
        <f ca="1">IFERROR(__xludf.DUMMYFUNCTION("""COMPUTED_VALUE"""),2014)</f>
        <v>2014</v>
      </c>
      <c r="E4635" s="10" t="str">
        <f ca="1">IFERROR(__xludf.DUMMYFUNCTION("""COMPUTED_VALUE"""),"Известия на историческия музей Шумен: кн. 16. Културно наследство и културен туризъм: Музейни перспективи: Сборник с доклади от Международна научна конференция, Шумен, 25-27 юни 2014 г.- Шумен, 2014, с.74-83. ISSN 0861-9581")</f>
        <v>Известия на историческия музей Шумен: кн. 16. Културно наследство и културен туризъм: Музейни перспективи: Сборник с доклади от Международна научна конференция, Шумен, 25-27 юни 2014 г.- Шумен, 2014, с.74-83. ISSN 0861-9581</v>
      </c>
      <c r="F4635" s="10"/>
      <c r="G4635" s="10" t="str">
        <f ca="1">IFERROR(__xludf.DUMMYFUNCTION("""COMPUTED_VALUE"""),"Галина Цекова")</f>
        <v>Галина Цекова</v>
      </c>
      <c r="H4635" s="10"/>
      <c r="I4635" s="10"/>
      <c r="J4635" s="10"/>
      <c r="K4635" s="10"/>
      <c r="L4635" s="10"/>
      <c r="M4635" s="10"/>
      <c r="N4635" s="10"/>
      <c r="O4635" s="10"/>
      <c r="P4635" s="10"/>
      <c r="Q4635" s="10"/>
      <c r="R4635" s="10"/>
      <c r="S4635" s="10"/>
      <c r="T4635" s="10"/>
      <c r="U4635" s="10"/>
      <c r="V4635" s="10"/>
      <c r="W4635" s="10"/>
      <c r="X4635" s="10"/>
      <c r="Y4635" s="10"/>
      <c r="Z4635" s="10"/>
    </row>
    <row r="4636" spans="1:26" ht="12.75">
      <c r="A4636" s="10" t="str">
        <f ca="1">IFERROR(__xludf.DUMMYFUNCTION("""COMPUTED_VALUE"""),"Красимира Стойчева Александрова")</f>
        <v>Красимира Стойчева Александрова</v>
      </c>
      <c r="B4636" s="10" t="str">
        <f ca="1">IFERROR(__xludf.DUMMYFUNCTION("""COMPUTED_VALUE"""),"Статия в списания и поредици")</f>
        <v>Статия в списания и поредици</v>
      </c>
      <c r="C4636" s="10" t="str">
        <f ca="1">IFERROR(__xludf.DUMMYFUNCTION("""COMPUTED_VALUE"""),"Читанье као путоказ за будуhност детета")</f>
        <v>Читанье као путоказ за будуhност детета</v>
      </c>
      <c r="D4636" s="10">
        <f ca="1">IFERROR(__xludf.DUMMYFUNCTION("""COMPUTED_VALUE"""),2014)</f>
        <v>2014</v>
      </c>
      <c r="E4636" s="10" t="str">
        <f ca="1">IFERROR(__xludf.DUMMYFUNCTION("""COMPUTED_VALUE"""),"Култура читаньа : Право детета и обавеза библиотекара– Лазаревац: Библиотека ""Димитриjе Туцовиh"", 2014. с.123–125. ISBN 978-86-81335-34-5")</f>
        <v>Култура читаньа : Право детета и обавеза библиотекара– Лазаревац: Библиотека "Димитриjе Туцовиh", 2014. с.123–125. ISBN 978-86-81335-34-5</v>
      </c>
      <c r="F4636" s="10"/>
      <c r="G4636" s="10" t="str">
        <f ca="1">IFERROR(__xludf.DUMMYFUNCTION("""COMPUTED_VALUE"""),"Матиjевиh, М.")</f>
        <v>Матиjевиh, М.</v>
      </c>
      <c r="H4636" s="10"/>
      <c r="I4636" s="10"/>
      <c r="J4636" s="10"/>
      <c r="K4636" s="10"/>
      <c r="L4636" s="10"/>
      <c r="M4636" s="10"/>
      <c r="N4636" s="10"/>
      <c r="O4636" s="10"/>
      <c r="P4636" s="10"/>
      <c r="Q4636" s="10"/>
      <c r="R4636" s="10"/>
      <c r="S4636" s="10"/>
      <c r="T4636" s="10"/>
      <c r="U4636" s="10"/>
      <c r="V4636" s="10"/>
      <c r="W4636" s="10"/>
      <c r="X4636" s="10"/>
      <c r="Y4636" s="10"/>
      <c r="Z4636" s="10"/>
    </row>
    <row r="4637" spans="1:26" ht="12.75">
      <c r="A4637" s="10" t="str">
        <f ca="1">IFERROR(__xludf.DUMMYFUNCTION("""COMPUTED_VALUE"""),"Красимира Стойчева Александрова")</f>
        <v>Красимира Стойчева Александрова</v>
      </c>
      <c r="B4637" s="10" t="str">
        <f ca="1">IFERROR(__xludf.DUMMYFUNCTION("""COMPUTED_VALUE"""),"Статия в списания и поредици")</f>
        <v>Статия в списания и поредици</v>
      </c>
      <c r="C4637" s="10" t="str">
        <f ca="1">IFERROR(__xludf.DUMMYFUNCTION("""COMPUTED_VALUE"""),"Народные читалища как феномен больгарской культуры и традиции: организация, правовое регулирование, приоритеты")</f>
        <v>Народные читалища как феномен больгарской культуры и традиции: организация, правовое регулирование, приоритеты</v>
      </c>
      <c r="D4637" s="10">
        <f ca="1">IFERROR(__xludf.DUMMYFUNCTION("""COMPUTED_VALUE"""),2014)</f>
        <v>2014</v>
      </c>
      <c r="E4637" s="10" t="str">
        <f ca="1">IFERROR(__xludf.DUMMYFUNCTION("""COMPUTED_VALUE"""),"Библиотечное дело – 2014: Библиотечно информационная деятельность и документно-информационные коммуникации в сфере культуры и образования: Скворцовские чтения, Москва, 2014, с.10-12. ISSN 1991–8062")</f>
        <v>Библиотечное дело – 2014: Библиотечно информационная деятельность и документно-информационные коммуникации в сфере культуры и образования: Скворцовские чтения, Москва, 2014, с.10-12. ISSN 1991–8062</v>
      </c>
      <c r="F4637" s="10"/>
      <c r="G4637" s="10"/>
      <c r="H4637" s="10"/>
      <c r="I4637" s="10"/>
      <c r="J4637" s="10"/>
      <c r="K4637" s="10"/>
      <c r="L4637" s="10"/>
      <c r="M4637" s="10"/>
      <c r="N4637" s="10"/>
      <c r="O4637" s="10"/>
      <c r="P4637" s="10"/>
      <c r="Q4637" s="10"/>
      <c r="R4637" s="10"/>
      <c r="S4637" s="10"/>
      <c r="T4637" s="10"/>
      <c r="U4637" s="10"/>
      <c r="V4637" s="10"/>
      <c r="W4637" s="10"/>
      <c r="X4637" s="10"/>
      <c r="Y4637" s="10"/>
      <c r="Z4637" s="10"/>
    </row>
    <row r="4638" spans="1:26" ht="12.75">
      <c r="A4638" s="10" t="str">
        <f ca="1">IFERROR(__xludf.DUMMYFUNCTION("""COMPUTED_VALUE"""),"Красимира Стойчева Александрова")</f>
        <v>Красимира Стойчева Александрова</v>
      </c>
      <c r="B4638" s="10" t="str">
        <f ca="1">IFERROR(__xludf.DUMMYFUNCTION("""COMPUTED_VALUE"""),"Книга")</f>
        <v>Книга</v>
      </c>
      <c r="C4638" s="10" t="str">
        <f ca="1">IFERROR(__xludf.DUMMYFUNCTION("""COMPUTED_VALUE"""),"Библиотечна икономика: Система за финансово управление и контрол (СФУК) в обществените библиотеки : Ръководство с примерни документи в помощ на директора")</f>
        <v>Библиотечна икономика: Система за финансово управление и контрол (СФУК) в обществените библиотеки : Ръководство с примерни документи в помощ на директора</v>
      </c>
      <c r="D4638" s="10">
        <f ca="1">IFERROR(__xludf.DUMMYFUNCTION("""COMPUTED_VALUE"""),2014)</f>
        <v>2014</v>
      </c>
      <c r="E4638" s="10" t="str">
        <f ca="1">IFERROR(__xludf.DUMMYFUNCTION("""COMPUTED_VALUE"""),"/Състав. Красимира Александрова, Кръстинка Стоева. - Шумен : РБ ""Ст. Чилингиров"". 2014. – 128 с.: с табл., сх. ISBN 978-954-2936-12-1")</f>
        <v>/Състав. Красимира Александрова, Кръстинка Стоева. - Шумен : РБ "Ст. Чилингиров". 2014. – 128 с.: с табл., сх. ISBN 978-954-2936-12-1</v>
      </c>
      <c r="F4638" s="10"/>
      <c r="G4638" s="10" t="str">
        <f ca="1">IFERROR(__xludf.DUMMYFUNCTION("""COMPUTED_VALUE"""),"Кръстинка Стоева")</f>
        <v>Кръстинка Стоева</v>
      </c>
      <c r="H4638" s="10"/>
      <c r="I4638" s="10"/>
      <c r="J4638" s="10"/>
      <c r="K4638" s="10"/>
      <c r="L4638" s="10"/>
      <c r="M4638" s="10"/>
      <c r="N4638" s="10"/>
      <c r="O4638" s="10"/>
      <c r="P4638" s="10"/>
      <c r="Q4638" s="10"/>
      <c r="R4638" s="10"/>
      <c r="S4638" s="10"/>
      <c r="T4638" s="10"/>
      <c r="U4638" s="10"/>
      <c r="V4638" s="10"/>
      <c r="W4638" s="10"/>
      <c r="X4638" s="10"/>
      <c r="Y4638" s="10"/>
      <c r="Z4638" s="10"/>
    </row>
    <row r="4639" spans="1:26" ht="12.75">
      <c r="A4639" s="10" t="str">
        <f ca="1">IFERROR(__xludf.DUMMYFUNCTION("""COMPUTED_VALUE"""),"Красимира Стойчева Александрова")</f>
        <v>Красимира Стойчева Александрова</v>
      </c>
      <c r="B4639" s="10" t="str">
        <f ca="1">IFERROR(__xludf.DUMMYFUNCTION("""COMPUTED_VALUE"""),"Учебно пособие")</f>
        <v>Учебно пособие</v>
      </c>
      <c r="C4639" s="10" t="str">
        <f ca="1">IFERROR(__xludf.DUMMYFUNCTION("""COMPUTED_VALUE"""),"Литературни маршрути – информационни политики")</f>
        <v>Литературни маршрути – информационни политики</v>
      </c>
      <c r="D4639" s="10">
        <f ca="1">IFERROR(__xludf.DUMMYFUNCTION("""COMPUTED_VALUE"""),2014)</f>
        <v>2014</v>
      </c>
      <c r="E4639" s="10" t="str">
        <f ca="1">IFERROR(__xludf.DUMMYFUNCTION("""COMPUTED_VALUE"""),"2014. Е-ISBN978-619-185-181-2")</f>
        <v>2014. Е-ISBN978-619-185-181-2</v>
      </c>
      <c r="F4639" s="10"/>
      <c r="G4639" s="10"/>
      <c r="H4639" s="10"/>
      <c r="I4639" s="10"/>
      <c r="J4639" s="10"/>
      <c r="K4639" s="10"/>
      <c r="L4639" s="10"/>
      <c r="M4639" s="10"/>
      <c r="N4639" s="10"/>
      <c r="O4639" s="10"/>
      <c r="P4639" s="10"/>
      <c r="Q4639" s="10"/>
      <c r="R4639" s="10"/>
      <c r="S4639" s="10"/>
      <c r="T4639" s="10"/>
      <c r="U4639" s="10"/>
      <c r="V4639" s="10"/>
      <c r="W4639" s="10"/>
      <c r="X4639" s="10"/>
      <c r="Y4639" s="10"/>
      <c r="Z4639" s="10"/>
    </row>
    <row r="4640" spans="1:26" ht="12.75">
      <c r="A4640" s="10" t="str">
        <f ca="1">IFERROR(__xludf.DUMMYFUNCTION("""COMPUTED_VALUE"""),"Красимира Стойчева Александрова")</f>
        <v>Красимира Стойчева Александрова</v>
      </c>
      <c r="B4640" s="10" t="str">
        <f ca="1">IFERROR(__xludf.DUMMYFUNCTION("""COMPUTED_VALUE"""),"Статия в списания и поредици")</f>
        <v>Статия в списания и поредици</v>
      </c>
      <c r="C4640" s="10" t="str">
        <f ca="1">IFERROR(__xludf.DUMMYFUNCTION("""COMPUTED_VALUE"""),"Библиографията като мета информационна среда в организиране на знанието")</f>
        <v>Библиографията като мета информационна среда в организиране на знанието</v>
      </c>
      <c r="D4640" s="10">
        <f ca="1">IFERROR(__xludf.DUMMYFUNCTION("""COMPUTED_VALUE"""),2014)</f>
        <v>2014</v>
      </c>
      <c r="E4640" s="10" t="str">
        <f ca="1">IFERROR(__xludf.DUMMYFUNCTION("""COMPUTED_VALUE"""),"Нови информационни технолигии в образователния процес : Доклади и съобщения от осмия научен семинар на УниБИТ, проведен в Камчия на 15–18 юни 2013 г. - София, За буквите - О писменехь, 2014, с. 139–148. ISSN 1313-2768")</f>
        <v>Нови информационни технолигии в образователния процес : Доклади и съобщения от осмия научен семинар на УниБИТ, проведен в Камчия на 15–18 юни 2013 г. - София, За буквите - О писменехь, 2014, с. 139–148. ISSN 1313-2768</v>
      </c>
      <c r="F4640" s="10"/>
      <c r="G4640" s="10"/>
      <c r="H4640" s="10"/>
      <c r="I4640" s="10"/>
      <c r="J4640" s="10"/>
      <c r="K4640" s="10"/>
      <c r="L4640" s="10"/>
      <c r="M4640" s="10"/>
      <c r="N4640" s="10"/>
      <c r="O4640" s="10"/>
      <c r="P4640" s="10"/>
      <c r="Q4640" s="10"/>
      <c r="R4640" s="10"/>
      <c r="S4640" s="10"/>
      <c r="T4640" s="10"/>
      <c r="U4640" s="10"/>
      <c r="V4640" s="10"/>
      <c r="W4640" s="10"/>
      <c r="X4640" s="10"/>
      <c r="Y4640" s="10"/>
      <c r="Z4640" s="10"/>
    </row>
    <row r="4641" spans="1:26" ht="12.75">
      <c r="A4641" s="10" t="str">
        <f ca="1">IFERROR(__xludf.DUMMYFUNCTION("""COMPUTED_VALUE"""),"Красимира Стойчева Александрова")</f>
        <v>Красимира Стойчева Александрова</v>
      </c>
      <c r="B4641" s="10" t="str">
        <f ca="1">IFERROR(__xludf.DUMMYFUNCTION("""COMPUTED_VALUE"""),"Доклад от конференция")</f>
        <v>Доклад от конференция</v>
      </c>
      <c r="C4641" s="10" t="str">
        <f ca="1">IFERROR(__xludf.DUMMYFUNCTION("""COMPUTED_VALUE"""),"Локалното пространство в глобалния свят: е-краезнание – иновативен начин за популяризиране на културно наследство")</f>
        <v>Локалното пространство в глобалния свят: е-краезнание – иновативен начин за популяризиране на културно наследство</v>
      </c>
      <c r="D4641" s="10">
        <f ca="1">IFERROR(__xludf.DUMMYFUNCTION("""COMPUTED_VALUE"""),2014)</f>
        <v>2014</v>
      </c>
      <c r="E4641" s="10" t="str">
        <f ca="1">IFERROR(__xludf.DUMMYFUNCTION("""COMPUTED_VALUE"""),"Библиотеки, четене, комуникации: Ч.2. Дванадесета нац. науч. конф. с международно участие. посветена на 100-годишнината от Балканските войни, Велико Търново, 14 -15 ноем. 2013 г. – В. Търново, Нар. библиотека ""П.Р.Славейков"", 2014, с. 66–71. ISSN 1313-8"&amp;"138")</f>
        <v>Библиотеки, четене, комуникации: Ч.2. Дванадесета нац. науч. конф. с международно участие. посветена на 100-годишнината от Балканските войни, Велико Търново, 14 -15 ноем. 2013 г. – В. Търново, Нар. библиотека "П.Р.Славейков", 2014, с. 66–71. ISSN 1313-8138</v>
      </c>
      <c r="F4641" s="10"/>
      <c r="G4641" s="10" t="str">
        <f ca="1">IFERROR(__xludf.DUMMYFUNCTION("""COMPUTED_VALUE"""),"Росица Добрева")</f>
        <v>Росица Добрева</v>
      </c>
      <c r="H4641" s="10"/>
      <c r="I4641" s="10"/>
      <c r="J4641" s="10"/>
      <c r="K4641" s="10"/>
      <c r="L4641" s="10"/>
      <c r="M4641" s="10"/>
      <c r="N4641" s="10"/>
      <c r="O4641" s="10"/>
      <c r="P4641" s="10"/>
      <c r="Q4641" s="10"/>
      <c r="R4641" s="10"/>
      <c r="S4641" s="10"/>
      <c r="T4641" s="10"/>
      <c r="U4641" s="10"/>
      <c r="V4641" s="10"/>
      <c r="W4641" s="10"/>
      <c r="X4641" s="10"/>
      <c r="Y4641" s="10"/>
      <c r="Z4641" s="10"/>
    </row>
    <row r="4642" spans="1:26" ht="12.75">
      <c r="A4642" s="10" t="str">
        <f ca="1">IFERROR(__xludf.DUMMYFUNCTION("""COMPUTED_VALUE"""),"Красимира Стойчева Александрова")</f>
        <v>Красимира Стойчева Александрова</v>
      </c>
      <c r="B4642" s="10" t="str">
        <f ca="1">IFERROR(__xludf.DUMMYFUNCTION("""COMPUTED_VALUE"""),"Монография")</f>
        <v>Монография</v>
      </c>
      <c r="C4642" s="10" t="str">
        <f ca="1">IFERROR(__xludf.DUMMYFUNCTION("""COMPUTED_VALUE"""),"Управление на обществена библиотека в информационна среда : Успешни практики и перспективи в България")</f>
        <v>Управление на обществена библиотека в информационна среда : Успешни практики и перспективи в България</v>
      </c>
      <c r="D4642" s="10">
        <f ca="1">IFERROR(__xludf.DUMMYFUNCTION("""COMPUTED_VALUE"""),2013)</f>
        <v>2013</v>
      </c>
      <c r="E4642" s="10" t="str">
        <f ca="1">IFERROR(__xludf.DUMMYFUNCTION("""COMPUTED_VALUE"""),"София : За буквите – О писменехь, 2013. - 209 с. ISBN 978-954-2946-78-6")</f>
        <v>София : За буквите – О писменехь, 2013. - 209 с. ISBN 978-954-2946-78-6</v>
      </c>
      <c r="F4642" s="10"/>
      <c r="G4642" s="10"/>
      <c r="H4642" s="10"/>
      <c r="I4642" s="10"/>
      <c r="J4642" s="10"/>
      <c r="K4642" s="10"/>
      <c r="L4642" s="10"/>
      <c r="M4642" s="10"/>
      <c r="N4642" s="10"/>
      <c r="O4642" s="10"/>
      <c r="P4642" s="10"/>
      <c r="Q4642" s="10"/>
      <c r="R4642" s="10"/>
      <c r="S4642" s="10"/>
      <c r="T4642" s="10"/>
      <c r="U4642" s="10"/>
      <c r="V4642" s="10"/>
      <c r="W4642" s="10"/>
      <c r="X4642" s="10"/>
      <c r="Y4642" s="10"/>
      <c r="Z4642" s="10"/>
    </row>
    <row r="4643" spans="1:26" ht="12.75">
      <c r="A4643" s="10" t="str">
        <f ca="1">IFERROR(__xludf.DUMMYFUNCTION("""COMPUTED_VALUE"""),"Красимира Стойчева Александрова")</f>
        <v>Красимира Стойчева Александрова</v>
      </c>
      <c r="B4643" s="10" t="str">
        <f ca="1">IFERROR(__xludf.DUMMYFUNCTION("""COMPUTED_VALUE"""),"Доклад от конференция")</f>
        <v>Доклад от конференция</v>
      </c>
      <c r="C4643" s="10" t="str">
        <f ca="1">IFERROR(__xludf.DUMMYFUNCTION("""COMPUTED_VALUE"""),"Литературни пътешествия")</f>
        <v>Литературни пътешествия</v>
      </c>
      <c r="D4643" s="10">
        <f ca="1">IFERROR(__xludf.DUMMYFUNCTION("""COMPUTED_VALUE"""),2013)</f>
        <v>2013</v>
      </c>
      <c r="E4643" s="10" t="str">
        <f ca="1">IFERROR(__xludf.DUMMYFUNCTION("""COMPUTED_VALUE"""),"Библиотеката – духовността на града: Сборник доклади. – Троян, 2013. с. 91-96. ISBN 978-619-90179-1-3")</f>
        <v>Библиотеката – духовността на града: Сборник доклади. – Троян, 2013. с. 91-96. ISBN 978-619-90179-1-3</v>
      </c>
      <c r="F4643" s="10"/>
      <c r="G4643" s="10"/>
      <c r="H4643" s="10"/>
      <c r="I4643" s="10"/>
      <c r="J4643" s="10"/>
      <c r="K4643" s="10"/>
      <c r="L4643" s="10"/>
      <c r="M4643" s="10"/>
      <c r="N4643" s="10"/>
      <c r="O4643" s="10"/>
      <c r="P4643" s="10"/>
      <c r="Q4643" s="10"/>
      <c r="R4643" s="10"/>
      <c r="S4643" s="10"/>
      <c r="T4643" s="10"/>
      <c r="U4643" s="10"/>
      <c r="V4643" s="10"/>
      <c r="W4643" s="10"/>
      <c r="X4643" s="10"/>
      <c r="Y4643" s="10"/>
      <c r="Z4643" s="10"/>
    </row>
    <row r="4644" spans="1:26" ht="12.75">
      <c r="A4644" s="10" t="str">
        <f ca="1">IFERROR(__xludf.DUMMYFUNCTION("""COMPUTED_VALUE"""),"Красимира Стойчева Александрова")</f>
        <v>Красимира Стойчева Александрова</v>
      </c>
      <c r="B4644" s="10" t="str">
        <f ca="1">IFERROR(__xludf.DUMMYFUNCTION("""COMPUTED_VALUE"""),"Доклад от конференция")</f>
        <v>Доклад от конференция</v>
      </c>
      <c r="C4644" s="10" t="str">
        <f ca="1">IFERROR(__xludf.DUMMYFUNCTION("""COMPUTED_VALUE"""),"Библиографиjа и е-окруженье – светска искуства и пракса")</f>
        <v>Библиографиjа и е-окруженье – светска искуства и пракса</v>
      </c>
      <c r="D4644" s="10">
        <f ca="1">IFERROR(__xludf.DUMMYFUNCTION("""COMPUTED_VALUE"""),2013)</f>
        <v>2013</v>
      </c>
      <c r="E4644" s="10" t="str">
        <f ca="1">IFERROR(__xludf.DUMMYFUNCTION("""COMPUTED_VALUE"""),"Библиотекар: Часопис за теориjу и праксу библиотекарства, год. LV, св. 1-2 (2013), Београд, Бибилотекарско друшство Сербиjе, с. 171-180. ISSN 0006-1816 COBISS.SR-ID 427270")</f>
        <v>Библиотекар: Часопис за теориjу и праксу библиотекарства, год. LV, св. 1-2 (2013), Београд, Бибилотекарско друшство Сербиjе, с. 171-180. ISSN 0006-1816 COBISS.SR-ID 427270</v>
      </c>
      <c r="F4644" s="10"/>
      <c r="G4644" s="10"/>
      <c r="H4644" s="10"/>
      <c r="I4644" s="10"/>
      <c r="J4644" s="10"/>
      <c r="K4644" s="10"/>
      <c r="L4644" s="10"/>
      <c r="M4644" s="10"/>
      <c r="N4644" s="10"/>
      <c r="O4644" s="10"/>
      <c r="P4644" s="10"/>
      <c r="Q4644" s="10"/>
      <c r="R4644" s="10"/>
      <c r="S4644" s="10"/>
      <c r="T4644" s="10"/>
      <c r="U4644" s="10"/>
      <c r="V4644" s="10"/>
      <c r="W4644" s="10"/>
      <c r="X4644" s="10"/>
      <c r="Y4644" s="10"/>
      <c r="Z4644" s="10"/>
    </row>
    <row r="4645" spans="1:26" ht="12.75">
      <c r="A4645" s="10" t="str">
        <f ca="1">IFERROR(__xludf.DUMMYFUNCTION("""COMPUTED_VALUE"""),"Красимира Стойчева Александрова")</f>
        <v>Красимира Стойчева Александрова</v>
      </c>
      <c r="B4645" s="10" t="str">
        <f ca="1">IFERROR(__xludf.DUMMYFUNCTION("""COMPUTED_VALUE"""),"Статия в списания и поредици")</f>
        <v>Статия в списания и поредици</v>
      </c>
      <c r="C4645" s="10" t="str">
        <f ca="1">IFERROR(__xludf.DUMMYFUNCTION("""COMPUTED_VALUE"""),"Информационен обхват на библиографската структура")</f>
        <v>Информационен обхват на библиографската структура</v>
      </c>
      <c r="D4645" s="10">
        <f ca="1">IFERROR(__xludf.DUMMYFUNCTION("""COMPUTED_VALUE"""),2013)</f>
        <v>2013</v>
      </c>
      <c r="E4645" s="10" t="str">
        <f ca="1">IFERROR(__xludf.DUMMYFUNCTION("""COMPUTED_VALUE"""),"Нови информационни технолигии в образователния процес : Доклади и съобщения от научен семинар на УниБИТ, проведен в Лондон – Великобритания на 25 – 31 май 2013 г., с. 114-121. ISSN 2367-7988")</f>
        <v>Нови информационни технолигии в образователния процес : Доклади и съобщения от научен семинар на УниБИТ, проведен в Лондон – Великобритания на 25 – 31 май 2013 г., с. 114-121. ISSN 2367-7988</v>
      </c>
      <c r="F4645" s="10"/>
      <c r="G4645" s="10"/>
      <c r="H4645" s="10"/>
      <c r="I4645" s="10"/>
      <c r="J4645" s="10"/>
      <c r="K4645" s="10"/>
      <c r="L4645" s="10"/>
      <c r="M4645" s="10"/>
      <c r="N4645" s="10"/>
      <c r="O4645" s="10"/>
      <c r="P4645" s="10"/>
      <c r="Q4645" s="10"/>
      <c r="R4645" s="10"/>
      <c r="S4645" s="10"/>
      <c r="T4645" s="10"/>
      <c r="U4645" s="10"/>
      <c r="V4645" s="10"/>
      <c r="W4645" s="10"/>
      <c r="X4645" s="10"/>
      <c r="Y4645" s="10"/>
      <c r="Z4645" s="10"/>
    </row>
    <row r="4646" spans="1:26" ht="12.75">
      <c r="A4646" s="10" t="str">
        <f ca="1">IFERROR(__xludf.DUMMYFUNCTION("""COMPUTED_VALUE"""),"Красимира Стойчева Александрова")</f>
        <v>Красимира Стойчева Александрова</v>
      </c>
      <c r="B4646" s="10" t="str">
        <f ca="1">IFERROR(__xludf.DUMMYFUNCTION("""COMPUTED_VALUE"""),"Статия в списания и поредици")</f>
        <v>Статия в списания и поредици</v>
      </c>
      <c r="C4646" s="10" t="str">
        <f ca="1">IFERROR(__xludf.DUMMYFUNCTION("""COMPUTED_VALUE"""),"Последният възрожденец //Стилиян Чилингиров")</f>
        <v>Последният възрожденец //Стилиян Чилингиров</v>
      </c>
      <c r="D4646" s="10">
        <f ca="1">IFERROR(__xludf.DUMMYFUNCTION("""COMPUTED_VALUE"""),2012)</f>
        <v>2012</v>
      </c>
      <c r="E4646" s="10" t="str">
        <f ca="1">IFERROR(__xludf.DUMMYFUNCTION("""COMPUTED_VALUE"""),"Сборник, посветен на 130 години от рождението на Стилиян Чилингиров. – Шумен : РБ ""Ст. Чилингиров"", 2012, с. 9-12. ISBN 978-954-2936-03-9")</f>
        <v>Сборник, посветен на 130 години от рождението на Стилиян Чилингиров. – Шумен : РБ "Ст. Чилингиров", 2012, с. 9-12. ISBN 978-954-2936-03-9</v>
      </c>
      <c r="F4646" s="10"/>
      <c r="G4646" s="10"/>
      <c r="H4646" s="10"/>
      <c r="I4646" s="10"/>
      <c r="J4646" s="10"/>
      <c r="K4646" s="10"/>
      <c r="L4646" s="10"/>
      <c r="M4646" s="10"/>
      <c r="N4646" s="10"/>
      <c r="O4646" s="10"/>
      <c r="P4646" s="10"/>
      <c r="Q4646" s="10"/>
      <c r="R4646" s="10"/>
      <c r="S4646" s="10"/>
      <c r="T4646" s="10"/>
      <c r="U4646" s="10"/>
      <c r="V4646" s="10"/>
      <c r="W4646" s="10"/>
      <c r="X4646" s="10"/>
      <c r="Y4646" s="10"/>
      <c r="Z4646" s="10"/>
    </row>
    <row r="4647" spans="1:26" ht="12.75">
      <c r="A4647" s="10" t="str">
        <f ca="1">IFERROR(__xludf.DUMMYFUNCTION("""COMPUTED_VALUE"""),"Красимира Стойчева Александрова")</f>
        <v>Красимира Стойчева Александрова</v>
      </c>
      <c r="B4647" s="10" t="str">
        <f ca="1">IFERROR(__xludf.DUMMYFUNCTION("""COMPUTED_VALUE"""),"Доклад от конференция")</f>
        <v>Доклад от конференция</v>
      </c>
      <c r="C4647" s="10" t="str">
        <f ca="1">IFERROR(__xludf.DUMMYFUNCTION("""COMPUTED_VALUE"""),"За психологията на тийнейджъра и мястото на библиотеката в неговия живот: О психологиjи тинеjцера и месту библиотеке у ньеговом животу")</f>
        <v>За психологията на тийнейджъра и мястото на библиотеката в неговия живот: О психологиjи тинеjцера и месту библиотеке у ньеговом животу</v>
      </c>
      <c r="D4647" s="10">
        <f ca="1">IFERROR(__xludf.DUMMYFUNCTION("""COMPUTED_VALUE"""),2012)</f>
        <v>2012</v>
      </c>
      <c r="E4647" s="10" t="str">
        <f ca="1">IFERROR(__xludf.DUMMYFUNCTION("""COMPUTED_VALUE"""),"Библиотеке и тинеjцери : Зборник радова са Меhународног стручног скупа одржаног у Пироту 11-12. октобар 2012 - Пирот, с. 198-210. ISBN 978-86-83843-27-5(НБП) ISBN 978-86-84145-34-7(НДБ)")</f>
        <v>Библиотеке и тинеjцери : Зборник радова са Меhународног стручног скупа одржаног у Пироту 11-12. октобар 2012 - Пирот, с. 198-210. ISBN 978-86-83843-27-5(НБП) ISBN 978-86-84145-34-7(НДБ)</v>
      </c>
      <c r="F4647" s="10"/>
      <c r="G4647" s="10"/>
      <c r="H4647" s="10"/>
      <c r="I4647" s="10"/>
      <c r="J4647" s="10"/>
      <c r="K4647" s="10"/>
      <c r="L4647" s="10"/>
      <c r="M4647" s="10"/>
      <c r="N4647" s="10"/>
      <c r="O4647" s="10"/>
      <c r="P4647" s="10"/>
      <c r="Q4647" s="10"/>
      <c r="R4647" s="10"/>
      <c r="S4647" s="10"/>
      <c r="T4647" s="10"/>
      <c r="U4647" s="10"/>
      <c r="V4647" s="10"/>
      <c r="W4647" s="10"/>
      <c r="X4647" s="10"/>
      <c r="Y4647" s="10"/>
      <c r="Z4647" s="10"/>
    </row>
    <row r="4648" spans="1:26" ht="12.75">
      <c r="A4648" s="10" t="str">
        <f ca="1">IFERROR(__xludf.DUMMYFUNCTION("""COMPUTED_VALUE"""),"Кристина Иванова Върбанова-Денчева")</f>
        <v>Кристина Иванова Върбанова-Денчева</v>
      </c>
      <c r="B4648" s="10" t="str">
        <f ca="1">IFERROR(__xludf.DUMMYFUNCTION("""COMPUTED_VALUE"""),"Статия в списания и поредици")</f>
        <v>Статия в списания и поредици</v>
      </c>
      <c r="C4648" s="10" t="str">
        <f ca="1">IFERROR(__xludf.DUMMYFUNCTION("""COMPUTED_VALUE"""),"Университетските образователни модели в стратегията на Образование 4.0")</f>
        <v>Университетските образователни модели в стратегията на Образование 4.0</v>
      </c>
      <c r="D4648" s="10">
        <f ca="1">IFERROR(__xludf.DUMMYFUNCTION("""COMPUTED_VALUE"""),2020)</f>
        <v>2020</v>
      </c>
      <c r="E4648" s="10" t="str">
        <f ca="1">IFERROR(__xludf.DUMMYFUNCTION("""COMPUTED_VALUE"""),"// Научни трудове на УниБИТ. Сб. науч. статии. С., Акад. изд. За буквите – о писменехъ, С., 2020 .ISSN 1314-2623")</f>
        <v>// Научни трудове на УниБИТ. Сб. науч. статии. С., Акад. изд. За буквите – о писменехъ, С., 2020 .ISSN 1314-2623</v>
      </c>
      <c r="F4648" s="10"/>
      <c r="G4648" s="10"/>
      <c r="H4648" s="10"/>
      <c r="I4648" s="10"/>
      <c r="J4648" s="10"/>
      <c r="K4648" s="10"/>
      <c r="L4648" s="10"/>
      <c r="M4648" s="10"/>
      <c r="N4648" s="10"/>
      <c r="O4648" s="10"/>
      <c r="P4648" s="10"/>
      <c r="Q4648" s="10"/>
      <c r="R4648" s="10"/>
      <c r="S4648" s="10"/>
      <c r="T4648" s="10"/>
      <c r="U4648" s="10"/>
      <c r="V4648" s="10"/>
      <c r="W4648" s="10"/>
      <c r="X4648" s="10"/>
      <c r="Y4648" s="10"/>
      <c r="Z4648" s="10"/>
    </row>
    <row r="4649" spans="1:26" ht="12.75">
      <c r="A4649" s="10" t="str">
        <f ca="1">IFERROR(__xludf.DUMMYFUNCTION("""COMPUTED_VALUE"""),"Кристина Иванова Върбанова-Денчева")</f>
        <v>Кристина Иванова Върбанова-Денчева</v>
      </c>
      <c r="B4649" s="10" t="str">
        <f ca="1">IFERROR(__xludf.DUMMYFUNCTION("""COMPUTED_VALUE"""),"Доклад от конференция")</f>
        <v>Доклад от конференция</v>
      </c>
      <c r="C4649" s="10" t="str">
        <f ca="1">IFERROR(__xludf.DUMMYFUNCTION("""COMPUTED_VALUE"""),"Дигитализацията – инструмент за съвременен прочит на Крайовската спогодба в съхранени лични колекции на изселени българи от Северна Добруджа.")</f>
        <v>Дигитализацията – инструмент за съвременен прочит на Крайовската спогодба в съхранени лични колекции на изселени българи от Северна Добруджа.</v>
      </c>
      <c r="D4649" s="10">
        <f ca="1">IFERROR(__xludf.DUMMYFUNCTION("""COMPUTED_VALUE"""),2020)</f>
        <v>2020</v>
      </c>
      <c r="E4649" s="10" t="str">
        <f ca="1">IFERROR(__xludf.DUMMYFUNCTION("""COMPUTED_VALUE"""),"Образованието и изследванията в информационното общество. Сб. докл. ХIII Нац. науч. конф. на АРИО, 5 - 6 ноември, Пловдив, 2020. Изд. АРИО,")</f>
        <v>Образованието и изследванията в информационното общество. Сб. докл. ХIII Нац. науч. конф. на АРИО, 5 - 6 ноември, Пловдив, 2020. Изд. АРИО,</v>
      </c>
      <c r="F4649" s="10" t="str">
        <f ca="1">IFERROR(__xludf.DUMMYFUNCTION("""COMPUTED_VALUE"""),"(под печат)")</f>
        <v>(под печат)</v>
      </c>
      <c r="G4649" s="10" t="str">
        <f ca="1">IFERROR(__xludf.DUMMYFUNCTION("""COMPUTED_VALUE"""),"Върбанова-Денчева, Кристина и Радостина Денчева")</f>
        <v>Върбанова-Денчева, Кристина и Радостина Денчева</v>
      </c>
      <c r="H4649" s="10"/>
      <c r="I4649" s="10"/>
      <c r="J4649" s="10"/>
      <c r="K4649" s="10"/>
      <c r="L4649" s="10"/>
      <c r="M4649" s="10"/>
      <c r="N4649" s="10"/>
      <c r="O4649" s="10"/>
      <c r="P4649" s="10"/>
      <c r="Q4649" s="10"/>
      <c r="R4649" s="10"/>
      <c r="S4649" s="10"/>
      <c r="T4649" s="10"/>
      <c r="U4649" s="10"/>
      <c r="V4649" s="10"/>
      <c r="W4649" s="10"/>
      <c r="X4649" s="10"/>
      <c r="Y4649" s="10"/>
      <c r="Z4649" s="10"/>
    </row>
    <row r="4650" spans="1:26" ht="12.75">
      <c r="A4650" s="10" t="str">
        <f ca="1">IFERROR(__xludf.DUMMYFUNCTION("""COMPUTED_VALUE"""),"Кристина Иванова Върбанова-Денчева")</f>
        <v>Кристина Иванова Върбанова-Денчева</v>
      </c>
      <c r="B4650" s="10" t="str">
        <f ca="1">IFERROR(__xludf.DUMMYFUNCTION("""COMPUTED_VALUE"""),"Доклад от конференция")</f>
        <v>Доклад от конференция</v>
      </c>
      <c r="C4650" s="10" t="str">
        <f ca="1">IFERROR(__xludf.DUMMYFUNCTION("""COMPUTED_VALUE"""),"Дигитален архив „Крайовската спогодба в документи от институционални архиви и лични колекции на изселени българи от Северна Добруджа“.")</f>
        <v>Дигитален архив „Крайовската спогодба в документи от институционални архиви и лични колекции на изселени българи от Северна Добруджа“.</v>
      </c>
      <c r="D4650" s="10">
        <f ca="1">IFERROR(__xludf.DUMMYFUNCTION("""COMPUTED_VALUE"""),2020)</f>
        <v>2020</v>
      </c>
      <c r="E4650" s="10" t="str">
        <f ca="1">IFERROR(__xludf.DUMMYFUNCTION("""COMPUTED_VALUE"""),"Българско наследство. Сб. докл. Нац. науч. форум, 26 – 28 август 2020 г., Балчик. Изд. Балчишки телеграф, Добрич, 2020.")</f>
        <v>Българско наследство. Сб. докл. Нац. науч. форум, 26 – 28 август 2020 г., Балчик. Изд. Балчишки телеграф, Добрич, 2020.</v>
      </c>
      <c r="F4650" s="10" t="str">
        <f ca="1">IFERROR(__xludf.DUMMYFUNCTION("""COMPUTED_VALUE"""),"(под печат)")</f>
        <v>(под печат)</v>
      </c>
      <c r="G4650" s="10" t="str">
        <f ca="1">IFERROR(__xludf.DUMMYFUNCTION("""COMPUTED_VALUE"""),"Върбанова-Денчева, Кристина, Деница Младенова")</f>
        <v>Върбанова-Денчева, Кристина, Деница Младенова</v>
      </c>
      <c r="H4650" s="10"/>
      <c r="I4650" s="10"/>
      <c r="J4650" s="10"/>
      <c r="K4650" s="10"/>
      <c r="L4650" s="10"/>
      <c r="M4650" s="10"/>
      <c r="N4650" s="10"/>
      <c r="O4650" s="10"/>
      <c r="P4650" s="10"/>
      <c r="Q4650" s="10"/>
      <c r="R4650" s="10"/>
      <c r="S4650" s="10"/>
      <c r="T4650" s="10"/>
      <c r="U4650" s="10"/>
      <c r="V4650" s="10"/>
      <c r="W4650" s="10"/>
      <c r="X4650" s="10"/>
      <c r="Y4650" s="10"/>
      <c r="Z4650" s="10"/>
    </row>
    <row r="4651" spans="1:26" ht="12.75">
      <c r="A4651" s="10" t="str">
        <f ca="1">IFERROR(__xludf.DUMMYFUNCTION("""COMPUTED_VALUE"""),"Кристина Иванова Върбанова-Денчева")</f>
        <v>Кристина Иванова Върбанова-Денчева</v>
      </c>
      <c r="B4651" s="10" t="str">
        <f ca="1">IFERROR(__xludf.DUMMYFUNCTION("""COMPUTED_VALUE"""),"Доклад от конференция")</f>
        <v>Доклад от конференция</v>
      </c>
      <c r="C4651" s="10" t="str">
        <f ca="1">IFERROR(__xludf.DUMMYFUNCTION("""COMPUTED_VALUE"""),"УниБИТ и образованието на бъдещето - новите измерения на споделеното знание")</f>
        <v>УниБИТ и образованието на бъдещето - новите измерения на споделеното знание</v>
      </c>
      <c r="D4651" s="10">
        <f ca="1">IFERROR(__xludf.DUMMYFUNCTION("""COMPUTED_VALUE"""),2020)</f>
        <v>2020</v>
      </c>
      <c r="E4651" s="10" t="str">
        <f ca="1">IFERROR(__xludf.DUMMYFUNCTION("""COMPUTED_VALUE"""),"Обществото на знанието и хуманизмът на ХХI век. Сб. докл. XVIII Нац. науч. конф. с межд. уч., 1 ноември 2020 г., София. Акад. изд. За буквите – о писменехъ, С., 2020; с.82-92
  ISSN 2683-0094")</f>
        <v>Обществото на знанието и хуманизмът на ХХI век. Сб. докл. XVIII Нац. науч. конф. с межд. уч., 1 ноември 2020 г., София. Акад. изд. За буквите – о писменехъ, С., 2020; с.82-92
  ISSN 2683-0094</v>
      </c>
      <c r="F4651" s="10"/>
      <c r="G4651" s="10"/>
      <c r="H4651" s="10"/>
      <c r="I4651" s="10"/>
      <c r="J4651" s="10"/>
      <c r="K4651" s="10"/>
      <c r="L4651" s="10"/>
      <c r="M4651" s="10"/>
      <c r="N4651" s="10"/>
      <c r="O4651" s="10"/>
      <c r="P4651" s="10"/>
      <c r="Q4651" s="10"/>
      <c r="R4651" s="10"/>
      <c r="S4651" s="10"/>
      <c r="T4651" s="10"/>
      <c r="U4651" s="10"/>
      <c r="V4651" s="10"/>
      <c r="W4651" s="10"/>
      <c r="X4651" s="10"/>
      <c r="Y4651" s="10"/>
      <c r="Z4651" s="10"/>
    </row>
    <row r="4652" spans="1:26" ht="12.75">
      <c r="A4652" s="10" t="str">
        <f ca="1">IFERROR(__xludf.DUMMYFUNCTION("""COMPUTED_VALUE"""),"Кристина Иванова Върбанова-Денчева")</f>
        <v>Кристина Иванова Върбанова-Денчева</v>
      </c>
      <c r="B4652" s="10" t="str">
        <f ca="1">IFERROR(__xludf.DUMMYFUNCTION("""COMPUTED_VALUE"""),"Доклад от конференция")</f>
        <v>Доклад от конференция</v>
      </c>
      <c r="C4652" s="10" t="str">
        <f ca="1">IFERROR(__xludf.DUMMYFUNCTION("""COMPUTED_VALUE"""),"Хуманизъм и бъдеще за обществото на знанието")</f>
        <v>Хуманизъм и бъдеще за обществото на знанието</v>
      </c>
      <c r="D4652" s="10">
        <f ca="1">IFERROR(__xludf.DUMMYFUNCTION("""COMPUTED_VALUE"""),2020)</f>
        <v>2020</v>
      </c>
      <c r="E4652" s="10" t="str">
        <f ca="1">IFERROR(__xludf.DUMMYFUNCTION("""COMPUTED_VALUE"""),"Обществото на знанието и хуманизмът на ХХI век. Сб. докл. XVIII Нац. науч. конф. с межд. уч., 1 ноември 2020 г., София. Акад. изд. За буквите – о писменехъ, С., 2020. с.60-74
  ISSN 2683-0094")</f>
        <v>Обществото на знанието и хуманизмът на ХХI век. Сб. докл. XVIII Нац. науч. конф. с межд. уч., 1 ноември 2020 г., София. Акад. изд. За буквите – о писменехъ, С., 2020. с.60-74
  ISSN 2683-0094</v>
      </c>
      <c r="F4652" s="10"/>
      <c r="G4652" s="10" t="str">
        <f ca="1">IFERROR(__xludf.DUMMYFUNCTION("""COMPUTED_VALUE"""),"Любомира Парижкова")</f>
        <v>Любомира Парижкова</v>
      </c>
      <c r="H4652" s="10"/>
      <c r="I4652" s="10"/>
      <c r="J4652" s="10"/>
      <c r="K4652" s="10"/>
      <c r="L4652" s="10"/>
      <c r="M4652" s="10"/>
      <c r="N4652" s="10"/>
      <c r="O4652" s="10"/>
      <c r="P4652" s="10"/>
      <c r="Q4652" s="10"/>
      <c r="R4652" s="10"/>
      <c r="S4652" s="10"/>
      <c r="T4652" s="10"/>
      <c r="U4652" s="10"/>
      <c r="V4652" s="10"/>
      <c r="W4652" s="10"/>
      <c r="X4652" s="10"/>
      <c r="Y4652" s="10"/>
      <c r="Z4652" s="10"/>
    </row>
    <row r="4653" spans="1:26" ht="12.75">
      <c r="A4653" s="10" t="str">
        <f ca="1">IFERROR(__xludf.DUMMYFUNCTION("""COMPUTED_VALUE"""),"Кристина Иванова Върбанова-Денчева")</f>
        <v>Кристина Иванова Върбанова-Денчева</v>
      </c>
      <c r="B4653" s="10" t="str">
        <f ca="1">IFERROR(__xludf.DUMMYFUNCTION("""COMPUTED_VALUE"""),"Доклад от конференция")</f>
        <v>Доклад от конференция</v>
      </c>
      <c r="C4653" s="10" t="str">
        <f ca="1">IFERROR(__xludf.DUMMYFUNCTION("""COMPUTED_VALUE"""),"Създаване на дигитални ресурси на туризма в новите образователни модели на УниБИТ")</f>
        <v>Създаване на дигитални ресурси на туризма в новите образователни модели на УниБИТ</v>
      </c>
      <c r="D4653" s="10">
        <f ca="1">IFERROR(__xludf.DUMMYFUNCTION("""COMPUTED_VALUE"""),2020)</f>
        <v>2020</v>
      </c>
      <c r="E4653" s="10" t="str">
        <f ca="1">IFERROR(__xludf.DUMMYFUNCTION("""COMPUTED_VALUE"""),"// First Congress of Universities from South East Europe and Asia on Education in the Global World of New Technologies. First International Conference for Graduate Research on Culture, Tourism, Youth Artificial Intelligence aAnd Blockchain Technologies. ("&amp;"Първа международна конференция на университетите от Югоизточна Европа и Азия по култура, туризъм, младеж, изкуствения интелект и блокчейн технологии, 14 февруари 2020, София). Сб. докл. Акад. изд. За буквите – о писменехъ, С., 2020. ISSN (под печат)")</f>
        <v>// First Congress of Universities from South East Europe and Asia on Education in the Global World of New Technologies. First International Conference for Graduate Research on Culture, Tourism, Youth Artificial Intelligence aAnd Blockchain Technologies. (Първа международна конференция на университетите от Югоизточна Европа и Азия по култура, туризъм, младеж, изкуствения интелект и блокчейн технологии, 14 февруари 2020, София). Сб. докл. Акад. изд. За буквите – о писменехъ, С., 2020. ISSN (под печат)</v>
      </c>
      <c r="F4653" s="10"/>
      <c r="G4653" s="10" t="str">
        <f ca="1">IFERROR(__xludf.DUMMYFUNCTION("""COMPUTED_VALUE"""),"Радостина Денчева, Деница Младенова")</f>
        <v>Радостина Денчева, Деница Младенова</v>
      </c>
      <c r="H4653" s="10"/>
      <c r="I4653" s="10"/>
      <c r="J4653" s="10"/>
      <c r="K4653" s="10"/>
      <c r="L4653" s="10"/>
      <c r="M4653" s="10"/>
      <c r="N4653" s="10"/>
      <c r="O4653" s="10"/>
      <c r="P4653" s="10"/>
      <c r="Q4653" s="10"/>
      <c r="R4653" s="10"/>
      <c r="S4653" s="10"/>
      <c r="T4653" s="10"/>
      <c r="U4653" s="10"/>
      <c r="V4653" s="10"/>
      <c r="W4653" s="10"/>
      <c r="X4653" s="10"/>
      <c r="Y4653" s="10"/>
      <c r="Z4653" s="10"/>
    </row>
    <row r="4654" spans="1:26" ht="12.75">
      <c r="A4654" s="10" t="str">
        <f ca="1">IFERROR(__xludf.DUMMYFUNCTION("""COMPUTED_VALUE"""),"Кристина Иванова Върбанова-Денчева")</f>
        <v>Кристина Иванова Върбанова-Денчева</v>
      </c>
      <c r="B4654" s="10" t="str">
        <f ca="1">IFERROR(__xludf.DUMMYFUNCTION("""COMPUTED_VALUE"""),"Студия")</f>
        <v>Студия</v>
      </c>
      <c r="C4654" s="10" t="str">
        <f ca="1">IFERROR(__xludf.DUMMYFUNCTION("""COMPUTED_VALUE"""),"Дигитална трансформация на образователния процес и подготовката на специалисти за постинформационното общество")</f>
        <v>Дигитална трансформация на образователния процес и подготовката на специалисти за постинформационното общество</v>
      </c>
      <c r="D4654" s="10">
        <f ca="1">IFERROR(__xludf.DUMMYFUNCTION("""COMPUTED_VALUE"""),2019)</f>
        <v>2019</v>
      </c>
      <c r="E4654" s="10" t="str">
        <f ca="1">IFERROR(__xludf.DUMMYFUNCTION("""COMPUTED_VALUE"""),"// Проблеми на обществената комуникация, Сб. Докл. V Международна кръгла маса, УниБИТ, Нишки университет Р Сърбия, 4 – 5 юни 2019 г. Акад. Изд. За буквите – о писменехъ, С., 2019. ISSN 2534-9430")</f>
        <v>// Проблеми на обществената комуникация, Сб. Докл. V Международна кръгла маса, УниБИТ, Нишки университет Р Сърбия, 4 – 5 юни 2019 г. Акад. Изд. За буквите – о писменехъ, С., 2019. ISSN 2534-9430</v>
      </c>
      <c r="F4654" s="10"/>
      <c r="G4654" s="10"/>
      <c r="H4654" s="10"/>
      <c r="I4654" s="10"/>
      <c r="J4654" s="10"/>
      <c r="K4654" s="10"/>
      <c r="L4654" s="10"/>
      <c r="M4654" s="10"/>
      <c r="N4654" s="10"/>
      <c r="O4654" s="10"/>
      <c r="P4654" s="10"/>
      <c r="Q4654" s="10"/>
      <c r="R4654" s="10"/>
      <c r="S4654" s="10"/>
      <c r="T4654" s="10"/>
      <c r="U4654" s="10"/>
      <c r="V4654" s="10"/>
      <c r="W4654" s="10"/>
      <c r="X4654" s="10"/>
      <c r="Y4654" s="10"/>
      <c r="Z4654" s="10"/>
    </row>
    <row r="4655" spans="1:26" ht="12.75">
      <c r="A4655" s="10" t="str">
        <f ca="1">IFERROR(__xludf.DUMMYFUNCTION("""COMPUTED_VALUE"""),"Кристина Иванова Върбанова-Денчева")</f>
        <v>Кристина Иванова Върбанова-Денчева</v>
      </c>
      <c r="B4655" s="10" t="str">
        <f ca="1">IFERROR(__xludf.DUMMYFUNCTION("""COMPUTED_VALUE"""),"Доклад от конференция")</f>
        <v>Доклад от конференция</v>
      </c>
      <c r="C4655" s="10" t="str">
        <f ca="1">IFERROR(__xludf.DUMMYFUNCTION("""COMPUTED_VALUE"""),"Дигитална трансформация на библиотеките в постинформационното общество")</f>
        <v>Дигитална трансформация на библиотеките в постинформационното общество</v>
      </c>
      <c r="D4655" s="10">
        <f ca="1">IFERROR(__xludf.DUMMYFUNCTION("""COMPUTED_VALUE"""),2019)</f>
        <v>2019</v>
      </c>
      <c r="E4655" s="10" t="str">
        <f ca="1">IFERROR(__xludf.DUMMYFUNCTION("""COMPUTED_VALUE"""),"Образованието и изследванията в информационното общество. Сб. докл. ХII Нац. науч.Конф. на АРИО, 30 - 31 май, Пловдив, 2019. Изд. АРИО, с. 133 - 146. ISSN 2534-8663.")</f>
        <v>Образованието и изследванията в информационното общество. Сб. докл. ХII Нац. науч.Конф. на АРИО, 30 - 31 май, Пловдив, 2019. Изд. АРИО, с. 133 - 146. ISSN 2534-8663.</v>
      </c>
      <c r="F4655" s="10" t="str">
        <f ca="1">IFERROR(__xludf.DUMMYFUNCTION("""COMPUTED_VALUE"""),"math.bas.bg;
 https://www.adis.org › ERIS_conference")</f>
        <v>math.bas.bg;
 https://www.adis.org › ERIS_conference</v>
      </c>
      <c r="G4655" s="10"/>
      <c r="H4655" s="10"/>
      <c r="I4655" s="10"/>
      <c r="J4655" s="10"/>
      <c r="K4655" s="10"/>
      <c r="L4655" s="10"/>
      <c r="M4655" s="10"/>
      <c r="N4655" s="10"/>
      <c r="O4655" s="10"/>
      <c r="P4655" s="10"/>
      <c r="Q4655" s="10"/>
      <c r="R4655" s="10"/>
      <c r="S4655" s="10"/>
      <c r="T4655" s="10"/>
      <c r="U4655" s="10"/>
      <c r="V4655" s="10"/>
      <c r="W4655" s="10"/>
      <c r="X4655" s="10"/>
      <c r="Y4655" s="10"/>
      <c r="Z4655" s="10"/>
    </row>
    <row r="4656" spans="1:26" ht="12.75">
      <c r="A4656" s="10" t="str">
        <f ca="1">IFERROR(__xludf.DUMMYFUNCTION("""COMPUTED_VALUE"""),"Кристина Иванова Върбанова-Денчева")</f>
        <v>Кристина Иванова Върбанова-Денчева</v>
      </c>
      <c r="B4656" s="10" t="str">
        <f ca="1">IFERROR(__xludf.DUMMYFUNCTION("""COMPUTED_VALUE"""),"Статия в списания и поредици")</f>
        <v>Статия в списания и поредици</v>
      </c>
      <c r="C4656" s="10" t="str">
        <f ca="1">IFERROR(__xludf.DUMMYFUNCTION("""COMPUTED_VALUE"""),"Международните форуми като принос за динамиката на знанието в асоциирания обществен интелект")</f>
        <v>Международните форуми като принос за динамиката на знанието в асоциирания обществен интелект</v>
      </c>
      <c r="D4656" s="10">
        <f ca="1">IFERROR(__xludf.DUMMYFUNCTION("""COMPUTED_VALUE"""),2019)</f>
        <v>2019</v>
      </c>
      <c r="E4656" s="10" t="str">
        <f ca="1">IFERROR(__xludf.DUMMYFUNCTION("""COMPUTED_VALUE"""),"Съвременни измерения на европейското образователно и научно пространство. Том 6, 2018, Сб. докл. ХII Межд. Пътуващ семинар на УниБИТ България – Италия, 18 – 23 май 2018, Акад. изд. За буквите – о писменехъ, С., 2018. С. 146 – 154. ISSN 2367-7988")</f>
        <v>Съвременни измерения на европейското образователно и научно пространство. Том 6, 2018, Сб. докл. ХII Межд. Пътуващ семинар на УниБИТ България – Италия, 18 – 23 май 2018, Акад. изд. За буквите – о писменехъ, С., 2018. С. 146 – 154. ISSN 2367-7988</v>
      </c>
      <c r="F4656" s="10" t="str">
        <f ca="1">IFERROR(__xludf.DUMMYFUNCTION("""COMPUTED_VALUE"""),"https://nrs.nacid.bg/register/
 Национален референтен списък (НРС) на съвременни български научни издания с научно рецензиране")</f>
        <v>https://nrs.nacid.bg/register/
 Национален референтен списък (НРС) на съвременни български научни издания с научно рецензиране</v>
      </c>
      <c r="G4656" s="10" t="str">
        <f ca="1">IFERROR(__xludf.DUMMYFUNCTION("""COMPUTED_VALUE"""),"Стоян Денчев")</f>
        <v>Стоян Денчев</v>
      </c>
      <c r="H4656" s="10"/>
      <c r="I4656" s="10"/>
      <c r="J4656" s="10"/>
      <c r="K4656" s="10"/>
      <c r="L4656" s="10"/>
      <c r="M4656" s="10"/>
      <c r="N4656" s="10"/>
      <c r="O4656" s="10"/>
      <c r="P4656" s="10"/>
      <c r="Q4656" s="10"/>
      <c r="R4656" s="10"/>
      <c r="S4656" s="10"/>
      <c r="T4656" s="10"/>
      <c r="U4656" s="10"/>
      <c r="V4656" s="10"/>
      <c r="W4656" s="10"/>
      <c r="X4656" s="10"/>
      <c r="Y4656" s="10"/>
      <c r="Z4656" s="10"/>
    </row>
    <row r="4657" spans="1:26" ht="12.75">
      <c r="A4657" s="10" t="str">
        <f ca="1">IFERROR(__xludf.DUMMYFUNCTION("""COMPUTED_VALUE"""),"Кристина Иванова Върбанова-Денчева")</f>
        <v>Кристина Иванова Върбанова-Денчева</v>
      </c>
      <c r="B4657" s="10" t="str">
        <f ca="1">IFERROR(__xludf.DUMMYFUNCTION("""COMPUTED_VALUE"""),"Доклад от конференция")</f>
        <v>Доклад от конференция</v>
      </c>
      <c r="C4657" s="10" t="str">
        <f ca="1">IFERROR(__xludf.DUMMYFUNCTION("""COMPUTED_VALUE"""),"Дигиталните технологии и изчезващите занаяти на България – оптимистичен сценарий за опазване на културното наследство")</f>
        <v>Дигиталните технологии и изчезващите занаяти на България – оптимистичен сценарий за опазване на културното наследство</v>
      </c>
      <c r="D4657" s="10">
        <f ca="1">IFERROR(__xludf.DUMMYFUNCTION("""COMPUTED_VALUE"""),2019)</f>
        <v>2019</v>
      </c>
      <c r="E4657" s="10" t="str">
        <f ca="1">IFERROR(__xludf.DUMMYFUNCTION("""COMPUTED_VALUE"""),"Обществото на знанието и хуманизмът на ХХI век. Сб. докл. XVI Нац. науч. конф. с межд. уч., 1 ноември 2018 г., София. Акад. изд. За буквите – о писменехъ, С., 2019, ISSN 1314-7099")</f>
        <v>Обществото на знанието и хуманизмът на ХХI век. Сб. докл. XVI Нац. науч. конф. с межд. уч., 1 ноември 2018 г., София. Акад. изд. За буквите – о писменехъ, С., 2019, ISSN 1314-7099</v>
      </c>
      <c r="F4657" s="10" t="str">
        <f ca="1">IFERROR(__xludf.DUMMYFUNCTION("""COMPUTED_VALUE"""),"https://nrs.nacid.bg/register/
 Национален референтен списък (НРС) на съвременни български научни издания с научно рецензиране")</f>
        <v>https://nrs.nacid.bg/register/
 Национален референтен списък (НРС) на съвременни български научни издания с научно рецензиране</v>
      </c>
      <c r="G4657" s="10" t="str">
        <f ca="1">IFERROR(__xludf.DUMMYFUNCTION("""COMPUTED_VALUE"""),"Деница Младенова, Радостина Денчева")</f>
        <v>Деница Младенова, Радостина Денчева</v>
      </c>
      <c r="H4657" s="10"/>
      <c r="I4657" s="10"/>
      <c r="J4657" s="10"/>
      <c r="K4657" s="10"/>
      <c r="L4657" s="10"/>
      <c r="M4657" s="10"/>
      <c r="N4657" s="10"/>
      <c r="O4657" s="10"/>
      <c r="P4657" s="10"/>
      <c r="Q4657" s="10"/>
      <c r="R4657" s="10"/>
      <c r="S4657" s="10"/>
      <c r="T4657" s="10"/>
      <c r="U4657" s="10"/>
      <c r="V4657" s="10"/>
      <c r="W4657" s="10"/>
      <c r="X4657" s="10"/>
      <c r="Y4657" s="10"/>
      <c r="Z4657" s="10"/>
    </row>
    <row r="4658" spans="1:26" ht="12.75">
      <c r="A4658" s="10" t="str">
        <f ca="1">IFERROR(__xludf.DUMMYFUNCTION("""COMPUTED_VALUE"""),"Кристина Иванова Върбанова-Денчева")</f>
        <v>Кристина Иванова Върбанова-Денчева</v>
      </c>
      <c r="B4658" s="10" t="str">
        <f ca="1">IFERROR(__xludf.DUMMYFUNCTION("""COMPUTED_VALUE"""),"Доклад от конференция")</f>
        <v>Доклад от конференция</v>
      </c>
      <c r="C4658" s="10" t="str">
        <f ca="1">IFERROR(__xludf.DUMMYFUNCTION("""COMPUTED_VALUE"""),"Дигиталните компетентности и иновативните модели на образователния процес")</f>
        <v>Дигиталните компетентности и иновативните модели на образователния процес</v>
      </c>
      <c r="D4658" s="10">
        <f ca="1">IFERROR(__xludf.DUMMYFUNCTION("""COMPUTED_VALUE"""),2019)</f>
        <v>2019</v>
      </c>
      <c r="E4658" s="10" t="str">
        <f ca="1">IFERROR(__xludf.DUMMYFUNCTION("""COMPUTED_VALUE"""),"Обществото на знанието и хуманизмът на ХХI век. Сб. докл. XVI Нац. науч. конф. с межд. уч., 1 ноември 2018 г., София. Акад. изд. За буквите – о писменехъ, С., 2019, с. 46 – 63. ISSN 1314-7099")</f>
        <v>Обществото на знанието и хуманизмът на ХХI век. Сб. докл. XVI Нац. науч. конф. с межд. уч., 1 ноември 2018 г., София. Акад. изд. За буквите – о писменехъ, С., 2019, с. 46 – 63. ISSN 1314-7099</v>
      </c>
      <c r="F4658" s="10" t="str">
        <f ca="1">IFERROR(__xludf.DUMMYFUNCTION("""COMPUTED_VALUE"""),"https://nrs.nacid.bg/register/
 Национален референтен списък (НРС) на съвременни български научни издания с научно рецензиране")</f>
        <v>https://nrs.nacid.bg/register/
 Национален референтен списък (НРС) на съвременни български научни издания с научно рецензиране</v>
      </c>
      <c r="G4658" s="10"/>
      <c r="H4658" s="10"/>
      <c r="I4658" s="10"/>
      <c r="J4658" s="10"/>
      <c r="K4658" s="10"/>
      <c r="L4658" s="10"/>
      <c r="M4658" s="10"/>
      <c r="N4658" s="10"/>
      <c r="O4658" s="10"/>
      <c r="P4658" s="10"/>
      <c r="Q4658" s="10"/>
      <c r="R4658" s="10"/>
      <c r="S4658" s="10"/>
      <c r="T4658" s="10"/>
      <c r="U4658" s="10"/>
      <c r="V4658" s="10"/>
      <c r="W4658" s="10"/>
      <c r="X4658" s="10"/>
      <c r="Y4658" s="10"/>
      <c r="Z4658" s="10"/>
    </row>
    <row r="4659" spans="1:26" ht="12.75">
      <c r="A4659" s="10" t="str">
        <f ca="1">IFERROR(__xludf.DUMMYFUNCTION("""COMPUTED_VALUE"""),"Кристина Иванова Върбанова-Денчева")</f>
        <v>Кристина Иванова Върбанова-Денчева</v>
      </c>
      <c r="B4659" s="10" t="str">
        <f ca="1">IFERROR(__xludf.DUMMYFUNCTION("""COMPUTED_VALUE"""),"Статия в списания и поредици")</f>
        <v>Статия в списания и поредици</v>
      </c>
      <c r="C4659" s="10" t="str">
        <f ca="1">IFERROR(__xludf.DUMMYFUNCTION("""COMPUTED_VALUE"""),"Информация, комуникация, възникване и трансформации в печатните медии")</f>
        <v>Информация, комуникация, възникване и трансформации в печатните медии</v>
      </c>
      <c r="D4659" s="10">
        <f ca="1">IFERROR(__xludf.DUMMYFUNCTION("""COMPUTED_VALUE"""),2019)</f>
        <v>2019</v>
      </c>
      <c r="E4659" s="10" t="str">
        <f ca="1">IFERROR(__xludf.DUMMYFUNCTION("""COMPUTED_VALUE"""),"Комуникации и политики. Учебно пособие, Т.3, Модул 1, Тема 3, Акад. изд. За буквите – о писменехъ. С., 2019, с. 32-47. ISBN 978-619-185-391-5")</f>
        <v>Комуникации и политики. Учебно пособие, Т.3, Модул 1, Тема 3, Акад. изд. За буквите – о писменехъ. С., 2019, с. 32-47. ISBN 978-619-185-391-5</v>
      </c>
      <c r="F4659" s="10"/>
      <c r="G4659" s="10"/>
      <c r="H4659" s="10"/>
      <c r="I4659" s="10"/>
      <c r="J4659" s="10"/>
      <c r="K4659" s="10"/>
      <c r="L4659" s="10"/>
      <c r="M4659" s="10"/>
      <c r="N4659" s="10"/>
      <c r="O4659" s="10"/>
      <c r="P4659" s="10"/>
      <c r="Q4659" s="10"/>
      <c r="R4659" s="10"/>
      <c r="S4659" s="10"/>
      <c r="T4659" s="10"/>
      <c r="U4659" s="10"/>
      <c r="V4659" s="10"/>
      <c r="W4659" s="10"/>
      <c r="X4659" s="10"/>
      <c r="Y4659" s="10"/>
      <c r="Z4659" s="10"/>
    </row>
    <row r="4660" spans="1:26" ht="12.75">
      <c r="A4660" s="10" t="str">
        <f ca="1">IFERROR(__xludf.DUMMYFUNCTION("""COMPUTED_VALUE"""),"Кристина Иванова Върбанова-Денчева")</f>
        <v>Кристина Иванова Върбанова-Денчева</v>
      </c>
      <c r="B4660" s="10" t="str">
        <f ca="1">IFERROR(__xludf.DUMMYFUNCTION("""COMPUTED_VALUE"""),"Доклад от конференция")</f>
        <v>Доклад от конференция</v>
      </c>
      <c r="C4660" s="10" t="str">
        <f ca="1">IFERROR(__xludf.DUMMYFUNCTION("""COMPUTED_VALUE"""),"Хуманизмът и обществото в пределите на знанието в началото на ХХI век")</f>
        <v>Хуманизмът и обществото в пределите на знанието в началото на ХХI век</v>
      </c>
      <c r="D4660" s="10">
        <f ca="1">IFERROR(__xludf.DUMMYFUNCTION("""COMPUTED_VALUE"""),2018)</f>
        <v>2018</v>
      </c>
      <c r="E4660" s="10" t="str">
        <f ca="1">IFERROR(__xludf.DUMMYFUNCTION("""COMPUTED_VALUE"""),"// Обществото на знанието и хуманизмът на ХХI век. Сб. докл. ХV Нац. науч. конф. с межд. уч. по случай 1 ноември, София 1 ноември 2017, С., 2018. с. 37 –49. ISSN 1314-7099.")</f>
        <v>// Обществото на знанието и хуманизмът на ХХI век. Сб. докл. ХV Нац. науч. конф. с межд. уч. по случай 1 ноември, София 1 ноември 2017, С., 2018. с. 37 –49. ISSN 1314-7099.</v>
      </c>
      <c r="F4660" s="10"/>
      <c r="G4660" s="10" t="str">
        <f ca="1">IFERROR(__xludf.DUMMYFUNCTION("""COMPUTED_VALUE"""),"Ирена Петева, Стоян Денчев")</f>
        <v>Ирена Петева, Стоян Денчев</v>
      </c>
      <c r="H4660" s="10"/>
      <c r="I4660" s="10"/>
      <c r="J4660" s="10"/>
      <c r="K4660" s="10"/>
      <c r="L4660" s="10"/>
      <c r="M4660" s="10"/>
      <c r="N4660" s="10"/>
      <c r="O4660" s="10"/>
      <c r="P4660" s="10"/>
      <c r="Q4660" s="10"/>
      <c r="R4660" s="10"/>
      <c r="S4660" s="10"/>
      <c r="T4660" s="10"/>
      <c r="U4660" s="10"/>
      <c r="V4660" s="10"/>
      <c r="W4660" s="10"/>
      <c r="X4660" s="10"/>
      <c r="Y4660" s="10"/>
      <c r="Z4660" s="10"/>
    </row>
    <row r="4661" spans="1:26" ht="12.75">
      <c r="A4661" s="10" t="str">
        <f ca="1">IFERROR(__xludf.DUMMYFUNCTION("""COMPUTED_VALUE"""),"Кристина Иванова Върбанова-Денчева")</f>
        <v>Кристина Иванова Върбанова-Денчева</v>
      </c>
      <c r="B4661" s="10" t="str">
        <f ca="1">IFERROR(__xludf.DUMMYFUNCTION("""COMPUTED_VALUE"""),"Доклад от конференция")</f>
        <v>Доклад от конференция</v>
      </c>
      <c r="C4661" s="10" t="str">
        <f ca="1">IFERROR(__xludf.DUMMYFUNCTION("""COMPUTED_VALUE"""),"Визуализация на лични колекции в дигитални ресурси на културното наследство")</f>
        <v>Визуализация на лични колекции в дигитални ресурси на културното наследство</v>
      </c>
      <c r="D4661" s="10">
        <f ca="1">IFERROR(__xludf.DUMMYFUNCTION("""COMPUTED_VALUE"""),2018)</f>
        <v>2018</v>
      </c>
      <c r="E4661" s="10" t="str">
        <f ca="1">IFERROR(__xludf.DUMMYFUNCTION("""COMPUTED_VALUE"""),"// Обществото на знанието и хуманизмът на ХХI век. Сб. докл. ХV Нац. науч. конф. с межд. уч. по случай 1 ноември, София 1 ноември 2017, С., 2018. с. 123 - 135. ISSN 1314-7099")</f>
        <v>// Обществото на знанието и хуманизмът на ХХI век. Сб. докл. ХV Нац. науч. конф. с межд. уч. по случай 1 ноември, София 1 ноември 2017, С., 2018. с. 123 - 135. ISSN 1314-7099</v>
      </c>
      <c r="F4661" s="10"/>
      <c r="G4661" s="10" t="str">
        <f ca="1">IFERROR(__xludf.DUMMYFUNCTION("""COMPUTED_VALUE"""),"Деница Младенова")</f>
        <v>Деница Младенова</v>
      </c>
      <c r="H4661" s="10"/>
      <c r="I4661" s="10"/>
      <c r="J4661" s="10"/>
      <c r="K4661" s="10"/>
      <c r="L4661" s="10"/>
      <c r="M4661" s="10"/>
      <c r="N4661" s="10"/>
      <c r="O4661" s="10"/>
      <c r="P4661" s="10"/>
      <c r="Q4661" s="10"/>
      <c r="R4661" s="10"/>
      <c r="S4661" s="10"/>
      <c r="T4661" s="10"/>
      <c r="U4661" s="10"/>
      <c r="V4661" s="10"/>
      <c r="W4661" s="10"/>
      <c r="X4661" s="10"/>
      <c r="Y4661" s="10"/>
      <c r="Z4661" s="10"/>
    </row>
    <row r="4662" spans="1:26" ht="12.75">
      <c r="A4662" s="10" t="str">
        <f ca="1">IFERROR(__xludf.DUMMYFUNCTION("""COMPUTED_VALUE"""),"Кристина Иванова Върбанова-Денчева")</f>
        <v>Кристина Иванова Върбанова-Денчева</v>
      </c>
      <c r="B4662" s="10" t="str">
        <f ca="1">IFERROR(__xludf.DUMMYFUNCTION("""COMPUTED_VALUE"""),"Статия в списания и поредици")</f>
        <v>Статия в списания и поредици</v>
      </c>
      <c r="C4662" s="10" t="str">
        <f ca="1">IFERROR(__xludf.DUMMYFUNCTION("""COMPUTED_VALUE"""),"Дигиталната трансформация на читателя – между традицията и модерността. (Digital Transformation of the Reader - between Tradition and Modernity)")</f>
        <v>Дигиталната трансформация на читателя – между традицията и модерността. (Digital Transformation of the Reader - between Tradition and Modernity)</v>
      </c>
      <c r="D4662" s="10">
        <f ca="1">IFERROR(__xludf.DUMMYFUNCTION("""COMPUTED_VALUE"""),2018)</f>
        <v>2018</v>
      </c>
      <c r="E4662" s="10" t="str">
        <f ca="1">IFERROR(__xludf.DUMMYFUNCTION("""COMPUTED_VALUE"""),"// Проблеми на постмодерността, Т. 8, бр. 3, 2018, с.276-304. (публикувана статия в електронно издание) (http://ppm.swu.bg/about-us.aspx)")</f>
        <v>// Проблеми на постмодерността, Т. 8, бр. 3, 2018, с.276-304. (публикувана статия в електронно издание) (http://ppm.swu.bg/about-us.aspx)</v>
      </c>
      <c r="F4662" s="10" t="str">
        <f ca="1">IFERROR(__xludf.DUMMYFUNCTION("""COMPUTED_VALUE"""),"http://ppm.swu.bg/indexing.aspx
 ERIH PLUS - Европейската референтна система за индексиране на научни списания
 DRJI - Directory of Research Journals Indexing
 SIS – Scientific Indexing Servises
 CiteFactor – Academic Scientific Journals
 ROAD – Directory"&amp;" of Open Access Scholarly Resources 
 SAiF – Scholars Impact
 www.ceeol.com - Central and Eastern European Online Library")</f>
        <v>http://ppm.swu.bg/indexing.aspx
 ERIH PLUS - Европейската референтна система за индексиране на научни списания
 DRJI - Directory of Research Journals Indexing
 SIS – Scientific Indexing Servises
 CiteFactor – Academic Scientific Journals
 ROAD – Directory of Open Access Scholarly Resources 
 SAiF – Scholars Impact
 www.ceeol.com - Central and Eastern European Online Library</v>
      </c>
      <c r="G4662" s="10"/>
      <c r="H4662" s="10"/>
      <c r="I4662" s="10"/>
      <c r="J4662" s="10"/>
      <c r="K4662" s="10"/>
      <c r="L4662" s="10"/>
      <c r="M4662" s="10"/>
      <c r="N4662" s="10"/>
      <c r="O4662" s="10"/>
      <c r="P4662" s="10"/>
      <c r="Q4662" s="10"/>
      <c r="R4662" s="10"/>
      <c r="S4662" s="10"/>
      <c r="T4662" s="10"/>
      <c r="U4662" s="10"/>
      <c r="V4662" s="10"/>
      <c r="W4662" s="10"/>
      <c r="X4662" s="10"/>
      <c r="Y4662" s="10"/>
      <c r="Z4662" s="10"/>
    </row>
    <row r="4663" spans="1:26" ht="12.75">
      <c r="A4663" s="10" t="str">
        <f ca="1">IFERROR(__xludf.DUMMYFUNCTION("""COMPUTED_VALUE"""),"Кристина Иванова Върбанова-Денчева")</f>
        <v>Кристина Иванова Върбанова-Денчева</v>
      </c>
      <c r="B4663" s="10" t="str">
        <f ca="1">IFERROR(__xludf.DUMMYFUNCTION("""COMPUTED_VALUE"""),"Статия в списания и поредици")</f>
        <v>Статия в списания и поредици</v>
      </c>
      <c r="C4663" s="10" t="str">
        <f ca="1">IFERROR(__xludf.DUMMYFUNCTION("""COMPUTED_VALUE"""),"Компетентностите на бъдещите издатели и предизвикателствата за образователните модели на Университета по библиотекознание и информационни технологии (УниБИТ).")</f>
        <v>Компетентностите на бъдещите издатели и предизвикателствата за образователните модели на Университета по библиотекознание и информационни технологии (УниБИТ).</v>
      </c>
      <c r="D4663" s="10">
        <f ca="1">IFERROR(__xludf.DUMMYFUNCTION("""COMPUTED_VALUE"""),2018)</f>
        <v>2018</v>
      </c>
      <c r="E4663" s="10" t="str">
        <f ca="1">IFERROR(__xludf.DUMMYFUNCTION("""COMPUTED_VALUE"""),"Издател, Година ХХ, 2018, № 2, (книжка 3-4), УИ „Св. св. Кирил и Методий“, В. Търново, 2018, с. 102 – 106. ISSN 1310-4624")</f>
        <v>Издател, Година ХХ, 2018, № 2, (книжка 3-4), УИ „Св. св. Кирил и Методий“, В. Търново, 2018, с. 102 – 106. ISSN 1310-4624</v>
      </c>
      <c r="F4663" s="10" t="str">
        <f ca="1">IFERROR(__xludf.DUMMYFUNCTION("""COMPUTED_VALUE"""),"https://www.researchgate.net/publication/328768441_Competencies_of_the_future_publishers_and_challenges_for_the_education_models_of_the_University_of_Library_Studies_and_Information_Technologies_ULSIT
 https://nrs.nacid.bg/register/
 Национален референтен"&amp;" списък (НРС) на съвременни български научни издания с научно рецензиране")</f>
        <v>https://www.researchgate.net/publication/328768441_Competencies_of_the_future_publishers_and_challenges_for_the_education_models_of_the_University_of_Library_Studies_and_Information_Technologies_ULSIT
 https://nrs.nacid.bg/register/
 Национален референтен списък (НРС) на съвременни български научни издания с научно рецензиране</v>
      </c>
      <c r="G4663" s="10"/>
      <c r="H4663" s="10"/>
      <c r="I4663" s="10"/>
      <c r="J4663" s="10"/>
      <c r="K4663" s="10"/>
      <c r="L4663" s="10"/>
      <c r="M4663" s="10"/>
      <c r="N4663" s="10"/>
      <c r="O4663" s="10"/>
      <c r="P4663" s="10"/>
      <c r="Q4663" s="10"/>
      <c r="R4663" s="10"/>
      <c r="S4663" s="10"/>
      <c r="T4663" s="10"/>
      <c r="U4663" s="10"/>
      <c r="V4663" s="10"/>
      <c r="W4663" s="10"/>
      <c r="X4663" s="10"/>
      <c r="Y4663" s="10"/>
      <c r="Z4663" s="10"/>
    </row>
    <row r="4664" spans="1:26" ht="12.75">
      <c r="A4664" s="10" t="str">
        <f ca="1">IFERROR(__xludf.DUMMYFUNCTION("""COMPUTED_VALUE"""),"Кристина Иванова Върбанова-Денчева")</f>
        <v>Кристина Иванова Върбанова-Денчева</v>
      </c>
      <c r="B4664" s="10" t="str">
        <f ca="1">IFERROR(__xludf.DUMMYFUNCTION("""COMPUTED_VALUE"""),"Статия в списания и поредици")</f>
        <v>Статия в списания и поредици</v>
      </c>
      <c r="C4664" s="10" t="str">
        <f ca="1">IFERROR(__xludf.DUMMYFUNCTION("""COMPUTED_VALUE"""),"Дигиталната трансформация на читателя – между традицията и модерността")</f>
        <v>Дигиталната трансформация на читателя – между традицията и модерността</v>
      </c>
      <c r="D4664" s="10">
        <f ca="1">IFERROR(__xludf.DUMMYFUNCTION("""COMPUTED_VALUE"""),2018)</f>
        <v>2018</v>
      </c>
      <c r="E4664" s="10" t="str">
        <f ca="1">IFERROR(__xludf.DUMMYFUNCTION("""COMPUTED_VALUE"""),"Комуникации и политики. Учебно пособие, Т.2, Модул 3, Тема 1, Акад. изд. За буквите – о писменехъ. С., 2018, с. 141-164.ISBN 978-619-185-390-8")</f>
        <v>Комуникации и политики. Учебно пособие, Т.2, Модул 3, Тема 1, Акад. изд. За буквите – о писменехъ. С., 2018, с. 141-164.ISBN 978-619-185-390-8</v>
      </c>
      <c r="F4664" s="10"/>
      <c r="G4664" s="10"/>
      <c r="H4664" s="10"/>
      <c r="I4664" s="10"/>
      <c r="J4664" s="10"/>
      <c r="K4664" s="10"/>
      <c r="L4664" s="10"/>
      <c r="M4664" s="10"/>
      <c r="N4664" s="10"/>
      <c r="O4664" s="10"/>
      <c r="P4664" s="10"/>
      <c r="Q4664" s="10"/>
      <c r="R4664" s="10"/>
      <c r="S4664" s="10"/>
      <c r="T4664" s="10"/>
      <c r="U4664" s="10"/>
      <c r="V4664" s="10"/>
      <c r="W4664" s="10"/>
      <c r="X4664" s="10"/>
      <c r="Y4664" s="10"/>
      <c r="Z4664" s="10"/>
    </row>
    <row r="4665" spans="1:26" ht="12.75">
      <c r="A4665" s="10" t="str">
        <f ca="1">IFERROR(__xludf.DUMMYFUNCTION("""COMPUTED_VALUE"""),"Кристина Иванова Върбанова-Денчева")</f>
        <v>Кристина Иванова Върбанова-Денчева</v>
      </c>
      <c r="B4665" s="10" t="str">
        <f ca="1">IFERROR(__xludf.DUMMYFUNCTION("""COMPUTED_VALUE"""),"Доклад от конференция")</f>
        <v>Доклад от конференция</v>
      </c>
      <c r="C4665" s="10" t="str">
        <f ca="1">IFERROR(__xludf.DUMMYFUNCTION("""COMPUTED_VALUE"""),"Дигитализация на лични колекции на културното наследство – пренос на автентичност във виртуална среда")</f>
        <v>Дигитализация на лични колекции на културното наследство – пренос на автентичност във виртуална среда</v>
      </c>
      <c r="D4665" s="10">
        <f ca="1">IFERROR(__xludf.DUMMYFUNCTION("""COMPUTED_VALUE"""),2018)</f>
        <v>2018</v>
      </c>
      <c r="E4665" s="10" t="str">
        <f ca="1">IFERROR(__xludf.DUMMYFUNCTION("""COMPUTED_VALUE"""),"//Реплики – копия – фалшификати. VI научна конференция по организация, управление и защита на КУН., София, 19 декември 2017 г., Бюлетин , Фондация Арете-Фол, Година VI, бр. 8, 2018. Изд. Земя, 2018. С., с. 82 – 95. ISSN 1314 – 5517.")</f>
        <v>//Реплики – копия – фалшификати. VI научна конференция по организация, управление и защита на КУН., София, 19 декември 2017 г., Бюлетин , Фондация Арете-Фол, Година VI, бр. 8, 2018. Изд. Земя, 2018. С., с. 82 – 95. ISSN 1314 – 5517.</v>
      </c>
      <c r="F4665" s="10"/>
      <c r="G4665" s="10" t="str">
        <f ca="1">IFERROR(__xludf.DUMMYFUNCTION("""COMPUTED_VALUE"""),"Деница Младенова, Агнеса Цветкова")</f>
        <v>Деница Младенова, Агнеса Цветкова</v>
      </c>
      <c r="H4665" s="10"/>
      <c r="I4665" s="10"/>
      <c r="J4665" s="10"/>
      <c r="K4665" s="10"/>
      <c r="L4665" s="10"/>
      <c r="M4665" s="10"/>
      <c r="N4665" s="10"/>
      <c r="O4665" s="10"/>
      <c r="P4665" s="10"/>
      <c r="Q4665" s="10"/>
      <c r="R4665" s="10"/>
      <c r="S4665" s="10"/>
      <c r="T4665" s="10"/>
      <c r="U4665" s="10"/>
      <c r="V4665" s="10"/>
      <c r="W4665" s="10"/>
      <c r="X4665" s="10"/>
      <c r="Y4665" s="10"/>
      <c r="Z4665" s="10"/>
    </row>
    <row r="4666" spans="1:26" ht="12.75">
      <c r="A4666" s="10" t="str">
        <f ca="1">IFERROR(__xludf.DUMMYFUNCTION("""COMPUTED_VALUE"""),"Кристина Иванова Върбанова-Денчева")</f>
        <v>Кристина Иванова Върбанова-Денчева</v>
      </c>
      <c r="B4666" s="10" t="str">
        <f ca="1">IFERROR(__xludf.DUMMYFUNCTION("""COMPUTED_VALUE"""),"Доклад от конференция")</f>
        <v>Доклад от конференция</v>
      </c>
      <c r="C4666" s="10" t="str">
        <f ca="1">IFERROR(__xludf.DUMMYFUNCTION("""COMPUTED_VALUE"""),"Конвергентни модели за информационно осигуряване на научните изследвания и образованието")</f>
        <v>Конвергентни модели за информационно осигуряване на научните изследвания и образованието</v>
      </c>
      <c r="D4666" s="10">
        <f ca="1">IFERROR(__xludf.DUMMYFUNCTION("""COMPUTED_VALUE"""),2018)</f>
        <v>2018</v>
      </c>
      <c r="E4666" s="10" t="str">
        <f ca="1">IFERROR(__xludf.DUMMYFUNCTION("""COMPUTED_VALUE"""),"XIV Национална конференция по е-Образование Дигитални умения за устойчиво е-образование. София, 25 октомври 2018 г. (публикуван в: https://events.ictmedia.bg/event/92#schedule)")</f>
        <v>XIV Национална конференция по е-Образование Дигитални умения за устойчиво е-образование. София, 25 октомври 2018 г. (публикуван в: https://events.ictmedia.bg/event/92#schedule)</v>
      </c>
      <c r="F4666" s="10" t="str">
        <f ca="1">IFERROR(__xludf.DUMMYFUNCTION("""COMPUTED_VALUE"""),"ICT Media, IDG Bulgaria IT Forums")</f>
        <v>ICT Media, IDG Bulgaria IT Forums</v>
      </c>
      <c r="G4666" s="10"/>
      <c r="H4666" s="10"/>
      <c r="I4666" s="10"/>
      <c r="J4666" s="10"/>
      <c r="K4666" s="10"/>
      <c r="L4666" s="10"/>
      <c r="M4666" s="10"/>
      <c r="N4666" s="10"/>
      <c r="O4666" s="10"/>
      <c r="P4666" s="10"/>
      <c r="Q4666" s="10"/>
      <c r="R4666" s="10"/>
      <c r="S4666" s="10"/>
      <c r="T4666" s="10"/>
      <c r="U4666" s="10"/>
      <c r="V4666" s="10"/>
      <c r="W4666" s="10"/>
      <c r="X4666" s="10"/>
      <c r="Y4666" s="10"/>
      <c r="Z4666" s="10"/>
    </row>
    <row r="4667" spans="1:26" ht="12.75">
      <c r="A4667" s="10" t="str">
        <f ca="1">IFERROR(__xludf.DUMMYFUNCTION("""COMPUTED_VALUE"""),"Кристина Иванова Върбанова-Денчева")</f>
        <v>Кристина Иванова Върбанова-Денчева</v>
      </c>
      <c r="B4667" s="10" t="str">
        <f ca="1">IFERROR(__xludf.DUMMYFUNCTION("""COMPUTED_VALUE"""),"Статия в списания и поредици")</f>
        <v>Статия в списания и поредици</v>
      </c>
      <c r="C4667" s="10" t="str">
        <f ca="1">IFERROR(__xludf.DUMMYFUNCTION("""COMPUTED_VALUE"""),"За будителството")</f>
        <v>За будителството</v>
      </c>
      <c r="D4667" s="10">
        <f ca="1">IFERROR(__xludf.DUMMYFUNCTION("""COMPUTED_VALUE"""),2018)</f>
        <v>2018</v>
      </c>
      <c r="E4667" s="10" t="str">
        <f ca="1">IFERROR(__xludf.DUMMYFUNCTION("""COMPUTED_VALUE"""),"За буквите – о писменехъ : Кирило-методиевски вестник. Изд. За буквите – о писменехъ. Година ХХХVIII, бр. 56/ ноември, 2018, С., с. 14.")</f>
        <v>За буквите – о писменехъ : Кирило-методиевски вестник. Изд. За буквите – о писменехъ. Година ХХХVIII, бр. 56/ ноември, 2018, С., с. 14.</v>
      </c>
      <c r="F4667" s="28" t="str">
        <f ca="1">IFERROR(__xludf.DUMMYFUNCTION("""COMPUTED_VALUE"""),"www.zabukvite.org")</f>
        <v>www.zabukvite.org</v>
      </c>
      <c r="G4667" s="10"/>
      <c r="H4667" s="10"/>
      <c r="I4667" s="10"/>
      <c r="J4667" s="10"/>
      <c r="K4667" s="10"/>
      <c r="L4667" s="10"/>
      <c r="M4667" s="10"/>
      <c r="N4667" s="10"/>
      <c r="O4667" s="10"/>
      <c r="P4667" s="10"/>
      <c r="Q4667" s="10"/>
      <c r="R4667" s="10"/>
      <c r="S4667" s="10"/>
      <c r="T4667" s="10"/>
      <c r="U4667" s="10"/>
      <c r="V4667" s="10"/>
      <c r="W4667" s="10"/>
      <c r="X4667" s="10"/>
      <c r="Y4667" s="10"/>
      <c r="Z4667" s="10"/>
    </row>
    <row r="4668" spans="1:26" ht="12.75">
      <c r="A4668" s="10" t="str">
        <f ca="1">IFERROR(__xludf.DUMMYFUNCTION("""COMPUTED_VALUE"""),"Кристина Иванова Върбанова-Денчева")</f>
        <v>Кристина Иванова Върбанова-Денчева</v>
      </c>
      <c r="B4668" s="10" t="str">
        <f ca="1">IFERROR(__xludf.DUMMYFUNCTION("""COMPUTED_VALUE"""),"Доклад от конференция")</f>
        <v>Доклад от конференция</v>
      </c>
      <c r="C4668" s="10" t="str">
        <f ca="1">IFERROR(__xludf.DUMMYFUNCTION("""COMPUTED_VALUE"""),"Конвергирана медийна среда и образователен контент – предизвикателствата за подготовка на библиотечно-информационни и медийни специалисти в УниБИТ.")</f>
        <v>Конвергирана медийна среда и образователен контент – предизвикателствата за подготовка на библиотечно-информационни и медийни специалисти в УниБИТ.</v>
      </c>
      <c r="D4668" s="10">
        <f ca="1">IFERROR(__xludf.DUMMYFUNCTION("""COMPUTED_VALUE"""),2017)</f>
        <v>2017</v>
      </c>
      <c r="E4668" s="10" t="str">
        <f ca="1">IFERROR(__xludf.DUMMYFUNCTION("""COMPUTED_VALUE"""),"// Съвременни измерения на европейското образователно и научно пространство. Българо-гръцки културни общувания. Сб. докл. ХI Межд. пътуващ семинар на УниБИТ, Солун, Гърция, юни 2017. Изд. За буквите – О писменехъ, С., 2017, Т. 5, с. 9 – 28. ISSN 2367-7988"&amp;".")</f>
        <v>// Съвременни измерения на европейското образователно и научно пространство. Българо-гръцки културни общувания. Сб. докл. ХI Межд. пътуващ семинар на УниБИТ, Солун, Гърция, юни 2017. Изд. За буквите – О писменехъ, С., 2017, Т. 5, с. 9 – 28. ISSN 2367-7988.</v>
      </c>
      <c r="F4668" s="10"/>
      <c r="G4668" s="10"/>
      <c r="H4668" s="10"/>
      <c r="I4668" s="10"/>
      <c r="J4668" s="10"/>
      <c r="K4668" s="10"/>
      <c r="L4668" s="10"/>
      <c r="M4668" s="10"/>
      <c r="N4668" s="10"/>
      <c r="O4668" s="10"/>
      <c r="P4668" s="10"/>
      <c r="Q4668" s="10"/>
      <c r="R4668" s="10"/>
      <c r="S4668" s="10"/>
      <c r="T4668" s="10"/>
      <c r="U4668" s="10"/>
      <c r="V4668" s="10"/>
      <c r="W4668" s="10"/>
      <c r="X4668" s="10"/>
      <c r="Y4668" s="10"/>
      <c r="Z4668" s="10"/>
    </row>
    <row r="4669" spans="1:26" ht="12.75">
      <c r="A4669" s="10" t="str">
        <f ca="1">IFERROR(__xludf.DUMMYFUNCTION("""COMPUTED_VALUE"""),"Кристина Иванова Върбанова-Денчева")</f>
        <v>Кристина Иванова Върбанова-Денчева</v>
      </c>
      <c r="B4669" s="10" t="str">
        <f ca="1">IFERROR(__xludf.DUMMYFUNCTION("""COMPUTED_VALUE"""),"Доклад от конференция")</f>
        <v>Доклад от конференция</v>
      </c>
      <c r="C4669" s="10" t="str">
        <f ca="1">IFERROR(__xludf.DUMMYFUNCTION("""COMPUTED_VALUE"""),"Дигиталната идентичност и „краудсорсинга” – образователни технологии за бъдещето.")</f>
        <v>Дигиталната идентичност и „краудсорсинга” – образователни технологии за бъдещето.</v>
      </c>
      <c r="D4669" s="10">
        <f ca="1">IFERROR(__xludf.DUMMYFUNCTION("""COMPUTED_VALUE"""),2017)</f>
        <v>2017</v>
      </c>
      <c r="E4669" s="10" t="str">
        <f ca="1">IFERROR(__xludf.DUMMYFUNCTION("""COMPUTED_VALUE"""),"// Обществото на знанието и хуманизмът на ХХІ век. Сб. докл. ХIV Нац. науч. конф. с межд. участие, 1 ноември 2016. С. Изд. За буквите – О писменехъ, 2017. с. 56 - 64. ISSN 1314-7099.")</f>
        <v>// Обществото на знанието и хуманизмът на ХХІ век. Сб. докл. ХIV Нац. науч. конф. с межд. участие, 1 ноември 2016. С. Изд. За буквите – О писменехъ, 2017. с. 56 - 64. ISSN 1314-7099.</v>
      </c>
      <c r="F4669" s="10"/>
      <c r="G4669" s="10"/>
      <c r="H4669" s="10"/>
      <c r="I4669" s="10"/>
      <c r="J4669" s="10"/>
      <c r="K4669" s="10"/>
      <c r="L4669" s="10"/>
      <c r="M4669" s="10"/>
      <c r="N4669" s="10"/>
      <c r="O4669" s="10"/>
      <c r="P4669" s="10"/>
      <c r="Q4669" s="10"/>
      <c r="R4669" s="10"/>
      <c r="S4669" s="10"/>
      <c r="T4669" s="10"/>
      <c r="U4669" s="10"/>
      <c r="V4669" s="10"/>
      <c r="W4669" s="10"/>
      <c r="X4669" s="10"/>
      <c r="Y4669" s="10"/>
      <c r="Z4669" s="10"/>
    </row>
    <row r="4670" spans="1:26" ht="12.75">
      <c r="A4670" s="10" t="str">
        <f ca="1">IFERROR(__xludf.DUMMYFUNCTION("""COMPUTED_VALUE"""),"Кристина Иванова Върбанова-Денчева")</f>
        <v>Кристина Иванова Върбанова-Денчева</v>
      </c>
      <c r="B4670" s="10" t="str">
        <f ca="1">IFERROR(__xludf.DUMMYFUNCTION("""COMPUTED_VALUE"""),"Доклад от конференция")</f>
        <v>Доклад от конференция</v>
      </c>
      <c r="C4670" s="10" t="str">
        <f ca="1">IFERROR(__xludf.DUMMYFUNCTION("""COMPUTED_VALUE"""),"Дигиталният гражданин и образованието в икономиката на знанието.")</f>
        <v>Дигиталният гражданин и образованието в икономиката на знанието.</v>
      </c>
      <c r="D4670" s="10">
        <f ca="1">IFERROR(__xludf.DUMMYFUNCTION("""COMPUTED_VALUE"""),2017)</f>
        <v>2017</v>
      </c>
      <c r="E4670" s="10" t="str">
        <f ca="1">IFERROR(__xludf.DUMMYFUNCTION("""COMPUTED_VALUE"""),"// Обществото на знанието и хуманизмът на ХХІ век. Сб. Докл. ХІІІ Нац. научна конф. с межд. уч., 1 ноември 2015, София. Изд. За буквите – О писменехъ, С., 2016 с. 64 – 78. ISSN 1314-7099.")</f>
        <v>// Обществото на знанието и хуманизмът на ХХІ век. Сб. Докл. ХІІІ Нац. научна конф. с межд. уч., 1 ноември 2015, София. Изд. За буквите – О писменехъ, С., 2016 с. 64 – 78. ISSN 1314-7099.</v>
      </c>
      <c r="F4670" s="10"/>
      <c r="G4670" s="10" t="str">
        <f ca="1">IFERROR(__xludf.DUMMYFUNCTION("""COMPUTED_VALUE"""),"Петева, Ирена")</f>
        <v>Петева, Ирена</v>
      </c>
      <c r="H4670" s="10"/>
      <c r="I4670" s="10"/>
      <c r="J4670" s="10"/>
      <c r="K4670" s="10"/>
      <c r="L4670" s="10"/>
      <c r="M4670" s="10"/>
      <c r="N4670" s="10"/>
      <c r="O4670" s="10"/>
      <c r="P4670" s="10"/>
      <c r="Q4670" s="10"/>
      <c r="R4670" s="10"/>
      <c r="S4670" s="10"/>
      <c r="T4670" s="10"/>
      <c r="U4670" s="10"/>
      <c r="V4670" s="10"/>
      <c r="W4670" s="10"/>
      <c r="X4670" s="10"/>
      <c r="Y4670" s="10"/>
      <c r="Z4670" s="10"/>
    </row>
    <row r="4671" spans="1:26" ht="12.75">
      <c r="A4671" s="10" t="str">
        <f ca="1">IFERROR(__xludf.DUMMYFUNCTION("""COMPUTED_VALUE"""),"Кристина Иванова Върбанова-Денчева")</f>
        <v>Кристина Иванова Върбанова-Денчева</v>
      </c>
      <c r="B4671" s="10" t="str">
        <f ca="1">IFERROR(__xludf.DUMMYFUNCTION("""COMPUTED_VALUE"""),"Доклад от конференция")</f>
        <v>Доклад от конференция</v>
      </c>
      <c r="C4671" s="10" t="str">
        <f ca="1">IFERROR(__xludf.DUMMYFUNCTION("""COMPUTED_VALUE"""),"Личните дигитални архиви на културното наследство и автентичността в „тъмната страна“ на дигитализацията.")</f>
        <v>Личните дигитални архиви на културното наследство и автентичността в „тъмната страна“ на дигитализацията.</v>
      </c>
      <c r="D4671" s="10">
        <f ca="1">IFERROR(__xludf.DUMMYFUNCTION("""COMPUTED_VALUE"""),2017)</f>
        <v>2017</v>
      </c>
      <c r="E4671" s="10" t="str">
        <f ca="1">IFERROR(__xludf.DUMMYFUNCTION("""COMPUTED_VALUE"""),"// Образованието и изследванията в информационното общество. Сб. докл. Х Нац. конф. на АРИО с межд. уч. (22 – 23 юни 2017 г., Пловдив). Изд. АРИО, Пловдив, 2017, с. 97 -111. ISSN 1314-0752.")</f>
        <v>// Образованието и изследванията в информационното общество. Сб. докл. Х Нац. конф. на АРИО с межд. уч. (22 – 23 юни 2017 г., Пловдив). Изд. АРИО, Пловдив, 2017, с. 97 -111. ISSN 1314-0752.</v>
      </c>
      <c r="F4671" s="10"/>
      <c r="G4671" s="10" t="str">
        <f ca="1">IFERROR(__xludf.DUMMYFUNCTION("""COMPUTED_VALUE"""),"Деница Младенова")</f>
        <v>Деница Младенова</v>
      </c>
      <c r="H4671" s="10"/>
      <c r="I4671" s="10"/>
      <c r="J4671" s="10"/>
      <c r="K4671" s="10"/>
      <c r="L4671" s="10"/>
      <c r="M4671" s="10"/>
      <c r="N4671" s="10"/>
      <c r="O4671" s="10"/>
      <c r="P4671" s="10"/>
      <c r="Q4671" s="10"/>
      <c r="R4671" s="10"/>
      <c r="S4671" s="10"/>
      <c r="T4671" s="10"/>
      <c r="U4671" s="10"/>
      <c r="V4671" s="10"/>
      <c r="W4671" s="10"/>
      <c r="X4671" s="10"/>
      <c r="Y4671" s="10"/>
      <c r="Z4671" s="10"/>
    </row>
    <row r="4672" spans="1:26" ht="12.75">
      <c r="A4672" s="10" t="str">
        <f ca="1">IFERROR(__xludf.DUMMYFUNCTION("""COMPUTED_VALUE"""),"Кристина Иванова Върбанова-Денчева")</f>
        <v>Кристина Иванова Върбанова-Денчева</v>
      </c>
      <c r="B4672" s="10" t="str">
        <f ca="1">IFERROR(__xludf.DUMMYFUNCTION("""COMPUTED_VALUE"""),"Статия в списания и поредици")</f>
        <v>Статия в списания и поредици</v>
      </c>
      <c r="C4672" s="10" t="str">
        <f ca="1">IFERROR(__xludf.DUMMYFUNCTION("""COMPUTED_VALUE"""),"Обществото на знанието на ХХI век")</f>
        <v>Обществото на знанието на ХХI век</v>
      </c>
      <c r="D4672" s="10">
        <f ca="1">IFERROR(__xludf.DUMMYFUNCTION("""COMPUTED_VALUE"""),2017)</f>
        <v>2017</v>
      </c>
      <c r="E4672" s="10" t="str">
        <f ca="1">IFERROR(__xludf.DUMMYFUNCTION("""COMPUTED_VALUE"""),"За буквите – о писменехъ : Кирило-методиевски вестник. Изд. За буквите – о писменехъ. Бр. 52/ноември, 2017, С., с. 15.")</f>
        <v>За буквите – о писменехъ : Кирило-методиевски вестник. Изд. За буквите – о писменехъ. Бр. 52/ноември, 2017, С., с. 15.</v>
      </c>
      <c r="F4672" s="28" t="str">
        <f ca="1">IFERROR(__xludf.DUMMYFUNCTION("""COMPUTED_VALUE"""),"www.zabukvite.org")</f>
        <v>www.zabukvite.org</v>
      </c>
      <c r="G4672" s="10"/>
      <c r="H4672" s="10"/>
      <c r="I4672" s="10"/>
      <c r="J4672" s="10"/>
      <c r="K4672" s="10"/>
      <c r="L4672" s="10"/>
      <c r="M4672" s="10"/>
      <c r="N4672" s="10"/>
      <c r="O4672" s="10"/>
      <c r="P4672" s="10"/>
      <c r="Q4672" s="10"/>
      <c r="R4672" s="10"/>
      <c r="S4672" s="10"/>
      <c r="T4672" s="10"/>
      <c r="U4672" s="10"/>
      <c r="V4672" s="10"/>
      <c r="W4672" s="10"/>
      <c r="X4672" s="10"/>
      <c r="Y4672" s="10"/>
      <c r="Z4672" s="10"/>
    </row>
    <row r="4673" spans="1:26" ht="12.75">
      <c r="A4673" s="10" t="str">
        <f ca="1">IFERROR(__xludf.DUMMYFUNCTION("""COMPUTED_VALUE"""),"Кристина Иванова Върбанова-Денчева")</f>
        <v>Кристина Иванова Върбанова-Денчева</v>
      </c>
      <c r="B4673" s="10" t="str">
        <f ca="1">IFERROR(__xludf.DUMMYFUNCTION("""COMPUTED_VALUE"""),"Доклад от конференция")</f>
        <v>Доклад от конференция</v>
      </c>
      <c r="C4673" s="10" t="str">
        <f ca="1">IFERROR(__xludf.DUMMYFUNCTION("""COMPUTED_VALUE"""),"Новите образователни модели – добрите практики на УниБИТ и предизвикателствата на „Европа 2020“")</f>
        <v>Новите образователни модели – добрите практики на УниБИТ и предизвикателствата на „Европа 2020“</v>
      </c>
      <c r="D4673" s="10">
        <f ca="1">IFERROR(__xludf.DUMMYFUNCTION("""COMPUTED_VALUE"""),2016)</f>
        <v>2016</v>
      </c>
      <c r="E4673" s="10" t="str">
        <f ca="1">IFERROR(__xludf.DUMMYFUNCTION("""COMPUTED_VALUE"""),"Икономическо благосъстояние чрез споделяне на знания. Сб. докл. Межд. научна конф., Сб. докл по тематично направление Икономика, държава, общество. (9 - 10 ноември 2016 г., Свищов), Акад. Изд. Ценов, Свищов, 2016, Т. 1, с. 107-115. ISSN 978-954-23-1185-0.")</f>
        <v>Икономическо благосъстояние чрез споделяне на знания. Сб. докл. Межд. научна конф., Сб. докл по тематично направление Икономика, държава, общество. (9 - 10 ноември 2016 г., Свищов), Акад. Изд. Ценов, Свищов, 2016, Т. 1, с. 107-115. ISSN 978-954-23-1185-0.</v>
      </c>
      <c r="F4673" s="10" t="str">
        <f ca="1">IFERROR(__xludf.DUMMYFUNCTION("""COMPUTED_VALUE"""),"1. D.A.Tsenov Academy of Economics - Digital Library (https://dlib.uni-svishtov.bg/)
 2. Google Наука")</f>
        <v>1. D.A.Tsenov Academy of Economics - Digital Library (https://dlib.uni-svishtov.bg/)
 2. Google Наука</v>
      </c>
      <c r="G4673" s="10" t="str">
        <f ca="1">IFERROR(__xludf.DUMMYFUNCTION("""COMPUTED_VALUE"""),"Иванка Янкова")</f>
        <v>Иванка Янкова</v>
      </c>
      <c r="H4673" s="10"/>
      <c r="I4673" s="10"/>
      <c r="J4673" s="10"/>
      <c r="K4673" s="10"/>
      <c r="L4673" s="10"/>
      <c r="M4673" s="10"/>
      <c r="N4673" s="10"/>
      <c r="O4673" s="10"/>
      <c r="P4673" s="10"/>
      <c r="Q4673" s="10"/>
      <c r="R4673" s="10"/>
      <c r="S4673" s="10"/>
      <c r="T4673" s="10"/>
      <c r="U4673" s="10"/>
      <c r="V4673" s="10"/>
      <c r="W4673" s="10"/>
      <c r="X4673" s="10"/>
      <c r="Y4673" s="10"/>
      <c r="Z4673" s="10"/>
    </row>
    <row r="4674" spans="1:26" ht="12.75">
      <c r="A4674" s="10" t="str">
        <f ca="1">IFERROR(__xludf.DUMMYFUNCTION("""COMPUTED_VALUE"""),"Кристина Иванова Върбанова-Денчева")</f>
        <v>Кристина Иванова Върбанова-Денчева</v>
      </c>
      <c r="B4674" s="10" t="str">
        <f ca="1">IFERROR(__xludf.DUMMYFUNCTION("""COMPUTED_VALUE"""),"Статия в списания и поредици")</f>
        <v>Статия в списания и поредици</v>
      </c>
      <c r="C4674" s="10" t="str">
        <f ca="1">IFERROR(__xludf.DUMMYFUNCTION("""COMPUTED_VALUE"""),"Монография с научна и приложна стойност - „Дизайн на книгата” от Веселина Вълканова.")</f>
        <v>Монография с научна и приложна стойност - „Дизайн на книгата” от Веселина Вълканова.</v>
      </c>
      <c r="D4674" s="10">
        <f ca="1">IFERROR(__xludf.DUMMYFUNCTION("""COMPUTED_VALUE"""),2016)</f>
        <v>2016</v>
      </c>
      <c r="E4674" s="10" t="str">
        <f ca="1">IFERROR(__xludf.DUMMYFUNCTION("""COMPUTED_VALUE"""),"// Полиграфия, бр. 2, София, Изд. ПринтПублишинг, ДЕМАКС, 2016, с. 18 – 24. ISSN 0204-9953.")</f>
        <v>// Полиграфия, бр. 2, София, Изд. ПринтПублишинг, ДЕМАКС, 2016, с. 18 – 24. ISSN 0204-9953.</v>
      </c>
      <c r="F4674" s="10"/>
      <c r="G4674" s="10"/>
      <c r="H4674" s="10"/>
      <c r="I4674" s="10"/>
      <c r="J4674" s="10"/>
      <c r="K4674" s="10"/>
      <c r="L4674" s="10"/>
      <c r="M4674" s="10"/>
      <c r="N4674" s="10"/>
      <c r="O4674" s="10"/>
      <c r="P4674" s="10"/>
      <c r="Q4674" s="10"/>
      <c r="R4674" s="10"/>
      <c r="S4674" s="10"/>
      <c r="T4674" s="10"/>
      <c r="U4674" s="10"/>
      <c r="V4674" s="10"/>
      <c r="W4674" s="10"/>
      <c r="X4674" s="10"/>
      <c r="Y4674" s="10"/>
      <c r="Z4674" s="10"/>
    </row>
    <row r="4675" spans="1:26" ht="12.75">
      <c r="A4675" s="10" t="str">
        <f ca="1">IFERROR(__xludf.DUMMYFUNCTION("""COMPUTED_VALUE"""),"Кристина Иванова Върбанова-Денчева")</f>
        <v>Кристина Иванова Върбанова-Денчева</v>
      </c>
      <c r="B4675" s="10" t="str">
        <f ca="1">IFERROR(__xludf.DUMMYFUNCTION("""COMPUTED_VALUE"""),"Доклад от конференция")</f>
        <v>Доклад от конференция</v>
      </c>
      <c r="C4675" s="10" t="str">
        <f ca="1">IFERROR(__xludf.DUMMYFUNCTION("""COMPUTED_VALUE"""),"Библиотечни информационни ресурси на Унгария в web-пространството и традиции в българо-унгарския информационен обмен")</f>
        <v>Библиотечни информационни ресурси на Унгария в web-пространството и традиции в българо-унгарския информационен обмен</v>
      </c>
      <c r="D4675" s="10">
        <f ca="1">IFERROR(__xludf.DUMMYFUNCTION("""COMPUTED_VALUE"""),2016)</f>
        <v>2016</v>
      </c>
      <c r="E4675" s="10" t="str">
        <f ca="1">IFERROR(__xludf.DUMMYFUNCTION("""COMPUTED_VALUE"""),"За буквите-О писменехь")</f>
        <v>За буквите-О писменехь</v>
      </c>
      <c r="F4675" s="10"/>
      <c r="G4675" s="10" t="str">
        <f ca="1">IFERROR(__xludf.DUMMYFUNCTION("""COMPUTED_VALUE"""),"Пламена Златкова")</f>
        <v>Пламена Златкова</v>
      </c>
      <c r="H4675" s="10"/>
      <c r="I4675" s="10"/>
      <c r="J4675" s="10"/>
      <c r="K4675" s="10"/>
      <c r="L4675" s="10"/>
      <c r="M4675" s="10"/>
      <c r="N4675" s="10"/>
      <c r="O4675" s="10"/>
      <c r="P4675" s="10"/>
      <c r="Q4675" s="10"/>
      <c r="R4675" s="10"/>
      <c r="S4675" s="10"/>
      <c r="T4675" s="10"/>
      <c r="U4675" s="10"/>
      <c r="V4675" s="10"/>
      <c r="W4675" s="10"/>
      <c r="X4675" s="10"/>
      <c r="Y4675" s="10"/>
      <c r="Z4675" s="10"/>
    </row>
    <row r="4676" spans="1:26" ht="12.75">
      <c r="A4676" s="10" t="str">
        <f ca="1">IFERROR(__xludf.DUMMYFUNCTION("""COMPUTED_VALUE"""),"Кристина Иванова Върбанова-Денчева")</f>
        <v>Кристина Иванова Върбанова-Денчева</v>
      </c>
      <c r="B4676" s="10" t="str">
        <f ca="1">IFERROR(__xludf.DUMMYFUNCTION("""COMPUTED_VALUE"""),"Доклад от конференция")</f>
        <v>Доклад от конференция</v>
      </c>
      <c r="C4676" s="10" t="str">
        <f ca="1">IFERROR(__xludf.DUMMYFUNCTION("""COMPUTED_VALUE"""),"Библиотечни информационни ресурси на Унгария в уебпространството и традиции в българо-унгарския информационен обмен.")</f>
        <v>Библиотечни информационни ресурси на Унгария в уебпространството и традиции в българо-унгарския информационен обмен.</v>
      </c>
      <c r="D4676" s="10">
        <f ca="1">IFERROR(__xludf.DUMMYFUNCTION("""COMPUTED_VALUE"""),2016)</f>
        <v>2016</v>
      </c>
      <c r="E4676" s="10" t="str">
        <f ca="1">IFERROR(__xludf.DUMMYFUNCTION("""COMPUTED_VALUE"""),"Съвременни измерения на европейското образователно и научно пространство. Сб. докл. Том 3, Межд. научен пътуващ семинар на УниБИТ, 30 май – 5 юни,20145, Будапеща, Унгария. Изд. За буквите – О писменехъ, 2016, С., с. 111 – 119. ISSN 2367 - 7988")</f>
        <v>Съвременни измерения на европейското образователно и научно пространство. Сб. докл. Том 3, Межд. научен пътуващ семинар на УниБИТ, 30 май – 5 юни,20145, Будапеща, Унгария. Изд. За буквите – О писменехъ, 2016, С., с. 111 – 119. ISSN 2367 - 7988</v>
      </c>
      <c r="F4676" s="10"/>
      <c r="G4676" s="10" t="str">
        <f ca="1">IFERROR(__xludf.DUMMYFUNCTION("""COMPUTED_VALUE"""),"Пламена Златкова")</f>
        <v>Пламена Златкова</v>
      </c>
      <c r="H4676" s="10"/>
      <c r="I4676" s="10"/>
      <c r="J4676" s="10"/>
      <c r="K4676" s="10"/>
      <c r="L4676" s="10"/>
      <c r="M4676" s="10"/>
      <c r="N4676" s="10"/>
      <c r="O4676" s="10"/>
      <c r="P4676" s="10"/>
      <c r="Q4676" s="10"/>
      <c r="R4676" s="10"/>
      <c r="S4676" s="10"/>
      <c r="T4676" s="10"/>
      <c r="U4676" s="10"/>
      <c r="V4676" s="10"/>
      <c r="W4676" s="10"/>
      <c r="X4676" s="10"/>
      <c r="Y4676" s="10"/>
      <c r="Z4676" s="10"/>
    </row>
    <row r="4677" spans="1:26" ht="12.75">
      <c r="A4677" s="10" t="str">
        <f ca="1">IFERROR(__xludf.DUMMYFUNCTION("""COMPUTED_VALUE"""),"Кристина Иванова Върбанова-Денчева")</f>
        <v>Кристина Иванова Върбанова-Денчева</v>
      </c>
      <c r="B4677" s="10" t="str">
        <f ca="1">IFERROR(__xludf.DUMMYFUNCTION("""COMPUTED_VALUE"""),"Статия в списания и поредици")</f>
        <v>Статия в списания и поредици</v>
      </c>
      <c r="C4677" s="10" t="str">
        <f ca="1">IFERROR(__xludf.DUMMYFUNCTION("""COMPUTED_VALUE"""),"Integrated Environment for E-Learning at SULSIT – Models for the Creation and Exchange of Educational Content (actualized paper version)")</f>
        <v>Integrated Environment for E-Learning at SULSIT – Models for the Creation and Exchange of Educational Content (actualized paper version)</v>
      </c>
      <c r="D4677" s="10">
        <f ca="1">IFERROR(__xludf.DUMMYFUNCTION("""COMPUTED_VALUE"""),2015)</f>
        <v>2015</v>
      </c>
      <c r="E4677" s="10" t="str">
        <f ca="1">IFERROR(__xludf.DUMMYFUNCTION("""COMPUTED_VALUE"""),"Съвременни измерения на европейското образователно и научно пространство : сборник с доклади = Modern dimensions in European education and research area ISSN: 2367-7988.- T. 3 (2015), s. 337-345")</f>
        <v>Съвременни измерения на европейското образователно и научно пространство : сборник с доклади = Modern dimensions in European education and research area ISSN: 2367-7988.- T. 3 (2015), s. 337-345</v>
      </c>
      <c r="F4677" s="10"/>
      <c r="G4677" s="10" t="str">
        <f ca="1">IFERROR(__xludf.DUMMYFUNCTION("""COMPUTED_VALUE"""),"Ирена Петева, Стоян Денчев")</f>
        <v>Ирена Петева, Стоян Денчев</v>
      </c>
      <c r="H4677" s="10"/>
      <c r="I4677" s="10"/>
      <c r="J4677" s="10"/>
      <c r="K4677" s="10"/>
      <c r="L4677" s="10"/>
      <c r="M4677" s="10"/>
      <c r="N4677" s="10"/>
      <c r="O4677" s="10"/>
      <c r="P4677" s="10"/>
      <c r="Q4677" s="10"/>
      <c r="R4677" s="10"/>
      <c r="S4677" s="10"/>
      <c r="T4677" s="10"/>
      <c r="U4677" s="10"/>
      <c r="V4677" s="10"/>
      <c r="W4677" s="10"/>
      <c r="X4677" s="10"/>
      <c r="Y4677" s="10"/>
      <c r="Z4677" s="10"/>
    </row>
    <row r="4678" spans="1:26" ht="12.75">
      <c r="A4678" s="10" t="str">
        <f ca="1">IFERROR(__xludf.DUMMYFUNCTION("""COMPUTED_VALUE"""),"Кристина Иванова Върбанова-Денчева")</f>
        <v>Кристина Иванова Върбанова-Денчева</v>
      </c>
      <c r="B4678" s="10" t="str">
        <f ca="1">IFERROR(__xludf.DUMMYFUNCTION("""COMPUTED_VALUE"""),"Доклад от конференция")</f>
        <v>Доклад от конференция</v>
      </c>
      <c r="C4678" s="10" t="str">
        <f ca="1">IFERROR(__xludf.DUMMYFUNCTION("""COMPUTED_VALUE"""),"Мениджмънт на знания и мениджмънт на образователни технологии – един успешен модел в България")</f>
        <v>Мениджмънт на знания и мениджмънт на образователни технологии – един успешен модел в България</v>
      </c>
      <c r="D4678" s="10">
        <f ca="1">IFERROR(__xludf.DUMMYFUNCTION("""COMPUTED_VALUE"""),2015)</f>
        <v>2015</v>
      </c>
      <c r="E4678" s="10" t="str">
        <f ca="1">IFERROR(__xludf.DUMMYFUNCTION("""COMPUTED_VALUE"""),"Cogito Ergo Sum. Юбилеен сб. Проф. С. Денчев на 60. Съставители Димитър Иванов и Нели Костова. Изд. За буквите – О писменехъ, 2013, С., с. 62 – 67. ISBN 987-954-2946-58-8.")</f>
        <v>Cogito Ergo Sum. Юбилеен сб. Проф. С. Денчев на 60. Съставители Димитър Иванов и Нели Костова. Изд. За буквите – О писменехъ, 2013, С., с. 62 – 67. ISBN 987-954-2946-58-8.</v>
      </c>
      <c r="F4678" s="10"/>
      <c r="G4678" s="10"/>
      <c r="H4678" s="10"/>
      <c r="I4678" s="10"/>
      <c r="J4678" s="10"/>
      <c r="K4678" s="10"/>
      <c r="L4678" s="10"/>
      <c r="M4678" s="10"/>
      <c r="N4678" s="10"/>
      <c r="O4678" s="10"/>
      <c r="P4678" s="10"/>
      <c r="Q4678" s="10"/>
      <c r="R4678" s="10"/>
      <c r="S4678" s="10"/>
      <c r="T4678" s="10"/>
      <c r="U4678" s="10"/>
      <c r="V4678" s="10"/>
      <c r="W4678" s="10"/>
      <c r="X4678" s="10"/>
      <c r="Y4678" s="10"/>
      <c r="Z4678" s="10"/>
    </row>
    <row r="4679" spans="1:26" ht="12.75">
      <c r="A4679" s="10" t="str">
        <f ca="1">IFERROR(__xludf.DUMMYFUNCTION("""COMPUTED_VALUE"""),"Кристина Иванова Върбанова-Денчева")</f>
        <v>Кристина Иванова Върбанова-Денчева</v>
      </c>
      <c r="B4679" s="10" t="str">
        <f ca="1">IFERROR(__xludf.DUMMYFUNCTION("""COMPUTED_VALUE"""),"Статия в списания и поредици")</f>
        <v>Статия в списания и поредици</v>
      </c>
      <c r="C4679" s="10" t="str">
        <f ca="1">IFERROR(__xludf.DUMMYFUNCTION("""COMPUTED_VALUE"""),"Монография с научна и приложна стойност - „Дизайн на книгата” от Веселина Вълканова.")</f>
        <v>Монография с научна и приложна стойност - „Дизайн на книгата” от Веселина Вълканова.</v>
      </c>
      <c r="D4679" s="10">
        <f ca="1">IFERROR(__xludf.DUMMYFUNCTION("""COMPUTED_VALUE"""),2015)</f>
        <v>2015</v>
      </c>
      <c r="E4679" s="10" t="str">
        <f ca="1">IFERROR(__xludf.DUMMYFUNCTION("""COMPUTED_VALUE"""),"Издател : научно списание за книгата ISSN: 1310-4624.- God. 16, br. 3/4 (2014), s. 42-44. Рецензия за кн.: Дизайн на книгата : комуникационни и композиционни парадигми на традиционните и модерните типографски стилове / Веселина Вълканова. - София : Унив. "&amp;"изд. ""Св. Климент Охридски"", 2014")</f>
        <v>Издател : научно списание за книгата ISSN: 1310-4624.- God. 16, br. 3/4 (2014), s. 42-44. Рецензия за кн.: Дизайн на книгата : комуникационни и композиционни парадигми на традиционните и модерните типографски стилове / Веселина Вълканова. - София : Унив. изд. "Св. Климент Охридски", 2014</v>
      </c>
      <c r="F4679" s="10"/>
      <c r="G4679" s="10"/>
      <c r="H4679" s="10"/>
      <c r="I4679" s="10"/>
      <c r="J4679" s="10"/>
      <c r="K4679" s="10"/>
      <c r="L4679" s="10"/>
      <c r="M4679" s="10"/>
      <c r="N4679" s="10"/>
      <c r="O4679" s="10"/>
      <c r="P4679" s="10"/>
      <c r="Q4679" s="10"/>
      <c r="R4679" s="10"/>
      <c r="S4679" s="10"/>
      <c r="T4679" s="10"/>
      <c r="U4679" s="10"/>
      <c r="V4679" s="10"/>
      <c r="W4679" s="10"/>
      <c r="X4679" s="10"/>
      <c r="Y4679" s="10"/>
      <c r="Z4679" s="10"/>
    </row>
    <row r="4680" spans="1:26" ht="12.75">
      <c r="A4680" s="10" t="str">
        <f ca="1">IFERROR(__xludf.DUMMYFUNCTION("""COMPUTED_VALUE"""),"Кристина Иванова Върбанова-Денчева")</f>
        <v>Кристина Иванова Върбанова-Денчева</v>
      </c>
      <c r="B4680" s="10" t="str">
        <f ca="1">IFERROR(__xludf.DUMMYFUNCTION("""COMPUTED_VALUE"""),"Доклад от конференция")</f>
        <v>Доклад от конференция</v>
      </c>
      <c r="C4680" s="10" t="str">
        <f ca="1">IFERROR(__xludf.DUMMYFUNCTION("""COMPUTED_VALUE"""),"Създаване на дигитални ресурси на книжовното наследство като елемент от учебното съдържание на бакалавърските и магистърските програми на УниБИТ.")</f>
        <v>Създаване на дигитални ресурси на книжовното наследство като елемент от учебното съдържание на бакалавърските и магистърските програми на УниБИТ.</v>
      </c>
      <c r="D4680" s="10">
        <f ca="1">IFERROR(__xludf.DUMMYFUNCTION("""COMPUTED_VALUE"""),2015)</f>
        <v>2015</v>
      </c>
      <c r="E4680" s="10" t="str">
        <f ca="1">IFERROR(__xludf.DUMMYFUNCTION("""COMPUTED_VALUE"""),"// Нови информационни технологии в образователния процес. Сб. докл. (Научен семинар на УниБИТ, Камчия, 2014). Изд. За буквите – о писменехъ. С., 2015, с. 17 – 27. ISSN 1313-2768.")</f>
        <v>// Нови информационни технологии в образователния процес. Сб. докл. (Научен семинар на УниБИТ, Камчия, 2014). Изд. За буквите – о писменехъ. С., 2015, с. 17 – 27. ISSN 1313-2768.</v>
      </c>
      <c r="F4680" s="10"/>
      <c r="G4680" s="10" t="str">
        <f ca="1">IFERROR(__xludf.DUMMYFUNCTION("""COMPUTED_VALUE"""),"Калина Минчева")</f>
        <v>Калина Минчева</v>
      </c>
      <c r="H4680" s="10"/>
      <c r="I4680" s="10"/>
      <c r="J4680" s="10"/>
      <c r="K4680" s="10"/>
      <c r="L4680" s="10"/>
      <c r="M4680" s="10"/>
      <c r="N4680" s="10"/>
      <c r="O4680" s="10"/>
      <c r="P4680" s="10"/>
      <c r="Q4680" s="10"/>
      <c r="R4680" s="10"/>
      <c r="S4680" s="10"/>
      <c r="T4680" s="10"/>
      <c r="U4680" s="10"/>
      <c r="V4680" s="10"/>
      <c r="W4680" s="10"/>
      <c r="X4680" s="10"/>
      <c r="Y4680" s="10"/>
      <c r="Z4680" s="10"/>
    </row>
    <row r="4681" spans="1:26" ht="12.75">
      <c r="A4681" s="10" t="str">
        <f ca="1">IFERROR(__xludf.DUMMYFUNCTION("""COMPUTED_VALUE"""),"Кристина Иванова Върбанова-Денчева")</f>
        <v>Кристина Иванова Върбанова-Денчева</v>
      </c>
      <c r="B4681" s="10" t="str">
        <f ca="1">IFERROR(__xludf.DUMMYFUNCTION("""COMPUTED_VALUE"""),"Доклад от конференция")</f>
        <v>Доклад от конференция</v>
      </c>
      <c r="C4681" s="10" t="str">
        <f ca="1">IFERROR(__xludf.DUMMYFUNCTION("""COMPUTED_VALUE"""),"Новите модели за представяне на учебно съдържание в университетска информационна среда.")</f>
        <v>Новите модели за представяне на учебно съдържание в университетска информационна среда.</v>
      </c>
      <c r="D4681" s="10">
        <f ca="1">IFERROR(__xludf.DUMMYFUNCTION("""COMPUTED_VALUE"""),2015)</f>
        <v>2015</v>
      </c>
      <c r="E4681" s="10" t="str">
        <f ca="1">IFERROR(__xludf.DUMMYFUNCTION("""COMPUTED_VALUE"""),"Съвременни измерения на европейското образователно и научно пространство. Сб. докл. Том 3, Межд. научен пътуващ семинар на УниБИТ, 22 – 28 юни,2014, Дюраси, Албания. Изд. За буквите – О писменехъ, 2015, С., с. 207 – 213. ISSN 2367 - 7988")</f>
        <v>Съвременни измерения на европейското образователно и научно пространство. Сб. докл. Том 3, Межд. научен пътуващ семинар на УниБИТ, 22 – 28 юни,2014, Дюраси, Албания. Изд. За буквите – О писменехъ, 2015, С., с. 207 – 213. ISSN 2367 - 7988</v>
      </c>
      <c r="F4681" s="10"/>
      <c r="G4681" s="10" t="str">
        <f ca="1">IFERROR(__xludf.DUMMYFUNCTION("""COMPUTED_VALUE"""),"Петева, Ирена, Стоян Денчев")</f>
        <v>Петева, Ирена, Стоян Денчев</v>
      </c>
      <c r="H4681" s="10"/>
      <c r="I4681" s="10"/>
      <c r="J4681" s="10"/>
      <c r="K4681" s="10"/>
      <c r="L4681" s="10"/>
      <c r="M4681" s="10"/>
      <c r="N4681" s="10"/>
      <c r="O4681" s="10"/>
      <c r="P4681" s="10"/>
      <c r="Q4681" s="10"/>
      <c r="R4681" s="10"/>
      <c r="S4681" s="10"/>
      <c r="T4681" s="10"/>
      <c r="U4681" s="10"/>
      <c r="V4681" s="10"/>
      <c r="W4681" s="10"/>
      <c r="X4681" s="10"/>
      <c r="Y4681" s="10"/>
      <c r="Z4681" s="10"/>
    </row>
    <row r="4682" spans="1:26" ht="12.75">
      <c r="A4682" s="10" t="str">
        <f ca="1">IFERROR(__xludf.DUMMYFUNCTION("""COMPUTED_VALUE"""),"Кристина Иванова Върбанова-Денчева")</f>
        <v>Кристина Иванова Върбанова-Денчева</v>
      </c>
      <c r="B4682" s="10" t="str">
        <f ca="1">IFERROR(__xludf.DUMMYFUNCTION("""COMPUTED_VALUE"""),"Доклад от конференция")</f>
        <v>Доклад от конференция</v>
      </c>
      <c r="C4682" s="10" t="str">
        <f ca="1">IFERROR(__xludf.DUMMYFUNCTION("""COMPUTED_VALUE"""),"State University of Library Studies and Information Technology - the Keeper of Knowledge")</f>
        <v>State University of Library Studies and Information Technology - the Keeper of Knowledge</v>
      </c>
      <c r="D4682" s="10">
        <f ca="1">IFERROR(__xludf.DUMMYFUNCTION("""COMPUTED_VALUE"""),2015)</f>
        <v>2015</v>
      </c>
      <c r="E4682" s="10" t="str">
        <f ca="1">IFERROR(__xludf.DUMMYFUNCTION("""COMPUTED_VALUE"""),"// International Forum on Print Efficiency and Quality - East meets West – printers for efficiency and success, October 21-23, 2")</f>
        <v>// International Forum on Print Efficiency and Quality - East meets West – printers for efficiency and success, October 21-23, 2</v>
      </c>
      <c r="F4682" s="10"/>
      <c r="G4682" s="10"/>
      <c r="H4682" s="10"/>
      <c r="I4682" s="10"/>
      <c r="J4682" s="10"/>
      <c r="K4682" s="10"/>
      <c r="L4682" s="10"/>
      <c r="M4682" s="10"/>
      <c r="N4682" s="10"/>
      <c r="O4682" s="10"/>
      <c r="P4682" s="10"/>
      <c r="Q4682" s="10"/>
      <c r="R4682" s="10"/>
      <c r="S4682" s="10"/>
      <c r="T4682" s="10"/>
      <c r="U4682" s="10"/>
      <c r="V4682" s="10"/>
      <c r="W4682" s="10"/>
      <c r="X4682" s="10"/>
      <c r="Y4682" s="10"/>
      <c r="Z4682" s="10"/>
    </row>
    <row r="4683" spans="1:26" ht="12.75">
      <c r="A4683" s="10" t="str">
        <f ca="1">IFERROR(__xludf.DUMMYFUNCTION("""COMPUTED_VALUE"""),"Кристина Иванова Върбанова-Денчева")</f>
        <v>Кристина Иванова Върбанова-Денчева</v>
      </c>
      <c r="B4683" s="10" t="str">
        <f ca="1">IFERROR(__xludf.DUMMYFUNCTION("""COMPUTED_VALUE"""),"Статия в списания и поредици")</f>
        <v>Статия в списания и поредици</v>
      </c>
      <c r="C4683" s="10" t="str">
        <f ca="1">IFERROR(__xludf.DUMMYFUNCTION("""COMPUTED_VALUE"""),"Новите образователни модели – от бизнеса и за бизнеса.")</f>
        <v>Новите образователни модели – от бизнеса и за бизнеса.</v>
      </c>
      <c r="D4683" s="10">
        <f ca="1">IFERROR(__xludf.DUMMYFUNCTION("""COMPUTED_VALUE"""),2015)</f>
        <v>2015</v>
      </c>
      <c r="E4683" s="10" t="str">
        <f ca="1">IFERROR(__xludf.DUMMYFUNCTION("""COMPUTED_VALUE"""),"За буквите-О писменехь")</f>
        <v>За буквите-О писменехь</v>
      </c>
      <c r="F4683" s="10"/>
      <c r="G4683" s="10"/>
      <c r="H4683" s="10"/>
      <c r="I4683" s="10"/>
      <c r="J4683" s="10"/>
      <c r="K4683" s="10"/>
      <c r="L4683" s="10"/>
      <c r="M4683" s="10"/>
      <c r="N4683" s="10"/>
      <c r="O4683" s="10"/>
      <c r="P4683" s="10"/>
      <c r="Q4683" s="10"/>
      <c r="R4683" s="10"/>
      <c r="S4683" s="10"/>
      <c r="T4683" s="10"/>
      <c r="U4683" s="10"/>
      <c r="V4683" s="10"/>
      <c r="W4683" s="10"/>
      <c r="X4683" s="10"/>
      <c r="Y4683" s="10"/>
      <c r="Z4683" s="10"/>
    </row>
    <row r="4684" spans="1:26" ht="12.75">
      <c r="A4684" s="10" t="str">
        <f ca="1">IFERROR(__xludf.DUMMYFUNCTION("""COMPUTED_VALUE"""),"Кристина Иванова Върбанова-Денчева")</f>
        <v>Кристина Иванова Върбанова-Денчева</v>
      </c>
      <c r="B4684" s="10" t="str">
        <f ca="1">IFERROR(__xludf.DUMMYFUNCTION("""COMPUTED_VALUE"""),"Доклад от конференция")</f>
        <v>Доклад от конференция</v>
      </c>
      <c r="C4684" s="10" t="str">
        <f ca="1">IFERROR(__xludf.DUMMYFUNCTION("""COMPUTED_VALUE"""),"Информационни ресурси за е-образование – от открит достъп към открито образование")</f>
        <v>Информационни ресурси за е-образование – от открит достъп към открито образование</v>
      </c>
      <c r="D4684" s="10">
        <f ca="1">IFERROR(__xludf.DUMMYFUNCTION("""COMPUTED_VALUE"""),2015)</f>
        <v>2015</v>
      </c>
      <c r="E4684" s="10" t="str">
        <f ca="1">IFERROR(__xludf.DUMMYFUNCTION("""COMPUTED_VALUE"""),"Съвременни измерения на европейското образователно и научно пространство. Сборник доклади от Международния научен пътуващ семинар, Великобритания, Лондон, 25 – 30 май 2013. Изд. За буквите – о писменехъ, Т. 3, 2015, с. 91 – 94. ISSN 2367 - 7988")</f>
        <v>Съвременни измерения на европейското образователно и научно пространство. Сборник доклади от Международния научен пътуващ семинар, Великобритания, Лондон, 25 – 30 май 2013. Изд. За буквите – о писменехъ, Т. 3, 2015, с. 91 – 94. ISSN 2367 - 7988</v>
      </c>
      <c r="F4684" s="10"/>
      <c r="G4684" s="10"/>
      <c r="H4684" s="10"/>
      <c r="I4684" s="10"/>
      <c r="J4684" s="10"/>
      <c r="K4684" s="10"/>
      <c r="L4684" s="10"/>
      <c r="M4684" s="10"/>
      <c r="N4684" s="10"/>
      <c r="O4684" s="10"/>
      <c r="P4684" s="10"/>
      <c r="Q4684" s="10"/>
      <c r="R4684" s="10"/>
      <c r="S4684" s="10"/>
      <c r="T4684" s="10"/>
      <c r="U4684" s="10"/>
      <c r="V4684" s="10"/>
      <c r="W4684" s="10"/>
      <c r="X4684" s="10"/>
      <c r="Y4684" s="10"/>
      <c r="Z4684" s="10"/>
    </row>
    <row r="4685" spans="1:26" ht="12.75">
      <c r="A4685" s="10" t="str">
        <f ca="1">IFERROR(__xludf.DUMMYFUNCTION("""COMPUTED_VALUE"""),"Кристина Иванова Върбанова-Денчева")</f>
        <v>Кристина Иванова Върбанова-Денчева</v>
      </c>
      <c r="B4685" s="10" t="str">
        <f ca="1">IFERROR(__xludf.DUMMYFUNCTION("""COMPUTED_VALUE"""),"Доклад от конференция")</f>
        <v>Доклад от конференция</v>
      </c>
      <c r="C4685" s="10" t="str">
        <f ca="1">IFERROR(__xludf.DUMMYFUNCTION("""COMPUTED_VALUE"""),"Дигиталният гражданин и образованието в икономиката на знанието")</f>
        <v>Дигиталният гражданин и образованието в икономиката на знанието</v>
      </c>
      <c r="D4685" s="10">
        <f ca="1">IFERROR(__xludf.DUMMYFUNCTION("""COMPUTED_VALUE"""),2015)</f>
        <v>2015</v>
      </c>
      <c r="E4685" s="10" t="str">
        <f ca="1">IFERROR(__xludf.DUMMYFUNCTION("""COMPUTED_VALUE"""),"За буквите-О писменехь")</f>
        <v>За буквите-О писменехь</v>
      </c>
      <c r="F4685" s="10"/>
      <c r="G4685" s="10" t="str">
        <f ca="1">IFERROR(__xludf.DUMMYFUNCTION("""COMPUTED_VALUE"""),"Ирена Петева")</f>
        <v>Ирена Петева</v>
      </c>
      <c r="H4685" s="10"/>
      <c r="I4685" s="10"/>
      <c r="J4685" s="10"/>
      <c r="K4685" s="10"/>
      <c r="L4685" s="10"/>
      <c r="M4685" s="10"/>
      <c r="N4685" s="10"/>
      <c r="O4685" s="10"/>
      <c r="P4685" s="10"/>
      <c r="Q4685" s="10"/>
      <c r="R4685" s="10"/>
      <c r="S4685" s="10"/>
      <c r="T4685" s="10"/>
      <c r="U4685" s="10"/>
      <c r="V4685" s="10"/>
      <c r="W4685" s="10"/>
      <c r="X4685" s="10"/>
      <c r="Y4685" s="10"/>
      <c r="Z4685" s="10"/>
    </row>
    <row r="4686" spans="1:26" ht="12.75">
      <c r="A4686" s="10" t="str">
        <f ca="1">IFERROR(__xludf.DUMMYFUNCTION("""COMPUTED_VALUE"""),"Кристина Иванова Върбанова-Денчева")</f>
        <v>Кристина Иванова Върбанова-Денчева</v>
      </c>
      <c r="B4686" s="10" t="str">
        <f ca="1">IFERROR(__xludf.DUMMYFUNCTION("""COMPUTED_VALUE"""),"Доклад от конференция")</f>
        <v>Доклад от конференция</v>
      </c>
      <c r="C4686" s="10" t="str">
        <f ca="1">IFERROR(__xludf.DUMMYFUNCTION("""COMPUTED_VALUE"""),"Образователни стратегии на Програма „Европа 2020“ – иновации и политики на УниБИТ за медиаобразование.")</f>
        <v>Образователни стратегии на Програма „Европа 2020“ – иновации и политики на УниБИТ за медиаобразование.</v>
      </c>
      <c r="D4686" s="10">
        <f ca="1">IFERROR(__xludf.DUMMYFUNCTION("""COMPUTED_VALUE"""),2014)</f>
        <v>2014</v>
      </c>
      <c r="E4686" s="10" t="str">
        <f ca="1">IFERROR(__xludf.DUMMYFUNCTION("""COMPUTED_VALUE"""),"Сб. докл. (Научен семинар на УниБИТ, 15 – 18 юни 2013 г. Камчия), Изд. За буквите – о писменехъ. С., 2014, с. 69 – 76. ISSN 1313-2768.")</f>
        <v>Сб. докл. (Научен семинар на УниБИТ, 15 – 18 юни 2013 г. Камчия), Изд. За буквите – о писменехъ. С., 2014, с. 69 – 76. ISSN 1313-2768.</v>
      </c>
      <c r="F4686" s="10"/>
      <c r="G4686" s="10"/>
      <c r="H4686" s="10"/>
      <c r="I4686" s="10"/>
      <c r="J4686" s="10"/>
      <c r="K4686" s="10"/>
      <c r="L4686" s="10"/>
      <c r="M4686" s="10"/>
      <c r="N4686" s="10"/>
      <c r="O4686" s="10"/>
      <c r="P4686" s="10"/>
      <c r="Q4686" s="10"/>
      <c r="R4686" s="10"/>
      <c r="S4686" s="10"/>
      <c r="T4686" s="10"/>
      <c r="U4686" s="10"/>
      <c r="V4686" s="10"/>
      <c r="W4686" s="10"/>
      <c r="X4686" s="10"/>
      <c r="Y4686" s="10"/>
      <c r="Z4686" s="10"/>
    </row>
    <row r="4687" spans="1:26" ht="12.75">
      <c r="A4687" s="10" t="str">
        <f ca="1">IFERROR(__xludf.DUMMYFUNCTION("""COMPUTED_VALUE"""),"Кристина Иванова Върбанова-Денчева")</f>
        <v>Кристина Иванова Върбанова-Денчева</v>
      </c>
      <c r="B4687" s="10" t="str">
        <f ca="1">IFERROR(__xludf.DUMMYFUNCTION("""COMPUTED_VALUE"""),"Доклад от конференция")</f>
        <v>Доклад от конференция</v>
      </c>
      <c r="C4687" s="10" t="str">
        <f ca="1">IFERROR(__xludf.DUMMYFUNCTION("""COMPUTED_VALUE"""),"Университетът на ХХІ век – синергия на корпоративния и интелигентния университет")</f>
        <v>Университетът на ХХІ век – синергия на корпоративния и интелигентния университет</v>
      </c>
      <c r="D4687" s="10">
        <f ca="1">IFERROR(__xludf.DUMMYFUNCTION("""COMPUTED_VALUE"""),2014)</f>
        <v>2014</v>
      </c>
      <c r="E4687" s="10" t="str">
        <f ca="1">IFERROR(__xludf.DUMMYFUNCTION("""COMPUTED_VALUE"""),"За буквите-О писменехь")</f>
        <v>За буквите-О писменехь</v>
      </c>
      <c r="F4687" s="10"/>
      <c r="G4687" s="10" t="str">
        <f ca="1">IFERROR(__xludf.DUMMYFUNCTION("""COMPUTED_VALUE"""),"Ирена Петева, Стоян Денчев")</f>
        <v>Ирена Петева, Стоян Денчев</v>
      </c>
      <c r="H4687" s="10"/>
      <c r="I4687" s="10"/>
      <c r="J4687" s="10"/>
      <c r="K4687" s="10"/>
      <c r="L4687" s="10"/>
      <c r="M4687" s="10"/>
      <c r="N4687" s="10"/>
      <c r="O4687" s="10"/>
      <c r="P4687" s="10"/>
      <c r="Q4687" s="10"/>
      <c r="R4687" s="10"/>
      <c r="S4687" s="10"/>
      <c r="T4687" s="10"/>
      <c r="U4687" s="10"/>
      <c r="V4687" s="10"/>
      <c r="W4687" s="10"/>
      <c r="X4687" s="10"/>
      <c r="Y4687" s="10"/>
      <c r="Z4687" s="10"/>
    </row>
    <row r="4688" spans="1:26" ht="12.75">
      <c r="A4688" s="10" t="str">
        <f ca="1">IFERROR(__xludf.DUMMYFUNCTION("""COMPUTED_VALUE"""),"Кристина Иванова Върбанова-Денчева")</f>
        <v>Кристина Иванова Върбанова-Денчева</v>
      </c>
      <c r="B4688" s="10" t="str">
        <f ca="1">IFERROR(__xludf.DUMMYFUNCTION("""COMPUTED_VALUE"""),"Доклад от конференция")</f>
        <v>Доклад от конференция</v>
      </c>
      <c r="C4688" s="10" t="str">
        <f ca="1">IFERROR(__xludf.DUMMYFUNCTION("""COMPUTED_VALUE"""),"Интегрирана среда за електронно образование – модели за създаване и обмен на учебно съдържание")</f>
        <v>Интегрирана среда за електронно образование – модели за създаване и обмен на учебно съдържание</v>
      </c>
      <c r="D4688" s="10">
        <f ca="1">IFERROR(__xludf.DUMMYFUNCTION("""COMPUTED_VALUE"""),2014)</f>
        <v>2014</v>
      </c>
      <c r="E4688" s="10" t="str">
        <f ca="1">IFERROR(__xludf.DUMMYFUNCTION("""COMPUTED_VALUE"""),"Изд. център на Русенски университет „Ангел Кънчев”, Русе")</f>
        <v>Изд. център на Русенски университет „Ангел Кънчев”, Русе</v>
      </c>
      <c r="F4688" s="10"/>
      <c r="G4688" s="10" t="str">
        <f ca="1">IFERROR(__xludf.DUMMYFUNCTION("""COMPUTED_VALUE"""),"Стоян Денчев, Ирена Петева")</f>
        <v>Стоян Денчев, Ирена Петева</v>
      </c>
      <c r="H4688" s="10"/>
      <c r="I4688" s="10"/>
      <c r="J4688" s="10"/>
      <c r="K4688" s="10"/>
      <c r="L4688" s="10"/>
      <c r="M4688" s="10"/>
      <c r="N4688" s="10"/>
      <c r="O4688" s="10"/>
      <c r="P4688" s="10"/>
      <c r="Q4688" s="10"/>
      <c r="R4688" s="10"/>
      <c r="S4688" s="10"/>
      <c r="T4688" s="10"/>
      <c r="U4688" s="10"/>
      <c r="V4688" s="10"/>
      <c r="W4688" s="10"/>
      <c r="X4688" s="10"/>
      <c r="Y4688" s="10"/>
      <c r="Z4688" s="10"/>
    </row>
    <row r="4689" spans="1:26" ht="12.75">
      <c r="A4689" s="10" t="str">
        <f ca="1">IFERROR(__xludf.DUMMYFUNCTION("""COMPUTED_VALUE"""),"Кристина Иванова Върбанова-Денчева")</f>
        <v>Кристина Иванова Върбанова-Денчева</v>
      </c>
      <c r="B4689" s="10" t="str">
        <f ca="1">IFERROR(__xludf.DUMMYFUNCTION("""COMPUTED_VALUE"""),"Доклад от конференция")</f>
        <v>Доклад от конференция</v>
      </c>
      <c r="C4689" s="10" t="str">
        <f ca="1">IFERROR(__xludf.DUMMYFUNCTION("""COMPUTED_VALUE"""),"National infrastructure for University Repositories Possible Model")</f>
        <v>National infrastructure for University Repositories Possible Model</v>
      </c>
      <c r="D4689" s="10">
        <f ca="1">IFERROR(__xludf.DUMMYFUNCTION("""COMPUTED_VALUE"""),2014)</f>
        <v>2014</v>
      </c>
      <c r="E4689" s="10" t="str">
        <f ca="1">IFERROR(__xludf.DUMMYFUNCTION("""COMPUTED_VALUE"""),"//Digital Presentation and Preservation of Cultural and Scientific Heritage. Vol. 4, 2014, pp. 218 – 223. Print ISSN: 1314-4006; Online-ISSN: 2535-0366")</f>
        <v>//Digital Presentation and Preservation of Cultural and Scientific Heritage. Vol. 4, 2014, pp. 218 – 223. Print ISSN: 1314-4006; Online-ISSN: 2535-0366</v>
      </c>
      <c r="F4689" s="10" t="str">
        <f ca="1">IFERROR(__xludf.DUMMYFUNCTION("""COMPUTED_VALUE"""),"3 цитирания 
 чрез бaзa дaнни Directory of Open Access Journal ( DOAJ ) и Elektronische Zeitschriftenbibliothek.
 (MLA) - Todorova, Radostina, and Kristina Varbanova-Dencheva. ""National Infrastructure for University Repositories Possible Model."" Digital"&amp;" Presentation and Preservation of Cultural and Scientific Heritage IV (2014): 218-223. 
 (APA) Todorova, R., &amp; Varbanova-Dencheva, K. (2014). National Infrastructure for University Repositories Possible Model. Digital Presentation and Preservation of Cult"&amp;"ural and Scientific Heritage, (IV), 218-223.
 (ISO 690) TODOROVA, Radostina; VARBANOVA-DENCHEVA, Kristina. National Infrastructure for University Repositories Possible Model. Digital Presentation and Preservation of Cultural and Scientific Heritage, 2014,"&amp;" IV: 218-223.
 1 цитиране
  чрезwww.ceeol.com.
 National Infrastructure for University Repositories Possible Model „National Infrastructure for University Repositories Possible Model“ by Radostina Todorova; Kristina VarbanovaDencheva Source (Digital Prese"&amp;"ntation and Preservation of Cultural and Scientific Heritage), issue: IV / 2014, pages: 218- 223, on www.ceeol.com")</f>
        <v>3 цитирания 
 чрез бaзa дaнни Directory of Open Access Journal ( DOAJ ) и Elektronische Zeitschriftenbibliothek.
 (MLA) - Todorova, Radostina, and Kristina Varbanova-Dencheva. "National Infrastructure for University Repositories Possible Model." Digital Presentation and Preservation of Cultural and Scientific Heritage IV (2014): 218-223. 
 (APA) Todorova, R., &amp; Varbanova-Dencheva, K. (2014). National Infrastructure for University Repositories Possible Model. Digital Presentation and Preservation of Cultural and Scientific Heritage, (IV), 218-223.
 (ISO 690) TODOROVA, Radostina; VARBANOVA-DENCHEVA, Kristina. National Infrastructure for University Repositories Possible Model. Digital Presentation and Preservation of Cultural and Scientific Heritage, 2014, IV: 218-223.
 1 цитиране
  чрезwww.ceeol.com.
 National Infrastructure for University Repositories Possible Model „National Infrastructure for University Repositories Possible Model“ by Radostina Todorova; Kristina VarbanovaDencheva Source (Digital Presentation and Preservation of Cultural and Scientific Heritage), issue: IV / 2014, pages: 218- 223, on www.ceeol.com</v>
      </c>
      <c r="G4689" s="10" t="str">
        <f ca="1">IFERROR(__xludf.DUMMYFUNCTION("""COMPUTED_VALUE"""),"Радостина Тодорова")</f>
        <v>Радостина Тодорова</v>
      </c>
      <c r="H4689" s="10"/>
      <c r="I4689" s="10"/>
      <c r="J4689" s="10"/>
      <c r="K4689" s="10"/>
      <c r="L4689" s="10"/>
      <c r="M4689" s="10"/>
      <c r="N4689" s="10"/>
      <c r="O4689" s="10"/>
      <c r="P4689" s="10"/>
      <c r="Q4689" s="10"/>
      <c r="R4689" s="10"/>
      <c r="S4689" s="10"/>
      <c r="T4689" s="10"/>
      <c r="U4689" s="10"/>
      <c r="V4689" s="10"/>
      <c r="W4689" s="10"/>
      <c r="X4689" s="10"/>
      <c r="Y4689" s="10"/>
      <c r="Z4689" s="10"/>
    </row>
    <row r="4690" spans="1:26" ht="12.75">
      <c r="A4690" s="10" t="str">
        <f ca="1">IFERROR(__xludf.DUMMYFUNCTION("""COMPUTED_VALUE"""),"Кристина Иванова Върбанова-Денчева")</f>
        <v>Кристина Иванова Върбанова-Денчева</v>
      </c>
      <c r="B4690" s="10" t="str">
        <f ca="1">IFERROR(__xludf.DUMMYFUNCTION("""COMPUTED_VALUE"""),"Доклад от конференция")</f>
        <v>Доклад от конференция</v>
      </c>
      <c r="C4690" s="10" t="str">
        <f ca="1">IFERROR(__xludf.DUMMYFUNCTION("""COMPUTED_VALUE"""),"Дигиталното битие на българската филмова индустрия в европейския и съвременния културен обмен")</f>
        <v>Дигиталното битие на българската филмова индустрия в европейския и съвременния културен обмен</v>
      </c>
      <c r="D4690" s="10">
        <f ca="1">IFERROR(__xludf.DUMMYFUNCTION("""COMPUTED_VALUE"""),2014)</f>
        <v>2014</v>
      </c>
      <c r="E4690" s="10" t="str">
        <f ca="1">IFERROR(__xludf.DUMMYFUNCTION("""COMPUTED_VALUE"""),"// Нови информационни технологии в образователния процес. Сб. докл. (Научен семинар на УниБИТ, 15 – 18 юни 2013 г. Камчия), Изд. За буквите – о писменехъ. С., 2014, с. 89 – 99. ISSN 1313-2768.")</f>
        <v>// Нови информационни технологии в образователния процес. Сб. докл. (Научен семинар на УниБИТ, 15 – 18 юни 2013 г. Камчия), Изд. За буквите – о писменехъ. С., 2014, с. 89 – 99. ISSN 1313-2768.</v>
      </c>
      <c r="F4690" s="10"/>
      <c r="G4690" s="10" t="str">
        <f ca="1">IFERROR(__xludf.DUMMYFUNCTION("""COMPUTED_VALUE"""),"Десислава Бакърджиева")</f>
        <v>Десислава Бакърджиева</v>
      </c>
      <c r="H4690" s="10"/>
      <c r="I4690" s="10"/>
      <c r="J4690" s="10"/>
      <c r="K4690" s="10"/>
      <c r="L4690" s="10"/>
      <c r="M4690" s="10"/>
      <c r="N4690" s="10"/>
      <c r="O4690" s="10"/>
      <c r="P4690" s="10"/>
      <c r="Q4690" s="10"/>
      <c r="R4690" s="10"/>
      <c r="S4690" s="10"/>
      <c r="T4690" s="10"/>
      <c r="U4690" s="10"/>
      <c r="V4690" s="10"/>
      <c r="W4690" s="10"/>
      <c r="X4690" s="10"/>
      <c r="Y4690" s="10"/>
      <c r="Z4690" s="10"/>
    </row>
    <row r="4691" spans="1:26" ht="12.75">
      <c r="A4691" s="10" t="str">
        <f ca="1">IFERROR(__xludf.DUMMYFUNCTION("""COMPUTED_VALUE"""),"Кристина Иванова Върбанова-Денчева")</f>
        <v>Кристина Иванова Върбанова-Денчева</v>
      </c>
      <c r="B4691" s="10" t="str">
        <f ca="1">IFERROR(__xludf.DUMMYFUNCTION("""COMPUTED_VALUE"""),"Доклад от конференция")</f>
        <v>Доклад от конференция</v>
      </c>
      <c r="C4691" s="10" t="str">
        <f ca="1">IFERROR(__xludf.DUMMYFUNCTION("""COMPUTED_VALUE"""),"State University of Library Studies and Information Technology - the Keeper of Knowledge")</f>
        <v>State University of Library Studies and Information Technology - the Keeper of Knowledge</v>
      </c>
      <c r="D4691" s="10">
        <f ca="1">IFERROR(__xludf.DUMMYFUNCTION("""COMPUTED_VALUE"""),2014)</f>
        <v>2014</v>
      </c>
      <c r="E4691" s="10" t="str">
        <f ca="1">IFERROR(__xludf.DUMMYFUNCTION("""COMPUTED_VALUE"""),"International Forum on Print Efficiency and Quality - East meets West – printers for efficiency and success, October 23-24, 2014")</f>
        <v>International Forum on Print Efficiency and Quality - East meets West – printers for efficiency and success, October 23-24, 2014</v>
      </c>
      <c r="F4691" s="10"/>
      <c r="G4691" s="10"/>
      <c r="H4691" s="10"/>
      <c r="I4691" s="10"/>
      <c r="J4691" s="10"/>
      <c r="K4691" s="10"/>
      <c r="L4691" s="10"/>
      <c r="M4691" s="10"/>
      <c r="N4691" s="10"/>
      <c r="O4691" s="10"/>
      <c r="P4691" s="10"/>
      <c r="Q4691" s="10"/>
      <c r="R4691" s="10"/>
      <c r="S4691" s="10"/>
      <c r="T4691" s="10"/>
      <c r="U4691" s="10"/>
      <c r="V4691" s="10"/>
      <c r="W4691" s="10"/>
      <c r="X4691" s="10"/>
      <c r="Y4691" s="10"/>
      <c r="Z4691" s="10"/>
    </row>
    <row r="4692" spans="1:26" ht="12.75">
      <c r="A4692" s="10" t="str">
        <f ca="1">IFERROR(__xludf.DUMMYFUNCTION("""COMPUTED_VALUE"""),"Кристина Иванова Върбанова-Денчева")</f>
        <v>Кристина Иванова Върбанова-Денчева</v>
      </c>
      <c r="B4692" s="10" t="str">
        <f ca="1">IFERROR(__xludf.DUMMYFUNCTION("""COMPUTED_VALUE"""),"Доклад от конференция")</f>
        <v>Доклад от конференция</v>
      </c>
      <c r="C4692" s="10" t="str">
        <f ca="1">IFERROR(__xludf.DUMMYFUNCTION("""COMPUTED_VALUE"""),"Създаване на дигитални ресурси на книжовното наследство като елемент от учебното съдържание на бакалавърските и магистърските програми на УниБИТ.")</f>
        <v>Създаване на дигитални ресурси на книжовното наследство като елемент от учебното съдържание на бакалавърските и магистърските програми на УниБИТ.</v>
      </c>
      <c r="D4692" s="10">
        <f ca="1">IFERROR(__xludf.DUMMYFUNCTION("""COMPUTED_VALUE"""),2014)</f>
        <v>2014</v>
      </c>
      <c r="E4692" s="10" t="str">
        <f ca="1">IFERROR(__xludf.DUMMYFUNCTION("""COMPUTED_VALUE"""),"За буквите-О писменехь")</f>
        <v>За буквите-О писменехь</v>
      </c>
      <c r="F4692" s="10"/>
      <c r="G4692" s="10" t="str">
        <f ca="1">IFERROR(__xludf.DUMMYFUNCTION("""COMPUTED_VALUE"""),"Калина Минчева")</f>
        <v>Калина Минчева</v>
      </c>
      <c r="H4692" s="10"/>
      <c r="I4692" s="10"/>
      <c r="J4692" s="10"/>
      <c r="K4692" s="10"/>
      <c r="L4692" s="10"/>
      <c r="M4692" s="10"/>
      <c r="N4692" s="10"/>
      <c r="O4692" s="10"/>
      <c r="P4692" s="10"/>
      <c r="Q4692" s="10"/>
      <c r="R4692" s="10"/>
      <c r="S4692" s="10"/>
      <c r="T4692" s="10"/>
      <c r="U4692" s="10"/>
      <c r="V4692" s="10"/>
      <c r="W4692" s="10"/>
      <c r="X4692" s="10"/>
      <c r="Y4692" s="10"/>
      <c r="Z4692" s="10"/>
    </row>
    <row r="4693" spans="1:26" ht="12.75">
      <c r="A4693" s="10" t="str">
        <f ca="1">IFERROR(__xludf.DUMMYFUNCTION("""COMPUTED_VALUE"""),"Кристина Иванова Върбанова-Денчева")</f>
        <v>Кристина Иванова Върбанова-Денчева</v>
      </c>
      <c r="B4693" s="10" t="str">
        <f ca="1">IFERROR(__xludf.DUMMYFUNCTION("""COMPUTED_VALUE"""),"Статия в списания и поредици")</f>
        <v>Статия в списания и поредици</v>
      </c>
      <c r="C4693" s="10" t="str">
        <f ca="1">IFERROR(__xludf.DUMMYFUNCTION("""COMPUTED_VALUE"""),"Дигитализация на печатни и графични архиви в България - проекти, технологии и резултати")</f>
        <v>Дигитализация на печатни и графични архиви в България - проекти, технологии и резултати</v>
      </c>
      <c r="D4693" s="10">
        <f ca="1">IFERROR(__xludf.DUMMYFUNCTION("""COMPUTED_VALUE"""),2013)</f>
        <v>2013</v>
      </c>
      <c r="E4693" s="10" t="str">
        <f ca="1">IFERROR(__xludf.DUMMYFUNCTION("""COMPUTED_VALUE"""),"Нови информационни технологии в образователния процес : Сборник ISSN: 1313-2768.- 2012 (2013), s. 85-99")</f>
        <v>Нови информационни технологии в образователния процес : Сборник ISSN: 1313-2768.- 2012 (2013), s. 85-99</v>
      </c>
      <c r="F4693" s="10"/>
      <c r="G4693" s="10" t="str">
        <f ca="1">IFERROR(__xludf.DUMMYFUNCTION("""COMPUTED_VALUE"""),"Деница Цветанова-Чальовски")</f>
        <v>Деница Цветанова-Чальовски</v>
      </c>
      <c r="H4693" s="10"/>
      <c r="I4693" s="10"/>
      <c r="J4693" s="10"/>
      <c r="K4693" s="10"/>
      <c r="L4693" s="10"/>
      <c r="M4693" s="10"/>
      <c r="N4693" s="10"/>
      <c r="O4693" s="10"/>
      <c r="P4693" s="10"/>
      <c r="Q4693" s="10"/>
      <c r="R4693" s="10"/>
      <c r="S4693" s="10"/>
      <c r="T4693" s="10"/>
      <c r="U4693" s="10"/>
      <c r="V4693" s="10"/>
      <c r="W4693" s="10"/>
      <c r="X4693" s="10"/>
      <c r="Y4693" s="10"/>
      <c r="Z4693" s="10"/>
    </row>
    <row r="4694" spans="1:26" ht="12.75">
      <c r="A4694" s="10" t="str">
        <f ca="1">IFERROR(__xludf.DUMMYFUNCTION("""COMPUTED_VALUE"""),"Кристина Иванова Върбанова-Денчева")</f>
        <v>Кристина Иванова Върбанова-Денчева</v>
      </c>
      <c r="B4694" s="10" t="str">
        <f ca="1">IFERROR(__xludf.DUMMYFUNCTION("""COMPUTED_VALUE"""),"Статия в списания и поредици")</f>
        <v>Статия в списания и поредици</v>
      </c>
      <c r="C4694" s="10" t="str">
        <f ca="1">IFERROR(__xludf.DUMMYFUNCTION("""COMPUTED_VALUE"""),"Модел и моделиране в научните изследвания – идентификация и интерпретация")</f>
        <v>Модел и моделиране в научните изследвания – идентификация и интерпретация</v>
      </c>
      <c r="D4694" s="10">
        <f ca="1">IFERROR(__xludf.DUMMYFUNCTION("""COMPUTED_VALUE"""),2013)</f>
        <v>2013</v>
      </c>
      <c r="E4694" s="10" t="str">
        <f ca="1">IFERROR(__xludf.DUMMYFUNCTION("""COMPUTED_VALUE"""),"За буквите-О писменехь")</f>
        <v>За буквите-О писменехь</v>
      </c>
      <c r="F4694" s="10"/>
      <c r="G4694" s="10"/>
      <c r="H4694" s="10"/>
      <c r="I4694" s="10"/>
      <c r="J4694" s="10"/>
      <c r="K4694" s="10"/>
      <c r="L4694" s="10"/>
      <c r="M4694" s="10"/>
      <c r="N4694" s="10"/>
      <c r="O4694" s="10"/>
      <c r="P4694" s="10"/>
      <c r="Q4694" s="10"/>
      <c r="R4694" s="10"/>
      <c r="S4694" s="10"/>
      <c r="T4694" s="10"/>
      <c r="U4694" s="10"/>
      <c r="V4694" s="10"/>
      <c r="W4694" s="10"/>
      <c r="X4694" s="10"/>
      <c r="Y4694" s="10"/>
      <c r="Z4694" s="10"/>
    </row>
    <row r="4695" spans="1:26" ht="12.75">
      <c r="A4695" s="10" t="str">
        <f ca="1">IFERROR(__xludf.DUMMYFUNCTION("""COMPUTED_VALUE"""),"Кристина Иванова Върбанова-Денчева")</f>
        <v>Кристина Иванова Върбанова-Денчева</v>
      </c>
      <c r="B4695" s="10" t="str">
        <f ca="1">IFERROR(__xludf.DUMMYFUNCTION("""COMPUTED_VALUE"""),"Статия в списания и поредици")</f>
        <v>Статия в списания и поредици</v>
      </c>
      <c r="C4695" s="10" t="str">
        <f ca="1">IFERROR(__xludf.DUMMYFUNCTION("""COMPUTED_VALUE"""),"Образователните модели в прехода към обществото на знанието")</f>
        <v>Образователните модели в прехода към обществото на знанието</v>
      </c>
      <c r="D4695" s="10">
        <f ca="1">IFERROR(__xludf.DUMMYFUNCTION("""COMPUTED_VALUE"""),2013)</f>
        <v>2013</v>
      </c>
      <c r="E4695" s="10" t="str">
        <f ca="1">IFERROR(__xludf.DUMMYFUNCTION("""COMPUTED_VALUE"""),"Научни трудове на Университета по библиотекознание и информационни технологии, София : За буквите - О писменехь, 2011, ISSN 1314-2623")</f>
        <v>Научни трудове на Университета по библиотекознание и информационни технологии, София : За буквите - О писменехь, 2011, ISSN 1314-2623</v>
      </c>
      <c r="F4695" s="10"/>
      <c r="G4695" s="10"/>
      <c r="H4695" s="10"/>
      <c r="I4695" s="10"/>
      <c r="J4695" s="10"/>
      <c r="K4695" s="10"/>
      <c r="L4695" s="10"/>
      <c r="M4695" s="10"/>
      <c r="N4695" s="10"/>
      <c r="O4695" s="10"/>
      <c r="P4695" s="10"/>
      <c r="Q4695" s="10"/>
      <c r="R4695" s="10"/>
      <c r="S4695" s="10"/>
      <c r="T4695" s="10"/>
      <c r="U4695" s="10"/>
      <c r="V4695" s="10"/>
      <c r="W4695" s="10"/>
      <c r="X4695" s="10"/>
      <c r="Y4695" s="10"/>
      <c r="Z4695" s="10"/>
    </row>
    <row r="4696" spans="1:26" ht="12.75">
      <c r="A4696" s="10" t="str">
        <f ca="1">IFERROR(__xludf.DUMMYFUNCTION("""COMPUTED_VALUE"""),"Кристина Иванова Върбанова-Денчева")</f>
        <v>Кристина Иванова Върбанова-Денчева</v>
      </c>
      <c r="B4696" s="10" t="str">
        <f ca="1">IFERROR(__xludf.DUMMYFUNCTION("""COMPUTED_VALUE"""),"Доклад от конференция")</f>
        <v>Доклад от конференция</v>
      </c>
      <c r="C4696" s="10" t="str">
        <f ca="1">IFERROR(__xludf.DUMMYFUNCTION("""COMPUTED_VALUE"""),"Информационни ресурси за е-образование – от открит достъп към открито образование.")</f>
        <v>Информационни ресурси за е-образование – от открит достъп към открито образование.</v>
      </c>
      <c r="D4696" s="10">
        <f ca="1">IFERROR(__xludf.DUMMYFUNCTION("""COMPUTED_VALUE"""),2013)</f>
        <v>2013</v>
      </c>
      <c r="E4696" s="10" t="str">
        <f ca="1">IFERROR(__xludf.DUMMYFUNCTION("""COMPUTED_VALUE"""),"За буквите-О писменехь")</f>
        <v>За буквите-О писменехь</v>
      </c>
      <c r="F4696" s="10"/>
      <c r="G4696" s="10"/>
      <c r="H4696" s="10"/>
      <c r="I4696" s="10"/>
      <c r="J4696" s="10"/>
      <c r="K4696" s="10"/>
      <c r="L4696" s="10"/>
      <c r="M4696" s="10"/>
      <c r="N4696" s="10"/>
      <c r="O4696" s="10"/>
      <c r="P4696" s="10"/>
      <c r="Q4696" s="10"/>
      <c r="R4696" s="10"/>
      <c r="S4696" s="10"/>
      <c r="T4696" s="10"/>
      <c r="U4696" s="10"/>
      <c r="V4696" s="10"/>
      <c r="W4696" s="10"/>
      <c r="X4696" s="10"/>
      <c r="Y4696" s="10"/>
      <c r="Z4696" s="10"/>
    </row>
    <row r="4697" spans="1:26" ht="12.75">
      <c r="A4697" s="10" t="str">
        <f ca="1">IFERROR(__xludf.DUMMYFUNCTION("""COMPUTED_VALUE"""),"Кристина Иванова Върбанова-Денчева")</f>
        <v>Кристина Иванова Върбанова-Денчева</v>
      </c>
      <c r="B4697" s="10" t="str">
        <f ca="1">IFERROR(__xludf.DUMMYFUNCTION("""COMPUTED_VALUE"""),"Доклад от конференция")</f>
        <v>Доклад от конференция</v>
      </c>
      <c r="C4697" s="10" t="str">
        <f ca="1">IFERROR(__xludf.DUMMYFUNCTION("""COMPUTED_VALUE"""),"Интелигентният университет – първи стъпки към неговото реализиране в УниБИТ")</f>
        <v>Интелигентният университет – първи стъпки към неговото реализиране в УниБИТ</v>
      </c>
      <c r="D4697" s="10">
        <f ca="1">IFERROR(__xludf.DUMMYFUNCTION("""COMPUTED_VALUE"""),2013)</f>
        <v>2013</v>
      </c>
      <c r="E4697" s="10" t="str">
        <f ca="1">IFERROR(__xludf.DUMMYFUNCTION("""COMPUTED_VALUE"""),"За буквите-О писменехь")</f>
        <v>За буквите-О писменехь</v>
      </c>
      <c r="F4697" s="10"/>
      <c r="G4697" s="10" t="str">
        <f ca="1">IFERROR(__xludf.DUMMYFUNCTION("""COMPUTED_VALUE"""),"Стоян Денчев, Ирена Петева")</f>
        <v>Стоян Денчев, Ирена Петева</v>
      </c>
      <c r="H4697" s="10"/>
      <c r="I4697" s="10"/>
      <c r="J4697" s="10"/>
      <c r="K4697" s="10"/>
      <c r="L4697" s="10"/>
      <c r="M4697" s="10"/>
      <c r="N4697" s="10"/>
      <c r="O4697" s="10"/>
      <c r="P4697" s="10"/>
      <c r="Q4697" s="10"/>
      <c r="R4697" s="10"/>
      <c r="S4697" s="10"/>
      <c r="T4697" s="10"/>
      <c r="U4697" s="10"/>
      <c r="V4697" s="10"/>
      <c r="W4697" s="10"/>
      <c r="X4697" s="10"/>
      <c r="Y4697" s="10"/>
      <c r="Z4697" s="10"/>
    </row>
    <row r="4698" spans="1:26" ht="12.75">
      <c r="A4698" s="10" t="str">
        <f ca="1">IFERROR(__xludf.DUMMYFUNCTION("""COMPUTED_VALUE"""),"Кристина Иванова Върбанова-Денчева")</f>
        <v>Кристина Иванова Върбанова-Денчева</v>
      </c>
      <c r="B4698" s="10" t="str">
        <f ca="1">IFERROR(__xludf.DUMMYFUNCTION("""COMPUTED_VALUE"""),"Доклад от конференция")</f>
        <v>Доклад от конференция</v>
      </c>
      <c r="C4698" s="10" t="str">
        <f ca="1">IFERROR(__xludf.DUMMYFUNCTION("""COMPUTED_VALUE"""),"„Петата свобода”, културата на прозрачност и моделите на образованието в обществото на знанието")</f>
        <v>„Петата свобода”, културата на прозрачност и моделите на образованието в обществото на знанието</v>
      </c>
      <c r="D4698" s="10">
        <f ca="1">IFERROR(__xludf.DUMMYFUNCTION("""COMPUTED_VALUE"""),2013)</f>
        <v>2013</v>
      </c>
      <c r="E4698" s="10" t="str">
        <f ca="1">IFERROR(__xludf.DUMMYFUNCTION("""COMPUTED_VALUE"""),"Сб. Обществото на знанието и хуманизмът на XXI век : национална научна конференция с международно участие, За буквите-О писменехь, ISSN 1314-7099")</f>
        <v>Сб. Обществото на знанието и хуманизмът на XXI век : национална научна конференция с международно участие, За буквите-О писменехь, ISSN 1314-7099</v>
      </c>
      <c r="F4698" s="10"/>
      <c r="G4698" s="10" t="str">
        <f ca="1">IFERROR(__xludf.DUMMYFUNCTION("""COMPUTED_VALUE"""),"Ирена Петева, Стоян Денчев")</f>
        <v>Ирена Петева, Стоян Денчев</v>
      </c>
      <c r="H4698" s="10"/>
      <c r="I4698" s="10"/>
      <c r="J4698" s="10"/>
      <c r="K4698" s="10"/>
      <c r="L4698" s="10"/>
      <c r="M4698" s="10"/>
      <c r="N4698" s="10"/>
      <c r="O4698" s="10"/>
      <c r="P4698" s="10"/>
      <c r="Q4698" s="10"/>
      <c r="R4698" s="10"/>
      <c r="S4698" s="10"/>
      <c r="T4698" s="10"/>
      <c r="U4698" s="10"/>
      <c r="V4698" s="10"/>
      <c r="W4698" s="10"/>
      <c r="X4698" s="10"/>
      <c r="Y4698" s="10"/>
      <c r="Z4698" s="10"/>
    </row>
    <row r="4699" spans="1:26" ht="12.75">
      <c r="A4699" s="10" t="str">
        <f ca="1">IFERROR(__xludf.DUMMYFUNCTION("""COMPUTED_VALUE"""),"Кристина Иванова Върбанова-Денчева")</f>
        <v>Кристина Иванова Върбанова-Денчева</v>
      </c>
      <c r="B4699" s="10" t="str">
        <f ca="1">IFERROR(__xludf.DUMMYFUNCTION("""COMPUTED_VALUE"""),"Доклад от конференция")</f>
        <v>Доклад от конференция</v>
      </c>
      <c r="C4699" s="10" t="str">
        <f ca="1">IFERROR(__xludf.DUMMYFUNCTION("""COMPUTED_VALUE"""),"Дигиталният преход на книжовното културно наследство - проблематизация и решения.")</f>
        <v>Дигиталният преход на книжовното културно наследство - проблематизация и решения.</v>
      </c>
      <c r="D4699" s="10">
        <f ca="1">IFERROR(__xludf.DUMMYFUNCTION("""COMPUTED_VALUE"""),2013)</f>
        <v>2013</v>
      </c>
      <c r="E4699" s="10" t="str">
        <f ca="1">IFERROR(__xludf.DUMMYFUNCTION("""COMPUTED_VALUE"""),"АРИО и ИМТ- БАН")</f>
        <v>АРИО и ИМТ- БАН</v>
      </c>
      <c r="F4699" s="10"/>
      <c r="G4699" s="10" t="str">
        <f ca="1">IFERROR(__xludf.DUMMYFUNCTION("""COMPUTED_VALUE"""),"Деница Чальовски")</f>
        <v>Деница Чальовски</v>
      </c>
      <c r="H4699" s="10"/>
      <c r="I4699" s="10"/>
      <c r="J4699" s="10"/>
      <c r="K4699" s="10"/>
      <c r="L4699" s="10"/>
      <c r="M4699" s="10"/>
      <c r="N4699" s="10"/>
      <c r="O4699" s="10"/>
      <c r="P4699" s="10"/>
      <c r="Q4699" s="10"/>
      <c r="R4699" s="10"/>
      <c r="S4699" s="10"/>
      <c r="T4699" s="10"/>
      <c r="U4699" s="10"/>
      <c r="V4699" s="10"/>
      <c r="W4699" s="10"/>
      <c r="X4699" s="10"/>
      <c r="Y4699" s="10"/>
      <c r="Z4699" s="10"/>
    </row>
    <row r="4700" spans="1:26" ht="12.75">
      <c r="A4700" s="10" t="str">
        <f ca="1">IFERROR(__xludf.DUMMYFUNCTION("""COMPUTED_VALUE"""),"Кристина Иванова Върбанова-Денчева")</f>
        <v>Кристина Иванова Върбанова-Денчева</v>
      </c>
      <c r="B4700" s="10" t="str">
        <f ca="1">IFERROR(__xludf.DUMMYFUNCTION("""COMPUTED_VALUE"""),"Статия в списания и поредици")</f>
        <v>Статия в списания и поредици</v>
      </c>
      <c r="C4700" s="10" t="str">
        <f ca="1">IFERROR(__xludf.DUMMYFUNCTION("""COMPUTED_VALUE"""),"От ""компендиум от знания"" към компетентности: иновации в образователните модели за специалисти по печатни комуникации")</f>
        <v>От "компендиум от знания" към компетентности: иновации в образователните модели за специалисти по печатни комуникации</v>
      </c>
      <c r="D4700" s="10">
        <f ca="1">IFERROR(__xludf.DUMMYFUNCTION("""COMPUTED_VALUE"""),2012)</f>
        <v>2012</v>
      </c>
      <c r="E4700" s="10" t="str">
        <f ca="1">IFERROR(__xludf.DUMMYFUNCTION("""COMPUTED_VALUE"""),"Научни трудове на Университета по библиотекознание и информационни технологии = Proceedings of the State University of Library Studies and Information Technologies ISSN: 1314-2623.- T. 10 (2012), s. 113-124")</f>
        <v>Научни трудове на Университета по библиотекознание и информационни технологии = Proceedings of the State University of Library Studies and Information Technologies ISSN: 1314-2623.- T. 10 (2012), s. 113-124</v>
      </c>
      <c r="F4700" s="10"/>
      <c r="G4700" s="10"/>
      <c r="H4700" s="10"/>
      <c r="I4700" s="10"/>
      <c r="J4700" s="10"/>
      <c r="K4700" s="10"/>
      <c r="L4700" s="10"/>
      <c r="M4700" s="10"/>
      <c r="N4700" s="10"/>
      <c r="O4700" s="10"/>
      <c r="P4700" s="10"/>
      <c r="Q4700" s="10"/>
      <c r="R4700" s="10"/>
      <c r="S4700" s="10"/>
      <c r="T4700" s="10"/>
      <c r="U4700" s="10"/>
      <c r="V4700" s="10"/>
      <c r="W4700" s="10"/>
      <c r="X4700" s="10"/>
      <c r="Y4700" s="10"/>
      <c r="Z4700" s="10"/>
    </row>
    <row r="4701" spans="1:26" ht="12.75">
      <c r="A4701" s="10" t="str">
        <f ca="1">IFERROR(__xludf.DUMMYFUNCTION("""COMPUTED_VALUE"""),"Кристина Иванова Върбанова-Денчева")</f>
        <v>Кристина Иванова Върбанова-Денчева</v>
      </c>
      <c r="B4701" s="10" t="str">
        <f ca="1">IFERROR(__xludf.DUMMYFUNCTION("""COMPUTED_VALUE"""),"Статия в списания и поредици")</f>
        <v>Статия в списания и поредици</v>
      </c>
      <c r="C4701" s="10" t="str">
        <f ca="1">IFERROR(__xludf.DUMMYFUNCTION("""COMPUTED_VALUE"""),"Дигитални библиотеки")</f>
        <v>Дигитални библиотеки</v>
      </c>
      <c r="D4701" s="10">
        <f ca="1">IFERROR(__xludf.DUMMYFUNCTION("""COMPUTED_VALUE"""),2012)</f>
        <v>2012</v>
      </c>
      <c r="E4701" s="10" t="str">
        <f ca="1">IFERROR(__xludf.DUMMYFUNCTION("""COMPUTED_VALUE"""),"// Дигиталните медии : Речник на основните понятия. Съставители и научна редакция Маргарита Пешева, Милко Петров, Мария Попова. Изд. Фабер, В. Търново, 2012, с. 153-159. ISВN 978- 954-400-813-0")</f>
        <v>// Дигиталните медии : Речник на основните понятия. Съставители и научна редакция Маргарита Пешева, Милко Петров, Мария Попова. Изд. Фабер, В. Търново, 2012, с. 153-159. ISВN 978- 954-400-813-0</v>
      </c>
      <c r="F4701" s="10" t="str">
        <f ca="1">IFERROR(__xludf.DUMMYFUNCTION("""COMPUTED_VALUE"""),"www.faber-bg.com
 www.newmedia21.eu")</f>
        <v>www.faber-bg.com
 www.newmedia21.eu</v>
      </c>
      <c r="G4701" s="10"/>
      <c r="H4701" s="10"/>
      <c r="I4701" s="10"/>
      <c r="J4701" s="10"/>
      <c r="K4701" s="10"/>
      <c r="L4701" s="10"/>
      <c r="M4701" s="10"/>
      <c r="N4701" s="10"/>
      <c r="O4701" s="10"/>
      <c r="P4701" s="10"/>
      <c r="Q4701" s="10"/>
      <c r="R4701" s="10"/>
      <c r="S4701" s="10"/>
      <c r="T4701" s="10"/>
      <c r="U4701" s="10"/>
      <c r="V4701" s="10"/>
      <c r="W4701" s="10"/>
      <c r="X4701" s="10"/>
      <c r="Y4701" s="10"/>
      <c r="Z4701" s="10"/>
    </row>
    <row r="4702" spans="1:26" ht="12.75">
      <c r="A4702" s="10" t="str">
        <f ca="1">IFERROR(__xludf.DUMMYFUNCTION("""COMPUTED_VALUE"""),"Кристина Иванова Върбанова-Денчева")</f>
        <v>Кристина Иванова Върбанова-Денчева</v>
      </c>
      <c r="B4702" s="10" t="str">
        <f ca="1">IFERROR(__xludf.DUMMYFUNCTION("""COMPUTED_VALUE"""),"Статия в списания и поредици")</f>
        <v>Статия в списания и поредици</v>
      </c>
      <c r="C4702" s="10" t="str">
        <f ca="1">IFERROR(__xludf.DUMMYFUNCTION("""COMPUTED_VALUE"""),"Образователните модели и платформите за e-learning в УниБИТ")</f>
        <v>Образователните модели и платформите за e-learning в УниБИТ</v>
      </c>
      <c r="D4702" s="10">
        <f ca="1">IFERROR(__xludf.DUMMYFUNCTION("""COMPUTED_VALUE"""),2012)</f>
        <v>2012</v>
      </c>
      <c r="E4702" s="10" t="str">
        <f ca="1">IFERROR(__xludf.DUMMYFUNCTION("""COMPUTED_VALUE"""),"Нови информационни технологии в образователния процес : Сборник ISSN: 1313-2768.- 2011 (2012), s. 13-21")</f>
        <v>Нови информационни технологии в образователния процес : Сборник ISSN: 1313-2768.- 2011 (2012), s. 13-21</v>
      </c>
      <c r="F4702" s="10"/>
      <c r="G4702" s="10" t="str">
        <f ca="1">IFERROR(__xludf.DUMMYFUNCTION("""COMPUTED_VALUE"""),"Иванка Павлова")</f>
        <v>Иванка Павлова</v>
      </c>
      <c r="H4702" s="10"/>
      <c r="I4702" s="10"/>
      <c r="J4702" s="10"/>
      <c r="K4702" s="10"/>
      <c r="L4702" s="10"/>
      <c r="M4702" s="10"/>
      <c r="N4702" s="10"/>
      <c r="O4702" s="10"/>
      <c r="P4702" s="10"/>
      <c r="Q4702" s="10"/>
      <c r="R4702" s="10"/>
      <c r="S4702" s="10"/>
      <c r="T4702" s="10"/>
      <c r="U4702" s="10"/>
      <c r="V4702" s="10"/>
      <c r="W4702" s="10"/>
      <c r="X4702" s="10"/>
      <c r="Y4702" s="10"/>
      <c r="Z4702" s="10"/>
    </row>
    <row r="4703" spans="1:26" ht="12.75">
      <c r="A4703" s="10" t="str">
        <f ca="1">IFERROR(__xludf.DUMMYFUNCTION("""COMPUTED_VALUE"""),"Кристина Иванова Върбанова-Денчева")</f>
        <v>Кристина Иванова Върбанова-Денчева</v>
      </c>
      <c r="B4703" s="10" t="str">
        <f ca="1">IFERROR(__xludf.DUMMYFUNCTION("""COMPUTED_VALUE"""),"Статия в списания и поредици")</f>
        <v>Статия в списания и поредици</v>
      </c>
      <c r="C4703" s="10" t="str">
        <f ca="1">IFERROR(__xludf.DUMMYFUNCTION("""COMPUTED_VALUE"""),"Дигитална конверсия")</f>
        <v>Дигитална конверсия</v>
      </c>
      <c r="D4703" s="10">
        <f ca="1">IFERROR(__xludf.DUMMYFUNCTION("""COMPUTED_VALUE"""),2012)</f>
        <v>2012</v>
      </c>
      <c r="E4703" s="10" t="str">
        <f ca="1">IFERROR(__xludf.DUMMYFUNCTION("""COMPUTED_VALUE"""),"// Дигиталните медии : Речник на основните понятия. Съставители и научна редакция Маргарита Пешева, Милко Петров, Мария Попова. Изд. Фабер, В. Търново, 2012, с. 133-142. ISВN 978- 954-400-813-0")</f>
        <v>// Дигиталните медии : Речник на основните понятия. Съставители и научна редакция Маргарита Пешева, Милко Петров, Мария Попова. Изд. Фабер, В. Търново, 2012, с. 133-142. ISВN 978- 954-400-813-0</v>
      </c>
      <c r="F4703" s="10" t="str">
        <f ca="1">IFERROR(__xludf.DUMMYFUNCTION("""COMPUTED_VALUE"""),"www.faber-bg.com
 www.newmedia21.eu")</f>
        <v>www.faber-bg.com
 www.newmedia21.eu</v>
      </c>
      <c r="G4703" s="10"/>
      <c r="H4703" s="10"/>
      <c r="I4703" s="10"/>
      <c r="J4703" s="10"/>
      <c r="K4703" s="10"/>
      <c r="L4703" s="10"/>
      <c r="M4703" s="10"/>
      <c r="N4703" s="10"/>
      <c r="O4703" s="10"/>
      <c r="P4703" s="10"/>
      <c r="Q4703" s="10"/>
      <c r="R4703" s="10"/>
      <c r="S4703" s="10"/>
      <c r="T4703" s="10"/>
      <c r="U4703" s="10"/>
      <c r="V4703" s="10"/>
      <c r="W4703" s="10"/>
      <c r="X4703" s="10"/>
      <c r="Y4703" s="10"/>
      <c r="Z4703" s="10"/>
    </row>
    <row r="4704" spans="1:26" ht="12.75">
      <c r="A4704" s="10" t="str">
        <f ca="1">IFERROR(__xludf.DUMMYFUNCTION("""COMPUTED_VALUE"""),"Кристина Иванова Върбанова-Денчева")</f>
        <v>Кристина Иванова Върбанова-Денчева</v>
      </c>
      <c r="B4704" s="10" t="str">
        <f ca="1">IFERROR(__xludf.DUMMYFUNCTION("""COMPUTED_VALUE"""),"Статия в списания и поредици")</f>
        <v>Статия в списания и поредици</v>
      </c>
      <c r="C4704" s="10" t="str">
        <f ca="1">IFERROR(__xludf.DUMMYFUNCTION("""COMPUTED_VALUE"""),"Метаморфози на образователните модели на ""третата вълна"" : българският случай")</f>
        <v>Метаморфози на образователните модели на "третата вълна" : българският случай</v>
      </c>
      <c r="D4704" s="10">
        <f ca="1">IFERROR(__xludf.DUMMYFUNCTION("""COMPUTED_VALUE"""),2011)</f>
        <v>2011</v>
      </c>
      <c r="E4704" s="10" t="str">
        <f ca="1">IFERROR(__xludf.DUMMYFUNCTION("""COMPUTED_VALUE"""),"Научни трудове на Университета по библиотекознание и информационни технологии, София : За буквите - О писменехь, 2011, ISSN 1314-2623")</f>
        <v>Научни трудове на Университета по библиотекознание и информационни технологии, София : За буквите - О писменехь, 2011, ISSN 1314-2623</v>
      </c>
      <c r="F4704" s="10"/>
      <c r="G4704" s="10"/>
      <c r="H4704" s="10"/>
      <c r="I4704" s="10"/>
      <c r="J4704" s="10"/>
      <c r="K4704" s="10"/>
      <c r="L4704" s="10"/>
      <c r="M4704" s="10"/>
      <c r="N4704" s="10"/>
      <c r="O4704" s="10"/>
      <c r="P4704" s="10"/>
      <c r="Q4704" s="10"/>
      <c r="R4704" s="10"/>
      <c r="S4704" s="10"/>
      <c r="T4704" s="10"/>
      <c r="U4704" s="10"/>
      <c r="V4704" s="10"/>
      <c r="W4704" s="10"/>
      <c r="X4704" s="10"/>
      <c r="Y4704" s="10"/>
      <c r="Z4704" s="10"/>
    </row>
    <row r="4705" spans="1:26" ht="12.75">
      <c r="A4705" s="10" t="str">
        <f ca="1">IFERROR(__xludf.DUMMYFUNCTION("""COMPUTED_VALUE"""),"Кристина Иванова Върбанова-Денчева")</f>
        <v>Кристина Иванова Върбанова-Денчева</v>
      </c>
      <c r="B4705" s="10" t="str">
        <f ca="1">IFERROR(__xludf.DUMMYFUNCTION("""COMPUTED_VALUE"""),"Статия в списания и поредици")</f>
        <v>Статия в списания и поредици</v>
      </c>
      <c r="C4705" s="10" t="str">
        <f ca="1">IFERROR(__xludf.DUMMYFUNCTION("""COMPUTED_VALUE"""),"Знания и компетентности - динамично равновесие в обучението по печатни комуникации")</f>
        <v>Знания и компетентности - динамично равновесие в обучението по печатни комуникации</v>
      </c>
      <c r="D4705" s="10">
        <f ca="1">IFERROR(__xludf.DUMMYFUNCTION("""COMPUTED_VALUE"""),2011)</f>
        <v>2011</v>
      </c>
      <c r="E4705" s="10" t="str">
        <f ca="1">IFERROR(__xludf.DUMMYFUNCTION("""COMPUTED_VALUE"""),"Сп. Полиграфия : независимо научно-техническо списание за техника, технология и организация на редакционно-издателския процес и печатното производство, София : К-т по печат и др, ISSN 0204-9953")</f>
        <v>Сп. Полиграфия : независимо научно-техническо списание за техника, технология и организация на редакционно-издателския процес и печатното производство, София : К-т по печат и др, ISSN 0204-9953</v>
      </c>
      <c r="F4705" s="10"/>
      <c r="G4705" s="10"/>
      <c r="H4705" s="10"/>
      <c r="I4705" s="10"/>
      <c r="J4705" s="10"/>
      <c r="K4705" s="10"/>
      <c r="L4705" s="10"/>
      <c r="M4705" s="10"/>
      <c r="N4705" s="10"/>
      <c r="O4705" s="10"/>
      <c r="P4705" s="10"/>
      <c r="Q4705" s="10"/>
      <c r="R4705" s="10"/>
      <c r="S4705" s="10"/>
      <c r="T4705" s="10"/>
      <c r="U4705" s="10"/>
      <c r="V4705" s="10"/>
      <c r="W4705" s="10"/>
      <c r="X4705" s="10"/>
      <c r="Y4705" s="10"/>
      <c r="Z4705" s="10"/>
    </row>
    <row r="4706" spans="1:26" ht="12.75">
      <c r="A4706" s="10" t="str">
        <f ca="1">IFERROR(__xludf.DUMMYFUNCTION("""COMPUTED_VALUE"""),"Кристина Иванова Върбанова-Денчева")</f>
        <v>Кристина Иванова Върбанова-Денчева</v>
      </c>
      <c r="B4706" s="10" t="str">
        <f ca="1">IFERROR(__xludf.DUMMYFUNCTION("""COMPUTED_VALUE"""),"Статия в списания и поредици")</f>
        <v>Статия в списания и поредици</v>
      </c>
      <c r="C4706" s="10" t="str">
        <f ca="1">IFERROR(__xludf.DUMMYFUNCTION("""COMPUTED_VALUE"""),"Дистанционното обучение след съвременния интернет")</f>
        <v>Дистанционното обучение след съвременния интернет</v>
      </c>
      <c r="D4706" s="10">
        <f ca="1">IFERROR(__xludf.DUMMYFUNCTION("""COMPUTED_VALUE"""),2010)</f>
        <v>2010</v>
      </c>
      <c r="E4706"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T. 8 (2010), s. 141-156")</f>
        <v>Трудове на Специализираното висше училище по библиотекознание и информационни технологии = Proceedings of the State Institute of Library Studies and Information Technologies ISSN: 1312-5834.- T. 8 (2010), s. 141-156</v>
      </c>
      <c r="F4706" s="10"/>
      <c r="G4706" s="10"/>
      <c r="H4706" s="10"/>
      <c r="I4706" s="10"/>
      <c r="J4706" s="10"/>
      <c r="K4706" s="10"/>
      <c r="L4706" s="10"/>
      <c r="M4706" s="10"/>
      <c r="N4706" s="10"/>
      <c r="O4706" s="10"/>
      <c r="P4706" s="10"/>
      <c r="Q4706" s="10"/>
      <c r="R4706" s="10"/>
      <c r="S4706" s="10"/>
      <c r="T4706" s="10"/>
      <c r="U4706" s="10"/>
      <c r="V4706" s="10"/>
      <c r="W4706" s="10"/>
      <c r="X4706" s="10"/>
      <c r="Y4706" s="10"/>
      <c r="Z4706" s="10"/>
    </row>
    <row r="4707" spans="1:26" ht="12.75">
      <c r="A4707" s="10" t="str">
        <f ca="1">IFERROR(__xludf.DUMMYFUNCTION("""COMPUTED_VALUE"""),"Кристина Иванова Върбанова-Денчева")</f>
        <v>Кристина Иванова Върбанова-Денчева</v>
      </c>
      <c r="B4707" s="10" t="str">
        <f ca="1">IFERROR(__xludf.DUMMYFUNCTION("""COMPUTED_VALUE"""),"Доклад от конференция")</f>
        <v>Доклад от конференция</v>
      </c>
      <c r="C4707" s="10" t="str">
        <f ca="1">IFERROR(__xludf.DUMMYFUNCTION("""COMPUTED_VALUE"""),"Bulgarian University Libraries as an E-Learning Support Center")</f>
        <v>Bulgarian University Libraries as an E-Learning Support Center</v>
      </c>
      <c r="D4707" s="10">
        <f ca="1">IFERROR(__xludf.DUMMYFUNCTION("""COMPUTED_VALUE"""),2010)</f>
        <v>2010</v>
      </c>
      <c r="E4707" s="10" t="str">
        <f ca="1">IFERROR(__xludf.DUMMYFUNCTION("""COMPUTED_VALUE"""),"// International Conference on Society and Information Technologies. ICSIT/ICETI 2010, April, Orlando – Florida. Pp. 386 – 390. ISBN-13: 978-1-934272-90-9.")</f>
        <v>// International Conference on Society and Information Technologies. ICSIT/ICETI 2010, April, Orlando – Florida. Pp. 386 – 390. ISBN-13: 978-1-934272-90-9.</v>
      </c>
      <c r="F4707" s="10" t="str">
        <f ca="1">IFERROR(__xludf.DUMMYFUNCTION("""COMPUTED_VALUE"""),"SCOPUS")</f>
        <v>SCOPUS</v>
      </c>
      <c r="G4707" s="10" t="str">
        <f ca="1">IFERROR(__xludf.DUMMYFUNCTION("""COMPUTED_VALUE"""),"Denchev Stoyan, Peteva, Irena, Tetevenska, Bella")</f>
        <v>Denchev Stoyan, Peteva, Irena, Tetevenska, Bella</v>
      </c>
      <c r="H4707" s="10"/>
      <c r="I4707" s="10"/>
      <c r="J4707" s="10"/>
      <c r="K4707" s="10"/>
      <c r="L4707" s="10"/>
      <c r="M4707" s="10"/>
      <c r="N4707" s="10"/>
      <c r="O4707" s="10"/>
      <c r="P4707" s="10"/>
      <c r="Q4707" s="10"/>
      <c r="R4707" s="10"/>
      <c r="S4707" s="10"/>
      <c r="T4707" s="10"/>
      <c r="U4707" s="10"/>
      <c r="V4707" s="10"/>
      <c r="W4707" s="10"/>
      <c r="X4707" s="10"/>
      <c r="Y4707" s="10"/>
      <c r="Z4707" s="10"/>
    </row>
    <row r="4708" spans="1:26" ht="12.75">
      <c r="A4708" s="10" t="str">
        <f ca="1">IFERROR(__xludf.DUMMYFUNCTION("""COMPUTED_VALUE"""),"Кристина Иванова Върбанова-Денчева")</f>
        <v>Кристина Иванова Върбанова-Денчева</v>
      </c>
      <c r="B4708" s="10" t="str">
        <f ca="1">IFERROR(__xludf.DUMMYFUNCTION("""COMPUTED_VALUE"""),"Статия в списания и поредици")</f>
        <v>Статия в списания и поредици</v>
      </c>
      <c r="C4708" s="10" t="str">
        <f ca="1">IFERROR(__xludf.DUMMYFUNCTION("""COMPUTED_VALUE"""),"Информационни агенти и интелигентни платформи за e-learning в библиотекознанието и печатните комуникации")</f>
        <v>Информационни агенти и интелигентни платформи за e-learning в библиотекознанието и печатните комуникации</v>
      </c>
      <c r="D4708" s="10">
        <f ca="1">IFERROR(__xludf.DUMMYFUNCTION("""COMPUTED_VALUE"""),2009)</f>
        <v>2009</v>
      </c>
      <c r="E4708" s="10" t="str">
        <f ca="1">IFERROR(__xludf.DUMMYFUNCTION("""COMPUTED_VALUE"""),"Нови информационни технологии в образователния процес : Сборник ISSN: 1313-2768.- 2009 (2009), s. 27-37")</f>
        <v>Нови информационни технологии в образователния процес : Сборник ISSN: 1313-2768.- 2009 (2009), s. 27-37</v>
      </c>
      <c r="F4708" s="10"/>
      <c r="G4708" s="10"/>
      <c r="H4708" s="10"/>
      <c r="I4708" s="10"/>
      <c r="J4708" s="10"/>
      <c r="K4708" s="10"/>
      <c r="L4708" s="10"/>
      <c r="M4708" s="10"/>
      <c r="N4708" s="10"/>
      <c r="O4708" s="10"/>
      <c r="P4708" s="10"/>
      <c r="Q4708" s="10"/>
      <c r="R4708" s="10"/>
      <c r="S4708" s="10"/>
      <c r="T4708" s="10"/>
      <c r="U4708" s="10"/>
      <c r="V4708" s="10"/>
      <c r="W4708" s="10"/>
      <c r="X4708" s="10"/>
      <c r="Y4708" s="10"/>
      <c r="Z4708" s="10"/>
    </row>
    <row r="4709" spans="1:26" ht="12.75">
      <c r="A4709" s="10" t="str">
        <f ca="1">IFERROR(__xludf.DUMMYFUNCTION("""COMPUTED_VALUE"""),"Кристина Иванова Върбанова-Денчева")</f>
        <v>Кристина Иванова Върбанова-Денчева</v>
      </c>
      <c r="B4709" s="10" t="str">
        <f ca="1">IFERROR(__xludf.DUMMYFUNCTION("""COMPUTED_VALUE"""),"Монография")</f>
        <v>Монография</v>
      </c>
      <c r="C4709" s="10" t="str">
        <f ca="1">IFERROR(__xludf.DUMMYFUNCTION("""COMPUTED_VALUE"""),"Дигитална конверсия и функционална трансформация на библиотеките")</f>
        <v>Дигитална конверсия и функционална трансформация на библиотеките</v>
      </c>
      <c r="D4709" s="10">
        <f ca="1">IFERROR(__xludf.DUMMYFUNCTION("""COMPUTED_VALUE"""),2009)</f>
        <v>2009</v>
      </c>
      <c r="E4709" s="10" t="str">
        <f ca="1">IFERROR(__xludf.DUMMYFUNCTION("""COMPUTED_VALUE"""),"Изд. За буквите – о писменехъ, 2017, С., 385 с. ISBN 089-954-8887-67-0")</f>
        <v>Изд. За буквите – о писменехъ, 2017, С., 385 с. ISBN 089-954-8887-67-0</v>
      </c>
      <c r="F4709" s="28" t="str">
        <f ca="1">IFERROR(__xludf.DUMMYFUNCTION("""COMPUTED_VALUE"""),"www.zabukvite.org")</f>
        <v>www.zabukvite.org</v>
      </c>
      <c r="G4709" s="10"/>
      <c r="H4709" s="10"/>
      <c r="I4709" s="10"/>
      <c r="J4709" s="10"/>
      <c r="K4709" s="10"/>
      <c r="L4709" s="10"/>
      <c r="M4709" s="10"/>
      <c r="N4709" s="10"/>
      <c r="O4709" s="10"/>
      <c r="P4709" s="10"/>
      <c r="Q4709" s="10"/>
      <c r="R4709" s="10"/>
      <c r="S4709" s="10"/>
      <c r="T4709" s="10"/>
      <c r="U4709" s="10"/>
      <c r="V4709" s="10"/>
      <c r="W4709" s="10"/>
      <c r="X4709" s="10"/>
      <c r="Y4709" s="10"/>
      <c r="Z4709" s="10"/>
    </row>
    <row r="4710" spans="1:26" ht="12.75">
      <c r="A4710" s="10" t="str">
        <f ca="1">IFERROR(__xludf.DUMMYFUNCTION("""COMPUTED_VALUE"""),"Кристина Иванова Върбанова-Денчева")</f>
        <v>Кристина Иванова Върбанова-Денчева</v>
      </c>
      <c r="B4710" s="10" t="str">
        <f ca="1">IFERROR(__xludf.DUMMYFUNCTION("""COMPUTED_VALUE"""),"Статия в списания и поредици")</f>
        <v>Статия в списания и поредици</v>
      </c>
      <c r="C4710" s="10" t="str">
        <f ca="1">IFERROR(__xludf.DUMMYFUNCTION("""COMPUTED_VALUE"""),"Трансформации и взаимодействия между образователните и библиотечните модели в стратегиите на Европа")</f>
        <v>Трансформации и взаимодействия между образователните и библиотечните модели в стратегиите на Европа</v>
      </c>
      <c r="D4710" s="10">
        <f ca="1">IFERROR(__xludf.DUMMYFUNCTION("""COMPUTED_VALUE"""),2008)</f>
        <v>2008</v>
      </c>
      <c r="E4710"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T. 7 (2008), s. 153-163")</f>
        <v>Трудове на Специализираното висше училище по библиотекознание и информационни технологии = Proceedings of the State Institute of Library Studies and Information Technologies ISSN: 1312-5834.- T. 7 (2008), s. 153-163</v>
      </c>
      <c r="F4710" s="10"/>
      <c r="G4710" s="10"/>
      <c r="H4710" s="10"/>
      <c r="I4710" s="10"/>
      <c r="J4710" s="10"/>
      <c r="K4710" s="10"/>
      <c r="L4710" s="10"/>
      <c r="M4710" s="10"/>
      <c r="N4710" s="10"/>
      <c r="O4710" s="10"/>
      <c r="P4710" s="10"/>
      <c r="Q4710" s="10"/>
      <c r="R4710" s="10"/>
      <c r="S4710" s="10"/>
      <c r="T4710" s="10"/>
      <c r="U4710" s="10"/>
      <c r="V4710" s="10"/>
      <c r="W4710" s="10"/>
      <c r="X4710" s="10"/>
      <c r="Y4710" s="10"/>
      <c r="Z4710" s="10"/>
    </row>
    <row r="4711" spans="1:26" ht="12.75">
      <c r="A4711" s="10" t="str">
        <f ca="1">IFERROR(__xludf.DUMMYFUNCTION("""COMPUTED_VALUE"""),"Кристина Иванова Върбанова-Денчева")</f>
        <v>Кристина Иванова Върбанова-Денчева</v>
      </c>
      <c r="B4711" s="10" t="str">
        <f ca="1">IFERROR(__xludf.DUMMYFUNCTION("""COMPUTED_VALUE"""),"Доклад от конференция")</f>
        <v>Доклад от конференция</v>
      </c>
      <c r="C4711" s="10" t="str">
        <f ca="1">IFERROR(__xludf.DUMMYFUNCTION("""COMPUTED_VALUE"""),"Digital conversion as an object, method and strategy for education at the State Institute of Library Studies and Information Technologies.")</f>
        <v>Digital conversion as an object, method and strategy for education at the State Institute of Library Studies and Information Technologies.</v>
      </c>
      <c r="D4711" s="10">
        <f ca="1">IFERROR(__xludf.DUMMYFUNCTION("""COMPUTED_VALUE"""),2007)</f>
        <v>2007</v>
      </c>
      <c r="E4711" s="10" t="str">
        <f ca="1">IFERROR(__xludf.DUMMYFUNCTION("""COMPUTED_VALUE"""),"// Globalization, Digitization, Access, and Preservation of Cultural Heritage. (8-10 November 2006, Sofia, Bulgaria), Proc. Conference (8-10 November 2006, Sofia, Bulgaria) : St. Kliment Ohridski, University of Sofia, 2007, Editors Herbert K Achleitner; A"&amp;"lexander Georgiev Dimchev, pp 127-135. ISBN 093406816X 9780934068161.")</f>
        <v>// Globalization, Digitization, Access, and Preservation of Cultural Heritage. (8-10 November 2006, Sofia, Bulgaria), Proc. Conference (8-10 November 2006, Sofia, Bulgaria) : St. Kliment Ohridski, University of Sofia, 2007, Editors Herbert K Achleitner; Alexander Georgiev Dimchev, pp 127-135. ISBN 093406816X 9780934068161.</v>
      </c>
      <c r="F4711" s="10" t="str">
        <f ca="1">IFERROR(__xludf.DUMMYFUNCTION("""COMPUTED_VALUE"""),"Включен в WorldCat (OCoLC)891552890")</f>
        <v>Включен в WorldCat (OCoLC)891552890</v>
      </c>
      <c r="G4711" s="10"/>
      <c r="H4711" s="10"/>
      <c r="I4711" s="10"/>
      <c r="J4711" s="10"/>
      <c r="K4711" s="10"/>
      <c r="L4711" s="10"/>
      <c r="M4711" s="10"/>
      <c r="N4711" s="10"/>
      <c r="O4711" s="10"/>
      <c r="P4711" s="10"/>
      <c r="Q4711" s="10"/>
      <c r="R4711" s="10"/>
      <c r="S4711" s="10"/>
      <c r="T4711" s="10"/>
      <c r="U4711" s="10"/>
      <c r="V4711" s="10"/>
      <c r="W4711" s="10"/>
      <c r="X4711" s="10"/>
      <c r="Y4711" s="10"/>
      <c r="Z4711" s="10"/>
    </row>
    <row r="4712" spans="1:26" ht="12.75">
      <c r="A4712" s="10" t="str">
        <f ca="1">IFERROR(__xludf.DUMMYFUNCTION("""COMPUTED_VALUE"""),"Кристина Иванова Върбанова-Денчева")</f>
        <v>Кристина Иванова Върбанова-Денчева</v>
      </c>
      <c r="B4712" s="10" t="str">
        <f ca="1">IFERROR(__xludf.DUMMYFUNCTION("""COMPUTED_VALUE"""),"Доклад от конференция")</f>
        <v>Доклад от конференция</v>
      </c>
      <c r="C4712" s="10" t="str">
        <f ca="1">IFERROR(__xludf.DUMMYFUNCTION("""COMPUTED_VALUE"""),"Бугарските библиотеки во поддршка на новото информациско окружуванье")</f>
        <v>Бугарските библиотеки во поддршка на новото информациско окружуванье</v>
      </c>
      <c r="D4712" s="10">
        <f ca="1">IFERROR(__xludf.DUMMYFUNCTION("""COMPUTED_VALUE"""),2006)</f>
        <v>2006</v>
      </c>
      <c r="E4712" s="10" t="str">
        <f ca="1">IFERROR(__xludf.DUMMYFUNCTION("""COMPUTED_VALUE"""),"// Библиотекарство (Скопje, Библиотекарско друшство на Македониjа), Волумен 24 (2006), бр. 1, с. 4–9. ISSN 0350-7580")</f>
        <v>// Библиотекарство (Скопje, Библиотекарско друшство на Македониjа), Волумен 24 (2006), бр. 1, с. 4–9. ISSN 0350-7580</v>
      </c>
      <c r="F4712" s="10"/>
      <c r="G4712" s="10" t="str">
        <f ca="1">IFERROR(__xludf.DUMMYFUNCTION("""COMPUTED_VALUE"""),"Стоjкова, Добринка")</f>
        <v>Стоjкова, Добринка</v>
      </c>
      <c r="H4712" s="10"/>
      <c r="I4712" s="10"/>
      <c r="J4712" s="10"/>
      <c r="K4712" s="10"/>
      <c r="L4712" s="10"/>
      <c r="M4712" s="10"/>
      <c r="N4712" s="10"/>
      <c r="O4712" s="10"/>
      <c r="P4712" s="10"/>
      <c r="Q4712" s="10"/>
      <c r="R4712" s="10"/>
      <c r="S4712" s="10"/>
      <c r="T4712" s="10"/>
      <c r="U4712" s="10"/>
      <c r="V4712" s="10"/>
      <c r="W4712" s="10"/>
      <c r="X4712" s="10"/>
      <c r="Y4712" s="10"/>
      <c r="Z4712" s="10"/>
    </row>
    <row r="4713" spans="1:26" ht="12.75">
      <c r="A4713" s="10" t="str">
        <f ca="1">IFERROR(__xludf.DUMMYFUNCTION("""COMPUTED_VALUE"""),"Кристина Иванова Върбанова-Денчева")</f>
        <v>Кристина Иванова Върбанова-Денчева</v>
      </c>
      <c r="B4713" s="10" t="str">
        <f ca="1">IFERROR(__xludf.DUMMYFUNCTION("""COMPUTED_VALUE"""),"Статия в списания и поредици")</f>
        <v>Статия в списания и поредици</v>
      </c>
      <c r="C4713" s="10" t="str">
        <f ca="1">IFERROR(__xludf.DUMMYFUNCTION("""COMPUTED_VALUE"""),"Новият модел на писмените комуникации в европейското информационно пространство [определен от появата на новите технологии]")</f>
        <v>Новият модел на писмените комуникации в европейското информационно пространство [определен от появата на новите технологии]</v>
      </c>
      <c r="D4713" s="10">
        <f ca="1">IFERROR(__xludf.DUMMYFUNCTION("""COMPUTED_VALUE"""),2006)</f>
        <v>2006</v>
      </c>
      <c r="E4713"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1312-5834.- 5 (2006), s. 95-102")</f>
        <v>Трудове на Специализираното висше училище по библиотекознание и информационни технологии = Proceedings of the State Institute of Library Studies and Information Technologies ISSN: 1312-5834.- 5 (2006), s. 95-102</v>
      </c>
      <c r="F4713" s="10"/>
      <c r="G4713" s="10"/>
      <c r="H4713" s="10"/>
      <c r="I4713" s="10"/>
      <c r="J4713" s="10"/>
      <c r="K4713" s="10"/>
      <c r="L4713" s="10"/>
      <c r="M4713" s="10"/>
      <c r="N4713" s="10"/>
      <c r="O4713" s="10"/>
      <c r="P4713" s="10"/>
      <c r="Q4713" s="10"/>
      <c r="R4713" s="10"/>
      <c r="S4713" s="10"/>
      <c r="T4713" s="10"/>
      <c r="U4713" s="10"/>
      <c r="V4713" s="10"/>
      <c r="W4713" s="10"/>
      <c r="X4713" s="10"/>
      <c r="Y4713" s="10"/>
      <c r="Z4713" s="10"/>
    </row>
    <row r="4714" spans="1:26" ht="12.75">
      <c r="A4714" s="10" t="str">
        <f ca="1">IFERROR(__xludf.DUMMYFUNCTION("""COMPUTED_VALUE"""),"Кристина Иванова Върбанова-Денчева")</f>
        <v>Кристина Иванова Върбанова-Денчева</v>
      </c>
      <c r="B4714" s="10" t="str">
        <f ca="1">IFERROR(__xludf.DUMMYFUNCTION("""COMPUTED_VALUE"""),"Статия в списания и поредици")</f>
        <v>Статия в списания и поредици</v>
      </c>
      <c r="C4714" s="10" t="str">
        <f ca="1">IFERROR(__xludf.DUMMYFUNCTION("""COMPUTED_VALUE"""),"Невидимият Уеб в инфраструктурата на информационните ресурси на българските библиотеки")</f>
        <v>Невидимият Уеб в инфраструктурата на информационните ресурси на българските библиотеки</v>
      </c>
      <c r="D4714" s="10">
        <f ca="1">IFERROR(__xludf.DUMMYFUNCTION("""COMPUTED_VALUE"""),2006)</f>
        <v>2006</v>
      </c>
      <c r="E4714" s="10" t="str">
        <f ca="1">IFERROR(__xludf.DUMMYFUNCTION("""COMPUTED_VALUE"""),"Годишник на Български информационен консорциум ISSN: 1312-4773.- [2, za 2005] (2006), s. 149-158")</f>
        <v>Годишник на Български информационен консорциум ISSN: 1312-4773.- [2, za 2005] (2006), s. 149-158</v>
      </c>
      <c r="F4714" s="10"/>
      <c r="G4714" s="10"/>
      <c r="H4714" s="10"/>
      <c r="I4714" s="10"/>
      <c r="J4714" s="10"/>
      <c r="K4714" s="10"/>
      <c r="L4714" s="10"/>
      <c r="M4714" s="10"/>
      <c r="N4714" s="10"/>
      <c r="O4714" s="10"/>
      <c r="P4714" s="10"/>
      <c r="Q4714" s="10"/>
      <c r="R4714" s="10"/>
      <c r="S4714" s="10"/>
      <c r="T4714" s="10"/>
      <c r="U4714" s="10"/>
      <c r="V4714" s="10"/>
      <c r="W4714" s="10"/>
      <c r="X4714" s="10"/>
      <c r="Y4714" s="10"/>
      <c r="Z4714" s="10"/>
    </row>
    <row r="4715" spans="1:26" ht="12.75">
      <c r="A4715" s="10" t="str">
        <f ca="1">IFERROR(__xludf.DUMMYFUNCTION("""COMPUTED_VALUE"""),"Кристина Иванова Върбанова-Денчева")</f>
        <v>Кристина Иванова Върбанова-Денчева</v>
      </c>
      <c r="B4715" s="10" t="str">
        <f ca="1">IFERROR(__xludf.DUMMYFUNCTION("""COMPUTED_VALUE"""),"Статия в списания и поредици")</f>
        <v>Статия в списания и поредици</v>
      </c>
      <c r="C4715" s="10" t="str">
        <f ca="1">IFERROR(__xludf.DUMMYFUNCTION("""COMPUTED_VALUE"""),"Библиометрические показатели научной продукции по проблемам Черного моря")</f>
        <v>Библиометрические показатели научной продукции по проблемам Черного моря</v>
      </c>
      <c r="D4715" s="10">
        <f ca="1">IFERROR(__xludf.DUMMYFUNCTION("""COMPUTED_VALUE"""),2005)</f>
        <v>2005</v>
      </c>
      <c r="E4715" s="10" t="str">
        <f ca="1">IFERROR(__xludf.DUMMYFUNCTION("""COMPUTED_VALUE"""),"// Наука та наукознавство (Science of Science) (Киiв), 2005, № 1, с. 69–81. ISSN 0374-3896")</f>
        <v>// Наука та наукознавство (Science of Science) (Киiв), 2005, № 1, с. 69–81. ISSN 0374-3896</v>
      </c>
      <c r="F4715" s="10"/>
      <c r="G4715" s="10" t="str">
        <f ca="1">IFERROR(__xludf.DUMMYFUNCTION("""COMPUTED_VALUE"""),"Иванчева, Людмила, Стоева, Лиляна")</f>
        <v>Иванчева, Людмила, Стоева, Лиляна</v>
      </c>
      <c r="H4715" s="10"/>
      <c r="I4715" s="10"/>
      <c r="J4715" s="10"/>
      <c r="K4715" s="10"/>
      <c r="L4715" s="10"/>
      <c r="M4715" s="10"/>
      <c r="N4715" s="10"/>
      <c r="O4715" s="10"/>
      <c r="P4715" s="10"/>
      <c r="Q4715" s="10"/>
      <c r="R4715" s="10"/>
      <c r="S4715" s="10"/>
      <c r="T4715" s="10"/>
      <c r="U4715" s="10"/>
      <c r="V4715" s="10"/>
      <c r="W4715" s="10"/>
      <c r="X4715" s="10"/>
      <c r="Y4715" s="10"/>
      <c r="Z4715" s="10"/>
    </row>
    <row r="4716" spans="1:26" ht="12.75">
      <c r="A4716" s="10" t="str">
        <f ca="1">IFERROR(__xludf.DUMMYFUNCTION("""COMPUTED_VALUE"""),"Кристина Иванова Върбанова-Денчева")</f>
        <v>Кристина Иванова Върбанова-Денчева</v>
      </c>
      <c r="B4716" s="10" t="str">
        <f ca="1">IFERROR(__xludf.DUMMYFUNCTION("""COMPUTED_VALUE"""),"Статия в списания и поредици")</f>
        <v>Статия в списания и поредици</v>
      </c>
      <c r="C4716" s="10" t="str">
        <f ca="1">IFERROR(__xludf.DUMMYFUNCTION("""COMPUTED_VALUE"""),"Международният виртуален проект ""Collaboration Acros Borders"" и българското участие в него")</f>
        <v>Международният виртуален проект "Collaboration Acros Borders" и българското участие в него</v>
      </c>
      <c r="D4716" s="10">
        <f ca="1">IFERROR(__xludf.DUMMYFUNCTION("""COMPUTED_VALUE"""),2005)</f>
        <v>2005</v>
      </c>
      <c r="E4716" s="10" t="str">
        <f ca="1">IFERROR(__xludf.DUMMYFUNCTION("""COMPUTED_VALUE"""),"Трудове на Специализираното висше училище по библиотекознание и информационни технологии = Proceedings of the State Institute of Library Studies and Information Technologies ISSN: 1312-5834.- 4 (2005), s. 43-54")</f>
        <v>Трудове на Специализираното висше училище по библиотекознание и информационни технологии = Proceedings of the State Institute of Library Studies and Information Technologies ISSN: 1312-5834.- 4 (2005), s. 43-54</v>
      </c>
      <c r="F4716" s="10"/>
      <c r="G4716" s="10" t="str">
        <f ca="1">IFERROR(__xludf.DUMMYFUNCTION("""COMPUTED_VALUE"""),"Добринка Стойкова, Жоржета Назърска")</f>
        <v>Добринка Стойкова, Жоржета Назърска</v>
      </c>
      <c r="H4716" s="10"/>
      <c r="I4716" s="10"/>
      <c r="J4716" s="10"/>
      <c r="K4716" s="10"/>
      <c r="L4716" s="10"/>
      <c r="M4716" s="10"/>
      <c r="N4716" s="10"/>
      <c r="O4716" s="10"/>
      <c r="P4716" s="10"/>
      <c r="Q4716" s="10"/>
      <c r="R4716" s="10"/>
      <c r="S4716" s="10"/>
      <c r="T4716" s="10"/>
      <c r="U4716" s="10"/>
      <c r="V4716" s="10"/>
      <c r="W4716" s="10"/>
      <c r="X4716" s="10"/>
      <c r="Y4716" s="10"/>
      <c r="Z4716" s="10"/>
    </row>
    <row r="4717" spans="1:26" ht="12.75">
      <c r="A4717" s="10" t="str">
        <f ca="1">IFERROR(__xludf.DUMMYFUNCTION("""COMPUTED_VALUE"""),"Кристина Иванова Върбанова-Денчева")</f>
        <v>Кристина Иванова Върбанова-Денчева</v>
      </c>
      <c r="B4717" s="10" t="str">
        <f ca="1">IFERROR(__xludf.DUMMYFUNCTION("""COMPUTED_VALUE"""),"Доклад от конференция")</f>
        <v>Доклад от конференция</v>
      </c>
      <c r="C4717" s="10" t="str">
        <f ca="1">IFERROR(__xludf.DUMMYFUNCTION("""COMPUTED_VALUE"""),"Wie koennen weblogs in Bibliotheken genutzt warden?")</f>
        <v>Wie koennen weblogs in Bibliotheken genutzt warden?</v>
      </c>
      <c r="D4717" s="10">
        <f ca="1">IFERROR(__xludf.DUMMYFUNCTION("""COMPUTED_VALUE"""),2005)</f>
        <v>2005</v>
      </c>
      <c r="E4717" s="10" t="str">
        <f ca="1">IFERROR(__xludf.DUMMYFUNCTION("""COMPUTED_VALUE"""),"// Bibliothek, Forschung und Praxis, 29, Sauer Verlag, 2005, N 3, p. 322–329. ISSN: 1865-7648")</f>
        <v>// Bibliothek, Forschung und Praxis, 29, Sauer Verlag, 2005, N 3, p. 322–329. ISSN: 1865-7648</v>
      </c>
      <c r="F4717" s="10" t="str">
        <f ca="1">IFERROR(__xludf.DUMMYFUNCTION("""COMPUTED_VALUE"""),"Web of Science - Emerging Sources Citation Index")</f>
        <v>Web of Science - Emerging Sources Citation Index</v>
      </c>
      <c r="G4717" s="10" t="str">
        <f ca="1">IFERROR(__xludf.DUMMYFUNCTION("""COMPUTED_VALUE"""),"Stoykova, Dobrinka")</f>
        <v>Stoykova, Dobrinka</v>
      </c>
      <c r="H4717" s="10"/>
      <c r="I4717" s="10"/>
      <c r="J4717" s="10"/>
      <c r="K4717" s="10"/>
      <c r="L4717" s="10"/>
      <c r="M4717" s="10"/>
      <c r="N4717" s="10"/>
      <c r="O4717" s="10"/>
      <c r="P4717" s="10"/>
      <c r="Q4717" s="10"/>
      <c r="R4717" s="10"/>
      <c r="S4717" s="10"/>
      <c r="T4717" s="10"/>
      <c r="U4717" s="10"/>
      <c r="V4717" s="10"/>
      <c r="W4717" s="10"/>
      <c r="X4717" s="10"/>
      <c r="Y4717" s="10"/>
      <c r="Z4717" s="10"/>
    </row>
    <row r="4718" spans="1:26" ht="12.75">
      <c r="A4718" s="10" t="str">
        <f ca="1">IFERROR(__xludf.DUMMYFUNCTION("""COMPUTED_VALUE"""),"Кристина Иванова Върбанова-Денчева")</f>
        <v>Кристина Иванова Върбанова-Денчева</v>
      </c>
      <c r="B4718" s="10" t="str">
        <f ca="1">IFERROR(__xludf.DUMMYFUNCTION("""COMPUTED_VALUE"""),"Доклад от конференция")</f>
        <v>Доклад от конференция</v>
      </c>
      <c r="C4718" s="10" t="str">
        <f ca="1">IFERROR(__xludf.DUMMYFUNCTION("""COMPUTED_VALUE"""),"The place of the COMtools in the new Internet reality in Bulgarian libraries, serving children")</f>
        <v>The place of the COMtools in the new Internet reality in Bulgarian libraries, serving children</v>
      </c>
      <c r="D4718" s="10">
        <f ca="1">IFERROR(__xludf.DUMMYFUNCTION("""COMPUTED_VALUE"""),2005)</f>
        <v>2005</v>
      </c>
      <c r="E4718" s="10" t="str">
        <f ca="1">IFERROR(__xludf.DUMMYFUNCTION("""COMPUTED_VALUE"""),"// CHILDREN and libraries, International scientific conference, Belgrade, 5-9 October 2005, Belgrade: MCT Gajic, 2005, p.421- 428. ISSN 1314-4006")</f>
        <v>// CHILDREN and libraries, International scientific conference, Belgrade, 5-9 October 2005, Belgrade: MCT Gajic, 2005, p.421- 428. ISSN 1314-4006</v>
      </c>
      <c r="F4718" s="10"/>
      <c r="G4718" s="10" t="str">
        <f ca="1">IFERROR(__xludf.DUMMYFUNCTION("""COMPUTED_VALUE"""),"Stoykova, Dobrinka")</f>
        <v>Stoykova, Dobrinka</v>
      </c>
      <c r="H4718" s="10"/>
      <c r="I4718" s="10"/>
      <c r="J4718" s="10"/>
      <c r="K4718" s="10"/>
      <c r="L4718" s="10"/>
      <c r="M4718" s="10"/>
      <c r="N4718" s="10"/>
      <c r="O4718" s="10"/>
      <c r="P4718" s="10"/>
      <c r="Q4718" s="10"/>
      <c r="R4718" s="10"/>
      <c r="S4718" s="10"/>
      <c r="T4718" s="10"/>
      <c r="U4718" s="10"/>
      <c r="V4718" s="10"/>
      <c r="W4718" s="10"/>
      <c r="X4718" s="10"/>
      <c r="Y4718" s="10"/>
      <c r="Z4718" s="10"/>
    </row>
    <row r="4719" spans="1:26" ht="12.75">
      <c r="A4719" s="10" t="str">
        <f ca="1">IFERROR(__xludf.DUMMYFUNCTION("""COMPUTED_VALUE"""),"Кристина Иванова Върбанова-Денчева")</f>
        <v>Кристина Иванова Върбанова-Денчева</v>
      </c>
      <c r="B4719" s="10" t="str">
        <f ca="1">IFERROR(__xludf.DUMMYFUNCTION("""COMPUTED_VALUE"""),"Статия в списания и поредици")</f>
        <v>Статия в списания и поредици</v>
      </c>
      <c r="C4719" s="10" t="str">
        <f ca="1">IFERROR(__xludf.DUMMYFUNCTION("""COMPUTED_VALUE"""),"Съвременни библиотечни комуникации")</f>
        <v>Съвременни библиотечни комуникации</v>
      </c>
      <c r="D4719" s="10">
        <f ca="1">IFERROR(__xludf.DUMMYFUNCTION("""COMPUTED_VALUE"""),2003)</f>
        <v>2003</v>
      </c>
      <c r="E4719" s="10" t="str">
        <f ca="1">IFERROR(__xludf.DUMMYFUNCTION("""COMPUTED_VALUE"""),"// Списание на БАН. Акад. Изд. Проф. М. Дринов, 2004, №4, с. 34 - 40. ISSN 0007-3989.")</f>
        <v>// Списание на БАН. Акад. Изд. Проф. М. Дринов, 2004, №4, с. 34 - 40. ISSN 0007-3989.</v>
      </c>
      <c r="F4719" s="10"/>
      <c r="G4719" s="10"/>
      <c r="H4719" s="10"/>
      <c r="I4719" s="10"/>
      <c r="J4719" s="10"/>
      <c r="K4719" s="10"/>
      <c r="L4719" s="10"/>
      <c r="M4719" s="10"/>
      <c r="N4719" s="10"/>
      <c r="O4719" s="10"/>
      <c r="P4719" s="10"/>
      <c r="Q4719" s="10"/>
      <c r="R4719" s="10"/>
      <c r="S4719" s="10"/>
      <c r="T4719" s="10"/>
      <c r="U4719" s="10"/>
      <c r="V4719" s="10"/>
      <c r="W4719" s="10"/>
      <c r="X4719" s="10"/>
      <c r="Y4719" s="10"/>
      <c r="Z4719" s="10"/>
    </row>
    <row r="4720" spans="1:26" ht="12.75">
      <c r="A4720" s="10" t="str">
        <f ca="1">IFERROR(__xludf.DUMMYFUNCTION("""COMPUTED_VALUE"""),"Кристина Иванова Върбанова-Денчева")</f>
        <v>Кристина Иванова Върбанова-Денчева</v>
      </c>
      <c r="B4720" s="10" t="str">
        <f ca="1">IFERROR(__xludf.DUMMYFUNCTION("""COMPUTED_VALUE"""),"Монография")</f>
        <v>Монография</v>
      </c>
      <c r="C4720" s="10" t="str">
        <f ca="1">IFERROR(__xludf.DUMMYFUNCTION("""COMPUTED_VALUE"""),"Интелектуални комуникации и съвременни технологии: Алтернативи пред научните библиотеки")</f>
        <v>Интелектуални комуникации и съвременни технологии: Алтернативи пред научните библиотеки</v>
      </c>
      <c r="D4720" s="10">
        <f ca="1">IFERROR(__xludf.DUMMYFUNCTION("""COMPUTED_VALUE"""),2003)</f>
        <v>2003</v>
      </c>
      <c r="E4720" s="10" t="str">
        <f ca="1">IFERROR(__xludf.DUMMYFUNCTION("""COMPUTED_VALUE"""),"Акад. изд. М. Дринов. 2003., С., 114 с. ISBN 954-430-959-4")</f>
        <v>Акад. изд. М. Дринов. 2003., С., 114 с. ISBN 954-430-959-4</v>
      </c>
      <c r="F4720" s="28" t="str">
        <f ca="1">IFERROR(__xludf.DUMMYFUNCTION("""COMPUTED_VALUE"""),"Httpbgob.net/acad_publ-house.asp")</f>
        <v>Httpbgob.net/acad_publ-house.asp</v>
      </c>
      <c r="G4720" s="10"/>
      <c r="H4720" s="10"/>
      <c r="I4720" s="10"/>
      <c r="J4720" s="10"/>
      <c r="K4720" s="10"/>
      <c r="L4720" s="10"/>
      <c r="M4720" s="10"/>
      <c r="N4720" s="10"/>
      <c r="O4720" s="10"/>
      <c r="P4720" s="10"/>
      <c r="Q4720" s="10"/>
      <c r="R4720" s="10"/>
      <c r="S4720" s="10"/>
      <c r="T4720" s="10"/>
      <c r="U4720" s="10"/>
      <c r="V4720" s="10"/>
      <c r="W4720" s="10"/>
      <c r="X4720" s="10"/>
      <c r="Y4720" s="10"/>
      <c r="Z4720" s="10"/>
    </row>
    <row r="4721" spans="1:26" ht="12.75">
      <c r="A4721" s="10" t="str">
        <f ca="1">IFERROR(__xludf.DUMMYFUNCTION("""COMPUTED_VALUE"""),"Кристина Иванова Върбанова-Денчева")</f>
        <v>Кристина Иванова Върбанова-Денчева</v>
      </c>
      <c r="B4721" s="10" t="str">
        <f ca="1">IFERROR(__xludf.DUMMYFUNCTION("""COMPUTED_VALUE"""),"Статия в списания и поредици")</f>
        <v>Статия в списания и поредици</v>
      </c>
      <c r="C4721" s="10" t="str">
        <f ca="1">IFERROR(__xludf.DUMMYFUNCTION("""COMPUTED_VALUE"""),"Новата роля на академичната библиотека в обслужването на българската наука")</f>
        <v>Новата роля на академичната библиотека в обслужването на българската наука</v>
      </c>
      <c r="D4721" s="10">
        <f ca="1">IFERROR(__xludf.DUMMYFUNCTION("""COMPUTED_VALUE"""),2001)</f>
        <v>2001</v>
      </c>
      <c r="E4721" s="10" t="str">
        <f ca="1">IFERROR(__xludf.DUMMYFUNCTION("""COMPUTED_VALUE"""),"// Списание на БАН. Акад. Изд. Проф. М. Дринов, 2001, №1, с. 25 - 30. ISSN 0007-3989.")</f>
        <v>// Списание на БАН. Акад. Изд. Проф. М. Дринов, 2001, №1, с. 25 - 30. ISSN 0007-3989.</v>
      </c>
      <c r="F4721" s="10"/>
      <c r="G4721" s="10" t="str">
        <f ca="1">IFERROR(__xludf.DUMMYFUNCTION("""COMPUTED_VALUE"""),"Аргирова-Герасимова, Мария")</f>
        <v>Аргирова-Герасимова, Мария</v>
      </c>
      <c r="H4721" s="10"/>
      <c r="I4721" s="10"/>
      <c r="J4721" s="10"/>
      <c r="K4721" s="10"/>
      <c r="L4721" s="10"/>
      <c r="M4721" s="10"/>
      <c r="N4721" s="10"/>
      <c r="O4721" s="10"/>
      <c r="P4721" s="10"/>
      <c r="Q4721" s="10"/>
      <c r="R4721" s="10"/>
      <c r="S4721" s="10"/>
      <c r="T4721" s="10"/>
      <c r="U4721" s="10"/>
      <c r="V4721" s="10"/>
      <c r="W4721" s="10"/>
      <c r="X4721" s="10"/>
      <c r="Y4721" s="10"/>
      <c r="Z4721" s="10"/>
    </row>
    <row r="4722" spans="1:26" ht="12.75">
      <c r="A4722" s="10" t="str">
        <f ca="1">IFERROR(__xludf.DUMMYFUNCTION("""COMPUTED_VALUE"""),"Кристина Иванова Върбанова-Денчева")</f>
        <v>Кристина Иванова Върбанова-Денчева</v>
      </c>
      <c r="B4722" s="10" t="str">
        <f ca="1">IFERROR(__xludf.DUMMYFUNCTION("""COMPUTED_VALUE"""),"Доклад от конференция")</f>
        <v>Доклад от конференция</v>
      </c>
      <c r="C4722" s="10" t="str">
        <f ca="1">IFERROR(__xludf.DUMMYFUNCTION("""COMPUTED_VALUE"""),"Co-Evolution Models of the Knowledge Organisation in the Digital Library Transformations")</f>
        <v>Co-Evolution Models of the Knowledge Organisation in the Digital Library Transformations</v>
      </c>
      <c r="D4722" s="10">
        <f ca="1">IFERROR(__xludf.DUMMYFUNCTION("""COMPUTED_VALUE"""),1999)</f>
        <v>1999</v>
      </c>
      <c r="E4722" s="10" t="str">
        <f ca="1">IFERROR(__xludf.DUMMYFUNCTION("""COMPUTED_VALUE"""),"Proc. Intellectual Capital Dynamics &amp; Innovation Capabilities (3-rd Ed., 26 – 27 June 2008, Matera, Italy) : Publ. Center for Value Management –Univ. Of Basilicata, pp 79 – 82. ISSN 2280787x")</f>
        <v>Proc. Intellectual Capital Dynamics &amp; Innovation Capabilities (3-rd Ed., 26 – 27 June 2008, Matera, Italy) : Publ. Center for Value Management –Univ. Of Basilicata, pp 79 – 82. ISSN 2280787x</v>
      </c>
      <c r="F4722" s="10" t="str">
        <f ca="1">IFERROR(__xludf.DUMMYFUNCTION("""COMPUTED_VALUE"""),"SCOPUS")</f>
        <v>SCOPUS</v>
      </c>
      <c r="G4722" s="10"/>
      <c r="H4722" s="10"/>
      <c r="I4722" s="10"/>
      <c r="J4722" s="10"/>
      <c r="K4722" s="10"/>
      <c r="L4722" s="10"/>
      <c r="M4722" s="10"/>
      <c r="N4722" s="10"/>
      <c r="O4722" s="10"/>
      <c r="P4722" s="10"/>
      <c r="Q4722" s="10"/>
      <c r="R4722" s="10"/>
      <c r="S4722" s="10"/>
      <c r="T4722" s="10"/>
      <c r="U4722" s="10"/>
      <c r="V4722" s="10"/>
      <c r="W4722" s="10"/>
      <c r="X4722" s="10"/>
      <c r="Y4722" s="10"/>
      <c r="Z4722" s="10"/>
    </row>
    <row r="4723" spans="1:26" ht="12.75">
      <c r="A4723" s="10" t="str">
        <f ca="1">IFERROR(__xludf.DUMMYFUNCTION("""COMPUTED_VALUE"""),"Кристина Иванова Върбанова-Денчева")</f>
        <v>Кристина Иванова Върбанова-Денчева</v>
      </c>
      <c r="B4723" s="10" t="str">
        <f ca="1">IFERROR(__xludf.DUMMYFUNCTION("""COMPUTED_VALUE"""),"Статия в списания и поредици")</f>
        <v>Статия в списания и поредици</v>
      </c>
      <c r="C4723" s="10" t="str">
        <f ca="1">IFERROR(__xludf.DUMMYFUNCTION("""COMPUTED_VALUE"""),"Состояние науковедения в Болгарии: Библиометрический анализ научных коммуникации")</f>
        <v>Состояние науковедения в Болгарии: Библиометрический анализ научных коммуникации</v>
      </c>
      <c r="D4723" s="10">
        <f ca="1">IFERROR(__xludf.DUMMYFUNCTION("""COMPUTED_VALUE"""),1999)</f>
        <v>1999</v>
      </c>
      <c r="E4723" s="10" t="str">
        <f ca="1">IFERROR(__xludf.DUMMYFUNCTION("""COMPUTED_VALUE"""),"// Научно-техническая информация, Сер. 1, 1999, № 3, с. 22–25. ISSN 0548-0019")</f>
        <v>// Научно-техническая информация, Сер. 1, 1999, № 3, с. 22–25. ISSN 0548-0019</v>
      </c>
      <c r="F4723" s="10"/>
      <c r="G4723" s="10" t="str">
        <f ca="1">IFERROR(__xludf.DUMMYFUNCTION("""COMPUTED_VALUE"""),"Лиляна Стоева, Людмила Иванчева")</f>
        <v>Лиляна Стоева, Людмила Иванчева</v>
      </c>
      <c r="H4723" s="10"/>
      <c r="I4723" s="10"/>
      <c r="J4723" s="10"/>
      <c r="K4723" s="10"/>
      <c r="L4723" s="10"/>
      <c r="M4723" s="10"/>
      <c r="N4723" s="10"/>
      <c r="O4723" s="10"/>
      <c r="P4723" s="10"/>
      <c r="Q4723" s="10"/>
      <c r="R4723" s="10"/>
      <c r="S4723" s="10"/>
      <c r="T4723" s="10"/>
      <c r="U4723" s="10"/>
      <c r="V4723" s="10"/>
      <c r="W4723" s="10"/>
      <c r="X4723" s="10"/>
      <c r="Y4723" s="10"/>
      <c r="Z4723" s="10"/>
    </row>
    <row r="4724" spans="1:26" ht="12.75">
      <c r="A4724" s="10" t="str">
        <f ca="1">IFERROR(__xludf.DUMMYFUNCTION("""COMPUTED_VALUE"""),"Кристина Иванова Върбанова-Денчева")</f>
        <v>Кристина Иванова Върбанова-Денчева</v>
      </c>
      <c r="B4724" s="10" t="str">
        <f ca="1">IFERROR(__xludf.DUMMYFUNCTION("""COMPUTED_VALUE"""),"Статия в списания и поредици")</f>
        <v>Статия в списания и поредици</v>
      </c>
      <c r="C4724" s="10" t="str">
        <f ca="1">IFERROR(__xludf.DUMMYFUNCTION("""COMPUTED_VALUE"""),"Наукометричен анализ на публикационната активност на българските учени в областта Научна политик")</f>
        <v>Наукометричен анализ на публикационната активност на българските учени в областта Научна политик</v>
      </c>
      <c r="D4724" s="10">
        <f ca="1">IFERROR(__xludf.DUMMYFUNCTION("""COMPUTED_VALUE"""),1999)</f>
        <v>1999</v>
      </c>
      <c r="E4724" s="10" t="str">
        <f ca="1">IFERROR(__xludf.DUMMYFUNCTION("""COMPUTED_VALUE"""),"// Стратегии на образователната и научната политика. - София, 1999, № 1, с. 46 – 53. ISSN 1310–0270")</f>
        <v>// Стратегии на образователната и научната политика. - София, 1999, № 1, с. 46 – 53. ISSN 1310–0270</v>
      </c>
      <c r="F4724" s="10"/>
      <c r="G4724" s="10" t="str">
        <f ca="1">IFERROR(__xludf.DUMMYFUNCTION("""COMPUTED_VALUE"""),"Лили (Лиляна) Стоева , Людмила Иванчева, Николай Матеев , Пламен Матеев")</f>
        <v>Лили (Лиляна) Стоева , Людмила Иванчева, Николай Матеев , Пламен Матеев</v>
      </c>
      <c r="H4724" s="10"/>
      <c r="I4724" s="10"/>
      <c r="J4724" s="10"/>
      <c r="K4724" s="10"/>
      <c r="L4724" s="10"/>
      <c r="M4724" s="10"/>
      <c r="N4724" s="10"/>
      <c r="O4724" s="10"/>
      <c r="P4724" s="10"/>
      <c r="Q4724" s="10"/>
      <c r="R4724" s="10"/>
      <c r="S4724" s="10"/>
      <c r="T4724" s="10"/>
      <c r="U4724" s="10"/>
      <c r="V4724" s="10"/>
      <c r="W4724" s="10"/>
      <c r="X4724" s="10"/>
      <c r="Y4724" s="10"/>
      <c r="Z4724" s="10"/>
    </row>
    <row r="4725" spans="1:26" ht="12.75">
      <c r="A4725" s="10" t="str">
        <f ca="1">IFERROR(__xludf.DUMMYFUNCTION("""COMPUTED_VALUE"""),"Кристина Иванова Върбанова-Денчева")</f>
        <v>Кристина Иванова Върбанова-Денчева</v>
      </c>
      <c r="B4725" s="10" t="str">
        <f ca="1">IFERROR(__xludf.DUMMYFUNCTION("""COMPUTED_VALUE"""),"Статия в списания и поредици")</f>
        <v>Статия в списания и поредици</v>
      </c>
      <c r="C4725" s="10" t="str">
        <f ca="1">IFERROR(__xludf.DUMMYFUNCTION("""COMPUTED_VALUE"""),"Библиотечно-информационния фонд на БАН и неговото бъдеще в комуникационната структура на Интернет")</f>
        <v>Библиотечно-информационния фонд на БАН и неговото бъдеще в комуникационната структура на Интернет</v>
      </c>
      <c r="D4725" s="10">
        <f ca="1">IFERROR(__xludf.DUMMYFUNCTION("""COMPUTED_VALUE"""),1997)</f>
        <v>1997</v>
      </c>
      <c r="E4725" s="10" t="str">
        <f ca="1">IFERROR(__xludf.DUMMYFUNCTION("""COMPUTED_VALUE"""),"Библиотекознание, библиография, книгознание : сборник ISSN: 0861-4881.- 7 (1997), s. 132-136")</f>
        <v>Библиотекознание, библиография, книгознание : сборник ISSN: 0861-4881.- 7 (1997), s. 132-136</v>
      </c>
      <c r="F4725" s="10"/>
      <c r="G4725" s="10"/>
      <c r="H4725" s="10"/>
      <c r="I4725" s="10"/>
      <c r="J4725" s="10"/>
      <c r="K4725" s="10"/>
      <c r="L4725" s="10"/>
      <c r="M4725" s="10"/>
      <c r="N4725" s="10"/>
      <c r="O4725" s="10"/>
      <c r="P4725" s="10"/>
      <c r="Q4725" s="10"/>
      <c r="R4725" s="10"/>
      <c r="S4725" s="10"/>
      <c r="T4725" s="10"/>
      <c r="U4725" s="10"/>
      <c r="V4725" s="10"/>
      <c r="W4725" s="10"/>
      <c r="X4725" s="10"/>
      <c r="Y4725" s="10"/>
      <c r="Z4725" s="10"/>
    </row>
    <row r="4726" spans="1:26" ht="12.75">
      <c r="A4726" s="10" t="str">
        <f ca="1">IFERROR(__xludf.DUMMYFUNCTION("""COMPUTED_VALUE"""),"Кристина Иванова Върбанова-Денчева")</f>
        <v>Кристина Иванова Върбанова-Денчева</v>
      </c>
      <c r="B4726" s="10" t="str">
        <f ca="1">IFERROR(__xludf.DUMMYFUNCTION("""COMPUTED_VALUE"""),"Статия в списания и поредици")</f>
        <v>Статия в списания и поредици</v>
      </c>
      <c r="C4726" s="10" t="str">
        <f ca="1">IFERROR(__xludf.DUMMYFUNCTION("""COMPUTED_VALUE"""),"Състояние на автоматизацията на на библиотечно-информационните процеси в библиотечната мрежа на БАН")</f>
        <v>Състояние на автоматизацията на на библиотечно-информационните процеси в библиотечната мрежа на БАН</v>
      </c>
      <c r="D4726" s="10">
        <f ca="1">IFERROR(__xludf.DUMMYFUNCTION("""COMPUTED_VALUE"""),1995)</f>
        <v>1995</v>
      </c>
      <c r="E4726" s="10" t="str">
        <f ca="1">IFERROR(__xludf.DUMMYFUNCTION("""COMPUTED_VALUE"""),"Проблеми на специалните библиотеки : тематичен сборник = Special Library Problems ISSN: 0205-2377.- 1995 (1995), s. 44-50")</f>
        <v>Проблеми на специалните библиотеки : тематичен сборник = Special Library Problems ISSN: 0205-2377.- 1995 (1995), s. 44-50</v>
      </c>
      <c r="F4726" s="10"/>
      <c r="G4726" s="10"/>
      <c r="H4726" s="10"/>
      <c r="I4726" s="10"/>
      <c r="J4726" s="10"/>
      <c r="K4726" s="10"/>
      <c r="L4726" s="10"/>
      <c r="M4726" s="10"/>
      <c r="N4726" s="10"/>
      <c r="O4726" s="10"/>
      <c r="P4726" s="10"/>
      <c r="Q4726" s="10"/>
      <c r="R4726" s="10"/>
      <c r="S4726" s="10"/>
      <c r="T4726" s="10"/>
      <c r="U4726" s="10"/>
      <c r="V4726" s="10"/>
      <c r="W4726" s="10"/>
      <c r="X4726" s="10"/>
      <c r="Y4726" s="10"/>
      <c r="Z4726" s="10"/>
    </row>
    <row r="4727" spans="1:26" ht="12.75">
      <c r="A4727" s="10" t="str">
        <f ca="1">IFERROR(__xludf.DUMMYFUNCTION("""COMPUTED_VALUE"""),"Лизбет Любенова Върбанова - Йонева")</f>
        <v>Лизбет Любенова Върбанова - Йонева</v>
      </c>
      <c r="B4727" s="10" t="str">
        <f ca="1">IFERROR(__xludf.DUMMYFUNCTION("""COMPUTED_VALUE"""),"Доклад от конференция")</f>
        <v>Доклад от конференция</v>
      </c>
      <c r="C4727" s="10" t="str">
        <f ca="1">IFERROR(__xludf.DUMMYFUNCTION("""COMPUTED_VALUE"""),"Бялата емиграция в България.")</f>
        <v>Бялата емиграция в България.</v>
      </c>
      <c r="D4727" s="10">
        <f ca="1">IFERROR(__xludf.DUMMYFUNCTION("""COMPUTED_VALUE"""),2019)</f>
        <v>2019</v>
      </c>
      <c r="E4727" s="10" t="str">
        <f ca="1">IFERROR(__xludf.DUMMYFUNCTION("""COMPUTED_VALUE"""),"– В: 100 години от болшевишкия преврат в Русия и влиянието му в България. Доклади от научна конференция. С., 2019, с. 135-149. SBN 978-619-01-0412-4")</f>
        <v>– В: 100 години от болшевишкия преврат в Русия и влиянието му в България. Доклади от научна конференция. С., 2019, с. 135-149. SBN 978-619-01-0412-4</v>
      </c>
      <c r="F4727" s="10"/>
      <c r="G4727" s="10"/>
      <c r="H4727" s="10"/>
      <c r="I4727" s="10"/>
      <c r="J4727" s="10"/>
      <c r="K4727" s="10"/>
      <c r="L4727" s="10"/>
      <c r="M4727" s="10"/>
      <c r="N4727" s="10"/>
      <c r="O4727" s="10"/>
      <c r="P4727" s="10"/>
      <c r="Q4727" s="10"/>
      <c r="R4727" s="10"/>
      <c r="S4727" s="10"/>
      <c r="T4727" s="10"/>
      <c r="U4727" s="10"/>
      <c r="V4727" s="10"/>
      <c r="W4727" s="10"/>
      <c r="X4727" s="10"/>
      <c r="Y4727" s="10"/>
      <c r="Z4727" s="10"/>
    </row>
    <row r="4728" spans="1:26" ht="12.75">
      <c r="A4728" s="10" t="str">
        <f ca="1">IFERROR(__xludf.DUMMYFUNCTION("""COMPUTED_VALUE"""),"Лизбет Любенова Върбанова - Йонева")</f>
        <v>Лизбет Любенова Върбанова - Йонева</v>
      </c>
      <c r="B4728" s="10" t="str">
        <f ca="1">IFERROR(__xludf.DUMMYFUNCTION("""COMPUTED_VALUE"""),"Книга")</f>
        <v>Книга</v>
      </c>
      <c r="C4728" s="10" t="str">
        <f ca="1">IFERROR(__xludf.DUMMYFUNCTION("""COMPUTED_VALUE"""),"Иван Евстратиев Гешов (1849-1924). Дигитални колекции на Научния архив на БАН.")</f>
        <v>Иван Евстратиев Гешов (1849-1924). Дигитални колекции на Научния архив на БАН.</v>
      </c>
      <c r="D4728" s="10">
        <f ca="1">IFERROR(__xludf.DUMMYFUNCTION("""COMPUTED_VALUE"""),2019)</f>
        <v>2019</v>
      </c>
      <c r="E4728" s="10" t="str">
        <f ca="1">IFERROR(__xludf.DUMMYFUNCTION("""COMPUTED_VALUE"""),"Том 1. С., 2019, 47 с.+ два диска.")</f>
        <v>Том 1. С., 2019, 47 с.+ два диска.</v>
      </c>
      <c r="F4728" s="10"/>
      <c r="G4728" s="10"/>
      <c r="H4728" s="10"/>
      <c r="I4728" s="10"/>
      <c r="J4728" s="10"/>
      <c r="K4728" s="10"/>
      <c r="L4728" s="10"/>
      <c r="M4728" s="10"/>
      <c r="N4728" s="10"/>
      <c r="O4728" s="10"/>
      <c r="P4728" s="10"/>
      <c r="Q4728" s="10"/>
      <c r="R4728" s="10"/>
      <c r="S4728" s="10"/>
      <c r="T4728" s="10"/>
      <c r="U4728" s="10"/>
      <c r="V4728" s="10"/>
      <c r="W4728" s="10"/>
      <c r="X4728" s="10"/>
      <c r="Y4728" s="10"/>
      <c r="Z4728" s="10"/>
    </row>
    <row r="4729" spans="1:26" ht="12.75">
      <c r="A4729" s="10" t="str">
        <f ca="1">IFERROR(__xludf.DUMMYFUNCTION("""COMPUTED_VALUE"""),"Лизбет Любенова Върбанова - Йонева")</f>
        <v>Лизбет Любенова Върбанова - Йонева</v>
      </c>
      <c r="B4729" s="10" t="str">
        <f ca="1">IFERROR(__xludf.DUMMYFUNCTION("""COMPUTED_VALUE"""),"Монография")</f>
        <v>Монография</v>
      </c>
      <c r="C4729" s="10" t="str">
        <f ca="1">IFERROR(__xludf.DUMMYFUNCTION("""COMPUTED_VALUE"""),"Избрани трудове. Том 1. Охридски митрополит Борис. Второ издание.")</f>
        <v>Избрани трудове. Том 1. Охридски митрополит Борис. Второ издание.</v>
      </c>
      <c r="D4729" s="10">
        <f ca="1">IFERROR(__xludf.DUMMYFUNCTION("""COMPUTED_VALUE"""),2019)</f>
        <v>2019</v>
      </c>
      <c r="E4729" s="10" t="str">
        <f ca="1">IFERROR(__xludf.DUMMYFUNCTION("""COMPUTED_VALUE"""),"София, 2019, 595 с. ISBN 978-954-411-257-8")</f>
        <v>София, 2019, 595 с. ISBN 978-954-411-257-8</v>
      </c>
      <c r="F4729" s="10"/>
      <c r="G4729" s="10"/>
      <c r="H4729" s="10"/>
      <c r="I4729" s="10"/>
      <c r="J4729" s="10"/>
      <c r="K4729" s="10"/>
      <c r="L4729" s="10"/>
      <c r="M4729" s="10"/>
      <c r="N4729" s="10"/>
      <c r="O4729" s="10"/>
      <c r="P4729" s="10"/>
      <c r="Q4729" s="10"/>
      <c r="R4729" s="10"/>
      <c r="S4729" s="10"/>
      <c r="T4729" s="10"/>
      <c r="U4729" s="10"/>
      <c r="V4729" s="10"/>
      <c r="W4729" s="10"/>
      <c r="X4729" s="10"/>
      <c r="Y4729" s="10"/>
      <c r="Z4729" s="10"/>
    </row>
    <row r="4730" spans="1:26" ht="12.75">
      <c r="A4730" s="10" t="str">
        <f ca="1">IFERROR(__xludf.DUMMYFUNCTION("""COMPUTED_VALUE"""),"Лизбет Любенова Върбанова - Йонева")</f>
        <v>Лизбет Любенова Върбанова - Йонева</v>
      </c>
      <c r="B4730" s="10" t="str">
        <f ca="1">IFERROR(__xludf.DUMMYFUNCTION("""COMPUTED_VALUE"""),"Книга")</f>
        <v>Книга</v>
      </c>
      <c r="C4730" s="10" t="str">
        <f ca="1">IFERROR(__xludf.DUMMYFUNCTION("""COMPUTED_VALUE"""),"Иван Евстратиев Гешов (1849-1924). Дигитални колекции на Научния архив на БАН. Том 1.")</f>
        <v>Иван Евстратиев Гешов (1849-1924). Дигитални колекции на Научния архив на БАН. Том 1.</v>
      </c>
      <c r="D4730" s="10">
        <f ca="1">IFERROR(__xludf.DUMMYFUNCTION("""COMPUTED_VALUE"""),2019)</f>
        <v>2019</v>
      </c>
      <c r="E4730" s="10" t="str">
        <f ca="1">IFERROR(__xludf.DUMMYFUNCTION("""COMPUTED_VALUE"""),"Иван Евстратиев Гешов (1849-1924). Дигитални колекции на
 Научния архив на БАН. Том 1. С., 2019, 47 с.+ два диска. ISBN 978-954-411-262-2")</f>
        <v>Иван Евстратиев Гешов (1849-1924). Дигитални колекции на
 Научния архив на БАН. Том 1. С., 2019, 47 с.+ два диска. ISBN 978-954-411-262-2</v>
      </c>
      <c r="F4730" s="10"/>
      <c r="G4730" s="10"/>
      <c r="H4730" s="10"/>
      <c r="I4730" s="10"/>
      <c r="J4730" s="10"/>
      <c r="K4730" s="10"/>
      <c r="L4730" s="10"/>
      <c r="M4730" s="10"/>
      <c r="N4730" s="10"/>
      <c r="O4730" s="10"/>
      <c r="P4730" s="10"/>
      <c r="Q4730" s="10"/>
      <c r="R4730" s="10"/>
      <c r="S4730" s="10"/>
      <c r="T4730" s="10"/>
      <c r="U4730" s="10"/>
      <c r="V4730" s="10"/>
      <c r="W4730" s="10"/>
      <c r="X4730" s="10"/>
      <c r="Y4730" s="10"/>
      <c r="Z4730" s="10"/>
    </row>
    <row r="4731" spans="1:26" ht="12.75">
      <c r="A4731" s="10" t="str">
        <f ca="1">IFERROR(__xludf.DUMMYFUNCTION("""COMPUTED_VALUE"""),"Лизбет Любенова Върбанова - Йонева")</f>
        <v>Лизбет Любенова Върбанова - Йонева</v>
      </c>
      <c r="B4731" s="10" t="str">
        <f ca="1">IFERROR(__xludf.DUMMYFUNCTION("""COMPUTED_VALUE"""),"Доклад от конференция")</f>
        <v>Доклад от конференция</v>
      </c>
      <c r="C4731" s="10" t="str">
        <f ca="1">IFERROR(__xludf.DUMMYFUNCTION("""COMPUTED_VALUE"""),"Бялата емиграция в България")</f>
        <v>Бялата емиграция в България</v>
      </c>
      <c r="D4731" s="10">
        <f ca="1">IFERROR(__xludf.DUMMYFUNCTION("""COMPUTED_VALUE"""),2019)</f>
        <v>2019</v>
      </c>
      <c r="E4731" s="10" t="str">
        <f ca="1">IFERROR(__xludf.DUMMYFUNCTION("""COMPUTED_VALUE"""),"100 години от болшевишкия преврат в Русия и влиянието му в България. Доклади от научна конференция. С., 2019, с. 135-149. SBN 978-619-01-0412-4")</f>
        <v>100 години от болшевишкия преврат в Русия и влиянието му в България. Доклади от научна конференция. С., 2019, с. 135-149. SBN 978-619-01-0412-4</v>
      </c>
      <c r="F4731" s="10"/>
      <c r="G4731" s="10"/>
      <c r="H4731" s="10"/>
      <c r="I4731" s="10"/>
      <c r="J4731" s="10"/>
      <c r="K4731" s="10"/>
      <c r="L4731" s="10"/>
      <c r="M4731" s="10"/>
      <c r="N4731" s="10"/>
      <c r="O4731" s="10"/>
      <c r="P4731" s="10"/>
      <c r="Q4731" s="10"/>
      <c r="R4731" s="10"/>
      <c r="S4731" s="10"/>
      <c r="T4731" s="10"/>
      <c r="U4731" s="10"/>
      <c r="V4731" s="10"/>
      <c r="W4731" s="10"/>
      <c r="X4731" s="10"/>
      <c r="Y4731" s="10"/>
      <c r="Z4731" s="10"/>
    </row>
    <row r="4732" spans="1:26" ht="12.75">
      <c r="A4732" s="10" t="str">
        <f ca="1">IFERROR(__xludf.DUMMYFUNCTION("""COMPUTED_VALUE"""),"Лизбет Любенова Върбанова - Йонева")</f>
        <v>Лизбет Любенова Върбанова - Йонева</v>
      </c>
      <c r="B4732" s="10" t="str">
        <f ca="1">IFERROR(__xludf.DUMMYFUNCTION("""COMPUTED_VALUE"""),"Статия в списания и поредици")</f>
        <v>Статия в списания и поредици</v>
      </c>
      <c r="C4732" s="10" t="str">
        <f ca="1">IFERROR(__xludf.DUMMYFUNCTION("""COMPUTED_VALUE"""),"Сътрудничество и просперитет")</f>
        <v>Сътрудничество и просперитет</v>
      </c>
      <c r="D4732" s="10">
        <f ca="1">IFERROR(__xludf.DUMMYFUNCTION("""COMPUTED_VALUE"""),2019)</f>
        <v>2019</v>
      </c>
      <c r="E4732" s="10" t="str">
        <f ca="1">IFERROR(__xludf.DUMMYFUNCTION("""COMPUTED_VALUE"""),"в-к „За буквите – о писменехь”, год. XLI, бр. 59/ноември 2019, с. 9.")</f>
        <v>в-к „За буквите – о писменехь”, год. XLI, бр. 59/ноември 2019, с. 9.</v>
      </c>
      <c r="F4732" s="10"/>
      <c r="G4732" s="10"/>
      <c r="H4732" s="10"/>
      <c r="I4732" s="10"/>
      <c r="J4732" s="10"/>
      <c r="K4732" s="10"/>
      <c r="L4732" s="10"/>
      <c r="M4732" s="10"/>
      <c r="N4732" s="10"/>
      <c r="O4732" s="10"/>
      <c r="P4732" s="10"/>
      <c r="Q4732" s="10"/>
      <c r="R4732" s="10"/>
      <c r="S4732" s="10"/>
      <c r="T4732" s="10"/>
      <c r="U4732" s="10"/>
      <c r="V4732" s="10"/>
      <c r="W4732" s="10"/>
      <c r="X4732" s="10"/>
      <c r="Y4732" s="10"/>
      <c r="Z4732" s="10"/>
    </row>
    <row r="4733" spans="1:26" ht="12.75">
      <c r="A4733" s="10" t="str">
        <f ca="1">IFERROR(__xludf.DUMMYFUNCTION("""COMPUTED_VALUE"""),"Лизбет Любенова Върбанова - Йонева")</f>
        <v>Лизбет Любенова Върбанова - Йонева</v>
      </c>
      <c r="B4733" s="10" t="str">
        <f ca="1">IFERROR(__xludf.DUMMYFUNCTION("""COMPUTED_VALUE"""),"Учебник")</f>
        <v>Учебник</v>
      </c>
      <c r="C4733" s="10" t="str">
        <f ca="1">IFERROR(__xludf.DUMMYFUNCTION("""COMPUTED_VALUE"""),"Моята България. Кратка история за млади читатели")</f>
        <v>Моята България. Кратка история за млади читатели</v>
      </c>
      <c r="D4733" s="10">
        <f ca="1">IFERROR(__xludf.DUMMYFUNCTION("""COMPUTED_VALUE"""),2018)</f>
        <v>2018</v>
      </c>
      <c r="E4733" s="10" t="str">
        <f ca="1">IFERROR(__xludf.DUMMYFUNCTION("""COMPUTED_VALUE"""),"Моята България. Кратка история за млади читатели. 
 София, Просвета, 2018, 107 с. ISBN 978-954-01-3767-4")</f>
        <v>Моята България. Кратка история за млади читатели. 
 София, Просвета, 2018, 107 с. ISBN 978-954-01-3767-4</v>
      </c>
      <c r="F4733" s="10"/>
      <c r="G4733" s="10" t="str">
        <f ca="1">IFERROR(__xludf.DUMMYFUNCTION("""COMPUTED_VALUE"""),"Веселина Вачкова, Пламен Митев, Пламен Павлов.")</f>
        <v>Веселина Вачкова, Пламен Митев, Пламен Павлов.</v>
      </c>
      <c r="H4733" s="10"/>
      <c r="I4733" s="10"/>
      <c r="J4733" s="10"/>
      <c r="K4733" s="10"/>
      <c r="L4733" s="10"/>
      <c r="M4733" s="10"/>
      <c r="N4733" s="10"/>
      <c r="O4733" s="10"/>
      <c r="P4733" s="10"/>
      <c r="Q4733" s="10"/>
      <c r="R4733" s="10"/>
      <c r="S4733" s="10"/>
      <c r="T4733" s="10"/>
      <c r="U4733" s="10"/>
      <c r="V4733" s="10"/>
      <c r="W4733" s="10"/>
      <c r="X4733" s="10"/>
      <c r="Y4733" s="10"/>
      <c r="Z4733" s="10"/>
    </row>
    <row r="4734" spans="1:26" ht="12.75">
      <c r="A4734" s="10" t="str">
        <f ca="1">IFERROR(__xludf.DUMMYFUNCTION("""COMPUTED_VALUE"""),"Лизбет Любенова Върбанова - Йонева")</f>
        <v>Лизбет Любенова Върбанова - Йонева</v>
      </c>
      <c r="B4734" s="10" t="str">
        <f ca="1">IFERROR(__xludf.DUMMYFUNCTION("""COMPUTED_VALUE"""),"Доклад от конференция")</f>
        <v>Доклад от конференция</v>
      </c>
      <c r="C4734" s="10" t="str">
        <f ca="1">IFERROR(__xludf.DUMMYFUNCTION("""COMPUTED_VALUE"""),"Един от многото неизвестни днес гласове за спасяването на българските евреи")</f>
        <v>Един от многото неизвестни днес гласове за спасяването на българските евреи</v>
      </c>
      <c r="D4734" s="10">
        <f ca="1">IFERROR(__xludf.DUMMYFUNCTION("""COMPUTED_VALUE"""),2018)</f>
        <v>2018</v>
      </c>
      <c r="E4734" s="10" t="str">
        <f ca="1">IFERROR(__xludf.DUMMYFUNCTION("""COMPUTED_VALUE"""),"– В: Краят увенчава делото. Сборник материали от международна научна конференция „Спасяването на българските евреи – събития и личности”. Изд. Фабер, В. Търново, 2018, с. 97-102. ISBN 978-619-00-0881-1")</f>
        <v>– В: Краят увенчава делото. Сборник материали от международна научна конференция „Спасяването на българските евреи – събития и личности”. Изд. Фабер, В. Търново, 2018, с. 97-102. ISBN 978-619-00-0881-1</v>
      </c>
      <c r="F4734" s="10"/>
      <c r="G4734" s="10"/>
      <c r="H4734" s="10"/>
      <c r="I4734" s="10"/>
      <c r="J4734" s="10"/>
      <c r="K4734" s="10"/>
      <c r="L4734" s="10"/>
      <c r="M4734" s="10"/>
      <c r="N4734" s="10"/>
      <c r="O4734" s="10"/>
      <c r="P4734" s="10"/>
      <c r="Q4734" s="10"/>
      <c r="R4734" s="10"/>
      <c r="S4734" s="10"/>
      <c r="T4734" s="10"/>
      <c r="U4734" s="10"/>
      <c r="V4734" s="10"/>
      <c r="W4734" s="10"/>
      <c r="X4734" s="10"/>
      <c r="Y4734" s="10"/>
      <c r="Z4734" s="10"/>
    </row>
    <row r="4735" spans="1:26" ht="12.75">
      <c r="A4735" s="10" t="str">
        <f ca="1">IFERROR(__xludf.DUMMYFUNCTION("""COMPUTED_VALUE"""),"Лизбет Любенова Върбанова - Йонева")</f>
        <v>Лизбет Любенова Върбанова - Йонева</v>
      </c>
      <c r="B4735" s="10" t="str">
        <f ca="1">IFERROR(__xludf.DUMMYFUNCTION("""COMPUTED_VALUE"""),"Учебно пособие")</f>
        <v>Учебно пособие</v>
      </c>
      <c r="C4735" s="10" t="str">
        <f ca="1">IFERROR(__xludf.DUMMYFUNCTION("""COMPUTED_VALUE"""),"Моята България. Кратка история за млади читатели.")</f>
        <v>Моята България. Кратка история за млади читатели.</v>
      </c>
      <c r="D4735" s="10">
        <f ca="1">IFERROR(__xludf.DUMMYFUNCTION("""COMPUTED_VALUE"""),2018)</f>
        <v>2018</v>
      </c>
      <c r="E4735" s="10" t="str">
        <f ca="1">IFERROR(__xludf.DUMMYFUNCTION("""COMPUTED_VALUE"""),"София: Просвета, 2018, 107 с. ISBN 978-954-01-3767-4")</f>
        <v>София: Просвета, 2018, 107 с. ISBN 978-954-01-3767-4</v>
      </c>
      <c r="F4735" s="10"/>
      <c r="G4735" s="10" t="str">
        <f ca="1">IFERROR(__xludf.DUMMYFUNCTION("""COMPUTED_VALUE"""),"Веселина Вачкова, Пламен Митев, Пламен Павлов")</f>
        <v>Веселина Вачкова, Пламен Митев, Пламен Павлов</v>
      </c>
      <c r="H4735" s="10"/>
      <c r="I4735" s="10"/>
      <c r="J4735" s="10"/>
      <c r="K4735" s="10"/>
      <c r="L4735" s="10"/>
      <c r="M4735" s="10"/>
      <c r="N4735" s="10"/>
      <c r="O4735" s="10"/>
      <c r="P4735" s="10"/>
      <c r="Q4735" s="10"/>
      <c r="R4735" s="10"/>
      <c r="S4735" s="10"/>
      <c r="T4735" s="10"/>
      <c r="U4735" s="10"/>
      <c r="V4735" s="10"/>
      <c r="W4735" s="10"/>
      <c r="X4735" s="10"/>
      <c r="Y4735" s="10"/>
      <c r="Z4735" s="10"/>
    </row>
    <row r="4736" spans="1:26" ht="12.75">
      <c r="A4736" s="10" t="str">
        <f ca="1">IFERROR(__xludf.DUMMYFUNCTION("""COMPUTED_VALUE"""),"Лизбет Любенова Върбанова - Йонева")</f>
        <v>Лизбет Любенова Върбанова - Йонева</v>
      </c>
      <c r="B4736" s="10" t="str">
        <f ca="1">IFERROR(__xludf.DUMMYFUNCTION("""COMPUTED_VALUE"""),"Доклад от конференция")</f>
        <v>Доклад от конференция</v>
      </c>
      <c r="C4736" s="10" t="str">
        <f ca="1">IFERROR(__xludf.DUMMYFUNCTION("""COMPUTED_VALUE"""),"Един от многото неизвестни днес гласове за спасяването на българските евреи")</f>
        <v>Един от многото неизвестни днес гласове за спасяването на българските евреи</v>
      </c>
      <c r="D4736" s="10">
        <f ca="1">IFERROR(__xludf.DUMMYFUNCTION("""COMPUTED_VALUE"""),2018)</f>
        <v>2018</v>
      </c>
      <c r="E4736" s="10" t="str">
        <f ca="1">IFERROR(__xludf.DUMMYFUNCTION("""COMPUTED_VALUE"""),"Краят увенчава делото. Сборник материали от международна научна конференция „Спасяването на българските евреи – събития и личности”. Фабер, В. Търново, 2018, с.97-102. ISBN 978-619-00-0881-1")</f>
        <v>Краят увенчава делото. Сборник материали от международна научна конференция „Спасяването на българските евреи – събития и личности”. Фабер, В. Търново, 2018, с.97-102. ISBN 978-619-00-0881-1</v>
      </c>
      <c r="F4736" s="10"/>
      <c r="G4736" s="10"/>
      <c r="H4736" s="10"/>
      <c r="I4736" s="10"/>
      <c r="J4736" s="10"/>
      <c r="K4736" s="10"/>
      <c r="L4736" s="10"/>
      <c r="M4736" s="10"/>
      <c r="N4736" s="10"/>
      <c r="O4736" s="10"/>
      <c r="P4736" s="10"/>
      <c r="Q4736" s="10"/>
      <c r="R4736" s="10"/>
      <c r="S4736" s="10"/>
      <c r="T4736" s="10"/>
      <c r="U4736" s="10"/>
      <c r="V4736" s="10"/>
      <c r="W4736" s="10"/>
      <c r="X4736" s="10"/>
      <c r="Y4736" s="10"/>
      <c r="Z4736" s="10"/>
    </row>
    <row r="4737" spans="1:26" ht="12.75">
      <c r="A4737" s="10" t="str">
        <f ca="1">IFERROR(__xludf.DUMMYFUNCTION("""COMPUTED_VALUE"""),"Лизбет Любенова Върбанова - Йонева")</f>
        <v>Лизбет Любенова Върбанова - Йонева</v>
      </c>
      <c r="B4737" s="10" t="str">
        <f ca="1">IFERROR(__xludf.DUMMYFUNCTION("""COMPUTED_VALUE"""),"Доклад от конференция")</f>
        <v>Доклад от конференция</v>
      </c>
      <c r="C4737" s="10" t="str">
        <f ca="1">IFERROR(__xludf.DUMMYFUNCTION("""COMPUTED_VALUE"""),"Юбиляр без юбилейни чествания или как посрещнахме 1000 и 1100 години от успението на св. Климент Охридски (1916, 2016).")</f>
        <v>Юбиляр без юбилейни чествания или как посрещнахме 1000 и 1100 години от успението на св. Климент Охридски (1916, 2016).</v>
      </c>
      <c r="D4737" s="10">
        <f ca="1">IFERROR(__xludf.DUMMYFUNCTION("""COMPUTED_VALUE"""),2017)</f>
        <v>2017</v>
      </c>
      <c r="E4737" s="10" t="str">
        <f ca="1">IFERROR(__xludf.DUMMYFUNCTION("""COMPUTED_VALUE"""),"История, култура, медии. Юбилеен сборник в чест на Горан Благоев. Изд. Книгопис, С., 2017, с.139-147. ISBN 978-619-7067-72-9")</f>
        <v>История, култура, медии. Юбилеен сборник в чест на Горан Благоев. Изд. Книгопис, С., 2017, с.139-147. ISBN 978-619-7067-72-9</v>
      </c>
      <c r="F4737" s="10"/>
      <c r="G4737" s="10"/>
      <c r="H4737" s="10"/>
      <c r="I4737" s="10"/>
      <c r="J4737" s="10"/>
      <c r="K4737" s="10"/>
      <c r="L4737" s="10"/>
      <c r="M4737" s="10"/>
      <c r="N4737" s="10"/>
      <c r="O4737" s="10"/>
      <c r="P4737" s="10"/>
      <c r="Q4737" s="10"/>
      <c r="R4737" s="10"/>
      <c r="S4737" s="10"/>
      <c r="T4737" s="10"/>
      <c r="U4737" s="10"/>
      <c r="V4737" s="10"/>
      <c r="W4737" s="10"/>
      <c r="X4737" s="10"/>
      <c r="Y4737" s="10"/>
      <c r="Z4737" s="10"/>
    </row>
    <row r="4738" spans="1:26" ht="12.75">
      <c r="A4738" s="10" t="str">
        <f ca="1">IFERROR(__xludf.DUMMYFUNCTION("""COMPUTED_VALUE"""),"Лизбет Любенова Върбанова - Йонева")</f>
        <v>Лизбет Любенова Върбанова - Йонева</v>
      </c>
      <c r="B4738" s="10" t="str">
        <f ca="1">IFERROR(__xludf.DUMMYFUNCTION("""COMPUTED_VALUE"""),"Книга")</f>
        <v>Книга</v>
      </c>
      <c r="C4738" s="10" t="str">
        <f ca="1">IFERROR(__xludf.DUMMYFUNCTION("""COMPUTED_VALUE"""),"По пътя на българската духовност. Т. 3. Между драмата на две епохи. Варненски и Преславски митрополит д-р Йосиф.")</f>
        <v>По пътя на българската духовност. Т. 3. Между драмата на две епохи. Варненски и Преславски митрополит д-р Йосиф.</v>
      </c>
      <c r="D4738" s="10">
        <f ca="1">IFERROR(__xludf.DUMMYFUNCTION("""COMPUTED_VALUE"""),2017)</f>
        <v>2017</v>
      </c>
      <c r="E4738" s="10" t="str">
        <f ca="1">IFERROR(__xludf.DUMMYFUNCTION("""COMPUTED_VALUE"""),"Изд. „За буквите – о писменехь”. С., 2017, 469 с. ISBN 978-619-185-267-3")</f>
        <v>Изд. „За буквите – о писменехь”. С., 2017, 469 с. ISBN 978-619-185-267-3</v>
      </c>
      <c r="F4738" s="10"/>
      <c r="G4738" s="10"/>
      <c r="H4738" s="10"/>
      <c r="I4738" s="10"/>
      <c r="J4738" s="10"/>
      <c r="K4738" s="10"/>
      <c r="L4738" s="10"/>
      <c r="M4738" s="10"/>
      <c r="N4738" s="10"/>
      <c r="O4738" s="10"/>
      <c r="P4738" s="10"/>
      <c r="Q4738" s="10"/>
      <c r="R4738" s="10"/>
      <c r="S4738" s="10"/>
      <c r="T4738" s="10"/>
      <c r="U4738" s="10"/>
      <c r="V4738" s="10"/>
      <c r="W4738" s="10"/>
      <c r="X4738" s="10"/>
      <c r="Y4738" s="10"/>
      <c r="Z4738" s="10"/>
    </row>
    <row r="4739" spans="1:26" ht="12.75">
      <c r="A4739" s="10" t="str">
        <f ca="1">IFERROR(__xludf.DUMMYFUNCTION("""COMPUTED_VALUE"""),"Лизбет Любенова Върбанова - Йонева")</f>
        <v>Лизбет Любенова Върбанова - Йонева</v>
      </c>
      <c r="B4739" s="10" t="str">
        <f ca="1">IFERROR(__xludf.DUMMYFUNCTION("""COMPUTED_VALUE"""),"Книга")</f>
        <v>Книга</v>
      </c>
      <c r="C4739" s="10" t="str">
        <f ca="1">IFERROR(__xludf.DUMMYFUNCTION("""COMPUTED_VALUE"""),"Един българин от Македония. Даскал Атанас поп Петров. Документален сборник. Автобиография, спомени, бележници.")</f>
        <v>Един българин от Македония. Даскал Атанас поп Петров. Документален сборник. Автобиография, спомени, бележници.</v>
      </c>
      <c r="D4739" s="10">
        <f ca="1">IFERROR(__xludf.DUMMYFUNCTION("""COMPUTED_VALUE"""),2017)</f>
        <v>2017</v>
      </c>
      <c r="E4739" s="10" t="str">
        <f ca="1">IFERROR(__xludf.DUMMYFUNCTION("""COMPUTED_VALUE"""),"Изд. Диомира. С., 2017, 174 с. ISBN 978-954-2977-36-0")</f>
        <v>Изд. Диомира. С., 2017, 174 с. ISBN 978-954-2977-36-0</v>
      </c>
      <c r="F4739" s="10"/>
      <c r="G4739" s="10"/>
      <c r="H4739" s="10"/>
      <c r="I4739" s="10"/>
      <c r="J4739" s="10"/>
      <c r="K4739" s="10"/>
      <c r="L4739" s="10"/>
      <c r="M4739" s="10"/>
      <c r="N4739" s="10"/>
      <c r="O4739" s="10"/>
      <c r="P4739" s="10"/>
      <c r="Q4739" s="10"/>
      <c r="R4739" s="10"/>
      <c r="S4739" s="10"/>
      <c r="T4739" s="10"/>
      <c r="U4739" s="10"/>
      <c r="V4739" s="10"/>
      <c r="W4739" s="10"/>
      <c r="X4739" s="10"/>
      <c r="Y4739" s="10"/>
      <c r="Z4739" s="10"/>
    </row>
    <row r="4740" spans="1:26" ht="12.75">
      <c r="A4740" s="10" t="str">
        <f ca="1">IFERROR(__xludf.DUMMYFUNCTION("""COMPUTED_VALUE"""),"Лизбет Любенова Върбанова - Йонева")</f>
        <v>Лизбет Любенова Върбанова - Йонева</v>
      </c>
      <c r="B4740" s="10" t="str">
        <f ca="1">IFERROR(__xludf.DUMMYFUNCTION("""COMPUTED_VALUE"""),"Статия в списания и поредици")</f>
        <v>Статия в списания и поредици</v>
      </c>
      <c r="C4740" s="10" t="str">
        <f ca="1">IFERROR(__xludf.DUMMYFUNCTION("""COMPUTED_VALUE"""),"Летописецът на Източна Тракия.")</f>
        <v>Летописецът на Източна Тракия.</v>
      </c>
      <c r="D4740" s="10">
        <f ca="1">IFERROR(__xludf.DUMMYFUNCTION("""COMPUTED_VALUE"""),2017)</f>
        <v>2017</v>
      </c>
      <c r="E4740" s="10" t="str">
        <f ca="1">IFERROR(__xludf.DUMMYFUNCTION("""COMPUTED_VALUE"""),"Будител, октомври-декември 2017, с. 11-23. ISSN 1312-7829")</f>
        <v>Будител, октомври-декември 2017, с. 11-23. ISSN 1312-7829</v>
      </c>
      <c r="F4740" s="10"/>
      <c r="G4740" s="10"/>
      <c r="H4740" s="10"/>
      <c r="I4740" s="10"/>
      <c r="J4740" s="10"/>
      <c r="K4740" s="10"/>
      <c r="L4740" s="10"/>
      <c r="M4740" s="10"/>
      <c r="N4740" s="10"/>
      <c r="O4740" s="10"/>
      <c r="P4740" s="10"/>
      <c r="Q4740" s="10"/>
      <c r="R4740" s="10"/>
      <c r="S4740" s="10"/>
      <c r="T4740" s="10"/>
      <c r="U4740" s="10"/>
      <c r="V4740" s="10"/>
      <c r="W4740" s="10"/>
      <c r="X4740" s="10"/>
      <c r="Y4740" s="10"/>
      <c r="Z4740" s="10"/>
    </row>
    <row r="4741" spans="1:26" ht="12.75">
      <c r="A4741" s="10" t="str">
        <f ca="1">IFERROR(__xludf.DUMMYFUNCTION("""COMPUTED_VALUE"""),"Лизбет Любенова Върбанова - Йонева")</f>
        <v>Лизбет Любенова Върбанова - Йонева</v>
      </c>
      <c r="B4741" s="10" t="str">
        <f ca="1">IFERROR(__xludf.DUMMYFUNCTION("""COMPUTED_VALUE"""),"Статия в списания и поредици")</f>
        <v>Статия в списания и поредици</v>
      </c>
      <c r="C4741" s="10" t="str">
        <f ca="1">IFERROR(__xludf.DUMMYFUNCTION("""COMPUTED_VALUE"""),"Дипломатически преговори за влизане на България в Първата световна война по неизвестни документи.")</f>
        <v>Дипломатически преговори за влизане на България в Първата световна война по неизвестни документи.</v>
      </c>
      <c r="D4741" s="10">
        <f ca="1">IFERROR(__xludf.DUMMYFUNCTION("""COMPUTED_VALUE"""),2016)</f>
        <v>2016</v>
      </c>
      <c r="E4741" s="10" t="str">
        <f ca="1">IFERROR(__xludf.DUMMYFUNCTION("""COMPUTED_VALUE"""),"сп. Наука, бр. 86 от 2016, с. 146 сл. ISSN 0861-3362")</f>
        <v>сп. Наука, бр. 86 от 2016, с. 146 сл. ISSN 0861-3362</v>
      </c>
      <c r="F4741" s="10"/>
      <c r="G4741" s="10"/>
      <c r="H4741" s="10"/>
      <c r="I4741" s="10"/>
      <c r="J4741" s="10"/>
      <c r="K4741" s="10"/>
      <c r="L4741" s="10"/>
      <c r="M4741" s="10"/>
      <c r="N4741" s="10"/>
      <c r="O4741" s="10"/>
      <c r="P4741" s="10"/>
      <c r="Q4741" s="10"/>
      <c r="R4741" s="10"/>
      <c r="S4741" s="10"/>
      <c r="T4741" s="10"/>
      <c r="U4741" s="10"/>
      <c r="V4741" s="10"/>
      <c r="W4741" s="10"/>
      <c r="X4741" s="10"/>
      <c r="Y4741" s="10"/>
      <c r="Z4741" s="10"/>
    </row>
    <row r="4742" spans="1:26" ht="12.75">
      <c r="A4742" s="10" t="str">
        <f ca="1">IFERROR(__xludf.DUMMYFUNCTION("""COMPUTED_VALUE"""),"Лизбет Любенова Върбанова - Йонева")</f>
        <v>Лизбет Любенова Върбанова - Йонева</v>
      </c>
      <c r="B4742" s="10" t="str">
        <f ca="1">IFERROR(__xludf.DUMMYFUNCTION("""COMPUTED_VALUE"""),"Доклад от конференция")</f>
        <v>Доклад от конференция</v>
      </c>
      <c r="C4742" s="10" t="str">
        <f ca="1">IFERROR(__xludf.DUMMYFUNCTION("""COMPUTED_VALUE"""),"Съдбата на българската духовна семинария в Цариград.")</f>
        <v>Съдбата на българската духовна семинария в Цариград.</v>
      </c>
      <c r="D4742" s="10">
        <f ca="1">IFERROR(__xludf.DUMMYFUNCTION("""COMPUTED_VALUE"""),2016)</f>
        <v>2016</v>
      </c>
      <c r="E4742" s="10" t="str">
        <f ca="1">IFERROR(__xludf.DUMMYFUNCTION("""COMPUTED_VALUE"""),"От регионалното към националното. Сб. доклади и научни съобщения от VIII национална научна конференция на Исторически музей Полски Тръмбеш. Изд. Абагар. В. Търново, 2016, с. 270-283. ISBN 978-619-168-152-5")</f>
        <v>От регионалното към националното. Сб. доклади и научни съобщения от VIII национална научна конференция на Исторически музей Полски Тръмбеш. Изд. Абагар. В. Търново, 2016, с. 270-283. ISBN 978-619-168-152-5</v>
      </c>
      <c r="F4742" s="10"/>
      <c r="G4742" s="10"/>
      <c r="H4742" s="10"/>
      <c r="I4742" s="10"/>
      <c r="J4742" s="10"/>
      <c r="K4742" s="10"/>
      <c r="L4742" s="10"/>
      <c r="M4742" s="10"/>
      <c r="N4742" s="10"/>
      <c r="O4742" s="10"/>
      <c r="P4742" s="10"/>
      <c r="Q4742" s="10"/>
      <c r="R4742" s="10"/>
      <c r="S4742" s="10"/>
      <c r="T4742" s="10"/>
      <c r="U4742" s="10"/>
      <c r="V4742" s="10"/>
      <c r="W4742" s="10"/>
      <c r="X4742" s="10"/>
      <c r="Y4742" s="10"/>
      <c r="Z4742" s="10"/>
    </row>
    <row r="4743" spans="1:26" ht="12.75">
      <c r="A4743" s="10" t="str">
        <f ca="1">IFERROR(__xludf.DUMMYFUNCTION("""COMPUTED_VALUE"""),"Лизбет Любенова Върбанова - Йонева")</f>
        <v>Лизбет Любенова Върбанова - Йонева</v>
      </c>
      <c r="B4743" s="10" t="str">
        <f ca="1">IFERROR(__xludf.DUMMYFUNCTION("""COMPUTED_VALUE"""),"Доклад от конференция")</f>
        <v>Доклад от конференция</v>
      </c>
      <c r="C4743" s="10" t="str">
        <f ca="1">IFERROR(__xludf.DUMMYFUNCTION("""COMPUTED_VALUE"""),"Съдбата на българската духовна семинария в Цариград.")</f>
        <v>Съдбата на българската духовна семинария в Цариград.</v>
      </c>
      <c r="D4743" s="10">
        <f ca="1">IFERROR(__xludf.DUMMYFUNCTION("""COMPUTED_VALUE"""),2016)</f>
        <v>2016</v>
      </c>
      <c r="E4743" s="10" t="str">
        <f ca="1">IFERROR(__xludf.DUMMYFUNCTION("""COMPUTED_VALUE"""),"От регионалното към националното. Сб. доклади и научни съобщения от VIII национална научна конференция на Исторически музей Полски Тръмбеш. Изд. Абагар. В. Търново, 2016, с. 270-283. ISBN 978-619-168-152-5")</f>
        <v>От регионалното към националното. Сб. доклади и научни съобщения от VIII национална научна конференция на Исторически музей Полски Тръмбеш. Изд. Абагар. В. Търново, 2016, с. 270-283. ISBN 978-619-168-152-5</v>
      </c>
      <c r="F4743" s="10"/>
      <c r="G4743" s="10"/>
      <c r="H4743" s="10"/>
      <c r="I4743" s="10"/>
      <c r="J4743" s="10"/>
      <c r="K4743" s="10"/>
      <c r="L4743" s="10"/>
      <c r="M4743" s="10"/>
      <c r="N4743" s="10"/>
      <c r="O4743" s="10"/>
      <c r="P4743" s="10"/>
      <c r="Q4743" s="10"/>
      <c r="R4743" s="10"/>
      <c r="S4743" s="10"/>
      <c r="T4743" s="10"/>
      <c r="U4743" s="10"/>
      <c r="V4743" s="10"/>
      <c r="W4743" s="10"/>
      <c r="X4743" s="10"/>
      <c r="Y4743" s="10"/>
      <c r="Z4743" s="10"/>
    </row>
    <row r="4744" spans="1:26" ht="12.75">
      <c r="A4744" s="10" t="str">
        <f ca="1">IFERROR(__xludf.DUMMYFUNCTION("""COMPUTED_VALUE"""),"Лизбет Любенова Върбанова - Йонева")</f>
        <v>Лизбет Любенова Върбанова - Йонева</v>
      </c>
      <c r="B4744" s="10" t="str">
        <f ca="1">IFERROR(__xludf.DUMMYFUNCTION("""COMPUTED_VALUE"""),"Статия в списания и поредици")</f>
        <v>Статия в списания и поредици</v>
      </c>
      <c r="C4744" s="10" t="str">
        <f ca="1">IFERROR(__xludf.DUMMYFUNCTION("""COMPUTED_VALUE"""),"Голямото зяпане.")</f>
        <v>Голямото зяпане.</v>
      </c>
      <c r="D4744" s="10">
        <f ca="1">IFERROR(__xludf.DUMMYFUNCTION("""COMPUTED_VALUE"""),2016)</f>
        <v>2016</v>
      </c>
      <c r="E4744" s="10" t="str">
        <f ca="1">IFERROR(__xludf.DUMMYFUNCTION("""COMPUTED_VALUE"""),"Българите мохамедани. Лъжи и спекулации. Част I. Изд. Тангра. С., 2016, с. 209-220. ISBN 978-954-378-142-3")</f>
        <v>Българите мохамедани. Лъжи и спекулации. Част I. Изд. Тангра. С., 2016, с. 209-220. ISBN 978-954-378-142-3</v>
      </c>
      <c r="F4744" s="10"/>
      <c r="G4744" s="10"/>
      <c r="H4744" s="10"/>
      <c r="I4744" s="10"/>
      <c r="J4744" s="10"/>
      <c r="K4744" s="10"/>
      <c r="L4744" s="10"/>
      <c r="M4744" s="10"/>
      <c r="N4744" s="10"/>
      <c r="O4744" s="10"/>
      <c r="P4744" s="10"/>
      <c r="Q4744" s="10"/>
      <c r="R4744" s="10"/>
      <c r="S4744" s="10"/>
      <c r="T4744" s="10"/>
      <c r="U4744" s="10"/>
      <c r="V4744" s="10"/>
      <c r="W4744" s="10"/>
      <c r="X4744" s="10"/>
      <c r="Y4744" s="10"/>
      <c r="Z4744" s="10"/>
    </row>
    <row r="4745" spans="1:26" ht="12.75">
      <c r="A4745" s="10" t="str">
        <f ca="1">IFERROR(__xludf.DUMMYFUNCTION("""COMPUTED_VALUE"""),"Лизбет Любенова Върбанова - Йонева")</f>
        <v>Лизбет Любенова Върбанова - Йонева</v>
      </c>
      <c r="B4745" s="10" t="str">
        <f ca="1">IFERROR(__xludf.DUMMYFUNCTION("""COMPUTED_VALUE"""),"Доклад от конференция")</f>
        <v>Доклад от конференция</v>
      </c>
      <c r="C4745" s="10" t="str">
        <f ca="1">IFERROR(__xludf.DUMMYFUNCTION("""COMPUTED_VALUE"""),"Българската следа в архива на Косово и Метохия в гр. Прищина.")</f>
        <v>Българската следа в архива на Косово и Метохия в гр. Прищина.</v>
      </c>
      <c r="D4745" s="10">
        <f ca="1">IFERROR(__xludf.DUMMYFUNCTION("""COMPUTED_VALUE"""),2016)</f>
        <v>2016</v>
      </c>
      <c r="E4745" s="10" t="str">
        <f ca="1">IFERROR(__xludf.DUMMYFUNCTION("""COMPUTED_VALUE"""),"Обществото на знанието и хуманизмът на XXI век. 1140 години от славянската писменост в България. XIII национална научна конференция с международно участие. София, 1 ноември 2015. За буквите – о писменех.С., 2016, 432-437. ISSN 1314-7099")</f>
        <v>Обществото на знанието и хуманизмът на XXI век. 1140 години от славянската писменост в България. XIII национална научна конференция с международно участие. София, 1 ноември 2015. За буквите – о писменех.С., 2016, 432-437. ISSN 1314-7099</v>
      </c>
      <c r="F4745" s="10"/>
      <c r="G4745" s="10"/>
      <c r="H4745" s="10"/>
      <c r="I4745" s="10"/>
      <c r="J4745" s="10"/>
      <c r="K4745" s="10"/>
      <c r="L4745" s="10"/>
      <c r="M4745" s="10"/>
      <c r="N4745" s="10"/>
      <c r="O4745" s="10"/>
      <c r="P4745" s="10"/>
      <c r="Q4745" s="10"/>
      <c r="R4745" s="10"/>
      <c r="S4745" s="10"/>
      <c r="T4745" s="10"/>
      <c r="U4745" s="10"/>
      <c r="V4745" s="10"/>
      <c r="W4745" s="10"/>
      <c r="X4745" s="10"/>
      <c r="Y4745" s="10"/>
      <c r="Z4745" s="10"/>
    </row>
    <row r="4746" spans="1:26" ht="12.75">
      <c r="A4746" s="10" t="str">
        <f ca="1">IFERROR(__xludf.DUMMYFUNCTION("""COMPUTED_VALUE"""),"Лизбет Любенова Върбанова - Йонева")</f>
        <v>Лизбет Любенова Върбанова - Йонева</v>
      </c>
      <c r="B4746" s="10" t="str">
        <f ca="1">IFERROR(__xludf.DUMMYFUNCTION("""COMPUTED_VALUE"""),"Доклад от конференция")</f>
        <v>Доклад от конференция</v>
      </c>
      <c r="C4746" s="10" t="str">
        <f ca="1">IFERROR(__xludf.DUMMYFUNCTION("""COMPUTED_VALUE"""),"Политическо задкулисие при митрополитските избори в Българската православна църква.")</f>
        <v>Политическо задкулисие при митрополитските избори в Българската православна църква.</v>
      </c>
      <c r="D4746" s="10">
        <f ca="1">IFERROR(__xludf.DUMMYFUNCTION("""COMPUTED_VALUE"""),2016)</f>
        <v>2016</v>
      </c>
      <c r="E4746" s="10" t="str">
        <f ca="1">IFERROR(__xludf.DUMMYFUNCTION("""COMPUTED_VALUE"""),"Мултикултурният човек. Сборник в чест на 60-годишнината на проф. дин Камен Гаренов (отец Петър Гарена). Пловдив, 2016, с. 402-437. ISBN 978-619-176-080-0")</f>
        <v>Мултикултурният човек. Сборник в чест на 60-годишнината на проф. дин Камен Гаренов (отец Петър Гарена). Пловдив, 2016, с. 402-437. ISBN 978-619-176-080-0</v>
      </c>
      <c r="F4746" s="10"/>
      <c r="G4746" s="10"/>
      <c r="H4746" s="10"/>
      <c r="I4746" s="10"/>
      <c r="J4746" s="10"/>
      <c r="K4746" s="10"/>
      <c r="L4746" s="10"/>
      <c r="M4746" s="10"/>
      <c r="N4746" s="10"/>
      <c r="O4746" s="10"/>
      <c r="P4746" s="10"/>
      <c r="Q4746" s="10"/>
      <c r="R4746" s="10"/>
      <c r="S4746" s="10"/>
      <c r="T4746" s="10"/>
      <c r="U4746" s="10"/>
      <c r="V4746" s="10"/>
      <c r="W4746" s="10"/>
      <c r="X4746" s="10"/>
      <c r="Y4746" s="10"/>
      <c r="Z4746" s="10"/>
    </row>
    <row r="4747" spans="1:26" ht="12.75">
      <c r="A4747" s="10" t="str">
        <f ca="1">IFERROR(__xludf.DUMMYFUNCTION("""COMPUTED_VALUE"""),"Лизбет Любенова Върбанова - Йонева")</f>
        <v>Лизбет Любенова Върбанова - Йонева</v>
      </c>
      <c r="B4747" s="10" t="str">
        <f ca="1">IFERROR(__xludf.DUMMYFUNCTION("""COMPUTED_VALUE"""),"Доклад от конференция")</f>
        <v>Доклад от конференция</v>
      </c>
      <c r="C4747" s="10" t="str">
        <f ca="1">IFERROR(__xludf.DUMMYFUNCTION("""COMPUTED_VALUE"""),"Варненски и Преславски митрополит Йосиф под прицела на Държавна сигурност.")</f>
        <v>Варненски и Преславски митрополит Йосиф под прицела на Държавна сигурност.</v>
      </c>
      <c r="D4747" s="10">
        <f ca="1">IFERROR(__xludf.DUMMYFUNCTION("""COMPUTED_VALUE"""),2015)</f>
        <v>2015</v>
      </c>
      <c r="E4747" s="10" t="str">
        <f ca="1">IFERROR(__xludf.DUMMYFUNCTION("""COMPUTED_VALUE"""),"Деветосептемврийският преврат, тоталитарният режим и съвременна България. Сборник с доклади, изследвания, студии, есета от Научна конференция 7-8 септември 2014. С., 2015, с. 126-152. ISBN 954-91611-8-0")</f>
        <v>Деветосептемврийският преврат, тоталитарният режим и съвременна България. Сборник с доклади, изследвания, студии, есета от Научна конференция 7-8 септември 2014. С., 2015, с. 126-152. ISBN 954-91611-8-0</v>
      </c>
      <c r="F4747" s="10"/>
      <c r="G4747" s="10"/>
      <c r="H4747" s="10"/>
      <c r="I4747" s="10"/>
      <c r="J4747" s="10"/>
      <c r="K4747" s="10"/>
      <c r="L4747" s="10"/>
      <c r="M4747" s="10"/>
      <c r="N4747" s="10"/>
      <c r="O4747" s="10"/>
      <c r="P4747" s="10"/>
      <c r="Q4747" s="10"/>
      <c r="R4747" s="10"/>
      <c r="S4747" s="10"/>
      <c r="T4747" s="10"/>
      <c r="U4747" s="10"/>
      <c r="V4747" s="10"/>
      <c r="W4747" s="10"/>
      <c r="X4747" s="10"/>
      <c r="Y4747" s="10"/>
      <c r="Z4747" s="10"/>
    </row>
    <row r="4748" spans="1:26" ht="12.75">
      <c r="A4748" s="10" t="str">
        <f ca="1">IFERROR(__xludf.DUMMYFUNCTION("""COMPUTED_VALUE"""),"Лизбет Любенова Върбанова - Йонева")</f>
        <v>Лизбет Любенова Върбанова - Йонева</v>
      </c>
      <c r="B4748" s="10" t="str">
        <f ca="1">IFERROR(__xludf.DUMMYFUNCTION("""COMPUTED_VALUE"""),"Статия в списания и поредици")</f>
        <v>Статия в списания и поредици</v>
      </c>
      <c r="C4748" s="10" t="str">
        <f ca="1">IFERROR(__xludf.DUMMYFUNCTION("""COMPUTED_VALUE"""),"Дневникът на свещник Иван Дочев като извор за етнокултурния и социално-икономическия профил на Източна Тракия.")</f>
        <v>Дневникът на свещник Иван Дочев като извор за етнокултурния и социално-икономическия профил на Източна Тракия.</v>
      </c>
      <c r="D4748" s="10">
        <f ca="1">IFERROR(__xludf.DUMMYFUNCTION("""COMPUTED_VALUE"""),2015)</f>
        <v>2015</v>
      </c>
      <c r="E4748" s="10" t="str">
        <f ca="1">IFERROR(__xludf.DUMMYFUNCTION("""COMPUTED_VALUE"""),"Известия на Тракийския научен институт, кн. 11-12, София 2015, 399- 417. ISSN 1312-6741")</f>
        <v>Известия на Тракийския научен институт, кн. 11-12, София 2015, 399- 417. ISSN 1312-6741</v>
      </c>
      <c r="F4748" s="10"/>
      <c r="G4748" s="10"/>
      <c r="H4748" s="10"/>
      <c r="I4748" s="10"/>
      <c r="J4748" s="10"/>
      <c r="K4748" s="10"/>
      <c r="L4748" s="10"/>
      <c r="M4748" s="10"/>
      <c r="N4748" s="10"/>
      <c r="O4748" s="10"/>
      <c r="P4748" s="10"/>
      <c r="Q4748" s="10"/>
      <c r="R4748" s="10"/>
      <c r="S4748" s="10"/>
      <c r="T4748" s="10"/>
      <c r="U4748" s="10"/>
      <c r="V4748" s="10"/>
      <c r="W4748" s="10"/>
      <c r="X4748" s="10"/>
      <c r="Y4748" s="10"/>
      <c r="Z4748" s="10"/>
    </row>
    <row r="4749" spans="1:26" ht="12.75">
      <c r="A4749" s="10" t="str">
        <f ca="1">IFERROR(__xludf.DUMMYFUNCTION("""COMPUTED_VALUE"""),"Лизбет Любенова Върбанова - Йонева")</f>
        <v>Лизбет Любенова Върбанова - Йонева</v>
      </c>
      <c r="B4749" s="10" t="str">
        <f ca="1">IFERROR(__xludf.DUMMYFUNCTION("""COMPUTED_VALUE"""),"Статия в списания и поредици")</f>
        <v>Статия в списания и поредици</v>
      </c>
      <c r="C4749" s="10" t="str">
        <f ca="1">IFERROR(__xludf.DUMMYFUNCTION("""COMPUTED_VALUE"""),"Светската власт и Екзархията в периода между двете световни войни.")</f>
        <v>Светската власт и Екзархията в периода между двете световни войни.</v>
      </c>
      <c r="D4749" s="10">
        <f ca="1">IFERROR(__xludf.DUMMYFUNCTION("""COMPUTED_VALUE"""),2015)</f>
        <v>2015</v>
      </c>
      <c r="E4749" s="10" t="str">
        <f ca="1">IFERROR(__xludf.DUMMYFUNCTION("""COMPUTED_VALUE"""),"Религии, култури, политики. С., 2015, 13-25. ISBN 978-619-7221-04-6")</f>
        <v>Религии, култури, политики. С., 2015, 13-25. ISBN 978-619-7221-04-6</v>
      </c>
      <c r="F4749" s="10"/>
      <c r="G4749" s="10"/>
      <c r="H4749" s="10"/>
      <c r="I4749" s="10"/>
      <c r="J4749" s="10"/>
      <c r="K4749" s="10"/>
      <c r="L4749" s="10"/>
      <c r="M4749" s="10"/>
      <c r="N4749" s="10"/>
      <c r="O4749" s="10"/>
      <c r="P4749" s="10"/>
      <c r="Q4749" s="10"/>
      <c r="R4749" s="10"/>
      <c r="S4749" s="10"/>
      <c r="T4749" s="10"/>
      <c r="U4749" s="10"/>
      <c r="V4749" s="10"/>
      <c r="W4749" s="10"/>
      <c r="X4749" s="10"/>
      <c r="Y4749" s="10"/>
      <c r="Z4749" s="10"/>
    </row>
    <row r="4750" spans="1:26" ht="12.75">
      <c r="A4750" s="10" t="str">
        <f ca="1">IFERROR(__xludf.DUMMYFUNCTION("""COMPUTED_VALUE"""),"Лизбет Любенова Върбанова - Йонева")</f>
        <v>Лизбет Любенова Върбанова - Йонева</v>
      </c>
      <c r="B4750" s="10" t="str">
        <f ca="1">IFERROR(__xludf.DUMMYFUNCTION("""COMPUTED_VALUE"""),"Доклад от конференция")</f>
        <v>Доклад от конференция</v>
      </c>
      <c r="C4750" s="10" t="str">
        <f ca="1">IFERROR(__xludf.DUMMYFUNCTION("""COMPUTED_VALUE"""),"Църковна дипломация за сключване на справедлив мир в Европа в края на Първата световна война.")</f>
        <v>Църковна дипломация за сключване на справедлив мир в Европа в края на Първата световна война.</v>
      </c>
      <c r="D4750" s="10">
        <f ca="1">IFERROR(__xludf.DUMMYFUNCTION("""COMPUTED_VALUE"""),2015)</f>
        <v>2015</v>
      </c>
      <c r="E4750" s="10" t="str">
        <f ca="1">IFERROR(__xludf.DUMMYFUNCTION("""COMPUTED_VALUE"""),"Пътуване към България. Материали от четвърта национална конференция по история, археология и културен туризъм. Шумен, 14-16 май 2014, Шумен, 2015,128-136. ISBN 978-619-201-050-8")</f>
        <v>Пътуване към България. Материали от четвърта национална конференция по история, археология и културен туризъм. Шумен, 14-16 май 2014, Шумен, 2015,128-136. ISBN 978-619-201-050-8</v>
      </c>
      <c r="F4750" s="10"/>
      <c r="G4750" s="10"/>
      <c r="H4750" s="10"/>
      <c r="I4750" s="10"/>
      <c r="J4750" s="10"/>
      <c r="K4750" s="10"/>
      <c r="L4750" s="10"/>
      <c r="M4750" s="10"/>
      <c r="N4750" s="10"/>
      <c r="O4750" s="10"/>
      <c r="P4750" s="10"/>
      <c r="Q4750" s="10"/>
      <c r="R4750" s="10"/>
      <c r="S4750" s="10"/>
      <c r="T4750" s="10"/>
      <c r="U4750" s="10"/>
      <c r="V4750" s="10"/>
      <c r="W4750" s="10"/>
      <c r="X4750" s="10"/>
      <c r="Y4750" s="10"/>
      <c r="Z4750" s="10"/>
    </row>
    <row r="4751" spans="1:26" ht="12.75">
      <c r="A4751" s="10" t="str">
        <f ca="1">IFERROR(__xludf.DUMMYFUNCTION("""COMPUTED_VALUE"""),"Лизбет Любенова Върбанова - Йонева")</f>
        <v>Лизбет Любенова Върбанова - Йонева</v>
      </c>
      <c r="B4751" s="10" t="str">
        <f ca="1">IFERROR(__xludf.DUMMYFUNCTION("""COMPUTED_VALUE"""),"Доклад от конференция")</f>
        <v>Доклад от конференция</v>
      </c>
      <c r="C4751" s="10" t="str">
        <f ca="1">IFERROR(__xludf.DUMMYFUNCTION("""COMPUTED_VALUE"""),"Църковна дипломация за сключване на справедлив мир в Европа в края на Първата световна война.")</f>
        <v>Църковна дипломация за сключване на справедлив мир в Европа в края на Първата световна война.</v>
      </c>
      <c r="D4751" s="10">
        <f ca="1">IFERROR(__xludf.DUMMYFUNCTION("""COMPUTED_VALUE"""),2015)</f>
        <v>2015</v>
      </c>
      <c r="E4751" s="10" t="str">
        <f ca="1">IFERROR(__xludf.DUMMYFUNCTION("""COMPUTED_VALUE"""),"Пътуване към България. Материали от четвърта национална конференция по история, археология и културен туризъм. Шумен, 14-16 май 2014, Шумен, 2015,128-136. ISBN 978-619-201-050-8")</f>
        <v>Пътуване към България. Материали от четвърта национална конференция по история, археология и културен туризъм. Шумен, 14-16 май 2014, Шумен, 2015,128-136. ISBN 978-619-201-050-8</v>
      </c>
      <c r="F4751" s="10"/>
      <c r="G4751" s="10"/>
      <c r="H4751" s="10"/>
      <c r="I4751" s="10"/>
      <c r="J4751" s="10"/>
      <c r="K4751" s="10"/>
      <c r="L4751" s="10"/>
      <c r="M4751" s="10"/>
      <c r="N4751" s="10"/>
      <c r="O4751" s="10"/>
      <c r="P4751" s="10"/>
      <c r="Q4751" s="10"/>
      <c r="R4751" s="10"/>
      <c r="S4751" s="10"/>
      <c r="T4751" s="10"/>
      <c r="U4751" s="10"/>
      <c r="V4751" s="10"/>
      <c r="W4751" s="10"/>
      <c r="X4751" s="10"/>
      <c r="Y4751" s="10"/>
      <c r="Z4751" s="10"/>
    </row>
    <row r="4752" spans="1:26" ht="12.75">
      <c r="A4752" s="10" t="str">
        <f ca="1">IFERROR(__xludf.DUMMYFUNCTION("""COMPUTED_VALUE"""),"Лизбет Любенова Върбанова - Йонева")</f>
        <v>Лизбет Любенова Върбанова - Йонева</v>
      </c>
      <c r="B4752" s="10" t="str">
        <f ca="1">IFERROR(__xludf.DUMMYFUNCTION("""COMPUTED_VALUE"""),"Статия в списания и поредици")</f>
        <v>Статия в списания и поредици</v>
      </c>
      <c r="C4752" s="10" t="str">
        <f ca="1">IFERROR(__xludf.DUMMYFUNCTION("""COMPUTED_VALUE"""),"Дипломатически преговори за влизането на България в Първата световна война по неизвестни до сега документи.")</f>
        <v>Дипломатически преговори за влизането на България в Първата световна война по неизвестни до сега документи.</v>
      </c>
      <c r="D4752" s="10">
        <f ca="1">IFERROR(__xludf.DUMMYFUNCTION("""COMPUTED_VALUE"""),2015)</f>
        <v>2015</v>
      </c>
      <c r="E4752" s="10" t="str">
        <f ca="1">IFERROR(__xludf.DUMMYFUNCTION("""COMPUTED_VALUE"""),"сп. Авитохол, бр. 34, 2015, с. 80-85. ISSN 1312-2185")</f>
        <v>сп. Авитохол, бр. 34, 2015, с. 80-85. ISSN 1312-2185</v>
      </c>
      <c r="F4752" s="10"/>
      <c r="G4752" s="10"/>
      <c r="H4752" s="10"/>
      <c r="I4752" s="10"/>
      <c r="J4752" s="10"/>
      <c r="K4752" s="10"/>
      <c r="L4752" s="10"/>
      <c r="M4752" s="10"/>
      <c r="N4752" s="10"/>
      <c r="O4752" s="10"/>
      <c r="P4752" s="10"/>
      <c r="Q4752" s="10"/>
      <c r="R4752" s="10"/>
      <c r="S4752" s="10"/>
      <c r="T4752" s="10"/>
      <c r="U4752" s="10"/>
      <c r="V4752" s="10"/>
      <c r="W4752" s="10"/>
      <c r="X4752" s="10"/>
      <c r="Y4752" s="10"/>
      <c r="Z4752" s="10"/>
    </row>
    <row r="4753" spans="1:26" ht="12.75">
      <c r="A4753" s="10" t="str">
        <f ca="1">IFERROR(__xludf.DUMMYFUNCTION("""COMPUTED_VALUE"""),"Лизбет Любенова Върбанова - Йонева")</f>
        <v>Лизбет Любенова Върбанова - Йонева</v>
      </c>
      <c r="B4753" s="10" t="str">
        <f ca="1">IFERROR(__xludf.DUMMYFUNCTION("""COMPUTED_VALUE"""),"Статия в списания и поредици")</f>
        <v>Статия в списания и поредици</v>
      </c>
      <c r="C4753" s="10" t="str">
        <f ca="1">IFERROR(__xludf.DUMMYFUNCTION("""COMPUTED_VALUE"""),"Дипломатически преговори за влизането на България в Първата световна война по неизвестни до сега документи.")</f>
        <v>Дипломатически преговори за влизането на България в Първата световна война по неизвестни до сега документи.</v>
      </c>
      <c r="D4753" s="10">
        <f ca="1">IFERROR(__xludf.DUMMYFUNCTION("""COMPUTED_VALUE"""),2015)</f>
        <v>2015</v>
      </c>
      <c r="E4753" s="10" t="str">
        <f ca="1">IFERROR(__xludf.DUMMYFUNCTION("""COMPUTED_VALUE"""),"сп. Авитохол, бр. 34, 2015, с. 80-85. ISSN 1312-2185")</f>
        <v>сп. Авитохол, бр. 34, 2015, с. 80-85. ISSN 1312-2185</v>
      </c>
      <c r="F4753" s="10"/>
      <c r="G4753" s="10"/>
      <c r="H4753" s="10"/>
      <c r="I4753" s="10"/>
      <c r="J4753" s="10"/>
      <c r="K4753" s="10"/>
      <c r="L4753" s="10"/>
      <c r="M4753" s="10"/>
      <c r="N4753" s="10"/>
      <c r="O4753" s="10"/>
      <c r="P4753" s="10"/>
      <c r="Q4753" s="10"/>
      <c r="R4753" s="10"/>
      <c r="S4753" s="10"/>
      <c r="T4753" s="10"/>
      <c r="U4753" s="10"/>
      <c r="V4753" s="10"/>
      <c r="W4753" s="10"/>
      <c r="X4753" s="10"/>
      <c r="Y4753" s="10"/>
      <c r="Z4753" s="10"/>
    </row>
    <row r="4754" spans="1:26" ht="12.75">
      <c r="A4754" s="10" t="str">
        <f ca="1">IFERROR(__xludf.DUMMYFUNCTION("""COMPUTED_VALUE"""),"Лизбет Любенова Върбанова - Йонева")</f>
        <v>Лизбет Любенова Върбанова - Йонева</v>
      </c>
      <c r="B4754" s="10" t="str">
        <f ca="1">IFERROR(__xludf.DUMMYFUNCTION("""COMPUTED_VALUE"""),"Статия в списания и поредици")</f>
        <v>Статия в списания и поредици</v>
      </c>
      <c r="C4754" s="10" t="str">
        <f ca="1">IFERROR(__xludf.DUMMYFUNCTION("""COMPUTED_VALUE"""),"Светската власт и Екзархията в периода между двете световни войни.")</f>
        <v>Светската власт и Екзархията в периода между двете световни войни.</v>
      </c>
      <c r="D4754" s="10">
        <f ca="1">IFERROR(__xludf.DUMMYFUNCTION("""COMPUTED_VALUE"""),2015)</f>
        <v>2015</v>
      </c>
      <c r="E4754" s="10" t="str">
        <f ca="1">IFERROR(__xludf.DUMMYFUNCTION("""COMPUTED_VALUE"""),"Религии, култури, политики. С., 2015, 13-25. ISBN 978-619-7221-04-6")</f>
        <v>Религии, култури, политики. С., 2015, 13-25. ISBN 978-619-7221-04-6</v>
      </c>
      <c r="F4754" s="10"/>
      <c r="G4754" s="10"/>
      <c r="H4754" s="10"/>
      <c r="I4754" s="10"/>
      <c r="J4754" s="10"/>
      <c r="K4754" s="10"/>
      <c r="L4754" s="10"/>
      <c r="M4754" s="10"/>
      <c r="N4754" s="10"/>
      <c r="O4754" s="10"/>
      <c r="P4754" s="10"/>
      <c r="Q4754" s="10"/>
      <c r="R4754" s="10"/>
      <c r="S4754" s="10"/>
      <c r="T4754" s="10"/>
      <c r="U4754" s="10"/>
      <c r="V4754" s="10"/>
      <c r="W4754" s="10"/>
      <c r="X4754" s="10"/>
      <c r="Y4754" s="10"/>
      <c r="Z4754" s="10"/>
    </row>
    <row r="4755" spans="1:26" ht="12.75">
      <c r="A4755" s="10" t="str">
        <f ca="1">IFERROR(__xludf.DUMMYFUNCTION("""COMPUTED_VALUE"""),"Лизбет Любенова Върбанова - Йонева")</f>
        <v>Лизбет Любенова Върбанова - Йонева</v>
      </c>
      <c r="B4755" s="10" t="str">
        <f ca="1">IFERROR(__xludf.DUMMYFUNCTION("""COMPUTED_VALUE"""),"Статия в списания и поредици")</f>
        <v>Статия в списания и поредици</v>
      </c>
      <c r="C4755" s="10" t="str">
        <f ca="1">IFERROR(__xludf.DUMMYFUNCTION("""COMPUTED_VALUE"""),"Константин Иречек и българското духовенство.")</f>
        <v>Константин Иречек и българското духовенство.</v>
      </c>
      <c r="D4755" s="10">
        <f ca="1">IFERROR(__xludf.DUMMYFUNCTION("""COMPUTED_VALUE"""),2015)</f>
        <v>2015</v>
      </c>
      <c r="E4755" s="10" t="str">
        <f ca="1">IFERROR(__xludf.DUMMYFUNCTION("""COMPUTED_VALUE"""),"Научни трудове на УНИБИТ, том 13. С., 2015, 109-120. ISSN 1314-2623")</f>
        <v>Научни трудове на УНИБИТ, том 13. С., 2015, 109-120. ISSN 1314-2623</v>
      </c>
      <c r="F4755" s="10"/>
      <c r="G4755" s="10"/>
      <c r="H4755" s="10"/>
      <c r="I4755" s="10"/>
      <c r="J4755" s="10"/>
      <c r="K4755" s="10"/>
      <c r="L4755" s="10"/>
      <c r="M4755" s="10"/>
      <c r="N4755" s="10"/>
      <c r="O4755" s="10"/>
      <c r="P4755" s="10"/>
      <c r="Q4755" s="10"/>
      <c r="R4755" s="10"/>
      <c r="S4755" s="10"/>
      <c r="T4755" s="10"/>
      <c r="U4755" s="10"/>
      <c r="V4755" s="10"/>
      <c r="W4755" s="10"/>
      <c r="X4755" s="10"/>
      <c r="Y4755" s="10"/>
      <c r="Z4755" s="10"/>
    </row>
    <row r="4756" spans="1:26" ht="12.75">
      <c r="A4756" s="10" t="str">
        <f ca="1">IFERROR(__xludf.DUMMYFUNCTION("""COMPUTED_VALUE"""),"Лизбет Любенова Върбанова - Йонева")</f>
        <v>Лизбет Любенова Върбанова - Йонева</v>
      </c>
      <c r="B4756" s="10" t="str">
        <f ca="1">IFERROR(__xludf.DUMMYFUNCTION("""COMPUTED_VALUE"""),"Статия в списания и поредици")</f>
        <v>Статия в списания и поредици</v>
      </c>
      <c r="C4756" s="10" t="str">
        <f ca="1">IFERROR(__xludf.DUMMYFUNCTION("""COMPUTED_VALUE"""),"Съдбата на село Курфали според екзархийските архиви.")</f>
        <v>Съдбата на село Курфали според екзархийските архиви.</v>
      </c>
      <c r="D4756" s="10">
        <f ca="1">IFERROR(__xludf.DUMMYFUNCTION("""COMPUTED_VALUE"""),2015)</f>
        <v>2015</v>
      </c>
      <c r="E4756" s="10" t="str">
        <f ca="1">IFERROR(__xludf.DUMMYFUNCTION("""COMPUTED_VALUE"""),"Известия на Тракийския научен институт, кн. 13, София 2015, 81-96. ISSN 1312-6741")</f>
        <v>Известия на Тракийския научен институт, кн. 13, София 2015, 81-96. ISSN 1312-6741</v>
      </c>
      <c r="F4756" s="10"/>
      <c r="G4756" s="10"/>
      <c r="H4756" s="10"/>
      <c r="I4756" s="10"/>
      <c r="J4756" s="10"/>
      <c r="K4756" s="10"/>
      <c r="L4756" s="10"/>
      <c r="M4756" s="10"/>
      <c r="N4756" s="10"/>
      <c r="O4756" s="10"/>
      <c r="P4756" s="10"/>
      <c r="Q4756" s="10"/>
      <c r="R4756" s="10"/>
      <c r="S4756" s="10"/>
      <c r="T4756" s="10"/>
      <c r="U4756" s="10"/>
      <c r="V4756" s="10"/>
      <c r="W4756" s="10"/>
      <c r="X4756" s="10"/>
      <c r="Y4756" s="10"/>
      <c r="Z4756" s="10"/>
    </row>
    <row r="4757" spans="1:26" ht="12.75">
      <c r="A4757" s="10" t="str">
        <f ca="1">IFERROR(__xludf.DUMMYFUNCTION("""COMPUTED_VALUE"""),"Лизбет Любенова Върбанова - Йонева")</f>
        <v>Лизбет Любенова Върбанова - Йонева</v>
      </c>
      <c r="B4757" s="10" t="str">
        <f ca="1">IFERROR(__xludf.DUMMYFUNCTION("""COMPUTED_VALUE"""),"Статия в списания и поредици")</f>
        <v>Статия в списания и поредици</v>
      </c>
      <c r="C4757" s="10" t="str">
        <f ca="1">IFERROR(__xludf.DUMMYFUNCTION("""COMPUTED_VALUE"""),"Дневникът на свещник Иван Дочев като извор за етнокултурния и социално-икономическия профил на Източна Тракия.")</f>
        <v>Дневникът на свещник Иван Дочев като извор за етнокултурния и социално-икономическия профил на Източна Тракия.</v>
      </c>
      <c r="D4757" s="10">
        <f ca="1">IFERROR(__xludf.DUMMYFUNCTION("""COMPUTED_VALUE"""),2015)</f>
        <v>2015</v>
      </c>
      <c r="E4757" s="10" t="str">
        <f ca="1">IFERROR(__xludf.DUMMYFUNCTION("""COMPUTED_VALUE"""),"Известия на Тракийския научен институт, кн. 11-12, София 2015, 399- 417. ISSN 1312-6741")</f>
        <v>Известия на Тракийския научен институт, кн. 11-12, София 2015, 399- 417. ISSN 1312-6741</v>
      </c>
      <c r="F4757" s="10"/>
      <c r="G4757" s="10"/>
      <c r="H4757" s="10"/>
      <c r="I4757" s="10"/>
      <c r="J4757" s="10"/>
      <c r="K4757" s="10"/>
      <c r="L4757" s="10"/>
      <c r="M4757" s="10"/>
      <c r="N4757" s="10"/>
      <c r="O4757" s="10"/>
      <c r="P4757" s="10"/>
      <c r="Q4757" s="10"/>
      <c r="R4757" s="10"/>
      <c r="S4757" s="10"/>
      <c r="T4757" s="10"/>
      <c r="U4757" s="10"/>
      <c r="V4757" s="10"/>
      <c r="W4757" s="10"/>
      <c r="X4757" s="10"/>
      <c r="Y4757" s="10"/>
      <c r="Z4757" s="10"/>
    </row>
    <row r="4758" spans="1:26" ht="12.75">
      <c r="A4758" s="10" t="str">
        <f ca="1">IFERROR(__xludf.DUMMYFUNCTION("""COMPUTED_VALUE"""),"Лизбет Любенова Върбанова - Йонева")</f>
        <v>Лизбет Любенова Върбанова - Йонева</v>
      </c>
      <c r="B4758" s="10" t="str">
        <f ca="1">IFERROR(__xludf.DUMMYFUNCTION("""COMPUTED_VALUE"""),"Книга")</f>
        <v>Книга</v>
      </c>
      <c r="C4758" s="10" t="str">
        <f ca="1">IFERROR(__xludf.DUMMYFUNCTION("""COMPUTED_VALUE"""),"По пътя на българската духовност. Т. 2. Охридски митрополит Борис.")</f>
        <v>По пътя на българската духовност. Т. 2. Охридски митрополит Борис.</v>
      </c>
      <c r="D4758" s="10">
        <f ca="1">IFERROR(__xludf.DUMMYFUNCTION("""COMPUTED_VALUE"""),2014)</f>
        <v>2014</v>
      </c>
      <c r="E4758" s="10" t="str">
        <f ca="1">IFERROR(__xludf.DUMMYFUNCTION("""COMPUTED_VALUE"""),"Изд. „За буквите – о писменехь”. С., 2014, 575 с. ISBN 978-619-185-122-5")</f>
        <v>Изд. „За буквите – о писменехь”. С., 2014, 575 с. ISBN 978-619-185-122-5</v>
      </c>
      <c r="F4758" s="10"/>
      <c r="G4758" s="10"/>
      <c r="H4758" s="10"/>
      <c r="I4758" s="10"/>
      <c r="J4758" s="10"/>
      <c r="K4758" s="10"/>
      <c r="L4758" s="10"/>
      <c r="M4758" s="10"/>
      <c r="N4758" s="10"/>
      <c r="O4758" s="10"/>
      <c r="P4758" s="10"/>
      <c r="Q4758" s="10"/>
      <c r="R4758" s="10"/>
      <c r="S4758" s="10"/>
      <c r="T4758" s="10"/>
      <c r="U4758" s="10"/>
      <c r="V4758" s="10"/>
      <c r="W4758" s="10"/>
      <c r="X4758" s="10"/>
      <c r="Y4758" s="10"/>
      <c r="Z4758" s="10"/>
    </row>
    <row r="4759" spans="1:26" ht="12.75">
      <c r="A4759" s="10" t="str">
        <f ca="1">IFERROR(__xludf.DUMMYFUNCTION("""COMPUTED_VALUE"""),"Лизбет Любенова Върбанова - Йонева")</f>
        <v>Лизбет Любенова Върбанова - Йонева</v>
      </c>
      <c r="B4759" s="10" t="str">
        <f ca="1">IFERROR(__xludf.DUMMYFUNCTION("""COMPUTED_VALUE"""),"Доклад от конференция")</f>
        <v>Доклад от конференция</v>
      </c>
      <c r="C4759" s="10" t="str">
        <f ca="1">IFERROR(__xludf.DUMMYFUNCTION("""COMPUTED_VALUE"""),"Дипломатически преговори за влизане на България в Първата световна война (по неизвестни документи).")</f>
        <v>Дипломатически преговори за влизане на България в Първата световна война (по неизвестни документи).</v>
      </c>
      <c r="D4759" s="10">
        <f ca="1">IFERROR(__xludf.DUMMYFUNCTION("""COMPUTED_VALUE"""),2014)</f>
        <v>2014</v>
      </c>
      <c r="E4759" s="10" t="str">
        <f ca="1">IFERROR(__xludf.DUMMYFUNCTION("""COMPUTED_VALUE"""),"Първата световна война. Памет на поколенията. С., 2014, 62-77. ISBN 978-954-927-096-9")</f>
        <v>Първата световна война. Памет на поколенията. С., 2014, 62-77. ISBN 978-954-927-096-9</v>
      </c>
      <c r="F4759" s="10"/>
      <c r="G4759" s="10"/>
      <c r="H4759" s="10"/>
      <c r="I4759" s="10"/>
      <c r="J4759" s="10"/>
      <c r="K4759" s="10"/>
      <c r="L4759" s="10"/>
      <c r="M4759" s="10"/>
      <c r="N4759" s="10"/>
      <c r="O4759" s="10"/>
      <c r="P4759" s="10"/>
      <c r="Q4759" s="10"/>
      <c r="R4759" s="10"/>
      <c r="S4759" s="10"/>
      <c r="T4759" s="10"/>
      <c r="U4759" s="10"/>
      <c r="V4759" s="10"/>
      <c r="W4759" s="10"/>
      <c r="X4759" s="10"/>
      <c r="Y4759" s="10"/>
      <c r="Z4759" s="10"/>
    </row>
    <row r="4760" spans="1:26" ht="12.75">
      <c r="A4760" s="10" t="str">
        <f ca="1">IFERROR(__xludf.DUMMYFUNCTION("""COMPUTED_VALUE"""),"Лизбет Любенова Върбанова - Йонева")</f>
        <v>Лизбет Любенова Върбанова - Йонева</v>
      </c>
      <c r="B4760" s="10" t="str">
        <f ca="1">IFERROR(__xludf.DUMMYFUNCTION("""COMPUTED_VALUE"""),"Статия в списания и поредици")</f>
        <v>Статия в списания и поредици</v>
      </c>
      <c r="C4760" s="10" t="str">
        <f ca="1">IFERROR(__xludf.DUMMYFUNCTION("""COMPUTED_VALUE"""),"Дневник на архиепископ Дамян Царицински като извор за историята на Руската задгранична църква.")</f>
        <v>Дневник на архиепископ Дамян Царицински като извор за историята на Руската задгранична църква.</v>
      </c>
      <c r="D4760" s="10">
        <f ca="1">IFERROR(__xludf.DUMMYFUNCTION("""COMPUTED_VALUE"""),2014)</f>
        <v>2014</v>
      </c>
      <c r="E4760" s="10" t="str">
        <f ca="1">IFERROR(__xludf.DUMMYFUNCTION("""COMPUTED_VALUE"""),"Съвременни визии за изследване, преподаване и популяризиране на българското културно-историческо наследство. Изд. „За буквите – о писменехь”. С., 2014, 145-162. ISBN 978-619-185-025-9")</f>
        <v>Съвременни визии за изследване, преподаване и популяризиране на българското културно-историческо наследство. Изд. „За буквите – о писменехь”. С., 2014, 145-162. ISBN 978-619-185-025-9</v>
      </c>
      <c r="F4760" s="10"/>
      <c r="G4760" s="10"/>
      <c r="H4760" s="10"/>
      <c r="I4760" s="10"/>
      <c r="J4760" s="10"/>
      <c r="K4760" s="10"/>
      <c r="L4760" s="10"/>
      <c r="M4760" s="10"/>
      <c r="N4760" s="10"/>
      <c r="O4760" s="10"/>
      <c r="P4760" s="10"/>
      <c r="Q4760" s="10"/>
      <c r="R4760" s="10"/>
      <c r="S4760" s="10"/>
      <c r="T4760" s="10"/>
      <c r="U4760" s="10"/>
      <c r="V4760" s="10"/>
      <c r="W4760" s="10"/>
      <c r="X4760" s="10"/>
      <c r="Y4760" s="10"/>
      <c r="Z4760" s="10"/>
    </row>
    <row r="4761" spans="1:26" ht="12.75">
      <c r="A4761" s="10" t="str">
        <f ca="1">IFERROR(__xludf.DUMMYFUNCTION("""COMPUTED_VALUE"""),"Лизбет Любенова Върбанова - Йонева")</f>
        <v>Лизбет Любенова Върбанова - Йонева</v>
      </c>
      <c r="B4761" s="10" t="str">
        <f ca="1">IFERROR(__xludf.DUMMYFUNCTION("""COMPUTED_VALUE"""),"Доклад от конференция")</f>
        <v>Доклад от конференция</v>
      </c>
      <c r="C4761" s="10" t="str">
        <f ca="1">IFERROR(__xludf.DUMMYFUNCTION("""COMPUTED_VALUE"""),"Към въпроса за икуменизма в Българската православна църква.")</f>
        <v>Към въпроса за икуменизма в Българската православна църква.</v>
      </c>
      <c r="D4761" s="10">
        <f ca="1">IFERROR(__xludf.DUMMYFUNCTION("""COMPUTED_VALUE"""),2014)</f>
        <v>2014</v>
      </c>
      <c r="E4761" s="10" t="str">
        <f ca="1">IFERROR(__xludf.DUMMYFUNCTION("""COMPUTED_VALUE"""),"Обществото на знанието и хуманизмът на XXI век. XI национална научна конференция с международно участие. София, 1 ноември 2013. „За буквите - О писменехь”. С., 2014, с. 281-291. ISSN 1314-7099")</f>
        <v>Обществото на знанието и хуманизмът на XXI век. XI национална научна конференция с международно участие. София, 1 ноември 2013. „За буквите - О писменехь”. С., 2014, с. 281-291. ISSN 1314-7099</v>
      </c>
      <c r="F4761" s="10"/>
      <c r="G4761" s="10"/>
      <c r="H4761" s="10"/>
      <c r="I4761" s="10"/>
      <c r="J4761" s="10"/>
      <c r="K4761" s="10"/>
      <c r="L4761" s="10"/>
      <c r="M4761" s="10"/>
      <c r="N4761" s="10"/>
      <c r="O4761" s="10"/>
      <c r="P4761" s="10"/>
      <c r="Q4761" s="10"/>
      <c r="R4761" s="10"/>
      <c r="S4761" s="10"/>
      <c r="T4761" s="10"/>
      <c r="U4761" s="10"/>
      <c r="V4761" s="10"/>
      <c r="W4761" s="10"/>
      <c r="X4761" s="10"/>
      <c r="Y4761" s="10"/>
      <c r="Z4761" s="10"/>
    </row>
    <row r="4762" spans="1:26" ht="12.75">
      <c r="A4762" s="10" t="str">
        <f ca="1">IFERROR(__xludf.DUMMYFUNCTION("""COMPUTED_VALUE"""),"Лизбет Любенова Върбанова - Йонева")</f>
        <v>Лизбет Любенова Върбанова - Йонева</v>
      </c>
      <c r="B4762" s="10" t="str">
        <f ca="1">IFERROR(__xludf.DUMMYFUNCTION("""COMPUTED_VALUE"""),"Доклад от конференция")</f>
        <v>Доклад от конференция</v>
      </c>
      <c r="C4762" s="10" t="str">
        <f ca="1">IFERROR(__xludf.DUMMYFUNCTION("""COMPUTED_VALUE"""),"Ръкописни материали на Стефан Бобчев, съхранявани в Научния архив на БАН.")</f>
        <v>Ръкописни материали на Стефан Бобчев, съхранявани в Научния архив на БАН.</v>
      </c>
      <c r="D4762" s="10">
        <f ca="1">IFERROR(__xludf.DUMMYFUNCTION("""COMPUTED_VALUE"""),2014)</f>
        <v>2014</v>
      </c>
      <c r="E4762" s="10" t="str">
        <f ca="1">IFERROR(__xludf.DUMMYFUNCTION("""COMPUTED_VALUE"""),"160 години от рождението на проф. Стефан Бобчев. Юбилейна научна конференция: Ценности, традиции и външна политика. Изд. УНСС, 2014, с. 25-46. ISBN 978-954-644-588-9")</f>
        <v>160 години от рождението на проф. Стефан Бобчев. Юбилейна научна конференция: Ценности, традиции и външна политика. Изд. УНСС, 2014, с. 25-46. ISBN 978-954-644-588-9</v>
      </c>
      <c r="F4762" s="10"/>
      <c r="G4762" s="10"/>
      <c r="H4762" s="10"/>
      <c r="I4762" s="10"/>
      <c r="J4762" s="10"/>
      <c r="K4762" s="10"/>
      <c r="L4762" s="10"/>
      <c r="M4762" s="10"/>
      <c r="N4762" s="10"/>
      <c r="O4762" s="10"/>
      <c r="P4762" s="10"/>
      <c r="Q4762" s="10"/>
      <c r="R4762" s="10"/>
      <c r="S4762" s="10"/>
      <c r="T4762" s="10"/>
      <c r="U4762" s="10"/>
      <c r="V4762" s="10"/>
      <c r="W4762" s="10"/>
      <c r="X4762" s="10"/>
      <c r="Y4762" s="10"/>
      <c r="Z4762" s="10"/>
    </row>
    <row r="4763" spans="1:26" ht="12.75">
      <c r="A4763" s="10" t="str">
        <f ca="1">IFERROR(__xludf.DUMMYFUNCTION("""COMPUTED_VALUE"""),"Лизбет Любенова Върбанова - Йонева")</f>
        <v>Лизбет Любенова Върбанова - Йонева</v>
      </c>
      <c r="B4763" s="10" t="str">
        <f ca="1">IFERROR(__xludf.DUMMYFUNCTION("""COMPUTED_VALUE"""),"Доклад от конференция")</f>
        <v>Доклад от конференция</v>
      </c>
      <c r="C4763" s="10" t="str">
        <f ca="1">IFERROR(__xludf.DUMMYFUNCTION("""COMPUTED_VALUE"""),"Църковното културно-историческо наследство във Варненска и Преславска епархия по времето на митрополит Йосиф (1938-1988).")</f>
        <v>Църковното културно-историческо наследство във Варненска и Преславска епархия по времето на митрополит Йосиф (1938-1988).</v>
      </c>
      <c r="D4763" s="10">
        <f ca="1">IFERROR(__xludf.DUMMYFUNCTION("""COMPUTED_VALUE"""),2014)</f>
        <v>2014</v>
      </c>
      <c r="E4763" s="10" t="str">
        <f ca="1">IFERROR(__xludf.DUMMYFUNCTION("""COMPUTED_VALUE"""),"Сб. доклади от Трета национална конференция „Пътуване към България”, проведена в Шумен, 17-19 май 2012. Шумен, 2014, 1086-1099. ISBN 978-954-577-869-8")</f>
        <v>Сб. доклади от Трета национална конференция „Пътуване към България”, проведена в Шумен, 17-19 май 2012. Шумен, 2014, 1086-1099. ISBN 978-954-577-869-8</v>
      </c>
      <c r="F4763" s="10"/>
      <c r="G4763" s="10"/>
      <c r="H4763" s="10"/>
      <c r="I4763" s="10"/>
      <c r="J4763" s="10"/>
      <c r="K4763" s="10"/>
      <c r="L4763" s="10"/>
      <c r="M4763" s="10"/>
      <c r="N4763" s="10"/>
      <c r="O4763" s="10"/>
      <c r="P4763" s="10"/>
      <c r="Q4763" s="10"/>
      <c r="R4763" s="10"/>
      <c r="S4763" s="10"/>
      <c r="T4763" s="10"/>
      <c r="U4763" s="10"/>
      <c r="V4763" s="10"/>
      <c r="W4763" s="10"/>
      <c r="X4763" s="10"/>
      <c r="Y4763" s="10"/>
      <c r="Z4763" s="10"/>
    </row>
    <row r="4764" spans="1:26" ht="12.75">
      <c r="A4764" s="10" t="str">
        <f ca="1">IFERROR(__xludf.DUMMYFUNCTION("""COMPUTED_VALUE"""),"Лизбет Любенова Върбанова - Йонева")</f>
        <v>Лизбет Любенова Върбанова - Йонева</v>
      </c>
      <c r="B4764" s="10" t="str">
        <f ca="1">IFERROR(__xludf.DUMMYFUNCTION("""COMPUTED_VALUE"""),"Книга")</f>
        <v>Книга</v>
      </c>
      <c r="C4764" s="10" t="str">
        <f ca="1">IFERROR(__xludf.DUMMYFUNCTION("""COMPUTED_VALUE"""),"По пътя на българската духовност. Т. 1. Изследвания по църковна история.")</f>
        <v>По пътя на българската духовност. Т. 1. Изследвания по църковна история.</v>
      </c>
      <c r="D4764" s="10">
        <f ca="1">IFERROR(__xludf.DUMMYFUNCTION("""COMPUTED_VALUE"""),2014)</f>
        <v>2014</v>
      </c>
      <c r="E4764" s="10" t="str">
        <f ca="1">IFERROR(__xludf.DUMMYFUNCTION("""COMPUTED_VALUE"""),"Изд. „За буквите – о писменехь”. С., 2014, 495 с. ISBN 978-619-185-011-2")</f>
        <v>Изд. „За буквите – о писменехь”. С., 2014, 495 с. ISBN 978-619-185-011-2</v>
      </c>
      <c r="F4764" s="10"/>
      <c r="G4764" s="10"/>
      <c r="H4764" s="10"/>
      <c r="I4764" s="10"/>
      <c r="J4764" s="10"/>
      <c r="K4764" s="10"/>
      <c r="L4764" s="10"/>
      <c r="M4764" s="10"/>
      <c r="N4764" s="10"/>
      <c r="O4764" s="10"/>
      <c r="P4764" s="10"/>
      <c r="Q4764" s="10"/>
      <c r="R4764" s="10"/>
      <c r="S4764" s="10"/>
      <c r="T4764" s="10"/>
      <c r="U4764" s="10"/>
      <c r="V4764" s="10"/>
      <c r="W4764" s="10"/>
      <c r="X4764" s="10"/>
      <c r="Y4764" s="10"/>
      <c r="Z4764" s="10"/>
    </row>
    <row r="4765" spans="1:26" ht="12.75">
      <c r="A4765" s="10" t="str">
        <f ca="1">IFERROR(__xludf.DUMMYFUNCTION("""COMPUTED_VALUE"""),"Лизбет Любенова Върбанова - Йонева")</f>
        <v>Лизбет Любенова Върбанова - Йонева</v>
      </c>
      <c r="B4765" s="10" t="str">
        <f ca="1">IFERROR(__xludf.DUMMYFUNCTION("""COMPUTED_VALUE"""),"Доклад от конференция")</f>
        <v>Доклад от конференция</v>
      </c>
      <c r="C4765" s="10" t="str">
        <f ca="1">IFERROR(__xludf.DUMMYFUNCTION("""COMPUTED_VALUE"""),"Благотворителната дейност на Българската православна църква до 1944 г.")</f>
        <v>Благотворителната дейност на Българската православна църква до 1944 г.</v>
      </c>
      <c r="D4765" s="10">
        <f ca="1">IFERROR(__xludf.DUMMYFUNCTION("""COMPUTED_VALUE"""),2014)</f>
        <v>2014</v>
      </c>
      <c r="E4765" s="10" t="str">
        <f ca="1">IFERROR(__xludf.DUMMYFUNCTION("""COMPUTED_VALUE"""),"Сборник доклади и научни съобщения от VII национална научна конференция „От регионалното към националното - Дарителството” на Исторически музей Полски Тръмбеш, Исторически музей Бяла Черква, Национален антропологичен музей при БАН. Велико Търново, 2014, с"&amp;". 250-260. ISBN 978-619-168-068-9")</f>
        <v>Сборник доклади и научни съобщения от VII национална научна конференция „От регионалното към националното - Дарителството” на Исторически музей Полски Тръмбеш, Исторически музей Бяла Черква, Национален антропологичен музей при БАН. Велико Търново, 2014, с. 250-260. ISBN 978-619-168-068-9</v>
      </c>
      <c r="F4765" s="10"/>
      <c r="G4765" s="10"/>
      <c r="H4765" s="10"/>
      <c r="I4765" s="10"/>
      <c r="J4765" s="10"/>
      <c r="K4765" s="10"/>
      <c r="L4765" s="10"/>
      <c r="M4765" s="10"/>
      <c r="N4765" s="10"/>
      <c r="O4765" s="10"/>
      <c r="P4765" s="10"/>
      <c r="Q4765" s="10"/>
      <c r="R4765" s="10"/>
      <c r="S4765" s="10"/>
      <c r="T4765" s="10"/>
      <c r="U4765" s="10"/>
      <c r="V4765" s="10"/>
      <c r="W4765" s="10"/>
      <c r="X4765" s="10"/>
      <c r="Y4765" s="10"/>
      <c r="Z4765" s="10"/>
    </row>
    <row r="4766" spans="1:26" ht="12.75">
      <c r="A4766" s="10" t="str">
        <f ca="1">IFERROR(__xludf.DUMMYFUNCTION("""COMPUTED_VALUE"""),"Лизбет Любенова Върбанова - Йонева")</f>
        <v>Лизбет Любенова Върбанова - Йонева</v>
      </c>
      <c r="B4766" s="10" t="str">
        <f ca="1">IFERROR(__xludf.DUMMYFUNCTION("""COMPUTED_VALUE"""),"Доклад от конференция")</f>
        <v>Доклад от конференция</v>
      </c>
      <c r="C4766" s="10" t="str">
        <f ca="1">IFERROR(__xludf.DUMMYFUNCTION("""COMPUTED_VALUE"""),"Кресненско-Разложкото въстание през погледа на даскал Атанас от Банско.")</f>
        <v>Кресненско-Разложкото въстание през погледа на даскал Атанас от Банско.</v>
      </c>
      <c r="D4766" s="10">
        <f ca="1">IFERROR(__xludf.DUMMYFUNCTION("""COMPUTED_VALUE"""),2014)</f>
        <v>2014</v>
      </c>
      <c r="E4766" s="10" t="str">
        <f ca="1">IFERROR(__xludf.DUMMYFUNCTION("""COMPUTED_VALUE"""),"110 години от Илинденско-Преображенското въстание и българската национална идея от Сан Стефано до Букурещ (1878-1913). С., 2014, 181-189. ISBN 978-954-2903-11-6")</f>
        <v>110 години от Илинденско-Преображенското въстание и българската национална идея от Сан Стефано до Букурещ (1878-1913). С., 2014, 181-189. ISBN 978-954-2903-11-6</v>
      </c>
      <c r="F4766" s="10"/>
      <c r="G4766" s="10"/>
      <c r="H4766" s="10"/>
      <c r="I4766" s="10"/>
      <c r="J4766" s="10"/>
      <c r="K4766" s="10"/>
      <c r="L4766" s="10"/>
      <c r="M4766" s="10"/>
      <c r="N4766" s="10"/>
      <c r="O4766" s="10"/>
      <c r="P4766" s="10"/>
      <c r="Q4766" s="10"/>
      <c r="R4766" s="10"/>
      <c r="S4766" s="10"/>
      <c r="T4766" s="10"/>
      <c r="U4766" s="10"/>
      <c r="V4766" s="10"/>
      <c r="W4766" s="10"/>
      <c r="X4766" s="10"/>
      <c r="Y4766" s="10"/>
      <c r="Z4766" s="10"/>
    </row>
    <row r="4767" spans="1:26" ht="12.75">
      <c r="A4767" s="10" t="str">
        <f ca="1">IFERROR(__xludf.DUMMYFUNCTION("""COMPUTED_VALUE"""),"Лизбет Любенова Върбанова - Йонева")</f>
        <v>Лизбет Любенова Върбанова - Йонева</v>
      </c>
      <c r="B4767" s="10" t="str">
        <f ca="1">IFERROR(__xludf.DUMMYFUNCTION("""COMPUTED_VALUE"""),"Статия в списания и поредици")</f>
        <v>Статия в списания и поредици</v>
      </c>
      <c r="C4767" s="10" t="str">
        <f ca="1">IFERROR(__xludf.DUMMYFUNCTION("""COMPUTED_VALUE"""),"Голямото зяпане")</f>
        <v>Голямото зяпане</v>
      </c>
      <c r="D4767" s="10">
        <f ca="1">IFERROR(__xludf.DUMMYFUNCTION("""COMPUTED_VALUE"""),2013)</f>
        <v>2013</v>
      </c>
      <c r="E4767" s="10" t="str">
        <f ca="1">IFERROR(__xludf.DUMMYFUNCTION("""COMPUTED_VALUE"""),"Родопи, 2013, кн.1-2, 54-60. ISSN 1312‐4552")</f>
        <v>Родопи, 2013, кн.1-2, 54-60. ISSN 1312‐4552</v>
      </c>
      <c r="F4767" s="10"/>
      <c r="G4767" s="10"/>
      <c r="H4767" s="10"/>
      <c r="I4767" s="10"/>
      <c r="J4767" s="10"/>
      <c r="K4767" s="10"/>
      <c r="L4767" s="10"/>
      <c r="M4767" s="10"/>
      <c r="N4767" s="10"/>
      <c r="O4767" s="10"/>
      <c r="P4767" s="10"/>
      <c r="Q4767" s="10"/>
      <c r="R4767" s="10"/>
      <c r="S4767" s="10"/>
      <c r="T4767" s="10"/>
      <c r="U4767" s="10"/>
      <c r="V4767" s="10"/>
      <c r="W4767" s="10"/>
      <c r="X4767" s="10"/>
      <c r="Y4767" s="10"/>
      <c r="Z4767" s="10"/>
    </row>
    <row r="4768" spans="1:26" ht="12.75">
      <c r="A4768" s="10" t="str">
        <f ca="1">IFERROR(__xludf.DUMMYFUNCTION("""COMPUTED_VALUE"""),"Лизбет Любенова Върбанова - Йонева")</f>
        <v>Лизбет Любенова Върбанова - Йонева</v>
      </c>
      <c r="B4768" s="10" t="str">
        <f ca="1">IFERROR(__xludf.DUMMYFUNCTION("""COMPUTED_VALUE"""),"Студия")</f>
        <v>Студия</v>
      </c>
      <c r="C4768" s="10" t="str">
        <f ca="1">IFERROR(__xludf.DUMMYFUNCTION("""COMPUTED_VALUE"""),"Сердика-Триадица-Средец-София: многото лица на един град – ретроспективен анализ")</f>
        <v>Сердика-Триадица-Средец-София: многото лица на един град – ретроспективен анализ</v>
      </c>
      <c r="D4768" s="10">
        <f ca="1">IFERROR(__xludf.DUMMYFUNCTION("""COMPUTED_VALUE"""),2013)</f>
        <v>2013</v>
      </c>
      <c r="E4768" s="10" t="str">
        <f ca="1">IFERROR(__xludf.DUMMYFUNCTION("""COMPUTED_VALUE"""),"Модерният град и съхраняване на националната идентичност. Т. 1. С., 2013, 94-134. ISBN 978-954-2946-60-1")</f>
        <v>Модерният град и съхраняване на националната идентичност. Т. 1. С., 2013, 94-134. ISBN 978-954-2946-60-1</v>
      </c>
      <c r="F4768" s="10"/>
      <c r="G4768" s="10"/>
      <c r="H4768" s="10"/>
      <c r="I4768" s="10"/>
      <c r="J4768" s="10"/>
      <c r="K4768" s="10"/>
      <c r="L4768" s="10"/>
      <c r="M4768" s="10"/>
      <c r="N4768" s="10"/>
      <c r="O4768" s="10"/>
      <c r="P4768" s="10"/>
      <c r="Q4768" s="10"/>
      <c r="R4768" s="10"/>
      <c r="S4768" s="10"/>
      <c r="T4768" s="10"/>
      <c r="U4768" s="10"/>
      <c r="V4768" s="10"/>
      <c r="W4768" s="10"/>
      <c r="X4768" s="10"/>
      <c r="Y4768" s="10"/>
      <c r="Z4768" s="10"/>
    </row>
    <row r="4769" spans="1:26" ht="12.75">
      <c r="A4769" s="10" t="str">
        <f ca="1">IFERROR(__xludf.DUMMYFUNCTION("""COMPUTED_VALUE"""),"Лизбет Любенова Върбанова - Йонева")</f>
        <v>Лизбет Любенова Върбанова - Йонева</v>
      </c>
      <c r="B4769" s="10" t="str">
        <f ca="1">IFERROR(__xludf.DUMMYFUNCTION("""COMPUTED_VALUE"""),"Статия в списания и поредици")</f>
        <v>Статия в списания и поредици</v>
      </c>
      <c r="C4769" s="10" t="str">
        <f ca="1">IFERROR(__xludf.DUMMYFUNCTION("""COMPUTED_VALUE"""),"Еротичните сънища на духовенството – мит или реалност.")</f>
        <v>Еротичните сънища на духовенството – мит или реалност.</v>
      </c>
      <c r="D4769" s="10">
        <f ca="1">IFERROR(__xludf.DUMMYFUNCTION("""COMPUTED_VALUE"""),2013)</f>
        <v>2013</v>
      </c>
      <c r="E4769" s="10" t="str">
        <f ca="1">IFERROR(__xludf.DUMMYFUNCTION("""COMPUTED_VALUE"""),"Еротичното в историята. Т. 3. Архитектурно-етнографски комплекс „Етър”. Изд. Фабер, Габрово, 2013, 214-229. ISBN 978-954-400-918-2")</f>
        <v>Еротичното в историята. Т. 3. Архитектурно-етнографски комплекс „Етър”. Изд. Фабер, Габрово, 2013, 214-229. ISBN 978-954-400-918-2</v>
      </c>
      <c r="F4769" s="10"/>
      <c r="G4769" s="10"/>
      <c r="H4769" s="10"/>
      <c r="I4769" s="10"/>
      <c r="J4769" s="10"/>
      <c r="K4769" s="10"/>
      <c r="L4769" s="10"/>
      <c r="M4769" s="10"/>
      <c r="N4769" s="10"/>
      <c r="O4769" s="10"/>
      <c r="P4769" s="10"/>
      <c r="Q4769" s="10"/>
      <c r="R4769" s="10"/>
      <c r="S4769" s="10"/>
      <c r="T4769" s="10"/>
      <c r="U4769" s="10"/>
      <c r="V4769" s="10"/>
      <c r="W4769" s="10"/>
      <c r="X4769" s="10"/>
      <c r="Y4769" s="10"/>
      <c r="Z4769" s="10"/>
    </row>
    <row r="4770" spans="1:26" ht="12.75">
      <c r="A4770" s="10" t="str">
        <f ca="1">IFERROR(__xludf.DUMMYFUNCTION("""COMPUTED_VALUE"""),"Лизбет Любенова Върбанова - Йонева")</f>
        <v>Лизбет Любенова Върбанова - Йонева</v>
      </c>
      <c r="B4770" s="10" t="str">
        <f ca="1">IFERROR(__xludf.DUMMYFUNCTION("""COMPUTED_VALUE"""),"Книга")</f>
        <v>Книга</v>
      </c>
      <c r="C4770" s="10" t="str">
        <f ca="1">IFERROR(__xludf.DUMMYFUNCTION("""COMPUTED_VALUE"""),"Анализ на основни тематични направления на изследванията на културно-историческото наследство в България")</f>
        <v>Анализ на основни тематични направления на изследванията на културно-историческото наследство в България</v>
      </c>
      <c r="D4770" s="10">
        <f ca="1">IFERROR(__xludf.DUMMYFUNCTION("""COMPUTED_VALUE"""),2013)</f>
        <v>2013</v>
      </c>
      <c r="E4770" s="10" t="str">
        <f ca="1">IFERROR(__xludf.DUMMYFUNCTION("""COMPUTED_VALUE"""),"Изд. „За буквите – О писменехь”. С., 2013, 135 с. ISBN 978-954-2946-81-6.")</f>
        <v>Изд. „За буквите – О писменехь”. С., 2013, 135 с. ISBN 978-954-2946-81-6.</v>
      </c>
      <c r="F4770" s="10"/>
      <c r="G4770" s="10"/>
      <c r="H4770" s="10"/>
      <c r="I4770" s="10"/>
      <c r="J4770" s="10"/>
      <c r="K4770" s="10"/>
      <c r="L4770" s="10"/>
      <c r="M4770" s="10"/>
      <c r="N4770" s="10"/>
      <c r="O4770" s="10"/>
      <c r="P4770" s="10"/>
      <c r="Q4770" s="10"/>
      <c r="R4770" s="10"/>
      <c r="S4770" s="10"/>
      <c r="T4770" s="10"/>
      <c r="U4770" s="10"/>
      <c r="V4770" s="10"/>
      <c r="W4770" s="10"/>
      <c r="X4770" s="10"/>
      <c r="Y4770" s="10"/>
      <c r="Z4770" s="10"/>
    </row>
    <row r="4771" spans="1:26" ht="12.75">
      <c r="A4771" s="10" t="str">
        <f ca="1">IFERROR(__xludf.DUMMYFUNCTION("""COMPUTED_VALUE"""),"Лизбет Любенова Върбанова - Йонева")</f>
        <v>Лизбет Любенова Върбанова - Йонева</v>
      </c>
      <c r="B4771" s="10" t="str">
        <f ca="1">IFERROR(__xludf.DUMMYFUNCTION("""COMPUTED_VALUE"""),"Статия в списания и поредици")</f>
        <v>Статия в списания и поредици</v>
      </c>
      <c r="C4771" s="10" t="str">
        <f ca="1">IFERROR(__xludf.DUMMYFUNCTION("""COMPUTED_VALUE"""),"Голямото зяпане")</f>
        <v>Голямото зяпане</v>
      </c>
      <c r="D4771" s="10">
        <f ca="1">IFERROR(__xludf.DUMMYFUNCTION("""COMPUTED_VALUE"""),2013)</f>
        <v>2013</v>
      </c>
      <c r="E4771" s="10" t="str">
        <f ca="1">IFERROR(__xludf.DUMMYFUNCTION("""COMPUTED_VALUE"""),"Минало, 2013, кн.1, 91-96. ISSN 1310‐3415")</f>
        <v>Минало, 2013, кн.1, 91-96. ISSN 1310‐3415</v>
      </c>
      <c r="F4771" s="10"/>
      <c r="G4771" s="10"/>
      <c r="H4771" s="10"/>
      <c r="I4771" s="10"/>
      <c r="J4771" s="10"/>
      <c r="K4771" s="10"/>
      <c r="L4771" s="10"/>
      <c r="M4771" s="10"/>
      <c r="N4771" s="10"/>
      <c r="O4771" s="10"/>
      <c r="P4771" s="10"/>
      <c r="Q4771" s="10"/>
      <c r="R4771" s="10"/>
      <c r="S4771" s="10"/>
      <c r="T4771" s="10"/>
      <c r="U4771" s="10"/>
      <c r="V4771" s="10"/>
      <c r="W4771" s="10"/>
      <c r="X4771" s="10"/>
      <c r="Y4771" s="10"/>
      <c r="Z4771" s="10"/>
    </row>
    <row r="4772" spans="1:26" ht="12.75">
      <c r="A4772" s="10" t="str">
        <f ca="1">IFERROR(__xludf.DUMMYFUNCTION("""COMPUTED_VALUE"""),"Лизбет Любенова Върбанова - Йонева")</f>
        <v>Лизбет Любенова Върбанова - Йонева</v>
      </c>
      <c r="B4772" s="10" t="str">
        <f ca="1">IFERROR(__xludf.DUMMYFUNCTION("""COMPUTED_VALUE"""),"Статия в списания и поредици")</f>
        <v>Статия в списания и поредици</v>
      </c>
      <c r="C4772" s="10" t="str">
        <f ca="1">IFERROR(__xludf.DUMMYFUNCTION("""COMPUTED_VALUE"""),"Сердика, Средец, Триадица, София – многото лица на един град.")</f>
        <v>Сердика, Средец, Триадица, София – многото лица на един град.</v>
      </c>
      <c r="D4772" s="10">
        <f ca="1">IFERROR(__xludf.DUMMYFUNCTION("""COMPUTED_VALUE"""),2012)</f>
        <v>2012</v>
      </c>
      <c r="E4772" s="10" t="str">
        <f ca="1">IFERROR(__xludf.DUMMYFUNCTION("""COMPUTED_VALUE"""),"Минало, 2012, кн. 4, 43-58. ISSN 1310‐3415")</f>
        <v>Минало, 2012, кн. 4, 43-58. ISSN 1310‐3415</v>
      </c>
      <c r="F4772" s="10"/>
      <c r="G4772" s="10"/>
      <c r="H4772" s="10"/>
      <c r="I4772" s="10"/>
      <c r="J4772" s="10"/>
      <c r="K4772" s="10"/>
      <c r="L4772" s="10"/>
      <c r="M4772" s="10"/>
      <c r="N4772" s="10"/>
      <c r="O4772" s="10"/>
      <c r="P4772" s="10"/>
      <c r="Q4772" s="10"/>
      <c r="R4772" s="10"/>
      <c r="S4772" s="10"/>
      <c r="T4772" s="10"/>
      <c r="U4772" s="10"/>
      <c r="V4772" s="10"/>
      <c r="W4772" s="10"/>
      <c r="X4772" s="10"/>
      <c r="Y4772" s="10"/>
      <c r="Z4772" s="10"/>
    </row>
    <row r="4773" spans="1:26" ht="12.75">
      <c r="A4773" s="10" t="str">
        <f ca="1">IFERROR(__xludf.DUMMYFUNCTION("""COMPUTED_VALUE"""),"Лизбет Любенова Върбанова - Йонева")</f>
        <v>Лизбет Любенова Върбанова - Йонева</v>
      </c>
      <c r="B4773" s="10" t="str">
        <f ca="1">IFERROR(__xludf.DUMMYFUNCTION("""COMPUTED_VALUE"""),"Книга")</f>
        <v>Книга</v>
      </c>
      <c r="C4773" s="10" t="str">
        <f ca="1">IFERROR(__xludf.DUMMYFUNCTION("""COMPUTED_VALUE"""),"Сага за Балканската война. Дневник на свещеник Иван Дочев.")</f>
        <v>Сага за Балканската война. Дневник на свещеник Иван Дочев.</v>
      </c>
      <c r="D4773" s="10">
        <f ca="1">IFERROR(__xludf.DUMMYFUNCTION("""COMPUTED_VALUE"""),2012)</f>
        <v>2012</v>
      </c>
      <c r="E4773" s="10" t="str">
        <f ca="1">IFERROR(__xludf.DUMMYFUNCTION("""COMPUTED_VALUE"""),"Съставител, предговор, коментар и бележки Лизбет Любенова. Изд. „Изток-Запад”. С., 2012, 304 с. ISBN 978-619-152-005-3")</f>
        <v>Съставител, предговор, коментар и бележки Лизбет Любенова. Изд. „Изток-Запад”. С., 2012, 304 с. ISBN 978-619-152-005-3</v>
      </c>
      <c r="F4773" s="10"/>
      <c r="G4773" s="10"/>
      <c r="H4773" s="10"/>
      <c r="I4773" s="10"/>
      <c r="J4773" s="10"/>
      <c r="K4773" s="10"/>
      <c r="L4773" s="10"/>
      <c r="M4773" s="10"/>
      <c r="N4773" s="10"/>
      <c r="O4773" s="10"/>
      <c r="P4773" s="10"/>
      <c r="Q4773" s="10"/>
      <c r="R4773" s="10"/>
      <c r="S4773" s="10"/>
      <c r="T4773" s="10"/>
      <c r="U4773" s="10"/>
      <c r="V4773" s="10"/>
      <c r="W4773" s="10"/>
      <c r="X4773" s="10"/>
      <c r="Y4773" s="10"/>
      <c r="Z4773" s="10"/>
    </row>
    <row r="4774" spans="1:26" ht="12.75">
      <c r="A4774" s="10" t="str">
        <f ca="1">IFERROR(__xludf.DUMMYFUNCTION("""COMPUTED_VALUE"""),"Лизбет Любенова Върбанова - Йонева")</f>
        <v>Лизбет Любенова Върбанова - Йонева</v>
      </c>
      <c r="B4774" s="10" t="str">
        <f ca="1">IFERROR(__xludf.DUMMYFUNCTION("""COMPUTED_VALUE"""),"Доклад от конференция")</f>
        <v>Доклад от конференция</v>
      </c>
      <c r="C4774" s="10" t="str">
        <f ca="1">IFERROR(__xludf.DUMMYFUNCTION("""COMPUTED_VALUE"""),"Духовният елит на България (1878-1944)")</f>
        <v>Духовният елит на България (1878-1944)</v>
      </c>
      <c r="D4774" s="10">
        <f ca="1">IFERROR(__xludf.DUMMYFUNCTION("""COMPUTED_VALUE"""),2012)</f>
        <v>2012</v>
      </c>
      <c r="E4774" s="10" t="str">
        <f ca="1">IFERROR(__xludf.DUMMYFUNCTION("""COMPUTED_VALUE"""),"Обществото на знанието и хуманизмът на XXI век. Девета национална научна конференция с международно участие. София, 1 ноември 2011 г. Изд. „За буквите”, С., 2012, с. 243-250. ISSN 1314-7099")</f>
        <v>Обществото на знанието и хуманизмът на XXI век. Девета национална научна конференция с международно участие. София, 1 ноември 2011 г. Изд. „За буквите”, С., 2012, с. 243-250. ISSN 1314-7099</v>
      </c>
      <c r="F4774" s="10"/>
      <c r="G4774" s="10"/>
      <c r="H4774" s="10"/>
      <c r="I4774" s="10"/>
      <c r="J4774" s="10"/>
      <c r="K4774" s="10"/>
      <c r="L4774" s="10"/>
      <c r="M4774" s="10"/>
      <c r="N4774" s="10"/>
      <c r="O4774" s="10"/>
      <c r="P4774" s="10"/>
      <c r="Q4774" s="10"/>
      <c r="R4774" s="10"/>
      <c r="S4774" s="10"/>
      <c r="T4774" s="10"/>
      <c r="U4774" s="10"/>
      <c r="V4774" s="10"/>
      <c r="W4774" s="10"/>
      <c r="X4774" s="10"/>
      <c r="Y4774" s="10"/>
      <c r="Z4774" s="10"/>
    </row>
    <row r="4775" spans="1:26" ht="12.75">
      <c r="A4775" s="10" t="str">
        <f ca="1">IFERROR(__xludf.DUMMYFUNCTION("""COMPUTED_VALUE"""),"Лизбет Любенова Върбанова - Йонева")</f>
        <v>Лизбет Любенова Върбанова - Йонева</v>
      </c>
      <c r="B4775" s="10" t="str">
        <f ca="1">IFERROR(__xludf.DUMMYFUNCTION("""COMPUTED_VALUE"""),"Доклад от конференция")</f>
        <v>Доклад от конференция</v>
      </c>
      <c r="C4775" s="10" t="str">
        <f ca="1">IFERROR(__xludf.DUMMYFUNCTION("""COMPUTED_VALUE"""),"Дарителската дейност на Варненски и Преславски митрополит Симеон.")</f>
        <v>Дарителската дейност на Варненски и Преславски митрополит Симеон.</v>
      </c>
      <c r="D4775" s="10">
        <f ca="1">IFERROR(__xludf.DUMMYFUNCTION("""COMPUTED_VALUE"""),2012)</f>
        <v>2012</v>
      </c>
      <c r="E4775" s="10" t="str">
        <f ca="1">IFERROR(__xludf.DUMMYFUNCTION("""COMPUTED_VALUE"""),"Българското възрожденско общество – проблеми, борби и постижения. Сборник с изследвания в чест на 75-годишнината на доц. д-р Огняна Маждракова-Чавдарова. Академично издателство „Проф. М. Дринов”. С., 2012, 220-247. ISBN 978-954-322-544-6")</f>
        <v>Българското възрожденско общество – проблеми, борби и постижения. Сборник с изследвания в чест на 75-годишнината на доц. д-р Огняна Маждракова-Чавдарова. Академично издателство „Проф. М. Дринов”. С., 2012, 220-247. ISBN 978-954-322-544-6</v>
      </c>
      <c r="F4775" s="10"/>
      <c r="G4775" s="10"/>
      <c r="H4775" s="10"/>
      <c r="I4775" s="10"/>
      <c r="J4775" s="10"/>
      <c r="K4775" s="10"/>
      <c r="L4775" s="10"/>
      <c r="M4775" s="10"/>
      <c r="N4775" s="10"/>
      <c r="O4775" s="10"/>
      <c r="P4775" s="10"/>
      <c r="Q4775" s="10"/>
      <c r="R4775" s="10"/>
      <c r="S4775" s="10"/>
      <c r="T4775" s="10"/>
      <c r="U4775" s="10"/>
      <c r="V4775" s="10"/>
      <c r="W4775" s="10"/>
      <c r="X4775" s="10"/>
      <c r="Y4775" s="10"/>
      <c r="Z4775" s="10"/>
    </row>
    <row r="4776" spans="1:26" ht="12.75">
      <c r="A4776" s="10" t="str">
        <f ca="1">IFERROR(__xludf.DUMMYFUNCTION("""COMPUTED_VALUE"""),"Лизбет Любенова Върбанова - Йонева")</f>
        <v>Лизбет Любенова Върбанова - Йонева</v>
      </c>
      <c r="B4776" s="10" t="str">
        <f ca="1">IFERROR(__xludf.DUMMYFUNCTION("""COMPUTED_VALUE"""),"Книга")</f>
        <v>Книга</v>
      </c>
      <c r="C4776" s="10" t="str">
        <f ca="1">IFERROR(__xludf.DUMMYFUNCTION("""COMPUTED_VALUE"""),"Последните български владици в Македония.")</f>
        <v>Последните български владици в Македония.</v>
      </c>
      <c r="D4776" s="10">
        <f ca="1">IFERROR(__xludf.DUMMYFUNCTION("""COMPUTED_VALUE"""),2012)</f>
        <v>2012</v>
      </c>
      <c r="E4776" s="10" t="str">
        <f ca="1">IFERROR(__xludf.DUMMYFUNCTION("""COMPUTED_VALUE"""),"Изд. Изток-Запад. С., 2012, 430 с.Ликвидиране на българската културна и религиозна идентичност в Македония и Тракия през Балканските войни (7-13). ISBN 978-619-152-070-1")</f>
        <v>Изд. Изток-Запад. С., 2012, 430 с.Ликвидиране на българската културна и религиозна идентичност в Македония и Тракия през Балканските войни (7-13). ISBN 978-619-152-070-1</v>
      </c>
      <c r="F4776" s="10"/>
      <c r="G4776" s="10"/>
      <c r="H4776" s="10"/>
      <c r="I4776" s="10"/>
      <c r="J4776" s="10"/>
      <c r="K4776" s="10"/>
      <c r="L4776" s="10"/>
      <c r="M4776" s="10"/>
      <c r="N4776" s="10"/>
      <c r="O4776" s="10"/>
      <c r="P4776" s="10"/>
      <c r="Q4776" s="10"/>
      <c r="R4776" s="10"/>
      <c r="S4776" s="10"/>
      <c r="T4776" s="10"/>
      <c r="U4776" s="10"/>
      <c r="V4776" s="10"/>
      <c r="W4776" s="10"/>
      <c r="X4776" s="10"/>
      <c r="Y4776" s="10"/>
      <c r="Z4776" s="10"/>
    </row>
    <row r="4777" spans="1:26" ht="12.75">
      <c r="A4777" s="10" t="str">
        <f ca="1">IFERROR(__xludf.DUMMYFUNCTION("""COMPUTED_VALUE"""),"Лизбет Любенова Върбанова - Йонева")</f>
        <v>Лизбет Любенова Върбанова - Йонева</v>
      </c>
      <c r="B4777" s="10" t="str">
        <f ca="1">IFERROR(__xludf.DUMMYFUNCTION("""COMPUTED_VALUE"""),"Доклад от конференция")</f>
        <v>Доклад от конференция</v>
      </c>
      <c r="C4777" s="10" t="str">
        <f ca="1">IFERROR(__xludf.DUMMYFUNCTION("""COMPUTED_VALUE"""),"Кой как пренаписва събитията около Първия църковно-народен събор.")</f>
        <v>Кой как пренаписва събитията около Първия църковно-народен събор.</v>
      </c>
      <c r="D4777" s="10">
        <f ca="1">IFERROR(__xludf.DUMMYFUNCTION("""COMPUTED_VALUE"""),2012)</f>
        <v>2012</v>
      </c>
      <c r="E4777" s="10" t="str">
        <f ca="1">IFERROR(__xludf.DUMMYFUNCTION("""COMPUTED_VALUE"""),"Юбилеен сборник. Доклади и научни съобщения от V национална научна конференция „От регионалното към националното – история, краезнание и музейно дело” на Исторически музей – Полски Тръмбеш, посветена на 140-годишнина от възстановяване самостоятелността на"&amp;" Българската православна църква и 135-годишнината на Априлското въстание от 1876 г. 5-6.IX.2011 г. Изд. Абагар, В. Търново, 2012, 41-56. ISBN 978-954-427-966-0")</f>
        <v>Юбилеен сборник. Доклади и научни съобщения от V национална научна конференция „От регионалното към националното – история, краезнание и музейно дело” на Исторически музей – Полски Тръмбеш, посветена на 140-годишнина от възстановяване самостоятелността на Българската православна църква и 135-годишнината на Априлското въстание от 1876 г. 5-6.IX.2011 г. Изд. Абагар, В. Търново, 2012, 41-56. ISBN 978-954-427-966-0</v>
      </c>
      <c r="F4777" s="10"/>
      <c r="G4777" s="10"/>
      <c r="H4777" s="10"/>
      <c r="I4777" s="10"/>
      <c r="J4777" s="10"/>
      <c r="K4777" s="10"/>
      <c r="L4777" s="10"/>
      <c r="M4777" s="10"/>
      <c r="N4777" s="10"/>
      <c r="O4777" s="10"/>
      <c r="P4777" s="10"/>
      <c r="Q4777" s="10"/>
      <c r="R4777" s="10"/>
      <c r="S4777" s="10"/>
      <c r="T4777" s="10"/>
      <c r="U4777" s="10"/>
      <c r="V4777" s="10"/>
      <c r="W4777" s="10"/>
      <c r="X4777" s="10"/>
      <c r="Y4777" s="10"/>
      <c r="Z4777" s="10"/>
    </row>
    <row r="4778" spans="1:26" ht="12.75">
      <c r="A4778" s="10" t="str">
        <f ca="1">IFERROR(__xludf.DUMMYFUNCTION("""COMPUTED_VALUE"""),"Лизбет Любенова Върбанова - Йонева")</f>
        <v>Лизбет Любенова Върбанова - Йонева</v>
      </c>
      <c r="B4778" s="10" t="str">
        <f ca="1">IFERROR(__xludf.DUMMYFUNCTION("""COMPUTED_VALUE"""),"Статия в списания и поредици")</f>
        <v>Статия в списания и поредици</v>
      </c>
      <c r="C4778" s="10" t="str">
        <f ca="1">IFERROR(__xludf.DUMMYFUNCTION("""COMPUTED_VALUE"""),"On the Subject of Ecumenizm in the Bulgarian Orthodox Church.")</f>
        <v>On the Subject of Ecumenizm in the Bulgarian Orthodox Church.</v>
      </c>
      <c r="D4778" s="10">
        <f ca="1">IFERROR(__xludf.DUMMYFUNCTION("""COMPUTED_VALUE"""),2011)</f>
        <v>2011</v>
      </c>
      <c r="E4778" s="10" t="str">
        <f ca="1">IFERROR(__xludf.DUMMYFUNCTION("""COMPUTED_VALUE"""),"Bulgarian Historical review, 2011, № 3-4, p. 152-161. ISSN 0204-8906")</f>
        <v>Bulgarian Historical review, 2011, № 3-4, p. 152-161. ISSN 0204-8906</v>
      </c>
      <c r="F4778" s="10"/>
      <c r="G4778" s="10"/>
      <c r="H4778" s="10"/>
      <c r="I4778" s="10"/>
      <c r="J4778" s="10"/>
      <c r="K4778" s="10"/>
      <c r="L4778" s="10"/>
      <c r="M4778" s="10"/>
      <c r="N4778" s="10"/>
      <c r="O4778" s="10"/>
      <c r="P4778" s="10"/>
      <c r="Q4778" s="10"/>
      <c r="R4778" s="10"/>
      <c r="S4778" s="10"/>
      <c r="T4778" s="10"/>
      <c r="U4778" s="10"/>
      <c r="V4778" s="10"/>
      <c r="W4778" s="10"/>
      <c r="X4778" s="10"/>
      <c r="Y4778" s="10"/>
      <c r="Z4778" s="10"/>
    </row>
    <row r="4779" spans="1:26" ht="12.75">
      <c r="A4779" s="10" t="str">
        <f ca="1">IFERROR(__xludf.DUMMYFUNCTION("""COMPUTED_VALUE"""),"Лизбет Любенова Върбанова - Йонева")</f>
        <v>Лизбет Любенова Върбанова - Йонева</v>
      </c>
      <c r="B4779" s="10" t="str">
        <f ca="1">IFERROR(__xludf.DUMMYFUNCTION("""COMPUTED_VALUE"""),"Статия в списания и поредици")</f>
        <v>Статия в списания и поредици</v>
      </c>
      <c r="C4779" s="10" t="str">
        <f ca="1">IFERROR(__xludf.DUMMYFUNCTION("""COMPUTED_VALUE"""),"Историческият музей в Полски Тръмбеш отбеляза две важни годишнини")</f>
        <v>Историческият музей в Полски Тръмбеш отбеляза две важни годишнини</v>
      </c>
      <c r="D4779" s="10">
        <f ca="1">IFERROR(__xludf.DUMMYFUNCTION("""COMPUTED_VALUE"""),2011)</f>
        <v>2011</v>
      </c>
      <c r="E4779" s="10" t="str">
        <f ca="1">IFERROR(__xludf.DUMMYFUNCTION("""COMPUTED_VALUE"""),"ИПр., год. 68, 2011, кн. 3-4, 317-321.")</f>
        <v>ИПр., год. 68, 2011, кн. 3-4, 317-321.</v>
      </c>
      <c r="F4779" s="10"/>
      <c r="G4779" s="10"/>
      <c r="H4779" s="10"/>
      <c r="I4779" s="10"/>
      <c r="J4779" s="10"/>
      <c r="K4779" s="10"/>
      <c r="L4779" s="10"/>
      <c r="M4779" s="10"/>
      <c r="N4779" s="10"/>
      <c r="O4779" s="10"/>
      <c r="P4779" s="10"/>
      <c r="Q4779" s="10"/>
      <c r="R4779" s="10"/>
      <c r="S4779" s="10"/>
      <c r="T4779" s="10"/>
      <c r="U4779" s="10"/>
      <c r="V4779" s="10"/>
      <c r="W4779" s="10"/>
      <c r="X4779" s="10"/>
      <c r="Y4779" s="10"/>
      <c r="Z4779" s="10"/>
    </row>
    <row r="4780" spans="1:26" ht="12.75">
      <c r="A4780" s="10" t="str">
        <f ca="1">IFERROR(__xludf.DUMMYFUNCTION("""COMPUTED_VALUE"""),"Лизбет Любенова Върбанова - Йонева")</f>
        <v>Лизбет Любенова Върбанова - Йонева</v>
      </c>
      <c r="B4780" s="10" t="str">
        <f ca="1">IFERROR(__xludf.DUMMYFUNCTION("""COMPUTED_VALUE"""),"Доклад от конференция")</f>
        <v>Доклад от конференция</v>
      </c>
      <c r="C4780" s="10" t="str">
        <f ca="1">IFERROR(__xludf.DUMMYFUNCTION("""COMPUTED_VALUE"""),"Рилският светилник по пътя на българската християнизация.")</f>
        <v>Рилският светилник по пътя на българската християнизация.</v>
      </c>
      <c r="D4780" s="10">
        <f ca="1">IFERROR(__xludf.DUMMYFUNCTION("""COMPUTED_VALUE"""),2011)</f>
        <v>2011</v>
      </c>
      <c r="E4780" s="10" t="str">
        <f ca="1">IFERROR(__xludf.DUMMYFUNCTION("""COMPUTED_VALUE"""),"Културно-историческо наследство. Образователни и научноизследователски аспекти. Ред. С. Василева. Изд. „За буквите”. С., 2011, 80-94. ISBN 978-954-2946-01-4")</f>
        <v>Културно-историческо наследство. Образователни и научноизследователски аспекти. Ред. С. Василева. Изд. „За буквите”. С., 2011, 80-94. ISBN 978-954-2946-01-4</v>
      </c>
      <c r="F4780" s="10"/>
      <c r="G4780" s="10"/>
      <c r="H4780" s="10"/>
      <c r="I4780" s="10"/>
      <c r="J4780" s="10"/>
      <c r="K4780" s="10"/>
      <c r="L4780" s="10"/>
      <c r="M4780" s="10"/>
      <c r="N4780" s="10"/>
      <c r="O4780" s="10"/>
      <c r="P4780" s="10"/>
      <c r="Q4780" s="10"/>
      <c r="R4780" s="10"/>
      <c r="S4780" s="10"/>
      <c r="T4780" s="10"/>
      <c r="U4780" s="10"/>
      <c r="V4780" s="10"/>
      <c r="W4780" s="10"/>
      <c r="X4780" s="10"/>
      <c r="Y4780" s="10"/>
      <c r="Z4780" s="10"/>
    </row>
    <row r="4781" spans="1:26" ht="12.75">
      <c r="A4781" s="10" t="str">
        <f ca="1">IFERROR(__xludf.DUMMYFUNCTION("""COMPUTED_VALUE"""),"Лизбет Любенова Върбанова - Йонева")</f>
        <v>Лизбет Любенова Върбанова - Йонева</v>
      </c>
      <c r="B4781" s="10" t="str">
        <f ca="1">IFERROR(__xludf.DUMMYFUNCTION("""COMPUTED_VALUE"""),"Доклад от конференция")</f>
        <v>Доклад от конференция</v>
      </c>
      <c r="C4781" s="10" t="str">
        <f ca="1">IFERROR(__xludf.DUMMYFUNCTION("""COMPUTED_VALUE"""),"Синодалната архива като извор за морала на българското общество през XIX-XX век.")</f>
        <v>Синодалната архива като извор за морала на българското общество през XIX-XX век.</v>
      </c>
      <c r="D4781" s="10">
        <f ca="1">IFERROR(__xludf.DUMMYFUNCTION("""COMPUTED_VALUE"""),2011)</f>
        <v>2011</v>
      </c>
      <c r="E4781" s="10" t="str">
        <f ca="1">IFERROR(__xludf.DUMMYFUNCTION("""COMPUTED_VALUE"""),"Светът на българина през XX век. Сб. с доклади от национална научна конференция 9-10 юни, Димитровград. Парадигма. С., 2011, с. 22-34. ISBN 978-954-326-159-8")</f>
        <v>Светът на българина през XX век. Сб. с доклади от национална научна конференция 9-10 юни, Димитровград. Парадигма. С., 2011, с. 22-34. ISBN 978-954-326-159-8</v>
      </c>
      <c r="F4781" s="10"/>
      <c r="G4781" s="10"/>
      <c r="H4781" s="10"/>
      <c r="I4781" s="10"/>
      <c r="J4781" s="10"/>
      <c r="K4781" s="10"/>
      <c r="L4781" s="10"/>
      <c r="M4781" s="10"/>
      <c r="N4781" s="10"/>
      <c r="O4781" s="10"/>
      <c r="P4781" s="10"/>
      <c r="Q4781" s="10"/>
      <c r="R4781" s="10"/>
      <c r="S4781" s="10"/>
      <c r="T4781" s="10"/>
      <c r="U4781" s="10"/>
      <c r="V4781" s="10"/>
      <c r="W4781" s="10"/>
      <c r="X4781" s="10"/>
      <c r="Y4781" s="10"/>
      <c r="Z4781" s="10"/>
    </row>
    <row r="4782" spans="1:26" ht="12.75">
      <c r="A4782" s="10" t="str">
        <f ca="1">IFERROR(__xludf.DUMMYFUNCTION("""COMPUTED_VALUE"""),"Лизбет Любенова Върбанова - Йонева")</f>
        <v>Лизбет Любенова Върбанова - Йонева</v>
      </c>
      <c r="B4782" s="10" t="str">
        <f ca="1">IFERROR(__xludf.DUMMYFUNCTION("""COMPUTED_VALUE"""),"Доклад от конференция")</f>
        <v>Доклад от конференция</v>
      </c>
      <c r="C4782" s="10" t="str">
        <f ca="1">IFERROR(__xludf.DUMMYFUNCTION("""COMPUTED_VALUE"""),"Варненски и Преславски митрополит Йосиф и шуменци")</f>
        <v>Варненски и Преславски митрополит Йосиф и шуменци</v>
      </c>
      <c r="D4782" s="10">
        <f ca="1">IFERROR(__xludf.DUMMYFUNCTION("""COMPUTED_VALUE"""),2011)</f>
        <v>2011</v>
      </c>
      <c r="E4782" s="10" t="str">
        <f ca="1">IFERROR(__xludf.DUMMYFUNCTION("""COMPUTED_VALUE"""),"Оттука започва България. Материали от Втората национална конференция по история, археология и културен туризъм „Пътуване към България” – Шумен, 14-16.05.2010 г. Шумен, Унив. изд. „Еп. К. Преславски”, 2011, 646-656. ISBN 978-954-577-588-8")</f>
        <v>Оттука започва България. Материали от Втората национална конференция по история, археология и културен туризъм „Пътуване към България” – Шумен, 14-16.05.2010 г. Шумен, Унив. изд. „Еп. К. Преславски”, 2011, 646-656. ISBN 978-954-577-588-8</v>
      </c>
      <c r="F4782" s="10"/>
      <c r="G4782" s="10"/>
      <c r="H4782" s="10"/>
      <c r="I4782" s="10"/>
      <c r="J4782" s="10"/>
      <c r="K4782" s="10"/>
      <c r="L4782" s="10"/>
      <c r="M4782" s="10"/>
      <c r="N4782" s="10"/>
      <c r="O4782" s="10"/>
      <c r="P4782" s="10"/>
      <c r="Q4782" s="10"/>
      <c r="R4782" s="10"/>
      <c r="S4782" s="10"/>
      <c r="T4782" s="10"/>
      <c r="U4782" s="10"/>
      <c r="V4782" s="10"/>
      <c r="W4782" s="10"/>
      <c r="X4782" s="10"/>
      <c r="Y4782" s="10"/>
      <c r="Z4782" s="10"/>
    </row>
    <row r="4783" spans="1:26" ht="12.75">
      <c r="A4783" s="10" t="str">
        <f ca="1">IFERROR(__xludf.DUMMYFUNCTION("""COMPUTED_VALUE"""),"Лизбет Любенова Върбанова - Йонева")</f>
        <v>Лизбет Любенова Върбанова - Йонева</v>
      </c>
      <c r="B4783" s="10" t="str">
        <f ca="1">IFERROR(__xludf.DUMMYFUNCTION("""COMPUTED_VALUE"""),"Статия в списания и поредици")</f>
        <v>Статия в списания и поредици</v>
      </c>
      <c r="C4783" s="10" t="str">
        <f ca="1">IFERROR(__xludf.DUMMYFUNCTION("""COMPUTED_VALUE"""),"Старозагорецът Борис Охридски – последният български владика в Македония.")</f>
        <v>Старозагорецът Борис Охридски – последният български владика в Македония.</v>
      </c>
      <c r="D4783" s="10">
        <f ca="1">IFERROR(__xludf.DUMMYFUNCTION("""COMPUTED_VALUE"""),2011)</f>
        <v>2011</v>
      </c>
      <c r="E4783" s="10" t="str">
        <f ca="1">IFERROR(__xludf.DUMMYFUNCTION("""COMPUTED_VALUE"""),"Македонски преглед, 2011, кн. 4, 125-134. ISSN 0861-2277")</f>
        <v>Македонски преглед, 2011, кн. 4, 125-134. ISSN 0861-2277</v>
      </c>
      <c r="F4783" s="10"/>
      <c r="G4783" s="10"/>
      <c r="H4783" s="10"/>
      <c r="I4783" s="10"/>
      <c r="J4783" s="10"/>
      <c r="K4783" s="10"/>
      <c r="L4783" s="10"/>
      <c r="M4783" s="10"/>
      <c r="N4783" s="10"/>
      <c r="O4783" s="10"/>
      <c r="P4783" s="10"/>
      <c r="Q4783" s="10"/>
      <c r="R4783" s="10"/>
      <c r="S4783" s="10"/>
      <c r="T4783" s="10"/>
      <c r="U4783" s="10"/>
      <c r="V4783" s="10"/>
      <c r="W4783" s="10"/>
      <c r="X4783" s="10"/>
      <c r="Y4783" s="10"/>
      <c r="Z4783" s="10"/>
    </row>
    <row r="4784" spans="1:26" ht="12.75">
      <c r="A4784" s="10" t="str">
        <f ca="1">IFERROR(__xludf.DUMMYFUNCTION("""COMPUTED_VALUE"""),"Лизбет Любенова Върбанова - Йонева")</f>
        <v>Лизбет Любенова Върбанова - Йонева</v>
      </c>
      <c r="B4784" s="10" t="str">
        <f ca="1">IFERROR(__xludf.DUMMYFUNCTION("""COMPUTED_VALUE"""),"Книга")</f>
        <v>Книга</v>
      </c>
      <c r="C4784" s="10" t="str">
        <f ca="1">IFERROR(__xludf.DUMMYFUNCTION("""COMPUTED_VALUE"""),"Джейм Милър Килън. Ще се видим ли на оня свят с нашите близки и мили?")</f>
        <v>Джейм Милър Килън. Ще се видим ли на оня свят с нашите близки и мили?</v>
      </c>
      <c r="D4784" s="10">
        <f ca="1">IFERROR(__xludf.DUMMYFUNCTION("""COMPUTED_VALUE"""),2010)</f>
        <v>2010</v>
      </c>
      <c r="E4784" s="10" t="str">
        <f ca="1">IFERROR(__xludf.DUMMYFUNCTION("""COMPUTED_VALUE"""),"София: Синодално издателство, 2010, 132 с.")</f>
        <v>София: Синодално издателство, 2010, 132 с.</v>
      </c>
      <c r="F4784" s="10"/>
      <c r="G4784" s="10"/>
      <c r="H4784" s="10"/>
      <c r="I4784" s="10"/>
      <c r="J4784" s="10"/>
      <c r="K4784" s="10"/>
      <c r="L4784" s="10"/>
      <c r="M4784" s="10"/>
      <c r="N4784" s="10"/>
      <c r="O4784" s="10"/>
      <c r="P4784" s="10"/>
      <c r="Q4784" s="10"/>
      <c r="R4784" s="10"/>
      <c r="S4784" s="10"/>
      <c r="T4784" s="10"/>
      <c r="U4784" s="10"/>
      <c r="V4784" s="10"/>
      <c r="W4784" s="10"/>
      <c r="X4784" s="10"/>
      <c r="Y4784" s="10"/>
      <c r="Z4784" s="10"/>
    </row>
    <row r="4785" spans="1:26" ht="12.75">
      <c r="A4785" s="10" t="str">
        <f ca="1">IFERROR(__xludf.DUMMYFUNCTION("""COMPUTED_VALUE"""),"Лизбет Любенова Върбанова - Йонева")</f>
        <v>Лизбет Любенова Върбанова - Йонева</v>
      </c>
      <c r="B4785" s="10" t="str">
        <f ca="1">IFERROR(__xludf.DUMMYFUNCTION("""COMPUTED_VALUE"""),"Доклад от конференция")</f>
        <v>Доклад от конференция</v>
      </c>
      <c r="C4785" s="10" t="str">
        <f ca="1">IFERROR(__xludf.DUMMYFUNCTION("""COMPUTED_VALUE"""),"Подпомагане на Руската православна църква в годините на Втората световна война.")</f>
        <v>Подпомагане на Руската православна църква в годините на Втората световна война.</v>
      </c>
      <c r="D4785" s="10">
        <f ca="1">IFERROR(__xludf.DUMMYFUNCTION("""COMPUTED_VALUE"""),2010)</f>
        <v>2010</v>
      </c>
      <c r="E4785" s="10" t="str">
        <f ca="1">IFERROR(__xludf.DUMMYFUNCTION("""COMPUTED_VALUE"""),"„Погасло дневное светило...”. Руската литературна емиграция в България 1919-1944 г. Съст. и ред. Р. Русев, Й. Люцканов, Хр. Манолакев. Акад. изд. “Проф. Марин Дринов”. С., 2010, 403-425. ISBN 978-954-322-401-2")</f>
        <v>„Погасло дневное светило...”. Руската литературна емиграция в България 1919-1944 г. Съст. и ред. Р. Русев, Й. Люцканов, Хр. Манолакев. Акад. изд. “Проф. Марин Дринов”. С., 2010, 403-425. ISBN 978-954-322-401-2</v>
      </c>
      <c r="F4785" s="10"/>
      <c r="G4785" s="10"/>
      <c r="H4785" s="10"/>
      <c r="I4785" s="10"/>
      <c r="J4785" s="10"/>
      <c r="K4785" s="10"/>
      <c r="L4785" s="10"/>
      <c r="M4785" s="10"/>
      <c r="N4785" s="10"/>
      <c r="O4785" s="10"/>
      <c r="P4785" s="10"/>
      <c r="Q4785" s="10"/>
      <c r="R4785" s="10"/>
      <c r="S4785" s="10"/>
      <c r="T4785" s="10"/>
      <c r="U4785" s="10"/>
      <c r="V4785" s="10"/>
      <c r="W4785" s="10"/>
      <c r="X4785" s="10"/>
      <c r="Y4785" s="10"/>
      <c r="Z4785" s="10"/>
    </row>
    <row r="4786" spans="1:26" ht="12.75">
      <c r="A4786" s="10" t="str">
        <f ca="1">IFERROR(__xludf.DUMMYFUNCTION("""COMPUTED_VALUE"""),"Лизбет Любенова Върбанова - Йонева")</f>
        <v>Лизбет Любенова Върбанова - Йонева</v>
      </c>
      <c r="B4786" s="10" t="str">
        <f ca="1">IFERROR(__xludf.DUMMYFUNCTION("""COMPUTED_VALUE"""),"Статия в списания и поредици")</f>
        <v>Статия в списания и поредици</v>
      </c>
      <c r="C4786" s="10" t="str">
        <f ca="1">IFERROR(__xludf.DUMMYFUNCTION("""COMPUTED_VALUE"""),"Модерният град в съвременните представи на европейските изследователи.")</f>
        <v>Модерният град в съвременните представи на европейските изследователи.</v>
      </c>
      <c r="D4786" s="10">
        <f ca="1">IFERROR(__xludf.DUMMYFUNCTION("""COMPUTED_VALUE"""),2010)</f>
        <v>2010</v>
      </c>
      <c r="E4786" s="10" t="str">
        <f ca="1">IFERROR(__xludf.DUMMYFUNCTION("""COMPUTED_VALUE"""),"Модерният град и съхраняване на националната идентичност. Сб. Материали. Т. 1. Институт за универсално обучение. С., 2010, 1-14. . ISBN - няма")</f>
        <v>Модерният град и съхраняване на националната идентичност. Сб. Материали. Т. 1. Институт за универсално обучение. С., 2010, 1-14. . ISBN - няма</v>
      </c>
      <c r="F4786" s="10"/>
      <c r="G4786" s="10"/>
      <c r="H4786" s="10"/>
      <c r="I4786" s="10"/>
      <c r="J4786" s="10"/>
      <c r="K4786" s="10"/>
      <c r="L4786" s="10"/>
      <c r="M4786" s="10"/>
      <c r="N4786" s="10"/>
      <c r="O4786" s="10"/>
      <c r="P4786" s="10"/>
      <c r="Q4786" s="10"/>
      <c r="R4786" s="10"/>
      <c r="S4786" s="10"/>
      <c r="T4786" s="10"/>
      <c r="U4786" s="10"/>
      <c r="V4786" s="10"/>
      <c r="W4786" s="10"/>
      <c r="X4786" s="10"/>
      <c r="Y4786" s="10"/>
      <c r="Z4786" s="10"/>
    </row>
    <row r="4787" spans="1:26" ht="12.75">
      <c r="A4787" s="10" t="str">
        <f ca="1">IFERROR(__xludf.DUMMYFUNCTION("""COMPUTED_VALUE"""),"Лизбет Любенова Върбанова - Йонева")</f>
        <v>Лизбет Любенова Върбанова - Йонева</v>
      </c>
      <c r="B4787" s="10" t="str">
        <f ca="1">IFERROR(__xludf.DUMMYFUNCTION("""COMPUTED_VALUE"""),"Книга")</f>
        <v>Книга</v>
      </c>
      <c r="C4787" s="10" t="str">
        <f ca="1">IFERROR(__xludf.DUMMYFUNCTION("""COMPUTED_VALUE"""),"Летопис на Българската православна църква. Т. I. История и личности.")</f>
        <v>Летопис на Българската православна църква. Т. I. История и личности.</v>
      </c>
      <c r="D4787" s="10">
        <f ca="1">IFERROR(__xludf.DUMMYFUNCTION("""COMPUTED_VALUE"""),2010)</f>
        <v>2010</v>
      </c>
      <c r="E4787" s="10" t="str">
        <f ca="1">IFERROR(__xludf.DUMMYFUNCTION("""COMPUTED_VALUE"""),"Изд. Български бестселър. С., 2010, 579 с. ISBN 9789544631246")</f>
        <v>Изд. Български бестселър. С., 2010, 579 с. ISBN 9789544631246</v>
      </c>
      <c r="F4787" s="10"/>
      <c r="G4787" s="10"/>
      <c r="H4787" s="10"/>
      <c r="I4787" s="10"/>
      <c r="J4787" s="10"/>
      <c r="K4787" s="10"/>
      <c r="L4787" s="10"/>
      <c r="M4787" s="10"/>
      <c r="N4787" s="10"/>
      <c r="O4787" s="10"/>
      <c r="P4787" s="10"/>
      <c r="Q4787" s="10"/>
      <c r="R4787" s="10"/>
      <c r="S4787" s="10"/>
      <c r="T4787" s="10"/>
      <c r="U4787" s="10"/>
      <c r="V4787" s="10"/>
      <c r="W4787" s="10"/>
      <c r="X4787" s="10"/>
      <c r="Y4787" s="10"/>
      <c r="Z4787" s="10"/>
    </row>
    <row r="4788" spans="1:26" ht="12.75">
      <c r="A4788" s="10" t="str">
        <f ca="1">IFERROR(__xludf.DUMMYFUNCTION("""COMPUTED_VALUE"""),"Лизбет Любенова Върбанова - Йонева")</f>
        <v>Лизбет Любенова Върбанова - Йонева</v>
      </c>
      <c r="B4788" s="10" t="str">
        <f ca="1">IFERROR(__xludf.DUMMYFUNCTION("""COMPUTED_VALUE"""),"Доклад от конференция")</f>
        <v>Доклад от конференция</v>
      </c>
      <c r="C4788" s="10" t="str">
        <f ca="1">IFERROR(__xludf.DUMMYFUNCTION("""COMPUTED_VALUE"""),"Александър Екзарх или синдромът на историографската недостатъчност")</f>
        <v>Александър Екзарх или синдромът на историографската недостатъчност</v>
      </c>
      <c r="D4788" s="10">
        <f ca="1">IFERROR(__xludf.DUMMYFUNCTION("""COMPUTED_VALUE"""),2010)</f>
        <v>2010</v>
      </c>
      <c r="E4788" s="10" t="str">
        <f ca="1">IFERROR(__xludf.DUMMYFUNCTION("""COMPUTED_VALUE"""),"Изследвания в памет на проф. Зина Маркова. Акад. изд. “Проф. Марин Дринов”. С., 2010, 314-325.")</f>
        <v>Изследвания в памет на проф. Зина Маркова. Акад. изд. “Проф. Марин Дринов”. С., 2010, 314-325.</v>
      </c>
      <c r="F4788" s="10"/>
      <c r="G4788" s="10"/>
      <c r="H4788" s="10"/>
      <c r="I4788" s="10"/>
      <c r="J4788" s="10"/>
      <c r="K4788" s="10"/>
      <c r="L4788" s="10"/>
      <c r="M4788" s="10"/>
      <c r="N4788" s="10"/>
      <c r="O4788" s="10"/>
      <c r="P4788" s="10"/>
      <c r="Q4788" s="10"/>
      <c r="R4788" s="10"/>
      <c r="S4788" s="10"/>
      <c r="T4788" s="10"/>
      <c r="U4788" s="10"/>
      <c r="V4788" s="10"/>
      <c r="W4788" s="10"/>
      <c r="X4788" s="10"/>
      <c r="Y4788" s="10"/>
      <c r="Z4788" s="10"/>
    </row>
    <row r="4789" spans="1:26" ht="12.75">
      <c r="A4789" s="10" t="str">
        <f ca="1">IFERROR(__xludf.DUMMYFUNCTION("""COMPUTED_VALUE"""),"Лизбет Любенова Върбанова - Йонева")</f>
        <v>Лизбет Любенова Върбанова - Йонева</v>
      </c>
      <c r="B4789" s="10" t="str">
        <f ca="1">IFERROR(__xludf.DUMMYFUNCTION("""COMPUTED_VALUE"""),"Доклад от конференция")</f>
        <v>Доклад от конференция</v>
      </c>
      <c r="C4789" s="10" t="str">
        <f ca="1">IFERROR(__xludf.DUMMYFUNCTION("""COMPUTED_VALUE"""),"Българската православна църква в опазване на своето културно-историческо наследство (1878-1912)")</f>
        <v>Българската православна църква в опазване на своето културно-историческо наследство (1878-1912)</v>
      </c>
      <c r="D4789" s="10">
        <f ca="1">IFERROR(__xludf.DUMMYFUNCTION("""COMPUTED_VALUE"""),2010)</f>
        <v>2010</v>
      </c>
      <c r="E4789" s="10" t="str">
        <f ca="1">IFERROR(__xludf.DUMMYFUNCTION("""COMPUTED_VALUE"""),"Обществото на знанието и хуманизмът на XXI век. Осма национална научна конференция с международно участие, 1 ноември 2010 г. С., 2010, 370-385. ISBN 978-954-2946-09-0")</f>
        <v>Обществото на знанието и хуманизмът на XXI век. Осма национална научна конференция с международно участие, 1 ноември 2010 г. С., 2010, 370-385. ISBN 978-954-2946-09-0</v>
      </c>
      <c r="F4789" s="10"/>
      <c r="G4789" s="10"/>
      <c r="H4789" s="10"/>
      <c r="I4789" s="10"/>
      <c r="J4789" s="10"/>
      <c r="K4789" s="10"/>
      <c r="L4789" s="10"/>
      <c r="M4789" s="10"/>
      <c r="N4789" s="10"/>
      <c r="O4789" s="10"/>
      <c r="P4789" s="10"/>
      <c r="Q4789" s="10"/>
      <c r="R4789" s="10"/>
      <c r="S4789" s="10"/>
      <c r="T4789" s="10"/>
      <c r="U4789" s="10"/>
      <c r="V4789" s="10"/>
      <c r="W4789" s="10"/>
      <c r="X4789" s="10"/>
      <c r="Y4789" s="10"/>
      <c r="Z4789" s="10"/>
    </row>
    <row r="4790" spans="1:26" ht="12.75">
      <c r="A4790" s="10" t="str">
        <f ca="1">IFERROR(__xludf.DUMMYFUNCTION("""COMPUTED_VALUE"""),"Лизбет Любенова Върбанова - Йонева")</f>
        <v>Лизбет Любенова Върбанова - Йонева</v>
      </c>
      <c r="B4790" s="10" t="str">
        <f ca="1">IFERROR(__xludf.DUMMYFUNCTION("""COMPUTED_VALUE"""),"Статия в списания и поредици")</f>
        <v>Статия в списания и поредици</v>
      </c>
      <c r="C4790" s="10" t="str">
        <f ca="1">IFERROR(__xludf.DUMMYFUNCTION("""COMPUTED_VALUE"""),"Центърът на София.")</f>
        <v>Центърът на София.</v>
      </c>
      <c r="D4790" s="10">
        <f ca="1">IFERROR(__xludf.DUMMYFUNCTION("""COMPUTED_VALUE"""),2010)</f>
        <v>2010</v>
      </c>
      <c r="E4790" s="10" t="str">
        <f ca="1">IFERROR(__xludf.DUMMYFUNCTION("""COMPUTED_VALUE"""),"Модерният град и съхраняване на националната идентичност. Сб. Материали. Т. 2. Институт за универсално обучение. С., 2010, 71-91. . ISBN - няма")</f>
        <v>Модерният град и съхраняване на националната идентичност. Сб. Материали. Т. 2. Институт за универсално обучение. С., 2010, 71-91. . ISBN - няма</v>
      </c>
      <c r="F4790" s="10"/>
      <c r="G4790" s="10"/>
      <c r="H4790" s="10"/>
      <c r="I4790" s="10"/>
      <c r="J4790" s="10"/>
      <c r="K4790" s="10"/>
      <c r="L4790" s="10"/>
      <c r="M4790" s="10"/>
      <c r="N4790" s="10"/>
      <c r="O4790" s="10"/>
      <c r="P4790" s="10"/>
      <c r="Q4790" s="10"/>
      <c r="R4790" s="10"/>
      <c r="S4790" s="10"/>
      <c r="T4790" s="10"/>
      <c r="U4790" s="10"/>
      <c r="V4790" s="10"/>
      <c r="W4790" s="10"/>
      <c r="X4790" s="10"/>
      <c r="Y4790" s="10"/>
      <c r="Z4790" s="10"/>
    </row>
    <row r="4791" spans="1:26" ht="12.75">
      <c r="A4791" s="10" t="str">
        <f ca="1">IFERROR(__xludf.DUMMYFUNCTION("""COMPUTED_VALUE"""),"Лизбет Любенова Върбанова - Йонева")</f>
        <v>Лизбет Любенова Върбанова - Йонева</v>
      </c>
      <c r="B4791" s="10" t="str">
        <f ca="1">IFERROR(__xludf.DUMMYFUNCTION("""COMPUTED_VALUE"""),"Книга")</f>
        <v>Книга</v>
      </c>
      <c r="C4791" s="10" t="str">
        <f ca="1">IFERROR(__xludf.DUMMYFUNCTION("""COMPUTED_VALUE"""),"По пътя на българската духовност. Християнството по българските земи. Сказание за Св. Йоан Рилски.")</f>
        <v>По пътя на българската духовност. Християнството по българските земи. Сказание за Св. Йоан Рилски.</v>
      </c>
      <c r="D4791" s="10">
        <f ca="1">IFERROR(__xludf.DUMMYFUNCTION("""COMPUTED_VALUE"""),2009)</f>
        <v>2009</v>
      </c>
      <c r="E4791" s="10" t="str">
        <f ca="1">IFERROR(__xludf.DUMMYFUNCTION("""COMPUTED_VALUE"""),"С., 2009, 32 с. Два филма на диск. Музика Найден Андреев. НЛБ 94 2009")</f>
        <v>С., 2009, 32 с. Два филма на диск. Музика Найден Андреев. НЛБ 94 2009</v>
      </c>
      <c r="F4791" s="10"/>
      <c r="G4791" s="10"/>
      <c r="H4791" s="10"/>
      <c r="I4791" s="10"/>
      <c r="J4791" s="10"/>
      <c r="K4791" s="10"/>
      <c r="L4791" s="10"/>
      <c r="M4791" s="10"/>
      <c r="N4791" s="10"/>
      <c r="O4791" s="10"/>
      <c r="P4791" s="10"/>
      <c r="Q4791" s="10"/>
      <c r="R4791" s="10"/>
      <c r="S4791" s="10"/>
      <c r="T4791" s="10"/>
      <c r="U4791" s="10"/>
      <c r="V4791" s="10"/>
      <c r="W4791" s="10"/>
      <c r="X4791" s="10"/>
      <c r="Y4791" s="10"/>
      <c r="Z4791" s="10"/>
    </row>
    <row r="4792" spans="1:26" ht="12.75">
      <c r="A4792" s="10" t="str">
        <f ca="1">IFERROR(__xludf.DUMMYFUNCTION("""COMPUTED_VALUE"""),"Лизбет Любенова Върбанова - Йонева")</f>
        <v>Лизбет Любенова Върбанова - Йонева</v>
      </c>
      <c r="B4792" s="10" t="str">
        <f ca="1">IFERROR(__xludf.DUMMYFUNCTION("""COMPUTED_VALUE"""),"Доклад от конференция")</f>
        <v>Доклад от конференция</v>
      </c>
      <c r="C4792" s="10" t="str">
        <f ca="1">IFERROR(__xludf.DUMMYFUNCTION("""COMPUTED_VALUE"""),"Заветът на българската духовност")</f>
        <v>Заветът на българската духовност</v>
      </c>
      <c r="D4792" s="10">
        <f ca="1">IFERROR(__xludf.DUMMYFUNCTION("""COMPUTED_VALUE"""),2009)</f>
        <v>2009</v>
      </c>
      <c r="E4792" s="10" t="str">
        <f ca="1">IFERROR(__xludf.DUMMYFUNCTION("""COMPUTED_VALUE"""),"Българската православна църква. Традиции и настояще. Изд. Гутенберг. С., 2009, 123-131. ISBN 978-954-617-058-3")</f>
        <v>Българската православна църква. Традиции и настояще. Изд. Гутенберг. С., 2009, 123-131. ISBN 978-954-617-058-3</v>
      </c>
      <c r="F4792" s="10"/>
      <c r="G4792" s="10"/>
      <c r="H4792" s="10"/>
      <c r="I4792" s="10"/>
      <c r="J4792" s="10"/>
      <c r="K4792" s="10"/>
      <c r="L4792" s="10"/>
      <c r="M4792" s="10"/>
      <c r="N4792" s="10"/>
      <c r="O4792" s="10"/>
      <c r="P4792" s="10"/>
      <c r="Q4792" s="10"/>
      <c r="R4792" s="10"/>
      <c r="S4792" s="10"/>
      <c r="T4792" s="10"/>
      <c r="U4792" s="10"/>
      <c r="V4792" s="10"/>
      <c r="W4792" s="10"/>
      <c r="X4792" s="10"/>
      <c r="Y4792" s="10"/>
      <c r="Z4792" s="10"/>
    </row>
    <row r="4793" spans="1:26" ht="12.75">
      <c r="A4793" s="10" t="str">
        <f ca="1">IFERROR(__xludf.DUMMYFUNCTION("""COMPUTED_VALUE"""),"Лизбет Любенова Върбанова - Йонева")</f>
        <v>Лизбет Любенова Върбанова - Йонева</v>
      </c>
      <c r="B4793" s="10" t="str">
        <f ca="1">IFERROR(__xludf.DUMMYFUNCTION("""COMPUTED_VALUE"""),"Доклад от конференция")</f>
        <v>Доклад от конференция</v>
      </c>
      <c r="C4793" s="10" t="str">
        <f ca="1">IFERROR(__xludf.DUMMYFUNCTION("""COMPUTED_VALUE"""),"Копирни книги на Варненската митрополия")</f>
        <v>Копирни книги на Варненската митрополия</v>
      </c>
      <c r="D4793" s="10">
        <f ca="1">IFERROR(__xludf.DUMMYFUNCTION("""COMPUTED_VALUE"""),2009)</f>
        <v>2009</v>
      </c>
      <c r="E4793" s="10" t="str">
        <f ca="1">IFERROR(__xludf.DUMMYFUNCTION("""COMPUTED_VALUE"""),"Сборник в чест на 70-годишнината на академик Константин Косев. Акад. изд. “Проф. Марин Дринов”. С., 2009, 163-172.")</f>
        <v>Сборник в чест на 70-годишнината на академик Константин Косев. Акад. изд. “Проф. Марин Дринов”. С., 2009, 163-172.</v>
      </c>
      <c r="F4793" s="10"/>
      <c r="G4793" s="10"/>
      <c r="H4793" s="10"/>
      <c r="I4793" s="10"/>
      <c r="J4793" s="10"/>
      <c r="K4793" s="10"/>
      <c r="L4793" s="10"/>
      <c r="M4793" s="10"/>
      <c r="N4793" s="10"/>
      <c r="O4793" s="10"/>
      <c r="P4793" s="10"/>
      <c r="Q4793" s="10"/>
      <c r="R4793" s="10"/>
      <c r="S4793" s="10"/>
      <c r="T4793" s="10"/>
      <c r="U4793" s="10"/>
      <c r="V4793" s="10"/>
      <c r="W4793" s="10"/>
      <c r="X4793" s="10"/>
      <c r="Y4793" s="10"/>
      <c r="Z4793" s="10"/>
    </row>
    <row r="4794" spans="1:26" ht="12.75">
      <c r="A4794" s="10" t="str">
        <f ca="1">IFERROR(__xludf.DUMMYFUNCTION("""COMPUTED_VALUE"""),"Лизбет Любенова Върбанова - Йонева")</f>
        <v>Лизбет Любенова Върбанова - Йонева</v>
      </c>
      <c r="B4794" s="10" t="str">
        <f ca="1">IFERROR(__xludf.DUMMYFUNCTION("""COMPUTED_VALUE"""),"Доклад от конференция")</f>
        <v>Доклад от конференция</v>
      </c>
      <c r="C4794" s="10" t="str">
        <f ca="1">IFERROR(__xludf.DUMMYFUNCTION("""COMPUTED_VALUE"""),"Българската Екзархия и освободителите.")</f>
        <v>Българската Екзархия и освободителите.</v>
      </c>
      <c r="D4794" s="10">
        <f ca="1">IFERROR(__xludf.DUMMYFUNCTION("""COMPUTED_VALUE"""),2008)</f>
        <v>2008</v>
      </c>
      <c r="E4794" s="10" t="str">
        <f ca="1">IFERROR(__xludf.DUMMYFUNCTION("""COMPUTED_VALUE"""),"България и Русия. Между признателността и прагматизма. Международна научна конференция. Тезиси на доклади. С., 2008, 22-24. ISBN -няма")</f>
        <v>България и Русия. Между признателността и прагматизма. Международна научна конференция. Тезиси на доклади. С., 2008, 22-24. ISBN -няма</v>
      </c>
      <c r="F4794" s="10"/>
      <c r="G4794" s="10"/>
      <c r="H4794" s="10"/>
      <c r="I4794" s="10"/>
      <c r="J4794" s="10"/>
      <c r="K4794" s="10"/>
      <c r="L4794" s="10"/>
      <c r="M4794" s="10"/>
      <c r="N4794" s="10"/>
      <c r="O4794" s="10"/>
      <c r="P4794" s="10"/>
      <c r="Q4794" s="10"/>
      <c r="R4794" s="10"/>
      <c r="S4794" s="10"/>
      <c r="T4794" s="10"/>
      <c r="U4794" s="10"/>
      <c r="V4794" s="10"/>
      <c r="W4794" s="10"/>
      <c r="X4794" s="10"/>
      <c r="Y4794" s="10"/>
      <c r="Z4794" s="10"/>
    </row>
    <row r="4795" spans="1:26" ht="12.75">
      <c r="A4795" s="10" t="str">
        <f ca="1">IFERROR(__xludf.DUMMYFUNCTION("""COMPUTED_VALUE"""),"Лизбет Любенова Върбанова - Йонева")</f>
        <v>Лизбет Любенова Върбанова - Йонева</v>
      </c>
      <c r="B4795" s="10" t="str">
        <f ca="1">IFERROR(__xludf.DUMMYFUNCTION("""COMPUTED_VALUE"""),"Доклад от конференция")</f>
        <v>Доклад от конференция</v>
      </c>
      <c r="C4795" s="10" t="str">
        <f ca="1">IFERROR(__xludf.DUMMYFUNCTION("""COMPUTED_VALUE"""),"Отново за българите от Македония")</f>
        <v>Отново за българите от Македония</v>
      </c>
      <c r="D4795" s="10">
        <f ca="1">IFERROR(__xludf.DUMMYFUNCTION("""COMPUTED_VALUE"""),2008)</f>
        <v>2008</v>
      </c>
      <c r="E4795" s="10" t="str">
        <f ca="1">IFERROR(__xludf.DUMMYFUNCTION("""COMPUTED_VALUE"""),"Клио. Сборник в чест на 65-годишнината на ст.н.с. М. Куманов. Фондация “Арете-Фол”. С., 2008, 467-484. ISBN 978-954-617-042-2")</f>
        <v>Клио. Сборник в чест на 65-годишнината на ст.н.с. М. Куманов. Фондация “Арете-Фол”. С., 2008, 467-484. ISBN 978-954-617-042-2</v>
      </c>
      <c r="F4795" s="10"/>
      <c r="G4795" s="10"/>
      <c r="H4795" s="10"/>
      <c r="I4795" s="10"/>
      <c r="J4795" s="10"/>
      <c r="K4795" s="10"/>
      <c r="L4795" s="10"/>
      <c r="M4795" s="10"/>
      <c r="N4795" s="10"/>
      <c r="O4795" s="10"/>
      <c r="P4795" s="10"/>
      <c r="Q4795" s="10"/>
      <c r="R4795" s="10"/>
      <c r="S4795" s="10"/>
      <c r="T4795" s="10"/>
      <c r="U4795" s="10"/>
      <c r="V4795" s="10"/>
      <c r="W4795" s="10"/>
      <c r="X4795" s="10"/>
      <c r="Y4795" s="10"/>
      <c r="Z4795" s="10"/>
    </row>
    <row r="4796" spans="1:26" ht="12.75">
      <c r="A4796" s="10" t="str">
        <f ca="1">IFERROR(__xludf.DUMMYFUNCTION("""COMPUTED_VALUE"""),"Лизбет Любенова Върбанова - Йонева")</f>
        <v>Лизбет Любенова Върбанова - Йонева</v>
      </c>
      <c r="B4796" s="10" t="str">
        <f ca="1">IFERROR(__xludf.DUMMYFUNCTION("""COMPUTED_VALUE"""),"Статия в списания и поредици")</f>
        <v>Статия в списания и поредици</v>
      </c>
      <c r="C4796" s="10" t="str">
        <f ca="1">IFERROR(__xludf.DUMMYFUNCTION("""COMPUTED_VALUE"""),"В памет на един забравен академик.")</f>
        <v>В памет на един забравен академик.</v>
      </c>
      <c r="D4796" s="10">
        <f ca="1">IFERROR(__xludf.DUMMYFUNCTION("""COMPUTED_VALUE"""),2008)</f>
        <v>2008</v>
      </c>
      <c r="E4796" s="10" t="str">
        <f ca="1">IFERROR(__xludf.DUMMYFUNCTION("""COMPUTED_VALUE"""),"Списание на БАН, год. CXXI, 2008, кн. 1, 20-25. ISSN 0007-3989")</f>
        <v>Списание на БАН, год. CXXI, 2008, кн. 1, 20-25. ISSN 0007-3989</v>
      </c>
      <c r="F4796" s="10"/>
      <c r="G4796" s="10"/>
      <c r="H4796" s="10"/>
      <c r="I4796" s="10"/>
      <c r="J4796" s="10"/>
      <c r="K4796" s="10"/>
      <c r="L4796" s="10"/>
      <c r="M4796" s="10"/>
      <c r="N4796" s="10"/>
      <c r="O4796" s="10"/>
      <c r="P4796" s="10"/>
      <c r="Q4796" s="10"/>
      <c r="R4796" s="10"/>
      <c r="S4796" s="10"/>
      <c r="T4796" s="10"/>
      <c r="U4796" s="10"/>
      <c r="V4796" s="10"/>
      <c r="W4796" s="10"/>
      <c r="X4796" s="10"/>
      <c r="Y4796" s="10"/>
      <c r="Z4796" s="10"/>
    </row>
    <row r="4797" spans="1:26" ht="12.75">
      <c r="A4797" s="10" t="str">
        <f ca="1">IFERROR(__xludf.DUMMYFUNCTION("""COMPUTED_VALUE"""),"Лизбет Любенова Върбанова - Йонева")</f>
        <v>Лизбет Любенова Върбанова - Йонева</v>
      </c>
      <c r="B4797" s="10" t="str">
        <f ca="1">IFERROR(__xludf.DUMMYFUNCTION("""COMPUTED_VALUE"""),"Доклад от конференция")</f>
        <v>Доклад от конференция</v>
      </c>
      <c r="C4797" s="10" t="str">
        <f ca="1">IFERROR(__xludf.DUMMYFUNCTION("""COMPUTED_VALUE"""),"Българинът през погледа на чуждите пътешественици.")</f>
        <v>Българинът през погледа на чуждите пътешественици.</v>
      </c>
      <c r="D4797" s="10">
        <f ca="1">IFERROR(__xludf.DUMMYFUNCTION("""COMPUTED_VALUE"""),2008)</f>
        <v>2008</v>
      </c>
      <c r="E4797" s="10" t="str">
        <f ca="1">IFERROR(__xludf.DUMMYFUNCTION("""COMPUTED_VALUE"""),"Кирилицата в духовността на информационната цивилизация. Пета национална научна конференция с международно участие. София, 1 ноември 2007 г. Изд. “За буквите – О писменехь”. С., 2008, 713-726. ISBN 978-954-8887-42-7")</f>
        <v>Кирилицата в духовността на информационната цивилизация. Пета национална научна конференция с международно участие. София, 1 ноември 2007 г. Изд. “За буквите – О писменехь”. С., 2008, 713-726. ISBN 978-954-8887-42-7</v>
      </c>
      <c r="F4797" s="10"/>
      <c r="G4797" s="10"/>
      <c r="H4797" s="10"/>
      <c r="I4797" s="10"/>
      <c r="J4797" s="10"/>
      <c r="K4797" s="10"/>
      <c r="L4797" s="10"/>
      <c r="M4797" s="10"/>
      <c r="N4797" s="10"/>
      <c r="O4797" s="10"/>
      <c r="P4797" s="10"/>
      <c r="Q4797" s="10"/>
      <c r="R4797" s="10"/>
      <c r="S4797" s="10"/>
      <c r="T4797" s="10"/>
      <c r="U4797" s="10"/>
      <c r="V4797" s="10"/>
      <c r="W4797" s="10"/>
      <c r="X4797" s="10"/>
      <c r="Y4797" s="10"/>
      <c r="Z4797" s="10"/>
    </row>
    <row r="4798" spans="1:26" ht="12.75">
      <c r="A4798" s="10" t="str">
        <f ca="1">IFERROR(__xludf.DUMMYFUNCTION("""COMPUTED_VALUE"""),"Лизбет Любенова Върбанова - Йонева")</f>
        <v>Лизбет Любенова Върбанова - Йонева</v>
      </c>
      <c r="B4798" s="10" t="str">
        <f ca="1">IFERROR(__xludf.DUMMYFUNCTION("""COMPUTED_VALUE"""),"Доклад от конференция")</f>
        <v>Доклад от конференция</v>
      </c>
      <c r="C4798" s="10" t="str">
        <f ca="1">IFERROR(__xludf.DUMMYFUNCTION("""COMPUTED_VALUE"""),"Патриархалност и модерност в семейните отношения в прехода между две епохи.")</f>
        <v>Патриархалност и модерност в семейните отношения в прехода между две епохи.</v>
      </c>
      <c r="D4798" s="10">
        <f ca="1">IFERROR(__xludf.DUMMYFUNCTION("""COMPUTED_VALUE"""),2007)</f>
        <v>2007</v>
      </c>
      <c r="E4798" s="10" t="str">
        <f ca="1">IFERROR(__xludf.DUMMYFUNCTION("""COMPUTED_VALUE"""),"Нови информационни технологии в образователния процес. Сборник от научни доклади и съобщения на СВУБИТ от Научния семинар, проведен в Чифлика, Троянско, на 11-13 април 2006 г. Изд. “За буквите – О писменехь”. С., 2007, 210-221. ISSN 1313-2768")</f>
        <v>Нови информационни технологии в образователния процес. Сборник от научни доклади и съобщения на СВУБИТ от Научния семинар, проведен в Чифлика, Троянско, на 11-13 април 2006 г. Изд. “За буквите – О писменехь”. С., 2007, 210-221. ISSN 1313-2768</v>
      </c>
      <c r="F4798" s="10"/>
      <c r="G4798" s="10"/>
      <c r="H4798" s="10"/>
      <c r="I4798" s="10"/>
      <c r="J4798" s="10"/>
      <c r="K4798" s="10"/>
      <c r="L4798" s="10"/>
      <c r="M4798" s="10"/>
      <c r="N4798" s="10"/>
      <c r="O4798" s="10"/>
      <c r="P4798" s="10"/>
      <c r="Q4798" s="10"/>
      <c r="R4798" s="10"/>
      <c r="S4798" s="10"/>
      <c r="T4798" s="10"/>
      <c r="U4798" s="10"/>
      <c r="V4798" s="10"/>
      <c r="W4798" s="10"/>
      <c r="X4798" s="10"/>
      <c r="Y4798" s="10"/>
      <c r="Z4798" s="10"/>
    </row>
    <row r="4799" spans="1:26" ht="12.75">
      <c r="A4799" s="10" t="str">
        <f ca="1">IFERROR(__xludf.DUMMYFUNCTION("""COMPUTED_VALUE"""),"Лизбет Любенова Върбанова - Йонева")</f>
        <v>Лизбет Любенова Върбанова - Йонева</v>
      </c>
      <c r="B4799" s="10" t="str">
        <f ca="1">IFERROR(__xludf.DUMMYFUNCTION("""COMPUTED_VALUE"""),"Доклад от конференция")</f>
        <v>Доклад от конференция</v>
      </c>
      <c r="C4799" s="10" t="str">
        <f ca="1">IFERROR(__xludf.DUMMYFUNCTION("""COMPUTED_VALUE"""),"Църквата в икономическата политика на България в периода между двете световни войни.")</f>
        <v>Църквата в икономическата политика на България в периода между двете световни войни.</v>
      </c>
      <c r="D4799" s="10">
        <f ca="1">IFERROR(__xludf.DUMMYFUNCTION("""COMPUTED_VALUE"""),2007)</f>
        <v>2007</v>
      </c>
      <c r="E4799" s="10" t="str">
        <f ca="1">IFERROR(__xludf.DUMMYFUNCTION("""COMPUTED_VALUE"""),"130 години Старозагорска епархия. Сб. доклади от научна конференция 2-3 октомври 2001 г. Ст. Загора, 2007, с. 16-23.")</f>
        <v>130 години Старозагорска епархия. Сб. доклади от научна конференция 2-3 октомври 2001 г. Ст. Загора, 2007, с. 16-23.</v>
      </c>
      <c r="F4799" s="10"/>
      <c r="G4799" s="10"/>
      <c r="H4799" s="10"/>
      <c r="I4799" s="10"/>
      <c r="J4799" s="10"/>
      <c r="K4799" s="10"/>
      <c r="L4799" s="10"/>
      <c r="M4799" s="10"/>
      <c r="N4799" s="10"/>
      <c r="O4799" s="10"/>
      <c r="P4799" s="10"/>
      <c r="Q4799" s="10"/>
      <c r="R4799" s="10"/>
      <c r="S4799" s="10"/>
      <c r="T4799" s="10"/>
      <c r="U4799" s="10"/>
      <c r="V4799" s="10"/>
      <c r="W4799" s="10"/>
      <c r="X4799" s="10"/>
      <c r="Y4799" s="10"/>
      <c r="Z4799" s="10"/>
    </row>
    <row r="4800" spans="1:26" ht="12.75">
      <c r="A4800" s="10" t="str">
        <f ca="1">IFERROR(__xludf.DUMMYFUNCTION("""COMPUTED_VALUE"""),"Лизбет Любенова Върбанова - Йонева")</f>
        <v>Лизбет Любенова Върбанова - Йонева</v>
      </c>
      <c r="B4800" s="10" t="str">
        <f ca="1">IFERROR(__xludf.DUMMYFUNCTION("""COMPUTED_VALUE"""),"Доклад от конференция")</f>
        <v>Доклад от конференция</v>
      </c>
      <c r="C4800" s="10" t="str">
        <f ca="1">IFERROR(__xludf.DUMMYFUNCTION("""COMPUTED_VALUE"""),"Духът на Д. С. Лихачов в съвременната историография.")</f>
        <v>Духът на Д. С. Лихачов в съвременната историография.</v>
      </c>
      <c r="D4800" s="10">
        <f ca="1">IFERROR(__xludf.DUMMYFUNCTION("""COMPUTED_VALUE"""),2007)</f>
        <v>2007</v>
      </c>
      <c r="E4800" s="10" t="str">
        <f ca="1">IFERROR(__xludf.DUMMYFUNCTION("""COMPUTED_VALUE"""),"Държавата на духа. IV национална научна конференция с международно участие. София, 1 ноември 2006 г. С., 2007, 227-246. ISBN 978-954-8887-29-8")</f>
        <v>Държавата на духа. IV национална научна конференция с международно участие. София, 1 ноември 2006 г. С., 2007, 227-246. ISBN 978-954-8887-29-8</v>
      </c>
      <c r="F4800" s="10"/>
      <c r="G4800" s="10"/>
      <c r="H4800" s="10"/>
      <c r="I4800" s="10"/>
      <c r="J4800" s="10"/>
      <c r="K4800" s="10"/>
      <c r="L4800" s="10"/>
      <c r="M4800" s="10"/>
      <c r="N4800" s="10"/>
      <c r="O4800" s="10"/>
      <c r="P4800" s="10"/>
      <c r="Q4800" s="10"/>
      <c r="R4800" s="10"/>
      <c r="S4800" s="10"/>
      <c r="T4800" s="10"/>
      <c r="U4800" s="10"/>
      <c r="V4800" s="10"/>
      <c r="W4800" s="10"/>
      <c r="X4800" s="10"/>
      <c r="Y4800" s="10"/>
      <c r="Z4800" s="10"/>
    </row>
    <row r="4801" spans="1:26" ht="12.75">
      <c r="A4801" s="10" t="str">
        <f ca="1">IFERROR(__xludf.DUMMYFUNCTION("""COMPUTED_VALUE"""),"Лизбет Любенова Върбанова - Йонева")</f>
        <v>Лизбет Любенова Върбанова - Йонева</v>
      </c>
      <c r="B4801" s="10" t="str">
        <f ca="1">IFERROR(__xludf.DUMMYFUNCTION("""COMPUTED_VALUE"""),"Доклад от конференция")</f>
        <v>Доклад от конференция</v>
      </c>
      <c r="C4801" s="10" t="str">
        <f ca="1">IFERROR(__xludf.DUMMYFUNCTION("""COMPUTED_VALUE"""),"130 години Старозагорска епархия.")</f>
        <v>130 години Старозагорска епархия.</v>
      </c>
      <c r="D4801" s="10">
        <f ca="1">IFERROR(__xludf.DUMMYFUNCTION("""COMPUTED_VALUE"""),2007)</f>
        <v>2007</v>
      </c>
      <c r="E4801" s="10" t="str">
        <f ca="1">IFERROR(__xludf.DUMMYFUNCTION("""COMPUTED_VALUE"""),"130 години Старозагорска епархия. Сб. доклади от научна конференция 2-3 октомври 2001 г. Ст. Загора, 2007, 14-15.")</f>
        <v>130 години Старозагорска епархия. Сб. доклади от научна конференция 2-3 октомври 2001 г. Ст. Загора, 2007, 14-15.</v>
      </c>
      <c r="F4801" s="10"/>
      <c r="G4801" s="10"/>
      <c r="H4801" s="10"/>
      <c r="I4801" s="10"/>
      <c r="J4801" s="10"/>
      <c r="K4801" s="10"/>
      <c r="L4801" s="10"/>
      <c r="M4801" s="10"/>
      <c r="N4801" s="10"/>
      <c r="O4801" s="10"/>
      <c r="P4801" s="10"/>
      <c r="Q4801" s="10"/>
      <c r="R4801" s="10"/>
      <c r="S4801" s="10"/>
      <c r="T4801" s="10"/>
      <c r="U4801" s="10"/>
      <c r="V4801" s="10"/>
      <c r="W4801" s="10"/>
      <c r="X4801" s="10"/>
      <c r="Y4801" s="10"/>
      <c r="Z4801" s="10"/>
    </row>
    <row r="4802" spans="1:26" ht="12.75">
      <c r="A4802" s="10" t="str">
        <f ca="1">IFERROR(__xludf.DUMMYFUNCTION("""COMPUTED_VALUE"""),"Лизбет Любенова Върбанова - Йонева")</f>
        <v>Лизбет Любенова Върбанова - Йонева</v>
      </c>
      <c r="B4802" s="10" t="str">
        <f ca="1">IFERROR(__xludf.DUMMYFUNCTION("""COMPUTED_VALUE"""),"Статия в списания и поредици")</f>
        <v>Статия в списания и поредици</v>
      </c>
      <c r="C4802" s="10" t="str">
        <f ca="1">IFERROR(__xludf.DUMMYFUNCTION("""COMPUTED_VALUE"""),"Варненски и Преславски митрополит Симеон. (По случай 70 г. от смъртта му)")</f>
        <v>Варненски и Преславски митрополит Симеон. (По случай 70 г. от смъртта му)</v>
      </c>
      <c r="D4802" s="10">
        <f ca="1">IFERROR(__xludf.DUMMYFUNCTION("""COMPUTED_VALUE"""),2007)</f>
        <v>2007</v>
      </c>
      <c r="E4802" s="10" t="str">
        <f ca="1">IFERROR(__xludf.DUMMYFUNCTION("""COMPUTED_VALUE"""),"Трудове на СВУБИТ. Т. 6, 2007, 503-529. ISSN 1312-5834")</f>
        <v>Трудове на СВУБИТ. Т. 6, 2007, 503-529. ISSN 1312-5834</v>
      </c>
      <c r="F4802" s="10"/>
      <c r="G4802" s="10"/>
      <c r="H4802" s="10"/>
      <c r="I4802" s="10"/>
      <c r="J4802" s="10"/>
      <c r="K4802" s="10"/>
      <c r="L4802" s="10"/>
      <c r="M4802" s="10"/>
      <c r="N4802" s="10"/>
      <c r="O4802" s="10"/>
      <c r="P4802" s="10"/>
      <c r="Q4802" s="10"/>
      <c r="R4802" s="10"/>
      <c r="S4802" s="10"/>
      <c r="T4802" s="10"/>
      <c r="U4802" s="10"/>
      <c r="V4802" s="10"/>
      <c r="W4802" s="10"/>
      <c r="X4802" s="10"/>
      <c r="Y4802" s="10"/>
      <c r="Z4802" s="10"/>
    </row>
    <row r="4803" spans="1:26" ht="12.75">
      <c r="A4803" s="10" t="str">
        <f ca="1">IFERROR(__xludf.DUMMYFUNCTION("""COMPUTED_VALUE"""),"Лизбет Любенова Върбанова - Йонева")</f>
        <v>Лизбет Любенова Върбанова - Йонева</v>
      </c>
      <c r="B4803" s="10" t="str">
        <f ca="1">IFERROR(__xludf.DUMMYFUNCTION("""COMPUTED_VALUE"""),"Статия в списания и поредици")</f>
        <v>Статия в списания и поредици</v>
      </c>
      <c r="C4803" s="10" t="str">
        <f ca="1">IFERROR(__xludf.DUMMYFUNCTION("""COMPUTED_VALUE"""),"Политическите пристрастия на Екзарх Стефан І Български.")</f>
        <v>Политическите пристрастия на Екзарх Стефан І Български.</v>
      </c>
      <c r="D4803" s="10">
        <f ca="1">IFERROR(__xludf.DUMMYFUNCTION("""COMPUTED_VALUE"""),2006)</f>
        <v>2006</v>
      </c>
      <c r="E4803" s="10" t="str">
        <f ca="1">IFERROR(__xludf.DUMMYFUNCTION("""COMPUTED_VALUE"""),"Трудове на СВУБИТ. Т. 5. С., 2006, 465-480. ISSN 1312-5834")</f>
        <v>Трудове на СВУБИТ. Т. 5. С., 2006, 465-480. ISSN 1312-5834</v>
      </c>
      <c r="F4803" s="10"/>
      <c r="G4803" s="10"/>
      <c r="H4803" s="10"/>
      <c r="I4803" s="10"/>
      <c r="J4803" s="10"/>
      <c r="K4803" s="10"/>
      <c r="L4803" s="10"/>
      <c r="M4803" s="10"/>
      <c r="N4803" s="10"/>
      <c r="O4803" s="10"/>
      <c r="P4803" s="10"/>
      <c r="Q4803" s="10"/>
      <c r="R4803" s="10"/>
      <c r="S4803" s="10"/>
      <c r="T4803" s="10"/>
      <c r="U4803" s="10"/>
      <c r="V4803" s="10"/>
      <c r="W4803" s="10"/>
      <c r="X4803" s="10"/>
      <c r="Y4803" s="10"/>
      <c r="Z4803" s="10"/>
    </row>
    <row r="4804" spans="1:26" ht="12.75">
      <c r="A4804" s="10" t="str">
        <f ca="1">IFERROR(__xludf.DUMMYFUNCTION("""COMPUTED_VALUE"""),"Лизбет Любенова Върбанова - Йонева")</f>
        <v>Лизбет Любенова Върбанова - Йонева</v>
      </c>
      <c r="B4804" s="10" t="str">
        <f ca="1">IFERROR(__xludf.DUMMYFUNCTION("""COMPUTED_VALUE"""),"Статия в списания и поредици")</f>
        <v>Статия в списания и поредици</v>
      </c>
      <c r="C4804" s="10" t="str">
        <f ca="1">IFERROR(__xludf.DUMMYFUNCTION("""COMPUTED_VALUE"""),"Съдбата на село Курфали според екзархийските архиви.")</f>
        <v>Съдбата на село Курфали според екзархийските архиви.</v>
      </c>
      <c r="D4804" s="10">
        <f ca="1">IFERROR(__xludf.DUMMYFUNCTION("""COMPUTED_VALUE"""),2005)</f>
        <v>2005</v>
      </c>
      <c r="E4804" s="10" t="str">
        <f ca="1">IFERROR(__xludf.DUMMYFUNCTION("""COMPUTED_VALUE"""),"Известия на Тракийския научен институт, кн. 13, София 2015, 81-96. ISSN 1312-6741")</f>
        <v>Известия на Тракийския научен институт, кн. 13, София 2015, 81-96. ISSN 1312-6741</v>
      </c>
      <c r="F4804" s="10"/>
      <c r="G4804" s="10"/>
      <c r="H4804" s="10"/>
      <c r="I4804" s="10"/>
      <c r="J4804" s="10"/>
      <c r="K4804" s="10"/>
      <c r="L4804" s="10"/>
      <c r="M4804" s="10"/>
      <c r="N4804" s="10"/>
      <c r="O4804" s="10"/>
      <c r="P4804" s="10"/>
      <c r="Q4804" s="10"/>
      <c r="R4804" s="10"/>
      <c r="S4804" s="10"/>
      <c r="T4804" s="10"/>
      <c r="U4804" s="10"/>
      <c r="V4804" s="10"/>
      <c r="W4804" s="10"/>
      <c r="X4804" s="10"/>
      <c r="Y4804" s="10"/>
      <c r="Z4804" s="10"/>
    </row>
    <row r="4805" spans="1:26" ht="12.75">
      <c r="A4805" s="10" t="str">
        <f ca="1">IFERROR(__xludf.DUMMYFUNCTION("""COMPUTED_VALUE"""),"Лизбет Любенова Върбанова - Йонева")</f>
        <v>Лизбет Любенова Върбанова - Йонева</v>
      </c>
      <c r="B4805" s="10" t="str">
        <f ca="1">IFERROR(__xludf.DUMMYFUNCTION("""COMPUTED_VALUE"""),"Статия в списания и поредици")</f>
        <v>Статия в списания и поредици</v>
      </c>
      <c r="C4805" s="10" t="str">
        <f ca="1">IFERROR(__xludf.DUMMYFUNCTION("""COMPUTED_VALUE"""),"Документалното богатство в ръкописния отдел на Баварската държавна библиотека.")</f>
        <v>Документалното богатство в ръкописния отдел на Баварската държавна библиотека.</v>
      </c>
      <c r="D4805" s="10">
        <f ca="1">IFERROR(__xludf.DUMMYFUNCTION("""COMPUTED_VALUE"""),2005)</f>
        <v>2005</v>
      </c>
      <c r="E4805" s="10" t="str">
        <f ca="1">IFERROR(__xludf.DUMMYFUNCTION("""COMPUTED_VALUE"""),"Трудове на СВУБИТ. Т. 4, 2005, 283-303. ISSN 1312-5834")</f>
        <v>Трудове на СВУБИТ. Т. 4, 2005, 283-303. ISSN 1312-5834</v>
      </c>
      <c r="F4805" s="10"/>
      <c r="G4805" s="10"/>
      <c r="H4805" s="10"/>
      <c r="I4805" s="10"/>
      <c r="J4805" s="10"/>
      <c r="K4805" s="10"/>
      <c r="L4805" s="10"/>
      <c r="M4805" s="10"/>
      <c r="N4805" s="10"/>
      <c r="O4805" s="10"/>
      <c r="P4805" s="10"/>
      <c r="Q4805" s="10"/>
      <c r="R4805" s="10"/>
      <c r="S4805" s="10"/>
      <c r="T4805" s="10"/>
      <c r="U4805" s="10"/>
      <c r="V4805" s="10"/>
      <c r="W4805" s="10"/>
      <c r="X4805" s="10"/>
      <c r="Y4805" s="10"/>
      <c r="Z4805" s="10"/>
    </row>
    <row r="4806" spans="1:26" ht="12.75">
      <c r="A4806" s="10" t="str">
        <f ca="1">IFERROR(__xludf.DUMMYFUNCTION("""COMPUTED_VALUE"""),"Лизбет Любенова Върбанова - Йонева")</f>
        <v>Лизбет Любенова Върбанова - Йонева</v>
      </c>
      <c r="B4806" s="10" t="str">
        <f ca="1">IFERROR(__xludf.DUMMYFUNCTION("""COMPUTED_VALUE"""),"Доклад от конференция")</f>
        <v>Доклад от конференция</v>
      </c>
      <c r="C4806" s="10" t="str">
        <f ca="1">IFERROR(__xludf.DUMMYFUNCTION("""COMPUTED_VALUE"""),"Российские интеллигенты-эмигранты в Болгарии: проблемы источниковедения и историографии.")</f>
        <v>Российские интеллигенты-эмигранты в Болгарии: проблемы источниковедения и историографии.</v>
      </c>
      <c r="D4806" s="10">
        <f ca="1">IFERROR(__xludf.DUMMYFUNCTION("""COMPUTED_VALUE"""),2005)</f>
        <v>2005</v>
      </c>
      <c r="E4806" s="10" t="str">
        <f ca="1">IFERROR(__xludf.DUMMYFUNCTION("""COMPUTED_VALUE"""),"Документальное наследие по истории русской культуры в отечественных архивах и за рубежом. Материалы Международной научно-практической конференции. Москва, 29-30 октября 2003 г. Москва, РОССПЭН, 2005, 69-75. ISBN ISSN 5-8243-0625-7")</f>
        <v>Документальное наследие по истории русской культуры в отечественных архивах и за рубежом. Материалы Международной научно-практической конференции. Москва, 29-30 октября 2003 г. Москва, РОССПЭН, 2005, 69-75. ISBN ISSN 5-8243-0625-7</v>
      </c>
      <c r="F4806" s="10"/>
      <c r="G4806" s="10"/>
      <c r="H4806" s="10"/>
      <c r="I4806" s="10"/>
      <c r="J4806" s="10"/>
      <c r="K4806" s="10"/>
      <c r="L4806" s="10"/>
      <c r="M4806" s="10"/>
      <c r="N4806" s="10"/>
      <c r="O4806" s="10"/>
      <c r="P4806" s="10"/>
      <c r="Q4806" s="10"/>
      <c r="R4806" s="10"/>
      <c r="S4806" s="10"/>
      <c r="T4806" s="10"/>
      <c r="U4806" s="10"/>
      <c r="V4806" s="10"/>
      <c r="W4806" s="10"/>
      <c r="X4806" s="10"/>
      <c r="Y4806" s="10"/>
      <c r="Z4806" s="10"/>
    </row>
    <row r="4807" spans="1:26" ht="12.75">
      <c r="A4807" s="10" t="str">
        <f ca="1">IFERROR(__xludf.DUMMYFUNCTION("""COMPUTED_VALUE"""),"Лизбет Любенова Върбанова - Йонева")</f>
        <v>Лизбет Любенова Върбанова - Йонева</v>
      </c>
      <c r="B4807" s="10" t="str">
        <f ca="1">IFERROR(__xludf.DUMMYFUNCTION("""COMPUTED_VALUE"""),"Статия в списания и поредици")</f>
        <v>Статия в списания и поредици</v>
      </c>
      <c r="C4807" s="10" t="str">
        <f ca="1">IFERROR(__xludf.DUMMYFUNCTION("""COMPUTED_VALUE"""),"Научна конференция “Православието – извор на добродетели – вчера, днес и утре”")</f>
        <v>Научна конференция “Православието – извор на добродетели – вчера, днес и утре”</v>
      </c>
      <c r="D4807" s="10">
        <f ca="1">IFERROR(__xludf.DUMMYFUNCTION("""COMPUTED_VALUE"""),2004)</f>
        <v>2004</v>
      </c>
      <c r="E4807" s="10" t="str">
        <f ca="1">IFERROR(__xludf.DUMMYFUNCTION("""COMPUTED_VALUE"""),"– ИПр., год. 60, 2004, кн. 1-2, 263-266.")</f>
        <v>– ИПр., год. 60, 2004, кн. 1-2, 263-266.</v>
      </c>
      <c r="F4807" s="10"/>
      <c r="G4807" s="10"/>
      <c r="H4807" s="10"/>
      <c r="I4807" s="10"/>
      <c r="J4807" s="10"/>
      <c r="K4807" s="10"/>
      <c r="L4807" s="10"/>
      <c r="M4807" s="10"/>
      <c r="N4807" s="10"/>
      <c r="O4807" s="10"/>
      <c r="P4807" s="10"/>
      <c r="Q4807" s="10"/>
      <c r="R4807" s="10"/>
      <c r="S4807" s="10"/>
      <c r="T4807" s="10"/>
      <c r="U4807" s="10"/>
      <c r="V4807" s="10"/>
      <c r="W4807" s="10"/>
      <c r="X4807" s="10"/>
      <c r="Y4807" s="10"/>
      <c r="Z4807" s="10"/>
    </row>
    <row r="4808" spans="1:26" ht="12.75">
      <c r="A4808" s="10" t="str">
        <f ca="1">IFERROR(__xludf.DUMMYFUNCTION("""COMPUTED_VALUE"""),"Лизбет Любенова Върбанова - Йонева")</f>
        <v>Лизбет Любенова Върбанова - Йонева</v>
      </c>
      <c r="B4808" s="10" t="str">
        <f ca="1">IFERROR(__xludf.DUMMYFUNCTION("""COMPUTED_VALUE"""),"Статия в списания и поредици")</f>
        <v>Статия в списания и поредици</v>
      </c>
      <c r="C4808" s="10" t="str">
        <f ca="1">IFERROR(__xludf.DUMMYFUNCTION("""COMPUTED_VALUE"""),"Светът на Бицилли")</f>
        <v>Светът на Бицилли</v>
      </c>
      <c r="D4808" s="10">
        <f ca="1">IFERROR(__xludf.DUMMYFUNCTION("""COMPUTED_VALUE"""),2004)</f>
        <v>2004</v>
      </c>
      <c r="E4808" s="10" t="str">
        <f ca="1">IFERROR(__xludf.DUMMYFUNCTION("""COMPUTED_VALUE"""),"М. Велева, Българската съдба на проф. П. М. Бицилли. С., 2004, 7-9.")</f>
        <v>М. Велева, Българската съдба на проф. П. М. Бицилли. С., 2004, 7-9.</v>
      </c>
      <c r="F4808" s="10"/>
      <c r="G4808" s="10"/>
      <c r="H4808" s="10"/>
      <c r="I4808" s="10"/>
      <c r="J4808" s="10"/>
      <c r="K4808" s="10"/>
      <c r="L4808" s="10"/>
      <c r="M4808" s="10"/>
      <c r="N4808" s="10"/>
      <c r="O4808" s="10"/>
      <c r="P4808" s="10"/>
      <c r="Q4808" s="10"/>
      <c r="R4808" s="10"/>
      <c r="S4808" s="10"/>
      <c r="T4808" s="10"/>
      <c r="U4808" s="10"/>
      <c r="V4808" s="10"/>
      <c r="W4808" s="10"/>
      <c r="X4808" s="10"/>
      <c r="Y4808" s="10"/>
      <c r="Z4808" s="10"/>
    </row>
    <row r="4809" spans="1:26" ht="12.75">
      <c r="A4809" s="10" t="str">
        <f ca="1">IFERROR(__xludf.DUMMYFUNCTION("""COMPUTED_VALUE"""),"Лизбет Любенова Върбанова - Йонева")</f>
        <v>Лизбет Любенова Върбанова - Йонева</v>
      </c>
      <c r="B4809" s="10" t="str">
        <f ca="1">IFERROR(__xludf.DUMMYFUNCTION("""COMPUTED_VALUE"""),"Статия в списания и поредици")</f>
        <v>Статия в списания и поредици</v>
      </c>
      <c r="C4809" s="10" t="str">
        <f ca="1">IFERROR(__xludf.DUMMYFUNCTION("""COMPUTED_VALUE"""),"Радослав Косовски. Хора и събития. Спомени на политическия емигрант.")</f>
        <v>Радослав Косовски. Хора и събития. Спомени на политическия емигрант.</v>
      </c>
      <c r="D4809" s="10">
        <f ca="1">IFERROR(__xludf.DUMMYFUNCTION("""COMPUTED_VALUE"""),2004)</f>
        <v>2004</v>
      </c>
      <c r="E4809" s="10" t="str">
        <f ca="1">IFERROR(__xludf.DUMMYFUNCTION("""COMPUTED_VALUE"""),"София, Изд. Факел, 2004, 512 с.- РЕЦ.: BHR, 2005, кн. 1-2, 231-234. ISSN 0204-8906")</f>
        <v>София, Изд. Факел, 2004, 512 с.- РЕЦ.: BHR, 2005, кн. 1-2, 231-234. ISSN 0204-8906</v>
      </c>
      <c r="F4809" s="10"/>
      <c r="G4809" s="10"/>
      <c r="H4809" s="10"/>
      <c r="I4809" s="10"/>
      <c r="J4809" s="10"/>
      <c r="K4809" s="10"/>
      <c r="L4809" s="10"/>
      <c r="M4809" s="10"/>
      <c r="N4809" s="10"/>
      <c r="O4809" s="10"/>
      <c r="P4809" s="10"/>
      <c r="Q4809" s="10"/>
      <c r="R4809" s="10"/>
      <c r="S4809" s="10"/>
      <c r="T4809" s="10"/>
      <c r="U4809" s="10"/>
      <c r="V4809" s="10"/>
      <c r="W4809" s="10"/>
      <c r="X4809" s="10"/>
      <c r="Y4809" s="10"/>
      <c r="Z4809" s="10"/>
    </row>
    <row r="4810" spans="1:26" ht="12.75">
      <c r="A4810" s="10" t="str">
        <f ca="1">IFERROR(__xludf.DUMMYFUNCTION("""COMPUTED_VALUE"""),"Лизбет Любенова Върбанова - Йонева")</f>
        <v>Лизбет Любенова Върбанова - Йонева</v>
      </c>
      <c r="B4810" s="10" t="str">
        <f ca="1">IFERROR(__xludf.DUMMYFUNCTION("""COMPUTED_VALUE"""),"Доклад от конференция")</f>
        <v>Доклад от конференция</v>
      </c>
      <c r="C4810" s="10" t="str">
        <f ca="1">IFERROR(__xludf.DUMMYFUNCTION("""COMPUTED_VALUE"""),"Моите разговори.")</f>
        <v>Моите разговори.</v>
      </c>
      <c r="D4810" s="10">
        <f ca="1">IFERROR(__xludf.DUMMYFUNCTION("""COMPUTED_VALUE"""),2004)</f>
        <v>2004</v>
      </c>
      <c r="E4810" s="10" t="str">
        <f ca="1">IFERROR(__xludf.DUMMYFUNCTION("""COMPUTED_VALUE"""),"Доайенът. Юбилеен сборник, посветен на 100-годишнината на проф. Николай Михайлович Дилевски. Унив. Изд. С., 2004, 512-528. ISBN 954-07-1862-7")</f>
        <v>Доайенът. Юбилеен сборник, посветен на 100-годишнината на проф. Николай Михайлович Дилевски. Унив. Изд. С., 2004, 512-528. ISBN 954-07-1862-7</v>
      </c>
      <c r="F4810" s="10"/>
      <c r="G4810" s="10"/>
      <c r="H4810" s="10"/>
      <c r="I4810" s="10"/>
      <c r="J4810" s="10"/>
      <c r="K4810" s="10"/>
      <c r="L4810" s="10"/>
      <c r="M4810" s="10"/>
      <c r="N4810" s="10"/>
      <c r="O4810" s="10"/>
      <c r="P4810" s="10"/>
      <c r="Q4810" s="10"/>
      <c r="R4810" s="10"/>
      <c r="S4810" s="10"/>
      <c r="T4810" s="10"/>
      <c r="U4810" s="10"/>
      <c r="V4810" s="10"/>
      <c r="W4810" s="10"/>
      <c r="X4810" s="10"/>
      <c r="Y4810" s="10"/>
      <c r="Z4810" s="10"/>
    </row>
    <row r="4811" spans="1:26" ht="12.75">
      <c r="A4811" s="10" t="str">
        <f ca="1">IFERROR(__xludf.DUMMYFUNCTION("""COMPUTED_VALUE"""),"Лизбет Любенова Върбанова - Йонева")</f>
        <v>Лизбет Любенова Върбанова - Йонева</v>
      </c>
      <c r="B4811" s="10" t="str">
        <f ca="1">IFERROR(__xludf.DUMMYFUNCTION("""COMPUTED_VALUE"""),"Статия в списания и поредици")</f>
        <v>Статия в списания и поредици</v>
      </c>
      <c r="C4811" s="10" t="str">
        <f ca="1">IFERROR(__xludf.DUMMYFUNCTION("""COMPUTED_VALUE"""),"Йорданка Гешева. Парламентарните анкетни комисии по министерската отговорност 1884-1923 г. (Parlamentäre Untersuchungskommissionen für die Verantwortlichkeit der Minister 1884-1923)")</f>
        <v>Йорданка Гешева. Парламентарните анкетни комисии по министерската отговорност 1884-1923 г. (Parlamentäre Untersuchungskommissionen für die Verantwortlichkeit der Minister 1884-1923)</v>
      </c>
      <c r="D4811" s="10">
        <f ca="1">IFERROR(__xludf.DUMMYFUNCTION("""COMPUTED_VALUE"""),2003)</f>
        <v>2003</v>
      </c>
      <c r="E4811" s="10" t="str">
        <f ca="1">IFERROR(__xludf.DUMMYFUNCTION("""COMPUTED_VALUE"""),"София, “Иврай”, 2003, S. 327.- Рец.: BHR, № 1-2, 2004, 243-245. ISSN 0204-8906")</f>
        <v>София, “Иврай”, 2003, S. 327.- Рец.: BHR, № 1-2, 2004, 243-245. ISSN 0204-8906</v>
      </c>
      <c r="F4811" s="10"/>
      <c r="G4811" s="10"/>
      <c r="H4811" s="10"/>
      <c r="I4811" s="10"/>
      <c r="J4811" s="10"/>
      <c r="K4811" s="10"/>
      <c r="L4811" s="10"/>
      <c r="M4811" s="10"/>
      <c r="N4811" s="10"/>
      <c r="O4811" s="10"/>
      <c r="P4811" s="10"/>
      <c r="Q4811" s="10"/>
      <c r="R4811" s="10"/>
      <c r="S4811" s="10"/>
      <c r="T4811" s="10"/>
      <c r="U4811" s="10"/>
      <c r="V4811" s="10"/>
      <c r="W4811" s="10"/>
      <c r="X4811" s="10"/>
      <c r="Y4811" s="10"/>
      <c r="Z4811" s="10"/>
    </row>
    <row r="4812" spans="1:26" ht="12.75">
      <c r="A4812" s="10" t="str">
        <f ca="1">IFERROR(__xludf.DUMMYFUNCTION("""COMPUTED_VALUE"""),"Лизбет Любенова Върбанова - Йонева")</f>
        <v>Лизбет Любенова Върбанова - Йонева</v>
      </c>
      <c r="B4812" s="10" t="str">
        <f ca="1">IFERROR(__xludf.DUMMYFUNCTION("""COMPUTED_VALUE"""),"Книга")</f>
        <v>Книга</v>
      </c>
      <c r="C4812" s="10" t="str">
        <f ca="1">IFERROR(__xludf.DUMMYFUNCTION("""COMPUTED_VALUE"""),"Екзарх Стефан I Български. Документален сборник.")</f>
        <v>Екзарх Стефан I Български. Документален сборник.</v>
      </c>
      <c r="D4812" s="10">
        <f ca="1">IFERROR(__xludf.DUMMYFUNCTION("""COMPUTED_VALUE"""),2003)</f>
        <v>2003</v>
      </c>
      <c r="E4812" s="10" t="str">
        <f ca="1">IFERROR(__xludf.DUMMYFUNCTION("""COMPUTED_VALUE"""),"С., 2003, 383 с.+ 32 ил.")</f>
        <v>С., 2003, 383 с.+ 32 ил.</v>
      </c>
      <c r="F4812" s="10"/>
      <c r="G4812" s="10" t="str">
        <f ca="1">IFERROR(__xludf.DUMMYFUNCTION("""COMPUTED_VALUE"""),"Л. Спасов, Р. Пенджекова, П. Карамфилова")</f>
        <v>Л. Спасов, Р. Пенджекова, П. Карамфилова</v>
      </c>
      <c r="H4812" s="10"/>
      <c r="I4812" s="10"/>
      <c r="J4812" s="10"/>
      <c r="K4812" s="10"/>
      <c r="L4812" s="10"/>
      <c r="M4812" s="10"/>
      <c r="N4812" s="10"/>
      <c r="O4812" s="10"/>
      <c r="P4812" s="10"/>
      <c r="Q4812" s="10"/>
      <c r="R4812" s="10"/>
      <c r="S4812" s="10"/>
      <c r="T4812" s="10"/>
      <c r="U4812" s="10"/>
      <c r="V4812" s="10"/>
      <c r="W4812" s="10"/>
      <c r="X4812" s="10"/>
      <c r="Y4812" s="10"/>
      <c r="Z4812" s="10"/>
    </row>
    <row r="4813" spans="1:26" ht="12.75">
      <c r="A4813" s="10" t="str">
        <f ca="1">IFERROR(__xludf.DUMMYFUNCTION("""COMPUTED_VALUE"""),"Лизбет Любенова Върбанова - Йонева")</f>
        <v>Лизбет Любенова Върбанова - Йонева</v>
      </c>
      <c r="B4813" s="10" t="str">
        <f ca="1">IFERROR(__xludf.DUMMYFUNCTION("""COMPUTED_VALUE"""),"Доклад от конференция")</f>
        <v>Доклад от конференция</v>
      </c>
      <c r="C4813" s="10" t="str">
        <f ca="1">IFERROR(__xludf.DUMMYFUNCTION("""COMPUTED_VALUE"""),"Ekonomiczne podstawy žycia Košciola prawoslawnego w Bulgarii (1918-1944).")</f>
        <v>Ekonomiczne podstawy žycia Košciola prawoslawnego w Bulgarii (1918-1944).</v>
      </c>
      <c r="D4813" s="10">
        <f ca="1">IFERROR(__xludf.DUMMYFUNCTION("""COMPUTED_VALUE"""),2003)</f>
        <v>2003</v>
      </c>
      <c r="E4813" s="10" t="str">
        <f ca="1">IFERROR(__xludf.DUMMYFUNCTION("""COMPUTED_VALUE"""),"Polska-Bulgaria w Europie Šrodkowej i Poludniowo-Wschodniej w wiekach XVII-XX. Warszawa, 2003, 178-196. ISBN 83-88909-10-Х")</f>
        <v>Polska-Bulgaria w Europie Šrodkowej i Poludniowo-Wschodniej w wiekach XVII-XX. Warszawa, 2003, 178-196. ISBN 83-88909-10-Х</v>
      </c>
      <c r="F4813" s="10"/>
      <c r="G4813" s="10"/>
      <c r="H4813" s="10"/>
      <c r="I4813" s="10"/>
      <c r="J4813" s="10"/>
      <c r="K4813" s="10"/>
      <c r="L4813" s="10"/>
      <c r="M4813" s="10"/>
      <c r="N4813" s="10"/>
      <c r="O4813" s="10"/>
      <c r="P4813" s="10"/>
      <c r="Q4813" s="10"/>
      <c r="R4813" s="10"/>
      <c r="S4813" s="10"/>
      <c r="T4813" s="10"/>
      <c r="U4813" s="10"/>
      <c r="V4813" s="10"/>
      <c r="W4813" s="10"/>
      <c r="X4813" s="10"/>
      <c r="Y4813" s="10"/>
      <c r="Z4813" s="10"/>
    </row>
    <row r="4814" spans="1:26" ht="12.75">
      <c r="A4814" s="10" t="str">
        <f ca="1">IFERROR(__xludf.DUMMYFUNCTION("""COMPUTED_VALUE"""),"Лизбет Любенова Върбанова - Йонева")</f>
        <v>Лизбет Любенова Върбанова - Йонева</v>
      </c>
      <c r="B4814" s="10" t="str">
        <f ca="1">IFERROR(__xludf.DUMMYFUNCTION("""COMPUTED_VALUE"""),"Доклад от конференция")</f>
        <v>Доклад от конференция</v>
      </c>
      <c r="C4814" s="10" t="str">
        <f ca="1">IFERROR(__xludf.DUMMYFUNCTION("""COMPUTED_VALUE"""),"Интелигенция и власт.")</f>
        <v>Интелигенция и власт.</v>
      </c>
      <c r="D4814" s="10">
        <f ca="1">IFERROR(__xludf.DUMMYFUNCTION("""COMPUTED_VALUE"""),2003)</f>
        <v>2003</v>
      </c>
      <c r="E4814" s="10" t="str">
        <f ca="1">IFERROR(__xludf.DUMMYFUNCTION("""COMPUTED_VALUE"""),"Politische Kultur in Bulgarien seit 1878, Deutschland und Sűdosteuropa, Collegium Germania, B. 4, 2003, 50-61. ISBN 954-9943-54-2")</f>
        <v>Politische Kultur in Bulgarien seit 1878, Deutschland und Sűdosteuropa, Collegium Germania, B. 4, 2003, 50-61. ISBN 954-9943-54-2</v>
      </c>
      <c r="F4814" s="10"/>
      <c r="G4814" s="10"/>
      <c r="H4814" s="10"/>
      <c r="I4814" s="10"/>
      <c r="J4814" s="10"/>
      <c r="K4814" s="10"/>
      <c r="L4814" s="10"/>
      <c r="M4814" s="10"/>
      <c r="N4814" s="10"/>
      <c r="O4814" s="10"/>
      <c r="P4814" s="10"/>
      <c r="Q4814" s="10"/>
      <c r="R4814" s="10"/>
      <c r="S4814" s="10"/>
      <c r="T4814" s="10"/>
      <c r="U4814" s="10"/>
      <c r="V4814" s="10"/>
      <c r="W4814" s="10"/>
      <c r="X4814" s="10"/>
      <c r="Y4814" s="10"/>
      <c r="Z4814" s="10"/>
    </row>
    <row r="4815" spans="1:26" ht="12.75">
      <c r="A4815" s="10" t="str">
        <f ca="1">IFERROR(__xludf.DUMMYFUNCTION("""COMPUTED_VALUE"""),"Лизбет Любенова Върбанова - Йонева")</f>
        <v>Лизбет Любенова Върбанова - Йонева</v>
      </c>
      <c r="B4815" s="10" t="str">
        <f ca="1">IFERROR(__xludf.DUMMYFUNCTION("""COMPUTED_VALUE"""),"Доклад от конференция")</f>
        <v>Доклад от конференция</v>
      </c>
      <c r="C4815" s="10" t="str">
        <f ca="1">IFERROR(__xludf.DUMMYFUNCTION("""COMPUTED_VALUE"""),"Вечният двубой – православие или католицизъм")</f>
        <v>Вечният двубой – православие или католицизъм</v>
      </c>
      <c r="D4815" s="10">
        <f ca="1">IFERROR(__xludf.DUMMYFUNCTION("""COMPUTED_VALUE"""),2003)</f>
        <v>2003</v>
      </c>
      <c r="E4815" s="10" t="str">
        <f ca="1">IFERROR(__xludf.DUMMYFUNCTION("""COMPUTED_VALUE"""),"Проблемът Изток-Запад. Историческа перспектива. С., 2003, 229-241")</f>
        <v>Проблемът Изток-Запад. Историческа перспектива. С., 2003, 229-241</v>
      </c>
      <c r="F4815" s="10"/>
      <c r="G4815" s="10"/>
      <c r="H4815" s="10"/>
      <c r="I4815" s="10"/>
      <c r="J4815" s="10"/>
      <c r="K4815" s="10"/>
      <c r="L4815" s="10"/>
      <c r="M4815" s="10"/>
      <c r="N4815" s="10"/>
      <c r="O4815" s="10"/>
      <c r="P4815" s="10"/>
      <c r="Q4815" s="10"/>
      <c r="R4815" s="10"/>
      <c r="S4815" s="10"/>
      <c r="T4815" s="10"/>
      <c r="U4815" s="10"/>
      <c r="V4815" s="10"/>
      <c r="W4815" s="10"/>
      <c r="X4815" s="10"/>
      <c r="Y4815" s="10"/>
      <c r="Z4815" s="10"/>
    </row>
    <row r="4816" spans="1:26" ht="12.75">
      <c r="A4816" s="10" t="str">
        <f ca="1">IFERROR(__xludf.DUMMYFUNCTION("""COMPUTED_VALUE"""),"Лизбет Любенова Върбанова - Йонева")</f>
        <v>Лизбет Любенова Върбанова - Йонева</v>
      </c>
      <c r="B4816" s="10" t="str">
        <f ca="1">IFERROR(__xludf.DUMMYFUNCTION("""COMPUTED_VALUE"""),"Статия в списания и поредици")</f>
        <v>Статия в списания и поредици</v>
      </c>
      <c r="C4816" s="10" t="str">
        <f ca="1">IFERROR(__xludf.DUMMYFUNCTION("""COMPUTED_VALUE"""),"Българската православна църква и изпълнителната власт (1878-1919).")</f>
        <v>Българската православна църква и изпълнителната власт (1878-1919).</v>
      </c>
      <c r="D4816" s="10">
        <f ca="1">IFERROR(__xludf.DUMMYFUNCTION("""COMPUTED_VALUE"""),2001)</f>
        <v>2001</v>
      </c>
      <c r="E4816" s="10" t="str">
        <f ca="1">IFERROR(__xludf.DUMMYFUNCTION("""COMPUTED_VALUE"""),"Възраждане, 2001, Кн. 1, 21-38.")</f>
        <v>Възраждане, 2001, Кн. 1, 21-38.</v>
      </c>
      <c r="F4816" s="10"/>
      <c r="G4816" s="10"/>
      <c r="H4816" s="10"/>
      <c r="I4816" s="10"/>
      <c r="J4816" s="10"/>
      <c r="K4816" s="10"/>
      <c r="L4816" s="10"/>
      <c r="M4816" s="10"/>
      <c r="N4816" s="10"/>
      <c r="O4816" s="10"/>
      <c r="P4816" s="10"/>
      <c r="Q4816" s="10"/>
      <c r="R4816" s="10"/>
      <c r="S4816" s="10"/>
      <c r="T4816" s="10"/>
      <c r="U4816" s="10"/>
      <c r="V4816" s="10"/>
      <c r="W4816" s="10"/>
      <c r="X4816" s="10"/>
      <c r="Y4816" s="10"/>
      <c r="Z4816" s="10"/>
    </row>
    <row r="4817" spans="1:26" ht="12.75">
      <c r="A4817" s="10" t="str">
        <f ca="1">IFERROR(__xludf.DUMMYFUNCTION("""COMPUTED_VALUE"""),"Лизбет Любенова Върбанова - Йонева")</f>
        <v>Лизбет Любенова Върбанова - Йонева</v>
      </c>
      <c r="B4817" s="10" t="str">
        <f ca="1">IFERROR(__xludf.DUMMYFUNCTION("""COMPUTED_VALUE"""),"Доклад от конференция")</f>
        <v>Доклад от конференция</v>
      </c>
      <c r="C4817" s="10" t="str">
        <f ca="1">IFERROR(__xludf.DUMMYFUNCTION("""COMPUTED_VALUE"""),"Извороведски и историографски проблеми на бялата емиграция в България.")</f>
        <v>Извороведски и историографски проблеми на бялата емиграция в България.</v>
      </c>
      <c r="D4817" s="10">
        <f ca="1">IFERROR(__xludf.DUMMYFUNCTION("""COMPUTED_VALUE"""),2001)</f>
        <v>2001</v>
      </c>
      <c r="E4817" s="10" t="str">
        <f ca="1">IFERROR(__xludf.DUMMYFUNCTION("""COMPUTED_VALUE"""),"Бялата емиграция в България. С., 2001, 21-37. ISBN 954-9943-20-8")</f>
        <v>Бялата емиграция в България. С., 2001, 21-37. ISBN 954-9943-20-8</v>
      </c>
      <c r="F4817" s="10"/>
      <c r="G4817" s="10" t="str">
        <f ca="1">IFERROR(__xludf.DUMMYFUNCTION("""COMPUTED_VALUE"""),"Г. Рупчева")</f>
        <v>Г. Рупчева</v>
      </c>
      <c r="H4817" s="10"/>
      <c r="I4817" s="10"/>
      <c r="J4817" s="10"/>
      <c r="K4817" s="10"/>
      <c r="L4817" s="10"/>
      <c r="M4817" s="10"/>
      <c r="N4817" s="10"/>
      <c r="O4817" s="10"/>
      <c r="P4817" s="10"/>
      <c r="Q4817" s="10"/>
      <c r="R4817" s="10"/>
      <c r="S4817" s="10"/>
      <c r="T4817" s="10"/>
      <c r="U4817" s="10"/>
      <c r="V4817" s="10"/>
      <c r="W4817" s="10"/>
      <c r="X4817" s="10"/>
      <c r="Y4817" s="10"/>
      <c r="Z4817" s="10"/>
    </row>
    <row r="4818" spans="1:26" ht="12.75">
      <c r="A4818" s="10" t="str">
        <f ca="1">IFERROR(__xludf.DUMMYFUNCTION("""COMPUTED_VALUE"""),"Лизбет Любенова Върбанова - Йонева")</f>
        <v>Лизбет Любенова Върбанова - Йонева</v>
      </c>
      <c r="B4818" s="10" t="str">
        <f ca="1">IFERROR(__xludf.DUMMYFUNCTION("""COMPUTED_VALUE"""),"Доклад от конференция")</f>
        <v>Доклад от конференция</v>
      </c>
      <c r="C4818" s="10" t="str">
        <f ca="1">IFERROR(__xludf.DUMMYFUNCTION("""COMPUTED_VALUE"""),"Научноизследователската дейност на патриарх Кирил.")</f>
        <v>Научноизследователската дейност на патриарх Кирил.</v>
      </c>
      <c r="D4818" s="10">
        <f ca="1">IFERROR(__xludf.DUMMYFUNCTION("""COMPUTED_VALUE"""),2001)</f>
        <v>2001</v>
      </c>
      <c r="E4818" s="10" t="str">
        <f ca="1">IFERROR(__xludf.DUMMYFUNCTION("""COMPUTED_VALUE"""),"Сборник в чест на Кирил, патриарх Български. По случай 100 г. от рождението му и 30 г. от неговата смърт. Пловдив, 2001, 73-78.")</f>
        <v>Сборник в чест на Кирил, патриарх Български. По случай 100 г. от рождението му и 30 г. от неговата смърт. Пловдив, 2001, 73-78.</v>
      </c>
      <c r="F4818" s="10"/>
      <c r="G4818" s="10"/>
      <c r="H4818" s="10"/>
      <c r="I4818" s="10"/>
      <c r="J4818" s="10"/>
      <c r="K4818" s="10"/>
      <c r="L4818" s="10"/>
      <c r="M4818" s="10"/>
      <c r="N4818" s="10"/>
      <c r="O4818" s="10"/>
      <c r="P4818" s="10"/>
      <c r="Q4818" s="10"/>
      <c r="R4818" s="10"/>
      <c r="S4818" s="10"/>
      <c r="T4818" s="10"/>
      <c r="U4818" s="10"/>
      <c r="V4818" s="10"/>
      <c r="W4818" s="10"/>
      <c r="X4818" s="10"/>
      <c r="Y4818" s="10"/>
      <c r="Z4818" s="10"/>
    </row>
    <row r="4819" spans="1:26" ht="12.75">
      <c r="A4819" s="10" t="str">
        <f ca="1">IFERROR(__xludf.DUMMYFUNCTION("""COMPUTED_VALUE"""),"Лизбет Любенова Върбанова - Йонева")</f>
        <v>Лизбет Любенова Върбанова - Йонева</v>
      </c>
      <c r="B4819" s="10" t="str">
        <f ca="1">IFERROR(__xludf.DUMMYFUNCTION("""COMPUTED_VALUE"""),"Статия в списания и поредици")</f>
        <v>Статия в списания и поредици</v>
      </c>
      <c r="C4819" s="10" t="str">
        <f ca="1">IFERROR(__xludf.DUMMYFUNCTION("""COMPUTED_VALUE"""),"Енциклопедия “Дарителството”")</f>
        <v>Енциклопедия “Дарителството”</v>
      </c>
      <c r="D4819" s="10">
        <f ca="1">IFERROR(__xludf.DUMMYFUNCTION("""COMPUTED_VALUE"""),2001)</f>
        <v>2001</v>
      </c>
      <c r="E4819" s="10" t="str">
        <f ca="1">IFERROR(__xludf.DUMMYFUNCTION("""COMPUTED_VALUE"""),"Съст. В. Николова и Р. Стоянова. С., 2000, 302 с.- Рец.: Възраждане, 2001, Кн.2, с. 53.")</f>
        <v>Съст. В. Николова и Р. Стоянова. С., 2000, 302 с.- Рец.: Възраждане, 2001, Кн.2, с. 53.</v>
      </c>
      <c r="F4819" s="10"/>
      <c r="G4819" s="10"/>
      <c r="H4819" s="10"/>
      <c r="I4819" s="10"/>
      <c r="J4819" s="10"/>
      <c r="K4819" s="10"/>
      <c r="L4819" s="10"/>
      <c r="M4819" s="10"/>
      <c r="N4819" s="10"/>
      <c r="O4819" s="10"/>
      <c r="P4819" s="10"/>
      <c r="Q4819" s="10"/>
      <c r="R4819" s="10"/>
      <c r="S4819" s="10"/>
      <c r="T4819" s="10"/>
      <c r="U4819" s="10"/>
      <c r="V4819" s="10"/>
      <c r="W4819" s="10"/>
      <c r="X4819" s="10"/>
      <c r="Y4819" s="10"/>
      <c r="Z4819" s="10"/>
    </row>
    <row r="4820" spans="1:26" ht="12.75">
      <c r="A4820" s="10" t="str">
        <f ca="1">IFERROR(__xludf.DUMMYFUNCTION("""COMPUTED_VALUE"""),"Лизбет Любенова Върбанова - Йонева")</f>
        <v>Лизбет Любенова Върбанова - Йонева</v>
      </c>
      <c r="B4820" s="10" t="str">
        <f ca="1">IFERROR(__xludf.DUMMYFUNCTION("""COMPUTED_VALUE"""),"Статия в списания и поредици")</f>
        <v>Статия в списания и поредици</v>
      </c>
      <c r="C4820" s="10" t="str">
        <f ca="1">IFERROR(__xludf.DUMMYFUNCTION("""COMPUTED_VALUE"""),"Христо Ботев и митрополит Симеон.")</f>
        <v>Христо Ботев и митрополит Симеон.</v>
      </c>
      <c r="D4820" s="10">
        <f ca="1">IFERROR(__xludf.DUMMYFUNCTION("""COMPUTED_VALUE"""),2001)</f>
        <v>2001</v>
      </c>
      <c r="E4820" s="10" t="str">
        <f ca="1">IFERROR(__xludf.DUMMYFUNCTION("""COMPUTED_VALUE"""),"Възраждане, 2001, Кн. 3, 25-36.")</f>
        <v>Възраждане, 2001, Кн. 3, 25-36.</v>
      </c>
      <c r="F4820" s="10"/>
      <c r="G4820" s="10"/>
      <c r="H4820" s="10"/>
      <c r="I4820" s="10"/>
      <c r="J4820" s="10"/>
      <c r="K4820" s="10"/>
      <c r="L4820" s="10"/>
      <c r="M4820" s="10"/>
      <c r="N4820" s="10"/>
      <c r="O4820" s="10"/>
      <c r="P4820" s="10"/>
      <c r="Q4820" s="10"/>
      <c r="R4820" s="10"/>
      <c r="S4820" s="10"/>
      <c r="T4820" s="10"/>
      <c r="U4820" s="10"/>
      <c r="V4820" s="10"/>
      <c r="W4820" s="10"/>
      <c r="X4820" s="10"/>
      <c r="Y4820" s="10"/>
      <c r="Z4820" s="10"/>
    </row>
    <row r="4821" spans="1:26" ht="12.75">
      <c r="A4821" s="10" t="str">
        <f ca="1">IFERROR(__xludf.DUMMYFUNCTION("""COMPUTED_VALUE"""),"Лизбет Любенова Върбанова - Йонева")</f>
        <v>Лизбет Любенова Върбанова - Йонева</v>
      </c>
      <c r="B4821" s="10" t="str">
        <f ca="1">IFERROR(__xludf.DUMMYFUNCTION("""COMPUTED_VALUE"""),"Статия в списания и поредици")</f>
        <v>Статия в списания и поредици</v>
      </c>
      <c r="C4821" s="10" t="str">
        <f ca="1">IFERROR(__xludf.DUMMYFUNCTION("""COMPUTED_VALUE"""),"На многая лета, Дойчине!")</f>
        <v>На многая лета, Дойчине!</v>
      </c>
      <c r="D4821" s="10">
        <f ca="1">IFERROR(__xludf.DUMMYFUNCTION("""COMPUTED_VALUE"""),2001)</f>
        <v>2001</v>
      </c>
      <c r="E4821" s="10" t="str">
        <f ca="1">IFERROR(__xludf.DUMMYFUNCTION("""COMPUTED_VALUE"""),"Възраждане, 2001, Кн. 3, 39-41.")</f>
        <v>Възраждане, 2001, Кн. 3, 39-41.</v>
      </c>
      <c r="F4821" s="10"/>
      <c r="G4821" s="10"/>
      <c r="H4821" s="10"/>
      <c r="I4821" s="10"/>
      <c r="J4821" s="10"/>
      <c r="K4821" s="10"/>
      <c r="L4821" s="10"/>
      <c r="M4821" s="10"/>
      <c r="N4821" s="10"/>
      <c r="O4821" s="10"/>
      <c r="P4821" s="10"/>
      <c r="Q4821" s="10"/>
      <c r="R4821" s="10"/>
      <c r="S4821" s="10"/>
      <c r="T4821" s="10"/>
      <c r="U4821" s="10"/>
      <c r="V4821" s="10"/>
      <c r="W4821" s="10"/>
      <c r="X4821" s="10"/>
      <c r="Y4821" s="10"/>
      <c r="Z4821" s="10"/>
    </row>
    <row r="4822" spans="1:26" ht="12.75">
      <c r="A4822" s="10" t="str">
        <f ca="1">IFERROR(__xludf.DUMMYFUNCTION("""COMPUTED_VALUE"""),"Лизбет Любенова Върбанова - Йонева")</f>
        <v>Лизбет Любенова Върбанова - Йонева</v>
      </c>
      <c r="B4822" s="10" t="str">
        <f ca="1">IFERROR(__xludf.DUMMYFUNCTION("""COMPUTED_VALUE"""),"Статия в списания и поредици")</f>
        <v>Статия в списания и поредици</v>
      </c>
      <c r="C4822" s="10" t="str">
        <f ca="1">IFERROR(__xludf.DUMMYFUNCTION("""COMPUTED_VALUE"""),"Интересен труд върху теологичната ни литература.")</f>
        <v>Интересен труд върху теологичната ни литература.</v>
      </c>
      <c r="D4822" s="10">
        <f ca="1">IFERROR(__xludf.DUMMYFUNCTION("""COMPUTED_VALUE"""),2001)</f>
        <v>2001</v>
      </c>
      <c r="E4822" s="10" t="str">
        <f ca="1">IFERROR(__xludf.DUMMYFUNCTION("""COMPUTED_VALUE"""),"Рец.: Възрзждане, 2001, Кн. 4, 50-54.")</f>
        <v>Рец.: Възрзждане, 2001, Кн. 4, 50-54.</v>
      </c>
      <c r="F4822" s="10"/>
      <c r="G4822" s="10"/>
      <c r="H4822" s="10"/>
      <c r="I4822" s="10"/>
      <c r="J4822" s="10"/>
      <c r="K4822" s="10"/>
      <c r="L4822" s="10"/>
      <c r="M4822" s="10"/>
      <c r="N4822" s="10"/>
      <c r="O4822" s="10"/>
      <c r="P4822" s="10"/>
      <c r="Q4822" s="10"/>
      <c r="R4822" s="10"/>
      <c r="S4822" s="10"/>
      <c r="T4822" s="10"/>
      <c r="U4822" s="10"/>
      <c r="V4822" s="10"/>
      <c r="W4822" s="10"/>
      <c r="X4822" s="10"/>
      <c r="Y4822" s="10"/>
      <c r="Z4822" s="10"/>
    </row>
    <row r="4823" spans="1:26" ht="12.75">
      <c r="A4823" s="10" t="str">
        <f ca="1">IFERROR(__xludf.DUMMYFUNCTION("""COMPUTED_VALUE"""),"Лизбет Любенова Върбанова - Йонева")</f>
        <v>Лизбет Любенова Върбанова - Йонева</v>
      </c>
      <c r="B4823" s="10" t="str">
        <f ca="1">IFERROR(__xludf.DUMMYFUNCTION("""COMPUTED_VALUE"""),"Статия в списания и поредици")</f>
        <v>Статия в списания и поредици</v>
      </c>
      <c r="C4823" s="10" t="str">
        <f ca="1">IFERROR(__xludf.DUMMYFUNCTION("""COMPUTED_VALUE"""),"Проблемите на Българската православна църква през погледа на Неофит Видински. (По случай 30 години от смъртта му и 112 години от духовната му дейност)")</f>
        <v>Проблемите на Българската православна църква през погледа на Неофит Видински. (По случай 30 години от смъртта му и 112 години от духовната му дейност)</v>
      </c>
      <c r="D4823" s="10">
        <f ca="1">IFERROR(__xludf.DUMMYFUNCTION("""COMPUTED_VALUE"""),2001)</f>
        <v>2001</v>
      </c>
      <c r="E4823" s="10" t="str">
        <f ca="1">IFERROR(__xludf.DUMMYFUNCTION("""COMPUTED_VALUE"""),"Възраждане, 2001, Кн.2, 11-19.")</f>
        <v>Възраждане, 2001, Кн.2, 11-19.</v>
      </c>
      <c r="F4823" s="10"/>
      <c r="G4823" s="10"/>
      <c r="H4823" s="10"/>
      <c r="I4823" s="10"/>
      <c r="J4823" s="10"/>
      <c r="K4823" s="10"/>
      <c r="L4823" s="10"/>
      <c r="M4823" s="10"/>
      <c r="N4823" s="10"/>
      <c r="O4823" s="10"/>
      <c r="P4823" s="10"/>
      <c r="Q4823" s="10"/>
      <c r="R4823" s="10"/>
      <c r="S4823" s="10"/>
      <c r="T4823" s="10"/>
      <c r="U4823" s="10"/>
      <c r="V4823" s="10"/>
      <c r="W4823" s="10"/>
      <c r="X4823" s="10"/>
      <c r="Y4823" s="10"/>
      <c r="Z4823" s="10"/>
    </row>
    <row r="4824" spans="1:26" ht="12.75">
      <c r="A4824" s="10" t="str">
        <f ca="1">IFERROR(__xludf.DUMMYFUNCTION("""COMPUTED_VALUE"""),"Лизбет Любенова Върбанова - Йонева")</f>
        <v>Лизбет Любенова Върбанова - Йонева</v>
      </c>
      <c r="B4824" s="10" t="str">
        <f ca="1">IFERROR(__xludf.DUMMYFUNCTION("""COMPUTED_VALUE"""),"Книга")</f>
        <v>Книга</v>
      </c>
      <c r="C4824" s="10" t="str">
        <f ca="1">IFERROR(__xludf.DUMMYFUNCTION("""COMPUTED_VALUE"""),"Личности от Третото българско царство. Малка училищна енциклопедия.")</f>
        <v>Личности от Третото българско царство. Малка училищна енциклопедия.</v>
      </c>
      <c r="D4824" s="10">
        <f ca="1">IFERROR(__xludf.DUMMYFUNCTION("""COMPUTED_VALUE"""),2000)</f>
        <v>2000</v>
      </c>
      <c r="E4824" s="10" t="str">
        <f ca="1">IFERROR(__xludf.DUMMYFUNCTION("""COMPUTED_VALUE"""),"С., 2000")</f>
        <v>С., 2000</v>
      </c>
      <c r="F4824" s="10"/>
      <c r="G4824" s="10" t="str">
        <f ca="1">IFERROR(__xludf.DUMMYFUNCTION("""COMPUTED_VALUE"""),"Е. Стателова, Р. Попов, В. Танкова, Д. Вачков, П. Пелинов")</f>
        <v>Е. Стателова, Р. Попов, В. Танкова, Д. Вачков, П. Пелинов</v>
      </c>
      <c r="H4824" s="10"/>
      <c r="I4824" s="10"/>
      <c r="J4824" s="10"/>
      <c r="K4824" s="10"/>
      <c r="L4824" s="10"/>
      <c r="M4824" s="10"/>
      <c r="N4824" s="10"/>
      <c r="O4824" s="10"/>
      <c r="P4824" s="10"/>
      <c r="Q4824" s="10"/>
      <c r="R4824" s="10"/>
      <c r="S4824" s="10"/>
      <c r="T4824" s="10"/>
      <c r="U4824" s="10"/>
      <c r="V4824" s="10"/>
      <c r="W4824" s="10"/>
      <c r="X4824" s="10"/>
      <c r="Y4824" s="10"/>
      <c r="Z4824" s="10"/>
    </row>
    <row r="4825" spans="1:26" ht="12.75">
      <c r="A4825" s="10" t="str">
        <f ca="1">IFERROR(__xludf.DUMMYFUNCTION("""COMPUTED_VALUE"""),"Лизбет Любенова Върбанова - Йонева")</f>
        <v>Лизбет Любенова Върбанова - Йонева</v>
      </c>
      <c r="B4825" s="10" t="str">
        <f ca="1">IFERROR(__xludf.DUMMYFUNCTION("""COMPUTED_VALUE"""),"Статия в списания и поредици")</f>
        <v>Статия в списания и поредици</v>
      </c>
      <c r="C4825" s="10" t="str">
        <f ca="1">IFERROR(__xludf.DUMMYFUNCTION("""COMPUTED_VALUE"""),"Варненски и Преславски митрополит Симеон и ИМКА")</f>
        <v>Варненски и Преславски митрополит Симеон и ИМКА</v>
      </c>
      <c r="D4825" s="10">
        <f ca="1">IFERROR(__xludf.DUMMYFUNCTION("""COMPUTED_VALUE"""),2000)</f>
        <v>2000</v>
      </c>
      <c r="E4825" s="10" t="str">
        <f ca="1">IFERROR(__xludf.DUMMYFUNCTION("""COMPUTED_VALUE"""),"Духовна култура, 2000, Кн. 6, 24-31. ISSN 0324-1173")</f>
        <v>Духовна култура, 2000, Кн. 6, 24-31. ISSN 0324-1173</v>
      </c>
      <c r="F4825" s="10"/>
      <c r="G4825" s="10"/>
      <c r="H4825" s="10"/>
      <c r="I4825" s="10"/>
      <c r="J4825" s="10"/>
      <c r="K4825" s="10"/>
      <c r="L4825" s="10"/>
      <c r="M4825" s="10"/>
      <c r="N4825" s="10"/>
      <c r="O4825" s="10"/>
      <c r="P4825" s="10"/>
      <c r="Q4825" s="10"/>
      <c r="R4825" s="10"/>
      <c r="S4825" s="10"/>
      <c r="T4825" s="10"/>
      <c r="U4825" s="10"/>
      <c r="V4825" s="10"/>
      <c r="W4825" s="10"/>
      <c r="X4825" s="10"/>
      <c r="Y4825" s="10"/>
      <c r="Z4825" s="10"/>
    </row>
    <row r="4826" spans="1:26" ht="12.75">
      <c r="A4826" s="10" t="str">
        <f ca="1">IFERROR(__xludf.DUMMYFUNCTION("""COMPUTED_VALUE"""),"Лизбет Любенова Върбанова - Йонева")</f>
        <v>Лизбет Любенова Върбанова - Йонева</v>
      </c>
      <c r="B4826" s="10" t="str">
        <f ca="1">IFERROR(__xludf.DUMMYFUNCTION("""COMPUTED_VALUE"""),"Статия в списания и поредици")</f>
        <v>Статия в списания и поредици</v>
      </c>
      <c r="C4826" s="10" t="str">
        <f ca="1">IFERROR(__xludf.DUMMYFUNCTION("""COMPUTED_VALUE"""),"Международна конференция „Бялата емиграция и българският културен процес”")</f>
        <v>Международна конференция „Бялата емиграция и българският културен процес”</v>
      </c>
      <c r="D4826" s="10">
        <f ca="1">IFERROR(__xludf.DUMMYFUNCTION("""COMPUTED_VALUE"""),2000)</f>
        <v>2000</v>
      </c>
      <c r="E4826" s="10" t="str">
        <f ca="1">IFERROR(__xludf.DUMMYFUNCTION("""COMPUTED_VALUE"""),"”.- ИПр., 2000, Кн. 3-4, 264-270.")</f>
        <v>”.- ИПр., 2000, Кн. 3-4, 264-270.</v>
      </c>
      <c r="F4826" s="10"/>
      <c r="G4826" s="10"/>
      <c r="H4826" s="10"/>
      <c r="I4826" s="10"/>
      <c r="J4826" s="10"/>
      <c r="K4826" s="10"/>
      <c r="L4826" s="10"/>
      <c r="M4826" s="10"/>
      <c r="N4826" s="10"/>
      <c r="O4826" s="10"/>
      <c r="P4826" s="10"/>
      <c r="Q4826" s="10"/>
      <c r="R4826" s="10"/>
      <c r="S4826" s="10"/>
      <c r="T4826" s="10"/>
      <c r="U4826" s="10"/>
      <c r="V4826" s="10"/>
      <c r="W4826" s="10"/>
      <c r="X4826" s="10"/>
      <c r="Y4826" s="10"/>
      <c r="Z4826" s="10"/>
    </row>
    <row r="4827" spans="1:26" ht="12.75">
      <c r="A4827" s="10" t="str">
        <f ca="1">IFERROR(__xludf.DUMMYFUNCTION("""COMPUTED_VALUE"""),"Лизбет Любенова Върбанова - Йонева")</f>
        <v>Лизбет Любенова Върбанова - Йонева</v>
      </c>
      <c r="B4827" s="10" t="str">
        <f ca="1">IFERROR(__xludf.DUMMYFUNCTION("""COMPUTED_VALUE"""),"Книга")</f>
        <v>Книга</v>
      </c>
      <c r="C4827" s="10" t="str">
        <f ca="1">IFERROR(__xludf.DUMMYFUNCTION("""COMPUTED_VALUE"""),"Другата България. Документи за организациите на българската политическа емиграция 1944-1989.")</f>
        <v>Другата България. Документи за организациите на българската политическа емиграция 1944-1989.</v>
      </c>
      <c r="D4827" s="10">
        <f ca="1">IFERROR(__xludf.DUMMYFUNCTION("""COMPUTED_VALUE"""),2000)</f>
        <v>2000</v>
      </c>
      <c r="E4827" s="10" t="str">
        <f ca="1">IFERROR(__xludf.DUMMYFUNCTION("""COMPUTED_VALUE"""),"С., 2000, 319 с.")</f>
        <v>С., 2000, 319 с.</v>
      </c>
      <c r="F4827" s="10"/>
      <c r="G4827" s="10" t="str">
        <f ca="1">IFERROR(__xludf.DUMMYFUNCTION("""COMPUTED_VALUE"""),"Е. Стателова, Р. Попов, Ст. Грънчаров, В. Танкова, Е. Келбечева")</f>
        <v>Е. Стателова, Р. Попов, Ст. Грънчаров, В. Танкова, Е. Келбечева</v>
      </c>
      <c r="H4827" s="10"/>
      <c r="I4827" s="10"/>
      <c r="J4827" s="10"/>
      <c r="K4827" s="10"/>
      <c r="L4827" s="10"/>
      <c r="M4827" s="10"/>
      <c r="N4827" s="10"/>
      <c r="O4827" s="10"/>
      <c r="P4827" s="10"/>
      <c r="Q4827" s="10"/>
      <c r="R4827" s="10"/>
      <c r="S4827" s="10"/>
      <c r="T4827" s="10"/>
      <c r="U4827" s="10"/>
      <c r="V4827" s="10"/>
      <c r="W4827" s="10"/>
      <c r="X4827" s="10"/>
      <c r="Y4827" s="10"/>
      <c r="Z4827" s="10"/>
    </row>
    <row r="4828" spans="1:26" ht="12.75">
      <c r="A4828" s="10" t="str">
        <f ca="1">IFERROR(__xludf.DUMMYFUNCTION("""COMPUTED_VALUE"""),"Лизбет Любенова Върбанова - Йонева")</f>
        <v>Лизбет Любенова Върбанова - Йонева</v>
      </c>
      <c r="B4828" s="10" t="str">
        <f ca="1">IFERROR(__xludf.DUMMYFUNCTION("""COMPUTED_VALUE"""),"Доклад от конференция")</f>
        <v>Доклад от конференция</v>
      </c>
      <c r="C4828" s="10" t="str">
        <f ca="1">IFERROR(__xludf.DUMMYFUNCTION("""COMPUTED_VALUE"""),"Някои аспекти на българо-руските църковни отношения в периода между двете световни войни")</f>
        <v>Някои аспекти на българо-руските църковни отношения в периода между двете световни войни</v>
      </c>
      <c r="D4828" s="10">
        <f ca="1">IFERROR(__xludf.DUMMYFUNCTION("""COMPUTED_VALUE"""),2000)</f>
        <v>2000</v>
      </c>
      <c r="E4828" s="10" t="str">
        <f ca="1">IFERROR(__xludf.DUMMYFUNCTION("""COMPUTED_VALUE"""),"България и Русия през XX век. С., 2000, 84-93")</f>
        <v>България и Русия през XX век. С., 2000, 84-93</v>
      </c>
      <c r="F4828" s="10"/>
      <c r="G4828" s="10"/>
      <c r="H4828" s="10"/>
      <c r="I4828" s="10"/>
      <c r="J4828" s="10"/>
      <c r="K4828" s="10"/>
      <c r="L4828" s="10"/>
      <c r="M4828" s="10"/>
      <c r="N4828" s="10"/>
      <c r="O4828" s="10"/>
      <c r="P4828" s="10"/>
      <c r="Q4828" s="10"/>
      <c r="R4828" s="10"/>
      <c r="S4828" s="10"/>
      <c r="T4828" s="10"/>
      <c r="U4828" s="10"/>
      <c r="V4828" s="10"/>
      <c r="W4828" s="10"/>
      <c r="X4828" s="10"/>
      <c r="Y4828" s="10"/>
      <c r="Z4828" s="10"/>
    </row>
    <row r="4829" spans="1:26" ht="12.75">
      <c r="A4829" s="10" t="str">
        <f ca="1">IFERROR(__xludf.DUMMYFUNCTION("""COMPUTED_VALUE"""),"Лизбет Любенова Върбанова - Йонева")</f>
        <v>Лизбет Любенова Върбанова - Йонева</v>
      </c>
      <c r="B4829" s="10" t="str">
        <f ca="1">IFERROR(__xludf.DUMMYFUNCTION("""COMPUTED_VALUE"""),"Доклад от конференция")</f>
        <v>Доклад от конференция</v>
      </c>
      <c r="C4829" s="10" t="str">
        <f ca="1">IFERROR(__xludf.DUMMYFUNCTION("""COMPUTED_VALUE"""),"Икономически основи на църковния живот (1878-1920).")</f>
        <v>Икономически основи на църковния живот (1878-1920).</v>
      </c>
      <c r="D4829" s="10">
        <f ca="1">IFERROR(__xludf.DUMMYFUNCTION("""COMPUTED_VALUE"""),1999)</f>
        <v>1999</v>
      </c>
      <c r="E4829" s="10" t="str">
        <f ca="1">IFERROR(__xludf.DUMMYFUNCTION("""COMPUTED_VALUE"""),"Религия и църква в България. Социални и културни измерения в православието и неговата специфика в българските земи. С., 1999, 178-189. ISBN 954-9943-06-2")</f>
        <v>Религия и църква в България. Социални и културни измерения в православието и неговата специфика в българските земи. С., 1999, 178-189. ISBN 954-9943-06-2</v>
      </c>
      <c r="F4829" s="10"/>
      <c r="G4829" s="10"/>
      <c r="H4829" s="10"/>
      <c r="I4829" s="10"/>
      <c r="J4829" s="10"/>
      <c r="K4829" s="10"/>
      <c r="L4829" s="10"/>
      <c r="M4829" s="10"/>
      <c r="N4829" s="10"/>
      <c r="O4829" s="10"/>
      <c r="P4829" s="10"/>
      <c r="Q4829" s="10"/>
      <c r="R4829" s="10"/>
      <c r="S4829" s="10"/>
      <c r="T4829" s="10"/>
      <c r="U4829" s="10"/>
      <c r="V4829" s="10"/>
      <c r="W4829" s="10"/>
      <c r="X4829" s="10"/>
      <c r="Y4829" s="10"/>
      <c r="Z4829" s="10"/>
    </row>
    <row r="4830" spans="1:26" ht="12.75">
      <c r="A4830" s="10" t="str">
        <f ca="1">IFERROR(__xludf.DUMMYFUNCTION("""COMPUTED_VALUE"""),"Лизбет Любенова Върбанова - Йонева")</f>
        <v>Лизбет Любенова Върбанова - Йонева</v>
      </c>
      <c r="B4830" s="10" t="str">
        <f ca="1">IFERROR(__xludf.DUMMYFUNCTION("""COMPUTED_VALUE"""),"Статия в списания и поредици")</f>
        <v>Статия в списания и поредици</v>
      </c>
      <c r="C4830" s="10" t="str">
        <f ca="1">IFERROR(__xludf.DUMMYFUNCTION("""COMPUTED_VALUE"""),"Научно-теоретична конференция “Законодателна дейност на БЗНС”")</f>
        <v>Научно-теоретична конференция “Законодателна дейност на БЗНС”</v>
      </c>
      <c r="D4830" s="10">
        <f ca="1">IFERROR(__xludf.DUMMYFUNCTION("""COMPUTED_VALUE"""),1999)</f>
        <v>1999</v>
      </c>
      <c r="E4830" s="10" t="str">
        <f ca="1">IFERROR(__xludf.DUMMYFUNCTION("""COMPUTED_VALUE"""),"ИПр., 1999, Кн. 3-4, 256-259")</f>
        <v>ИПр., 1999, Кн. 3-4, 256-259</v>
      </c>
      <c r="F4830" s="10"/>
      <c r="G4830" s="10"/>
      <c r="H4830" s="10"/>
      <c r="I4830" s="10"/>
      <c r="J4830" s="10"/>
      <c r="K4830" s="10"/>
      <c r="L4830" s="10"/>
      <c r="M4830" s="10"/>
      <c r="N4830" s="10"/>
      <c r="O4830" s="10"/>
      <c r="P4830" s="10"/>
      <c r="Q4830" s="10"/>
      <c r="R4830" s="10"/>
      <c r="S4830" s="10"/>
      <c r="T4830" s="10"/>
      <c r="U4830" s="10"/>
      <c r="V4830" s="10"/>
      <c r="W4830" s="10"/>
      <c r="X4830" s="10"/>
      <c r="Y4830" s="10"/>
      <c r="Z4830" s="10"/>
    </row>
    <row r="4831" spans="1:26" ht="12.75">
      <c r="A4831" s="10" t="str">
        <f ca="1">IFERROR(__xludf.DUMMYFUNCTION("""COMPUTED_VALUE"""),"Лизбет Любенова Върбанова - Йонева")</f>
        <v>Лизбет Любенова Върбанова - Йонева</v>
      </c>
      <c r="B4831" s="10" t="str">
        <f ca="1">IFERROR(__xludf.DUMMYFUNCTION("""COMPUTED_VALUE"""),"Доклад от конференция")</f>
        <v>Доклад от конференция</v>
      </c>
      <c r="C4831" s="10" t="str">
        <f ca="1">IFERROR(__xludf.DUMMYFUNCTION("""COMPUTED_VALUE"""),"Българската православна църква и изпълнителната власт (1878-1919).")</f>
        <v>Българската православна църква и изпълнителната власт (1878-1919).</v>
      </c>
      <c r="D4831" s="10">
        <f ca="1">IFERROR(__xludf.DUMMYFUNCTION("""COMPUTED_VALUE"""),1999)</f>
        <v>1999</v>
      </c>
      <c r="E4831" s="10" t="str">
        <f ca="1">IFERROR(__xludf.DUMMYFUNCTION("""COMPUTED_VALUE"""),"120 години изпълнителна власт в България. С., 1999, 148-161. ISBN 954-9943-05-4")</f>
        <v>120 години изпълнителна власт в България. С., 1999, 148-161. ISBN 954-9943-05-4</v>
      </c>
      <c r="F4831" s="10"/>
      <c r="G4831" s="10"/>
      <c r="H4831" s="10"/>
      <c r="I4831" s="10"/>
      <c r="J4831" s="10"/>
      <c r="K4831" s="10"/>
      <c r="L4831" s="10"/>
      <c r="M4831" s="10"/>
      <c r="N4831" s="10"/>
      <c r="O4831" s="10"/>
      <c r="P4831" s="10"/>
      <c r="Q4831" s="10"/>
      <c r="R4831" s="10"/>
      <c r="S4831" s="10"/>
      <c r="T4831" s="10"/>
      <c r="U4831" s="10"/>
      <c r="V4831" s="10"/>
      <c r="W4831" s="10"/>
      <c r="X4831" s="10"/>
      <c r="Y4831" s="10"/>
      <c r="Z4831" s="10"/>
    </row>
    <row r="4832" spans="1:26" ht="12.75">
      <c r="A4832" s="10" t="str">
        <f ca="1">IFERROR(__xludf.DUMMYFUNCTION("""COMPUTED_VALUE"""),"Лизбет Любенова Върбанова - Йонева")</f>
        <v>Лизбет Любенова Върбанова - Йонева</v>
      </c>
      <c r="B4832" s="10" t="str">
        <f ca="1">IFERROR(__xludf.DUMMYFUNCTION("""COMPUTED_VALUE"""),"Доклад от конференция")</f>
        <v>Доклад от конференция</v>
      </c>
      <c r="C4832" s="10" t="str">
        <f ca="1">IFERROR(__xludf.DUMMYFUNCTION("""COMPUTED_VALUE"""),"Bulgarische Doktoranden an der Wiener Universität bis zum Ende des Ersten Weltkrieges.")</f>
        <v>Bulgarische Doktoranden an der Wiener Universität bis zum Ende des Ersten Weltkrieges.</v>
      </c>
      <c r="D4832" s="10">
        <f ca="1">IFERROR(__xludf.DUMMYFUNCTION("""COMPUTED_VALUE"""),1999)</f>
        <v>1999</v>
      </c>
      <c r="E4832" s="10" t="str">
        <f ca="1">IFERROR(__xludf.DUMMYFUNCTION("""COMPUTED_VALUE"""),"Österreich, Österreich-Ungarn und die Entwieklung der bulgarischen Eliten 1815-1918. Sofia, 1999, 74-83. ISBN 954-430-653-6")</f>
        <v>Österreich, Österreich-Ungarn und die Entwieklung der bulgarischen Eliten 1815-1918. Sofia, 1999, 74-83. ISBN 954-430-653-6</v>
      </c>
      <c r="F4832" s="10"/>
      <c r="G4832" s="10"/>
      <c r="H4832" s="10"/>
      <c r="I4832" s="10"/>
      <c r="J4832" s="10"/>
      <c r="K4832" s="10"/>
      <c r="L4832" s="10"/>
      <c r="M4832" s="10"/>
      <c r="N4832" s="10"/>
      <c r="O4832" s="10"/>
      <c r="P4832" s="10"/>
      <c r="Q4832" s="10"/>
      <c r="R4832" s="10"/>
      <c r="S4832" s="10"/>
      <c r="T4832" s="10"/>
      <c r="U4832" s="10"/>
      <c r="V4832" s="10"/>
      <c r="W4832" s="10"/>
      <c r="X4832" s="10"/>
      <c r="Y4832" s="10"/>
      <c r="Z4832" s="10"/>
    </row>
    <row r="4833" spans="1:26" ht="12.75">
      <c r="A4833" s="10" t="str">
        <f ca="1">IFERROR(__xludf.DUMMYFUNCTION("""COMPUTED_VALUE"""),"Лизбет Любенова Върбанова - Йонева")</f>
        <v>Лизбет Любенова Върбанова - Йонева</v>
      </c>
      <c r="B4833" s="10" t="str">
        <f ca="1">IFERROR(__xludf.DUMMYFUNCTION("""COMPUTED_VALUE"""),"Доклад от конференция")</f>
        <v>Доклад от конференция</v>
      </c>
      <c r="C4833" s="10" t="str">
        <f ca="1">IFERROR(__xludf.DUMMYFUNCTION("""COMPUTED_VALUE"""),"Князь Александр Ратиев. То, что сохранила мне память.")</f>
        <v>Князь Александр Ратиев. То, что сохранила мне память.</v>
      </c>
      <c r="D4833" s="10">
        <f ca="1">IFERROR(__xludf.DUMMYFUNCTION("""COMPUTED_VALUE"""),1999)</f>
        <v>1999</v>
      </c>
      <c r="E4833" s="10" t="str">
        <f ca="1">IFERROR(__xludf.DUMMYFUNCTION("""COMPUTED_VALUE"""),"Белая эмиграция в Болгарии 1918-1945. Т. 1, 1999, 681 с. ISBN 954-07-0923-7")</f>
        <v>Белая эмиграция в Болгарии 1918-1945. Т. 1, 1999, 681 с. ISBN 954-07-0923-7</v>
      </c>
      <c r="F4833" s="10"/>
      <c r="G4833" s="10" t="str">
        <f ca="1">IFERROR(__xludf.DUMMYFUNCTION("""COMPUTED_VALUE"""),"Г. Рупчева")</f>
        <v>Г. Рупчева</v>
      </c>
      <c r="H4833" s="10"/>
      <c r="I4833" s="10"/>
      <c r="J4833" s="10"/>
      <c r="K4833" s="10"/>
      <c r="L4833" s="10"/>
      <c r="M4833" s="10"/>
      <c r="N4833" s="10"/>
      <c r="O4833" s="10"/>
      <c r="P4833" s="10"/>
      <c r="Q4833" s="10"/>
      <c r="R4833" s="10"/>
      <c r="S4833" s="10"/>
      <c r="T4833" s="10"/>
      <c r="U4833" s="10"/>
      <c r="V4833" s="10"/>
      <c r="W4833" s="10"/>
      <c r="X4833" s="10"/>
      <c r="Y4833" s="10"/>
      <c r="Z4833" s="10"/>
    </row>
    <row r="4834" spans="1:26" ht="12.75">
      <c r="A4834" s="10" t="str">
        <f ca="1">IFERROR(__xludf.DUMMYFUNCTION("""COMPUTED_VALUE"""),"Лизбет Любенова Върбанова - Йонева")</f>
        <v>Лизбет Любенова Върбанова - Йонева</v>
      </c>
      <c r="B4834" s="10" t="str">
        <f ca="1">IFERROR(__xludf.DUMMYFUNCTION("""COMPUTED_VALUE"""),"Доклад от конференция")</f>
        <v>Доклад от конференция</v>
      </c>
      <c r="C4834" s="10" t="str">
        <f ca="1">IFERROR(__xludf.DUMMYFUNCTION("""COMPUTED_VALUE"""),"Фондът на братя Евлогий и Христо Георгиеви в Научния архив на Българската академия на науките и неговите необработени материали.")</f>
        <v>Фондът на братя Евлогий и Христо Георгиеви в Научния архив на Българската академия на науките и неговите необработени материали.</v>
      </c>
      <c r="D4834" s="10">
        <f ca="1">IFERROR(__xludf.DUMMYFUNCTION("""COMPUTED_VALUE"""),1998)</f>
        <v>1998</v>
      </c>
      <c r="E4834" s="10" t="str">
        <f ca="1">IFERROR(__xludf.DUMMYFUNCTION("""COMPUTED_VALUE"""),"Дарителите Евлогий и Христо Георгиеви. С., 1998, 265-274. ISBN 954-607-176-5")</f>
        <v>Дарителите Евлогий и Христо Георгиеви. С., 1998, 265-274. ISBN 954-607-176-5</v>
      </c>
      <c r="F4834" s="10"/>
      <c r="G4834" s="10" t="str">
        <f ca="1">IFERROR(__xludf.DUMMYFUNCTION("""COMPUTED_VALUE"""),"Д. Илиева")</f>
        <v>Д. Илиева</v>
      </c>
      <c r="H4834" s="10"/>
      <c r="I4834" s="10"/>
      <c r="J4834" s="10"/>
      <c r="K4834" s="10"/>
      <c r="L4834" s="10"/>
      <c r="M4834" s="10"/>
      <c r="N4834" s="10"/>
      <c r="O4834" s="10"/>
      <c r="P4834" s="10"/>
      <c r="Q4834" s="10"/>
      <c r="R4834" s="10"/>
      <c r="S4834" s="10"/>
      <c r="T4834" s="10"/>
      <c r="U4834" s="10"/>
      <c r="V4834" s="10"/>
      <c r="W4834" s="10"/>
      <c r="X4834" s="10"/>
      <c r="Y4834" s="10"/>
      <c r="Z4834" s="10"/>
    </row>
    <row r="4835" spans="1:26" ht="12.75">
      <c r="A4835" s="10" t="str">
        <f ca="1">IFERROR(__xludf.DUMMYFUNCTION("""COMPUTED_VALUE"""),"Лизбет Любенова Върбанова - Йонева")</f>
        <v>Лизбет Любенова Върбанова - Йонева</v>
      </c>
      <c r="B4835" s="10" t="str">
        <f ca="1">IFERROR(__xludf.DUMMYFUNCTION("""COMPUTED_VALUE"""),"Статия в списания и поредици")</f>
        <v>Статия в списания и поредици</v>
      </c>
      <c r="C4835" s="10" t="str">
        <f ca="1">IFERROR(__xludf.DUMMYFUNCTION("""COMPUTED_VALUE"""),"Непубликувана „История на България” от Михаил Попруженко (1866-1944)")</f>
        <v>Непубликувана „История на България” от Михаил Попруженко (1866-1944)</v>
      </c>
      <c r="D4835" s="10">
        <f ca="1">IFERROR(__xludf.DUMMYFUNCTION("""COMPUTED_VALUE"""),1997)</f>
        <v>1997</v>
      </c>
      <c r="E4835" s="10" t="str">
        <f ca="1">IFERROR(__xludf.DUMMYFUNCTION("""COMPUTED_VALUE"""),"Родина, 1997, Кн. 1-2, 253-260.")</f>
        <v>Родина, 1997, Кн. 1-2, 253-260.</v>
      </c>
      <c r="F4835" s="10"/>
      <c r="G4835" s="10"/>
      <c r="H4835" s="10"/>
      <c r="I4835" s="10"/>
      <c r="J4835" s="10"/>
      <c r="K4835" s="10"/>
      <c r="L4835" s="10"/>
      <c r="M4835" s="10"/>
      <c r="N4835" s="10"/>
      <c r="O4835" s="10"/>
      <c r="P4835" s="10"/>
      <c r="Q4835" s="10"/>
      <c r="R4835" s="10"/>
      <c r="S4835" s="10"/>
      <c r="T4835" s="10"/>
      <c r="U4835" s="10"/>
      <c r="V4835" s="10"/>
      <c r="W4835" s="10"/>
      <c r="X4835" s="10"/>
      <c r="Y4835" s="10"/>
      <c r="Z4835" s="10"/>
    </row>
    <row r="4836" spans="1:26" ht="12.75">
      <c r="A4836" s="10" t="str">
        <f ca="1">IFERROR(__xludf.DUMMYFUNCTION("""COMPUTED_VALUE"""),"Лизбет Любенова Върбанова - Йонева")</f>
        <v>Лизбет Любенова Върбанова - Йонева</v>
      </c>
      <c r="B4836" s="10" t="str">
        <f ca="1">IFERROR(__xludf.DUMMYFUNCTION("""COMPUTED_VALUE"""),"Статия в списания и поредици")</f>
        <v>Статия в списания и поредици</v>
      </c>
      <c r="C4836" s="10" t="str">
        <f ca="1">IFERROR(__xludf.DUMMYFUNCTION("""COMPUTED_VALUE"""),"R. Pillinger, Die bulgarisch-orthodoxe Kirhe in Wien und das sichtbare Gotteshaus als Abbild des deistigen Kirchenbaus.")</f>
        <v>R. Pillinger, Die bulgarisch-orthodoxe Kirhe in Wien und das sichtbare Gotteshaus als Abbild des deistigen Kirchenbaus.</v>
      </c>
      <c r="D4836" s="10">
        <f ca="1">IFERROR(__xludf.DUMMYFUNCTION("""COMPUTED_VALUE"""),1997)</f>
        <v>1997</v>
      </c>
      <c r="E4836" s="10" t="str">
        <f ca="1">IFERROR(__xludf.DUMMYFUNCTION("""COMPUTED_VALUE"""),"Wien, Verlag Ostag, 1997, 56 s.- Рец.: BHR, 1997, B. 4, 160-162. ISSN 0204-8906")</f>
        <v>Wien, Verlag Ostag, 1997, 56 s.- Рец.: BHR, 1997, B. 4, 160-162. ISSN 0204-8906</v>
      </c>
      <c r="F4836" s="10"/>
      <c r="G4836" s="10"/>
      <c r="H4836" s="10"/>
      <c r="I4836" s="10"/>
      <c r="J4836" s="10"/>
      <c r="K4836" s="10"/>
      <c r="L4836" s="10"/>
      <c r="M4836" s="10"/>
      <c r="N4836" s="10"/>
      <c r="O4836" s="10"/>
      <c r="P4836" s="10"/>
      <c r="Q4836" s="10"/>
      <c r="R4836" s="10"/>
      <c r="S4836" s="10"/>
      <c r="T4836" s="10"/>
      <c r="U4836" s="10"/>
      <c r="V4836" s="10"/>
      <c r="W4836" s="10"/>
      <c r="X4836" s="10"/>
      <c r="Y4836" s="10"/>
      <c r="Z4836" s="10"/>
    </row>
    <row r="4837" spans="1:26" ht="12.75">
      <c r="A4837" s="10" t="str">
        <f ca="1">IFERROR(__xludf.DUMMYFUNCTION("""COMPUTED_VALUE"""),"Лизбет Любенова Върбанова - Йонева")</f>
        <v>Лизбет Любенова Върбанова - Йонева</v>
      </c>
      <c r="B4837" s="10" t="str">
        <f ca="1">IFERROR(__xludf.DUMMYFUNCTION("""COMPUTED_VALUE"""),"Доклад от конференция")</f>
        <v>Доклад от конференция</v>
      </c>
      <c r="C4837" s="10" t="str">
        <f ca="1">IFERROR(__xludf.DUMMYFUNCTION("""COMPUTED_VALUE"""),"Петър Мутафчиев и Петър Ников.")</f>
        <v>Петър Мутафчиев и Петър Ников.</v>
      </c>
      <c r="D4837" s="10">
        <f ca="1">IFERROR(__xludf.DUMMYFUNCTION("""COMPUTED_VALUE"""),1996)</f>
        <v>1996</v>
      </c>
      <c r="E4837" s="10" t="str">
        <f ca="1">IFERROR(__xludf.DUMMYFUNCTION("""COMPUTED_VALUE"""),"Сборник в памет на професор Петър Мутафчиев. С., 1996, 145-149. ISBN 954-07-0669-6")</f>
        <v>Сборник в памет на професор Петър Мутафчиев. С., 1996, 145-149. ISBN 954-07-0669-6</v>
      </c>
      <c r="F4837" s="10"/>
      <c r="G4837" s="10"/>
      <c r="H4837" s="10"/>
      <c r="I4837" s="10"/>
      <c r="J4837" s="10"/>
      <c r="K4837" s="10"/>
      <c r="L4837" s="10"/>
      <c r="M4837" s="10"/>
      <c r="N4837" s="10"/>
      <c r="O4837" s="10"/>
      <c r="P4837" s="10"/>
      <c r="Q4837" s="10"/>
      <c r="R4837" s="10"/>
      <c r="S4837" s="10"/>
      <c r="T4837" s="10"/>
      <c r="U4837" s="10"/>
      <c r="V4837" s="10"/>
      <c r="W4837" s="10"/>
      <c r="X4837" s="10"/>
      <c r="Y4837" s="10"/>
      <c r="Z4837" s="10"/>
    </row>
    <row r="4838" spans="1:26" ht="12.75">
      <c r="A4838" s="10" t="str">
        <f ca="1">IFERROR(__xludf.DUMMYFUNCTION("""COMPUTED_VALUE"""),"Лизбет Любенова Върбанова - Йонева")</f>
        <v>Лизбет Любенова Върбанова - Йонева</v>
      </c>
      <c r="B4838" s="10" t="str">
        <f ca="1">IFERROR(__xludf.DUMMYFUNCTION("""COMPUTED_VALUE"""),"Доклад от конференция")</f>
        <v>Доклад от конференция</v>
      </c>
      <c r="C4838" s="10" t="str">
        <f ca="1">IFERROR(__xludf.DUMMYFUNCTION("""COMPUTED_VALUE"""),"Юрдан Трифонов като историк на Българската църква.")</f>
        <v>Юрдан Трифонов като историк на Българската църква.</v>
      </c>
      <c r="D4838" s="10">
        <f ca="1">IFERROR(__xludf.DUMMYFUNCTION("""COMPUTED_VALUE"""),1996)</f>
        <v>1996</v>
      </c>
      <c r="E4838" s="10" t="str">
        <f ca="1">IFERROR(__xludf.DUMMYFUNCTION("""COMPUTED_VALUE"""),"Научна сесия академик Юрдан Трифонов (1864-1949), Плевен, Библиотека Български северозапад. Враца. 1996, 52-61.")</f>
        <v>Научна сесия академик Юрдан Трифонов (1864-1949), Плевен, Библиотека Български северозапад. Враца. 1996, 52-61.</v>
      </c>
      <c r="F4838" s="10"/>
      <c r="G4838" s="10"/>
      <c r="H4838" s="10"/>
      <c r="I4838" s="10"/>
      <c r="J4838" s="10"/>
      <c r="K4838" s="10"/>
      <c r="L4838" s="10"/>
      <c r="M4838" s="10"/>
      <c r="N4838" s="10"/>
      <c r="O4838" s="10"/>
      <c r="P4838" s="10"/>
      <c r="Q4838" s="10"/>
      <c r="R4838" s="10"/>
      <c r="S4838" s="10"/>
      <c r="T4838" s="10"/>
      <c r="U4838" s="10"/>
      <c r="V4838" s="10"/>
      <c r="W4838" s="10"/>
      <c r="X4838" s="10"/>
      <c r="Y4838" s="10"/>
      <c r="Z4838" s="10"/>
    </row>
    <row r="4839" spans="1:26" ht="12.75">
      <c r="A4839" s="10" t="str">
        <f ca="1">IFERROR(__xludf.DUMMYFUNCTION("""COMPUTED_VALUE"""),"Лизбет Любенова Върбанова - Йонева")</f>
        <v>Лизбет Любенова Върбанова - Йонева</v>
      </c>
      <c r="B4839" s="10" t="str">
        <f ca="1">IFERROR(__xludf.DUMMYFUNCTION("""COMPUTED_VALUE"""),"Статия в списания и поредици")</f>
        <v>Статия в списания и поредици</v>
      </c>
      <c r="C4839" s="10" t="str">
        <f ca="1">IFERROR(__xludf.DUMMYFUNCTION("""COMPUTED_VALUE"""),"ВАРНЕНСКО-ПРЕСЛАВСКИЯТ МИТРОПОЛИТ СИМЕОН И БЪЛГАРСКАТА СХИЗМА")</f>
        <v>ВАРНЕНСКО-ПРЕСЛАВСКИЯТ МИТРОПОЛИТ СИМЕОН И БЪЛГАРСКАТА СХИЗМА</v>
      </c>
      <c r="D4839" s="10">
        <f ca="1">IFERROR(__xludf.DUMMYFUNCTION("""COMPUTED_VALUE"""),1996)</f>
        <v>1996</v>
      </c>
      <c r="E4839" s="10" t="str">
        <f ca="1">IFERROR(__xludf.DUMMYFUNCTION("""COMPUTED_VALUE"""),"Родина, 1996, № 2, 101-119.")</f>
        <v>Родина, 1996, № 2, 101-119.</v>
      </c>
      <c r="F4839" s="10"/>
      <c r="G4839" s="10"/>
      <c r="H4839" s="10"/>
      <c r="I4839" s="10"/>
      <c r="J4839" s="10"/>
      <c r="K4839" s="10"/>
      <c r="L4839" s="10"/>
      <c r="M4839" s="10"/>
      <c r="N4839" s="10"/>
      <c r="O4839" s="10"/>
      <c r="P4839" s="10"/>
      <c r="Q4839" s="10"/>
      <c r="R4839" s="10"/>
      <c r="S4839" s="10"/>
      <c r="T4839" s="10"/>
      <c r="U4839" s="10"/>
      <c r="V4839" s="10"/>
      <c r="W4839" s="10"/>
      <c r="X4839" s="10"/>
      <c r="Y4839" s="10"/>
      <c r="Z4839" s="10"/>
    </row>
    <row r="4840" spans="1:26" ht="12.75">
      <c r="A4840" s="10" t="str">
        <f ca="1">IFERROR(__xludf.DUMMYFUNCTION("""COMPUTED_VALUE"""),"Лизбет Любенова Върбанова - Йонева")</f>
        <v>Лизбет Любенова Върбанова - Йонева</v>
      </c>
      <c r="B4840" s="10" t="str">
        <f ca="1">IFERROR(__xludf.DUMMYFUNCTION("""COMPUTED_VALUE"""),"Доклад от конференция")</f>
        <v>Доклад от конференция</v>
      </c>
      <c r="C4840" s="10" t="str">
        <f ca="1">IFERROR(__xludf.DUMMYFUNCTION("""COMPUTED_VALUE"""),"Кореспонденция между проф. Петър Мутафчиев и проф. Петър Ников.")</f>
        <v>Кореспонденция между проф. Петър Мутафчиев и проф. Петър Ников.</v>
      </c>
      <c r="D4840" s="10">
        <f ca="1">IFERROR(__xludf.DUMMYFUNCTION("""COMPUTED_VALUE"""),1996)</f>
        <v>1996</v>
      </c>
      <c r="E4840" s="10" t="str">
        <f ca="1">IFERROR(__xludf.DUMMYFUNCTION("""COMPUTED_VALUE"""),"Сборник в памет на професор Петър Мутафчиев. С., 1996, 170-226. ISBN 954-07-0669-6")</f>
        <v>Сборник в памет на професор Петър Мутафчиев. С., 1996, 170-226. ISBN 954-07-0669-6</v>
      </c>
      <c r="F4840" s="10"/>
      <c r="G4840" s="10"/>
      <c r="H4840" s="10"/>
      <c r="I4840" s="10"/>
      <c r="J4840" s="10"/>
      <c r="K4840" s="10"/>
      <c r="L4840" s="10"/>
      <c r="M4840" s="10"/>
      <c r="N4840" s="10"/>
      <c r="O4840" s="10"/>
      <c r="P4840" s="10"/>
      <c r="Q4840" s="10"/>
      <c r="R4840" s="10"/>
      <c r="S4840" s="10"/>
      <c r="T4840" s="10"/>
      <c r="U4840" s="10"/>
      <c r="V4840" s="10"/>
      <c r="W4840" s="10"/>
      <c r="X4840" s="10"/>
      <c r="Y4840" s="10"/>
      <c r="Z4840" s="10"/>
    </row>
    <row r="4841" spans="1:26" ht="12.75">
      <c r="A4841" s="10" t="str">
        <f ca="1">IFERROR(__xludf.DUMMYFUNCTION("""COMPUTED_VALUE"""),"Лизбет Любенова Върбанова - Йонева")</f>
        <v>Лизбет Любенова Върбанова - Йонева</v>
      </c>
      <c r="B4841" s="10" t="str">
        <f ca="1">IFERROR(__xludf.DUMMYFUNCTION("""COMPUTED_VALUE"""),"Доклад от конференция")</f>
        <v>Доклад от конференция</v>
      </c>
      <c r="C4841" s="10" t="str">
        <f ca="1">IFERROR(__xludf.DUMMYFUNCTION("""COMPUTED_VALUE"""),"Съединението в 1885 г. и българското духовенство.")</f>
        <v>Съединението в 1885 г. и българското духовенство.</v>
      </c>
      <c r="D4841" s="10">
        <f ca="1">IFERROR(__xludf.DUMMYFUNCTION("""COMPUTED_VALUE"""),1995)</f>
        <v>1995</v>
      </c>
      <c r="E4841" s="10" t="str">
        <f ca="1">IFERROR(__xludf.DUMMYFUNCTION("""COMPUTED_VALUE"""),"Съединението на България от 1885 г. и националноосвободителната програма на българите. Пловдив, 1995, 39-52.")</f>
        <v>Съединението на България от 1885 г. и националноосвободителната програма на българите. Пловдив, 1995, 39-52.</v>
      </c>
      <c r="F4841" s="10"/>
      <c r="G4841" s="10"/>
      <c r="H4841" s="10"/>
      <c r="I4841" s="10"/>
      <c r="J4841" s="10"/>
      <c r="K4841" s="10"/>
      <c r="L4841" s="10"/>
      <c r="M4841" s="10"/>
      <c r="N4841" s="10"/>
      <c r="O4841" s="10"/>
      <c r="P4841" s="10"/>
      <c r="Q4841" s="10"/>
      <c r="R4841" s="10"/>
      <c r="S4841" s="10"/>
      <c r="T4841" s="10"/>
      <c r="U4841" s="10"/>
      <c r="V4841" s="10"/>
      <c r="W4841" s="10"/>
      <c r="X4841" s="10"/>
      <c r="Y4841" s="10"/>
      <c r="Z4841" s="10"/>
    </row>
    <row r="4842" spans="1:26" ht="12.75">
      <c r="A4842" s="10" t="str">
        <f ca="1">IFERROR(__xludf.DUMMYFUNCTION("""COMPUTED_VALUE"""),"Лизбет Любенова Върбанова - Йонева")</f>
        <v>Лизбет Любенова Върбанова - Йонева</v>
      </c>
      <c r="B4842" s="10" t="str">
        <f ca="1">IFERROR(__xludf.DUMMYFUNCTION("""COMPUTED_VALUE"""),"Статия в списания и поредици")</f>
        <v>Статия в списания и поредици</v>
      </c>
      <c r="C4842" s="10" t="str">
        <f ca="1">IFERROR(__xludf.DUMMYFUNCTION("""COMPUTED_VALUE"""),"Славянофилството в творчеството на Михаил Попруженко.")</f>
        <v>Славянофилството в творчеството на Михаил Попруженко.</v>
      </c>
      <c r="D4842" s="10">
        <f ca="1">IFERROR(__xludf.DUMMYFUNCTION("""COMPUTED_VALUE"""),1994)</f>
        <v>1994</v>
      </c>
      <c r="E4842" s="10" t="str">
        <f ca="1">IFERROR(__xludf.DUMMYFUNCTION("""COMPUTED_VALUE"""),"Славянски летописи. С., Т. 1, 1994, 90-99.")</f>
        <v>Славянски летописи. С., Т. 1, 1994, 90-99.</v>
      </c>
      <c r="F4842" s="10"/>
      <c r="G4842" s="10"/>
      <c r="H4842" s="10"/>
      <c r="I4842" s="10"/>
      <c r="J4842" s="10"/>
      <c r="K4842" s="10"/>
      <c r="L4842" s="10"/>
      <c r="M4842" s="10"/>
      <c r="N4842" s="10"/>
      <c r="O4842" s="10"/>
      <c r="P4842" s="10"/>
      <c r="Q4842" s="10"/>
      <c r="R4842" s="10"/>
      <c r="S4842" s="10"/>
      <c r="T4842" s="10"/>
      <c r="U4842" s="10"/>
      <c r="V4842" s="10"/>
      <c r="W4842" s="10"/>
      <c r="X4842" s="10"/>
      <c r="Y4842" s="10"/>
      <c r="Z4842" s="10"/>
    </row>
    <row r="4843" spans="1:26" ht="12.75">
      <c r="A4843" s="10" t="str">
        <f ca="1">IFERROR(__xludf.DUMMYFUNCTION("""COMPUTED_VALUE"""),"Лизбет Любенова Върбанова - Йонева")</f>
        <v>Лизбет Любенова Върбанова - Йонева</v>
      </c>
      <c r="B4843" s="10" t="str">
        <f ca="1">IFERROR(__xludf.DUMMYFUNCTION("""COMPUTED_VALUE"""),"Статия в списания и поредици")</f>
        <v>Статия в списания и поредици</v>
      </c>
      <c r="C4843" s="10" t="str">
        <f ca="1">IFERROR(__xludf.DUMMYFUNCTION("""COMPUTED_VALUE"""),"Руски учени-хуманитаристи в България в периода между двете световни войни")</f>
        <v>Руски учени-хуманитаристи в България в периода между двете световни войни</v>
      </c>
      <c r="D4843" s="10">
        <f ca="1">IFERROR(__xludf.DUMMYFUNCTION("""COMPUTED_VALUE"""),1993)</f>
        <v>1993</v>
      </c>
      <c r="E4843" s="10" t="str">
        <f ca="1">IFERROR(__xludf.DUMMYFUNCTION("""COMPUTED_VALUE"""),"Славянска филология, Т. 21, 1993, 352-359. ISBN 954‐430‐192‐5")</f>
        <v>Славянска филология, Т. 21, 1993, 352-359. ISBN 954‐430‐192‐5</v>
      </c>
      <c r="F4843" s="10"/>
      <c r="G4843" s="10"/>
      <c r="H4843" s="10"/>
      <c r="I4843" s="10"/>
      <c r="J4843" s="10"/>
      <c r="K4843" s="10"/>
      <c r="L4843" s="10"/>
      <c r="M4843" s="10"/>
      <c r="N4843" s="10"/>
      <c r="O4843" s="10"/>
      <c r="P4843" s="10"/>
      <c r="Q4843" s="10"/>
      <c r="R4843" s="10"/>
      <c r="S4843" s="10"/>
      <c r="T4843" s="10"/>
      <c r="U4843" s="10"/>
      <c r="V4843" s="10"/>
      <c r="W4843" s="10"/>
      <c r="X4843" s="10"/>
      <c r="Y4843" s="10"/>
      <c r="Z4843" s="10"/>
    </row>
    <row r="4844" spans="1:26" ht="12.75">
      <c r="A4844" s="10" t="str">
        <f ca="1">IFERROR(__xludf.DUMMYFUNCTION("""COMPUTED_VALUE"""),"Лизбет Любенова Върбанова - Йонева")</f>
        <v>Лизбет Любенова Върбанова - Йонева</v>
      </c>
      <c r="B4844" s="10" t="str">
        <f ca="1">IFERROR(__xludf.DUMMYFUNCTION("""COMPUTED_VALUE"""),"Доклад от конференция")</f>
        <v>Доклад от конференция</v>
      </c>
      <c r="C4844" s="10" t="str">
        <f ca="1">IFERROR(__xludf.DUMMYFUNCTION("""COMPUTED_VALUE"""),"Влияние на Варненски и Преславски митрополит Симеон върху духовното и научно израстване на проф.д-рПетър Ников")</f>
        <v>Влияние на Варненски и Преславски митрополит Симеон върху духовното и научно израстване на проф.д-рПетър Ников</v>
      </c>
      <c r="D4844" s="10">
        <f ca="1">IFERROR(__xludf.DUMMYFUNCTION("""COMPUTED_VALUE"""),1992)</f>
        <v>1992</v>
      </c>
      <c r="E4844" s="10" t="str">
        <f ca="1">IFERROR(__xludf.DUMMYFUNCTION("""COMPUTED_VALUE"""),"Митрополит Симеон Варненски и Преславски.Духовен будител, Шумен, 1992, 11-25. . ISBN 81-09")</f>
        <v>Митрополит Симеон Варненски и Преславски.Духовен будител, Шумен, 1992, 11-25. . ISBN 81-09</v>
      </c>
      <c r="F4844" s="10"/>
      <c r="G4844" s="10"/>
      <c r="H4844" s="10"/>
      <c r="I4844" s="10"/>
      <c r="J4844" s="10"/>
      <c r="K4844" s="10"/>
      <c r="L4844" s="10"/>
      <c r="M4844" s="10"/>
      <c r="N4844" s="10"/>
      <c r="O4844" s="10"/>
      <c r="P4844" s="10"/>
      <c r="Q4844" s="10"/>
      <c r="R4844" s="10"/>
      <c r="S4844" s="10"/>
      <c r="T4844" s="10"/>
      <c r="U4844" s="10"/>
      <c r="V4844" s="10"/>
      <c r="W4844" s="10"/>
      <c r="X4844" s="10"/>
      <c r="Y4844" s="10"/>
      <c r="Z4844" s="10"/>
    </row>
    <row r="4845" spans="1:26" ht="12.75">
      <c r="A4845" s="10" t="str">
        <f ca="1">IFERROR(__xludf.DUMMYFUNCTION("""COMPUTED_VALUE"""),"Лизбет Любенова Върбанова - Йонева")</f>
        <v>Лизбет Любенова Върбанова - Йонева</v>
      </c>
      <c r="B4845" s="10" t="str">
        <f ca="1">IFERROR(__xludf.DUMMYFUNCTION("""COMPUTED_VALUE"""),"Статия в списания и поредици")</f>
        <v>Статия в списания и поредици</v>
      </c>
      <c r="C4845" s="10" t="str">
        <f ca="1">IFERROR(__xludf.DUMMYFUNCTION("""COMPUTED_VALUE"""),"Нови постъпления в архива на Михаил Георгиевич Попруженко")</f>
        <v>Нови постъпления в архива на Михаил Георгиевич Попруженко</v>
      </c>
      <c r="D4845" s="10">
        <f ca="1">IFERROR(__xludf.DUMMYFUNCTION("""COMPUTED_VALUE"""),1992)</f>
        <v>1992</v>
      </c>
      <c r="E4845" s="10" t="str">
        <f ca="1">IFERROR(__xludf.DUMMYFUNCTION("""COMPUTED_VALUE"""),"Славянските култури и съвременната цивилизация. Славянски летописи. Т. III, С., 1999, 132-142.")</f>
        <v>Славянските култури и съвременната цивилизация. Славянски летописи. Т. III, С., 1999, 132-142.</v>
      </c>
      <c r="F4845" s="10"/>
      <c r="G4845" s="10" t="str">
        <f ca="1">IFERROR(__xludf.DUMMYFUNCTION("""COMPUTED_VALUE"""),"Г. Рупчева")</f>
        <v>Г. Рупчева</v>
      </c>
      <c r="H4845" s="10"/>
      <c r="I4845" s="10"/>
      <c r="J4845" s="10"/>
      <c r="K4845" s="10"/>
      <c r="L4845" s="10"/>
      <c r="M4845" s="10"/>
      <c r="N4845" s="10"/>
      <c r="O4845" s="10"/>
      <c r="P4845" s="10"/>
      <c r="Q4845" s="10"/>
      <c r="R4845" s="10"/>
      <c r="S4845" s="10"/>
      <c r="T4845" s="10"/>
      <c r="U4845" s="10"/>
      <c r="V4845" s="10"/>
      <c r="W4845" s="10"/>
      <c r="X4845" s="10"/>
      <c r="Y4845" s="10"/>
      <c r="Z4845" s="10"/>
    </row>
    <row r="4846" spans="1:26" ht="12.75">
      <c r="A4846" s="10" t="str">
        <f ca="1">IFERROR(__xludf.DUMMYFUNCTION("""COMPUTED_VALUE"""),"Лизбет Любенова Върбанова - Йонева")</f>
        <v>Лизбет Любенова Върбанова - Йонева</v>
      </c>
      <c r="B4846" s="10" t="str">
        <f ca="1">IFERROR(__xludf.DUMMYFUNCTION("""COMPUTED_VALUE"""),"Доклад от конференция")</f>
        <v>Доклад от конференция</v>
      </c>
      <c r="C4846" s="10" t="str">
        <f ca="1">IFERROR(__xludf.DUMMYFUNCTION("""COMPUTED_VALUE"""),"Petar Nikow.- Great Historians of the Modern Age")</f>
        <v>Petar Nikow.- Great Historians of the Modern Age</v>
      </c>
      <c r="D4846" s="10">
        <f ca="1">IFERROR(__xludf.DUMMYFUNCTION("""COMPUTED_VALUE"""),1991)</f>
        <v>1991</v>
      </c>
      <c r="E4846" s="10" t="str">
        <f ca="1">IFERROR(__xludf.DUMMYFUNCTION("""COMPUTED_VALUE"""),"An international dictionary. New York, 1991, 103-104.")</f>
        <v>An international dictionary. New York, 1991, 103-104.</v>
      </c>
      <c r="F4846" s="10"/>
      <c r="G4846" s="10"/>
      <c r="H4846" s="10"/>
      <c r="I4846" s="10"/>
      <c r="J4846" s="10"/>
      <c r="K4846" s="10"/>
      <c r="L4846" s="10"/>
      <c r="M4846" s="10"/>
      <c r="N4846" s="10"/>
      <c r="O4846" s="10"/>
      <c r="P4846" s="10"/>
      <c r="Q4846" s="10"/>
      <c r="R4846" s="10"/>
      <c r="S4846" s="10"/>
      <c r="T4846" s="10"/>
      <c r="U4846" s="10"/>
      <c r="V4846" s="10"/>
      <c r="W4846" s="10"/>
      <c r="X4846" s="10"/>
      <c r="Y4846" s="10"/>
      <c r="Z4846" s="10"/>
    </row>
    <row r="4847" spans="1:26" ht="12.75">
      <c r="A4847" s="10" t="str">
        <f ca="1">IFERROR(__xludf.DUMMYFUNCTION("""COMPUTED_VALUE"""),"Лизбет Любенова Върбанова - Йонева")</f>
        <v>Лизбет Любенова Върбанова - Йонева</v>
      </c>
      <c r="B4847" s="10" t="str">
        <f ca="1">IFERROR(__xludf.DUMMYFUNCTION("""COMPUTED_VALUE"""),"Статия в списания и поредици")</f>
        <v>Статия в списания и поредици</v>
      </c>
      <c r="C4847" s="10" t="str">
        <f ca="1">IFERROR(__xludf.DUMMYFUNCTION("""COMPUTED_VALUE"""),"Лекционните курсове на проф. д-р Петър Ников")</f>
        <v>Лекционните курсове на проф. д-р Петър Ников</v>
      </c>
      <c r="D4847" s="10">
        <f ca="1">IFERROR(__xludf.DUMMYFUNCTION("""COMPUTED_VALUE"""),1988)</f>
        <v>1988</v>
      </c>
      <c r="E4847" s="10" t="str">
        <f ca="1">IFERROR(__xludf.DUMMYFUNCTION("""COMPUTED_VALUE"""),"Университетски изследвания и преподавания по българска история у нас и в чужбина. Смолян, 1988, Т. II, част 4, 31-44.")</f>
        <v>Университетски изследвания и преподавания по българска история у нас и в чужбина. Смолян, 1988, Т. II, част 4, 31-44.</v>
      </c>
      <c r="F4847" s="10"/>
      <c r="G4847" s="10"/>
      <c r="H4847" s="10"/>
      <c r="I4847" s="10"/>
      <c r="J4847" s="10"/>
      <c r="K4847" s="10"/>
      <c r="L4847" s="10"/>
      <c r="M4847" s="10"/>
      <c r="N4847" s="10"/>
      <c r="O4847" s="10"/>
      <c r="P4847" s="10"/>
      <c r="Q4847" s="10"/>
      <c r="R4847" s="10"/>
      <c r="S4847" s="10"/>
      <c r="T4847" s="10"/>
      <c r="U4847" s="10"/>
      <c r="V4847" s="10"/>
      <c r="W4847" s="10"/>
      <c r="X4847" s="10"/>
      <c r="Y4847" s="10"/>
      <c r="Z4847" s="10"/>
    </row>
    <row r="4848" spans="1:26" ht="12.75">
      <c r="A4848" s="10" t="str">
        <f ca="1">IFERROR(__xludf.DUMMYFUNCTION("""COMPUTED_VALUE"""),"Лизбет Любенова Върбанова - Йонева")</f>
        <v>Лизбет Любенова Върбанова - Йонева</v>
      </c>
      <c r="B4848" s="10" t="str">
        <f ca="1">IFERROR(__xludf.DUMMYFUNCTION("""COMPUTED_VALUE"""),"Статия в списания и поредици")</f>
        <v>Статия в списания и поредици</v>
      </c>
      <c r="C4848" s="10" t="str">
        <f ca="1">IFERROR(__xludf.DUMMYFUNCTION("""COMPUTED_VALUE"""),"Науката е моят живот. (По повод 50-годишнината на проф. д-р П. Ников)")</f>
        <v>Науката е моят живот. (По повод 50-годишнината на проф. д-р П. Ников)</v>
      </c>
      <c r="D4848" s="10">
        <f ca="1">IFERROR(__xludf.DUMMYFUNCTION("""COMPUTED_VALUE"""),1988)</f>
        <v>1988</v>
      </c>
      <c r="E4848" s="10" t="str">
        <f ca="1">IFERROR(__xludf.DUMMYFUNCTION("""COMPUTED_VALUE"""),"Българистика, 1988, Кн, 4, 51-54. ISSN 0205-3209")</f>
        <v>Българистика, 1988, Кн, 4, 51-54. ISSN 0205-3209</v>
      </c>
      <c r="F4848" s="10"/>
      <c r="G4848" s="10"/>
      <c r="H4848" s="10"/>
      <c r="I4848" s="10"/>
      <c r="J4848" s="10"/>
      <c r="K4848" s="10"/>
      <c r="L4848" s="10"/>
      <c r="M4848" s="10"/>
      <c r="N4848" s="10"/>
      <c r="O4848" s="10"/>
      <c r="P4848" s="10"/>
      <c r="Q4848" s="10"/>
      <c r="R4848" s="10"/>
      <c r="S4848" s="10"/>
      <c r="T4848" s="10"/>
      <c r="U4848" s="10"/>
      <c r="V4848" s="10"/>
      <c r="W4848" s="10"/>
      <c r="X4848" s="10"/>
      <c r="Y4848" s="10"/>
      <c r="Z4848" s="10"/>
    </row>
    <row r="4849" spans="1:26" ht="12.75">
      <c r="A4849" s="10" t="str">
        <f ca="1">IFERROR(__xludf.DUMMYFUNCTION("""COMPUTED_VALUE"""),"Лизбет Любенова Върбанова - Йонева")</f>
        <v>Лизбет Любенова Върбанова - Йонева</v>
      </c>
      <c r="B4849" s="10" t="str">
        <f ca="1">IFERROR(__xludf.DUMMYFUNCTION("""COMPUTED_VALUE"""),"Статия в списания и поредици")</f>
        <v>Статия в списания и поредици</v>
      </c>
      <c r="C4849" s="10" t="str">
        <f ca="1">IFERROR(__xludf.DUMMYFUNCTION("""COMPUTED_VALUE"""),"Лекционен курс на проф. Петър Ников за историята на българския народ под османско владичество")</f>
        <v>Лекционен курс на проф. Петър Ников за историята на българския народ под османско владичество</v>
      </c>
      <c r="D4849" s="10">
        <f ca="1">IFERROR(__xludf.DUMMYFUNCTION("""COMPUTED_VALUE"""),1987)</f>
        <v>1987</v>
      </c>
      <c r="E4849" s="10" t="str">
        <f ca="1">IFERROR(__xludf.DUMMYFUNCTION("""COMPUTED_VALUE"""),"България през XV-XVIII в. Историографски изследвания. Т. 1. С., 1987, 253-275.")</f>
        <v>България през XV-XVIII в. Историографски изследвания. Т. 1. С., 1987, 253-275.</v>
      </c>
      <c r="F4849" s="10"/>
      <c r="G4849" s="10"/>
      <c r="H4849" s="10"/>
      <c r="I4849" s="10"/>
      <c r="J4849" s="10"/>
      <c r="K4849" s="10"/>
      <c r="L4849" s="10"/>
      <c r="M4849" s="10"/>
      <c r="N4849" s="10"/>
      <c r="O4849" s="10"/>
      <c r="P4849" s="10"/>
      <c r="Q4849" s="10"/>
      <c r="R4849" s="10"/>
      <c r="S4849" s="10"/>
      <c r="T4849" s="10"/>
      <c r="U4849" s="10"/>
      <c r="V4849" s="10"/>
      <c r="W4849" s="10"/>
      <c r="X4849" s="10"/>
      <c r="Y4849" s="10"/>
      <c r="Z4849" s="10"/>
    </row>
    <row r="4850" spans="1:26" ht="12.75">
      <c r="A4850" s="10" t="str">
        <f ca="1">IFERROR(__xludf.DUMMYFUNCTION("""COMPUTED_VALUE"""),"Лизбет Любенова Върбанова - Йонева")</f>
        <v>Лизбет Любенова Върбанова - Йонева</v>
      </c>
      <c r="B4850" s="10" t="str">
        <f ca="1">IFERROR(__xludf.DUMMYFUNCTION("""COMPUTED_VALUE"""),"Книга")</f>
        <v>Книга</v>
      </c>
      <c r="C4850" s="10" t="str">
        <f ca="1">IFERROR(__xludf.DUMMYFUNCTION("""COMPUTED_VALUE"""),"Петър Ников. Жизнен път и научно дело.")</f>
        <v>Петър Ников. Жизнен път и научно дело.</v>
      </c>
      <c r="D4850" s="10">
        <f ca="1">IFERROR(__xludf.DUMMYFUNCTION("""COMPUTED_VALUE"""),1986)</f>
        <v>1986</v>
      </c>
      <c r="E4850" s="10" t="str">
        <f ca="1">IFERROR(__xludf.DUMMYFUNCTION("""COMPUTED_VALUE"""),"С., 1986, 211 с., Индекс 92+941Б")</f>
        <v>С., 1986, 211 с., Индекс 92+941Б</v>
      </c>
      <c r="F4850" s="10"/>
      <c r="G4850" s="10"/>
      <c r="H4850" s="10"/>
      <c r="I4850" s="10"/>
      <c r="J4850" s="10"/>
      <c r="K4850" s="10"/>
      <c r="L4850" s="10"/>
      <c r="M4850" s="10"/>
      <c r="N4850" s="10"/>
      <c r="O4850" s="10"/>
      <c r="P4850" s="10"/>
      <c r="Q4850" s="10"/>
      <c r="R4850" s="10"/>
      <c r="S4850" s="10"/>
      <c r="T4850" s="10"/>
      <c r="U4850" s="10"/>
      <c r="V4850" s="10"/>
      <c r="W4850" s="10"/>
      <c r="X4850" s="10"/>
      <c r="Y4850" s="10"/>
      <c r="Z4850" s="10"/>
    </row>
    <row r="4851" spans="1:26" ht="12.75">
      <c r="A4851" s="10" t="str">
        <f ca="1">IFERROR(__xludf.DUMMYFUNCTION("""COMPUTED_VALUE"""),"Лизбет Любенова Върбанова - Йонева")</f>
        <v>Лизбет Любенова Върбанова - Йонева</v>
      </c>
      <c r="B4851" s="10" t="str">
        <f ca="1">IFERROR(__xludf.DUMMYFUNCTION("""COMPUTED_VALUE"""),"Статия в списания и поредици")</f>
        <v>Статия в списания и поредици</v>
      </c>
      <c r="C4851" s="10" t="str">
        <f ca="1">IFERROR(__xludf.DUMMYFUNCTION("""COMPUTED_VALUE"""),"Ръкописни материали в архивата на Петър Ников")</f>
        <v>Ръкописни материали в архивата на Петър Ников</v>
      </c>
      <c r="D4851" s="10">
        <f ca="1">IFERROR(__xludf.DUMMYFUNCTION("""COMPUTED_VALUE"""),1986)</f>
        <v>1986</v>
      </c>
      <c r="E4851" s="10" t="str">
        <f ca="1">IFERROR(__xludf.DUMMYFUNCTION("""COMPUTED_VALUE"""),"ИБИД, 1986, Кн. XXXVIII, 49-54.")</f>
        <v>ИБИД, 1986, Кн. XXXVIII, 49-54.</v>
      </c>
      <c r="F4851" s="10"/>
      <c r="G4851" s="10"/>
      <c r="H4851" s="10"/>
      <c r="I4851" s="10"/>
      <c r="J4851" s="10"/>
      <c r="K4851" s="10"/>
      <c r="L4851" s="10"/>
      <c r="M4851" s="10"/>
      <c r="N4851" s="10"/>
      <c r="O4851" s="10"/>
      <c r="P4851" s="10"/>
      <c r="Q4851" s="10"/>
      <c r="R4851" s="10"/>
      <c r="S4851" s="10"/>
      <c r="T4851" s="10"/>
      <c r="U4851" s="10"/>
      <c r="V4851" s="10"/>
      <c r="W4851" s="10"/>
      <c r="X4851" s="10"/>
      <c r="Y4851" s="10"/>
      <c r="Z4851" s="10"/>
    </row>
    <row r="4852" spans="1:26" ht="12.75">
      <c r="A4852" s="10" t="str">
        <f ca="1">IFERROR(__xludf.DUMMYFUNCTION("""COMPUTED_VALUE"""),"Лизбет Любенова Върбанова - Йонева")</f>
        <v>Лизбет Любенова Върбанова - Йонева</v>
      </c>
      <c r="B4852" s="10" t="str">
        <f ca="1">IFERROR(__xludf.DUMMYFUNCTION("""COMPUTED_VALUE"""),"Статия в списания и поредици")</f>
        <v>Статия в списания и поредици</v>
      </c>
      <c r="C4852" s="10" t="str">
        <f ca="1">IFERROR(__xludf.DUMMYFUNCTION("""COMPUTED_VALUE"""),"Петър Ников като изследовател на Втората българска държава")</f>
        <v>Петър Ников като изследовател на Втората българска държава</v>
      </c>
      <c r="D4852" s="10">
        <f ca="1">IFERROR(__xludf.DUMMYFUNCTION("""COMPUTED_VALUE"""),1986)</f>
        <v>1986</v>
      </c>
      <c r="E4852" s="10" t="str">
        <f ca="1">IFERROR(__xludf.DUMMYFUNCTION("""COMPUTED_VALUE"""),"ИИИ, Т. 29, С., 1986, 137-173.")</f>
        <v>ИИИ, Т. 29, С., 1986, 137-173.</v>
      </c>
      <c r="F4852" s="10"/>
      <c r="G4852" s="10"/>
      <c r="H4852" s="10"/>
      <c r="I4852" s="10"/>
      <c r="J4852" s="10"/>
      <c r="K4852" s="10"/>
      <c r="L4852" s="10"/>
      <c r="M4852" s="10"/>
      <c r="N4852" s="10"/>
      <c r="O4852" s="10"/>
      <c r="P4852" s="10"/>
      <c r="Q4852" s="10"/>
      <c r="R4852" s="10"/>
      <c r="S4852" s="10"/>
      <c r="T4852" s="10"/>
      <c r="U4852" s="10"/>
      <c r="V4852" s="10"/>
      <c r="W4852" s="10"/>
      <c r="X4852" s="10"/>
      <c r="Y4852" s="10"/>
      <c r="Z4852" s="10"/>
    </row>
    <row r="4853" spans="1:26" ht="12.75">
      <c r="A4853" s="10" t="str">
        <f ca="1">IFERROR(__xludf.DUMMYFUNCTION("""COMPUTED_VALUE"""),"Лизбет Любенова Върбанова - Йонева")</f>
        <v>Лизбет Любенова Върбанова - Йонева</v>
      </c>
      <c r="B4853" s="10" t="str">
        <f ca="1">IFERROR(__xludf.DUMMYFUNCTION("""COMPUTED_VALUE"""),"Статия в списания и поредици")</f>
        <v>Статия в списания и поредици</v>
      </c>
      <c r="C4853" s="10" t="str">
        <f ca="1">IFERROR(__xludf.DUMMYFUNCTION("""COMPUTED_VALUE"""),"ПЕТЪР НИКОВ КАТО ИСТОРИК")</f>
        <v>ПЕТЪР НИКОВ КАТО ИСТОРИК</v>
      </c>
      <c r="D4853" s="10">
        <f ca="1">IFERROR(__xludf.DUMMYFUNCTION("""COMPUTED_VALUE"""),1986)</f>
        <v>1986</v>
      </c>
      <c r="E4853" s="10" t="str">
        <f ca="1">IFERROR(__xludf.DUMMYFUNCTION("""COMPUTED_VALUE"""),"ИБИД, 1986, Кн. 38, 5-13.")</f>
        <v>ИБИД, 1986, Кн. 38, 5-13.</v>
      </c>
      <c r="F4853" s="10"/>
      <c r="G4853" s="10"/>
      <c r="H4853" s="10"/>
      <c r="I4853" s="10"/>
      <c r="J4853" s="10"/>
      <c r="K4853" s="10"/>
      <c r="L4853" s="10"/>
      <c r="M4853" s="10"/>
      <c r="N4853" s="10"/>
      <c r="O4853" s="10"/>
      <c r="P4853" s="10"/>
      <c r="Q4853" s="10"/>
      <c r="R4853" s="10"/>
      <c r="S4853" s="10"/>
      <c r="T4853" s="10"/>
      <c r="U4853" s="10"/>
      <c r="V4853" s="10"/>
      <c r="W4853" s="10"/>
      <c r="X4853" s="10"/>
      <c r="Y4853" s="10"/>
      <c r="Z4853" s="10"/>
    </row>
    <row r="4854" spans="1:26" ht="12.75">
      <c r="A4854" s="10" t="str">
        <f ca="1">IFERROR(__xludf.DUMMYFUNCTION("""COMPUTED_VALUE"""),"Лизбет Любенова Върбанова - Йонева")</f>
        <v>Лизбет Любенова Върбанова - Йонева</v>
      </c>
      <c r="B4854" s="10" t="str">
        <f ca="1">IFERROR(__xludf.DUMMYFUNCTION("""COMPUTED_VALUE"""),"Доклад от конференция")</f>
        <v>Доклад от конференция</v>
      </c>
      <c r="C4854" s="10" t="str">
        <f ca="1">IFERROR(__xludf.DUMMYFUNCTION("""COMPUTED_VALUE"""),"1985 7. Винаги верен на принципа за търсене и защита на историческата истина. (Интервю с акад. Д. Косев)")</f>
        <v>1985 7. Винаги верен на принципа за търсене и защита на историческата истина. (Интервю с акад. Д. Косев)</v>
      </c>
      <c r="D4854" s="10">
        <f ca="1">IFERROR(__xludf.DUMMYFUNCTION("""COMPUTED_VALUE"""),1985)</f>
        <v>1985</v>
      </c>
      <c r="E4854" s="10" t="str">
        <f ca="1">IFERROR(__xludf.DUMMYFUNCTION("""COMPUTED_VALUE"""),"Юбилеен сборник в чест на акад. Д. Косев. С., 1985, 7-22.")</f>
        <v>Юбилеен сборник в чест на акад. Д. Косев. С., 1985, 7-22.</v>
      </c>
      <c r="F4854" s="10"/>
      <c r="G4854" s="10"/>
      <c r="H4854" s="10"/>
      <c r="I4854" s="10"/>
      <c r="J4854" s="10"/>
      <c r="K4854" s="10"/>
      <c r="L4854" s="10"/>
      <c r="M4854" s="10"/>
      <c r="N4854" s="10"/>
      <c r="O4854" s="10"/>
      <c r="P4854" s="10"/>
      <c r="Q4854" s="10"/>
      <c r="R4854" s="10"/>
      <c r="S4854" s="10"/>
      <c r="T4854" s="10"/>
      <c r="U4854" s="10"/>
      <c r="V4854" s="10"/>
      <c r="W4854" s="10"/>
      <c r="X4854" s="10"/>
      <c r="Y4854" s="10"/>
      <c r="Z4854" s="10"/>
    </row>
    <row r="4855" spans="1:26" ht="12.75">
      <c r="A4855" s="10" t="str">
        <f ca="1">IFERROR(__xludf.DUMMYFUNCTION("""COMPUTED_VALUE"""),"Лизбет Любенова Върбанова - Йонева")</f>
        <v>Лизбет Любенова Върбанова - Йонева</v>
      </c>
      <c r="B4855" s="10" t="str">
        <f ca="1">IFERROR(__xludf.DUMMYFUNCTION("""COMPUTED_VALUE"""),"Статия в списания и поредици")</f>
        <v>Статия в списания и поредици</v>
      </c>
      <c r="C4855" s="10" t="str">
        <f ca="1">IFERROR(__xludf.DUMMYFUNCTION("""COMPUTED_VALUE"""),"Петър Ников като изследовател на Първата българска държава")</f>
        <v>Петър Ников като изследовател на Първата българска държава</v>
      </c>
      <c r="D4855" s="10">
        <f ca="1">IFERROR(__xludf.DUMMYFUNCTION("""COMPUTED_VALUE"""),1983)</f>
        <v>1983</v>
      </c>
      <c r="E4855" s="10" t="str">
        <f ca="1">IFERROR(__xludf.DUMMYFUNCTION("""COMPUTED_VALUE"""),"Методологически и историографски проблеми на историческата наука. Т. III. С., 1983, 241-267")</f>
        <v>Методологически и историографски проблеми на историческата наука. Т. III. С., 1983, 241-267</v>
      </c>
      <c r="F4855" s="10"/>
      <c r="G4855" s="10"/>
      <c r="H4855" s="10"/>
      <c r="I4855" s="10"/>
      <c r="J4855" s="10"/>
      <c r="K4855" s="10"/>
      <c r="L4855" s="10"/>
      <c r="M4855" s="10"/>
      <c r="N4855" s="10"/>
      <c r="O4855" s="10"/>
      <c r="P4855" s="10"/>
      <c r="Q4855" s="10"/>
      <c r="R4855" s="10"/>
      <c r="S4855" s="10"/>
      <c r="T4855" s="10"/>
      <c r="U4855" s="10"/>
      <c r="V4855" s="10"/>
      <c r="W4855" s="10"/>
      <c r="X4855" s="10"/>
      <c r="Y4855" s="10"/>
      <c r="Z4855" s="10"/>
    </row>
    <row r="4856" spans="1:26" ht="12.75">
      <c r="A4856" s="10" t="str">
        <f ca="1">IFERROR(__xludf.DUMMYFUNCTION("""COMPUTED_VALUE"""),"Лизбет Любенова Върбанова - Йонева")</f>
        <v>Лизбет Любенова Върбанова - Йонева</v>
      </c>
      <c r="B4856" s="10" t="str">
        <f ca="1">IFERROR(__xludf.DUMMYFUNCTION("""COMPUTED_VALUE"""),"Статия в списания и поредици")</f>
        <v>Статия в списания и поредици</v>
      </c>
      <c r="C4856" s="10" t="str">
        <f ca="1">IFERROR(__xludf.DUMMYFUNCTION("""COMPUTED_VALUE"""),"ИЗ ИСТОРИЯТА НА ИСТОРИЧЕСКОТО ДРУЖЕСТВО В СОФИЯ 1901-1944")</f>
        <v>ИЗ ИСТОРИЯТА НА ИСТОРИЧЕСКОТО ДРУЖЕСТВО В СОФИЯ 1901-1944</v>
      </c>
      <c r="D4856" s="10">
        <f ca="1">IFERROR(__xludf.DUMMYFUNCTION("""COMPUTED_VALUE"""),1983)</f>
        <v>1983</v>
      </c>
      <c r="E4856" s="10" t="str">
        <f ca="1">IFERROR(__xludf.DUMMYFUNCTION("""COMPUTED_VALUE"""),"България 1300. Институции и държавна традиция. Т. 3. С., 1983, 103-111.")</f>
        <v>България 1300. Институции и държавна традиция. Т. 3. С., 1983, 103-111.</v>
      </c>
      <c r="F4856" s="10"/>
      <c r="G4856" s="10"/>
      <c r="H4856" s="10"/>
      <c r="I4856" s="10"/>
      <c r="J4856" s="10"/>
      <c r="K4856" s="10"/>
      <c r="L4856" s="10"/>
      <c r="M4856" s="10"/>
      <c r="N4856" s="10"/>
      <c r="O4856" s="10"/>
      <c r="P4856" s="10"/>
      <c r="Q4856" s="10"/>
      <c r="R4856" s="10"/>
      <c r="S4856" s="10"/>
      <c r="T4856" s="10"/>
      <c r="U4856" s="10"/>
      <c r="V4856" s="10"/>
      <c r="W4856" s="10"/>
      <c r="X4856" s="10"/>
      <c r="Y4856" s="10"/>
      <c r="Z4856" s="10"/>
    </row>
    <row r="4857" spans="1:26" ht="12.75">
      <c r="A4857" s="10" t="str">
        <f ca="1">IFERROR(__xludf.DUMMYFUNCTION("""COMPUTED_VALUE"""),"Лизбет Любенова Върбанова - Йонева")</f>
        <v>Лизбет Любенова Върбанова - Йонева</v>
      </c>
      <c r="B4857" s="10" t="str">
        <f ca="1">IFERROR(__xludf.DUMMYFUNCTION("""COMPUTED_VALUE"""),"Статия в списания и поредици")</f>
        <v>Статия в списания и поредици</v>
      </c>
      <c r="C4857" s="10" t="str">
        <f ca="1">IFERROR(__xludf.DUMMYFUNCTION("""COMPUTED_VALUE"""),"Юбилейна научна сесия за Петър Мутафчиев")</f>
        <v>Юбилейна научна сесия за Петър Мутафчиев</v>
      </c>
      <c r="D4857" s="10">
        <f ca="1">IFERROR(__xludf.DUMMYFUNCTION("""COMPUTED_VALUE"""),1982)</f>
        <v>1982</v>
      </c>
      <c r="E4857" s="10" t="str">
        <f ca="1">IFERROR(__xludf.DUMMYFUNCTION("""COMPUTED_VALUE"""),"ИПр., 1982, Кн. 5, 144-146.")</f>
        <v>ИПр., 1982, Кн. 5, 144-146.</v>
      </c>
      <c r="F4857" s="10"/>
      <c r="G4857" s="10"/>
      <c r="H4857" s="10"/>
      <c r="I4857" s="10"/>
      <c r="J4857" s="10"/>
      <c r="K4857" s="10"/>
      <c r="L4857" s="10"/>
      <c r="M4857" s="10"/>
      <c r="N4857" s="10"/>
      <c r="O4857" s="10"/>
      <c r="P4857" s="10"/>
      <c r="Q4857" s="10"/>
      <c r="R4857" s="10"/>
      <c r="S4857" s="10"/>
      <c r="T4857" s="10"/>
      <c r="U4857" s="10"/>
      <c r="V4857" s="10"/>
      <c r="W4857" s="10"/>
      <c r="X4857" s="10"/>
      <c r="Y4857" s="10"/>
      <c r="Z4857" s="10"/>
    </row>
    <row r="4858" spans="1:26" ht="12.75">
      <c r="A4858" s="10" t="str">
        <f ca="1">IFERROR(__xludf.DUMMYFUNCTION("""COMPUTED_VALUE"""),"Лизбет Любенова Върбанова - Йонева")</f>
        <v>Лизбет Любенова Върбанова - Йонева</v>
      </c>
      <c r="B4858" s="10" t="str">
        <f ca="1">IFERROR(__xludf.DUMMYFUNCTION("""COMPUTED_VALUE"""),"Статия в списания и поредици")</f>
        <v>Статия в списания и поредици</v>
      </c>
      <c r="C4858" s="10" t="str">
        <f ca="1">IFERROR(__xludf.DUMMYFUNCTION("""COMPUTED_VALUE"""),"Кореспонденцията между проф. Васил Н. Златарски и проф. Петър Ников (1906-1930)")</f>
        <v>Кореспонденцията между проф. Васил Н. Златарски и проф. Петър Ников (1906-1930)</v>
      </c>
      <c r="D4858" s="10">
        <f ca="1">IFERROR(__xludf.DUMMYFUNCTION("""COMPUTED_VALUE"""),1979)</f>
        <v>1979</v>
      </c>
      <c r="E4858" s="10" t="str">
        <f ca="1">IFERROR(__xludf.DUMMYFUNCTION("""COMPUTED_VALUE"""),"ГСУ, ИФ, Т. 73, 1979, С., 1982, 159-271.")</f>
        <v>ГСУ, ИФ, Т. 73, 1979, С., 1982, 159-271.</v>
      </c>
      <c r="F4858" s="10"/>
      <c r="G4858" s="10"/>
      <c r="H4858" s="10"/>
      <c r="I4858" s="10"/>
      <c r="J4858" s="10"/>
      <c r="K4858" s="10"/>
      <c r="L4858" s="10"/>
      <c r="M4858" s="10"/>
      <c r="N4858" s="10"/>
      <c r="O4858" s="10"/>
      <c r="P4858" s="10"/>
      <c r="Q4858" s="10"/>
      <c r="R4858" s="10"/>
      <c r="S4858" s="10"/>
      <c r="T4858" s="10"/>
      <c r="U4858" s="10"/>
      <c r="V4858" s="10"/>
      <c r="W4858" s="10"/>
      <c r="X4858" s="10"/>
      <c r="Y4858" s="10"/>
      <c r="Z4858" s="10"/>
    </row>
    <row r="4859" spans="1:26" ht="12.75">
      <c r="A4859" s="10" t="str">
        <f ca="1">IFERROR(__xludf.DUMMYFUNCTION("""COMPUTED_VALUE"""),"Лизбет Любенова Върбанова - Йонева")</f>
        <v>Лизбет Любенова Върбанова - Йонева</v>
      </c>
      <c r="B4859" s="10" t="str">
        <f ca="1">IFERROR(__xludf.DUMMYFUNCTION("""COMPUTED_VALUE"""),"Статия в списания и поредици")</f>
        <v>Статия в списания и поредици</v>
      </c>
      <c r="C4859" s="10" t="str">
        <f ca="1">IFERROR(__xludf.DUMMYFUNCTION("""COMPUTED_VALUE"""),"Една интересна кореспонденция")</f>
        <v>Една интересна кореспонденция</v>
      </c>
      <c r="D4859" s="10">
        <f ca="1">IFERROR(__xludf.DUMMYFUNCTION("""COMPUTED_VALUE"""),1978)</f>
        <v>1978</v>
      </c>
      <c r="E4859" s="10" t="str">
        <f ca="1">IFERROR(__xludf.DUMMYFUNCTION("""COMPUTED_VALUE"""),"ИБИД (Известия на българското историческо дружество), 1978, Кн. XXXII, 341-346.")</f>
        <v>ИБИД (Известия на българското историческо дружество), 1978, Кн. XXXII, 341-346.</v>
      </c>
      <c r="F4859" s="10"/>
      <c r="G4859" s="10"/>
      <c r="H4859" s="10"/>
      <c r="I4859" s="10"/>
      <c r="J4859" s="10"/>
      <c r="K4859" s="10"/>
      <c r="L4859" s="10"/>
      <c r="M4859" s="10"/>
      <c r="N4859" s="10"/>
      <c r="O4859" s="10"/>
      <c r="P4859" s="10"/>
      <c r="Q4859" s="10"/>
      <c r="R4859" s="10"/>
      <c r="S4859" s="10"/>
      <c r="T4859" s="10"/>
      <c r="U4859" s="10"/>
      <c r="V4859" s="10"/>
      <c r="W4859" s="10"/>
      <c r="X4859" s="10"/>
      <c r="Y4859" s="10"/>
      <c r="Z4859" s="10"/>
    </row>
    <row r="4860" spans="1:26" ht="12.75">
      <c r="A4860" s="10" t="str">
        <f ca="1">IFERROR(__xludf.DUMMYFUNCTION("""COMPUTED_VALUE"""),"Лизбет Любенова Върбанова - Йонева")</f>
        <v>Лизбет Любенова Върбанова - Йонева</v>
      </c>
      <c r="B4860" s="10" t="str">
        <f ca="1">IFERROR(__xludf.DUMMYFUNCTION("""COMPUTED_VALUE"""),"Статия в списания и поредици")</f>
        <v>Статия в списания и поредици</v>
      </c>
      <c r="C4860" s="10" t="str">
        <f ca="1">IFERROR(__xludf.DUMMYFUNCTION("""COMPUTED_VALUE"""),"Професор д-р Петър Ников.(По случай 40-години от смъртта му)")</f>
        <v>Професор д-р Петър Ников.(По случай 40-години от смъртта му)</v>
      </c>
      <c r="D4860" s="10">
        <f ca="1">IFERROR(__xludf.DUMMYFUNCTION("""COMPUTED_VALUE"""),1978)</f>
        <v>1978</v>
      </c>
      <c r="E4860" s="10" t="str">
        <f ca="1">IFERROR(__xludf.DUMMYFUNCTION("""COMPUTED_VALUE"""),"Векове, 1978, Кн. 6, 85-88.")</f>
        <v>Векове, 1978, Кн. 6, 85-88.</v>
      </c>
      <c r="F4860" s="10"/>
      <c r="G4860" s="10"/>
      <c r="H4860" s="10"/>
      <c r="I4860" s="10"/>
      <c r="J4860" s="10"/>
      <c r="K4860" s="10"/>
      <c r="L4860" s="10"/>
      <c r="M4860" s="10"/>
      <c r="N4860" s="10"/>
      <c r="O4860" s="10"/>
      <c r="P4860" s="10"/>
      <c r="Q4860" s="10"/>
      <c r="R4860" s="10"/>
      <c r="S4860" s="10"/>
      <c r="T4860" s="10"/>
      <c r="U4860" s="10"/>
      <c r="V4860" s="10"/>
      <c r="W4860" s="10"/>
      <c r="X4860" s="10"/>
      <c r="Y4860" s="10"/>
      <c r="Z4860" s="10"/>
    </row>
    <row r="4861" spans="1:26" ht="12.75">
      <c r="A4861" s="10" t="str">
        <f ca="1">IFERROR(__xludf.DUMMYFUNCTION("""COMPUTED_VALUE"""),"Лъчезар Георгиев Георгиев")</f>
        <v>Лъчезар Георгиев Георгиев</v>
      </c>
      <c r="B4861" s="10" t="str">
        <f ca="1">IFERROR(__xludf.DUMMYFUNCTION("""COMPUTED_VALUE"""),"Доклад от конференция")</f>
        <v>Доклад от конференция</v>
      </c>
      <c r="C4861" s="10" t="str">
        <f ca="1">IFERROR(__xludf.DUMMYFUNCTION("""COMPUTED_VALUE"""),"Книга и авторско право - между традицията и глобалния свят")</f>
        <v>Книга и авторско право - между традицията и глобалния свят</v>
      </c>
      <c r="D4861" s="10">
        <f ca="1">IFERROR(__xludf.DUMMYFUNCTION("""COMPUTED_VALUE"""),2020)</f>
        <v>2020</v>
      </c>
      <c r="E4861" s="10" t="str">
        <f ca="1">IFERROR(__xludf.DUMMYFUNCTION("""COMPUTED_VALUE"""),"Библиотеки, четене, комуникации: Осемнадесена национална научна конференция с международно участие 14-15 ноември 2019 г. - В. Търново:Народна библиотека ""П.Р. Славейков"", 2020, с. 92-114. ISSN 1313-8138")</f>
        <v>Библиотеки, четене, комуникации: Осемнадесена национална научна конференция с международно участие 14-15 ноември 2019 г. - В. Търново:Народна библиотека "П.Р. Славейков", 2020, с. 92-114. ISSN 1313-8138</v>
      </c>
      <c r="F4861" s="10"/>
      <c r="G4861" s="10"/>
      <c r="H4861" s="10"/>
      <c r="I4861" s="10"/>
      <c r="J4861" s="10"/>
      <c r="K4861" s="10"/>
      <c r="L4861" s="10"/>
      <c r="M4861" s="10"/>
      <c r="N4861" s="10"/>
      <c r="O4861" s="10"/>
      <c r="P4861" s="10"/>
      <c r="Q4861" s="10"/>
      <c r="R4861" s="10"/>
      <c r="S4861" s="10"/>
      <c r="T4861" s="10"/>
      <c r="U4861" s="10"/>
      <c r="V4861" s="10"/>
      <c r="W4861" s="10"/>
      <c r="X4861" s="10"/>
      <c r="Y4861" s="10"/>
      <c r="Z4861" s="10"/>
    </row>
    <row r="4862" spans="1:26" ht="12.75">
      <c r="A4862" s="10" t="str">
        <f ca="1">IFERROR(__xludf.DUMMYFUNCTION("""COMPUTED_VALUE"""),"Лъчезар Георгиев Георгиев")</f>
        <v>Лъчезар Георгиев Георгиев</v>
      </c>
      <c r="B4862" s="10" t="str">
        <f ca="1">IFERROR(__xludf.DUMMYFUNCTION("""COMPUTED_VALUE"""),"Учебно пособие")</f>
        <v>Учебно пособие</v>
      </c>
      <c r="C4862" s="10" t="str">
        <f ca="1">IFERROR(__xludf.DUMMYFUNCTION("""COMPUTED_VALUE"""),"Мениджмънт в сферата на книгоиздателските дейности")</f>
        <v>Мениджмънт в сферата на книгоиздателските дейности</v>
      </c>
      <c r="D4862" s="10">
        <f ca="1">IFERROR(__xludf.DUMMYFUNCTION("""COMPUTED_VALUE"""),2020)</f>
        <v>2020</v>
      </c>
      <c r="E4862" s="10" t="str">
        <f ca="1">IFERROR(__xludf.DUMMYFUNCTION("""COMPUTED_VALUE"""),"В: Комуникации и политики Т. 2 : Уч. пособие. - София: За буквите - О писменехь, 2018, с. 118-127. ISBN 978-619-185-390-8.")</f>
        <v>В: Комуникации и политики Т. 2 : Уч. пособие. - София: За буквите - О писменехь, 2018, с. 118-127. ISBN 978-619-185-390-8.</v>
      </c>
      <c r="F4862" s="10" t="str">
        <f ca="1">IFERROR(__xludf.DUMMYFUNCTION("""COMPUTED_VALUE"""),"[Излязла от печат септ. 2020 г.]")</f>
        <v>[Излязла от печат септ. 2020 г.]</v>
      </c>
      <c r="G4862" s="10" t="str">
        <f ca="1">IFERROR(__xludf.DUMMYFUNCTION("""COMPUTED_VALUE"""),"Николай Палашев, Йордан Дойков, Магдалена Гарванова, Мариана Атанасова, Мария Гуленова, Мюмюн Тахиров, Йорданка Захариева, Яница Димитрова, Иван Гогов, Кристина Върбанова-Денчева, Люба Цветкова, Петър Канев, Калина Минчева, Елисавета Балабанова, Анна Лозе"&amp;"ва.")</f>
        <v>Николай Палашев, Йордан Дойков, Магдалена Гарванова, Мариана Атанасова, Мария Гуленова, Мюмюн Тахиров, Йорданка Захариева, Яница Димитрова, Иван Гогов, Кристина Върбанова-Денчева, Люба Цветкова, Петър Канев, Калина Минчева, Елисавета Балабанова, Анна Лозева.</v>
      </c>
      <c r="H4862" s="10"/>
      <c r="I4862" s="10"/>
      <c r="J4862" s="10"/>
      <c r="K4862" s="10"/>
      <c r="L4862" s="10"/>
      <c r="M4862" s="10"/>
      <c r="N4862" s="10"/>
      <c r="O4862" s="10"/>
      <c r="P4862" s="10"/>
      <c r="Q4862" s="10"/>
      <c r="R4862" s="10"/>
      <c r="S4862" s="10"/>
      <c r="T4862" s="10"/>
      <c r="U4862" s="10"/>
      <c r="V4862" s="10"/>
      <c r="W4862" s="10"/>
      <c r="X4862" s="10"/>
      <c r="Y4862" s="10"/>
      <c r="Z4862" s="10"/>
    </row>
    <row r="4863" spans="1:26" ht="12.75">
      <c r="A4863" s="10" t="str">
        <f ca="1">IFERROR(__xludf.DUMMYFUNCTION("""COMPUTED_VALUE"""),"Лъчезар Георгиев Георгиев")</f>
        <v>Лъчезар Георгиев Георгиев</v>
      </c>
      <c r="B4863" s="10" t="str">
        <f ca="1">IFERROR(__xludf.DUMMYFUNCTION("""COMPUTED_VALUE"""),"Студия")</f>
        <v>Студия</v>
      </c>
      <c r="C4863" s="10" t="str">
        <f ca="1">IFERROR(__xludf.DUMMYFUNCTION("""COMPUTED_VALUE"""),"Поетът-издател Гео Милев и приносите му за българското книгоиздаване")</f>
        <v>Поетът-издател Гео Милев и приносите му за българското книгоиздаване</v>
      </c>
      <c r="D4863" s="10">
        <f ca="1">IFERROR(__xludf.DUMMYFUNCTION("""COMPUTED_VALUE"""),2020)</f>
        <v>2020</v>
      </c>
      <c r="E4863" s="10" t="str">
        <f ca="1">IFERROR(__xludf.DUMMYFUNCTION("""COMPUTED_VALUE"""),"сп. Дзяло, год.VIII, бр. 17, ISSN 1314-9067(online), 21 с.")</f>
        <v>сп. Дзяло, год.VIII, бр. 17, ISSN 1314-9067(online), 21 с.</v>
      </c>
      <c r="F4863" s="10"/>
      <c r="G4863" s="10"/>
      <c r="H4863" s="10"/>
      <c r="I4863" s="10"/>
      <c r="J4863" s="10"/>
      <c r="K4863" s="10"/>
      <c r="L4863" s="10"/>
      <c r="M4863" s="10"/>
      <c r="N4863" s="10"/>
      <c r="O4863" s="10"/>
      <c r="P4863" s="10"/>
      <c r="Q4863" s="10"/>
      <c r="R4863" s="10"/>
      <c r="S4863" s="10"/>
      <c r="T4863" s="10"/>
      <c r="U4863" s="10"/>
      <c r="V4863" s="10"/>
      <c r="W4863" s="10"/>
      <c r="X4863" s="10"/>
      <c r="Y4863" s="10"/>
      <c r="Z4863" s="10"/>
    </row>
    <row r="4864" spans="1:26" ht="12.75">
      <c r="A4864" s="10" t="str">
        <f ca="1">IFERROR(__xludf.DUMMYFUNCTION("""COMPUTED_VALUE"""),"Лъчезар Георгиев Георгиев")</f>
        <v>Лъчезар Георгиев Георгиев</v>
      </c>
      <c r="B4864" s="10" t="str">
        <f ca="1">IFERROR(__xludf.DUMMYFUNCTION("""COMPUTED_VALUE"""),"Студия")</f>
        <v>Студия</v>
      </c>
      <c r="C4864" s="10" t="str">
        <f ca="1">IFERROR(__xludf.DUMMYFUNCTION("""COMPUTED_VALUE"""),"Технологии в книгоиздаването")</f>
        <v>Технологии в книгоиздаването</v>
      </c>
      <c r="D4864" s="10">
        <f ca="1">IFERROR(__xludf.DUMMYFUNCTION("""COMPUTED_VALUE"""),2020)</f>
        <v>2020</v>
      </c>
      <c r="E4864" s="10" t="str">
        <f ca="1">IFERROR(__xludf.DUMMYFUNCTION("""COMPUTED_VALUE"""),"София: изд. Star Way, 2020. - 88 с., ISBN 978-954-8685-30-6")</f>
        <v>София: изд. Star Way, 2020. - 88 с., ISBN 978-954-8685-30-6</v>
      </c>
      <c r="F4864" s="10"/>
      <c r="G4864" s="10"/>
      <c r="H4864" s="10"/>
      <c r="I4864" s="10"/>
      <c r="J4864" s="10"/>
      <c r="K4864" s="10"/>
      <c r="L4864" s="10"/>
      <c r="M4864" s="10"/>
      <c r="N4864" s="10"/>
      <c r="O4864" s="10"/>
      <c r="P4864" s="10"/>
      <c r="Q4864" s="10"/>
      <c r="R4864" s="10"/>
      <c r="S4864" s="10"/>
      <c r="T4864" s="10"/>
      <c r="U4864" s="10"/>
      <c r="V4864" s="10"/>
      <c r="W4864" s="10"/>
      <c r="X4864" s="10"/>
      <c r="Y4864" s="10"/>
      <c r="Z4864" s="10"/>
    </row>
    <row r="4865" spans="1:26" ht="12.75">
      <c r="A4865" s="10" t="str">
        <f ca="1">IFERROR(__xludf.DUMMYFUNCTION("""COMPUTED_VALUE"""),"Лъчезар Георгиев Георгиев")</f>
        <v>Лъчезар Георгиев Георгиев</v>
      </c>
      <c r="B4865" s="10" t="str">
        <f ca="1">IFERROR(__xludf.DUMMYFUNCTION("""COMPUTED_VALUE"""),"Доклад от конференция")</f>
        <v>Доклад от конференция</v>
      </c>
      <c r="C4865" s="10" t="str">
        <f ca="1">IFERROR(__xludf.DUMMYFUNCTION("""COMPUTED_VALUE"""),"Оформителски подходи в графиката на съвременната детска книга")</f>
        <v>Оформителски подходи в графиката на съвременната детска книга</v>
      </c>
      <c r="D4865" s="10">
        <f ca="1">IFERROR(__xludf.DUMMYFUNCTION("""COMPUTED_VALUE"""),2019)</f>
        <v>2019</v>
      </c>
      <c r="E4865" s="10" t="str">
        <f ca="1">IFERROR(__xludf.DUMMYFUNCTION("""COMPUTED_VALUE"""),"В: Б и б л и от е к и, четене, комуникации : Седемнадесета национална научна конференция с международно участие. – В. Търново : Народна библиотека П. Р. Славейков, 2019, с. 312–327: резюме и ключ. думи на англ. ез. 
 ISSN 1313-8138")</f>
        <v>В: Б и б л и от е к и, четене, комуникации : Седемнадесета национална научна конференция с международно участие. – В. Търново : Народна библиотека П. Р. Славейков, 2019, с. 312–327: резюме и ключ. думи на англ. ез. 
 ISSN 1313-8138</v>
      </c>
      <c r="F4865" s="10"/>
      <c r="G4865" s="10"/>
      <c r="H4865" s="10"/>
      <c r="I4865" s="10"/>
      <c r="J4865" s="10"/>
      <c r="K4865" s="10"/>
      <c r="L4865" s="10"/>
      <c r="M4865" s="10"/>
      <c r="N4865" s="10"/>
      <c r="O4865" s="10"/>
      <c r="P4865" s="10"/>
      <c r="Q4865" s="10"/>
      <c r="R4865" s="10"/>
      <c r="S4865" s="10"/>
      <c r="T4865" s="10"/>
      <c r="U4865" s="10"/>
      <c r="V4865" s="10"/>
      <c r="W4865" s="10"/>
      <c r="X4865" s="10"/>
      <c r="Y4865" s="10"/>
      <c r="Z4865" s="10"/>
    </row>
    <row r="4866" spans="1:26" ht="12.75">
      <c r="A4866" s="10" t="str">
        <f ca="1">IFERROR(__xludf.DUMMYFUNCTION("""COMPUTED_VALUE"""),"Лъчезар Георгиев Георгиев")</f>
        <v>Лъчезар Георгиев Георгиев</v>
      </c>
      <c r="B4866" s="10" t="str">
        <f ca="1">IFERROR(__xludf.DUMMYFUNCTION("""COMPUTED_VALUE"""),"Учебно пособие")</f>
        <v>Учебно пособие</v>
      </c>
      <c r="C4866" s="10" t="str">
        <f ca="1">IFERROR(__xludf.DUMMYFUNCTION("""COMPUTED_VALUE"""),"Дигиталните иновации в съвременното книгоиздаване")</f>
        <v>Дигиталните иновации в съвременното книгоиздаване</v>
      </c>
      <c r="D4866" s="10">
        <f ca="1">IFERROR(__xludf.DUMMYFUNCTION("""COMPUTED_VALUE"""),2019)</f>
        <v>2019</v>
      </c>
      <c r="E4866" s="10" t="str">
        <f ca="1">IFERROR(__xludf.DUMMYFUNCTION("""COMPUTED_VALUE"""),"В: Комуникации и политики Т. 3 : Уч. пособие. - София: За буквите - О писменехь, 2019, с. 48-66. 
 ISBN 978-619-185-391-5.")</f>
        <v>В: Комуникации и политики Т. 3 : Уч. пособие. - София: За буквите - О писменехь, 2019, с. 48-66. 
 ISBN 978-619-185-391-5.</v>
      </c>
      <c r="F4866" s="10"/>
      <c r="G4866" s="10" t="str">
        <f ca="1">IFERROR(__xludf.DUMMYFUNCTION("""COMPUTED_VALUE"""),"Николай Палашев, Кристина Върбанова-Денчева, Магдалена Гарванова, Йорданка Захариева, Йордан Дойков, Иван Гогов, Деница Младенова, Борис Борисов, Елисавета Балабанова, Анна Лозева, Калина Минчева.")</f>
        <v>Николай Палашев, Кристина Върбанова-Денчева, Магдалена Гарванова, Йорданка Захариева, Йордан Дойков, Иван Гогов, Деница Младенова, Борис Борисов, Елисавета Балабанова, Анна Лозева, Калина Минчева.</v>
      </c>
      <c r="H4866" s="10"/>
      <c r="I4866" s="10"/>
      <c r="J4866" s="10"/>
      <c r="K4866" s="10"/>
      <c r="L4866" s="10"/>
      <c r="M4866" s="10"/>
      <c r="N4866" s="10"/>
      <c r="O4866" s="10"/>
      <c r="P4866" s="10"/>
      <c r="Q4866" s="10"/>
      <c r="R4866" s="10"/>
      <c r="S4866" s="10"/>
      <c r="T4866" s="10"/>
      <c r="U4866" s="10"/>
      <c r="V4866" s="10"/>
      <c r="W4866" s="10"/>
      <c r="X4866" s="10"/>
      <c r="Y4866" s="10"/>
      <c r="Z4866" s="10"/>
    </row>
    <row r="4867" spans="1:26" ht="12.75">
      <c r="A4867" s="10" t="str">
        <f ca="1">IFERROR(__xludf.DUMMYFUNCTION("""COMPUTED_VALUE"""),"Лъчезар Георгиев Георгиев")</f>
        <v>Лъчезар Георгиев Георгиев</v>
      </c>
      <c r="B4867" s="10" t="str">
        <f ca="1">IFERROR(__xludf.DUMMYFUNCTION("""COMPUTED_VALUE"""),"Студия")</f>
        <v>Студия</v>
      </c>
      <c r="C4867" s="10" t="str">
        <f ca="1">IFERROR(__xludf.DUMMYFUNCTION("""COMPUTED_VALUE"""),"Библиотечни поредици в българската книжна индустрия между двете световни войни: европейски и световни образци")</f>
        <v>Библиотечни поредици в българската книжна индустрия между двете световни войни: европейски и световни образци</v>
      </c>
      <c r="D4867" s="10">
        <f ca="1">IFERROR(__xludf.DUMMYFUNCTION("""COMPUTED_VALUE"""),2019)</f>
        <v>2019</v>
      </c>
      <c r="E4867" s="10" t="str">
        <f ca="1">IFERROR(__xludf.DUMMYFUNCTION("""COMPUTED_VALUE"""),"В: Библиотеките в контекста на европейското културно наследство: Сб. доклади от Нац. научна конференция с междунар. участие 7-8 окт. 2019, Шумен. - Шумен: Регион. библ. Ст. Чилингиров, 2019, с. 94-125. 
 ISBN 978-954-2936-54-1")</f>
        <v>В: Библиотеките в контекста на европейското културно наследство: Сб. доклади от Нац. научна конференция с междунар. участие 7-8 окт. 2019, Шумен. - Шумен: Регион. библ. Ст. Чилингиров, 2019, с. 94-125. 
 ISBN 978-954-2936-54-1</v>
      </c>
      <c r="F4867" s="10" t="str">
        <f ca="1">IFERROR(__xludf.DUMMYFUNCTION("""COMPUTED_VALUE"""),"[Кн. излязла от печат 2020 г.]")</f>
        <v>[Кн. излязла от печат 2020 г.]</v>
      </c>
      <c r="G4867" s="10"/>
      <c r="H4867" s="10"/>
      <c r="I4867" s="10"/>
      <c r="J4867" s="10"/>
      <c r="K4867" s="10"/>
      <c r="L4867" s="10"/>
      <c r="M4867" s="10"/>
      <c r="N4867" s="10"/>
      <c r="O4867" s="10"/>
      <c r="P4867" s="10"/>
      <c r="Q4867" s="10"/>
      <c r="R4867" s="10"/>
      <c r="S4867" s="10"/>
      <c r="T4867" s="10"/>
      <c r="U4867" s="10"/>
      <c r="V4867" s="10"/>
      <c r="W4867" s="10"/>
      <c r="X4867" s="10"/>
      <c r="Y4867" s="10"/>
      <c r="Z4867" s="10"/>
    </row>
    <row r="4868" spans="1:26" ht="12.75">
      <c r="A4868" s="10" t="str">
        <f ca="1">IFERROR(__xludf.DUMMYFUNCTION("""COMPUTED_VALUE"""),"Лъчезар Георгиев Георгиев")</f>
        <v>Лъчезар Георгиев Георгиев</v>
      </c>
      <c r="B4868" s="10" t="str">
        <f ca="1">IFERROR(__xludf.DUMMYFUNCTION("""COMPUTED_VALUE"""),"Студия")</f>
        <v>Студия</v>
      </c>
      <c r="C4868" s="10" t="str">
        <f ca="1">IFERROR(__xludf.DUMMYFUNCTION("""COMPUTED_VALUE"""),"Модерни технологични способи в издателския процес")</f>
        <v>Модерни технологични способи в издателския процес</v>
      </c>
      <c r="D4868" s="10">
        <f ca="1">IFERROR(__xludf.DUMMYFUNCTION("""COMPUTED_VALUE"""),2019)</f>
        <v>2019</v>
      </c>
      <c r="E4868" s="10" t="str">
        <f ca="1">IFERROR(__xludf.DUMMYFUNCTION("""COMPUTED_VALUE"""),"Трудове на ВТУ Св. св. Кирил и Методий: Фак. Математика и информатика. Т. 11, 2019: Обществени комуникации и информационни науки [Студия]. – В. Търново : Унив. изд. “Св. св. Кирил и Методий”, 2019, с. 5–49, резюме на англ. ез., ISSN 2367-8135")</f>
        <v>Трудове на ВТУ Св. св. Кирил и Методий: Фак. Математика и информатика. Т. 11, 2019: Обществени комуникации и информационни науки [Студия]. – В. Търново : Унив. изд. “Св. св. Кирил и Методий”, 2019, с. 5–49, резюме на англ. ез., ISSN 2367-8135</v>
      </c>
      <c r="F4868" s="10" t="str">
        <f ca="1">IFERROR(__xludf.DUMMYFUNCTION("""COMPUTED_VALUE"""),"[Под печат]")</f>
        <v>[Под печат]</v>
      </c>
      <c r="G4868" s="10"/>
      <c r="H4868" s="10"/>
      <c r="I4868" s="10"/>
      <c r="J4868" s="10"/>
      <c r="K4868" s="10"/>
      <c r="L4868" s="10"/>
      <c r="M4868" s="10"/>
      <c r="N4868" s="10"/>
      <c r="O4868" s="10"/>
      <c r="P4868" s="10"/>
      <c r="Q4868" s="10"/>
      <c r="R4868" s="10"/>
      <c r="S4868" s="10"/>
      <c r="T4868" s="10"/>
      <c r="U4868" s="10"/>
      <c r="V4868" s="10"/>
      <c r="W4868" s="10"/>
      <c r="X4868" s="10"/>
      <c r="Y4868" s="10"/>
      <c r="Z4868" s="10"/>
    </row>
    <row r="4869" spans="1:26" ht="12.75">
      <c r="A4869" s="10" t="str">
        <f ca="1">IFERROR(__xludf.DUMMYFUNCTION("""COMPUTED_VALUE"""),"Лъчезар Георгиев Георгиев")</f>
        <v>Лъчезар Георгиев Георгиев</v>
      </c>
      <c r="B4869" s="10" t="str">
        <f ca="1">IFERROR(__xludf.DUMMYFUNCTION("""COMPUTED_VALUE"""),"Студия")</f>
        <v>Студия</v>
      </c>
      <c r="C4869" s="10" t="str">
        <f ca="1">IFERROR(__xludf.DUMMYFUNCTION("""COMPUTED_VALUE"""),"Иновации в печатните комуникации")</f>
        <v>Иновации в печатните комуникации</v>
      </c>
      <c r="D4869" s="10">
        <f ca="1">IFERROR(__xludf.DUMMYFUNCTION("""COMPUTED_VALUE"""),2018)</f>
        <v>2018</v>
      </c>
      <c r="E4869" s="10" t="str">
        <f ca="1">IFERROR(__xludf.DUMMYFUNCTION("""COMPUTED_VALUE"""),"И з д а т е л, 2018, № 1 (кн. 1-2), с. 15-32. ISSN 1310-4624")</f>
        <v>И з д а т е л, 2018, № 1 (кн. 1-2), с. 15-32. ISSN 1310-4624</v>
      </c>
      <c r="F4869" s="10"/>
      <c r="G4869" s="10"/>
      <c r="H4869" s="10"/>
      <c r="I4869" s="10"/>
      <c r="J4869" s="10"/>
      <c r="K4869" s="10"/>
      <c r="L4869" s="10"/>
      <c r="M4869" s="10"/>
      <c r="N4869" s="10"/>
      <c r="O4869" s="10"/>
      <c r="P4869" s="10"/>
      <c r="Q4869" s="10"/>
      <c r="R4869" s="10"/>
      <c r="S4869" s="10"/>
      <c r="T4869" s="10"/>
      <c r="U4869" s="10"/>
      <c r="V4869" s="10"/>
      <c r="W4869" s="10"/>
      <c r="X4869" s="10"/>
      <c r="Y4869" s="10"/>
      <c r="Z4869" s="10"/>
    </row>
    <row r="4870" spans="1:26" ht="12.75">
      <c r="A4870" s="10" t="str">
        <f ca="1">IFERROR(__xludf.DUMMYFUNCTION("""COMPUTED_VALUE"""),"Лъчезар Георгиев Георгиев")</f>
        <v>Лъчезар Георгиев Георгиев</v>
      </c>
      <c r="B4870" s="10" t="str">
        <f ca="1">IFERROR(__xludf.DUMMYFUNCTION("""COMPUTED_VALUE"""),"Студия")</f>
        <v>Студия</v>
      </c>
      <c r="C4870" s="10" t="str">
        <f ca="1">IFERROR(__xludf.DUMMYFUNCTION("""COMPUTED_VALUE"""),"Съвременната португалска книга и нейната издателска рефлексия в България: Двустранни издателски комуникации, книги, преводни заглавия. [Prof. Lachezar Georgiev Georgiev, PhD. THE CONTEMPORARY PORTUGUESE BOOK AND ITS PUBLISHING REFLEX IN BULGARIA].")</f>
        <v>Съвременната португалска книга и нейната издателска рефлексия в България: Двустранни издателски комуникации, книги, преводни заглавия. [Prof. Lachezar Georgiev Georgiev, PhD. THE CONTEMPORARY PORTUGUESE BOOK AND ITS PUBLISHING REFLEX IN BULGARIA].</v>
      </c>
      <c r="D4870" s="10">
        <f ca="1">IFERROR(__xludf.DUMMYFUNCTION("""COMPUTED_VALUE"""),2018)</f>
        <v>2018</v>
      </c>
      <c r="E4870" s="10" t="str">
        <f ca="1">IFERROR(__xludf.DUMMYFUNCTION("""COMPUTED_VALUE"""),"Т р у д о в е на ВТУ Св. св. Кирил и Методий. Фак. Математика и информатика. Т. 7. Обществени комуникации и информационни науки. – В. Търново : Унив. изд. “Св. св. Кирил и Методий”, 2018, с. 5–128. Студията е с резюме и титулна страница на английски език "&amp;"ISSN 2367-8135")</f>
        <v>Т р у д о в е на ВТУ Св. св. Кирил и Методий. Фак. Математика и информатика. Т. 7. Обществени комуникации и информационни науки. – В. Търново : Унив. изд. “Св. св. Кирил и Методий”, 2018, с. 5–128. Студията е с резюме и титулна страница на английски език ISSN 2367-8135</v>
      </c>
      <c r="F4870" s="10"/>
      <c r="G4870" s="10"/>
      <c r="H4870" s="10"/>
      <c r="I4870" s="10"/>
      <c r="J4870" s="10"/>
      <c r="K4870" s="10"/>
      <c r="L4870" s="10"/>
      <c r="M4870" s="10"/>
      <c r="N4870" s="10"/>
      <c r="O4870" s="10"/>
      <c r="P4870" s="10"/>
      <c r="Q4870" s="10"/>
      <c r="R4870" s="10"/>
      <c r="S4870" s="10"/>
      <c r="T4870" s="10"/>
      <c r="U4870" s="10"/>
      <c r="V4870" s="10"/>
      <c r="W4870" s="10"/>
      <c r="X4870" s="10"/>
      <c r="Y4870" s="10"/>
      <c r="Z4870" s="10"/>
    </row>
    <row r="4871" spans="1:26" ht="12.75">
      <c r="A4871" s="10" t="str">
        <f ca="1">IFERROR(__xludf.DUMMYFUNCTION("""COMPUTED_VALUE"""),"Лъчезар Георгиев Георгиев")</f>
        <v>Лъчезар Георгиев Георгиев</v>
      </c>
      <c r="B4871" s="10" t="str">
        <f ca="1">IFERROR(__xludf.DUMMYFUNCTION("""COMPUTED_VALUE"""),"Статия в списания и поредици")</f>
        <v>Статия в списания и поредици</v>
      </c>
      <c r="C4871" s="10" t="str">
        <f ca="1">IFERROR(__xludf.DUMMYFUNCTION("""COMPUTED_VALUE"""),"Графиката на модерната детска книга: композиционни предизвикателства, визуални ефекти, илюстративни подходи")</f>
        <v>Графиката на модерната детска книга: композиционни предизвикателства, визуални ефекти, илюстративни подходи</v>
      </c>
      <c r="D4871" s="10">
        <f ca="1">IFERROR(__xludf.DUMMYFUNCTION("""COMPUTED_VALUE"""),2017)</f>
        <v>2017</v>
      </c>
      <c r="E4871" s="10" t="str">
        <f ca="1">IFERROR(__xludf.DUMMYFUNCTION("""COMPUTED_VALUE"""),"Издател, 2017, № 1 (кн. 1-2), с. 48-63. – В. Търново: Университетско издателство „Св. св. Кирил и Методий”, 2017")</f>
        <v>Издател, 2017, № 1 (кн. 1-2), с. 48-63. – В. Търново: Университетско издателство „Св. св. Кирил и Методий”, 2017</v>
      </c>
      <c r="F4871" s="10" t="str">
        <f ca="1">IFERROR(__xludf.DUMMYFUNCTION("""COMPUTED_VALUE"""),"ИНИОН РАН")</f>
        <v>ИНИОН РАН</v>
      </c>
      <c r="G4871" s="10"/>
      <c r="H4871" s="10"/>
      <c r="I4871" s="10"/>
      <c r="J4871" s="10"/>
      <c r="K4871" s="10"/>
      <c r="L4871" s="10"/>
      <c r="M4871" s="10"/>
      <c r="N4871" s="10"/>
      <c r="O4871" s="10"/>
      <c r="P4871" s="10"/>
      <c r="Q4871" s="10"/>
      <c r="R4871" s="10"/>
      <c r="S4871" s="10"/>
      <c r="T4871" s="10"/>
      <c r="U4871" s="10"/>
      <c r="V4871" s="10"/>
      <c r="W4871" s="10"/>
      <c r="X4871" s="10"/>
      <c r="Y4871" s="10"/>
      <c r="Z4871" s="10"/>
    </row>
    <row r="4872" spans="1:26" ht="12.75">
      <c r="A4872" s="10" t="str">
        <f ca="1">IFERROR(__xludf.DUMMYFUNCTION("""COMPUTED_VALUE"""),"Лъчезар Георгиев Георгиев")</f>
        <v>Лъчезар Георгиев Георгиев</v>
      </c>
      <c r="B4872" s="10" t="str">
        <f ca="1">IFERROR(__xludf.DUMMYFUNCTION("""COMPUTED_VALUE"""),"Статия в списания и поредици")</f>
        <v>Статия в списания и поредици</v>
      </c>
      <c r="C4872" s="10" t="str">
        <f ca="1">IFERROR(__xludf.DUMMYFUNCTION("""COMPUTED_VALUE"""),"Графичната композиция на книгата и нейната рефлексия върху детското четене")</f>
        <v>Графичната композиция на книгата и нейната рефлексия върху детското четене</v>
      </c>
      <c r="D4872" s="10">
        <f ca="1">IFERROR(__xludf.DUMMYFUNCTION("""COMPUTED_VALUE"""),2017)</f>
        <v>2017</v>
      </c>
      <c r="E4872" s="10" t="str">
        <f ca="1">IFERROR(__xludf.DUMMYFUNCTION("""COMPUTED_VALUE"""),"Книги, деца и тийнейджъри: четенето между разума и емоциите. XIX национален фестивал на детската книга, Сливен, 2017. Сб. доклади. – Сливен: PБ „Сава Доброплодни”, 2017, с.115 - 134")</f>
        <v>Книги, деца и тийнейджъри: четенето между разума и емоциите. XIX национален фестивал на детската книга, Сливен, 2017. Сб. доклади. – Сливен: PБ „Сава Доброплодни”, 2017, с.115 - 134</v>
      </c>
      <c r="F4872" s="10" t="str">
        <f ca="1">IFERROR(__xludf.DUMMYFUNCTION("""COMPUTED_VALUE"""),"ИНИОН РАН")</f>
        <v>ИНИОН РАН</v>
      </c>
      <c r="G4872" s="10"/>
      <c r="H4872" s="10"/>
      <c r="I4872" s="10"/>
      <c r="J4872" s="10"/>
      <c r="K4872" s="10"/>
      <c r="L4872" s="10"/>
      <c r="M4872" s="10"/>
      <c r="N4872" s="10"/>
      <c r="O4872" s="10"/>
      <c r="P4872" s="10"/>
      <c r="Q4872" s="10"/>
      <c r="R4872" s="10"/>
      <c r="S4872" s="10"/>
      <c r="T4872" s="10"/>
      <c r="U4872" s="10"/>
      <c r="V4872" s="10"/>
      <c r="W4872" s="10"/>
      <c r="X4872" s="10"/>
      <c r="Y4872" s="10"/>
      <c r="Z4872" s="10"/>
    </row>
    <row r="4873" spans="1:26" ht="12.75">
      <c r="A4873" s="10" t="str">
        <f ca="1">IFERROR(__xludf.DUMMYFUNCTION("""COMPUTED_VALUE"""),"Лъчезар Георгиев Георгиев")</f>
        <v>Лъчезар Георгиев Георгиев</v>
      </c>
      <c r="B4873" s="10" t="str">
        <f ca="1">IFERROR(__xludf.DUMMYFUNCTION("""COMPUTED_VALUE"""),"Книга")</f>
        <v>Книга</v>
      </c>
      <c r="C4873" s="10" t="str">
        <f ca="1">IFERROR(__xludf.DUMMYFUNCTION("""COMPUTED_VALUE"""),"Композиция на книгата")</f>
        <v>Композиция на книгата</v>
      </c>
      <c r="D4873" s="10">
        <f ca="1">IFERROR(__xludf.DUMMYFUNCTION("""COMPUTED_VALUE"""),2017)</f>
        <v>2017</v>
      </c>
      <c r="E4873" s="10" t="str">
        <f ca="1">IFERROR(__xludf.DUMMYFUNCTION("""COMPUTED_VALUE"""),"София: Star Way, 2017. – 140 с. : с ил. : със сх. : рез. на англ. ез. Книгата е включена в издателската поредица: Библиотека Книга и печатни комуникации 5. прераб. и допълнено издание ISBN 978-954-8685-26-9")</f>
        <v>София: Star Way, 2017. – 140 с. : с ил. : със сх. : рез. на англ. ез. Книгата е включена в издателската поредица: Библиотека Книга и печатни комуникации 5. прераб. и допълнено издание ISBN 978-954-8685-26-9</v>
      </c>
      <c r="F4873" s="10" t="str">
        <f ca="1">IFERROR(__xludf.DUMMYFUNCTION("""COMPUTED_VALUE"""),"4. прераб. и доп. изд. от 2015 г. на „Композиция на книгата“ е реферирано и включено в колекциите на Конгресна библиотека на САЩ.
 Рец. за 5. изд.: сп. И з д а т е л, 2018, № 1 (кн. 1-2), с. 47.")</f>
        <v>4. прераб. и доп. изд. от 2015 г. на „Композиция на книгата“ е реферирано и включено в колекциите на Конгресна библиотека на САЩ.
 Рец. за 5. изд.: сп. И з д а т е л, 2018, № 1 (кн. 1-2), с. 47.</v>
      </c>
      <c r="G4873" s="10"/>
      <c r="H4873" s="10"/>
      <c r="I4873" s="10"/>
      <c r="J4873" s="10"/>
      <c r="K4873" s="10"/>
      <c r="L4873" s="10"/>
      <c r="M4873" s="10"/>
      <c r="N4873" s="10"/>
      <c r="O4873" s="10"/>
      <c r="P4873" s="10"/>
      <c r="Q4873" s="10"/>
      <c r="R4873" s="10"/>
      <c r="S4873" s="10"/>
      <c r="T4873" s="10"/>
      <c r="U4873" s="10"/>
      <c r="V4873" s="10"/>
      <c r="W4873" s="10"/>
      <c r="X4873" s="10"/>
      <c r="Y4873" s="10"/>
      <c r="Z4873" s="10"/>
    </row>
    <row r="4874" spans="1:26" ht="12.75">
      <c r="A4874" s="10" t="str">
        <f ca="1">IFERROR(__xludf.DUMMYFUNCTION("""COMPUTED_VALUE"""),"Лъчезар Георгиев Георгиев")</f>
        <v>Лъчезар Георгиев Георгиев</v>
      </c>
      <c r="B4874" s="10" t="str">
        <f ca="1">IFERROR(__xludf.DUMMYFUNCTION("""COMPUTED_VALUE"""),"Статия в списания и поредици")</f>
        <v>Статия в списания и поредици</v>
      </c>
      <c r="C4874" s="10" t="str">
        <f ca="1">IFERROR(__xludf.DUMMYFUNCTION("""COMPUTED_VALUE"""),"За диверсификацията и мениджмънта в сферата на книгоиздателските дейности")</f>
        <v>За диверсификацията и мениджмънта в сферата на книгоиздателските дейности</v>
      </c>
      <c r="D4874" s="10">
        <f ca="1">IFERROR(__xludf.DUMMYFUNCTION("""COMPUTED_VALUE"""),2017)</f>
        <v>2017</v>
      </c>
      <c r="E4874" s="10" t="str">
        <f ca="1">IFERROR(__xludf.DUMMYFUNCTION("""COMPUTED_VALUE"""),"Издател, 2017, № 2, с. 106-118. – В. Търново: УИ „Св. св. Кирил и Методий”, 2017")</f>
        <v>Издател, 2017, № 2, с. 106-118. – В. Търново: УИ „Св. св. Кирил и Методий”, 2017</v>
      </c>
      <c r="F4874" s="10" t="str">
        <f ca="1">IFERROR(__xludf.DUMMYFUNCTION("""COMPUTED_VALUE"""),"WEB of Science/ JCR")</f>
        <v>WEB of Science/ JCR</v>
      </c>
      <c r="G4874" s="10"/>
      <c r="H4874" s="10"/>
      <c r="I4874" s="10"/>
      <c r="J4874" s="10"/>
      <c r="K4874" s="10"/>
      <c r="L4874" s="10"/>
      <c r="M4874" s="10"/>
      <c r="N4874" s="10"/>
      <c r="O4874" s="10"/>
      <c r="P4874" s="10"/>
      <c r="Q4874" s="10"/>
      <c r="R4874" s="10"/>
      <c r="S4874" s="10"/>
      <c r="T4874" s="10"/>
      <c r="U4874" s="10"/>
      <c r="V4874" s="10"/>
      <c r="W4874" s="10"/>
      <c r="X4874" s="10"/>
      <c r="Y4874" s="10"/>
      <c r="Z4874" s="10"/>
    </row>
    <row r="4875" spans="1:26" ht="12.75">
      <c r="A4875" s="10" t="str">
        <f ca="1">IFERROR(__xludf.DUMMYFUNCTION("""COMPUTED_VALUE"""),"Лъчезар Георгиев Георгиев")</f>
        <v>Лъчезар Георгиев Георгиев</v>
      </c>
      <c r="B4875" s="10" t="str">
        <f ca="1">IFERROR(__xludf.DUMMYFUNCTION("""COMPUTED_VALUE"""),"Книга")</f>
        <v>Книга</v>
      </c>
      <c r="C4875" s="10" t="str">
        <f ca="1">IFERROR(__xludf.DUMMYFUNCTION("""COMPUTED_VALUE"""),"Загадъчният нобелист: Писателят José Saramago в България")</f>
        <v>Загадъчният нобелист: Писателят José Saramago в България</v>
      </c>
      <c r="D4875" s="10">
        <f ca="1">IFERROR(__xludf.DUMMYFUNCTION("""COMPUTED_VALUE"""),2017)</f>
        <v>2017</v>
      </c>
      <c r="E4875" s="10" t="str">
        <f ca="1">IFERROR(__xludf.DUMMYFUNCTION("""COMPUTED_VALUE"""),"София: АН-ДИ, 2017. – 134 стр.")</f>
        <v>София: АН-ДИ, 2017. – 134 стр.</v>
      </c>
      <c r="F4875" s="10" t="str">
        <f ca="1">IFERROR(__xludf.DUMMYFUNCTION("""COMPUTED_VALUE"""),"Книгата е реферирана и включена в колекциите на Конгресна библиотека –Вашингтон (САЩ).
 Книгата е реферирана и включена и в колекциите на: Biblioteca Nacional de Portugal - Лисабон; Национална библиотека на Република Малта – гр. Валета и Общинска библиоте"&amp;"ка на Ел Кампейо – Испания, област Аликанте.")</f>
        <v>Книгата е реферирана и включена в колекциите на Конгресна библиотека –Вашингтон (САЩ).
 Книгата е реферирана и включена и в колекциите на: Biblioteca Nacional de Portugal - Лисабон; Национална библиотека на Република Малта – гр. Валета и Общинска библиотека на Ел Кампейо – Испания, област Аликанте.</v>
      </c>
      <c r="G4875" s="10"/>
      <c r="H4875" s="10"/>
      <c r="I4875" s="10"/>
      <c r="J4875" s="10"/>
      <c r="K4875" s="10"/>
      <c r="L4875" s="10"/>
      <c r="M4875" s="10"/>
      <c r="N4875" s="10"/>
      <c r="O4875" s="10"/>
      <c r="P4875" s="10"/>
      <c r="Q4875" s="10"/>
      <c r="R4875" s="10"/>
      <c r="S4875" s="10"/>
      <c r="T4875" s="10"/>
      <c r="U4875" s="10"/>
      <c r="V4875" s="10"/>
      <c r="W4875" s="10"/>
      <c r="X4875" s="10"/>
      <c r="Y4875" s="10"/>
      <c r="Z4875" s="10"/>
    </row>
    <row r="4876" spans="1:26" ht="12.75">
      <c r="A4876" s="10" t="str">
        <f ca="1">IFERROR(__xludf.DUMMYFUNCTION("""COMPUTED_VALUE"""),"Лъчезар Георгиев Георгиев")</f>
        <v>Лъчезар Георгиев Георгиев</v>
      </c>
      <c r="B4876" s="10" t="str">
        <f ca="1">IFERROR(__xludf.DUMMYFUNCTION("""COMPUTED_VALUE"""),"Статия в списания и поредици")</f>
        <v>Статия в списания и поредици</v>
      </c>
      <c r="C4876" s="10" t="str">
        <f ca="1">IFERROR(__xludf.DUMMYFUNCTION("""COMPUTED_VALUE"""),"Графика на модерната детска книга: Композиционни предизвикателства, визуални ефекти, илюстративни подходи")</f>
        <v>Графика на модерната детска книга: Композиционни предизвикателства, визуални ефекти, илюстративни подходи</v>
      </c>
      <c r="D4876" s="10">
        <f ca="1">IFERROR(__xludf.DUMMYFUNCTION("""COMPUTED_VALUE"""),2017)</f>
        <v>2017</v>
      </c>
      <c r="E4876" s="10" t="str">
        <f ca="1">IFERROR(__xludf.DUMMYFUNCTION("""COMPUTED_VALUE"""),"Издател, 2017, № 1, кн. 1-2, с. 48-63. – Велико Търново: УИ „Св. св. Кирил и Методий”")</f>
        <v>Издател, 2017, № 1, кн. 1-2, с. 48-63. – Велико Търново: УИ „Св. св. Кирил и Методий”</v>
      </c>
      <c r="F4876" s="10" t="str">
        <f ca="1">IFERROR(__xludf.DUMMYFUNCTION("""COMPUTED_VALUE"""),"ИНИОН РАН")</f>
        <v>ИНИОН РАН</v>
      </c>
      <c r="G4876" s="10"/>
      <c r="H4876" s="10"/>
      <c r="I4876" s="10"/>
      <c r="J4876" s="10"/>
      <c r="K4876" s="10"/>
      <c r="L4876" s="10"/>
      <c r="M4876" s="10"/>
      <c r="N4876" s="10"/>
      <c r="O4876" s="10"/>
      <c r="P4876" s="10"/>
      <c r="Q4876" s="10"/>
      <c r="R4876" s="10"/>
      <c r="S4876" s="10"/>
      <c r="T4876" s="10"/>
      <c r="U4876" s="10"/>
      <c r="V4876" s="10"/>
      <c r="W4876" s="10"/>
      <c r="X4876" s="10"/>
      <c r="Y4876" s="10"/>
      <c r="Z4876" s="10"/>
    </row>
    <row r="4877" spans="1:26" ht="12.75">
      <c r="A4877" s="10" t="str">
        <f ca="1">IFERROR(__xludf.DUMMYFUNCTION("""COMPUTED_VALUE"""),"Лъчезар Георгиев Георгиев")</f>
        <v>Лъчезар Георгиев Георгиев</v>
      </c>
      <c r="B4877" s="10" t="str">
        <f ca="1">IFERROR(__xludf.DUMMYFUNCTION("""COMPUTED_VALUE"""),"Монография")</f>
        <v>Монография</v>
      </c>
      <c r="C4877" s="10" t="str">
        <f ca="1">IFERROR(__xludf.DUMMYFUNCTION("""COMPUTED_VALUE"""),"Увод в издателския процес")</f>
        <v>Увод в издателския процес</v>
      </c>
      <c r="D4877" s="10">
        <f ca="1">IFERROR(__xludf.DUMMYFUNCTION("""COMPUTED_VALUE"""),2017)</f>
        <v>2017</v>
      </c>
      <c r="E4877" s="10" t="str">
        <f ca="1">IFERROR(__xludf.DUMMYFUNCTION("""COMPUTED_VALUE"""),"В. Търново : Унив. изд. Св. св. Кирил и Методий, 2017. – 251 с.: с ил.: рез. на англ. ез. ISBN 978-619-208-126-3")</f>
        <v>В. Търново : Унив. изд. Св. св. Кирил и Методий, 2017. – 251 с.: с ил.: рез. на англ. ез. ISBN 978-619-208-126-3</v>
      </c>
      <c r="F4877" s="10"/>
      <c r="G4877" s="10"/>
      <c r="H4877" s="10"/>
      <c r="I4877" s="10"/>
      <c r="J4877" s="10"/>
      <c r="K4877" s="10"/>
      <c r="L4877" s="10"/>
      <c r="M4877" s="10"/>
      <c r="N4877" s="10"/>
      <c r="O4877" s="10"/>
      <c r="P4877" s="10"/>
      <c r="Q4877" s="10"/>
      <c r="R4877" s="10"/>
      <c r="S4877" s="10"/>
      <c r="T4877" s="10"/>
      <c r="U4877" s="10"/>
      <c r="V4877" s="10"/>
      <c r="W4877" s="10"/>
      <c r="X4877" s="10"/>
      <c r="Y4877" s="10"/>
      <c r="Z4877" s="10"/>
    </row>
    <row r="4878" spans="1:26" ht="12.75">
      <c r="A4878" s="10" t="str">
        <f ca="1">IFERROR(__xludf.DUMMYFUNCTION("""COMPUTED_VALUE"""),"Лъчезар Георгиев Георгиев")</f>
        <v>Лъчезар Георгиев Георгиев</v>
      </c>
      <c r="B4878" s="10" t="str">
        <f ca="1">IFERROR(__xludf.DUMMYFUNCTION("""COMPUTED_VALUE"""),"Книга")</f>
        <v>Книга</v>
      </c>
      <c r="C4878" s="10" t="str">
        <f ca="1">IFERROR(__xludf.DUMMYFUNCTION("""COMPUTED_VALUE"""),"The Author and the Book Publishing Process: Two Studies on the Book and Print Communications")</f>
        <v>The Author and the Book Publishing Process: Two Studies on the Book and Print Communications</v>
      </c>
      <c r="D4878" s="10">
        <f ca="1">IFERROR(__xludf.DUMMYFUNCTION("""COMPUTED_VALUE"""),2016)</f>
        <v>2016</v>
      </c>
      <c r="E4878" s="10" t="str">
        <f ca="1">IFERROR(__xludf.DUMMYFUNCTION("""COMPUTED_VALUE"""),"Saarbrücken; Düsseldorf: Lambert Academic Publishing, 2016. – 60 pp. ISBN 978–3– 330–02030–6")</f>
        <v>Saarbrücken; Düsseldorf: Lambert Academic Publishing, 2016. – 60 pp. ISBN 978–3– 330–02030–6</v>
      </c>
      <c r="F4878" s="10" t="str">
        <f ca="1">IFERROR(__xludf.DUMMYFUNCTION("""COMPUTED_VALUE"""),"WEB of Science/ JCR")</f>
        <v>WEB of Science/ JCR</v>
      </c>
      <c r="G4878" s="10"/>
      <c r="H4878" s="10"/>
      <c r="I4878" s="10"/>
      <c r="J4878" s="10"/>
      <c r="K4878" s="10"/>
      <c r="L4878" s="10"/>
      <c r="M4878" s="10"/>
      <c r="N4878" s="10"/>
      <c r="O4878" s="10"/>
      <c r="P4878" s="10"/>
      <c r="Q4878" s="10"/>
      <c r="R4878" s="10"/>
      <c r="S4878" s="10"/>
      <c r="T4878" s="10"/>
      <c r="U4878" s="10"/>
      <c r="V4878" s="10"/>
      <c r="W4878" s="10"/>
      <c r="X4878" s="10"/>
      <c r="Y4878" s="10"/>
      <c r="Z4878" s="10"/>
    </row>
    <row r="4879" spans="1:26" ht="12.75">
      <c r="A4879" s="10" t="str">
        <f ca="1">IFERROR(__xludf.DUMMYFUNCTION("""COMPUTED_VALUE"""),"Лъчезар Георгиев Георгиев")</f>
        <v>Лъчезар Георгиев Георгиев</v>
      </c>
      <c r="B4879" s="10" t="str">
        <f ca="1">IFERROR(__xludf.DUMMYFUNCTION("""COMPUTED_VALUE"""),"Статия в списания и поредици")</f>
        <v>Статия в списания и поредици</v>
      </c>
      <c r="C4879" s="10" t="str">
        <f ca="1">IFERROR(__xludf.DUMMYFUNCTION("""COMPUTED_VALUE"""),"Съвременната детска литература и тенденциите в европейското книгоиздаване за деца")</f>
        <v>Съвременната детска литература и тенденциите в европейското книгоиздаване за деца</v>
      </c>
      <c r="D4879" s="10">
        <f ca="1">IFERROR(__xludf.DUMMYFUNCTION("""COMPUTED_VALUE"""),2016)</f>
        <v>2016</v>
      </c>
      <c r="E4879" s="10" t="str">
        <f ca="1">IFERROR(__xludf.DUMMYFUNCTION("""COMPUTED_VALUE"""),"Националните детски литератури в глобалния свят. – Сливен: Регионална библиотека „Сава Доброплодни”, 2016, с. 129-148")</f>
        <v>Националните детски литератури в глобалния свят. – Сливен: Регионална библиотека „Сава Доброплодни”, 2016, с. 129-148</v>
      </c>
      <c r="F4879" s="10" t="str">
        <f ca="1">IFERROR(__xludf.DUMMYFUNCTION("""COMPUTED_VALUE"""),"WEB of Science/ JCR")</f>
        <v>WEB of Science/ JCR</v>
      </c>
      <c r="G4879" s="10"/>
      <c r="H4879" s="10"/>
      <c r="I4879" s="10"/>
      <c r="J4879" s="10"/>
      <c r="K4879" s="10"/>
      <c r="L4879" s="10"/>
      <c r="M4879" s="10"/>
      <c r="N4879" s="10"/>
      <c r="O4879" s="10"/>
      <c r="P4879" s="10"/>
      <c r="Q4879" s="10"/>
      <c r="R4879" s="10"/>
      <c r="S4879" s="10"/>
      <c r="T4879" s="10"/>
      <c r="U4879" s="10"/>
      <c r="V4879" s="10"/>
      <c r="W4879" s="10"/>
      <c r="X4879" s="10"/>
      <c r="Y4879" s="10"/>
      <c r="Z4879" s="10"/>
    </row>
    <row r="4880" spans="1:26" ht="12.75">
      <c r="A4880" s="10" t="str">
        <f ca="1">IFERROR(__xludf.DUMMYFUNCTION("""COMPUTED_VALUE"""),"Лъчезар Георгиев Георгиев")</f>
        <v>Лъчезар Георгиев Георгиев</v>
      </c>
      <c r="B4880" s="10" t="str">
        <f ca="1">IFERROR(__xludf.DUMMYFUNCTION("""COMPUTED_VALUE"""),"Монография")</f>
        <v>Монография</v>
      </c>
      <c r="C4880" s="10" t="str">
        <f ca="1">IFERROR(__xludf.DUMMYFUNCTION("""COMPUTED_VALUE"""),"Стратегически подходи в книгоиздаването и печатните комуникации (= Strategic approaches in publishing and print communications)")</f>
        <v>Стратегически подходи в книгоиздаването и печатните комуникации (= Strategic approaches in publishing and print communications)</v>
      </c>
      <c r="D4880" s="10">
        <f ca="1">IFERROR(__xludf.DUMMYFUNCTION("""COMPUTED_VALUE"""),2016)</f>
        <v>2016</v>
      </c>
      <c r="E4880" s="10" t="str">
        <f ca="1">IFERROR(__xludf.DUMMYFUNCTION("""COMPUTED_VALUE"""),"Монография. – 5. прераб. и доп. изд. – София : АН-ДИ, 2016. – 260 с. : със сх.: резюме на англ. ез. Монографията има два отпечатани тиража с един и същ ISBN 978–619–7221–02–2 – от края на 2015 г. и от 2016 г.")</f>
        <v>Монография. – 5. прераб. и доп. изд. – София : АН-ДИ, 2016. – 260 с. : със сх.: резюме на англ. ез. Монографията има два отпечатани тиража с един и същ ISBN 978–619–7221–02–2 – от края на 2015 г. и от 2016 г.</v>
      </c>
      <c r="F4880" s="10"/>
      <c r="G4880" s="10"/>
      <c r="H4880" s="10"/>
      <c r="I4880" s="10"/>
      <c r="J4880" s="10"/>
      <c r="K4880" s="10"/>
      <c r="L4880" s="10"/>
      <c r="M4880" s="10"/>
      <c r="N4880" s="10"/>
      <c r="O4880" s="10"/>
      <c r="P4880" s="10"/>
      <c r="Q4880" s="10"/>
      <c r="R4880" s="10"/>
      <c r="S4880" s="10"/>
      <c r="T4880" s="10"/>
      <c r="U4880" s="10"/>
      <c r="V4880" s="10"/>
      <c r="W4880" s="10"/>
      <c r="X4880" s="10"/>
      <c r="Y4880" s="10"/>
      <c r="Z4880" s="10"/>
    </row>
    <row r="4881" spans="1:26" ht="12.75">
      <c r="A4881" s="10" t="str">
        <f ca="1">IFERROR(__xludf.DUMMYFUNCTION("""COMPUTED_VALUE"""),"Лъчезар Георгиев Георгиев")</f>
        <v>Лъчезар Георгиев Георгиев</v>
      </c>
      <c r="B4881" s="10" t="str">
        <f ca="1">IFERROR(__xludf.DUMMYFUNCTION("""COMPUTED_VALUE"""),"Монография")</f>
        <v>Монография</v>
      </c>
      <c r="C4881" s="10" t="str">
        <f ca="1">IFERROR(__xludf.DUMMYFUNCTION("""COMPUTED_VALUE"""),"Книгоиздаването в България : 1806–1944 (= Book publishing in Bulgaria : 1806–1944)")</f>
        <v>Книгоиздаването в България : 1806–1944 (= Book publishing in Bulgaria : 1806–1944)</v>
      </c>
      <c r="D4881" s="10">
        <f ca="1">IFERROR(__xludf.DUMMYFUNCTION("""COMPUTED_VALUE"""),2016)</f>
        <v>2016</v>
      </c>
      <c r="E4881" s="10" t="str">
        <f ca="1">IFERROR(__xludf.DUMMYFUNCTION("""COMPUTED_VALUE"""),"София : АН-ДИ, 2016. – 450 с. – с ил. : с резюме на англ. ез. ISBN 978–619–7221–06–0")</f>
        <v>София : АН-ДИ, 2016. – 450 с. – с ил. : с резюме на англ. ез. ISBN 978–619–7221–06–0</v>
      </c>
      <c r="F4881" s="10"/>
      <c r="G4881" s="10"/>
      <c r="H4881" s="10"/>
      <c r="I4881" s="10"/>
      <c r="J4881" s="10"/>
      <c r="K4881" s="10"/>
      <c r="L4881" s="10"/>
      <c r="M4881" s="10"/>
      <c r="N4881" s="10"/>
      <c r="O4881" s="10"/>
      <c r="P4881" s="10"/>
      <c r="Q4881" s="10"/>
      <c r="R4881" s="10"/>
      <c r="S4881" s="10"/>
      <c r="T4881" s="10"/>
      <c r="U4881" s="10"/>
      <c r="V4881" s="10"/>
      <c r="W4881" s="10"/>
      <c r="X4881" s="10"/>
      <c r="Y4881" s="10"/>
      <c r="Z4881" s="10"/>
    </row>
    <row r="4882" spans="1:26" ht="12.75">
      <c r="A4882" s="10" t="str">
        <f ca="1">IFERROR(__xludf.DUMMYFUNCTION("""COMPUTED_VALUE"""),"Лъчезар Георгиев Георгиев")</f>
        <v>Лъчезар Георгиев Георгиев</v>
      </c>
      <c r="B4882" s="10" t="str">
        <f ca="1">IFERROR(__xludf.DUMMYFUNCTION("""COMPUTED_VALUE"""),"Студия")</f>
        <v>Студия</v>
      </c>
      <c r="C4882" s="10" t="str">
        <f ca="1">IFERROR(__xludf.DUMMYFUNCTION("""COMPUTED_VALUE"""),"Книга и вызовы нового века: инновации в менеджменте издательских структур = The Book and the Challenges of the New Age: Innovations in the Management of the Publishing Structures.")</f>
        <v>Книга и вызовы нового века: инновации в менеджменте издательских структур = The Book and the Challenges of the New Age: Innovations in the Management of the Publishing Structures.</v>
      </c>
      <c r="D4882" s="10">
        <f ca="1">IFERROR(__xludf.DUMMYFUNCTION("""COMPUTED_VALUE"""),2016)</f>
        <v>2016</v>
      </c>
      <c r="E4882" s="10" t="str">
        <f ca="1">IFERROR(__xludf.DUMMYFUNCTION("""COMPUTED_VALUE"""),"Студията е изцяло на английски език. Публикувана е в: // Т р у д ы Санкт-Петербургского государственного института культуры. Т. 213. Книжное дело вчера, сегодня, завтра : Материалы 18-й междунар. науч.-практ. конф. „Смирдин. чтения“, посвящ. 450-летию оте"&amp;"честв. книгопечатания, 23–25 апр. 2013 г., Санкт-Петербург / М-во культуры Рос. Федерации, С.-Петерб. гос. ин-т культуры ; [редкол.: А. Ю. Русаков (отв. ред.) и др.]. – СПб., 2016, с. 134–159.")</f>
        <v>Студията е изцяло на английски език. Публикувана е в: // Т р у д ы Санкт-Петербургского государственного института культуры. Т. 213. Книжное дело вчера, сегодня, завтра : Материалы 18-й междунар. науч.-практ. конф. „Смирдин. чтения“, посвящ. 450-летию отечеств. книгопечатания, 23–25 апр. 2013 г., Санкт-Петербург / М-во культуры Рос. Федерации, С.-Петерб. гос. ин-т культуры ; [редкол.: А. Ю. Русаков (отв. ред.) и др.]. – СПб., 2016, с. 134–159.</v>
      </c>
      <c r="F4882" s="28" t="str">
        <f ca="1">IFERROR(__xludf.DUMMYFUNCTION("""COMPUTED_VALUE"""),"http://elibrary.ru/contents.asp?issueid=1587771")</f>
        <v>http://elibrary.ru/contents.asp?issueid=1587771</v>
      </c>
      <c r="G4882" s="10"/>
      <c r="H4882" s="10"/>
      <c r="I4882" s="10"/>
      <c r="J4882" s="10"/>
      <c r="K4882" s="10"/>
      <c r="L4882" s="10"/>
      <c r="M4882" s="10"/>
      <c r="N4882" s="10"/>
      <c r="O4882" s="10"/>
      <c r="P4882" s="10"/>
      <c r="Q4882" s="10"/>
      <c r="R4882" s="10"/>
      <c r="S4882" s="10"/>
      <c r="T4882" s="10"/>
      <c r="U4882" s="10"/>
      <c r="V4882" s="10"/>
      <c r="W4882" s="10"/>
      <c r="X4882" s="10"/>
      <c r="Y4882" s="10"/>
      <c r="Z4882" s="10"/>
    </row>
    <row r="4883" spans="1:26" ht="12.75">
      <c r="A4883" s="10" t="str">
        <f ca="1">IFERROR(__xludf.DUMMYFUNCTION("""COMPUTED_VALUE"""),"Лъчезар Георгиев Георгиев")</f>
        <v>Лъчезар Георгиев Георгиев</v>
      </c>
      <c r="B4883" s="10" t="str">
        <f ca="1">IFERROR(__xludf.DUMMYFUNCTION("""COMPUTED_VALUE"""),"Доклад от конференция")</f>
        <v>Доклад от конференция</v>
      </c>
      <c r="C4883" s="10" t="str">
        <f ca="1">IFERROR(__xludf.DUMMYFUNCTION("""COMPUTED_VALUE"""),"Библиотечни и издателски дейности за иновативно съхраняване и популяризиране творчеството на Нобеловия лауреат за литература Жузе Сарамагу в Португалия и България")</f>
        <v>Библиотечни и издателски дейности за иновативно съхраняване и популяризиране творчеството на Нобеловия лауреат за литература Жузе Сарамагу в Португалия и България</v>
      </c>
      <c r="D4883" s="10">
        <f ca="1">IFERROR(__xludf.DUMMYFUNCTION("""COMPUTED_VALUE"""),2016)</f>
        <v>2016</v>
      </c>
      <c r="E4883" s="10" t="str">
        <f ca="1">IFERROR(__xludf.DUMMYFUNCTION("""COMPUTED_VALUE"""),"Библиотеката на ХХI век: Практики. Комуникации. Ефективност. – Шумен, Регионална библиотека „Стоян Чилингиров”, 2016, с. 40–54")</f>
        <v>Библиотеката на ХХI век: Практики. Комуникации. Ефективност. – Шумен, Регионална библиотека „Стоян Чилингиров”, 2016, с. 40–54</v>
      </c>
      <c r="F4883" s="10" t="str">
        <f ca="1">IFERROR(__xludf.DUMMYFUNCTION("""COMPUTED_VALUE"""),"Conference Proceedings / Thomson Reuters")</f>
        <v>Conference Proceedings / Thomson Reuters</v>
      </c>
      <c r="G4883" s="10"/>
      <c r="H4883" s="10"/>
      <c r="I4883" s="10"/>
      <c r="J4883" s="10"/>
      <c r="K4883" s="10"/>
      <c r="L4883" s="10"/>
      <c r="M4883" s="10"/>
      <c r="N4883" s="10"/>
      <c r="O4883" s="10"/>
      <c r="P4883" s="10"/>
      <c r="Q4883" s="10"/>
      <c r="R4883" s="10"/>
      <c r="S4883" s="10"/>
      <c r="T4883" s="10"/>
      <c r="U4883" s="10"/>
      <c r="V4883" s="10"/>
      <c r="W4883" s="10"/>
      <c r="X4883" s="10"/>
      <c r="Y4883" s="10"/>
      <c r="Z4883" s="10"/>
    </row>
    <row r="4884" spans="1:26" ht="12.75">
      <c r="A4884" s="10" t="str">
        <f ca="1">IFERROR(__xludf.DUMMYFUNCTION("""COMPUTED_VALUE"""),"Лъчезар Георгиев Георгиев")</f>
        <v>Лъчезар Георгиев Георгиев</v>
      </c>
      <c r="B4884" s="10" t="str">
        <f ca="1">IFERROR(__xludf.DUMMYFUNCTION("""COMPUTED_VALUE"""),"Статия в списания и поредици")</f>
        <v>Статия в списания и поредици</v>
      </c>
      <c r="C4884" s="10" t="str">
        <f ca="1">IFERROR(__xludf.DUMMYFUNCTION("""COMPUTED_VALUE"""),"За терминологията в графичната композиция на книгата")</f>
        <v>За терминологията в графичната композиция на книгата</v>
      </c>
      <c r="D4884" s="10">
        <f ca="1">IFERROR(__xludf.DUMMYFUNCTION("""COMPUTED_VALUE"""),2016)</f>
        <v>2016</v>
      </c>
      <c r="E4884" s="10" t="str">
        <f ca="1">IFERROR(__xludf.DUMMYFUNCTION("""COMPUTED_VALUE"""),"Библиотеки, четене, комуникации : Четиринадесета нац. науч. конф. с междунар. участие 17–18 ноември 2015 г. – В. Търново : Нар. библиотека „П. Р. Славейков“ ; Анубис, 2016, с. 261-272. ISSN 1313 – 8138 Abstract (Great Britain) : с. 261")</f>
        <v>Библиотеки, четене, комуникации : Четиринадесета нац. науч. конф. с междунар. участие 17–18 ноември 2015 г. – В. Търново : Нар. библиотека „П. Р. Славейков“ ; Анубис, 2016, с. 261-272. ISSN 1313 – 8138 Abstract (Great Britain) : с. 261</v>
      </c>
      <c r="F4884" s="10"/>
      <c r="G4884" s="10"/>
      <c r="H4884" s="10"/>
      <c r="I4884" s="10"/>
      <c r="J4884" s="10"/>
      <c r="K4884" s="10"/>
      <c r="L4884" s="10"/>
      <c r="M4884" s="10"/>
      <c r="N4884" s="10"/>
      <c r="O4884" s="10"/>
      <c r="P4884" s="10"/>
      <c r="Q4884" s="10"/>
      <c r="R4884" s="10"/>
      <c r="S4884" s="10"/>
      <c r="T4884" s="10"/>
      <c r="U4884" s="10"/>
      <c r="V4884" s="10"/>
      <c r="W4884" s="10"/>
      <c r="X4884" s="10"/>
      <c r="Y4884" s="10"/>
      <c r="Z4884" s="10"/>
    </row>
    <row r="4885" spans="1:26" ht="12.75">
      <c r="A4885" s="10" t="str">
        <f ca="1">IFERROR(__xludf.DUMMYFUNCTION("""COMPUTED_VALUE"""),"Лъчезар Георгиев Георгиев")</f>
        <v>Лъчезар Георгиев Георгиев</v>
      </c>
      <c r="B4885" s="10" t="str">
        <f ca="1">IFERROR(__xludf.DUMMYFUNCTION("""COMPUTED_VALUE"""),"Статия в списания и поредици")</f>
        <v>Статия в списания и поредици</v>
      </c>
      <c r="C4885" s="10" t="str">
        <f ca="1">IFERROR(__xludf.DUMMYFUNCTION("""COMPUTED_VALUE"""),"Европейското и световното книгоиздаване – между комерсиалното в търсене на читателска аудитория")</f>
        <v>Европейското и световното книгоиздаване – между комерсиалното в търсене на читателска аудитория</v>
      </c>
      <c r="D4885" s="10">
        <f ca="1">IFERROR(__xludf.DUMMYFUNCTION("""COMPUTED_VALUE"""),2016)</f>
        <v>2016</v>
      </c>
      <c r="E4885"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2016, с. 270–281. ISBN 978-619-185-211-6")</f>
        <v>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2016, с. 270–281. ISBN 978-619-185-211-6</v>
      </c>
      <c r="F4885" s="10" t="str">
        <f ca="1">IFERROR(__xludf.DUMMYFUNCTION("""COMPUTED_VALUE"""),"Книгата е реферирана и представена от Национална библиотека „Св. св. Кирил и Методий“ – София и УниБИТ – София, с.г.")</f>
        <v>Книгата е реферирана и представена от Национална библиотека „Св. св. Кирил и Методий“ – София и УниБИТ – София, с.г.</v>
      </c>
      <c r="G4885" s="10"/>
      <c r="H4885" s="10"/>
      <c r="I4885" s="10"/>
      <c r="J4885" s="10"/>
      <c r="K4885" s="10"/>
      <c r="L4885" s="10"/>
      <c r="M4885" s="10"/>
      <c r="N4885" s="10"/>
      <c r="O4885" s="10"/>
      <c r="P4885" s="10"/>
      <c r="Q4885" s="10"/>
      <c r="R4885" s="10"/>
      <c r="S4885" s="10"/>
      <c r="T4885" s="10"/>
      <c r="U4885" s="10"/>
      <c r="V4885" s="10"/>
      <c r="W4885" s="10"/>
      <c r="X4885" s="10"/>
      <c r="Y4885" s="10"/>
      <c r="Z4885" s="10"/>
    </row>
    <row r="4886" spans="1:26" ht="12.75">
      <c r="A4886" s="10" t="str">
        <f ca="1">IFERROR(__xludf.DUMMYFUNCTION("""COMPUTED_VALUE"""),"Люба Дражева Цветкова")</f>
        <v>Люба Дражева Цветкова</v>
      </c>
      <c r="B4886" s="10" t="str">
        <f ca="1">IFERROR(__xludf.DUMMYFUNCTION("""COMPUTED_VALUE"""),"Статия в списания и поредици")</f>
        <v>Статия в списания и поредици</v>
      </c>
      <c r="C4886" s="10" t="str">
        <f ca="1">IFERROR(__xludf.DUMMYFUNCTION("""COMPUTED_VALUE"""),"Архивни справочници и инормационни документи за разкриване съдържанието на ръкописно-документалните източници")</f>
        <v>Архивни справочници и инормационни документи за разкриване съдържанието на ръкописно-документалните източници</v>
      </c>
      <c r="D4886" s="10">
        <f ca="1">IFERROR(__xludf.DUMMYFUNCTION("""COMPUTED_VALUE"""),2020)</f>
        <v>2020</v>
      </c>
      <c r="E4886" s="10" t="str">
        <f ca="1">IFERROR(__xludf.DUMMYFUNCTION("""COMPUTED_VALUE"""),"""Комуникации и политики"", ""За буквите - О писменехь"" София, 2020, ISBN 978-619-185-391-5 (под печат)")</f>
        <v>"Комуникации и политики", "За буквите - О писменехь" София, 2020, ISBN 978-619-185-391-5 (под печат)</v>
      </c>
      <c r="F4886" s="10"/>
      <c r="G4886" s="10"/>
      <c r="H4886" s="10"/>
      <c r="I4886" s="10"/>
      <c r="J4886" s="10"/>
      <c r="K4886" s="10"/>
      <c r="L4886" s="10"/>
      <c r="M4886" s="10"/>
      <c r="N4886" s="10"/>
      <c r="O4886" s="10"/>
      <c r="P4886" s="10"/>
      <c r="Q4886" s="10"/>
      <c r="R4886" s="10"/>
      <c r="S4886" s="10"/>
      <c r="T4886" s="10"/>
      <c r="U4886" s="10"/>
      <c r="V4886" s="10"/>
      <c r="W4886" s="10"/>
      <c r="X4886" s="10"/>
      <c r="Y4886" s="10"/>
      <c r="Z4886" s="10"/>
    </row>
    <row r="4887" spans="1:26" ht="12.75">
      <c r="A4887" s="10" t="str">
        <f ca="1">IFERROR(__xludf.DUMMYFUNCTION("""COMPUTED_VALUE"""),"Люба Дражева Цветкова")</f>
        <v>Люба Дражева Цветкова</v>
      </c>
      <c r="B4887" s="10" t="str">
        <f ca="1">IFERROR(__xludf.DUMMYFUNCTION("""COMPUTED_VALUE"""),"Статия в списания и поредици")</f>
        <v>Статия в списания и поредици</v>
      </c>
      <c r="C4887" s="10" t="str">
        <f ca="1">IFERROR(__xludf.DUMMYFUNCTION("""COMPUTED_VALUE"""),"Бългаската ръкописна книга (IX - XIX век)")</f>
        <v>Бългаската ръкописна книга (IX - XIX век)</v>
      </c>
      <c r="D4887" s="10">
        <f ca="1">IFERROR(__xludf.DUMMYFUNCTION("""COMPUTED_VALUE"""),2020)</f>
        <v>2020</v>
      </c>
      <c r="E4887" s="10" t="str">
        <f ca="1">IFERROR(__xludf.DUMMYFUNCTION("""COMPUTED_VALUE"""),"В: Научни трудове на Университета по библиотекознание и информационни технологии, Том 18, 2020. ISSN 1314-2623 (под печат)")</f>
        <v>В: Научни трудове на Университета по библиотекознание и информационни технологии, Том 18, 2020. ISSN 1314-2623 (под печат)</v>
      </c>
      <c r="F4887" s="10"/>
      <c r="G4887" s="10"/>
      <c r="H4887" s="10"/>
      <c r="I4887" s="10"/>
      <c r="J4887" s="10"/>
      <c r="K4887" s="10"/>
      <c r="L4887" s="10"/>
      <c r="M4887" s="10"/>
      <c r="N4887" s="10"/>
      <c r="O4887" s="10"/>
      <c r="P4887" s="10"/>
      <c r="Q4887" s="10"/>
      <c r="R4887" s="10"/>
      <c r="S4887" s="10"/>
      <c r="T4887" s="10"/>
      <c r="U4887" s="10"/>
      <c r="V4887" s="10"/>
      <c r="W4887" s="10"/>
      <c r="X4887" s="10"/>
      <c r="Y4887" s="10"/>
      <c r="Z4887" s="10"/>
    </row>
    <row r="4888" spans="1:26" ht="12.75">
      <c r="A4888" s="10" t="str">
        <f ca="1">IFERROR(__xludf.DUMMYFUNCTION("""COMPUTED_VALUE"""),"Люба Дражева Цветкова")</f>
        <v>Люба Дражева Цветкова</v>
      </c>
      <c r="B4888" s="10" t="str">
        <f ca="1">IFERROR(__xludf.DUMMYFUNCTION("""COMPUTED_VALUE"""),"Статия в списания и поредици")</f>
        <v>Статия в списания и поредици</v>
      </c>
      <c r="C4888" s="10" t="str">
        <f ca="1">IFERROR(__xludf.DUMMYFUNCTION("""COMPUTED_VALUE"""),"Документалните и книжовно-словесни извори за българската история (ІХ-ХІХ в.) и тяхното значение")</f>
        <v>Документалните и книжовно-словесни извори за българската история (ІХ-ХІХ в.) и тяхното значение</v>
      </c>
      <c r="D4888" s="10">
        <f ca="1">IFERROR(__xludf.DUMMYFUNCTION("""COMPUTED_VALUE"""),2019)</f>
        <v>2019</v>
      </c>
      <c r="E4888" s="10" t="str">
        <f ca="1">IFERROR(__xludf.DUMMYFUNCTION("""COMPUTED_VALUE"""),"В: Комуникации и политики. Т. 2 . София, За буквите – О писменехь. Под печат")</f>
        <v>В: Комуникации и политики. Т. 2 . София, За буквите – О писменехь. Под печат</v>
      </c>
      <c r="F4888" s="10"/>
      <c r="G4888" s="10"/>
      <c r="H4888" s="10"/>
      <c r="I4888" s="10"/>
      <c r="J4888" s="10"/>
      <c r="K4888" s="10"/>
      <c r="L4888" s="10"/>
      <c r="M4888" s="10"/>
      <c r="N4888" s="10"/>
      <c r="O4888" s="10"/>
      <c r="P4888" s="10"/>
      <c r="Q4888" s="10"/>
      <c r="R4888" s="10"/>
      <c r="S4888" s="10"/>
      <c r="T4888" s="10"/>
      <c r="U4888" s="10"/>
      <c r="V4888" s="10"/>
      <c r="W4888" s="10"/>
      <c r="X4888" s="10"/>
      <c r="Y4888" s="10"/>
      <c r="Z4888" s="10"/>
    </row>
    <row r="4889" spans="1:26" ht="12.75">
      <c r="A4889" s="10" t="str">
        <f ca="1">IFERROR(__xludf.DUMMYFUNCTION("""COMPUTED_VALUE"""),"Люба Дражева Цветкова")</f>
        <v>Люба Дражева Цветкова</v>
      </c>
      <c r="B4889" s="10" t="str">
        <f ca="1">IFERROR(__xludf.DUMMYFUNCTION("""COMPUTED_VALUE"""),"Статия в списания и поредици")</f>
        <v>Статия в списания и поредици</v>
      </c>
      <c r="C4889" s="10" t="str">
        <f ca="1">IFERROR(__xludf.DUMMYFUNCTION("""COMPUTED_VALUE"""),"Чуждестранни издателско-търговски информационни ресурси – добри практики и модели")</f>
        <v>Чуждестранни издателско-търговски информационни ресурси – добри практики и модели</v>
      </c>
      <c r="D4889" s="10">
        <f ca="1">IFERROR(__xludf.DUMMYFUNCTION("""COMPUTED_VALUE"""),2019)</f>
        <v>2019</v>
      </c>
      <c r="E4889" s="10" t="str">
        <f ca="1">IFERROR(__xludf.DUMMYFUNCTION("""COMPUTED_VALUE"""),"В: Интелектуалната собственост и дигиталните хора. София, За буквите – О писменехь. Под печат")</f>
        <v>В: Интелектуалната собственост и дигиталните хора. София, За буквите – О писменехь. Под печат</v>
      </c>
      <c r="F4889" s="10"/>
      <c r="G4889" s="10"/>
      <c r="H4889" s="10"/>
      <c r="I4889" s="10"/>
      <c r="J4889" s="10"/>
      <c r="K4889" s="10"/>
      <c r="L4889" s="10"/>
      <c r="M4889" s="10"/>
      <c r="N4889" s="10"/>
      <c r="O4889" s="10"/>
      <c r="P4889" s="10"/>
      <c r="Q4889" s="10"/>
      <c r="R4889" s="10"/>
      <c r="S4889" s="10"/>
      <c r="T4889" s="10"/>
      <c r="U4889" s="10"/>
      <c r="V4889" s="10"/>
      <c r="W4889" s="10"/>
      <c r="X4889" s="10"/>
      <c r="Y4889" s="10"/>
      <c r="Z4889" s="10"/>
    </row>
    <row r="4890" spans="1:26" ht="12.75">
      <c r="A4890" s="10" t="str">
        <f ca="1">IFERROR(__xludf.DUMMYFUNCTION("""COMPUTED_VALUE"""),"Люба Дражева Цветкова")</f>
        <v>Люба Дражева Цветкова</v>
      </c>
      <c r="B4890" s="10" t="str">
        <f ca="1">IFERROR(__xludf.DUMMYFUNCTION("""COMPUTED_VALUE"""),"Доклад от конференция")</f>
        <v>Доклад от конференция</v>
      </c>
      <c r="C4890" s="10" t="str">
        <f ca="1">IFERROR(__xludf.DUMMYFUNCTION("""COMPUTED_VALUE"""),"Документално-словесните извори (IX-XIX в.) и българското възрожденско общество")</f>
        <v>Документално-словесните извори (IX-XIX в.) и българското възрожденско общество</v>
      </c>
      <c r="D4890" s="10">
        <f ca="1">IFERROR(__xludf.DUMMYFUNCTION("""COMPUTED_VALUE"""),2016)</f>
        <v>2016</v>
      </c>
      <c r="E4890" s="10" t="str">
        <f ca="1">IFERROR(__xludf.DUMMYFUNCTION("""COMPUTED_VALUE"""),"Обществото на знанието и хуманизмът на XXI век : национална научна конференция с международно участие, София, За буквите - О писменех.- 2016, с. 189-197 ISSN: 1314-7099")</f>
        <v>Обществото на знанието и хуманизмът на XXI век : национална научна конференция с международно участие, София, За буквите - О писменех.- 2016, с. 189-197 ISSN: 1314-7099</v>
      </c>
      <c r="F4890" s="28" t="str">
        <f ca="1">IFERROR(__xludf.DUMMYFUNCTION("""COMPUTED_VALUE"""),"COBISS.BG")</f>
        <v>COBISS.BG</v>
      </c>
      <c r="G4890" s="10"/>
      <c r="H4890" s="10"/>
      <c r="I4890" s="10"/>
      <c r="J4890" s="10"/>
      <c r="K4890" s="10"/>
      <c r="L4890" s="10"/>
      <c r="M4890" s="10"/>
      <c r="N4890" s="10"/>
      <c r="O4890" s="10"/>
      <c r="P4890" s="10"/>
      <c r="Q4890" s="10"/>
      <c r="R4890" s="10"/>
      <c r="S4890" s="10"/>
      <c r="T4890" s="10"/>
      <c r="U4890" s="10"/>
      <c r="V4890" s="10"/>
      <c r="W4890" s="10"/>
      <c r="X4890" s="10"/>
      <c r="Y4890" s="10"/>
      <c r="Z4890" s="10"/>
    </row>
    <row r="4891" spans="1:26" ht="12.75">
      <c r="A4891" s="10" t="str">
        <f ca="1">IFERROR(__xludf.DUMMYFUNCTION("""COMPUTED_VALUE"""),"Люба Дражева Цветкова")</f>
        <v>Люба Дражева Цветкова</v>
      </c>
      <c r="B4891" s="10" t="str">
        <f ca="1">IFERROR(__xludf.DUMMYFUNCTION("""COMPUTED_VALUE"""),"Доклад от конференция")</f>
        <v>Доклад от конференция</v>
      </c>
      <c r="C4891" s="10" t="str">
        <f ca="1">IFERROR(__xludf.DUMMYFUNCTION("""COMPUTED_VALUE"""),"Средства и форми за защита и запазване на писмените исторически извори")</f>
        <v>Средства и форми за защита и запазване на писмените исторически извори</v>
      </c>
      <c r="D4891" s="10">
        <f ca="1">IFERROR(__xludf.DUMMYFUNCTION("""COMPUTED_VALUE"""),2016)</f>
        <v>2016</v>
      </c>
      <c r="E4891" s="10" t="str">
        <f ca="1">IFERROR(__xludf.DUMMYFUNCTION("""COMPUTED_VALUE"""),"GLORIA BIBLIOSPHERAE (Нишката на Ариадна) Изследвания в чест на акад. проф. Александра Куманова: Юбилеен сборник по случай 65 години от основаването на УниБИТ. София. За буквите – О писменехь. 2016, с. 1011-1015. ISBN 978-619-185-211-6")</f>
        <v>GLORIA BIBLIOSPHERAE (Нишката на Ариадна) Изследвания в чест на акад. проф. Александра Куманова: Юбилеен сборник по случай 65 години от основаването на УниБИТ. София. За буквите – О писменехь. 2016, с. 1011-1015. ISBN 978-619-185-211-6</v>
      </c>
      <c r="F4891" s="10"/>
      <c r="G4891" s="10"/>
      <c r="H4891" s="10"/>
      <c r="I4891" s="10"/>
      <c r="J4891" s="10"/>
      <c r="K4891" s="10"/>
      <c r="L4891" s="10"/>
      <c r="M4891" s="10"/>
      <c r="N4891" s="10"/>
      <c r="O4891" s="10"/>
      <c r="P4891" s="10"/>
      <c r="Q4891" s="10"/>
      <c r="R4891" s="10"/>
      <c r="S4891" s="10"/>
      <c r="T4891" s="10"/>
      <c r="U4891" s="10"/>
      <c r="V4891" s="10"/>
      <c r="W4891" s="10"/>
      <c r="X4891" s="10"/>
      <c r="Y4891" s="10"/>
      <c r="Z4891" s="10"/>
    </row>
    <row r="4892" spans="1:26" ht="12.75">
      <c r="A4892" s="10" t="str">
        <f ca="1">IFERROR(__xludf.DUMMYFUNCTION("""COMPUTED_VALUE"""),"Люба Дражева Цветкова")</f>
        <v>Люба Дражева Цветкова</v>
      </c>
      <c r="B4892" s="10" t="str">
        <f ca="1">IFERROR(__xludf.DUMMYFUNCTION("""COMPUTED_VALUE"""),"Статия в списания и поредици")</f>
        <v>Статия в списания и поредици</v>
      </c>
      <c r="C4892" s="10" t="str">
        <f ca="1">IFERROR(__xludf.DUMMYFUNCTION("""COMPUTED_VALUE"""),"Международната научна и културна общност и ръкописно-документалното наследство")</f>
        <v>Международната научна и културна общност и ръкописно-документалното наследство</v>
      </c>
      <c r="D4892" s="10">
        <f ca="1">IFERROR(__xludf.DUMMYFUNCTION("""COMPUTED_VALUE"""),2016)</f>
        <v>2016</v>
      </c>
      <c r="E4892" s="10" t="str">
        <f ca="1">IFERROR(__xludf.DUMMYFUNCTION("""COMPUTED_VALUE"""),"Съвременни измерения на европейското образователно и научно пространство : сборник с доклади..- T. 4 (2016), с. 73-78 ISSN: 2367-7988")</f>
        <v>Съвременни измерения на европейското образователно и научно пространство : сборник с доклади..- T. 4 (2016), с. 73-78 ISSN: 2367-7988</v>
      </c>
      <c r="F4892" s="28" t="str">
        <f ca="1">IFERROR(__xludf.DUMMYFUNCTION("""COMPUTED_VALUE"""),"COBISS.BG")</f>
        <v>COBISS.BG</v>
      </c>
      <c r="G4892" s="10"/>
      <c r="H4892" s="10"/>
      <c r="I4892" s="10"/>
      <c r="J4892" s="10"/>
      <c r="K4892" s="10"/>
      <c r="L4892" s="10"/>
      <c r="M4892" s="10"/>
      <c r="N4892" s="10"/>
      <c r="O4892" s="10"/>
      <c r="P4892" s="10"/>
      <c r="Q4892" s="10"/>
      <c r="R4892" s="10"/>
      <c r="S4892" s="10"/>
      <c r="T4892" s="10"/>
      <c r="U4892" s="10"/>
      <c r="V4892" s="10"/>
      <c r="W4892" s="10"/>
      <c r="X4892" s="10"/>
      <c r="Y4892" s="10"/>
      <c r="Z4892" s="10"/>
    </row>
    <row r="4893" spans="1:26" ht="12.75">
      <c r="A4893" s="10" t="str">
        <f ca="1">IFERROR(__xludf.DUMMYFUNCTION("""COMPUTED_VALUE"""),"Люба Дражева Цветкова")</f>
        <v>Люба Дражева Цветкова</v>
      </c>
      <c r="B4893" s="10" t="str">
        <f ca="1">IFERROR(__xludf.DUMMYFUNCTION("""COMPUTED_VALUE"""),"Доклад от конференция")</f>
        <v>Доклад от конференция</v>
      </c>
      <c r="C4893" s="10" t="str">
        <f ca="1">IFERROR(__xludf.DUMMYFUNCTION("""COMPUTED_VALUE"""),"Издателски системи – варианти, възможности, перспективи")</f>
        <v>Издателски системи – варианти, възможности, перспективи</v>
      </c>
      <c r="D4893" s="10">
        <f ca="1">IFERROR(__xludf.DUMMYFUNCTION("""COMPUTED_VALUE"""),2014)</f>
        <v>2014</v>
      </c>
      <c r="E4893" s="10" t="str">
        <f ca="1">IFERROR(__xludf.DUMMYFUNCTION("""COMPUTED_VALUE"""),"Младите в науката - инвестиция в бъдещето : сборник с доклади от международна научна конференция, София - Пловдив, 18-20.10.2013 г. София, За буквите - О писменехь. 2014, с. 255-258. ISBN 978-619-185-132-4")</f>
        <v>Младите в науката - инвестиция в бъдещето : сборник с доклади от международна научна конференция, София - Пловдив, 18-20.10.2013 г. София, За буквите - О писменехь. 2014, с. 255-258. ISBN 978-619-185-132-4</v>
      </c>
      <c r="F4893" s="10"/>
      <c r="G4893" s="10"/>
      <c r="H4893" s="10"/>
      <c r="I4893" s="10"/>
      <c r="J4893" s="10"/>
      <c r="K4893" s="10"/>
      <c r="L4893" s="10"/>
      <c r="M4893" s="10"/>
      <c r="N4893" s="10"/>
      <c r="O4893" s="10"/>
      <c r="P4893" s="10"/>
      <c r="Q4893" s="10"/>
      <c r="R4893" s="10"/>
      <c r="S4893" s="10"/>
      <c r="T4893" s="10"/>
      <c r="U4893" s="10"/>
      <c r="V4893" s="10"/>
      <c r="W4893" s="10"/>
      <c r="X4893" s="10"/>
      <c r="Y4893" s="10"/>
      <c r="Z4893" s="10"/>
    </row>
    <row r="4894" spans="1:26" ht="12.75">
      <c r="A4894" s="10" t="str">
        <f ca="1">IFERROR(__xludf.DUMMYFUNCTION("""COMPUTED_VALUE"""),"Люба Дражева Цветкова")</f>
        <v>Люба Дражева Цветкова</v>
      </c>
      <c r="B4894" s="10" t="str">
        <f ca="1">IFERROR(__xludf.DUMMYFUNCTION("""COMPUTED_VALUE"""),"Доклад от конференция")</f>
        <v>Доклад от конференция</v>
      </c>
      <c r="C4894" s="10" t="str">
        <f ca="1">IFERROR(__xludf.DUMMYFUNCTION("""COMPUTED_VALUE"""),"Документалните издания - част от книжовното многообразие")</f>
        <v>Документалните издания - част от книжовното многообразие</v>
      </c>
      <c r="D4894" s="10">
        <f ca="1">IFERROR(__xludf.DUMMYFUNCTION("""COMPUTED_VALUE"""),2014)</f>
        <v>2014</v>
      </c>
      <c r="E4894" s="10" t="str">
        <f ca="1">IFERROR(__xludf.DUMMYFUNCTION("""COMPUTED_VALUE"""),"Обществото на знанието и хуманизмът на XXI век : национална научна конференция с международно участие. София. За буквите: О писменех. 2014 с. 122-129")</f>
        <v>Обществото на знанието и хуманизмът на XXI век : национална научна конференция с международно участие. София. За буквите: О писменех. 2014 с. 122-129</v>
      </c>
      <c r="F4894" s="10"/>
      <c r="G4894" s="10"/>
      <c r="H4894" s="10"/>
      <c r="I4894" s="10"/>
      <c r="J4894" s="10"/>
      <c r="K4894" s="10"/>
      <c r="L4894" s="10"/>
      <c r="M4894" s="10"/>
      <c r="N4894" s="10"/>
      <c r="O4894" s="10"/>
      <c r="P4894" s="10"/>
      <c r="Q4894" s="10"/>
      <c r="R4894" s="10"/>
      <c r="S4894" s="10"/>
      <c r="T4894" s="10"/>
      <c r="U4894" s="10"/>
      <c r="V4894" s="10"/>
      <c r="W4894" s="10"/>
      <c r="X4894" s="10"/>
      <c r="Y4894" s="10"/>
      <c r="Z4894" s="10"/>
    </row>
    <row r="4895" spans="1:26" ht="12.75">
      <c r="A4895" s="10" t="str">
        <f ca="1">IFERROR(__xludf.DUMMYFUNCTION("""COMPUTED_VALUE"""),"Люба Дражева Цветкова")</f>
        <v>Люба Дражева Цветкова</v>
      </c>
      <c r="B4895" s="10" t="str">
        <f ca="1">IFERROR(__xludf.DUMMYFUNCTION("""COMPUTED_VALUE"""),"Статия в списания и поредици")</f>
        <v>Статия в списания и поредици</v>
      </c>
      <c r="C4895" s="10" t="str">
        <f ca="1">IFERROR(__xludf.DUMMYFUNCTION("""COMPUTED_VALUE"""),"Неконвенционални печатни технологии")</f>
        <v>Неконвенционални печатни технологии</v>
      </c>
      <c r="D4895" s="10">
        <f ca="1">IFERROR(__xludf.DUMMYFUNCTION("""COMPUTED_VALUE"""),2013)</f>
        <v>2013</v>
      </c>
      <c r="E4895" s="10" t="str">
        <f ca="1">IFERROR(__xludf.DUMMYFUNCTION("""COMPUTED_VALUE"""),"Обществото на знанието и хуманизмът на XXI век: национална научна конференция с международно участие. 2013, с. 166-170. ISSN 1314-7099")</f>
        <v>Обществото на знанието и хуманизмът на XXI век: национална научна конференция с международно участие. 2013, с. 166-170. ISSN 1314-7099</v>
      </c>
      <c r="F4895" s="10"/>
      <c r="G4895" s="10"/>
      <c r="H4895" s="10"/>
      <c r="I4895" s="10"/>
      <c r="J4895" s="10"/>
      <c r="K4895" s="10"/>
      <c r="L4895" s="10"/>
      <c r="M4895" s="10"/>
      <c r="N4895" s="10"/>
      <c r="O4895" s="10"/>
      <c r="P4895" s="10"/>
      <c r="Q4895" s="10"/>
      <c r="R4895" s="10"/>
      <c r="S4895" s="10"/>
      <c r="T4895" s="10"/>
      <c r="U4895" s="10"/>
      <c r="V4895" s="10"/>
      <c r="W4895" s="10"/>
      <c r="X4895" s="10"/>
      <c r="Y4895" s="10"/>
      <c r="Z4895" s="10"/>
    </row>
    <row r="4896" spans="1:26" ht="12.75">
      <c r="A4896" s="10" t="str">
        <f ca="1">IFERROR(__xludf.DUMMYFUNCTION("""COMPUTED_VALUE"""),"Люба Дражева Цветкова")</f>
        <v>Люба Дражева Цветкова</v>
      </c>
      <c r="B4896" s="10" t="str">
        <f ca="1">IFERROR(__xludf.DUMMYFUNCTION("""COMPUTED_VALUE"""),"Статия в списания и поредици")</f>
        <v>Статия в списания и поредици</v>
      </c>
      <c r="C4896" s="10" t="str">
        <f ca="1">IFERROR(__xludf.DUMMYFUNCTION("""COMPUTED_VALUE"""),"Печатната словесност у нас през първата половина на ХХ век и книгоиздателство ""Стоян Ст. Атанасов""")</f>
        <v>Печатната словесност у нас през първата половина на ХХ век и книгоиздателство "Стоян Ст. Атанасов"</v>
      </c>
      <c r="D4896" s="10">
        <f ca="1">IFERROR(__xludf.DUMMYFUNCTION("""COMPUTED_VALUE"""),2012)</f>
        <v>2012</v>
      </c>
      <c r="E4896" s="10" t="str">
        <f ca="1">IFERROR(__xludf.DUMMYFUNCTION("""COMPUTED_VALUE"""),"Трудове на Специализираното висше училище по библиотекознание и информационни технологии. 2012. с. 125-136. ISSN 1312-5834")</f>
        <v>Трудове на Специализираното висше училище по библиотекознание и информационни технологии. 2012. с. 125-136. ISSN 1312-5834</v>
      </c>
      <c r="F4896" s="10"/>
      <c r="G4896" s="10"/>
      <c r="H4896" s="10"/>
      <c r="I4896" s="10"/>
      <c r="J4896" s="10"/>
      <c r="K4896" s="10"/>
      <c r="L4896" s="10"/>
      <c r="M4896" s="10"/>
      <c r="N4896" s="10"/>
      <c r="O4896" s="10"/>
      <c r="P4896" s="10"/>
      <c r="Q4896" s="10"/>
      <c r="R4896" s="10"/>
      <c r="S4896" s="10"/>
      <c r="T4896" s="10"/>
      <c r="U4896" s="10"/>
      <c r="V4896" s="10"/>
      <c r="W4896" s="10"/>
      <c r="X4896" s="10"/>
      <c r="Y4896" s="10"/>
      <c r="Z4896" s="10"/>
    </row>
    <row r="4897" spans="1:26" ht="12.75">
      <c r="A4897" s="10" t="str">
        <f ca="1">IFERROR(__xludf.DUMMYFUNCTION("""COMPUTED_VALUE"""),"Люба Дражева Цветкова")</f>
        <v>Люба Дражева Цветкова</v>
      </c>
      <c r="B4897" s="10" t="str">
        <f ca="1">IFERROR(__xludf.DUMMYFUNCTION("""COMPUTED_VALUE"""),"Статия в списания и поредици")</f>
        <v>Статия в списания и поредици</v>
      </c>
      <c r="C4897" s="10" t="str">
        <f ca="1">IFERROR(__xludf.DUMMYFUNCTION("""COMPUTED_VALUE"""),"Александър Паскалев - основоположник на модерното българско книгоиздаване")</f>
        <v>Александър Паскалев - основоположник на модерното българско книгоиздаване</v>
      </c>
      <c r="D4897" s="10">
        <f ca="1">IFERROR(__xludf.DUMMYFUNCTION("""COMPUTED_VALUE"""),2010)</f>
        <v>2010</v>
      </c>
      <c r="E4897" s="10" t="str">
        <f ca="1">IFERROR(__xludf.DUMMYFUNCTION("""COMPUTED_VALUE"""),"Трудове на Специализираното висше училище по библиотекознание и информационни технологии.- T. 8 (2010), с. 197-207 ISSN: 1312-5834")</f>
        <v>Трудове на Специализираното висше училище по библиотекознание и информационни технологии.- T. 8 (2010), с. 197-207 ISSN: 1312-5834</v>
      </c>
      <c r="F4897" s="28" t="str">
        <f ca="1">IFERROR(__xludf.DUMMYFUNCTION("""COMPUTED_VALUE"""),"COBISS.BG")</f>
        <v>COBISS.BG</v>
      </c>
      <c r="G4897" s="10"/>
      <c r="H4897" s="10"/>
      <c r="I4897" s="10"/>
      <c r="J4897" s="10"/>
      <c r="K4897" s="10"/>
      <c r="L4897" s="10"/>
      <c r="M4897" s="10"/>
      <c r="N4897" s="10"/>
      <c r="O4897" s="10"/>
      <c r="P4897" s="10"/>
      <c r="Q4897" s="10"/>
      <c r="R4897" s="10"/>
      <c r="S4897" s="10"/>
      <c r="T4897" s="10"/>
      <c r="U4897" s="10"/>
      <c r="V4897" s="10"/>
      <c r="W4897" s="10"/>
      <c r="X4897" s="10"/>
      <c r="Y4897" s="10"/>
      <c r="Z4897" s="10"/>
    </row>
    <row r="4898" spans="1:26" ht="12.75">
      <c r="A4898" s="10" t="str">
        <f ca="1">IFERROR(__xludf.DUMMYFUNCTION("""COMPUTED_VALUE"""),"Люба Дражева Цветкова")</f>
        <v>Люба Дражева Цветкова</v>
      </c>
      <c r="B4898" s="10" t="str">
        <f ca="1">IFERROR(__xludf.DUMMYFUNCTION("""COMPUTED_VALUE"""),"Книга")</f>
        <v>Книга</v>
      </c>
      <c r="C4898" s="10" t="str">
        <f ca="1">IFERROR(__xludf.DUMMYFUNCTION("""COMPUTED_VALUE"""),"Новата информационна среда и книгоиздателските процеси - въздействие, промени, последици")</f>
        <v>Новата информационна среда и книгоиздателските процеси - въздействие, промени, последици</v>
      </c>
      <c r="D4898" s="10">
        <f ca="1">IFERROR(__xludf.DUMMYFUNCTION("""COMPUTED_VALUE"""),2009)</f>
        <v>2009</v>
      </c>
      <c r="E4898" s="10" t="str">
        <f ca="1">IFERROR(__xludf.DUMMYFUNCTION("""COMPUTED_VALUE"""),"[София] : Софттрейд, [2009] ([София] : [Симолини 94]), 2009 с. 120 ISBN 978-954-334-090-3")</f>
        <v>[София] : Софттрейд, [2009] ([София] : [Симолини 94]), 2009 с. 120 ISBN 978-954-334-090-3</v>
      </c>
      <c r="F4898" s="28" t="str">
        <f ca="1">IFERROR(__xludf.DUMMYFUNCTION("""COMPUTED_VALUE"""),"COBISS.BG")</f>
        <v>COBISS.BG</v>
      </c>
      <c r="G4898" s="10"/>
      <c r="H4898" s="10"/>
      <c r="I4898" s="10"/>
      <c r="J4898" s="10"/>
      <c r="K4898" s="10"/>
      <c r="L4898" s="10"/>
      <c r="M4898" s="10"/>
      <c r="N4898" s="10"/>
      <c r="O4898" s="10"/>
      <c r="P4898" s="10"/>
      <c r="Q4898" s="10"/>
      <c r="R4898" s="10"/>
      <c r="S4898" s="10"/>
      <c r="T4898" s="10"/>
      <c r="U4898" s="10"/>
      <c r="V4898" s="10"/>
      <c r="W4898" s="10"/>
      <c r="X4898" s="10"/>
      <c r="Y4898" s="10"/>
      <c r="Z4898" s="10"/>
    </row>
    <row r="4899" spans="1:26" ht="12.75">
      <c r="A4899" s="10" t="str">
        <f ca="1">IFERROR(__xludf.DUMMYFUNCTION("""COMPUTED_VALUE"""),"Люба Дражева Цветкова")</f>
        <v>Люба Дражева Цветкова</v>
      </c>
      <c r="B4899" s="10" t="str">
        <f ca="1">IFERROR(__xludf.DUMMYFUNCTION("""COMPUTED_VALUE"""),"Статия в списания и поредици")</f>
        <v>Статия в списания и поредици</v>
      </c>
      <c r="C4899" s="10" t="str">
        <f ca="1">IFERROR(__xludf.DUMMYFUNCTION("""COMPUTED_VALUE"""),"Издателско-търговската библиография от Освобождението на България до средата на ХХ век")</f>
        <v>Издателско-търговската библиография от Освобождението на България до средата на ХХ век</v>
      </c>
      <c r="D4899" s="10">
        <f ca="1">IFERROR(__xludf.DUMMYFUNCTION("""COMPUTED_VALUE"""),2008)</f>
        <v>2008</v>
      </c>
      <c r="E4899" s="10" t="str">
        <f ca="1">IFERROR(__xludf.DUMMYFUNCTION("""COMPUTED_VALUE"""),"Трудове на Специализираното висше училище по библиотекознание и информационни технологии.- T. 7 (2008), с. 215-225 ISSN: 1312-5834")</f>
        <v>Трудове на Специализираното висше училище по библиотекознание и информационни технологии.- T. 7 (2008), с. 215-225 ISSN: 1312-5834</v>
      </c>
      <c r="F4899" s="28" t="str">
        <f ca="1">IFERROR(__xludf.DUMMYFUNCTION("""COMPUTED_VALUE"""),"COBISS.BG")</f>
        <v>COBISS.BG</v>
      </c>
      <c r="G4899" s="10"/>
      <c r="H4899" s="10"/>
      <c r="I4899" s="10"/>
      <c r="J4899" s="10"/>
      <c r="K4899" s="10"/>
      <c r="L4899" s="10"/>
      <c r="M4899" s="10"/>
      <c r="N4899" s="10"/>
      <c r="O4899" s="10"/>
      <c r="P4899" s="10"/>
      <c r="Q4899" s="10"/>
      <c r="R4899" s="10"/>
      <c r="S4899" s="10"/>
      <c r="T4899" s="10"/>
      <c r="U4899" s="10"/>
      <c r="V4899" s="10"/>
      <c r="W4899" s="10"/>
      <c r="X4899" s="10"/>
      <c r="Y4899" s="10"/>
      <c r="Z4899" s="10"/>
    </row>
    <row r="4900" spans="1:26" ht="12.75">
      <c r="A4900" s="10" t="str">
        <f ca="1">IFERROR(__xludf.DUMMYFUNCTION("""COMPUTED_VALUE"""),"Люба Дражева Цветкова")</f>
        <v>Люба Дражева Цветкова</v>
      </c>
      <c r="B4900" s="10" t="str">
        <f ca="1">IFERROR(__xludf.DUMMYFUNCTION("""COMPUTED_VALUE"""),"Статия в списания и поредици")</f>
        <v>Статия в списания и поредици</v>
      </c>
      <c r="C4900" s="10" t="str">
        <f ca="1">IFERROR(__xludf.DUMMYFUNCTION("""COMPUTED_VALUE"""),"Каталозите ""Books in print"" в електронна информационна среда")</f>
        <v>Каталозите "Books in print" в електронна информационна среда</v>
      </c>
      <c r="D4900" s="10">
        <f ca="1">IFERROR(__xludf.DUMMYFUNCTION("""COMPUTED_VALUE"""),2008)</f>
        <v>2008</v>
      </c>
      <c r="E4900" s="10" t="str">
        <f ca="1">IFERROR(__xludf.DUMMYFUNCTION("""COMPUTED_VALUE"""),"Индустриален мениджмънт : Научно списание.- V, 10 (2008), с. 61-68 ISSN: 1312-3793")</f>
        <v>Индустриален мениджмънт : Научно списание.- V, 10 (2008), с. 61-68 ISSN: 1312-3793</v>
      </c>
      <c r="F4900" s="28" t="str">
        <f ca="1">IFERROR(__xludf.DUMMYFUNCTION("""COMPUTED_VALUE"""),"COBISS.BG")</f>
        <v>COBISS.BG</v>
      </c>
      <c r="G4900" s="10"/>
      <c r="H4900" s="10"/>
      <c r="I4900" s="10"/>
      <c r="J4900" s="10"/>
      <c r="K4900" s="10"/>
      <c r="L4900" s="10"/>
      <c r="M4900" s="10"/>
      <c r="N4900" s="10"/>
      <c r="O4900" s="10"/>
      <c r="P4900" s="10"/>
      <c r="Q4900" s="10"/>
      <c r="R4900" s="10"/>
      <c r="S4900" s="10"/>
      <c r="T4900" s="10"/>
      <c r="U4900" s="10"/>
      <c r="V4900" s="10"/>
      <c r="W4900" s="10"/>
      <c r="X4900" s="10"/>
      <c r="Y4900" s="10"/>
      <c r="Z4900" s="10"/>
    </row>
    <row r="4901" spans="1:26" ht="12.75">
      <c r="A4901" s="10" t="str">
        <f ca="1">IFERROR(__xludf.DUMMYFUNCTION("""COMPUTED_VALUE"""),"Люба Дражева Цветкова")</f>
        <v>Люба Дражева Цветкова</v>
      </c>
      <c r="B4901" s="10" t="str">
        <f ca="1">IFERROR(__xludf.DUMMYFUNCTION("""COMPUTED_VALUE"""),"Статия в списания и поредици")</f>
        <v>Статия в списания и поредици</v>
      </c>
      <c r="C4901" s="10" t="str">
        <f ca="1">IFERROR(__xludf.DUMMYFUNCTION("""COMPUTED_VALUE"""),"Книгоиздаване и издателско-търговска библиография от 1944 година до първите години на преход към пазарно стопанство")</f>
        <v>Книгоиздаване и издателско-търговска библиография от 1944 година до първите години на преход към пазарно стопанство</v>
      </c>
      <c r="D4901" s="10">
        <f ca="1">IFERROR(__xludf.DUMMYFUNCTION("""COMPUTED_VALUE"""),2008)</f>
        <v>2008</v>
      </c>
      <c r="E4901" s="10" t="str">
        <f ca="1">IFERROR(__xludf.DUMMYFUNCTION("""COMPUTED_VALUE"""),"Издател : научно списание за книгата ISSN: 1310-4624.- X, 3-4 (2008), с. 18-22")</f>
        <v>Издател : научно списание за книгата ISSN: 1310-4624.- X, 3-4 (2008), с. 18-22</v>
      </c>
      <c r="F4901" s="28" t="str">
        <f ca="1">IFERROR(__xludf.DUMMYFUNCTION("""COMPUTED_VALUE"""),"COBISS.BG")</f>
        <v>COBISS.BG</v>
      </c>
      <c r="G4901" s="10"/>
      <c r="H4901" s="10"/>
      <c r="I4901" s="10"/>
      <c r="J4901" s="10"/>
      <c r="K4901" s="10"/>
      <c r="L4901" s="10"/>
      <c r="M4901" s="10"/>
      <c r="N4901" s="10"/>
      <c r="O4901" s="10"/>
      <c r="P4901" s="10"/>
      <c r="Q4901" s="10"/>
      <c r="R4901" s="10"/>
      <c r="S4901" s="10"/>
      <c r="T4901" s="10"/>
      <c r="U4901" s="10"/>
      <c r="V4901" s="10"/>
      <c r="W4901" s="10"/>
      <c r="X4901" s="10"/>
      <c r="Y4901" s="10"/>
      <c r="Z4901" s="10"/>
    </row>
    <row r="4902" spans="1:26" ht="12.75">
      <c r="A4902" s="10" t="str">
        <f ca="1">IFERROR(__xludf.DUMMYFUNCTION("""COMPUTED_VALUE"""),"Люба Дражева Цветкова")</f>
        <v>Люба Дражева Цветкова</v>
      </c>
      <c r="B4902" s="10" t="str">
        <f ca="1">IFERROR(__xludf.DUMMYFUNCTION("""COMPUTED_VALUE"""),"Книга")</f>
        <v>Книга</v>
      </c>
      <c r="C4902" s="10" t="str">
        <f ca="1">IFERROR(__xludf.DUMMYFUNCTION("""COMPUTED_VALUE"""),"Българската национално-информационна система на архивите - постижения, проблеми, перспективи на развитие")</f>
        <v>Българската национално-информационна система на архивите - постижения, проблеми, перспективи на развитие</v>
      </c>
      <c r="D4902" s="10">
        <f ca="1">IFERROR(__xludf.DUMMYFUNCTION("""COMPUTED_VALUE"""),2007)</f>
        <v>2007</v>
      </c>
      <c r="E4902" s="10" t="str">
        <f ca="1">IFERROR(__xludf.DUMMYFUNCTION("""COMPUTED_VALUE"""),"София : Софттрейд, 2007 ([София : Симолини 94]). 2007 100 с. ISBN 978-954-334-065-1")</f>
        <v>София : Софттрейд, 2007 ([София : Симолини 94]). 2007 100 с. ISBN 978-954-334-065-1</v>
      </c>
      <c r="F4902" s="10"/>
      <c r="G4902" s="10"/>
      <c r="H4902" s="10"/>
      <c r="I4902" s="10"/>
      <c r="J4902" s="10"/>
      <c r="K4902" s="10"/>
      <c r="L4902" s="10"/>
      <c r="M4902" s="10"/>
      <c r="N4902" s="10"/>
      <c r="O4902" s="10"/>
      <c r="P4902" s="10"/>
      <c r="Q4902" s="10"/>
      <c r="R4902" s="10"/>
      <c r="S4902" s="10"/>
      <c r="T4902" s="10"/>
      <c r="U4902" s="10"/>
      <c r="V4902" s="10"/>
      <c r="W4902" s="10"/>
      <c r="X4902" s="10"/>
      <c r="Y4902" s="10"/>
      <c r="Z4902" s="10"/>
    </row>
    <row r="4903" spans="1:26" ht="12.75">
      <c r="A4903" s="10" t="str">
        <f ca="1">IFERROR(__xludf.DUMMYFUNCTION("""COMPUTED_VALUE"""),"Люба Дражева Цветкова")</f>
        <v>Люба Дражева Цветкова</v>
      </c>
      <c r="B4903" s="10" t="str">
        <f ca="1">IFERROR(__xludf.DUMMYFUNCTION("""COMPUTED_VALUE"""),"Статия в списания и поредици")</f>
        <v>Статия в списания и поредици</v>
      </c>
      <c r="C4903" s="10" t="str">
        <f ca="1">IFERROR(__xludf.DUMMYFUNCTION("""COMPUTED_VALUE"""),"Книгоиздателски и книгоразпространителски професионални области - начало и развой до Освобождението на България")</f>
        <v>Книгоиздателски и книгоразпространителски професионални области - начало и развой до Освобождението на България</v>
      </c>
      <c r="D4903" s="10">
        <f ca="1">IFERROR(__xludf.DUMMYFUNCTION("""COMPUTED_VALUE"""),2006)</f>
        <v>2006</v>
      </c>
      <c r="E4903" s="10" t="str">
        <f ca="1">IFERROR(__xludf.DUMMYFUNCTION("""COMPUTED_VALUE"""),"Издател : научно списание за книгата.- VIII, 1-2 (2006), с. 63-69 ISSN: 1310-4624")</f>
        <v>Издател : научно списание за книгата.- VIII, 1-2 (2006), с. 63-69 ISSN: 1310-4624</v>
      </c>
      <c r="F4903" s="28" t="str">
        <f ca="1">IFERROR(__xludf.DUMMYFUNCTION("""COMPUTED_VALUE"""),"COBISS.BG")</f>
        <v>COBISS.BG</v>
      </c>
      <c r="G4903" s="10"/>
      <c r="H4903" s="10"/>
      <c r="I4903" s="10"/>
      <c r="J4903" s="10"/>
      <c r="K4903" s="10"/>
      <c r="L4903" s="10"/>
      <c r="M4903" s="10"/>
      <c r="N4903" s="10"/>
      <c r="O4903" s="10"/>
      <c r="P4903" s="10"/>
      <c r="Q4903" s="10"/>
      <c r="R4903" s="10"/>
      <c r="S4903" s="10"/>
      <c r="T4903" s="10"/>
      <c r="U4903" s="10"/>
      <c r="V4903" s="10"/>
      <c r="W4903" s="10"/>
      <c r="X4903" s="10"/>
      <c r="Y4903" s="10"/>
      <c r="Z4903" s="10"/>
    </row>
    <row r="4904" spans="1:26" ht="12.75">
      <c r="A4904" s="10" t="str">
        <f ca="1">IFERROR(__xludf.DUMMYFUNCTION("""COMPUTED_VALUE"""),"Люба Дражева Цветкова")</f>
        <v>Люба Дражева Цветкова</v>
      </c>
      <c r="B4904" s="10" t="str">
        <f ca="1">IFERROR(__xludf.DUMMYFUNCTION("""COMPUTED_VALUE"""),"Статия в списания и поредици")</f>
        <v>Статия в списания и поредици</v>
      </c>
      <c r="C4904" s="10" t="str">
        <f ca="1">IFERROR(__xludf.DUMMYFUNCTION("""COMPUTED_VALUE"""),"Информационни ресурси за научноизследователска дейност, достъпни в [българска] електронна среда")</f>
        <v>Информационни ресурси за научноизследователска дейност, достъпни в [българска] електронна среда</v>
      </c>
      <c r="D4904" s="10">
        <f ca="1">IFERROR(__xludf.DUMMYFUNCTION("""COMPUTED_VALUE"""),2004)</f>
        <v>2004</v>
      </c>
      <c r="E4904" s="10" t="str">
        <f ca="1">IFERROR(__xludf.DUMMYFUNCTION("""COMPUTED_VALUE"""),"Списание на Българската академия на науките. XVII, № 3. 2004, с. 33-36. ISSN:0007-3989")</f>
        <v>Списание на Българската академия на науките. XVII, № 3. 2004, с. 33-36. ISSN:0007-3989</v>
      </c>
      <c r="F4904" s="10"/>
      <c r="G4904" s="10"/>
      <c r="H4904" s="10"/>
      <c r="I4904" s="10"/>
      <c r="J4904" s="10"/>
      <c r="K4904" s="10"/>
      <c r="L4904" s="10"/>
      <c r="M4904" s="10"/>
      <c r="N4904" s="10"/>
      <c r="O4904" s="10"/>
      <c r="P4904" s="10"/>
      <c r="Q4904" s="10"/>
      <c r="R4904" s="10"/>
      <c r="S4904" s="10"/>
      <c r="T4904" s="10"/>
      <c r="U4904" s="10"/>
      <c r="V4904" s="10"/>
      <c r="W4904" s="10"/>
      <c r="X4904" s="10"/>
      <c r="Y4904" s="10"/>
      <c r="Z4904" s="10"/>
    </row>
    <row r="4905" spans="1:26" ht="12.75">
      <c r="A4905" s="10" t="str">
        <f ca="1">IFERROR(__xludf.DUMMYFUNCTION("""COMPUTED_VALUE"""),"Люба Дражева Цветкова")</f>
        <v>Люба Дражева Цветкова</v>
      </c>
      <c r="B4905" s="10" t="str">
        <f ca="1">IFERROR(__xludf.DUMMYFUNCTION("""COMPUTED_VALUE"""),"Доклад от конференция")</f>
        <v>Доклад от конференция</v>
      </c>
      <c r="C4905" s="10" t="str">
        <f ca="1">IFERROR(__xludf.DUMMYFUNCTION("""COMPUTED_VALUE"""),"Комуникация на учените в интернет среда – различия и предимства пред традиционните начини на обмен на информация")</f>
        <v>Комуникация на учените в интернет среда – различия и предимства пред традиционните начини на обмен на информация</v>
      </c>
      <c r="D4905" s="10">
        <f ca="1">IFERROR(__xludf.DUMMYFUNCTION("""COMPUTED_VALUE"""),2003)</f>
        <v>2003</v>
      </c>
      <c r="E4905" s="10" t="str">
        <f ca="1">IFERROR(__xludf.DUMMYFUNCTION("""COMPUTED_VALUE"""),"Библиотечното сътрудничество - настояще и бъдеще ; Идеи и проекти за изследвания в областта на писмените комуникации : СБИР : Доклади - XIII национална научна конференция, 5-6 юни 2003 г., София, ISBN 954-9837-10-6")</f>
        <v>Библиотечното сътрудничество - настояще и бъдеще ; Идеи и проекти за изследвания в областта на писмените комуникации : СБИР : Доклади - XIII национална научна конференция, 5-6 юни 2003 г., София, ISBN 954-9837-10-6</v>
      </c>
      <c r="F4905" s="10"/>
      <c r="G4905" s="10"/>
      <c r="H4905" s="10"/>
      <c r="I4905" s="10"/>
      <c r="J4905" s="10"/>
      <c r="K4905" s="10"/>
      <c r="L4905" s="10"/>
      <c r="M4905" s="10"/>
      <c r="N4905" s="10"/>
      <c r="O4905" s="10"/>
      <c r="P4905" s="10"/>
      <c r="Q4905" s="10"/>
      <c r="R4905" s="10"/>
      <c r="S4905" s="10"/>
      <c r="T4905" s="10"/>
      <c r="U4905" s="10"/>
      <c r="V4905" s="10"/>
      <c r="W4905" s="10"/>
      <c r="X4905" s="10"/>
      <c r="Y4905" s="10"/>
      <c r="Z4905" s="10"/>
    </row>
    <row r="4906" spans="1:26" ht="12.75">
      <c r="A4906" s="10" t="str">
        <f ca="1">IFERROR(__xludf.DUMMYFUNCTION("""COMPUTED_VALUE"""),"Любомир Иванов Гоцев")</f>
        <v>Любомир Иванов Гоцев</v>
      </c>
      <c r="B4906" s="10" t="str">
        <f ca="1">IFERROR(__xludf.DUMMYFUNCTION("""COMPUTED_VALUE"""),"Статия в списания и поредици")</f>
        <v>Статия в списания и поредици</v>
      </c>
      <c r="C4906" s="10" t="str">
        <f ca="1">IFERROR(__xludf.DUMMYFUNCTION("""COMPUTED_VALUE"""),"Big Data Framework overview.")</f>
        <v>Big Data Framework overview.</v>
      </c>
      <c r="D4906" s="10">
        <f ca="1">IFERROR(__xludf.DUMMYFUNCTION("""COMPUTED_VALUE"""),2020)</f>
        <v>2020</v>
      </c>
      <c r="E4906" s="10" t="str">
        <f ca="1">IFERROR(__xludf.DUMMYFUNCTION("""COMPUTED_VALUE"""),"Electrotechnica &amp; Electronica (Е+Е), Vol. 55 (1-2), 2020, pp.22-34, ISSN: 0861-4717 (Print), 2603-5421 (Online)")</f>
        <v>Electrotechnica &amp; Electronica (Е+Е), Vol. 55 (1-2), 2020, pp.22-34, ISSN: 0861-4717 (Print), 2603-5421 (Online)</v>
      </c>
      <c r="F4906" s="10" t="str">
        <f ca="1">IFERROR(__xludf.DUMMYFUNCTION("""COMPUTED_VALUE"""),"Google Scholar")</f>
        <v>Google Scholar</v>
      </c>
      <c r="G4906" s="10" t="str">
        <f ca="1">IFERROR(__xludf.DUMMYFUNCTION("""COMPUTED_VALUE"""),"Elena Shoikova, Roumen Nikolov, Eugenia Kovatcheva, Boyan Jekov")</f>
        <v>Elena Shoikova, Roumen Nikolov, Eugenia Kovatcheva, Boyan Jekov</v>
      </c>
      <c r="H4906" s="10"/>
      <c r="I4906" s="10"/>
      <c r="J4906" s="10"/>
      <c r="K4906" s="10"/>
      <c r="L4906" s="10"/>
      <c r="M4906" s="10"/>
      <c r="N4906" s="10"/>
      <c r="O4906" s="10"/>
      <c r="P4906" s="10"/>
      <c r="Q4906" s="10"/>
      <c r="R4906" s="10"/>
      <c r="S4906" s="10"/>
      <c r="T4906" s="10"/>
      <c r="U4906" s="10"/>
      <c r="V4906" s="10"/>
      <c r="W4906" s="10"/>
      <c r="X4906" s="10"/>
      <c r="Y4906" s="10"/>
      <c r="Z4906" s="10"/>
    </row>
    <row r="4907" spans="1:26" ht="12.75">
      <c r="A4907" s="10" t="str">
        <f ca="1">IFERROR(__xludf.DUMMYFUNCTION("""COMPUTED_VALUE"""),"Любомир Иванов Гоцев")</f>
        <v>Любомир Иванов Гоцев</v>
      </c>
      <c r="B4907" s="10" t="str">
        <f ca="1">IFERROR(__xludf.DUMMYFUNCTION("""COMPUTED_VALUE"""),"Доклад от конференция")</f>
        <v>Доклад от конференция</v>
      </c>
      <c r="C4907" s="10" t="str">
        <f ca="1">IFERROR(__xludf.DUMMYFUNCTION("""COMPUTED_VALUE"""),"A CASE – BASED LEARNING APPROACH IN BIG DATA KNOWLEDGE DOMAIN. EXPERIMENTAL LABORATORY SESSION IN DATA ANALYSIS AND APPLICATION PROGRAMMING INTERFACE")</f>
        <v>A CASE – BASED LEARNING APPROACH IN BIG DATA KNOWLEDGE DOMAIN. EXPERIMENTAL LABORATORY SESSION IN DATA ANALYSIS AND APPLICATION PROGRAMMING INTERFACE</v>
      </c>
      <c r="D4907" s="10">
        <f ca="1">IFERROR(__xludf.DUMMYFUNCTION("""COMPUTED_VALUE"""),2020)</f>
        <v>2020</v>
      </c>
      <c r="E4907" s="10" t="str">
        <f ca="1">IFERROR(__xludf.DUMMYFUNCTION("""COMPUTED_VALUE"""),"EDULEARN20 Proceedings, ISBN: 978-84-09-17979-4, pp. 7039-7049, DOI: 10.21125/edulearn.2020.1817")</f>
        <v>EDULEARN20 Proceedings, ISBN: 978-84-09-17979-4, pp. 7039-7049, DOI: 10.21125/edulearn.2020.1817</v>
      </c>
      <c r="F4907" s="10" t="str">
        <f ca="1">IFERROR(__xludf.DUMMYFUNCTION("""COMPUTED_VALUE"""),"Web of Science")</f>
        <v>Web of Science</v>
      </c>
      <c r="G4907" s="10" t="str">
        <f ca="1">IFERROR(__xludf.DUMMYFUNCTION("""COMPUTED_VALUE"""),"E. Shoikova")</f>
        <v>E. Shoikova</v>
      </c>
      <c r="H4907" s="10"/>
      <c r="I4907" s="10"/>
      <c r="J4907" s="10"/>
      <c r="K4907" s="10"/>
      <c r="L4907" s="10"/>
      <c r="M4907" s="10"/>
      <c r="N4907" s="10"/>
      <c r="O4907" s="10"/>
      <c r="P4907" s="10"/>
      <c r="Q4907" s="10"/>
      <c r="R4907" s="10"/>
      <c r="S4907" s="10"/>
      <c r="T4907" s="10"/>
      <c r="U4907" s="10"/>
      <c r="V4907" s="10"/>
      <c r="W4907" s="10"/>
      <c r="X4907" s="10"/>
      <c r="Y4907" s="10"/>
      <c r="Z4907" s="10"/>
    </row>
    <row r="4908" spans="1:26" ht="12.75">
      <c r="A4908" s="10" t="str">
        <f ca="1">IFERROR(__xludf.DUMMYFUNCTION("""COMPUTED_VALUE"""),"Любомира Петрова Парижкова")</f>
        <v>Любомира Петрова Парижкова</v>
      </c>
      <c r="B4908" s="10" t="str">
        <f ca="1">IFERROR(__xludf.DUMMYFUNCTION("""COMPUTED_VALUE"""),"Доклад от конференция")</f>
        <v>Доклад от конференция</v>
      </c>
      <c r="C4908" s="10" t="str">
        <f ca="1">IFERROR(__xludf.DUMMYFUNCTION("""COMPUTED_VALUE"""),"Some Results from a survey about forming digital literacy of 8 years old students")</f>
        <v>Some Results from a survey about forming digital literacy of 8 years old students</v>
      </c>
      <c r="D4908" s="10">
        <f ca="1">IFERROR(__xludf.DUMMYFUNCTION("""COMPUTED_VALUE"""),2020)</f>
        <v>2020</v>
      </c>
      <c r="E4908"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София, 2020, № 11, Т.1, с. 53-56.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София, 2020, № 11, Т.1, с. 53-56. ISSN 1314-1791</v>
      </c>
      <c r="F4908" s="10" t="str">
        <f ca="1">IFERROR(__xludf.DUMMYFUNCTION("""COMPUTED_VALUE"""),"Crossref, Google Scholar, НАЦИД")</f>
        <v>Crossref, Google Scholar, НАЦИД</v>
      </c>
      <c r="G4908" s="10"/>
      <c r="H4908" s="10"/>
      <c r="I4908" s="10"/>
      <c r="J4908" s="10"/>
      <c r="K4908" s="10"/>
      <c r="L4908" s="10"/>
      <c r="M4908" s="10"/>
      <c r="N4908" s="10"/>
      <c r="O4908" s="10"/>
      <c r="P4908" s="10"/>
      <c r="Q4908" s="10"/>
      <c r="R4908" s="10"/>
      <c r="S4908" s="10"/>
      <c r="T4908" s="10"/>
      <c r="U4908" s="10"/>
      <c r="V4908" s="10"/>
      <c r="W4908" s="10"/>
      <c r="X4908" s="10"/>
      <c r="Y4908" s="10"/>
      <c r="Z4908" s="10"/>
    </row>
    <row r="4909" spans="1:26" ht="12.75">
      <c r="A4909" s="10" t="str">
        <f ca="1">IFERROR(__xludf.DUMMYFUNCTION("""COMPUTED_VALUE"""),"Любомира Петрова Парижкова")</f>
        <v>Любомира Петрова Парижкова</v>
      </c>
      <c r="B4909" s="10" t="str">
        <f ca="1">IFERROR(__xludf.DUMMYFUNCTION("""COMPUTED_VALUE"""),"Статия в списания и поредици")</f>
        <v>Статия в списания и поредици</v>
      </c>
      <c r="C4909" s="10" t="str">
        <f ca="1">IFERROR(__xludf.DUMMYFUNCTION("""COMPUTED_VALUE"""),"Опит за осмисляне на онлайн преподаването по време на пандемия.")</f>
        <v>Опит за осмисляне на онлайн преподаването по време на пандемия.</v>
      </c>
      <c r="D4909" s="10">
        <f ca="1">IFERROR(__xludf.DUMMYFUNCTION("""COMPUTED_VALUE"""),2020)</f>
        <v>2020</v>
      </c>
      <c r="E4909" s="10" t="str">
        <f ca="1">IFERROR(__xludf.DUMMYFUNCTION("""COMPUTED_VALUE"""),"Библиотека, год. 27 (66), кн. 41, с. 38-40. ISSN 0861-847X")</f>
        <v>Библиотека, год. 27 (66), кн. 41, с. 38-40. ISSN 0861-847X</v>
      </c>
      <c r="F4909" s="10"/>
      <c r="G4909" s="10"/>
      <c r="H4909" s="10"/>
      <c r="I4909" s="10"/>
      <c r="J4909" s="10"/>
      <c r="K4909" s="10"/>
      <c r="L4909" s="10"/>
      <c r="M4909" s="10"/>
      <c r="N4909" s="10"/>
      <c r="O4909" s="10"/>
      <c r="P4909" s="10"/>
      <c r="Q4909" s="10"/>
      <c r="R4909" s="10"/>
      <c r="S4909" s="10"/>
      <c r="T4909" s="10"/>
      <c r="U4909" s="10"/>
      <c r="V4909" s="10"/>
      <c r="W4909" s="10"/>
      <c r="X4909" s="10"/>
      <c r="Y4909" s="10"/>
      <c r="Z4909" s="10"/>
    </row>
    <row r="4910" spans="1:26" ht="12.75">
      <c r="A4910" s="10" t="str">
        <f ca="1">IFERROR(__xludf.DUMMYFUNCTION("""COMPUTED_VALUE"""),"Любомира Петрова Парижкова")</f>
        <v>Любомира Петрова Парижкова</v>
      </c>
      <c r="B4910" s="10" t="str">
        <f ca="1">IFERROR(__xludf.DUMMYFUNCTION("""COMPUTED_VALUE"""),"Доклад от конференция")</f>
        <v>Доклад от конференция</v>
      </c>
      <c r="C4910" s="10" t="str">
        <f ca="1">IFERROR(__xludf.DUMMYFUNCTION("""COMPUTED_VALUE"""),"Дигиталните технологии в ежедневието на алфа поколението")</f>
        <v>Дигиталните технологии в ежедневието на алфа поколението</v>
      </c>
      <c r="D4910" s="10">
        <f ca="1">IFERROR(__xludf.DUMMYFUNCTION("""COMPUTED_VALUE"""),2020)</f>
        <v>2020</v>
      </c>
      <c r="E4910"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София, 2020, № 11, Т.1, с. 35-41.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София, 2020, № 11, Т.1, с. 35-41. ISSN 1314-1791</v>
      </c>
      <c r="F4910" s="10" t="str">
        <f ca="1">IFERROR(__xludf.DUMMYFUNCTION("""COMPUTED_VALUE"""),"Crossref, Google Scholar, НАЦИД")</f>
        <v>Crossref, Google Scholar, НАЦИД</v>
      </c>
      <c r="G4910" s="10"/>
      <c r="H4910" s="10"/>
      <c r="I4910" s="10"/>
      <c r="J4910" s="10"/>
      <c r="K4910" s="10"/>
      <c r="L4910" s="10"/>
      <c r="M4910" s="10"/>
      <c r="N4910" s="10"/>
      <c r="O4910" s="10"/>
      <c r="P4910" s="10"/>
      <c r="Q4910" s="10"/>
      <c r="R4910" s="10"/>
      <c r="S4910" s="10"/>
      <c r="T4910" s="10"/>
      <c r="U4910" s="10"/>
      <c r="V4910" s="10"/>
      <c r="W4910" s="10"/>
      <c r="X4910" s="10"/>
      <c r="Y4910" s="10"/>
      <c r="Z4910" s="10"/>
    </row>
    <row r="4911" spans="1:26" ht="12.75">
      <c r="A4911" s="10" t="str">
        <f ca="1">IFERROR(__xludf.DUMMYFUNCTION("""COMPUTED_VALUE"""),"Любомира Петрова Парижкова")</f>
        <v>Любомира Петрова Парижкова</v>
      </c>
      <c r="B4911" s="10" t="str">
        <f ca="1">IFERROR(__xludf.DUMMYFUNCTION("""COMPUTED_VALUE"""),"Доклад от конференция")</f>
        <v>Доклад от конференция</v>
      </c>
      <c r="C4911" s="10" t="str">
        <f ca="1">IFERROR(__xludf.DUMMYFUNCTION("""COMPUTED_VALUE"""),"Вечно актуалното „Да имаш или да бъдеш“")</f>
        <v>Вечно актуалното „Да имаш или да бъдеш“</v>
      </c>
      <c r="D4911" s="10">
        <f ca="1">IFERROR(__xludf.DUMMYFUNCTION("""COMPUTED_VALUE"""),2020)</f>
        <v>2020</v>
      </c>
      <c r="E4911" s="10" t="str">
        <f ca="1">IFERROR(__xludf.DUMMYFUNCTION("""COMPUTED_VALUE"""),"Обществото на знанието и хуманизмът на ХХІ век : Осемнадесета национална научна конференция с международно участие, София, 1-2 ноември 2020. – София : За буквите – О писменехь, 2020, 225-229. ISSN 1314-7099")</f>
        <v>Обществото на знанието и хуманизмът на ХХІ век : Осемнадесета национална научна конференция с международно участие, София, 1-2 ноември 2020. – София : За буквите – О писменехь, 2020, 225-229. ISSN 1314-7099</v>
      </c>
      <c r="F4911" s="10" t="str">
        <f ca="1">IFERROR(__xludf.DUMMYFUNCTION("""COMPUTED_VALUE"""),"Национален референтен списък")</f>
        <v>Национален референтен списък</v>
      </c>
      <c r="G4911" s="10"/>
      <c r="H4911" s="10"/>
      <c r="I4911" s="10"/>
      <c r="J4911" s="10"/>
      <c r="K4911" s="10"/>
      <c r="L4911" s="10"/>
      <c r="M4911" s="10"/>
      <c r="N4911" s="10"/>
      <c r="O4911" s="10"/>
      <c r="P4911" s="10"/>
      <c r="Q4911" s="10"/>
      <c r="R4911" s="10"/>
      <c r="S4911" s="10"/>
      <c r="T4911" s="10"/>
      <c r="U4911" s="10"/>
      <c r="V4911" s="10"/>
      <c r="W4911" s="10"/>
      <c r="X4911" s="10"/>
      <c r="Y4911" s="10"/>
      <c r="Z4911" s="10"/>
    </row>
    <row r="4912" spans="1:26" ht="12.75">
      <c r="A4912" s="10" t="str">
        <f ca="1">IFERROR(__xludf.DUMMYFUNCTION("""COMPUTED_VALUE"""),"Любомира Петрова Парижкова")</f>
        <v>Любомира Петрова Парижкова</v>
      </c>
      <c r="B4912" s="10" t="str">
        <f ca="1">IFERROR(__xludf.DUMMYFUNCTION("""COMPUTED_VALUE"""),"Доклад от конференция")</f>
        <v>Доклад от конференция</v>
      </c>
      <c r="C4912" s="10" t="str">
        <f ca="1">IFERROR(__xludf.DUMMYFUNCTION("""COMPUTED_VALUE"""),"Хуманизъм и бъдеще за обществото")</f>
        <v>Хуманизъм и бъдеще за обществото</v>
      </c>
      <c r="D4912" s="10">
        <f ca="1">IFERROR(__xludf.DUMMYFUNCTION("""COMPUTED_VALUE"""),2020)</f>
        <v>2020</v>
      </c>
      <c r="E4912" s="10" t="str">
        <f ca="1">IFERROR(__xludf.DUMMYFUNCTION("""COMPUTED_VALUE"""),"Обществото на знанието и хуманизмът на ХХІ век : Осемнадесета национална научна конференция с международно участие, София, 1-2 ноември 2020. – София : За буквите – О писменехь, 2020, 60-73. ISSN 1314-7099")</f>
        <v>Обществото на знанието и хуманизмът на ХХІ век : Осемнадесета национална научна конференция с международно участие, София, 1-2 ноември 2020. – София : За буквите – О писменехь, 2020, 60-73. ISSN 1314-7099</v>
      </c>
      <c r="F4912" s="10" t="str">
        <f ca="1">IFERROR(__xludf.DUMMYFUNCTION("""COMPUTED_VALUE"""),"Национален референтен списък")</f>
        <v>Национален референтен списък</v>
      </c>
      <c r="G4912" s="10" t="str">
        <f ca="1">IFERROR(__xludf.DUMMYFUNCTION("""COMPUTED_VALUE"""),"Върбанова-Денчева, Кр. Парижкова, Л.")</f>
        <v>Върбанова-Денчева, Кр. Парижкова, Л.</v>
      </c>
      <c r="H4912" s="10"/>
      <c r="I4912" s="10"/>
      <c r="J4912" s="10"/>
      <c r="K4912" s="10"/>
      <c r="L4912" s="10"/>
      <c r="M4912" s="10"/>
      <c r="N4912" s="10"/>
      <c r="O4912" s="10"/>
      <c r="P4912" s="10"/>
      <c r="Q4912" s="10"/>
      <c r="R4912" s="10"/>
      <c r="S4912" s="10"/>
      <c r="T4912" s="10"/>
      <c r="U4912" s="10"/>
      <c r="V4912" s="10"/>
      <c r="W4912" s="10"/>
      <c r="X4912" s="10"/>
      <c r="Y4912" s="10"/>
      <c r="Z4912" s="10"/>
    </row>
    <row r="4913" spans="1:26" ht="12.75">
      <c r="A4913" s="10" t="str">
        <f ca="1">IFERROR(__xludf.DUMMYFUNCTION("""COMPUTED_VALUE"""),"Любомира Петрова Парижкова")</f>
        <v>Любомира Петрова Парижкова</v>
      </c>
      <c r="B4913" s="10" t="str">
        <f ca="1">IFERROR(__xludf.DUMMYFUNCTION("""COMPUTED_VALUE"""),"Статия в списания и поредици")</f>
        <v>Статия в списания и поредици</v>
      </c>
      <c r="C4913" s="10" t="str">
        <f ca="1">IFERROR(__xludf.DUMMYFUNCTION("""COMPUTED_VALUE"""),"Critical thinking – the main key to neutralize fake news")</f>
        <v>Critical thinking – the main key to neutralize fake news</v>
      </c>
      <c r="D4913" s="10">
        <f ca="1">IFERROR(__xludf.DUMMYFUNCTION("""COMPUTED_VALUE"""),2020)</f>
        <v>2020</v>
      </c>
      <c r="E4913" s="10" t="str">
        <f ca="1">IFERROR(__xludf.DUMMYFUNCTION("""COMPUTED_VALUE"""),"Itlib. Informačnė technolȯgie a knižnice, 2/2020, 25-27 
 ISSN 1335-793X, ISSN 1336-0779")</f>
        <v>Itlib. Informačnė technolȯgie a knižnice, 2/2020, 25-27 
 ISSN 1335-793X, ISSN 1336-0779</v>
      </c>
      <c r="F4913" s="10"/>
      <c r="G4913" s="10" t="str">
        <f ca="1">IFERROR(__xludf.DUMMYFUNCTION("""COMPUTED_VALUE"""),"Parijkova, Lubomira, Buchova, Anelia")</f>
        <v>Parijkova, Lubomira, Buchova, Anelia</v>
      </c>
      <c r="H4913" s="10"/>
      <c r="I4913" s="10"/>
      <c r="J4913" s="10"/>
      <c r="K4913" s="10"/>
      <c r="L4913" s="10"/>
      <c r="M4913" s="10"/>
      <c r="N4913" s="10"/>
      <c r="O4913" s="10"/>
      <c r="P4913" s="10"/>
      <c r="Q4913" s="10"/>
      <c r="R4913" s="10"/>
      <c r="S4913" s="10"/>
      <c r="T4913" s="10"/>
      <c r="U4913" s="10"/>
      <c r="V4913" s="10"/>
      <c r="W4913" s="10"/>
      <c r="X4913" s="10"/>
      <c r="Y4913" s="10"/>
      <c r="Z4913" s="10"/>
    </row>
    <row r="4914" spans="1:26" ht="12.75">
      <c r="A4914" s="10" t="str">
        <f ca="1">IFERROR(__xludf.DUMMYFUNCTION("""COMPUTED_VALUE"""),"Любомира Петрова Парижкова")</f>
        <v>Любомира Петрова Парижкова</v>
      </c>
      <c r="B4914" s="10" t="str">
        <f ca="1">IFERROR(__xludf.DUMMYFUNCTION("""COMPUTED_VALUE"""),"Доклад от конференция")</f>
        <v>Доклад от конференция</v>
      </c>
      <c r="C4914" s="10" t="str">
        <f ca="1">IFERROR(__xludf.DUMMYFUNCTION("""COMPUTED_VALUE"""),"Digital transformation of the Bulgarian educational system - a case study")</f>
        <v>Digital transformation of the Bulgarian educational system - a case study</v>
      </c>
      <c r="D4914" s="10">
        <f ca="1">IFERROR(__xludf.DUMMYFUNCTION("""COMPUTED_VALUE"""),2020)</f>
        <v>2020</v>
      </c>
      <c r="E4914" s="10" t="str">
        <f ca="1">IFERROR(__xludf.DUMMYFUNCTION("""COMPUTED_VALUE"""),"ICERI2020, 13th annual International Conference of Education, Research and Innovation, Seville (Spain). 9th-10th of November, 2020. 3302-3307 ISBN: 978-84-09-24232-0")</f>
        <v>ICERI2020, 13th annual International Conference of Education, Research and Innovation, Seville (Spain). 9th-10th of November, 2020. 3302-3307 ISBN: 978-84-09-24232-0</v>
      </c>
      <c r="F4914" s="10" t="str">
        <f ca="1">IFERROR(__xludf.DUMMYFUNCTION("""COMPUTED_VALUE"""),"Web of Science
 Crossref")</f>
        <v>Web of Science
 Crossref</v>
      </c>
      <c r="G4914" s="10"/>
      <c r="H4914" s="10"/>
      <c r="I4914" s="10"/>
      <c r="J4914" s="10"/>
      <c r="K4914" s="10"/>
      <c r="L4914" s="10"/>
      <c r="M4914" s="10"/>
      <c r="N4914" s="10"/>
      <c r="O4914" s="10"/>
      <c r="P4914" s="10"/>
      <c r="Q4914" s="10"/>
      <c r="R4914" s="10"/>
      <c r="S4914" s="10"/>
      <c r="T4914" s="10"/>
      <c r="U4914" s="10"/>
      <c r="V4914" s="10"/>
      <c r="W4914" s="10"/>
      <c r="X4914" s="10"/>
      <c r="Y4914" s="10"/>
      <c r="Z4914" s="10"/>
    </row>
    <row r="4915" spans="1:26" ht="12.75">
      <c r="A4915" s="10" t="str">
        <f ca="1">IFERROR(__xludf.DUMMYFUNCTION("""COMPUTED_VALUE"""),"Любомира Петрова Парижкова")</f>
        <v>Любомира Петрова Парижкова</v>
      </c>
      <c r="B4915" s="10" t="str">
        <f ca="1">IFERROR(__xludf.DUMMYFUNCTION("""COMPUTED_VALUE"""),"Доклад от конференция")</f>
        <v>Доклад от конференция</v>
      </c>
      <c r="C4915" s="10" t="str">
        <f ca="1">IFERROR(__xludf.DUMMYFUNCTION("""COMPUTED_VALUE"""),"Comparison between online educational practices of Bulgarian and German universities under lockdown")</f>
        <v>Comparison between online educational practices of Bulgarian and German universities under lockdown</v>
      </c>
      <c r="D4915" s="10">
        <f ca="1">IFERROR(__xludf.DUMMYFUNCTION("""COMPUTED_VALUE"""),2020)</f>
        <v>2020</v>
      </c>
      <c r="E4915" s="10" t="str">
        <f ca="1">IFERROR(__xludf.DUMMYFUNCTION("""COMPUTED_VALUE"""),"ICERI2020, 13th annual International Conference of Education, Research and Innovation, Seville (Spain). Proceedings of ICERI2020 Conference 9th-10th of November, 2020, 7711-7716, ISBN: 978-84-09-24232-0")</f>
        <v>ICERI2020, 13th annual International Conference of Education, Research and Innovation, Seville (Spain). Proceedings of ICERI2020 Conference 9th-10th of November, 2020, 7711-7716, ISBN: 978-84-09-24232-0</v>
      </c>
      <c r="F4915" s="10" t="str">
        <f ca="1">IFERROR(__xludf.DUMMYFUNCTION("""COMPUTED_VALUE"""),"Web of Science
 Crossref")</f>
        <v>Web of Science
 Crossref</v>
      </c>
      <c r="G4915" s="10" t="str">
        <f ca="1">IFERROR(__xludf.DUMMYFUNCTION("""COMPUTED_VALUE"""),"Parijkova, Lubomira, Petrova, Katerina")</f>
        <v>Parijkova, Lubomira, Petrova, Katerina</v>
      </c>
      <c r="H4915" s="10"/>
      <c r="I4915" s="10"/>
      <c r="J4915" s="10"/>
      <c r="K4915" s="10"/>
      <c r="L4915" s="10"/>
      <c r="M4915" s="10"/>
      <c r="N4915" s="10"/>
      <c r="O4915" s="10"/>
      <c r="P4915" s="10"/>
      <c r="Q4915" s="10"/>
      <c r="R4915" s="10"/>
      <c r="S4915" s="10"/>
      <c r="T4915" s="10"/>
      <c r="U4915" s="10"/>
      <c r="V4915" s="10"/>
      <c r="W4915" s="10"/>
      <c r="X4915" s="10"/>
      <c r="Y4915" s="10"/>
      <c r="Z4915" s="10"/>
    </row>
    <row r="4916" spans="1:26" ht="12.75">
      <c r="A4916" s="10" t="str">
        <f ca="1">IFERROR(__xludf.DUMMYFUNCTION("""COMPUTED_VALUE"""),"Любомира Петрова Парижкова")</f>
        <v>Любомира Петрова Парижкова</v>
      </c>
      <c r="B4916" s="10" t="str">
        <f ca="1">IFERROR(__xludf.DUMMYFUNCTION("""COMPUTED_VALUE"""),"Статия в списания и поредици")</f>
        <v>Статия в списания и поредици</v>
      </c>
      <c r="C4916" s="10" t="str">
        <f ca="1">IFERROR(__xludf.DUMMYFUNCTION("""COMPUTED_VALUE"""),"Университетът по библиотекознание и информационни технологии чества деня на народните будители и своята 70-годишнина")</f>
        <v>Университетът по библиотекознание и информационни технологии чества деня на народните будители и своята 70-годишнина</v>
      </c>
      <c r="D4916" s="10">
        <f ca="1">IFERROR(__xludf.DUMMYFUNCTION("""COMPUTED_VALUE"""),2020)</f>
        <v>2020</v>
      </c>
      <c r="E4916" s="10" t="str">
        <f ca="1">IFERROR(__xludf.DUMMYFUNCTION("""COMPUTED_VALUE"""),"За буквите – О писменехь. бр. 61/ноември 2020 г. с. 22. ISSN 1312-3785")</f>
        <v>За буквите – О писменехь. бр. 61/ноември 2020 г. с. 22. ISSN 1312-3785</v>
      </c>
      <c r="F4916" s="10"/>
      <c r="G4916" s="10"/>
      <c r="H4916" s="10"/>
      <c r="I4916" s="10"/>
      <c r="J4916" s="10"/>
      <c r="K4916" s="10"/>
      <c r="L4916" s="10"/>
      <c r="M4916" s="10"/>
      <c r="N4916" s="10"/>
      <c r="O4916" s="10"/>
      <c r="P4916" s="10"/>
      <c r="Q4916" s="10"/>
      <c r="R4916" s="10"/>
      <c r="S4916" s="10"/>
      <c r="T4916" s="10"/>
      <c r="U4916" s="10"/>
      <c r="V4916" s="10"/>
      <c r="W4916" s="10"/>
      <c r="X4916" s="10"/>
      <c r="Y4916" s="10"/>
      <c r="Z4916" s="10"/>
    </row>
    <row r="4917" spans="1:26" ht="12.75">
      <c r="A4917" s="10" t="str">
        <f ca="1">IFERROR(__xludf.DUMMYFUNCTION("""COMPUTED_VALUE"""),"Любомира Петрова Парижкова")</f>
        <v>Любомира Петрова Парижкова</v>
      </c>
      <c r="B4917" s="10" t="str">
        <f ca="1">IFERROR(__xludf.DUMMYFUNCTION("""COMPUTED_VALUE"""),"Доклад от конференция")</f>
        <v>Доклад от конференция</v>
      </c>
      <c r="C4917" s="10" t="str">
        <f ca="1">IFERROR(__xludf.DUMMYFUNCTION("""COMPUTED_VALUE"""),"Алфа поколението и четенето")</f>
        <v>Алфа поколението и четенето</v>
      </c>
      <c r="D4917" s="10">
        <f ca="1">IFERROR(__xludf.DUMMYFUNCTION("""COMPUTED_VALUE"""),2019)</f>
        <v>2019</v>
      </c>
      <c r="E4917"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2019, № 10, с. 7-12. ISSN 1314-1791 (print)")</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2019, № 10, с. 7-12. ISSN 1314-1791 (print)</v>
      </c>
      <c r="F4917" s="10" t="str">
        <f ca="1">IFERROR(__xludf.DUMMYFUNCTION("""COMPUTED_VALUE"""),"Crossref, Google Scholar")</f>
        <v>Crossref, Google Scholar</v>
      </c>
      <c r="G4917" s="10"/>
      <c r="H4917" s="10"/>
      <c r="I4917" s="10"/>
      <c r="J4917" s="10"/>
      <c r="K4917" s="10"/>
      <c r="L4917" s="10"/>
      <c r="M4917" s="10"/>
      <c r="N4917" s="10"/>
      <c r="O4917" s="10"/>
      <c r="P4917" s="10"/>
      <c r="Q4917" s="10"/>
      <c r="R4917" s="10"/>
      <c r="S4917" s="10"/>
      <c r="T4917" s="10"/>
      <c r="U4917" s="10"/>
      <c r="V4917" s="10"/>
      <c r="W4917" s="10"/>
      <c r="X4917" s="10"/>
      <c r="Y4917" s="10"/>
      <c r="Z4917" s="10"/>
    </row>
    <row r="4918" spans="1:26" ht="12.75">
      <c r="A4918" s="10" t="str">
        <f ca="1">IFERROR(__xludf.DUMMYFUNCTION("""COMPUTED_VALUE"""),"Любомира Петрова Парижкова")</f>
        <v>Любомира Петрова Парижкова</v>
      </c>
      <c r="B4918" s="10" t="str">
        <f ca="1">IFERROR(__xludf.DUMMYFUNCTION("""COMPUTED_VALUE"""),"Доклад от конференция")</f>
        <v>Доклад от конференция</v>
      </c>
      <c r="C4918" s="10" t="str">
        <f ca="1">IFERROR(__xludf.DUMMYFUNCTION("""COMPUTED_VALUE"""),"Дигитална революция, дигитална ера, дигитални хора – опит за концептуализация - пленарен доклад")</f>
        <v>Дигитална революция, дигитална ера, дигитални хора – опит за концептуализация - пленарен доклад</v>
      </c>
      <c r="D4918" s="10">
        <f ca="1">IFERROR(__xludf.DUMMYFUNCTION("""COMPUTED_VALUE"""),2019)</f>
        <v>2019</v>
      </c>
      <c r="E4918" s="10" t="str">
        <f ca="1">IFERROR(__xludf.DUMMYFUNCTION("""COMPUTED_VALUE"""),"Сборник Интелектуалната собственост и дигиталните хора / Състав. Тренчева, Т., К. Планска. София, За буквите-О Писменехь, 2019, 71-90. ISBN 978-619-185-378-6")</f>
        <v>Сборник Интелектуалната собственост и дигиталните хора / Състав. Тренчева, Т., К. Планска. София, За буквите-О Писменехь, 2019, 71-90. ISBN 978-619-185-378-6</v>
      </c>
      <c r="F4918" s="10"/>
      <c r="G4918" s="10"/>
      <c r="H4918" s="10"/>
      <c r="I4918" s="10"/>
      <c r="J4918" s="10"/>
      <c r="K4918" s="10"/>
      <c r="L4918" s="10"/>
      <c r="M4918" s="10"/>
      <c r="N4918" s="10"/>
      <c r="O4918" s="10"/>
      <c r="P4918" s="10"/>
      <c r="Q4918" s="10"/>
      <c r="R4918" s="10"/>
      <c r="S4918" s="10"/>
      <c r="T4918" s="10"/>
      <c r="U4918" s="10"/>
      <c r="V4918" s="10"/>
      <c r="W4918" s="10"/>
      <c r="X4918" s="10"/>
      <c r="Y4918" s="10"/>
      <c r="Z4918" s="10"/>
    </row>
    <row r="4919" spans="1:26" ht="12.75">
      <c r="A4919" s="10" t="str">
        <f ca="1">IFERROR(__xludf.DUMMYFUNCTION("""COMPUTED_VALUE"""),"Любомира Петрова Парижкова")</f>
        <v>Любомира Петрова Парижкова</v>
      </c>
      <c r="B4919" s="10" t="str">
        <f ca="1">IFERROR(__xludf.DUMMYFUNCTION("""COMPUTED_VALUE"""),"Доклад от конференция")</f>
        <v>Доклад от конференция</v>
      </c>
      <c r="C4919" s="10" t="str">
        <f ca="1">IFERROR(__xludf.DUMMYFUNCTION("""COMPUTED_VALUE"""),"Библиография на Петър Парижков")</f>
        <v>Библиография на Петър Парижков</v>
      </c>
      <c r="D4919" s="10">
        <f ca="1">IFERROR(__xludf.DUMMYFUNCTION("""COMPUTED_VALUE"""),2019)</f>
        <v>2019</v>
      </c>
      <c r="E4919" s="10" t="str">
        <f ca="1">IFERROR(__xludf.DUMMYFUNCTION("""COMPUTED_VALUE"""),"Книгата – нашето по-смислено настояще : Сборник доклади от форума „Дни на книгата и авторското право в УниБИТ”, София, 22-23 април 2019 г. Съст. и науч. ред. Л. Парижкова, Научни рецензенти: Стоян Денчев, Евгения Русинова. – София : За буквите – О Писмене"&amp;"хь, 6/2019, с. 67-74. ISSN 1314-7323 (print)")</f>
        <v>Книгата – нашето по-смислено настояще : Сборник доклади от форума „Дни на книгата и авторското право в УниБИТ”, София, 22-23 април 2019 г. Съст. и науч. ред. Л. Парижкова, Научни рецензенти: Стоян Денчев, Евгения Русинова. – София : За буквите – О Писменехь, 6/2019, с. 67-74. ISSN 1314-7323 (print)</v>
      </c>
      <c r="F4919" s="10" t="str">
        <f ca="1">IFERROR(__xludf.DUMMYFUNCTION("""COMPUTED_VALUE"""),"НАЦИД, ResearchGate, Google Scholar")</f>
        <v>НАЦИД, ResearchGate, Google Scholar</v>
      </c>
      <c r="G4919" s="10"/>
      <c r="H4919" s="10"/>
      <c r="I4919" s="10"/>
      <c r="J4919" s="10"/>
      <c r="K4919" s="10"/>
      <c r="L4919" s="10"/>
      <c r="M4919" s="10"/>
      <c r="N4919" s="10"/>
      <c r="O4919" s="10"/>
      <c r="P4919" s="10"/>
      <c r="Q4919" s="10"/>
      <c r="R4919" s="10"/>
      <c r="S4919" s="10"/>
      <c r="T4919" s="10"/>
      <c r="U4919" s="10"/>
      <c r="V4919" s="10"/>
      <c r="W4919" s="10"/>
      <c r="X4919" s="10"/>
      <c r="Y4919" s="10"/>
      <c r="Z4919" s="10"/>
    </row>
    <row r="4920" spans="1:26" ht="12.75">
      <c r="A4920" s="10" t="str">
        <f ca="1">IFERROR(__xludf.DUMMYFUNCTION("""COMPUTED_VALUE"""),"Любомира Петрова Парижкова")</f>
        <v>Любомира Петрова Парижкова</v>
      </c>
      <c r="B4920" s="10" t="str">
        <f ca="1">IFERROR(__xludf.DUMMYFUNCTION("""COMPUTED_VALUE"""),"Доклад от конференция")</f>
        <v>Доклад от конференция</v>
      </c>
      <c r="C4920" s="10" t="str">
        <f ca="1">IFERROR(__xludf.DUMMYFUNCTION("""COMPUTED_VALUE"""),"Четенето в дигиталната ера – резултати от проведени инициативи")</f>
        <v>Четенето в дигиталната ера – резултати от проведени инициативи</v>
      </c>
      <c r="D4920" s="10">
        <f ca="1">IFERROR(__xludf.DUMMYFUNCTION("""COMPUTED_VALUE"""),2019)</f>
        <v>2019</v>
      </c>
      <c r="E4920"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2019, № 10, с. 27-33. ISSN 1314-1791 (print)")</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2019, № 10, с. 27-33. ISSN 1314-1791 (print)</v>
      </c>
      <c r="F4920" s="10" t="str">
        <f ca="1">IFERROR(__xludf.DUMMYFUNCTION("""COMPUTED_VALUE"""),"Crossref, Google Scholar")</f>
        <v>Crossref, Google Scholar</v>
      </c>
      <c r="G4920" s="10" t="str">
        <f ca="1">IFERROR(__xludf.DUMMYFUNCTION("""COMPUTED_VALUE"""),"Соня Спасова")</f>
        <v>Соня Спасова</v>
      </c>
      <c r="H4920" s="10"/>
      <c r="I4920" s="10"/>
      <c r="J4920" s="10"/>
      <c r="K4920" s="10"/>
      <c r="L4920" s="10"/>
      <c r="M4920" s="10"/>
      <c r="N4920" s="10"/>
      <c r="O4920" s="10"/>
      <c r="P4920" s="10"/>
      <c r="Q4920" s="10"/>
      <c r="R4920" s="10"/>
      <c r="S4920" s="10"/>
      <c r="T4920" s="10"/>
      <c r="U4920" s="10"/>
      <c r="V4920" s="10"/>
      <c r="W4920" s="10"/>
      <c r="X4920" s="10"/>
      <c r="Y4920" s="10"/>
      <c r="Z4920" s="10"/>
    </row>
    <row r="4921" spans="1:26" ht="12.75">
      <c r="A4921" s="10" t="str">
        <f ca="1">IFERROR(__xludf.DUMMYFUNCTION("""COMPUTED_VALUE"""),"Любомира Петрова Парижкова")</f>
        <v>Любомира Петрова Парижкова</v>
      </c>
      <c r="B4921" s="10" t="str">
        <f ca="1">IFERROR(__xludf.DUMMYFUNCTION("""COMPUTED_VALUE"""),"Статия в списания и поредици")</f>
        <v>Статия в списания и поредици</v>
      </c>
      <c r="C4921" s="10" t="str">
        <f ca="1">IFERROR(__xludf.DUMMYFUNCTION("""COMPUTED_VALUE"""),"Четенето в дигиталната ера")</f>
        <v>Четенето в дигиталната ера</v>
      </c>
      <c r="D4921" s="10">
        <f ca="1">IFERROR(__xludf.DUMMYFUNCTION("""COMPUTED_VALUE"""),2019)</f>
        <v>2019</v>
      </c>
      <c r="E4921" s="10" t="str">
        <f ca="1">IFERROR(__xludf.DUMMYFUNCTION("""COMPUTED_VALUE"""),"Четенето в дигиталната ера. // За буквите – О писменехь. бр. 58/май 2019 г. с. 14.
 ISSN 1312-3785")</f>
        <v>Четенето в дигиталната ера. // За буквите – О писменехь. бр. 58/май 2019 г. с. 14.
 ISSN 1312-3785</v>
      </c>
      <c r="F4921" s="10" t="str">
        <f ca="1">IFERROR(__xludf.DUMMYFUNCTION("""COMPUTED_VALUE"""),"НАЦИД, ResearchGate, Google Scholar")</f>
        <v>НАЦИД, ResearchGate, Google Scholar</v>
      </c>
      <c r="G4921" s="10"/>
      <c r="H4921" s="10"/>
      <c r="I4921" s="10"/>
      <c r="J4921" s="10"/>
      <c r="K4921" s="10"/>
      <c r="L4921" s="10"/>
      <c r="M4921" s="10"/>
      <c r="N4921" s="10"/>
      <c r="O4921" s="10"/>
      <c r="P4921" s="10"/>
      <c r="Q4921" s="10"/>
      <c r="R4921" s="10"/>
      <c r="S4921" s="10"/>
      <c r="T4921" s="10"/>
      <c r="U4921" s="10"/>
      <c r="V4921" s="10"/>
      <c r="W4921" s="10"/>
      <c r="X4921" s="10"/>
      <c r="Y4921" s="10"/>
      <c r="Z4921" s="10"/>
    </row>
    <row r="4922" spans="1:26" ht="12.75">
      <c r="A4922" s="10" t="str">
        <f ca="1">IFERROR(__xludf.DUMMYFUNCTION("""COMPUTED_VALUE"""),"Любомира Петрова Парижкова")</f>
        <v>Любомира Петрова Парижкова</v>
      </c>
      <c r="B4922" s="10" t="str">
        <f ca="1">IFERROR(__xludf.DUMMYFUNCTION("""COMPUTED_VALUE"""),"Доклад от конференция")</f>
        <v>Доклад от конференция</v>
      </c>
      <c r="C4922" s="10" t="str">
        <f ca="1">IFERROR(__xludf.DUMMYFUNCTION("""COMPUTED_VALUE"""),"Bulgarian parents’ viewpoints on digital devices in child of today life. Research of children’s habits of digital technology usage")</f>
        <v>Bulgarian parents’ viewpoints on digital devices in child of today life. Research of children’s habits of digital technology usage</v>
      </c>
      <c r="D4922" s="10">
        <f ca="1">IFERROR(__xludf.DUMMYFUNCTION("""COMPUTED_VALUE"""),2019)</f>
        <v>2019</v>
      </c>
      <c r="E4922" s="10" t="str">
        <f ca="1">IFERROR(__xludf.DUMMYFUNCTION("""COMPUTED_VALUE"""),"11th International Conference on Education and New Learning Technologies; 1st-3rd July, 2019; Palma, Mallorca, SPAIN. EDULEARN19 Proceedings, pp. 5450-5457. ISBN: 978-84-09-12031-4 ISSN: 2340-1117")</f>
        <v>11th International Conference on Education and New Learning Technologies; 1st-3rd July, 2019; Palma, Mallorca, SPAIN. EDULEARN19 Proceedings, pp. 5450-5457. ISBN: 978-84-09-12031-4 ISSN: 2340-1117</v>
      </c>
      <c r="F4922" s="10" t="str">
        <f ca="1">IFERROR(__xludf.DUMMYFUNCTION("""COMPUTED_VALUE"""),"ISI Conference Proceedings Citation Index (Web of Science), Crossref")</f>
        <v>ISI Conference Proceedings Citation Index (Web of Science), Crossref</v>
      </c>
      <c r="G4922" s="10"/>
      <c r="H4922" s="10"/>
      <c r="I4922" s="10"/>
      <c r="J4922" s="10"/>
      <c r="K4922" s="10"/>
      <c r="L4922" s="10"/>
      <c r="M4922" s="10"/>
      <c r="N4922" s="10"/>
      <c r="O4922" s="10"/>
      <c r="P4922" s="10"/>
      <c r="Q4922" s="10"/>
      <c r="R4922" s="10"/>
      <c r="S4922" s="10"/>
      <c r="T4922" s="10"/>
      <c r="U4922" s="10"/>
      <c r="V4922" s="10"/>
      <c r="W4922" s="10"/>
      <c r="X4922" s="10"/>
      <c r="Y4922" s="10"/>
      <c r="Z4922" s="10"/>
    </row>
    <row r="4923" spans="1:26" ht="12.75">
      <c r="A4923" s="10" t="str">
        <f ca="1">IFERROR(__xludf.DUMMYFUNCTION("""COMPUTED_VALUE"""),"Любомира Петрова Парижкова")</f>
        <v>Любомира Петрова Парижкова</v>
      </c>
      <c r="B4923" s="10" t="str">
        <f ca="1">IFERROR(__xludf.DUMMYFUNCTION("""COMPUTED_VALUE"""),"Доклад от конференция")</f>
        <v>Доклад от конференция</v>
      </c>
      <c r="C4923" s="10" t="str">
        <f ca="1">IFERROR(__xludf.DUMMYFUNCTION("""COMPUTED_VALUE"""),"Research of the Challenges of Reading in the Digital Era")</f>
        <v>Research of the Challenges of Reading in the Digital Era</v>
      </c>
      <c r="D4923" s="10">
        <f ca="1">IFERROR(__xludf.DUMMYFUNCTION("""COMPUTED_VALUE"""),2019)</f>
        <v>2019</v>
      </c>
      <c r="E4923" s="10" t="str">
        <f ca="1">IFERROR(__xludf.DUMMYFUNCTION("""COMPUTED_VALUE"""),"11th International Conference on Education and New Learning Technologies; 1st-3rd July, 2019; Palma, Mallorca, SPAIN. EDULEARN19 Proceedings, pp. 5535-5541. ISBN: 978-84-09-12031-4 ISSN: 2340-1117")</f>
        <v>11th International Conference on Education and New Learning Technologies; 1st-3rd July, 2019; Palma, Mallorca, SPAIN. EDULEARN19 Proceedings, pp. 5535-5541. ISBN: 978-84-09-12031-4 ISSN: 2340-1117</v>
      </c>
      <c r="F4923" s="10" t="str">
        <f ca="1">IFERROR(__xludf.DUMMYFUNCTION("""COMPUTED_VALUE"""),"ISI Conference Proceedings Citation Index (Web of Science), Crossref")</f>
        <v>ISI Conference Proceedings Citation Index (Web of Science), Crossref</v>
      </c>
      <c r="G4923" s="10"/>
      <c r="H4923" s="10"/>
      <c r="I4923" s="10"/>
      <c r="J4923" s="10"/>
      <c r="K4923" s="10"/>
      <c r="L4923" s="10"/>
      <c r="M4923" s="10"/>
      <c r="N4923" s="10"/>
      <c r="O4923" s="10"/>
      <c r="P4923" s="10"/>
      <c r="Q4923" s="10"/>
      <c r="R4923" s="10"/>
      <c r="S4923" s="10"/>
      <c r="T4923" s="10"/>
      <c r="U4923" s="10"/>
      <c r="V4923" s="10"/>
      <c r="W4923" s="10"/>
      <c r="X4923" s="10"/>
      <c r="Y4923" s="10"/>
      <c r="Z4923" s="10"/>
    </row>
    <row r="4924" spans="1:26" ht="12.75">
      <c r="A4924" s="10" t="str">
        <f ca="1">IFERROR(__xludf.DUMMYFUNCTION("""COMPUTED_VALUE"""),"Любомира Петрова Парижкова")</f>
        <v>Любомира Петрова Парижкова</v>
      </c>
      <c r="B4924" s="10" t="str">
        <f ca="1">IFERROR(__xludf.DUMMYFUNCTION("""COMPUTED_VALUE"""),"Доклад от конференция")</f>
        <v>Доклад от конференция</v>
      </c>
      <c r="C4924" s="10" t="str">
        <f ca="1">IFERROR(__xludf.DUMMYFUNCTION("""COMPUTED_VALUE"""),"Дигитални компетенции и медия образование – акценти и тенденции")</f>
        <v>Дигитални компетенции и медия образование – акценти и тенденции</v>
      </c>
      <c r="D4924" s="10">
        <f ca="1">IFERROR(__xludf.DUMMYFUNCTION("""COMPUTED_VALUE"""),2019)</f>
        <v>2019</v>
      </c>
      <c r="E4924" s="10" t="str">
        <f ca="1">IFERROR(__xludf.DUMMYFUNCTION("""COMPUTED_VALUE"""),"Книгата – нашето по-смислено настояще : Сборник доклади от форума „Дни на книгата и авторското право в УниБИТ”, София, 22-23 април 2019 г. Съст. и науч. ред. Л. Парижкова, Научни рецензенти: Стоян Денчев, Евгения Русинова. – София : За буквите – О Писмене"&amp;"хь, 6/2019, с. 108-111. ISSN 1314-7323 (print)")</f>
        <v>Книгата – нашето по-смислено настояще : Сборник доклади от форума „Дни на книгата и авторското право в УниБИТ”, София, 22-23 април 2019 г. Съст. и науч. ред. Л. Парижкова, Научни рецензенти: Стоян Денчев, Евгения Русинова. – София : За буквите – О Писменехь, 6/2019, с. 108-111. ISSN 1314-7323 (print)</v>
      </c>
      <c r="F4924" s="10" t="str">
        <f ca="1">IFERROR(__xludf.DUMMYFUNCTION("""COMPUTED_VALUE"""),"НАЦИД, ResearchGate, Google Scholar")</f>
        <v>НАЦИД, ResearchGate, Google Scholar</v>
      </c>
      <c r="G4924" s="10" t="str">
        <f ca="1">IFERROR(__xludf.DUMMYFUNCTION("""COMPUTED_VALUE"""),"Маргарита Терзиева")</f>
        <v>Маргарита Терзиева</v>
      </c>
      <c r="H4924" s="10"/>
      <c r="I4924" s="10"/>
      <c r="J4924" s="10"/>
      <c r="K4924" s="10"/>
      <c r="L4924" s="10"/>
      <c r="M4924" s="10"/>
      <c r="N4924" s="10"/>
      <c r="O4924" s="10"/>
      <c r="P4924" s="10"/>
      <c r="Q4924" s="10"/>
      <c r="R4924" s="10"/>
      <c r="S4924" s="10"/>
      <c r="T4924" s="10"/>
      <c r="U4924" s="10"/>
      <c r="V4924" s="10"/>
      <c r="W4924" s="10"/>
      <c r="X4924" s="10"/>
      <c r="Y4924" s="10"/>
      <c r="Z4924" s="10"/>
    </row>
    <row r="4925" spans="1:26" ht="12.75">
      <c r="A4925" s="10" t="str">
        <f ca="1">IFERROR(__xludf.DUMMYFUNCTION("""COMPUTED_VALUE"""),"Любомира Петрова Парижкова")</f>
        <v>Любомира Петрова Парижкова</v>
      </c>
      <c r="B4925" s="10" t="str">
        <f ca="1">IFERROR(__xludf.DUMMYFUNCTION("""COMPUTED_VALUE"""),"Доклад от конференция")</f>
        <v>Доклад от конференция</v>
      </c>
      <c r="C4925" s="10" t="str">
        <f ca="1">IFERROR(__xludf.DUMMYFUNCTION("""COMPUTED_VALUE"""),"Следата, която остави книжовникът и хуманистът Петър Парижков")</f>
        <v>Следата, която остави книжовникът и хуманистът Петър Парижков</v>
      </c>
      <c r="D4925" s="10">
        <f ca="1">IFERROR(__xludf.DUMMYFUNCTION("""COMPUTED_VALUE"""),2019)</f>
        <v>2019</v>
      </c>
      <c r="E4925" s="10" t="str">
        <f ca="1">IFERROR(__xludf.DUMMYFUNCTION("""COMPUTED_VALUE"""),"Книгата – нашето по-смислено настояще : Сборник доклади от форума „Дни на книгата и авторското право в УниБИТ”, София, 22-23 април 2019 г. Съст. и научен редактор Л. Парижкова, Научни рецензенти: Стоян Денчев, Евгения Русинова. – София : За буквите – О Пи"&amp;"сменехь, 6/2019, с. 38-44. ISSN 1314-7323 (print)")</f>
        <v>Книгата – нашето по-смислено настояще : Сборник доклади от форума „Дни на книгата и авторското право в УниБИТ”, София, 22-23 април 2019 г. Съст. и научен редактор Л. Парижкова, Научни рецензенти: Стоян Денчев, Евгения Русинова. – София : За буквите – О Писменехь, 6/2019, с. 38-44. ISSN 1314-7323 (print)</v>
      </c>
      <c r="F4925" s="10" t="str">
        <f ca="1">IFERROR(__xludf.DUMMYFUNCTION("""COMPUTED_VALUE"""),"НАЦИД, ResearchGate, Google Scholar")</f>
        <v>НАЦИД, ResearchGate, Google Scholar</v>
      </c>
      <c r="G4925" s="10"/>
      <c r="H4925" s="10"/>
      <c r="I4925" s="10"/>
      <c r="J4925" s="10"/>
      <c r="K4925" s="10"/>
      <c r="L4925" s="10"/>
      <c r="M4925" s="10"/>
      <c r="N4925" s="10"/>
      <c r="O4925" s="10"/>
      <c r="P4925" s="10"/>
      <c r="Q4925" s="10"/>
      <c r="R4925" s="10"/>
      <c r="S4925" s="10"/>
      <c r="T4925" s="10"/>
      <c r="U4925" s="10"/>
      <c r="V4925" s="10"/>
      <c r="W4925" s="10"/>
      <c r="X4925" s="10"/>
      <c r="Y4925" s="10"/>
      <c r="Z4925" s="10"/>
    </row>
    <row r="4926" spans="1:26" ht="12.75">
      <c r="A4926" s="10" t="str">
        <f ca="1">IFERROR(__xludf.DUMMYFUNCTION("""COMPUTED_VALUE"""),"Любомира Петрова Парижкова")</f>
        <v>Любомира Петрова Парижкова</v>
      </c>
      <c r="B4926" s="10" t="str">
        <f ca="1">IFERROR(__xludf.DUMMYFUNCTION("""COMPUTED_VALUE"""),"Книга")</f>
        <v>Книга</v>
      </c>
      <c r="C4926" s="10" t="str">
        <f ca="1">IFERROR(__xludf.DUMMYFUNCTION("""COMPUTED_VALUE"""),"Книгата – нашето по-смислено настояще")</f>
        <v>Книгата – нашето по-смислено настояще</v>
      </c>
      <c r="D4926" s="10">
        <f ca="1">IFERROR(__xludf.DUMMYFUNCTION("""COMPUTED_VALUE"""),2019)</f>
        <v>2019</v>
      </c>
      <c r="E4926" s="10" t="str">
        <f ca="1">IFERROR(__xludf.DUMMYFUNCTION("""COMPUTED_VALUE"""),"Книгата – нашето по-смислено настояще : Сборник доклади от форума „Дни на книгата и авторското право в УниБИТ”, Съст. и научен редактор Л. Парижкова. Научни рецензенти: Стоян Денчев, Евгения Русинова. 22-23 април 2019 г. – София : За буквите – О Писменехь"&amp;", 6/2019. – 208 с. ISSN 1314-7323 (print).")</f>
        <v>Книгата – нашето по-смислено настояще : Сборник доклади от форума „Дни на книгата и авторското право в УниБИТ”, Съст. и научен редактор Л. Парижкова. Научни рецензенти: Стоян Денчев, Евгения Русинова. 22-23 април 2019 г. – София : За буквите – О Писменехь, 6/2019. – 208 с. ISSN 1314-7323 (print).</v>
      </c>
      <c r="F4926" s="10" t="str">
        <f ca="1">IFERROR(__xludf.DUMMYFUNCTION("""COMPUTED_VALUE"""),"НАЦИД, ResearchGate, Google Scholar")</f>
        <v>НАЦИД, ResearchGate, Google Scholar</v>
      </c>
      <c r="G4926" s="10"/>
      <c r="H4926" s="10"/>
      <c r="I4926" s="10"/>
      <c r="J4926" s="10"/>
      <c r="K4926" s="10"/>
      <c r="L4926" s="10"/>
      <c r="M4926" s="10"/>
      <c r="N4926" s="10"/>
      <c r="O4926" s="10"/>
      <c r="P4926" s="10"/>
      <c r="Q4926" s="10"/>
      <c r="R4926" s="10"/>
      <c r="S4926" s="10"/>
      <c r="T4926" s="10"/>
      <c r="U4926" s="10"/>
      <c r="V4926" s="10"/>
      <c r="W4926" s="10"/>
      <c r="X4926" s="10"/>
      <c r="Y4926" s="10"/>
      <c r="Z4926" s="10"/>
    </row>
    <row r="4927" spans="1:26" ht="12.75">
      <c r="A4927" s="10" t="str">
        <f ca="1">IFERROR(__xludf.DUMMYFUNCTION("""COMPUTED_VALUE"""),"Любомира Петрова Парижкова")</f>
        <v>Любомира Петрова Парижкова</v>
      </c>
      <c r="B4927" s="10" t="str">
        <f ca="1">IFERROR(__xludf.DUMMYFUNCTION("""COMPUTED_VALUE"""),"Статия в списания и поредици")</f>
        <v>Статия в списания и поредици</v>
      </c>
      <c r="C4927" s="10" t="str">
        <f ca="1">IFERROR(__xludf.DUMMYFUNCTION("""COMPUTED_VALUE"""),"Денят на будителите")</f>
        <v>Денят на будителите</v>
      </c>
      <c r="D4927" s="10">
        <f ca="1">IFERROR(__xludf.DUMMYFUNCTION("""COMPUTED_VALUE"""),2019)</f>
        <v>2019</v>
      </c>
      <c r="E4927" s="10" t="str">
        <f ca="1">IFERROR(__xludf.DUMMYFUNCTION("""COMPUTED_VALUE"""),"За буквите – О писменехь. бр. 59/ноември 2019 г. с. 22. ISSN 1312-3785.")</f>
        <v>За буквите – О писменехь. бр. 59/ноември 2019 г. с. 22. ISSN 1312-3785.</v>
      </c>
      <c r="F4927" s="10" t="str">
        <f ca="1">IFERROR(__xludf.DUMMYFUNCTION("""COMPUTED_VALUE"""),"НАЦИД, ResearchGate, Google Scholar")</f>
        <v>НАЦИД, ResearchGate, Google Scholar</v>
      </c>
      <c r="G4927" s="10"/>
      <c r="H4927" s="10"/>
      <c r="I4927" s="10"/>
      <c r="J4927" s="10"/>
      <c r="K4927" s="10"/>
      <c r="L4927" s="10"/>
      <c r="M4927" s="10"/>
      <c r="N4927" s="10"/>
      <c r="O4927" s="10"/>
      <c r="P4927" s="10"/>
      <c r="Q4927" s="10"/>
      <c r="R4927" s="10"/>
      <c r="S4927" s="10"/>
      <c r="T4927" s="10"/>
      <c r="U4927" s="10"/>
      <c r="V4927" s="10"/>
      <c r="W4927" s="10"/>
      <c r="X4927" s="10"/>
      <c r="Y4927" s="10"/>
      <c r="Z4927" s="10"/>
    </row>
    <row r="4928" spans="1:26" ht="12.75">
      <c r="A4928" s="10" t="str">
        <f ca="1">IFERROR(__xludf.DUMMYFUNCTION("""COMPUTED_VALUE"""),"Любомира Петрова Парижкова")</f>
        <v>Любомира Петрова Парижкова</v>
      </c>
      <c r="B4928" s="10" t="str">
        <f ca="1">IFERROR(__xludf.DUMMYFUNCTION("""COMPUTED_VALUE"""),"Доклад от конференция")</f>
        <v>Доклад от конференция</v>
      </c>
      <c r="C4928" s="10" t="str">
        <f ca="1">IFERROR(__xludf.DUMMYFUNCTION("""COMPUTED_VALUE"""),"A comparison of the views and the expectations of parents, students and teachers regarding digital technologies and the formation of digital literacy")</f>
        <v>A comparison of the views and the expectations of parents, students and teachers regarding digital technologies and the formation of digital literacy</v>
      </c>
      <c r="D4928" s="10">
        <f ca="1">IFERROR(__xludf.DUMMYFUNCTION("""COMPUTED_VALUE"""),2019)</f>
        <v>2019</v>
      </c>
      <c r="E4928" s="10" t="str">
        <f ca="1">IFERROR(__xludf.DUMMYFUNCTION("""COMPUTED_VALUE"""),"ICERI 2019 Proceedings, pp. 10465-10471, ICERI2019, 12th annual International Conference of Education, Research and Innovation, Seville (Spain). 11th-13th of November, 2019, ISBN 978-84-09-14755-7; ISSN 2340-1095")</f>
        <v>ICERI 2019 Proceedings, pp. 10465-10471, ICERI2019, 12th annual International Conference of Education, Research and Innovation, Seville (Spain). 11th-13th of November, 2019, ISBN 978-84-09-14755-7; ISSN 2340-1095</v>
      </c>
      <c r="F4928" s="10" t="str">
        <f ca="1">IFERROR(__xludf.DUMMYFUNCTION("""COMPUTED_VALUE"""),"ISI Conference Proceedings Citation Index (Web of Science), Crossref ResearchGate, Google Scholar")</f>
        <v>ISI Conference Proceedings Citation Index (Web of Science), Crossref ResearchGate, Google Scholar</v>
      </c>
      <c r="G4928" s="10"/>
      <c r="H4928" s="10"/>
      <c r="I4928" s="10"/>
      <c r="J4928" s="10"/>
      <c r="K4928" s="10"/>
      <c r="L4928" s="10"/>
      <c r="M4928" s="10"/>
      <c r="N4928" s="10"/>
      <c r="O4928" s="10"/>
      <c r="P4928" s="10"/>
      <c r="Q4928" s="10"/>
      <c r="R4928" s="10"/>
      <c r="S4928" s="10"/>
      <c r="T4928" s="10"/>
      <c r="U4928" s="10"/>
      <c r="V4928" s="10"/>
      <c r="W4928" s="10"/>
      <c r="X4928" s="10"/>
      <c r="Y4928" s="10"/>
      <c r="Z4928" s="10"/>
    </row>
    <row r="4929" spans="1:26" ht="12.75">
      <c r="A4929" s="10" t="str">
        <f ca="1">IFERROR(__xludf.DUMMYFUNCTION("""COMPUTED_VALUE"""),"Любомира Петрова Парижкова")</f>
        <v>Любомира Петрова Парижкова</v>
      </c>
      <c r="B4929" s="10" t="str">
        <f ca="1">IFERROR(__xludf.DUMMYFUNCTION("""COMPUTED_VALUE"""),"Доклад от конференция")</f>
        <v>Доклад от конференция</v>
      </c>
      <c r="C4929" s="10" t="str">
        <f ca="1">IFERROR(__xludf.DUMMYFUNCTION("""COMPUTED_VALUE"""),"Възможности за формиране на дигитални компетентности при деца в предучилищна и начална училищна възраст – тенденции, изведени на база национално анкетно проучване")</f>
        <v>Възможности за формиране на дигитални компетентности при деца в предучилищна и начална училищна възраст – тенденции, изведени на база национално анкетно проучване</v>
      </c>
      <c r="D4929" s="10">
        <f ca="1">IFERROR(__xludf.DUMMYFUNCTION("""COMPUTED_VALUE"""),2018)</f>
        <v>2018</v>
      </c>
      <c r="E4929"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2018, № 9, с. 24-30.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2018, № 9, с. 24-30. ISSN 1314-1791</v>
      </c>
      <c r="F4929" s="10" t="str">
        <f ca="1">IFERROR(__xludf.DUMMYFUNCTION("""COMPUTED_VALUE"""),"Crossref, Google Scholar, НАЦИД")</f>
        <v>Crossref, Google Scholar, НАЦИД</v>
      </c>
      <c r="G4929" s="10"/>
      <c r="H4929" s="10"/>
      <c r="I4929" s="10"/>
      <c r="J4929" s="10"/>
      <c r="K4929" s="10"/>
      <c r="L4929" s="10"/>
      <c r="M4929" s="10"/>
      <c r="N4929" s="10"/>
      <c r="O4929" s="10"/>
      <c r="P4929" s="10"/>
      <c r="Q4929" s="10"/>
      <c r="R4929" s="10"/>
      <c r="S4929" s="10"/>
      <c r="T4929" s="10"/>
      <c r="U4929" s="10"/>
      <c r="V4929" s="10"/>
      <c r="W4929" s="10"/>
      <c r="X4929" s="10"/>
      <c r="Y4929" s="10"/>
      <c r="Z4929" s="10"/>
    </row>
    <row r="4930" spans="1:26" ht="12.75">
      <c r="A4930" s="10" t="str">
        <f ca="1">IFERROR(__xludf.DUMMYFUNCTION("""COMPUTED_VALUE"""),"Любомира Петрова Парижкова")</f>
        <v>Любомира Петрова Парижкова</v>
      </c>
      <c r="B4930" s="10" t="str">
        <f ca="1">IFERROR(__xludf.DUMMYFUNCTION("""COMPUTED_VALUE"""),"Статия в списания и поредици")</f>
        <v>Статия в списания и поредици</v>
      </c>
      <c r="C4930" s="10" t="str">
        <f ca="1">IFERROR(__xludf.DUMMYFUNCTION("""COMPUTED_VALUE"""),"Книга VS. Таблет – опит да се помирят.")</f>
        <v>Книга VS. Таблет – опит да се помирят.</v>
      </c>
      <c r="D4930" s="10">
        <f ca="1">IFERROR(__xludf.DUMMYFUNCTION("""COMPUTED_VALUE"""),2018)</f>
        <v>2018</v>
      </c>
      <c r="E4930" s="10" t="str">
        <f ca="1">IFERROR(__xludf.DUMMYFUNCTION("""COMPUTED_VALUE"""),"ПРОБЛЕМИ на постмодерността = Postmodernism problems. Югозападен унив. ""Неофит Рилски"". Онлайн списание, 2018, Т. 8, № 2. ISSN 1314-3700 (online) http://ppm.swu.bg/?lang=en http://ppm.swu.bg/?lang=bg")</f>
        <v>ПРОБЛЕМИ на постмодерността = Postmodernism problems. Югозападен унив. "Неофит Рилски". Онлайн списание, 2018, Т. 8, № 2. ISSN 1314-3700 (online) http://ppm.swu.bg/?lang=en http://ppm.swu.bg/?lang=bg</v>
      </c>
      <c r="F4930" s="10" t="str">
        <f ca="1">IFERROR(__xludf.DUMMYFUNCTION("""COMPUTED_VALUE"""),"ERIHPLUS (Европейската референтна система за индексиране на научни списания), Directory of Research Journals Indexing, Scientific Indexing Services, Cite Factor – Academic Scientific Journals, Directory of Open Access Scholarly Resources, Central and East"&amp;"ern European Online Library (CEEOL)")</f>
        <v>ERIHPLUS (Европейската референтна система за индексиране на научни списания), Directory of Research Journals Indexing, Scientific Indexing Services, Cite Factor – Academic Scientific Journals, Directory of Open Access Scholarly Resources, Central and Eastern European Online Library (CEEOL)</v>
      </c>
      <c r="G4930" s="10"/>
      <c r="H4930" s="10"/>
      <c r="I4930" s="10"/>
      <c r="J4930" s="10"/>
      <c r="K4930" s="10"/>
      <c r="L4930" s="10"/>
      <c r="M4930" s="10"/>
      <c r="N4930" s="10"/>
      <c r="O4930" s="10"/>
      <c r="P4930" s="10"/>
      <c r="Q4930" s="10"/>
      <c r="R4930" s="10"/>
      <c r="S4930" s="10"/>
      <c r="T4930" s="10"/>
      <c r="U4930" s="10"/>
      <c r="V4930" s="10"/>
      <c r="W4930" s="10"/>
      <c r="X4930" s="10"/>
      <c r="Y4930" s="10"/>
      <c r="Z4930" s="10"/>
    </row>
    <row r="4931" spans="1:26" ht="12.75">
      <c r="A4931" s="10" t="str">
        <f ca="1">IFERROR(__xludf.DUMMYFUNCTION("""COMPUTED_VALUE"""),"Любомира Петрова Парижкова")</f>
        <v>Любомира Петрова Парижкова</v>
      </c>
      <c r="B4931" s="10" t="str">
        <f ca="1">IFERROR(__xludf.DUMMYFUNCTION("""COMPUTED_VALUE"""),"Доклад от конференция")</f>
        <v>Доклад от конференция</v>
      </c>
      <c r="C4931" s="10" t="str">
        <f ca="1">IFERROR(__xludf.DUMMYFUNCTION("""COMPUTED_VALUE"""),"Мултимодални практики. Същност, възможности и перспективи за библиотеките")</f>
        <v>Мултимодални практики. Същност, възможности и перспективи за библиотеките</v>
      </c>
      <c r="D4931" s="10">
        <f ca="1">IFERROR(__xludf.DUMMYFUNCTION("""COMPUTED_VALUE"""),2018)</f>
        <v>2018</v>
      </c>
      <c r="E4931" s="10" t="str">
        <f ca="1">IFERROR(__xludf.DUMMYFUNCTION("""COMPUTED_VALUE"""),"Европейските граждани и интелектуалната собственост - възприятие, осъзнатост, поведение. Сборник, За Буквите. О Писменехь. С., 2018, 377-385.")</f>
        <v>Европейските граждани и интелектуалната собственост - възприятие, осъзнатост, поведение. Сборник, За Буквите. О Писменехь. С., 2018, 377-385.</v>
      </c>
      <c r="F4931" s="10" t="str">
        <f ca="1">IFERROR(__xludf.DUMMYFUNCTION("""COMPUTED_VALUE"""),"НАЦИД, ResearchGate, Google Scholar")</f>
        <v>НАЦИД, ResearchGate, Google Scholar</v>
      </c>
      <c r="G4931" s="10" t="str">
        <f ca="1">IFERROR(__xludf.DUMMYFUNCTION("""COMPUTED_VALUE"""),"Радостина Василева")</f>
        <v>Радостина Василева</v>
      </c>
      <c r="H4931" s="10"/>
      <c r="I4931" s="10"/>
      <c r="J4931" s="10"/>
      <c r="K4931" s="10"/>
      <c r="L4931" s="10"/>
      <c r="M4931" s="10"/>
      <c r="N4931" s="10"/>
      <c r="O4931" s="10"/>
      <c r="P4931" s="10"/>
      <c r="Q4931" s="10"/>
      <c r="R4931" s="10"/>
      <c r="S4931" s="10"/>
      <c r="T4931" s="10"/>
      <c r="U4931" s="10"/>
      <c r="V4931" s="10"/>
      <c r="W4931" s="10"/>
      <c r="X4931" s="10"/>
      <c r="Y4931" s="10"/>
      <c r="Z4931" s="10"/>
    </row>
    <row r="4932" spans="1:26" ht="12.75">
      <c r="A4932" s="10" t="str">
        <f ca="1">IFERROR(__xludf.DUMMYFUNCTION("""COMPUTED_VALUE"""),"Любомира Петрова Парижкова")</f>
        <v>Любомира Петрова Парижкова</v>
      </c>
      <c r="B4932" s="10" t="str">
        <f ca="1">IFERROR(__xludf.DUMMYFUNCTION("""COMPUTED_VALUE"""),"Доклад от конференция")</f>
        <v>Доклад от конференция</v>
      </c>
      <c r="C4932" s="10" t="str">
        <f ca="1">IFERROR(__xludf.DUMMYFUNCTION("""COMPUTED_VALUE"""),"Първи впечатления и изводи от проведено анкетно проучване сред учители по отношение четенето и дигиталната грамотност при ученици до 11 години.")</f>
        <v>Първи впечатления и изводи от проведено анкетно проучване сред учители по отношение четенето и дигиталната грамотност при ученици до 11 години.</v>
      </c>
      <c r="D4932" s="10">
        <f ca="1">IFERROR(__xludf.DUMMYFUNCTION("""COMPUTED_VALUE"""),2018)</f>
        <v>2018</v>
      </c>
      <c r="E4932"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2018, № 9, с. 31-36.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С., 2018, № 9, с. 31-36. ISSN 1314-1791</v>
      </c>
      <c r="F4932" s="10" t="str">
        <f ca="1">IFERROR(__xludf.DUMMYFUNCTION("""COMPUTED_VALUE"""),"Crossref, Google Scholar
 НАЦИД")</f>
        <v>Crossref, Google Scholar
 НАЦИД</v>
      </c>
      <c r="G4932" s="10" t="str">
        <f ca="1">IFERROR(__xludf.DUMMYFUNCTION("""COMPUTED_VALUE"""),"Душева, Симона. Галович, Паола.")</f>
        <v>Душева, Симона. Галович, Паола.</v>
      </c>
      <c r="H4932" s="10"/>
      <c r="I4932" s="10"/>
      <c r="J4932" s="10"/>
      <c r="K4932" s="10"/>
      <c r="L4932" s="10"/>
      <c r="M4932" s="10"/>
      <c r="N4932" s="10"/>
      <c r="O4932" s="10"/>
      <c r="P4932" s="10"/>
      <c r="Q4932" s="10"/>
      <c r="R4932" s="10"/>
      <c r="S4932" s="10"/>
      <c r="T4932" s="10"/>
      <c r="U4932" s="10"/>
      <c r="V4932" s="10"/>
      <c r="W4932" s="10"/>
      <c r="X4932" s="10"/>
      <c r="Y4932" s="10"/>
      <c r="Z4932" s="10"/>
    </row>
    <row r="4933" spans="1:26" ht="12.75">
      <c r="A4933" s="10" t="str">
        <f ca="1">IFERROR(__xludf.DUMMYFUNCTION("""COMPUTED_VALUE"""),"Любомира Петрова Парижкова")</f>
        <v>Любомира Петрова Парижкова</v>
      </c>
      <c r="B4933" s="10" t="str">
        <f ca="1">IFERROR(__xludf.DUMMYFUNCTION("""COMPUTED_VALUE"""),"Статия в списания и поредици")</f>
        <v>Статия в списания и поредици</v>
      </c>
      <c r="C4933" s="10" t="str">
        <f ca="1">IFERROR(__xludf.DUMMYFUNCTION("""COMPUTED_VALUE"""),"Дигиталните компетенции и медиаобразованието в предучилищна и начална училищна възраст – понятия и съвременни изследвания по проблема.")</f>
        <v>Дигиталните компетенции и медиаобразованието в предучилищна и начална училищна възраст – понятия и съвременни изследвания по проблема.</v>
      </c>
      <c r="D4933" s="10">
        <f ca="1">IFERROR(__xludf.DUMMYFUNCTION("""COMPUTED_VALUE"""),2018)</f>
        <v>2018</v>
      </c>
      <c r="E4933"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С., 2018, № 9, с. 5-19. ISSN 1314-1791 (print)")</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С., 2018, № 9, с. 5-19. ISSN 1314-1791 (print)</v>
      </c>
      <c r="F4933" s="10" t="str">
        <f ca="1">IFERROR(__xludf.DUMMYFUNCTION("""COMPUTED_VALUE"""),"Crossref, Google Scholar")</f>
        <v>Crossref, Google Scholar</v>
      </c>
      <c r="G4933" s="10" t="str">
        <f ca="1">IFERROR(__xludf.DUMMYFUNCTION("""COMPUTED_VALUE"""),"Папанчева, Румяна. Дичева, Елена, Терзиева, Маргарита, Димитрова, Красимира.")</f>
        <v>Папанчева, Румяна. Дичева, Елена, Терзиева, Маргарита, Димитрова, Красимира.</v>
      </c>
      <c r="H4933" s="10"/>
      <c r="I4933" s="10"/>
      <c r="J4933" s="10"/>
      <c r="K4933" s="10"/>
      <c r="L4933" s="10"/>
      <c r="M4933" s="10"/>
      <c r="N4933" s="10"/>
      <c r="O4933" s="10"/>
      <c r="P4933" s="10"/>
      <c r="Q4933" s="10"/>
      <c r="R4933" s="10"/>
      <c r="S4933" s="10"/>
      <c r="T4933" s="10"/>
      <c r="U4933" s="10"/>
      <c r="V4933" s="10"/>
      <c r="W4933" s="10"/>
      <c r="X4933" s="10"/>
      <c r="Y4933" s="10"/>
      <c r="Z4933" s="10"/>
    </row>
    <row r="4934" spans="1:26" ht="12.75">
      <c r="A4934" s="10" t="str">
        <f ca="1">IFERROR(__xludf.DUMMYFUNCTION("""COMPUTED_VALUE"""),"Любомира Петрова Парижкова")</f>
        <v>Любомира Петрова Парижкова</v>
      </c>
      <c r="B4934" s="10" t="str">
        <f ca="1">IFERROR(__xludf.DUMMYFUNCTION("""COMPUTED_VALUE"""),"Статия в списания и поредици")</f>
        <v>Статия в списания и поредици</v>
      </c>
      <c r="C4934" s="10" t="str">
        <f ca="1">IFERROR(__xludf.DUMMYFUNCTION("""COMPUTED_VALUE"""),"The parents’ role in the formation of reading literacy and digital competencies of children up to 11 years old.")</f>
        <v>The parents’ role in the formation of reading literacy and digital competencies of children up to 11 years old.</v>
      </c>
      <c r="D4934" s="10">
        <f ca="1">IFERROR(__xludf.DUMMYFUNCTION("""COMPUTED_VALUE"""),2018)</f>
        <v>2018</v>
      </c>
      <c r="E4934" s="10" t="str">
        <f ca="1">IFERROR(__xludf.DUMMYFUNCTION("""COMPUTED_VALUE"""),"KNOWLEDGE - International Journal, Scientific papers, № 22.1, 2018, 117-122. ISSN 2545-4439; ISSN 1857-923X")</f>
        <v>KNOWLEDGE - International Journal, Scientific papers, № 22.1, 2018, 117-122. ISSN 2545-4439; ISSN 1857-923X</v>
      </c>
      <c r="F4934" s="10" t="str">
        <f ca="1">IFERROR(__xludf.DUMMYFUNCTION("""COMPUTED_VALUE"""),"Global Impact &amp; Quality Factor (GIF) 
 - 1.023 for 2015 and 1.322 for 2016")</f>
        <v>Global Impact &amp; Quality Factor (GIF) 
 - 1.023 for 2015 and 1.322 for 2016</v>
      </c>
      <c r="G4934" s="10"/>
      <c r="H4934" s="10"/>
      <c r="I4934" s="10"/>
      <c r="J4934" s="10"/>
      <c r="K4934" s="10"/>
      <c r="L4934" s="10"/>
      <c r="M4934" s="10"/>
      <c r="N4934" s="10"/>
      <c r="O4934" s="10"/>
      <c r="P4934" s="10"/>
      <c r="Q4934" s="10"/>
      <c r="R4934" s="10"/>
      <c r="S4934" s="10"/>
      <c r="T4934" s="10"/>
      <c r="U4934" s="10"/>
      <c r="V4934" s="10"/>
      <c r="W4934" s="10"/>
      <c r="X4934" s="10"/>
      <c r="Y4934" s="10"/>
      <c r="Z4934" s="10"/>
    </row>
    <row r="4935" spans="1:26" ht="12.75">
      <c r="A4935" s="10" t="str">
        <f ca="1">IFERROR(__xludf.DUMMYFUNCTION("""COMPUTED_VALUE"""),"Любомира Петрова Парижкова")</f>
        <v>Любомира Петрова Парижкова</v>
      </c>
      <c r="B4935" s="10" t="str">
        <f ca="1">IFERROR(__xludf.DUMMYFUNCTION("""COMPUTED_VALUE"""),"Статия в списания и поредици")</f>
        <v>Статия в списания и поредици</v>
      </c>
      <c r="C4935" s="10" t="str">
        <f ca="1">IFERROR(__xludf.DUMMYFUNCTION("""COMPUTED_VALUE"""),"Development of instrumentary for the research of the effect of technologies and the new media on digital competences, family and childhood of children in pre-school and primary school education.")</f>
        <v>Development of instrumentary for the research of the effect of technologies and the new media on digital competences, family and childhood of children in pre-school and primary school education.</v>
      </c>
      <c r="D4935" s="10">
        <f ca="1">IFERROR(__xludf.DUMMYFUNCTION("""COMPUTED_VALUE"""),2018)</f>
        <v>2018</v>
      </c>
      <c r="E4935" s="10" t="str">
        <f ca="1">IFERROR(__xludf.DUMMYFUNCTION("""COMPUTED_VALUE"""),"KNOWLEDGE - International Journal,Scientific papers, № 22.2, 2018, 341-348. ISSN 2545-4439; ISSN 1857-923X")</f>
        <v>KNOWLEDGE - International Journal,Scientific papers, № 22.2, 2018, 341-348. ISSN 2545-4439; ISSN 1857-923X</v>
      </c>
      <c r="F4935" s="10" t="str">
        <f ca="1">IFERROR(__xludf.DUMMYFUNCTION("""COMPUTED_VALUE"""),"Global Impact &amp; Quality Factor (GIF) 
 - 1.023 for 2015 and 1.322 for 2016")</f>
        <v>Global Impact &amp; Quality Factor (GIF) 
 - 1.023 for 2015 and 1.322 for 2016</v>
      </c>
      <c r="G4935" s="10" t="str">
        <f ca="1">IFERROR(__xludf.DUMMYFUNCTION("""COMPUTED_VALUE"""),"Papancheva, Rumyana, Dimitrova, Krasimira,Terzieva, Margarita, Dicheva, Elena Margarita, Dicheva, Elena.")</f>
        <v>Papancheva, Rumyana, Dimitrova, Krasimira,Terzieva, Margarita, Dicheva, Elena Margarita, Dicheva, Elena.</v>
      </c>
      <c r="H4935" s="10"/>
      <c r="I4935" s="10"/>
      <c r="J4935" s="10"/>
      <c r="K4935" s="10"/>
      <c r="L4935" s="10"/>
      <c r="M4935" s="10"/>
      <c r="N4935" s="10"/>
      <c r="O4935" s="10"/>
      <c r="P4935" s="10"/>
      <c r="Q4935" s="10"/>
      <c r="R4935" s="10"/>
      <c r="S4935" s="10"/>
      <c r="T4935" s="10"/>
      <c r="U4935" s="10"/>
      <c r="V4935" s="10"/>
      <c r="W4935" s="10"/>
      <c r="X4935" s="10"/>
      <c r="Y4935" s="10"/>
      <c r="Z4935" s="10"/>
    </row>
    <row r="4936" spans="1:26" ht="12.75">
      <c r="A4936" s="10" t="str">
        <f ca="1">IFERROR(__xludf.DUMMYFUNCTION("""COMPUTED_VALUE"""),"Любомира Петрова Парижкова")</f>
        <v>Любомира Петрова Парижкова</v>
      </c>
      <c r="B4936" s="10" t="str">
        <f ca="1">IFERROR(__xludf.DUMMYFUNCTION("""COMPUTED_VALUE"""),"Доклад от конференция")</f>
        <v>Доклад от конференция</v>
      </c>
      <c r="C4936" s="10" t="str">
        <f ca="1">IFERROR(__xludf.DUMMYFUNCTION("""COMPUTED_VALUE"""),"Construction and Methods of Empirical Research of Reading Habits and Digital Literacy of young children up to 11 years old")</f>
        <v>Construction and Methods of Empirical Research of Reading Habits and Digital Literacy of young children up to 11 years old</v>
      </c>
      <c r="D4936" s="10">
        <f ca="1">IFERROR(__xludf.DUMMYFUNCTION("""COMPUTED_VALUE"""),2018)</f>
        <v>2018</v>
      </c>
      <c r="E4936" s="10" t="str">
        <f ca="1">IFERROR(__xludf.DUMMYFUNCTION("""COMPUTED_VALUE"""),"International Academic Conference Proceedings : Education &amp; Humanities, WEI, Barcelona, Spain, 13-15 March 2018, p. 76-87 . ISSN 2167-3179 (Online) USA. 76-87.")</f>
        <v>International Academic Conference Proceedings : Education &amp; Humanities, WEI, Barcelona, Spain, 13-15 March 2018, p. 76-87 . ISSN 2167-3179 (Online) USA. 76-87.</v>
      </c>
      <c r="F4936" s="10" t="str">
        <f ca="1">IFERROR(__xludf.DUMMYFUNCTION("""COMPUTED_VALUE"""),"ABI/INFORM Global (ProQuest), J-Gate, JournalSeek, Index Copernicus International, Copernicus Journal Master List impact rating(ICV) for 2012: 5.82")</f>
        <v>ABI/INFORM Global (ProQuest), J-Gate, JournalSeek, Index Copernicus International, Copernicus Journal Master List impact rating(ICV) for 2012: 5.82</v>
      </c>
      <c r="G4936" s="10"/>
      <c r="H4936" s="10"/>
      <c r="I4936" s="10"/>
      <c r="J4936" s="10"/>
      <c r="K4936" s="10"/>
      <c r="L4936" s="10"/>
      <c r="M4936" s="10"/>
      <c r="N4936" s="10"/>
      <c r="O4936" s="10"/>
      <c r="P4936" s="10"/>
      <c r="Q4936" s="10"/>
      <c r="R4936" s="10"/>
      <c r="S4936" s="10"/>
      <c r="T4936" s="10"/>
      <c r="U4936" s="10"/>
      <c r="V4936" s="10"/>
      <c r="W4936" s="10"/>
      <c r="X4936" s="10"/>
      <c r="Y4936" s="10"/>
      <c r="Z4936" s="10"/>
    </row>
    <row r="4937" spans="1:26" ht="12.75">
      <c r="A4937" s="10" t="str">
        <f ca="1">IFERROR(__xludf.DUMMYFUNCTION("""COMPUTED_VALUE"""),"Любомира Петрова Парижкова")</f>
        <v>Любомира Петрова Парижкова</v>
      </c>
      <c r="B4937" s="10" t="str">
        <f ca="1">IFERROR(__xludf.DUMMYFUNCTION("""COMPUTED_VALUE"""),"Статия в списания и поредици")</f>
        <v>Статия в списания и поредици</v>
      </c>
      <c r="C4937" s="10" t="str">
        <f ca="1">IFERROR(__xludf.DUMMYFUNCTION("""COMPUTED_VALUE"""),"Живот, посветен на книгата и на духовността българска. Рефлексия върху рефлексиите за филма")</f>
        <v>Живот, посветен на книгата и на духовността българска. Рефлексия върху рефлексиите за филма</v>
      </c>
      <c r="D4937" s="10">
        <f ca="1">IFERROR(__xludf.DUMMYFUNCTION("""COMPUTED_VALUE"""),2018)</f>
        <v>2018</v>
      </c>
      <c r="E4937" s="10" t="str">
        <f ca="1">IFERROR(__xludf.DUMMYFUNCTION("""COMPUTED_VALUE"""),"Образователни кинохоризонти : Международен научен сборник по проект „Естетически и образователни проекции на кинодидактиката“. – Бургас : Либра Скорп, 2018, с. 145-155. ISBN: 978-954-471-496-3")</f>
        <v>Образователни кинохоризонти : Международен научен сборник по проект „Естетически и образователни проекции на кинодидактиката“. – Бургас : Либра Скорп, 2018, с. 145-155. ISBN: 978-954-471-496-3</v>
      </c>
      <c r="F4937" s="10"/>
      <c r="G4937" s="10"/>
      <c r="H4937" s="10"/>
      <c r="I4937" s="10"/>
      <c r="J4937" s="10"/>
      <c r="K4937" s="10"/>
      <c r="L4937" s="10"/>
      <c r="M4937" s="10"/>
      <c r="N4937" s="10"/>
      <c r="O4937" s="10"/>
      <c r="P4937" s="10"/>
      <c r="Q4937" s="10"/>
      <c r="R4937" s="10"/>
      <c r="S4937" s="10"/>
      <c r="T4937" s="10"/>
      <c r="U4937" s="10"/>
      <c r="V4937" s="10"/>
      <c r="W4937" s="10"/>
      <c r="X4937" s="10"/>
      <c r="Y4937" s="10"/>
      <c r="Z4937" s="10"/>
    </row>
    <row r="4938" spans="1:26" ht="12.75">
      <c r="A4938" s="10" t="str">
        <f ca="1">IFERROR(__xludf.DUMMYFUNCTION("""COMPUTED_VALUE"""),"Любомира Петрова Парижкова")</f>
        <v>Любомира Петрова Парижкова</v>
      </c>
      <c r="B4938" s="10" t="str">
        <f ca="1">IFERROR(__xludf.DUMMYFUNCTION("""COMPUTED_VALUE"""),"Доклад от конференция")</f>
        <v>Доклад от конференция</v>
      </c>
      <c r="C4938" s="10" t="str">
        <f ca="1">IFERROR(__xludf.DUMMYFUNCTION("""COMPUTED_VALUE"""),"Моето верую. Опит за самооценка чрез дейностите на нашите студенти")</f>
        <v>Моето верую. Опит за самооценка чрез дейностите на нашите студенти</v>
      </c>
      <c r="D4938" s="10">
        <f ca="1">IFERROR(__xludf.DUMMYFUNCTION("""COMPUTED_VALUE"""),2018)</f>
        <v>2018</v>
      </c>
      <c r="E4938" s="10" t="str">
        <f ca="1">IFERROR(__xludf.DUMMYFUNCTION("""COMPUTED_VALUE"""),"В: Библиотечният и информационен мениджмънт. 10 години постижения и предизвикателства. – За буквите – О писменехь. София 2018, 187-193. ISBN 978-619-185-347-2")</f>
        <v>В: Библиотечният и информационен мениджмънт. 10 години постижения и предизвикателства. – За буквите – О писменехь. София 2018, 187-193. ISBN 978-619-185-347-2</v>
      </c>
      <c r="F4938" s="10" t="str">
        <f ca="1">IFERROR(__xludf.DUMMYFUNCTION("""COMPUTED_VALUE"""),"НАЦИД")</f>
        <v>НАЦИД</v>
      </c>
      <c r="G4938" s="10"/>
      <c r="H4938" s="10"/>
      <c r="I4938" s="10"/>
      <c r="J4938" s="10"/>
      <c r="K4938" s="10"/>
      <c r="L4938" s="10"/>
      <c r="M4938" s="10"/>
      <c r="N4938" s="10"/>
      <c r="O4938" s="10"/>
      <c r="P4938" s="10"/>
      <c r="Q4938" s="10"/>
      <c r="R4938" s="10"/>
      <c r="S4938" s="10"/>
      <c r="T4938" s="10"/>
      <c r="U4938" s="10"/>
      <c r="V4938" s="10"/>
      <c r="W4938" s="10"/>
      <c r="X4938" s="10"/>
      <c r="Y4938" s="10"/>
      <c r="Z4938" s="10"/>
    </row>
    <row r="4939" spans="1:26" ht="12.75">
      <c r="A4939" s="10" t="str">
        <f ca="1">IFERROR(__xludf.DUMMYFUNCTION("""COMPUTED_VALUE"""),"Любомира Петрова Парижкова")</f>
        <v>Любомира Петрова Парижкова</v>
      </c>
      <c r="B4939" s="10" t="str">
        <f ca="1">IFERROR(__xludf.DUMMYFUNCTION("""COMPUTED_VALUE"""),"Доклад от конференция")</f>
        <v>Доклад от конференция</v>
      </c>
      <c r="C4939" s="10" t="str">
        <f ca="1">IFERROR(__xludf.DUMMYFUNCTION("""COMPUTED_VALUE"""),"Дигиталната грамотност – ключова компетентност на съвремието")</f>
        <v>Дигиталната грамотност – ключова компетентност на съвремието</v>
      </c>
      <c r="D4939" s="10">
        <f ca="1">IFERROR(__xludf.DUMMYFUNCTION("""COMPUTED_VALUE"""),2017)</f>
        <v>2017</v>
      </c>
      <c r="E4939" s="10" t="str">
        <f ca="1">IFERROR(__xludf.DUMMYFUNCTION("""COMPUTED_VALUE"""),"Интелектуална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"&amp;"Таня Тодорова; Науч. рец. Божанка Неделчева. – София : За буквите – О писменехь, 2017, с. 277-288. ISBN 978-619-185-272-7")</f>
        <v>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Таня Тодорова; Науч. рец. Божанка Неделчева. – София : За буквите – О писменехь, 2017, с. 277-288. ISBN 978-619-185-272-7</v>
      </c>
      <c r="F4939" s="10" t="str">
        <f ca="1">IFERROR(__xludf.DUMMYFUNCTION("""COMPUTED_VALUE"""),"НАЦИД")</f>
        <v>НАЦИД</v>
      </c>
      <c r="G4939" s="10" t="str">
        <f ca="1">IFERROR(__xludf.DUMMYFUNCTION("""COMPUTED_VALUE"""),"Василева, Радостина.")</f>
        <v>Василева, Радостина.</v>
      </c>
      <c r="H4939" s="10"/>
      <c r="I4939" s="10"/>
      <c r="J4939" s="10"/>
      <c r="K4939" s="10"/>
      <c r="L4939" s="10"/>
      <c r="M4939" s="10"/>
      <c r="N4939" s="10"/>
      <c r="O4939" s="10"/>
      <c r="P4939" s="10"/>
      <c r="Q4939" s="10"/>
      <c r="R4939" s="10"/>
      <c r="S4939" s="10"/>
      <c r="T4939" s="10"/>
      <c r="U4939" s="10"/>
      <c r="V4939" s="10"/>
      <c r="W4939" s="10"/>
      <c r="X4939" s="10"/>
      <c r="Y4939" s="10"/>
      <c r="Z4939" s="10"/>
    </row>
    <row r="4940" spans="1:26" ht="12.75">
      <c r="A4940" s="10" t="str">
        <f ca="1">IFERROR(__xludf.DUMMYFUNCTION("""COMPUTED_VALUE"""),"Любомира Петрова Парижкова")</f>
        <v>Любомира Петрова Парижкова</v>
      </c>
      <c r="B4940" s="10" t="str">
        <f ca="1">IFERROR(__xludf.DUMMYFUNCTION("""COMPUTED_VALUE"""),"Статия в списания и поредици")</f>
        <v>Статия в списания и поредици</v>
      </c>
      <c r="C4940" s="10" t="str">
        <f ca="1">IFERROR(__xludf.DUMMYFUNCTION("""COMPUTED_VALUE"""),"Съвременни стратегии и иновации в управление на знанието [Рецензия за сборник]")</f>
        <v>Съвременни стратегии и иновации в управление на знанието [Рецензия за сборник]</v>
      </c>
      <c r="D4940" s="10">
        <f ca="1">IFERROR(__xludf.DUMMYFUNCTION("""COMPUTED_VALUE"""),2017)</f>
        <v>2017</v>
      </c>
      <c r="E4940"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253-257. ISSN 2535-0250 (print)")</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253-257. ISSN 2535-0250 (print)</v>
      </c>
      <c r="F4940" s="10" t="str">
        <f ca="1">IFERROR(__xludf.DUMMYFUNCTION("""COMPUTED_VALUE"""),"НАЦИД")</f>
        <v>НАЦИД</v>
      </c>
      <c r="G4940" s="10"/>
      <c r="H4940" s="10"/>
      <c r="I4940" s="10"/>
      <c r="J4940" s="10"/>
      <c r="K4940" s="10"/>
      <c r="L4940" s="10"/>
      <c r="M4940" s="10"/>
      <c r="N4940" s="10"/>
      <c r="O4940" s="10"/>
      <c r="P4940" s="10"/>
      <c r="Q4940" s="10"/>
      <c r="R4940" s="10"/>
      <c r="S4940" s="10"/>
      <c r="T4940" s="10"/>
      <c r="U4940" s="10"/>
      <c r="V4940" s="10"/>
      <c r="W4940" s="10"/>
      <c r="X4940" s="10"/>
      <c r="Y4940" s="10"/>
      <c r="Z4940" s="10"/>
    </row>
    <row r="4941" spans="1:26" ht="12.75">
      <c r="A4941" s="10" t="str">
        <f ca="1">IFERROR(__xludf.DUMMYFUNCTION("""COMPUTED_VALUE"""),"Любомира Петрова Парижкова")</f>
        <v>Любомира Петрова Парижкова</v>
      </c>
      <c r="B4941" s="10" t="str">
        <f ca="1">IFERROR(__xludf.DUMMYFUNCTION("""COMPUTED_VALUE"""),"Доклад от конференция")</f>
        <v>Доклад от конференция</v>
      </c>
      <c r="C4941" s="10" t="str">
        <f ca="1">IFERROR(__xludf.DUMMYFUNCTION("""COMPUTED_VALUE"""),"Research of connection between reading and digital literacy of children up to 11 years old.")</f>
        <v>Research of connection between reading and digital literacy of children up to 11 years old.</v>
      </c>
      <c r="D4941" s="10">
        <f ca="1">IFERROR(__xludf.DUMMYFUNCTION("""COMPUTED_VALUE"""),2017)</f>
        <v>2017</v>
      </c>
      <c r="E4941" s="10" t="str">
        <f ca="1">IFERROR(__xludf.DUMMYFUNCTION("""COMPUTED_VALUE"""),"ICERI2017 Proceedings. 10th International Conference of Education, Research and Innovation 16th-18th November, 2017, Seville, SPAIN, 2017, 2996-3006. ISBN: 978-84-697-6957-7; ISSN: 2340-1095")</f>
        <v>ICERI2017 Proceedings. 10th International Conference of Education, Research and Innovation 16th-18th November, 2017, Seville, SPAIN, 2017, 2996-3006. ISBN: 978-84-697-6957-7; ISSN: 2340-1095</v>
      </c>
      <c r="F4941" s="10" t="str">
        <f ca="1">IFERROR(__xludf.DUMMYFUNCTION("""COMPUTED_VALUE"""),"ISI Conference Proceedings Citation Index (Web of Science)
 Crossref")</f>
        <v>ISI Conference Proceedings Citation Index (Web of Science)
 Crossref</v>
      </c>
      <c r="G4941" s="10"/>
      <c r="H4941" s="10"/>
      <c r="I4941" s="10"/>
      <c r="J4941" s="10"/>
      <c r="K4941" s="10"/>
      <c r="L4941" s="10"/>
      <c r="M4941" s="10"/>
      <c r="N4941" s="10"/>
      <c r="O4941" s="10"/>
      <c r="P4941" s="10"/>
      <c r="Q4941" s="10"/>
      <c r="R4941" s="10"/>
      <c r="S4941" s="10"/>
      <c r="T4941" s="10"/>
      <c r="U4941" s="10"/>
      <c r="V4941" s="10"/>
      <c r="W4941" s="10"/>
      <c r="X4941" s="10"/>
      <c r="Y4941" s="10"/>
      <c r="Z4941" s="10"/>
    </row>
    <row r="4942" spans="1:26" ht="12.75">
      <c r="A4942" s="10" t="str">
        <f ca="1">IFERROR(__xludf.DUMMYFUNCTION("""COMPUTED_VALUE"""),"Любомира Петрова Парижкова")</f>
        <v>Любомира Петрова Парижкова</v>
      </c>
      <c r="B4942" s="10" t="str">
        <f ca="1">IFERROR(__xludf.DUMMYFUNCTION("""COMPUTED_VALUE"""),"Статия в списания и поредици")</f>
        <v>Статия в списания и поредици</v>
      </c>
      <c r="C4942" s="10" t="str">
        <f ca="1">IFERROR(__xludf.DUMMYFUNCTION("""COMPUTED_VALUE"""),"Учебникът „Управление на организационното знание“ като наръчник за комерсиализация на знанията : Рецензия")</f>
        <v>Учебникът „Управление на организационното знание“ като наръчник за комерсиализация на знанията : Рецензия</v>
      </c>
      <c r="D4942" s="10">
        <f ca="1">IFERROR(__xludf.DUMMYFUNCTION("""COMPUTED_VALUE"""),2017)</f>
        <v>2017</v>
      </c>
      <c r="E4942" s="10" t="str">
        <f ca="1">IFERROR(__xludf.DUMMYFUNCTION("""COMPUTED_VALUE"""),"Интелектуална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"&amp;"Таня Тодорова; Науч. рец. Божанка Неделчева. – София : За буквите – О писменехь, 2017, с. 177- 182. ISBN 978-619-185-272-7")</f>
        <v>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Таня Тодорова; Науч. рец. Божанка Неделчева. – София : За буквите – О писменехь, 2017, с. 177- 182. ISBN 978-619-185-272-7</v>
      </c>
      <c r="F4942" s="10" t="str">
        <f ca="1">IFERROR(__xludf.DUMMYFUNCTION("""COMPUTED_VALUE"""),"НАЦИД")</f>
        <v>НАЦИД</v>
      </c>
      <c r="G4942" s="10"/>
      <c r="H4942" s="10"/>
      <c r="I4942" s="10"/>
      <c r="J4942" s="10"/>
      <c r="K4942" s="10"/>
      <c r="L4942" s="10"/>
      <c r="M4942" s="10"/>
      <c r="N4942" s="10"/>
      <c r="O4942" s="10"/>
      <c r="P4942" s="10"/>
      <c r="Q4942" s="10"/>
      <c r="R4942" s="10"/>
      <c r="S4942" s="10"/>
      <c r="T4942" s="10"/>
      <c r="U4942" s="10"/>
      <c r="V4942" s="10"/>
      <c r="W4942" s="10"/>
      <c r="X4942" s="10"/>
      <c r="Y4942" s="10"/>
      <c r="Z4942" s="10"/>
    </row>
    <row r="4943" spans="1:26" ht="12.75">
      <c r="A4943" s="10" t="str">
        <f ca="1">IFERROR(__xludf.DUMMYFUNCTION("""COMPUTED_VALUE"""),"Любомира Петрова Парижкова")</f>
        <v>Любомира Петрова Парижкова</v>
      </c>
      <c r="B4943" s="10" t="str">
        <f ca="1">IFERROR(__xludf.DUMMYFUNCTION("""COMPUTED_VALUE"""),"Доклад от конференция")</f>
        <v>Доклад от конференция</v>
      </c>
      <c r="C4943" s="10" t="str">
        <f ca="1">IFERROR(__xludf.DUMMYFUNCTION("""COMPUTED_VALUE"""),"Управление на знанието в системата за национална сигурност")</f>
        <v>Управление на знанието в системата за национална сигурност</v>
      </c>
      <c r="D4943" s="10">
        <f ca="1">IFERROR(__xludf.DUMMYFUNCTION("""COMPUTED_VALUE"""),2017)</f>
        <v>2017</v>
      </c>
      <c r="E4943"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193-198. ISSN 2535-0250 (print)")</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193-198. ISSN 2535-0250 (print)</v>
      </c>
      <c r="F4943" s="10" t="str">
        <f ca="1">IFERROR(__xludf.DUMMYFUNCTION("""COMPUTED_VALUE"""),"НАЦИД")</f>
        <v>НАЦИД</v>
      </c>
      <c r="G4943" s="10" t="str">
        <f ca="1">IFERROR(__xludf.DUMMYFUNCTION("""COMPUTED_VALUE"""),"Йорданов, Александър.")</f>
        <v>Йорданов, Александър.</v>
      </c>
      <c r="H4943" s="10"/>
      <c r="I4943" s="10"/>
      <c r="J4943" s="10"/>
      <c r="K4943" s="10"/>
      <c r="L4943" s="10"/>
      <c r="M4943" s="10"/>
      <c r="N4943" s="10"/>
      <c r="O4943" s="10"/>
      <c r="P4943" s="10"/>
      <c r="Q4943" s="10"/>
      <c r="R4943" s="10"/>
      <c r="S4943" s="10"/>
      <c r="T4943" s="10"/>
      <c r="U4943" s="10"/>
      <c r="V4943" s="10"/>
      <c r="W4943" s="10"/>
      <c r="X4943" s="10"/>
      <c r="Y4943" s="10"/>
      <c r="Z4943" s="10"/>
    </row>
    <row r="4944" spans="1:26" ht="12.75">
      <c r="A4944" s="10" t="str">
        <f ca="1">IFERROR(__xludf.DUMMYFUNCTION("""COMPUTED_VALUE"""),"Любомира Петрова Парижкова")</f>
        <v>Любомира Петрова Парижкова</v>
      </c>
      <c r="B4944" s="10" t="str">
        <f ca="1">IFERROR(__xludf.DUMMYFUNCTION("""COMPUTED_VALUE"""),"Статия в списания и поредици")</f>
        <v>Статия в списания и поредици</v>
      </c>
      <c r="C4944" s="10" t="str">
        <f ca="1">IFERROR(__xludf.DUMMYFUNCTION("""COMPUTED_VALUE"""),"За общуването и...")</f>
        <v>За общуването и...</v>
      </c>
      <c r="D4944" s="10">
        <f ca="1">IFERROR(__xludf.DUMMYFUNCTION("""COMPUTED_VALUE"""),2016)</f>
        <v>2016</v>
      </c>
      <c r="E4944"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ХVІ, 2016, с. 755-760. ISBN 978-619-185-211-6; online ISB"&amp;"N 978-619-185-212-3")</f>
        <v>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ХVІ, 2016, с. 755-760. ISBN 978-619-185-211-6; online ISBN 978-619-185-212-3</v>
      </c>
      <c r="F4944" s="10"/>
      <c r="G4944" s="10"/>
      <c r="H4944" s="10"/>
      <c r="I4944" s="10"/>
      <c r="J4944" s="10"/>
      <c r="K4944" s="10"/>
      <c r="L4944" s="10"/>
      <c r="M4944" s="10"/>
      <c r="N4944" s="10"/>
      <c r="O4944" s="10"/>
      <c r="P4944" s="10"/>
      <c r="Q4944" s="10"/>
      <c r="R4944" s="10"/>
      <c r="S4944" s="10"/>
      <c r="T4944" s="10"/>
      <c r="U4944" s="10"/>
      <c r="V4944" s="10"/>
      <c r="W4944" s="10"/>
      <c r="X4944" s="10"/>
      <c r="Y4944" s="10"/>
      <c r="Z4944" s="10"/>
    </row>
    <row r="4945" spans="1:26" ht="12.75">
      <c r="A4945" s="10" t="str">
        <f ca="1">IFERROR(__xludf.DUMMYFUNCTION("""COMPUTED_VALUE"""),"Любомира Петрова Парижкова")</f>
        <v>Любомира Петрова Парижкова</v>
      </c>
      <c r="B4945" s="10" t="str">
        <f ca="1">IFERROR(__xludf.DUMMYFUNCTION("""COMPUTED_VALUE"""),"Доклад от конференция")</f>
        <v>Доклад от конференция</v>
      </c>
      <c r="C4945" s="10" t="str">
        <f ca="1">IFERROR(__xludf.DUMMYFUNCTION("""COMPUTED_VALUE"""),"Дигиталната грамотност и мултимодални практики за малки деца (COST aкция IS1410).")</f>
        <v>Дигиталната грамотност и мултимодални практики за малки деца (COST aкция IS1410).</v>
      </c>
      <c r="D4945" s="10">
        <f ca="1">IFERROR(__xludf.DUMMYFUNCTION("""COMPUTED_VALUE"""),2016)</f>
        <v>2016</v>
      </c>
      <c r="E4945" s="10" t="str">
        <f ca="1">IFERROR(__xludf.DUMMYFUNCTION("""COMPUTED_VALUE"""),"Образование и технологии. Иновации в обучението и познавателното развитие. Бургас, 7/2016, 38-43. ISSN 1314-1791 (Online)")</f>
        <v>Образование и технологии. Иновации в обучението и познавателното развитие. Бургас, 7/2016, 38-43. ISSN 1314-1791 (Online)</v>
      </c>
      <c r="F4945" s="10" t="str">
        <f ca="1">IFERROR(__xludf.DUMMYFUNCTION("""COMPUTED_VALUE"""),"Crossref
 Google Scholar
 НАЦИД")</f>
        <v>Crossref
 Google Scholar
 НАЦИД</v>
      </c>
      <c r="G4945" s="10"/>
      <c r="H4945" s="10"/>
      <c r="I4945" s="10"/>
      <c r="J4945" s="10"/>
      <c r="K4945" s="10"/>
      <c r="L4945" s="10"/>
      <c r="M4945" s="10"/>
      <c r="N4945" s="10"/>
      <c r="O4945" s="10"/>
      <c r="P4945" s="10"/>
      <c r="Q4945" s="10"/>
      <c r="R4945" s="10"/>
      <c r="S4945" s="10"/>
      <c r="T4945" s="10"/>
      <c r="U4945" s="10"/>
      <c r="V4945" s="10"/>
      <c r="W4945" s="10"/>
      <c r="X4945" s="10"/>
      <c r="Y4945" s="10"/>
      <c r="Z4945" s="10"/>
    </row>
    <row r="4946" spans="1:26" ht="12.75">
      <c r="A4946" s="10" t="str">
        <f ca="1">IFERROR(__xludf.DUMMYFUNCTION("""COMPUTED_VALUE"""),"Любомира Петрова Парижкова")</f>
        <v>Любомира Петрова Парижкова</v>
      </c>
      <c r="B4946" s="10" t="str">
        <f ca="1">IFERROR(__xludf.DUMMYFUNCTION("""COMPUTED_VALUE"""),"Доклад от конференция")</f>
        <v>Доклад от конференция</v>
      </c>
      <c r="C4946" s="10" t="str">
        <f ca="1">IFERROR(__xludf.DUMMYFUNCTION("""COMPUTED_VALUE"""),"Анализ на въздействието на провежданите инициативи за честването на Международния ден на книгата и авторското право в Университета по библиотекознание и информационни технологии")</f>
        <v>Анализ на въздействието на провежданите инициативи за честването на Международния ден на книгата и авторското право в Университета по библиотекознание и информационни технологии</v>
      </c>
      <c r="D4946" s="10">
        <f ca="1">IFERROR(__xludf.DUMMYFUNCTION("""COMPUTED_VALUE"""),2015)</f>
        <v>2015</v>
      </c>
      <c r="E4946"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2015, № 6, с. 458-465.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електронно списание, 2015, № 6, с. 458-465. ISSN 1314-1791</v>
      </c>
      <c r="F4946" s="10" t="str">
        <f ca="1">IFERROR(__xludf.DUMMYFUNCTION("""COMPUTED_VALUE"""),"НАЦИД")</f>
        <v>НАЦИД</v>
      </c>
      <c r="G4946" s="10"/>
      <c r="H4946" s="10"/>
      <c r="I4946" s="10"/>
      <c r="J4946" s="10"/>
      <c r="K4946" s="10"/>
      <c r="L4946" s="10"/>
      <c r="M4946" s="10"/>
      <c r="N4946" s="10"/>
      <c r="O4946" s="10"/>
      <c r="P4946" s="10"/>
      <c r="Q4946" s="10"/>
      <c r="R4946" s="10"/>
      <c r="S4946" s="10"/>
      <c r="T4946" s="10"/>
      <c r="U4946" s="10"/>
      <c r="V4946" s="10"/>
      <c r="W4946" s="10"/>
      <c r="X4946" s="10"/>
      <c r="Y4946" s="10"/>
      <c r="Z4946" s="10"/>
    </row>
    <row r="4947" spans="1:26" ht="12.75">
      <c r="A4947" s="10" t="str">
        <f ca="1">IFERROR(__xludf.DUMMYFUNCTION("""COMPUTED_VALUE"""),"Любомира Петрова Парижкова")</f>
        <v>Любомира Петрова Парижкова</v>
      </c>
      <c r="B4947" s="10" t="str">
        <f ca="1">IFERROR(__xludf.DUMMYFUNCTION("""COMPUTED_VALUE"""),"Книга")</f>
        <v>Книга</v>
      </c>
      <c r="C4947" s="10" t="str">
        <f ca="1">IFERROR(__xludf.DUMMYFUNCTION("""COMPUTED_VALUE"""),"Книгата – нашето по-смислено настояще")</f>
        <v>Книгата – нашето по-смислено настояще</v>
      </c>
      <c r="D4947" s="10">
        <f ca="1">IFERROR(__xludf.DUMMYFUNCTION("""COMPUTED_VALUE"""),2015)</f>
        <v>2015</v>
      </c>
      <c r="E4947" s="10" t="str">
        <f ca="1">IFERROR(__xludf.DUMMYFUNCTION("""COMPUTED_VALUE"""),"Сборник доклади от форума „Дни на книгата и авторското право в УниБИТ”, София, 23-24 април 2015 г. – София : За буквите – О Писменехь, 2015. – 248 с. ISSN 1314-7323 (print)")</f>
        <v>Сборник доклади от форума „Дни на книгата и авторското право в УниБИТ”, София, 23-24 април 2015 г. – София : За буквите – О Писменехь, 2015. – 248 с. ISSN 1314-7323 (print)</v>
      </c>
      <c r="F4947" s="10" t="str">
        <f ca="1">IFERROR(__xludf.DUMMYFUNCTION("""COMPUTED_VALUE"""),"НАЦИД")</f>
        <v>НАЦИД</v>
      </c>
      <c r="G4947" s="10"/>
      <c r="H4947" s="10"/>
      <c r="I4947" s="10"/>
      <c r="J4947" s="10"/>
      <c r="K4947" s="10"/>
      <c r="L4947" s="10"/>
      <c r="M4947" s="10"/>
      <c r="N4947" s="10"/>
      <c r="O4947" s="10"/>
      <c r="P4947" s="10"/>
      <c r="Q4947" s="10"/>
      <c r="R4947" s="10"/>
      <c r="S4947" s="10"/>
      <c r="T4947" s="10"/>
      <c r="U4947" s="10"/>
      <c r="V4947" s="10"/>
      <c r="W4947" s="10"/>
      <c r="X4947" s="10"/>
      <c r="Y4947" s="10"/>
      <c r="Z4947" s="10"/>
    </row>
    <row r="4948" spans="1:26" ht="12.75">
      <c r="A4948" s="10" t="str">
        <f ca="1">IFERROR(__xludf.DUMMYFUNCTION("""COMPUTED_VALUE"""),"Любомира Петрова Парижкова")</f>
        <v>Любомира Петрова Парижкова</v>
      </c>
      <c r="B4948" s="10" t="str">
        <f ca="1">IFERROR(__xludf.DUMMYFUNCTION("""COMPUTED_VALUE"""),"Доклад от конференция")</f>
        <v>Доклад от конференция</v>
      </c>
      <c r="C4948" s="10" t="str">
        <f ca="1">IFERROR(__xludf.DUMMYFUNCTION("""COMPUTED_VALUE"""),"В търсене на нови стимули за четенето")</f>
        <v>В търсене на нови стимули за четенето</v>
      </c>
      <c r="D4948" s="10">
        <f ca="1">IFERROR(__xludf.DUMMYFUNCTION("""COMPUTED_VALUE"""),2015)</f>
        <v>2015</v>
      </c>
      <c r="E4948" s="10" t="str">
        <f ca="1">IFERROR(__xludf.DUMMYFUNCTION("""COMPUTED_VALUE"""),"Съвременни измерения на европейското образователно и научно пространство : Сборник с доклади от IV, V, VI, Международен пътуващ семинар на УниБИТ : Ч. VI : Българо-чешки културни общувания, България – Чехия, 17 – 22 април 2012 г., Т 2. – София : За буквит"&amp;"е – О писменехь, 2015, с. 298-302. ISSN 2367-7988 (print)")</f>
        <v>Съвременни измерения на европейското образователно и научно пространство : Сборник с доклади от IV, V, VI, Международен пътуващ семинар на УниБИТ : Ч. VI : Българо-чешки културни общувания, България – Чехия, 17 – 22 април 2012 г., Т 2. – София : За буквите – О писменехь, 2015, с. 298-302. ISSN 2367-7988 (print)</v>
      </c>
      <c r="F4948" s="10" t="str">
        <f ca="1">IFERROR(__xludf.DUMMYFUNCTION("""COMPUTED_VALUE"""),"НАЦИД")</f>
        <v>НАЦИД</v>
      </c>
      <c r="G4948" s="10"/>
      <c r="H4948" s="10"/>
      <c r="I4948" s="10"/>
      <c r="J4948" s="10"/>
      <c r="K4948" s="10"/>
      <c r="L4948" s="10"/>
      <c r="M4948" s="10"/>
      <c r="N4948" s="10"/>
      <c r="O4948" s="10"/>
      <c r="P4948" s="10"/>
      <c r="Q4948" s="10"/>
      <c r="R4948" s="10"/>
      <c r="S4948" s="10"/>
      <c r="T4948" s="10"/>
      <c r="U4948" s="10"/>
      <c r="V4948" s="10"/>
      <c r="W4948" s="10"/>
      <c r="X4948" s="10"/>
      <c r="Y4948" s="10"/>
      <c r="Z4948" s="10"/>
    </row>
    <row r="4949" spans="1:26" ht="12.75">
      <c r="A4949" s="10" t="str">
        <f ca="1">IFERROR(__xludf.DUMMYFUNCTION("""COMPUTED_VALUE"""),"Любомира Петрова Парижкова")</f>
        <v>Любомира Петрова Парижкова</v>
      </c>
      <c r="B4949" s="10" t="str">
        <f ca="1">IFERROR(__xludf.DUMMYFUNCTION("""COMPUTED_VALUE"""),"Доклад от конференция")</f>
        <v>Доклад от конференция</v>
      </c>
      <c r="C4949" s="10" t="str">
        <f ca="1">IFERROR(__xludf.DUMMYFUNCTION("""COMPUTED_VALUE"""),"Изследване върху дефинирането на думите общуване и комуникация в български контекст")</f>
        <v>Изследване върху дефинирането на думите общуване и комуникация в български контекст</v>
      </c>
      <c r="D4949" s="10">
        <f ca="1">IFERROR(__xludf.DUMMYFUNCTION("""COMPUTED_VALUE"""),2015)</f>
        <v>2015</v>
      </c>
      <c r="E4949" s="10" t="str">
        <f ca="1">IFERROR(__xludf.DUMMYFUNCTION("""COMPUTED_VALUE"""),"Съвременни измерения на европейското образователно и научно пространство. Сборник с доклади от VII, VIII, IX, Международен пътуващ семинар на УниБИТ : Ч. VII : Българо-английски културни общувания, България – Великобритания, 25 – 31 май 2013 г., T. 3. – С"&amp;"офия : За буквите – О писменехь, 2015, с. 69-82. ISSN 2367-7988 (print)")</f>
        <v>Съвременни измерения на европейското образователно и научно пространство. Сборник с доклади от VII, VIII, IX, Международен пътуващ семинар на УниБИТ : Ч. VII : Българо-английски културни общувания, България – Великобритания, 25 – 31 май 2013 г., T. 3. – София : За буквите – О писменехь, 2015, с. 69-82. ISSN 2367-7988 (print)</v>
      </c>
      <c r="F4949" s="10" t="str">
        <f ca="1">IFERROR(__xludf.DUMMYFUNCTION("""COMPUTED_VALUE"""),"НАЦИД")</f>
        <v>НАЦИД</v>
      </c>
      <c r="G4949" s="10"/>
      <c r="H4949" s="10"/>
      <c r="I4949" s="10"/>
      <c r="J4949" s="10"/>
      <c r="K4949" s="10"/>
      <c r="L4949" s="10"/>
      <c r="M4949" s="10"/>
      <c r="N4949" s="10"/>
      <c r="O4949" s="10"/>
      <c r="P4949" s="10"/>
      <c r="Q4949" s="10"/>
      <c r="R4949" s="10"/>
      <c r="S4949" s="10"/>
      <c r="T4949" s="10"/>
      <c r="U4949" s="10"/>
      <c r="V4949" s="10"/>
      <c r="W4949" s="10"/>
      <c r="X4949" s="10"/>
      <c r="Y4949" s="10"/>
      <c r="Z4949" s="10"/>
    </row>
    <row r="4950" spans="1:26" ht="12.75">
      <c r="A4950" s="10" t="str">
        <f ca="1">IFERROR(__xludf.DUMMYFUNCTION("""COMPUTED_VALUE"""),"Любомира Петрова Парижкова")</f>
        <v>Любомира Петрова Парижкова</v>
      </c>
      <c r="B4950" s="10" t="str">
        <f ca="1">IFERROR(__xludf.DUMMYFUNCTION("""COMPUTED_VALUE"""),"Доклад от конференция")</f>
        <v>Доклад от конференция</v>
      </c>
      <c r="C4950" s="10" t="str">
        <f ca="1">IFERROR(__xludf.DUMMYFUNCTION("""COMPUTED_VALUE"""),"Книгата като един от основните фактори за развитие на личността")</f>
        <v>Книгата като един от основните фактори за развитие на личността</v>
      </c>
      <c r="D4950" s="10">
        <f ca="1">IFERROR(__xludf.DUMMYFUNCTION("""COMPUTED_VALUE"""),2015)</f>
        <v>2015</v>
      </c>
      <c r="E4950" s="10" t="str">
        <f ca="1">IFERROR(__xludf.DUMMYFUNCTION("""COMPUTED_VALUE"""),"Съвременни измерения на европейското образователно и научно пространство : Сборник с доклади от IV, V, VI, Международен пътуващ семинар на УниБИТ : Ч. V : Българо-френски културни общувания, България – Франция, 30 април – 8 май 2011 г., Т. 2. – София : За"&amp;" буквите – О писменехь, 2015, с. 189-192. ISSN 2367-7988 (print)")</f>
        <v>Съвременни измерения на европейското образователно и научно пространство : Сборник с доклади от IV, V, VI, Международен пътуващ семинар на УниБИТ : Ч. V : Българо-френски културни общувания, България – Франция, 30 април – 8 май 2011 г., Т. 2. – София : За буквите – О писменехь, 2015, с. 189-192. ISSN 2367-7988 (print)</v>
      </c>
      <c r="F4950" s="10" t="str">
        <f ca="1">IFERROR(__xludf.DUMMYFUNCTION("""COMPUTED_VALUE"""),"НАЦИД")</f>
        <v>НАЦИД</v>
      </c>
      <c r="G4950" s="10"/>
      <c r="H4950" s="10"/>
      <c r="I4950" s="10"/>
      <c r="J4950" s="10"/>
      <c r="K4950" s="10"/>
      <c r="L4950" s="10"/>
      <c r="M4950" s="10"/>
      <c r="N4950" s="10"/>
      <c r="O4950" s="10"/>
      <c r="P4950" s="10"/>
      <c r="Q4950" s="10"/>
      <c r="R4950" s="10"/>
      <c r="S4950" s="10"/>
      <c r="T4950" s="10"/>
      <c r="U4950" s="10"/>
      <c r="V4950" s="10"/>
      <c r="W4950" s="10"/>
      <c r="X4950" s="10"/>
      <c r="Y4950" s="10"/>
      <c r="Z4950" s="10"/>
    </row>
    <row r="4951" spans="1:26" ht="12.75">
      <c r="A4951" s="10" t="str">
        <f ca="1">IFERROR(__xludf.DUMMYFUNCTION("""COMPUTED_VALUE"""),"Любомира Петрова Парижкова")</f>
        <v>Любомира Петрова Парижкова</v>
      </c>
      <c r="B4951" s="10" t="str">
        <f ca="1">IFERROR(__xludf.DUMMYFUNCTION("""COMPUTED_VALUE"""),"Доклад от конференция")</f>
        <v>Доклад от конференция</v>
      </c>
      <c r="C4951" s="10" t="str">
        <f ca="1">IFERROR(__xludf.DUMMYFUNCTION("""COMPUTED_VALUE"""),"За филма „Книгата – нашето по-смислено настояще“")</f>
        <v>За филма „Книгата – нашето по-смислено настояще“</v>
      </c>
      <c r="D4951" s="10">
        <f ca="1">IFERROR(__xludf.DUMMYFUNCTION("""COMPUTED_VALUE"""),2015)</f>
        <v>2015</v>
      </c>
      <c r="E4951" s="10" t="str">
        <f ca="1">IFERROR(__xludf.DUMMYFUNCTION("""COMPUTED_VALUE"""),"Книгата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т.5, с. 120-132. ISSN 1314-7323 (print)")</f>
        <v>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т.5, с. 120-132. ISSN 1314-7323 (print)</v>
      </c>
      <c r="F4951" s="10" t="str">
        <f ca="1">IFERROR(__xludf.DUMMYFUNCTION("""COMPUTED_VALUE"""),"НАЦИД")</f>
        <v>НАЦИД</v>
      </c>
      <c r="G4951" s="10" t="str">
        <f ca="1">IFERROR(__xludf.DUMMYFUNCTION("""COMPUTED_VALUE"""),"Камелия Планска")</f>
        <v>Камелия Планска</v>
      </c>
      <c r="H4951" s="10"/>
      <c r="I4951" s="10"/>
      <c r="J4951" s="10"/>
      <c r="K4951" s="10"/>
      <c r="L4951" s="10"/>
      <c r="M4951" s="10"/>
      <c r="N4951" s="10"/>
      <c r="O4951" s="10"/>
      <c r="P4951" s="10"/>
      <c r="Q4951" s="10"/>
      <c r="R4951" s="10"/>
      <c r="S4951" s="10"/>
      <c r="T4951" s="10"/>
      <c r="U4951" s="10"/>
      <c r="V4951" s="10"/>
      <c r="W4951" s="10"/>
      <c r="X4951" s="10"/>
      <c r="Y4951" s="10"/>
      <c r="Z4951" s="10"/>
    </row>
    <row r="4952" spans="1:26" ht="12.75">
      <c r="A4952" s="10" t="str">
        <f ca="1">IFERROR(__xludf.DUMMYFUNCTION("""COMPUTED_VALUE"""),"Любомира Петрова Парижкова")</f>
        <v>Любомира Петрова Парижкова</v>
      </c>
      <c r="B4952" s="10" t="str">
        <f ca="1">IFERROR(__xludf.DUMMYFUNCTION("""COMPUTED_VALUE"""),"Доклад от конференция")</f>
        <v>Доклад от конференция</v>
      </c>
      <c r="C4952" s="10" t="str">
        <f ca="1">IFERROR(__xludf.DUMMYFUNCTION("""COMPUTED_VALUE"""),"Резултати от проучване на импакта от провежданите инициативи за честване на 23 април в УниБИТ")</f>
        <v>Резултати от проучване на импакта от провежданите инициативи за честване на 23 април в УниБИТ</v>
      </c>
      <c r="D4952" s="10">
        <f ca="1">IFERROR(__xludf.DUMMYFUNCTION("""COMPUTED_VALUE"""),2015)</f>
        <v>2015</v>
      </c>
      <c r="E4952" s="10" t="str">
        <f ca="1">IFERROR(__xludf.DUMMYFUNCTION("""COMPUTED_VALUE"""),"Книгата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т.5, с. 120-132. ISSN 1314-7323 (print)")</f>
        <v>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т.5, с. 120-132. ISSN 1314-7323 (print)</v>
      </c>
      <c r="F4952" s="10" t="str">
        <f ca="1">IFERROR(__xludf.DUMMYFUNCTION("""COMPUTED_VALUE"""),"НАЦИД")</f>
        <v>НАЦИД</v>
      </c>
      <c r="G4952" s="10"/>
      <c r="H4952" s="10"/>
      <c r="I4952" s="10"/>
      <c r="J4952" s="10"/>
      <c r="K4952" s="10"/>
      <c r="L4952" s="10"/>
      <c r="M4952" s="10"/>
      <c r="N4952" s="10"/>
      <c r="O4952" s="10"/>
      <c r="P4952" s="10"/>
      <c r="Q4952" s="10"/>
      <c r="R4952" s="10"/>
      <c r="S4952" s="10"/>
      <c r="T4952" s="10"/>
      <c r="U4952" s="10"/>
      <c r="V4952" s="10"/>
      <c r="W4952" s="10"/>
      <c r="X4952" s="10"/>
      <c r="Y4952" s="10"/>
      <c r="Z4952" s="10"/>
    </row>
    <row r="4953" spans="1:26" ht="12.75">
      <c r="A4953" s="10" t="str">
        <f ca="1">IFERROR(__xludf.DUMMYFUNCTION("""COMPUTED_VALUE"""),"Любомира Петрова Парижкова")</f>
        <v>Любомира Петрова Парижкова</v>
      </c>
      <c r="B4953" s="10" t="str">
        <f ca="1">IFERROR(__xludf.DUMMYFUNCTION("""COMPUTED_VALUE"""),"Статия в списания и поредици")</f>
        <v>Статия в списания и поредици</v>
      </c>
      <c r="C4953" s="10" t="str">
        <f ca="1">IFERROR(__xludf.DUMMYFUNCTION("""COMPUTED_VALUE"""),"Новият сборник, посветен на книгата и на изкуствата")</f>
        <v>Новият сборник, посветен на книгата и на изкуствата</v>
      </c>
      <c r="D4953" s="10">
        <f ca="1">IFERROR(__xludf.DUMMYFUNCTION("""COMPUTED_VALUE"""),2015)</f>
        <v>2015</v>
      </c>
      <c r="E4953" s="10" t="str">
        <f ca="1">IFERROR(__xludf.DUMMYFUNCTION("""COMPUTED_VALUE"""),"И з д а т е л, 2015, № 1 (кн. 1 –2), с. 58–59. Резюме на английски език (с.58) . ISSN 1310-4624 (print)")</f>
        <v>И з д а т е л, 2015, № 1 (кн. 1 –2), с. 58–59. Резюме на английски език (с.58) . ISSN 1310-4624 (print)</v>
      </c>
      <c r="F4953" s="10" t="str">
        <f ca="1">IFERROR(__xludf.DUMMYFUNCTION("""COMPUTED_VALUE"""),"НАЦИД")</f>
        <v>НАЦИД</v>
      </c>
      <c r="G4953" s="10"/>
      <c r="H4953" s="10"/>
      <c r="I4953" s="10"/>
      <c r="J4953" s="10"/>
      <c r="K4953" s="10"/>
      <c r="L4953" s="10"/>
      <c r="M4953" s="10"/>
      <c r="N4953" s="10"/>
      <c r="O4953" s="10"/>
      <c r="P4953" s="10"/>
      <c r="Q4953" s="10"/>
      <c r="R4953" s="10"/>
      <c r="S4953" s="10"/>
      <c r="T4953" s="10"/>
      <c r="U4953" s="10"/>
      <c r="V4953" s="10"/>
      <c r="W4953" s="10"/>
      <c r="X4953" s="10"/>
      <c r="Y4953" s="10"/>
      <c r="Z4953" s="10"/>
    </row>
    <row r="4954" spans="1:26" ht="12.75">
      <c r="A4954" s="10" t="str">
        <f ca="1">IFERROR(__xludf.DUMMYFUNCTION("""COMPUTED_VALUE"""),"Любомира Петрова Парижкова")</f>
        <v>Любомира Петрова Парижкова</v>
      </c>
      <c r="B4954" s="10" t="str">
        <f ca="1">IFERROR(__xludf.DUMMYFUNCTION("""COMPUTED_VALUE"""),"Доклад от конференция")</f>
        <v>Доклад от конференция</v>
      </c>
      <c r="C4954" s="10" t="str">
        <f ca="1">IFERROR(__xludf.DUMMYFUNCTION("""COMPUTED_VALUE"""),"Bulgarian good practices for reading competence.")</f>
        <v>Bulgarian good practices for reading competence.</v>
      </c>
      <c r="D4954" s="10">
        <f ca="1">IFERROR(__xludf.DUMMYFUNCTION("""COMPUTED_VALUE"""),2015)</f>
        <v>2015</v>
      </c>
      <c r="E4954" s="10" t="str">
        <f ca="1">IFERROR(__xludf.DUMMYFUNCTION("""COMPUTED_VALUE"""),"W kregu kultury czytelniczej (In the circle of children’s and teenagers’ reading culture. Dzieci I mlodziezy. Redakcja naukowa Mariola Antczak, Agata Walczak-Niewiadomska. Lodz, Wydawnictwo uniwersytetu Lodzkiego, Warszawa, Wydawnictwo SBP, 2015, 205-216."&amp;" ISBN: 978-83-64203-46-6")</f>
        <v>W kregu kultury czytelniczej (In the circle of children’s and teenagers’ reading culture. Dzieci I mlodziezy. Redakcja naukowa Mariola Antczak, Agata Walczak-Niewiadomska. Lodz, Wydawnictwo uniwersytetu Lodzkiego, Warszawa, Wydawnictwo SBP, 2015, 205-216. ISBN: 978-83-64203-46-6</v>
      </c>
      <c r="F4954" s="10"/>
      <c r="G4954" s="10"/>
      <c r="H4954" s="10"/>
      <c r="I4954" s="10"/>
      <c r="J4954" s="10"/>
      <c r="K4954" s="10"/>
      <c r="L4954" s="10"/>
      <c r="M4954" s="10"/>
      <c r="N4954" s="10"/>
      <c r="O4954" s="10"/>
      <c r="P4954" s="10"/>
      <c r="Q4954" s="10"/>
      <c r="R4954" s="10"/>
      <c r="S4954" s="10"/>
      <c r="T4954" s="10"/>
      <c r="U4954" s="10"/>
      <c r="V4954" s="10"/>
      <c r="W4954" s="10"/>
      <c r="X4954" s="10"/>
      <c r="Y4954" s="10"/>
      <c r="Z4954" s="10"/>
    </row>
    <row r="4955" spans="1:26" ht="12.75">
      <c r="A4955" s="10" t="str">
        <f ca="1">IFERROR(__xludf.DUMMYFUNCTION("""COMPUTED_VALUE"""),"Любомира Петрова Парижкова")</f>
        <v>Любомира Петрова Парижкова</v>
      </c>
      <c r="B4955" s="10" t="str">
        <f ca="1">IFERROR(__xludf.DUMMYFUNCTION("""COMPUTED_VALUE"""),"Доклад от конференция")</f>
        <v>Доклад от конференция</v>
      </c>
      <c r="C4955" s="10" t="str">
        <f ca="1">IFERROR(__xludf.DUMMYFUNCTION("""COMPUTED_VALUE"""),"The Seminars on Rhetoric as a creative laboratory for ideas. Opportunities for implementation of the knowledge management in the teaching of Rhetoric.")</f>
        <v>The Seminars on Rhetoric as a creative laboratory for ideas. Opportunities for implementation of the knowledge management in the teaching of Rhetoric.</v>
      </c>
      <c r="D4955" s="10">
        <f ca="1">IFERROR(__xludf.DUMMYFUNCTION("""COMPUTED_VALUE"""),2015)</f>
        <v>2015</v>
      </c>
      <c r="E4955" s="10" t="str">
        <f ca="1">IFERROR(__xludf.DUMMYFUNCTION("""COMPUTED_VALUE"""),"INTED2015 Proceedings : 9th International technology, education and development conference, Madrid, Spain, 2nd-4th March, 2015. – Published by IATED Academy, p. 5572-5579. ISBN: 978-84-606-5763-7; ISSN: 2340-1079")</f>
        <v>INTED2015 Proceedings : 9th International technology, education and development conference, Madrid, Spain, 2nd-4th March, 2015. – Published by IATED Academy, p. 5572-5579. ISBN: 978-84-606-5763-7; ISSN: 2340-1079</v>
      </c>
      <c r="F4955" s="10" t="str">
        <f ca="1">IFERROR(__xludf.DUMMYFUNCTION("""COMPUTED_VALUE"""),"ISI Conference Proceedings Citation Index (ISI CPCI)
 Web of Science
 Crossref")</f>
        <v>ISI Conference Proceedings Citation Index (ISI CPCI)
 Web of Science
 Crossref</v>
      </c>
      <c r="G4955" s="10"/>
      <c r="H4955" s="10"/>
      <c r="I4955" s="10"/>
      <c r="J4955" s="10"/>
      <c r="K4955" s="10"/>
      <c r="L4955" s="10"/>
      <c r="M4955" s="10"/>
      <c r="N4955" s="10"/>
      <c r="O4955" s="10"/>
      <c r="P4955" s="10"/>
      <c r="Q4955" s="10"/>
      <c r="R4955" s="10"/>
      <c r="S4955" s="10"/>
      <c r="T4955" s="10"/>
      <c r="U4955" s="10"/>
      <c r="V4955" s="10"/>
      <c r="W4955" s="10"/>
      <c r="X4955" s="10"/>
      <c r="Y4955" s="10"/>
      <c r="Z4955" s="10"/>
    </row>
    <row r="4956" spans="1:26" ht="12.75">
      <c r="A4956" s="10" t="str">
        <f ca="1">IFERROR(__xludf.DUMMYFUNCTION("""COMPUTED_VALUE"""),"Любомира Петрова Парижкова")</f>
        <v>Любомира Петрова Парижкова</v>
      </c>
      <c r="B4956" s="10" t="str">
        <f ca="1">IFERROR(__xludf.DUMMYFUNCTION("""COMPUTED_VALUE"""),"Доклад от конференция")</f>
        <v>Доклад от конференция</v>
      </c>
      <c r="C4956" s="10" t="str">
        <f ca="1">IFERROR(__xludf.DUMMYFUNCTION("""COMPUTED_VALUE"""),"Деконструктивизмът във философията на Дерида и въздействието му върху архитектурата")</f>
        <v>Деконструктивизмът във философията на Дерида и въздействието му върху архитектурата</v>
      </c>
      <c r="D4956" s="10">
        <f ca="1">IFERROR(__xludf.DUMMYFUNCTION("""COMPUTED_VALUE"""),2015)</f>
        <v>2015</v>
      </c>
      <c r="E4956"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2015 г. – София : За буквите – О Писменехь, 2015, с. 75-84. ISSN 1314-7323 (print)")</f>
        <v>Книгата – нашето по-смислено настояще : сборник доклади от форума Дни на книгата и авторското право в УниБИТ, София, 23-25 април 2015 г. – София : За буквите – О Писменехь, 2015, с. 75-84. ISSN 1314-7323 (print)</v>
      </c>
      <c r="F4956" s="10" t="str">
        <f ca="1">IFERROR(__xludf.DUMMYFUNCTION("""COMPUTED_VALUE"""),"НАЦИД")</f>
        <v>НАЦИД</v>
      </c>
      <c r="G4956" s="10"/>
      <c r="H4956" s="10"/>
      <c r="I4956" s="10"/>
      <c r="J4956" s="10"/>
      <c r="K4956" s="10"/>
      <c r="L4956" s="10"/>
      <c r="M4956" s="10"/>
      <c r="N4956" s="10"/>
      <c r="O4956" s="10"/>
      <c r="P4956" s="10"/>
      <c r="Q4956" s="10"/>
      <c r="R4956" s="10"/>
      <c r="S4956" s="10"/>
      <c r="T4956" s="10"/>
      <c r="U4956" s="10"/>
      <c r="V4956" s="10"/>
      <c r="W4956" s="10"/>
      <c r="X4956" s="10"/>
      <c r="Y4956" s="10"/>
      <c r="Z4956" s="10"/>
    </row>
    <row r="4957" spans="1:26" ht="12.75">
      <c r="A4957" s="10" t="str">
        <f ca="1">IFERROR(__xludf.DUMMYFUNCTION("""COMPUTED_VALUE"""),"Любомира Петрова Парижкова")</f>
        <v>Любомира Петрова Парижкова</v>
      </c>
      <c r="B4957" s="10" t="str">
        <f ca="1">IFERROR(__xludf.DUMMYFUNCTION("""COMPUTED_VALUE"""),"Доклад от конференция")</f>
        <v>Доклад от конференция</v>
      </c>
      <c r="C4957" s="10" t="str">
        <f ca="1">IFERROR(__xludf.DUMMYFUNCTION("""COMPUTED_VALUE"""),"Знанието и европейските научни политики")</f>
        <v>Знанието и европейските научни политики</v>
      </c>
      <c r="D4957" s="10">
        <f ca="1">IFERROR(__xludf.DUMMYFUNCTION("""COMPUTED_VALUE"""),2015)</f>
        <v>2015</v>
      </c>
      <c r="E4957" s="10" t="str">
        <f ca="1">IFERROR(__xludf.DUMMYFUNCTION("""COMPUTED_VALUE"""),"Съвременни измерения на европейското образователно и научно пространство : Сборник с доклади от IV, V, VI, Международен пътуващ семинар на УниБИТ : Ч. IV : Българо-испански културни общувания, България – Испания, 10 – 17 април 2010 г., Т. 2. – София : За "&amp;"буквите – О писменехь, 2015, с. 121-125. ISSN 2367-7988 (print)")</f>
        <v>Съвременни измерения на европейското образователно и научно пространство : Сборник с доклади от IV, V, VI, Международен пътуващ семинар на УниБИТ : Ч. IV : Българо-испански културни общувания, България – Испания, 10 – 17 април 2010 г., Т. 2. – София : За буквите – О писменехь, 2015, с. 121-125. ISSN 2367-7988 (print)</v>
      </c>
      <c r="F4957" s="10" t="str">
        <f ca="1">IFERROR(__xludf.DUMMYFUNCTION("""COMPUTED_VALUE"""),"НАЦИД")</f>
        <v>НАЦИД</v>
      </c>
      <c r="G4957" s="10"/>
      <c r="H4957" s="10"/>
      <c r="I4957" s="10"/>
      <c r="J4957" s="10"/>
      <c r="K4957" s="10"/>
      <c r="L4957" s="10"/>
      <c r="M4957" s="10"/>
      <c r="N4957" s="10"/>
      <c r="O4957" s="10"/>
      <c r="P4957" s="10"/>
      <c r="Q4957" s="10"/>
      <c r="R4957" s="10"/>
      <c r="S4957" s="10"/>
      <c r="T4957" s="10"/>
      <c r="U4957" s="10"/>
      <c r="V4957" s="10"/>
      <c r="W4957" s="10"/>
      <c r="X4957" s="10"/>
      <c r="Y4957" s="10"/>
      <c r="Z4957" s="10"/>
    </row>
    <row r="4958" spans="1:26" ht="12.75">
      <c r="A4958" s="10" t="str">
        <f ca="1">IFERROR(__xludf.DUMMYFUNCTION("""COMPUTED_VALUE"""),"Любомира Петрова Парижкова")</f>
        <v>Любомира Петрова Парижкова</v>
      </c>
      <c r="B4958" s="10" t="str">
        <f ca="1">IFERROR(__xludf.DUMMYFUNCTION("""COMPUTED_VALUE"""),"Доклад от конференция")</f>
        <v>Доклад от конференция</v>
      </c>
      <c r="C4958" s="10" t="str">
        <f ca="1">IFERROR(__xludf.DUMMYFUNCTION("""COMPUTED_VALUE"""),"Създаване на среда за стимулиране на четенето в УниБИТ. Организиране и поддържане на буккросинг зона и отчитане на ефекта от нея")</f>
        <v>Създаване на среда за стимулиране на четенето в УниБИТ. Организиране и поддържане на буккросинг зона и отчитане на ефекта от нея</v>
      </c>
      <c r="D4958" s="10">
        <f ca="1">IFERROR(__xludf.DUMMYFUNCTION("""COMPUTED_VALUE"""),2014)</f>
        <v>2014</v>
      </c>
      <c r="E4958" s="10" t="str">
        <f ca="1">IFERROR(__xludf.DUMMYFUNCTION("""COMPUTED_VALUE"""),"Нови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130-138. ISSN 1313-2768")</f>
        <v>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130-138. ISSN 1313-2768</v>
      </c>
      <c r="F4958" s="10"/>
      <c r="G4958" s="10"/>
      <c r="H4958" s="10"/>
      <c r="I4958" s="10"/>
      <c r="J4958" s="10"/>
      <c r="K4958" s="10"/>
      <c r="L4958" s="10"/>
      <c r="M4958" s="10"/>
      <c r="N4958" s="10"/>
      <c r="O4958" s="10"/>
      <c r="P4958" s="10"/>
      <c r="Q4958" s="10"/>
      <c r="R4958" s="10"/>
      <c r="S4958" s="10"/>
      <c r="T4958" s="10"/>
      <c r="U4958" s="10"/>
      <c r="V4958" s="10"/>
      <c r="W4958" s="10"/>
      <c r="X4958" s="10"/>
      <c r="Y4958" s="10"/>
      <c r="Z4958" s="10"/>
    </row>
    <row r="4959" spans="1:26" ht="12.75">
      <c r="A4959" s="10" t="str">
        <f ca="1">IFERROR(__xludf.DUMMYFUNCTION("""COMPUTED_VALUE"""),"Любомира Петрова Парижкова")</f>
        <v>Любомира Петрова Парижкова</v>
      </c>
      <c r="B4959" s="10" t="str">
        <f ca="1">IFERROR(__xludf.DUMMYFUNCTION("""COMPUTED_VALUE"""),"Доклад от конференция")</f>
        <v>Доклад от конференция</v>
      </c>
      <c r="C4959" s="10" t="str">
        <f ca="1">IFERROR(__xludf.DUMMYFUNCTION("""COMPUTED_VALUE"""),"Mobile Books: The Bookcrossing Phenomenon")</f>
        <v>Mobile Books: The Bookcrossing Phenomenon</v>
      </c>
      <c r="D4959" s="10">
        <f ca="1">IFERROR(__xludf.DUMMYFUNCTION("""COMPUTED_VALUE"""),2014)</f>
        <v>2014</v>
      </c>
      <c r="E4959" s="10" t="str">
        <f ca="1">IFERROR(__xludf.DUMMYFUNCTION("""COMPUTED_VALUE"""),"Report from Eleventh International Conference on Books and Publishing. 26-27 September 2013 Regensburg, Germany. Development of an information environment to motivate and stimulate young researchers in SULSIT : Collections of papers and publications of do"&amp;"ctoral and postdoctoral students. Sofia, 2014, p. 88-98. ISBN 978-619-185-13")</f>
        <v>Report from Eleventh International Conference on Books and Publishing. 26-27 September 2013 Regensburg, Germany. Development of an information environment to motivate and stimulate young researchers in SULSIT : Collections of papers and publications of doctoral and postdoctoral students. Sofia, 2014, p. 88-98. ISBN 978-619-185-13</v>
      </c>
      <c r="F4959" s="10"/>
      <c r="G4959" s="10"/>
      <c r="H4959" s="10"/>
      <c r="I4959" s="10"/>
      <c r="J4959" s="10"/>
      <c r="K4959" s="10"/>
      <c r="L4959" s="10"/>
      <c r="M4959" s="10"/>
      <c r="N4959" s="10"/>
      <c r="O4959" s="10"/>
      <c r="P4959" s="10"/>
      <c r="Q4959" s="10"/>
      <c r="R4959" s="10"/>
      <c r="S4959" s="10"/>
      <c r="T4959" s="10"/>
      <c r="U4959" s="10"/>
      <c r="V4959" s="10"/>
      <c r="W4959" s="10"/>
      <c r="X4959" s="10"/>
      <c r="Y4959" s="10"/>
      <c r="Z4959" s="10"/>
    </row>
    <row r="4960" spans="1:26" ht="12.75">
      <c r="A4960" s="10" t="str">
        <f ca="1">IFERROR(__xludf.DUMMYFUNCTION("""COMPUTED_VALUE"""),"Любомира Петрова Парижкова")</f>
        <v>Любомира Петрова Парижкова</v>
      </c>
      <c r="B4960" s="10" t="str">
        <f ca="1">IFERROR(__xludf.DUMMYFUNCTION("""COMPUTED_VALUE"""),"Доклад от конференция")</f>
        <v>Доклад от конференция</v>
      </c>
      <c r="C4960" s="10" t="str">
        <f ca="1">IFERROR(__xludf.DUMMYFUNCTION("""COMPUTED_VALUE"""),"Проучване на буккросинг зони в България")</f>
        <v>Проучване на буккросинг зони в България</v>
      </c>
      <c r="D4960" s="10">
        <f ca="1">IFERROR(__xludf.DUMMYFUNCTION("""COMPUTED_VALUE"""),2014)</f>
        <v>2014</v>
      </c>
      <c r="E4960" s="10" t="str">
        <f ca="1">IFERROR(__xludf.DUMMYFUNCTION("""COMPUTED_VALUE"""),"Обществото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177-183. ISSN 1314-7099 (print)")</f>
        <v>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177-183. ISSN 1314-7099 (print)</v>
      </c>
      <c r="F4960" s="10" t="str">
        <f ca="1">IFERROR(__xludf.DUMMYFUNCTION("""COMPUTED_VALUE"""),"НАЦИД")</f>
        <v>НАЦИД</v>
      </c>
      <c r="G4960" s="10"/>
      <c r="H4960" s="10"/>
      <c r="I4960" s="10"/>
      <c r="J4960" s="10"/>
      <c r="K4960" s="10"/>
      <c r="L4960" s="10"/>
      <c r="M4960" s="10"/>
      <c r="N4960" s="10"/>
      <c r="O4960" s="10"/>
      <c r="P4960" s="10"/>
      <c r="Q4960" s="10"/>
      <c r="R4960" s="10"/>
      <c r="S4960" s="10"/>
      <c r="T4960" s="10"/>
      <c r="U4960" s="10"/>
      <c r="V4960" s="10"/>
      <c r="W4960" s="10"/>
      <c r="X4960" s="10"/>
      <c r="Y4960" s="10"/>
      <c r="Z4960" s="10"/>
    </row>
    <row r="4961" spans="1:26" ht="12.75">
      <c r="A4961" s="10" t="str">
        <f ca="1">IFERROR(__xludf.DUMMYFUNCTION("""COMPUTED_VALUE"""),"Любомира Петрова Парижкова")</f>
        <v>Любомира Петрова Парижкова</v>
      </c>
      <c r="B4961" s="10" t="str">
        <f ca="1">IFERROR(__xludf.DUMMYFUNCTION("""COMPUTED_VALUE"""),"Учебно пособие")</f>
        <v>Учебно пособие</v>
      </c>
      <c r="C4961" s="10" t="str">
        <f ca="1">IFERROR(__xludf.DUMMYFUNCTION("""COMPUTED_VALUE"""),"Аутсорсинг на научната и развойната дейност")</f>
        <v>Аутсорсинг на научната и развойната дейност</v>
      </c>
      <c r="D4961" s="10">
        <f ca="1">IFERROR(__xludf.DUMMYFUNCTION("""COMPUTED_VALUE"""),2014)</f>
        <v>2014</v>
      </c>
      <c r="E4961" s="10" t="str">
        <f ca="1">IFERROR(__xludf.DUMMYFUNCTION("""COMPUTED_VALUE"""),"[Електронен ресурс]. – София : За буквите – О писменехь, 2014. – 62 с. E-ISBN 978-619-185-042-6")</f>
        <v>[Електронен ресурс]. – София : За буквите – О писменехь, 2014. – 62 с. E-ISBN 978-619-185-042-6</v>
      </c>
      <c r="F4961" s="10"/>
      <c r="G4961" s="10"/>
      <c r="H4961" s="10"/>
      <c r="I4961" s="10"/>
      <c r="J4961" s="10"/>
      <c r="K4961" s="10"/>
      <c r="L4961" s="10"/>
      <c r="M4961" s="10"/>
      <c r="N4961" s="10"/>
      <c r="O4961" s="10"/>
      <c r="P4961" s="10"/>
      <c r="Q4961" s="10"/>
      <c r="R4961" s="10"/>
      <c r="S4961" s="10"/>
      <c r="T4961" s="10"/>
      <c r="U4961" s="10"/>
      <c r="V4961" s="10"/>
      <c r="W4961" s="10"/>
      <c r="X4961" s="10"/>
      <c r="Y4961" s="10"/>
      <c r="Z4961" s="10"/>
    </row>
    <row r="4962" spans="1:26" ht="12.75">
      <c r="A4962" s="10" t="str">
        <f ca="1">IFERROR(__xludf.DUMMYFUNCTION("""COMPUTED_VALUE"""),"Любомира Петрова Парижкова")</f>
        <v>Любомира Петрова Парижкова</v>
      </c>
      <c r="B4962" s="10" t="str">
        <f ca="1">IFERROR(__xludf.DUMMYFUNCTION("""COMPUTED_VALUE"""),"Доклад от конференция")</f>
        <v>Доклад от конференция</v>
      </c>
      <c r="C4962" s="10" t="str">
        <f ca="1">IFERROR(__xludf.DUMMYFUNCTION("""COMPUTED_VALUE"""),"Аутсорсингът – един от основните фактори за конкурентоспособност")</f>
        <v>Аутсорсингът – един от основните фактори за конкурентоспособност</v>
      </c>
      <c r="D4962" s="10">
        <f ca="1">IFERROR(__xludf.DUMMYFUNCTION("""COMPUTED_VALUE"""),2014)</f>
        <v>2014</v>
      </c>
      <c r="E4962" s="10" t="str">
        <f ca="1">IFERROR(__xludf.DUMMYFUNCTION("""COMPUTED_VALUE"""),"Младите в науката – инвестиция в бъдещето : Сборник с доклади от Международна научна конференция, София-Пловдив, 18-20.10.2013 г. – София : За буквите – О Писменехь, 2014, с. 259-274. ISBN 978-619-185-132-4")</f>
        <v>Младите в науката – инвестиция в бъдещето : Сборник с доклади от Международна научна конференция, София-Пловдив, 18-20.10.2013 г. – София : За буквите – О Писменехь, 2014, с. 259-274. ISBN 978-619-185-132-4</v>
      </c>
      <c r="F4962" s="10"/>
      <c r="G4962" s="10"/>
      <c r="H4962" s="10"/>
      <c r="I4962" s="10"/>
      <c r="J4962" s="10"/>
      <c r="K4962" s="10"/>
      <c r="L4962" s="10"/>
      <c r="M4962" s="10"/>
      <c r="N4962" s="10"/>
      <c r="O4962" s="10"/>
      <c r="P4962" s="10"/>
      <c r="Q4962" s="10"/>
      <c r="R4962" s="10"/>
      <c r="S4962" s="10"/>
      <c r="T4962" s="10"/>
      <c r="U4962" s="10"/>
      <c r="V4962" s="10"/>
      <c r="W4962" s="10"/>
      <c r="X4962" s="10"/>
      <c r="Y4962" s="10"/>
      <c r="Z4962" s="10"/>
    </row>
    <row r="4963" spans="1:26" ht="12.75">
      <c r="A4963" s="10" t="str">
        <f ca="1">IFERROR(__xludf.DUMMYFUNCTION("""COMPUTED_VALUE"""),"Любомира Петрова Парижкова")</f>
        <v>Любомира Петрова Парижкова</v>
      </c>
      <c r="B4963" s="10" t="str">
        <f ca="1">IFERROR(__xludf.DUMMYFUNCTION("""COMPUTED_VALUE"""),"Доклад от конференция")</f>
        <v>Доклад от конференция</v>
      </c>
      <c r="C4963" s="10" t="str">
        <f ca="1">IFERROR(__xludf.DUMMYFUNCTION("""COMPUTED_VALUE"""),"Възможности за прилагане на немския опит при стимулиране на четенето")</f>
        <v>Възможности за прилагане на немския опит при стимулиране на четенето</v>
      </c>
      <c r="D4963" s="10">
        <f ca="1">IFERROR(__xludf.DUMMYFUNCTION("""COMPUTED_VALUE"""),2014)</f>
        <v>2014</v>
      </c>
      <c r="E4963" s="10" t="str">
        <f ca="1">IFERROR(__xludf.DUMMYFUNCTION("""COMPUTED_VALUE"""),"Обществото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154-157. ISSN 1314-7099 (print)")</f>
        <v>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154-157. ISSN 1314-7099 (print)</v>
      </c>
      <c r="F4963" s="10" t="str">
        <f ca="1">IFERROR(__xludf.DUMMYFUNCTION("""COMPUTED_VALUE"""),"НАЦИД")</f>
        <v>НАЦИД</v>
      </c>
      <c r="G4963" s="10"/>
      <c r="H4963" s="10"/>
      <c r="I4963" s="10"/>
      <c r="J4963" s="10"/>
      <c r="K4963" s="10"/>
      <c r="L4963" s="10"/>
      <c r="M4963" s="10"/>
      <c r="N4963" s="10"/>
      <c r="O4963" s="10"/>
      <c r="P4963" s="10"/>
      <c r="Q4963" s="10"/>
      <c r="R4963" s="10"/>
      <c r="S4963" s="10"/>
      <c r="T4963" s="10"/>
      <c r="U4963" s="10"/>
      <c r="V4963" s="10"/>
      <c r="W4963" s="10"/>
      <c r="X4963" s="10"/>
      <c r="Y4963" s="10"/>
      <c r="Z4963" s="10"/>
    </row>
    <row r="4964" spans="1:26" ht="12.75">
      <c r="A4964" s="10" t="str">
        <f ca="1">IFERROR(__xludf.DUMMYFUNCTION("""COMPUTED_VALUE"""),"Любомира Петрова Парижкова")</f>
        <v>Любомира Петрова Парижкова</v>
      </c>
      <c r="B4964" s="10" t="str">
        <f ca="1">IFERROR(__xludf.DUMMYFUNCTION("""COMPUTED_VALUE"""),"Статия в списания и поредици")</f>
        <v>Статия в списания и поредици</v>
      </c>
      <c r="C4964" s="10" t="str">
        <f ca="1">IFERROR(__xludf.DUMMYFUNCTION("""COMPUTED_VALUE"""),"Дневникът – опит да се лицезрем: Рецензия")</f>
        <v>Дневникът – опит да се лицезрем: Рецензия</v>
      </c>
      <c r="D4964" s="10">
        <f ca="1">IFERROR(__xludf.DUMMYFUNCTION("""COMPUTED_VALUE"""),2014)</f>
        <v>2014</v>
      </c>
      <c r="E4964" s="10" t="str">
        <f ca="1">IFERROR(__xludf.DUMMYFUNCTION("""COMPUTED_VALUE"""),"// Рец. за: Александра Куманова. Очите на Шари. Sub rosa : (Страници от един забравен дневник [по научните експедиции в Иран, Турция /Северна Месопотамия/, Италия, Русия, България]) / Ред. Николай Василев, Иво Панов. – София : WINI - 1837, 2014. – 414 с. "&amp;"И з д а т е л, 2014, № 3-4, с. 48–49. ISSN 1310-4624 (print)")</f>
        <v>// Рец. за: Александра Куманова. Очите на Шари. Sub rosa : (Страници от един забравен дневник [по научните експедиции в Иран, Турция /Северна Месопотамия/, Италия, Русия, България]) / Ред. Николай Василев, Иво Панов. – София : WINI - 1837, 2014. – 414 с. И з д а т е л, 2014, № 3-4, с. 48–49. ISSN 1310-4624 (print)</v>
      </c>
      <c r="F4964" s="10" t="str">
        <f ca="1">IFERROR(__xludf.DUMMYFUNCTION("""COMPUTED_VALUE"""),"НАЦИД")</f>
        <v>НАЦИД</v>
      </c>
      <c r="G4964" s="10"/>
      <c r="H4964" s="10"/>
      <c r="I4964" s="10"/>
      <c r="J4964" s="10"/>
      <c r="K4964" s="10"/>
      <c r="L4964" s="10"/>
      <c r="M4964" s="10"/>
      <c r="N4964" s="10"/>
      <c r="O4964" s="10"/>
      <c r="P4964" s="10"/>
      <c r="Q4964" s="10"/>
      <c r="R4964" s="10"/>
      <c r="S4964" s="10"/>
      <c r="T4964" s="10"/>
      <c r="U4964" s="10"/>
      <c r="V4964" s="10"/>
      <c r="W4964" s="10"/>
      <c r="X4964" s="10"/>
      <c r="Y4964" s="10"/>
      <c r="Z4964" s="10"/>
    </row>
    <row r="4965" spans="1:26" ht="12.75">
      <c r="A4965" s="10" t="str">
        <f ca="1">IFERROR(__xludf.DUMMYFUNCTION("""COMPUTED_VALUE"""),"Любомира Петрова Парижкова")</f>
        <v>Любомира Петрова Парижкова</v>
      </c>
      <c r="B4965" s="10" t="str">
        <f ca="1">IFERROR(__xludf.DUMMYFUNCTION("""COMPUTED_VALUE"""),"Доклад от конференция")</f>
        <v>Доклад от конференция</v>
      </c>
      <c r="C4965" s="10" t="str">
        <f ca="1">IFERROR(__xludf.DUMMYFUNCTION("""COMPUTED_VALUE"""),"Книгата и четенето – някои добри практики за стимулиране на четенето в Университета по библиотекознание и информационни технологии")</f>
        <v>Книгата и четенето – някои добри практики за стимулиране на четенето в Университета по библиотекознание и информационни технологии</v>
      </c>
      <c r="D4965" s="10">
        <f ca="1">IFERROR(__xludf.DUMMYFUNCTION("""COMPUTED_VALUE"""),2014)</f>
        <v>2014</v>
      </c>
      <c r="E4965" s="10" t="str">
        <f ca="1">IFERROR(__xludf.DUMMYFUNCTION("""COMPUTED_VALUE"""),"Четенето в реална и електронна среда : мотивация и опит на библиотеките и образователните институции : сборник с научни доклади и съобщения от Кръгла маса с международно участие, 18 септември 2014 г., Университет по библиотекознание и информационни технол"&amp;"огии, София, България / състав. Елена Павловска = Чтение в реальной и электронной среде : мотивация и опыт библиотек и образовательных институций : сборник научных докладов и сообщений, Круглый стол с международным участием, 18 сентября 2014 г., Университ"&amp;"ет библиотековедения и информационных технологий, София, Болгария в реална и електронна среда. Мотивация и опит на библиотеките и образователните институции. – София : За буквите – О писменехь, 2014, с. 123-128. ISBN 978-619-185-087-7")</f>
        <v>Четенето в реална и електронна среда : мотивация и опит на библиотеките и образователните институции : сборник с научни доклади и съобщения от Кръгла маса с международно участие, 18 септември 2014 г., Университет по библиотекознание и информационни технологии, София, България / състав. Елена Павловска = Чтение в реальной и электронной среде : мотивация и опыт библиотек и образовательных институций : сборник научных докладов и сообщений, Круглый стол с международным участием, 18 сентября 2014 г., Университет библиотековедения и информационных технологий, София, Болгария в реална и електронна среда. Мотивация и опит на библиотеките и образователните институции. – София : За буквите – О писменехь, 2014, с. 123-128. ISBN 978-619-185-087-7</v>
      </c>
      <c r="F4965" s="10"/>
      <c r="G4965" s="10"/>
      <c r="H4965" s="10"/>
      <c r="I4965" s="10"/>
      <c r="J4965" s="10"/>
      <c r="K4965" s="10"/>
      <c r="L4965" s="10"/>
      <c r="M4965" s="10"/>
      <c r="N4965" s="10"/>
      <c r="O4965" s="10"/>
      <c r="P4965" s="10"/>
      <c r="Q4965" s="10"/>
      <c r="R4965" s="10"/>
      <c r="S4965" s="10"/>
      <c r="T4965" s="10"/>
      <c r="U4965" s="10"/>
      <c r="V4965" s="10"/>
      <c r="W4965" s="10"/>
      <c r="X4965" s="10"/>
      <c r="Y4965" s="10"/>
      <c r="Z4965" s="10"/>
    </row>
    <row r="4966" spans="1:26" ht="12.75">
      <c r="A4966" s="10" t="str">
        <f ca="1">IFERROR(__xludf.DUMMYFUNCTION("""COMPUTED_VALUE"""),"Любомира Петрова Парижкова")</f>
        <v>Любомира Петрова Парижкова</v>
      </c>
      <c r="B4966" s="10" t="str">
        <f ca="1">IFERROR(__xludf.DUMMYFUNCTION("""COMPUTED_VALUE"""),"Доклад от конференция")</f>
        <v>Доклад от конференция</v>
      </c>
      <c r="C4966" s="10" t="str">
        <f ca="1">IFERROR(__xludf.DUMMYFUNCTION("""COMPUTED_VALUE"""),"Клишета за четенето")</f>
        <v>Клишета за четенето</v>
      </c>
      <c r="D4966" s="10">
        <f ca="1">IFERROR(__xludf.DUMMYFUNCTION("""COMPUTED_VALUE"""),2014)</f>
        <v>2014</v>
      </c>
      <c r="E4966" s="10" t="str">
        <f ca="1">IFERROR(__xludf.DUMMYFUNCTION("""COMPUTED_VALUE"""),"Книгата – нашето по-смислено настояще : Сборник доклади от форума „Дни на книгата и авторското право в УниБИТ”, София, 23-24 април 2014 г. – София : За буквите – О Писменехь, 2014, с. 65-76. ISSN 1314-7323 (print)")</f>
        <v>Книгата – нашето по-смислено настояще : Сборник доклади от форума „Дни на книгата и авторското право в УниБИТ”, София, 23-24 април 2014 г. – София : За буквите – О Писменехь, 2014, с. 65-76. ISSN 1314-7323 (print)</v>
      </c>
      <c r="F4966" s="10" t="str">
        <f ca="1">IFERROR(__xludf.DUMMYFUNCTION("""COMPUTED_VALUE"""),"НАЦИД")</f>
        <v>НАЦИД</v>
      </c>
      <c r="G4966" s="10"/>
      <c r="H4966" s="10"/>
      <c r="I4966" s="10"/>
      <c r="J4966" s="10"/>
      <c r="K4966" s="10"/>
      <c r="L4966" s="10"/>
      <c r="M4966" s="10"/>
      <c r="N4966" s="10"/>
      <c r="O4966" s="10"/>
      <c r="P4966" s="10"/>
      <c r="Q4966" s="10"/>
      <c r="R4966" s="10"/>
      <c r="S4966" s="10"/>
      <c r="T4966" s="10"/>
      <c r="U4966" s="10"/>
      <c r="V4966" s="10"/>
      <c r="W4966" s="10"/>
      <c r="X4966" s="10"/>
      <c r="Y4966" s="10"/>
      <c r="Z4966" s="10"/>
    </row>
    <row r="4967" spans="1:26" ht="12.75">
      <c r="A4967" s="10" t="str">
        <f ca="1">IFERROR(__xludf.DUMMYFUNCTION("""COMPUTED_VALUE"""),"Любомира Петрова Парижкова")</f>
        <v>Любомира Петрова Парижкова</v>
      </c>
      <c r="B4967" s="10" t="str">
        <f ca="1">IFERROR(__xludf.DUMMYFUNCTION("""COMPUTED_VALUE"""),"Доклад от конференция")</f>
        <v>Доклад от конференция</v>
      </c>
      <c r="C4967" s="10" t="str">
        <f ca="1">IFERROR(__xludf.DUMMYFUNCTION("""COMPUTED_VALUE"""),"Презентацията като инструмент за ефективно общуване")</f>
        <v>Презентацията като инструмент за ефективно общуване</v>
      </c>
      <c r="D4967" s="10">
        <f ca="1">IFERROR(__xludf.DUMMYFUNCTION("""COMPUTED_VALUE"""),2014)</f>
        <v>2014</v>
      </c>
      <c r="E4967" s="10" t="str">
        <f ca="1">IFERROR(__xludf.DUMMYFUNCTION("""COMPUTED_VALUE"""),"Образование и технологии. Иновации в обучението и познавателното развитие. Бургас, електронно списание, 2014, №. 5, с. 144-150. ISSN 1314-1791")</f>
        <v>Образование и технологии. Иновации в обучението и познавателното развитие. Бургас, електронно списание, 2014, №. 5, с. 144-150. ISSN 1314-1791</v>
      </c>
      <c r="F4967" s="10"/>
      <c r="G4967" s="10"/>
      <c r="H4967" s="10"/>
      <c r="I4967" s="10"/>
      <c r="J4967" s="10"/>
      <c r="K4967" s="10"/>
      <c r="L4967" s="10"/>
      <c r="M4967" s="10"/>
      <c r="N4967" s="10"/>
      <c r="O4967" s="10"/>
      <c r="P4967" s="10"/>
      <c r="Q4967" s="10"/>
      <c r="R4967" s="10"/>
      <c r="S4967" s="10"/>
      <c r="T4967" s="10"/>
      <c r="U4967" s="10"/>
      <c r="V4967" s="10"/>
      <c r="W4967" s="10"/>
      <c r="X4967" s="10"/>
      <c r="Y4967" s="10"/>
      <c r="Z4967" s="10"/>
    </row>
    <row r="4968" spans="1:26" ht="12.75">
      <c r="A4968" s="10" t="str">
        <f ca="1">IFERROR(__xludf.DUMMYFUNCTION("""COMPUTED_VALUE"""),"Любомира Петрова Парижкова")</f>
        <v>Любомира Петрова Парижкова</v>
      </c>
      <c r="B4968" s="10" t="str">
        <f ca="1">IFERROR(__xludf.DUMMYFUNCTION("""COMPUTED_VALUE"""),"Учебник")</f>
        <v>Учебник</v>
      </c>
      <c r="C4968" s="10" t="str">
        <f ca="1">IFERROR(__xludf.DUMMYFUNCTION("""COMPUTED_VALUE"""),"Нови форми на организация на знанието")</f>
        <v>Нови форми на организация на знанието</v>
      </c>
      <c r="D4968" s="10">
        <f ca="1">IFERROR(__xludf.DUMMYFUNCTION("""COMPUTED_VALUE"""),2014)</f>
        <v>2014</v>
      </c>
      <c r="E4968" s="10" t="str">
        <f ca="1">IFERROR(__xludf.DUMMYFUNCTION("""COMPUTED_VALUE"""),"София : За буквите – О писменехь, 2014. – 214 с. ISBN 978-619-185-030-3")</f>
        <v>София : За буквите – О писменехь, 2014. – 214 с. ISBN 978-619-185-030-3</v>
      </c>
      <c r="F4968" s="10"/>
      <c r="G4968" s="10"/>
      <c r="H4968" s="10"/>
      <c r="I4968" s="10"/>
      <c r="J4968" s="10"/>
      <c r="K4968" s="10"/>
      <c r="L4968" s="10"/>
      <c r="M4968" s="10"/>
      <c r="N4968" s="10"/>
      <c r="O4968" s="10"/>
      <c r="P4968" s="10"/>
      <c r="Q4968" s="10"/>
      <c r="R4968" s="10"/>
      <c r="S4968" s="10"/>
      <c r="T4968" s="10"/>
      <c r="U4968" s="10"/>
      <c r="V4968" s="10"/>
      <c r="W4968" s="10"/>
      <c r="X4968" s="10"/>
      <c r="Y4968" s="10"/>
      <c r="Z4968" s="10"/>
    </row>
    <row r="4969" spans="1:26" ht="12.75">
      <c r="A4969" s="10" t="str">
        <f ca="1">IFERROR(__xludf.DUMMYFUNCTION("""COMPUTED_VALUE"""),"Любомира Петрова Парижкова")</f>
        <v>Любомира Петрова Парижкова</v>
      </c>
      <c r="B4969" s="10" t="str">
        <f ca="1">IFERROR(__xludf.DUMMYFUNCTION("""COMPUTED_VALUE"""),"Книга")</f>
        <v>Книга</v>
      </c>
      <c r="C4969" s="10" t="str">
        <f ca="1">IFERROR(__xludf.DUMMYFUNCTION("""COMPUTED_VALUE"""),"Книгата – нашето по-смислено настояще")</f>
        <v>Книгата – нашето по-смислено настояще</v>
      </c>
      <c r="D4969" s="10">
        <f ca="1">IFERROR(__xludf.DUMMYFUNCTION("""COMPUTED_VALUE"""),2014)</f>
        <v>2014</v>
      </c>
      <c r="E4969" s="10" t="str">
        <f ca="1">IFERROR(__xludf.DUMMYFUNCTION("""COMPUTED_VALUE"""),"Сборник доклади от форума „Дни на книгата и авторското право в УниБИТ”, София, 23-24 април 2014 г. – София : За буквите – О Писменехь, 2014. – 246 с. ISSN 1314-7323 (print)")</f>
        <v>Сборник доклади от форума „Дни на книгата и авторското право в УниБИТ”, София, 23-24 април 2014 г. – София : За буквите – О Писменехь, 2014. – 246 с. ISSN 1314-7323 (print)</v>
      </c>
      <c r="F4969" s="10" t="str">
        <f ca="1">IFERROR(__xludf.DUMMYFUNCTION("""COMPUTED_VALUE"""),"НАЦИД")</f>
        <v>НАЦИД</v>
      </c>
      <c r="G4969" s="10"/>
      <c r="H4969" s="10"/>
      <c r="I4969" s="10"/>
      <c r="J4969" s="10"/>
      <c r="K4969" s="10"/>
      <c r="L4969" s="10"/>
      <c r="M4969" s="10"/>
      <c r="N4969" s="10"/>
      <c r="O4969" s="10"/>
      <c r="P4969" s="10"/>
      <c r="Q4969" s="10"/>
      <c r="R4969" s="10"/>
      <c r="S4969" s="10"/>
      <c r="T4969" s="10"/>
      <c r="U4969" s="10"/>
      <c r="V4969" s="10"/>
      <c r="W4969" s="10"/>
      <c r="X4969" s="10"/>
      <c r="Y4969" s="10"/>
      <c r="Z4969" s="10"/>
    </row>
    <row r="4970" spans="1:26" ht="12.75">
      <c r="A4970" s="10" t="str">
        <f ca="1">IFERROR(__xludf.DUMMYFUNCTION("""COMPUTED_VALUE"""),"Любомира Петрова Парижкова")</f>
        <v>Любомира Петрова Парижкова</v>
      </c>
      <c r="B4970" s="10" t="str">
        <f ca="1">IFERROR(__xludf.DUMMYFUNCTION("""COMPUTED_VALUE"""),"Учебно пособие")</f>
        <v>Учебно пособие</v>
      </c>
      <c r="C4970" s="10" t="str">
        <f ca="1">IFERROR(__xludf.DUMMYFUNCTION("""COMPUTED_VALUE"""),"Знаниев мениджмънт и медии")</f>
        <v>Знаниев мениджмънт и медии</v>
      </c>
      <c r="D4970" s="10">
        <f ca="1">IFERROR(__xludf.DUMMYFUNCTION("""COMPUTED_VALUE"""),2014)</f>
        <v>2014</v>
      </c>
      <c r="E4970" s="10" t="str">
        <f ca="1">IFERROR(__xludf.DUMMYFUNCTION("""COMPUTED_VALUE"""),"[Електронен ресурс]. – София : За буквите – О писменехь, 2014. – 91 с. E-ISBN 978-619-185-041-9")</f>
        <v>[Електронен ресурс]. – София : За буквите – О писменехь, 2014. – 91 с. E-ISBN 978-619-185-041-9</v>
      </c>
      <c r="F4970" s="10"/>
      <c r="G4970" s="10"/>
      <c r="H4970" s="10"/>
      <c r="I4970" s="10"/>
      <c r="J4970" s="10"/>
      <c r="K4970" s="10"/>
      <c r="L4970" s="10"/>
      <c r="M4970" s="10"/>
      <c r="N4970" s="10"/>
      <c r="O4970" s="10"/>
      <c r="P4970" s="10"/>
      <c r="Q4970" s="10"/>
      <c r="R4970" s="10"/>
      <c r="S4970" s="10"/>
      <c r="T4970" s="10"/>
      <c r="U4970" s="10"/>
      <c r="V4970" s="10"/>
      <c r="W4970" s="10"/>
      <c r="X4970" s="10"/>
      <c r="Y4970" s="10"/>
      <c r="Z4970" s="10"/>
    </row>
    <row r="4971" spans="1:26" ht="12.75">
      <c r="A4971" s="10" t="str">
        <f ca="1">IFERROR(__xludf.DUMMYFUNCTION("""COMPUTED_VALUE"""),"Любомира Петрова Парижкова")</f>
        <v>Любомира Петрова Парижкова</v>
      </c>
      <c r="B4971" s="10" t="str">
        <f ca="1">IFERROR(__xludf.DUMMYFUNCTION("""COMPUTED_VALUE"""),"Статия в списания и поредици")</f>
        <v>Статия в списания и поредици</v>
      </c>
      <c r="C4971" s="10" t="str">
        <f ca="1">IFERROR(__xludf.DUMMYFUNCTION("""COMPUTED_VALUE"""),"За едно по-смислено настояще")</f>
        <v>За едно по-смислено настояще</v>
      </c>
      <c r="D4971" s="10">
        <f ca="1">IFERROR(__xludf.DUMMYFUNCTION("""COMPUTED_VALUE"""),2014)</f>
        <v>2014</v>
      </c>
      <c r="E4971" s="10" t="str">
        <f ca="1">IFERROR(__xludf.DUMMYFUNCTION("""COMPUTED_VALUE"""),"Издател: научно списание за книгата, 2014, с. 61. ISSN 1310-4624 (print)")</f>
        <v>Издател: научно списание за книгата, 2014, с. 61. ISSN 1310-4624 (print)</v>
      </c>
      <c r="F4971" s="10" t="str">
        <f ca="1">IFERROR(__xludf.DUMMYFUNCTION("""COMPUTED_VALUE"""),"НАЦИД")</f>
        <v>НАЦИД</v>
      </c>
      <c r="G4971" s="10"/>
      <c r="H4971" s="10"/>
      <c r="I4971" s="10"/>
      <c r="J4971" s="10"/>
      <c r="K4971" s="10"/>
      <c r="L4971" s="10"/>
      <c r="M4971" s="10"/>
      <c r="N4971" s="10"/>
      <c r="O4971" s="10"/>
      <c r="P4971" s="10"/>
      <c r="Q4971" s="10"/>
      <c r="R4971" s="10"/>
      <c r="S4971" s="10"/>
      <c r="T4971" s="10"/>
      <c r="U4971" s="10"/>
      <c r="V4971" s="10"/>
      <c r="W4971" s="10"/>
      <c r="X4971" s="10"/>
      <c r="Y4971" s="10"/>
      <c r="Z4971" s="10"/>
    </row>
    <row r="4972" spans="1:26" ht="12.75">
      <c r="A4972" s="10" t="str">
        <f ca="1">IFERROR(__xludf.DUMMYFUNCTION("""COMPUTED_VALUE"""),"Любомира Петрова Парижкова")</f>
        <v>Любомира Петрова Парижкова</v>
      </c>
      <c r="B4972" s="10" t="str">
        <f ca="1">IFERROR(__xludf.DUMMYFUNCTION("""COMPUTED_VALUE"""),"Статия в списания и поредици")</f>
        <v>Статия в списания и поредици</v>
      </c>
      <c r="C4972" s="10" t="str">
        <f ca="1">IFERROR(__xludf.DUMMYFUNCTION("""COMPUTED_VALUE"""),"Съвременни читателски практики в България")</f>
        <v>Съвременни читателски практики в България</v>
      </c>
      <c r="D4972" s="10">
        <f ca="1">IFERROR(__xludf.DUMMYFUNCTION("""COMPUTED_VALUE"""),2014)</f>
        <v>2014</v>
      </c>
      <c r="E4972" s="10" t="str">
        <f ca="1">IFERROR(__xludf.DUMMYFUNCTION("""COMPUTED_VALUE"""),"Littera et linqua. СУ, Св. Наум. ФСФ, Есен 2014. Studia serdicensia humanitatis. ISSN 1312-6172 http://www.slav.uni-sofia.bg/naum/person/lyubomira-parizhkova")</f>
        <v>Littera et linqua. СУ, Св. Наум. ФСФ, Есен 2014. Studia serdicensia humanitatis. ISSN 1312-6172 http://www.slav.uni-sofia.bg/naum/person/lyubomira-parizhkova</v>
      </c>
      <c r="F4972" s="10"/>
      <c r="G4972" s="10"/>
      <c r="H4972" s="10"/>
      <c r="I4972" s="10"/>
      <c r="J4972" s="10"/>
      <c r="K4972" s="10"/>
      <c r="L4972" s="10"/>
      <c r="M4972" s="10"/>
      <c r="N4972" s="10"/>
      <c r="O4972" s="10"/>
      <c r="P4972" s="10"/>
      <c r="Q4972" s="10"/>
      <c r="R4972" s="10"/>
      <c r="S4972" s="10"/>
      <c r="T4972" s="10"/>
      <c r="U4972" s="10"/>
      <c r="V4972" s="10"/>
      <c r="W4972" s="10"/>
      <c r="X4972" s="10"/>
      <c r="Y4972" s="10"/>
      <c r="Z4972" s="10"/>
    </row>
    <row r="4973" spans="1:26" ht="12.75">
      <c r="A4973" s="10" t="str">
        <f ca="1">IFERROR(__xludf.DUMMYFUNCTION("""COMPUTED_VALUE"""),"Любомира Петрова Парижкова")</f>
        <v>Любомира Петрова Парижкова</v>
      </c>
      <c r="B4973" s="10" t="str">
        <f ca="1">IFERROR(__xludf.DUMMYFUNCTION("""COMPUTED_VALUE"""),"Доклад от конференция")</f>
        <v>Доклад от конференция</v>
      </c>
      <c r="C4973" s="10" t="str">
        <f ca="1">IFERROR(__xludf.DUMMYFUNCTION("""COMPUTED_VALUE"""),"Четенето – нова мода или екзистенциална необходимост")</f>
        <v>Четенето – нова мода или екзистенциална необходимост</v>
      </c>
      <c r="D4973" s="10">
        <f ca="1">IFERROR(__xludf.DUMMYFUNCTION("""COMPUTED_VALUE"""),2013)</f>
        <v>2013</v>
      </c>
      <c r="E4973" s="10" t="str">
        <f ca="1">IFERROR(__xludf.DUMMYFUNCTION("""COMPUTED_VALUE"""),"Образование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Бургас, електронно списание. 2013, № 4, с. 307-314. ISSN 1314-1791")</f>
        <v>Образование и технологии. Иновации в обучението и познавателното развитие: годишно научно-методическо списание. - Бургас: Сдружение Образование и технологии, Бургас, електронно списание. 2013, № 4, с. 307-314. ISSN 1314-1791</v>
      </c>
      <c r="F4973" s="10" t="str">
        <f ca="1">IFERROR(__xludf.DUMMYFUNCTION("""COMPUTED_VALUE"""),"НАЦИД")</f>
        <v>НАЦИД</v>
      </c>
      <c r="G4973" s="10"/>
      <c r="H4973" s="10"/>
      <c r="I4973" s="10"/>
      <c r="J4973" s="10"/>
      <c r="K4973" s="10"/>
      <c r="L4973" s="10"/>
      <c r="M4973" s="10"/>
      <c r="N4973" s="10"/>
      <c r="O4973" s="10"/>
      <c r="P4973" s="10"/>
      <c r="Q4973" s="10"/>
      <c r="R4973" s="10"/>
      <c r="S4973" s="10"/>
      <c r="T4973" s="10"/>
      <c r="U4973" s="10"/>
      <c r="V4973" s="10"/>
      <c r="W4973" s="10"/>
      <c r="X4973" s="10"/>
      <c r="Y4973" s="10"/>
      <c r="Z4973" s="10"/>
    </row>
    <row r="4974" spans="1:26" ht="12.75">
      <c r="A4974" s="10" t="str">
        <f ca="1">IFERROR(__xludf.DUMMYFUNCTION("""COMPUTED_VALUE"""),"Любомира Петрова Парижкова")</f>
        <v>Любомира Петрова Парижкова</v>
      </c>
      <c r="B4974" s="10" t="str">
        <f ca="1">IFERROR(__xludf.DUMMYFUNCTION("""COMPUTED_VALUE"""),"Монография")</f>
        <v>Монография</v>
      </c>
      <c r="C4974" s="10" t="str">
        <f ca="1">IFERROR(__xludf.DUMMYFUNCTION("""COMPUTED_VALUE"""),"Общуване vs. Комуникация")</f>
        <v>Общуване vs. Комуникация</v>
      </c>
      <c r="D4974" s="10">
        <f ca="1">IFERROR(__xludf.DUMMYFUNCTION("""COMPUTED_VALUE"""),2013)</f>
        <v>2013</v>
      </c>
      <c r="E4974" s="10" t="str">
        <f ca="1">IFERROR(__xludf.DUMMYFUNCTION("""COMPUTED_VALUE"""),"Монография. – София : За буквите – О писменехь, 2013. – 184 с. ISBN 978-954-2946-63-2, 2013, 184 с.")</f>
        <v>Монография. – София : За буквите – О писменехь, 2013. – 184 с. ISBN 978-954-2946-63-2, 2013, 184 с.</v>
      </c>
      <c r="F4974" s="10"/>
      <c r="G4974" s="10"/>
      <c r="H4974" s="10"/>
      <c r="I4974" s="10"/>
      <c r="J4974" s="10"/>
      <c r="K4974" s="10"/>
      <c r="L4974" s="10"/>
      <c r="M4974" s="10"/>
      <c r="N4974" s="10"/>
      <c r="O4974" s="10"/>
      <c r="P4974" s="10"/>
      <c r="Q4974" s="10"/>
      <c r="R4974" s="10"/>
      <c r="S4974" s="10"/>
      <c r="T4974" s="10"/>
      <c r="U4974" s="10"/>
      <c r="V4974" s="10"/>
      <c r="W4974" s="10"/>
      <c r="X4974" s="10"/>
      <c r="Y4974" s="10"/>
      <c r="Z4974" s="10"/>
    </row>
    <row r="4975" spans="1:26" ht="12.75">
      <c r="A4975" s="10" t="str">
        <f ca="1">IFERROR(__xludf.DUMMYFUNCTION("""COMPUTED_VALUE"""),"Любомира Петрова Парижкова")</f>
        <v>Любомира Петрова Парижкова</v>
      </c>
      <c r="B4975" s="10" t="str">
        <f ca="1">IFERROR(__xludf.DUMMYFUNCTION("""COMPUTED_VALUE"""),"Статия в списания и поредици")</f>
        <v>Статия в списания и поредици</v>
      </c>
      <c r="C4975" s="10" t="str">
        <f ca="1">IFERROR(__xludf.DUMMYFUNCTION("""COMPUTED_VALUE"""),"Сайтове за споделяне на книги и мнения за прочетеното")</f>
        <v>Сайтове за споделяне на книги и мнения за прочетеното</v>
      </c>
      <c r="D4975" s="10">
        <f ca="1">IFERROR(__xludf.DUMMYFUNCTION("""COMPUTED_VALUE"""),2013)</f>
        <v>2013</v>
      </c>
      <c r="E4975"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203-212.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203-212. ISBN 978-954-2946-92-2</v>
      </c>
      <c r="F4975" s="10"/>
      <c r="G4975" s="10"/>
      <c r="H4975" s="10"/>
      <c r="I4975" s="10"/>
      <c r="J4975" s="10"/>
      <c r="K4975" s="10"/>
      <c r="L4975" s="10"/>
      <c r="M4975" s="10"/>
      <c r="N4975" s="10"/>
      <c r="O4975" s="10"/>
      <c r="P4975" s="10"/>
      <c r="Q4975" s="10"/>
      <c r="R4975" s="10"/>
      <c r="S4975" s="10"/>
      <c r="T4975" s="10"/>
      <c r="U4975" s="10"/>
      <c r="V4975" s="10"/>
      <c r="W4975" s="10"/>
      <c r="X4975" s="10"/>
      <c r="Y4975" s="10"/>
      <c r="Z4975" s="10"/>
    </row>
    <row r="4976" spans="1:26" ht="12.75">
      <c r="A4976" s="10" t="str">
        <f ca="1">IFERROR(__xludf.DUMMYFUNCTION("""COMPUTED_VALUE"""),"Любомира Петрова Парижкова")</f>
        <v>Любомира Петрова Парижкова</v>
      </c>
      <c r="B4976" s="10" t="str">
        <f ca="1">IFERROR(__xludf.DUMMYFUNCTION("""COMPUTED_VALUE"""),"Статия в списания и поредици")</f>
        <v>Статия в списания и поредици</v>
      </c>
      <c r="C4976" s="10" t="str">
        <f ca="1">IFERROR(__xludf.DUMMYFUNCTION("""COMPUTED_VALUE"""),"Национални програми за празнуване на Световния ден на книгата")</f>
        <v>Национални програми за празнуване на Световния ден на книгата</v>
      </c>
      <c r="D4976" s="10">
        <f ca="1">IFERROR(__xludf.DUMMYFUNCTION("""COMPUTED_VALUE"""),2013)</f>
        <v>2013</v>
      </c>
      <c r="E4976"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87-95.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87-95. ISBN 978-954-2946-92-2</v>
      </c>
      <c r="F4976" s="10"/>
      <c r="G4976" s="10" t="str">
        <f ca="1">IFERROR(__xludf.DUMMYFUNCTION("""COMPUTED_VALUE"""),"Стойкова, Добринка")</f>
        <v>Стойкова, Добринка</v>
      </c>
      <c r="H4976" s="10"/>
      <c r="I4976" s="10"/>
      <c r="J4976" s="10"/>
      <c r="K4976" s="10"/>
      <c r="L4976" s="10"/>
      <c r="M4976" s="10"/>
      <c r="N4976" s="10"/>
      <c r="O4976" s="10"/>
      <c r="P4976" s="10"/>
      <c r="Q4976" s="10"/>
      <c r="R4976" s="10"/>
      <c r="S4976" s="10"/>
      <c r="T4976" s="10"/>
      <c r="U4976" s="10"/>
      <c r="V4976" s="10"/>
      <c r="W4976" s="10"/>
      <c r="X4976" s="10"/>
      <c r="Y4976" s="10"/>
      <c r="Z4976" s="10"/>
    </row>
    <row r="4977" spans="1:26" ht="12.75">
      <c r="A4977" s="10" t="str">
        <f ca="1">IFERROR(__xludf.DUMMYFUNCTION("""COMPUTED_VALUE"""),"Любомира Петрова Парижкова")</f>
        <v>Любомира Петрова Парижкова</v>
      </c>
      <c r="B4977" s="10" t="str">
        <f ca="1">IFERROR(__xludf.DUMMYFUNCTION("""COMPUTED_VALUE"""),"Доклад от конференция")</f>
        <v>Доклад от конференция</v>
      </c>
      <c r="C4977" s="10" t="str">
        <f ca="1">IFERROR(__xludf.DUMMYFUNCTION("""COMPUTED_VALUE"""),"Живот, посветен на книгата и на духовността българска. Филм-портрет на Петър Парижков")</f>
        <v>Живот, посветен на книгата и на духовността българска. Филм-портрет на Петър Парижков</v>
      </c>
      <c r="D4977" s="10">
        <f ca="1">IFERROR(__xludf.DUMMYFUNCTION("""COMPUTED_VALUE"""),2013)</f>
        <v>2013</v>
      </c>
      <c r="E4977"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15-20. ISSN 1314-7323 (print)")</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15-20. ISSN 1314-7323 (print)</v>
      </c>
      <c r="F4977" s="10" t="str">
        <f ca="1">IFERROR(__xludf.DUMMYFUNCTION("""COMPUTED_VALUE"""),"НАЦИД")</f>
        <v>НАЦИД</v>
      </c>
      <c r="G4977" s="10" t="str">
        <f ca="1">IFERROR(__xludf.DUMMYFUNCTION("""COMPUTED_VALUE"""),"Събина Ефтимова, Соня Спасова")</f>
        <v>Събина Ефтимова, Соня Спасова</v>
      </c>
      <c r="H4977" s="10"/>
      <c r="I4977" s="10"/>
      <c r="J4977" s="10"/>
      <c r="K4977" s="10"/>
      <c r="L4977" s="10"/>
      <c r="M4977" s="10"/>
      <c r="N4977" s="10"/>
      <c r="O4977" s="10"/>
      <c r="P4977" s="10"/>
      <c r="Q4977" s="10"/>
      <c r="R4977" s="10"/>
      <c r="S4977" s="10"/>
      <c r="T4977" s="10"/>
      <c r="U4977" s="10"/>
      <c r="V4977" s="10"/>
      <c r="W4977" s="10"/>
      <c r="X4977" s="10"/>
      <c r="Y4977" s="10"/>
      <c r="Z4977" s="10"/>
    </row>
    <row r="4978" spans="1:26" ht="12.75">
      <c r="A4978" s="10" t="str">
        <f ca="1">IFERROR(__xludf.DUMMYFUNCTION("""COMPUTED_VALUE"""),"Любомира Петрова Парижкова")</f>
        <v>Любомира Петрова Парижкова</v>
      </c>
      <c r="B4978" s="10" t="str">
        <f ca="1">IFERROR(__xludf.DUMMYFUNCTION("""COMPUTED_VALUE"""),"Доклад от конференция")</f>
        <v>Доклад от конференция</v>
      </c>
      <c r="C4978" s="10" t="str">
        <f ca="1">IFERROR(__xludf.DUMMYFUNCTION("""COMPUTED_VALUE"""),"Срещата на буккросърите от Германия – неконвенционален форум 2012")</f>
        <v>Срещата на буккросърите от Германия – неконвенционален форум 2012</v>
      </c>
      <c r="D4978" s="10">
        <f ca="1">IFERROR(__xludf.DUMMYFUNCTION("""COMPUTED_VALUE"""),2013)</f>
        <v>2013</v>
      </c>
      <c r="E4978" s="10" t="str">
        <f ca="1">IFERROR(__xludf.DUMMYFUNCTION("""COMPUTED_VALUE"""),"Срещата на буккросърите от Германия – неконвенционален форум 2012. // Нови информационни технологии в образователния процес : Доклади и съобщения от Седмия научен семинар на УниБИТ, Охрид, 29-31 март 2012 г. – София : За буквите – О писменехь, 2013, с. 10"&amp;"5-117. ISSN 1313-2768")</f>
        <v>Срещата на буккросърите от Германия – неконвенционален форум 2012. // Нови информационни технологии в образователния процес : Доклади и съобщения от Седмия научен семинар на УниБИТ, Охрид, 29-31 март 2012 г. – София : За буквите – О писменехь, 2013, с. 105-117. ISSN 1313-2768</v>
      </c>
      <c r="F4978" s="10"/>
      <c r="G4978" s="10"/>
      <c r="H4978" s="10"/>
      <c r="I4978" s="10"/>
      <c r="J4978" s="10"/>
      <c r="K4978" s="10"/>
      <c r="L4978" s="10"/>
      <c r="M4978" s="10"/>
      <c r="N4978" s="10"/>
      <c r="O4978" s="10"/>
      <c r="P4978" s="10"/>
      <c r="Q4978" s="10"/>
      <c r="R4978" s="10"/>
      <c r="S4978" s="10"/>
      <c r="T4978" s="10"/>
      <c r="U4978" s="10"/>
      <c r="V4978" s="10"/>
      <c r="W4978" s="10"/>
      <c r="X4978" s="10"/>
      <c r="Y4978" s="10"/>
      <c r="Z4978" s="10"/>
    </row>
    <row r="4979" spans="1:26" ht="12.75">
      <c r="A4979" s="10" t="str">
        <f ca="1">IFERROR(__xludf.DUMMYFUNCTION("""COMPUTED_VALUE"""),"Любомира Петрова Парижкова")</f>
        <v>Любомира Петрова Парижкова</v>
      </c>
      <c r="B4979" s="10" t="str">
        <f ca="1">IFERROR(__xludf.DUMMYFUNCTION("""COMPUTED_VALUE"""),"Доклад от конференция")</f>
        <v>Доклад от конференция</v>
      </c>
      <c r="C4979" s="10" t="str">
        <f ca="1">IFERROR(__xludf.DUMMYFUNCTION("""COMPUTED_VALUE"""),"Възможности за прилагане на немския опит при стимулиране на четенето")</f>
        <v>Възможности за прилагане на немския опит при стимулиране на четенето</v>
      </c>
      <c r="D4979" s="10">
        <f ca="1">IFERROR(__xludf.DUMMYFUNCTION("""COMPUTED_VALUE"""),2013)</f>
        <v>2013</v>
      </c>
      <c r="E4979" s="10" t="str">
        <f ca="1">IFERROR(__xludf.DUMMYFUNCTION("""COMPUTED_VALUE"""),"Обществото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154-157. ISSN 1314-7099 (print)")</f>
        <v>Обществото на знанието и хуманизмът на ХХІ век : Десета национална научна конференция с международно участие, София, 1 ноември 2013. – София : За буквите – О писменехь, 2014, с. 154-157. ISSN 1314-7099 (print)</v>
      </c>
      <c r="F4979" s="10" t="str">
        <f ca="1">IFERROR(__xludf.DUMMYFUNCTION("""COMPUTED_VALUE"""),"НАЦИД")</f>
        <v>НАЦИД</v>
      </c>
      <c r="G4979" s="10"/>
      <c r="H4979" s="10"/>
      <c r="I4979" s="10"/>
      <c r="J4979" s="10"/>
      <c r="K4979" s="10"/>
      <c r="L4979" s="10"/>
      <c r="M4979" s="10"/>
      <c r="N4979" s="10"/>
      <c r="O4979" s="10"/>
      <c r="P4979" s="10"/>
      <c r="Q4979" s="10"/>
      <c r="R4979" s="10"/>
      <c r="S4979" s="10"/>
      <c r="T4979" s="10"/>
      <c r="U4979" s="10"/>
      <c r="V4979" s="10"/>
      <c r="W4979" s="10"/>
      <c r="X4979" s="10"/>
      <c r="Y4979" s="10"/>
      <c r="Z4979" s="10"/>
    </row>
    <row r="4980" spans="1:26" ht="12.75">
      <c r="A4980" s="10" t="str">
        <f ca="1">IFERROR(__xludf.DUMMYFUNCTION("""COMPUTED_VALUE"""),"Любомира Петрова Парижкова")</f>
        <v>Любомира Петрова Парижкова</v>
      </c>
      <c r="B4980" s="10" t="str">
        <f ca="1">IFERROR(__xludf.DUMMYFUNCTION("""COMPUTED_VALUE"""),"Доклад от конференция")</f>
        <v>Доклад от конференция</v>
      </c>
      <c r="C4980" s="10" t="str">
        <f ca="1">IFERROR(__xludf.DUMMYFUNCTION("""COMPUTED_VALUE"""),"Изследване на съвременни тенденции в областта на книгата и четенето")</f>
        <v>Изследване на съвременни тенденции в областта на книгата и четенето</v>
      </c>
      <c r="D4980" s="10">
        <f ca="1">IFERROR(__xludf.DUMMYFUNCTION("""COMPUTED_VALUE"""),2013)</f>
        <v>2013</v>
      </c>
      <c r="E4980" s="10" t="str">
        <f ca="1">IFERROR(__xludf.DUMMYFUNCTION("""COMPUTED_VALUE"""),"Дигиталното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Силви"&amp;"я Станчева; Науч. ред. Иванка Янкова; Ред. кол. Иванка Янкова, С. Райчевски, Таня Тодорова. – София : За буквите – О писменехь, 2013, с. 109-117. ISBN 978-954-2946-64-9")</f>
        <v>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Силвия Станчева; Науч. ред. Иванка Янкова; Ред. кол. Иванка Янкова, С. Райчевски, Таня Тодорова. – София : За буквите – О писменехь, 2013, с. 109-117. ISBN 978-954-2946-64-9</v>
      </c>
      <c r="F4980" s="10"/>
      <c r="G4980" s="10"/>
      <c r="H4980" s="10"/>
      <c r="I4980" s="10"/>
      <c r="J4980" s="10"/>
      <c r="K4980" s="10"/>
      <c r="L4980" s="10"/>
      <c r="M4980" s="10"/>
      <c r="N4980" s="10"/>
      <c r="O4980" s="10"/>
      <c r="P4980" s="10"/>
      <c r="Q4980" s="10"/>
      <c r="R4980" s="10"/>
      <c r="S4980" s="10"/>
      <c r="T4980" s="10"/>
      <c r="U4980" s="10"/>
      <c r="V4980" s="10"/>
      <c r="W4980" s="10"/>
      <c r="X4980" s="10"/>
      <c r="Y4980" s="10"/>
      <c r="Z4980" s="10"/>
    </row>
    <row r="4981" spans="1:26" ht="12.75">
      <c r="A4981" s="10" t="str">
        <f ca="1">IFERROR(__xludf.DUMMYFUNCTION("""COMPUTED_VALUE"""),"Любомира Петрова Парижкова")</f>
        <v>Любомира Петрова Парижкова</v>
      </c>
      <c r="B4981" s="10" t="str">
        <f ca="1">IFERROR(__xludf.DUMMYFUNCTION("""COMPUTED_VALUE"""),"Статия в списания и поредици")</f>
        <v>Статия в списания и поредици</v>
      </c>
      <c r="C4981" s="10" t="str">
        <f ca="1">IFERROR(__xludf.DUMMYFUNCTION("""COMPUTED_VALUE"""),"Европейски политики за популяризиране на четенето")</f>
        <v>Европейски политики за популяризиране на четенето</v>
      </c>
      <c r="D4981" s="10">
        <f ca="1">IFERROR(__xludf.DUMMYFUNCTION("""COMPUTED_VALUE"""),2013)</f>
        <v>2013</v>
      </c>
      <c r="E4981"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81-86.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81-86. ISBN 978-954-2946-92-2</v>
      </c>
      <c r="F4981" s="10"/>
      <c r="G4981" s="10"/>
      <c r="H4981" s="10"/>
      <c r="I4981" s="10"/>
      <c r="J4981" s="10"/>
      <c r="K4981" s="10"/>
      <c r="L4981" s="10"/>
      <c r="M4981" s="10"/>
      <c r="N4981" s="10"/>
      <c r="O4981" s="10"/>
      <c r="P4981" s="10"/>
      <c r="Q4981" s="10"/>
      <c r="R4981" s="10"/>
      <c r="S4981" s="10"/>
      <c r="T4981" s="10"/>
      <c r="U4981" s="10"/>
      <c r="V4981" s="10"/>
      <c r="W4981" s="10"/>
      <c r="X4981" s="10"/>
      <c r="Y4981" s="10"/>
      <c r="Z4981" s="10"/>
    </row>
    <row r="4982" spans="1:26" ht="12.75">
      <c r="A4982" s="10" t="str">
        <f ca="1">IFERROR(__xludf.DUMMYFUNCTION("""COMPUTED_VALUE"""),"Любомира Петрова Парижкова")</f>
        <v>Любомира Петрова Парижкова</v>
      </c>
      <c r="B4982" s="10" t="str">
        <f ca="1">IFERROR(__xludf.DUMMYFUNCTION("""COMPUTED_VALUE"""),"Статия в списания и поредици")</f>
        <v>Статия в списания и поредици</v>
      </c>
      <c r="C4982" s="10" t="str">
        <f ca="1">IFERROR(__xludf.DUMMYFUNCTION("""COMPUTED_VALUE"""),"Априлски четения")</f>
        <v>Априлски четения</v>
      </c>
      <c r="D4982" s="10">
        <f ca="1">IFERROR(__xludf.DUMMYFUNCTION("""COMPUTED_VALUE"""),2013)</f>
        <v>2013</v>
      </c>
      <c r="E4982" s="10" t="str">
        <f ca="1">IFERROR(__xludf.DUMMYFUNCTION("""COMPUTED_VALUE"""),"За Буквите : Кирило-Методиевски вестник, №. 40, 2013, с. 25. ISSN 1312-3785")</f>
        <v>За Буквите : Кирило-Методиевски вестник, №. 40, 2013, с. 25. ISSN 1312-3785</v>
      </c>
      <c r="F4982" s="10"/>
      <c r="G4982" s="10"/>
      <c r="H4982" s="10"/>
      <c r="I4982" s="10"/>
      <c r="J4982" s="10"/>
      <c r="K4982" s="10"/>
      <c r="L4982" s="10"/>
      <c r="M4982" s="10"/>
      <c r="N4982" s="10"/>
      <c r="O4982" s="10"/>
      <c r="P4982" s="10"/>
      <c r="Q4982" s="10"/>
      <c r="R4982" s="10"/>
      <c r="S4982" s="10"/>
      <c r="T4982" s="10"/>
      <c r="U4982" s="10"/>
      <c r="V4982" s="10"/>
      <c r="W4982" s="10"/>
      <c r="X4982" s="10"/>
      <c r="Y4982" s="10"/>
      <c r="Z4982" s="10"/>
    </row>
    <row r="4983" spans="1:26" ht="12.75">
      <c r="A4983" s="10" t="str">
        <f ca="1">IFERROR(__xludf.DUMMYFUNCTION("""COMPUTED_VALUE"""),"Любомира Петрова Парижкова")</f>
        <v>Любомира Петрова Парижкова</v>
      </c>
      <c r="B4983" s="10" t="str">
        <f ca="1">IFERROR(__xludf.DUMMYFUNCTION("""COMPUTED_VALUE"""),"Доклад от конференция")</f>
        <v>Доклад от конференция</v>
      </c>
      <c r="C4983" s="10" t="str">
        <f ca="1">IFERROR(__xludf.DUMMYFUNCTION("""COMPUTED_VALUE"""),"Държавна политика за стимулиране на четенето в България")</f>
        <v>Държавна политика за стимулиране на четенето в България</v>
      </c>
      <c r="D4983" s="10">
        <f ca="1">IFERROR(__xludf.DUMMYFUNCTION("""COMPUTED_VALUE"""),2013)</f>
        <v>2013</v>
      </c>
      <c r="E4983"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51-66. ISSN 1314-7323 (print)")</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51-66. ISSN 1314-7323 (print)</v>
      </c>
      <c r="F4983" s="10" t="str">
        <f ca="1">IFERROR(__xludf.DUMMYFUNCTION("""COMPUTED_VALUE"""),"НАЦИД")</f>
        <v>НАЦИД</v>
      </c>
      <c r="G4983" s="10"/>
      <c r="H4983" s="10"/>
      <c r="I4983" s="10"/>
      <c r="J4983" s="10"/>
      <c r="K4983" s="10"/>
      <c r="L4983" s="10"/>
      <c r="M4983" s="10"/>
      <c r="N4983" s="10"/>
      <c r="O4983" s="10"/>
      <c r="P4983" s="10"/>
      <c r="Q4983" s="10"/>
      <c r="R4983" s="10"/>
      <c r="S4983" s="10"/>
      <c r="T4983" s="10"/>
      <c r="U4983" s="10"/>
      <c r="V4983" s="10"/>
      <c r="W4983" s="10"/>
      <c r="X4983" s="10"/>
      <c r="Y4983" s="10"/>
      <c r="Z4983" s="10"/>
    </row>
    <row r="4984" spans="1:26" ht="12.75">
      <c r="A4984" s="10" t="str">
        <f ca="1">IFERROR(__xludf.DUMMYFUNCTION("""COMPUTED_VALUE"""),"Любомира Петрова Парижкова")</f>
        <v>Любомира Петрова Парижкова</v>
      </c>
      <c r="B4984" s="10" t="str">
        <f ca="1">IFERROR(__xludf.DUMMYFUNCTION("""COMPUTED_VALUE"""),"Статия в списания и поредици")</f>
        <v>Статия в списания и поредици</v>
      </c>
      <c r="C4984" s="10" t="str">
        <f ca="1">IFERROR(__xludf.DUMMYFUNCTION("""COMPUTED_VALUE"""),"Примери за неправителствени организации, фондации, сдружения и университети, стимулиращи четенето в България")</f>
        <v>Примери за неправителствени организации, фондации, сдружения и университети, стимулиращи четенето в България</v>
      </c>
      <c r="D4984" s="10">
        <f ca="1">IFERROR(__xludf.DUMMYFUNCTION("""COMPUTED_VALUE"""),2013)</f>
        <v>2013</v>
      </c>
      <c r="E4984"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13-26.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13-26. ISBN 978-954-2946-92-2</v>
      </c>
      <c r="F4984" s="10"/>
      <c r="G4984" s="10"/>
      <c r="H4984" s="10"/>
      <c r="I4984" s="10"/>
      <c r="J4984" s="10"/>
      <c r="K4984" s="10"/>
      <c r="L4984" s="10"/>
      <c r="M4984" s="10"/>
      <c r="N4984" s="10"/>
      <c r="O4984" s="10"/>
      <c r="P4984" s="10"/>
      <c r="Q4984" s="10"/>
      <c r="R4984" s="10"/>
      <c r="S4984" s="10"/>
      <c r="T4984" s="10"/>
      <c r="U4984" s="10"/>
      <c r="V4984" s="10"/>
      <c r="W4984" s="10"/>
      <c r="X4984" s="10"/>
      <c r="Y4984" s="10"/>
      <c r="Z4984" s="10"/>
    </row>
    <row r="4985" spans="1:26" ht="12.75">
      <c r="A4985" s="10" t="str">
        <f ca="1">IFERROR(__xludf.DUMMYFUNCTION("""COMPUTED_VALUE"""),"Любомира Петрова Парижкова")</f>
        <v>Любомира Петрова Парижкова</v>
      </c>
      <c r="B4985" s="10" t="str">
        <f ca="1">IFERROR(__xludf.DUMMYFUNCTION("""COMPUTED_VALUE"""),"Статия в списания и поредици")</f>
        <v>Статия в списания и поредици</v>
      </c>
      <c r="C4985" s="10" t="str">
        <f ca="1">IFERROR(__xludf.DUMMYFUNCTION("""COMPUTED_VALUE"""),"Съдържание на понятието читателска компетентност")</f>
        <v>Съдържание на понятието читателска компетентност</v>
      </c>
      <c r="D4985" s="10">
        <f ca="1">IFERROR(__xludf.DUMMYFUNCTION("""COMPUTED_VALUE"""),2013)</f>
        <v>2013</v>
      </c>
      <c r="E4985"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13-26.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13-26. ISBN 978-954-2946-92-2</v>
      </c>
      <c r="F4985" s="10"/>
      <c r="G4985" s="10"/>
      <c r="H4985" s="10"/>
      <c r="I4985" s="10"/>
      <c r="J4985" s="10"/>
      <c r="K4985" s="10"/>
      <c r="L4985" s="10"/>
      <c r="M4985" s="10"/>
      <c r="N4985" s="10"/>
      <c r="O4985" s="10"/>
      <c r="P4985" s="10"/>
      <c r="Q4985" s="10"/>
      <c r="R4985" s="10"/>
      <c r="S4985" s="10"/>
      <c r="T4985" s="10"/>
      <c r="U4985" s="10"/>
      <c r="V4985" s="10"/>
      <c r="W4985" s="10"/>
      <c r="X4985" s="10"/>
      <c r="Y4985" s="10"/>
      <c r="Z4985" s="10"/>
    </row>
    <row r="4986" spans="1:26" ht="12.75">
      <c r="A4986" s="10" t="str">
        <f ca="1">IFERROR(__xludf.DUMMYFUNCTION("""COMPUTED_VALUE"""),"Любомира Петрова Парижкова")</f>
        <v>Любомира Петрова Парижкова</v>
      </c>
      <c r="B4986" s="10" t="str">
        <f ca="1">IFERROR(__xludf.DUMMYFUNCTION("""COMPUTED_VALUE"""),"Статия в списания и поредици")</f>
        <v>Статия в списания и поредици</v>
      </c>
      <c r="C4986" s="10" t="str">
        <f ca="1">IFERROR(__xludf.DUMMYFUNCTION("""COMPUTED_VALUE"""),"Инициативи на банки, на търговски центрове за стимулиране на четенето в България")</f>
        <v>Инициативи на банки, на търговски центрове за стимулиране на четенето в България</v>
      </c>
      <c r="D4986" s="10">
        <f ca="1">IFERROR(__xludf.DUMMYFUNCTION("""COMPUTED_VALUE"""),2013)</f>
        <v>2013</v>
      </c>
      <c r="E4986"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223-226.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223-226. ISBN 978-954-2946-92-2</v>
      </c>
      <c r="F4986" s="10"/>
      <c r="G4986" s="10"/>
      <c r="H4986" s="10"/>
      <c r="I4986" s="10"/>
      <c r="J4986" s="10"/>
      <c r="K4986" s="10"/>
      <c r="L4986" s="10"/>
      <c r="M4986" s="10"/>
      <c r="N4986" s="10"/>
      <c r="O4986" s="10"/>
      <c r="P4986" s="10"/>
      <c r="Q4986" s="10"/>
      <c r="R4986" s="10"/>
      <c r="S4986" s="10"/>
      <c r="T4986" s="10"/>
      <c r="U4986" s="10"/>
      <c r="V4986" s="10"/>
      <c r="W4986" s="10"/>
      <c r="X4986" s="10"/>
      <c r="Y4986" s="10"/>
      <c r="Z4986" s="10"/>
    </row>
    <row r="4987" spans="1:26" ht="12.75">
      <c r="A4987" s="10" t="str">
        <f ca="1">IFERROR(__xludf.DUMMYFUNCTION("""COMPUTED_VALUE"""),"Любомира Петрова Парижкова")</f>
        <v>Любомира Петрова Парижкова</v>
      </c>
      <c r="B4987" s="10" t="str">
        <f ca="1">IFERROR(__xludf.DUMMYFUNCTION("""COMPUTED_VALUE"""),"Книга")</f>
        <v>Книга</v>
      </c>
      <c r="C4987" s="10" t="str">
        <f ca="1">IFERROR(__xludf.DUMMYFUNCTION("""COMPUTED_VALUE"""),"Добри практики за читателска компетентност при деца и ученици")</f>
        <v>Добри практики за читателска компетентност при деца и ученици</v>
      </c>
      <c r="D4987" s="10">
        <f ca="1">IFERROR(__xludf.DUMMYFUNCTION("""COMPUTED_VALUE"""),2013)</f>
        <v>2013</v>
      </c>
      <c r="E4987" s="10" t="str">
        <f ca="1">IFERROR(__xludf.DUMMYFUNCTION("""COMPUTED_VALUE"""),":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 288 с. ISBN 978-954-2946-92-2")</f>
        <v>: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 288 с. ISBN 978-954-2946-92-2</v>
      </c>
      <c r="F4987" s="10"/>
      <c r="G4987" s="10" t="str">
        <f ca="1">IFERROR(__xludf.DUMMYFUNCTION("""COMPUTED_VALUE"""),"Стойкова, Добринка")</f>
        <v>Стойкова, Добринка</v>
      </c>
      <c r="H4987" s="10"/>
      <c r="I4987" s="10"/>
      <c r="J4987" s="10"/>
      <c r="K4987" s="10"/>
      <c r="L4987" s="10"/>
      <c r="M4987" s="10"/>
      <c r="N4987" s="10"/>
      <c r="O4987" s="10"/>
      <c r="P4987" s="10"/>
      <c r="Q4987" s="10"/>
      <c r="R4987" s="10"/>
      <c r="S4987" s="10"/>
      <c r="T4987" s="10"/>
      <c r="U4987" s="10"/>
      <c r="V4987" s="10"/>
      <c r="W4987" s="10"/>
      <c r="X4987" s="10"/>
      <c r="Y4987" s="10"/>
      <c r="Z4987" s="10"/>
    </row>
    <row r="4988" spans="1:26" ht="12.75">
      <c r="A4988" s="10" t="str">
        <f ca="1">IFERROR(__xludf.DUMMYFUNCTION("""COMPUTED_VALUE"""),"Любомира Петрова Парижкова")</f>
        <v>Любомира Петрова Парижкова</v>
      </c>
      <c r="B4988" s="10" t="str">
        <f ca="1">IFERROR(__xludf.DUMMYFUNCTION("""COMPUTED_VALUE"""),"Статия в списания и поредици")</f>
        <v>Статия в списания и поредици</v>
      </c>
      <c r="C4988" s="10" t="str">
        <f ca="1">IFERROR(__xludf.DUMMYFUNCTION("""COMPUTED_VALUE"""),"Буккросинг и инициативи, свързани с размяна на книги")</f>
        <v>Буккросинг и инициативи, свързани с размяна на книги</v>
      </c>
      <c r="D4988" s="10">
        <f ca="1">IFERROR(__xludf.DUMMYFUNCTION("""COMPUTED_VALUE"""),2013)</f>
        <v>2013</v>
      </c>
      <c r="E4988"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2013,"&amp;" с. 213-223. ISBN 978-954-2946-92-2")</f>
        <v>Добри практики за читателска компетентност при деца и ученици : Сборник със студии и статии по проблеми на читателската компетентност / Състав. и предг. Добринка Стойкова, Любомира Парижкова; Ред. Мариела Нанкова. – София : За буквите – О писменехь, 2013, с. 213-223. ISBN 978-954-2946-92-2</v>
      </c>
      <c r="F4988" s="10"/>
      <c r="G4988" s="10"/>
      <c r="H4988" s="10"/>
      <c r="I4988" s="10"/>
      <c r="J4988" s="10"/>
      <c r="K4988" s="10"/>
      <c r="L4988" s="10"/>
      <c r="M4988" s="10"/>
      <c r="N4988" s="10"/>
      <c r="O4988" s="10"/>
      <c r="P4988" s="10"/>
      <c r="Q4988" s="10"/>
      <c r="R4988" s="10"/>
      <c r="S4988" s="10"/>
      <c r="T4988" s="10"/>
      <c r="U4988" s="10"/>
      <c r="V4988" s="10"/>
      <c r="W4988" s="10"/>
      <c r="X4988" s="10"/>
      <c r="Y4988" s="10"/>
      <c r="Z4988" s="10"/>
    </row>
    <row r="4989" spans="1:26" ht="12.75">
      <c r="A4989" s="10" t="str">
        <f ca="1">IFERROR(__xludf.DUMMYFUNCTION("""COMPUTED_VALUE"""),"Любомира Петрова Парижкова")</f>
        <v>Любомира Петрова Парижкова</v>
      </c>
      <c r="B4989" s="10" t="str">
        <f ca="1">IFERROR(__xludf.DUMMYFUNCTION("""COMPUTED_VALUE"""),"Статия в списания и поредици")</f>
        <v>Статия в списания и поредици</v>
      </c>
      <c r="C4989" s="10" t="str">
        <f ca="1">IFERROR(__xludf.DUMMYFUNCTION("""COMPUTED_VALUE"""),"The Book—Our More Sensual Present")</f>
        <v>The Book—Our More Sensual Present</v>
      </c>
      <c r="D4989" s="10">
        <f ca="1">IFERROR(__xludf.DUMMYFUNCTION("""COMPUTED_VALUE"""),2013)</f>
        <v>2013</v>
      </c>
      <c r="E4989" s="10" t="str">
        <f ca="1">IFERROR(__xludf.DUMMYFUNCTION("""COMPUTED_VALUE"""),"The International Journal of the Book, 2012 Vol. 10, № 4, p. 19-27. 2013, ISSN 1447-9516")</f>
        <v>The International Journal of the Book, 2012 Vol. 10, № 4, p. 19-27. 2013, ISSN 1447-9516</v>
      </c>
      <c r="F4989" s="10" t="str">
        <f ca="1">IFERROR(__xludf.DUMMYFUNCTION("""COMPUTED_VALUE"""),"SCOPUS, China National Knowledge Infrastructure
 (CNKI Scholar), Genamics Journal Seek, Humanities International Index (EBSCO), HumanitiesInternational Complete (EBSCO), Humanities Source (EBSCO), Humanities Source International (EBSCO), Literary Referenc"&amp;"e Center Plus (EBSCO), Modern Language Association, The Australian Research Council (ERA), Ulrich&amp;#39;s Periodicals Directory.")</f>
        <v>SCOPUS, China National Knowledge Infrastructure
 (CNKI Scholar), Genamics Journal Seek, Humanities International Index (EBSCO), HumanitiesInternational Complete (EBSCO), Humanities Source (EBSCO), Humanities Source International (EBSCO), Literary Reference Center Plus (EBSCO), Modern Language Association, The Australian Research Council (ERA), Ulrich&amp;#39;s Periodicals Directory.</v>
      </c>
      <c r="G4989" s="10"/>
      <c r="H4989" s="10"/>
      <c r="I4989" s="10"/>
      <c r="J4989" s="10"/>
      <c r="K4989" s="10"/>
      <c r="L4989" s="10"/>
      <c r="M4989" s="10"/>
      <c r="N4989" s="10"/>
      <c r="O4989" s="10"/>
      <c r="P4989" s="10"/>
      <c r="Q4989" s="10"/>
      <c r="R4989" s="10"/>
      <c r="S4989" s="10"/>
      <c r="T4989" s="10"/>
      <c r="U4989" s="10"/>
      <c r="V4989" s="10"/>
      <c r="W4989" s="10"/>
      <c r="X4989" s="10"/>
      <c r="Y4989" s="10"/>
      <c r="Z4989" s="10"/>
    </row>
    <row r="4990" spans="1:26" ht="12.75">
      <c r="A4990" s="10" t="str">
        <f ca="1">IFERROR(__xludf.DUMMYFUNCTION("""COMPUTED_VALUE"""),"Любомира Петрова Парижкова")</f>
        <v>Любомира Петрова Парижкова</v>
      </c>
      <c r="B4990" s="10" t="str">
        <f ca="1">IFERROR(__xludf.DUMMYFUNCTION("""COMPUTED_VALUE"""),"Книга")</f>
        <v>Книга</v>
      </c>
      <c r="C4990" s="10" t="str">
        <f ca="1">IFERROR(__xludf.DUMMYFUNCTION("""COMPUTED_VALUE"""),"Книгата – нашето по-смислено настояще")</f>
        <v>Книгата – нашето по-смислено настояще</v>
      </c>
      <c r="D4990" s="10">
        <f ca="1">IFERROR(__xludf.DUMMYFUNCTION("""COMPUTED_VALUE"""),2013)</f>
        <v>2013</v>
      </c>
      <c r="E4990" s="10" t="str">
        <f ca="1">IFERROR(__xludf.DUMMYFUNCTION("""COMPUTED_VALUE"""),"Сборник доклади от форума „Дни на книгата и авторското право в УниБИТ”, / Състав. и предг. Любомира Парижкова; Ред. Любомира Парижкова. – София, 23-25 април 2013 г. – София : За буквите – О Писменехь, 2013. – 256 с. ISSN 1314-7323 (print)")</f>
        <v>Сборник доклади от форума „Дни на книгата и авторското право в УниБИТ”, / Състав. и предг. Любомира Парижкова; Ред. Любомира Парижкова. – София, 23-25 април 2013 г. – София : За буквите – О Писменехь, 2013. – 256 с. ISSN 1314-7323 (print)</v>
      </c>
      <c r="F4990" s="10" t="str">
        <f ca="1">IFERROR(__xludf.DUMMYFUNCTION("""COMPUTED_VALUE"""),"НАЦИД")</f>
        <v>НАЦИД</v>
      </c>
      <c r="G4990" s="10"/>
      <c r="H4990" s="10"/>
      <c r="I4990" s="10"/>
      <c r="J4990" s="10"/>
      <c r="K4990" s="10"/>
      <c r="L4990" s="10"/>
      <c r="M4990" s="10"/>
      <c r="N4990" s="10"/>
      <c r="O4990" s="10"/>
      <c r="P4990" s="10"/>
      <c r="Q4990" s="10"/>
      <c r="R4990" s="10"/>
      <c r="S4990" s="10"/>
      <c r="T4990" s="10"/>
      <c r="U4990" s="10"/>
      <c r="V4990" s="10"/>
      <c r="W4990" s="10"/>
      <c r="X4990" s="10"/>
      <c r="Y4990" s="10"/>
      <c r="Z4990" s="10"/>
    </row>
    <row r="4991" spans="1:26" ht="12.75">
      <c r="A4991" s="10" t="str">
        <f ca="1">IFERROR(__xludf.DUMMYFUNCTION("""COMPUTED_VALUE"""),"Любомира Петрова Парижкова")</f>
        <v>Любомира Петрова Парижкова</v>
      </c>
      <c r="B4991" s="10" t="str">
        <f ca="1">IFERROR(__xludf.DUMMYFUNCTION("""COMPUTED_VALUE"""),"Статия в списания и поредици")</f>
        <v>Статия в списания и поредици</v>
      </c>
      <c r="C4991" s="10" t="str">
        <f ca="1">IFERROR(__xludf.DUMMYFUNCTION("""COMPUTED_VALUE"""),"Книголюбие. Дни на книгата и авторското право в УниБИТ")</f>
        <v>Книголюбие. Дни на книгата и авторското право в УниБИТ</v>
      </c>
      <c r="D4991" s="10">
        <f ca="1">IFERROR(__xludf.DUMMYFUNCTION("""COMPUTED_VALUE"""),2012)</f>
        <v>2012</v>
      </c>
      <c r="E4991" s="10" t="str">
        <f ca="1">IFERROR(__xludf.DUMMYFUNCTION("""COMPUTED_VALUE"""),"За Буквите : Кирило-Методиевски вестник, С., бр. 37, 2012, с. 27. ISSN 1312-3785")</f>
        <v>За Буквите : Кирило-Методиевски вестник, С., бр. 37, 2012, с. 27. ISSN 1312-3785</v>
      </c>
      <c r="F4991" s="10"/>
      <c r="G4991" s="10"/>
      <c r="H4991" s="10"/>
      <c r="I4991" s="10"/>
      <c r="J4991" s="10"/>
      <c r="K4991" s="10"/>
      <c r="L4991" s="10"/>
      <c r="M4991" s="10"/>
      <c r="N4991" s="10"/>
      <c r="O4991" s="10"/>
      <c r="P4991" s="10"/>
      <c r="Q4991" s="10"/>
      <c r="R4991" s="10"/>
      <c r="S4991" s="10"/>
      <c r="T4991" s="10"/>
      <c r="U4991" s="10"/>
      <c r="V4991" s="10"/>
      <c r="W4991" s="10"/>
      <c r="X4991" s="10"/>
      <c r="Y4991" s="10"/>
      <c r="Z4991" s="10"/>
    </row>
    <row r="4992" spans="1:26" ht="12.75">
      <c r="A4992" s="10" t="str">
        <f ca="1">IFERROR(__xludf.DUMMYFUNCTION("""COMPUTED_VALUE"""),"Любомира Петрова Парижкова")</f>
        <v>Любомира Петрова Парижкова</v>
      </c>
      <c r="B4992" s="10" t="str">
        <f ca="1">IFERROR(__xludf.DUMMYFUNCTION("""COMPUTED_VALUE"""),"Статия в списания и поредици")</f>
        <v>Статия в списания и поредици</v>
      </c>
      <c r="C4992" s="10" t="str">
        <f ca="1">IFERROR(__xludf.DUMMYFUNCTION("""COMPUTED_VALUE"""),"„Апостоли на инфосферата” – пропедевтика в трансдисциплинните изследвания на информационите реалии. Аксиология на знаниевите процеси")</f>
        <v>„Апостоли на инфосферата” – пропедевтика в трансдисциплинните изследвания на информационите реалии. Аксиология на знаниевите процеси</v>
      </c>
      <c r="D4992" s="10">
        <f ca="1">IFERROR(__xludf.DUMMYFUNCTION("""COMPUTED_VALUE"""),2012)</f>
        <v>2012</v>
      </c>
      <c r="E4992" s="10" t="str">
        <f ca="1">IFERROR(__xludf.DUMMYFUNCTION("""COMPUTED_VALUE"""),"Рецензия за книгата на Александра Куманова. Апостоли на инфосферата (Наблюдение на ценностите) : Увод в онтологията на триединството : информация – наука – школа : Учебник за студенти по когнитолог. портретиране на персоналии в дисциплини от информационно"&amp;"-комуникациония цикъл на знанието. // Трудове на Студентското научно общество при Университета по библиотекознание и информационни технологии. – София : За буквите – О писменехь, Т. 7, 2012, с. 221-223. ISBN 978-954-8887-69-4")</f>
        <v>Рецензия за книгата на Александра Куманова. Апостоли на инфосферата (Наблюдение на ценностите) : Увод в онтологията на триединството : информация – наука – школа : Учебник за студенти по когнитолог. портретиране на персоналии в дисциплини от информационно-комуникациония цикъл на знанието. // Трудове на Студентското научно общество при Университета по библиотекознание и информационни технологии. – София : За буквите – О писменехь, Т. 7, 2012, с. 221-223. ISBN 978-954-8887-69-4</v>
      </c>
      <c r="F4992" s="10"/>
      <c r="G4992" s="10"/>
      <c r="H4992" s="10"/>
      <c r="I4992" s="10"/>
      <c r="J4992" s="10"/>
      <c r="K4992" s="10"/>
      <c r="L4992" s="10"/>
      <c r="M4992" s="10"/>
      <c r="N4992" s="10"/>
      <c r="O4992" s="10"/>
      <c r="P4992" s="10"/>
      <c r="Q4992" s="10"/>
      <c r="R4992" s="10"/>
      <c r="S4992" s="10"/>
      <c r="T4992" s="10"/>
      <c r="U4992" s="10"/>
      <c r="V4992" s="10"/>
      <c r="W4992" s="10"/>
      <c r="X4992" s="10"/>
      <c r="Y4992" s="10"/>
      <c r="Z4992" s="10"/>
    </row>
    <row r="4993" spans="1:26" ht="12.75">
      <c r="A4993" s="10" t="str">
        <f ca="1">IFERROR(__xludf.DUMMYFUNCTION("""COMPUTED_VALUE"""),"Любомира Петрова Парижкова")</f>
        <v>Любомира Петрова Парижкова</v>
      </c>
      <c r="B4993" s="10" t="str">
        <f ca="1">IFERROR(__xludf.DUMMYFUNCTION("""COMPUTED_VALUE"""),"Статия в списания и поредици")</f>
        <v>Статия в списания и поредици</v>
      </c>
      <c r="C4993" s="10" t="str">
        <f ca="1">IFERROR(__xludf.DUMMYFUNCTION("""COMPUTED_VALUE"""),"Outsourcing as a Management Tool in Libraries")</f>
        <v>Outsourcing as a Management Tool in Libraries</v>
      </c>
      <c r="D4993" s="10">
        <f ca="1">IFERROR(__xludf.DUMMYFUNCTION("""COMPUTED_VALUE"""),2012)</f>
        <v>2012</v>
      </c>
      <c r="E4993" s="10" t="str">
        <f ca="1">IFERROR(__xludf.DUMMYFUNCTION("""COMPUTED_VALUE"""),"Library, Information and Cultural Heritage Management : Textbook : ERASMUS Intensive Programme LibCMASS. Grant Agreement Reference Number : 2012-ERA-IP-11, 2-15 September 2012, Zagreb / Ed. Tania Todorova; Copy ed. Rumelina Vasileva. – Sofia : Za bukvite "&amp;"– O pismenehi, 2012, p. 141-149. ISBN 978-954-2946-44-1")</f>
        <v>Library, Information and Cultural Heritage Management : Textbook : ERASMUS Intensive Programme LibCMASS. Grant Agreement Reference Number : 2012-ERA-IP-11, 2-15 September 2012, Zagreb / Ed. Tania Todorova; Copy ed. Rumelina Vasileva. – Sofia : Za bukvite – O pismenehi, 2012, p. 141-149. ISBN 978-954-2946-44-1</v>
      </c>
      <c r="F4993" s="10" t="str">
        <f ca="1">IFERROR(__xludf.DUMMYFUNCTION("""COMPUTED_VALUE"""),"НАЦИД")</f>
        <v>НАЦИД</v>
      </c>
      <c r="G4993" s="10"/>
      <c r="H4993" s="10"/>
      <c r="I4993" s="10"/>
      <c r="J4993" s="10"/>
      <c r="K4993" s="10"/>
      <c r="L4993" s="10"/>
      <c r="M4993" s="10"/>
      <c r="N4993" s="10"/>
      <c r="O4993" s="10"/>
      <c r="P4993" s="10"/>
      <c r="Q4993" s="10"/>
      <c r="R4993" s="10"/>
      <c r="S4993" s="10"/>
      <c r="T4993" s="10"/>
      <c r="U4993" s="10"/>
      <c r="V4993" s="10"/>
      <c r="W4993" s="10"/>
      <c r="X4993" s="10"/>
      <c r="Y4993" s="10"/>
      <c r="Z4993" s="10"/>
    </row>
    <row r="4994" spans="1:26" ht="12.75">
      <c r="A4994" s="10" t="str">
        <f ca="1">IFERROR(__xludf.DUMMYFUNCTION("""COMPUTED_VALUE"""),"Любомира Петрова Парижкова")</f>
        <v>Любомира Петрова Парижкова</v>
      </c>
      <c r="B4994" s="10" t="str">
        <f ca="1">IFERROR(__xludf.DUMMYFUNCTION("""COMPUTED_VALUE"""),"Доклад от конференция")</f>
        <v>Доклад от конференция</v>
      </c>
      <c r="C4994" s="10" t="str">
        <f ca="1">IFERROR(__xludf.DUMMYFUNCTION("""COMPUTED_VALUE"""),"Изследване на сайта www.bookcrossing.com")</f>
        <v>Изследване на сайта www.bookcrossing.com</v>
      </c>
      <c r="D4994" s="10">
        <f ca="1">IFERROR(__xludf.DUMMYFUNCTION("""COMPUTED_VALUE"""),2012)</f>
        <v>2012</v>
      </c>
      <c r="E4994"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55-66. ISSN 1314-7323 (print)")</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55-66. ISSN 1314-7323 (print)</v>
      </c>
      <c r="F4994" s="10" t="str">
        <f ca="1">IFERROR(__xludf.DUMMYFUNCTION("""COMPUTED_VALUE"""),"НАЦИД")</f>
        <v>НАЦИД</v>
      </c>
      <c r="G4994" s="10"/>
      <c r="H4994" s="10"/>
      <c r="I4994" s="10"/>
      <c r="J4994" s="10"/>
      <c r="K4994" s="10"/>
      <c r="L4994" s="10"/>
      <c r="M4994" s="10"/>
      <c r="N4994" s="10"/>
      <c r="O4994" s="10"/>
      <c r="P4994" s="10"/>
      <c r="Q4994" s="10"/>
      <c r="R4994" s="10"/>
      <c r="S4994" s="10"/>
      <c r="T4994" s="10"/>
      <c r="U4994" s="10"/>
      <c r="V4994" s="10"/>
      <c r="W4994" s="10"/>
      <c r="X4994" s="10"/>
      <c r="Y4994" s="10"/>
      <c r="Z4994" s="10"/>
    </row>
    <row r="4995" spans="1:26" ht="12.75">
      <c r="A4995" s="10" t="str">
        <f ca="1">IFERROR(__xludf.DUMMYFUNCTION("""COMPUTED_VALUE"""),"Любомира Петрова Парижкова")</f>
        <v>Любомира Петрова Парижкова</v>
      </c>
      <c r="B4995" s="10" t="str">
        <f ca="1">IFERROR(__xludf.DUMMYFUNCTION("""COMPUTED_VALUE"""),"Доклад от конференция")</f>
        <v>Доклад от конференция</v>
      </c>
      <c r="C4995" s="10" t="str">
        <f ca="1">IFERROR(__xludf.DUMMYFUNCTION("""COMPUTED_VALUE"""),"Буккросингът – същност и популяризирация: кампания на територията на УниБИТ")</f>
        <v>Буккросингът – същност и популяризирация: кампания на територията на УниБИТ</v>
      </c>
      <c r="D4995" s="10">
        <f ca="1">IFERROR(__xludf.DUMMYFUNCTION("""COMPUTED_VALUE"""),2012)</f>
        <v>2012</v>
      </c>
      <c r="E4995" s="10" t="str">
        <f ca="1">IFERROR(__xludf.DUMMYFUNCTION("""COMPUTED_VALUE"""),"Обществото на знанието и хуманизмът на ХХІ век : Седма национална научна конференция с международно участие, София, 1 ноември 2011 г.. – София : За буквите – О писменехь, 2012, с. 546-550. ISSN 1314-7099 (print)")</f>
        <v>Обществото на знанието и хуманизмът на ХХІ век : Седма национална научна конференция с международно участие, София, 1 ноември 2011 г.. – София : За буквите – О писменехь, 2012, с. 546-550. ISSN 1314-7099 (print)</v>
      </c>
      <c r="F4995" s="10" t="str">
        <f ca="1">IFERROR(__xludf.DUMMYFUNCTION("""COMPUTED_VALUE"""),"НАЦИД")</f>
        <v>НАЦИД</v>
      </c>
      <c r="G4995" s="10" t="str">
        <f ca="1">IFERROR(__xludf.DUMMYFUNCTION("""COMPUTED_VALUE"""),"Томова, Н., Димитрова, С.")</f>
        <v>Томова, Н., Димитрова, С.</v>
      </c>
      <c r="H4995" s="10"/>
      <c r="I4995" s="10"/>
      <c r="J4995" s="10"/>
      <c r="K4995" s="10"/>
      <c r="L4995" s="10"/>
      <c r="M4995" s="10"/>
      <c r="N4995" s="10"/>
      <c r="O4995" s="10"/>
      <c r="P4995" s="10"/>
      <c r="Q4995" s="10"/>
      <c r="R4995" s="10"/>
      <c r="S4995" s="10"/>
      <c r="T4995" s="10"/>
      <c r="U4995" s="10"/>
      <c r="V4995" s="10"/>
      <c r="W4995" s="10"/>
      <c r="X4995" s="10"/>
      <c r="Y4995" s="10"/>
      <c r="Z4995" s="10"/>
    </row>
    <row r="4996" spans="1:26" ht="12.75">
      <c r="A4996" s="10" t="str">
        <f ca="1">IFERROR(__xludf.DUMMYFUNCTION("""COMPUTED_VALUE"""),"Любомира Петрова Парижкова")</f>
        <v>Любомира Петрова Парижкова</v>
      </c>
      <c r="B4996" s="10" t="str">
        <f ca="1">IFERROR(__xludf.DUMMYFUNCTION("""COMPUTED_VALUE"""),"Книга")</f>
        <v>Книга</v>
      </c>
      <c r="C4996" s="10" t="str">
        <f ca="1">IFERROR(__xludf.DUMMYFUNCTION("""COMPUTED_VALUE"""),"Книгата – нашето по-смислено настояще")</f>
        <v>Книгата – нашето по-смислено настояще</v>
      </c>
      <c r="D4996" s="10">
        <f ca="1">IFERROR(__xludf.DUMMYFUNCTION("""COMPUTED_VALUE"""),2012)</f>
        <v>2012</v>
      </c>
      <c r="E4996" s="10" t="str">
        <f ca="1">IFERROR(__xludf.DUMMYFUNCTION("""COMPUTED_VALUE"""),"Сборник доклади от форума „Дни на книгата и авторското право в УниБИТ”, София, 23-25 април 2012 г. – София : За буквите – О Писменехь, 2012. – 248 с. ISSN 1314-7323 (print)")</f>
        <v>Сборник доклади от форума „Дни на книгата и авторското право в УниБИТ”, София, 23-25 април 2012 г. – София : За буквите – О Писменехь, 2012. – 248 с. ISSN 1314-7323 (print)</v>
      </c>
      <c r="F4996" s="10" t="str">
        <f ca="1">IFERROR(__xludf.DUMMYFUNCTION("""COMPUTED_VALUE"""),"НАЦИД")</f>
        <v>НАЦИД</v>
      </c>
      <c r="G4996" s="10"/>
      <c r="H4996" s="10"/>
      <c r="I4996" s="10"/>
      <c r="J4996" s="10"/>
      <c r="K4996" s="10"/>
      <c r="L4996" s="10"/>
      <c r="M4996" s="10"/>
      <c r="N4996" s="10"/>
      <c r="O4996" s="10"/>
      <c r="P4996" s="10"/>
      <c r="Q4996" s="10"/>
      <c r="R4996" s="10"/>
      <c r="S4996" s="10"/>
      <c r="T4996" s="10"/>
      <c r="U4996" s="10"/>
      <c r="V4996" s="10"/>
      <c r="W4996" s="10"/>
      <c r="X4996" s="10"/>
      <c r="Y4996" s="10"/>
      <c r="Z4996" s="10"/>
    </row>
    <row r="4997" spans="1:26" ht="12.75">
      <c r="A4997" s="10" t="str">
        <f ca="1">IFERROR(__xludf.DUMMYFUNCTION("""COMPUTED_VALUE"""),"Любомира Петрова Парижкова")</f>
        <v>Любомира Петрова Парижкова</v>
      </c>
      <c r="B4997" s="10" t="str">
        <f ca="1">IFERROR(__xludf.DUMMYFUNCTION("""COMPUTED_VALUE"""),"Статия в списания и поредици")</f>
        <v>Статия в списания и поредици</v>
      </c>
      <c r="C4997" s="10" t="str">
        <f ca="1">IFERROR(__xludf.DUMMYFUNCTION("""COMPUTED_VALUE"""),"Чети и сподели")</f>
        <v>Чети и сподели</v>
      </c>
      <c r="D4997" s="10">
        <f ca="1">IFERROR(__xludf.DUMMYFUNCTION("""COMPUTED_VALUE"""),2012)</f>
        <v>2012</v>
      </c>
      <c r="E4997" s="10" t="str">
        <f ca="1">IFERROR(__xludf.DUMMYFUNCTION("""COMPUTED_VALUE"""),"За Буквите : Кирило-Методиевски вестник, № 37, 2012, с. 27. ISSN 1312-3785")</f>
        <v>За Буквите : Кирило-Методиевски вестник, № 37, 2012, с. 27. ISSN 1312-3785</v>
      </c>
      <c r="F4997" s="10"/>
      <c r="G4997" s="10"/>
      <c r="H4997" s="10"/>
      <c r="I4997" s="10"/>
      <c r="J4997" s="10"/>
      <c r="K4997" s="10"/>
      <c r="L4997" s="10"/>
      <c r="M4997" s="10"/>
      <c r="N4997" s="10"/>
      <c r="O4997" s="10"/>
      <c r="P4997" s="10"/>
      <c r="Q4997" s="10"/>
      <c r="R4997" s="10"/>
      <c r="S4997" s="10"/>
      <c r="T4997" s="10"/>
      <c r="U4997" s="10"/>
      <c r="V4997" s="10"/>
      <c r="W4997" s="10"/>
      <c r="X4997" s="10"/>
      <c r="Y4997" s="10"/>
      <c r="Z4997" s="10"/>
    </row>
    <row r="4998" spans="1:26" ht="12.75">
      <c r="A4998" s="10" t="str">
        <f ca="1">IFERROR(__xludf.DUMMYFUNCTION("""COMPUTED_VALUE"""),"Любомира Петрова Парижкова")</f>
        <v>Любомира Петрова Парижкова</v>
      </c>
      <c r="B4998" s="10" t="str">
        <f ca="1">IFERROR(__xludf.DUMMYFUNCTION("""COMPUTED_VALUE"""),"Доклад от конференция")</f>
        <v>Доклад от конференция</v>
      </c>
      <c r="C4998" s="10" t="str">
        <f ca="1">IFERROR(__xludf.DUMMYFUNCTION("""COMPUTED_VALUE"""),"Книгата – нашето по-смислено настояще")</f>
        <v>Книгата – нашето по-смислено настояще</v>
      </c>
      <c r="D4998" s="10">
        <f ca="1">IFERROR(__xludf.DUMMYFUNCTION("""COMPUTED_VALUE"""),2012)</f>
        <v>2012</v>
      </c>
      <c r="E4998" s="10" t="str">
        <f ca="1">IFERROR(__xludf.DUMMYFUNCTION("""COMPUTED_VALUE"""),"Библиотеки, четене, комуникации : Сборник от десета национална научна конференция, посветена на 60-годишнината от рождението на проф. д-р Алберт Бенбасат. – Велико Търново : УИ „Св. св. Кирил и Методий”, 2012, с. 287– 291. ISSN 1313-8138")</f>
        <v>Библиотеки, четене, комуникации : Сборник от десета национална научна конференция, посветена на 60-годишнината от рождението на проф. д-р Алберт Бенбасат. – Велико Търново : УИ „Св. св. Кирил и Методий”, 2012, с. 287– 291. ISSN 1313-8138</v>
      </c>
      <c r="F4998" s="10"/>
      <c r="G4998" s="10"/>
      <c r="H4998" s="10"/>
      <c r="I4998" s="10"/>
      <c r="J4998" s="10"/>
      <c r="K4998" s="10"/>
      <c r="L4998" s="10"/>
      <c r="M4998" s="10"/>
      <c r="N4998" s="10"/>
      <c r="O4998" s="10"/>
      <c r="P4998" s="10"/>
      <c r="Q4998" s="10"/>
      <c r="R4998" s="10"/>
      <c r="S4998" s="10"/>
      <c r="T4998" s="10"/>
      <c r="U4998" s="10"/>
      <c r="V4998" s="10"/>
      <c r="W4998" s="10"/>
      <c r="X4998" s="10"/>
      <c r="Y4998" s="10"/>
      <c r="Z4998" s="10"/>
    </row>
    <row r="4999" spans="1:26" ht="12.75">
      <c r="A4999" s="10" t="str">
        <f ca="1">IFERROR(__xludf.DUMMYFUNCTION("""COMPUTED_VALUE"""),"Любомира Петрова Парижкова")</f>
        <v>Любомира Петрова Парижкова</v>
      </c>
      <c r="B4999" s="10" t="str">
        <f ca="1">IFERROR(__xludf.DUMMYFUNCTION("""COMPUTED_VALUE"""),"Доклад от конференция")</f>
        <v>Доклад от конференция</v>
      </c>
      <c r="C4999" s="10" t="str">
        <f ca="1">IFERROR(__xludf.DUMMYFUNCTION("""COMPUTED_VALUE"""),"Опитът на УНИБИТ в стимулирането на четенето")</f>
        <v>Опитът на УНИБИТ в стимулирането на четенето</v>
      </c>
      <c r="D4999" s="10">
        <f ca="1">IFERROR(__xludf.DUMMYFUNCTION("""COMPUTED_VALUE"""),2012)</f>
        <v>2012</v>
      </c>
      <c r="E4999"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305-314. ISBN 978-954-2946-30-4")</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305-314. ISBN 978-954-2946-30-4</v>
      </c>
      <c r="F4999" s="10" t="str">
        <f ca="1">IFERROR(__xludf.DUMMYFUNCTION("""COMPUTED_VALUE"""),"НАЦИД")</f>
        <v>НАЦИД</v>
      </c>
      <c r="G4999" s="10"/>
      <c r="H4999" s="10"/>
      <c r="I4999" s="10"/>
      <c r="J4999" s="10"/>
      <c r="K4999" s="10"/>
      <c r="L4999" s="10"/>
      <c r="M4999" s="10"/>
      <c r="N4999" s="10"/>
      <c r="O4999" s="10"/>
      <c r="P4999" s="10"/>
      <c r="Q4999" s="10"/>
      <c r="R4999" s="10"/>
      <c r="S4999" s="10"/>
      <c r="T4999" s="10"/>
      <c r="U4999" s="10"/>
      <c r="V4999" s="10"/>
      <c r="W4999" s="10"/>
      <c r="X4999" s="10"/>
      <c r="Y4999" s="10"/>
      <c r="Z4999" s="10"/>
    </row>
    <row r="5000" spans="1:26" ht="12.75">
      <c r="A5000" s="10" t="str">
        <f ca="1">IFERROR(__xludf.DUMMYFUNCTION("""COMPUTED_VALUE"""),"Любомира Петрова Парижкова")</f>
        <v>Любомира Петрова Парижкова</v>
      </c>
      <c r="B5000" s="10" t="str">
        <f ca="1">IFERROR(__xludf.DUMMYFUNCTION("""COMPUTED_VALUE"""),"Доклад от конференция")</f>
        <v>Доклад от конференция</v>
      </c>
      <c r="C5000" s="10" t="str">
        <f ca="1">IFERROR(__xludf.DUMMYFUNCTION("""COMPUTED_VALUE"""),"Reading stimulating initiatives in the State University of Library Studies and Information Technologies")</f>
        <v>Reading stimulating initiatives in the State University of Library Studies and Information Technologies</v>
      </c>
      <c r="D5000" s="10">
        <f ca="1">IFERROR(__xludf.DUMMYFUNCTION("""COMPUTED_VALUE"""),2012)</f>
        <v>2012</v>
      </c>
      <c r="E5000" s="10" t="str">
        <f ca="1">IFERROR(__xludf.DUMMYFUNCTION("""COMPUTED_VALUE"""),"The Future of Education Conference Proceedings 2011. International Conference „The Future of Education”, 7-8 June 2012, Florence, Italy. Simonelli Editore. Vol. 2, p. 397-401. ISBN 978-88-7647-648-8")</f>
        <v>The Future of Education Conference Proceedings 2011. International Conference „The Future of Education”, 7-8 June 2012, Florence, Italy. Simonelli Editore. Vol. 2, p. 397-401. ISBN 978-88-7647-648-8</v>
      </c>
      <c r="F5000" s="10" t="str">
        <f ca="1">IFERROR(__xludf.DUMMYFUNCTION("""COMPUTED_VALUE"""),"SCOPUS, ACADEMIA.EDU and indexed in Google Books, LibreriaUniversitaria")</f>
        <v>SCOPUS, ACADEMIA.EDU and indexed in Google Books, LibreriaUniversitaria</v>
      </c>
      <c r="G5000" s="10" t="str">
        <f ca="1">IFERROR(__xludf.DUMMYFUNCTION("""COMPUTED_VALUE"""),"Stoyan Dentchev")</f>
        <v>Stoyan Dentchev</v>
      </c>
      <c r="H5000" s="10"/>
      <c r="I5000" s="10"/>
      <c r="J5000" s="10"/>
      <c r="K5000" s="10"/>
      <c r="L5000" s="10"/>
      <c r="M5000" s="10"/>
      <c r="N5000" s="10"/>
      <c r="O5000" s="10"/>
      <c r="P5000" s="10"/>
      <c r="Q5000" s="10"/>
      <c r="R5000" s="10"/>
      <c r="S5000" s="10"/>
      <c r="T5000" s="10"/>
      <c r="U5000" s="10"/>
      <c r="V5000" s="10"/>
      <c r="W5000" s="10"/>
      <c r="X5000" s="10"/>
      <c r="Y5000" s="10"/>
      <c r="Z5000" s="10"/>
    </row>
    <row r="5001" spans="1:26" ht="12.75">
      <c r="A5001" s="10" t="str">
        <f ca="1">IFERROR(__xludf.DUMMYFUNCTION("""COMPUTED_VALUE"""),"Любомира Петрова Парижкова")</f>
        <v>Любомира Петрова Парижкова</v>
      </c>
      <c r="B5001" s="10" t="str">
        <f ca="1">IFERROR(__xludf.DUMMYFUNCTION("""COMPUTED_VALUE"""),"Доклад от конференция")</f>
        <v>Доклад от конференция</v>
      </c>
      <c r="C5001" s="10" t="str">
        <f ca="1">IFERROR(__xludf.DUMMYFUNCTION("""COMPUTED_VALUE"""),"Творчески провокации за стимулиране на четенето")</f>
        <v>Творчески провокации за стимулиране на четенето</v>
      </c>
      <c r="D5001" s="10">
        <f ca="1">IFERROR(__xludf.DUMMYFUNCTION("""COMPUTED_VALUE"""),2012)</f>
        <v>2012</v>
      </c>
      <c r="E5001" s="10" t="str">
        <f ca="1">IFERROR(__xludf.DUMMYFUNCTION("""COMPUTED_VALUE"""),"Образование и технологии: годишно научно-методическо списание. - Бургас: Сдружение Образование и технологии, електронно списание, 012, № 3, с. 352-357. ISSN 1314–1791")</f>
        <v>Образование и технологии: годишно научно-методическо списание. - Бургас: Сдружение Образование и технологии, електронно списание, 012, № 3, с. 352-357. ISSN 1314–1791</v>
      </c>
      <c r="F5001" s="10" t="str">
        <f ca="1">IFERROR(__xludf.DUMMYFUNCTION("""COMPUTED_VALUE"""),"НАЦИД")</f>
        <v>НАЦИД</v>
      </c>
      <c r="G5001" s="10"/>
      <c r="H5001" s="10"/>
      <c r="I5001" s="10"/>
      <c r="J5001" s="10"/>
      <c r="K5001" s="10"/>
      <c r="L5001" s="10"/>
      <c r="M5001" s="10"/>
      <c r="N5001" s="10"/>
      <c r="O5001" s="10"/>
      <c r="P5001" s="10"/>
      <c r="Q5001" s="10"/>
      <c r="R5001" s="10"/>
      <c r="S5001" s="10"/>
      <c r="T5001" s="10"/>
      <c r="U5001" s="10"/>
      <c r="V5001" s="10"/>
      <c r="W5001" s="10"/>
      <c r="X5001" s="10"/>
      <c r="Y5001" s="10"/>
      <c r="Z5001" s="10"/>
    </row>
    <row r="5002" spans="1:26" ht="12.75">
      <c r="A5002" s="10" t="str">
        <f ca="1">IFERROR(__xludf.DUMMYFUNCTION("""COMPUTED_VALUE"""),"Любомира Петрова Парижкова")</f>
        <v>Любомира Петрова Парижкова</v>
      </c>
      <c r="B5002" s="10" t="str">
        <f ca="1">IFERROR(__xludf.DUMMYFUNCTION("""COMPUTED_VALUE"""),"Доклад от конференция")</f>
        <v>Доклад от конференция</v>
      </c>
      <c r="C5002" s="10" t="str">
        <f ca="1">IFERROR(__xludf.DUMMYFUNCTION("""COMPUTED_VALUE"""),"Добри практики в статията на Рей Дойрън и Марлийн Ейслин „Насърчаване на културата на четене в свят на разнообразие”")</f>
        <v>Добри практики в статията на Рей Дойрън и Марлийн Ейслин „Насърчаване на културата на четене в свят на разнообразие”</v>
      </c>
      <c r="D5002" s="10">
        <f ca="1">IFERROR(__xludf.DUMMYFUNCTION("""COMPUTED_VALUE"""),2012)</f>
        <v>2012</v>
      </c>
      <c r="E5002" s="10" t="str">
        <f ca="1">IFERROR(__xludf.DUMMYFUNCTION("""COMPUTED_VALUE"""),"Чуждестранни иновативни модели и добри практики от областта на библиотекознанието, печатните комуникации и културно-историческото наследство : Сборник от Научно ателие за млади учени и докторанти, София, 20 юни 2012 / Състав. Иванка Янкова, Жоржета Назърс"&amp;"ка [Електронен ресурс]. – София : За буквите – О писменехь, 2012, с. 20-26. ISBN: 978-954-2946-39-7")</f>
        <v>Чуждестранни иновативни модели и добри практики от областта на библиотекознанието, печатните комуникации и културно-историческото наследство : Сборник от Научно ателие за млади учени и докторанти, София, 20 юни 2012 / Състав. Иванка Янкова, Жоржета Назърска [Електронен ресурс]. – София : За буквите – О писменехь, 2012, с. 20-26. ISBN: 978-954-2946-39-7</v>
      </c>
      <c r="F5002" s="10"/>
      <c r="G5002" s="10"/>
      <c r="H5002" s="10"/>
      <c r="I5002" s="10"/>
      <c r="J5002" s="10"/>
      <c r="K5002" s="10"/>
      <c r="L5002" s="10"/>
      <c r="M5002" s="10"/>
      <c r="N5002" s="10"/>
      <c r="O5002" s="10"/>
      <c r="P5002" s="10"/>
      <c r="Q5002" s="10"/>
      <c r="R5002" s="10"/>
      <c r="S5002" s="10"/>
      <c r="T5002" s="10"/>
      <c r="U5002" s="10"/>
      <c r="V5002" s="10"/>
      <c r="W5002" s="10"/>
      <c r="X5002" s="10"/>
      <c r="Y5002" s="10"/>
      <c r="Z5002" s="10"/>
    </row>
    <row r="5003" spans="1:26" ht="12.75">
      <c r="A5003" s="10" t="str">
        <f ca="1">IFERROR(__xludf.DUMMYFUNCTION("""COMPUTED_VALUE"""),"Любомира Петрова Парижкова")</f>
        <v>Любомира Петрова Парижкова</v>
      </c>
      <c r="B5003" s="10" t="str">
        <f ca="1">IFERROR(__xludf.DUMMYFUNCTION("""COMPUTED_VALUE"""),"Статия в списания и поредици")</f>
        <v>Статия в списания и поредици</v>
      </c>
      <c r="C5003" s="10" t="str">
        <f ca="1">IFERROR(__xludf.DUMMYFUNCTION("""COMPUTED_VALUE"""),"Проект „Нови политики за стимулиране на четенето. Изследване на буккросинг практики в България” – програма „Млади учени” на Фонд „Научни изследвания”")</f>
        <v>Проект „Нови политики за стимулиране на четенето. Изследване на буккросинг практики в България” – програма „Млади учени” на Фонд „Научни изследвания”</v>
      </c>
      <c r="D5003" s="10">
        <f ca="1">IFERROR(__xludf.DUMMYFUNCTION("""COMPUTED_VALUE"""),2012)</f>
        <v>2012</v>
      </c>
      <c r="E5003" s="10" t="str">
        <f ca="1">IFERROR(__xludf.DUMMYFUNCTION("""COMPUTED_VALUE"""),"Научни изследвания, 2012, № 3, с. 19-25. ISSN 2367-6485")</f>
        <v>Научни изследвания, 2012, № 3, с. 19-25. ISSN 2367-6485</v>
      </c>
      <c r="F5003" s="10" t="str">
        <f ca="1">IFERROR(__xludf.DUMMYFUNCTION("""COMPUTED_VALUE"""),"НАЦИД")</f>
        <v>НАЦИД</v>
      </c>
      <c r="G5003" s="10"/>
      <c r="H5003" s="10"/>
      <c r="I5003" s="10"/>
      <c r="J5003" s="10"/>
      <c r="K5003" s="10"/>
      <c r="L5003" s="10"/>
      <c r="M5003" s="10"/>
      <c r="N5003" s="10"/>
      <c r="O5003" s="10"/>
      <c r="P5003" s="10"/>
      <c r="Q5003" s="10"/>
      <c r="R5003" s="10"/>
      <c r="S5003" s="10"/>
      <c r="T5003" s="10"/>
      <c r="U5003" s="10"/>
      <c r="V5003" s="10"/>
      <c r="W5003" s="10"/>
      <c r="X5003" s="10"/>
      <c r="Y5003" s="10"/>
      <c r="Z5003" s="10"/>
    </row>
    <row r="5004" spans="1:26" ht="12.75">
      <c r="A5004" s="10" t="str">
        <f ca="1">IFERROR(__xludf.DUMMYFUNCTION("""COMPUTED_VALUE"""),"Любомира Петрова Парижкова")</f>
        <v>Любомира Петрова Парижкова</v>
      </c>
      <c r="B5004" s="10" t="str">
        <f ca="1">IFERROR(__xludf.DUMMYFUNCTION("""COMPUTED_VALUE"""),"Статия в списания и поредици")</f>
        <v>Статия в списания и поредици</v>
      </c>
      <c r="C5004" s="10" t="str">
        <f ca="1">IFERROR(__xludf.DUMMYFUNCTION("""COMPUTED_VALUE"""),"Живот, посветен на книгата и на духовността българска")</f>
        <v>Живот, посветен на книгата и на духовността българска</v>
      </c>
      <c r="D5004" s="10">
        <f ca="1">IFERROR(__xludf.DUMMYFUNCTION("""COMPUTED_VALUE"""),2012)</f>
        <v>2012</v>
      </c>
      <c r="E5004" s="10" t="str">
        <f ca="1">IFERROR(__xludf.DUMMYFUNCTION("""COMPUTED_VALUE"""),"Научни изследвания, 2012, № 3, с. 3-12. &lt;http://bulfund2012.blogspot.com/2013/01/blog-post_21.html")</f>
        <v>Научни изследвания, 2012, № 3, с. 3-12. &lt;http://bulfund2012.blogspot.com/2013/01/blog-post_21.html</v>
      </c>
      <c r="F5004" s="10" t="str">
        <f ca="1">IFERROR(__xludf.DUMMYFUNCTION("""COMPUTED_VALUE"""),"НАЦИД")</f>
        <v>НАЦИД</v>
      </c>
      <c r="G5004" s="10" t="str">
        <f ca="1">IFERROR(__xludf.DUMMYFUNCTION("""COMPUTED_VALUE"""),"Събина Ефтимова, Соня Спасова")</f>
        <v>Събина Ефтимова, Соня Спасова</v>
      </c>
      <c r="H5004" s="10"/>
      <c r="I5004" s="10"/>
      <c r="J5004" s="10"/>
      <c r="K5004" s="10"/>
      <c r="L5004" s="10"/>
      <c r="M5004" s="10"/>
      <c r="N5004" s="10"/>
      <c r="O5004" s="10"/>
      <c r="P5004" s="10"/>
      <c r="Q5004" s="10"/>
      <c r="R5004" s="10"/>
      <c r="S5004" s="10"/>
      <c r="T5004" s="10"/>
      <c r="U5004" s="10"/>
      <c r="V5004" s="10"/>
      <c r="W5004" s="10"/>
      <c r="X5004" s="10"/>
      <c r="Y5004" s="10"/>
      <c r="Z5004" s="10"/>
    </row>
    <row r="5005" spans="1:26" ht="12.75">
      <c r="A5005" s="10" t="str">
        <f ca="1">IFERROR(__xludf.DUMMYFUNCTION("""COMPUTED_VALUE"""),"Любомира Петрова Парижкова")</f>
        <v>Любомира Петрова Парижкова</v>
      </c>
      <c r="B5005" s="10" t="str">
        <f ca="1">IFERROR(__xludf.DUMMYFUNCTION("""COMPUTED_VALUE"""),"Статия в списания и поредици")</f>
        <v>Статия в списания и поредици</v>
      </c>
      <c r="C5005" s="10" t="str">
        <f ca="1">IFERROR(__xludf.DUMMYFUNCTION("""COMPUTED_VALUE"""),"За изказването на собствена гражданска и научна позиция (Рецензирането на литература) : Поглед върху избора и представянето на Студентското научно общество при УниБИТ на традиционно и електронно публикувани издания (2005-2011 г.).")</f>
        <v>За изказването на собствена гражданска и научна позиция (Рецензирането на литература) : Поглед върху избора и представянето на Студентското научно общество при УниБИТ на традиционно и електронно публикувани издания (2005-2011 г.).</v>
      </c>
      <c r="D5005" s="10">
        <f ca="1">IFERROR(__xludf.DUMMYFUNCTION("""COMPUTED_VALUE"""),2012)</f>
        <v>2012</v>
      </c>
      <c r="E5005" s="10" t="str">
        <f ca="1">IFERROR(__xludf.DUMMYFUNCTION("""COMPUTED_VALUE"""),"Трудове на Студентското научно общество при Университета по библиотекознание и информационни технологии. – София : За буквите – О писменехь, Т. 7, 2012 , с. 147-152. ISBN 978-954-8887-69-4")</f>
        <v>Трудове на Студентското научно общество при Университета по библиотекознание и информационни технологии. – София : За буквите – О писменехь, Т. 7, 2012 , с. 147-152. ISBN 978-954-8887-69-4</v>
      </c>
      <c r="F5005" s="10"/>
      <c r="G5005" s="10"/>
      <c r="H5005" s="10"/>
      <c r="I5005" s="10"/>
      <c r="J5005" s="10"/>
      <c r="K5005" s="10"/>
      <c r="L5005" s="10"/>
      <c r="M5005" s="10"/>
      <c r="N5005" s="10"/>
      <c r="O5005" s="10"/>
      <c r="P5005" s="10"/>
      <c r="Q5005" s="10"/>
      <c r="R5005" s="10"/>
      <c r="S5005" s="10"/>
      <c r="T5005" s="10"/>
      <c r="U5005" s="10"/>
      <c r="V5005" s="10"/>
      <c r="W5005" s="10"/>
      <c r="X5005" s="10"/>
      <c r="Y5005" s="10"/>
      <c r="Z5005" s="10"/>
    </row>
    <row r="5006" spans="1:26" ht="12.75">
      <c r="A5006" s="10" t="str">
        <f ca="1">IFERROR(__xludf.DUMMYFUNCTION("""COMPUTED_VALUE"""),"Любомира Петрова Парижкова")</f>
        <v>Любомира Петрова Парижкова</v>
      </c>
      <c r="B5006" s="10" t="str">
        <f ca="1">IFERROR(__xludf.DUMMYFUNCTION("""COMPUTED_VALUE"""),"Статия в списания и поредици")</f>
        <v>Статия в списания и поредици</v>
      </c>
      <c r="C5006" s="10" t="str">
        <f ca="1">IFERROR(__xludf.DUMMYFUNCTION("""COMPUTED_VALUE"""),"Златни правила на рецензирането : Обобщение на резултатите от проведената Кръгла маса [на VІІ Студентска научна конференция и изложба на УниБИТ (2005-2011 г.]")</f>
        <v>Златни правила на рецензирането : Обобщение на резултатите от проведената Кръгла маса [на VІІ Студентска научна конференция и изложба на УниБИТ (2005-2011 г.]</v>
      </c>
      <c r="D5006" s="10">
        <f ca="1">IFERROR(__xludf.DUMMYFUNCTION("""COMPUTED_VALUE"""),2012)</f>
        <v>2012</v>
      </c>
      <c r="E5006" s="10" t="str">
        <f ca="1">IFERROR(__xludf.DUMMYFUNCTION("""COMPUTED_VALUE"""),"Трудове на Студентското научно общество при Университета по библиотекознание и информационни технологии. – София : За буквите – О писменехь, Т. 7, 2012, с. 153-156. ISBN 978-954-8887-69-4")</f>
        <v>Трудове на Студентското научно общество при Университета по библиотекознание и информационни технологии. – София : За буквите – О писменехь, Т. 7, 2012, с. 153-156. ISBN 978-954-8887-69-4</v>
      </c>
      <c r="F5006" s="10"/>
      <c r="G5006" s="10"/>
      <c r="H5006" s="10"/>
      <c r="I5006" s="10"/>
      <c r="J5006" s="10"/>
      <c r="K5006" s="10"/>
      <c r="L5006" s="10"/>
      <c r="M5006" s="10"/>
      <c r="N5006" s="10"/>
      <c r="O5006" s="10"/>
      <c r="P5006" s="10"/>
      <c r="Q5006" s="10"/>
      <c r="R5006" s="10"/>
      <c r="S5006" s="10"/>
      <c r="T5006" s="10"/>
      <c r="U5006" s="10"/>
      <c r="V5006" s="10"/>
      <c r="W5006" s="10"/>
      <c r="X5006" s="10"/>
      <c r="Y5006" s="10"/>
      <c r="Z5006" s="10"/>
    </row>
    <row r="5007" spans="1:26" ht="12.75">
      <c r="A5007" s="10" t="str">
        <f ca="1">IFERROR(__xludf.DUMMYFUNCTION("""COMPUTED_VALUE"""),"Любомира Петрова Парижкова")</f>
        <v>Любомира Петрова Парижкова</v>
      </c>
      <c r="B5007" s="10" t="str">
        <f ca="1">IFERROR(__xludf.DUMMYFUNCTION("""COMPUTED_VALUE"""),"Статия в списания и поредици")</f>
        <v>Статия в списания и поредици</v>
      </c>
      <c r="C5007" s="10" t="str">
        <f ca="1">IFERROR(__xludf.DUMMYFUNCTION("""COMPUTED_VALUE"""),"Training the librarians as mediators in LLL – the Bulgarian experience. Learn more - live better! [online]")</f>
        <v>Training the librarians as mediators in LLL – the Bulgarian experience. Learn more - live better! [online]</v>
      </c>
      <c r="D5007" s="10">
        <f ca="1">IFERROR(__xludf.DUMMYFUNCTION("""COMPUTED_VALUE"""),2012)</f>
        <v>2012</v>
      </c>
      <c r="E5007" s="10" t="str">
        <f ca="1">IFERROR(__xludf.DUMMYFUNCTION("""COMPUTED_VALUE"""),"European Conference “Active Ageing and Intergenerational Dialogue – a Challenge for the Danube Countries in a Common Europe. New Directions in Seniors’ Education”, 8-10 July 2012, Ulm, Germany. Онлайн публикация. Достъпна на: http://www.lill-danube-confer"&amp;"ence2012.eu/")</f>
        <v>European Conference “Active Ageing and Intergenerational Dialogue – a Challenge for the Danube Countries in a Common Europe. New Directions in Seniors’ Education”, 8-10 July 2012, Ulm, Germany. Онлайн публикация. Достъпна на: http://www.lill-danube-conference2012.eu/</v>
      </c>
      <c r="F5007" s="10"/>
      <c r="G5007" s="10" t="str">
        <f ca="1">IFERROR(__xludf.DUMMYFUNCTION("""COMPUTED_VALUE"""),"Stoykova, Dobrinka")</f>
        <v>Stoykova, Dobrinka</v>
      </c>
      <c r="H5007" s="10"/>
      <c r="I5007" s="10"/>
      <c r="J5007" s="10"/>
      <c r="K5007" s="10"/>
      <c r="L5007" s="10"/>
      <c r="M5007" s="10"/>
      <c r="N5007" s="10"/>
      <c r="O5007" s="10"/>
      <c r="P5007" s="10"/>
      <c r="Q5007" s="10"/>
      <c r="R5007" s="10"/>
      <c r="S5007" s="10"/>
      <c r="T5007" s="10"/>
      <c r="U5007" s="10"/>
      <c r="V5007" s="10"/>
      <c r="W5007" s="10"/>
      <c r="X5007" s="10"/>
      <c r="Y5007" s="10"/>
      <c r="Z5007" s="10"/>
    </row>
    <row r="5008" spans="1:26" ht="12.75">
      <c r="A5008" s="10" t="str">
        <f ca="1">IFERROR(__xludf.DUMMYFUNCTION("""COMPUTED_VALUE"""),"Любомира Петрова Парижкова")</f>
        <v>Любомира Петрова Парижкова</v>
      </c>
      <c r="B5008" s="10" t="str">
        <f ca="1">IFERROR(__xludf.DUMMYFUNCTION("""COMPUTED_VALUE"""),"Монография")</f>
        <v>Монография</v>
      </c>
      <c r="C5008" s="10" t="str">
        <f ca="1">IFERROR(__xludf.DUMMYFUNCTION("""COMPUTED_VALUE"""),"Аутсорсинг на научноизследователска и развойна дейност")</f>
        <v>Аутсорсинг на научноизследователска и развойна дейност</v>
      </c>
      <c r="D5008" s="10">
        <f ca="1">IFERROR(__xludf.DUMMYFUNCTION("""COMPUTED_VALUE"""),2011)</f>
        <v>2011</v>
      </c>
      <c r="E5008" s="10" t="str">
        <f ca="1">IFERROR(__xludf.DUMMYFUNCTION("""COMPUTED_VALUE"""),"Монография, – София : Симелпрес, 2011. – 240 с. ISBN 978-954-2918-08-0")</f>
        <v>Монография, – София : Симелпрес, 2011. – 240 с. ISBN 978-954-2918-08-0</v>
      </c>
      <c r="F5008" s="10"/>
      <c r="G5008" s="10"/>
      <c r="H5008" s="10"/>
      <c r="I5008" s="10"/>
      <c r="J5008" s="10"/>
      <c r="K5008" s="10"/>
      <c r="L5008" s="10"/>
      <c r="M5008" s="10"/>
      <c r="N5008" s="10"/>
      <c r="O5008" s="10"/>
      <c r="P5008" s="10"/>
      <c r="Q5008" s="10"/>
      <c r="R5008" s="10"/>
      <c r="S5008" s="10"/>
      <c r="T5008" s="10"/>
      <c r="U5008" s="10"/>
      <c r="V5008" s="10"/>
      <c r="W5008" s="10"/>
      <c r="X5008" s="10"/>
      <c r="Y5008" s="10"/>
      <c r="Z5008" s="10"/>
    </row>
    <row r="5009" spans="1:26" ht="12.75">
      <c r="A5009" s="10" t="str">
        <f ca="1">IFERROR(__xludf.DUMMYFUNCTION("""COMPUTED_VALUE"""),"Любомира Петрова Парижкова")</f>
        <v>Любомира Петрова Парижкова</v>
      </c>
      <c r="B5009" s="10" t="str">
        <f ca="1">IFERROR(__xludf.DUMMYFUNCTION("""COMPUTED_VALUE"""),"Доклад от конференция")</f>
        <v>Доклад от конференция</v>
      </c>
      <c r="C5009" s="10" t="str">
        <f ca="1">IFERROR(__xludf.DUMMYFUNCTION("""COMPUTED_VALUE"""),"How to make Philosophy Interesting for Non-Specialists?")</f>
        <v>How to make Philosophy Interesting for Non-Specialists?</v>
      </c>
      <c r="D5009" s="10">
        <f ca="1">IFERROR(__xludf.DUMMYFUNCTION("""COMPUTED_VALUE"""),2011)</f>
        <v>2011</v>
      </c>
      <c r="E5009" s="10" t="str">
        <f ca="1">IFERROR(__xludf.DUMMYFUNCTION("""COMPUTED_VALUE"""),"Conference Proceedings, Florence, Italy, 16-17 June 2011, Simonelli Editore. Vol. 1, 82-87. ISBN: 978-88-7647-648-8")</f>
        <v>Conference Proceedings, Florence, Italy, 16-17 June 2011, Simonelli Editore. Vol. 1, 82-87. ISBN: 978-88-7647-648-8</v>
      </c>
      <c r="F5009" s="10" t="str">
        <f ca="1">IFERROR(__xludf.DUMMYFUNCTION("""COMPUTED_VALUE"""),"SCOPUS, ACADEMIA.EDU and indexed in Google
 Books, LibreriaUniversitaria")</f>
        <v>SCOPUS, ACADEMIA.EDU and indexed in Google
 Books, LibreriaUniversitaria</v>
      </c>
      <c r="G5009" s="10"/>
      <c r="H5009" s="10"/>
      <c r="I5009" s="10"/>
      <c r="J5009" s="10"/>
      <c r="K5009" s="10"/>
      <c r="L5009" s="10"/>
      <c r="M5009" s="10"/>
      <c r="N5009" s="10"/>
      <c r="O5009" s="10"/>
      <c r="P5009" s="10"/>
      <c r="Q5009" s="10"/>
      <c r="R5009" s="10"/>
      <c r="S5009" s="10"/>
      <c r="T5009" s="10"/>
      <c r="U5009" s="10"/>
      <c r="V5009" s="10"/>
      <c r="W5009" s="10"/>
      <c r="X5009" s="10"/>
      <c r="Y5009" s="10"/>
      <c r="Z5009" s="10"/>
    </row>
    <row r="5010" spans="1:26" ht="12.75">
      <c r="A5010" s="10" t="str">
        <f ca="1">IFERROR(__xludf.DUMMYFUNCTION("""COMPUTED_VALUE"""),"Любомира Петрова Парижкова")</f>
        <v>Любомира Петрова Парижкова</v>
      </c>
      <c r="B5010" s="10" t="str">
        <f ca="1">IFERROR(__xludf.DUMMYFUNCTION("""COMPUTED_VALUE"""),"Доклад от конференция")</f>
        <v>Доклад от конференция</v>
      </c>
      <c r="C5010" s="10" t="str">
        <f ca="1">IFERROR(__xludf.DUMMYFUNCTION("""COMPUTED_VALUE"""),"Партньорството между аутсорсинг компаниите в България и университетите – тенденции и перспективи")</f>
        <v>Партньорството между аутсорсинг компаниите в България и университетите – тенденции и перспективи</v>
      </c>
      <c r="D5010" s="10">
        <f ca="1">IFERROR(__xludf.DUMMYFUNCTION("""COMPUTED_VALUE"""),2011)</f>
        <v>2011</v>
      </c>
      <c r="E5010" s="10" t="str">
        <f ca="1">IFERROR(__xludf.DUMMYFUNCTION("""COMPUTED_VALUE"""),"Обществото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484-491. ISBN 978-954-2946-09-0")</f>
        <v>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484-491. ISBN 978-954-2946-09-0</v>
      </c>
      <c r="F5010" s="10" t="str">
        <f ca="1">IFERROR(__xludf.DUMMYFUNCTION("""COMPUTED_VALUE"""),"НАЦИД")</f>
        <v>НАЦИД</v>
      </c>
      <c r="G5010" s="10"/>
      <c r="H5010" s="10"/>
      <c r="I5010" s="10"/>
      <c r="J5010" s="10"/>
      <c r="K5010" s="10"/>
      <c r="L5010" s="10"/>
      <c r="M5010" s="10"/>
      <c r="N5010" s="10"/>
      <c r="O5010" s="10"/>
      <c r="P5010" s="10"/>
      <c r="Q5010" s="10"/>
      <c r="R5010" s="10"/>
      <c r="S5010" s="10"/>
      <c r="T5010" s="10"/>
      <c r="U5010" s="10"/>
      <c r="V5010" s="10"/>
      <c r="W5010" s="10"/>
      <c r="X5010" s="10"/>
      <c r="Y5010" s="10"/>
      <c r="Z5010" s="10"/>
    </row>
    <row r="5011" spans="1:26" ht="12.75">
      <c r="A5011" s="10" t="str">
        <f ca="1">IFERROR(__xludf.DUMMYFUNCTION("""COMPUTED_VALUE"""),"Любомира Петрова Парижкова")</f>
        <v>Любомира Петрова Парижкова</v>
      </c>
      <c r="B5011" s="10" t="str">
        <f ca="1">IFERROR(__xludf.DUMMYFUNCTION("""COMPUTED_VALUE"""),"Доклад от конференция")</f>
        <v>Доклад от конференция</v>
      </c>
      <c r="C5011" s="10" t="str">
        <f ca="1">IFERROR(__xludf.DUMMYFUNCTION("""COMPUTED_VALUE"""),"Комуникацията като инструмент в управлението на знания")</f>
        <v>Комуникацията като инструмент в управлението на знания</v>
      </c>
      <c r="D5011" s="10">
        <f ca="1">IFERROR(__xludf.DUMMYFUNCTION("""COMPUTED_VALUE"""),2011)</f>
        <v>2011</v>
      </c>
      <c r="E5011" s="10" t="str">
        <f ca="1">IFERROR(__xludf.DUMMYFUNCTION("""COMPUTED_VALUE"""),"Библиотечният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Иванка Янкова, Таня Тодорова; Ред. Румелина Василева; Рец"&amp;". Стоян Денчев. – София : За буквите – О писменехь, 2011, с. 99-107. ISBN 978-954-2946-14-4")</f>
        <v>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Иванка Янкова, Таня Тодорова; Ред. Румелина Василева; Рец. Стоян Денчев. – София : За буквите – О писменехь, 2011, с. 99-107. ISBN 978-954-2946-14-4</v>
      </c>
      <c r="F5011" s="10"/>
      <c r="G5011" s="10"/>
      <c r="H5011" s="10"/>
      <c r="I5011" s="10"/>
      <c r="J5011" s="10"/>
      <c r="K5011" s="10"/>
      <c r="L5011" s="10"/>
      <c r="M5011" s="10"/>
      <c r="N5011" s="10"/>
      <c r="O5011" s="10"/>
      <c r="P5011" s="10"/>
      <c r="Q5011" s="10"/>
      <c r="R5011" s="10"/>
      <c r="S5011" s="10"/>
      <c r="T5011" s="10"/>
      <c r="U5011" s="10"/>
      <c r="V5011" s="10"/>
      <c r="W5011" s="10"/>
      <c r="X5011" s="10"/>
      <c r="Y5011" s="10"/>
      <c r="Z5011" s="10"/>
    </row>
    <row r="5012" spans="1:26" ht="12.75">
      <c r="A5012" s="10" t="str">
        <f ca="1">IFERROR(__xludf.DUMMYFUNCTION("""COMPUTED_VALUE"""),"Любомира Петрова Парижкова")</f>
        <v>Любомира Петрова Парижкова</v>
      </c>
      <c r="B5012" s="10" t="str">
        <f ca="1">IFERROR(__xludf.DUMMYFUNCTION("""COMPUTED_VALUE"""),"Доклад от конференция")</f>
        <v>Доклад от конференция</v>
      </c>
      <c r="C5012" s="10" t="str">
        <f ca="1">IFERROR(__xludf.DUMMYFUNCTION("""COMPUTED_VALUE"""),"Знаниевият мениджмънт в съвременен контекст")</f>
        <v>Знаниевият мениджмънт в съвременен контекст</v>
      </c>
      <c r="D5012" s="10">
        <f ca="1">IFERROR(__xludf.DUMMYFUNCTION("""COMPUTED_VALUE"""),2011)</f>
        <v>2011</v>
      </c>
      <c r="E5012" s="10" t="str">
        <f ca="1">IFERROR(__xludf.DUMMYFUNCTION("""COMPUTED_VALUE"""),"Обществото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579-587. ISSN 1314-7099 (print)")</f>
        <v>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579-587. ISSN 1314-7099 (print)</v>
      </c>
      <c r="F5012" s="10" t="str">
        <f ca="1">IFERROR(__xludf.DUMMYFUNCTION("""COMPUTED_VALUE"""),"НАЦИД")</f>
        <v>НАЦИД</v>
      </c>
      <c r="G5012" s="10"/>
      <c r="H5012" s="10"/>
      <c r="I5012" s="10"/>
      <c r="J5012" s="10"/>
      <c r="K5012" s="10"/>
      <c r="L5012" s="10"/>
      <c r="M5012" s="10"/>
      <c r="N5012" s="10"/>
      <c r="O5012" s="10"/>
      <c r="P5012" s="10"/>
      <c r="Q5012" s="10"/>
      <c r="R5012" s="10"/>
      <c r="S5012" s="10"/>
      <c r="T5012" s="10"/>
      <c r="U5012" s="10"/>
      <c r="V5012" s="10"/>
      <c r="W5012" s="10"/>
      <c r="X5012" s="10"/>
      <c r="Y5012" s="10"/>
      <c r="Z5012" s="10"/>
    </row>
    <row r="5013" spans="1:26" ht="12.75">
      <c r="A5013" s="10" t="str">
        <f ca="1">IFERROR(__xludf.DUMMYFUNCTION("""COMPUTED_VALUE"""),"Любомира Петрова Парижкова")</f>
        <v>Любомира Петрова Парижкова</v>
      </c>
      <c r="B5013" s="10" t="str">
        <f ca="1">IFERROR(__xludf.DUMMYFUNCTION("""COMPUTED_VALUE"""),"Доклад от конференция")</f>
        <v>Доклад от конференция</v>
      </c>
      <c r="C5013" s="10" t="str">
        <f ca="1">IFERROR(__xludf.DUMMYFUNCTION("""COMPUTED_VALUE"""),"Целият свят като една библиотека. Книголюбието на българина днес")</f>
        <v>Целият свят като една библиотека. Книголюбието на българина днес</v>
      </c>
      <c r="D5013" s="10">
        <f ca="1">IFERROR(__xludf.DUMMYFUNCTION("""COMPUTED_VALUE"""),2011)</f>
        <v>2011</v>
      </c>
      <c r="E5013" s="10" t="str">
        <f ca="1">IFERROR(__xludf.DUMMYFUNCTION("""COMPUTED_VALUE"""),"Библиотеки, четене, комуникации : Сборник от девета национална научна конференция с международно участие, посветена на 65-годишнината от рождението на проф. дфн Мария Младенова. – Велико Търново : УИ „Св. св. Кирил и Методий”, 2011, с. 219 – 231. ISSN 131"&amp;"3-8138")</f>
        <v>Библиотеки, четене, комуникации : Сборник от девета национална научна конференция с международно участие, посветена на 65-годишнината от рождението на проф. дфн Мария Младенова. – Велико Търново : УИ „Св. св. Кирил и Методий”, 2011, с. 219 – 231. ISSN 1313-8138</v>
      </c>
      <c r="F5013" s="10"/>
      <c r="G5013" s="10"/>
      <c r="H5013" s="10"/>
      <c r="I5013" s="10"/>
      <c r="J5013" s="10"/>
      <c r="K5013" s="10"/>
      <c r="L5013" s="10"/>
      <c r="M5013" s="10"/>
      <c r="N5013" s="10"/>
      <c r="O5013" s="10"/>
      <c r="P5013" s="10"/>
      <c r="Q5013" s="10"/>
      <c r="R5013" s="10"/>
      <c r="S5013" s="10"/>
      <c r="T5013" s="10"/>
      <c r="U5013" s="10"/>
      <c r="V5013" s="10"/>
      <c r="W5013" s="10"/>
      <c r="X5013" s="10"/>
      <c r="Y5013" s="10"/>
      <c r="Z5013" s="10"/>
    </row>
    <row r="5014" spans="1:26" ht="12.75">
      <c r="A5014" s="10" t="str">
        <f ca="1">IFERROR(__xludf.DUMMYFUNCTION("""COMPUTED_VALUE"""),"Любомира Петрова Парижкова")</f>
        <v>Любомира Петрова Парижкова</v>
      </c>
      <c r="B5014" s="10" t="str">
        <f ca="1">IFERROR(__xludf.DUMMYFUNCTION("""COMPUTED_VALUE"""),"Доклад от конференция")</f>
        <v>Доклад от конференция</v>
      </c>
      <c r="C5014" s="10" t="str">
        <f ca="1">IFERROR(__xludf.DUMMYFUNCTION("""COMPUTED_VALUE"""),"Конструктивистката философия на Мудъл-системите за обучение")</f>
        <v>Конструктивистката философия на Мудъл-системите за обучение</v>
      </c>
      <c r="D5014" s="10">
        <f ca="1">IFERROR(__xludf.DUMMYFUNCTION("""COMPUTED_VALUE"""),2011)</f>
        <v>2011</v>
      </c>
      <c r="E5014" s="10" t="str">
        <f ca="1">IFERROR(__xludf.DUMMYFUNCTION("""COMPUTED_VALUE"""),"Нови информационни технологии в образователния процес : Доклади и съобщения от Шестия научен семинар на УниБИТ, Костенец, 24-26 март 2011 г. – София : За буквите – О писменехь, 2012, с. 60-71. ISSN 1313-2768")</f>
        <v>Нови информационни технологии в образователния процес : Доклади и съобщения от Шестия научен семинар на УниБИТ, Костенец, 24-26 март 2011 г. – София : За буквите – О писменехь, 2012, с. 60-71. ISSN 1313-2768</v>
      </c>
      <c r="F5014" s="10"/>
      <c r="G5014" s="10"/>
      <c r="H5014" s="10"/>
      <c r="I5014" s="10"/>
      <c r="J5014" s="10"/>
      <c r="K5014" s="10"/>
      <c r="L5014" s="10"/>
      <c r="M5014" s="10"/>
      <c r="N5014" s="10"/>
      <c r="O5014" s="10"/>
      <c r="P5014" s="10"/>
      <c r="Q5014" s="10"/>
      <c r="R5014" s="10"/>
      <c r="S5014" s="10"/>
      <c r="T5014" s="10"/>
      <c r="U5014" s="10"/>
      <c r="V5014" s="10"/>
      <c r="W5014" s="10"/>
      <c r="X5014" s="10"/>
      <c r="Y5014" s="10"/>
      <c r="Z5014" s="10"/>
    </row>
    <row r="5015" spans="1:26" ht="12.75">
      <c r="A5015" s="10" t="str">
        <f ca="1">IFERROR(__xludf.DUMMYFUNCTION("""COMPUTED_VALUE"""),"Любомира Петрова Парижкова")</f>
        <v>Любомира Петрова Парижкова</v>
      </c>
      <c r="B5015" s="10" t="str">
        <f ca="1">IFERROR(__xludf.DUMMYFUNCTION("""COMPUTED_VALUE"""),"Доклад от конференция")</f>
        <v>Доклад от конференция</v>
      </c>
      <c r="C5015" s="10" t="str">
        <f ca="1">IFERROR(__xludf.DUMMYFUNCTION("""COMPUTED_VALUE"""),"Книгата като екзистенциална необходимост")</f>
        <v>Книгата като екзистенциална необходимост</v>
      </c>
      <c r="D5015" s="10">
        <f ca="1">IFERROR(__xludf.DUMMYFUNCTION("""COMPUTED_VALUE"""),2011)</f>
        <v>2011</v>
      </c>
      <c r="E5015" s="10" t="str">
        <f ca="1">IFERROR(__xludf.DUMMYFUNCTION("""COMPUTED_VALUE"""),"Библиотеки, четене, комуникации : Девета национална научна конференция с международно участие, Велико Търново, 17-18 ноем. 2010 г., посветена на 65 годишнината на проф. Мария Младенова. – Велико Търново : УИ „Св. св. Кирил и Методий”, 2011, с. 262-274. IS"&amp;"SN 1313-8138")</f>
        <v>Библиотеки, четене, комуникации : Девета национална научна конференция с международно участие, Велико Търново, 17-18 ноем. 2010 г., посветена на 65 годишнината на проф. Мария Младенова. – Велико Търново : УИ „Св. св. Кирил и Методий”, 2011, с. 262-274. ISSN 1313-8138</v>
      </c>
      <c r="F5015" s="10"/>
      <c r="G5015" s="10"/>
      <c r="H5015" s="10"/>
      <c r="I5015" s="10"/>
      <c r="J5015" s="10"/>
      <c r="K5015" s="10"/>
      <c r="L5015" s="10"/>
      <c r="M5015" s="10"/>
      <c r="N5015" s="10"/>
      <c r="O5015" s="10"/>
      <c r="P5015" s="10"/>
      <c r="Q5015" s="10"/>
      <c r="R5015" s="10"/>
      <c r="S5015" s="10"/>
      <c r="T5015" s="10"/>
      <c r="U5015" s="10"/>
      <c r="V5015" s="10"/>
      <c r="W5015" s="10"/>
      <c r="X5015" s="10"/>
      <c r="Y5015" s="10"/>
      <c r="Z5015" s="10"/>
    </row>
    <row r="5016" spans="1:26" ht="12.75">
      <c r="A5016" s="10" t="str">
        <f ca="1">IFERROR(__xludf.DUMMYFUNCTION("""COMPUTED_VALUE"""),"Любомира Петрова Парижкова")</f>
        <v>Любомира Петрова Парижкова</v>
      </c>
      <c r="B5016" s="10" t="str">
        <f ca="1">IFERROR(__xludf.DUMMYFUNCTION("""COMPUTED_VALUE"""),"Доклад от конференция")</f>
        <v>Доклад от конференция</v>
      </c>
      <c r="C5016" s="10" t="str">
        <f ca="1">IFERROR(__xludf.DUMMYFUNCTION("""COMPUTED_VALUE"""),"Потребителска компетентност и национална библиография в електронен вид")</f>
        <v>Потребителска компетентност и национална библиография в електронен вид</v>
      </c>
      <c r="D5016" s="10">
        <f ca="1">IFERROR(__xludf.DUMMYFUNCTION("""COMPUTED_VALUE"""),2011)</f>
        <v>2011</v>
      </c>
      <c r="E5016" s="10" t="str">
        <f ca="1">IFERROR(__xludf.DUMMYFUNCTION("""COMPUTED_VALUE"""),"Актуальные вопросы библиографии. Болгария и Россия: Теоретические и прикладные исследования : Сборник научных докладов и сообщений / Под общ. ред. Генадий Иванович Матрюхина; Редкол. Али́са Алекса́ндровна Беловицкая, Румелина Василева, ... Мария Николова,"&amp;" Таня Тодорова, Иванка Янкова; Рец. К. В. Антипов, Стоян Денчев. – Москва-София : МГУП им. Ивана Федорова, 2011, с. 107-116. ISBN 978-5-8122-1142-4")</f>
        <v>Актуальные вопросы библиографии. Болгария и Россия: Теоретические и прикладные исследования : Сборник научных докладов и сообщений / Под общ. ред. Генадий Иванович Матрюхина; Редкол. Али́са Алекса́ндровна Беловицкая, Румелина Василева, ... Мария Николова, Таня Тодорова, Иванка Янкова; Рец. К. В. Антипов, Стоян Денчев. – Москва-София : МГУП им. Ивана Федорова, 2011, с. 107-116. ISBN 978-5-8122-1142-4</v>
      </c>
      <c r="F5016" s="10"/>
      <c r="G5016" s="10"/>
      <c r="H5016" s="10"/>
      <c r="I5016" s="10"/>
      <c r="J5016" s="10"/>
      <c r="K5016" s="10"/>
      <c r="L5016" s="10"/>
      <c r="M5016" s="10"/>
      <c r="N5016" s="10"/>
      <c r="O5016" s="10"/>
      <c r="P5016" s="10"/>
      <c r="Q5016" s="10"/>
      <c r="R5016" s="10"/>
      <c r="S5016" s="10"/>
      <c r="T5016" s="10"/>
      <c r="U5016" s="10"/>
      <c r="V5016" s="10"/>
      <c r="W5016" s="10"/>
      <c r="X5016" s="10"/>
      <c r="Y5016" s="10"/>
      <c r="Z5016" s="10"/>
    </row>
    <row r="5017" spans="1:26" ht="12.75">
      <c r="A5017" s="10" t="str">
        <f ca="1">IFERROR(__xludf.DUMMYFUNCTION("""COMPUTED_VALUE"""),"Любомира Петрова Парижкова")</f>
        <v>Любомира Петрова Парижкова</v>
      </c>
      <c r="B5017" s="10" t="str">
        <f ca="1">IFERROR(__xludf.DUMMYFUNCTION("""COMPUTED_VALUE"""),"Доклад от конференция")</f>
        <v>Доклад от конференция</v>
      </c>
      <c r="C5017" s="10" t="str">
        <f ca="1">IFERROR(__xludf.DUMMYFUNCTION("""COMPUTED_VALUE"""),"Представяне на анкетно проучване, реализирано за нуждите на дисциплината „Книга. Метаморфози“ в УниБИТ")</f>
        <v>Представяне на анкетно проучване, реализирано за нуждите на дисциплината „Книга. Метаморфози“ в УниБИТ</v>
      </c>
      <c r="D5017" s="10">
        <f ca="1">IFERROR(__xludf.DUMMYFUNCTION("""COMPUTED_VALUE"""),2011)</f>
        <v>2011</v>
      </c>
      <c r="E5017" s="10" t="str">
        <f ca="1">IFERROR(__xludf.DUMMYFUNCTION("""COMPUTED_VALUE"""),"Книгата – нашето по-смислено настояще : Сборник доклади от форума „Седмица, посветена на Международния ден на книгата и авторското право”, София, 18-23 април 2011 г. – София : За буквите – О Писменехь, 2011, с. 145-152. ISBN 978-954-2946-11-3")</f>
        <v>Книгата – нашето по-смислено настояще : Сборник доклади от форума „Седмица, посветена на Международния ден на книгата и авторското право”, София, 18-23 април 2011 г. – София : За буквите – О Писменехь, 2011, с. 145-152. ISBN 978-954-2946-11-3</v>
      </c>
      <c r="F5017" s="10" t="str">
        <f ca="1">IFERROR(__xludf.DUMMYFUNCTION("""COMPUTED_VALUE"""),"НАЦИД")</f>
        <v>НАЦИД</v>
      </c>
      <c r="G5017" s="10"/>
      <c r="H5017" s="10"/>
      <c r="I5017" s="10"/>
      <c r="J5017" s="10"/>
      <c r="K5017" s="10"/>
      <c r="L5017" s="10"/>
      <c r="M5017" s="10"/>
      <c r="N5017" s="10"/>
      <c r="O5017" s="10"/>
      <c r="P5017" s="10"/>
      <c r="Q5017" s="10"/>
      <c r="R5017" s="10"/>
      <c r="S5017" s="10"/>
      <c r="T5017" s="10"/>
      <c r="U5017" s="10"/>
      <c r="V5017" s="10"/>
      <c r="W5017" s="10"/>
      <c r="X5017" s="10"/>
      <c r="Y5017" s="10"/>
      <c r="Z5017" s="10"/>
    </row>
    <row r="5018" spans="1:26" ht="12.75">
      <c r="A5018" s="10" t="str">
        <f ca="1">IFERROR(__xludf.DUMMYFUNCTION("""COMPUTED_VALUE"""),"Любомира Петрова Парижкова")</f>
        <v>Любомира Петрова Парижкова</v>
      </c>
      <c r="B5018" s="10" t="str">
        <f ca="1">IFERROR(__xludf.DUMMYFUNCTION("""COMPUTED_VALUE"""),"Статия в списания и поредици")</f>
        <v>Статия в списания и поредици</v>
      </c>
      <c r="C5018" s="10" t="str">
        <f ca="1">IFERROR(__xludf.DUMMYFUNCTION("""COMPUTED_VALUE"""),"Седмица, посветена на Международния ден на книгата и авторското право (23 април) /18-23.04.2011 г./ в УниБИТ")</f>
        <v>Седмица, посветена на Международния ден на книгата и авторското право (23 април) /18-23.04.2011 г./ в УниБИТ</v>
      </c>
      <c r="D5018" s="10">
        <f ca="1">IFERROR(__xludf.DUMMYFUNCTION("""COMPUTED_VALUE"""),2011)</f>
        <v>2011</v>
      </c>
      <c r="E5018" s="10" t="str">
        <f ca="1">IFERROR(__xludf.DUMMYFUNCTION("""COMPUTED_VALUE"""),"Издател: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2011, № 1-2, с. 5"&amp;"9-60. ISSN 1310-4624 (print)")</f>
        <v>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2011, № 1-2, с. 59-60. ISSN 1310-4624 (print)</v>
      </c>
      <c r="F5018" s="10" t="str">
        <f ca="1">IFERROR(__xludf.DUMMYFUNCTION("""COMPUTED_VALUE"""),"НАЦИД")</f>
        <v>НАЦИД</v>
      </c>
      <c r="G5018" s="10"/>
      <c r="H5018" s="10"/>
      <c r="I5018" s="10"/>
      <c r="J5018" s="10"/>
      <c r="K5018" s="10"/>
      <c r="L5018" s="10"/>
      <c r="M5018" s="10"/>
      <c r="N5018" s="10"/>
      <c r="O5018" s="10"/>
      <c r="P5018" s="10"/>
      <c r="Q5018" s="10"/>
      <c r="R5018" s="10"/>
      <c r="S5018" s="10"/>
      <c r="T5018" s="10"/>
      <c r="U5018" s="10"/>
      <c r="V5018" s="10"/>
      <c r="W5018" s="10"/>
      <c r="X5018" s="10"/>
      <c r="Y5018" s="10"/>
      <c r="Z5018" s="10"/>
    </row>
    <row r="5019" spans="1:26" ht="12.75">
      <c r="A5019" s="10" t="str">
        <f ca="1">IFERROR(__xludf.DUMMYFUNCTION("""COMPUTED_VALUE"""),"Любомира Петрова Парижкова")</f>
        <v>Любомира Петрова Парижкова</v>
      </c>
      <c r="B5019" s="10" t="str">
        <f ca="1">IFERROR(__xludf.DUMMYFUNCTION("""COMPUTED_VALUE"""),"Доклад от конференция")</f>
        <v>Доклад от конференция</v>
      </c>
      <c r="C5019" s="10" t="str">
        <f ca="1">IFERROR(__xludf.DUMMYFUNCTION("""COMPUTED_VALUE"""),"Целият свят като една библиотека. Книголюбието на българина днес")</f>
        <v>Целият свят като една библиотека. Книголюбието на българина днес</v>
      </c>
      <c r="D5019" s="10">
        <f ca="1">IFERROR(__xludf.DUMMYFUNCTION("""COMPUTED_VALUE"""),2011)</f>
        <v>2011</v>
      </c>
      <c r="E5019" s="10" t="str">
        <f ca="1">IFERROR(__xludf.DUMMYFUNCTION("""COMPUTED_VALUE"""),"В: Библиотеки, четене, комуникации : Сборник от девета национална научна конференция с международно участие, посветена на 65-годишнината от рождението на проф. дфн Мария Младенова. – Велико Търново : УИ „Св. св. Кирил и Методий”, 2011, с. 219 – 231. ISSN "&amp;"1313-8138")</f>
        <v>В: Библиотеки, четене, комуникации : Сборник от девета национална научна конференция с международно участие, посветена на 65-годишнината от рождението на проф. дфн Мария Младенова. – Велико Търново : УИ „Св. св. Кирил и Методий”, 2011, с. 219 – 231. ISSN 1313-8138</v>
      </c>
      <c r="F5019" s="10"/>
      <c r="G5019" s="10"/>
      <c r="H5019" s="10"/>
      <c r="I5019" s="10"/>
      <c r="J5019" s="10"/>
      <c r="K5019" s="10"/>
      <c r="L5019" s="10"/>
      <c r="M5019" s="10"/>
      <c r="N5019" s="10"/>
      <c r="O5019" s="10"/>
      <c r="P5019" s="10"/>
      <c r="Q5019" s="10"/>
      <c r="R5019" s="10"/>
      <c r="S5019" s="10"/>
      <c r="T5019" s="10"/>
      <c r="U5019" s="10"/>
      <c r="V5019" s="10"/>
      <c r="W5019" s="10"/>
      <c r="X5019" s="10"/>
      <c r="Y5019" s="10"/>
      <c r="Z5019" s="10"/>
    </row>
    <row r="5020" spans="1:26" ht="12.75">
      <c r="A5020" s="10" t="str">
        <f ca="1">IFERROR(__xludf.DUMMYFUNCTION("""COMPUTED_VALUE"""),"Любомира Петрова Парижкова")</f>
        <v>Любомира Петрова Парижкова</v>
      </c>
      <c r="B5020" s="10" t="str">
        <f ca="1">IFERROR(__xludf.DUMMYFUNCTION("""COMPUTED_VALUE"""),"Статия в списания и поредици")</f>
        <v>Статия в списания и поредици</v>
      </c>
      <c r="C5020" s="10" t="str">
        <f ca="1">IFERROR(__xludf.DUMMYFUNCTION("""COMPUTED_VALUE"""),"Outsourcing Identity")</f>
        <v>Outsourcing Identity</v>
      </c>
      <c r="D5020" s="10">
        <f ca="1">IFERROR(__xludf.DUMMYFUNCTION("""COMPUTED_VALUE"""),2011)</f>
        <v>2011</v>
      </c>
      <c r="E5020" s="10" t="str">
        <f ca="1">IFERROR(__xludf.DUMMYFUNCTION("""COMPUTED_VALUE"""),"Науката, образованието и културата през 21-ви век. Благоевград, - Съюз на учените в България. Клон Благоевград. 35 години ЮЗУ “Неофит Рилски“. Годишник, 2011, т. 5, 85-87, ISSN - 1313 – 5236")</f>
        <v>Науката, образованието и културата през 21-ви век. Благоевград, - Съюз на учените в България. Клон Благоевград. 35 години ЮЗУ “Неофит Рилски“. Годишник, 2011, т. 5, 85-87, ISSN - 1313 – 5236</v>
      </c>
      <c r="F5020" s="10"/>
      <c r="G5020" s="10"/>
      <c r="H5020" s="10"/>
      <c r="I5020" s="10"/>
      <c r="J5020" s="10"/>
      <c r="K5020" s="10"/>
      <c r="L5020" s="10"/>
      <c r="M5020" s="10"/>
      <c r="N5020" s="10"/>
      <c r="O5020" s="10"/>
      <c r="P5020" s="10"/>
      <c r="Q5020" s="10"/>
      <c r="R5020" s="10"/>
      <c r="S5020" s="10"/>
      <c r="T5020" s="10"/>
      <c r="U5020" s="10"/>
      <c r="V5020" s="10"/>
      <c r="W5020" s="10"/>
      <c r="X5020" s="10"/>
      <c r="Y5020" s="10"/>
      <c r="Z5020" s="10"/>
    </row>
    <row r="5021" spans="1:26" ht="12.75">
      <c r="A5021" s="10" t="str">
        <f ca="1">IFERROR(__xludf.DUMMYFUNCTION("""COMPUTED_VALUE"""),"Любомира Петрова Парижкова")</f>
        <v>Любомира Петрова Парижкова</v>
      </c>
      <c r="B5021" s="10" t="str">
        <f ca="1">IFERROR(__xludf.DUMMYFUNCTION("""COMPUTED_VALUE"""),"Статия в списания и поредици")</f>
        <v>Статия в списания и поредици</v>
      </c>
      <c r="C5021" s="10" t="str">
        <f ca="1">IFERROR(__xludf.DUMMYFUNCTION("""COMPUTED_VALUE"""),"Седмица на книгата. Кръгла маса в УниБИТ")</f>
        <v>Седмица на книгата. Кръгла маса в УниБИТ</v>
      </c>
      <c r="D5021" s="10">
        <f ca="1">IFERROR(__xludf.DUMMYFUNCTION("""COMPUTED_VALUE"""),2011)</f>
        <v>2011</v>
      </c>
      <c r="E5021" s="10" t="str">
        <f ca="1">IFERROR(__xludf.DUMMYFUNCTION("""COMPUTED_VALUE"""),"За Буквите : Кирило-Методиевски вестник, № 35, 2011, с. 25. ISSN 1312-3785")</f>
        <v>За Буквите : Кирило-Методиевски вестник, № 35, 2011, с. 25. ISSN 1312-3785</v>
      </c>
      <c r="F5021" s="10"/>
      <c r="G5021" s="10"/>
      <c r="H5021" s="10"/>
      <c r="I5021" s="10"/>
      <c r="J5021" s="10"/>
      <c r="K5021" s="10"/>
      <c r="L5021" s="10"/>
      <c r="M5021" s="10"/>
      <c r="N5021" s="10"/>
      <c r="O5021" s="10"/>
      <c r="P5021" s="10"/>
      <c r="Q5021" s="10"/>
      <c r="R5021" s="10"/>
      <c r="S5021" s="10"/>
      <c r="T5021" s="10"/>
      <c r="U5021" s="10"/>
      <c r="V5021" s="10"/>
      <c r="W5021" s="10"/>
      <c r="X5021" s="10"/>
      <c r="Y5021" s="10"/>
      <c r="Z5021" s="10"/>
    </row>
    <row r="5022" spans="1:26" ht="12.75">
      <c r="A5022" s="10" t="str">
        <f ca="1">IFERROR(__xludf.DUMMYFUNCTION("""COMPUTED_VALUE"""),"Любомира Петрова Парижкова")</f>
        <v>Любомира Петрова Парижкова</v>
      </c>
      <c r="B5022" s="10" t="str">
        <f ca="1">IFERROR(__xludf.DUMMYFUNCTION("""COMPUTED_VALUE"""),"Книга")</f>
        <v>Книга</v>
      </c>
      <c r="C5022" s="10" t="str">
        <f ca="1">IFERROR(__xludf.DUMMYFUNCTION("""COMPUTED_VALUE"""),"Книгата – нашето по-смислено настояще")</f>
        <v>Книгата – нашето по-смислено настояще</v>
      </c>
      <c r="D5022" s="10">
        <f ca="1">IFERROR(__xludf.DUMMYFUNCTION("""COMPUTED_VALUE"""),2011)</f>
        <v>2011</v>
      </c>
      <c r="E5022" s="10" t="str">
        <f ca="1">IFERROR(__xludf.DUMMYFUNCTION("""COMPUTED_VALUE"""),": Сборник доклади от форума „Седмица, посветена на Международния ден на книгата и авторското право”, София, 18-23 април 2011 г. – София : За буквите – О Писменехь, 2011. – 256 с. ISBN 978-954-2946-11-3")</f>
        <v>: Сборник доклади от форума „Седмица, посветена на Международния ден на книгата и авторското право”, София, 18-23 април 2011 г. – София : За буквите – О Писменехь, 2011. – 256 с. ISBN 978-954-2946-11-3</v>
      </c>
      <c r="F5022" s="10" t="str">
        <f ca="1">IFERROR(__xludf.DUMMYFUNCTION("""COMPUTED_VALUE"""),"НАЦИД")</f>
        <v>НАЦИД</v>
      </c>
      <c r="G5022" s="10"/>
      <c r="H5022" s="10"/>
      <c r="I5022" s="10"/>
      <c r="J5022" s="10"/>
      <c r="K5022" s="10"/>
      <c r="L5022" s="10"/>
      <c r="M5022" s="10"/>
      <c r="N5022" s="10"/>
      <c r="O5022" s="10"/>
      <c r="P5022" s="10"/>
      <c r="Q5022" s="10"/>
      <c r="R5022" s="10"/>
      <c r="S5022" s="10"/>
      <c r="T5022" s="10"/>
      <c r="U5022" s="10"/>
      <c r="V5022" s="10"/>
      <c r="W5022" s="10"/>
      <c r="X5022" s="10"/>
      <c r="Y5022" s="10"/>
      <c r="Z5022" s="10"/>
    </row>
    <row r="5023" spans="1:26" ht="12.75">
      <c r="A5023" s="10" t="str">
        <f ca="1">IFERROR(__xludf.DUMMYFUNCTION("""COMPUTED_VALUE"""),"Любомира Петрова Парижкова")</f>
        <v>Любомира Петрова Парижкова</v>
      </c>
      <c r="B5023" s="10" t="str">
        <f ca="1">IFERROR(__xludf.DUMMYFUNCTION("""COMPUTED_VALUE"""),"Статия в списания и поредици")</f>
        <v>Статия в списания и поредици</v>
      </c>
      <c r="C5023" s="10" t="str">
        <f ca="1">IFERROR(__xludf.DUMMYFUNCTION("""COMPUTED_VALUE"""),"Настолна библия за издатели-професионалисти : Рецензия за „Композиция на книгата” на Лъчезар Георгиев")</f>
        <v>Настолна библия за издатели-професионалисти : Рецензия за „Композиция на книгата” на Лъчезар Георгиев</v>
      </c>
      <c r="D5023" s="10">
        <f ca="1">IFERROR(__xludf.DUMMYFUNCTION("""COMPUTED_VALUE"""),2010)</f>
        <v>2010</v>
      </c>
      <c r="E5023" s="10" t="str">
        <f ca="1">IFERROR(__xludf.DUMMYFUNCTION("""COMPUTED_VALUE"""),"Издател: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2010, № 1-2-3, с."&amp;" 104-105. ISSN 1310-4624 (print)")</f>
        <v>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2010, № 1-2-3, с. 104-105. ISSN 1310-4624 (print)</v>
      </c>
      <c r="F5023" s="10" t="str">
        <f ca="1">IFERROR(__xludf.DUMMYFUNCTION("""COMPUTED_VALUE"""),"НАЦИД")</f>
        <v>НАЦИД</v>
      </c>
      <c r="G5023" s="10"/>
      <c r="H5023" s="10"/>
      <c r="I5023" s="10"/>
      <c r="J5023" s="10"/>
      <c r="K5023" s="10"/>
      <c r="L5023" s="10"/>
      <c r="M5023" s="10"/>
      <c r="N5023" s="10"/>
      <c r="O5023" s="10"/>
      <c r="P5023" s="10"/>
      <c r="Q5023" s="10"/>
      <c r="R5023" s="10"/>
      <c r="S5023" s="10"/>
      <c r="T5023" s="10"/>
      <c r="U5023" s="10"/>
      <c r="V5023" s="10"/>
      <c r="W5023" s="10"/>
      <c r="X5023" s="10"/>
      <c r="Y5023" s="10"/>
      <c r="Z5023" s="10"/>
    </row>
    <row r="5024" spans="1:26" ht="12.75">
      <c r="A5024" s="10" t="str">
        <f ca="1">IFERROR(__xludf.DUMMYFUNCTION("""COMPUTED_VALUE"""),"Любомира Петрова Парижкова")</f>
        <v>Любомира Петрова Парижкова</v>
      </c>
      <c r="B5024" s="10" t="str">
        <f ca="1">IFERROR(__xludf.DUMMYFUNCTION("""COMPUTED_VALUE"""),"Доклад от конференция")</f>
        <v>Доклад от конференция</v>
      </c>
      <c r="C5024" s="10" t="str">
        <f ca="1">IFERROR(__xludf.DUMMYFUNCTION("""COMPUTED_VALUE"""),"Глобална култура – мит или реалност")</f>
        <v>Глобална култура – мит или реалност</v>
      </c>
      <c r="D5024" s="10">
        <f ca="1">IFERROR(__xludf.DUMMYFUNCTION("""COMPUTED_VALUE"""),2010)</f>
        <v>2010</v>
      </c>
      <c r="E5024" s="10" t="str">
        <f ca="1">IFERROR(__xludf.DUMMYFUNCTION("""COMPUTED_VALUE"""),"България - кръстопът на култури и цивилизации : Седма национална научна конференция с международно участие, София, 1 ноември 2009 г. – София : За буквите – О писменехь, 2010, с. 390-395. ISBN 978-954-8887-91-5")</f>
        <v>България - кръстопът на култури и цивилизации : Седма национална научна конференция с международно участие, София, 1 ноември 2009 г. – София : За буквите – О писменехь, 2010, с. 390-395. ISBN 978-954-8887-91-5</v>
      </c>
      <c r="F5024" s="10" t="str">
        <f ca="1">IFERROR(__xludf.DUMMYFUNCTION("""COMPUTED_VALUE"""),"НАЦИД")</f>
        <v>НАЦИД</v>
      </c>
      <c r="G5024" s="10"/>
      <c r="H5024" s="10"/>
      <c r="I5024" s="10"/>
      <c r="J5024" s="10"/>
      <c r="K5024" s="10"/>
      <c r="L5024" s="10"/>
      <c r="M5024" s="10"/>
      <c r="N5024" s="10"/>
      <c r="O5024" s="10"/>
      <c r="P5024" s="10"/>
      <c r="Q5024" s="10"/>
      <c r="R5024" s="10"/>
      <c r="S5024" s="10"/>
      <c r="T5024" s="10"/>
      <c r="U5024" s="10"/>
      <c r="V5024" s="10"/>
      <c r="W5024" s="10"/>
      <c r="X5024" s="10"/>
      <c r="Y5024" s="10"/>
      <c r="Z5024" s="10"/>
    </row>
    <row r="5025" spans="1:26" ht="12.75">
      <c r="A5025" s="10" t="str">
        <f ca="1">IFERROR(__xludf.DUMMYFUNCTION("""COMPUTED_VALUE"""),"Любомира Петрова Парижкова")</f>
        <v>Любомира Петрова Парижкова</v>
      </c>
      <c r="B5025" s="10" t="str">
        <f ca="1">IFERROR(__xludf.DUMMYFUNCTION("""COMPUTED_VALUE"""),"Статия в списания и поредици")</f>
        <v>Статия в списания и поредици</v>
      </c>
      <c r="C5025" s="10" t="str">
        <f ca="1">IFERROR(__xludf.DUMMYFUNCTION("""COMPUTED_VALUE"""),"Модулността като стратегия за повишаване на ефективността на иновационните системи")</f>
        <v>Модулността като стратегия за повишаване на ефективността на иновационните системи</v>
      </c>
      <c r="D5025" s="10">
        <f ca="1">IFERROR(__xludf.DUMMYFUNCTION("""COMPUTED_VALUE"""),2010)</f>
        <v>2010</v>
      </c>
      <c r="E5025" s="10" t="str">
        <f ca="1">IFERROR(__xludf.DUMMYFUNCTION("""COMPUTED_VALUE"""),"Tрудове на Специализирано висше училище по библиотекознание и информационни технологии, Т. 8, 2010. – София : За буквите – О писменехь, 2010, с. 417-425. ISSN 1312-5834")</f>
        <v>Tрудове на Специализирано висше училище по библиотекознание и информационни технологии, Т. 8, 2010. – София : За буквите – О писменехь, 2010, с. 417-425. ISSN 1312-5834</v>
      </c>
      <c r="F5025" s="10" t="str">
        <f ca="1">IFERROR(__xludf.DUMMYFUNCTION("""COMPUTED_VALUE"""),"НАЦИД")</f>
        <v>НАЦИД</v>
      </c>
      <c r="G5025" s="10"/>
      <c r="H5025" s="10"/>
      <c r="I5025" s="10"/>
      <c r="J5025" s="10"/>
      <c r="K5025" s="10"/>
      <c r="L5025" s="10"/>
      <c r="M5025" s="10"/>
      <c r="N5025" s="10"/>
      <c r="O5025" s="10"/>
      <c r="P5025" s="10"/>
      <c r="Q5025" s="10"/>
      <c r="R5025" s="10"/>
      <c r="S5025" s="10"/>
      <c r="T5025" s="10"/>
      <c r="U5025" s="10"/>
      <c r="V5025" s="10"/>
      <c r="W5025" s="10"/>
      <c r="X5025" s="10"/>
      <c r="Y5025" s="10"/>
      <c r="Z5025" s="10"/>
    </row>
    <row r="5026" spans="1:26" ht="12.75">
      <c r="A5026" s="10" t="str">
        <f ca="1">IFERROR(__xludf.DUMMYFUNCTION("""COMPUTED_VALUE"""),"Любомира Петрова Парижкова")</f>
        <v>Любомира Петрова Парижкова</v>
      </c>
      <c r="B5026" s="10" t="str">
        <f ca="1">IFERROR(__xludf.DUMMYFUNCTION("""COMPUTED_VALUE"""),"Доклад от конференция")</f>
        <v>Доклад от конференция</v>
      </c>
      <c r="C5026" s="10" t="str">
        <f ca="1">IFERROR(__xludf.DUMMYFUNCTION("""COMPUTED_VALUE"""),"Аутсорсинг стратегии – възможности за висшето образование")</f>
        <v>Аутсорсинг стратегии – възможности за висшето образование</v>
      </c>
      <c r="D5026" s="10">
        <f ca="1">IFERROR(__xludf.DUMMYFUNCTION("""COMPUTED_VALUE"""),2010)</f>
        <v>2010</v>
      </c>
      <c r="E5026" s="10" t="str">
        <f ca="1">IFERROR(__xludf.DUMMYFUNCTION("""COMPUTED_VALUE"""),"Образование и технологии: годишно научно-методическо списание. - Бургас: Сдружение Образование и технологии, 2010, №. 2, с. 115-121. ISSN 1314–1791")</f>
        <v>Образование и технологии: годишно научно-методическо списание. - Бургас: Сдружение Образование и технологии, 2010, №. 2, с. 115-121. ISSN 1314–1791</v>
      </c>
      <c r="F5026" s="10" t="str">
        <f ca="1">IFERROR(__xludf.DUMMYFUNCTION("""COMPUTED_VALUE"""),"НАЦИД")</f>
        <v>НАЦИД</v>
      </c>
      <c r="G5026" s="10"/>
      <c r="H5026" s="10"/>
      <c r="I5026" s="10"/>
      <c r="J5026" s="10"/>
      <c r="K5026" s="10"/>
      <c r="L5026" s="10"/>
      <c r="M5026" s="10"/>
      <c r="N5026" s="10"/>
      <c r="O5026" s="10"/>
      <c r="P5026" s="10"/>
      <c r="Q5026" s="10"/>
      <c r="R5026" s="10"/>
      <c r="S5026" s="10"/>
      <c r="T5026" s="10"/>
      <c r="U5026" s="10"/>
      <c r="V5026" s="10"/>
      <c r="W5026" s="10"/>
      <c r="X5026" s="10"/>
      <c r="Y5026" s="10"/>
      <c r="Z5026" s="10"/>
    </row>
    <row r="5027" spans="1:26" ht="12.75">
      <c r="A5027" s="10" t="str">
        <f ca="1">IFERROR(__xludf.DUMMYFUNCTION("""COMPUTED_VALUE"""),"Любомира Петрова Парижкова")</f>
        <v>Любомира Петрова Парижкова</v>
      </c>
      <c r="B5027" s="10" t="str">
        <f ca="1">IFERROR(__xludf.DUMMYFUNCTION("""COMPUTED_VALUE"""),"Статия в списания и поредици")</f>
        <v>Статия в списания и поредици</v>
      </c>
      <c r="C5027" s="10" t="str">
        <f ca="1">IFERROR(__xludf.DUMMYFUNCTION("""COMPUTED_VALUE"""),"Знаниев мениджмънт")</f>
        <v>Знаниев мениджмънт</v>
      </c>
      <c r="D5027" s="10">
        <f ca="1">IFERROR(__xludf.DUMMYFUNCTION("""COMPUTED_VALUE"""),2010)</f>
        <v>2010</v>
      </c>
      <c r="E5027" s="10" t="str">
        <f ca="1">IFERROR(__xludf.DUMMYFUNCTION("""COMPUTED_VALUE"""),"[Електронен ресурс]. Медии и обществени комуникации. Научно електронно списание за медии, PR, журналистика, бизнес комуникация и реклама. Изд. УНСС / „Алма комуникация“. 2010, № 5. Available from: [www.media-journal.info]. ISSN 1313-9908")</f>
        <v>[Електронен ресурс]. Медии и обществени комуникации. Научно електронно списание за медии, PR, журналистика, бизнес комуникация и реклама. Изд. УНСС / „Алма комуникация“. 2010, № 5. Available from: [www.media-journal.info]. ISSN 1313-9908</v>
      </c>
      <c r="F5027" s="10" t="str">
        <f ca="1">IFERROR(__xludf.DUMMYFUNCTION("""COMPUTED_VALUE"""),"CiteFactor")</f>
        <v>CiteFactor</v>
      </c>
      <c r="G5027" s="10"/>
      <c r="H5027" s="10"/>
      <c r="I5027" s="10"/>
      <c r="J5027" s="10"/>
      <c r="K5027" s="10"/>
      <c r="L5027" s="10"/>
      <c r="M5027" s="10"/>
      <c r="N5027" s="10"/>
      <c r="O5027" s="10"/>
      <c r="P5027" s="10"/>
      <c r="Q5027" s="10"/>
      <c r="R5027" s="10"/>
      <c r="S5027" s="10"/>
      <c r="T5027" s="10"/>
      <c r="U5027" s="10"/>
      <c r="V5027" s="10"/>
      <c r="W5027" s="10"/>
      <c r="X5027" s="10"/>
      <c r="Y5027" s="10"/>
      <c r="Z5027" s="10"/>
    </row>
    <row r="5028" spans="1:26" ht="12.75">
      <c r="A5028" s="10" t="str">
        <f ca="1">IFERROR(__xludf.DUMMYFUNCTION("""COMPUTED_VALUE"""),"Любомира Петрова Парижкова")</f>
        <v>Любомира Петрова Парижкова</v>
      </c>
      <c r="B5028" s="10" t="str">
        <f ca="1">IFERROR(__xludf.DUMMYFUNCTION("""COMPUTED_VALUE"""),"Доклад от конференция")</f>
        <v>Доклад от конференция</v>
      </c>
      <c r="C5028" s="10" t="str">
        <f ca="1">IFERROR(__xludf.DUMMYFUNCTION("""COMPUTED_VALUE"""),"Ролята на трансдисциплинните изследователски екипи в обществото, основано на знания.")</f>
        <v>Ролята на трансдисциплинните изследователски екипи в обществото, основано на знания.</v>
      </c>
      <c r="D5028" s="10">
        <f ca="1">IFERROR(__xludf.DUMMYFUNCTION("""COMPUTED_VALUE"""),2010)</f>
        <v>2010</v>
      </c>
      <c r="E5028" s="10" t="str">
        <f ca="1">IFERROR(__xludf.DUMMYFUNCTION("""COMPUTED_VALUE"""),"Науката, образованието и културата през 21-ви век. – Благоевград : СУБ, 2010, т. 4, с. 56-62. ISSN 1313-5236")</f>
        <v>Науката, образованието и културата през 21-ви век. – Благоевград : СУБ, 2010, т. 4, с. 56-62. ISSN 1313-5236</v>
      </c>
      <c r="F5028" s="10"/>
      <c r="G5028" s="10"/>
      <c r="H5028" s="10"/>
      <c r="I5028" s="10"/>
      <c r="J5028" s="10"/>
      <c r="K5028" s="10"/>
      <c r="L5028" s="10"/>
      <c r="M5028" s="10"/>
      <c r="N5028" s="10"/>
      <c r="O5028" s="10"/>
      <c r="P5028" s="10"/>
      <c r="Q5028" s="10"/>
      <c r="R5028" s="10"/>
      <c r="S5028" s="10"/>
      <c r="T5028" s="10"/>
      <c r="U5028" s="10"/>
      <c r="V5028" s="10"/>
      <c r="W5028" s="10"/>
      <c r="X5028" s="10"/>
      <c r="Y5028" s="10"/>
      <c r="Z5028" s="10"/>
    </row>
    <row r="5029" spans="1:26" ht="12.75">
      <c r="A5029" s="10" t="str">
        <f ca="1">IFERROR(__xludf.DUMMYFUNCTION("""COMPUTED_VALUE"""),"Любомира Петрова Парижкова")</f>
        <v>Любомира Петрова Парижкова</v>
      </c>
      <c r="B5029" s="10" t="str">
        <f ca="1">IFERROR(__xludf.DUMMYFUNCTION("""COMPUTED_VALUE"""),"Доклад от конференция")</f>
        <v>Доклад от конференция</v>
      </c>
      <c r="C5029" s="10" t="str">
        <f ca="1">IFERROR(__xludf.DUMMYFUNCTION("""COMPUTED_VALUE"""),"Четенето като екзистенциална необходимост")</f>
        <v>Четенето като екзистенциална необходимост</v>
      </c>
      <c r="D5029" s="10">
        <f ca="1">IFERROR(__xludf.DUMMYFUNCTION("""COMPUTED_VALUE"""),2010)</f>
        <v>2010</v>
      </c>
      <c r="E5029" s="10" t="str">
        <f ca="1">IFERROR(__xludf.DUMMYFUNCTION("""COMPUTED_VALUE"""),"Библиотеки, четене, комуникации : Сборник от осма национална научна конференция, посветена на 120-годишнината от основаването на библиотеката. – Велико Търново : УИ „Св. св. Кирил и Методий”, 2010, с. 262-274. ISSN 1313-8138")</f>
        <v>Библиотеки, четене, комуникации : Сборник от осма национална научна конференция, посветена на 120-годишнината от основаването на библиотеката. – Велико Търново : УИ „Св. св. Кирил и Методий”, 2010, с. 262-274. ISSN 1313-8138</v>
      </c>
      <c r="F5029" s="10"/>
      <c r="G5029" s="10"/>
      <c r="H5029" s="10"/>
      <c r="I5029" s="10"/>
      <c r="J5029" s="10"/>
      <c r="K5029" s="10"/>
      <c r="L5029" s="10"/>
      <c r="M5029" s="10"/>
      <c r="N5029" s="10"/>
      <c r="O5029" s="10"/>
      <c r="P5029" s="10"/>
      <c r="Q5029" s="10"/>
      <c r="R5029" s="10"/>
      <c r="S5029" s="10"/>
      <c r="T5029" s="10"/>
      <c r="U5029" s="10"/>
      <c r="V5029" s="10"/>
      <c r="W5029" s="10"/>
      <c r="X5029" s="10"/>
      <c r="Y5029" s="10"/>
      <c r="Z5029" s="10"/>
    </row>
    <row r="5030" spans="1:26" ht="12.75">
      <c r="A5030" s="10" t="str">
        <f ca="1">IFERROR(__xludf.DUMMYFUNCTION("""COMPUTED_VALUE"""),"Любомира Петрова Парижкова")</f>
        <v>Любомира Петрова Парижкова</v>
      </c>
      <c r="B5030" s="10" t="str">
        <f ca="1">IFERROR(__xludf.DUMMYFUNCTION("""COMPUTED_VALUE"""),"Статия в списания и поредици")</f>
        <v>Статия в списания и поредици</v>
      </c>
      <c r="C5030" s="10" t="str">
        <f ca="1">IFERROR(__xludf.DUMMYFUNCTION("""COMPUTED_VALUE"""),"Книгата и четенето. Някои тенденции, изведени от анкетно проучване.")</f>
        <v>Книгата и четенето. Някои тенденции, изведени от анкетно проучване.</v>
      </c>
      <c r="D5030" s="10">
        <f ca="1">IFERROR(__xludf.DUMMYFUNCTION("""COMPUTED_VALUE"""),2010)</f>
        <v>2010</v>
      </c>
      <c r="E5030" s="10" t="str">
        <f ca="1">IFERROR(__xludf.DUMMYFUNCTION("""COMPUTED_VALUE"""),"Издател: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2011, № 1-2, с. 1"&amp;"1-13. ISSN 1310-4624 (print)")</f>
        <v>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2011, № 1-2, с. 11-13. ISSN 1310-4624 (print)</v>
      </c>
      <c r="F5030" s="10" t="str">
        <f ca="1">IFERROR(__xludf.DUMMYFUNCTION("""COMPUTED_VALUE"""),"НАЦИД")</f>
        <v>НАЦИД</v>
      </c>
      <c r="G5030" s="10"/>
      <c r="H5030" s="10"/>
      <c r="I5030" s="10"/>
      <c r="J5030" s="10"/>
      <c r="K5030" s="10"/>
      <c r="L5030" s="10"/>
      <c r="M5030" s="10"/>
      <c r="N5030" s="10"/>
      <c r="O5030" s="10"/>
      <c r="P5030" s="10"/>
      <c r="Q5030" s="10"/>
      <c r="R5030" s="10"/>
      <c r="S5030" s="10"/>
      <c r="T5030" s="10"/>
      <c r="U5030" s="10"/>
      <c r="V5030" s="10"/>
      <c r="W5030" s="10"/>
      <c r="X5030" s="10"/>
      <c r="Y5030" s="10"/>
      <c r="Z5030" s="10"/>
    </row>
    <row r="5031" spans="1:26" ht="12.75">
      <c r="A5031" s="10" t="str">
        <f ca="1">IFERROR(__xludf.DUMMYFUNCTION("""COMPUTED_VALUE"""),"Любомира Петрова Парижкова")</f>
        <v>Любомира Петрова Парижкова</v>
      </c>
      <c r="B5031" s="10" t="str">
        <f ca="1">IFERROR(__xludf.DUMMYFUNCTION("""COMPUTED_VALUE"""),"Статия в списания и поредици")</f>
        <v>Статия в списания и поредици</v>
      </c>
      <c r="C5031" s="10" t="str">
        <f ca="1">IFERROR(__xludf.DUMMYFUNCTION("""COMPUTED_VALUE"""),"Книгите искат да са свободни!")</f>
        <v>Книгите искат да са свободни!</v>
      </c>
      <c r="D5031" s="10">
        <f ca="1">IFERROR(__xludf.DUMMYFUNCTION("""COMPUTED_VALUE"""),2010)</f>
        <v>2010</v>
      </c>
      <c r="E5031" s="10" t="str">
        <f ca="1">IFERROR(__xludf.DUMMYFUNCTION("""COMPUTED_VALUE"""),"Информационен бюлетин на Централната библиотека на БАН, 2010, № 12, с. 19-21. ISSN 1312 - 9899")</f>
        <v>Информационен бюлетин на Централната библиотека на БАН, 2010, № 12, с. 19-21. ISSN 1312 - 9899</v>
      </c>
      <c r="F5031" s="10"/>
      <c r="G5031" s="10"/>
      <c r="H5031" s="10"/>
      <c r="I5031" s="10"/>
      <c r="J5031" s="10"/>
      <c r="K5031" s="10"/>
      <c r="L5031" s="10"/>
      <c r="M5031" s="10"/>
      <c r="N5031" s="10"/>
      <c r="O5031" s="10"/>
      <c r="P5031" s="10"/>
      <c r="Q5031" s="10"/>
      <c r="R5031" s="10"/>
      <c r="S5031" s="10"/>
      <c r="T5031" s="10"/>
      <c r="U5031" s="10"/>
      <c r="V5031" s="10"/>
      <c r="W5031" s="10"/>
      <c r="X5031" s="10"/>
      <c r="Y5031" s="10"/>
      <c r="Z5031" s="10"/>
    </row>
    <row r="5032" spans="1:26" ht="12.75">
      <c r="A5032" s="10" t="str">
        <f ca="1">IFERROR(__xludf.DUMMYFUNCTION("""COMPUTED_VALUE"""),"Любомира Петрова Парижкова")</f>
        <v>Любомира Петрова Парижкова</v>
      </c>
      <c r="B5032" s="10" t="str">
        <f ca="1">IFERROR(__xludf.DUMMYFUNCTION("""COMPUTED_VALUE"""),"Доклад от конференция")</f>
        <v>Доклад от конференция</v>
      </c>
      <c r="C5032" s="10" t="str">
        <f ca="1">IFERROR(__xludf.DUMMYFUNCTION("""COMPUTED_VALUE"""),"Аутсорсинг стратегии в библиотеките. Някои изводи въз основа на Case Study, проведено във Великобритания")</f>
        <v>Аутсорсинг стратегии в библиотеките. Някои изводи въз основа на Case Study, проведено във Великобритания</v>
      </c>
      <c r="D5032" s="10">
        <f ca="1">IFERROR(__xludf.DUMMYFUNCTION("""COMPUTED_VALUE"""),2010)</f>
        <v>2010</v>
      </c>
      <c r="E5032" s="10" t="str">
        <f ca="1">IFERROR(__xludf.DUMMYFUNCTION("""COMPUTED_VALUE"""),"Библиотечният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Състав"&amp;". Мариана Петева; Науч. ред. Иванка Янкова; Редкол. Иванка Янкова, Таня Тодорова, Румелина Василева. – Шумен : Фабер, 2010, с. 81-90. ISBN 978-954-400-249-7")</f>
        <v>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 Мариана Петева; Науч. ред. Иванка Янкова; Редкол. Иванка Янкова, Таня Тодорова, Румелина Василева. – Шумен : Фабер, 2010, с. 81-90. ISBN 978-954-400-249-7</v>
      </c>
      <c r="F5032" s="10"/>
      <c r="G5032" s="10"/>
      <c r="H5032" s="10"/>
      <c r="I5032" s="10"/>
      <c r="J5032" s="10"/>
      <c r="K5032" s="10"/>
      <c r="L5032" s="10"/>
      <c r="M5032" s="10"/>
      <c r="N5032" s="10"/>
      <c r="O5032" s="10"/>
      <c r="P5032" s="10"/>
      <c r="Q5032" s="10"/>
      <c r="R5032" s="10"/>
      <c r="S5032" s="10"/>
      <c r="T5032" s="10"/>
      <c r="U5032" s="10"/>
      <c r="V5032" s="10"/>
      <c r="W5032" s="10"/>
      <c r="X5032" s="10"/>
      <c r="Y5032" s="10"/>
      <c r="Z5032" s="10"/>
    </row>
    <row r="5033" spans="1:26" ht="12.75">
      <c r="A5033" s="10" t="str">
        <f ca="1">IFERROR(__xludf.DUMMYFUNCTION("""COMPUTED_VALUE"""),"Любомира Петрова Парижкова")</f>
        <v>Любомира Петрова Парижкова</v>
      </c>
      <c r="B5033" s="10" t="str">
        <f ca="1">IFERROR(__xludf.DUMMYFUNCTION("""COMPUTED_VALUE"""),"Доклад от конференция")</f>
        <v>Доклад от конференция</v>
      </c>
      <c r="C5033" s="10" t="str">
        <f ca="1">IFERROR(__xludf.DUMMYFUNCTION("""COMPUTED_VALUE"""),"Диалог на културите, основан на толерантност и любопитство")</f>
        <v>Диалог на културите, основан на толерантност и любопитство</v>
      </c>
      <c r="D5033" s="10">
        <f ca="1">IFERROR(__xludf.DUMMYFUNCTION("""COMPUTED_VALUE"""),2010)</f>
        <v>2010</v>
      </c>
      <c r="E5033" s="10" t="str">
        <f ca="1">IFERROR(__xludf.DUMMYFUNCTION("""COMPUTED_VALUE"""),"Известия на Съюза на учените – Варна, Хуманитарни науки, т. 1, 2010, с. 171-173. ISSN: 1310-6376")</f>
        <v>Известия на Съюза на учените – Варна, Хуманитарни науки, т. 1, 2010, с. 171-173. ISSN: 1310-6376</v>
      </c>
      <c r="F5033" s="10" t="str">
        <f ca="1">IFERROR(__xludf.DUMMYFUNCTION("""COMPUTED_VALUE"""),"НАЦИД")</f>
        <v>НАЦИД</v>
      </c>
      <c r="G5033" s="10"/>
      <c r="H5033" s="10"/>
      <c r="I5033" s="10"/>
      <c r="J5033" s="10"/>
      <c r="K5033" s="10"/>
      <c r="L5033" s="10"/>
      <c r="M5033" s="10"/>
      <c r="N5033" s="10"/>
      <c r="O5033" s="10"/>
      <c r="P5033" s="10"/>
      <c r="Q5033" s="10"/>
      <c r="R5033" s="10"/>
      <c r="S5033" s="10"/>
      <c r="T5033" s="10"/>
      <c r="U5033" s="10"/>
      <c r="V5033" s="10"/>
      <c r="W5033" s="10"/>
      <c r="X5033" s="10"/>
      <c r="Y5033" s="10"/>
      <c r="Z5033" s="10"/>
    </row>
    <row r="5034" spans="1:26" ht="12.75">
      <c r="A5034" s="10" t="str">
        <f ca="1">IFERROR(__xludf.DUMMYFUNCTION("""COMPUTED_VALUE"""),"Любомира Петрова Парижкова")</f>
        <v>Любомира Петрова Парижкова</v>
      </c>
      <c r="B5034" s="10" t="str">
        <f ca="1">IFERROR(__xludf.DUMMYFUNCTION("""COMPUTED_VALUE"""),"Доклад от конференция")</f>
        <v>Доклад от конференция</v>
      </c>
      <c r="C5034" s="10" t="str">
        <f ca="1">IFERROR(__xludf.DUMMYFUNCTION("""COMPUTED_VALUE"""),"Влияние на глобализационните процеси върху научноизследователската и развойна дейност (НИРД)")</f>
        <v>Влияние на глобализационните процеси върху научноизследователската и развойна дейност (НИРД)</v>
      </c>
      <c r="D5034" s="10">
        <f ca="1">IFERROR(__xludf.DUMMYFUNCTION("""COMPUTED_VALUE"""),2010)</f>
        <v>2010</v>
      </c>
      <c r="E5034" s="10" t="str">
        <f ca="1">IFERROR(__xludf.DUMMYFUNCTION("""COMPUTED_VALUE"""),"България в културното многообразие на Европа : Шеста национална научна конференция с международно участие, София, 1 ноември 2008 г. – София : За буквите – О писменехь, 2010, с. 375-381. ISBN 978-954-8887-65-6")</f>
        <v>България в културното многообразие на Европа : Шеста национална научна конференция с международно участие, София, 1 ноември 2008 г. – София : За буквите – О писменехь, 2010, с. 375-381. ISBN 978-954-8887-65-6</v>
      </c>
      <c r="F5034" s="10" t="str">
        <f ca="1">IFERROR(__xludf.DUMMYFUNCTION("""COMPUTED_VALUE"""),"НАЦИД")</f>
        <v>НАЦИД</v>
      </c>
      <c r="G5034" s="10"/>
      <c r="H5034" s="10"/>
      <c r="I5034" s="10"/>
      <c r="J5034" s="10"/>
      <c r="K5034" s="10"/>
      <c r="L5034" s="10"/>
      <c r="M5034" s="10"/>
      <c r="N5034" s="10"/>
      <c r="O5034" s="10"/>
      <c r="P5034" s="10"/>
      <c r="Q5034" s="10"/>
      <c r="R5034" s="10"/>
      <c r="S5034" s="10"/>
      <c r="T5034" s="10"/>
      <c r="U5034" s="10"/>
      <c r="V5034" s="10"/>
      <c r="W5034" s="10"/>
      <c r="X5034" s="10"/>
      <c r="Y5034" s="10"/>
      <c r="Z5034" s="10"/>
    </row>
    <row r="5035" spans="1:26" ht="12.75">
      <c r="A5035" s="10" t="str">
        <f ca="1">IFERROR(__xludf.DUMMYFUNCTION("""COMPUTED_VALUE"""),"Любомира Петрова Парижкова")</f>
        <v>Любомира Петрова Парижкова</v>
      </c>
      <c r="B5035" s="10" t="str">
        <f ca="1">IFERROR(__xludf.DUMMYFUNCTION("""COMPUTED_VALUE"""),"Статия в списания и поредици")</f>
        <v>Статия в списания и поредици</v>
      </c>
      <c r="C5035" s="10" t="str">
        <f ca="1">IFERROR(__xludf.DUMMYFUNCTION("""COMPUTED_VALUE"""),"Глобализиране на научноизследователската и развойната дейност (НИРД). Практиката на аутсорсинг в България")</f>
        <v>Глобализиране на научноизследователската и развойната дейност (НИРД). Практиката на аутсорсинг в България</v>
      </c>
      <c r="D5035" s="10">
        <f ca="1">IFERROR(__xludf.DUMMYFUNCTION("""COMPUTED_VALUE"""),2010)</f>
        <v>2010</v>
      </c>
      <c r="E5035" s="10" t="str">
        <f ca="1">IFERROR(__xludf.DUMMYFUNCTION("""COMPUTED_VALUE"""),"Трудове на Специализираното висше училище по библиотекознание и информационни технологии : Сборник. София : За буквите – О писменехь, 2010, т. 7, с. 119-138")</f>
        <v>Трудове на Специализираното висше училище по библиотекознание и информационни технологии : Сборник. София : За буквите – О писменехь, 2010, т. 7, с. 119-138</v>
      </c>
      <c r="F5035" s="10" t="str">
        <f ca="1">IFERROR(__xludf.DUMMYFUNCTION("""COMPUTED_VALUE"""),"НАЦИД")</f>
        <v>НАЦИД</v>
      </c>
      <c r="G5035" s="10"/>
      <c r="H5035" s="10"/>
      <c r="I5035" s="10"/>
      <c r="J5035" s="10"/>
      <c r="K5035" s="10"/>
      <c r="L5035" s="10"/>
      <c r="M5035" s="10"/>
      <c r="N5035" s="10"/>
      <c r="O5035" s="10"/>
      <c r="P5035" s="10"/>
      <c r="Q5035" s="10"/>
      <c r="R5035" s="10"/>
      <c r="S5035" s="10"/>
      <c r="T5035" s="10"/>
      <c r="U5035" s="10"/>
      <c r="V5035" s="10"/>
      <c r="W5035" s="10"/>
      <c r="X5035" s="10"/>
      <c r="Y5035" s="10"/>
      <c r="Z5035" s="10"/>
    </row>
    <row r="5036" spans="1:26" ht="12.75">
      <c r="A5036" s="10" t="str">
        <f ca="1">IFERROR(__xludf.DUMMYFUNCTION("""COMPUTED_VALUE"""),"Любомира Петрова Парижкова")</f>
        <v>Любомира Петрова Парижкова</v>
      </c>
      <c r="B5036" s="10" t="str">
        <f ca="1">IFERROR(__xludf.DUMMYFUNCTION("""COMPUTED_VALUE"""),"Статия в списания и поредици")</f>
        <v>Статия в списания и поредици</v>
      </c>
      <c r="C5036" s="10" t="str">
        <f ca="1">IFERROR(__xludf.DUMMYFUNCTION("""COMPUTED_VALUE"""),"Аутсорсинг в библиотеках")</f>
        <v>Аутсорсинг в библиотеках</v>
      </c>
      <c r="D5036" s="10">
        <f ca="1">IFERROR(__xludf.DUMMYFUNCTION("""COMPUTED_VALUE"""),2009)</f>
        <v>2009</v>
      </c>
      <c r="E5036" s="10" t="str">
        <f ca="1">IFERROR(__xludf.DUMMYFUNCTION("""COMPUTED_VALUE"""),"Наука о книге. Традиции и инновации : Сборник. – Москва, 28-30 апреля 2009 г. : материалы двенадцатой международной научной конференции по проблемам книговедения : к 50-летию сборника ""Книга. Исследования и материалы"" : в 4 ч. 2009, т. 2, с. 53-55. ISBN"&amp;" 978-5-02-037058-6")</f>
        <v>Наука о книге. Традиции и инновации : Сборник. – Москва, 28-30 апреля 2009 г. : материалы двенадцатой международной научной конференции по проблемам книговедения : к 50-летию сборника "Книга. Исследования и материалы" : в 4 ч. 2009, т. 2, с. 53-55. ISBN 978-5-02-037058-6</v>
      </c>
      <c r="F5036" s="10" t="str">
        <f ca="1">IFERROR(__xludf.DUMMYFUNCTION("""COMPUTED_VALUE"""),"РИНЦ")</f>
        <v>РИНЦ</v>
      </c>
      <c r="G5036" s="10"/>
      <c r="H5036" s="10"/>
      <c r="I5036" s="10"/>
      <c r="J5036" s="10"/>
      <c r="K5036" s="10"/>
      <c r="L5036" s="10"/>
      <c r="M5036" s="10"/>
      <c r="N5036" s="10"/>
      <c r="O5036" s="10"/>
      <c r="P5036" s="10"/>
      <c r="Q5036" s="10"/>
      <c r="R5036" s="10"/>
      <c r="S5036" s="10"/>
      <c r="T5036" s="10"/>
      <c r="U5036" s="10"/>
      <c r="V5036" s="10"/>
      <c r="W5036" s="10"/>
      <c r="X5036" s="10"/>
      <c r="Y5036" s="10"/>
      <c r="Z5036" s="10"/>
    </row>
    <row r="5037" spans="1:26" ht="12.75">
      <c r="A5037" s="10" t="str">
        <f ca="1">IFERROR(__xludf.DUMMYFUNCTION("""COMPUTED_VALUE"""),"Любомира Петрова Парижкова")</f>
        <v>Любомира Петрова Парижкова</v>
      </c>
      <c r="B5037" s="10" t="str">
        <f ca="1">IFERROR(__xludf.DUMMYFUNCTION("""COMPUTED_VALUE"""),"Статия в списания и поредици")</f>
        <v>Статия в списания и поредици</v>
      </c>
      <c r="C5037" s="10" t="str">
        <f ca="1">IFERROR(__xludf.DUMMYFUNCTION("""COMPUTED_VALUE"""),"Новата организационна функция в научноизследователската и развойна дейност – Архитект на решенията")</f>
        <v>Новата организационна функция в научноизследователската и развойна дейност – Архитект на решенията</v>
      </c>
      <c r="D5037" s="10">
        <f ca="1">IFERROR(__xludf.DUMMYFUNCTION("""COMPUTED_VALUE"""),2008)</f>
        <v>2008</v>
      </c>
      <c r="E5037" s="10" t="str">
        <f ca="1">IFERROR(__xludf.DUMMYFUNCTION("""COMPUTED_VALUE"""),"Стратегии на образователната и научната политика, тримесечно научно-теоретично списание. - София: МОН, 2008, № 4, с. 320-330. ISSN 1314–8575 (Online); ISSN 1310–0270 (Print)")</f>
        <v>Стратегии на образователната и научната политика, тримесечно научно-теоретично списание. - София: МОН, 2008, № 4, с. 320-330. ISSN 1314–8575 (Online); ISSN 1310–0270 (Print)</v>
      </c>
      <c r="F5037" s="10" t="str">
        <f ca="1">IFERROR(__xludf.DUMMYFUNCTION("""COMPUTED_VALUE"""),"CEEOL, ERIH PLUS")</f>
        <v>CEEOL, ERIH PLUS</v>
      </c>
      <c r="G5037" s="10"/>
      <c r="H5037" s="10"/>
      <c r="I5037" s="10"/>
      <c r="J5037" s="10"/>
      <c r="K5037" s="10"/>
      <c r="L5037" s="10"/>
      <c r="M5037" s="10"/>
      <c r="N5037" s="10"/>
      <c r="O5037" s="10"/>
      <c r="P5037" s="10"/>
      <c r="Q5037" s="10"/>
      <c r="R5037" s="10"/>
      <c r="S5037" s="10"/>
      <c r="T5037" s="10"/>
      <c r="U5037" s="10"/>
      <c r="V5037" s="10"/>
      <c r="W5037" s="10"/>
      <c r="X5037" s="10"/>
      <c r="Y5037" s="10"/>
      <c r="Z5037" s="10"/>
    </row>
    <row r="5038" spans="1:26" ht="12.75">
      <c r="A5038" s="10" t="str">
        <f ca="1">IFERROR(__xludf.DUMMYFUNCTION("""COMPUTED_VALUE"""),"Любомира Петрова Парижкова")</f>
        <v>Любомира Петрова Парижкова</v>
      </c>
      <c r="B5038" s="10" t="str">
        <f ca="1">IFERROR(__xludf.DUMMYFUNCTION("""COMPUTED_VALUE"""),"Статия в списания и поредици")</f>
        <v>Статия в списания и поредици</v>
      </c>
      <c r="C5038" s="10" t="str">
        <f ca="1">IFERROR(__xludf.DUMMYFUNCTION("""COMPUTED_VALUE"""),"Аутсорсинг на научноизследователска и развойна дейност")</f>
        <v>Аутсорсинг на научноизследователска и развойна дейност</v>
      </c>
      <c r="D5038" s="10">
        <f ca="1">IFERROR(__xludf.DUMMYFUNCTION("""COMPUTED_VALUE"""),2008)</f>
        <v>2008</v>
      </c>
      <c r="E5038" s="10" t="str">
        <f ca="1">IFERROR(__xludf.DUMMYFUNCTION("""COMPUTED_VALUE"""),"Стратегии на образователната и научната политика, тримесечно научно-теоретично списание. - София: МОН, 2008, № 1, с. 1-18. ISSN 1314–8575 (Online); ISSN 1310–0270 (Print)")</f>
        <v>Стратегии на образователната и научната политика, тримесечно научно-теоретично списание. - София: МОН, 2008, № 1, с. 1-18. ISSN 1314–8575 (Online); ISSN 1310–0270 (Print)</v>
      </c>
      <c r="F5038" s="10" t="str">
        <f ca="1">IFERROR(__xludf.DUMMYFUNCTION("""COMPUTED_VALUE"""),"CEEOL, ERIH PLUS")</f>
        <v>CEEOL, ERIH PLUS</v>
      </c>
      <c r="G5038" s="10"/>
      <c r="H5038" s="10"/>
      <c r="I5038" s="10"/>
      <c r="J5038" s="10"/>
      <c r="K5038" s="10"/>
      <c r="L5038" s="10"/>
      <c r="M5038" s="10"/>
      <c r="N5038" s="10"/>
      <c r="O5038" s="10"/>
      <c r="P5038" s="10"/>
      <c r="Q5038" s="10"/>
      <c r="R5038" s="10"/>
      <c r="S5038" s="10"/>
      <c r="T5038" s="10"/>
      <c r="U5038" s="10"/>
      <c r="V5038" s="10"/>
      <c r="W5038" s="10"/>
      <c r="X5038" s="10"/>
      <c r="Y5038" s="10"/>
      <c r="Z5038" s="10"/>
    </row>
    <row r="5039" spans="1:26" ht="12.75">
      <c r="A5039" s="10" t="str">
        <f ca="1">IFERROR(__xludf.DUMMYFUNCTION("""COMPUTED_VALUE"""),"Любомира Петрова Парижкова")</f>
        <v>Любомира Петрова Парижкова</v>
      </c>
      <c r="B5039" s="10" t="str">
        <f ca="1">IFERROR(__xludf.DUMMYFUNCTION("""COMPUTED_VALUE"""),"Доклад от конференция")</f>
        <v>Доклад от конференция</v>
      </c>
      <c r="C5039" s="10" t="str">
        <f ca="1">IFERROR(__xludf.DUMMYFUNCTION("""COMPUTED_VALUE"""),"Аутсорсингът – новият тип култура в България")</f>
        <v>Аутсорсингът – новият тип култура в България</v>
      </c>
      <c r="D5039" s="10">
        <f ca="1">IFERROR(__xludf.DUMMYFUNCTION("""COMPUTED_VALUE"""),2007)</f>
        <v>2007</v>
      </c>
      <c r="E5039" s="10" t="str">
        <f ca="1">IFERROR(__xludf.DUMMYFUNCTION("""COMPUTED_VALUE"""),"Българската култура между държавата и пазара : Сборник. ИК ИФИ-БАН – София, 2007, с. 71-75. ISBN 9789549214512")</f>
        <v>Българската култура между държавата и пазара : Сборник. ИК ИФИ-БАН – София, 2007, с. 71-75. ISBN 9789549214512</v>
      </c>
      <c r="F5039" s="10"/>
      <c r="G5039" s="10"/>
      <c r="H5039" s="10"/>
      <c r="I5039" s="10"/>
      <c r="J5039" s="10"/>
      <c r="K5039" s="10"/>
      <c r="L5039" s="10"/>
      <c r="M5039" s="10"/>
      <c r="N5039" s="10"/>
      <c r="O5039" s="10"/>
      <c r="P5039" s="10"/>
      <c r="Q5039" s="10"/>
      <c r="R5039" s="10"/>
      <c r="S5039" s="10"/>
      <c r="T5039" s="10"/>
      <c r="U5039" s="10"/>
      <c r="V5039" s="10"/>
      <c r="W5039" s="10"/>
      <c r="X5039" s="10"/>
      <c r="Y5039" s="10"/>
      <c r="Z5039" s="10"/>
    </row>
    <row r="5040" spans="1:26" ht="12.75">
      <c r="A5040" s="10" t="str">
        <f ca="1">IFERROR(__xludf.DUMMYFUNCTION("""COMPUTED_VALUE"""),"Любомира Петрова Парижкова")</f>
        <v>Любомира Петрова Парижкова</v>
      </c>
      <c r="B5040" s="10" t="str">
        <f ca="1">IFERROR(__xludf.DUMMYFUNCTION("""COMPUTED_VALUE"""),"Доклад от конференция")</f>
        <v>Доклад от конференция</v>
      </c>
      <c r="C5040" s="10" t="str">
        <f ca="1">IFERROR(__xludf.DUMMYFUNCTION("""COMPUTED_VALUE"""),"Четенето ще ни превърне ли в роботи?")</f>
        <v>Четенето ще ни превърне ли в роботи?</v>
      </c>
      <c r="D5040" s="10">
        <f ca="1">IFERROR(__xludf.DUMMYFUNCTION("""COMPUTED_VALUE"""),2006)</f>
        <v>2006</v>
      </c>
      <c r="E5040" s="10" t="str">
        <f ca="1">IFERROR(__xludf.DUMMYFUNCTION("""COMPUTED_VALUE"""),"Книгата и „безкнижната” цивилизация. Сборник, София: За буквите – О писменехь, 2006, с. 157-165. ISBN 10:954-8887-19-3; ISBN 13:978-954-887-19-9")</f>
        <v>Книгата и „безкнижната” цивилизация. Сборник, София: За буквите – О писменехь, 2006, с. 157-165. ISBN 10:954-8887-19-3; ISBN 13:978-954-887-19-9</v>
      </c>
      <c r="F5040" s="10" t="str">
        <f ca="1">IFERROR(__xludf.DUMMYFUNCTION("""COMPUTED_VALUE"""),"НАЦИД")</f>
        <v>НАЦИД</v>
      </c>
      <c r="G5040" s="10"/>
      <c r="H5040" s="10"/>
      <c r="I5040" s="10"/>
      <c r="J5040" s="10"/>
      <c r="K5040" s="10"/>
      <c r="L5040" s="10"/>
      <c r="M5040" s="10"/>
      <c r="N5040" s="10"/>
      <c r="O5040" s="10"/>
      <c r="P5040" s="10"/>
      <c r="Q5040" s="10"/>
      <c r="R5040" s="10"/>
      <c r="S5040" s="10"/>
      <c r="T5040" s="10"/>
      <c r="U5040" s="10"/>
      <c r="V5040" s="10"/>
      <c r="W5040" s="10"/>
      <c r="X5040" s="10"/>
      <c r="Y5040" s="10"/>
      <c r="Z5040" s="10"/>
    </row>
    <row r="5041" spans="1:26" ht="12.75">
      <c r="A5041" s="10" t="str">
        <f ca="1">IFERROR(__xludf.DUMMYFUNCTION("""COMPUTED_VALUE"""),"Любомира Петрова Парижкова")</f>
        <v>Любомира Петрова Парижкова</v>
      </c>
      <c r="B5041" s="10" t="str">
        <f ca="1">IFERROR(__xludf.DUMMYFUNCTION("""COMPUTED_VALUE"""),"Доклад от конференция")</f>
        <v>Доклад от конференция</v>
      </c>
      <c r="C5041" s="10" t="str">
        <f ca="1">IFERROR(__xludf.DUMMYFUNCTION("""COMPUTED_VALUE"""),"Глокализацията – същност и реализации")</f>
        <v>Глокализацията – същност и реализации</v>
      </c>
      <c r="D5041" s="10">
        <f ca="1">IFERROR(__xludf.DUMMYFUNCTION("""COMPUTED_VALUE"""),2006)</f>
        <v>2006</v>
      </c>
      <c r="E5041" s="10" t="str">
        <f ca="1">IFERROR(__xludf.DUMMYFUNCTION("""COMPUTED_VALUE"""),"Публична комуникация, глобализация и демокрация. : Сборник. Златева, Минка, Тодор Петев (състав.).– София, ФЖМК, 2006, с. 213-218. ISBN-10: 954-8194-72-4, ISBN-13: 978-954-8194-72-3")</f>
        <v>Публична комуникация, глобализация и демокрация. : Сборник. Златева, Минка, Тодор Петев (състав.).– София, ФЖМК, 2006, с. 213-218. ISBN-10: 954-8194-72-4, ISBN-13: 978-954-8194-72-3</v>
      </c>
      <c r="F5041" s="10"/>
      <c r="G5041" s="10"/>
      <c r="H5041" s="10"/>
      <c r="I5041" s="10"/>
      <c r="J5041" s="10"/>
      <c r="K5041" s="10"/>
      <c r="L5041" s="10"/>
      <c r="M5041" s="10"/>
      <c r="N5041" s="10"/>
      <c r="O5041" s="10"/>
      <c r="P5041" s="10"/>
      <c r="Q5041" s="10"/>
      <c r="R5041" s="10"/>
      <c r="S5041" s="10"/>
      <c r="T5041" s="10"/>
      <c r="U5041" s="10"/>
      <c r="V5041" s="10"/>
      <c r="W5041" s="10"/>
      <c r="X5041" s="10"/>
      <c r="Y5041" s="10"/>
      <c r="Z5041" s="10"/>
    </row>
    <row r="5042" spans="1:26" ht="12.75">
      <c r="A5042" s="10" t="str">
        <f ca="1">IFERROR(__xludf.DUMMYFUNCTION("""COMPUTED_VALUE"""),"Любомира Петрова Парижкова")</f>
        <v>Любомира Петрова Парижкова</v>
      </c>
      <c r="B5042" s="10" t="str">
        <f ca="1">IFERROR(__xludf.DUMMYFUNCTION("""COMPUTED_VALUE"""),"Доклад от конференция")</f>
        <v>Доклад от конференция</v>
      </c>
      <c r="C5042" s="10" t="str">
        <f ca="1">IFERROR(__xludf.DUMMYFUNCTION("""COMPUTED_VALUE"""),"Глобални модерности")</f>
        <v>Глобални модерности</v>
      </c>
      <c r="D5042" s="10">
        <f ca="1">IFERROR(__xludf.DUMMYFUNCTION("""COMPUTED_VALUE"""),2006)</f>
        <v>2006</v>
      </c>
      <c r="E5042" s="10" t="str">
        <f ca="1">IFERROR(__xludf.DUMMYFUNCTION("""COMPUTED_VALUE"""),"Научни трудове на Съюза на учените - Пловдив. Серия. А.Обществени науки, изкуство и култура = Scientific researches of the Union of Scientists in Bulgaria - Plovdiv. Series A. Public sciences, art and culture. - Пловдив, 2006, 363-367. 1311-9400 (print); "&amp;"2534-9368 (online)")</f>
        <v>Научни трудове на Съюза на учените - Пловдив. Серия. А.Обществени науки, изкуство и култура = Scientific researches of the Union of Scientists in Bulgaria - Plovdiv. Series A. Public sciences, art and culture. - Пловдив, 2006, 363-367. 1311-9400 (print); 2534-9368 (online)</v>
      </c>
      <c r="F5042" s="10"/>
      <c r="G5042" s="10"/>
      <c r="H5042" s="10"/>
      <c r="I5042" s="10"/>
      <c r="J5042" s="10"/>
      <c r="K5042" s="10"/>
      <c r="L5042" s="10"/>
      <c r="M5042" s="10"/>
      <c r="N5042" s="10"/>
      <c r="O5042" s="10"/>
      <c r="P5042" s="10"/>
      <c r="Q5042" s="10"/>
      <c r="R5042" s="10"/>
      <c r="S5042" s="10"/>
      <c r="T5042" s="10"/>
      <c r="U5042" s="10"/>
      <c r="V5042" s="10"/>
      <c r="W5042" s="10"/>
      <c r="X5042" s="10"/>
      <c r="Y5042" s="10"/>
      <c r="Z5042" s="10"/>
    </row>
    <row r="5043" spans="1:26" ht="12.75">
      <c r="A5043" s="10" t="str">
        <f ca="1">IFERROR(__xludf.DUMMYFUNCTION("""COMPUTED_VALUE"""),"Любомира Петрова Парижкова")</f>
        <v>Любомира Петрова Парижкова</v>
      </c>
      <c r="B5043" s="10" t="str">
        <f ca="1">IFERROR(__xludf.DUMMYFUNCTION("""COMPUTED_VALUE"""),"Доклад от конференция")</f>
        <v>Доклад от конференция</v>
      </c>
      <c r="C5043" s="10" t="str">
        <f ca="1">IFERROR(__xludf.DUMMYFUNCTION("""COMPUTED_VALUE"""),"Книгата – инструмент за самоидентификация в глобалния свят")</f>
        <v>Книгата – инструмент за самоидентификация в глобалния свят</v>
      </c>
      <c r="D5043" s="10">
        <f ca="1">IFERROR(__xludf.DUMMYFUNCTION("""COMPUTED_VALUE"""),2005)</f>
        <v>2005</v>
      </c>
      <c r="E5043" s="10" t="str">
        <f ca="1">IFERROR(__xludf.DUMMYFUNCTION("""COMPUTED_VALUE"""),"Книгата и националната идентичност. втора науч. конф., 1 ноем. 2004 г., София. - София: За буквите - О писменехь, 2005, 124-128. ISBN 954-8887-10-X")</f>
        <v>Книгата и националната идентичност. втора науч. конф., 1 ноем. 2004 г., София. - София: За буквите - О писменехь, 2005, 124-128. ISBN 954-8887-10-X</v>
      </c>
      <c r="F5043" s="10" t="str">
        <f ca="1">IFERROR(__xludf.DUMMYFUNCTION("""COMPUTED_VALUE"""),"НАЦИД")</f>
        <v>НАЦИД</v>
      </c>
      <c r="G5043" s="10"/>
      <c r="H5043" s="10"/>
      <c r="I5043" s="10"/>
      <c r="J5043" s="10"/>
      <c r="K5043" s="10"/>
      <c r="L5043" s="10"/>
      <c r="M5043" s="10"/>
      <c r="N5043" s="10"/>
      <c r="O5043" s="10"/>
      <c r="P5043" s="10"/>
      <c r="Q5043" s="10"/>
      <c r="R5043" s="10"/>
      <c r="S5043" s="10"/>
      <c r="T5043" s="10"/>
      <c r="U5043" s="10"/>
      <c r="V5043" s="10"/>
      <c r="W5043" s="10"/>
      <c r="X5043" s="10"/>
      <c r="Y5043" s="10"/>
      <c r="Z5043" s="10"/>
    </row>
    <row r="5044" spans="1:26" ht="12.75">
      <c r="A5044" s="10" t="str">
        <f ca="1">IFERROR(__xludf.DUMMYFUNCTION("""COMPUTED_VALUE"""),"Любомира Петрова Парижкова")</f>
        <v>Любомира Петрова Парижкова</v>
      </c>
      <c r="B5044" s="10" t="str">
        <f ca="1">IFERROR(__xludf.DUMMYFUNCTION("""COMPUTED_VALUE"""),"Доклад от конференция")</f>
        <v>Доклад от конференция</v>
      </c>
      <c r="C5044" s="10" t="str">
        <f ca="1">IFERROR(__xludf.DUMMYFUNCTION("""COMPUTED_VALUE"""),"Книгата в постмодерната култура")</f>
        <v>Книгата в постмодерната култура</v>
      </c>
      <c r="D5044" s="10">
        <f ca="1">IFERROR(__xludf.DUMMYFUNCTION("""COMPUTED_VALUE"""),2004)</f>
        <v>2004</v>
      </c>
      <c r="E5044" s="10" t="str">
        <f ca="1">IFERROR(__xludf.DUMMYFUNCTION("""COMPUTED_VALUE"""),"Книгата: бъдеще време в миналото. С., Захари Стоянов; УИ Св. Климент Охридски 2004, 73-78. ISBN 954-739-580-7; ISBN 954-07-2053-2")</f>
        <v>Книгата: бъдеще време в миналото. С., Захари Стоянов; УИ Св. Климент Охридски 2004, 73-78. ISBN 954-739-580-7; ISBN 954-07-2053-2</v>
      </c>
      <c r="F5044" s="10"/>
      <c r="G5044" s="10"/>
      <c r="H5044" s="10"/>
      <c r="I5044" s="10"/>
      <c r="J5044" s="10"/>
      <c r="K5044" s="10"/>
      <c r="L5044" s="10"/>
      <c r="M5044" s="10"/>
      <c r="N5044" s="10"/>
      <c r="O5044" s="10"/>
      <c r="P5044" s="10"/>
      <c r="Q5044" s="10"/>
      <c r="R5044" s="10"/>
      <c r="S5044" s="10"/>
      <c r="T5044" s="10"/>
      <c r="U5044" s="10"/>
      <c r="V5044" s="10"/>
      <c r="W5044" s="10"/>
      <c r="X5044" s="10"/>
      <c r="Y5044" s="10"/>
      <c r="Z5044" s="10"/>
    </row>
    <row r="5045" spans="1:26" ht="12.75">
      <c r="A5045" s="10" t="str">
        <f ca="1">IFERROR(__xludf.DUMMYFUNCTION("""COMPUTED_VALUE"""),"Любомира Петрова Парижкова")</f>
        <v>Любомира Петрова Парижкова</v>
      </c>
      <c r="B5045" s="10" t="str">
        <f ca="1">IFERROR(__xludf.DUMMYFUNCTION("""COMPUTED_VALUE"""),"Доклад от конференция")</f>
        <v>Доклад от конференция</v>
      </c>
      <c r="C5045" s="10" t="str">
        <f ca="1">IFERROR(__xludf.DUMMYFUNCTION("""COMPUTED_VALUE"""),"Писмеността – разширяваща се вселена на познание и творчество")</f>
        <v>Писмеността – разширяваща се вселена на познание и творчество</v>
      </c>
      <c r="D5045" s="10">
        <f ca="1">IFERROR(__xludf.DUMMYFUNCTION("""COMPUTED_VALUE"""),2003)</f>
        <v>2003</v>
      </c>
      <c r="E5045" s="10" t="str">
        <f ca="1">IFERROR(__xludf.DUMMYFUNCTION("""COMPUTED_VALUE"""),"Библиотечното сътрудничество – настояще и бъдеще. Идеи и проекти за изследвания в областта на писмените комуникации. 13 нац. научна конфер. СБИР, 2003, 129-133. ISBN 954-9837-10-6")</f>
        <v>Библиотечното сътрудничество – настояще и бъдеще. Идеи и проекти за изследвания в областта на писмените комуникации. 13 нац. научна конфер. СБИР, 2003, 129-133. ISBN 954-9837-10-6</v>
      </c>
      <c r="F5045" s="10"/>
      <c r="G5045" s="10"/>
      <c r="H5045" s="10"/>
      <c r="I5045" s="10"/>
      <c r="J5045" s="10"/>
      <c r="K5045" s="10"/>
      <c r="L5045" s="10"/>
      <c r="M5045" s="10"/>
      <c r="N5045" s="10"/>
      <c r="O5045" s="10"/>
      <c r="P5045" s="10"/>
      <c r="Q5045" s="10"/>
      <c r="R5045" s="10"/>
      <c r="S5045" s="10"/>
      <c r="T5045" s="10"/>
      <c r="U5045" s="10"/>
      <c r="V5045" s="10"/>
      <c r="W5045" s="10"/>
      <c r="X5045" s="10"/>
      <c r="Y5045" s="10"/>
      <c r="Z5045" s="10"/>
    </row>
    <row r="5046" spans="1:26" ht="12.75">
      <c r="A5046" s="10" t="str">
        <f ca="1">IFERROR(__xludf.DUMMYFUNCTION("""COMPUTED_VALUE"""),"Любомира Петрова Парижкова")</f>
        <v>Любомира Петрова Парижкова</v>
      </c>
      <c r="B5046" s="10" t="str">
        <f ca="1">IFERROR(__xludf.DUMMYFUNCTION("""COMPUTED_VALUE"""),"Статия в списания и поредици")</f>
        <v>Статия в списания и поредици</v>
      </c>
      <c r="C5046" s="10" t="str">
        <f ca="1">IFERROR(__xludf.DUMMYFUNCTION("""COMPUTED_VALUE"""),"Писмеността – разширяваща се вселена на познание и творчество")</f>
        <v>Писмеността – разширяваща се вселена на познание и творчество</v>
      </c>
      <c r="D5046" s="10">
        <f ca="1">IFERROR(__xludf.DUMMYFUNCTION("""COMPUTED_VALUE"""),2003)</f>
        <v>2003</v>
      </c>
      <c r="E5046" s="10" t="str">
        <f ca="1">IFERROR(__xludf.DUMMYFUNCTION("""COMPUTED_VALUE"""),"В: Библиотечното сътрудничество – настояще и бъдеще. Идеи и проекти за изследвания в областта на писмените комуникации. 13 нац. научна конфер. СБИР, 2003, 129-133. ISBN 954-9837-10-6")</f>
        <v>В: Библиотечното сътрудничество – настояще и бъдеще. Идеи и проекти за изследвания в областта на писмените комуникации. 13 нац. научна конфер. СБИР, 2003, 129-133. ISBN 954-9837-10-6</v>
      </c>
      <c r="F5046" s="10"/>
      <c r="G5046" s="10"/>
      <c r="H5046" s="10"/>
      <c r="I5046" s="10"/>
      <c r="J5046" s="10"/>
      <c r="K5046" s="10"/>
      <c r="L5046" s="10"/>
      <c r="M5046" s="10"/>
      <c r="N5046" s="10"/>
      <c r="O5046" s="10"/>
      <c r="P5046" s="10"/>
      <c r="Q5046" s="10"/>
      <c r="R5046" s="10"/>
      <c r="S5046" s="10"/>
      <c r="T5046" s="10"/>
      <c r="U5046" s="10"/>
      <c r="V5046" s="10"/>
      <c r="W5046" s="10"/>
      <c r="X5046" s="10"/>
      <c r="Y5046" s="10"/>
      <c r="Z5046" s="10"/>
    </row>
    <row r="5047" spans="1:26" ht="12.75">
      <c r="A5047" s="10" t="str">
        <f ca="1">IFERROR(__xludf.DUMMYFUNCTION("""COMPUTED_VALUE"""),"Магдалена Златкова Гарванова")</f>
        <v>Магдалена Златкова Гарванова</v>
      </c>
      <c r="B5047" s="10" t="str">
        <f ca="1">IFERROR(__xludf.DUMMYFUNCTION("""COMPUTED_VALUE"""),"Доклад от конференция")</f>
        <v>Доклад от конференция</v>
      </c>
      <c r="C5047" s="10" t="str">
        <f ca="1">IFERROR(__xludf.DUMMYFUNCTION("""COMPUTED_VALUE"""),"Приложение на горския рекреационен туризъм в управление на стреса, причинен от GSM")</f>
        <v>Приложение на горския рекреационен туризъм в управление на стреса, причинен от GSM</v>
      </c>
      <c r="D5047" s="10">
        <f ca="1">IFERROR(__xludf.DUMMYFUNCTION("""COMPUTED_VALUE"""),2020)</f>
        <v>2020</v>
      </c>
      <c r="E5047" s="10" t="str">
        <f ca="1">IFERROR(__xludf.DUMMYFUNCTION("""COMPUTED_VALUE"""),"Сборник с доклади от Годишна университетска научна конференция, 28-29 май 2020 г., НВУ “Васил Левски”. Велико Търново, Издателски комплекс на НВУ “Васил Левски”, с. 1448-1456. ISSN 2367-7481")</f>
        <v>Сборник с доклади от Годишна университетска научна конференция, 28-29 май 2020 г., НВУ “Васил Левски”. Велико Търново, Издателски комплекс на НВУ “Васил Левски”, с. 1448-1456. ISSN 2367-7481</v>
      </c>
      <c r="F5047" s="10" t="str">
        <f ca="1">IFERROR(__xludf.DUMMYFUNCTION("""COMPUTED_VALUE"""),"Google Scholar")</f>
        <v>Google Scholar</v>
      </c>
      <c r="G5047" s="10" t="str">
        <f ca="1">IFERROR(__xludf.DUMMYFUNCTION("""COMPUTED_VALUE"""),"Станева, К., Гарванова, М., Гарванов, И., Маринов, М.")</f>
        <v>Станева, К., Гарванова, М., Гарванов, И., Маринов, М.</v>
      </c>
      <c r="H5047" s="10"/>
      <c r="I5047" s="10"/>
      <c r="J5047" s="10"/>
      <c r="K5047" s="10"/>
      <c r="L5047" s="10"/>
      <c r="M5047" s="10"/>
      <c r="N5047" s="10"/>
      <c r="O5047" s="10"/>
      <c r="P5047" s="10"/>
      <c r="Q5047" s="10"/>
      <c r="R5047" s="10"/>
      <c r="S5047" s="10"/>
      <c r="T5047" s="10"/>
      <c r="U5047" s="10"/>
      <c r="V5047" s="10"/>
      <c r="W5047" s="10"/>
      <c r="X5047" s="10"/>
      <c r="Y5047" s="10"/>
      <c r="Z5047" s="10"/>
    </row>
    <row r="5048" spans="1:26" ht="12.75">
      <c r="A5048" s="10" t="str">
        <f ca="1">IFERROR(__xludf.DUMMYFUNCTION("""COMPUTED_VALUE"""),"Магдалена Златкова Гарванова")</f>
        <v>Магдалена Златкова Гарванова</v>
      </c>
      <c r="B5048" s="10" t="str">
        <f ca="1">IFERROR(__xludf.DUMMYFUNCTION("""COMPUTED_VALUE"""),"Доклад от конференция")</f>
        <v>Доклад от конференция</v>
      </c>
      <c r="C5048" s="10" t="str">
        <f ca="1">IFERROR(__xludf.DUMMYFUNCTION("""COMPUTED_VALUE"""),"Wellness tourism approaches to improving quality of life of mobile users")</f>
        <v>Wellness tourism approaches to improving quality of life of mobile users</v>
      </c>
      <c r="D5048" s="10">
        <f ca="1">IFERROR(__xludf.DUMMYFUNCTION("""COMPUTED_VALUE"""),2020)</f>
        <v>2020</v>
      </c>
      <c r="E5048" s="10" t="str">
        <f ca="1">IFERROR(__xludf.DUMMYFUNCTION("""COMPUTED_VALUE"""),"5th International Scientific and Professional Conference (CRODMA 2020), October 23rd, 2020, Varaždin, Croatia. Book of papers, pp. 157-164, Varaždin: CRODMA. ISSN 2459-7953")</f>
        <v>5th International Scientific and Professional Conference (CRODMA 2020), October 23rd, 2020, Varaždin, Croatia. Book of papers, pp. 157-164, Varaždin: CRODMA. ISSN 2459-7953</v>
      </c>
      <c r="F5048" s="10" t="str">
        <f ca="1">IFERROR(__xludf.DUMMYFUNCTION("""COMPUTED_VALUE"""),"Google Scholar")</f>
        <v>Google Scholar</v>
      </c>
      <c r="G5048" s="10" t="str">
        <f ca="1">IFERROR(__xludf.DUMMYFUNCTION("""COMPUTED_VALUE"""),"Garvanova, M., Staneva, K., &amp; Garvanov, I.")</f>
        <v>Garvanova, M., Staneva, K., &amp; Garvanov, I.</v>
      </c>
      <c r="H5048" s="10"/>
      <c r="I5048" s="10"/>
      <c r="J5048" s="10"/>
      <c r="K5048" s="10"/>
      <c r="L5048" s="10"/>
      <c r="M5048" s="10"/>
      <c r="N5048" s="10"/>
      <c r="O5048" s="10"/>
      <c r="P5048" s="10"/>
      <c r="Q5048" s="10"/>
      <c r="R5048" s="10"/>
      <c r="S5048" s="10"/>
      <c r="T5048" s="10"/>
      <c r="U5048" s="10"/>
      <c r="V5048" s="10"/>
      <c r="W5048" s="10"/>
      <c r="X5048" s="10"/>
      <c r="Y5048" s="10"/>
      <c r="Z5048" s="10"/>
    </row>
    <row r="5049" spans="1:26" ht="12.75">
      <c r="A5049" s="10" t="str">
        <f ca="1">IFERROR(__xludf.DUMMYFUNCTION("""COMPUTED_VALUE"""),"Магдалена Златкова Гарванова")</f>
        <v>Магдалена Златкова Гарванова</v>
      </c>
      <c r="B5049" s="10" t="str">
        <f ca="1">IFERROR(__xludf.DUMMYFUNCTION("""COMPUTED_VALUE"""),"Доклад от конференция")</f>
        <v>Доклад от конференция</v>
      </c>
      <c r="C5049" s="10" t="str">
        <f ca="1">IFERROR(__xludf.DUMMYFUNCTION("""COMPUTED_VALUE"""),"Business processes and the safety of stakeholders: Considering the electromagnetic pollution")</f>
        <v>Business processes and the safety of stakeholders: Considering the electromagnetic pollution</v>
      </c>
      <c r="D5049" s="10">
        <f ca="1">IFERROR(__xludf.DUMMYFUNCTION("""COMPUTED_VALUE"""),2020)</f>
        <v>2020</v>
      </c>
      <c r="E5049" s="10" t="str">
        <f ca="1">IFERROR(__xludf.DUMMYFUNCTION("""COMPUTED_VALUE"""),"Business Modeling and Software Design. BMSD 2020. Lecture Notes in Business Information Processing, vol. 391, pp. 386-393, Springer Nature Switzerland AG.ISBN (Print) 978-3-030-52305-3, ISBN 978-3-030-52306-0 (eBook), ISSN 1865-1348, ISSN 1865-1356 (elect"&amp;"ronic), doi: https://doi.org/10.1007/978-3-030-52306-0_28")</f>
        <v>Business Modeling and Software Design. BMSD 2020. Lecture Notes in Business Information Processing, vol. 391, pp. 386-393, Springer Nature Switzerland AG.ISBN (Print) 978-3-030-52305-3, ISBN 978-3-030-52306-0 (eBook), ISSN 1865-1348, ISSN 1865-1356 (electronic), doi: https://doi.org/10.1007/978-3-030-52306-0_28</v>
      </c>
      <c r="F5049" s="10" t="str">
        <f ca="1">IFERROR(__xludf.DUMMYFUNCTION("""COMPUTED_VALUE"""),"Web of Science и Scopus")</f>
        <v>Web of Science и Scopus</v>
      </c>
      <c r="G5049" s="10" t="str">
        <f ca="1">IFERROR(__xludf.DUMMYFUNCTION("""COMPUTED_VALUE"""),"Garvanova, M., Garvanov, I., &amp; Kashukeev, I.")</f>
        <v>Garvanova, M., Garvanov, I., &amp; Kashukeev, I.</v>
      </c>
      <c r="H5049" s="10"/>
      <c r="I5049" s="10"/>
      <c r="J5049" s="10"/>
      <c r="K5049" s="10"/>
      <c r="L5049" s="10"/>
      <c r="M5049" s="10"/>
      <c r="N5049" s="10"/>
      <c r="O5049" s="10"/>
      <c r="P5049" s="10"/>
      <c r="Q5049" s="10"/>
      <c r="R5049" s="10"/>
      <c r="S5049" s="10"/>
      <c r="T5049" s="10"/>
      <c r="U5049" s="10"/>
      <c r="V5049" s="10"/>
      <c r="W5049" s="10"/>
      <c r="X5049" s="10"/>
      <c r="Y5049" s="10"/>
      <c r="Z5049" s="10"/>
    </row>
    <row r="5050" spans="1:26" ht="12.75">
      <c r="A5050" s="10" t="str">
        <f ca="1">IFERROR(__xludf.DUMMYFUNCTION("""COMPUTED_VALUE"""),"Магдалена Златкова Гарванова")</f>
        <v>Магдалена Златкова Гарванова</v>
      </c>
      <c r="B5050" s="10" t="str">
        <f ca="1">IFERROR(__xludf.DUMMYFUNCTION("""COMPUTED_VALUE"""),"Доклад от конференция")</f>
        <v>Доклад от конференция</v>
      </c>
      <c r="C5050" s="10" t="str">
        <f ca="1">IFERROR(__xludf.DUMMYFUNCTION("""COMPUTED_VALUE"""),"The influence of electromagnetic fields on human brain")</f>
        <v>The influence of electromagnetic fields on human brain</v>
      </c>
      <c r="D5050" s="10">
        <f ca="1">IFERROR(__xludf.DUMMYFUNCTION("""COMPUTED_VALUE"""),2020)</f>
        <v>2020</v>
      </c>
      <c r="E5050" s="10" t="str">
        <f ca="1">IFERROR(__xludf.DUMMYFUNCTION("""COMPUTED_VALUE"""),"Proceedings of the XXI International Symposium on Electrical Apparatus and Technologies (SIELA 2020), 3-6 June 2020, Bourgas, Bulgaria, pp. 111-114, IEEE. Electronic ISBN 978-1-7281-4346-0, USB ISBN 978-1-7281-4345-3, Print on Demand (PoD) ISBN 978-1-7281"&amp;"-4347-7, doi: 10.1109/SIELA49118.2020.9167099")</f>
        <v>Proceedings of the XXI International Symposium on Electrical Apparatus and Technologies (SIELA 2020), 3-6 June 2020, Bourgas, Bulgaria, pp. 111-114, IEEE. Electronic ISBN 978-1-7281-4346-0, USB ISBN 978-1-7281-4345-3, Print on Demand (PoD) ISBN 978-1-7281-4347-7, doi: 10.1109/SIELA49118.2020.9167099</v>
      </c>
      <c r="F5050" s="10" t="str">
        <f ca="1">IFERROR(__xludf.DUMMYFUNCTION("""COMPUTED_VALUE"""),"Web of Science и Scopus
 IEEE Xplore")</f>
        <v>Web of Science и Scopus
 IEEE Xplore</v>
      </c>
      <c r="G5050" s="10" t="str">
        <f ca="1">IFERROR(__xludf.DUMMYFUNCTION("""COMPUTED_VALUE"""),"Garvanova, M., Garvanov, I., &amp; Borissova, D.")</f>
        <v>Garvanova, M., Garvanov, I., &amp; Borissova, D.</v>
      </c>
      <c r="H5050" s="10"/>
      <c r="I5050" s="10"/>
      <c r="J5050" s="10"/>
      <c r="K5050" s="10"/>
      <c r="L5050" s="10"/>
      <c r="M5050" s="10"/>
      <c r="N5050" s="10"/>
      <c r="O5050" s="10"/>
      <c r="P5050" s="10"/>
      <c r="Q5050" s="10"/>
      <c r="R5050" s="10"/>
      <c r="S5050" s="10"/>
      <c r="T5050" s="10"/>
      <c r="U5050" s="10"/>
      <c r="V5050" s="10"/>
      <c r="W5050" s="10"/>
      <c r="X5050" s="10"/>
      <c r="Y5050" s="10"/>
      <c r="Z5050" s="10"/>
    </row>
    <row r="5051" spans="1:26" ht="12.75">
      <c r="A5051" s="10" t="str">
        <f ca="1">IFERROR(__xludf.DUMMYFUNCTION("""COMPUTED_VALUE"""),"Магдалена Златкова Гарванова")</f>
        <v>Магдалена Златкова Гарванова</v>
      </c>
      <c r="B5051" s="10" t="str">
        <f ca="1">IFERROR(__xludf.DUMMYFUNCTION("""COMPUTED_VALUE"""),"Монография")</f>
        <v>Монография</v>
      </c>
      <c r="C5051" s="10" t="str">
        <f ca="1">IFERROR(__xludf.DUMMYFUNCTION("""COMPUTED_VALUE"""),"Самооценка, удовлетвореност от живота и ценности")</f>
        <v>Самооценка, удовлетвореност от живота и ценности</v>
      </c>
      <c r="D5051" s="10">
        <f ca="1">IFERROR(__xludf.DUMMYFUNCTION("""COMPUTED_VALUE"""),2020)</f>
        <v>2020</v>
      </c>
      <c r="E5051" s="10" t="str">
        <f ca="1">IFERROR(__xludf.DUMMYFUNCTION("""COMPUTED_VALUE"""),"София, Издателство “Авангард Прима”. с.192.
  ISBN 978-619-239-407-3")</f>
        <v>София, Издателство “Авангард Прима”. с.192.
  ISBN 978-619-239-407-3</v>
      </c>
      <c r="F5051" s="10"/>
      <c r="G5051" s="10" t="str">
        <f ca="1">IFERROR(__xludf.DUMMYFUNCTION("""COMPUTED_VALUE"""),"Стоянова, С., Гарванова, М., Папазова, Е.")</f>
        <v>Стоянова, С., Гарванова, М., Папазова, Е.</v>
      </c>
      <c r="H5051" s="10"/>
      <c r="I5051" s="10"/>
      <c r="J5051" s="10"/>
      <c r="K5051" s="10"/>
      <c r="L5051" s="10"/>
      <c r="M5051" s="10"/>
      <c r="N5051" s="10"/>
      <c r="O5051" s="10"/>
      <c r="P5051" s="10"/>
      <c r="Q5051" s="10"/>
      <c r="R5051" s="10"/>
      <c r="S5051" s="10"/>
      <c r="T5051" s="10"/>
      <c r="U5051" s="10"/>
      <c r="V5051" s="10"/>
      <c r="W5051" s="10"/>
      <c r="X5051" s="10"/>
      <c r="Y5051" s="10"/>
      <c r="Z5051" s="10"/>
    </row>
    <row r="5052" spans="1:26" ht="12.75">
      <c r="A5052" s="10" t="str">
        <f ca="1">IFERROR(__xludf.DUMMYFUNCTION("""COMPUTED_VALUE"""),"Магдалена Златкова Гарванова")</f>
        <v>Магдалена Златкова Гарванова</v>
      </c>
      <c r="B5052" s="10" t="str">
        <f ca="1">IFERROR(__xludf.DUMMYFUNCTION("""COMPUTED_VALUE"""),"Доклад от конференция")</f>
        <v>Доклад от конференция</v>
      </c>
      <c r="C5052" s="10" t="str">
        <f ca="1">IFERROR(__xludf.DUMMYFUNCTION("""COMPUTED_VALUE"""),"Improving GPS positioning of vehicles in urban environment")</f>
        <v>Improving GPS positioning of vehicles in urban environment</v>
      </c>
      <c r="D5052" s="10">
        <f ca="1">IFERROR(__xludf.DUMMYFUNCTION("""COMPUTED_VALUE"""),2020)</f>
        <v>2020</v>
      </c>
      <c r="E5052" s="10" t="str">
        <f ca="1">IFERROR(__xludf.DUMMYFUNCTION("""COMPUTED_VALUE"""),"Proceedings of the XXI International Symposium on Electrical Apparatus and Technologies (SIELA 2020), 3-6 June 2020, Bourgas, Bulgaria, pp. 106-110, IEEE. Electronic ISBN 978-1-7281-4346-0, USB ISBN 978-1-7281-4345-3, Print on Demand (PoD) ISBN 978-1-7281"&amp;"-4347-7, doi: 10.1109/SIELA49118.2020.9167064")</f>
        <v>Proceedings of the XXI International Symposium on Electrical Apparatus and Technologies (SIELA 2020), 3-6 June 2020, Bourgas, Bulgaria, pp. 106-110, IEEE. Electronic ISBN 978-1-7281-4346-0, USB ISBN 978-1-7281-4345-3, Print on Demand (PoD) ISBN 978-1-7281-4347-7, doi: 10.1109/SIELA49118.2020.9167064</v>
      </c>
      <c r="F5052" s="10" t="str">
        <f ca="1">IFERROR(__xludf.DUMMYFUNCTION("""COMPUTED_VALUE"""),"Web of Science и Scopus
 IEEE Xplore")</f>
        <v>Web of Science и Scopus
 IEEE Xplore</v>
      </c>
      <c r="G5052" s="10" t="str">
        <f ca="1">IFERROR(__xludf.DUMMYFUNCTION("""COMPUTED_VALUE"""),"Garvanova, M., Garvanov, I., &amp; Borissova, D.")</f>
        <v>Garvanova, M., Garvanov, I., &amp; Borissova, D.</v>
      </c>
      <c r="H5052" s="10"/>
      <c r="I5052" s="10"/>
      <c r="J5052" s="10"/>
      <c r="K5052" s="10"/>
      <c r="L5052" s="10"/>
      <c r="M5052" s="10"/>
      <c r="N5052" s="10"/>
      <c r="O5052" s="10"/>
      <c r="P5052" s="10"/>
      <c r="Q5052" s="10"/>
      <c r="R5052" s="10"/>
      <c r="S5052" s="10"/>
      <c r="T5052" s="10"/>
      <c r="U5052" s="10"/>
      <c r="V5052" s="10"/>
      <c r="W5052" s="10"/>
      <c r="X5052" s="10"/>
      <c r="Y5052" s="10"/>
      <c r="Z5052" s="10"/>
    </row>
    <row r="5053" spans="1:26" ht="12.75">
      <c r="A5053" s="10" t="str">
        <f ca="1">IFERROR(__xludf.DUMMYFUNCTION("""COMPUTED_VALUE"""),"Магдалена Златкова Гарванова")</f>
        <v>Магдалена Златкова Гарванова</v>
      </c>
      <c r="B5053" s="10" t="str">
        <f ca="1">IFERROR(__xludf.DUMMYFUNCTION("""COMPUTED_VALUE"""),"Доклад от конференция")</f>
        <v>Доклад от конференция</v>
      </c>
      <c r="C5053" s="10" t="str">
        <f ca="1">IFERROR(__xludf.DUMMYFUNCTION("""COMPUTED_VALUE"""),"Data science modeling for EEG signal filtering using wavelet transforms")</f>
        <v>Data science modeling for EEG signal filtering using wavelet transforms</v>
      </c>
      <c r="D5053" s="10">
        <f ca="1">IFERROR(__xludf.DUMMYFUNCTION("""COMPUTED_VALUE"""),2020)</f>
        <v>2020</v>
      </c>
      <c r="E5053" s="10" t="str">
        <f ca="1">IFERROR(__xludf.DUMMYFUNCTION("""COMPUTED_VALUE"""),"Proceedings of 2020 IEEE 10th International Conference on Intelligent Systems (IS), 28-30 August 2020, Varna, Bulgaria, pp. 352-357, IEEE. Electronic ISBN 978-1-7281-5456-5, Print on Demand (PoD) ISBN 978-1-7281-5457-2, ISSN 1541-1672, doi: 10.1109/IS4831"&amp;"9.2020.9199843")</f>
        <v>Proceedings of 2020 IEEE 10th International Conference on Intelligent Systems (IS), 28-30 August 2020, Varna, Bulgaria, pp. 352-357, IEEE. Electronic ISBN 978-1-7281-5456-5, Print on Demand (PoD) ISBN 978-1-7281-5457-2, ISSN 1541-1672, doi: 10.1109/IS48319.2020.9199843</v>
      </c>
      <c r="F5053" s="10" t="str">
        <f ca="1">IFERROR(__xludf.DUMMYFUNCTION("""COMPUTED_VALUE"""),"Web of Science и Scopus
 IEEE Xplore")</f>
        <v>Web of Science и Scopus
 IEEE Xplore</v>
      </c>
      <c r="G5053" s="10" t="str">
        <f ca="1">IFERROR(__xludf.DUMMYFUNCTION("""COMPUTED_VALUE"""),"Garvanov, I., Jotsov, V., &amp; Garvanova, M.")</f>
        <v>Garvanov, I., Jotsov, V., &amp; Garvanova, M.</v>
      </c>
      <c r="H5053" s="10"/>
      <c r="I5053" s="10"/>
      <c r="J5053" s="10"/>
      <c r="K5053" s="10"/>
      <c r="L5053" s="10"/>
      <c r="M5053" s="10"/>
      <c r="N5053" s="10"/>
      <c r="O5053" s="10"/>
      <c r="P5053" s="10"/>
      <c r="Q5053" s="10"/>
      <c r="R5053" s="10"/>
      <c r="S5053" s="10"/>
      <c r="T5053" s="10"/>
      <c r="U5053" s="10"/>
      <c r="V5053" s="10"/>
      <c r="W5053" s="10"/>
      <c r="X5053" s="10"/>
      <c r="Y5053" s="10"/>
      <c r="Z5053" s="10"/>
    </row>
    <row r="5054" spans="1:26" ht="12.75">
      <c r="A5054" s="10" t="str">
        <f ca="1">IFERROR(__xludf.DUMMYFUNCTION("""COMPUTED_VALUE"""),"Магдалена Златкова Гарванова")</f>
        <v>Магдалена Златкова Гарванова</v>
      </c>
      <c r="B5054" s="10" t="str">
        <f ca="1">IFERROR(__xludf.DUMMYFUNCTION("""COMPUTED_VALUE"""),"Доклад от конференция")</f>
        <v>Доклад от конференция</v>
      </c>
      <c r="C5054" s="10" t="str">
        <f ca="1">IFERROR(__xludf.DUMMYFUNCTION("""COMPUTED_VALUE"""),"Information technology for Big Data sensor networks stability estimation")</f>
        <v>Information technology for Big Data sensor networks stability estimation</v>
      </c>
      <c r="D5054" s="10">
        <f ca="1">IFERROR(__xludf.DUMMYFUNCTION("""COMPUTED_VALUE"""),2020)</f>
        <v>2020</v>
      </c>
      <c r="E5054" s="10" t="str">
        <f ca="1">IFERROR(__xludf.DUMMYFUNCTION("""COMPUTED_VALUE"""),"Information &amp; Security: An International Journal, vol. 46, no. 1, pp. 141-154. ISSN 0861-5160 (Print), ISSN 1314-2119 (Online), doi: https://doi.org/10.11610/isij.4710")</f>
        <v>Information &amp; Security: An International Journal, vol. 46, no. 1, pp. 141-154. ISSN 0861-5160 (Print), ISSN 1314-2119 (Online), doi: https://doi.org/10.11610/isij.4710</v>
      </c>
      <c r="F5054" s="10" t="str">
        <f ca="1">IFERROR(__xludf.DUMMYFUNCTION("""COMPUTED_VALUE"""),"ProQuest, EBSCO, CrossRef, Google Scholar")</f>
        <v>ProQuest, EBSCO, CrossRef, Google Scholar</v>
      </c>
      <c r="G5054" s="10" t="str">
        <f ca="1">IFERROR(__xludf.DUMMYFUNCTION("""COMPUTED_VALUE"""),"Petrivskyi, V., Dimitrov, G., Shevchenko, V., Berestov, D., Bychkov, O., Garvanova, M., Panayotova, G., &amp; Petrov, P.")</f>
        <v>Petrivskyi, V., Dimitrov, G., Shevchenko, V., Berestov, D., Bychkov, O., Garvanova, M., Panayotova, G., &amp; Petrov, P.</v>
      </c>
      <c r="H5054" s="10"/>
      <c r="I5054" s="10"/>
      <c r="J5054" s="10"/>
      <c r="K5054" s="10"/>
      <c r="L5054" s="10"/>
      <c r="M5054" s="10"/>
      <c r="N5054" s="10"/>
      <c r="O5054" s="10"/>
      <c r="P5054" s="10"/>
      <c r="Q5054" s="10"/>
      <c r="R5054" s="10"/>
      <c r="S5054" s="10"/>
      <c r="T5054" s="10"/>
      <c r="U5054" s="10"/>
      <c r="V5054" s="10"/>
      <c r="W5054" s="10"/>
      <c r="X5054" s="10"/>
      <c r="Y5054" s="10"/>
      <c r="Z5054" s="10"/>
    </row>
    <row r="5055" spans="1:26" ht="12.75">
      <c r="A5055" s="10" t="str">
        <f ca="1">IFERROR(__xludf.DUMMYFUNCTION("""COMPUTED_VALUE"""),"Магдалена Златкова Гарванова")</f>
        <v>Магдалена Златкова Гарванова</v>
      </c>
      <c r="B5055" s="10" t="str">
        <f ca="1">IFERROR(__xludf.DUMMYFUNCTION("""COMPUTED_VALUE"""),"Доклад от конференция")</f>
        <v>Доклад от конференция</v>
      </c>
      <c r="C5055" s="10" t="str">
        <f ca="1">IFERROR(__xludf.DUMMYFUNCTION("""COMPUTED_VALUE"""),"A framework of business intelligence system for decision making in efficiency management")</f>
        <v>A framework of business intelligence system for decision making in efficiency management</v>
      </c>
      <c r="D5055" s="10">
        <f ca="1">IFERROR(__xludf.DUMMYFUNCTION("""COMPUTED_VALUE"""),2020)</f>
        <v>2020</v>
      </c>
      <c r="E5055" s="10" t="str">
        <f ca="1">IFERROR(__xludf.DUMMYFUNCTION("""COMPUTED_VALUE"""),"Computer Information Systems and Industrial Management. CISIM 2020. Lecture Notes in Computer Science, vol. 12133, pp. 111-121, Springer, Cham. Print ISBN 978-3-030-47678-6, Online ISBN 978-3-030-47679-3, Series Print ISSN 0302-9743, Series Online ISSN 16"&amp;"11-3349, doi: https://doi.org/10.1007/978-3-030-47679-3_10")</f>
        <v>Computer Information Systems and Industrial Management. CISIM 2020. Lecture Notes in Computer Science, vol. 12133, pp. 111-121, Springer, Cham. Print ISBN 978-3-030-47678-6, Online ISBN 978-3-030-47679-3, Series Print ISSN 0302-9743, Series Online ISSN 1611-3349, doi: https://doi.org/10.1007/978-3-030-47679-3_10</v>
      </c>
      <c r="F5055" s="10" t="str">
        <f ca="1">IFERROR(__xludf.DUMMYFUNCTION("""COMPUTED_VALUE"""),"Scopus
 Google Scholar")</f>
        <v>Scopus
 Google Scholar</v>
      </c>
      <c r="G5055" s="10" t="str">
        <f ca="1">IFERROR(__xludf.DUMMYFUNCTION("""COMPUTED_VALUE"""),"Borissova, D., Cvetkova, P., Garvanov, I., &amp; Garvanova, M.")</f>
        <v>Borissova, D., Cvetkova, P., Garvanov, I., &amp; Garvanova, M.</v>
      </c>
      <c r="H5055" s="10"/>
      <c r="I5055" s="10"/>
      <c r="J5055" s="10"/>
      <c r="K5055" s="10"/>
      <c r="L5055" s="10"/>
      <c r="M5055" s="10"/>
      <c r="N5055" s="10"/>
      <c r="O5055" s="10"/>
      <c r="P5055" s="10"/>
      <c r="Q5055" s="10"/>
      <c r="R5055" s="10"/>
      <c r="S5055" s="10"/>
      <c r="T5055" s="10"/>
      <c r="U5055" s="10"/>
      <c r="V5055" s="10"/>
      <c r="W5055" s="10"/>
      <c r="X5055" s="10"/>
      <c r="Y5055" s="10"/>
      <c r="Z5055" s="10"/>
    </row>
    <row r="5056" spans="1:26" ht="12.75">
      <c r="A5056" s="10" t="str">
        <f ca="1">IFERROR(__xludf.DUMMYFUNCTION("""COMPUTED_VALUE"""),"Магдалена Златкова Гарванова")</f>
        <v>Магдалена Златкова Гарванова</v>
      </c>
      <c r="B5056" s="10" t="str">
        <f ca="1">IFERROR(__xludf.DUMMYFUNCTION("""COMPUTED_VALUE"""),"Доклад от конференция")</f>
        <v>Доклад от конференция</v>
      </c>
      <c r="C5056" s="10" t="str">
        <f ca="1">IFERROR(__xludf.DUMMYFUNCTION("""COMPUTED_VALUE"""),"Two-stage decision-making approach to survey the excessive usage of smart technologies")</f>
        <v>Two-stage decision-making approach to survey the excessive usage of smart technologies</v>
      </c>
      <c r="D5056" s="10">
        <f ca="1">IFERROR(__xludf.DUMMYFUNCTION("""COMPUTED_VALUE"""),2020)</f>
        <v>2020</v>
      </c>
      <c r="E5056" s="10" t="str">
        <f ca="1">IFERROR(__xludf.DUMMYFUNCTION("""COMPUTED_VALUE"""),"Problems of Engineering Cybernetics and Robotics, vol. 73, pp. 3-16. Print ISSN 0204-9848, Online ISSN 1314-409X, doi: 10.7546/PECR.73.20.01")</f>
        <v>Problems of Engineering Cybernetics and Robotics, vol. 73, pp. 3-16. Print ISSN 0204-9848, Online ISSN 1314-409X, doi: 10.7546/PECR.73.20.01</v>
      </c>
      <c r="F5056" s="10" t="str">
        <f ca="1">IFERROR(__xludf.DUMMYFUNCTION("""COMPUTED_VALUE"""),"Google Scholar, Inspec")</f>
        <v>Google Scholar, Inspec</v>
      </c>
      <c r="G5056" s="10" t="str">
        <f ca="1">IFERROR(__xludf.DUMMYFUNCTION("""COMPUTED_VALUE"""),"Borissova, D., Dimitrova, Z., Garvanova, M., Garvanov, I., Cvetkova, P., Dimitrov, V., &amp; Pandulis, A.")</f>
        <v>Borissova, D., Dimitrova, Z., Garvanova, M., Garvanov, I., Cvetkova, P., Dimitrov, V., &amp; Pandulis, A.</v>
      </c>
      <c r="H5056" s="10"/>
      <c r="I5056" s="10"/>
      <c r="J5056" s="10"/>
      <c r="K5056" s="10"/>
      <c r="L5056" s="10"/>
      <c r="M5056" s="10"/>
      <c r="N5056" s="10"/>
      <c r="O5056" s="10"/>
      <c r="P5056" s="10"/>
      <c r="Q5056" s="10"/>
      <c r="R5056" s="10"/>
      <c r="S5056" s="10"/>
      <c r="T5056" s="10"/>
      <c r="U5056" s="10"/>
      <c r="V5056" s="10"/>
      <c r="W5056" s="10"/>
      <c r="X5056" s="10"/>
      <c r="Y5056" s="10"/>
      <c r="Z5056" s="10"/>
    </row>
    <row r="5057" spans="1:26" ht="12.75">
      <c r="A5057" s="10" t="str">
        <f ca="1">IFERROR(__xludf.DUMMYFUNCTION("""COMPUTED_VALUE"""),"Магдалена Златкова Гарванова")</f>
        <v>Магдалена Златкова Гарванова</v>
      </c>
      <c r="B5057" s="10" t="str">
        <f ca="1">IFERROR(__xludf.DUMMYFUNCTION("""COMPUTED_VALUE"""),"Доклад от конференция")</f>
        <v>Доклад от конференция</v>
      </c>
      <c r="C5057" s="10" t="str">
        <f ca="1">IFERROR(__xludf.DUMMYFUNCTION("""COMPUTED_VALUE"""),"Decision support framework for composing of different questionnaires based on business model with optimization")</f>
        <v>Decision support framework for composing of different questionnaires based on business model with optimization</v>
      </c>
      <c r="D5057" s="10">
        <f ca="1">IFERROR(__xludf.DUMMYFUNCTION("""COMPUTED_VALUE"""),2020)</f>
        <v>2020</v>
      </c>
      <c r="E5057" s="10" t="str">
        <f ca="1">IFERROR(__xludf.DUMMYFUNCTION("""COMPUTED_VALUE"""),"Integrated Uncertainty in Knowledge Modelling and Decision Making. IUKM 2020. Lecture Notes in Computer Science, vol. 12482, pp. 50-61, Springer, Cham. Print ISBN 978-3-030-62508-5, Online ISBN 978-3-030-62509-2, Series Print ISSN 0302-9743, Series Online"&amp;" ISSN 1611-3349, doi: https://doi.org/10.1007/978-3-030-62509-2_5")</f>
        <v>Integrated Uncertainty in Knowledge Modelling and Decision Making. IUKM 2020. Lecture Notes in Computer Science, vol. 12482, pp. 50-61, Springer, Cham. Print ISBN 978-3-030-62508-5, Online ISBN 978-3-030-62509-2, Series Print ISSN 0302-9743, Series Online ISSN 1611-3349, doi: https://doi.org/10.1007/978-3-030-62509-2_5</v>
      </c>
      <c r="F5057" s="10" t="str">
        <f ca="1">IFERROR(__xludf.DUMMYFUNCTION("""COMPUTED_VALUE"""),"Scopus
 Google Scholar")</f>
        <v>Scopus
 Google Scholar</v>
      </c>
      <c r="G5057" s="10" t="str">
        <f ca="1">IFERROR(__xludf.DUMMYFUNCTION("""COMPUTED_VALUE"""),"Borissova, D., Garvanova, M., Dimitrova, Z., Pandulis, A., &amp; Garvanov, I.")</f>
        <v>Borissova, D., Garvanova, M., Dimitrova, Z., Pandulis, A., &amp; Garvanov, I.</v>
      </c>
      <c r="H5057" s="10"/>
      <c r="I5057" s="10"/>
      <c r="J5057" s="10"/>
      <c r="K5057" s="10"/>
      <c r="L5057" s="10"/>
      <c r="M5057" s="10"/>
      <c r="N5057" s="10"/>
      <c r="O5057" s="10"/>
      <c r="P5057" s="10"/>
      <c r="Q5057" s="10"/>
      <c r="R5057" s="10"/>
      <c r="S5057" s="10"/>
      <c r="T5057" s="10"/>
      <c r="U5057" s="10"/>
      <c r="V5057" s="10"/>
      <c r="W5057" s="10"/>
      <c r="X5057" s="10"/>
      <c r="Y5057" s="10"/>
      <c r="Z5057" s="10"/>
    </row>
    <row r="5058" spans="1:26" ht="12.75">
      <c r="A5058" s="10" t="str">
        <f ca="1">IFERROR(__xludf.DUMMYFUNCTION("""COMPUTED_VALUE"""),"Магдалена Златкова Гарванова")</f>
        <v>Магдалена Златкова Гарванова</v>
      </c>
      <c r="B5058" s="10" t="str">
        <f ca="1">IFERROR(__xludf.DUMMYFUNCTION("""COMPUTED_VALUE"""),"Доклад от конференция")</f>
        <v>Доклад от конференция</v>
      </c>
      <c r="C5058" s="10" t="str">
        <f ca="1">IFERROR(__xludf.DUMMYFUNCTION("""COMPUTED_VALUE"""),"Four enterprise modeling perspectives and impact on enterprise information systems")</f>
        <v>Four enterprise modeling perspectives and impact on enterprise information systems</v>
      </c>
      <c r="D5058" s="10">
        <f ca="1">IFERROR(__xludf.DUMMYFUNCTION("""COMPUTED_VALUE"""),2020)</f>
        <v>2020</v>
      </c>
      <c r="E5058" s="10" t="str">
        <f ca="1">IFERROR(__xludf.DUMMYFUNCTION("""COMPUTED_VALUE"""),"Trends and Innovations in Information Systems and Technologies. WorldCIST 2020, vol. 1. Series: Advances in Intelligent Systems and Computing, vol. 1159, pp. 660-677, Springer Nature Switzerland AG. Print ISBN 978-3-030-45687-0, Online ISBN 978-3-030-4568"&amp;"8-7, Series ISSN 2194-5357, ISSN 2194-5365 (electronic), doi: 10.1007/978-3-030-45688-7_66")</f>
        <v>Trends and Innovations in Information Systems and Technologies. WorldCIST 2020, vol. 1. Series: Advances in Intelligent Systems and Computing, vol. 1159, pp. 660-677, Springer Nature Switzerland AG. Print ISBN 978-3-030-45687-0, Online ISBN 978-3-030-45688-7, Series ISSN 2194-5357, ISSN 2194-5365 (electronic), doi: 10.1007/978-3-030-45688-7_66</v>
      </c>
      <c r="F5058" s="10" t="str">
        <f ca="1">IFERROR(__xludf.DUMMYFUNCTION("""COMPUTED_VALUE"""),"Scopus
 IEEE Xplore
 Google Scholar, EI-Compendex, DBLP")</f>
        <v>Scopus
 IEEE Xplore
 Google Scholar, EI-Compendex, DBLP</v>
      </c>
      <c r="G5058" s="10" t="str">
        <f ca="1">IFERROR(__xludf.DUMMYFUNCTION("""COMPUTED_VALUE"""),"Shishkov, B., Bogomilova, A., &amp; Garvanova, M.")</f>
        <v>Shishkov, B., Bogomilova, A., &amp; Garvanova, M.</v>
      </c>
      <c r="H5058" s="10"/>
      <c r="I5058" s="10"/>
      <c r="J5058" s="10"/>
      <c r="K5058" s="10"/>
      <c r="L5058" s="10"/>
      <c r="M5058" s="10"/>
      <c r="N5058" s="10"/>
      <c r="O5058" s="10"/>
      <c r="P5058" s="10"/>
      <c r="Q5058" s="10"/>
      <c r="R5058" s="10"/>
      <c r="S5058" s="10"/>
      <c r="T5058" s="10"/>
      <c r="U5058" s="10"/>
      <c r="V5058" s="10"/>
      <c r="W5058" s="10"/>
      <c r="X5058" s="10"/>
      <c r="Y5058" s="10"/>
      <c r="Z5058" s="10"/>
    </row>
    <row r="5059" spans="1:26" ht="12.75">
      <c r="A5059" s="10" t="str">
        <f ca="1">IFERROR(__xludf.DUMMYFUNCTION("""COMPUTED_VALUE"""),"Магдалена Златкова Гарванова")</f>
        <v>Магдалена Златкова Гарванова</v>
      </c>
      <c r="B5059" s="10" t="str">
        <f ca="1">IFERROR(__xludf.DUMMYFUNCTION("""COMPUTED_VALUE"""),"Доклад от конференция")</f>
        <v>Доклад от конференция</v>
      </c>
      <c r="C5059" s="10" t="str">
        <f ca="1">IFERROR(__xludf.DUMMYFUNCTION("""COMPUTED_VALUE"""),"Откриване на сигнали от пулсари чрез Хаф трансформация")</f>
        <v>Откриване на сигнали от пулсари чрез Хаф трансформация</v>
      </c>
      <c r="D5059" s="10">
        <f ca="1">IFERROR(__xludf.DUMMYFUNCTION("""COMPUTED_VALUE"""),2020)</f>
        <v>2020</v>
      </c>
      <c r="E5059" s="10" t="str">
        <f ca="1">IFERROR(__xludf.DUMMYFUNCTION("""COMPUTED_VALUE"""),"Proceedings of the XVII International Scientific Congress “Machines. Technologies. Materials” – Summer Session, 09-12.09.2020, Varna, Bulgaria, vol. 2, issue 2 (17). Sofia: Scientific Technical Union of Mechanical Engineering, с. 66-69. ISSN 2535-0021 (Pr"&amp;"int), ISSN 2535-003X (Online)")</f>
        <v>Proceedings of the XVII International Scientific Congress “Machines. Technologies. Materials” – Summer Session, 09-12.09.2020, Varna, Bulgaria, vol. 2, issue 2 (17). Sofia: Scientific Technical Union of Mechanical Engineering, с. 66-69. ISSN 2535-0021 (Print), ISSN 2535-003X (Online)</v>
      </c>
      <c r="F5059" s="10" t="str">
        <f ca="1">IFERROR(__xludf.DUMMYFUNCTION("""COMPUTED_VALUE"""),"Google Scholar")</f>
        <v>Google Scholar</v>
      </c>
      <c r="G5059" s="10" t="str">
        <f ca="1">IFERROR(__xludf.DUMMYFUNCTION("""COMPUTED_VALUE"""),"Гарванов, И., Петров, Н., Гарванова, М., Гешев, Н., Костадинов, Т.")</f>
        <v>Гарванов, И., Петров, Н., Гарванова, М., Гешев, Н., Костадинов, Т.</v>
      </c>
      <c r="H5059" s="10"/>
      <c r="I5059" s="10"/>
      <c r="J5059" s="10"/>
      <c r="K5059" s="10"/>
      <c r="L5059" s="10"/>
      <c r="M5059" s="10"/>
      <c r="N5059" s="10"/>
      <c r="O5059" s="10"/>
      <c r="P5059" s="10"/>
      <c r="Q5059" s="10"/>
      <c r="R5059" s="10"/>
      <c r="S5059" s="10"/>
      <c r="T5059" s="10"/>
      <c r="U5059" s="10"/>
      <c r="V5059" s="10"/>
      <c r="W5059" s="10"/>
      <c r="X5059" s="10"/>
      <c r="Y5059" s="10"/>
      <c r="Z5059" s="10"/>
    </row>
    <row r="5060" spans="1:26" ht="12.75">
      <c r="A5060" s="10" t="str">
        <f ca="1">IFERROR(__xludf.DUMMYFUNCTION("""COMPUTED_VALUE"""),"Магдалена Златкова Гарванова")</f>
        <v>Магдалена Златкова Гарванова</v>
      </c>
      <c r="B5060" s="10" t="str">
        <f ca="1">IFERROR(__xludf.DUMMYFUNCTION("""COMPUTED_VALUE"""),"Доклад от конференция")</f>
        <v>Доклад от конференция</v>
      </c>
      <c r="C5060" s="10" t="str">
        <f ca="1">IFERROR(__xludf.DUMMYFUNCTION("""COMPUTED_VALUE"""),"Биологични ефекти от облъчване с мобилен телефон")</f>
        <v>Биологични ефекти от облъчване с мобилен телефон</v>
      </c>
      <c r="D5060" s="10">
        <f ca="1">IFERROR(__xludf.DUMMYFUNCTION("""COMPUTED_VALUE"""),2020)</f>
        <v>2020</v>
      </c>
      <c r="E5060" s="10" t="str">
        <f ca="1">IFERROR(__xludf.DUMMYFUNCTION("""COMPUTED_VALUE"""),"Proceedings of the XVII International Scientific Congress “Machines. Technologies. Materials” – Summer Session, 09-12.09.2020, Varna, Bulgaria, vol. 2, issue 2 (17). Sofia: Scientific Technical Union of Mechanical Engineering, с. 61-65. ISSN 2535-0021 (Pr"&amp;"int), ISSN 2535-003X (Online)")</f>
        <v>Proceedings of the XVII International Scientific Congress “Machines. Technologies. Materials” – Summer Session, 09-12.09.2020, Varna, Bulgaria, vol. 2, issue 2 (17). Sofia: Scientific Technical Union of Mechanical Engineering, с. 61-65. ISSN 2535-0021 (Print), ISSN 2535-003X (Online)</v>
      </c>
      <c r="F5060" s="10" t="str">
        <f ca="1">IFERROR(__xludf.DUMMYFUNCTION("""COMPUTED_VALUE"""),"Google Scholar")</f>
        <v>Google Scholar</v>
      </c>
      <c r="G5060" s="10" t="str">
        <f ca="1">IFERROR(__xludf.DUMMYFUNCTION("""COMPUTED_VALUE"""),"Гарванова, М.")</f>
        <v>Гарванова, М.</v>
      </c>
      <c r="H5060" s="10"/>
      <c r="I5060" s="10"/>
      <c r="J5060" s="10"/>
      <c r="K5060" s="10"/>
      <c r="L5060" s="10"/>
      <c r="M5060" s="10"/>
      <c r="N5060" s="10"/>
      <c r="O5060" s="10"/>
      <c r="P5060" s="10"/>
      <c r="Q5060" s="10"/>
      <c r="R5060" s="10"/>
      <c r="S5060" s="10"/>
      <c r="T5060" s="10"/>
      <c r="U5060" s="10"/>
      <c r="V5060" s="10"/>
      <c r="W5060" s="10"/>
      <c r="X5060" s="10"/>
      <c r="Y5060" s="10"/>
      <c r="Z5060" s="10"/>
    </row>
    <row r="5061" spans="1:26" ht="12.75">
      <c r="A5061" s="10" t="str">
        <f ca="1">IFERROR(__xludf.DUMMYFUNCTION("""COMPUTED_VALUE"""),"Магдалена Златкова Гарванова")</f>
        <v>Магдалена Златкова Гарванова</v>
      </c>
      <c r="B5061" s="10" t="str">
        <f ca="1">IFERROR(__xludf.DUMMYFUNCTION("""COMPUTED_VALUE"""),"Доклад от конференция")</f>
        <v>Доклад от конференция</v>
      </c>
      <c r="C5061" s="10" t="str">
        <f ca="1">IFERROR(__xludf.DUMMYFUNCTION("""COMPUTED_VALUE"""),"Мобилните телефони като рисков фактор за здравето на децата")</f>
        <v>Мобилните телефони като рисков фактор за здравето на децата</v>
      </c>
      <c r="D5061" s="10">
        <f ca="1">IFERROR(__xludf.DUMMYFUNCTION("""COMPUTED_VALUE"""),2020)</f>
        <v>2020</v>
      </c>
      <c r="E5061" s="10" t="str">
        <f ca="1">IFERROR(__xludf.DUMMYFUNCTION("""COMPUTED_VALUE"""),"Сборник с научни доклади от XVIII национална научна конференция с международно участие “Обществото на знанието и хуманизмът на ХХІ век”, София, 1-2 ноември 2020 г. С., АИ “За буквите – О писменехь”, с. 529-537. 
 ISSN 2683-0094")</f>
        <v>Сборник с научни доклади от XVIII национална научна конференция с международно участие “Обществото на знанието и хуманизмът на ХХІ век”, София, 1-2 ноември 2020 г. С., АИ “За буквите – О писменехь”, с. 529-537. 
 ISSN 2683-0094</v>
      </c>
      <c r="F5061" s="10"/>
      <c r="G5061" s="10" t="str">
        <f ca="1">IFERROR(__xludf.DUMMYFUNCTION("""COMPUTED_VALUE"""),"Гарванова, М.")</f>
        <v>Гарванова, М.</v>
      </c>
      <c r="H5061" s="10"/>
      <c r="I5061" s="10"/>
      <c r="J5061" s="10"/>
      <c r="K5061" s="10"/>
      <c r="L5061" s="10"/>
      <c r="M5061" s="10"/>
      <c r="N5061" s="10"/>
      <c r="O5061" s="10"/>
      <c r="P5061" s="10"/>
      <c r="Q5061" s="10"/>
      <c r="R5061" s="10"/>
      <c r="S5061" s="10"/>
      <c r="T5061" s="10"/>
      <c r="U5061" s="10"/>
      <c r="V5061" s="10"/>
      <c r="W5061" s="10"/>
      <c r="X5061" s="10"/>
      <c r="Y5061" s="10"/>
      <c r="Z5061" s="10"/>
    </row>
    <row r="5062" spans="1:26" ht="12.75">
      <c r="A5062" s="10" t="str">
        <f ca="1">IFERROR(__xludf.DUMMYFUNCTION("""COMPUTED_VALUE"""),"Магдалена Златкова Гарванова")</f>
        <v>Магдалена Златкова Гарванова</v>
      </c>
      <c r="B5062" s="10" t="str">
        <f ca="1">IFERROR(__xludf.DUMMYFUNCTION("""COMPUTED_VALUE"""),"Доклад от конференция")</f>
        <v>Доклад от конференция</v>
      </c>
      <c r="C5062" s="10" t="str">
        <f ca="1">IFERROR(__xludf.DUMMYFUNCTION("""COMPUTED_VALUE"""),"Вторично използване на безжичните технологии")</f>
        <v>Вторично използване на безжичните технологии</v>
      </c>
      <c r="D5062" s="10">
        <f ca="1">IFERROR(__xludf.DUMMYFUNCTION("""COMPUTED_VALUE"""),2020)</f>
        <v>2020</v>
      </c>
      <c r="E5062" s="10" t="str">
        <f ca="1">IFERROR(__xludf.DUMMYFUNCTION("""COMPUTED_VALUE"""),"Proceedings of the XVII International Congress “Machines.
 Technologies. Materials” – Winter Session, 11-14.03.2020, Borovets, Bulgaria, vol. 1, issue 1 (16), 85-88, ISSN 2535-0021 (Print), ISSN 2535-003X (Online)")</f>
        <v>Proceedings of the XVII International Congress “Machines.
 Technologies. Materials” – Winter Session, 11-14.03.2020, Borovets, Bulgaria, vol. 1, issue 1 (16), 85-88, ISSN 2535-0021 (Print), ISSN 2535-003X (Online)</v>
      </c>
      <c r="F5062" s="10" t="str">
        <f ca="1">IFERROR(__xludf.DUMMYFUNCTION("""COMPUTED_VALUE"""),"Google Scholar")</f>
        <v>Google Scholar</v>
      </c>
      <c r="G5062" s="10" t="str">
        <f ca="1">IFERROR(__xludf.DUMMYFUNCTION("""COMPUTED_VALUE"""),"Станева, К., Гарванов, И.")</f>
        <v>Станева, К., Гарванов, И.</v>
      </c>
      <c r="H5062" s="10"/>
      <c r="I5062" s="10"/>
      <c r="J5062" s="10"/>
      <c r="K5062" s="10"/>
      <c r="L5062" s="10"/>
      <c r="M5062" s="10"/>
      <c r="N5062" s="10"/>
      <c r="O5062" s="10"/>
      <c r="P5062" s="10"/>
      <c r="Q5062" s="10"/>
      <c r="R5062" s="10"/>
      <c r="S5062" s="10"/>
      <c r="T5062" s="10"/>
      <c r="U5062" s="10"/>
      <c r="V5062" s="10"/>
      <c r="W5062" s="10"/>
      <c r="X5062" s="10"/>
      <c r="Y5062" s="10"/>
      <c r="Z5062" s="10"/>
    </row>
    <row r="5063" spans="1:26" ht="12.75">
      <c r="A5063" s="10" t="str">
        <f ca="1">IFERROR(__xludf.DUMMYFUNCTION("""COMPUTED_VALUE"""),"Магдалена Златкова Гарванова")</f>
        <v>Магдалена Златкова Гарванова</v>
      </c>
      <c r="B5063" s="10" t="str">
        <f ca="1">IFERROR(__xludf.DUMMYFUNCTION("""COMPUTED_VALUE"""),"Доклад от конференция")</f>
        <v>Доклад от конференция</v>
      </c>
      <c r="C5063" s="10" t="str">
        <f ca="1">IFERROR(__xludf.DUMMYFUNCTION("""COMPUTED_VALUE"""),"Assessing the analytical skills of the potential students in Data Science program: Results from empirical study")</f>
        <v>Assessing the analytical skills of the potential students in Data Science program: Results from empirical study</v>
      </c>
      <c r="D5063" s="10">
        <f ca="1">IFERROR(__xludf.DUMMYFUNCTION("""COMPUTED_VALUE"""),2020)</f>
        <v>2020</v>
      </c>
      <c r="E5063" s="10" t="str">
        <f ca="1">IFERROR(__xludf.DUMMYFUNCTION("""COMPUTED_VALUE"""),"INTED2020 Proceedings. 14 th Annual International Technology, Education and Development Conference – INTED2020, 2-4 March 2020, Valencia, Spain. IATED Academy, pp. 7265-7272. ISBN 978- 84-09-17939-8, 
 ISSN 2340-1079, doi: 10.21125/inted.2020.1917")</f>
        <v>INTED2020 Proceedings. 14 th Annual International Technology, Education and Development Conference – INTED2020, 2-4 March 2020, Valencia, Spain. IATED Academy, pp. 7265-7272. ISBN 978- 84-09-17939-8, 
 ISSN 2340-1079, doi: 10.21125/inted.2020.1917</v>
      </c>
      <c r="F5063" s="10" t="str">
        <f ca="1">IFERROR(__xludf.DUMMYFUNCTION("""COMPUTED_VALUE"""),"Web of Science, Crossref")</f>
        <v>Web of Science, Crossref</v>
      </c>
      <c r="G5063" s="10" t="str">
        <f ca="1">IFERROR(__xludf.DUMMYFUNCTION("""COMPUTED_VALUE"""),"Toleva-Stoimenova, S., Rasheva- Yordanova, K.,")</f>
        <v>Toleva-Stoimenova, S., Rasheva- Yordanova, K.,</v>
      </c>
      <c r="H5063" s="10"/>
      <c r="I5063" s="10"/>
      <c r="J5063" s="10"/>
      <c r="K5063" s="10"/>
      <c r="L5063" s="10"/>
      <c r="M5063" s="10"/>
      <c r="N5063" s="10"/>
      <c r="O5063" s="10"/>
      <c r="P5063" s="10"/>
      <c r="Q5063" s="10"/>
      <c r="R5063" s="10"/>
      <c r="S5063" s="10"/>
      <c r="T5063" s="10"/>
      <c r="U5063" s="10"/>
      <c r="V5063" s="10"/>
      <c r="W5063" s="10"/>
      <c r="X5063" s="10"/>
      <c r="Y5063" s="10"/>
      <c r="Z5063" s="10"/>
    </row>
    <row r="5064" spans="1:26" ht="12.75">
      <c r="A5064" s="10" t="str">
        <f ca="1">IFERROR(__xludf.DUMMYFUNCTION("""COMPUTED_VALUE"""),"Магдалена Златкова Гарванова")</f>
        <v>Магдалена Златкова Гарванова</v>
      </c>
      <c r="B5064" s="10" t="str">
        <f ca="1">IFERROR(__xludf.DUMMYFUNCTION("""COMPUTED_VALUE"""),"Статия в списания и поредици")</f>
        <v>Статия в списания и поредици</v>
      </c>
      <c r="C5064" s="10" t="str">
        <f ca="1">IFERROR(__xludf.DUMMYFUNCTION("""COMPUTED_VALUE"""),"The significance of reputation in choosing and recommendation a university")</f>
        <v>The significance of reputation in choosing and recommendation a university</v>
      </c>
      <c r="D5064" s="10">
        <f ca="1">IFERROR(__xludf.DUMMYFUNCTION("""COMPUTED_VALUE"""),2020)</f>
        <v>2020</v>
      </c>
      <c r="E5064" s="10" t="str">
        <f ca="1">IFERROR(__xludf.DUMMYFUNCTION("""COMPUTED_VALUE"""),"Test Engineering and Management, vol. 83, pp. 8545-8553, ISSN 0193-4120")</f>
        <v>Test Engineering and Management, vol. 83, pp. 8545-8553, ISSN 0193-4120</v>
      </c>
      <c r="F5064" s="10" t="str">
        <f ca="1">IFERROR(__xludf.DUMMYFUNCTION("""COMPUTED_VALUE"""),"Scopus, SJR 2018=0.100, Q4, Google Scholar")</f>
        <v>Scopus, SJR 2018=0.100, Q4, Google Scholar</v>
      </c>
      <c r="G5064" s="10"/>
      <c r="H5064" s="10"/>
      <c r="I5064" s="10"/>
      <c r="J5064" s="10"/>
      <c r="K5064" s="10"/>
      <c r="L5064" s="10"/>
      <c r="M5064" s="10"/>
      <c r="N5064" s="10"/>
      <c r="O5064" s="10"/>
      <c r="P5064" s="10"/>
      <c r="Q5064" s="10"/>
      <c r="R5064" s="10"/>
      <c r="S5064" s="10"/>
      <c r="T5064" s="10"/>
      <c r="U5064" s="10"/>
      <c r="V5064" s="10"/>
      <c r="W5064" s="10"/>
      <c r="X5064" s="10"/>
      <c r="Y5064" s="10"/>
      <c r="Z5064" s="10"/>
    </row>
    <row r="5065" spans="1:26" ht="12.75">
      <c r="A5065" s="10" t="str">
        <f ca="1">IFERROR(__xludf.DUMMYFUNCTION("""COMPUTED_VALUE"""),"Магдалена Златкова Гарванова")</f>
        <v>Магдалена Златкова Гарванова</v>
      </c>
      <c r="B5065" s="10" t="str">
        <f ca="1">IFERROR(__xludf.DUMMYFUNCTION("""COMPUTED_VALUE"""),"Доклад от конференция")</f>
        <v>Доклад от конференция</v>
      </c>
      <c r="C5065" s="10" t="str">
        <f ca="1">IFERROR(__xludf.DUMMYFUNCTION("""COMPUTED_VALUE"""),"Performance evaluation of an automated test generation system in programming training")</f>
        <v>Performance evaluation of an automated test generation system in programming training</v>
      </c>
      <c r="D5065" s="10">
        <f ca="1">IFERROR(__xludf.DUMMYFUNCTION("""COMPUTED_VALUE"""),2020)</f>
        <v>2020</v>
      </c>
      <c r="E5065" s="10" t="str">
        <f ca="1">IFERROR(__xludf.DUMMYFUNCTION("""COMPUTED_VALUE"""),"EDULEARN20 Proceedings. 12th Annual International Conference on Education and New Learning Technologies, July 6th-7th, 2020 – Palma, Mallorca, Spain. IATED Academy, pp. 2058-2067. ISBN 978-84-09-17979-4, ISSN 2340-1117, doi: 10.21125/edulearn.2020.0653")</f>
        <v>EDULEARN20 Proceedings. 12th Annual International Conference on Education and New Learning Technologies, July 6th-7th, 2020 – Palma, Mallorca, Spain. IATED Academy, pp. 2058-2067. ISBN 978-84-09-17979-4, ISSN 2340-1117, doi: 10.21125/edulearn.2020.0653</v>
      </c>
      <c r="F5065" s="10" t="str">
        <f ca="1">IFERROR(__xludf.DUMMYFUNCTION("""COMPUTED_VALUE"""),"Web of Science
 Crossref")</f>
        <v>Web of Science
 Crossref</v>
      </c>
      <c r="G5065" s="10" t="str">
        <f ca="1">IFERROR(__xludf.DUMMYFUNCTION("""COMPUTED_VALUE"""),"Kostadinova, I., Garvanova, M., Ivanov, I., &amp; Rasheva-Yordanova, K.")</f>
        <v>Kostadinova, I., Garvanova, M., Ivanov, I., &amp; Rasheva-Yordanova, K.</v>
      </c>
      <c r="H5065" s="10"/>
      <c r="I5065" s="10"/>
      <c r="J5065" s="10"/>
      <c r="K5065" s="10"/>
      <c r="L5065" s="10"/>
      <c r="M5065" s="10"/>
      <c r="N5065" s="10"/>
      <c r="O5065" s="10"/>
      <c r="P5065" s="10"/>
      <c r="Q5065" s="10"/>
      <c r="R5065" s="10"/>
      <c r="S5065" s="10"/>
      <c r="T5065" s="10"/>
      <c r="U5065" s="10"/>
      <c r="V5065" s="10"/>
      <c r="W5065" s="10"/>
      <c r="X5065" s="10"/>
      <c r="Y5065" s="10"/>
      <c r="Z5065" s="10"/>
    </row>
    <row r="5066" spans="1:26" ht="12.75">
      <c r="A5066" s="10" t="str">
        <f ca="1">IFERROR(__xludf.DUMMYFUNCTION("""COMPUTED_VALUE"""),"Магдалена Златкова Гарванова")</f>
        <v>Магдалена Златкова Гарванова</v>
      </c>
      <c r="B5066" s="10" t="str">
        <f ca="1">IFERROR(__xludf.DUMMYFUNCTION("""COMPUTED_VALUE"""),"Доклад от конференция")</f>
        <v>Доклад от конференция</v>
      </c>
      <c r="C5066" s="10" t="str">
        <f ca="1">IFERROR(__xludf.DUMMYFUNCTION("""COMPUTED_VALUE"""),"Репутацията на университета като стратегически ресурс")</f>
        <v>Репутацията на университета като стратегически ресурс</v>
      </c>
      <c r="D5066" s="10">
        <f ca="1">IFERROR(__xludf.DUMMYFUNCTION("""COMPUTED_VALUE"""),2019)</f>
        <v>2019</v>
      </c>
      <c r="E5066" s="10" t="str">
        <f ca="1">IFERROR(__xludf.DUMMYFUNCTION("""COMPUTED_VALUE"""),"Формиране на имидж и стратегическо управление в университетска информационна среда. Сборник с доклади. С., АИ “За буквите – О писменехь”, 27-58, ISBN 978-619-185-373-1")</f>
        <v>Формиране на имидж и стратегическо управление в университетска информационна среда. Сборник с доклади. С., АИ “За буквите – О писменехь”, 27-58, ISBN 978-619-185-373-1</v>
      </c>
      <c r="F5066" s="10"/>
      <c r="G5066" s="10" t="str">
        <f ca="1">IFERROR(__xludf.DUMMYFUNCTION("""COMPUTED_VALUE"""),"Павлова, М.")</f>
        <v>Павлова, М.</v>
      </c>
      <c r="H5066" s="10"/>
      <c r="I5066" s="10"/>
      <c r="J5066" s="10"/>
      <c r="K5066" s="10"/>
      <c r="L5066" s="10"/>
      <c r="M5066" s="10"/>
      <c r="N5066" s="10"/>
      <c r="O5066" s="10"/>
      <c r="P5066" s="10"/>
      <c r="Q5066" s="10"/>
      <c r="R5066" s="10"/>
      <c r="S5066" s="10"/>
      <c r="T5066" s="10"/>
      <c r="U5066" s="10"/>
      <c r="V5066" s="10"/>
      <c r="W5066" s="10"/>
      <c r="X5066" s="10"/>
      <c r="Y5066" s="10"/>
      <c r="Z5066" s="10"/>
    </row>
    <row r="5067" spans="1:26" ht="12.75">
      <c r="A5067" s="10" t="str">
        <f ca="1">IFERROR(__xludf.DUMMYFUNCTION("""COMPUTED_VALUE"""),"Магдалена Златкова Гарванова")</f>
        <v>Магдалена Златкова Гарванова</v>
      </c>
      <c r="B5067" s="10" t="str">
        <f ca="1">IFERROR(__xludf.DUMMYFUNCTION("""COMPUTED_VALUE"""),"Доклад от конференция")</f>
        <v>Доклад от конференция</v>
      </c>
      <c r="C5067" s="10" t="str">
        <f ca="1">IFERROR(__xludf.DUMMYFUNCTION("""COMPUTED_VALUE"""),"Capturing human authority and responsibility by considering composite public values")</f>
        <v>Capturing human authority and responsibility by considering composite public values</v>
      </c>
      <c r="D5067" s="10">
        <f ca="1">IFERROR(__xludf.DUMMYFUNCTION("""COMPUTED_VALUE"""),2019)</f>
        <v>2019</v>
      </c>
      <c r="E5067" s="10" t="str">
        <f ca="1">IFERROR(__xludf.DUMMYFUNCTION("""COMPUTED_VALUE"""),"B. Shishkov (Ed.), Business Modeling and Software Design. BMSD 2019. Lecture Notes in Business Information Processing, vol. 356, 290-298. Springer, Cham, ISBN (Print) 978-3-030-24853-6, ISBN 978-3-030-24854-3 (eBook), ISSN 1865-1348, ISSN 1865-1356 (elect"&amp;"ronic), doi: https://doi.org/10.1007/978-3-030-24854-3_22")</f>
        <v>B. Shishkov (Ed.), Business Modeling and Software Design. BMSD 2019. Lecture Notes in Business Information Processing, vol. 356, 290-298. Springer, Cham, ISBN (Print) 978-3-030-24853-6, ISBN 978-3-030-24854-3 (eBook), ISSN 1865-1348, ISSN 1865-1356 (electronic), doi: https://doi.org/10.1007/978-3-030-24854-3_22</v>
      </c>
      <c r="F5067" s="10" t="str">
        <f ca="1">IFERROR(__xludf.DUMMYFUNCTION("""COMPUTED_VALUE"""),"Scopus, Web of Science; SJR=0.24 за 2018, Q3In")</f>
        <v>Scopus, Web of Science; SJR=0.24 за 2018, Q3In</v>
      </c>
      <c r="G5067" s="10" t="str">
        <f ca="1">IFERROR(__xludf.DUMMYFUNCTION("""COMPUTED_VALUE"""),"Shishkov, B.")</f>
        <v>Shishkov, B.</v>
      </c>
      <c r="H5067" s="10"/>
      <c r="I5067" s="10"/>
      <c r="J5067" s="10"/>
      <c r="K5067" s="10"/>
      <c r="L5067" s="10"/>
      <c r="M5067" s="10"/>
      <c r="N5067" s="10"/>
      <c r="O5067" s="10"/>
      <c r="P5067" s="10"/>
      <c r="Q5067" s="10"/>
      <c r="R5067" s="10"/>
      <c r="S5067" s="10"/>
      <c r="T5067" s="10"/>
      <c r="U5067" s="10"/>
      <c r="V5067" s="10"/>
      <c r="W5067" s="10"/>
      <c r="X5067" s="10"/>
      <c r="Y5067" s="10"/>
      <c r="Z5067" s="10"/>
    </row>
    <row r="5068" spans="1:26" ht="12.75">
      <c r="A5068" s="10" t="str">
        <f ca="1">IFERROR(__xludf.DUMMYFUNCTION("""COMPUTED_VALUE"""),"Магдалена Златкова Гарванова")</f>
        <v>Магдалена Златкова Гарванова</v>
      </c>
      <c r="B5068" s="10" t="str">
        <f ca="1">IFERROR(__xludf.DUMMYFUNCTION("""COMPUTED_VALUE"""),"Доклад от конференция")</f>
        <v>Доклад от конференция</v>
      </c>
      <c r="C5068" s="10" t="str">
        <f ca="1">IFERROR(__xludf.DUMMYFUNCTION("""COMPUTED_VALUE"""),"Air target detection in pulsar FSR system")</f>
        <v>Air target detection in pulsar FSR system</v>
      </c>
      <c r="D5068" s="10">
        <f ca="1">IFERROR(__xludf.DUMMYFUNCTION("""COMPUTED_VALUE"""),2019)</f>
        <v>2019</v>
      </c>
      <c r="E5068" s="10" t="str">
        <f ca="1">IFERROR(__xludf.DUMMYFUNCTION("""COMPUTED_VALUE"""),"Proceedings of 2018 International Conference on Engineering and Telecommunication – En&amp;T 2018, 15-16 November 2018, Moscow, Russia, 108-112. Electronic ISBN 978-1-7281-0432-4, Print on Demand (PoD) ISBN 978-1-7281-0433-1, doi: 10.1109/EnT-MIPT.2018.00031")</f>
        <v>Proceedings of 2018 International Conference on Engineering and Telecommunication – En&amp;T 2018, 15-16 November 2018, Moscow, Russia, 108-112. Electronic ISBN 978-1-7281-0432-4, Print on Demand (PoD) ISBN 978-1-7281-0433-1, doi: 10.1109/EnT-MIPT.2018.00031</v>
      </c>
      <c r="F5068" s="10" t="str">
        <f ca="1">IFERROR(__xludf.DUMMYFUNCTION("""COMPUTED_VALUE"""),"Scopus, Web of Science")</f>
        <v>Scopus, Web of Science</v>
      </c>
      <c r="G5068" s="10" t="str">
        <f ca="1">IFERROR(__xludf.DUMMYFUNCTION("""COMPUTED_VALUE"""),"Kabakchiev, H., Behar, V., Garvanov, I., Kabakchieva, D., Garvanova, M., &amp; Rohling, H.")</f>
        <v>Kabakchiev, H., Behar, V., Garvanov, I., Kabakchieva, D., Garvanova, M., &amp; Rohling, H.</v>
      </c>
      <c r="H5068" s="10"/>
      <c r="I5068" s="10"/>
      <c r="J5068" s="10"/>
      <c r="K5068" s="10"/>
      <c r="L5068" s="10"/>
      <c r="M5068" s="10"/>
      <c r="N5068" s="10"/>
      <c r="O5068" s="10"/>
      <c r="P5068" s="10"/>
      <c r="Q5068" s="10"/>
      <c r="R5068" s="10"/>
      <c r="S5068" s="10"/>
      <c r="T5068" s="10"/>
      <c r="U5068" s="10"/>
      <c r="V5068" s="10"/>
      <c r="W5068" s="10"/>
      <c r="X5068" s="10"/>
      <c r="Y5068" s="10"/>
      <c r="Z5068" s="10"/>
    </row>
    <row r="5069" spans="1:26" ht="12.75">
      <c r="A5069" s="10" t="str">
        <f ca="1">IFERROR(__xludf.DUMMYFUNCTION("""COMPUTED_VALUE"""),"Магдалена Златкова Гарванова")</f>
        <v>Магдалена Златкова Гарванова</v>
      </c>
      <c r="B5069" s="10" t="str">
        <f ca="1">IFERROR(__xludf.DUMMYFUNCTION("""COMPUTED_VALUE"""),"Статия в списания и поредици")</f>
        <v>Статия в списания и поредици</v>
      </c>
      <c r="C5069" s="10" t="str">
        <f ca="1">IFERROR(__xludf.DUMMYFUNCTION("""COMPUTED_VALUE"""),"Bulgarian adaptation of the Coopersmith Self-Esteem Inventory for Adults (Form C)")</f>
        <v>Bulgarian adaptation of the Coopersmith Self-Esteem Inventory for Adults (Form C)</v>
      </c>
      <c r="D5069" s="10">
        <f ca="1">IFERROR(__xludf.DUMMYFUNCTION("""COMPUTED_VALUE"""),2019)</f>
        <v>2019</v>
      </c>
      <c r="E5069" s="10" t="str">
        <f ca="1">IFERROR(__xludf.DUMMYFUNCTION("""COMPUTED_VALUE"""),"Psychological Thought, vol. 12, No 1, 93-110, ISSN 2193-7281, doi: https://doi.org/10.5964/psyct.v12i1.318")</f>
        <v>Psychological Thought, vol. 12, No 1, 93-110, ISSN 2193-7281, doi: https://doi.org/10.5964/psyct.v12i1.318</v>
      </c>
      <c r="F5069" s="10" t="str">
        <f ca="1">IFERROR(__xludf.DUMMYFUNCTION("""COMPUTED_VALUE"""),"Scopus, Google Scholar; SJR=0.15 за 2018, Q4")</f>
        <v>Scopus, Google Scholar; SJR=0.15 за 2018, Q4</v>
      </c>
      <c r="G5069" s="10" t="str">
        <f ca="1">IFERROR(__xludf.DUMMYFUNCTION("""COMPUTED_VALUE"""),"Stoyanova, S., Papazova, E.")</f>
        <v>Stoyanova, S., Papazova, E.</v>
      </c>
      <c r="H5069" s="10"/>
      <c r="I5069" s="10"/>
      <c r="J5069" s="10"/>
      <c r="K5069" s="10"/>
      <c r="L5069" s="10"/>
      <c r="M5069" s="10"/>
      <c r="N5069" s="10"/>
      <c r="O5069" s="10"/>
      <c r="P5069" s="10"/>
      <c r="Q5069" s="10"/>
      <c r="R5069" s="10"/>
      <c r="S5069" s="10"/>
      <c r="T5069" s="10"/>
      <c r="U5069" s="10"/>
      <c r="V5069" s="10"/>
      <c r="W5069" s="10"/>
      <c r="X5069" s="10"/>
      <c r="Y5069" s="10"/>
      <c r="Z5069" s="10"/>
    </row>
    <row r="5070" spans="1:26" ht="12.75">
      <c r="A5070" s="10" t="str">
        <f ca="1">IFERROR(__xludf.DUMMYFUNCTION("""COMPUTED_VALUE"""),"Магдалена Златкова Гарванова")</f>
        <v>Магдалена Златкова Гарванова</v>
      </c>
      <c r="B5070" s="10" t="str">
        <f ca="1">IFERROR(__xludf.DUMMYFUNCTION("""COMPUTED_VALUE"""),"Доклад от конференция")</f>
        <v>Доклад от конференция</v>
      </c>
      <c r="C5070" s="10" t="str">
        <f ca="1">IFERROR(__xludf.DUMMYFUNCTION("""COMPUTED_VALUE"""),"Analysis of algorithms for generating test questions in e-testing systems")</f>
        <v>Analysis of algorithms for generating test questions in e-testing systems</v>
      </c>
      <c r="D5070" s="10">
        <f ca="1">IFERROR(__xludf.DUMMYFUNCTION("""COMPUTED_VALUE"""),2019)</f>
        <v>2019</v>
      </c>
      <c r="E5070" s="10" t="str">
        <f ca="1">IFERROR(__xludf.DUMMYFUNCTION("""COMPUTED_VALUE"""),"In: L. G. Chova, A. L. Martínez, &amp; I. C. Torres (Eds.), EDULEARN19 Proceedings. 11th Annual International Conference on Education and New Learning Technologies, July 1st-3rd, 2019 — Palma, Mallorca, Spain. IATED Academy, 1714-1719. ISBN 978-84-09-12031-4,"&amp;" ISSN 2340-1117, doi: 10.21125/edulearn.2019.0498")</f>
        <v>In: L. G. Chova, A. L. Martínez, &amp; I. C. Torres (Eds.), EDULEARN19 Proceedings. 11th Annual International Conference on Education and New Learning Technologies, July 1st-3rd, 2019 — Palma, Mallorca, Spain. IATED Academy, 1714-1719. ISBN 978-84-09-12031-4, ISSN 2340-1117, doi: 10.21125/edulearn.2019.0498</v>
      </c>
      <c r="F5070" s="10" t="str">
        <f ca="1">IFERROR(__xludf.DUMMYFUNCTION("""COMPUTED_VALUE"""),"Web of Science")</f>
        <v>Web of Science</v>
      </c>
      <c r="G5070" s="10" t="str">
        <f ca="1">IFERROR(__xludf.DUMMYFUNCTION("""COMPUTED_VALUE"""),"Kostadinova, I., Rasheva-Yordanova, K., &amp; Garvanova, M.")</f>
        <v>Kostadinova, I., Rasheva-Yordanova, K., &amp; Garvanova, M.</v>
      </c>
      <c r="H5070" s="10"/>
      <c r="I5070" s="10"/>
      <c r="J5070" s="10"/>
      <c r="K5070" s="10"/>
      <c r="L5070" s="10"/>
      <c r="M5070" s="10"/>
      <c r="N5070" s="10"/>
      <c r="O5070" s="10"/>
      <c r="P5070" s="10"/>
      <c r="Q5070" s="10"/>
      <c r="R5070" s="10"/>
      <c r="S5070" s="10"/>
      <c r="T5070" s="10"/>
      <c r="U5070" s="10"/>
      <c r="V5070" s="10"/>
      <c r="W5070" s="10"/>
      <c r="X5070" s="10"/>
      <c r="Y5070" s="10"/>
      <c r="Z5070" s="10"/>
    </row>
    <row r="5071" spans="1:26" ht="12.75">
      <c r="A5071" s="10" t="str">
        <f ca="1">IFERROR(__xludf.DUMMYFUNCTION("""COMPUTED_VALUE"""),"Магдалена Златкова Гарванова")</f>
        <v>Магдалена Златкова Гарванова</v>
      </c>
      <c r="B5071" s="10" t="str">
        <f ca="1">IFERROR(__xludf.DUMMYFUNCTION("""COMPUTED_VALUE"""),"Статия в списания и поредици")</f>
        <v>Статия в списания и поредици</v>
      </c>
      <c r="C5071" s="10" t="str">
        <f ca="1">IFERROR(__xludf.DUMMYFUNCTION("""COMPUTED_VALUE"""),"Надеждност на скàли")</f>
        <v>Надеждност на скàли</v>
      </c>
      <c r="D5071" s="10">
        <f ca="1">IFERROR(__xludf.DUMMYFUNCTION("""COMPUTED_VALUE"""),2019)</f>
        <v>2019</v>
      </c>
      <c r="E5071" s="10" t="str">
        <f ca="1">IFERROR(__xludf.DUMMYFUNCTION("""COMPUTED_VALUE"""),"В: Комуникации и политики. Учебно пособие т. 3. С., АИ “За буквите – О писменехь”, с. 67-76. ISBN 978-619-185-391-5")</f>
        <v>В: Комуникации и политики. Учебно пособие т. 3. С., АИ “За буквите – О писменехь”, с. 67-76. ISBN 978-619-185-391-5</v>
      </c>
      <c r="F5071" s="10"/>
      <c r="G5071" s="10"/>
      <c r="H5071" s="10"/>
      <c r="I5071" s="10"/>
      <c r="J5071" s="10"/>
      <c r="K5071" s="10"/>
      <c r="L5071" s="10"/>
      <c r="M5071" s="10"/>
      <c r="N5071" s="10"/>
      <c r="O5071" s="10"/>
      <c r="P5071" s="10"/>
      <c r="Q5071" s="10"/>
      <c r="R5071" s="10"/>
      <c r="S5071" s="10"/>
      <c r="T5071" s="10"/>
      <c r="U5071" s="10"/>
      <c r="V5071" s="10"/>
      <c r="W5071" s="10"/>
      <c r="X5071" s="10"/>
      <c r="Y5071" s="10"/>
      <c r="Z5071" s="10"/>
    </row>
    <row r="5072" spans="1:26" ht="12.75">
      <c r="A5072" s="10" t="str">
        <f ca="1">IFERROR(__xludf.DUMMYFUNCTION("""COMPUTED_VALUE"""),"Магдалена Златкова Гарванова")</f>
        <v>Магдалена Златкова Гарванова</v>
      </c>
      <c r="B5072" s="10" t="str">
        <f ca="1">IFERROR(__xludf.DUMMYFUNCTION("""COMPUTED_VALUE"""),"Доклад от конференция")</f>
        <v>Доклад от конференция</v>
      </c>
      <c r="C5072" s="10" t="str">
        <f ca="1">IFERROR(__xludf.DUMMYFUNCTION("""COMPUTED_VALUE"""),"Comparative findings from Data Literacy Survey in three Bulgarian universities")</f>
        <v>Comparative findings from Data Literacy Survey in three Bulgarian universities</v>
      </c>
      <c r="D5072" s="10">
        <f ca="1">IFERROR(__xludf.DUMMYFUNCTION("""COMPUTED_VALUE"""),2019)</f>
        <v>2019</v>
      </c>
      <c r="E5072" s="10" t="str">
        <f ca="1">IFERROR(__xludf.DUMMYFUNCTION("""COMPUTED_VALUE"""),"In: L. G. Chova, A. L. Martínez, &amp; I. C. Torres (Eds.), EDULEARN19 Proceedings. 11th Annual International Conference on Education and New Learning Technologies, July 1st-3rd, 2019 — Palma, Mallorca, Spain. IATED Academy, 932-940. ISBN 978-84-09-12031-4, I"&amp;"SSN 2340-1117, doi: 10.21125/edulearn.2019.0304")</f>
        <v>In: L. G. Chova, A. L. Martínez, &amp; I. C. Torres (Eds.), EDULEARN19 Proceedings. 11th Annual International Conference on Education and New Learning Technologies, July 1st-3rd, 2019 — Palma, Mallorca, Spain. IATED Academy, 932-940. ISBN 978-84-09-12031-4, ISSN 2340-1117, doi: 10.21125/edulearn.2019.0304</v>
      </c>
      <c r="F5072" s="10" t="str">
        <f ca="1">IFERROR(__xludf.DUMMYFUNCTION("""COMPUTED_VALUE"""),"Web of Science")</f>
        <v>Web of Science</v>
      </c>
      <c r="G5072" s="10" t="str">
        <f ca="1">IFERROR(__xludf.DUMMYFUNCTION("""COMPUTED_VALUE"""),"Todorova, T., Garvanova, M., Peteva, M., &amp; Avramova, V.")</f>
        <v>Todorova, T., Garvanova, M., Peteva, M., &amp; Avramova, V.</v>
      </c>
      <c r="H5072" s="10"/>
      <c r="I5072" s="10"/>
      <c r="J5072" s="10"/>
      <c r="K5072" s="10"/>
      <c r="L5072" s="10"/>
      <c r="M5072" s="10"/>
      <c r="N5072" s="10"/>
      <c r="O5072" s="10"/>
      <c r="P5072" s="10"/>
      <c r="Q5072" s="10"/>
      <c r="R5072" s="10"/>
      <c r="S5072" s="10"/>
      <c r="T5072" s="10"/>
      <c r="U5072" s="10"/>
      <c r="V5072" s="10"/>
      <c r="W5072" s="10"/>
      <c r="X5072" s="10"/>
      <c r="Y5072" s="10"/>
      <c r="Z5072" s="10"/>
    </row>
    <row r="5073" spans="1:26" ht="12.75">
      <c r="A5073" s="10" t="str">
        <f ca="1">IFERROR(__xludf.DUMMYFUNCTION("""COMPUTED_VALUE"""),"Магдалена Златкова Гарванова")</f>
        <v>Магдалена Златкова Гарванова</v>
      </c>
      <c r="B5073" s="10" t="str">
        <f ca="1">IFERROR(__xludf.DUMMYFUNCTION("""COMPUTED_VALUE"""),"Доклад от конференция")</f>
        <v>Доклад от конференция</v>
      </c>
      <c r="C5073" s="10" t="str">
        <f ca="1">IFERROR(__xludf.DUMMYFUNCTION("""COMPUTED_VALUE"""),"The digital entrepreneurship as a new generation software of the mind")</f>
        <v>The digital entrepreneurship as a new generation software of the mind</v>
      </c>
      <c r="D5073" s="10">
        <f ca="1">IFERROR(__xludf.DUMMYFUNCTION("""COMPUTED_VALUE"""),2019)</f>
        <v>2019</v>
      </c>
      <c r="E5073" s="10" t="str">
        <f ca="1">IFERROR(__xludf.DUMMYFUNCTION("""COMPUTED_VALUE"""),"In: S. V. Ivanova &amp; I. M. Elkina (Eds.), The European Proceedings of Social and Behavioural Sciences EpSBS. 8th icCSBs 2019 The Annual International Conference on Cognitive – Social, and Behavioural Sciences. Future Academy, vol. LVII, e-ISSN 2357-1330")</f>
        <v>In: S. V. Ivanova &amp; I. M. Elkina (Eds.), The European Proceedings of Social and Behavioural Sciences EpSBS. 8th icCSBs 2019 The Annual International Conference on Cognitive – Social, and Behavioural Sciences. Future Academy, vol. LVII, e-ISSN 2357-1330</v>
      </c>
      <c r="F5073" s="10" t="str">
        <f ca="1">IFERROR(__xludf.DUMMYFUNCTION("""COMPUTED_VALUE"""),"Web of Science")</f>
        <v>Web of Science</v>
      </c>
      <c r="G5073" s="10"/>
      <c r="H5073" s="10"/>
      <c r="I5073" s="10"/>
      <c r="J5073" s="10"/>
      <c r="K5073" s="10"/>
      <c r="L5073" s="10"/>
      <c r="M5073" s="10"/>
      <c r="N5073" s="10"/>
      <c r="O5073" s="10"/>
      <c r="P5073" s="10"/>
      <c r="Q5073" s="10"/>
      <c r="R5073" s="10"/>
      <c r="S5073" s="10"/>
      <c r="T5073" s="10"/>
      <c r="U5073" s="10"/>
      <c r="V5073" s="10"/>
      <c r="W5073" s="10"/>
      <c r="X5073" s="10"/>
      <c r="Y5073" s="10"/>
      <c r="Z5073" s="10"/>
    </row>
    <row r="5074" spans="1:26" ht="12.75">
      <c r="A5074" s="10" t="str">
        <f ca="1">IFERROR(__xludf.DUMMYFUNCTION("""COMPUTED_VALUE"""),"Магдалена Златкова Гарванова")</f>
        <v>Магдалена Златкова Гарванова</v>
      </c>
      <c r="B5074" s="10" t="str">
        <f ca="1">IFERROR(__xludf.DUMMYFUNCTION("""COMPUTED_VALUE"""),"Доклад от конференция")</f>
        <v>Доклад от конференция</v>
      </c>
      <c r="C5074" s="10" t="str">
        <f ca="1">IFERROR(__xludf.DUMMYFUNCTION("""COMPUTED_VALUE"""),"Denoising of pulsar signal using wavelet transform")</f>
        <v>Denoising of pulsar signal using wavelet transform</v>
      </c>
      <c r="D5074" s="10">
        <f ca="1">IFERROR(__xludf.DUMMYFUNCTION("""COMPUTED_VALUE"""),2019)</f>
        <v>2019</v>
      </c>
      <c r="E5074" s="10" t="str">
        <f ca="1">IFERROR(__xludf.DUMMYFUNCTION("""COMPUTED_VALUE"""),"Proceedings of the 16th International Conference on Electrical Machines, Drives and Power Systems ELMA 2019, 6-8 June 2019, Varna, Bulgaria, 637-640, ISBN 978-1-7281-1412-5, IEEE Catalog Number: CFP19L07-USB")</f>
        <v>Proceedings of the 16th International Conference on Electrical Machines, Drives and Power Systems ELMA 2019, 6-8 June 2019, Varna, Bulgaria, 637-640, ISBN 978-1-7281-1412-5, IEEE Catalog Number: CFP19L07-USB</v>
      </c>
      <c r="F5074" s="10" t="str">
        <f ca="1">IFERROR(__xludf.DUMMYFUNCTION("""COMPUTED_VALUE"""),"Scopus, Web of Science")</f>
        <v>Scopus, Web of Science</v>
      </c>
      <c r="G5074" s="10" t="str">
        <f ca="1">IFERROR(__xludf.DUMMYFUNCTION("""COMPUTED_VALUE"""),"Garvanov, I., Iyinbor, R., Garvanova, M., &amp; Geshev, N.")</f>
        <v>Garvanov, I., Iyinbor, R., Garvanova, M., &amp; Geshev, N.</v>
      </c>
      <c r="H5074" s="10"/>
      <c r="I5074" s="10"/>
      <c r="J5074" s="10"/>
      <c r="K5074" s="10"/>
      <c r="L5074" s="10"/>
      <c r="M5074" s="10"/>
      <c r="N5074" s="10"/>
      <c r="O5074" s="10"/>
      <c r="P5074" s="10"/>
      <c r="Q5074" s="10"/>
      <c r="R5074" s="10"/>
      <c r="S5074" s="10"/>
      <c r="T5074" s="10"/>
      <c r="U5074" s="10"/>
      <c r="V5074" s="10"/>
      <c r="W5074" s="10"/>
      <c r="X5074" s="10"/>
      <c r="Y5074" s="10"/>
      <c r="Z5074" s="10"/>
    </row>
    <row r="5075" spans="1:26" ht="12.75">
      <c r="A5075" s="10" t="str">
        <f ca="1">IFERROR(__xludf.DUMMYFUNCTION("""COMPUTED_VALUE"""),"Магдалена Златкова Гарванова")</f>
        <v>Магдалена Златкова Гарванова</v>
      </c>
      <c r="B5075" s="10" t="str">
        <f ca="1">IFERROR(__xludf.DUMMYFUNCTION("""COMPUTED_VALUE"""),"Доклад от конференция")</f>
        <v>Доклад от конференция</v>
      </c>
      <c r="C5075" s="10" t="str">
        <f ca="1">IFERROR(__xludf.DUMMYFUNCTION("""COMPUTED_VALUE"""),"Pulsar signal detection and recognition")</f>
        <v>Pulsar signal detection and recognition</v>
      </c>
      <c r="D5075" s="10">
        <f ca="1">IFERROR(__xludf.DUMMYFUNCTION("""COMPUTED_VALUE"""),2019)</f>
        <v>2019</v>
      </c>
      <c r="E5075" s="10" t="str">
        <f ca="1">IFERROR(__xludf.DUMMYFUNCTION("""COMPUTED_VALUE"""),"In: B. Shishkov (Ed.), Proceedings of the Eighth International Conference on Telecommunications and Remote Sensing – ICTRS’19, 16-17 September 2019, Rhodes, Greece, 30-34. New York: ACM, ISBN 978-1-4503-7669-3/19/09, doi: https://doi.org/10.1145/3357767.3"&amp;"357771")</f>
        <v>In: B. Shishkov (Ed.), Proceedings of the Eighth International Conference on Telecommunications and Remote Sensing – ICTRS’19, 16-17 September 2019, Rhodes, Greece, 30-34. New York: ACM, ISBN 978-1-4503-7669-3/19/09, doi: https://doi.org/10.1145/3357767.3357771</v>
      </c>
      <c r="F5075" s="10" t="str">
        <f ca="1">IFERROR(__xludf.DUMMYFUNCTION("""COMPUTED_VALUE"""),"Scopus, Web of Science")</f>
        <v>Scopus, Web of Science</v>
      </c>
      <c r="G5075" s="10" t="str">
        <f ca="1">IFERROR(__xludf.DUMMYFUNCTION("""COMPUTED_VALUE"""),"Garvanov, I., Garvanova, M., &amp; Kabakchiev, C.")</f>
        <v>Garvanov, I., Garvanova, M., &amp; Kabakchiev, C.</v>
      </c>
      <c r="H5075" s="10"/>
      <c r="I5075" s="10"/>
      <c r="J5075" s="10"/>
      <c r="K5075" s="10"/>
      <c r="L5075" s="10"/>
      <c r="M5075" s="10"/>
      <c r="N5075" s="10"/>
      <c r="O5075" s="10"/>
      <c r="P5075" s="10"/>
      <c r="Q5075" s="10"/>
      <c r="R5075" s="10"/>
      <c r="S5075" s="10"/>
      <c r="T5075" s="10"/>
      <c r="U5075" s="10"/>
      <c r="V5075" s="10"/>
      <c r="W5075" s="10"/>
      <c r="X5075" s="10"/>
      <c r="Y5075" s="10"/>
      <c r="Z5075" s="10"/>
    </row>
    <row r="5076" spans="1:26" ht="12.75">
      <c r="A5076" s="10" t="str">
        <f ca="1">IFERROR(__xludf.DUMMYFUNCTION("""COMPUTED_VALUE"""),"Магдалена Златкова Гарванова")</f>
        <v>Магдалена Златкова Гарванова</v>
      </c>
      <c r="B5076" s="10" t="str">
        <f ca="1">IFERROR(__xludf.DUMMYFUNCTION("""COMPUTED_VALUE"""),"Доклад от конференция")</f>
        <v>Доклад от конференция</v>
      </c>
      <c r="C5076" s="10" t="str">
        <f ca="1">IFERROR(__xludf.DUMMYFUNCTION("""COMPUTED_VALUE"""),"Репутацията на университета като ключов фактор за генериране на лидерски позиции")</f>
        <v>Репутацията на университета като ключов фактор за генериране на лидерски позиции</v>
      </c>
      <c r="D5076" s="10">
        <f ca="1">IFERROR(__xludf.DUMMYFUNCTION("""COMPUTED_VALUE"""),2019)</f>
        <v>2019</v>
      </c>
      <c r="E5076" s="10" t="str">
        <f ca="1">IFERROR(__xludf.DUMMYFUNCTION("""COMPUTED_VALUE"""),"Съвременни измерения на европейското образователно и научно пространство. Българо-австрийски културни общувания. Сборник с доклади. Тринадесети международен пътуващ семинар на УниБИТ България – Австрия, 29-31 май 2019 г. С., АИ “За буквите – О писменехь”,"&amp;" т. 7, ISSN 2367-7988")</f>
        <v>Съвременни измерения на европейското образователно и научно пространство. Българо-австрийски културни общувания. Сборник с доклади. Тринадесети международен пътуващ семинар на УниБИТ България – Австрия, 29-31 май 2019 г. С., АИ “За буквите – О писменехь”, т. 7, ISSN 2367-7988</v>
      </c>
      <c r="F5076" s="10"/>
      <c r="G5076" s="10" t="str">
        <f ca="1">IFERROR(__xludf.DUMMYFUNCTION("""COMPUTED_VALUE"""),"Павлова, М.")</f>
        <v>Павлова, М.</v>
      </c>
      <c r="H5076" s="10"/>
      <c r="I5076" s="10"/>
      <c r="J5076" s="10"/>
      <c r="K5076" s="10"/>
      <c r="L5076" s="10"/>
      <c r="M5076" s="10"/>
      <c r="N5076" s="10"/>
      <c r="O5076" s="10"/>
      <c r="P5076" s="10"/>
      <c r="Q5076" s="10"/>
      <c r="R5076" s="10"/>
      <c r="S5076" s="10"/>
      <c r="T5076" s="10"/>
      <c r="U5076" s="10"/>
      <c r="V5076" s="10"/>
      <c r="W5076" s="10"/>
      <c r="X5076" s="10"/>
      <c r="Y5076" s="10"/>
      <c r="Z5076" s="10"/>
    </row>
    <row r="5077" spans="1:26" ht="12.75">
      <c r="A5077" s="10" t="str">
        <f ca="1">IFERROR(__xludf.DUMMYFUNCTION("""COMPUTED_VALUE"""),"Магдалена Златкова Гарванова")</f>
        <v>Магдалена Златкова Гарванова</v>
      </c>
      <c r="B5077" s="10" t="str">
        <f ca="1">IFERROR(__xludf.DUMMYFUNCTION("""COMPUTED_VALUE"""),"Доклад от конференция")</f>
        <v>Доклад от конференция</v>
      </c>
      <c r="C5077" s="10" t="str">
        <f ca="1">IFERROR(__xludf.DUMMYFUNCTION("""COMPUTED_VALUE"""),"Наблюдения от сравнително проучване на компетентността по управление на изследователски данни в български университети")</f>
        <v>Наблюдения от сравнително проучване на компетентността по управление на изследователски данни в български университети</v>
      </c>
      <c r="D5077" s="10">
        <f ca="1">IFERROR(__xludf.DUMMYFUNCTION("""COMPUTED_VALUE"""),2019)</f>
        <v>2019</v>
      </c>
      <c r="E5077" s="10" t="str">
        <f ca="1">IFERROR(__xludf.DUMMYFUNCTION("""COMPUTED_VALUE"""),"Седемнадесета национална научна конференция с международно участие “Обществото на знанието и хуманизмът на ХХІ век”, София, 1 ноември 2019 г. С., Издателство “За буквите – О писменехь”, ISSN 1314-7099.")</f>
        <v>Седемнадесета национална научна конференция с международно участие “Обществото на знанието и хуманизмът на ХХІ век”, София, 1 ноември 2019 г. С., Издателство “За буквите – О писменехь”, ISSN 1314-7099.</v>
      </c>
      <c r="F5077" s="10"/>
      <c r="G5077" s="10" t="str">
        <f ca="1">IFERROR(__xludf.DUMMYFUNCTION("""COMPUTED_VALUE"""),"Тодорова, Т")</f>
        <v>Тодорова, Т</v>
      </c>
      <c r="H5077" s="10"/>
      <c r="I5077" s="10"/>
      <c r="J5077" s="10"/>
      <c r="K5077" s="10"/>
      <c r="L5077" s="10"/>
      <c r="M5077" s="10"/>
      <c r="N5077" s="10"/>
      <c r="O5077" s="10"/>
      <c r="P5077" s="10"/>
      <c r="Q5077" s="10"/>
      <c r="R5077" s="10"/>
      <c r="S5077" s="10"/>
      <c r="T5077" s="10"/>
      <c r="U5077" s="10"/>
      <c r="V5077" s="10"/>
      <c r="W5077" s="10"/>
      <c r="X5077" s="10"/>
      <c r="Y5077" s="10"/>
      <c r="Z5077" s="10"/>
    </row>
    <row r="5078" spans="1:26" ht="12.75">
      <c r="A5078" s="10" t="str">
        <f ca="1">IFERROR(__xludf.DUMMYFUNCTION("""COMPUTED_VALUE"""),"Магдалена Златкова Гарванова")</f>
        <v>Магдалена Златкова Гарванова</v>
      </c>
      <c r="B5078" s="10" t="str">
        <f ca="1">IFERROR(__xludf.DUMMYFUNCTION("""COMPUTED_VALUE"""),"Статия в списания и поредици")</f>
        <v>Статия в списания и поредици</v>
      </c>
      <c r="C5078" s="10" t="str">
        <f ca="1">IFERROR(__xludf.DUMMYFUNCTION("""COMPUTED_VALUE"""),"Vehicle classification based on their GPS signal shadows")</f>
        <v>Vehicle classification based on their GPS signal shadows</v>
      </c>
      <c r="D5078" s="10">
        <f ca="1">IFERROR(__xludf.DUMMYFUNCTION("""COMPUTED_VALUE"""),2019)</f>
        <v>2019</v>
      </c>
      <c r="E5078" s="10" t="str">
        <f ca="1">IFERROR(__xludf.DUMMYFUNCTION("""COMPUTED_VALUE"""),"International Scientific Journal “Industry 4.0”, vol. 4 (6), pp. 286-289, ISSN (Print) 2534-8582, ISSN (Online) 2534-997X")</f>
        <v>International Scientific Journal “Industry 4.0”, vol. 4 (6), pp. 286-289, ISSN (Print) 2534-8582, ISSN (Online) 2534-997X</v>
      </c>
      <c r="F5078" s="10" t="str">
        <f ca="1">IFERROR(__xludf.DUMMYFUNCTION("""COMPUTED_VALUE"""),"Google Scholar")</f>
        <v>Google Scholar</v>
      </c>
      <c r="G5078" s="10" t="str">
        <f ca="1">IFERROR(__xludf.DUMMYFUNCTION("""COMPUTED_VALUE"""),"Garvanov, I.; Vladimirov, S.")</f>
        <v>Garvanov, I.; Vladimirov, S.</v>
      </c>
      <c r="H5078" s="10"/>
      <c r="I5078" s="10"/>
      <c r="J5078" s="10"/>
      <c r="K5078" s="10"/>
      <c r="L5078" s="10"/>
      <c r="M5078" s="10"/>
      <c r="N5078" s="10"/>
      <c r="O5078" s="10"/>
      <c r="P5078" s="10"/>
      <c r="Q5078" s="10"/>
      <c r="R5078" s="10"/>
      <c r="S5078" s="10"/>
      <c r="T5078" s="10"/>
      <c r="U5078" s="10"/>
      <c r="V5078" s="10"/>
      <c r="W5078" s="10"/>
      <c r="X5078" s="10"/>
      <c r="Y5078" s="10"/>
      <c r="Z5078" s="10"/>
    </row>
    <row r="5079" spans="1:26" ht="12.75">
      <c r="A5079" s="10" t="str">
        <f ca="1">IFERROR(__xludf.DUMMYFUNCTION("""COMPUTED_VALUE"""),"Магдалена Златкова Гарванова")</f>
        <v>Магдалена Златкова Гарванова</v>
      </c>
      <c r="B5079" s="10" t="str">
        <f ca="1">IFERROR(__xludf.DUMMYFUNCTION("""COMPUTED_VALUE"""),"Доклад от конференция")</f>
        <v>Доклад от конференция</v>
      </c>
      <c r="C5079" s="10" t="str">
        <f ca="1">IFERROR(__xludf.DUMMYFUNCTION("""COMPUTED_VALUE"""),"Parenting styles, gender-role orientations and romantic beliefs and experience in emerging adulthood")</f>
        <v>Parenting styles, gender-role orientations and romantic beliefs and experience in emerging adulthood</v>
      </c>
      <c r="D5079" s="10">
        <f ca="1">IFERROR(__xludf.DUMMYFUNCTION("""COMPUTED_VALUE"""),2019)</f>
        <v>2019</v>
      </c>
      <c r="E5079" s="10" t="str">
        <f ca="1">IFERROR(__xludf.DUMMYFUNCTION("""COMPUTED_VALUE"""),"In: Z. Bekirogullari, M. Y. Minas, &amp; R. X. Thambusamy (Eds.), European Proceedings of Social and Behavioural Sciences EpSBS. 9th ICEEPSY 2018 The International Conference on Education &amp; Educational Psychology. Future Academy, vol. XXXII, 188-197, ISSN 235"&amp;"7-1330, doi: https://dx.doi.org/10.15405/epsbs.2019.01.19")</f>
        <v>In: Z. Bekirogullari, M. Y. Minas, &amp; R. X. Thambusamy (Eds.), European Proceedings of Social and Behavioural Sciences EpSBS. 9th ICEEPSY 2018 The International Conference on Education &amp; Educational Psychology. Future Academy, vol. XXXII, 188-197, ISSN 2357-1330, doi: https://dx.doi.org/10.15405/epsbs.2019.01.19</v>
      </c>
      <c r="F5079" s="10" t="str">
        <f ca="1">IFERROR(__xludf.DUMMYFUNCTION("""COMPUTED_VALUE"""),"Web of Science")</f>
        <v>Web of Science</v>
      </c>
      <c r="G5079" s="10" t="str">
        <f ca="1">IFERROR(__xludf.DUMMYFUNCTION("""COMPUTED_VALUE"""),"P a p a z o v a, E.")</f>
        <v>P a p a z o v a, E.</v>
      </c>
      <c r="H5079" s="10"/>
      <c r="I5079" s="10"/>
      <c r="J5079" s="10"/>
      <c r="K5079" s="10"/>
      <c r="L5079" s="10"/>
      <c r="M5079" s="10"/>
      <c r="N5079" s="10"/>
      <c r="O5079" s="10"/>
      <c r="P5079" s="10"/>
      <c r="Q5079" s="10"/>
      <c r="R5079" s="10"/>
      <c r="S5079" s="10"/>
      <c r="T5079" s="10"/>
      <c r="U5079" s="10"/>
      <c r="V5079" s="10"/>
      <c r="W5079" s="10"/>
      <c r="X5079" s="10"/>
      <c r="Y5079" s="10"/>
      <c r="Z5079" s="10"/>
    </row>
    <row r="5080" spans="1:26" ht="12.75">
      <c r="A5080" s="10" t="str">
        <f ca="1">IFERROR(__xludf.DUMMYFUNCTION("""COMPUTED_VALUE"""),"Магдалена Златкова Гарванова")</f>
        <v>Магдалена Златкова Гарванова</v>
      </c>
      <c r="B5080" s="10" t="str">
        <f ca="1">IFERROR(__xludf.DUMMYFUNCTION("""COMPUTED_VALUE"""),"Доклад от конференция")</f>
        <v>Доклад от конференция</v>
      </c>
      <c r="C5080" s="10" t="str">
        <f ca="1">IFERROR(__xludf.DUMMYFUNCTION("""COMPUTED_VALUE"""),"Measuring and clustering moving objects")</f>
        <v>Measuring and clustering moving objects</v>
      </c>
      <c r="D5080" s="10">
        <f ca="1">IFERROR(__xludf.DUMMYFUNCTION("""COMPUTED_VALUE"""),2019)</f>
        <v>2019</v>
      </c>
      <c r="E5080" s="10" t="str">
        <f ca="1">IFERROR(__xludf.DUMMYFUNCTION("""COMPUTED_VALUE"""),"In: B. Shishkov (Ed.), Proceedings of the Eighth International Conference on Telecommunications and Remote Sensing – ICTRS’19, 16-17 September 2019, Rhodes, Greece, 66-70. New York: ACM, ISBN 978-1-4503-7669-3/19/09, doi: https://doi.org/10.1145/3357767.3"&amp;"357776")</f>
        <v>In: B. Shishkov (Ed.), Proceedings of the Eighth International Conference on Telecommunications and Remote Sensing – ICTRS’19, 16-17 September 2019, Rhodes, Greece, 66-70. New York: ACM, ISBN 978-1-4503-7669-3/19/09, doi: https://doi.org/10.1145/3357767.3357776</v>
      </c>
      <c r="F5080" s="10" t="str">
        <f ca="1">IFERROR(__xludf.DUMMYFUNCTION("""COMPUTED_VALUE"""),"Scopus, Web of Science")</f>
        <v>Scopus, Web of Science</v>
      </c>
      <c r="G5080" s="10" t="str">
        <f ca="1">IFERROR(__xludf.DUMMYFUNCTION("""COMPUTED_VALUE"""),"Garvanova, M., Garvanov, I., Kabakchiev, C., &amp; Shishkov, B.")</f>
        <v>Garvanova, M., Garvanov, I., Kabakchiev, C., &amp; Shishkov, B.</v>
      </c>
      <c r="H5080" s="10"/>
      <c r="I5080" s="10"/>
      <c r="J5080" s="10"/>
      <c r="K5080" s="10"/>
      <c r="L5080" s="10"/>
      <c r="M5080" s="10"/>
      <c r="N5080" s="10"/>
      <c r="O5080" s="10"/>
      <c r="P5080" s="10"/>
      <c r="Q5080" s="10"/>
      <c r="R5080" s="10"/>
      <c r="S5080" s="10"/>
      <c r="T5080" s="10"/>
      <c r="U5080" s="10"/>
      <c r="V5080" s="10"/>
      <c r="W5080" s="10"/>
      <c r="X5080" s="10"/>
      <c r="Y5080" s="10"/>
      <c r="Z5080" s="10"/>
    </row>
    <row r="5081" spans="1:26" ht="12.75">
      <c r="A5081" s="10" t="str">
        <f ca="1">IFERROR(__xludf.DUMMYFUNCTION("""COMPUTED_VALUE"""),"Магдалена Златкова Гарванова")</f>
        <v>Магдалена Златкова Гарванова</v>
      </c>
      <c r="B5081" s="10" t="str">
        <f ca="1">IFERROR(__xludf.DUMMYFUNCTION("""COMPUTED_VALUE"""),"Доклад от конференция")</f>
        <v>Доклад от конференция</v>
      </c>
      <c r="C5081" s="10" t="str">
        <f ca="1">IFERROR(__xludf.DUMMYFUNCTION("""COMPUTED_VALUE"""),"On the modeling of innovative navigation systems")</f>
        <v>On the modeling of innovative navigation systems</v>
      </c>
      <c r="D5081" s="10">
        <f ca="1">IFERROR(__xludf.DUMMYFUNCTION("""COMPUTED_VALUE"""),2019)</f>
        <v>2019</v>
      </c>
      <c r="E5081" s="10" t="str">
        <f ca="1">IFERROR(__xludf.DUMMYFUNCTION("""COMPUTED_VALUE"""),"In: B. Shishkov (Ed.), Business Modeling and Software Design. BMSD 2019. Lecture Notes in Business Information Processing, vol. 356, 299-306. Springer, Cham, ISBN (Print) 978-3-030-24853-6, ISBN 978-3-030-24854-3 (eBook), ISSN 1865-1348, ISSN 1865-1356 (e"&amp;"lectronic), doi: https://doi.org/10.1007/978-3-030-24854-3_23")</f>
        <v>In: B. Shishkov (Ed.), Business Modeling and Software Design. BMSD 2019. Lecture Notes in Business Information Processing, vol. 356, 299-306. Springer, Cham, ISBN (Print) 978-3-030-24853-6, ISBN 978-3-030-24854-3 (eBook), ISSN 1865-1348, ISSN 1865-1356 (electronic), doi: https://doi.org/10.1007/978-3-030-24854-3_23</v>
      </c>
      <c r="F5081" s="10" t="str">
        <f ca="1">IFERROR(__xludf.DUMMYFUNCTION("""COMPUTED_VALUE"""),"Scopus, Web of Science; SJR=0.24 за 2018, Q3")</f>
        <v>Scopus, Web of Science; SJR=0.24 за 2018, Q3</v>
      </c>
      <c r="G5081" s="10" t="str">
        <f ca="1">IFERROR(__xludf.DUMMYFUNCTION("""COMPUTED_VALUE"""),"Garvanov, I., Kabakchiev, H., Behar, V., Garvanova, M., &amp; Iyinbor, R.")</f>
        <v>Garvanov, I., Kabakchiev, H., Behar, V., Garvanova, M., &amp; Iyinbor, R.</v>
      </c>
      <c r="H5081" s="10"/>
      <c r="I5081" s="10"/>
      <c r="J5081" s="10"/>
      <c r="K5081" s="10"/>
      <c r="L5081" s="10"/>
      <c r="M5081" s="10"/>
      <c r="N5081" s="10"/>
      <c r="O5081" s="10"/>
      <c r="P5081" s="10"/>
      <c r="Q5081" s="10"/>
      <c r="R5081" s="10"/>
      <c r="S5081" s="10"/>
      <c r="T5081" s="10"/>
      <c r="U5081" s="10"/>
      <c r="V5081" s="10"/>
      <c r="W5081" s="10"/>
      <c r="X5081" s="10"/>
      <c r="Y5081" s="10"/>
      <c r="Z5081" s="10"/>
    </row>
    <row r="5082" spans="1:26" ht="12.75">
      <c r="A5082" s="10" t="str">
        <f ca="1">IFERROR(__xludf.DUMMYFUNCTION("""COMPUTED_VALUE"""),"Магдалена Златкова Гарванова")</f>
        <v>Магдалена Златкова Гарванова</v>
      </c>
      <c r="B5082" s="10" t="str">
        <f ca="1">IFERROR(__xludf.DUMMYFUNCTION("""COMPUTED_VALUE"""),"Доклад от конференция")</f>
        <v>Доклад от конференция</v>
      </c>
      <c r="C5082" s="10" t="str">
        <f ca="1">IFERROR(__xludf.DUMMYFUNCTION("""COMPUTED_VALUE"""),"Identification of EEG brain waves obtained by Emotive device")</f>
        <v>Identification of EEG brain waves obtained by Emotive device</v>
      </c>
      <c r="D5082" s="10">
        <f ca="1">IFERROR(__xludf.DUMMYFUNCTION("""COMPUTED_VALUE"""),2019)</f>
        <v>2019</v>
      </c>
      <c r="E5082" s="10" t="str">
        <f ca="1">IFERROR(__xludf.DUMMYFUNCTION("""COMPUTED_VALUE"""),"9th International Conference on Advanced Computer Information Technologies – ACIT 2019, June 5-7 2019, Ceske Budejovice, Czech Republic, 244-247. IEEE, Electronic ISBN 978-1-7281-0450-8, Print ISBN 978-1-7281-0449-2, Print on Demand (PoD) ISBN 978-1-7281-"&amp;"0451-5, doi: 10.1109/ACITT.2019.8779861")</f>
        <v>9th International Conference on Advanced Computer Information Technologies – ACIT 2019, June 5-7 2019, Ceske Budejovice, Czech Republic, 244-247. IEEE, Electronic ISBN 978-1-7281-0450-8, Print ISBN 978-1-7281-0449-2, Print on Demand (PoD) ISBN 978-1-7281-0451-5, doi: 10.1109/ACITT.2019.8779861</v>
      </c>
      <c r="F5082" s="10" t="str">
        <f ca="1">IFERROR(__xludf.DUMMYFUNCTION("""COMPUTED_VALUE"""),"Scopus")</f>
        <v>Scopus</v>
      </c>
      <c r="G5082" s="10" t="str">
        <f ca="1">IFERROR(__xludf.DUMMYFUNCTION("""COMPUTED_VALUE"""),"Dimitrov, G. P., Garvanova, M., Kovatcheva, E., Aleksiev, K. V., &amp; Dimitrova, I.")</f>
        <v>Dimitrov, G. P., Garvanova, M., Kovatcheva, E., Aleksiev, K. V., &amp; Dimitrova, I.</v>
      </c>
      <c r="H5082" s="10"/>
      <c r="I5082" s="10"/>
      <c r="J5082" s="10"/>
      <c r="K5082" s="10"/>
      <c r="L5082" s="10"/>
      <c r="M5082" s="10"/>
      <c r="N5082" s="10"/>
      <c r="O5082" s="10"/>
      <c r="P5082" s="10"/>
      <c r="Q5082" s="10"/>
      <c r="R5082" s="10"/>
      <c r="S5082" s="10"/>
      <c r="T5082" s="10"/>
      <c r="U5082" s="10"/>
      <c r="V5082" s="10"/>
      <c r="W5082" s="10"/>
      <c r="X5082" s="10"/>
      <c r="Y5082" s="10"/>
      <c r="Z5082" s="10"/>
    </row>
    <row r="5083" spans="1:26" ht="12.75">
      <c r="A5083" s="10" t="str">
        <f ca="1">IFERROR(__xludf.DUMMYFUNCTION("""COMPUTED_VALUE"""),"Магдалена Златкова Гарванова")</f>
        <v>Магдалена Златкова Гарванова</v>
      </c>
      <c r="B5083" s="10" t="str">
        <f ca="1">IFERROR(__xludf.DUMMYFUNCTION("""COMPUTED_VALUE"""),"Доклад от конференция")</f>
        <v>Доклад от конференция</v>
      </c>
      <c r="C5083" s="10" t="str">
        <f ca="1">IFERROR(__xludf.DUMMYFUNCTION("""COMPUTED_VALUE"""),"Mobile devices – effect on human health")</f>
        <v>Mobile devices – effect on human health</v>
      </c>
      <c r="D5083" s="10">
        <f ca="1">IFERROR(__xludf.DUMMYFUNCTION("""COMPUTED_VALUE"""),2018)</f>
        <v>2018</v>
      </c>
      <c r="E5083" s="10" t="str">
        <f ca="1">IFERROR(__xludf.DUMMYFUNCTION("""COMPUTED_VALUE"""),"In: B. Shishkov (Ed.), Proceedings of the Seventh International Conference on Telecommunications and Remote Sensing – ICTRS’18, October 8-9, 2018, Barcelona, Spain, 101-104. New York: ACM, ISBN 978-1-4503-6580-2/18/10, doi: https://doi.org/10.1145/3278161"&amp;".3278176")</f>
        <v>In: B. Shishkov (Ed.), Proceedings of the Seventh International Conference on Telecommunications and Remote Sensing – ICTRS’18, October 8-9, 2018, Barcelona, Spain, 101-104. New York: ACM, ISBN 978-1-4503-6580-2/18/10, doi: https://doi.org/10.1145/3278161.3278176</v>
      </c>
      <c r="F5083" s="10" t="str">
        <f ca="1">IFERROR(__xludf.DUMMYFUNCTION("""COMPUTED_VALUE"""),"Scopus")</f>
        <v>Scopus</v>
      </c>
      <c r="G5083" s="10" t="str">
        <f ca="1">IFERROR(__xludf.DUMMYFUNCTION("""COMPUTED_VALUE"""),"S h i s h k o v, B., V l a d i m i r o v, S.")</f>
        <v>S h i s h k o v, B., V l a d i m i r o v, S.</v>
      </c>
      <c r="H5083" s="10"/>
      <c r="I5083" s="10"/>
      <c r="J5083" s="10"/>
      <c r="K5083" s="10"/>
      <c r="L5083" s="10"/>
      <c r="M5083" s="10"/>
      <c r="N5083" s="10"/>
      <c r="O5083" s="10"/>
      <c r="P5083" s="10"/>
      <c r="Q5083" s="10"/>
      <c r="R5083" s="10"/>
      <c r="S5083" s="10"/>
      <c r="T5083" s="10"/>
      <c r="U5083" s="10"/>
      <c r="V5083" s="10"/>
      <c r="W5083" s="10"/>
      <c r="X5083" s="10"/>
      <c r="Y5083" s="10"/>
      <c r="Z5083" s="10"/>
    </row>
    <row r="5084" spans="1:26" ht="12.75">
      <c r="A5084" s="10" t="str">
        <f ca="1">IFERROR(__xludf.DUMMYFUNCTION("""COMPUTED_VALUE"""),"Магдалена Златкова Гарванова")</f>
        <v>Магдалена Златкова Гарванова</v>
      </c>
      <c r="B5084" s="10" t="str">
        <f ca="1">IFERROR(__xludf.DUMMYFUNCTION("""COMPUTED_VALUE"""),"Доклад от конференция")</f>
        <v>Доклад от конференция</v>
      </c>
      <c r="C5084" s="10" t="str">
        <f ca="1">IFERROR(__xludf.DUMMYFUNCTION("""COMPUTED_VALUE"""),"Оценка на електромагнитни полета, излъчвани от GSM апарати")</f>
        <v>Оценка на електромагнитни полета, излъчвани от GSM апарати</v>
      </c>
      <c r="D5084" s="10">
        <f ca="1">IFERROR(__xludf.DUMMYFUNCTION("""COMPUTED_VALUE"""),2018)</f>
        <v>2018</v>
      </c>
      <c r="E5084" s="10" t="str">
        <f ca="1">IFERROR(__xludf.DUMMYFUNCTION("""COMPUTED_VALUE"""),"В: Г. Димитров (отг. ред.) Стратегии, хора и технологии в корабоплаването. Сборник доклади, изнесени на Международна научна конференция, Варна 10-11 май 2018 г. Варна, Издател ВВМУ “Н. Й. Вапцаров”, 170-173, ISBN 978-619-7428-28-5")</f>
        <v>В: Г. Димитров (отг. ред.) Стратегии, хора и технологии в корабоплаването. Сборник доклади, изнесени на Международна научна конференция, Варна 10-11 май 2018 г. Варна, Издател ВВМУ “Н. Й. Вапцаров”, 170-173, ISBN 978-619-7428-28-5</v>
      </c>
      <c r="F5084" s="10"/>
      <c r="G5084" s="10" t="str">
        <f ca="1">IFERROR(__xludf.DUMMYFUNCTION("""COMPUTED_VALUE"""),"В л а д и м и р о в, С.")</f>
        <v>В л а д и м и р о в, С.</v>
      </c>
      <c r="H5084" s="10"/>
      <c r="I5084" s="10"/>
      <c r="J5084" s="10"/>
      <c r="K5084" s="10"/>
      <c r="L5084" s="10"/>
      <c r="M5084" s="10"/>
      <c r="N5084" s="10"/>
      <c r="O5084" s="10"/>
      <c r="P5084" s="10"/>
      <c r="Q5084" s="10"/>
      <c r="R5084" s="10"/>
      <c r="S5084" s="10"/>
      <c r="T5084" s="10"/>
      <c r="U5084" s="10"/>
      <c r="V5084" s="10"/>
      <c r="W5084" s="10"/>
      <c r="X5084" s="10"/>
      <c r="Y5084" s="10"/>
      <c r="Z5084" s="10"/>
    </row>
    <row r="5085" spans="1:26" ht="12.75">
      <c r="A5085" s="10" t="str">
        <f ca="1">IFERROR(__xludf.DUMMYFUNCTION("""COMPUTED_VALUE"""),"Магдалена Златкова Гарванова")</f>
        <v>Магдалена Златкова Гарванова</v>
      </c>
      <c r="B5085" s="10" t="str">
        <f ca="1">IFERROR(__xludf.DUMMYFUNCTION("""COMPUTED_VALUE"""),"Доклад от конференция")</f>
        <v>Доклад от конференция</v>
      </c>
      <c r="C5085" s="10" t="str">
        <f ca="1">IFERROR(__xludf.DUMMYFUNCTION("""COMPUTED_VALUE"""),"Психологически аспекти на интернет зависимостта")</f>
        <v>Психологически аспекти на интернет зависимостта</v>
      </c>
      <c r="D5085" s="10">
        <f ca="1">IFERROR(__xludf.DUMMYFUNCTION("""COMPUTED_VALUE"""),2018)</f>
        <v>2018</v>
      </c>
      <c r="E5085" s="10" t="str">
        <f ca="1">IFERROR(__xludf.DUMMYFUNCTION("""COMPUTED_VALUE"""),"Шестнадесета национална научна конференция с международно участие “Обществото на знанието и хуманизмът на ХХІ век”, София, 1 ноември 2018 г. С., Издателство “За буквите – О писменехь”, ISSN 1314-7099")</f>
        <v>Шестнадесета национална научна конференция с международно участие “Обществото на знанието и хуманизмът на ХХІ век”, София, 1 ноември 2018 г. С., Издателство “За буквите – О писменехь”, ISSN 1314-7099</v>
      </c>
      <c r="F5085" s="10"/>
      <c r="G5085" s="10" t="str">
        <f ca="1">IFERROR(__xludf.DUMMYFUNCTION("""COMPUTED_VALUE"""),"Иванова, Т., Павлова, М., Шуманова, А.")</f>
        <v>Иванова, Т., Павлова, М., Шуманова, А.</v>
      </c>
      <c r="H5085" s="10"/>
      <c r="I5085" s="10"/>
      <c r="J5085" s="10"/>
      <c r="K5085" s="10"/>
      <c r="L5085" s="10"/>
      <c r="M5085" s="10"/>
      <c r="N5085" s="10"/>
      <c r="O5085" s="10"/>
      <c r="P5085" s="10"/>
      <c r="Q5085" s="10"/>
      <c r="R5085" s="10"/>
      <c r="S5085" s="10"/>
      <c r="T5085" s="10"/>
      <c r="U5085" s="10"/>
      <c r="V5085" s="10"/>
      <c r="W5085" s="10"/>
      <c r="X5085" s="10"/>
      <c r="Y5085" s="10"/>
      <c r="Z5085" s="10"/>
    </row>
    <row r="5086" spans="1:26" ht="12.75">
      <c r="A5086" s="10" t="str">
        <f ca="1">IFERROR(__xludf.DUMMYFUNCTION("""COMPUTED_VALUE"""),"Магдалена Златкова Гарванова")</f>
        <v>Магдалена Златкова Гарванова</v>
      </c>
      <c r="B5086" s="10" t="str">
        <f ca="1">IFERROR(__xludf.DUMMYFUNCTION("""COMPUTED_VALUE"""),"Доклад от конференция")</f>
        <v>Доклад от конференция</v>
      </c>
      <c r="C5086" s="10" t="str">
        <f ca="1">IFERROR(__xludf.DUMMYFUNCTION("""COMPUTED_VALUE"""),"Vehicle navigation in urban environments: Overcoming GPS shadows")</f>
        <v>Vehicle navigation in urban environments: Overcoming GPS shadows</v>
      </c>
      <c r="D5086" s="10">
        <f ca="1">IFERROR(__xludf.DUMMYFUNCTION("""COMPUTED_VALUE"""),2018)</f>
        <v>2018</v>
      </c>
      <c r="E5086" s="10" t="str">
        <f ca="1">IFERROR(__xludf.DUMMYFUNCTION("""COMPUTED_VALUE"""),"In: B. Shishkov (Ed.), Proceedings of the Seventh International Conference on Telecommunications and Remote Sensing – ICTRS’18, October 8-9, 2018, Barcelona, Spain, 95-98. New York: ACM, ISBN 978-1-4503-6580-2/18/10, doi: https://doi.org/10.1145/3278161.3"&amp;"278175")</f>
        <v>In: B. Shishkov (Ed.), Proceedings of the Seventh International Conference on Telecommunications and Remote Sensing – ICTRS’18, October 8-9, 2018, Barcelona, Spain, 95-98. New York: ACM, ISBN 978-1-4503-6580-2/18/10, doi: https://doi.org/10.1145/3278161.3278175</v>
      </c>
      <c r="F5086" s="10" t="str">
        <f ca="1">IFERROR(__xludf.DUMMYFUNCTION("""COMPUTED_VALUE"""),"Scopus")</f>
        <v>Scopus</v>
      </c>
      <c r="G5086" s="10" t="str">
        <f ca="1">IFERROR(__xludf.DUMMYFUNCTION("""COMPUTED_VALUE"""),"G a r v a n o v, I., K a b a k c h i e v, C., S h i s h k o v, B.")</f>
        <v>G a r v a n o v, I., K a b a k c h i e v, C., S h i s h k o v, B.</v>
      </c>
      <c r="H5086" s="10"/>
      <c r="I5086" s="10"/>
      <c r="J5086" s="10"/>
      <c r="K5086" s="10"/>
      <c r="L5086" s="10"/>
      <c r="M5086" s="10"/>
      <c r="N5086" s="10"/>
      <c r="O5086" s="10"/>
      <c r="P5086" s="10"/>
      <c r="Q5086" s="10"/>
      <c r="R5086" s="10"/>
      <c r="S5086" s="10"/>
      <c r="T5086" s="10"/>
      <c r="U5086" s="10"/>
      <c r="V5086" s="10"/>
      <c r="W5086" s="10"/>
      <c r="X5086" s="10"/>
      <c r="Y5086" s="10"/>
      <c r="Z5086" s="10"/>
    </row>
    <row r="5087" spans="1:26" ht="12.75">
      <c r="A5087" s="10" t="str">
        <f ca="1">IFERROR(__xludf.DUMMYFUNCTION("""COMPUTED_VALUE"""),"Магдалена Златкова Гарванова")</f>
        <v>Магдалена Златкова Гарванова</v>
      </c>
      <c r="B5087" s="10" t="str">
        <f ca="1">IFERROR(__xludf.DUMMYFUNCTION("""COMPUTED_VALUE"""),"Статия в списания и поредици")</f>
        <v>Статия в списания и поредици</v>
      </c>
      <c r="C5087" s="10" t="str">
        <f ca="1">IFERROR(__xludf.DUMMYFUNCTION("""COMPUTED_VALUE"""),"Is there a crisis of values among traditional religious communities in Bulgaria?")</f>
        <v>Is there a crisis of values among traditional religious communities in Bulgaria?</v>
      </c>
      <c r="D5087" s="10">
        <f ca="1">IFERROR(__xludf.DUMMYFUNCTION("""COMPUTED_VALUE"""),2018)</f>
        <v>2018</v>
      </c>
      <c r="E5087" s="10" t="str">
        <f ca="1">IFERROR(__xludf.DUMMYFUNCTION("""COMPUTED_VALUE"""),"Psychological Research, Volume 21, Number 1, 81-93, ISSN 0205-0617 (Print), ISSN 2367-9174 (Online)")</f>
        <v>Psychological Research, Volume 21, Number 1, 81-93, ISSN 0205-0617 (Print), ISSN 2367-9174 (Online)</v>
      </c>
      <c r="F5087" s="10" t="str">
        <f ca="1">IFERROR(__xludf.DUMMYFUNCTION("""COMPUTED_VALUE"""),"Google Scholar")</f>
        <v>Google Scholar</v>
      </c>
      <c r="G5087" s="10" t="str">
        <f ca="1">IFERROR(__xludf.DUMMYFUNCTION("""COMPUTED_VALUE"""),"S h a p k a l o v a, S.")</f>
        <v>S h a p k a l o v a, S.</v>
      </c>
      <c r="H5087" s="10"/>
      <c r="I5087" s="10"/>
      <c r="J5087" s="10"/>
      <c r="K5087" s="10"/>
      <c r="L5087" s="10"/>
      <c r="M5087" s="10"/>
      <c r="N5087" s="10"/>
      <c r="O5087" s="10"/>
      <c r="P5087" s="10"/>
      <c r="Q5087" s="10"/>
      <c r="R5087" s="10"/>
      <c r="S5087" s="10"/>
      <c r="T5087" s="10"/>
      <c r="U5087" s="10"/>
      <c r="V5087" s="10"/>
      <c r="W5087" s="10"/>
      <c r="X5087" s="10"/>
      <c r="Y5087" s="10"/>
      <c r="Z5087" s="10"/>
    </row>
    <row r="5088" spans="1:26" ht="12.75">
      <c r="A5088" s="10" t="str">
        <f ca="1">IFERROR(__xludf.DUMMYFUNCTION("""COMPUTED_VALUE"""),"Магдалена Златкова Гарванова")</f>
        <v>Магдалена Златкова Гарванова</v>
      </c>
      <c r="B5088" s="10" t="str">
        <f ca="1">IFERROR(__xludf.DUMMYFUNCTION("""COMPUTED_VALUE"""),"Доклад от конференция")</f>
        <v>Доклад от конференция</v>
      </c>
      <c r="C5088" s="10" t="str">
        <f ca="1">IFERROR(__xludf.DUMMYFUNCTION("""COMPUTED_VALUE"""),"Интернет зависимост при български младежи в контекста на личността")</f>
        <v>Интернет зависимост при български младежи в контекста на личността</v>
      </c>
      <c r="D5088" s="10">
        <f ca="1">IFERROR(__xludf.DUMMYFUNCTION("""COMPUTED_VALUE"""),2018)</f>
        <v>2018</v>
      </c>
      <c r="E5088" s="10" t="str">
        <f ca="1">IFERROR(__xludf.DUMMYFUNCTION("""COMPUTED_VALUE"""),"В: Ж. Назърска и С. Шапкалова (съст.) Хармония в различията. Сборник с доклади от Научната конференция “Xармония в различията”, София, 10.12.2018. С., Академично издателство “За буквите – О писменехь”, 421-432, ISSN 2367-7899")</f>
        <v>В: Ж. Назърска и С. Шапкалова (съст.) Хармония в различията. Сборник с доклади от Научната конференция “Xармония в различията”, София, 10.12.2018. С., Академично издателство “За буквите – О писменехь”, 421-432, ISSN 2367-7899</v>
      </c>
      <c r="F5088" s="10"/>
      <c r="G5088" s="10"/>
      <c r="H5088" s="10"/>
      <c r="I5088" s="10"/>
      <c r="J5088" s="10"/>
      <c r="K5088" s="10"/>
      <c r="L5088" s="10"/>
      <c r="M5088" s="10"/>
      <c r="N5088" s="10"/>
      <c r="O5088" s="10"/>
      <c r="P5088" s="10"/>
      <c r="Q5088" s="10"/>
      <c r="R5088" s="10"/>
      <c r="S5088" s="10"/>
      <c r="T5088" s="10"/>
      <c r="U5088" s="10"/>
      <c r="V5088" s="10"/>
      <c r="W5088" s="10"/>
      <c r="X5088" s="10"/>
      <c r="Y5088" s="10"/>
      <c r="Z5088" s="10"/>
    </row>
    <row r="5089" spans="1:26" ht="12.75">
      <c r="A5089" s="10" t="str">
        <f ca="1">IFERROR(__xludf.DUMMYFUNCTION("""COMPUTED_VALUE"""),"Магдалена Златкова Гарванова")</f>
        <v>Магдалена Златкова Гарванова</v>
      </c>
      <c r="B5089" s="10" t="str">
        <f ca="1">IFERROR(__xludf.DUMMYFUNCTION("""COMPUTED_VALUE"""),"Доклад от конференция")</f>
        <v>Доклад от конференция</v>
      </c>
      <c r="C5089" s="10" t="str">
        <f ca="1">IFERROR(__xludf.DUMMYFUNCTION("""COMPUTED_VALUE"""),"Composite public values and software specifications")</f>
        <v>Composite public values and software specifications</v>
      </c>
      <c r="D5089" s="10">
        <f ca="1">IFERROR(__xludf.DUMMYFUNCTION("""COMPUTED_VALUE"""),2018)</f>
        <v>2018</v>
      </c>
      <c r="E5089" s="10" t="str">
        <f ca="1">IFERROR(__xludf.DUMMYFUNCTION("""COMPUTED_VALUE"""),"In: B. Shishkov (Ed.), Business Modeling and Software Design. BMSD 2018. Lecture Notes in Business Information Processing, vol. 319, 412-420. Springer, Cham, ISBN (Print) 978-3-319-94213-1, ISBN (Online) 978-3-319-94214-8, doi: https://doi.org/10.1007/978"&amp;"-3-319-94214-8_32")</f>
        <v>In: B. Shishkov (Ed.), Business Modeling and Software Design. BMSD 2018. Lecture Notes in Business Information Processing, vol. 319, 412-420. Springer, Cham, ISBN (Print) 978-3-319-94213-1, ISBN (Online) 978-3-319-94214-8, doi: https://doi.org/10.1007/978-3-319-94214-8_32</v>
      </c>
      <c r="F5089" s="10" t="str">
        <f ca="1">IFERROR(__xludf.DUMMYFUNCTION("""COMPUTED_VALUE"""),"Scopus")</f>
        <v>Scopus</v>
      </c>
      <c r="G5089" s="10" t="str">
        <f ca="1">IFERROR(__xludf.DUMMYFUNCTION("""COMPUTED_VALUE"""),"S h i s h k o v, B., J a n s s e n, M.")</f>
        <v>S h i s h k o v, B., J a n s s e n, M.</v>
      </c>
      <c r="H5089" s="10"/>
      <c r="I5089" s="10"/>
      <c r="J5089" s="10"/>
      <c r="K5089" s="10"/>
      <c r="L5089" s="10"/>
      <c r="M5089" s="10"/>
      <c r="N5089" s="10"/>
      <c r="O5089" s="10"/>
      <c r="P5089" s="10"/>
      <c r="Q5089" s="10"/>
      <c r="R5089" s="10"/>
      <c r="S5089" s="10"/>
      <c r="T5089" s="10"/>
      <c r="U5089" s="10"/>
      <c r="V5089" s="10"/>
      <c r="W5089" s="10"/>
      <c r="X5089" s="10"/>
      <c r="Y5089" s="10"/>
      <c r="Z5089" s="10"/>
    </row>
    <row r="5090" spans="1:26" ht="12.75">
      <c r="A5090" s="10" t="str">
        <f ca="1">IFERROR(__xludf.DUMMYFUNCTION("""COMPUTED_VALUE"""),"Магдалена Златкова Гарванова")</f>
        <v>Магдалена Златкова Гарванова</v>
      </c>
      <c r="B5090" s="10" t="str">
        <f ca="1">IFERROR(__xludf.DUMMYFUNCTION("""COMPUTED_VALUE"""),"Статия в списания и поредици")</f>
        <v>Статия в списания и поредици</v>
      </c>
      <c r="C5090" s="10" t="str">
        <f ca="1">IFERROR(__xludf.DUMMYFUNCTION("""COMPUTED_VALUE"""),"Basic individual values of Bulgarian students in emerging adulthood: Comparative analysis")</f>
        <v>Basic individual values of Bulgarian students in emerging adulthood: Comparative analysis</v>
      </c>
      <c r="D5090" s="10">
        <f ca="1">IFERROR(__xludf.DUMMYFUNCTION("""COMPUTED_VALUE"""),2018)</f>
        <v>2018</v>
      </c>
      <c r="E5090" s="10" t="str">
        <f ca="1">IFERROR(__xludf.DUMMYFUNCTION("""COMPUTED_VALUE"""),"Psychological Research, 2, ISSN 0205-0617 (Print), ISSN 2367-9174 (Online).")</f>
        <v>Psychological Research, 2, ISSN 0205-0617 (Print), ISSN 2367-9174 (Online).</v>
      </c>
      <c r="F5090" s="10" t="str">
        <f ca="1">IFERROR(__xludf.DUMMYFUNCTION("""COMPUTED_VALUE"""),"Google Scholar")</f>
        <v>Google Scholar</v>
      </c>
      <c r="G5090" s="10" t="str">
        <f ca="1">IFERROR(__xludf.DUMMYFUNCTION("""COMPUTED_VALUE"""),"P a p a z o v a, E.")</f>
        <v>P a p a z o v a, E.</v>
      </c>
      <c r="H5090" s="10"/>
      <c r="I5090" s="10"/>
      <c r="J5090" s="10"/>
      <c r="K5090" s="10"/>
      <c r="L5090" s="10"/>
      <c r="M5090" s="10"/>
      <c r="N5090" s="10"/>
      <c r="O5090" s="10"/>
      <c r="P5090" s="10"/>
      <c r="Q5090" s="10"/>
      <c r="R5090" s="10"/>
      <c r="S5090" s="10"/>
      <c r="T5090" s="10"/>
      <c r="U5090" s="10"/>
      <c r="V5090" s="10"/>
      <c r="W5090" s="10"/>
      <c r="X5090" s="10"/>
      <c r="Y5090" s="10"/>
      <c r="Z5090" s="10"/>
    </row>
    <row r="5091" spans="1:26" ht="12.75">
      <c r="A5091" s="10" t="str">
        <f ca="1">IFERROR(__xludf.DUMMYFUNCTION("""COMPUTED_VALUE"""),"Магдалена Златкова Гарванова")</f>
        <v>Магдалена Златкова Гарванова</v>
      </c>
      <c r="B5091" s="10" t="str">
        <f ca="1">IFERROR(__xludf.DUMMYFUNCTION("""COMPUTED_VALUE"""),"Доклад от конференция")</f>
        <v>Доклад от конференция</v>
      </c>
      <c r="C5091" s="10" t="str">
        <f ca="1">IFERROR(__xludf.DUMMYFUNCTION("""COMPUTED_VALUE"""),"The cultural capital of Bulgarian entrepreneurship")</f>
        <v>The cultural capital of Bulgarian entrepreneurship</v>
      </c>
      <c r="D5091" s="10">
        <f ca="1">IFERROR(__xludf.DUMMYFUNCTION("""COMPUTED_VALUE"""),2018)</f>
        <v>2018</v>
      </c>
      <c r="E5091" s="10" t="str">
        <f ca="1">IFERROR(__xludf.DUMMYFUNCTION("""COMPUTED_VALUE"""),"5th International Multidisciplinary Scientific Conference on Social Sciences and Arts SGEM 2018, 26 August – 01 September, 2018, Albena Co., Bulgaria. Conference Proceedings, vol. 5 “Science &amp; Society”, issue 3.2 “Psychology and Psychiatry”. Sofia: STEF92"&amp;" Technology Ltd., 445-451, ISBN 978-619-7408-54-6, ISSN 2367-5659, doi: 10.5593/sgemsocial2018/3.2/S11.058")</f>
        <v>5th International Multidisciplinary Scientific Conference on Social Sciences and Arts SGEM 2018, 26 August – 01 September, 2018, Albena Co., Bulgaria. Conference Proceedings, vol. 5 “Science &amp; Society”, issue 3.2 “Psychology and Psychiatry”. Sofia: STEF92 Technology Ltd., 445-451, ISBN 978-619-7408-54-6, ISSN 2367-5659, doi: 10.5593/sgemsocial2018/3.2/S11.058</v>
      </c>
      <c r="F5091" s="10"/>
      <c r="G5091" s="10"/>
      <c r="H5091" s="10"/>
      <c r="I5091" s="10"/>
      <c r="J5091" s="10"/>
      <c r="K5091" s="10"/>
      <c r="L5091" s="10"/>
      <c r="M5091" s="10"/>
      <c r="N5091" s="10"/>
      <c r="O5091" s="10"/>
      <c r="P5091" s="10"/>
      <c r="Q5091" s="10"/>
      <c r="R5091" s="10"/>
      <c r="S5091" s="10"/>
      <c r="T5091" s="10"/>
      <c r="U5091" s="10"/>
      <c r="V5091" s="10"/>
      <c r="W5091" s="10"/>
      <c r="X5091" s="10"/>
      <c r="Y5091" s="10"/>
      <c r="Z5091" s="10"/>
    </row>
    <row r="5092" spans="1:26" ht="12.75">
      <c r="A5092" s="10" t="str">
        <f ca="1">IFERROR(__xludf.DUMMYFUNCTION("""COMPUTED_VALUE"""),"Магдалена Златкова Гарванова")</f>
        <v>Магдалена Златкова Гарванова</v>
      </c>
      <c r="B5092" s="10" t="str">
        <f ca="1">IFERROR(__xludf.DUMMYFUNCTION("""COMPUTED_VALUE"""),"Доклад от конференция")</f>
        <v>Доклад от конференция</v>
      </c>
      <c r="C5092" s="10" t="str">
        <f ca="1">IFERROR(__xludf.DUMMYFUNCTION("""COMPUTED_VALUE"""),"Towards context-aware vehicle navigation in urban environments: Modeling challenges")</f>
        <v>Towards context-aware vehicle navigation in urban environments: Modeling challenges</v>
      </c>
      <c r="D5092" s="10">
        <f ca="1">IFERROR(__xludf.DUMMYFUNCTION("""COMPUTED_VALUE"""),2018)</f>
        <v>2018</v>
      </c>
      <c r="E5092" s="10" t="str">
        <f ca="1">IFERROR(__xludf.DUMMYFUNCTION("""COMPUTED_VALUE"""),"Business Modeling and Software Design. BMSD 2018. Lecture Notes in Business Information Processing, vol. 319, 382-389. Springer, Cham, ISBN (Print) 978-3-319-94213-1, ISBN (Online) 978-3-319-94214-8, doi: https://doi.org/10.1007/978-3-319-94214-8_29")</f>
        <v>Business Modeling and Software Design. BMSD 2018. Lecture Notes in Business Information Processing, vol. 319, 382-389. Springer, Cham, ISBN (Print) 978-3-319-94213-1, ISBN (Online) 978-3-319-94214-8, doi: https://doi.org/10.1007/978-3-319-94214-8_29</v>
      </c>
      <c r="F5092" s="10" t="str">
        <f ca="1">IFERROR(__xludf.DUMMYFUNCTION("""COMPUTED_VALUE"""),"Scopus")</f>
        <v>Scopus</v>
      </c>
      <c r="G5092" s="10" t="str">
        <f ca="1">IFERROR(__xludf.DUMMYFUNCTION("""COMPUTED_VALUE"""),"G a r v a n o v, I., K a b a k c h i e v, Ch., S h i s h k o v, B.")</f>
        <v>G a r v a n o v, I., K a b a k c h i e v, Ch., S h i s h k o v, B.</v>
      </c>
      <c r="H5092" s="10"/>
      <c r="I5092" s="10"/>
      <c r="J5092" s="10"/>
      <c r="K5092" s="10"/>
      <c r="L5092" s="10"/>
      <c r="M5092" s="10"/>
      <c r="N5092" s="10"/>
      <c r="O5092" s="10"/>
      <c r="P5092" s="10"/>
      <c r="Q5092" s="10"/>
      <c r="R5092" s="10"/>
      <c r="S5092" s="10"/>
      <c r="T5092" s="10"/>
      <c r="U5092" s="10"/>
      <c r="V5092" s="10"/>
      <c r="W5092" s="10"/>
      <c r="X5092" s="10"/>
      <c r="Y5092" s="10"/>
      <c r="Z5092" s="10"/>
    </row>
    <row r="5093" spans="1:26" ht="12.75">
      <c r="A5093" s="10" t="str">
        <f ca="1">IFERROR(__xludf.DUMMYFUNCTION("""COMPUTED_VALUE"""),"Магдалена Златкова Гарванова")</f>
        <v>Магдалена Златкова Гарванова</v>
      </c>
      <c r="B5093" s="10" t="str">
        <f ca="1">IFERROR(__xludf.DUMMYFUNCTION("""COMPUTED_VALUE"""),"Доклад от конференция")</f>
        <v>Доклад от конференция</v>
      </c>
      <c r="C5093" s="10" t="str">
        <f ca="1">IFERROR(__xludf.DUMMYFUNCTION("""COMPUTED_VALUE"""),"Социалнопсихологически профил на фалшификатора")</f>
        <v>Социалнопсихологически профил на фалшификатора</v>
      </c>
      <c r="D5093" s="10">
        <f ca="1">IFERROR(__xludf.DUMMYFUNCTION("""COMPUTED_VALUE"""),2018)</f>
        <v>2018</v>
      </c>
      <c r="E5093" s="10" t="str">
        <f ca="1">IFERROR(__xludf.DUMMYFUNCTION("""COMPUTED_VALUE"""),"В: Н. Дебрюне (съст. и ред.) Шеста научна конференция по организация, управление и защита на културно-историческото наследство, София, 19 декември 2017 г. Реплики – Копия – Фалшификати. С., Фондация “Аретѐ-Фол”, Издателство “Земя”, Година VII, бр. 8, 40-5"&amp;"0, ISSN 1314-5517")</f>
        <v>В: Н. Дебрюне (съст. и ред.) Шеста научна конференция по организация, управление и защита на културно-историческото наследство, София, 19 декември 2017 г. Реплики – Копия – Фалшификати. С., Фондация “Аретѐ-Фол”, Издателство “Земя”, Година VII, бр. 8, 40-50, ISSN 1314-5517</v>
      </c>
      <c r="F5093" s="10"/>
      <c r="G5093" s="10" t="str">
        <f ca="1">IFERROR(__xludf.DUMMYFUNCTION("""COMPUTED_VALUE"""),"К а н е в, П.")</f>
        <v>К а н е в, П.</v>
      </c>
      <c r="H5093" s="10"/>
      <c r="I5093" s="10"/>
      <c r="J5093" s="10"/>
      <c r="K5093" s="10"/>
      <c r="L5093" s="10"/>
      <c r="M5093" s="10"/>
      <c r="N5093" s="10"/>
      <c r="O5093" s="10"/>
      <c r="P5093" s="10"/>
      <c r="Q5093" s="10"/>
      <c r="R5093" s="10"/>
      <c r="S5093" s="10"/>
      <c r="T5093" s="10"/>
      <c r="U5093" s="10"/>
      <c r="V5093" s="10"/>
      <c r="W5093" s="10"/>
      <c r="X5093" s="10"/>
      <c r="Y5093" s="10"/>
      <c r="Z5093" s="10"/>
    </row>
    <row r="5094" spans="1:26" ht="12.75">
      <c r="A5094" s="10" t="str">
        <f ca="1">IFERROR(__xludf.DUMMYFUNCTION("""COMPUTED_VALUE"""),"Магдалена Златкова Гарванова")</f>
        <v>Магдалена Златкова Гарванова</v>
      </c>
      <c r="B5094" s="10" t="str">
        <f ca="1">IFERROR(__xludf.DUMMYFUNCTION("""COMPUTED_VALUE"""),"Доклад от конференция")</f>
        <v>Доклад от конференция</v>
      </c>
      <c r="C5094" s="10" t="str">
        <f ca="1">IFERROR(__xludf.DUMMYFUNCTION("""COMPUTED_VALUE"""),"Интернет зависимост при български студенти")</f>
        <v>Интернет зависимост при български студенти</v>
      </c>
      <c r="D5094" s="10">
        <f ca="1">IFERROR(__xludf.DUMMYFUNCTION("""COMPUTED_VALUE"""),2018)</f>
        <v>2018</v>
      </c>
      <c r="E5094" s="10" t="str">
        <f ca="1">IFERROR(__xludf.DUMMYFUNCTION("""COMPUTED_VALUE"""),"В: С. Девкова (ред.) Съвременни измерения на европейското образователно и научно пространство. Българо-италиански културни общувания. Сборник с доклади. Дванадесети международен пътуващ семинар на УниБИТ България – Италия, 18-23 май 2018 г. АИ “За буквите"&amp;" – О писменехь”, т. 6, ISSN 2367-7988")</f>
        <v>В: С. Девкова (ред.) Съвременни измерения на европейското образователно и научно пространство. Българо-италиански културни общувания. Сборник с доклади. Дванадесети международен пътуващ семинар на УниБИТ България – Италия, 18-23 май 2018 г. АИ “За буквите – О писменехь”, т. 6, ISSN 2367-7988</v>
      </c>
      <c r="F5094" s="10"/>
      <c r="G5094" s="10" t="str">
        <f ca="1">IFERROR(__xludf.DUMMYFUNCTION("""COMPUTED_VALUE"""),"Г а р в а н о в, И.")</f>
        <v>Г а р в а н о в, И.</v>
      </c>
      <c r="H5094" s="10"/>
      <c r="I5094" s="10"/>
      <c r="J5094" s="10"/>
      <c r="K5094" s="10"/>
      <c r="L5094" s="10"/>
      <c r="M5094" s="10"/>
      <c r="N5094" s="10"/>
      <c r="O5094" s="10"/>
      <c r="P5094" s="10"/>
      <c r="Q5094" s="10"/>
      <c r="R5094" s="10"/>
      <c r="S5094" s="10"/>
      <c r="T5094" s="10"/>
      <c r="U5094" s="10"/>
      <c r="V5094" s="10"/>
      <c r="W5094" s="10"/>
      <c r="X5094" s="10"/>
      <c r="Y5094" s="10"/>
      <c r="Z5094" s="10"/>
    </row>
    <row r="5095" spans="1:26" ht="12.75">
      <c r="A5095" s="10" t="str">
        <f ca="1">IFERROR(__xludf.DUMMYFUNCTION("""COMPUTED_VALUE"""),"Магдалена Златкова Гарванова")</f>
        <v>Магдалена Златкова Гарванова</v>
      </c>
      <c r="B5095" s="10" t="str">
        <f ca="1">IFERROR(__xludf.DUMMYFUNCTION("""COMPUTED_VALUE"""),"Доклад от конференция")</f>
        <v>Доклад от конференция</v>
      </c>
      <c r="C5095" s="10" t="str">
        <f ca="1">IFERROR(__xludf.DUMMYFUNCTION("""COMPUTED_VALUE"""),"Изследване на ценностните измерения на българската култура в европейски контекст")</f>
        <v>Изследване на ценностните измерения на българската култура в европейски контекст</v>
      </c>
      <c r="D5095" s="10">
        <f ca="1">IFERROR(__xludf.DUMMYFUNCTION("""COMPUTED_VALUE"""),2017)</f>
        <v>2017</v>
      </c>
      <c r="E5095" s="10" t="str">
        <f ca="1">IFERROR(__xludf.DUMMYFUNCTION("""COMPUTED_VALUE"""),"В: С. Денчев, Н. Палашев, Б. Борисов и М. Гарванова (ред.) Научни доклади от Трета международна кръгла маса “Проблеми на обществената комуникация” 2017. С., Издателство “За буквите – О писменехь”, 157-176, ISSN 2534-9430")</f>
        <v>В: С. Денчев, Н. Палашев, Б. Борисов и М. Гарванова (ред.) Научни доклади от Трета международна кръгла маса “Проблеми на обществената комуникация” 2017. С., Издателство “За буквите – О писменехь”, 157-176, ISSN 2534-9430</v>
      </c>
      <c r="F5095" s="10"/>
      <c r="G5095" s="10" t="str">
        <f ca="1">IFERROR(__xludf.DUMMYFUNCTION("""COMPUTED_VALUE"""),"Иван Гарванов")</f>
        <v>Иван Гарванов</v>
      </c>
      <c r="H5095" s="10"/>
      <c r="I5095" s="10"/>
      <c r="J5095" s="10"/>
      <c r="K5095" s="10"/>
      <c r="L5095" s="10"/>
      <c r="M5095" s="10"/>
      <c r="N5095" s="10"/>
      <c r="O5095" s="10"/>
      <c r="P5095" s="10"/>
      <c r="Q5095" s="10"/>
      <c r="R5095" s="10"/>
      <c r="S5095" s="10"/>
      <c r="T5095" s="10"/>
      <c r="U5095" s="10"/>
      <c r="V5095" s="10"/>
      <c r="W5095" s="10"/>
      <c r="X5095" s="10"/>
      <c r="Y5095" s="10"/>
      <c r="Z5095" s="10"/>
    </row>
    <row r="5096" spans="1:26" ht="12.75">
      <c r="A5096" s="10" t="str">
        <f ca="1">IFERROR(__xludf.DUMMYFUNCTION("""COMPUTED_VALUE"""),"Магдалена Златкова Гарванова")</f>
        <v>Магдалена Златкова Гарванова</v>
      </c>
      <c r="B5096" s="10" t="str">
        <f ca="1">IFERROR(__xludf.DUMMYFUNCTION("""COMPUTED_VALUE"""),"Доклад от конференция")</f>
        <v>Доклад от конференция</v>
      </c>
      <c r="C5096" s="10" t="str">
        <f ca="1">IFERROR(__xludf.DUMMYFUNCTION("""COMPUTED_VALUE"""),"Влиянието на съвременните информационни и комуникационни технологии върху човека")</f>
        <v>Влиянието на съвременните информационни и комуникационни технологии върху човека</v>
      </c>
      <c r="D5096" s="10">
        <f ca="1">IFERROR(__xludf.DUMMYFUNCTION("""COMPUTED_VALUE"""),2017)</f>
        <v>2017</v>
      </c>
      <c r="E5096" s="10" t="str">
        <f ca="1">IFERROR(__xludf.DUMMYFUNCTION("""COMPUTED_VALUE"""),"В: С. Девкова (ред.) Съвременни измерения на европейското образователно и научно пространство. Българо-гръцки културни общувания. Сборник с доклади. Единадесети международен пътуващ семинар на УниБИТ България – Гърция, 29 май – 05 юни 2017 г. С., АИ “За б"&amp;"уквите – О писменехь”, т. 5, 103-108, ISSN 2367-7988")</f>
        <v>В: С. Девкова (ред.) Съвременни измерения на европейското образователно и научно пространство. Българо-гръцки културни общувания. Сборник с доклади. Единадесети международен пътуващ семинар на УниБИТ България – Гърция, 29 май – 05 юни 2017 г. С., АИ “За буквите – О писменехь”, т. 5, 103-108, ISSN 2367-7988</v>
      </c>
      <c r="F5096" s="10"/>
      <c r="G5096" s="10" t="str">
        <f ca="1">IFERROR(__xludf.DUMMYFUNCTION("""COMPUTED_VALUE"""),"Иван Гарванов")</f>
        <v>Иван Гарванов</v>
      </c>
      <c r="H5096" s="10"/>
      <c r="I5096" s="10"/>
      <c r="J5096" s="10"/>
      <c r="K5096" s="10"/>
      <c r="L5096" s="10"/>
      <c r="M5096" s="10"/>
      <c r="N5096" s="10"/>
      <c r="O5096" s="10"/>
      <c r="P5096" s="10"/>
      <c r="Q5096" s="10"/>
      <c r="R5096" s="10"/>
      <c r="S5096" s="10"/>
      <c r="T5096" s="10"/>
      <c r="U5096" s="10"/>
      <c r="V5096" s="10"/>
      <c r="W5096" s="10"/>
      <c r="X5096" s="10"/>
      <c r="Y5096" s="10"/>
      <c r="Z5096" s="10"/>
    </row>
    <row r="5097" spans="1:26" ht="12.75">
      <c r="A5097" s="10" t="str">
        <f ca="1">IFERROR(__xludf.DUMMYFUNCTION("""COMPUTED_VALUE"""),"Магдалена Златкова Гарванова")</f>
        <v>Магдалена Златкова Гарванова</v>
      </c>
      <c r="B5097" s="10" t="str">
        <f ca="1">IFERROR(__xludf.DUMMYFUNCTION("""COMPUTED_VALUE"""),"Учебно пособие")</f>
        <v>Учебно пособие</v>
      </c>
      <c r="C5097" s="10" t="str">
        <f ca="1">IFERROR(__xludf.DUMMYFUNCTION("""COMPUTED_VALUE"""),"Българските национални ценности на европейски фон")</f>
        <v>Българските национални ценности на европейски фон</v>
      </c>
      <c r="D5097" s="10">
        <f ca="1">IFERROR(__xludf.DUMMYFUNCTION("""COMPUTED_VALUE"""),2017)</f>
        <v>2017</v>
      </c>
      <c r="E5097" s="10" t="str">
        <f ca="1">IFERROR(__xludf.DUMMYFUNCTION("""COMPUTED_VALUE"""),"В: Н. Палашев, Х. Богова, Я. Димитрова и М. Гарванова (съст.) Комуникации и политики. С., Издателство “За буквите – О писменехь”, 134-153, ISBN 978-619-185-304-5 (Print), ISBN 978-619-185-305-2 (Online)")</f>
        <v>В: Н. Палашев, Х. Богова, Я. Димитрова и М. Гарванова (съст.) Комуникации и политики. С., Издателство “За буквите – О писменехь”, 134-153, ISBN 978-619-185-304-5 (Print), ISBN 978-619-185-305-2 (Online)</v>
      </c>
      <c r="F5097" s="10"/>
      <c r="G5097" s="10" t="str">
        <f ca="1">IFERROR(__xludf.DUMMYFUNCTION("""COMPUTED_VALUE"""),"Т а х и р о в, М.")</f>
        <v>Т а х и р о в, М.</v>
      </c>
      <c r="H5097" s="10"/>
      <c r="I5097" s="10"/>
      <c r="J5097" s="10"/>
      <c r="K5097" s="10"/>
      <c r="L5097" s="10"/>
      <c r="M5097" s="10"/>
      <c r="N5097" s="10"/>
      <c r="O5097" s="10"/>
      <c r="P5097" s="10"/>
      <c r="Q5097" s="10"/>
      <c r="R5097" s="10"/>
      <c r="S5097" s="10"/>
      <c r="T5097" s="10"/>
      <c r="U5097" s="10"/>
      <c r="V5097" s="10"/>
      <c r="W5097" s="10"/>
      <c r="X5097" s="10"/>
      <c r="Y5097" s="10"/>
      <c r="Z5097" s="10"/>
    </row>
    <row r="5098" spans="1:26" ht="12.75">
      <c r="A5098" s="10" t="str">
        <f ca="1">IFERROR(__xludf.DUMMYFUNCTION("""COMPUTED_VALUE"""),"Магдалена Златкова Гарванова")</f>
        <v>Магдалена Златкова Гарванова</v>
      </c>
      <c r="B5098" s="10" t="str">
        <f ca="1">IFERROR(__xludf.DUMMYFUNCTION("""COMPUTED_VALUE"""),"Статия в списания и поредици")</f>
        <v>Статия в списания и поредици</v>
      </c>
      <c r="C5098" s="10" t="str">
        <f ca="1">IFERROR(__xludf.DUMMYFUNCTION("""COMPUTED_VALUE"""),"Родителски стилове, полово-ролеви ориентации и романтични убеждения и опит при български студенти във възникваща зрелост (18-29 години)")</f>
        <v>Родителски стилове, полово-ролеви ориентации и романтични убеждения и опит при български студенти във възникваща зрелост (18-29 години)</v>
      </c>
      <c r="D5098" s="10">
        <f ca="1">IFERROR(__xludf.DUMMYFUNCTION("""COMPUTED_VALUE"""),2017)</f>
        <v>2017</v>
      </c>
      <c r="E5098" s="10" t="str">
        <f ca="1">IFERROR(__xludf.DUMMYFUNCTION("""COMPUTED_VALUE"""),"Психологични изследвания, 20 (3), 423-441, ISSN 0205-0617 (Print), ISSN 2367-9174 (Online)")</f>
        <v>Психологични изследвания, 20 (3), 423-441, ISSN 0205-0617 (Print), ISSN 2367-9174 (Online)</v>
      </c>
      <c r="F5098" s="10" t="str">
        <f ca="1">IFERROR(__xludf.DUMMYFUNCTION("""COMPUTED_VALUE"""),"Google Scholar")</f>
        <v>Google Scholar</v>
      </c>
      <c r="G5098" s="10" t="str">
        <f ca="1">IFERROR(__xludf.DUMMYFUNCTION("""COMPUTED_VALUE"""),"П а п а з о в а, Е.")</f>
        <v>П а п а з о в а, Е.</v>
      </c>
      <c r="H5098" s="10"/>
      <c r="I5098" s="10"/>
      <c r="J5098" s="10"/>
      <c r="K5098" s="10"/>
      <c r="L5098" s="10"/>
      <c r="M5098" s="10"/>
      <c r="N5098" s="10"/>
      <c r="O5098" s="10"/>
      <c r="P5098" s="10"/>
      <c r="Q5098" s="10"/>
      <c r="R5098" s="10"/>
      <c r="S5098" s="10"/>
      <c r="T5098" s="10"/>
      <c r="U5098" s="10"/>
      <c r="V5098" s="10"/>
      <c r="W5098" s="10"/>
      <c r="X5098" s="10"/>
      <c r="Y5098" s="10"/>
      <c r="Z5098" s="10"/>
    </row>
    <row r="5099" spans="1:26" ht="12.75">
      <c r="A5099" s="10" t="str">
        <f ca="1">IFERROR(__xludf.DUMMYFUNCTION("""COMPUTED_VALUE"""),"Магдалена Златкова Гарванова")</f>
        <v>Магдалена Златкова Гарванова</v>
      </c>
      <c r="B5099" s="10" t="str">
        <f ca="1">IFERROR(__xludf.DUMMYFUNCTION("""COMPUTED_VALUE"""),"Доклад от конференция")</f>
        <v>Доклад от конференция</v>
      </c>
      <c r="C5099" s="10" t="str">
        <f ca="1">IFERROR(__xludf.DUMMYFUNCTION("""COMPUTED_VALUE"""),"Values of Bulgarian students in emerging adulthood: Dynamic approach")</f>
        <v>Values of Bulgarian students in emerging adulthood: Dynamic approach</v>
      </c>
      <c r="D5099" s="10">
        <f ca="1">IFERROR(__xludf.DUMMYFUNCTION("""COMPUTED_VALUE"""),2017)</f>
        <v>2017</v>
      </c>
      <c r="E5099" s="10" t="str">
        <f ca="1">IFERROR(__xludf.DUMMYFUNCTION("""COMPUTED_VALUE"""),"In: Z. Bekirogullari, M. Y. Minas, &amp; R. X. Thambusamy (Eds.), European Proceedings of Social and Behavioural Sciences EpSBS. 8th ICEEPSY 2017 The International Conference on Education &amp; Educational Psychology. Future Academy, vol. XXXI, 264-270, ISSN 2357"&amp;"-1330, doi: http://dx.doi.org/10.15405/epsbs.2017.10.25")</f>
        <v>In: Z. Bekirogullari, M. Y. Minas, &amp; R. X. Thambusamy (Eds.), European Proceedings of Social and Behavioural Sciences EpSBS. 8th ICEEPSY 2017 The International Conference on Education &amp; Educational Psychology. Future Academy, vol. XXXI, 264-270, ISSN 2357-1330, doi: http://dx.doi.org/10.15405/epsbs.2017.10.25</v>
      </c>
      <c r="F5099" s="10" t="str">
        <f ca="1">IFERROR(__xludf.DUMMYFUNCTION("""COMPUTED_VALUE"""),"Web of Science")</f>
        <v>Web of Science</v>
      </c>
      <c r="G5099" s="10" t="str">
        <f ca="1">IFERROR(__xludf.DUMMYFUNCTION("""COMPUTED_VALUE"""),"P a p a z o v a, E.")</f>
        <v>P a p a z o v a, E.</v>
      </c>
      <c r="H5099" s="10"/>
      <c r="I5099" s="10"/>
      <c r="J5099" s="10"/>
      <c r="K5099" s="10"/>
      <c r="L5099" s="10"/>
      <c r="M5099" s="10"/>
      <c r="N5099" s="10"/>
      <c r="O5099" s="10"/>
      <c r="P5099" s="10"/>
      <c r="Q5099" s="10"/>
      <c r="R5099" s="10"/>
      <c r="S5099" s="10"/>
      <c r="T5099" s="10"/>
      <c r="U5099" s="10"/>
      <c r="V5099" s="10"/>
      <c r="W5099" s="10"/>
      <c r="X5099" s="10"/>
      <c r="Y5099" s="10"/>
      <c r="Z5099" s="10"/>
    </row>
    <row r="5100" spans="1:26" ht="12.75">
      <c r="A5100" s="10" t="str">
        <f ca="1">IFERROR(__xludf.DUMMYFUNCTION("""COMPUTED_VALUE"""),"Магдалена Златкова Гарванова")</f>
        <v>Магдалена Златкова Гарванова</v>
      </c>
      <c r="B5100" s="10" t="str">
        <f ca="1">IFERROR(__xludf.DUMMYFUNCTION("""COMPUTED_VALUE"""),"Доклад от конференция")</f>
        <v>Доклад от конференция</v>
      </c>
      <c r="C5100" s="10" t="str">
        <f ca="1">IFERROR(__xludf.DUMMYFUNCTION("""COMPUTED_VALUE"""),"България върху глобалната културна карта на ценностите")</f>
        <v>България върху глобалната културна карта на ценностите</v>
      </c>
      <c r="D5100" s="10">
        <f ca="1">IFERROR(__xludf.DUMMYFUNCTION("""COMPUTED_VALUE"""),2017)</f>
        <v>2017</v>
      </c>
      <c r="E5100" s="10" t="str">
        <f ca="1">IFERROR(__xludf.DUMMYFUNCTION("""COMPUTED_VALUE"""),"В: Ж. Назърска и С. Шапкалова (съст.) Хармония в различията. Сборник с доклади от Научната конференция “Xармония в различията”, София, 11.12.2017. С., Издателство “За буквите – О писменехь”, 360-369, ISSN 2367-7899")</f>
        <v>В: Ж. Назърска и С. Шапкалова (съст.) Хармония в различията. Сборник с доклади от Научната конференция “Xармония в различията”, София, 11.12.2017. С., Издателство “За буквите – О писменехь”, 360-369, ISSN 2367-7899</v>
      </c>
      <c r="F5100" s="10"/>
      <c r="G5100" s="10" t="str">
        <f ca="1">IFERROR(__xludf.DUMMYFUNCTION("""COMPUTED_VALUE"""),"Н и к о л о в а, Б.")</f>
        <v>Н и к о л о в а, Б.</v>
      </c>
      <c r="H5100" s="10"/>
      <c r="I5100" s="10"/>
      <c r="J5100" s="10"/>
      <c r="K5100" s="10"/>
      <c r="L5100" s="10"/>
      <c r="M5100" s="10"/>
      <c r="N5100" s="10"/>
      <c r="O5100" s="10"/>
      <c r="P5100" s="10"/>
      <c r="Q5100" s="10"/>
      <c r="R5100" s="10"/>
      <c r="S5100" s="10"/>
      <c r="T5100" s="10"/>
      <c r="U5100" s="10"/>
      <c r="V5100" s="10"/>
      <c r="W5100" s="10"/>
      <c r="X5100" s="10"/>
      <c r="Y5100" s="10"/>
      <c r="Z5100" s="10"/>
    </row>
    <row r="5101" spans="1:26" ht="12.75">
      <c r="A5101" s="10" t="str">
        <f ca="1">IFERROR(__xludf.DUMMYFUNCTION("""COMPUTED_VALUE"""),"Магдалена Златкова Гарванова")</f>
        <v>Магдалена Златкова Гарванова</v>
      </c>
      <c r="B5101" s="10" t="str">
        <f ca="1">IFERROR(__xludf.DUMMYFUNCTION("""COMPUTED_VALUE"""),"Доклад от конференция")</f>
        <v>Доклад от конференция</v>
      </c>
      <c r="C5101" s="10" t="str">
        <f ca="1">IFERROR(__xludf.DUMMYFUNCTION("""COMPUTED_VALUE"""),"Values and life satisfaction: Empirical evidence from Bulgaria")</f>
        <v>Values and life satisfaction: Empirical evidence from Bulgaria</v>
      </c>
      <c r="D5101" s="10">
        <f ca="1">IFERROR(__xludf.DUMMYFUNCTION("""COMPUTED_VALUE"""),2017)</f>
        <v>2017</v>
      </c>
      <c r="E5101" s="10" t="str">
        <f ca="1">IFERROR(__xludf.DUMMYFUNCTION("""COMPUTED_VALUE"""),"4th International Multidisciplinary Scientific Conference on Social Sciences and Arts SGEM 2017, 24-30 August, 2017, Albena Co., Bulgaria. Conference Proceedings, book 3 “Science &amp; Society”, vol. 2 “Psychology and Psychiatry. Language &amp; Linguistics”. Sofi"&amp;"a: STEF92 Technology Ltd., 477-484, ISBN 978-619-7408-19-5, ISSN 2367-5659, doi: 10.5593/SGEMSOCIAL2017/32/S11.061")</f>
        <v>4th International Multidisciplinary Scientific Conference on Social Sciences and Arts SGEM 2017, 24-30 August, 2017, Albena Co., Bulgaria. Conference Proceedings, book 3 “Science &amp; Society”, vol. 2 “Psychology and Psychiatry. Language &amp; Linguistics”. Sofia: STEF92 Technology Ltd., 477-484, ISBN 978-619-7408-19-5, ISSN 2367-5659, doi: 10.5593/SGEMSOCIAL2017/32/S11.061</v>
      </c>
      <c r="F5101" s="10"/>
      <c r="G5101" s="10"/>
      <c r="H5101" s="10"/>
      <c r="I5101" s="10"/>
      <c r="J5101" s="10"/>
      <c r="K5101" s="10"/>
      <c r="L5101" s="10"/>
      <c r="M5101" s="10"/>
      <c r="N5101" s="10"/>
      <c r="O5101" s="10"/>
      <c r="P5101" s="10"/>
      <c r="Q5101" s="10"/>
      <c r="R5101" s="10"/>
      <c r="S5101" s="10"/>
      <c r="T5101" s="10"/>
      <c r="U5101" s="10"/>
      <c r="V5101" s="10"/>
      <c r="W5101" s="10"/>
      <c r="X5101" s="10"/>
      <c r="Y5101" s="10"/>
      <c r="Z5101" s="10"/>
    </row>
    <row r="5102" spans="1:26" ht="12.75">
      <c r="A5102" s="10" t="str">
        <f ca="1">IFERROR(__xludf.DUMMYFUNCTION("""COMPUTED_VALUE"""),"Магдалена Златкова Гарванова")</f>
        <v>Магдалена Златкова Гарванова</v>
      </c>
      <c r="B5102" s="10" t="str">
        <f ca="1">IFERROR(__xludf.DUMMYFUNCTION("""COMPUTED_VALUE"""),"Доклад от конференция")</f>
        <v>Доклад от конференция</v>
      </c>
      <c r="C5102" s="10" t="str">
        <f ca="1">IFERROR(__xludf.DUMMYFUNCTION("""COMPUTED_VALUE"""),"Value orientations of the Bulgarian culture within the European context")</f>
        <v>Value orientations of the Bulgarian culture within the European context</v>
      </c>
      <c r="D5102" s="10">
        <f ca="1">IFERROR(__xludf.DUMMYFUNCTION("""COMPUTED_VALUE"""),2017)</f>
        <v>2017</v>
      </c>
      <c r="E5102" s="10" t="str">
        <f ca="1">IFERROR(__xludf.DUMMYFUNCTION("""COMPUTED_VALUE"""),"4th International Multidisciplinary Scientific Conference on Social Sciences and Arts SGEM 2017, 24-30 August, 2017, Albena Co., Bulgaria. Conference Proceedings, book 3 “Science &amp; Society”, vol. 2 “Psychology and Psychiatry. Language &amp; Linguistics”. Sofi"&amp;"a: STEF92 Technology Ltd., 469-476, ISBN 978-619-7408-19-5, ISSN 2367-5659, doi: 10.5593/SGEMSOCIAL2017/32/S11.060")</f>
        <v>4th International Multidisciplinary Scientific Conference on Social Sciences and Arts SGEM 2017, 24-30 August, 2017, Albena Co., Bulgaria. Conference Proceedings, book 3 “Science &amp; Society”, vol. 2 “Psychology and Psychiatry. Language &amp; Linguistics”. Sofia: STEF92 Technology Ltd., 469-476, ISBN 978-619-7408-19-5, ISSN 2367-5659, doi: 10.5593/SGEMSOCIAL2017/32/S11.060</v>
      </c>
      <c r="F5102" s="10"/>
      <c r="G5102" s="10"/>
      <c r="H5102" s="10"/>
      <c r="I5102" s="10"/>
      <c r="J5102" s="10"/>
      <c r="K5102" s="10"/>
      <c r="L5102" s="10"/>
      <c r="M5102" s="10"/>
      <c r="N5102" s="10"/>
      <c r="O5102" s="10"/>
      <c r="P5102" s="10"/>
      <c r="Q5102" s="10"/>
      <c r="R5102" s="10"/>
      <c r="S5102" s="10"/>
      <c r="T5102" s="10"/>
      <c r="U5102" s="10"/>
      <c r="V5102" s="10"/>
      <c r="W5102" s="10"/>
      <c r="X5102" s="10"/>
      <c r="Y5102" s="10"/>
      <c r="Z5102" s="10"/>
    </row>
    <row r="5103" spans="1:26" ht="12.75">
      <c r="A5103" s="10" t="str">
        <f ca="1">IFERROR(__xludf.DUMMYFUNCTION("""COMPUTED_VALUE"""),"Магдалена Златкова Гарванова")</f>
        <v>Магдалена Златкова Гарванова</v>
      </c>
      <c r="B5103" s="10" t="str">
        <f ca="1">IFERROR(__xludf.DUMMYFUNCTION("""COMPUTED_VALUE"""),"Доклад от конференция")</f>
        <v>Доклад от конференция</v>
      </c>
      <c r="C5103" s="10" t="str">
        <f ca="1">IFERROR(__xludf.DUMMYFUNCTION("""COMPUTED_VALUE"""),"Ценностите на съвременната българска култура в перспективата на Европейския съюз")</f>
        <v>Ценностите на съвременната българска култура в перспективата на Европейския съюз</v>
      </c>
      <c r="D5103" s="10">
        <f ca="1">IFERROR(__xludf.DUMMYFUNCTION("""COMPUTED_VALUE"""),2017)</f>
        <v>2017</v>
      </c>
      <c r="E5103" s="10" t="str">
        <f ca="1">IFERROR(__xludf.DUMMYFUNCTION("""COMPUTED_VALUE"""),"В: С. Девкова (ред.) Съвременни измерения на европейското образователно и научно пространство. Българо-гръцки културни общувания. Сборник с доклади. Единадесети международен пътуващ семинар на УниБИТ България – Гърция, 29 май – 05 юни 2017 г. АИ “За букви"&amp;"те – О писменехь”, т. 5, 182-194, ISSN 2367-7988")</f>
        <v>В: С. Девкова (ред.) Съвременни измерения на европейското образователно и научно пространство. Българо-гръцки културни общувания. Сборник с доклади. Единадесети международен пътуващ семинар на УниБИТ България – Гърция, 29 май – 05 юни 2017 г. АИ “За буквите – О писменехь”, т. 5, 182-194, ISSN 2367-7988</v>
      </c>
      <c r="F5103" s="10"/>
      <c r="G5103" s="10"/>
      <c r="H5103" s="10"/>
      <c r="I5103" s="10"/>
      <c r="J5103" s="10"/>
      <c r="K5103" s="10"/>
      <c r="L5103" s="10"/>
      <c r="M5103" s="10"/>
      <c r="N5103" s="10"/>
      <c r="O5103" s="10"/>
      <c r="P5103" s="10"/>
      <c r="Q5103" s="10"/>
      <c r="R5103" s="10"/>
      <c r="S5103" s="10"/>
      <c r="T5103" s="10"/>
      <c r="U5103" s="10"/>
      <c r="V5103" s="10"/>
      <c r="W5103" s="10"/>
      <c r="X5103" s="10"/>
      <c r="Y5103" s="10"/>
      <c r="Z5103" s="10"/>
    </row>
    <row r="5104" spans="1:26" ht="12.75">
      <c r="A5104" s="10" t="str">
        <f ca="1">IFERROR(__xludf.DUMMYFUNCTION("""COMPUTED_VALUE"""),"Магдалена Златкова Гарванова")</f>
        <v>Магдалена Златкова Гарванова</v>
      </c>
      <c r="B5104" s="10" t="str">
        <f ca="1">IFERROR(__xludf.DUMMYFUNCTION("""COMPUTED_VALUE"""),"Монография")</f>
        <v>Монография</v>
      </c>
      <c r="C5104" s="10" t="str">
        <f ca="1">IFERROR(__xludf.DUMMYFUNCTION("""COMPUTED_VALUE"""),"Българинът на ценностен кръстопът")</f>
        <v>Българинът на ценностен кръстопът</v>
      </c>
      <c r="D5104" s="10">
        <f ca="1">IFERROR(__xludf.DUMMYFUNCTION("""COMPUTED_VALUE"""),2017)</f>
        <v>2017</v>
      </c>
      <c r="E5104" s="10" t="str">
        <f ca="1">IFERROR(__xludf.DUMMYFUNCTION("""COMPUTED_VALUE"""),"С., Издателство “За буквите – О писменехь”. Монография, 208 с., ISBN 978-619-185-289-5")</f>
        <v>С., Издателство “За буквите – О писменехь”. Монография, 208 с., ISBN 978-619-185-289-5</v>
      </c>
      <c r="F5104" s="10"/>
      <c r="G5104" s="10"/>
      <c r="H5104" s="10"/>
      <c r="I5104" s="10"/>
      <c r="J5104" s="10"/>
      <c r="K5104" s="10"/>
      <c r="L5104" s="10"/>
      <c r="M5104" s="10"/>
      <c r="N5104" s="10"/>
      <c r="O5104" s="10"/>
      <c r="P5104" s="10"/>
      <c r="Q5104" s="10"/>
      <c r="R5104" s="10"/>
      <c r="S5104" s="10"/>
      <c r="T5104" s="10"/>
      <c r="U5104" s="10"/>
      <c r="V5104" s="10"/>
      <c r="W5104" s="10"/>
      <c r="X5104" s="10"/>
      <c r="Y5104" s="10"/>
      <c r="Z5104" s="10"/>
    </row>
    <row r="5105" spans="1:26" ht="12.75">
      <c r="A5105" s="10" t="str">
        <f ca="1">IFERROR(__xludf.DUMMYFUNCTION("""COMPUTED_VALUE"""),"Магдалена Златкова Гарванова")</f>
        <v>Магдалена Златкова Гарванова</v>
      </c>
      <c r="B5105" s="10" t="str">
        <f ca="1">IFERROR(__xludf.DUMMYFUNCTION("""COMPUTED_VALUE"""),"Доклад от конференция")</f>
        <v>Доклад от конференция</v>
      </c>
      <c r="C5105" s="10" t="str">
        <f ca="1">IFERROR(__xludf.DUMMYFUNCTION("""COMPUTED_VALUE"""),"Експериментално изследване на влиянието на съвременните комуникационни технологии върху здравето на човека")</f>
        <v>Експериментално изследване на влиянието на съвременните комуникационни технологии върху здравето на човека</v>
      </c>
      <c r="D5105" s="10">
        <f ca="1">IFERROR(__xludf.DUMMYFUNCTION("""COMPUTED_VALUE"""),2016)</f>
        <v>2016</v>
      </c>
      <c r="E5105" s="10" t="str">
        <f ca="1">IFERROR(__xludf.DUMMYFUNCTION("""COMPUTED_VALUE"""),"В: С. Денчев, Н. Палашев и Б. Борисов (ред.) Научни доклади от Втора кръгла маса “Проблеми на обществената комуникация” 2016. С., Издателство “За буквите – О писменехь”, 162-167, ISSN 2534-9430")</f>
        <v>В: С. Денчев, Н. Палашев и Б. Борисов (ред.) Научни доклади от Втора кръгла маса “Проблеми на обществената комуникация” 2016. С., Издателство “За буквите – О писменехь”, 162-167, ISSN 2534-9430</v>
      </c>
      <c r="F5105" s="10"/>
      <c r="G5105" s="10" t="str">
        <f ca="1">IFERROR(__xludf.DUMMYFUNCTION("""COMPUTED_VALUE"""),"Иван Гарванов")</f>
        <v>Иван Гарванов</v>
      </c>
      <c r="H5105" s="10"/>
      <c r="I5105" s="10"/>
      <c r="J5105" s="10"/>
      <c r="K5105" s="10"/>
      <c r="L5105" s="10"/>
      <c r="M5105" s="10"/>
      <c r="N5105" s="10"/>
      <c r="O5105" s="10"/>
      <c r="P5105" s="10"/>
      <c r="Q5105" s="10"/>
      <c r="R5105" s="10"/>
      <c r="S5105" s="10"/>
      <c r="T5105" s="10"/>
      <c r="U5105" s="10"/>
      <c r="V5105" s="10"/>
      <c r="W5105" s="10"/>
      <c r="X5105" s="10"/>
      <c r="Y5105" s="10"/>
      <c r="Z5105" s="10"/>
    </row>
    <row r="5106" spans="1:26" ht="12.75">
      <c r="A5106" s="10" t="str">
        <f ca="1">IFERROR(__xludf.DUMMYFUNCTION("""COMPUTED_VALUE"""),"Магдалена Златкова Гарванова")</f>
        <v>Магдалена Златкова Гарванова</v>
      </c>
      <c r="B5106" s="10" t="str">
        <f ca="1">IFERROR(__xludf.DUMMYFUNCTION("""COMPUTED_VALUE"""),"Статия в списания и поредици")</f>
        <v>Статия в списания и поредици</v>
      </c>
      <c r="C5106" s="10" t="str">
        <f ca="1">IFERROR(__xludf.DUMMYFUNCTION("""COMPUTED_VALUE"""),"Що е проституция и има ли тя почва в социалистическа България?")</f>
        <v>Що е проституция и има ли тя почва в социалистическа България?</v>
      </c>
      <c r="D5106" s="10">
        <f ca="1">IFERROR(__xludf.DUMMYFUNCTION("""COMPUTED_VALUE"""),2016)</f>
        <v>2016</v>
      </c>
      <c r="E5106" s="10" t="str">
        <f ca="1">IFERROR(__xludf.DUMMYFUNCTION("""COMPUTED_VALUE"""),"Философски алтернативи, 1, 20-37, ISSN 0861-7899")</f>
        <v>Философски алтернативи, 1, 20-37, ISSN 0861-7899</v>
      </c>
      <c r="F5106" s="10" t="str">
        <f ca="1">IFERROR(__xludf.DUMMYFUNCTION("""COMPUTED_VALUE"""),"Google Scholar")</f>
        <v>Google Scholar</v>
      </c>
      <c r="G5106" s="10"/>
      <c r="H5106" s="10"/>
      <c r="I5106" s="10"/>
      <c r="J5106" s="10"/>
      <c r="K5106" s="10"/>
      <c r="L5106" s="10"/>
      <c r="M5106" s="10"/>
      <c r="N5106" s="10"/>
      <c r="O5106" s="10"/>
      <c r="P5106" s="10"/>
      <c r="Q5106" s="10"/>
      <c r="R5106" s="10"/>
      <c r="S5106" s="10"/>
      <c r="T5106" s="10"/>
      <c r="U5106" s="10"/>
      <c r="V5106" s="10"/>
      <c r="W5106" s="10"/>
      <c r="X5106" s="10"/>
      <c r="Y5106" s="10"/>
      <c r="Z5106" s="10"/>
    </row>
    <row r="5107" spans="1:26" ht="12.75">
      <c r="A5107" s="10" t="str">
        <f ca="1">IFERROR(__xludf.DUMMYFUNCTION("""COMPUTED_VALUE"""),"Магдалена Златкова Гарванова")</f>
        <v>Магдалена Златкова Гарванова</v>
      </c>
      <c r="B5107" s="10" t="str">
        <f ca="1">IFERROR(__xludf.DUMMYFUNCTION("""COMPUTED_VALUE"""),"Статия в списания и поредици")</f>
        <v>Статия в списания и поредици</v>
      </c>
      <c r="C5107" s="10" t="str">
        <f ca="1">IFERROR(__xludf.DUMMYFUNCTION("""COMPUTED_VALUE"""),"Динамика в основните индивидуални ценности при български студенти във възникваща зрелост – 18-29 г.")</f>
        <v>Динамика в основните индивидуални ценности при български студенти във възникваща зрелост – 18-29 г.</v>
      </c>
      <c r="D5107" s="10">
        <f ca="1">IFERROR(__xludf.DUMMYFUNCTION("""COMPUTED_VALUE"""),2016)</f>
        <v>2016</v>
      </c>
      <c r="E5107" s="10" t="str">
        <f ca="1">IFERROR(__xludf.DUMMYFUNCTION("""COMPUTED_VALUE"""),"Психологическа мисъл, 9 (1), 104-122, ISSN 2193-7281, doi:10.5964/psyct.v9i1.173")</f>
        <v>Психологическа мисъл, 9 (1), 104-122, ISSN 2193-7281, doi:10.5964/psyct.v9i1.173</v>
      </c>
      <c r="F5107" s="10" t="str">
        <f ca="1">IFERROR(__xludf.DUMMYFUNCTION("""COMPUTED_VALUE"""),"Google Scholar")</f>
        <v>Google Scholar</v>
      </c>
      <c r="G5107" s="10" t="str">
        <f ca="1">IFERROR(__xludf.DUMMYFUNCTION("""COMPUTED_VALUE"""),"Папазова, Ева")</f>
        <v>Папазова, Ева</v>
      </c>
      <c r="H5107" s="10"/>
      <c r="I5107" s="10"/>
      <c r="J5107" s="10"/>
      <c r="K5107" s="10"/>
      <c r="L5107" s="10"/>
      <c r="M5107" s="10"/>
      <c r="N5107" s="10"/>
      <c r="O5107" s="10"/>
      <c r="P5107" s="10"/>
      <c r="Q5107" s="10"/>
      <c r="R5107" s="10"/>
      <c r="S5107" s="10"/>
      <c r="T5107" s="10"/>
      <c r="U5107" s="10"/>
      <c r="V5107" s="10"/>
      <c r="W5107" s="10"/>
      <c r="X5107" s="10"/>
      <c r="Y5107" s="10"/>
      <c r="Z5107" s="10"/>
    </row>
    <row r="5108" spans="1:26" ht="12.75">
      <c r="A5108" s="10" t="str">
        <f ca="1">IFERROR(__xludf.DUMMYFUNCTION("""COMPUTED_VALUE"""),"Магдалена Златкова Гарванова")</f>
        <v>Магдалена Златкова Гарванова</v>
      </c>
      <c r="B5108" s="10" t="str">
        <f ca="1">IFERROR(__xludf.DUMMYFUNCTION("""COMPUTED_VALUE"""),"Доклад от конференция")</f>
        <v>Доклад от конференция</v>
      </c>
      <c r="C5108" s="10" t="str">
        <f ca="1">IFERROR(__xludf.DUMMYFUNCTION("""COMPUTED_VALUE"""),"Polar Hough detector in the presence of randomly arriving impulse interference")</f>
        <v>Polar Hough detector in the presence of randomly arriving impulse interference</v>
      </c>
      <c r="D5108" s="10">
        <f ca="1">IFERROR(__xludf.DUMMYFUNCTION("""COMPUTED_VALUE"""),2016)</f>
        <v>2016</v>
      </c>
      <c r="E5108" s="10" t="str">
        <f ca="1">IFERROR(__xludf.DUMMYFUNCTION("""COMPUTED_VALUE"""),"In: S. Gramatikov, M. Kostoska, &amp; M. Mirchev (Eds.), Proceedings of the 13th Conference on Informatics and Information Technology: CIIT 2016, April, 22-24, Molika, Bitola, Macedonia, 93-97, ISBN 978-608-4699-06-4")</f>
        <v>In: S. Gramatikov, M. Kostoska, &amp; M. Mirchev (Eds.), Proceedings of the 13th Conference on Informatics and Information Technology: CIIT 2016, April, 22-24, Molika, Bitola, Macedonia, 93-97, ISBN 978-608-4699-06-4</v>
      </c>
      <c r="F5108" s="10"/>
      <c r="G5108" s="10" t="str">
        <f ca="1">IFERROR(__xludf.DUMMYFUNCTION("""COMPUTED_VALUE"""),"G a r v a n o v, I., V l a d i m i r o v, S.")</f>
        <v>G a r v a n o v, I., V l a d i m i r o v, S.</v>
      </c>
      <c r="H5108" s="10"/>
      <c r="I5108" s="10"/>
      <c r="J5108" s="10"/>
      <c r="K5108" s="10"/>
      <c r="L5108" s="10"/>
      <c r="M5108" s="10"/>
      <c r="N5108" s="10"/>
      <c r="O5108" s="10"/>
      <c r="P5108" s="10"/>
      <c r="Q5108" s="10"/>
      <c r="R5108" s="10"/>
      <c r="S5108" s="10"/>
      <c r="T5108" s="10"/>
      <c r="U5108" s="10"/>
      <c r="V5108" s="10"/>
      <c r="W5108" s="10"/>
      <c r="X5108" s="10"/>
      <c r="Y5108" s="10"/>
      <c r="Z5108" s="10"/>
    </row>
    <row r="5109" spans="1:26" ht="12.75">
      <c r="A5109" s="10" t="str">
        <f ca="1">IFERROR(__xludf.DUMMYFUNCTION("""COMPUTED_VALUE"""),"Магдалена Златкова Гарванова")</f>
        <v>Магдалена Златкова Гарванова</v>
      </c>
      <c r="B5109" s="10" t="str">
        <f ca="1">IFERROR(__xludf.DUMMYFUNCTION("""COMPUTED_VALUE"""),"Доклад от конференция")</f>
        <v>Доклад от конференция</v>
      </c>
      <c r="C5109" s="10" t="str">
        <f ca="1">IFERROR(__xludf.DUMMYFUNCTION("""COMPUTED_VALUE"""),"Formation of leadership values in the Bulgarian post-totalitarian context")</f>
        <v>Formation of leadership values in the Bulgarian post-totalitarian context</v>
      </c>
      <c r="D5109" s="10">
        <f ca="1">IFERROR(__xludf.DUMMYFUNCTION("""COMPUTED_VALUE"""),2016)</f>
        <v>2016</v>
      </c>
      <c r="E5109" s="10" t="str">
        <f ca="1">IFERROR(__xludf.DUMMYFUNCTION("""COMPUTED_VALUE"""),"3rd International Multidisciplinary Scientific Conference on Social Sciences and Arts SGEM 2016, 24-30 August, 2016, Albena, Bulgaria. Conference Proceedings, vol. 1 “Psychology &amp; Psychiatry, Sociology &amp; Healthcare, Education”. Sofia: STEF92 Technology Lt"&amp;"d., 185-192, ISBN 978-619-7105-70-4, ISSN 2367-5659, doi: 10.5593/SGEMSOCIAL2016/B11/S01.024")</f>
        <v>3rd International Multidisciplinary Scientific Conference on Social Sciences and Arts SGEM 2016, 24-30 August, 2016, Albena, Bulgaria. Conference Proceedings, vol. 1 “Psychology &amp; Psychiatry, Sociology &amp; Healthcare, Education”. Sofia: STEF92 Technology Ltd., 185-192, ISBN 978-619-7105-70-4, ISSN 2367-5659, doi: 10.5593/SGEMSOCIAL2016/B11/S01.024</v>
      </c>
      <c r="F5109" s="10" t="str">
        <f ca="1">IFERROR(__xludf.DUMMYFUNCTION("""COMPUTED_VALUE"""),"Web of Science")</f>
        <v>Web of Science</v>
      </c>
      <c r="G5109" s="10"/>
      <c r="H5109" s="10"/>
      <c r="I5109" s="10"/>
      <c r="J5109" s="10"/>
      <c r="K5109" s="10"/>
      <c r="L5109" s="10"/>
      <c r="M5109" s="10"/>
      <c r="N5109" s="10"/>
      <c r="O5109" s="10"/>
      <c r="P5109" s="10"/>
      <c r="Q5109" s="10"/>
      <c r="R5109" s="10"/>
      <c r="S5109" s="10"/>
      <c r="T5109" s="10"/>
      <c r="U5109" s="10"/>
      <c r="V5109" s="10"/>
      <c r="W5109" s="10"/>
      <c r="X5109" s="10"/>
      <c r="Y5109" s="10"/>
      <c r="Z5109" s="10"/>
    </row>
    <row r="5110" spans="1:26" ht="12.75">
      <c r="A5110" s="10" t="str">
        <f ca="1">IFERROR(__xludf.DUMMYFUNCTION("""COMPUTED_VALUE"""),"Магдалена Златкова Гарванова")</f>
        <v>Магдалена Златкова Гарванова</v>
      </c>
      <c r="B5110" s="10" t="str">
        <f ca="1">IFERROR(__xludf.DUMMYFUNCTION("""COMPUTED_VALUE"""),"Статия в списания и поредици")</f>
        <v>Статия в списания и поредици</v>
      </c>
      <c r="C5110" s="10" t="str">
        <f ca="1">IFERROR(__xludf.DUMMYFUNCTION("""COMPUTED_VALUE"""),"Tримерно моделиране с компютърната система Mathcad")</f>
        <v>Tримерно моделиране с компютърната система Mathcad</v>
      </c>
      <c r="D5110" s="10">
        <f ca="1">IFERROR(__xludf.DUMMYFUNCTION("""COMPUTED_VALUE"""),2016)</f>
        <v>2016</v>
      </c>
      <c r="E5110" s="10" t="str">
        <f ca="1">IFERROR(__xludf.DUMMYFUNCTION("""COMPUTED_VALUE"""),"В: Н. Василев (съст.) GLORIA BIBLIOSPHERAE (Нишката на Ариадна). Изследвания в чест на акад. проф. Александра Куманова. Юбилеен сборник по случай 65 години от основаването на УниБИТ. С., Издателство “За буквите – О писменехь”, Факлоносци ХVІ, 259-269, ISB"&amp;"N 978-619-185-211-6, online ISBN 978-619-185-212-3")</f>
        <v>В: Н. Василев (съст.) GLORIA BIBLIOSPHERAE (Нишката на Ариадна). Изследвания в чест на акад. проф. Александра Куманова. Юбилеен сборник по случай 65 години от основаването на УниБИТ. С., Издателство “За буквите – О писменехь”, Факлоносци ХVІ, 259-269, ISBN 978-619-185-211-6, online ISBN 978-619-185-212-3</v>
      </c>
      <c r="F5110" s="10"/>
      <c r="G5110" s="10"/>
      <c r="H5110" s="10"/>
      <c r="I5110" s="10"/>
      <c r="J5110" s="10"/>
      <c r="K5110" s="10"/>
      <c r="L5110" s="10"/>
      <c r="M5110" s="10"/>
      <c r="N5110" s="10"/>
      <c r="O5110" s="10"/>
      <c r="P5110" s="10"/>
      <c r="Q5110" s="10"/>
      <c r="R5110" s="10"/>
      <c r="S5110" s="10"/>
      <c r="T5110" s="10"/>
      <c r="U5110" s="10"/>
      <c r="V5110" s="10"/>
      <c r="W5110" s="10"/>
      <c r="X5110" s="10"/>
      <c r="Y5110" s="10"/>
      <c r="Z5110" s="10"/>
    </row>
    <row r="5111" spans="1:26" ht="12.75">
      <c r="A5111" s="10" t="str">
        <f ca="1">IFERROR(__xludf.DUMMYFUNCTION("""COMPUTED_VALUE"""),"Магдалена Златкова Гарванова")</f>
        <v>Магдалена Златкова Гарванова</v>
      </c>
      <c r="B5111" s="10" t="str">
        <f ca="1">IFERROR(__xludf.DUMMYFUNCTION("""COMPUTED_VALUE"""),"Глава от колективна монография")</f>
        <v>Глава от колективна монография</v>
      </c>
      <c r="C5111" s="10" t="str">
        <f ca="1">IFERROR(__xludf.DUMMYFUNCTION("""COMPUTED_VALUE"""),"Опазване на нематериалното културно наследство: религиозните ценности в съвременна България")</f>
        <v>Опазване на нематериалното културно наследство: религиозните ценности в съвременна България</v>
      </c>
      <c r="D5111" s="10">
        <f ca="1">IFERROR(__xludf.DUMMYFUNCTION("""COMPUTED_VALUE"""),2016)</f>
        <v>2016</v>
      </c>
      <c r="E5111" s="10" t="str">
        <f ca="1">IFERROR(__xludf.DUMMYFUNCTION("""COMPUTED_VALUE"""),"С., Издателство “За буквите – О писменехь”, 272 с., ISBN 978-619-185-254-3")</f>
        <v>С., Издателство “За буквите – О писменехь”, 272 с., ISBN 978-619-185-254-3</v>
      </c>
      <c r="F5111" s="10"/>
      <c r="G5111" s="10" t="str">
        <f ca="1">IFERROR(__xludf.DUMMYFUNCTION("""COMPUTED_VALUE"""),"Назърска, Жоржета, Шапкалова, Светла")</f>
        <v>Назърска, Жоржета, Шапкалова, Светла</v>
      </c>
      <c r="H5111" s="10"/>
      <c r="I5111" s="10"/>
      <c r="J5111" s="10"/>
      <c r="K5111" s="10"/>
      <c r="L5111" s="10"/>
      <c r="M5111" s="10"/>
      <c r="N5111" s="10"/>
      <c r="O5111" s="10"/>
      <c r="P5111" s="10"/>
      <c r="Q5111" s="10"/>
      <c r="R5111" s="10"/>
      <c r="S5111" s="10"/>
      <c r="T5111" s="10"/>
      <c r="U5111" s="10"/>
      <c r="V5111" s="10"/>
      <c r="W5111" s="10"/>
      <c r="X5111" s="10"/>
      <c r="Y5111" s="10"/>
      <c r="Z5111" s="10"/>
    </row>
    <row r="5112" spans="1:26" ht="12.75">
      <c r="A5112" s="10" t="str">
        <f ca="1">IFERROR(__xludf.DUMMYFUNCTION("""COMPUTED_VALUE"""),"Магдалена Златкова Гарванова")</f>
        <v>Магдалена Златкова Гарванова</v>
      </c>
      <c r="B5112" s="10" t="str">
        <f ca="1">IFERROR(__xludf.DUMMYFUNCTION("""COMPUTED_VALUE"""),"Доклад от конференция")</f>
        <v>Доклад от конференция</v>
      </c>
      <c r="C5112" s="10" t="str">
        <f ca="1">IFERROR(__xludf.DUMMYFUNCTION("""COMPUTED_VALUE"""),"The experimental study of possibility for pulsar signal detection")</f>
        <v>The experimental study of possibility for pulsar signal detection</v>
      </c>
      <c r="D5112" s="10">
        <f ca="1">IFERROR(__xludf.DUMMYFUNCTION("""COMPUTED_VALUE"""),2016)</f>
        <v>2016</v>
      </c>
      <c r="E5112" s="10" t="str">
        <f ca="1">IFERROR(__xludf.DUMMYFUNCTION("""COMPUTED_VALUE"""),"Proceedings of 2016 International Conference on Engineering and Telecommunication – En&amp;T 2016, 29-30 November 2016, Moscow, Russia, 68-71, ISBN 978-1-5090-4553-2, doi: 10.1109/EnT.2016.023")</f>
        <v>Proceedings of 2016 International Conference on Engineering and Telecommunication – En&amp;T 2016, 29-30 November 2016, Moscow, Russia, 68-71, ISBN 978-1-5090-4553-2, doi: 10.1109/EnT.2016.023</v>
      </c>
      <c r="F5112" s="10" t="str">
        <f ca="1">IFERROR(__xludf.DUMMYFUNCTION("""COMPUTED_VALUE"""),"Scopus, Web of Science")</f>
        <v>Scopus, Web of Science</v>
      </c>
      <c r="G5112" s="10" t="str">
        <f ca="1">IFERROR(__xludf.DUMMYFUNCTION("""COMPUTED_VALUE"""),"G a r v a n o v, I., K a b a k c h i e v, C., B e h a r, V.")</f>
        <v>G a r v a n o v, I., K a b a k c h i e v, C., B e h a r, V.</v>
      </c>
      <c r="H5112" s="10"/>
      <c r="I5112" s="10"/>
      <c r="J5112" s="10"/>
      <c r="K5112" s="10"/>
      <c r="L5112" s="10"/>
      <c r="M5112" s="10"/>
      <c r="N5112" s="10"/>
      <c r="O5112" s="10"/>
      <c r="P5112" s="10"/>
      <c r="Q5112" s="10"/>
      <c r="R5112" s="10"/>
      <c r="S5112" s="10"/>
      <c r="T5112" s="10"/>
      <c r="U5112" s="10"/>
      <c r="V5112" s="10"/>
      <c r="W5112" s="10"/>
      <c r="X5112" s="10"/>
      <c r="Y5112" s="10"/>
      <c r="Z5112" s="10"/>
    </row>
    <row r="5113" spans="1:26" ht="12.75">
      <c r="A5113" s="10" t="str">
        <f ca="1">IFERROR(__xludf.DUMMYFUNCTION("""COMPUTED_VALUE"""),"Магдалена Златкова Гарванова")</f>
        <v>Магдалена Златкова Гарванова</v>
      </c>
      <c r="B5113" s="10" t="str">
        <f ca="1">IFERROR(__xludf.DUMMYFUNCTION("""COMPUTED_VALUE"""),"Доклад от конференция")</f>
        <v>Доклад от конференция</v>
      </c>
      <c r="C5113" s="10" t="str">
        <f ca="1">IFERROR(__xludf.DUMMYFUNCTION("""COMPUTED_VALUE"""),"Образователни стратегии на ученици от 9-12 клас – резултати от емпирично изследване")</f>
        <v>Образователни стратегии на ученици от 9-12 клас – резултати от емпирично изследване</v>
      </c>
      <c r="D5113" s="10">
        <f ca="1">IFERROR(__xludf.DUMMYFUNCTION("""COMPUTED_VALUE"""),2016)</f>
        <v>2016</v>
      </c>
      <c r="E5113" s="10" t="str">
        <f ca="1">IFERROR(__xludf.DUMMYFUNCTION("""COMPUTED_VALUE"""),"В: К. Върбанова-Денчева и Б. Хинкова (съст.) Обществото на знанието и хуманизмът на ХХІ век. Тринадесета национална научна конференция с международно участие, София, 1 ноември 2015 г. С., Издателство “За буквите – О писменехь”, 826-835, ISSN 1314-7099")</f>
        <v>В: К. Върбанова-Денчева и Б. Хинкова (съст.) Обществото на знанието и хуманизмът на ХХІ век. Тринадесета национална научна конференция с международно участие, София, 1 ноември 2015 г. С., Издателство “За буквите – О писменехь”, 826-835, ISSN 1314-7099</v>
      </c>
      <c r="F5113" s="10"/>
      <c r="G5113" s="10" t="str">
        <f ca="1">IFERROR(__xludf.DUMMYFUNCTION("""COMPUTED_VALUE"""),"Чолова, Станислава, Пергелов, Божидар")</f>
        <v>Чолова, Станислава, Пергелов, Божидар</v>
      </c>
      <c r="H5113" s="10"/>
      <c r="I5113" s="10"/>
      <c r="J5113" s="10"/>
      <c r="K5113" s="10"/>
      <c r="L5113" s="10"/>
      <c r="M5113" s="10"/>
      <c r="N5113" s="10"/>
      <c r="O5113" s="10"/>
      <c r="P5113" s="10"/>
      <c r="Q5113" s="10"/>
      <c r="R5113" s="10"/>
      <c r="S5113" s="10"/>
      <c r="T5113" s="10"/>
      <c r="U5113" s="10"/>
      <c r="V5113" s="10"/>
      <c r="W5113" s="10"/>
      <c r="X5113" s="10"/>
      <c r="Y5113" s="10"/>
      <c r="Z5113" s="10"/>
    </row>
    <row r="5114" spans="1:26" ht="12.75">
      <c r="A5114" s="10" t="str">
        <f ca="1">IFERROR(__xludf.DUMMYFUNCTION("""COMPUTED_VALUE"""),"Магдалена Златкова Гарванова")</f>
        <v>Магдалена Златкова Гарванова</v>
      </c>
      <c r="B5114" s="10" t="str">
        <f ca="1">IFERROR(__xludf.DUMMYFUNCTION("""COMPUTED_VALUE"""),"Доклад от конференция")</f>
        <v>Доклад от конференция</v>
      </c>
      <c r="C5114" s="10" t="str">
        <f ca="1">IFERROR(__xludf.DUMMYFUNCTION("""COMPUTED_VALUE"""),"Динамика на образователните нагласи на юноши в горна училищна възраст")</f>
        <v>Динамика на образователните нагласи на юноши в горна училищна възраст</v>
      </c>
      <c r="D5114" s="10">
        <f ca="1">IFERROR(__xludf.DUMMYFUNCTION("""COMPUTED_VALUE"""),2016)</f>
        <v>2016</v>
      </c>
      <c r="E5114" s="10" t="str">
        <f ca="1">IFERROR(__xludf.DUMMYFUNCTION("""COMPUTED_VALUE"""),"В: К. Върбанова-Денчева и Б. Хинкова (съст.) Обществото на знанието и хуманизмът на ХХІ век. Тринадесета национална научна конференция с международно участие, София, 1 ноември 2015 г. С., Издателство “За буквите – О писменехь”, 836-844, ISSN 1314-7099")</f>
        <v>В: К. Върбанова-Денчева и Б. Хинкова (съст.) Обществото на знанието и хуманизмът на ХХІ век. Тринадесета национална научна конференция с международно участие, София, 1 ноември 2015 г. С., Издателство “За буквите – О писменехь”, 836-844, ISSN 1314-7099</v>
      </c>
      <c r="F5114" s="10"/>
      <c r="G5114" s="10" t="str">
        <f ca="1">IFERROR(__xludf.DUMMYFUNCTION("""COMPUTED_VALUE"""),"Николова, Боряна, Шопова, Кристияна")</f>
        <v>Николова, Боряна, Шопова, Кристияна</v>
      </c>
      <c r="H5114" s="10"/>
      <c r="I5114" s="10"/>
      <c r="J5114" s="10"/>
      <c r="K5114" s="10"/>
      <c r="L5114" s="10"/>
      <c r="M5114" s="10"/>
      <c r="N5114" s="10"/>
      <c r="O5114" s="10"/>
      <c r="P5114" s="10"/>
      <c r="Q5114" s="10"/>
      <c r="R5114" s="10"/>
      <c r="S5114" s="10"/>
      <c r="T5114" s="10"/>
      <c r="U5114" s="10"/>
      <c r="V5114" s="10"/>
      <c r="W5114" s="10"/>
      <c r="X5114" s="10"/>
      <c r="Y5114" s="10"/>
      <c r="Z5114" s="10"/>
    </row>
    <row r="5115" spans="1:26" ht="12.75">
      <c r="A5115" s="10" t="str">
        <f ca="1">IFERROR(__xludf.DUMMYFUNCTION("""COMPUTED_VALUE"""),"Магдалена Златкова Гарванова")</f>
        <v>Магдалена Златкова Гарванова</v>
      </c>
      <c r="B5115" s="10" t="str">
        <f ca="1">IFERROR(__xludf.DUMMYFUNCTION("""COMPUTED_VALUE"""),"Доклад от конференция")</f>
        <v>Доклад от конференция</v>
      </c>
      <c r="C5115" s="10" t="str">
        <f ca="1">IFERROR(__xludf.DUMMYFUNCTION("""COMPUTED_VALUE"""),"Психометричен анализ на методиката на Сандра Бем за половите роли – Bem Sex-Role Inventory (BSRI)")</f>
        <v>Психометричен анализ на методиката на Сандра Бем за половите роли – Bem Sex-Role Inventory (BSRI)</v>
      </c>
      <c r="D5115" s="10">
        <f ca="1">IFERROR(__xludf.DUMMYFUNCTION("""COMPUTED_VALUE"""),2016)</f>
        <v>2016</v>
      </c>
      <c r="E5115" s="10" t="str">
        <f ca="1">IFERROR(__xludf.DUMMYFUNCTION("""COMPUTED_VALUE"""),"В: П. Муканова (ред.) Съвременни измерения на европейското образователно и научно пространство. Сборник с доклади. Българо-унгарски културни общувания. Десети юбилеен международен пътуващ семинар на УниБИТ България – Унгария, 30 май – 5 юни 2016 г., т. 4."&amp;" С., Издателство “За буквите – О писменехь”, 169-182, ISSN 2367-7988")</f>
        <v>В: П. Муканова (ред.) Съвременни измерения на европейското образователно и научно пространство. Сборник с доклади. Българо-унгарски културни общувания. Десети юбилеен международен пътуващ семинар на УниБИТ България – Унгария, 30 май – 5 юни 2016 г., т. 4. С., Издателство “За буквите – О писменехь”, 169-182, ISSN 2367-7988</v>
      </c>
      <c r="F5115" s="10"/>
      <c r="G5115" s="10"/>
      <c r="H5115" s="10"/>
      <c r="I5115" s="10"/>
      <c r="J5115" s="10"/>
      <c r="K5115" s="10"/>
      <c r="L5115" s="10"/>
      <c r="M5115" s="10"/>
      <c r="N5115" s="10"/>
      <c r="O5115" s="10"/>
      <c r="P5115" s="10"/>
      <c r="Q5115" s="10"/>
      <c r="R5115" s="10"/>
      <c r="S5115" s="10"/>
      <c r="T5115" s="10"/>
      <c r="U5115" s="10"/>
      <c r="V5115" s="10"/>
      <c r="W5115" s="10"/>
      <c r="X5115" s="10"/>
      <c r="Y5115" s="10"/>
      <c r="Z5115" s="10"/>
    </row>
    <row r="5116" spans="1:26" ht="12.75">
      <c r="A5116" s="10" t="str">
        <f ca="1">IFERROR(__xludf.DUMMYFUNCTION("""COMPUTED_VALUE"""),"Магдалена Златкова Гарванова")</f>
        <v>Магдалена Златкова Гарванова</v>
      </c>
      <c r="B5116" s="10" t="str">
        <f ca="1">IFERROR(__xludf.DUMMYFUNCTION("""COMPUTED_VALUE"""),"Статия в списания и поредици")</f>
        <v>Статия в списания и поредици</v>
      </c>
      <c r="C5116" s="10" t="str">
        <f ca="1">IFERROR(__xludf.DUMMYFUNCTION("""COMPUTED_VALUE"""),"За Просвещението в съвременната информационна среда")</f>
        <v>За Просвещението в съвременната информационна среда</v>
      </c>
      <c r="D5116" s="10">
        <f ca="1">IFERROR(__xludf.DUMMYFUNCTION("""COMPUTED_VALUE"""),2016)</f>
        <v>2016</v>
      </c>
      <c r="E5116" s="10" t="str">
        <f ca="1">IFERROR(__xludf.DUMMYFUNCTION("""COMPUTED_VALUE"""),"Издател, № 2, кн. 3-4, 107-110, ISSN 1310-4624 (Print), ISSN 2367-9158 (Online)")</f>
        <v>Издател, № 2, кн. 3-4, 107-110, ISSN 1310-4624 (Print), ISSN 2367-9158 (Online)</v>
      </c>
      <c r="F5116" s="10"/>
      <c r="G5116" s="10"/>
      <c r="H5116" s="10"/>
      <c r="I5116" s="10"/>
      <c r="J5116" s="10"/>
      <c r="K5116" s="10"/>
      <c r="L5116" s="10"/>
      <c r="M5116" s="10"/>
      <c r="N5116" s="10"/>
      <c r="O5116" s="10"/>
      <c r="P5116" s="10"/>
      <c r="Q5116" s="10"/>
      <c r="R5116" s="10"/>
      <c r="S5116" s="10"/>
      <c r="T5116" s="10"/>
      <c r="U5116" s="10"/>
      <c r="V5116" s="10"/>
      <c r="W5116" s="10"/>
      <c r="X5116" s="10"/>
      <c r="Y5116" s="10"/>
      <c r="Z5116" s="10"/>
    </row>
    <row r="5117" spans="1:26" ht="12.75">
      <c r="A5117" s="10" t="str">
        <f ca="1">IFERROR(__xludf.DUMMYFUNCTION("""COMPUTED_VALUE"""),"Магдалена Златкова Гарванова")</f>
        <v>Магдалена Златкова Гарванова</v>
      </c>
      <c r="B5117" s="10" t="str">
        <f ca="1">IFERROR(__xludf.DUMMYFUNCTION("""COMPUTED_VALUE"""),"Доклад от конференция")</f>
        <v>Доклад от конференция</v>
      </c>
      <c r="C5117" s="10" t="str">
        <f ca="1">IFERROR(__xludf.DUMMYFUNCTION("""COMPUTED_VALUE"""),"Културни предпоставки на лидерството в България")</f>
        <v>Културни предпоставки на лидерството в България</v>
      </c>
      <c r="D5117" s="10">
        <f ca="1">IFERROR(__xludf.DUMMYFUNCTION("""COMPUTED_VALUE"""),2016)</f>
        <v>2016</v>
      </c>
      <c r="E5117" s="10" t="str">
        <f ca="1">IFERROR(__xludf.DUMMYFUNCTION("""COMPUTED_VALUE"""),"Научна сесия “Качества на личността и лидерски практики”. Институт за изследване и развитие на лидерството в информационна среда, Бюлетин № 10. С., Издателство “За буквите – О писменехь”, 95-107, ISSN 1313-8782")</f>
        <v>Научна сесия “Качества на личността и лидерски практики”. Институт за изследване и развитие на лидерството в информационна среда, Бюлетин № 10. С., Издателство “За буквите – О писменехь”, 95-107, ISSN 1313-8782</v>
      </c>
      <c r="F5117" s="10"/>
      <c r="G5117" s="10"/>
      <c r="H5117" s="10"/>
      <c r="I5117" s="10"/>
      <c r="J5117" s="10"/>
      <c r="K5117" s="10"/>
      <c r="L5117" s="10"/>
      <c r="M5117" s="10"/>
      <c r="N5117" s="10"/>
      <c r="O5117" s="10"/>
      <c r="P5117" s="10"/>
      <c r="Q5117" s="10"/>
      <c r="R5117" s="10"/>
      <c r="S5117" s="10"/>
      <c r="T5117" s="10"/>
      <c r="U5117" s="10"/>
      <c r="V5117" s="10"/>
      <c r="W5117" s="10"/>
      <c r="X5117" s="10"/>
      <c r="Y5117" s="10"/>
      <c r="Z5117" s="10"/>
    </row>
    <row r="5118" spans="1:26" ht="12.75">
      <c r="A5118" s="10" t="str">
        <f ca="1">IFERROR(__xludf.DUMMYFUNCTION("""COMPUTED_VALUE"""),"Магдалена Златкова Гарванова")</f>
        <v>Магдалена Златкова Гарванова</v>
      </c>
      <c r="B5118" s="10" t="str">
        <f ca="1">IFERROR(__xludf.DUMMYFUNCTION("""COMPUTED_VALUE"""),"Доклад от конференция")</f>
        <v>Доклад от конференция</v>
      </c>
      <c r="C5118" s="10" t="str">
        <f ca="1">IFERROR(__xludf.DUMMYFUNCTION("""COMPUTED_VALUE"""),"A study on gender stereotypes among Bulgarian students")</f>
        <v>A study on gender stereotypes among Bulgarian students</v>
      </c>
      <c r="D5118" s="10">
        <f ca="1">IFERROR(__xludf.DUMMYFUNCTION("""COMPUTED_VALUE"""),2016)</f>
        <v>2016</v>
      </c>
      <c r="E5118" s="10" t="str">
        <f ca="1">IFERROR(__xludf.DUMMYFUNCTION("""COMPUTED_VALUE"""),"În: Y.-M. Catelly (redactor șef), Limbă, cultură şi civilizaţie – tendințe pentru decada viitoare, a X-a Conferinţă Internaţională, mai 2016. Bucureşti, Editura Politehnica Press, 168-177, ISSN 2067-1628")</f>
        <v>În: Y.-M. Catelly (redactor șef), Limbă, cultură şi civilizaţie – tendințe pentru decada viitoare, a X-a Conferinţă Internaţională, mai 2016. Bucureşti, Editura Politehnica Press, 168-177, ISSN 2067-1628</v>
      </c>
      <c r="F5118" s="10"/>
      <c r="G5118" s="10"/>
      <c r="H5118" s="10"/>
      <c r="I5118" s="10"/>
      <c r="J5118" s="10"/>
      <c r="K5118" s="10"/>
      <c r="L5118" s="10"/>
      <c r="M5118" s="10"/>
      <c r="N5118" s="10"/>
      <c r="O5118" s="10"/>
      <c r="P5118" s="10"/>
      <c r="Q5118" s="10"/>
      <c r="R5118" s="10"/>
      <c r="S5118" s="10"/>
      <c r="T5118" s="10"/>
      <c r="U5118" s="10"/>
      <c r="V5118" s="10"/>
      <c r="W5118" s="10"/>
      <c r="X5118" s="10"/>
      <c r="Y5118" s="10"/>
      <c r="Z5118" s="10"/>
    </row>
    <row r="5119" spans="1:26" ht="12.75">
      <c r="A5119" s="10" t="str">
        <f ca="1">IFERROR(__xludf.DUMMYFUNCTION("""COMPUTED_VALUE"""),"Магдалена Златкова Гарванова")</f>
        <v>Магдалена Златкова Гарванова</v>
      </c>
      <c r="B5119" s="10" t="str">
        <f ca="1">IFERROR(__xludf.DUMMYFUNCTION("""COMPUTED_VALUE"""),"Доклад от конференция")</f>
        <v>Доклад от конференция</v>
      </c>
      <c r="C5119" s="10" t="str">
        <f ca="1">IFERROR(__xludf.DUMMYFUNCTION("""COMPUTED_VALUE"""),"Религиозни убеждения във възникваща зрелост – българският случай")</f>
        <v>Религиозни убеждения във възникваща зрелост – българският случай</v>
      </c>
      <c r="D5119" s="10">
        <f ca="1">IFERROR(__xludf.DUMMYFUNCTION("""COMPUTED_VALUE"""),2016)</f>
        <v>2016</v>
      </c>
      <c r="E5119" s="10" t="str">
        <f ca="1">IFERROR(__xludf.DUMMYFUNCTION("""COMPUTED_VALUE"""),"В: Ж. Назърска и С. Шапкалова (съст.) Хармония в различията. Сборник с доклади от Научната конференция “Xармония в различията”, София, 9.12.2016. С., Издателство “За буквите – О писменехь”, 183-196, ISSN 2367-7899")</f>
        <v>В: Ж. Назърска и С. Шапкалова (съст.) Хармония в различията. Сборник с доклади от Научната конференция “Xармония в различията”, София, 9.12.2016. С., Издателство “За буквите – О писменехь”, 183-196, ISSN 2367-7899</v>
      </c>
      <c r="F5119" s="10"/>
      <c r="G5119" s="10"/>
      <c r="H5119" s="10"/>
      <c r="I5119" s="10"/>
      <c r="J5119" s="10"/>
      <c r="K5119" s="10"/>
      <c r="L5119" s="10"/>
      <c r="M5119" s="10"/>
      <c r="N5119" s="10"/>
      <c r="O5119" s="10"/>
      <c r="P5119" s="10"/>
      <c r="Q5119" s="10"/>
      <c r="R5119" s="10"/>
      <c r="S5119" s="10"/>
      <c r="T5119" s="10"/>
      <c r="U5119" s="10"/>
      <c r="V5119" s="10"/>
      <c r="W5119" s="10"/>
      <c r="X5119" s="10"/>
      <c r="Y5119" s="10"/>
      <c r="Z5119" s="10"/>
    </row>
    <row r="5120" spans="1:26" ht="12.75">
      <c r="A5120" s="10" t="str">
        <f ca="1">IFERROR(__xludf.DUMMYFUNCTION("""COMPUTED_VALUE"""),"Магдалена Златкова Гарванова")</f>
        <v>Магдалена Златкова Гарванова</v>
      </c>
      <c r="B5120" s="10" t="str">
        <f ca="1">IFERROR(__xludf.DUMMYFUNCTION("""COMPUTED_VALUE"""),"Статия в списания и поредици")</f>
        <v>Статия в списания и поредици</v>
      </c>
      <c r="C5120" s="10" t="str">
        <f ca="1">IFERROR(__xludf.DUMMYFUNCTION("""COMPUTED_VALUE"""),"Психологически портрет на България – 2014")</f>
        <v>Психологически портрет на България – 2014</v>
      </c>
      <c r="D5120" s="10">
        <f ca="1">IFERROR(__xludf.DUMMYFUNCTION("""COMPUTED_VALUE"""),2016)</f>
        <v>2016</v>
      </c>
      <c r="E5120" s="10" t="str">
        <f ca="1">IFERROR(__xludf.DUMMYFUNCTION("""COMPUTED_VALUE"""),"Българско списание по психология, 1-4, 302-303, ISSN 0861-7813")</f>
        <v>Българско списание по психология, 1-4, 302-303, ISSN 0861-7813</v>
      </c>
      <c r="F5120" s="10"/>
      <c r="G5120" s="10"/>
      <c r="H5120" s="10"/>
      <c r="I5120" s="10"/>
      <c r="J5120" s="10"/>
      <c r="K5120" s="10"/>
      <c r="L5120" s="10"/>
      <c r="M5120" s="10"/>
      <c r="N5120" s="10"/>
      <c r="O5120" s="10"/>
      <c r="P5120" s="10"/>
      <c r="Q5120" s="10"/>
      <c r="R5120" s="10"/>
      <c r="S5120" s="10"/>
      <c r="T5120" s="10"/>
      <c r="U5120" s="10"/>
      <c r="V5120" s="10"/>
      <c r="W5120" s="10"/>
      <c r="X5120" s="10"/>
      <c r="Y5120" s="10"/>
      <c r="Z5120" s="10"/>
    </row>
    <row r="5121" spans="1:26" ht="12.75">
      <c r="A5121" s="10" t="str">
        <f ca="1">IFERROR(__xludf.DUMMYFUNCTION("""COMPUTED_VALUE"""),"Магдалена Златкова Гарванова")</f>
        <v>Магдалена Златкова Гарванова</v>
      </c>
      <c r="B5121" s="10" t="str">
        <f ca="1">IFERROR(__xludf.DUMMYFUNCTION("""COMPUTED_VALUE"""),"Доклад от конференция")</f>
        <v>Доклад от конференция</v>
      </c>
      <c r="C5121" s="10" t="str">
        <f ca="1">IFERROR(__xludf.DUMMYFUNCTION("""COMPUTED_VALUE"""),"Българският културен ценностен модел – съвременни тенденции и перспективи за развитие")</f>
        <v>Българският културен ценностен модел – съвременни тенденции и перспективи за развитие</v>
      </c>
      <c r="D5121" s="10">
        <f ca="1">IFERROR(__xludf.DUMMYFUNCTION("""COMPUTED_VALUE"""),2015)</f>
        <v>2015</v>
      </c>
      <c r="E5121" s="10" t="str">
        <f ca="1">IFERROR(__xludf.DUMMYFUNCTION("""COMPUTED_VALUE"""),"Научни доклади от Първа кръгла маса: “Проблеми на обществената комуникация” 2015. С., Издателство “За буквите – О писменехь”, 127-136, ISBN 978-619-185-166-9")</f>
        <v>Научни доклади от Първа кръгла маса: “Проблеми на обществената комуникация” 2015. С., Издателство “За буквите – О писменехь”, 127-136, ISBN 978-619-185-166-9</v>
      </c>
      <c r="F5121" s="10"/>
      <c r="G5121" s="10" t="str">
        <f ca="1">IFERROR(__xludf.DUMMYFUNCTION("""COMPUTED_VALUE"""),"Тянков, Ангел")</f>
        <v>Тянков, Ангел</v>
      </c>
      <c r="H5121" s="10"/>
      <c r="I5121" s="10"/>
      <c r="J5121" s="10"/>
      <c r="K5121" s="10"/>
      <c r="L5121" s="10"/>
      <c r="M5121" s="10"/>
      <c r="N5121" s="10"/>
      <c r="O5121" s="10"/>
      <c r="P5121" s="10"/>
      <c r="Q5121" s="10"/>
      <c r="R5121" s="10"/>
      <c r="S5121" s="10"/>
      <c r="T5121" s="10"/>
      <c r="U5121" s="10"/>
      <c r="V5121" s="10"/>
      <c r="W5121" s="10"/>
      <c r="X5121" s="10"/>
      <c r="Y5121" s="10"/>
      <c r="Z5121" s="10"/>
    </row>
    <row r="5122" spans="1:26" ht="12.75">
      <c r="A5122" s="10" t="str">
        <f ca="1">IFERROR(__xludf.DUMMYFUNCTION("""COMPUTED_VALUE"""),"Магдалена Златкова Гарванова")</f>
        <v>Магдалена Златкова Гарванова</v>
      </c>
      <c r="B5122" s="10" t="str">
        <f ca="1">IFERROR(__xludf.DUMMYFUNCTION("""COMPUTED_VALUE"""),"Доклад от конференция")</f>
        <v>Доклад от конференция</v>
      </c>
      <c r="C5122" s="10" t="str">
        <f ca="1">IFERROR(__xludf.DUMMYFUNCTION("""COMPUTED_VALUE"""),"Кризата на религиозни ценности в съвременна България")</f>
        <v>Кризата на религиозни ценности в съвременна България</v>
      </c>
      <c r="D5122" s="10">
        <f ca="1">IFERROR(__xludf.DUMMYFUNCTION("""COMPUTED_VALUE"""),2015)</f>
        <v>2015</v>
      </c>
      <c r="E5122" s="10" t="str">
        <f ca="1">IFERROR(__xludf.DUMMYFUNCTION("""COMPUTED_VALUE"""),"В: Ж. Назърска и С. Шапкалова (съст.) Хармония в различията. Сборник със студии, доклади и статии от Научна конференция “Xармония в различията”, София, 10.12.2014. С., Издателство “За буквите – О писменехь”, 27-53, ISBN 978-619-185-151-5")</f>
        <v>В: Ж. Назърска и С. Шапкалова (съст.) Хармония в различията. Сборник със студии, доклади и статии от Научна конференция “Xармония в различията”, София, 10.12.2014. С., Издателство “За буквите – О писменехь”, 27-53, ISBN 978-619-185-151-5</v>
      </c>
      <c r="F5122" s="10"/>
      <c r="G5122" s="10" t="str">
        <f ca="1">IFERROR(__xludf.DUMMYFUNCTION("""COMPUTED_VALUE"""),"Шапкалова, Светла")</f>
        <v>Шапкалова, Светла</v>
      </c>
      <c r="H5122" s="10"/>
      <c r="I5122" s="10"/>
      <c r="J5122" s="10"/>
      <c r="K5122" s="10"/>
      <c r="L5122" s="10"/>
      <c r="M5122" s="10"/>
      <c r="N5122" s="10"/>
      <c r="O5122" s="10"/>
      <c r="P5122" s="10"/>
      <c r="Q5122" s="10"/>
      <c r="R5122" s="10"/>
      <c r="S5122" s="10"/>
      <c r="T5122" s="10"/>
      <c r="U5122" s="10"/>
      <c r="V5122" s="10"/>
      <c r="W5122" s="10"/>
      <c r="X5122" s="10"/>
      <c r="Y5122" s="10"/>
      <c r="Z5122" s="10"/>
    </row>
    <row r="5123" spans="1:26" ht="12.75">
      <c r="A5123" s="10" t="str">
        <f ca="1">IFERROR(__xludf.DUMMYFUNCTION("""COMPUTED_VALUE"""),"Магдалена Златкова Гарванова")</f>
        <v>Магдалена Златкова Гарванова</v>
      </c>
      <c r="B5123" s="10" t="str">
        <f ca="1">IFERROR(__xludf.DUMMYFUNCTION("""COMPUTED_VALUE"""),"Доклад от конференция")</f>
        <v>Доклад от конференция</v>
      </c>
      <c r="C5123" s="10" t="str">
        <f ca="1">IFERROR(__xludf.DUMMYFUNCTION("""COMPUTED_VALUE"""),"Secondary applications of GPS technology in urban environment")</f>
        <v>Secondary applications of GPS technology in urban environment</v>
      </c>
      <c r="D5123" s="10">
        <f ca="1">IFERROR(__xludf.DUMMYFUNCTION("""COMPUTED_VALUE"""),2015)</f>
        <v>2015</v>
      </c>
      <c r="E5123" s="10" t="str">
        <f ca="1">IFERROR(__xludf.DUMMYFUNCTION("""COMPUTED_VALUE"""),"У: В. Златановић-Томашевић, Р. Гајић и Н. Стевановић (уредништво) VII Научно-стручна конференција Глобализација, климатске промене и еколошки аспекти заштите простора у урбаним системима. Београд, Србија, 164-172, ISBN 978-86-915671-3-2")</f>
        <v>У: В. Златановић-Томашевић, Р. Гајић и Н. Стевановић (уредништво) VII Научно-стручна конференција Глобализација, климатске промене и еколошки аспекти заштите простора у урбаним системима. Београд, Србија, 164-172, ISBN 978-86-915671-3-2</v>
      </c>
      <c r="F5123" s="10"/>
      <c r="G5123" s="10" t="str">
        <f ca="1">IFERROR(__xludf.DUMMYFUNCTION("""COMPUTED_VALUE"""),"G a r v a n o v, I., B o j k o v, V.")</f>
        <v>G a r v a n o v, I., B o j k o v, V.</v>
      </c>
      <c r="H5123" s="10"/>
      <c r="I5123" s="10"/>
      <c r="J5123" s="10"/>
      <c r="K5123" s="10"/>
      <c r="L5123" s="10"/>
      <c r="M5123" s="10"/>
      <c r="N5123" s="10"/>
      <c r="O5123" s="10"/>
      <c r="P5123" s="10"/>
      <c r="Q5123" s="10"/>
      <c r="R5123" s="10"/>
      <c r="S5123" s="10"/>
      <c r="T5123" s="10"/>
      <c r="U5123" s="10"/>
      <c r="V5123" s="10"/>
      <c r="W5123" s="10"/>
      <c r="X5123" s="10"/>
      <c r="Y5123" s="10"/>
      <c r="Z5123" s="10"/>
    </row>
    <row r="5124" spans="1:26" ht="12.75">
      <c r="A5124" s="10" t="str">
        <f ca="1">IFERROR(__xludf.DUMMYFUNCTION("""COMPUTED_VALUE"""),"Магдалена Златкова Гарванова")</f>
        <v>Магдалена Златкова Гарванова</v>
      </c>
      <c r="B5124" s="10" t="str">
        <f ca="1">IFERROR(__xludf.DUMMYFUNCTION("""COMPUTED_VALUE"""),"Доклад от конференция")</f>
        <v>Доклад от конференция</v>
      </c>
      <c r="C5124" s="10" t="str">
        <f ca="1">IFERROR(__xludf.DUMMYFUNCTION("""COMPUTED_VALUE"""),"Target detection using a GPS Forward-Scattering Radar")</f>
        <v>Target detection using a GPS Forward-Scattering Radar</v>
      </c>
      <c r="D5124" s="10">
        <f ca="1">IFERROR(__xludf.DUMMYFUNCTION("""COMPUTED_VALUE"""),2015)</f>
        <v>2015</v>
      </c>
      <c r="E5124" s="10" t="str">
        <f ca="1">IFERROR(__xludf.DUMMYFUNCTION("""COMPUTED_VALUE"""),"In: E. Pavlyukova, Z. Suroegina, &amp; L. Uzhinskaya (Eds.) The Second International Conference “Engineering &amp; Telecommunications – En&amp;T 2015”, November 18-19, 2015. Book of Abstracts. Moscow-Dolgoprudny, Russia: MIPT, 2015, 83-97, ISBN 978-5-7417-0581-0")</f>
        <v>In: E. Pavlyukova, Z. Suroegina, &amp; L. Uzhinskaya (Eds.) The Second International Conference “Engineering &amp; Telecommunications – En&amp;T 2015”, November 18-19, 2015. Book of Abstracts. Moscow-Dolgoprudny, Russia: MIPT, 2015, 83-97, ISBN 978-5-7417-0581-0</v>
      </c>
      <c r="F5124" s="10"/>
      <c r="G5124" s="10" t="str">
        <f ca="1">IFERROR(__xludf.DUMMYFUNCTION("""COMPUTED_VALUE"""),"G a r v a n o v, I., K a b a k c h i e v, Ch., B e h a r, V.")</f>
        <v>G a r v a n o v, I., K a b a k c h i e v, Ch., B e h a r, V.</v>
      </c>
      <c r="H5124" s="10"/>
      <c r="I5124" s="10"/>
      <c r="J5124" s="10"/>
      <c r="K5124" s="10"/>
      <c r="L5124" s="10"/>
      <c r="M5124" s="10"/>
      <c r="N5124" s="10"/>
      <c r="O5124" s="10"/>
      <c r="P5124" s="10"/>
      <c r="Q5124" s="10"/>
      <c r="R5124" s="10"/>
      <c r="S5124" s="10"/>
      <c r="T5124" s="10"/>
      <c r="U5124" s="10"/>
      <c r="V5124" s="10"/>
      <c r="W5124" s="10"/>
      <c r="X5124" s="10"/>
      <c r="Y5124" s="10"/>
      <c r="Z5124" s="10"/>
    </row>
    <row r="5125" spans="1:26" ht="12.75">
      <c r="A5125" s="10" t="str">
        <f ca="1">IFERROR(__xludf.DUMMYFUNCTION("""COMPUTED_VALUE"""),"Магдалена Златкова Гарванова")</f>
        <v>Магдалена Златкова Гарванова</v>
      </c>
      <c r="B5125" s="10" t="str">
        <f ca="1">IFERROR(__xludf.DUMMYFUNCTION("""COMPUTED_VALUE"""),"Доклад от конференция")</f>
        <v>Доклад от конференция</v>
      </c>
      <c r="C5125" s="10" t="str">
        <f ca="1">IFERROR(__xludf.DUMMYFUNCTION("""COMPUTED_VALUE"""),"Target detection using a GPS Forward-Scattering Radar")</f>
        <v>Target detection using a GPS Forward-Scattering Radar</v>
      </c>
      <c r="D5125" s="10">
        <f ca="1">IFERROR(__xludf.DUMMYFUNCTION("""COMPUTED_VALUE"""),2015)</f>
        <v>2015</v>
      </c>
      <c r="E5125" s="10" t="str">
        <f ca="1">IFERROR(__xludf.DUMMYFUNCTION("""COMPUTED_VALUE"""),"IEEE Proceedings of the Second International Conference “Engineering &amp; Telecommunications – En&amp;T 2015”, November 18-19, 2015. Moscow-Dolgoprudny, Russia, 2015. Invited paper, 29-33, ISBN-13: 978-1-4673-8482-7, doi: 10.1109/EnT.2015.20")</f>
        <v>IEEE Proceedings of the Second International Conference “Engineering &amp; Telecommunications – En&amp;T 2015”, November 18-19, 2015. Moscow-Dolgoprudny, Russia, 2015. Invited paper, 29-33, ISBN-13: 978-1-4673-8482-7, doi: 10.1109/EnT.2015.20</v>
      </c>
      <c r="F5125" s="10" t="str">
        <f ca="1">IFERROR(__xludf.DUMMYFUNCTION("""COMPUTED_VALUE"""),"Scopus, Web of Science")</f>
        <v>Scopus, Web of Science</v>
      </c>
      <c r="G5125" s="10" t="str">
        <f ca="1">IFERROR(__xludf.DUMMYFUNCTION("""COMPUTED_VALUE"""),"G a r v a n o v, I., K a b a k c h i e v, Ch., B e h a r, V.,")</f>
        <v>G a r v a n o v, I., K a b a k c h i e v, Ch., B e h a r, V.,</v>
      </c>
      <c r="H5125" s="10"/>
      <c r="I5125" s="10"/>
      <c r="J5125" s="10"/>
      <c r="K5125" s="10"/>
      <c r="L5125" s="10"/>
      <c r="M5125" s="10"/>
      <c r="N5125" s="10"/>
      <c r="O5125" s="10"/>
      <c r="P5125" s="10"/>
      <c r="Q5125" s="10"/>
      <c r="R5125" s="10"/>
      <c r="S5125" s="10"/>
      <c r="T5125" s="10"/>
      <c r="U5125" s="10"/>
      <c r="V5125" s="10"/>
      <c r="W5125" s="10"/>
      <c r="X5125" s="10"/>
      <c r="Y5125" s="10"/>
      <c r="Z5125" s="10"/>
    </row>
    <row r="5126" spans="1:26" ht="12.75">
      <c r="A5126" s="10" t="str">
        <f ca="1">IFERROR(__xludf.DUMMYFUNCTION("""COMPUTED_VALUE"""),"Магдалена Златкова Гарванова")</f>
        <v>Магдалена Златкова Гарванова</v>
      </c>
      <c r="B5126" s="10" t="str">
        <f ca="1">IFERROR(__xludf.DUMMYFUNCTION("""COMPUTED_VALUE"""),"Доклад от конференция")</f>
        <v>Доклад от конференция</v>
      </c>
      <c r="C5126" s="10" t="str">
        <f ca="1">IFERROR(__xludf.DUMMYFUNCTION("""COMPUTED_VALUE"""),"Ценностни сходства и различия между традиционните религиозни деноминации в България")</f>
        <v>Ценностни сходства и различия между традиционните религиозни деноминации в България</v>
      </c>
      <c r="D5126" s="10">
        <f ca="1">IFERROR(__xludf.DUMMYFUNCTION("""COMPUTED_VALUE"""),2015)</f>
        <v>2015</v>
      </c>
      <c r="E5126" s="10" t="str">
        <f ca="1">IFERROR(__xludf.DUMMYFUNCTION("""COMPUTED_VALUE"""),"В: Ж. Назърска и С. Шапкалова (съст.) Хармония в различията. Сборник с доклади от Научната конференция “Xармония в различията”, София, 10.12.2015. С., Издателство “За буквите – О писменехь”, 35-50, ISSN 2367-7899")</f>
        <v>В: Ж. Назърска и С. Шапкалова (съст.) Хармония в различията. Сборник с доклади от Научната конференция “Xармония в различията”, София, 10.12.2015. С., Издателство “За буквите – О писменехь”, 35-50, ISSN 2367-7899</v>
      </c>
      <c r="F5126" s="10"/>
      <c r="G5126" s="10" t="str">
        <f ca="1">IFERROR(__xludf.DUMMYFUNCTION("""COMPUTED_VALUE"""),"Шапкалова, Светла")</f>
        <v>Шапкалова, Светла</v>
      </c>
      <c r="H5126" s="10"/>
      <c r="I5126" s="10"/>
      <c r="J5126" s="10"/>
      <c r="K5126" s="10"/>
      <c r="L5126" s="10"/>
      <c r="M5126" s="10"/>
      <c r="N5126" s="10"/>
      <c r="O5126" s="10"/>
      <c r="P5126" s="10"/>
      <c r="Q5126" s="10"/>
      <c r="R5126" s="10"/>
      <c r="S5126" s="10"/>
      <c r="T5126" s="10"/>
      <c r="U5126" s="10"/>
      <c r="V5126" s="10"/>
      <c r="W5126" s="10"/>
      <c r="X5126" s="10"/>
      <c r="Y5126" s="10"/>
      <c r="Z5126" s="10"/>
    </row>
    <row r="5127" spans="1:26" ht="12.75">
      <c r="A5127" s="10" t="str">
        <f ca="1">IFERROR(__xludf.DUMMYFUNCTION("""COMPUTED_VALUE"""),"Магдалена Златкова Гарванова")</f>
        <v>Магдалена Златкова Гарванова</v>
      </c>
      <c r="B5127" s="10" t="str">
        <f ca="1">IFERROR(__xludf.DUMMYFUNCTION("""COMPUTED_VALUE"""),"Доклад от конференция")</f>
        <v>Доклад от конференция</v>
      </c>
      <c r="C5127" s="10" t="str">
        <f ca="1">IFERROR(__xludf.DUMMYFUNCTION("""COMPUTED_VALUE"""),"Проституцията в социалистическа България – между социалните девиации и властовите практики")</f>
        <v>Проституцията в социалистическа България – между социалните девиации и властовите практики</v>
      </c>
      <c r="D5127" s="10">
        <f ca="1">IFERROR(__xludf.DUMMYFUNCTION("""COMPUTED_VALUE"""),2015)</f>
        <v>2015</v>
      </c>
      <c r="E5127" s="10" t="str">
        <f ca="1">IFERROR(__xludf.DUMMYFUNCTION("""COMPUTED_VALUE"""),"Дванадесета национална научна конференция с международно участие “Обществото на знанието и хуманизмът на ХХІ век”, София, 1 ноември 2014 г. С., Издателство “За буквите – О писменехь”, 262-274, ISSN 1314-7099")</f>
        <v>Дванадесета национална научна конференция с международно участие “Обществото на знанието и хуманизмът на ХХІ век”, София, 1 ноември 2014 г. С., Издателство “За буквите – О писменехь”, 262-274, ISSN 1314-7099</v>
      </c>
      <c r="F5127" s="10"/>
      <c r="G5127" s="10"/>
      <c r="H5127" s="10"/>
      <c r="I5127" s="10"/>
      <c r="J5127" s="10"/>
      <c r="K5127" s="10"/>
      <c r="L5127" s="10"/>
      <c r="M5127" s="10"/>
      <c r="N5127" s="10"/>
      <c r="O5127" s="10"/>
      <c r="P5127" s="10"/>
      <c r="Q5127" s="10"/>
      <c r="R5127" s="10"/>
      <c r="S5127" s="10"/>
      <c r="T5127" s="10"/>
      <c r="U5127" s="10"/>
      <c r="V5127" s="10"/>
      <c r="W5127" s="10"/>
      <c r="X5127" s="10"/>
      <c r="Y5127" s="10"/>
      <c r="Z5127" s="10"/>
    </row>
    <row r="5128" spans="1:26" ht="12.75">
      <c r="A5128" s="10" t="str">
        <f ca="1">IFERROR(__xludf.DUMMYFUNCTION("""COMPUTED_VALUE"""),"Магдалена Златкова Гарванова")</f>
        <v>Магдалена Златкова Гарванова</v>
      </c>
      <c r="B5128" s="10" t="str">
        <f ca="1">IFERROR(__xludf.DUMMYFUNCTION("""COMPUTED_VALUE"""),"Учебник")</f>
        <v>Учебник</v>
      </c>
      <c r="C5128" s="10" t="str">
        <f ca="1">IFERROR(__xludf.DUMMYFUNCTION("""COMPUTED_VALUE"""),"Математическа статистика и обработка на данни със SPSS")</f>
        <v>Математическа статистика и обработка на данни със SPSS</v>
      </c>
      <c r="D5128" s="10">
        <f ca="1">IFERROR(__xludf.DUMMYFUNCTION("""COMPUTED_VALUE"""),2015)</f>
        <v>2015</v>
      </c>
      <c r="E5128" s="10" t="str">
        <f ca="1">IFERROR(__xludf.DUMMYFUNCTION("""COMPUTED_VALUE"""),"С., Издателство “За буквите – О писменехь”, 234 с., ISBN 978-619-185-183-6")</f>
        <v>С., Издателство “За буквите – О писменехь”, 234 с., ISBN 978-619-185-183-6</v>
      </c>
      <c r="F5128" s="10"/>
      <c r="G5128" s="10" t="str">
        <f ca="1">IFERROR(__xludf.DUMMYFUNCTION("""COMPUTED_VALUE"""),"Славова, Славка")</f>
        <v>Славова, Славка</v>
      </c>
      <c r="H5128" s="10"/>
      <c r="I5128" s="10"/>
      <c r="J5128" s="10"/>
      <c r="K5128" s="10"/>
      <c r="L5128" s="10"/>
      <c r="M5128" s="10"/>
      <c r="N5128" s="10"/>
      <c r="O5128" s="10"/>
      <c r="P5128" s="10"/>
      <c r="Q5128" s="10"/>
      <c r="R5128" s="10"/>
      <c r="S5128" s="10"/>
      <c r="T5128" s="10"/>
      <c r="U5128" s="10"/>
      <c r="V5128" s="10"/>
      <c r="W5128" s="10"/>
      <c r="X5128" s="10"/>
      <c r="Y5128" s="10"/>
      <c r="Z5128" s="10"/>
    </row>
    <row r="5129" spans="1:26" ht="12.75">
      <c r="A5129" s="10" t="str">
        <f ca="1">IFERROR(__xludf.DUMMYFUNCTION("""COMPUTED_VALUE"""),"Магдалена Златкова Гарванова")</f>
        <v>Магдалена Златкова Гарванова</v>
      </c>
      <c r="B5129" s="10" t="str">
        <f ca="1">IFERROR(__xludf.DUMMYFUNCTION("""COMPUTED_VALUE"""),"Доклад от конференция")</f>
        <v>Доклад от конференция</v>
      </c>
      <c r="C5129" s="10" t="str">
        <f ca="1">IFERROR(__xludf.DUMMYFUNCTION("""COMPUTED_VALUE"""),"Книгите по религия в личните библиотеки на студентите от УниБИТ")</f>
        <v>Книгите по религия в личните библиотеки на студентите от УниБИТ</v>
      </c>
      <c r="D5129" s="10">
        <f ca="1">IFERROR(__xludf.DUMMYFUNCTION("""COMPUTED_VALUE"""),2015)</f>
        <v>2015</v>
      </c>
      <c r="E5129" s="10" t="str">
        <f ca="1">IFERROR(__xludf.DUMMYFUNCTION("""COMPUTED_VALUE"""),"В: Б. Хинкова и М. Нанкова (съст.) Нови информационни технологии в образователния процес. Доклади и съобщения от Десетия научен семинар на УниБИТ, проведен в Истанбул на 4-8 април 2015 г. С., Издателство “За буквите – О писменехь”, 184-197, ISSN 1313-2768")</f>
        <v>В: Б. Хинкова и М. Нанкова (съст.) Нови информационни технологии в образователния процес. Доклади и съобщения от Десетия научен семинар на УниБИТ, проведен в Истанбул на 4-8 април 2015 г. С., Издателство “За буквите – О писменехь”, 184-197, ISSN 1313-2768</v>
      </c>
      <c r="F5129" s="10"/>
      <c r="G5129" s="10" t="str">
        <f ca="1">IFERROR(__xludf.DUMMYFUNCTION("""COMPUTED_VALUE"""),"Шапкалова, Светла")</f>
        <v>Шапкалова, Светла</v>
      </c>
      <c r="H5129" s="10"/>
      <c r="I5129" s="10"/>
      <c r="J5129" s="10"/>
      <c r="K5129" s="10"/>
      <c r="L5129" s="10"/>
      <c r="M5129" s="10"/>
      <c r="N5129" s="10"/>
      <c r="O5129" s="10"/>
      <c r="P5129" s="10"/>
      <c r="Q5129" s="10"/>
      <c r="R5129" s="10"/>
      <c r="S5129" s="10"/>
      <c r="T5129" s="10"/>
      <c r="U5129" s="10"/>
      <c r="V5129" s="10"/>
      <c r="W5129" s="10"/>
      <c r="X5129" s="10"/>
      <c r="Y5129" s="10"/>
      <c r="Z5129" s="10"/>
    </row>
    <row r="5130" spans="1:26" ht="12.75">
      <c r="A5130" s="10" t="str">
        <f ca="1">IFERROR(__xludf.DUMMYFUNCTION("""COMPUTED_VALUE"""),"Магдалена Златкова Гарванова")</f>
        <v>Магдалена Златкова Гарванова</v>
      </c>
      <c r="B5130" s="10" t="str">
        <f ca="1">IFERROR(__xludf.DUMMYFUNCTION("""COMPUTED_VALUE"""),"Статия в списания и поредици")</f>
        <v>Статия в списания и поредици</v>
      </c>
      <c r="C5130" s="10" t="str">
        <f ca="1">IFERROR(__xludf.DUMMYFUNCTION("""COMPUTED_VALUE"""),"Проблемът за проституцията в България след Освобождението до световните войни – между регламентаризма и аболиционизма")</f>
        <v>Проблемът за проституцията в България след Освобождението до световните войни – между регламентаризма и аболиционизма</v>
      </c>
      <c r="D5130" s="10">
        <f ca="1">IFERROR(__xludf.DUMMYFUNCTION("""COMPUTED_VALUE"""),2015)</f>
        <v>2015</v>
      </c>
      <c r="E5130" s="10" t="str">
        <f ca="1">IFERROR(__xludf.DUMMYFUNCTION("""COMPUTED_VALUE"""),"Pogledi, Izdavač “Nove naše reči”, Leskovac, Srbija, 5-6, 27-53, ISSN 2217-737X, COBISS.SR-ID 200035084")</f>
        <v>Pogledi, Izdavač “Nove naše reči”, Leskovac, Srbija, 5-6, 27-53, ISSN 2217-737X, COBISS.SR-ID 200035084</v>
      </c>
      <c r="F5130" s="10"/>
      <c r="G5130" s="10"/>
      <c r="H5130" s="10"/>
      <c r="I5130" s="10"/>
      <c r="J5130" s="10"/>
      <c r="K5130" s="10"/>
      <c r="L5130" s="10"/>
      <c r="M5130" s="10"/>
      <c r="N5130" s="10"/>
      <c r="O5130" s="10"/>
      <c r="P5130" s="10"/>
      <c r="Q5130" s="10"/>
      <c r="R5130" s="10"/>
      <c r="S5130" s="10"/>
      <c r="T5130" s="10"/>
      <c r="U5130" s="10"/>
      <c r="V5130" s="10"/>
      <c r="W5130" s="10"/>
      <c r="X5130" s="10"/>
      <c r="Y5130" s="10"/>
      <c r="Z5130" s="10"/>
    </row>
    <row r="5131" spans="1:26" ht="12.75">
      <c r="A5131" s="10" t="str">
        <f ca="1">IFERROR(__xludf.DUMMYFUNCTION("""COMPUTED_VALUE"""),"Магдалена Златкова Гарванова")</f>
        <v>Магдалена Златкова Гарванова</v>
      </c>
      <c r="B5131" s="10" t="str">
        <f ca="1">IFERROR(__xludf.DUMMYFUNCTION("""COMPUTED_VALUE"""),"Доклад от конференция")</f>
        <v>Доклад от конференция</v>
      </c>
      <c r="C5131" s="10" t="str">
        <f ca="1">IFERROR(__xludf.DUMMYFUNCTION("""COMPUTED_VALUE"""),"Краткосрочни и дългосрочни ефекти на социално-историческото време върху ценностната йерархия на българските студенти")</f>
        <v>Краткосрочни и дългосрочни ефекти на социално-историческото време върху ценностната йерархия на българските студенти</v>
      </c>
      <c r="D5131" s="10">
        <f ca="1">IFERROR(__xludf.DUMMYFUNCTION("""COMPUTED_VALUE"""),2015)</f>
        <v>2015</v>
      </c>
      <c r="E5131" s="10" t="str">
        <f ca="1">IFERROR(__xludf.DUMMYFUNCTION("""COMPUTED_VALUE"""),"Съвременни измерения на европейското образователно и научно пространство. Сборник с доклади, том 3, 2015. С., Издателство “За буквите – О писменехь”, 263-268, ISSN 2367-7988")</f>
        <v>Съвременни измерения на европейското образователно и научно пространство. Сборник с доклади, том 3, 2015. С., Издателство “За буквите – О писменехь”, 263-268, ISSN 2367-7988</v>
      </c>
      <c r="F5131" s="10"/>
      <c r="G5131" s="10"/>
      <c r="H5131" s="10"/>
      <c r="I5131" s="10"/>
      <c r="J5131" s="10"/>
      <c r="K5131" s="10"/>
      <c r="L5131" s="10"/>
      <c r="M5131" s="10"/>
      <c r="N5131" s="10"/>
      <c r="O5131" s="10"/>
      <c r="P5131" s="10"/>
      <c r="Q5131" s="10"/>
      <c r="R5131" s="10"/>
      <c r="S5131" s="10"/>
      <c r="T5131" s="10"/>
      <c r="U5131" s="10"/>
      <c r="V5131" s="10"/>
      <c r="W5131" s="10"/>
      <c r="X5131" s="10"/>
      <c r="Y5131" s="10"/>
      <c r="Z5131" s="10"/>
    </row>
    <row r="5132" spans="1:26" ht="12.75">
      <c r="A5132" s="10" t="str">
        <f ca="1">IFERROR(__xludf.DUMMYFUNCTION("""COMPUTED_VALUE"""),"Магдалена Златкова Гарванова")</f>
        <v>Магдалена Златкова Гарванова</v>
      </c>
      <c r="B5132" s="10" t="str">
        <f ca="1">IFERROR(__xludf.DUMMYFUNCTION("""COMPUTED_VALUE"""),"Доклад от конференция")</f>
        <v>Доклад от конференция</v>
      </c>
      <c r="C5132" s="10" t="str">
        <f ca="1">IFERROR(__xludf.DUMMYFUNCTION("""COMPUTED_VALUE"""),"Културният ценностен модел на българските учители и неговото изменение в периода 1995-2005 г.")</f>
        <v>Културният ценностен модел на българските учители и неговото изменение в периода 1995-2005 г.</v>
      </c>
      <c r="D5132" s="10">
        <f ca="1">IFERROR(__xludf.DUMMYFUNCTION("""COMPUTED_VALUE"""),2015)</f>
        <v>2015</v>
      </c>
      <c r="E5132" s="10" t="str">
        <f ca="1">IFERROR(__xludf.DUMMYFUNCTION("""COMPUTED_VALUE"""),"В: Б. Хинкова и Ж. Назърска (съст.) Нови информационни технологии в образователния процес. Доклади и съобщения от Деветия научен семинар на УниБИТ, проведен в Камчия на 26-30 май 2014 г. С., Издателство “За буквите – О писменехь”, 134-146, ISSN 1313-2768")</f>
        <v>В: Б. Хинкова и Ж. Назърска (съст.) Нови информационни технологии в образователния процес. Доклади и съобщения от Деветия научен семинар на УниБИТ, проведен в Камчия на 26-30 май 2014 г. С., Издателство “За буквите – О писменехь”, 134-146, ISSN 1313-2768</v>
      </c>
      <c r="F5132" s="10"/>
      <c r="G5132" s="10"/>
      <c r="H5132" s="10"/>
      <c r="I5132" s="10"/>
      <c r="J5132" s="10"/>
      <c r="K5132" s="10"/>
      <c r="L5132" s="10"/>
      <c r="M5132" s="10"/>
      <c r="N5132" s="10"/>
      <c r="O5132" s="10"/>
      <c r="P5132" s="10"/>
      <c r="Q5132" s="10"/>
      <c r="R5132" s="10"/>
      <c r="S5132" s="10"/>
      <c r="T5132" s="10"/>
      <c r="U5132" s="10"/>
      <c r="V5132" s="10"/>
      <c r="W5132" s="10"/>
      <c r="X5132" s="10"/>
      <c r="Y5132" s="10"/>
      <c r="Z5132" s="10"/>
    </row>
    <row r="5133" spans="1:26" ht="12.75">
      <c r="A5133" s="10" t="str">
        <f ca="1">IFERROR(__xludf.DUMMYFUNCTION("""COMPUTED_VALUE"""),"Магдалена Златкова Гарванова")</f>
        <v>Магдалена Златкова Гарванова</v>
      </c>
      <c r="B5133" s="10" t="str">
        <f ca="1">IFERROR(__xludf.DUMMYFUNCTION("""COMPUTED_VALUE"""),"Доклад от конференция")</f>
        <v>Доклад от конференция</v>
      </c>
      <c r="C5133" s="10" t="str">
        <f ca="1">IFERROR(__xludf.DUMMYFUNCTION("""COMPUTED_VALUE"""),"Изследване на удовлетвореността от живота при съвременния българин в перспективата на ценностите")</f>
        <v>Изследване на удовлетвореността от живота при съвременния българин в перспективата на ценностите</v>
      </c>
      <c r="D5133" s="10">
        <f ca="1">IFERROR(__xludf.DUMMYFUNCTION("""COMPUTED_VALUE"""),2015)</f>
        <v>2015</v>
      </c>
      <c r="E5133" s="10" t="str">
        <f ca="1">IFERROR(__xludf.DUMMYFUNCTION("""COMPUTED_VALUE"""),"Научна сесия “Лидерството в демократична среда: изучаване, преподаване, възпитаване”. Институт за изследване и развитие на лидерството в информационна среда, София, 30 януари 2015 г., Бюлетин № 9. С., Издателство “За буквите – О писменехь”, 97-113, ISSN 1"&amp;"313-8782")</f>
        <v>Научна сесия “Лидерството в демократична среда: изучаване, преподаване, възпитаване”. Институт за изследване и развитие на лидерството в информационна среда, София, 30 януари 2015 г., Бюлетин № 9. С., Издателство “За буквите – О писменехь”, 97-113, ISSN 1313-8782</v>
      </c>
      <c r="F5133" s="10"/>
      <c r="G5133" s="10"/>
      <c r="H5133" s="10"/>
      <c r="I5133" s="10"/>
      <c r="J5133" s="10"/>
      <c r="K5133" s="10"/>
      <c r="L5133" s="10"/>
      <c r="M5133" s="10"/>
      <c r="N5133" s="10"/>
      <c r="O5133" s="10"/>
      <c r="P5133" s="10"/>
      <c r="Q5133" s="10"/>
      <c r="R5133" s="10"/>
      <c r="S5133" s="10"/>
      <c r="T5133" s="10"/>
      <c r="U5133" s="10"/>
      <c r="V5133" s="10"/>
      <c r="W5133" s="10"/>
      <c r="X5133" s="10"/>
      <c r="Y5133" s="10"/>
      <c r="Z5133" s="10"/>
    </row>
    <row r="5134" spans="1:26" ht="12.75">
      <c r="A5134" s="10" t="str">
        <f ca="1">IFERROR(__xludf.DUMMYFUNCTION("""COMPUTED_VALUE"""),"Магдалена Златкова Гарванова")</f>
        <v>Магдалена Златкова Гарванова</v>
      </c>
      <c r="B5134" s="10" t="str">
        <f ca="1">IFERROR(__xludf.DUMMYFUNCTION("""COMPUTED_VALUE"""),"Статия в списания и поредици")</f>
        <v>Статия в списания и поредици</v>
      </c>
      <c r="C5134" s="10" t="str">
        <f ca="1">IFERROR(__xludf.DUMMYFUNCTION("""COMPUTED_VALUE"""),"Динамика в колективните ориентации на студенти в условията на ценностна криза в България")</f>
        <v>Динамика в колективните ориентации на студенти в условията на ценностна криза в България</v>
      </c>
      <c r="D5134" s="10">
        <f ca="1">IFERROR(__xludf.DUMMYFUNCTION("""COMPUTED_VALUE"""),2015)</f>
        <v>2015</v>
      </c>
      <c r="E5134" s="10" t="str">
        <f ca="1">IFERROR(__xludf.DUMMYFUNCTION("""COMPUTED_VALUE"""),"Научни трудове на Университета по библиотекознание и информационни технологии. С., Издателство “За буквите – О писменехь”, 2014, т. 12, 275-289, ISSN 1314-2623")</f>
        <v>Научни трудове на Университета по библиотекознание и информационни технологии. С., Издателство “За буквите – О писменехь”, 2014, т. 12, 275-289, ISSN 1314-2623</v>
      </c>
      <c r="F5134" s="10"/>
      <c r="G5134" s="10" t="str">
        <f ca="1">IFERROR(__xludf.DUMMYFUNCTION("""COMPUTED_VALUE"""),"Н и к о л о в а, Б., Ш о п о в а, К.")</f>
        <v>Н и к о л о в а, Б., Ш о п о в а, К.</v>
      </c>
      <c r="H5134" s="10"/>
      <c r="I5134" s="10"/>
      <c r="J5134" s="10"/>
      <c r="K5134" s="10"/>
      <c r="L5134" s="10"/>
      <c r="M5134" s="10"/>
      <c r="N5134" s="10"/>
      <c r="O5134" s="10"/>
      <c r="P5134" s="10"/>
      <c r="Q5134" s="10"/>
      <c r="R5134" s="10"/>
      <c r="S5134" s="10"/>
      <c r="T5134" s="10"/>
      <c r="U5134" s="10"/>
      <c r="V5134" s="10"/>
      <c r="W5134" s="10"/>
      <c r="X5134" s="10"/>
      <c r="Y5134" s="10"/>
      <c r="Z5134" s="10"/>
    </row>
    <row r="5135" spans="1:26" ht="12.75">
      <c r="A5135" s="10" t="str">
        <f ca="1">IFERROR(__xludf.DUMMYFUNCTION("""COMPUTED_VALUE"""),"Магдалена Златкова Гарванова")</f>
        <v>Магдалена Златкова Гарванова</v>
      </c>
      <c r="B5135" s="10" t="str">
        <f ca="1">IFERROR(__xludf.DUMMYFUNCTION("""COMPUTED_VALUE"""),"Доклад от конференция")</f>
        <v>Доклад от конференция</v>
      </c>
      <c r="C5135" s="10" t="str">
        <f ca="1">IFERROR(__xludf.DUMMYFUNCTION("""COMPUTED_VALUE"""),"Индивидуални, личностни и културални предиктори на удовлетвореността от живота в България")</f>
        <v>Индивидуални, личностни и културални предиктори на удовлетвореността от живота в България</v>
      </c>
      <c r="D5135" s="10">
        <f ca="1">IFERROR(__xludf.DUMMYFUNCTION("""COMPUTED_VALUE"""),2015)</f>
        <v>2015</v>
      </c>
      <c r="E5135" s="10" t="str">
        <f ca="1">IFERROR(__xludf.DUMMYFUNCTION("""COMPUTED_VALUE"""),"В: Б. Хинкова и М. Нанкова (съст.) Нови информационни технологии в образователния процес. Доклади и съобщения от Десетия научен семинар на УниБИТ, проведен в Истанбул на 4-8 април 2015 г. С., Издателство “За буквите – О писменехь”, 263-286, ISSN 1313-2768")</f>
        <v>В: Б. Хинкова и М. Нанкова (съст.) Нови информационни технологии в образователния процес. Доклади и съобщения от Десетия научен семинар на УниБИТ, проведен в Истанбул на 4-8 април 2015 г. С., Издателство “За буквите – О писменехь”, 263-286, ISSN 1313-2768</v>
      </c>
      <c r="F5135" s="10"/>
      <c r="G5135" s="10"/>
      <c r="H5135" s="10"/>
      <c r="I5135" s="10"/>
      <c r="J5135" s="10"/>
      <c r="K5135" s="10"/>
      <c r="L5135" s="10"/>
      <c r="M5135" s="10"/>
      <c r="N5135" s="10"/>
      <c r="O5135" s="10"/>
      <c r="P5135" s="10"/>
      <c r="Q5135" s="10"/>
      <c r="R5135" s="10"/>
      <c r="S5135" s="10"/>
      <c r="T5135" s="10"/>
      <c r="U5135" s="10"/>
      <c r="V5135" s="10"/>
      <c r="W5135" s="10"/>
      <c r="X5135" s="10"/>
      <c r="Y5135" s="10"/>
      <c r="Z5135" s="10"/>
    </row>
    <row r="5136" spans="1:26" ht="12.75">
      <c r="A5136" s="10" t="str">
        <f ca="1">IFERROR(__xludf.DUMMYFUNCTION("""COMPUTED_VALUE"""),"Магдалена Златкова Гарванова")</f>
        <v>Магдалена Златкова Гарванова</v>
      </c>
      <c r="B5136" s="10" t="str">
        <f ca="1">IFERROR(__xludf.DUMMYFUNCTION("""COMPUTED_VALUE"""),"Статия в списания и поредици")</f>
        <v>Статия в списания и поредици</v>
      </c>
      <c r="C5136" s="10" t="str">
        <f ca="1">IFERROR(__xludf.DUMMYFUNCTION("""COMPUTED_VALUE"""),"Ценностни асоциации при български студенти")</f>
        <v>Ценностни асоциации при български студенти</v>
      </c>
      <c r="D5136" s="10">
        <f ca="1">IFERROR(__xludf.DUMMYFUNCTION("""COMPUTED_VALUE"""),2014)</f>
        <v>2014</v>
      </c>
      <c r="E5136" s="10" t="str">
        <f ca="1">IFERROR(__xludf.DUMMYFUNCTION("""COMPUTED_VALUE"""),"Психологични изследвания, 2, 493-501, ISSN 1311-4700")</f>
        <v>Психологични изследвания, 2, 493-501, ISSN 1311-4700</v>
      </c>
      <c r="F5136" s="10" t="str">
        <f ca="1">IFERROR(__xludf.DUMMYFUNCTION("""COMPUTED_VALUE"""),"Google Scholar")</f>
        <v>Google Scholar</v>
      </c>
      <c r="G5136" s="10"/>
      <c r="H5136" s="10"/>
      <c r="I5136" s="10"/>
      <c r="J5136" s="10"/>
      <c r="K5136" s="10"/>
      <c r="L5136" s="10"/>
      <c r="M5136" s="10"/>
      <c r="N5136" s="10"/>
      <c r="O5136" s="10"/>
      <c r="P5136" s="10"/>
      <c r="Q5136" s="10"/>
      <c r="R5136" s="10"/>
      <c r="S5136" s="10"/>
      <c r="T5136" s="10"/>
      <c r="U5136" s="10"/>
      <c r="V5136" s="10"/>
      <c r="W5136" s="10"/>
      <c r="X5136" s="10"/>
      <c r="Y5136" s="10"/>
      <c r="Z5136" s="10"/>
    </row>
    <row r="5137" spans="1:26" ht="12.75">
      <c r="A5137" s="10" t="str">
        <f ca="1">IFERROR(__xludf.DUMMYFUNCTION("""COMPUTED_VALUE"""),"Магдалена Златкова Гарванова")</f>
        <v>Магдалена Златкова Гарванова</v>
      </c>
      <c r="B5137" s="10" t="str">
        <f ca="1">IFERROR(__xludf.DUMMYFUNCTION("""COMPUTED_VALUE"""),"Статия в списания и поредици")</f>
        <v>Статия в списания и поредици</v>
      </c>
      <c r="C5137" s="10" t="str">
        <f ca="1">IFERROR(__xludf.DUMMYFUNCTION("""COMPUTED_VALUE"""),"Нагласи на ученици към висшето образование в България и оценка на образователно мероприятие, проведено от УниБИТ. Резултати от емпирично изследване")</f>
        <v>Нагласи на ученици към висшето образование в България и оценка на образователно мероприятие, проведено от УниБИТ. Резултати от емпирично изследване</v>
      </c>
      <c r="D5137" s="10">
        <f ca="1">IFERROR(__xludf.DUMMYFUNCTION("""COMPUTED_VALUE"""),2014)</f>
        <v>2014</v>
      </c>
      <c r="E5137" s="10" t="str">
        <f ca="1">IFERROR(__xludf.DUMMYFUNCTION("""COMPUTED_VALUE"""),"Резултати от емпирично изследване. Научни трудове на Университета по библиотекознание и информационни технологии. С., Издателство “За буквите – О писменехь”, 2013, т. 11, 297-309, ISBN 1314-2623")</f>
        <v>Резултати от емпирично изследване. Научни трудове на Университета по библиотекознание и информационни технологии. С., Издателство “За буквите – О писменехь”, 2013, т. 11, 297-309, ISBN 1314-2623</v>
      </c>
      <c r="F5137" s="10"/>
      <c r="G5137" s="10" t="str">
        <f ca="1">IFERROR(__xludf.DUMMYFUNCTION("""COMPUTED_VALUE"""),"Гарванов, Иван")</f>
        <v>Гарванов, Иван</v>
      </c>
      <c r="H5137" s="10"/>
      <c r="I5137" s="10"/>
      <c r="J5137" s="10"/>
      <c r="K5137" s="10"/>
      <c r="L5137" s="10"/>
      <c r="M5137" s="10"/>
      <c r="N5137" s="10"/>
      <c r="O5137" s="10"/>
      <c r="P5137" s="10"/>
      <c r="Q5137" s="10"/>
      <c r="R5137" s="10"/>
      <c r="S5137" s="10"/>
      <c r="T5137" s="10"/>
      <c r="U5137" s="10"/>
      <c r="V5137" s="10"/>
      <c r="W5137" s="10"/>
      <c r="X5137" s="10"/>
      <c r="Y5137" s="10"/>
      <c r="Z5137" s="10"/>
    </row>
    <row r="5138" spans="1:26" ht="12.75">
      <c r="A5138" s="10" t="str">
        <f ca="1">IFERROR(__xludf.DUMMYFUNCTION("""COMPUTED_VALUE"""),"Магдалена Златкова Гарванова")</f>
        <v>Магдалена Златкова Гарванова</v>
      </c>
      <c r="B5138" s="10" t="str">
        <f ca="1">IFERROR(__xludf.DUMMYFUNCTION("""COMPUTED_VALUE"""),"Учебник")</f>
        <v>Учебник</v>
      </c>
      <c r="C5138" s="10" t="str">
        <f ca="1">IFERROR(__xludf.DUMMYFUNCTION("""COMPUTED_VALUE"""),"Въведение в MATLAB и Simulink")</f>
        <v>Въведение в MATLAB и Simulink</v>
      </c>
      <c r="D5138" s="10">
        <f ca="1">IFERROR(__xludf.DUMMYFUNCTION("""COMPUTED_VALUE"""),2014)</f>
        <v>2014</v>
      </c>
      <c r="E5138" s="10" t="str">
        <f ca="1">IFERROR(__xludf.DUMMYFUNCTION("""COMPUTED_VALUE"""),"С., Издателство “За буквите – О писменехь”, 122 с., ISBN 978-619-185-121-8.")</f>
        <v>С., Издателство “За буквите – О писменехь”, 122 с., ISBN 978-619-185-121-8.</v>
      </c>
      <c r="F5138" s="10"/>
      <c r="G5138" s="10" t="str">
        <f ca="1">IFERROR(__xludf.DUMMYFUNCTION("""COMPUTED_VALUE"""),"Гарванов, Иван")</f>
        <v>Гарванов, Иван</v>
      </c>
      <c r="H5138" s="10"/>
      <c r="I5138" s="10"/>
      <c r="J5138" s="10"/>
      <c r="K5138" s="10"/>
      <c r="L5138" s="10"/>
      <c r="M5138" s="10"/>
      <c r="N5138" s="10"/>
      <c r="O5138" s="10"/>
      <c r="P5138" s="10"/>
      <c r="Q5138" s="10"/>
      <c r="R5138" s="10"/>
      <c r="S5138" s="10"/>
      <c r="T5138" s="10"/>
      <c r="U5138" s="10"/>
      <c r="V5138" s="10"/>
      <c r="W5138" s="10"/>
      <c r="X5138" s="10"/>
      <c r="Y5138" s="10"/>
      <c r="Z5138" s="10"/>
    </row>
    <row r="5139" spans="1:26" ht="12.75">
      <c r="A5139" s="10" t="str">
        <f ca="1">IFERROR(__xludf.DUMMYFUNCTION("""COMPUTED_VALUE"""),"Магдалена Златкова Гарванова")</f>
        <v>Магдалена Златкова Гарванова</v>
      </c>
      <c r="B5139" s="10" t="str">
        <f ca="1">IFERROR(__xludf.DUMMYFUNCTION("""COMPUTED_VALUE"""),"Статия в списания и поредици")</f>
        <v>Статия в списания и поредици</v>
      </c>
      <c r="C5139" s="10" t="str">
        <f ca="1">IFERROR(__xludf.DUMMYFUNCTION("""COMPUTED_VALUE"""),"Динамика в българския културен ценностен модел в условията на преход")</f>
        <v>Динамика в българския културен ценностен модел в условията на преход</v>
      </c>
      <c r="D5139" s="10">
        <f ca="1">IFERROR(__xludf.DUMMYFUNCTION("""COMPUTED_VALUE"""),2014)</f>
        <v>2014</v>
      </c>
      <c r="E5139" s="10" t="str">
        <f ca="1">IFERROR(__xludf.DUMMYFUNCTION("""COMPUTED_VALUE"""),"Българско списание по психология, 1-3, 184-195, ISSN 0861-7813")</f>
        <v>Българско списание по психология, 1-3, 184-195, ISSN 0861-7813</v>
      </c>
      <c r="F5139" s="10"/>
      <c r="G5139" s="10"/>
      <c r="H5139" s="10"/>
      <c r="I5139" s="10"/>
      <c r="J5139" s="10"/>
      <c r="K5139" s="10"/>
      <c r="L5139" s="10"/>
      <c r="M5139" s="10"/>
      <c r="N5139" s="10"/>
      <c r="O5139" s="10"/>
      <c r="P5139" s="10"/>
      <c r="Q5139" s="10"/>
      <c r="R5139" s="10"/>
      <c r="S5139" s="10"/>
      <c r="T5139" s="10"/>
      <c r="U5139" s="10"/>
      <c r="V5139" s="10"/>
      <c r="W5139" s="10"/>
      <c r="X5139" s="10"/>
      <c r="Y5139" s="10"/>
      <c r="Z5139" s="10"/>
    </row>
    <row r="5140" spans="1:26" ht="12.75">
      <c r="A5140" s="10" t="str">
        <f ca="1">IFERROR(__xludf.DUMMYFUNCTION("""COMPUTED_VALUE"""),"Магдалена Златкова Гарванова")</f>
        <v>Магдалена Златкова Гарванова</v>
      </c>
      <c r="B5140" s="10" t="str">
        <f ca="1">IFERROR(__xludf.DUMMYFUNCTION("""COMPUTED_VALUE"""),"Доклад от конференция")</f>
        <v>Доклад от конференция</v>
      </c>
      <c r="C5140" s="10" t="str">
        <f ca="1">IFERROR(__xludf.DUMMYFUNCTION("""COMPUTED_VALUE"""),"Ценности и удовлетвореност от живота")</f>
        <v>Ценности и удовлетвореност от живота</v>
      </c>
      <c r="D5140" s="10">
        <f ca="1">IFERROR(__xludf.DUMMYFUNCTION("""COMPUTED_VALUE"""),2014)</f>
        <v>2014</v>
      </c>
      <c r="E5140" s="10" t="str">
        <f ca="1">IFERROR(__xludf.DUMMYFUNCTION("""COMPUTED_VALUE"""),"В: С. Джонев и др. (съст.) Сборник научни доклади от VII-я Национален конгрес по психология, София, 31.X.–2.XI.2014 г. С., Издателство “Продуцентски център ЛМ”, 159-172, ISBN 978-954-91472-9-2")</f>
        <v>В: С. Джонев и др. (съст.) Сборник научни доклади от VII-я Национален конгрес по психология, София, 31.X.–2.XI.2014 г. С., Издателство “Продуцентски център ЛМ”, 159-172, ISBN 978-954-91472-9-2</v>
      </c>
      <c r="F5140" s="10"/>
      <c r="G5140" s="10"/>
      <c r="H5140" s="10"/>
      <c r="I5140" s="10"/>
      <c r="J5140" s="10"/>
      <c r="K5140" s="10"/>
      <c r="L5140" s="10"/>
      <c r="M5140" s="10"/>
      <c r="N5140" s="10"/>
      <c r="O5140" s="10"/>
      <c r="P5140" s="10"/>
      <c r="Q5140" s="10"/>
      <c r="R5140" s="10"/>
      <c r="S5140" s="10"/>
      <c r="T5140" s="10"/>
      <c r="U5140" s="10"/>
      <c r="V5140" s="10"/>
      <c r="W5140" s="10"/>
      <c r="X5140" s="10"/>
      <c r="Y5140" s="10"/>
      <c r="Z5140" s="10"/>
    </row>
    <row r="5141" spans="1:26" ht="12.75">
      <c r="A5141" s="10" t="str">
        <f ca="1">IFERROR(__xludf.DUMMYFUNCTION("""COMPUTED_VALUE"""),"Магдалена Златкова Гарванова")</f>
        <v>Магдалена Златкова Гарванова</v>
      </c>
      <c r="B5141" s="10" t="str">
        <f ca="1">IFERROR(__xludf.DUMMYFUNCTION("""COMPUTED_VALUE"""),"Доклад от конференция")</f>
        <v>Доклад от конференция</v>
      </c>
      <c r="C5141" s="10" t="str">
        <f ca="1">IFERROR(__xludf.DUMMYFUNCTION("""COMPUTED_VALUE"""),"Short- and long-term changes in the value hierarchy of Bulgarian students")</f>
        <v>Short- and long-term changes in the value hierarchy of Bulgarian students</v>
      </c>
      <c r="D5141" s="10">
        <f ca="1">IFERROR(__xludf.DUMMYFUNCTION("""COMPUTED_VALUE"""),2014)</f>
        <v>2014</v>
      </c>
      <c r="E5141" s="10" t="str">
        <f ca="1">IFERROR(__xludf.DUMMYFUNCTION("""COMPUTED_VALUE"""),"In: V. Gritsenko et al. (Eds.) Theoretical problems of ethnic and cross-cultural psychology. Materials for the 4th international scientific conference, May 30-31, 2014, Smolensk, Russia, Tome 1, 171-176, ISBN 978-5-91812-088-0")</f>
        <v>In: V. Gritsenko et al. (Eds.) Theoretical problems of ethnic and cross-cultural psychology. Materials for the 4th international scientific conference, May 30-31, 2014, Smolensk, Russia, Tome 1, 171-176, ISBN 978-5-91812-088-0</v>
      </c>
      <c r="F5141" s="10"/>
      <c r="G5141" s="10"/>
      <c r="H5141" s="10"/>
      <c r="I5141" s="10"/>
      <c r="J5141" s="10"/>
      <c r="K5141" s="10"/>
      <c r="L5141" s="10"/>
      <c r="M5141" s="10"/>
      <c r="N5141" s="10"/>
      <c r="O5141" s="10"/>
      <c r="P5141" s="10"/>
      <c r="Q5141" s="10"/>
      <c r="R5141" s="10"/>
      <c r="S5141" s="10"/>
      <c r="T5141" s="10"/>
      <c r="U5141" s="10"/>
      <c r="V5141" s="10"/>
      <c r="W5141" s="10"/>
      <c r="X5141" s="10"/>
      <c r="Y5141" s="10"/>
      <c r="Z5141" s="10"/>
    </row>
    <row r="5142" spans="1:26" ht="12.75">
      <c r="A5142" s="10" t="str">
        <f ca="1">IFERROR(__xludf.DUMMYFUNCTION("""COMPUTED_VALUE"""),"Магдалена Златкова Гарванова")</f>
        <v>Магдалена Златкова Гарванова</v>
      </c>
      <c r="B5142" s="10" t="str">
        <f ca="1">IFERROR(__xludf.DUMMYFUNCTION("""COMPUTED_VALUE"""),"Доклад от конференция")</f>
        <v>Доклад от конференция</v>
      </c>
      <c r="C5142" s="10" t="str">
        <f ca="1">IFERROR(__xludf.DUMMYFUNCTION("""COMPUTED_VALUE"""),"Is there continuity in cultural value model of Bulgarian teachers?")</f>
        <v>Is there continuity in cultural value model of Bulgarian teachers?</v>
      </c>
      <c r="D5142" s="10">
        <f ca="1">IFERROR(__xludf.DUMMYFUNCTION("""COMPUTED_VALUE"""),2014)</f>
        <v>2014</v>
      </c>
      <c r="E5142" s="10" t="str">
        <f ca="1">IFERROR(__xludf.DUMMYFUNCTION("""COMPUTED_VALUE"""),"In: N. Ammosova &amp; B. Kovalenko (Eds.) Realization of the principle of the continuity in system of subjects in educational institutions. The collection of proceedings of the fourth international scientifically-practical conference, April 2014, Astrakhan, R"&amp;"ussia, 24-34, ISBN 978-5-8087-0344-5")</f>
        <v>In: N. Ammosova &amp; B. Kovalenko (Eds.) Realization of the principle of the continuity in system of subjects in educational institutions. The collection of proceedings of the fourth international scientifically-practical conference, April 2014, Astrakhan, Russia, 24-34, ISBN 978-5-8087-0344-5</v>
      </c>
      <c r="F5142" s="10"/>
      <c r="G5142" s="10"/>
      <c r="H5142" s="10"/>
      <c r="I5142" s="10"/>
      <c r="J5142" s="10"/>
      <c r="K5142" s="10"/>
      <c r="L5142" s="10"/>
      <c r="M5142" s="10"/>
      <c r="N5142" s="10"/>
      <c r="O5142" s="10"/>
      <c r="P5142" s="10"/>
      <c r="Q5142" s="10"/>
      <c r="R5142" s="10"/>
      <c r="S5142" s="10"/>
      <c r="T5142" s="10"/>
      <c r="U5142" s="10"/>
      <c r="V5142" s="10"/>
      <c r="W5142" s="10"/>
      <c r="X5142" s="10"/>
      <c r="Y5142" s="10"/>
      <c r="Z5142" s="10"/>
    </row>
    <row r="5143" spans="1:26" ht="12.75">
      <c r="A5143" s="10" t="str">
        <f ca="1">IFERROR(__xludf.DUMMYFUNCTION("""COMPUTED_VALUE"""),"Магдалена Златкова Гарванова")</f>
        <v>Магдалена Златкова Гарванова</v>
      </c>
      <c r="B5143" s="10" t="str">
        <f ca="1">IFERROR(__xludf.DUMMYFUNCTION("""COMPUTED_VALUE"""),"Статия в списания и поредици")</f>
        <v>Статия в списания и поредици</v>
      </c>
      <c r="C5143" s="10" t="str">
        <f ca="1">IFERROR(__xludf.DUMMYFUNCTION("""COMPUTED_VALUE"""),"Bulgarian teachers’ values dynamics during post-totalitarian period after 1989")</f>
        <v>Bulgarian teachers’ values dynamics during post-totalitarian period after 1989</v>
      </c>
      <c r="D5143" s="10">
        <f ca="1">IFERROR(__xludf.DUMMYFUNCTION("""COMPUTED_VALUE"""),2014)</f>
        <v>2014</v>
      </c>
      <c r="E5143" s="10" t="str">
        <f ca="1">IFERROR(__xludf.DUMMYFUNCTION("""COMPUTED_VALUE"""),"Pogledi, Izdavač “Nove naše reči”, Leskovac, Srbija, 3, 49-62, ISSN 2217-737X, COBISS.SR-ID 200035084")</f>
        <v>Pogledi, Izdavač “Nove naše reči”, Leskovac, Srbija, 3, 49-62, ISSN 2217-737X, COBISS.SR-ID 200035084</v>
      </c>
      <c r="F5143" s="10"/>
      <c r="G5143" s="10"/>
      <c r="H5143" s="10"/>
      <c r="I5143" s="10"/>
      <c r="J5143" s="10"/>
      <c r="K5143" s="10"/>
      <c r="L5143" s="10"/>
      <c r="M5143" s="10"/>
      <c r="N5143" s="10"/>
      <c r="O5143" s="10"/>
      <c r="P5143" s="10"/>
      <c r="Q5143" s="10"/>
      <c r="R5143" s="10"/>
      <c r="S5143" s="10"/>
      <c r="T5143" s="10"/>
      <c r="U5143" s="10"/>
      <c r="V5143" s="10"/>
      <c r="W5143" s="10"/>
      <c r="X5143" s="10"/>
      <c r="Y5143" s="10"/>
      <c r="Z5143" s="10"/>
    </row>
    <row r="5144" spans="1:26" ht="12.75">
      <c r="A5144" s="10" t="str">
        <f ca="1">IFERROR(__xludf.DUMMYFUNCTION("""COMPUTED_VALUE"""),"Магдалена Златкова Гарванова")</f>
        <v>Магдалена Златкова Гарванова</v>
      </c>
      <c r="B5144" s="10" t="str">
        <f ca="1">IFERROR(__xludf.DUMMYFUNCTION("""COMPUTED_VALUE"""),"Доклад от конференция")</f>
        <v>Доклад от конференция</v>
      </c>
      <c r="C5144" s="10" t="str">
        <f ca="1">IFERROR(__xludf.DUMMYFUNCTION("""COMPUTED_VALUE"""),"Исследование ценностей в современной психологии")</f>
        <v>Исследование ценностей в современной психологии</v>
      </c>
      <c r="D5144" s="10">
        <f ca="1">IFERROR(__xludf.DUMMYFUNCTION("""COMPUTED_VALUE"""),2014)</f>
        <v>2014</v>
      </c>
      <c r="E5144" s="10" t="str">
        <f ca="1">IFERROR(__xludf.DUMMYFUNCTION("""COMPUTED_VALUE"""),"В: Г. Д. Ахметова (ред.) Современная психология: III Международная научная конференция (г. Казань, октябрь 2014 г.), Россия, Казань, Издательство “Бук”, 5-20, ISBN 978-5-9905861-3-0")</f>
        <v>В: Г. Д. Ахметова (ред.) Современная психология: III Международная научная конференция (г. Казань, октябрь 2014 г.), Россия, Казань, Издательство “Бук”, 5-20, ISBN 978-5-9905861-3-0</v>
      </c>
      <c r="F5144" s="10" t="str">
        <f ca="1">IFERROR(__xludf.DUMMYFUNCTION("""COMPUTED_VALUE"""),"Google Scholar")</f>
        <v>Google Scholar</v>
      </c>
      <c r="G5144" s="10" t="str">
        <f ca="1">IFERROR(__xludf.DUMMYFUNCTION("""COMPUTED_VALUE"""),"Гарванов, Иван")</f>
        <v>Гарванов, Иван</v>
      </c>
      <c r="H5144" s="10"/>
      <c r="I5144" s="10"/>
      <c r="J5144" s="10"/>
      <c r="K5144" s="10"/>
      <c r="L5144" s="10"/>
      <c r="M5144" s="10"/>
      <c r="N5144" s="10"/>
      <c r="O5144" s="10"/>
      <c r="P5144" s="10"/>
      <c r="Q5144" s="10"/>
      <c r="R5144" s="10"/>
      <c r="S5144" s="10"/>
      <c r="T5144" s="10"/>
      <c r="U5144" s="10"/>
      <c r="V5144" s="10"/>
      <c r="W5144" s="10"/>
      <c r="X5144" s="10"/>
      <c r="Y5144" s="10"/>
      <c r="Z5144" s="10"/>
    </row>
    <row r="5145" spans="1:26" ht="12.75">
      <c r="A5145" s="10" t="str">
        <f ca="1">IFERROR(__xludf.DUMMYFUNCTION("""COMPUTED_VALUE"""),"Магдалена Златкова Гарванова")</f>
        <v>Магдалена Златкова Гарванова</v>
      </c>
      <c r="B5145" s="10" t="str">
        <f ca="1">IFERROR(__xludf.DUMMYFUNCTION("""COMPUTED_VALUE"""),"Учебник")</f>
        <v>Учебник</v>
      </c>
      <c r="C5145" s="10" t="str">
        <f ca="1">IFERROR(__xludf.DUMMYFUNCTION("""COMPUTED_VALUE"""),"Статистическа обработка и анализ на данни със SPSS")</f>
        <v>Статистическа обработка и анализ на данни със SPSS</v>
      </c>
      <c r="D5145" s="10">
        <f ca="1">IFERROR(__xludf.DUMMYFUNCTION("""COMPUTED_VALUE"""),2014)</f>
        <v>2014</v>
      </c>
      <c r="E5145" s="10" t="str">
        <f ca="1">IFERROR(__xludf.DUMMYFUNCTION("""COMPUTED_VALUE"""),"С., Издателство “За буквите – О писменехь”, 292 с., ISBN 978-619-185-046-4")</f>
        <v>С., Издателство “За буквите – О писменехь”, 292 с., ISBN 978-619-185-046-4</v>
      </c>
      <c r="F5145" s="10"/>
      <c r="G5145" s="10"/>
      <c r="H5145" s="10"/>
      <c r="I5145" s="10"/>
      <c r="J5145" s="10"/>
      <c r="K5145" s="10"/>
      <c r="L5145" s="10"/>
      <c r="M5145" s="10"/>
      <c r="N5145" s="10"/>
      <c r="O5145" s="10"/>
      <c r="P5145" s="10"/>
      <c r="Q5145" s="10"/>
      <c r="R5145" s="10"/>
      <c r="S5145" s="10"/>
      <c r="T5145" s="10"/>
      <c r="U5145" s="10"/>
      <c r="V5145" s="10"/>
      <c r="W5145" s="10"/>
      <c r="X5145" s="10"/>
      <c r="Y5145" s="10"/>
      <c r="Z5145" s="10"/>
    </row>
    <row r="5146" spans="1:26" ht="12.75">
      <c r="A5146" s="10" t="str">
        <f ca="1">IFERROR(__xludf.DUMMYFUNCTION("""COMPUTED_VALUE"""),"Магдалена Златкова Гарванова")</f>
        <v>Магдалена Златкова Гарванова</v>
      </c>
      <c r="B5146" s="10" t="str">
        <f ca="1">IFERROR(__xludf.DUMMYFUNCTION("""COMPUTED_VALUE"""),"Монография")</f>
        <v>Монография</v>
      </c>
      <c r="C5146" s="10" t="str">
        <f ca="1">IFERROR(__xludf.DUMMYFUNCTION("""COMPUTED_VALUE"""),"Трансформация в ценностите на съвременния българин")</f>
        <v>Трансформация в ценностите на съвременния българин</v>
      </c>
      <c r="D5146" s="10">
        <f ca="1">IFERROR(__xludf.DUMMYFUNCTION("""COMPUTED_VALUE"""),2013)</f>
        <v>2013</v>
      </c>
      <c r="E5146" s="10" t="str">
        <f ca="1">IFERROR(__xludf.DUMMYFUNCTION("""COMPUTED_VALUE"""),"С., Издателство “За буквите – О писменехь”. Монография, 262 с., ISBN 978-954-2946-74-8")</f>
        <v>С., Издателство “За буквите – О писменехь”. Монография, 262 с., ISBN 978-954-2946-74-8</v>
      </c>
      <c r="F5146" s="10"/>
      <c r="G5146" s="10"/>
      <c r="H5146" s="10"/>
      <c r="I5146" s="10"/>
      <c r="J5146" s="10"/>
      <c r="K5146" s="10"/>
      <c r="L5146" s="10"/>
      <c r="M5146" s="10"/>
      <c r="N5146" s="10"/>
      <c r="O5146" s="10"/>
      <c r="P5146" s="10"/>
      <c r="Q5146" s="10"/>
      <c r="R5146" s="10"/>
      <c r="S5146" s="10"/>
      <c r="T5146" s="10"/>
      <c r="U5146" s="10"/>
      <c r="V5146" s="10"/>
      <c r="W5146" s="10"/>
      <c r="X5146" s="10"/>
      <c r="Y5146" s="10"/>
      <c r="Z5146" s="10"/>
    </row>
    <row r="5147" spans="1:26" ht="12.75">
      <c r="A5147" s="10" t="str">
        <f ca="1">IFERROR(__xludf.DUMMYFUNCTION("""COMPUTED_VALUE"""),"Магдалена Златкова Гарванова")</f>
        <v>Магдалена Златкова Гарванова</v>
      </c>
      <c r="B5147" s="10" t="str">
        <f ca="1">IFERROR(__xludf.DUMMYFUNCTION("""COMPUTED_VALUE"""),"Доклад от конференция")</f>
        <v>Доклад от конференция</v>
      </c>
      <c r="C5147" s="10" t="str">
        <f ca="1">IFERROR(__xludf.DUMMYFUNCTION("""COMPUTED_VALUE"""),"Изменения в ценностите на българските учители в периода 1995-2005 г.")</f>
        <v>Изменения в ценностите на българските учители в периода 1995-2005 г.</v>
      </c>
      <c r="D5147" s="10">
        <f ca="1">IFERROR(__xludf.DUMMYFUNCTION("""COMPUTED_VALUE"""),2013)</f>
        <v>2013</v>
      </c>
      <c r="E5147" s="10" t="str">
        <f ca="1">IFERROR(__xludf.DUMMYFUNCTION("""COMPUTED_VALUE"""),"Международен семинар “Образование за всички”. Научни трудове. Шумен, УИ “Епископ К. Преславски”, т. 4 “Квалификация на учителите. Продължаващо образование”, 52-63, ISSN 1313-4310")</f>
        <v>Международен семинар “Образование за всички”. Научни трудове. Шумен, УИ “Епископ К. Преславски”, т. 4 “Квалификация на учителите. Продължаващо образование”, 52-63, ISSN 1313-4310</v>
      </c>
      <c r="F5147" s="10"/>
      <c r="G5147" s="10"/>
      <c r="H5147" s="10"/>
      <c r="I5147" s="10"/>
      <c r="J5147" s="10"/>
      <c r="K5147" s="10"/>
      <c r="L5147" s="10"/>
      <c r="M5147" s="10"/>
      <c r="N5147" s="10"/>
      <c r="O5147" s="10"/>
      <c r="P5147" s="10"/>
      <c r="Q5147" s="10"/>
      <c r="R5147" s="10"/>
      <c r="S5147" s="10"/>
      <c r="T5147" s="10"/>
      <c r="U5147" s="10"/>
      <c r="V5147" s="10"/>
      <c r="W5147" s="10"/>
      <c r="X5147" s="10"/>
      <c r="Y5147" s="10"/>
      <c r="Z5147" s="10"/>
    </row>
    <row r="5148" spans="1:26" ht="12.75">
      <c r="A5148" s="10" t="str">
        <f ca="1">IFERROR(__xludf.DUMMYFUNCTION("""COMPUTED_VALUE"""),"Магдалена Златкова Гарванова")</f>
        <v>Магдалена Златкова Гарванова</v>
      </c>
      <c r="B5148" s="10" t="str">
        <f ca="1">IFERROR(__xludf.DUMMYFUNCTION("""COMPUTED_VALUE"""),"Доклад от конференция")</f>
        <v>Доклад от конференция</v>
      </c>
      <c r="C5148" s="10" t="str">
        <f ca="1">IFERROR(__xludf.DUMMYFUNCTION("""COMPUTED_VALUE"""),"Жизнените приоритети на съвременните студенти (Изследване, проведено в УниБИТ)")</f>
        <v>Жизнените приоритети на съвременните студенти (Изследване, проведено в УниБИТ)</v>
      </c>
      <c r="D5148" s="10">
        <f ca="1">IFERROR(__xludf.DUMMYFUNCTION("""COMPUTED_VALUE"""),2013)</f>
        <v>2013</v>
      </c>
      <c r="E5148" s="10" t="str">
        <f ca="1">IFERROR(__xludf.DUMMYFUNCTION("""COMPUTED_VALUE"""),"В: Б. Хинкова и Ж. Назърска (съст.) Нови информационни технологии в образователния процес. Доклади и съобщения от Седмия научен семинар на УниБИТ, проведен в Охрид на 29-31 май 2012 г. С., Издателство “За буквите – О писменехь”, 215-223, ISSN 1313-2768")</f>
        <v>В: Б. Хинкова и Ж. Назърска (съст.) Нови информационни технологии в образователния процес. Доклади и съобщения от Седмия научен семинар на УниБИТ, проведен в Охрид на 29-31 май 2012 г. С., Издателство “За буквите – О писменехь”, 215-223, ISSN 1313-2768</v>
      </c>
      <c r="F5148" s="10"/>
      <c r="G5148" s="10"/>
      <c r="H5148" s="10"/>
      <c r="I5148" s="10"/>
      <c r="J5148" s="10"/>
      <c r="K5148" s="10"/>
      <c r="L5148" s="10"/>
      <c r="M5148" s="10"/>
      <c r="N5148" s="10"/>
      <c r="O5148" s="10"/>
      <c r="P5148" s="10"/>
      <c r="Q5148" s="10"/>
      <c r="R5148" s="10"/>
      <c r="S5148" s="10"/>
      <c r="T5148" s="10"/>
      <c r="U5148" s="10"/>
      <c r="V5148" s="10"/>
      <c r="W5148" s="10"/>
      <c r="X5148" s="10"/>
      <c r="Y5148" s="10"/>
      <c r="Z5148" s="10"/>
    </row>
    <row r="5149" spans="1:26" ht="12.75">
      <c r="A5149" s="10" t="str">
        <f ca="1">IFERROR(__xludf.DUMMYFUNCTION("""COMPUTED_VALUE"""),"Магдалена Златкова Гарванова")</f>
        <v>Магдалена Златкова Гарванова</v>
      </c>
      <c r="B5149" s="10" t="str">
        <f ca="1">IFERROR(__xludf.DUMMYFUNCTION("""COMPUTED_VALUE"""),"Учебно пособие")</f>
        <v>Учебно пособие</v>
      </c>
      <c r="C5149" s="10" t="str">
        <f ca="1">IFERROR(__xludf.DUMMYFUNCTION("""COMPUTED_VALUE"""),"Ръководство за работа със SPSS")</f>
        <v>Ръководство за работа със SPSS</v>
      </c>
      <c r="D5149" s="10">
        <f ca="1">IFERROR(__xludf.DUMMYFUNCTION("""COMPUTED_VALUE"""),2013)</f>
        <v>2013</v>
      </c>
      <c r="E5149" s="10" t="str">
        <f ca="1">IFERROR(__xludf.DUMMYFUNCTION("""COMPUTED_VALUE"""),"С., Издателство “За буквите – О писменехь”, 192 с., ISBN 978-954-2946-91-5")</f>
        <v>С., Издателство “За буквите – О писменехь”, 192 с., ISBN 978-954-2946-91-5</v>
      </c>
      <c r="F5149" s="10"/>
      <c r="G5149" s="10" t="str">
        <f ca="1">IFERROR(__xludf.DUMMYFUNCTION("""COMPUTED_VALUE"""),"Гарванов, Иван")</f>
        <v>Гарванов, Иван</v>
      </c>
      <c r="H5149" s="10"/>
      <c r="I5149" s="10"/>
      <c r="J5149" s="10"/>
      <c r="K5149" s="10"/>
      <c r="L5149" s="10"/>
      <c r="M5149" s="10"/>
      <c r="N5149" s="10"/>
      <c r="O5149" s="10"/>
      <c r="P5149" s="10"/>
      <c r="Q5149" s="10"/>
      <c r="R5149" s="10"/>
      <c r="S5149" s="10"/>
      <c r="T5149" s="10"/>
      <c r="U5149" s="10"/>
      <c r="V5149" s="10"/>
      <c r="W5149" s="10"/>
      <c r="X5149" s="10"/>
      <c r="Y5149" s="10"/>
      <c r="Z5149" s="10"/>
    </row>
    <row r="5150" spans="1:26" ht="12.75">
      <c r="A5150" s="10" t="str">
        <f ca="1">IFERROR(__xludf.DUMMYFUNCTION("""COMPUTED_VALUE"""),"Магдалена Златкова Гарванова")</f>
        <v>Магдалена Златкова Гарванова</v>
      </c>
      <c r="B5150" s="10" t="str">
        <f ca="1">IFERROR(__xludf.DUMMYFUNCTION("""COMPUTED_VALUE"""),"Статия в списания и поредици")</f>
        <v>Статия в списания и поредици</v>
      </c>
      <c r="C5150" s="10" t="str">
        <f ca="1">IFERROR(__xludf.DUMMYFUNCTION("""COMPUTED_VALUE"""),"Ефекти на пола, възрастта, образованието и социално-историческото време върху ориентацията към индивидуализъм/колективизъм")</f>
        <v>Ефекти на пола, възрастта, образованието и социално-историческото време върху ориентацията към индивидуализъм/колективизъм</v>
      </c>
      <c r="D5150" s="10">
        <f ca="1">IFERROR(__xludf.DUMMYFUNCTION("""COMPUTED_VALUE"""),2013)</f>
        <v>2013</v>
      </c>
      <c r="E5150" s="10" t="str">
        <f ca="1">IFERROR(__xludf.DUMMYFUNCTION("""COMPUTED_VALUE"""),"Българско списание по психология, 1-4, 157-174, ISSN 0861-7813")</f>
        <v>Българско списание по психология, 1-4, 157-174, ISSN 0861-7813</v>
      </c>
      <c r="F5150" s="10"/>
      <c r="G5150" s="10"/>
      <c r="H5150" s="10"/>
      <c r="I5150" s="10"/>
      <c r="J5150" s="10"/>
      <c r="K5150" s="10"/>
      <c r="L5150" s="10"/>
      <c r="M5150" s="10"/>
      <c r="N5150" s="10"/>
      <c r="O5150" s="10"/>
      <c r="P5150" s="10"/>
      <c r="Q5150" s="10"/>
      <c r="R5150" s="10"/>
      <c r="S5150" s="10"/>
      <c r="T5150" s="10"/>
      <c r="U5150" s="10"/>
      <c r="V5150" s="10"/>
      <c r="W5150" s="10"/>
      <c r="X5150" s="10"/>
      <c r="Y5150" s="10"/>
      <c r="Z5150" s="10"/>
    </row>
    <row r="5151" spans="1:26" ht="12.75">
      <c r="A5151" s="10" t="str">
        <f ca="1">IFERROR(__xludf.DUMMYFUNCTION("""COMPUTED_VALUE"""),"Магдалена Златкова Гарванова")</f>
        <v>Магдалена Златкова Гарванова</v>
      </c>
      <c r="B5151" s="10" t="str">
        <f ca="1">IFERROR(__xludf.DUMMYFUNCTION("""COMPUTED_VALUE"""),"Статия в списания и поредици")</f>
        <v>Статия в списания и поредици</v>
      </c>
      <c r="C5151" s="10" t="str">
        <f ca="1">IFERROR(__xludf.DUMMYFUNCTION("""COMPUTED_VALUE"""),"Изследване на гъвкавостта на ценностната система на студенти-богослови в периода 1995-2005 г.")</f>
        <v>Изследване на гъвкавостта на ценностната система на студенти-богослови в периода 1995-2005 г.</v>
      </c>
      <c r="D5151" s="10">
        <f ca="1">IFERROR(__xludf.DUMMYFUNCTION("""COMPUTED_VALUE"""),2012)</f>
        <v>2012</v>
      </c>
      <c r="E5151" s="10" t="str">
        <f ca="1">IFERROR(__xludf.DUMMYFUNCTION("""COMPUTED_VALUE"""),"Българско списание по психология, 1-2, 82-101, ISSN 0861-7813")</f>
        <v>Българско списание по психология, 1-2, 82-101, ISSN 0861-7813</v>
      </c>
      <c r="F5151" s="10"/>
      <c r="G5151" s="10"/>
      <c r="H5151" s="10"/>
      <c r="I5151" s="10"/>
      <c r="J5151" s="10"/>
      <c r="K5151" s="10"/>
      <c r="L5151" s="10"/>
      <c r="M5151" s="10"/>
      <c r="N5151" s="10"/>
      <c r="O5151" s="10"/>
      <c r="P5151" s="10"/>
      <c r="Q5151" s="10"/>
      <c r="R5151" s="10"/>
      <c r="S5151" s="10"/>
      <c r="T5151" s="10"/>
      <c r="U5151" s="10"/>
      <c r="V5151" s="10"/>
      <c r="W5151" s="10"/>
      <c r="X5151" s="10"/>
      <c r="Y5151" s="10"/>
      <c r="Z5151" s="10"/>
    </row>
    <row r="5152" spans="1:26" ht="12.75">
      <c r="A5152" s="10" t="str">
        <f ca="1">IFERROR(__xludf.DUMMYFUNCTION("""COMPUTED_VALUE"""),"Магдалена Златкова Гарванова")</f>
        <v>Магдалена Златкова Гарванова</v>
      </c>
      <c r="B5152" s="10" t="str">
        <f ca="1">IFERROR(__xludf.DUMMYFUNCTION("""COMPUTED_VALUE"""),"Доклад от конференция")</f>
        <v>Доклад от конференция</v>
      </c>
      <c r="C5152" s="10" t="str">
        <f ca="1">IFERROR(__xludf.DUMMYFUNCTION("""COMPUTED_VALUE"""),"Основни жизнени цели, удовлетвореност от живота и ценностна криза при български студенти (сравнителен подход)")</f>
        <v>Основни жизнени цели, удовлетвореност от живота и ценностна криза при български студенти (сравнителен подход)</v>
      </c>
      <c r="D5152" s="10">
        <f ca="1">IFERROR(__xludf.DUMMYFUNCTION("""COMPUTED_VALUE"""),2011)</f>
        <v>2011</v>
      </c>
      <c r="E5152" s="10" t="str">
        <f ca="1">IFERROR(__xludf.DUMMYFUNCTION("""COMPUTED_VALUE"""),"Българско списание по психология. Сборник научни доклади: VI-ти Национален конгрес по психология, София 18-20 ноември 2011, 3-4, 77-84, ISSN 0861-7813")</f>
        <v>Българско списание по психология. Сборник научни доклади: VI-ти Национален конгрес по психология, София 18-20 ноември 2011, 3-4, 77-84, ISSN 0861-7813</v>
      </c>
      <c r="F5152" s="10"/>
      <c r="G5152" s="10"/>
      <c r="H5152" s="10"/>
      <c r="I5152" s="10"/>
      <c r="J5152" s="10"/>
      <c r="K5152" s="10"/>
      <c r="L5152" s="10"/>
      <c r="M5152" s="10"/>
      <c r="N5152" s="10"/>
      <c r="O5152" s="10"/>
      <c r="P5152" s="10"/>
      <c r="Q5152" s="10"/>
      <c r="R5152" s="10"/>
      <c r="S5152" s="10"/>
      <c r="T5152" s="10"/>
      <c r="U5152" s="10"/>
      <c r="V5152" s="10"/>
      <c r="W5152" s="10"/>
      <c r="X5152" s="10"/>
      <c r="Y5152" s="10"/>
      <c r="Z5152" s="10"/>
    </row>
    <row r="5153" spans="1:26" ht="12.75">
      <c r="A5153" s="10" t="str">
        <f ca="1">IFERROR(__xludf.DUMMYFUNCTION("""COMPUTED_VALUE"""),"Магдалена Златкова Гарванова")</f>
        <v>Магдалена Златкова Гарванова</v>
      </c>
      <c r="B5153" s="10" t="str">
        <f ca="1">IFERROR(__xludf.DUMMYFUNCTION("""COMPUTED_VALUE"""),"Статия в списания и поредици")</f>
        <v>Статия в списания и поредици</v>
      </c>
      <c r="C5153" s="10" t="str">
        <f ca="1">IFERROR(__xludf.DUMMYFUNCTION("""COMPUTED_VALUE"""),"Ценностната криза – социално-исторически, личностни, възрастови и екзистенциални аспекти")</f>
        <v>Ценностната криза – социално-исторически, личностни, възрастови и екзистенциални аспекти</v>
      </c>
      <c r="D5153" s="10">
        <f ca="1">IFERROR(__xludf.DUMMYFUNCTION("""COMPUTED_VALUE"""),2011)</f>
        <v>2011</v>
      </c>
      <c r="E5153" s="10" t="str">
        <f ca="1">IFERROR(__xludf.DUMMYFUNCTION("""COMPUTED_VALUE"""),"Българско списание по психология, 1-2, 6-29, ISSN 0861-7813")</f>
        <v>Българско списание по психология, 1-2, 6-29, ISSN 0861-7813</v>
      </c>
      <c r="F5153" s="10"/>
      <c r="G5153" s="10" t="str">
        <f ca="1">IFERROR(__xludf.DUMMYFUNCTION("""COMPUTED_VALUE"""),"Б а й ч и н с к а, К.")</f>
        <v>Б а й ч и н с к а, К.</v>
      </c>
      <c r="H5153" s="10"/>
      <c r="I5153" s="10"/>
      <c r="J5153" s="10"/>
      <c r="K5153" s="10"/>
      <c r="L5153" s="10"/>
      <c r="M5153" s="10"/>
      <c r="N5153" s="10"/>
      <c r="O5153" s="10"/>
      <c r="P5153" s="10"/>
      <c r="Q5153" s="10"/>
      <c r="R5153" s="10"/>
      <c r="S5153" s="10"/>
      <c r="T5153" s="10"/>
      <c r="U5153" s="10"/>
      <c r="V5153" s="10"/>
      <c r="W5153" s="10"/>
      <c r="X5153" s="10"/>
      <c r="Y5153" s="10"/>
      <c r="Z5153" s="10"/>
    </row>
    <row r="5154" spans="1:26" ht="12.75">
      <c r="A5154" s="10" t="str">
        <f ca="1">IFERROR(__xludf.DUMMYFUNCTION("""COMPUTED_VALUE"""),"Магдалена Златкова Гарванова")</f>
        <v>Магдалена Златкова Гарванова</v>
      </c>
      <c r="B5154" s="10" t="str">
        <f ca="1">IFERROR(__xludf.DUMMYFUNCTION("""COMPUTED_VALUE"""),"Доклад от конференция")</f>
        <v>Доклад от конференция</v>
      </c>
      <c r="C5154" s="10" t="str">
        <f ca="1">IFERROR(__xludf.DUMMYFUNCTION("""COMPUTED_VALUE"""),"Изменчивост и стабилност на ценностите на българските бизнесмени (1995-2005 г.)")</f>
        <v>Изменчивост и стабилност на ценностите на българските бизнесмени (1995-2005 г.)</v>
      </c>
      <c r="D5154" s="10">
        <f ca="1">IFERROR(__xludf.DUMMYFUNCTION("""COMPUTED_VALUE"""),2008)</f>
        <v>2008</v>
      </c>
      <c r="E5154" s="10" t="str">
        <f ca="1">IFERROR(__xludf.DUMMYFUNCTION("""COMPUTED_VALUE"""),"В: П. Димитров (съст.) Сборник научни доклади. V-ти национален конгрес по психология, София 31 октомври – 2 ноември 2008 г. С., ИК “Изток-Запад”, 437-446, ISSN 0861-7813")</f>
        <v>В: П. Димитров (съст.) Сборник научни доклади. V-ти национален конгрес по психология, София 31 октомври – 2 ноември 2008 г. С., ИК “Изток-Запад”, 437-446, ISSN 0861-7813</v>
      </c>
      <c r="F5154" s="10"/>
      <c r="G5154" s="10"/>
      <c r="H5154" s="10"/>
      <c r="I5154" s="10"/>
      <c r="J5154" s="10"/>
      <c r="K5154" s="10"/>
      <c r="L5154" s="10"/>
      <c r="M5154" s="10"/>
      <c r="N5154" s="10"/>
      <c r="O5154" s="10"/>
      <c r="P5154" s="10"/>
      <c r="Q5154" s="10"/>
      <c r="R5154" s="10"/>
      <c r="S5154" s="10"/>
      <c r="T5154" s="10"/>
      <c r="U5154" s="10"/>
      <c r="V5154" s="10"/>
      <c r="W5154" s="10"/>
      <c r="X5154" s="10"/>
      <c r="Y5154" s="10"/>
      <c r="Z5154" s="10"/>
    </row>
    <row r="5155" spans="1:26" ht="12.75">
      <c r="A5155" s="10" t="str">
        <f ca="1">IFERROR(__xludf.DUMMYFUNCTION("""COMPUTED_VALUE"""),"Магдалена Златкова Гарванова")</f>
        <v>Магдалена Златкова Гарванова</v>
      </c>
      <c r="B5155" s="10" t="str">
        <f ca="1">IFERROR(__xludf.DUMMYFUNCTION("""COMPUTED_VALUE"""),"Статия в списания и поредици")</f>
        <v>Статия в списания и поредици</v>
      </c>
      <c r="C5155" s="10" t="str">
        <f ca="1">IFERROR(__xludf.DUMMYFUNCTION("""COMPUTED_VALUE"""),"Основни индивидуални ценности при български студенти – сравнителен анализ")</f>
        <v>Основни индивидуални ценности при български студенти – сравнителен анализ</v>
      </c>
      <c r="D5155" s="10">
        <f ca="1">IFERROR(__xludf.DUMMYFUNCTION("""COMPUTED_VALUE"""),2008)</f>
        <v>2008</v>
      </c>
      <c r="E5155" s="10" t="str">
        <f ca="1">IFERROR(__xludf.DUMMYFUNCTION("""COMPUTED_VALUE"""),"Психологични изследвания, 2, 7-16, ISSN 1311-4700")</f>
        <v>Психологични изследвания, 2, 7-16, ISSN 1311-4700</v>
      </c>
      <c r="F5155" s="10"/>
      <c r="G5155" s="10" t="str">
        <f ca="1">IFERROR(__xludf.DUMMYFUNCTION("""COMPUTED_VALUE"""),"П а п а з о в а, E.")</f>
        <v>П а п а з о в а, E.</v>
      </c>
      <c r="H5155" s="10"/>
      <c r="I5155" s="10"/>
      <c r="J5155" s="10"/>
      <c r="K5155" s="10"/>
      <c r="L5155" s="10"/>
      <c r="M5155" s="10"/>
      <c r="N5155" s="10"/>
      <c r="O5155" s="10"/>
      <c r="P5155" s="10"/>
      <c r="Q5155" s="10"/>
      <c r="R5155" s="10"/>
      <c r="S5155" s="10"/>
      <c r="T5155" s="10"/>
      <c r="U5155" s="10"/>
      <c r="V5155" s="10"/>
      <c r="W5155" s="10"/>
      <c r="X5155" s="10"/>
      <c r="Y5155" s="10"/>
      <c r="Z5155" s="10"/>
    </row>
    <row r="5156" spans="1:26" ht="12.75">
      <c r="A5156" s="10" t="str">
        <f ca="1">IFERROR(__xludf.DUMMYFUNCTION("""COMPUTED_VALUE"""),"Магдалена Златкова Гарванова")</f>
        <v>Магдалена Златкова Гарванова</v>
      </c>
      <c r="B5156" s="10" t="str">
        <f ca="1">IFERROR(__xludf.DUMMYFUNCTION("""COMPUTED_VALUE"""),"Доклад от конференция")</f>
        <v>Доклад от конференция</v>
      </c>
      <c r="C5156" s="10" t="str">
        <f ca="1">IFERROR(__xludf.DUMMYFUNCTION("""COMPUTED_VALUE"""),"Променя ли се ценностната система на съвременния българин?")</f>
        <v>Променя ли се ценностната система на съвременния българин?</v>
      </c>
      <c r="D5156" s="10">
        <f ca="1">IFERROR(__xludf.DUMMYFUNCTION("""COMPUTED_VALUE"""),2008)</f>
        <v>2008</v>
      </c>
      <c r="E5156" s="10" t="str">
        <f ca="1">IFERROR(__xludf.DUMMYFUNCTION("""COMPUTED_VALUE"""),"В: П. Николов (съст.) Личност, социална среда, активност. III Национална конференция с международно участие 2006 г. Благоевград, УИ “Неофит Рилски”, 107-114, ISBN 978-954-680-486-0")</f>
        <v>В: П. Николов (съст.) Личност, социална среда, активност. III Национална конференция с международно участие 2006 г. Благоевград, УИ “Неофит Рилски”, 107-114, ISBN 978-954-680-486-0</v>
      </c>
      <c r="F5156" s="10"/>
      <c r="G5156" s="10" t="str">
        <f ca="1">IFERROR(__xludf.DUMMYFUNCTION("""COMPUTED_VALUE"""),"Б а й ч и н с к а, К.")</f>
        <v>Б а й ч и н с к а, К.</v>
      </c>
      <c r="H5156" s="10"/>
      <c r="I5156" s="10"/>
      <c r="J5156" s="10"/>
      <c r="K5156" s="10"/>
      <c r="L5156" s="10"/>
      <c r="M5156" s="10"/>
      <c r="N5156" s="10"/>
      <c r="O5156" s="10"/>
      <c r="P5156" s="10"/>
      <c r="Q5156" s="10"/>
      <c r="R5156" s="10"/>
      <c r="S5156" s="10"/>
      <c r="T5156" s="10"/>
      <c r="U5156" s="10"/>
      <c r="V5156" s="10"/>
      <c r="W5156" s="10"/>
      <c r="X5156" s="10"/>
      <c r="Y5156" s="10"/>
      <c r="Z5156" s="10"/>
    </row>
    <row r="5157" spans="1:26" ht="12.75">
      <c r="A5157" s="10" t="str">
        <f ca="1">IFERROR(__xludf.DUMMYFUNCTION("""COMPUTED_VALUE"""),"Магдалена Златкова Гарванова")</f>
        <v>Магдалена Златкова Гарванова</v>
      </c>
      <c r="B5157" s="10" t="str">
        <f ca="1">IFERROR(__xludf.DUMMYFUNCTION("""COMPUTED_VALUE"""),"Доклад от конференция")</f>
        <v>Доклад от конференция</v>
      </c>
      <c r="C5157" s="10" t="str">
        <f ca="1">IFERROR(__xludf.DUMMYFUNCTION("""COMPUTED_VALUE"""),"Трансформация в ценностната система на лица с индивидуалистична и колективистична ориентация – 1995-2005 г.")</f>
        <v>Трансформация в ценностната система на лица с индивидуалистична и колективистична ориентация – 1995-2005 г.</v>
      </c>
      <c r="D5157" s="10">
        <f ca="1">IFERROR(__xludf.DUMMYFUNCTION("""COMPUTED_VALUE"""),2008)</f>
        <v>2008</v>
      </c>
      <c r="E5157" s="10" t="str">
        <f ca="1">IFERROR(__xludf.DUMMYFUNCTION("""COMPUTED_VALUE"""),"В: П. Димитров (съст.) Сборник научни доклади. V-ти национален конгрес по психология, София 31 октомври – 2 ноември 2008 г. С., ИК “Изток-Запад”, 87-96, ISSN 0861-7813")</f>
        <v>В: П. Димитров (съст.) Сборник научни доклади. V-ти национален конгрес по психология, София 31 октомври – 2 ноември 2008 г. С., ИК “Изток-Запад”, 87-96, ISSN 0861-7813</v>
      </c>
      <c r="F5157" s="10"/>
      <c r="G5157" s="10"/>
      <c r="H5157" s="10"/>
      <c r="I5157" s="10"/>
      <c r="J5157" s="10"/>
      <c r="K5157" s="10"/>
      <c r="L5157" s="10"/>
      <c r="M5157" s="10"/>
      <c r="N5157" s="10"/>
      <c r="O5157" s="10"/>
      <c r="P5157" s="10"/>
      <c r="Q5157" s="10"/>
      <c r="R5157" s="10"/>
      <c r="S5157" s="10"/>
      <c r="T5157" s="10"/>
      <c r="U5157" s="10"/>
      <c r="V5157" s="10"/>
      <c r="W5157" s="10"/>
      <c r="X5157" s="10"/>
      <c r="Y5157" s="10"/>
      <c r="Z5157" s="10"/>
    </row>
    <row r="5158" spans="1:26" ht="12.75">
      <c r="A5158" s="10" t="str">
        <f ca="1">IFERROR(__xludf.DUMMYFUNCTION("""COMPUTED_VALUE"""),"Магдалена Златкова Гарванова")</f>
        <v>Магдалена Златкова Гарванова</v>
      </c>
      <c r="B5158" s="10" t="str">
        <f ca="1">IFERROR(__xludf.DUMMYFUNCTION("""COMPUTED_VALUE"""),"Статия в списания и поредици")</f>
        <v>Статия в списания и поредици</v>
      </c>
      <c r="C5158" s="10" t="str">
        <f ca="1">IFERROR(__xludf.DUMMYFUNCTION("""COMPUTED_VALUE"""),"Изменчивост и стабилност на ценностната система на българските учители (1995-2005 г.)")</f>
        <v>Изменчивост и стабилност на ценностната система на българските учители (1995-2005 г.)</v>
      </c>
      <c r="D5158" s="10">
        <f ca="1">IFERROR(__xludf.DUMMYFUNCTION("""COMPUTED_VALUE"""),2008)</f>
        <v>2008</v>
      </c>
      <c r="E5158" s="10" t="str">
        <f ca="1">IFERROR(__xludf.DUMMYFUNCTION("""COMPUTED_VALUE"""),"Педагогика, 2, 33-52, ISSN 0861-3982")</f>
        <v>Педагогика, 2, 33-52, ISSN 0861-3982</v>
      </c>
      <c r="F5158" s="10"/>
      <c r="G5158" s="10" t="str">
        <f ca="1">IFERROR(__xludf.DUMMYFUNCTION("""COMPUTED_VALUE"""),"Б а й ч и н с к а, К.")</f>
        <v>Б а й ч и н с к а, К.</v>
      </c>
      <c r="H5158" s="10"/>
      <c r="I5158" s="10"/>
      <c r="J5158" s="10"/>
      <c r="K5158" s="10"/>
      <c r="L5158" s="10"/>
      <c r="M5158" s="10"/>
      <c r="N5158" s="10"/>
      <c r="O5158" s="10"/>
      <c r="P5158" s="10"/>
      <c r="Q5158" s="10"/>
      <c r="R5158" s="10"/>
      <c r="S5158" s="10"/>
      <c r="T5158" s="10"/>
      <c r="U5158" s="10"/>
      <c r="V5158" s="10"/>
      <c r="W5158" s="10"/>
      <c r="X5158" s="10"/>
      <c r="Y5158" s="10"/>
      <c r="Z5158" s="10"/>
    </row>
    <row r="5159" spans="1:26" ht="12.75">
      <c r="A5159" s="10" t="str">
        <f ca="1">IFERROR(__xludf.DUMMYFUNCTION("""COMPUTED_VALUE"""),"Магдалена Златкова Гарванова")</f>
        <v>Магдалена Златкова Гарванова</v>
      </c>
      <c r="B5159" s="10" t="str">
        <f ca="1">IFERROR(__xludf.DUMMYFUNCTION("""COMPUTED_VALUE"""),"Доклад от конференция")</f>
        <v>Доклад от конференция</v>
      </c>
      <c r="C5159" s="10" t="str">
        <f ca="1">IFERROR(__xludf.DUMMYFUNCTION("""COMPUTED_VALUE"""),"Изменения в ценностната система на българските студенти")</f>
        <v>Изменения в ценностната система на българските студенти</v>
      </c>
      <c r="D5159" s="10">
        <f ca="1">IFERROR(__xludf.DUMMYFUNCTION("""COMPUTED_VALUE"""),2006)</f>
        <v>2006</v>
      </c>
      <c r="E5159" s="10" t="str">
        <f ca="1">IFERROR(__xludf.DUMMYFUNCTION("""COMPUTED_VALUE"""),"В: И. Григоров (съст.) Активност и адаптация на личността в условия на промени. Сборник от научни статии от Втората национална конференция по психология 29-30 октомври 2004, Благоевград, т. 1, С., УИ “Св. Климент Охридски”, 261-267, ISBN 954-07-2263-2")</f>
        <v>В: И. Григоров (съст.) Активност и адаптация на личността в условия на промени. Сборник от научни статии от Втората национална конференция по психология 29-30 октомври 2004, Благоевград, т. 1, С., УИ “Св. Климент Охридски”, 261-267, ISBN 954-07-2263-2</v>
      </c>
      <c r="F5159" s="10"/>
      <c r="G5159" s="10" t="str">
        <f ca="1">IFERROR(__xludf.DUMMYFUNCTION("""COMPUTED_VALUE"""),"Б а й ч и н с к а, К.")</f>
        <v>Б а й ч и н с к а, К.</v>
      </c>
      <c r="H5159" s="10"/>
      <c r="I5159" s="10"/>
      <c r="J5159" s="10"/>
      <c r="K5159" s="10"/>
      <c r="L5159" s="10"/>
      <c r="M5159" s="10"/>
      <c r="N5159" s="10"/>
      <c r="O5159" s="10"/>
      <c r="P5159" s="10"/>
      <c r="Q5159" s="10"/>
      <c r="R5159" s="10"/>
      <c r="S5159" s="10"/>
      <c r="T5159" s="10"/>
      <c r="U5159" s="10"/>
      <c r="V5159" s="10"/>
      <c r="W5159" s="10"/>
      <c r="X5159" s="10"/>
      <c r="Y5159" s="10"/>
      <c r="Z5159" s="10"/>
    </row>
    <row r="5160" spans="1:26" ht="12.75">
      <c r="A5160" s="10" t="str">
        <f ca="1">IFERROR(__xludf.DUMMYFUNCTION("""COMPUTED_VALUE"""),"Магдалена Златкова Гарванова")</f>
        <v>Магдалена Златкова Гарванова</v>
      </c>
      <c r="B5160" s="10" t="str">
        <f ca="1">IFERROR(__xludf.DUMMYFUNCTION("""COMPUTED_VALUE"""),"Статия в списания и поредици")</f>
        <v>Статия в списания и поредици</v>
      </c>
      <c r="C5160" s="10" t="str">
        <f ca="1">IFERROR(__xludf.DUMMYFUNCTION("""COMPUTED_VALUE"""),"Ценности и ценностна криза в прехода към демократично общество в България")</f>
        <v>Ценности и ценностна криза в прехода към демократично общество в България</v>
      </c>
      <c r="D5160" s="10">
        <f ca="1">IFERROR(__xludf.DUMMYFUNCTION("""COMPUTED_VALUE"""),2006)</f>
        <v>2006</v>
      </c>
      <c r="E5160" s="10" t="str">
        <f ca="1">IFERROR(__xludf.DUMMYFUNCTION("""COMPUTED_VALUE"""),"Българско списание по психология, 2, 54-69, ISSN 0861-7813")</f>
        <v>Българско списание по психология, 2, 54-69, ISSN 0861-7813</v>
      </c>
      <c r="F5160" s="10"/>
      <c r="G5160" s="10" t="str">
        <f ca="1">IFERROR(__xludf.DUMMYFUNCTION("""COMPUTED_VALUE"""),"Б а й ч и н с к а, К.")</f>
        <v>Б а й ч и н с к а, К.</v>
      </c>
      <c r="H5160" s="10"/>
      <c r="I5160" s="10"/>
      <c r="J5160" s="10"/>
      <c r="K5160" s="10"/>
      <c r="L5160" s="10"/>
      <c r="M5160" s="10"/>
      <c r="N5160" s="10"/>
      <c r="O5160" s="10"/>
      <c r="P5160" s="10"/>
      <c r="Q5160" s="10"/>
      <c r="R5160" s="10"/>
      <c r="S5160" s="10"/>
      <c r="T5160" s="10"/>
      <c r="U5160" s="10"/>
      <c r="V5160" s="10"/>
      <c r="W5160" s="10"/>
      <c r="X5160" s="10"/>
      <c r="Y5160" s="10"/>
      <c r="Z5160" s="10"/>
    </row>
    <row r="5161" spans="1:26" ht="12.75">
      <c r="A5161" s="10" t="str">
        <f ca="1">IFERROR(__xludf.DUMMYFUNCTION("""COMPUTED_VALUE"""),"Магдалена Златкова Гарванова")</f>
        <v>Магдалена Златкова Гарванова</v>
      </c>
      <c r="B5161" s="10" t="str">
        <f ca="1">IFERROR(__xludf.DUMMYFUNCTION("""COMPUTED_VALUE"""),"Статия в списания и поредици")</f>
        <v>Статия в списания и поредици</v>
      </c>
      <c r="C5161" s="10" t="str">
        <f ca="1">IFERROR(__xludf.DUMMYFUNCTION("""COMPUTED_VALUE"""),"Влияние на пола и възрастта върху ценностната система на съвременния българин")</f>
        <v>Влияние на пола и възрастта върху ценностната система на съвременния българин</v>
      </c>
      <c r="D5161" s="10">
        <f ca="1">IFERROR(__xludf.DUMMYFUNCTION("""COMPUTED_VALUE"""),2005)</f>
        <v>2005</v>
      </c>
      <c r="E5161" s="10" t="str">
        <f ca="1">IFERROR(__xludf.DUMMYFUNCTION("""COMPUTED_VALUE"""),"Психологични изследвания, 2, 107-124, ISSN 1311-4700")</f>
        <v>Психологични изследвания, 2, 107-124, ISSN 1311-4700</v>
      </c>
      <c r="F5161" s="10"/>
      <c r="G5161" s="10" t="str">
        <f ca="1">IFERROR(__xludf.DUMMYFUNCTION("""COMPUTED_VALUE"""),"Б а й ч и н с к а, К.")</f>
        <v>Б а й ч и н с к а, К.</v>
      </c>
      <c r="H5161" s="10"/>
      <c r="I5161" s="10"/>
      <c r="J5161" s="10"/>
      <c r="K5161" s="10"/>
      <c r="L5161" s="10"/>
      <c r="M5161" s="10"/>
      <c r="N5161" s="10"/>
      <c r="O5161" s="10"/>
      <c r="P5161" s="10"/>
      <c r="Q5161" s="10"/>
      <c r="R5161" s="10"/>
      <c r="S5161" s="10"/>
      <c r="T5161" s="10"/>
      <c r="U5161" s="10"/>
      <c r="V5161" s="10"/>
      <c r="W5161" s="10"/>
      <c r="X5161" s="10"/>
      <c r="Y5161" s="10"/>
      <c r="Z5161" s="10"/>
    </row>
    <row r="5162" spans="1:26" ht="12.75">
      <c r="A5162" s="10" t="str">
        <f ca="1">IFERROR(__xludf.DUMMYFUNCTION("""COMPUTED_VALUE"""),"Магдалена Златкова Гарванова")</f>
        <v>Магдалена Златкова Гарванова</v>
      </c>
      <c r="B5162" s="10" t="str">
        <f ca="1">IFERROR(__xludf.DUMMYFUNCTION("""COMPUTED_VALUE"""),"Статия в списания и поредици")</f>
        <v>Статия в списания и поредици</v>
      </c>
      <c r="C5162" s="10" t="str">
        <f ca="1">IFERROR(__xludf.DUMMYFUNCTION("""COMPUTED_VALUE"""),"Ценностна йерархия на учители и студенти в период на социално-политически промени в България")</f>
        <v>Ценностна йерархия на учители и студенти в период на социално-политически промени в България</v>
      </c>
      <c r="D5162" s="10">
        <f ca="1">IFERROR(__xludf.DUMMYFUNCTION("""COMPUTED_VALUE"""),2005)</f>
        <v>2005</v>
      </c>
      <c r="E5162" s="10" t="str">
        <f ca="1">IFERROR(__xludf.DUMMYFUNCTION("""COMPUTED_VALUE"""),"Психологически форум, 5, 77-86, ISSN 1313-8448")</f>
        <v>Психологически форум, 5, 77-86, ISSN 1313-8448</v>
      </c>
      <c r="F5162" s="10"/>
      <c r="G5162" s="10" t="str">
        <f ca="1">IFERROR(__xludf.DUMMYFUNCTION("""COMPUTED_VALUE"""),"Б а й ч и н с к а, К.")</f>
        <v>Б а й ч и н с к а, К.</v>
      </c>
      <c r="H5162" s="10"/>
      <c r="I5162" s="10"/>
      <c r="J5162" s="10"/>
      <c r="K5162" s="10"/>
      <c r="L5162" s="10"/>
      <c r="M5162" s="10"/>
      <c r="N5162" s="10"/>
      <c r="O5162" s="10"/>
      <c r="P5162" s="10"/>
      <c r="Q5162" s="10"/>
      <c r="R5162" s="10"/>
      <c r="S5162" s="10"/>
      <c r="T5162" s="10"/>
      <c r="U5162" s="10"/>
      <c r="V5162" s="10"/>
      <c r="W5162" s="10"/>
      <c r="X5162" s="10"/>
      <c r="Y5162" s="10"/>
      <c r="Z5162" s="10"/>
    </row>
    <row r="5163" spans="1:26" ht="12.75">
      <c r="A5163" s="10" t="str">
        <f ca="1">IFERROR(__xludf.DUMMYFUNCTION("""COMPUTED_VALUE"""),"Магдалена Златкова Гарванова")</f>
        <v>Магдалена Златкова Гарванова</v>
      </c>
      <c r="B5163" s="10" t="str">
        <f ca="1">IFERROR(__xludf.DUMMYFUNCTION("""COMPUTED_VALUE"""),"Доклад от конференция")</f>
        <v>Доклад от конференция</v>
      </c>
      <c r="C5163" s="10" t="str">
        <f ca="1">IFERROR(__xludf.DUMMYFUNCTION("""COMPUTED_VALUE"""),"Подходи към изследване на структурата на ценностната система в контекста на съвременната психология")</f>
        <v>Подходи към изследване на структурата на ценностната система в контекста на съвременната психология</v>
      </c>
      <c r="D5163" s="10">
        <f ca="1">IFERROR(__xludf.DUMMYFUNCTION("""COMPUTED_VALUE"""),2005)</f>
        <v>2005</v>
      </c>
      <c r="E5163" s="10" t="str">
        <f ca="1">IFERROR(__xludf.DUMMYFUNCTION("""COMPUTED_VALUE"""),"В: М. Петкова (ред.) Научна конференция с международно участие “Стара Загора 2005”, 2-3 юни 2005 г., т. 4, Стара Загора, Издателство “Съюз на учените – Стара Загора”, 466-473, ISBN 954-9329-22-4")</f>
        <v>В: М. Петкова (ред.) Научна конференция с международно участие “Стара Загора 2005”, 2-3 юни 2005 г., т. 4, Стара Загора, Издателство “Съюз на учените – Стара Загора”, 466-473, ISBN 954-9329-22-4</v>
      </c>
      <c r="F5163" s="10"/>
      <c r="G5163" s="10"/>
      <c r="H5163" s="10"/>
      <c r="I5163" s="10"/>
      <c r="J5163" s="10"/>
      <c r="K5163" s="10"/>
      <c r="L5163" s="10"/>
      <c r="M5163" s="10"/>
      <c r="N5163" s="10"/>
      <c r="O5163" s="10"/>
      <c r="P5163" s="10"/>
      <c r="Q5163" s="10"/>
      <c r="R5163" s="10"/>
      <c r="S5163" s="10"/>
      <c r="T5163" s="10"/>
      <c r="U5163" s="10"/>
      <c r="V5163" s="10"/>
      <c r="W5163" s="10"/>
      <c r="X5163" s="10"/>
      <c r="Y5163" s="10"/>
      <c r="Z5163" s="10"/>
    </row>
    <row r="5164" spans="1:26" ht="12.75">
      <c r="A5164" s="10" t="str">
        <f ca="1">IFERROR(__xludf.DUMMYFUNCTION("""COMPUTED_VALUE"""),"Магдалена Златкова Гарванова")</f>
        <v>Магдалена Златкова Гарванова</v>
      </c>
      <c r="B5164" s="10" t="str">
        <f ca="1">IFERROR(__xludf.DUMMYFUNCTION("""COMPUTED_VALUE"""),"Статия в списания и поредици")</f>
        <v>Статия в списания и поредици</v>
      </c>
      <c r="C5164" s="10" t="str">
        <f ca="1">IFERROR(__xludf.DUMMYFUNCTION("""COMPUTED_VALUE"""),"Трансформацията на ценностите в България в ситуацията на социална промяна")</f>
        <v>Трансформацията на ценностите в България в ситуацията на социална промяна</v>
      </c>
      <c r="D5164" s="10">
        <f ca="1">IFERROR(__xludf.DUMMYFUNCTION("""COMPUTED_VALUE"""),2005)</f>
        <v>2005</v>
      </c>
      <c r="E5164" s="10" t="str">
        <f ca="1">IFERROR(__xludf.DUMMYFUNCTION("""COMPUTED_VALUE"""),"Психологични изследвания, 3, 35-42, ISSN 1311-4700")</f>
        <v>Психологични изследвания, 3, 35-42, ISSN 1311-4700</v>
      </c>
      <c r="F5164" s="10"/>
      <c r="G5164" s="10"/>
      <c r="H5164" s="10"/>
      <c r="I5164" s="10"/>
      <c r="J5164" s="10"/>
      <c r="K5164" s="10"/>
      <c r="L5164" s="10"/>
      <c r="M5164" s="10"/>
      <c r="N5164" s="10"/>
      <c r="O5164" s="10"/>
      <c r="P5164" s="10"/>
      <c r="Q5164" s="10"/>
      <c r="R5164" s="10"/>
      <c r="S5164" s="10"/>
      <c r="T5164" s="10"/>
      <c r="U5164" s="10"/>
      <c r="V5164" s="10"/>
      <c r="W5164" s="10"/>
      <c r="X5164" s="10"/>
      <c r="Y5164" s="10"/>
      <c r="Z5164" s="10"/>
    </row>
    <row r="5165" spans="1:26" ht="12.75">
      <c r="A5165" s="10" t="str">
        <f ca="1">IFERROR(__xludf.DUMMYFUNCTION("""COMPUTED_VALUE"""),"Магдалена Златкова Гарванова")</f>
        <v>Магдалена Златкова Гарванова</v>
      </c>
      <c r="B5165" s="10" t="str">
        <f ca="1">IFERROR(__xludf.DUMMYFUNCTION("""COMPUTED_VALUE"""),"Доклад от конференция")</f>
        <v>Доклад от конференция</v>
      </c>
      <c r="C5165" s="10" t="str">
        <f ca="1">IFERROR(__xludf.DUMMYFUNCTION("""COMPUTED_VALUE"""),"Ценностна криза и реорганизация на ценностната система в условията на социални промени")</f>
        <v>Ценностна криза и реорганизация на ценностната система в условията на социални промени</v>
      </c>
      <c r="D5165" s="10">
        <f ca="1">IFERROR(__xludf.DUMMYFUNCTION("""COMPUTED_VALUE"""),2005)</f>
        <v>2005</v>
      </c>
      <c r="E5165" s="10" t="str">
        <f ca="1">IFERROR(__xludf.DUMMYFUNCTION("""COMPUTED_VALUE"""),"В: С. Джонев и др. (съст.) Трети национален конгрес по психология. Сборник научни доклади: София, 28–30 октомври 2005 г. С., ИК “Софи-Р”, 29-35, ISBN 954-638-137-3")</f>
        <v>В: С. Джонев и др. (съст.) Трети национален конгрес по психология. Сборник научни доклади: София, 28–30 октомври 2005 г. С., ИК “Софи-Р”, 29-35, ISBN 954-638-137-3</v>
      </c>
      <c r="F5165" s="10"/>
      <c r="G5165" s="10"/>
      <c r="H5165" s="10"/>
      <c r="I5165" s="10"/>
      <c r="J5165" s="10"/>
      <c r="K5165" s="10"/>
      <c r="L5165" s="10"/>
      <c r="M5165" s="10"/>
      <c r="N5165" s="10"/>
      <c r="O5165" s="10"/>
      <c r="P5165" s="10"/>
      <c r="Q5165" s="10"/>
      <c r="R5165" s="10"/>
      <c r="S5165" s="10"/>
      <c r="T5165" s="10"/>
      <c r="U5165" s="10"/>
      <c r="V5165" s="10"/>
      <c r="W5165" s="10"/>
      <c r="X5165" s="10"/>
      <c r="Y5165" s="10"/>
      <c r="Z5165" s="10"/>
    </row>
    <row r="5166" spans="1:26" ht="12.75">
      <c r="A5166" s="10" t="str">
        <f ca="1">IFERROR(__xludf.DUMMYFUNCTION("""COMPUTED_VALUE"""),"Магдалена Златкова Гарванова")</f>
        <v>Магдалена Златкова Гарванова</v>
      </c>
      <c r="B5166" s="10" t="str">
        <f ca="1">IFERROR(__xludf.DUMMYFUNCTION("""COMPUTED_VALUE"""),"Статия в списания и поредици")</f>
        <v>Статия в списания и поредици</v>
      </c>
      <c r="C5166" s="10" t="str">
        <f ca="1">IFERROR(__xludf.DUMMYFUNCTION("""COMPUTED_VALUE"""),"Полови различия в ценностната система – индивидуални и социокултурни влияния")</f>
        <v>Полови различия в ценностната система – индивидуални и социокултурни влияния</v>
      </c>
      <c r="D5166" s="10">
        <f ca="1">IFERROR(__xludf.DUMMYFUNCTION("""COMPUTED_VALUE"""),2005)</f>
        <v>2005</v>
      </c>
      <c r="E5166" s="10" t="str">
        <f ca="1">IFERROR(__xludf.DUMMYFUNCTION("""COMPUTED_VALUE"""),"Социологически проблеми, 1-2, 244-261, ISSN 0324-1572")</f>
        <v>Социологически проблеми, 1-2, 244-261, ISSN 0324-1572</v>
      </c>
      <c r="F5166" s="10"/>
      <c r="G5166" s="10" t="str">
        <f ca="1">IFERROR(__xludf.DUMMYFUNCTION("""COMPUTED_VALUE"""),"Б а й ч и н с к а, К.")</f>
        <v>Б а й ч и н с к а, К.</v>
      </c>
      <c r="H5166" s="10"/>
      <c r="I5166" s="10"/>
      <c r="J5166" s="10"/>
      <c r="K5166" s="10"/>
      <c r="L5166" s="10"/>
      <c r="M5166" s="10"/>
      <c r="N5166" s="10"/>
      <c r="O5166" s="10"/>
      <c r="P5166" s="10"/>
      <c r="Q5166" s="10"/>
      <c r="R5166" s="10"/>
      <c r="S5166" s="10"/>
      <c r="T5166" s="10"/>
      <c r="U5166" s="10"/>
      <c r="V5166" s="10"/>
      <c r="W5166" s="10"/>
      <c r="X5166" s="10"/>
      <c r="Y5166" s="10"/>
      <c r="Z5166" s="10"/>
    </row>
    <row r="5167" spans="1:26" ht="12.75">
      <c r="A5167" s="10" t="str">
        <f ca="1">IFERROR(__xludf.DUMMYFUNCTION("""COMPUTED_VALUE"""),"Майяна Милчева Митевска-Енчева")</f>
        <v>Майяна Милчева Митевска-Енчева</v>
      </c>
      <c r="B5167" s="10" t="str">
        <f ca="1">IFERROR(__xludf.DUMMYFUNCTION("""COMPUTED_VALUE"""),"Статия в списания и поредици")</f>
        <v>Статия в списания и поредици</v>
      </c>
      <c r="C5167" s="10" t="str">
        <f ca="1">IFERROR(__xludf.DUMMYFUNCTION("""COMPUTED_VALUE"""),"Factors for the Optimum Functioning of the Individual in a Military Environment")</f>
        <v>Factors for the Optimum Functioning of the Individual in a Military Environment</v>
      </c>
      <c r="D5167" s="10">
        <f ca="1">IFERROR(__xludf.DUMMYFUNCTION("""COMPUTED_VALUE"""),2020)</f>
        <v>2020</v>
      </c>
      <c r="E5167" s="10" t="str">
        <f ca="1">IFERROR(__xludf.DUMMYFUNCTION("""COMPUTED_VALUE"""),"Merit Research Journal of Education and Review, Vol. 8(2) pp. 031-036, February, 2020. ISSN: 2350-2282; DOI: 10.5281/zenodo.3700569")</f>
        <v>Merit Research Journal of Education and Review, Vol. 8(2) pp. 031-036, February, 2020. ISSN: 2350-2282; DOI: 10.5281/zenodo.3700569</v>
      </c>
      <c r="F5167" s="28" t="str">
        <f ca="1">IFERROR(__xludf.DUMMYFUNCTION("""COMPUTED_VALUE"""),"http://meritresearchjournals.org/er/index.htm")</f>
        <v>http://meritresearchjournals.org/er/index.htm</v>
      </c>
      <c r="G5167" s="10" t="str">
        <f ca="1">IFERROR(__xludf.DUMMYFUNCTION("""COMPUTED_VALUE"""),"Petkov, G.")</f>
        <v>Petkov, G.</v>
      </c>
      <c r="H5167" s="10"/>
      <c r="I5167" s="10"/>
      <c r="J5167" s="10"/>
      <c r="K5167" s="10"/>
      <c r="L5167" s="10"/>
      <c r="M5167" s="10"/>
      <c r="N5167" s="10"/>
      <c r="O5167" s="10"/>
      <c r="P5167" s="10"/>
      <c r="Q5167" s="10"/>
      <c r="R5167" s="10"/>
      <c r="S5167" s="10"/>
      <c r="T5167" s="10"/>
      <c r="U5167" s="10"/>
      <c r="V5167" s="10"/>
      <c r="W5167" s="10"/>
      <c r="X5167" s="10"/>
      <c r="Y5167" s="10"/>
      <c r="Z5167" s="10"/>
    </row>
    <row r="5168" spans="1:26" ht="12.75">
      <c r="A5168" s="10" t="str">
        <f ca="1">IFERROR(__xludf.DUMMYFUNCTION("""COMPUTED_VALUE"""),"Майяна Милчева Митевска-Енчева")</f>
        <v>Майяна Милчева Митевска-Енчева</v>
      </c>
      <c r="B5168" s="10" t="str">
        <f ca="1">IFERROR(__xludf.DUMMYFUNCTION("""COMPUTED_VALUE"""),"Статия в списания и поредици")</f>
        <v>Статия в списания и поредици</v>
      </c>
      <c r="C5168" s="10" t="str">
        <f ca="1">IFERROR(__xludf.DUMMYFUNCTION("""COMPUTED_VALUE"""),"Sources for increasing academic motivation of students in National Security “Specialty”")</f>
        <v>Sources for increasing academic motivation of students in National Security “Specialty”</v>
      </c>
      <c r="D5168" s="10">
        <f ca="1">IFERROR(__xludf.DUMMYFUNCTION("""COMPUTED_VALUE"""),2020)</f>
        <v>2020</v>
      </c>
      <c r="E5168" s="10" t="str">
        <f ca="1">IFERROR(__xludf.DUMMYFUNCTION("""COMPUTED_VALUE"""),"Merit Research Journal of Education and Review, Vol. 8(2) pp. 025-030, February, 2020. ISSN: 2350-2282; DOI: 10.5281/zenodo.3700563")</f>
        <v>Merit Research Journal of Education and Review, Vol. 8(2) pp. 025-030, February, 2020. ISSN: 2350-2282; DOI: 10.5281/zenodo.3700563</v>
      </c>
      <c r="F5168" s="28" t="str">
        <f ca="1">IFERROR(__xludf.DUMMYFUNCTION("""COMPUTED_VALUE"""),"http://meritresearchjournals.org/er/index.htm")</f>
        <v>http://meritresearchjournals.org/er/index.htm</v>
      </c>
      <c r="G5168" s="10"/>
      <c r="H5168" s="10"/>
      <c r="I5168" s="10"/>
      <c r="J5168" s="10"/>
      <c r="K5168" s="10"/>
      <c r="L5168" s="10"/>
      <c r="M5168" s="10"/>
      <c r="N5168" s="10"/>
      <c r="O5168" s="10"/>
      <c r="P5168" s="10"/>
      <c r="Q5168" s="10"/>
      <c r="R5168" s="10"/>
      <c r="S5168" s="10"/>
      <c r="T5168" s="10"/>
      <c r="U5168" s="10"/>
      <c r="V5168" s="10"/>
      <c r="W5168" s="10"/>
      <c r="X5168" s="10"/>
      <c r="Y5168" s="10"/>
      <c r="Z5168" s="10"/>
    </row>
    <row r="5169" spans="1:26" ht="12.75">
      <c r="A5169" s="10" t="str">
        <f ca="1">IFERROR(__xludf.DUMMYFUNCTION("""COMPUTED_VALUE"""),"Майяна Милчева Митевска-Енчева")</f>
        <v>Майяна Милчева Митевска-Енчева</v>
      </c>
      <c r="B5169" s="10" t="str">
        <f ca="1">IFERROR(__xludf.DUMMYFUNCTION("""COMPUTED_VALUE"""),"Статия в списания и поредици")</f>
        <v>Статия в списания и поредици</v>
      </c>
      <c r="C5169" s="10" t="str">
        <f ca="1">IFERROR(__xludf.DUMMYFUNCTION("""COMPUTED_VALUE"""),"Личността като източник на адаптивен потенциал в нова социална среда")</f>
        <v>Личността като източник на адаптивен потенциал в нова социална среда</v>
      </c>
      <c r="D5169" s="10">
        <f ca="1">IFERROR(__xludf.DUMMYFUNCTION("""COMPUTED_VALUE"""),2019)</f>
        <v>2019</v>
      </c>
      <c r="E5169" s="10" t="str">
        <f ca="1">IFERROR(__xludf.DUMMYFUNCTION("""COMPUTED_VALUE"""),"Юридически сборник, БСУ, ISSN 1311-3771")</f>
        <v>Юридически сборник, БСУ, ISSN 1311-3771</v>
      </c>
      <c r="F5169" s="10"/>
      <c r="G5169" s="10" t="str">
        <f ca="1">IFERROR(__xludf.DUMMYFUNCTION("""COMPUTED_VALUE"""),"Майяна Митевска Гошо Петков")</f>
        <v>Майяна Митевска Гошо Петков</v>
      </c>
      <c r="H5169" s="10"/>
      <c r="I5169" s="10"/>
      <c r="J5169" s="10"/>
      <c r="K5169" s="10"/>
      <c r="L5169" s="10"/>
      <c r="M5169" s="10"/>
      <c r="N5169" s="10"/>
      <c r="O5169" s="10"/>
      <c r="P5169" s="10"/>
      <c r="Q5169" s="10"/>
      <c r="R5169" s="10"/>
      <c r="S5169" s="10"/>
      <c r="T5169" s="10"/>
      <c r="U5169" s="10"/>
      <c r="V5169" s="10"/>
      <c r="W5169" s="10"/>
      <c r="X5169" s="10"/>
      <c r="Y5169" s="10"/>
      <c r="Z5169" s="10"/>
    </row>
    <row r="5170" spans="1:26" ht="12.75">
      <c r="A5170" s="10" t="str">
        <f ca="1">IFERROR(__xludf.DUMMYFUNCTION("""COMPUTED_VALUE"""),"Майяна Милчева Митевска-Енчева")</f>
        <v>Майяна Милчева Митевска-Енчева</v>
      </c>
      <c r="B5170" s="10" t="str">
        <f ca="1">IFERROR(__xludf.DUMMYFUNCTION("""COMPUTED_VALUE"""),"Статия в списания и поредици")</f>
        <v>Статия в списания и поредици</v>
      </c>
      <c r="C5170" s="10" t="str">
        <f ca="1">IFERROR(__xludf.DUMMYFUNCTION("""COMPUTED_VALUE"""),"LEADERSHIP STYLES IN THE INNOVATIVE EDUCATIONAL AREA")</f>
        <v>LEADERSHIP STYLES IN THE INNOVATIVE EDUCATIONAL AREA</v>
      </c>
      <c r="D5170" s="10">
        <f ca="1">IFERROR(__xludf.DUMMYFUNCTION("""COMPUTED_VALUE"""),2019)</f>
        <v>2019</v>
      </c>
      <c r="E5170" s="10" t="str">
        <f ca="1">IFERROR(__xludf.DUMMYFUNCTION("""COMPUTED_VALUE"""),"The Macrotheme Review 8(1), Spring 2019, ISSN 2379-9765 print ISSN 1848-4735 online, ISSN 2379-9765 print ISSN 1848-4735 online")</f>
        <v>The Macrotheme Review 8(1), Spring 2019, ISSN 2379-9765 print ISSN 1848-4735 online, ISSN 2379-9765 print ISSN 1848-4735 online</v>
      </c>
      <c r="F5170" s="10"/>
      <c r="G5170" s="10" t="str">
        <f ca="1">IFERROR(__xludf.DUMMYFUNCTION("""COMPUTED_VALUE"""),"Gosho Petkov, Mayiana Mitevska-Encheva, Emilia Lazarova, Petya Radeva")</f>
        <v>Gosho Petkov, Mayiana Mitevska-Encheva, Emilia Lazarova, Petya Radeva</v>
      </c>
      <c r="H5170" s="10"/>
      <c r="I5170" s="10"/>
      <c r="J5170" s="10"/>
      <c r="K5170" s="10"/>
      <c r="L5170" s="10"/>
      <c r="M5170" s="10"/>
      <c r="N5170" s="10"/>
      <c r="O5170" s="10"/>
      <c r="P5170" s="10"/>
      <c r="Q5170" s="10"/>
      <c r="R5170" s="10"/>
      <c r="S5170" s="10"/>
      <c r="T5170" s="10"/>
      <c r="U5170" s="10"/>
      <c r="V5170" s="10"/>
      <c r="W5170" s="10"/>
      <c r="X5170" s="10"/>
      <c r="Y5170" s="10"/>
      <c r="Z5170" s="10"/>
    </row>
    <row r="5171" spans="1:26" ht="12.75">
      <c r="A5171" s="10" t="str">
        <f ca="1">IFERROR(__xludf.DUMMYFUNCTION("""COMPUTED_VALUE"""),"Майяна Милчева Митевска-Енчева")</f>
        <v>Майяна Милчева Митевска-Енчева</v>
      </c>
      <c r="B5171" s="10" t="str">
        <f ca="1">IFERROR(__xludf.DUMMYFUNCTION("""COMPUTED_VALUE"""),"Статия в списания и поредици")</f>
        <v>Статия в списания и поредици</v>
      </c>
      <c r="C5171" s="10" t="str">
        <f ca="1">IFERROR(__xludf.DUMMYFUNCTION("""COMPUTED_VALUE"""),"ЛИЧНОСТНИ ПРЕДПОСТАВКИ ЗА ПРОЯВИ НА АДАПТИВНО-ИНОВАТИВЕН СТИЛ НА ПОВЕДЕНИЕ")</f>
        <v>ЛИЧНОСТНИ ПРЕДПОСТАВКИ ЗА ПРОЯВИ НА АДАПТИВНО-ИНОВАТИВЕН СТИЛ НА ПОВЕДЕНИЕ</v>
      </c>
      <c r="D5171" s="10">
        <f ca="1">IFERROR(__xludf.DUMMYFUNCTION("""COMPUTED_VALUE"""),2019)</f>
        <v>2019</v>
      </c>
      <c r="E5171" s="10" t="str">
        <f ca="1">IFERROR(__xludf.DUMMYFUNCTION("""COMPUTED_VALUE"""),"Университет по библиотекознание и информационни технологии, Академично издателство „За буквите – О писменехь“, ISSN 2683-0094")</f>
        <v>Университет по библиотекознание и информационни технологии, Академично издателство „За буквите – О писменехь“, ISSN 2683-0094</v>
      </c>
      <c r="F5171" s="10"/>
      <c r="G5171" s="10" t="str">
        <f ca="1">IFERROR(__xludf.DUMMYFUNCTION("""COMPUTED_VALUE"""),"Гошо Петков Майяна Митевска")</f>
        <v>Гошо Петков Майяна Митевска</v>
      </c>
      <c r="H5171" s="10"/>
      <c r="I5171" s="10"/>
      <c r="J5171" s="10"/>
      <c r="K5171" s="10"/>
      <c r="L5171" s="10"/>
      <c r="M5171" s="10"/>
      <c r="N5171" s="10"/>
      <c r="O5171" s="10"/>
      <c r="P5171" s="10"/>
      <c r="Q5171" s="10"/>
      <c r="R5171" s="10"/>
      <c r="S5171" s="10"/>
      <c r="T5171" s="10"/>
      <c r="U5171" s="10"/>
      <c r="V5171" s="10"/>
      <c r="W5171" s="10"/>
      <c r="X5171" s="10"/>
      <c r="Y5171" s="10"/>
      <c r="Z5171" s="10"/>
    </row>
    <row r="5172" spans="1:26" ht="12.75">
      <c r="A5172" s="10" t="str">
        <f ca="1">IFERROR(__xludf.DUMMYFUNCTION("""COMPUTED_VALUE"""),"Майяна Милчева Митевска-Енчева")</f>
        <v>Майяна Милчева Митевска-Енчева</v>
      </c>
      <c r="B5172" s="10" t="str">
        <f ca="1">IFERROR(__xludf.DUMMYFUNCTION("""COMPUTED_VALUE"""),"Статия в списания и поредици")</f>
        <v>Статия в списания и поредици</v>
      </c>
      <c r="C5172" s="10" t="str">
        <f ca="1">IFERROR(__xludf.DUMMYFUNCTION("""COMPUTED_VALUE"""),"ДИНАМИКА НА ОРГАНИЗАЦИОННИТЕ ЦЕННОСТИ – МЕТА АНАЛИЗ")</f>
        <v>ДИНАМИКА НА ОРГАНИЗАЦИОННИТЕ ЦЕННОСТИ – МЕТА АНАЛИЗ</v>
      </c>
      <c r="D5172" s="10">
        <f ca="1">IFERROR(__xludf.DUMMYFUNCTION("""COMPUTED_VALUE"""),2019)</f>
        <v>2019</v>
      </c>
      <c r="E5172" s="10" t="str">
        <f ca="1">IFERROR(__xludf.DUMMYFUNCTION("""COMPUTED_VALUE"""),"ПРИЛОЖНА ПСИХОЛОГИЯ И СОЦИАЛНА ПРАКТИКА, ВарнаXХ Международна научна конференция , ISSN 1314-0507")</f>
        <v>ПРИЛОЖНА ПСИХОЛОГИЯ И СОЦИАЛНА ПРАКТИКА, ВарнаXХ Международна научна конференция , ISSN 1314-0507</v>
      </c>
      <c r="F5172" s="10"/>
      <c r="G5172" s="10" t="str">
        <f ca="1">IFERROR(__xludf.DUMMYFUNCTION("""COMPUTED_VALUE"""),"Майяна Митевска Соня Карабельова")</f>
        <v>Майяна Митевска Соня Карабельова</v>
      </c>
      <c r="H5172" s="10"/>
      <c r="I5172" s="10"/>
      <c r="J5172" s="10"/>
      <c r="K5172" s="10"/>
      <c r="L5172" s="10"/>
      <c r="M5172" s="10"/>
      <c r="N5172" s="10"/>
      <c r="O5172" s="10"/>
      <c r="P5172" s="10"/>
      <c r="Q5172" s="10"/>
      <c r="R5172" s="10"/>
      <c r="S5172" s="10"/>
      <c r="T5172" s="10"/>
      <c r="U5172" s="10"/>
      <c r="V5172" s="10"/>
      <c r="W5172" s="10"/>
      <c r="X5172" s="10"/>
      <c r="Y5172" s="10"/>
      <c r="Z5172" s="10"/>
    </row>
    <row r="5173" spans="1:26" ht="12.75">
      <c r="A5173" s="10" t="str">
        <f ca="1">IFERROR(__xludf.DUMMYFUNCTION("""COMPUTED_VALUE"""),"Майяна Милчева Митевска-Енчева")</f>
        <v>Майяна Милчева Митевска-Енчева</v>
      </c>
      <c r="B5173" s="10" t="str">
        <f ca="1">IFERROR(__xludf.DUMMYFUNCTION("""COMPUTED_VALUE"""),"Статия в списания и поредици")</f>
        <v>Статия в списания и поредици</v>
      </c>
      <c r="C5173" s="10" t="str">
        <f ca="1">IFERROR(__xludf.DUMMYFUNCTION("""COMPUTED_VALUE"""),"Effects of Demographic Indicators on Perceptions of Followers of Leadership Styles")</f>
        <v>Effects of Demographic Indicators on Perceptions of Followers of Leadership Styles</v>
      </c>
      <c r="D5173" s="10">
        <f ca="1">IFERROR(__xludf.DUMMYFUNCTION("""COMPUTED_VALUE"""),2019)</f>
        <v>2019</v>
      </c>
      <c r="E5173" s="10" t="str">
        <f ca="1">IFERROR(__xludf.DUMMYFUNCTION("""COMPUTED_VALUE"""),"Information &amp; Security: An International Journal 39, no. 3 (2018): 206-219., Print ISSN 0861-5160 (previously 1311-1493) Online ISSN 1314-2119")</f>
        <v>Information &amp; Security: An International Journal 39, no. 3 (2018): 206-219., Print ISSN 0861-5160 (previously 1311-1493) Online ISSN 1314-2119</v>
      </c>
      <c r="F5173" s="10"/>
      <c r="G5173" s="10" t="str">
        <f ca="1">IFERROR(__xludf.DUMMYFUNCTION("""COMPUTED_VALUE"""),"Майяна Митевска")</f>
        <v>Майяна Митевска</v>
      </c>
      <c r="H5173" s="10"/>
      <c r="I5173" s="10"/>
      <c r="J5173" s="10"/>
      <c r="K5173" s="10"/>
      <c r="L5173" s="10"/>
      <c r="M5173" s="10"/>
      <c r="N5173" s="10"/>
      <c r="O5173" s="10"/>
      <c r="P5173" s="10"/>
      <c r="Q5173" s="10"/>
      <c r="R5173" s="10"/>
      <c r="S5173" s="10"/>
      <c r="T5173" s="10"/>
      <c r="U5173" s="10"/>
      <c r="V5173" s="10"/>
      <c r="W5173" s="10"/>
      <c r="X5173" s="10"/>
      <c r="Y5173" s="10"/>
      <c r="Z5173" s="10"/>
    </row>
    <row r="5174" spans="1:26" ht="12.75">
      <c r="A5174" s="10" t="str">
        <f ca="1">IFERROR(__xludf.DUMMYFUNCTION("""COMPUTED_VALUE"""),"Майяна Милчева Митевска-Енчева")</f>
        <v>Майяна Милчева Митевска-Енчева</v>
      </c>
      <c r="B5174" s="10" t="str">
        <f ca="1">IFERROR(__xludf.DUMMYFUNCTION("""COMPUTED_VALUE"""),"Статия в списания и поредици")</f>
        <v>Статия в списания и поредици</v>
      </c>
      <c r="C5174" s="10" t="str">
        <f ca="1">IFERROR(__xludf.DUMMYFUNCTION("""COMPUTED_VALUE"""),"The Choice of Career and the Self-efficacy with Bulgarian Students")</f>
        <v>The Choice of Career and the Self-efficacy with Bulgarian Students</v>
      </c>
      <c r="D5174" s="10">
        <f ca="1">IFERROR(__xludf.DUMMYFUNCTION("""COMPUTED_VALUE"""),2019)</f>
        <v>2019</v>
      </c>
      <c r="E5174" s="10" t="str">
        <f ca="1">IFERROR(__xludf.DUMMYFUNCTION("""COMPUTED_VALUE"""),"Merit Res. J. Edu. Rev. 2019 7(12): 144-149 [Abstract] [Full Text-PDF] (296 KB) Original Research Article DOI: 10.5281/zenodo.3589679")</f>
        <v>Merit Res. J. Edu. Rev. 2019 7(12): 144-149 [Abstract] [Full Text-PDF] (296 KB) Original Research Article DOI: 10.5281/zenodo.3589679</v>
      </c>
      <c r="F5174" s="10"/>
      <c r="G5174" s="10" t="str">
        <f ca="1">IFERROR(__xludf.DUMMYFUNCTION("""COMPUTED_VALUE"""),"Mayiana Mitevska and Sonya Karabeliova")</f>
        <v>Mayiana Mitevska and Sonya Karabeliova</v>
      </c>
      <c r="H5174" s="10"/>
      <c r="I5174" s="10"/>
      <c r="J5174" s="10"/>
      <c r="K5174" s="10"/>
      <c r="L5174" s="10"/>
      <c r="M5174" s="10"/>
      <c r="N5174" s="10"/>
      <c r="O5174" s="10"/>
      <c r="P5174" s="10"/>
      <c r="Q5174" s="10"/>
      <c r="R5174" s="10"/>
      <c r="S5174" s="10"/>
      <c r="T5174" s="10"/>
      <c r="U5174" s="10"/>
      <c r="V5174" s="10"/>
      <c r="W5174" s="10"/>
      <c r="X5174" s="10"/>
      <c r="Y5174" s="10"/>
      <c r="Z5174" s="10"/>
    </row>
    <row r="5175" spans="1:26" ht="12.75">
      <c r="A5175" s="10" t="str">
        <f ca="1">IFERROR(__xludf.DUMMYFUNCTION("""COMPUTED_VALUE"""),"Майяна Милчева Митевска-Енчева")</f>
        <v>Майяна Милчева Митевска-Енчева</v>
      </c>
      <c r="B5175" s="10" t="str">
        <f ca="1">IFERROR(__xludf.DUMMYFUNCTION("""COMPUTED_VALUE"""),"Статия в списания и поредици")</f>
        <v>Статия в списания и поредици</v>
      </c>
      <c r="C5175" s="10" t="str">
        <f ca="1">IFERROR(__xludf.DUMMYFUNCTION("""COMPUTED_VALUE"""),"ИНОВАТИВНИЯТ ПОДХОД ПРИ ВЗЕМАНЕ НА РЕШЕНИЯ – СЪЩНОСТНА ЧЕРТА НА РЪКОВОДИТЕЛЯ")</f>
        <v>ИНОВАТИВНИЯТ ПОДХОД ПРИ ВЗЕМАНЕ НА РЕШЕНИЯ – СЪЩНОСТНА ЧЕРТА НА РЪКОВОДИТЕЛЯ</v>
      </c>
      <c r="D5175" s="10">
        <f ca="1">IFERROR(__xludf.DUMMYFUNCTION("""COMPUTED_VALUE"""),2019)</f>
        <v>2019</v>
      </c>
      <c r="E5175" s="10" t="str">
        <f ca="1">IFERROR(__xludf.DUMMYFUNCTION("""COMPUTED_VALUE"""),"Национален военен университет, В. Търново 16 – 19 септември, ISSN 1314-1937 ISBN 978-619-7246-20-9 (Online e-book)")</f>
        <v>Национален военен университет, В. Търново 16 – 19 септември, ISSN 1314-1937 ISBN 978-619-7246-20-9 (Online e-book)</v>
      </c>
      <c r="F5175" s="10"/>
      <c r="G5175" s="10" t="str">
        <f ca="1">IFERROR(__xludf.DUMMYFUNCTION("""COMPUTED_VALUE"""),"Майяна Митевска Гошо Петков")</f>
        <v>Майяна Митевска Гошо Петков</v>
      </c>
      <c r="H5175" s="10"/>
      <c r="I5175" s="10"/>
      <c r="J5175" s="10"/>
      <c r="K5175" s="10"/>
      <c r="L5175" s="10"/>
      <c r="M5175" s="10"/>
      <c r="N5175" s="10"/>
      <c r="O5175" s="10"/>
      <c r="P5175" s="10"/>
      <c r="Q5175" s="10"/>
      <c r="R5175" s="10"/>
      <c r="S5175" s="10"/>
      <c r="T5175" s="10"/>
      <c r="U5175" s="10"/>
      <c r="V5175" s="10"/>
      <c r="W5175" s="10"/>
      <c r="X5175" s="10"/>
      <c r="Y5175" s="10"/>
      <c r="Z5175" s="10"/>
    </row>
    <row r="5176" spans="1:26" ht="12.75">
      <c r="A5176" s="10" t="str">
        <f ca="1">IFERROR(__xludf.DUMMYFUNCTION("""COMPUTED_VALUE"""),"Майяна Милчева Митевска-Енчева")</f>
        <v>Майяна Милчева Митевска-Енчева</v>
      </c>
      <c r="B5176" s="10" t="str">
        <f ca="1">IFERROR(__xludf.DUMMYFUNCTION("""COMPUTED_VALUE"""),"Статия в списания и поредици")</f>
        <v>Статия в списания и поредици</v>
      </c>
      <c r="C5176" s="10" t="str">
        <f ca="1">IFERROR(__xludf.DUMMYFUNCTION("""COMPUTED_VALUE"""),"Характеристика на кибератаката за получаване на информационни отпечатъци и прилагане на разузнавателни техники")</f>
        <v>Характеристика на кибератаката за получаване на информационни отпечатъци и прилагане на разузнавателни техники</v>
      </c>
      <c r="D5176" s="10">
        <f ca="1">IFERROR(__xludf.DUMMYFUNCTION("""COMPUTED_VALUE"""),2019)</f>
        <v>2019</v>
      </c>
      <c r="E5176" s="10" t="str">
        <f ca="1">IFERROR(__xludf.DUMMYFUNCTION("""COMPUTED_VALUE"""),"„Общество на знанието и хуманизмът на XXI век“ ISSN 1314-7099 Национална научна конференция с международно участие, 1 ноември 2018")</f>
        <v>„Общество на знанието и хуманизмът на XXI век“ ISSN 1314-7099 Национална научна конференция с международно участие, 1 ноември 2018</v>
      </c>
      <c r="F5176" s="10"/>
      <c r="G5176" s="10" t="str">
        <f ca="1">IFERROR(__xludf.DUMMYFUNCTION("""COMPUTED_VALUE"""),"Христо Христов Петър Боянов")</f>
        <v>Христо Христов Петър Боянов</v>
      </c>
      <c r="H5176" s="10"/>
      <c r="I5176" s="10"/>
      <c r="J5176" s="10"/>
      <c r="K5176" s="10"/>
      <c r="L5176" s="10"/>
      <c r="M5176" s="10"/>
      <c r="N5176" s="10"/>
      <c r="O5176" s="10"/>
      <c r="P5176" s="10"/>
      <c r="Q5176" s="10"/>
      <c r="R5176" s="10"/>
      <c r="S5176" s="10"/>
      <c r="T5176" s="10"/>
      <c r="U5176" s="10"/>
      <c r="V5176" s="10"/>
      <c r="W5176" s="10"/>
      <c r="X5176" s="10"/>
      <c r="Y5176" s="10"/>
      <c r="Z5176" s="10"/>
    </row>
    <row r="5177" spans="1:26" ht="12.75">
      <c r="A5177" s="10" t="str">
        <f ca="1">IFERROR(__xludf.DUMMYFUNCTION("""COMPUTED_VALUE"""),"Майяна Милчева Митевска-Енчева")</f>
        <v>Майяна Милчева Митевска-Енчева</v>
      </c>
      <c r="B5177" s="10" t="str">
        <f ca="1">IFERROR(__xludf.DUMMYFUNCTION("""COMPUTED_VALUE"""),"Статия в списания и поредици")</f>
        <v>Статия в списания и поредици</v>
      </c>
      <c r="C5177" s="10" t="str">
        <f ca="1">IFERROR(__xludf.DUMMYFUNCTION("""COMPUTED_VALUE"""),"Aggression as a Moderator of the Correlation between the Adaptive-Innovative Style of Behavior and the Motivation to the Learning Environment")</f>
        <v>Aggression as a Moderator of the Correlation between the Adaptive-Innovative Style of Behavior and the Motivation to the Learning Environment</v>
      </c>
      <c r="D5177" s="10">
        <f ca="1">IFERROR(__xludf.DUMMYFUNCTION("""COMPUTED_VALUE"""),2019)</f>
        <v>2019</v>
      </c>
      <c r="E5177" s="10" t="str">
        <f ca="1">IFERROR(__xludf.DUMMYFUNCTION("""COMPUTED_VALUE"""),"Merit Res. J. Edu. Rev. 2019 7(11): 140-143 [Abstract] [Full Text-PDF] (265 KB) Original Research Article DOI: 10.5281/zenodo.3558970")</f>
        <v>Merit Res. J. Edu. Rev. 2019 7(11): 140-143 [Abstract] [Full Text-PDF] (265 KB) Original Research Article DOI: 10.5281/zenodo.3558970</v>
      </c>
      <c r="F5177" s="10"/>
      <c r="G5177" s="10" t="str">
        <f ca="1">IFERROR(__xludf.DUMMYFUNCTION("""COMPUTED_VALUE"""),"Petkov, George Mitevska, Mayiana")</f>
        <v>Petkov, George Mitevska, Mayiana</v>
      </c>
      <c r="H5177" s="10"/>
      <c r="I5177" s="10"/>
      <c r="J5177" s="10"/>
      <c r="K5177" s="10"/>
      <c r="L5177" s="10"/>
      <c r="M5177" s="10"/>
      <c r="N5177" s="10"/>
      <c r="O5177" s="10"/>
      <c r="P5177" s="10"/>
      <c r="Q5177" s="10"/>
      <c r="R5177" s="10"/>
      <c r="S5177" s="10"/>
      <c r="T5177" s="10"/>
      <c r="U5177" s="10"/>
      <c r="V5177" s="10"/>
      <c r="W5177" s="10"/>
      <c r="X5177" s="10"/>
      <c r="Y5177" s="10"/>
      <c r="Z5177" s="10"/>
    </row>
    <row r="5178" spans="1:26" ht="12.75">
      <c r="A5178" s="10" t="str">
        <f ca="1">IFERROR(__xludf.DUMMYFUNCTION("""COMPUTED_VALUE"""),"Майяна Милчева Митевска-Енчева")</f>
        <v>Майяна Милчева Митевска-Енчева</v>
      </c>
      <c r="B5178" s="10" t="str">
        <f ca="1">IFERROR(__xludf.DUMMYFUNCTION("""COMPUTED_VALUE"""),"Статия в списания и поредици")</f>
        <v>Статия в списания и поредици</v>
      </c>
      <c r="C5178" s="10" t="str">
        <f ca="1">IFERROR(__xludf.DUMMYFUNCTION("""COMPUTED_VALUE"""),"ОТРАЖЕНИЕ НА АГРЕСИВНИТЕ ПРЕДИСПОЗИЦИИ ВЪРХУ АКАДЕМИЧНАТА МОТИВАЦИЯ, УДОВЛЕТВОРЕНОСТТА ОТ ЖИВОТА И ЧУВСТВОТО ЗА ЩАСТИЕ ПРИ СТУДЕНТИ")</f>
        <v>ОТРАЖЕНИЕ НА АГРЕСИВНИТЕ ПРЕДИСПОЗИЦИИ ВЪРХУ АКАДЕМИЧНАТА МОТИВАЦИЯ, УДОВЛЕТВОРЕНОСТТА ОТ ЖИВОТА И ЧУВСТВОТО ЗА ЩАСТИЕ ПРИ СТУДЕНТИ</v>
      </c>
      <c r="D5178" s="10">
        <f ca="1">IFERROR(__xludf.DUMMYFUNCTION("""COMPUTED_VALUE"""),2019)</f>
        <v>2019</v>
      </c>
      <c r="E5178" s="10" t="str">
        <f ca="1">IFERROR(__xludf.DUMMYFUNCTION("""COMPUTED_VALUE"""),"Психологични изследвания кн. 2/2019 г. , ISSN 1311-4700 (Print) ISSN 2367-4563 (Online")</f>
        <v>Психологични изследвания кн. 2/2019 г. , ISSN 1311-4700 (Print) ISSN 2367-4563 (Online</v>
      </c>
      <c r="F5178" s="10"/>
      <c r="G5178" s="10" t="str">
        <f ca="1">IFERROR(__xludf.DUMMYFUNCTION("""COMPUTED_VALUE"""),"Майяна Митевска, Гошо Петков, Петя Радева")</f>
        <v>Майяна Митевска, Гошо Петков, Петя Радева</v>
      </c>
      <c r="H5178" s="10"/>
      <c r="I5178" s="10"/>
      <c r="J5178" s="10"/>
      <c r="K5178" s="10"/>
      <c r="L5178" s="10"/>
      <c r="M5178" s="10"/>
      <c r="N5178" s="10"/>
      <c r="O5178" s="10"/>
      <c r="P5178" s="10"/>
      <c r="Q5178" s="10"/>
      <c r="R5178" s="10"/>
      <c r="S5178" s="10"/>
      <c r="T5178" s="10"/>
      <c r="U5178" s="10"/>
      <c r="V5178" s="10"/>
      <c r="W5178" s="10"/>
      <c r="X5178" s="10"/>
      <c r="Y5178" s="10"/>
      <c r="Z5178" s="10"/>
    </row>
    <row r="5179" spans="1:26" ht="12.75">
      <c r="A5179" s="10" t="str">
        <f ca="1">IFERROR(__xludf.DUMMYFUNCTION("""COMPUTED_VALUE"""),"Майяна Милчева Митевска-Енчева")</f>
        <v>Майяна Милчева Митевска-Енчева</v>
      </c>
      <c r="B5179" s="10" t="str">
        <f ca="1">IFERROR(__xludf.DUMMYFUNCTION("""COMPUTED_VALUE"""),"Статия в списания и поредици")</f>
        <v>Статия в списания и поредици</v>
      </c>
      <c r="C5179" s="10" t="str">
        <f ca="1">IFERROR(__xludf.DUMMYFUNCTION("""COMPUTED_VALUE"""),"Характеристики на сканиращите мрежови кибератаки")</f>
        <v>Характеристики на сканиращите мрежови кибератаки</v>
      </c>
      <c r="D5179" s="10">
        <f ca="1">IFERROR(__xludf.DUMMYFUNCTION("""COMPUTED_VALUE"""),2019)</f>
        <v>2019</v>
      </c>
      <c r="E5179" s="10" t="str">
        <f ca="1">IFERROR(__xludf.DUMMYFUNCTION("""COMPUTED_VALUE"""),"„Общество на знанието и хуманизмът на XXI век“ ISSN 1314-7099 Национална научна конференция с международно участие, 1 ноември 2018")</f>
        <v>„Общество на знанието и хуманизмът на XXI век“ ISSN 1314-7099 Национална научна конференция с международно участие, 1 ноември 2018</v>
      </c>
      <c r="F5179" s="10"/>
      <c r="G5179" s="10" t="str">
        <f ca="1">IFERROR(__xludf.DUMMYFUNCTION("""COMPUTED_VALUE"""),"Христо Христов Петър Боянов")</f>
        <v>Христо Христов Петър Боянов</v>
      </c>
      <c r="H5179" s="10"/>
      <c r="I5179" s="10"/>
      <c r="J5179" s="10"/>
      <c r="K5179" s="10"/>
      <c r="L5179" s="10"/>
      <c r="M5179" s="10"/>
      <c r="N5179" s="10"/>
      <c r="O5179" s="10"/>
      <c r="P5179" s="10"/>
      <c r="Q5179" s="10"/>
      <c r="R5179" s="10"/>
      <c r="S5179" s="10"/>
      <c r="T5179" s="10"/>
      <c r="U5179" s="10"/>
      <c r="V5179" s="10"/>
      <c r="W5179" s="10"/>
      <c r="X5179" s="10"/>
      <c r="Y5179" s="10"/>
      <c r="Z5179" s="10"/>
    </row>
    <row r="5180" spans="1:26" ht="12.75">
      <c r="A5180" s="10" t="str">
        <f ca="1">IFERROR(__xludf.DUMMYFUNCTION("""COMPUTED_VALUE"""),"Майяна Милчева Митевска-Енчева")</f>
        <v>Майяна Милчева Митевска-Енчева</v>
      </c>
      <c r="B5180" s="10" t="str">
        <f ca="1">IFERROR(__xludf.DUMMYFUNCTION("""COMPUTED_VALUE"""),"Статия в списания и поредици")</f>
        <v>Статия в списания и поредици</v>
      </c>
      <c r="C5180" s="10" t="str">
        <f ca="1">IFERROR(__xludf.DUMMYFUNCTION("""COMPUTED_VALUE"""),"Динамика на лидерските стилове – мета анализ")</f>
        <v>Динамика на лидерските стилове – мета анализ</v>
      </c>
      <c r="D5180" s="10">
        <f ca="1">IFERROR(__xludf.DUMMYFUNCTION("""COMPUTED_VALUE"""),2019)</f>
        <v>2019</v>
      </c>
      <c r="E5180" s="10" t="str">
        <f ca="1">IFERROR(__xludf.DUMMYFUNCTION("""COMPUTED_VALUE"""),"Нови предизвикателства пред сигурността и развитието на Балканите, Велико Търново, ISSN 2335-0056")</f>
        <v>Нови предизвикателства пред сигурността и развитието на Балканите, Велико Търново, ISSN 2335-0056</v>
      </c>
      <c r="F5180" s="10"/>
      <c r="G5180" s="10" t="str">
        <f ca="1">IFERROR(__xludf.DUMMYFUNCTION("""COMPUTED_VALUE"""),"Майяна Митевска Гошо Петков")</f>
        <v>Майяна Митевска Гошо Петков</v>
      </c>
      <c r="H5180" s="10"/>
      <c r="I5180" s="10"/>
      <c r="J5180" s="10"/>
      <c r="K5180" s="10"/>
      <c r="L5180" s="10"/>
      <c r="M5180" s="10"/>
      <c r="N5180" s="10"/>
      <c r="O5180" s="10"/>
      <c r="P5180" s="10"/>
      <c r="Q5180" s="10"/>
      <c r="R5180" s="10"/>
      <c r="S5180" s="10"/>
      <c r="T5180" s="10"/>
      <c r="U5180" s="10"/>
      <c r="V5180" s="10"/>
      <c r="W5180" s="10"/>
      <c r="X5180" s="10"/>
      <c r="Y5180" s="10"/>
      <c r="Z5180" s="10"/>
    </row>
    <row r="5181" spans="1:26" ht="12.75">
      <c r="A5181" s="10" t="str">
        <f ca="1">IFERROR(__xludf.DUMMYFUNCTION("""COMPUTED_VALUE"""),"Майяна Милчева Митевска-Енчева")</f>
        <v>Майяна Милчева Митевска-Енчева</v>
      </c>
      <c r="B5181" s="10" t="str">
        <f ca="1">IFERROR(__xludf.DUMMYFUNCTION("""COMPUTED_VALUE"""),"Статия в списания и поредици")</f>
        <v>Статия в списания и поредици</v>
      </c>
      <c r="C5181" s="10" t="str">
        <f ca="1">IFERROR(__xludf.DUMMYFUNCTION("""COMPUTED_VALUE"""),"ASSESSMENT OF THE ADAPTIVE-INNOVATIVE STYLE IN AN EDUCATIONAL ENVIRONMENT")</f>
        <v>ASSESSMENT OF THE ADAPTIVE-INNOVATIVE STYLE IN AN EDUCATIONAL ENVIRONMENT</v>
      </c>
      <c r="D5181" s="10">
        <f ca="1">IFERROR(__xludf.DUMMYFUNCTION("""COMPUTED_VALUE"""),2019)</f>
        <v>2019</v>
      </c>
      <c r="E5181" s="10" t="str">
        <f ca="1">IFERROR(__xludf.DUMMYFUNCTION("""COMPUTED_VALUE"""),"The Macrotheme Review 7(4) Winter 2018 ISSN 2379-9765 print ISSN 1848-4735 online, 2379-9765 print ISSN 1848-4735 online")</f>
        <v>The Macrotheme Review 7(4) Winter 2018 ISSN 2379-9765 print ISSN 1848-4735 online, 2379-9765 print ISSN 1848-4735 online</v>
      </c>
      <c r="F5181" s="10"/>
      <c r="G5181" s="10" t="str">
        <f ca="1">IFERROR(__xludf.DUMMYFUNCTION("""COMPUTED_VALUE"""),"Gosho Petkov, Mayiana Mitevska-Encheva, Petya Radeva, Todor Rangelov")</f>
        <v>Gosho Petkov, Mayiana Mitevska-Encheva, Petya Radeva, Todor Rangelov</v>
      </c>
      <c r="H5181" s="10"/>
      <c r="I5181" s="10"/>
      <c r="J5181" s="10"/>
      <c r="K5181" s="10"/>
      <c r="L5181" s="10"/>
      <c r="M5181" s="10"/>
      <c r="N5181" s="10"/>
      <c r="O5181" s="10"/>
      <c r="P5181" s="10"/>
      <c r="Q5181" s="10"/>
      <c r="R5181" s="10"/>
      <c r="S5181" s="10"/>
      <c r="T5181" s="10"/>
      <c r="U5181" s="10"/>
      <c r="V5181" s="10"/>
      <c r="W5181" s="10"/>
      <c r="X5181" s="10"/>
      <c r="Y5181" s="10"/>
      <c r="Z5181" s="10"/>
    </row>
    <row r="5182" spans="1:26" ht="12.75">
      <c r="A5182" s="10" t="str">
        <f ca="1">IFERROR(__xludf.DUMMYFUNCTION("""COMPUTED_VALUE"""),"Майяна Милчева Митевска-Енчева")</f>
        <v>Майяна Милчева Митевска-Енчева</v>
      </c>
      <c r="B5182" s="10" t="str">
        <f ca="1">IFERROR(__xludf.DUMMYFUNCTION("""COMPUTED_VALUE"""),"Статия в списания и поредици")</f>
        <v>Статия в списания и поредици</v>
      </c>
      <c r="C5182" s="10" t="str">
        <f ca="1">IFERROR(__xludf.DUMMYFUNCTION("""COMPUTED_VALUE"""),"Effects of Demographic Indicators on Perceptions of Followers of Leadership Styles")</f>
        <v>Effects of Demographic Indicators on Perceptions of Followers of Leadership Styles</v>
      </c>
      <c r="D5182" s="10">
        <f ca="1">IFERROR(__xludf.DUMMYFUNCTION("""COMPUTED_VALUE"""),2018)</f>
        <v>2018</v>
      </c>
      <c r="E5182" s="10" t="str">
        <f ca="1">IFERROR(__xludf.DUMMYFUNCTION("""COMPUTED_VALUE"""),"ISIJ 39: Interagency and International Cooperation in Countering Hybrid Threats Information &amp; Security, 2018 - search.ebscohost.com Information &amp; Security: An International Journal 39, no. 3 (2018): 206-219. https://procon.bg/39-interagency-and-internatio"&amp;"nal-cooperation-countering-hybrid-threats")</f>
        <v>ISIJ 39: Interagency and International Cooperation in Countering Hybrid Threats Information &amp; Security, 2018 - search.ebscohost.com Information &amp; Security: An International Journal 39, no. 3 (2018): 206-219. https://procon.bg/39-interagency-and-international-cooperation-countering-hybrid-threats</v>
      </c>
      <c r="F5182" s="10"/>
      <c r="G5182" s="10"/>
      <c r="H5182" s="10"/>
      <c r="I5182" s="10"/>
      <c r="J5182" s="10"/>
      <c r="K5182" s="10"/>
      <c r="L5182" s="10"/>
      <c r="M5182" s="10"/>
      <c r="N5182" s="10"/>
      <c r="O5182" s="10"/>
      <c r="P5182" s="10"/>
      <c r="Q5182" s="10"/>
      <c r="R5182" s="10"/>
      <c r="S5182" s="10"/>
      <c r="T5182" s="10"/>
      <c r="U5182" s="10"/>
      <c r="V5182" s="10"/>
      <c r="W5182" s="10"/>
      <c r="X5182" s="10"/>
      <c r="Y5182" s="10"/>
      <c r="Z5182" s="10"/>
    </row>
    <row r="5183" spans="1:26" ht="12.75">
      <c r="A5183" s="10" t="str">
        <f ca="1">IFERROR(__xludf.DUMMYFUNCTION("""COMPUTED_VALUE"""),"Майяна Милчева Митевска-Енчева")</f>
        <v>Майяна Милчева Митевска-Енчева</v>
      </c>
      <c r="B5183" s="10" t="str">
        <f ca="1">IFERROR(__xludf.DUMMYFUNCTION("""COMPUTED_VALUE"""),"Статия в списания и поредици")</f>
        <v>Статия в списания и поредици</v>
      </c>
      <c r="C5183" s="10" t="str">
        <f ca="1">IFERROR(__xludf.DUMMYFUNCTION("""COMPUTED_VALUE"""),"Културата като медиатор на взаимодействията в образователната среда")</f>
        <v>Културата като медиатор на взаимодействията в образователната среда</v>
      </c>
      <c r="D5183" s="10">
        <f ca="1">IFERROR(__xludf.DUMMYFUNCTION("""COMPUTED_VALUE"""),2018)</f>
        <v>2018</v>
      </c>
      <c r="E5183" s="10" t="str">
        <f ca="1">IFERROR(__xludf.DUMMYFUNCTION("""COMPUTED_VALUE"""),"17-та международна научна конференция на тема: „Приложната психология: възможности и перспективи”, Варна 29 юни – 2 юли 2018 г. ISSN 1314-0507")</f>
        <v>17-та международна научна конференция на тема: „Приложната психология: възможности и перспективи”, Варна 29 юни – 2 юли 2018 г. ISSN 1314-0507</v>
      </c>
      <c r="F5183" s="10"/>
      <c r="G5183" s="10" t="str">
        <f ca="1">IFERROR(__xludf.DUMMYFUNCTION("""COMPUTED_VALUE"""),"проф. д.ик.н Гошо Петков, Емилия Лазарова, Петя Радева, Веселин Стефанов")</f>
        <v>проф. д.ик.н Гошо Петков, Емилия Лазарова, Петя Радева, Веселин Стефанов</v>
      </c>
      <c r="H5183" s="10"/>
      <c r="I5183" s="10"/>
      <c r="J5183" s="10"/>
      <c r="K5183" s="10"/>
      <c r="L5183" s="10"/>
      <c r="M5183" s="10"/>
      <c r="N5183" s="10"/>
      <c r="O5183" s="10"/>
      <c r="P5183" s="10"/>
      <c r="Q5183" s="10"/>
      <c r="R5183" s="10"/>
      <c r="S5183" s="10"/>
      <c r="T5183" s="10"/>
      <c r="U5183" s="10"/>
      <c r="V5183" s="10"/>
      <c r="W5183" s="10"/>
      <c r="X5183" s="10"/>
      <c r="Y5183" s="10"/>
      <c r="Z5183" s="10"/>
    </row>
    <row r="5184" spans="1:26" ht="12.75">
      <c r="A5184" s="10" t="str">
        <f ca="1">IFERROR(__xludf.DUMMYFUNCTION("""COMPUTED_VALUE"""),"Майяна Милчева Митевска-Енчева")</f>
        <v>Майяна Милчева Митевска-Енчева</v>
      </c>
      <c r="B5184" s="10" t="str">
        <f ca="1">IFERROR(__xludf.DUMMYFUNCTION("""COMPUTED_VALUE"""),"Статия в списания и поредици")</f>
        <v>Статия в списания и поредици</v>
      </c>
      <c r="C5184" s="10" t="str">
        <f ca="1">IFERROR(__xludf.DUMMYFUNCTION("""COMPUTED_VALUE"""),"Assessment of the adaptive-innovative style in an educational environment")</f>
        <v>Assessment of the adaptive-innovative style in an educational environment</v>
      </c>
      <c r="D5184" s="10">
        <f ca="1">IFERROR(__xludf.DUMMYFUNCTION("""COMPUTED_VALUE"""),2018)</f>
        <v>2018</v>
      </c>
      <c r="E5184" s="10" t="str">
        <f ca="1">IFERROR(__xludf.DUMMYFUNCTION("""COMPUTED_VALUE"""),"The Macrotheme Review A multidisciplinary journal of global macro trends 2019. Issue 1, Е-ISSN 1848-4735 ISSN 2379-9765 http://macrotheme.com/yahoo_site_admin/assets/docs/2MR74Ma.337233611.pdf")</f>
        <v>The Macrotheme Review A multidisciplinary journal of global macro trends 2019. Issue 1, Е-ISSN 1848-4735 ISSN 2379-9765 http://macrotheme.com/yahoo_site_admin/assets/docs/2MR74Ma.337233611.pdf</v>
      </c>
      <c r="F5184" s="10"/>
      <c r="G5184" s="10" t="str">
        <f ca="1">IFERROR(__xludf.DUMMYFUNCTION("""COMPUTED_VALUE"""),"Prof. DSc. Gosho Kirilov Petkov , Ph.D., Petia Radeva, Todor Rangelov")</f>
        <v>Prof. DSc. Gosho Kirilov Petkov , Ph.D., Petia Radeva, Todor Rangelov</v>
      </c>
      <c r="H5184" s="10"/>
      <c r="I5184" s="10"/>
      <c r="J5184" s="10"/>
      <c r="K5184" s="10"/>
      <c r="L5184" s="10"/>
      <c r="M5184" s="10"/>
      <c r="N5184" s="10"/>
      <c r="O5184" s="10"/>
      <c r="P5184" s="10"/>
      <c r="Q5184" s="10"/>
      <c r="R5184" s="10"/>
      <c r="S5184" s="10"/>
      <c r="T5184" s="10"/>
      <c r="U5184" s="10"/>
      <c r="V5184" s="10"/>
      <c r="W5184" s="10"/>
      <c r="X5184" s="10"/>
      <c r="Y5184" s="10"/>
      <c r="Z5184" s="10"/>
    </row>
    <row r="5185" spans="1:26" ht="12.75">
      <c r="A5185" s="10" t="str">
        <f ca="1">IFERROR(__xludf.DUMMYFUNCTION("""COMPUTED_VALUE"""),"Майяна Милчева Митевска-Енчева")</f>
        <v>Майяна Милчева Митевска-Енчева</v>
      </c>
      <c r="B5185" s="10" t="str">
        <f ca="1">IFERROR(__xludf.DUMMYFUNCTION("""COMPUTED_VALUE"""),"Статия в списания и поредици")</f>
        <v>Статия в списания и поредици</v>
      </c>
      <c r="C5185" s="10" t="str">
        <f ca="1">IFERROR(__xludf.DUMMYFUNCTION("""COMPUTED_VALUE"""),"За конфликтите в новата организационна ситуация")</f>
        <v>За конфликтите в новата организационна ситуация</v>
      </c>
      <c r="D5185" s="10">
        <f ca="1">IFERROR(__xludf.DUMMYFUNCTION("""COMPUTED_VALUE"""),2018)</f>
        <v>2018</v>
      </c>
      <c r="E5185" s="10" t="str">
        <f ca="1">IFERROR(__xludf.DUMMYFUNCTION("""COMPUTED_VALUE"""),"Трудове на Специализираното висше училище по библиотекознание и информационни технологии ISSN 1312-5834. – T. 7 (2008), s. 465-474")</f>
        <v>Трудове на Специализираното висше училище по библиотекознание и информационни технологии ISSN 1312-5834. – T. 7 (2008), s. 465-474</v>
      </c>
      <c r="F5185" s="10"/>
      <c r="G5185" s="10"/>
      <c r="H5185" s="10"/>
      <c r="I5185" s="10"/>
      <c r="J5185" s="10"/>
      <c r="K5185" s="10"/>
      <c r="L5185" s="10"/>
      <c r="M5185" s="10"/>
      <c r="N5185" s="10"/>
      <c r="O5185" s="10"/>
      <c r="P5185" s="10"/>
      <c r="Q5185" s="10"/>
      <c r="R5185" s="10"/>
      <c r="S5185" s="10"/>
      <c r="T5185" s="10"/>
      <c r="U5185" s="10"/>
      <c r="V5185" s="10"/>
      <c r="W5185" s="10"/>
      <c r="X5185" s="10"/>
      <c r="Y5185" s="10"/>
      <c r="Z5185" s="10"/>
    </row>
    <row r="5186" spans="1:26" ht="12.75">
      <c r="A5186" s="10" t="str">
        <f ca="1">IFERROR(__xludf.DUMMYFUNCTION("""COMPUTED_VALUE"""),"Майяна Милчева Митевска-Енчева")</f>
        <v>Майяна Милчева Митевска-Енчева</v>
      </c>
      <c r="B5186" s="10" t="str">
        <f ca="1">IFERROR(__xludf.DUMMYFUNCTION("""COMPUTED_VALUE"""),"Статия в списания и поредици")</f>
        <v>Статия в списания и поредици</v>
      </c>
      <c r="C5186" s="10" t="str">
        <f ca="1">IFERROR(__xludf.DUMMYFUNCTION("""COMPUTED_VALUE"""),"Влияние на агресивните предиспозиции върху академичната мотивация,")</f>
        <v>Влияние на агресивните предиспозиции върху академичната мотивация,</v>
      </c>
      <c r="D5186" s="10">
        <f ca="1">IFERROR(__xludf.DUMMYFUNCTION("""COMPUTED_VALUE"""),2018)</f>
        <v>2018</v>
      </c>
      <c r="E5186" s="10" t="str">
        <f ca="1">IFERROR(__xludf.DUMMYFUNCTION("""COMPUTED_VALUE"""),"Национален военен университет, В. Търново 14 – 15 юни 2018, с. 150-162, ISSN 1314-1937 ISBN 978-619-7246-20-9 (Online e-book) http://unicat.nalis.bg/Search/Results?sort=relevance&amp;join=AND&amp;lookfor0%5B%5D=ISSN+1314-1937&amp;type0%5B%5D=AllFields&amp;bool0%5B%5D=AND"&amp;"&amp;illustration=-1&amp;daterange%5B%5D=publishDate&amp;publishDatefrom=&amp;publishDateto=")</f>
        <v>Национален военен университет, В. Търново 14 – 15 юни 2018, с. 150-162, ISSN 1314-1937 ISBN 978-619-7246-20-9 (Online e-book) http://unicat.nalis.bg/Search/Results?sort=relevance&amp;join=AND&amp;lookfor0%5B%5D=ISSN+1314-1937&amp;type0%5B%5D=AllFields&amp;bool0%5B%5D=AND&amp;illustration=-1&amp;daterange%5B%5D=publishDate&amp;publishDatefrom=&amp;publishDateto=</v>
      </c>
      <c r="F5186" s="10"/>
      <c r="G5186" s="10" t="str">
        <f ca="1">IFERROR(__xludf.DUMMYFUNCTION("""COMPUTED_VALUE"""),"проф. д.ик.н Гошо Петков, Петя Радева")</f>
        <v>проф. д.ик.н Гошо Петков, Петя Радева</v>
      </c>
      <c r="H5186" s="10"/>
      <c r="I5186" s="10"/>
      <c r="J5186" s="10"/>
      <c r="K5186" s="10"/>
      <c r="L5186" s="10"/>
      <c r="M5186" s="10"/>
      <c r="N5186" s="10"/>
      <c r="O5186" s="10"/>
      <c r="P5186" s="10"/>
      <c r="Q5186" s="10"/>
      <c r="R5186" s="10"/>
      <c r="S5186" s="10"/>
      <c r="T5186" s="10"/>
      <c r="U5186" s="10"/>
      <c r="V5186" s="10"/>
      <c r="W5186" s="10"/>
      <c r="X5186" s="10"/>
      <c r="Y5186" s="10"/>
      <c r="Z5186" s="10"/>
    </row>
    <row r="5187" spans="1:26" ht="12.75">
      <c r="A5187" s="10" t="str">
        <f ca="1">IFERROR(__xludf.DUMMYFUNCTION("""COMPUTED_VALUE"""),"Майяна Милчева Митевска-Енчева")</f>
        <v>Майяна Милчева Митевска-Енчева</v>
      </c>
      <c r="B5187" s="10" t="str">
        <f ca="1">IFERROR(__xludf.DUMMYFUNCTION("""COMPUTED_VALUE"""),"Статия в списания и поредици")</f>
        <v>Статия в списания и поредици</v>
      </c>
      <c r="C5187" s="10" t="str">
        <f ca="1">IFERROR(__xludf.DUMMYFUNCTION("""COMPUTED_VALUE"""),"Етническата толерантност на съвременния българин като фактор на сигурността,")</f>
        <v>Етническата толерантност на съвременния българин като фактор на сигурността,</v>
      </c>
      <c r="D5187" s="10">
        <f ca="1">IFERROR(__xludf.DUMMYFUNCTION("""COMPUTED_VALUE"""),2018)</f>
        <v>2018</v>
      </c>
      <c r="E5187" s="10" t="str">
        <f ca="1">IFERROR(__xludf.DUMMYFUNCTION("""COMPUTED_VALUE"""),"Национален военен университет, В. Търново 14 – 15 юни 2018, T= 5, Научно направление „Сигурност и отбрана“, Изд. компл. На НВУ „В. Левски“, ISSN 1314-1937 http://unicat.nalis.bg/Search/Results?sort=relevance&amp;join=AND&amp;lookfor0%5B%5D=ISSN+1314-1937&amp;type0%5B"&amp;"%5D=AllFields&amp;bool0%5B%5D=AND&amp;illustration=- 1&amp;daterange%5B%5D=publishDate&amp;publishDatefrom=&amp;publishDateto=")</f>
        <v>Национален военен университет, В. Търново 14 – 15 юни 2018, T= 5, Научно направление „Сигурност и отбрана“, Изд. компл. На НВУ „В. Левски“, ISSN 1314-1937 http://unicat.nalis.bg/Search/Results?sort=relevance&amp;join=AND&amp;lookfor0%5B%5D=ISSN+1314-1937&amp;type0%5B%5D=AllFields&amp;bool0%5B%5D=AND&amp;illustration=- 1&amp;daterange%5B%5D=publishDate&amp;publishDatefrom=&amp;publishDateto=</v>
      </c>
      <c r="F5187" s="10"/>
      <c r="G5187" s="10" t="str">
        <f ca="1">IFERROR(__xludf.DUMMYFUNCTION("""COMPUTED_VALUE"""),"проф. д.ик.н Гошо Петков, Владислав Лазаров")</f>
        <v>проф. д.ик.н Гошо Петков, Владислав Лазаров</v>
      </c>
      <c r="H5187" s="10"/>
      <c r="I5187" s="10"/>
      <c r="J5187" s="10"/>
      <c r="K5187" s="10"/>
      <c r="L5187" s="10"/>
      <c r="M5187" s="10"/>
      <c r="N5187" s="10"/>
      <c r="O5187" s="10"/>
      <c r="P5187" s="10"/>
      <c r="Q5187" s="10"/>
      <c r="R5187" s="10"/>
      <c r="S5187" s="10"/>
      <c r="T5187" s="10"/>
      <c r="U5187" s="10"/>
      <c r="V5187" s="10"/>
      <c r="W5187" s="10"/>
      <c r="X5187" s="10"/>
      <c r="Y5187" s="10"/>
      <c r="Z5187" s="10"/>
    </row>
    <row r="5188" spans="1:26" ht="12.75">
      <c r="A5188" s="10" t="str">
        <f ca="1">IFERROR(__xludf.DUMMYFUNCTION("""COMPUTED_VALUE"""),"Майяна Милчева Митевска-Енчева")</f>
        <v>Майяна Милчева Митевска-Енчева</v>
      </c>
      <c r="B5188" s="10" t="str">
        <f ca="1">IFERROR(__xludf.DUMMYFUNCTION("""COMPUTED_VALUE"""),"Монография")</f>
        <v>Монография</v>
      </c>
      <c r="C5188" s="10" t="str">
        <f ca="1">IFERROR(__xludf.DUMMYFUNCTION("""COMPUTED_VALUE"""),"Психология на скритото присъствие")</f>
        <v>Психология на скритото присъствие</v>
      </c>
      <c r="D5188" s="10">
        <f ca="1">IFERROR(__xludf.DUMMYFUNCTION("""COMPUTED_VALUE"""),2017)</f>
        <v>2017</v>
      </c>
      <c r="E5188" s="10" t="str">
        <f ca="1">IFERROR(__xludf.DUMMYFUNCTION("""COMPUTED_VALUE"""),"София, За буквите 2017, 111 с. ISBN 978-619-185-290-1")</f>
        <v>София, За буквите 2017, 111 с. ISBN 978-619-185-290-1</v>
      </c>
      <c r="F5188" s="10"/>
      <c r="G5188" s="10" t="str">
        <f ca="1">IFERROR(__xludf.DUMMYFUNCTION("""COMPUTED_VALUE"""),"проф. д.ик.н Гошо Петков")</f>
        <v>проф. д.ик.н Гошо Петков</v>
      </c>
      <c r="H5188" s="10"/>
      <c r="I5188" s="10"/>
      <c r="J5188" s="10"/>
      <c r="K5188" s="10"/>
      <c r="L5188" s="10"/>
      <c r="M5188" s="10"/>
      <c r="N5188" s="10"/>
      <c r="O5188" s="10"/>
      <c r="P5188" s="10"/>
      <c r="Q5188" s="10"/>
      <c r="R5188" s="10"/>
      <c r="S5188" s="10"/>
      <c r="T5188" s="10"/>
      <c r="U5188" s="10"/>
      <c r="V5188" s="10"/>
      <c r="W5188" s="10"/>
      <c r="X5188" s="10"/>
      <c r="Y5188" s="10"/>
      <c r="Z5188" s="10"/>
    </row>
    <row r="5189" spans="1:26" ht="12.75">
      <c r="A5189" s="10" t="str">
        <f ca="1">IFERROR(__xludf.DUMMYFUNCTION("""COMPUTED_VALUE"""),"Майяна Милчева Митевска-Енчева")</f>
        <v>Майяна Милчева Митевска-Енчева</v>
      </c>
      <c r="B5189" s="10" t="str">
        <f ca="1">IFERROR(__xludf.DUMMYFUNCTION("""COMPUTED_VALUE"""),"Статия в списания и поредици")</f>
        <v>Статия в списания и поредици</v>
      </c>
      <c r="C5189" s="10" t="str">
        <f ca="1">IFERROR(__xludf.DUMMYFUNCTION("""COMPUTED_VALUE"""),"Личностни проекции върху удовлетвореността от живота")</f>
        <v>Личностни проекции върху удовлетвореността от живота</v>
      </c>
      <c r="D5189" s="10">
        <f ca="1">IFERROR(__xludf.DUMMYFUNCTION("""COMPUTED_VALUE"""),2017)</f>
        <v>2017</v>
      </c>
      <c r="E5189" s="10" t="str">
        <f ca="1">IFERROR(__xludf.DUMMYFUNCTION("""COMPUTED_VALUE"""),"Годишна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f>
        <v>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v>
      </c>
      <c r="F5189" s="10"/>
      <c r="G5189" s="10" t="str">
        <f ca="1">IFERROR(__xludf.DUMMYFUNCTION("""COMPUTED_VALUE"""),"проф. д.ик.н Гошо Петков")</f>
        <v>проф. д.ик.н Гошо Петков</v>
      </c>
      <c r="H5189" s="10"/>
      <c r="I5189" s="10"/>
      <c r="J5189" s="10"/>
      <c r="K5189" s="10"/>
      <c r="L5189" s="10"/>
      <c r="M5189" s="10"/>
      <c r="N5189" s="10"/>
      <c r="O5189" s="10"/>
      <c r="P5189" s="10"/>
      <c r="Q5189" s="10"/>
      <c r="R5189" s="10"/>
      <c r="S5189" s="10"/>
      <c r="T5189" s="10"/>
      <c r="U5189" s="10"/>
      <c r="V5189" s="10"/>
      <c r="W5189" s="10"/>
      <c r="X5189" s="10"/>
      <c r="Y5189" s="10"/>
      <c r="Z5189" s="10"/>
    </row>
    <row r="5190" spans="1:26" ht="12.75">
      <c r="A5190" s="10" t="str">
        <f ca="1">IFERROR(__xludf.DUMMYFUNCTION("""COMPUTED_VALUE"""),"Майяна Милчева Митевска-Енчева")</f>
        <v>Майяна Милчева Митевска-Енчева</v>
      </c>
      <c r="B5190" s="10" t="str">
        <f ca="1">IFERROR(__xludf.DUMMYFUNCTION("""COMPUTED_VALUE"""),"Статия в списания и поредици")</f>
        <v>Статия в списания и поредици</v>
      </c>
      <c r="C5190" s="10" t="str">
        <f ca="1">IFERROR(__xludf.DUMMYFUNCTION("""COMPUTED_VALUE"""),"Изборът на кариера като функция на личността")</f>
        <v>Изборът на кариера като функция на личността</v>
      </c>
      <c r="D5190" s="10">
        <f ca="1">IFERROR(__xludf.DUMMYFUNCTION("""COMPUTED_VALUE"""),2017)</f>
        <v>2017</v>
      </c>
      <c r="E5190" s="10" t="str">
        <f ca="1">IFERROR(__xludf.DUMMYFUNCTION("""COMPUTED_VALUE"""),"Годишна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f>
        <v>Годишна международна университетска научна конференция, Национален военен университет „В. Левски“, Шумен, 4 – 6 октомври 2017 Издателски комплекс на НВУ „В. Левски“ ISSN 1314-1937</v>
      </c>
      <c r="F5190" s="10"/>
      <c r="G5190" s="10" t="str">
        <f ca="1">IFERROR(__xludf.DUMMYFUNCTION("""COMPUTED_VALUE"""),"проф. д.ик.н Гошо Петков")</f>
        <v>проф. д.ик.н Гошо Петков</v>
      </c>
      <c r="H5190" s="10"/>
      <c r="I5190" s="10"/>
      <c r="J5190" s="10"/>
      <c r="K5190" s="10"/>
      <c r="L5190" s="10"/>
      <c r="M5190" s="10"/>
      <c r="N5190" s="10"/>
      <c r="O5190" s="10"/>
      <c r="P5190" s="10"/>
      <c r="Q5190" s="10"/>
      <c r="R5190" s="10"/>
      <c r="S5190" s="10"/>
      <c r="T5190" s="10"/>
      <c r="U5190" s="10"/>
      <c r="V5190" s="10"/>
      <c r="W5190" s="10"/>
      <c r="X5190" s="10"/>
      <c r="Y5190" s="10"/>
      <c r="Z5190" s="10"/>
    </row>
    <row r="5191" spans="1:26" ht="12.75">
      <c r="A5191" s="10" t="str">
        <f ca="1">IFERROR(__xludf.DUMMYFUNCTION("""COMPUTED_VALUE"""),"Майяна Милчева Митевска-Енчева")</f>
        <v>Майяна Милчева Митевска-Енчева</v>
      </c>
      <c r="B5191" s="10" t="str">
        <f ca="1">IFERROR(__xludf.DUMMYFUNCTION("""COMPUTED_VALUE"""),"Статия в списания и поредици")</f>
        <v>Статия в списания и поредици</v>
      </c>
      <c r="C5191" s="10" t="str">
        <f ca="1">IFERROR(__xludf.DUMMYFUNCTION("""COMPUTED_VALUE"""),"Дискриминиращите функции на демографските фактори при удовлетвореността от труда")</f>
        <v>Дискриминиращите функции на демографските фактори при удовлетвореността от труда</v>
      </c>
      <c r="D5191" s="10">
        <f ca="1">IFERROR(__xludf.DUMMYFUNCTION("""COMPUTED_VALUE"""),2017)</f>
        <v>2017</v>
      </c>
      <c r="E5191" s="10" t="str">
        <f ca="1">IFERROR(__xludf.DUMMYFUNCTION("""COMPUTED_VALUE"""),"Психологични изследвания. Научно списание по психология. Т. 20, Кн. 2, Септември 2017, с. 347-357, Изд. БАН ИИНЧ Департамент Психология, ISSN 0205-0617 (Print) ISSN 2367-9174 (Online)")</f>
        <v>Психологични изследвания. Научно списание по психология. Т. 20, Кн. 2, Септември 2017, с. 347-357, Изд. БАН ИИНЧ Департамент Психология, ISSN 0205-0617 (Print) ISSN 2367-9174 (Online)</v>
      </c>
      <c r="F5191" s="10"/>
      <c r="G5191" s="10" t="str">
        <f ca="1">IFERROR(__xludf.DUMMYFUNCTION("""COMPUTED_VALUE"""),"проф. д.ик.н Гошо Петков,Емилия Лазарова")</f>
        <v>проф. д.ик.н Гошо Петков,Емилия Лазарова</v>
      </c>
      <c r="H5191" s="10"/>
      <c r="I5191" s="10"/>
      <c r="J5191" s="10"/>
      <c r="K5191" s="10"/>
      <c r="L5191" s="10"/>
      <c r="M5191" s="10"/>
      <c r="N5191" s="10"/>
      <c r="O5191" s="10"/>
      <c r="P5191" s="10"/>
      <c r="Q5191" s="10"/>
      <c r="R5191" s="10"/>
      <c r="S5191" s="10"/>
      <c r="T5191" s="10"/>
      <c r="U5191" s="10"/>
      <c r="V5191" s="10"/>
      <c r="W5191" s="10"/>
      <c r="X5191" s="10"/>
      <c r="Y5191" s="10"/>
      <c r="Z5191" s="10"/>
    </row>
    <row r="5192" spans="1:26" ht="12.75">
      <c r="A5192" s="10" t="str">
        <f ca="1">IFERROR(__xludf.DUMMYFUNCTION("""COMPUTED_VALUE"""),"Майяна Милчева Митевска-Енчева")</f>
        <v>Майяна Милчева Митевска-Енчева</v>
      </c>
      <c r="B5192" s="10" t="str">
        <f ca="1">IFERROR(__xludf.DUMMYFUNCTION("""COMPUTED_VALUE"""),"Монография")</f>
        <v>Монография</v>
      </c>
      <c r="C5192" s="10" t="str">
        <f ca="1">IFERROR(__xludf.DUMMYFUNCTION("""COMPUTED_VALUE"""),"Лидер и лидерство в системата за сигурност")</f>
        <v>Лидер и лидерство в системата за сигурност</v>
      </c>
      <c r="D5192" s="10">
        <f ca="1">IFERROR(__xludf.DUMMYFUNCTION("""COMPUTED_VALUE"""),2017)</f>
        <v>2017</v>
      </c>
      <c r="E5192" s="10" t="str">
        <f ca="1">IFERROR(__xludf.DUMMYFUNCTION("""COMPUTED_VALUE"""),"София, За буквите 2017, 111 с. 117-123, ISBN 978-619-185-284-0")</f>
        <v>София, За буквите 2017, 111 с. 117-123, ISBN 978-619-185-284-0</v>
      </c>
      <c r="F5192" s="10"/>
      <c r="G5192" s="10" t="str">
        <f ca="1">IFERROR(__xludf.DUMMYFUNCTION("""COMPUTED_VALUE"""),"проф. д.ик.н Гошо Петков")</f>
        <v>проф. д.ик.н Гошо Петков</v>
      </c>
      <c r="H5192" s="10"/>
      <c r="I5192" s="10"/>
      <c r="J5192" s="10"/>
      <c r="K5192" s="10"/>
      <c r="L5192" s="10"/>
      <c r="M5192" s="10"/>
      <c r="N5192" s="10"/>
      <c r="O5192" s="10"/>
      <c r="P5192" s="10"/>
      <c r="Q5192" s="10"/>
      <c r="R5192" s="10"/>
      <c r="S5192" s="10"/>
      <c r="T5192" s="10"/>
      <c r="U5192" s="10"/>
      <c r="V5192" s="10"/>
      <c r="W5192" s="10"/>
      <c r="X5192" s="10"/>
      <c r="Y5192" s="10"/>
      <c r="Z5192" s="10"/>
    </row>
    <row r="5193" spans="1:26" ht="12.75">
      <c r="A5193" s="10" t="str">
        <f ca="1">IFERROR(__xludf.DUMMYFUNCTION("""COMPUTED_VALUE"""),"Майяна Милчева Митевска-Енчева")</f>
        <v>Майяна Милчева Митевска-Енчева</v>
      </c>
      <c r="B5193" s="10" t="str">
        <f ca="1">IFERROR(__xludf.DUMMYFUNCTION("""COMPUTED_VALUE"""),"Статия в списания и поредици")</f>
        <v>Статия в списания и поредици</v>
      </c>
      <c r="C5193" s="10" t="str">
        <f ca="1">IFERROR(__xludf.DUMMYFUNCTION("""COMPUTED_VALUE"""),"Влияние на перцепциите на учебната среда върху академичната мотивация;")</f>
        <v>Влияние на перцепциите на учебната среда върху академичната мотивация;</v>
      </c>
      <c r="D5193" s="10">
        <f ca="1">IFERROR(__xludf.DUMMYFUNCTION("""COMPUTED_VALUE"""),2017)</f>
        <v>2017</v>
      </c>
      <c r="E5193" s="10" t="str">
        <f ca="1">IFERROR(__xludf.DUMMYFUNCTION("""COMPUTED_VALUE"""),"Предизвикателства и перспективи пред съвременната психология”, организирана от СУ „Св. Кл. Охридски“, 2-4 юни 2017 г. ISBN 978-954-07-4279-9")</f>
        <v>Предизвикателства и перспективи пред съвременната психология”, организирана от СУ „Св. Кл. Охридски“, 2-4 юни 2017 г. ISBN 978-954-07-4279-9</v>
      </c>
      <c r="F5193" s="10"/>
      <c r="G5193" s="10" t="str">
        <f ca="1">IFERROR(__xludf.DUMMYFUNCTION("""COMPUTED_VALUE"""),"проф. д.ик.н Гошо Петков, Емилия Лазарова")</f>
        <v>проф. д.ик.н Гошо Петков, Емилия Лазарова</v>
      </c>
      <c r="H5193" s="10"/>
      <c r="I5193" s="10"/>
      <c r="J5193" s="10"/>
      <c r="K5193" s="10"/>
      <c r="L5193" s="10"/>
      <c r="M5193" s="10"/>
      <c r="N5193" s="10"/>
      <c r="O5193" s="10"/>
      <c r="P5193" s="10"/>
      <c r="Q5193" s="10"/>
      <c r="R5193" s="10"/>
      <c r="S5193" s="10"/>
      <c r="T5193" s="10"/>
      <c r="U5193" s="10"/>
      <c r="V5193" s="10"/>
      <c r="W5193" s="10"/>
      <c r="X5193" s="10"/>
      <c r="Y5193" s="10"/>
      <c r="Z5193" s="10"/>
    </row>
    <row r="5194" spans="1:26" ht="12.75">
      <c r="A5194" s="10" t="str">
        <f ca="1">IFERROR(__xludf.DUMMYFUNCTION("""COMPUTED_VALUE"""),"Майяна Милчева Митевска-Енчева")</f>
        <v>Майяна Милчева Митевска-Енчева</v>
      </c>
      <c r="B5194" s="10" t="str">
        <f ca="1">IFERROR(__xludf.DUMMYFUNCTION("""COMPUTED_VALUE"""),"Статия в списания и поредици")</f>
        <v>Статия в списания и поредици</v>
      </c>
      <c r="C5194" s="10" t="str">
        <f ca="1">IFERROR(__xludf.DUMMYFUNCTION("""COMPUTED_VALUE"""),"Ефекти на демографските показатели върху лидерските стилове в организациите")</f>
        <v>Ефекти на демографските показатели върху лидерските стилове в организациите</v>
      </c>
      <c r="D5194" s="10">
        <f ca="1">IFERROR(__xludf.DUMMYFUNCTION("""COMPUTED_VALUE"""),2017)</f>
        <v>2017</v>
      </c>
      <c r="E5194" s="10" t="str">
        <f ca="1">IFERROR(__xludf.DUMMYFUNCTION("""COMPUTED_VALUE"""),"Предизвикателства и перспективи пред съвременната психология”, организирана от СУ „Св. Кл. Охридски“, 2-4 юни 2017 г. ISBN 978-954-07-4279-9")</f>
        <v>Предизвикателства и перспективи пред съвременната психология”, организирана от СУ „Св. Кл. Охридски“, 2-4 юни 2017 г. ISBN 978-954-07-4279-9</v>
      </c>
      <c r="F5194" s="10"/>
      <c r="G5194" s="10" t="str">
        <f ca="1">IFERROR(__xludf.DUMMYFUNCTION("""COMPUTED_VALUE"""),"Бистра Атанасова")</f>
        <v>Бистра Атанасова</v>
      </c>
      <c r="H5194" s="10"/>
      <c r="I5194" s="10"/>
      <c r="J5194" s="10"/>
      <c r="K5194" s="10"/>
      <c r="L5194" s="10"/>
      <c r="M5194" s="10"/>
      <c r="N5194" s="10"/>
      <c r="O5194" s="10"/>
      <c r="P5194" s="10"/>
      <c r="Q5194" s="10"/>
      <c r="R5194" s="10"/>
      <c r="S5194" s="10"/>
      <c r="T5194" s="10"/>
      <c r="U5194" s="10"/>
      <c r="V5194" s="10"/>
      <c r="W5194" s="10"/>
      <c r="X5194" s="10"/>
      <c r="Y5194" s="10"/>
      <c r="Z5194" s="10"/>
    </row>
    <row r="5195" spans="1:26" ht="12.75">
      <c r="A5195" s="10" t="str">
        <f ca="1">IFERROR(__xludf.DUMMYFUNCTION("""COMPUTED_VALUE"""),"Майяна Милчева Митевска-Енчева")</f>
        <v>Майяна Милчева Митевска-Енчева</v>
      </c>
      <c r="B5195" s="10" t="str">
        <f ca="1">IFERROR(__xludf.DUMMYFUNCTION("""COMPUTED_VALUE"""),"Статия в списания и поредици")</f>
        <v>Статия в списания и поредици</v>
      </c>
      <c r="C5195" s="10" t="str">
        <f ca="1">IFERROR(__xludf.DUMMYFUNCTION("""COMPUTED_VALUE"""),"Различия във видовете организационна култура в иновативен клъстер и неклъстерни организации")</f>
        <v>Различия във видовете организационна култура в иновативен клъстер и неклъстерни организации</v>
      </c>
      <c r="D5195" s="10">
        <f ca="1">IFERROR(__xludf.DUMMYFUNCTION("""COMPUTED_VALUE"""),2017)</f>
        <v>2017</v>
      </c>
      <c r="E5195" s="10" t="str">
        <f ca="1">IFERROR(__xludf.DUMMYFUNCTION("""COMPUTED_VALUE"""),"Научни трудове на Университета по библиотекознание и информационни технологии ISSN 1314-2623. – T. 9 (2011), s. 403-413")</f>
        <v>Научни трудове на Университета по библиотекознание и информационни технологии ISSN 1314-2623. – T. 9 (2011), s. 403-413</v>
      </c>
      <c r="F5195" s="10"/>
      <c r="G5195" s="10"/>
      <c r="H5195" s="10"/>
      <c r="I5195" s="10"/>
      <c r="J5195" s="10"/>
      <c r="K5195" s="10"/>
      <c r="L5195" s="10"/>
      <c r="M5195" s="10"/>
      <c r="N5195" s="10"/>
      <c r="O5195" s="10"/>
      <c r="P5195" s="10"/>
      <c r="Q5195" s="10"/>
      <c r="R5195" s="10"/>
      <c r="S5195" s="10"/>
      <c r="T5195" s="10"/>
      <c r="U5195" s="10"/>
      <c r="V5195" s="10"/>
      <c r="W5195" s="10"/>
      <c r="X5195" s="10"/>
      <c r="Y5195" s="10"/>
      <c r="Z5195" s="10"/>
    </row>
    <row r="5196" spans="1:26" ht="12.75">
      <c r="A5196" s="10" t="str">
        <f ca="1">IFERROR(__xludf.DUMMYFUNCTION("""COMPUTED_VALUE"""),"Майяна Милчева Митевска-Енчева")</f>
        <v>Майяна Милчева Митевска-Енчева</v>
      </c>
      <c r="B5196" s="10" t="str">
        <f ca="1">IFERROR(__xludf.DUMMYFUNCTION("""COMPUTED_VALUE"""),"Учебник")</f>
        <v>Учебник</v>
      </c>
      <c r="C5196" s="10" t="str">
        <f ca="1">IFERROR(__xludf.DUMMYFUNCTION("""COMPUTED_VALUE"""),"Организационна и бизнес психология")</f>
        <v>Организационна и бизнес психология</v>
      </c>
      <c r="D5196" s="10">
        <f ca="1">IFERROR(__xludf.DUMMYFUNCTION("""COMPUTED_VALUE"""),2017)</f>
        <v>2017</v>
      </c>
      <c r="E5196" s="10" t="str">
        <f ca="1">IFERROR(__xludf.DUMMYFUNCTION("""COMPUTED_VALUE"""),"София, За буквите 2017, 334 с. ISBN 978-619-185-277-2.")</f>
        <v>София, За буквите 2017, 334 с. ISBN 978-619-185-277-2.</v>
      </c>
      <c r="F5196" s="10"/>
      <c r="G5196" s="10"/>
      <c r="H5196" s="10"/>
      <c r="I5196" s="10"/>
      <c r="J5196" s="10"/>
      <c r="K5196" s="10"/>
      <c r="L5196" s="10"/>
      <c r="M5196" s="10"/>
      <c r="N5196" s="10"/>
      <c r="O5196" s="10"/>
      <c r="P5196" s="10"/>
      <c r="Q5196" s="10"/>
      <c r="R5196" s="10"/>
      <c r="S5196" s="10"/>
      <c r="T5196" s="10"/>
      <c r="U5196" s="10"/>
      <c r="V5196" s="10"/>
      <c r="W5196" s="10"/>
      <c r="X5196" s="10"/>
      <c r="Y5196" s="10"/>
      <c r="Z5196" s="10"/>
    </row>
    <row r="5197" spans="1:26" ht="12.75">
      <c r="A5197" s="10" t="str">
        <f ca="1">IFERROR(__xludf.DUMMYFUNCTION("""COMPUTED_VALUE"""),"Майяна Милчева Митевска-Енчева")</f>
        <v>Майяна Милчева Митевска-Енчева</v>
      </c>
      <c r="B5197" s="10" t="str">
        <f ca="1">IFERROR(__xludf.DUMMYFUNCTION("""COMPUTED_VALUE"""),"Статия в списания и поредици")</f>
        <v>Статия в списания и поредици</v>
      </c>
      <c r="C5197" s="10" t="str">
        <f ca="1">IFERROR(__xludf.DUMMYFUNCTION("""COMPUTED_VALUE"""),"The reasons“ for leadership efficiency in Bulgarian universities")</f>
        <v>The reasons“ for leadership efficiency in Bulgarian universities</v>
      </c>
      <c r="D5197" s="10">
        <f ca="1">IFERROR(__xludf.DUMMYFUNCTION("""COMPUTED_VALUE"""),2017)</f>
        <v>2017</v>
      </c>
      <c r="E5197" s="10" t="str">
        <f ca="1">IFERROR(__xludf.DUMMYFUNCTION("""COMPUTED_VALUE"""),"The Macrotheme Review Vol 6 Issue 1, 2017. E-ISSN 1848-4735 ISSN 2379-9765 http://macrotheme.com/yahoo_site_admin/assets/docs/1MR61Pe.297130637.pdf")</f>
        <v>The Macrotheme Review Vol 6 Issue 1, 2017. E-ISSN 1848-4735 ISSN 2379-9765 http://macrotheme.com/yahoo_site_admin/assets/docs/1MR61Pe.297130637.pdf</v>
      </c>
      <c r="F5197" s="10"/>
      <c r="G5197" s="10" t="str">
        <f ca="1">IFERROR(__xludf.DUMMYFUNCTION("""COMPUTED_VALUE"""),"Prof. DSc. Gosho Kirilov Petkov , Ph.D.")</f>
        <v>Prof. DSc. Gosho Kirilov Petkov , Ph.D.</v>
      </c>
      <c r="H5197" s="10"/>
      <c r="I5197" s="10"/>
      <c r="J5197" s="10"/>
      <c r="K5197" s="10"/>
      <c r="L5197" s="10"/>
      <c r="M5197" s="10"/>
      <c r="N5197" s="10"/>
      <c r="O5197" s="10"/>
      <c r="P5197" s="10"/>
      <c r="Q5197" s="10"/>
      <c r="R5197" s="10"/>
      <c r="S5197" s="10"/>
      <c r="T5197" s="10"/>
      <c r="U5197" s="10"/>
      <c r="V5197" s="10"/>
      <c r="W5197" s="10"/>
      <c r="X5197" s="10"/>
      <c r="Y5197" s="10"/>
      <c r="Z5197" s="10"/>
    </row>
    <row r="5198" spans="1:26" ht="12.75">
      <c r="A5198" s="10" t="str">
        <f ca="1">IFERROR(__xludf.DUMMYFUNCTION("""COMPUTED_VALUE"""),"Майяна Милчева Митевска-Енчева")</f>
        <v>Майяна Милчева Митевска-Енчева</v>
      </c>
      <c r="B5198" s="10" t="str">
        <f ca="1">IFERROR(__xludf.DUMMYFUNCTION("""COMPUTED_VALUE"""),"Доклад от конференция")</f>
        <v>Доклад от конференция</v>
      </c>
      <c r="C5198" s="10" t="str">
        <f ca="1">IFERROR(__xludf.DUMMYFUNCTION("""COMPUTED_VALUE"""),"Empirical verification of model for academic motivation")</f>
        <v>Empirical verification of model for academic motivation</v>
      </c>
      <c r="D5198" s="10">
        <f ca="1">IFERROR(__xludf.DUMMYFUNCTION("""COMPUTED_VALUE"""),2017)</f>
        <v>2017</v>
      </c>
      <c r="E5198" s="10" t="str">
        <f ca="1">IFERROR(__xludf.DUMMYFUNCTION("""COMPUTED_VALUE"""),"Eighth Congress of Psychology, Sofia / Bulgaria, November 2017. ISBN 978-619-90965-1-2")</f>
        <v>Eighth Congress of Psychology, Sofia / Bulgaria, November 2017. ISBN 978-619-90965-1-2</v>
      </c>
      <c r="F5198" s="10"/>
      <c r="G5198" s="10" t="str">
        <f ca="1">IFERROR(__xludf.DUMMYFUNCTION("""COMPUTED_VALUE"""),"P. Radeva")</f>
        <v>P. Radeva</v>
      </c>
      <c r="H5198" s="10"/>
      <c r="I5198" s="10"/>
      <c r="J5198" s="10"/>
      <c r="K5198" s="10"/>
      <c r="L5198" s="10"/>
      <c r="M5198" s="10"/>
      <c r="N5198" s="10"/>
      <c r="O5198" s="10"/>
      <c r="P5198" s="10"/>
      <c r="Q5198" s="10"/>
      <c r="R5198" s="10"/>
      <c r="S5198" s="10"/>
      <c r="T5198" s="10"/>
      <c r="U5198" s="10"/>
      <c r="V5198" s="10"/>
      <c r="W5198" s="10"/>
      <c r="X5198" s="10"/>
      <c r="Y5198" s="10"/>
      <c r="Z5198" s="10"/>
    </row>
    <row r="5199" spans="1:26" ht="12.75">
      <c r="A5199" s="10" t="str">
        <f ca="1">IFERROR(__xludf.DUMMYFUNCTION("""COMPUTED_VALUE"""),"Майяна Милчева Митевска-Енчева")</f>
        <v>Майяна Милчева Митевска-Енчева</v>
      </c>
      <c r="B5199" s="10" t="str">
        <f ca="1">IFERROR(__xludf.DUMMYFUNCTION("""COMPUTED_VALUE"""),"Статия в списания и поредици")</f>
        <v>Статия в списания и поредици</v>
      </c>
      <c r="C5199" s="10" t="str">
        <f ca="1">IFERROR(__xludf.DUMMYFUNCTION("""COMPUTED_VALUE"""),"Влияние на типовете култура върху лидерските стилове в бизнес организации")</f>
        <v>Влияние на типовете култура върху лидерските стилове в бизнес организации</v>
      </c>
      <c r="D5199" s="10">
        <f ca="1">IFERROR(__xludf.DUMMYFUNCTION("""COMPUTED_VALUE"""),2017)</f>
        <v>2017</v>
      </c>
      <c r="E5199" s="10" t="str">
        <f ca="1">IFERROR(__xludf.DUMMYFUNCTION("""COMPUTED_VALUE"""),"Национална научна конференция с международно участие, VI: България – кръстопът на култури и цивилизации, С., 1 ноември 2016 ISSN 1314-7019")</f>
        <v>Национална научна конференция с международно участие, VI: България – кръстопът на култури и цивилизации, С., 1 ноември 2016 ISSN 1314-7019</v>
      </c>
      <c r="F5199" s="10"/>
      <c r="G5199" s="10" t="str">
        <f ca="1">IFERROR(__xludf.DUMMYFUNCTION("""COMPUTED_VALUE"""),"Бистра Атанасова")</f>
        <v>Бистра Атанасова</v>
      </c>
      <c r="H5199" s="10"/>
      <c r="I5199" s="10"/>
      <c r="J5199" s="10"/>
      <c r="K5199" s="10"/>
      <c r="L5199" s="10"/>
      <c r="M5199" s="10"/>
      <c r="N5199" s="10"/>
      <c r="O5199" s="10"/>
      <c r="P5199" s="10"/>
      <c r="Q5199" s="10"/>
      <c r="R5199" s="10"/>
      <c r="S5199" s="10"/>
      <c r="T5199" s="10"/>
      <c r="U5199" s="10"/>
      <c r="V5199" s="10"/>
      <c r="W5199" s="10"/>
      <c r="X5199" s="10"/>
      <c r="Y5199" s="10"/>
      <c r="Z5199" s="10"/>
    </row>
    <row r="5200" spans="1:26" ht="12.75">
      <c r="A5200" s="10" t="str">
        <f ca="1">IFERROR(__xludf.DUMMYFUNCTION("""COMPUTED_VALUE"""),"Майяна Милчева Митевска-Енчева")</f>
        <v>Майяна Милчева Митевска-Енчева</v>
      </c>
      <c r="B5200" s="10" t="str">
        <f ca="1">IFERROR(__xludf.DUMMYFUNCTION("""COMPUTED_VALUE"""),"Статия в списания и поредици")</f>
        <v>Статия в списания и поредици</v>
      </c>
      <c r="C5200" s="10" t="str">
        <f ca="1">IFERROR(__xludf.DUMMYFUNCTION("""COMPUTED_VALUE"""),"Дискриминиращи функции на демографските променливи при удовлетвореността от труда")</f>
        <v>Дискриминиращи функции на демографските променливи при удовлетвореността от труда</v>
      </c>
      <c r="D5200" s="10">
        <f ca="1">IFERROR(__xludf.DUMMYFUNCTION("""COMPUTED_VALUE"""),2017)</f>
        <v>2017</v>
      </c>
      <c r="E5200" s="10" t="str">
        <f ca="1">IFERROR(__xludf.DUMMYFUNCTION("""COMPUTED_VALUE"""),"„Психичното благополучие на човека – фактори на влияние” Институт за изследване на населението и човека – БАН, 27-29 май 2017 г. Психологични изследвания, т. 20, кн. 2, Септември 2017, с. 347-357 ISSN 0205-0617 (Print), ISSN 2367-9174 (Online)")</f>
        <v>„Психичното благополучие на човека – фактори на влияние” Институт за изследване на населението и човека – БАН, 27-29 май 2017 г. Психологични изследвания, т. 20, кн. 2, Септември 2017, с. 347-357 ISSN 0205-0617 (Print), ISSN 2367-9174 (Online)</v>
      </c>
      <c r="F5200" s="10"/>
      <c r="G5200" s="10" t="str">
        <f ca="1">IFERROR(__xludf.DUMMYFUNCTION("""COMPUTED_VALUE"""),"проф. д.ик.н Гошо Петков,Емилия Лазарова")</f>
        <v>проф. д.ик.н Гошо Петков,Емилия Лазарова</v>
      </c>
      <c r="H5200" s="10"/>
      <c r="I5200" s="10"/>
      <c r="J5200" s="10"/>
      <c r="K5200" s="10"/>
      <c r="L5200" s="10"/>
      <c r="M5200" s="10"/>
      <c r="N5200" s="10"/>
      <c r="O5200" s="10"/>
      <c r="P5200" s="10"/>
      <c r="Q5200" s="10"/>
      <c r="R5200" s="10"/>
      <c r="S5200" s="10"/>
      <c r="T5200" s="10"/>
      <c r="U5200" s="10"/>
      <c r="V5200" s="10"/>
      <c r="W5200" s="10"/>
      <c r="X5200" s="10"/>
      <c r="Y5200" s="10"/>
      <c r="Z5200" s="10"/>
    </row>
    <row r="5201" spans="1:26" ht="12.75">
      <c r="A5201" s="10" t="str">
        <f ca="1">IFERROR(__xludf.DUMMYFUNCTION("""COMPUTED_VALUE"""),"Майяна Милчева Митевска-Енчева")</f>
        <v>Майяна Милчева Митевска-Енчева</v>
      </c>
      <c r="B5201" s="10" t="str">
        <f ca="1">IFERROR(__xludf.DUMMYFUNCTION("""COMPUTED_VALUE"""),"Статия в списания и поредици")</f>
        <v>Статия в списания и поредици</v>
      </c>
      <c r="C5201" s="10" t="str">
        <f ca="1">IFERROR(__xludf.DUMMYFUNCTION("""COMPUTED_VALUE"""),"Академичната мотивация – ключов фактор при избора на кариера")</f>
        <v>Академичната мотивация – ключов фактор при избора на кариера</v>
      </c>
      <c r="D5201" s="10">
        <f ca="1">IFERROR(__xludf.DUMMYFUNCTION("""COMPUTED_VALUE"""),2017)</f>
        <v>2017</v>
      </c>
      <c r="E5201" s="10" t="str">
        <f ca="1">IFERROR(__xludf.DUMMYFUNCTION("""COMPUTED_VALUE"""),"16-та международна научна конференция на тема: „Приложната психология: възможности и перспективи”, Варна 23-25 юни 2017г., с. 470-482. ISSN 1314-0507")</f>
        <v>16-та международна научна конференция на тема: „Приложната психология: възможности и перспективи”, Варна 23-25 юни 2017г., с. 470-482. ISSN 1314-0507</v>
      </c>
      <c r="F5201" s="10"/>
      <c r="G5201" s="10"/>
      <c r="H5201" s="10"/>
      <c r="I5201" s="10"/>
      <c r="J5201" s="10"/>
      <c r="K5201" s="10"/>
      <c r="L5201" s="10"/>
      <c r="M5201" s="10"/>
      <c r="N5201" s="10"/>
      <c r="O5201" s="10"/>
      <c r="P5201" s="10"/>
      <c r="Q5201" s="10"/>
      <c r="R5201" s="10"/>
      <c r="S5201" s="10"/>
      <c r="T5201" s="10"/>
      <c r="U5201" s="10"/>
      <c r="V5201" s="10"/>
      <c r="W5201" s="10"/>
      <c r="X5201" s="10"/>
      <c r="Y5201" s="10"/>
      <c r="Z5201" s="10"/>
    </row>
    <row r="5202" spans="1:26" ht="12.75">
      <c r="A5202" s="10" t="str">
        <f ca="1">IFERROR(__xludf.DUMMYFUNCTION("""COMPUTED_VALUE"""),"Майяна Милчева Митевска-Енчева")</f>
        <v>Майяна Милчева Митевска-Енчева</v>
      </c>
      <c r="B5202" s="10" t="str">
        <f ca="1">IFERROR(__xludf.DUMMYFUNCTION("""COMPUTED_VALUE"""),"Доклад от конференция")</f>
        <v>Доклад от конференция</v>
      </c>
      <c r="C5202" s="10" t="str">
        <f ca="1">IFERROR(__xludf.DUMMYFUNCTION("""COMPUTED_VALUE"""),"Психологически особености при възприемането на рекламата")</f>
        <v>Психологически особености при възприемането на рекламата</v>
      </c>
      <c r="D5202" s="10">
        <f ca="1">IFERROR(__xludf.DUMMYFUNCTION("""COMPUTED_VALUE"""),2017)</f>
        <v>2017</v>
      </c>
      <c r="E5202" s="10" t="str">
        <f ca="1">IFERROR(__xludf.DUMMYFUNCTION("""COMPUTED_VALUE"""),"Международна научна конференция „Предизвикателства и перспективи пред съвременната психология“, София, България, 2-4 юни 2017 г. ISВN 978-954-07-4277-9")</f>
        <v>Международна научна конференция „Предизвикателства и перспективи пред съвременната психология“, София, България, 2-4 юни 2017 г. ISВN 978-954-07-4277-9</v>
      </c>
      <c r="F5202" s="10"/>
      <c r="G5202" s="10"/>
      <c r="H5202" s="10"/>
      <c r="I5202" s="10"/>
      <c r="J5202" s="10"/>
      <c r="K5202" s="10"/>
      <c r="L5202" s="10"/>
      <c r="M5202" s="10"/>
      <c r="N5202" s="10"/>
      <c r="O5202" s="10"/>
      <c r="P5202" s="10"/>
      <c r="Q5202" s="10"/>
      <c r="R5202" s="10"/>
      <c r="S5202" s="10"/>
      <c r="T5202" s="10"/>
      <c r="U5202" s="10"/>
      <c r="V5202" s="10"/>
      <c r="W5202" s="10"/>
      <c r="X5202" s="10"/>
      <c r="Y5202" s="10"/>
      <c r="Z5202" s="10"/>
    </row>
    <row r="5203" spans="1:26" ht="12.75">
      <c r="A5203" s="10" t="str">
        <f ca="1">IFERROR(__xludf.DUMMYFUNCTION("""COMPUTED_VALUE"""),"Майяна Милчева Митевска-Енчева")</f>
        <v>Майяна Милчева Митевска-Енчева</v>
      </c>
      <c r="B5203" s="10" t="str">
        <f ca="1">IFERROR(__xludf.DUMMYFUNCTION("""COMPUTED_VALUE"""),"Статия в списания и поредици")</f>
        <v>Статия в списания и поредици</v>
      </c>
      <c r="C5203" s="10" t="str">
        <f ca="1">IFERROR(__xludf.DUMMYFUNCTION("""COMPUTED_VALUE"""),"Междукултурни различия в лидерските стилове /Гърция и България/")</f>
        <v>Междукултурни различия в лидерските стилове /Гърция и България/</v>
      </c>
      <c r="D5203" s="10">
        <f ca="1">IFERROR(__xludf.DUMMYFUNCTION("""COMPUTED_VALUE"""),2017)</f>
        <v>2017</v>
      </c>
      <c r="E5203" s="10" t="str">
        <f ca="1">IFERROR(__xludf.DUMMYFUNCTION("""COMPUTED_VALUE"""),"Международна научна конференция на тема: Трансгранична сътрудничество, сигурност и перспективи – 2017“, ВТУ, 16.11. – 17.11.2017")</f>
        <v>Международна научна конференция на тема: Трансгранична сътрудничество, сигурност и перспективи – 2017“, ВТУ, 16.11. – 17.11.2017</v>
      </c>
      <c r="F5203" s="10"/>
      <c r="G5203" s="10" t="str">
        <f ca="1">IFERROR(__xludf.DUMMYFUNCTION("""COMPUTED_VALUE"""),"Бистра Атанасова")</f>
        <v>Бистра Атанасова</v>
      </c>
      <c r="H5203" s="10"/>
      <c r="I5203" s="10"/>
      <c r="J5203" s="10"/>
      <c r="K5203" s="10"/>
      <c r="L5203" s="10"/>
      <c r="M5203" s="10"/>
      <c r="N5203" s="10"/>
      <c r="O5203" s="10"/>
      <c r="P5203" s="10"/>
      <c r="Q5203" s="10"/>
      <c r="R5203" s="10"/>
      <c r="S5203" s="10"/>
      <c r="T5203" s="10"/>
      <c r="U5203" s="10"/>
      <c r="V5203" s="10"/>
      <c r="W5203" s="10"/>
      <c r="X5203" s="10"/>
      <c r="Y5203" s="10"/>
      <c r="Z5203" s="10"/>
    </row>
    <row r="5204" spans="1:26" ht="12.75">
      <c r="A5204" s="10" t="str">
        <f ca="1">IFERROR(__xludf.DUMMYFUNCTION("""COMPUTED_VALUE"""),"Майяна Милчева Митевска-Енчева")</f>
        <v>Майяна Милчева Митевска-Енчева</v>
      </c>
      <c r="B5204" s="10" t="str">
        <f ca="1">IFERROR(__xludf.DUMMYFUNCTION("""COMPUTED_VALUE"""),"Статия в списания и поредици")</f>
        <v>Статия в списания и поредици</v>
      </c>
      <c r="C5204" s="10" t="str">
        <f ca="1">IFERROR(__xludf.DUMMYFUNCTION("""COMPUTED_VALUE"""),"Interrelations between personal qualities, leadership styles and cultural practices in bulgarian universities")</f>
        <v>Interrelations between personal qualities, leadership styles and cultural practices in bulgarian universities</v>
      </c>
      <c r="D5204" s="10">
        <f ca="1">IFERROR(__xludf.DUMMYFUNCTION("""COMPUTED_VALUE"""),2017)</f>
        <v>2017</v>
      </c>
      <c r="E5204" s="10" t="str">
        <f ca="1">IFERROR(__xludf.DUMMYFUNCTION("""COMPUTED_VALUE"""),"Ниш, ноем. 2017, 101 – 109")</f>
        <v>Ниш, ноем. 2017, 101 – 109</v>
      </c>
      <c r="F5204" s="10"/>
      <c r="G5204" s="10" t="str">
        <f ca="1">IFERROR(__xludf.DUMMYFUNCTION("""COMPUTED_VALUE"""),"проф. д.ик.н Гошо Петков")</f>
        <v>проф. д.ик.н Гошо Петков</v>
      </c>
      <c r="H5204" s="10"/>
      <c r="I5204" s="10"/>
      <c r="J5204" s="10"/>
      <c r="K5204" s="10"/>
      <c r="L5204" s="10"/>
      <c r="M5204" s="10"/>
      <c r="N5204" s="10"/>
      <c r="O5204" s="10"/>
      <c r="P5204" s="10"/>
      <c r="Q5204" s="10"/>
      <c r="R5204" s="10"/>
      <c r="S5204" s="10"/>
      <c r="T5204" s="10"/>
      <c r="U5204" s="10"/>
      <c r="V5204" s="10"/>
      <c r="W5204" s="10"/>
      <c r="X5204" s="10"/>
      <c r="Y5204" s="10"/>
      <c r="Z5204" s="10"/>
    </row>
    <row r="5205" spans="1:26" ht="12.75">
      <c r="A5205" s="10" t="str">
        <f ca="1">IFERROR(__xludf.DUMMYFUNCTION("""COMPUTED_VALUE"""),"Майяна Милчева Митевска-Енчева")</f>
        <v>Майяна Милчева Митевска-Енчева</v>
      </c>
      <c r="B5205" s="10" t="str">
        <f ca="1">IFERROR(__xludf.DUMMYFUNCTION("""COMPUTED_VALUE"""),"Статия в списания и поредици")</f>
        <v>Статия в списания и поредици</v>
      </c>
      <c r="C5205" s="10" t="str">
        <f ca="1">IFERROR(__xludf.DUMMYFUNCTION("""COMPUTED_VALUE"""),"Мотивация за учене – отражение на кариерните предпочитания")</f>
        <v>Мотивация за учене – отражение на кариерните предпочитания</v>
      </c>
      <c r="D5205" s="10">
        <f ca="1">IFERROR(__xludf.DUMMYFUNCTION("""COMPUTED_VALUE"""),2017)</f>
        <v>2017</v>
      </c>
      <c r="E5205" s="10" t="str">
        <f ca="1">IFERROR(__xludf.DUMMYFUNCTION("""COMPUTED_VALUE"""),"Юридически сборник, т. 24, ISSN 1311-3771, с. 238-246")</f>
        <v>Юридически сборник, т. 24, ISSN 1311-3771, с. 238-246</v>
      </c>
      <c r="F5205" s="10"/>
      <c r="G5205" s="10" t="str">
        <f ca="1">IFERROR(__xludf.DUMMYFUNCTION("""COMPUTED_VALUE"""),"проф. д.ик.н Гошо Петков, Емилия Лазарова")</f>
        <v>проф. д.ик.н Гошо Петков, Емилия Лазарова</v>
      </c>
      <c r="H5205" s="10"/>
      <c r="I5205" s="10"/>
      <c r="J5205" s="10"/>
      <c r="K5205" s="10"/>
      <c r="L5205" s="10"/>
      <c r="M5205" s="10"/>
      <c r="N5205" s="10"/>
      <c r="O5205" s="10"/>
      <c r="P5205" s="10"/>
      <c r="Q5205" s="10"/>
      <c r="R5205" s="10"/>
      <c r="S5205" s="10"/>
      <c r="T5205" s="10"/>
      <c r="U5205" s="10"/>
      <c r="V5205" s="10"/>
      <c r="W5205" s="10"/>
      <c r="X5205" s="10"/>
      <c r="Y5205" s="10"/>
      <c r="Z5205" s="10"/>
    </row>
    <row r="5206" spans="1:26" ht="12.75">
      <c r="A5206" s="10" t="str">
        <f ca="1">IFERROR(__xludf.DUMMYFUNCTION("""COMPUTED_VALUE"""),"Майяна Милчева Митевска-Енчева")</f>
        <v>Майяна Милчева Митевска-Енчева</v>
      </c>
      <c r="B5206" s="10" t="str">
        <f ca="1">IFERROR(__xludf.DUMMYFUNCTION("""COMPUTED_VALUE"""),"Статия в списания и поредици")</f>
        <v>Статия в списания и поредици</v>
      </c>
      <c r="C5206" s="10" t="str">
        <f ca="1">IFERROR(__xludf.DUMMYFUNCTION("""COMPUTED_VALUE"""),"Личността като предиктор на избора на кариера и на мотивацията за учене")</f>
        <v>Личността като предиктор на избора на кариера и на мотивацията за учене</v>
      </c>
      <c r="D5206" s="10">
        <f ca="1">IFERROR(__xludf.DUMMYFUNCTION("""COMPUTED_VALUE"""),2017)</f>
        <v>2017</v>
      </c>
      <c r="E5206" s="10" t="str">
        <f ca="1">IFERROR(__xludf.DUMMYFUNCTION("""COMPUTED_VALUE"""),"НВУ Велико Търново, 26.10 – 28.10.2017, ISSN 1314-1937")</f>
        <v>НВУ Велико Търново, 26.10 – 28.10.2017, ISSN 1314-1937</v>
      </c>
      <c r="F5206" s="10"/>
      <c r="G5206" s="10"/>
      <c r="H5206" s="10"/>
      <c r="I5206" s="10"/>
      <c r="J5206" s="10"/>
      <c r="K5206" s="10"/>
      <c r="L5206" s="10"/>
      <c r="M5206" s="10"/>
      <c r="N5206" s="10"/>
      <c r="O5206" s="10"/>
      <c r="P5206" s="10"/>
      <c r="Q5206" s="10"/>
      <c r="R5206" s="10"/>
      <c r="S5206" s="10"/>
      <c r="T5206" s="10"/>
      <c r="U5206" s="10"/>
      <c r="V5206" s="10"/>
      <c r="W5206" s="10"/>
      <c r="X5206" s="10"/>
      <c r="Y5206" s="10"/>
      <c r="Z5206" s="10"/>
    </row>
    <row r="5207" spans="1:26" ht="12.75">
      <c r="A5207" s="10" t="str">
        <f ca="1">IFERROR(__xludf.DUMMYFUNCTION("""COMPUTED_VALUE"""),"Майяна Милчева Митевска-Енчева")</f>
        <v>Майяна Милчева Митевска-Енчева</v>
      </c>
      <c r="B5207" s="10" t="str">
        <f ca="1">IFERROR(__xludf.DUMMYFUNCTION("""COMPUTED_VALUE"""),"Монография")</f>
        <v>Монография</v>
      </c>
      <c r="C5207" s="10" t="str">
        <f ca="1">IFERROR(__xludf.DUMMYFUNCTION("""COMPUTED_VALUE"""),"Академична мотивация – съвременни измерения")</f>
        <v>Академична мотивация – съвременни измерения</v>
      </c>
      <c r="D5207" s="10">
        <f ca="1">IFERROR(__xludf.DUMMYFUNCTION("""COMPUTED_VALUE"""),2017)</f>
        <v>2017</v>
      </c>
      <c r="E5207" s="10" t="str">
        <f ca="1">IFERROR(__xludf.DUMMYFUNCTION("""COMPUTED_VALUE"""),"София, За буквите 2017, 203 с. ISBN 978-619-185-279-6")</f>
        <v>София, За буквите 2017, 203 с. ISBN 978-619-185-279-6</v>
      </c>
      <c r="F5207" s="10"/>
      <c r="G5207" s="10" t="str">
        <f ca="1">IFERROR(__xludf.DUMMYFUNCTION("""COMPUTED_VALUE"""),"проф. д.ик.н Гошо Петков")</f>
        <v>проф. д.ик.н Гошо Петков</v>
      </c>
      <c r="H5207" s="10"/>
      <c r="I5207" s="10"/>
      <c r="J5207" s="10"/>
      <c r="K5207" s="10"/>
      <c r="L5207" s="10"/>
      <c r="M5207" s="10"/>
      <c r="N5207" s="10"/>
      <c r="O5207" s="10"/>
      <c r="P5207" s="10"/>
      <c r="Q5207" s="10"/>
      <c r="R5207" s="10"/>
      <c r="S5207" s="10"/>
      <c r="T5207" s="10"/>
      <c r="U5207" s="10"/>
      <c r="V5207" s="10"/>
      <c r="W5207" s="10"/>
      <c r="X5207" s="10"/>
      <c r="Y5207" s="10"/>
      <c r="Z5207" s="10"/>
    </row>
    <row r="5208" spans="1:26" ht="12.75">
      <c r="A5208" s="10" t="str">
        <f ca="1">IFERROR(__xludf.DUMMYFUNCTION("""COMPUTED_VALUE"""),"Майяна Милчева Митевска-Енчева")</f>
        <v>Майяна Милчева Митевска-Енчева</v>
      </c>
      <c r="B5208" s="10" t="str">
        <f ca="1">IFERROR(__xludf.DUMMYFUNCTION("""COMPUTED_VALUE"""),"Доклад от конференция")</f>
        <v>Доклад от конференция</v>
      </c>
      <c r="C5208" s="10" t="str">
        <f ca="1">IFERROR(__xludf.DUMMYFUNCTION("""COMPUTED_VALUE"""),"Effects of the career guidance by the model of „ the big six” over the academic motivation, the happiness and 5the satisfaction")</f>
        <v>Effects of the career guidance by the model of „ the big six” over the academic motivation, the happiness and 5the satisfaction</v>
      </c>
      <c r="D5208" s="10">
        <f ca="1">IFERROR(__xludf.DUMMYFUNCTION("""COMPUTED_VALUE"""),2017)</f>
        <v>2017</v>
      </c>
      <c r="E5208" s="10" t="str">
        <f ca="1">IFERROR(__xludf.DUMMYFUNCTION("""COMPUTED_VALUE"""),"The Macrotheme Review 6 (4), Winter 2017. Е-ISSN 1848-4735; ISSN 2379-9765")</f>
        <v>The Macrotheme Review 6 (4), Winter 2017. Е-ISSN 1848-4735; ISSN 2379-9765</v>
      </c>
      <c r="F5208" s="10"/>
      <c r="G5208" s="10" t="str">
        <f ca="1">IFERROR(__xludf.DUMMYFUNCTION("""COMPUTED_VALUE"""),"P. Radeva")</f>
        <v>P. Radeva</v>
      </c>
      <c r="H5208" s="10"/>
      <c r="I5208" s="10"/>
      <c r="J5208" s="10"/>
      <c r="K5208" s="10"/>
      <c r="L5208" s="10"/>
      <c r="M5208" s="10"/>
      <c r="N5208" s="10"/>
      <c r="O5208" s="10"/>
      <c r="P5208" s="10"/>
      <c r="Q5208" s="10"/>
      <c r="R5208" s="10"/>
      <c r="S5208" s="10"/>
      <c r="T5208" s="10"/>
      <c r="U5208" s="10"/>
      <c r="V5208" s="10"/>
      <c r="W5208" s="10"/>
      <c r="X5208" s="10"/>
      <c r="Y5208" s="10"/>
      <c r="Z5208" s="10"/>
    </row>
    <row r="5209" spans="1:26" ht="12.75">
      <c r="A5209" s="10" t="str">
        <f ca="1">IFERROR(__xludf.DUMMYFUNCTION("""COMPUTED_VALUE"""),"Майяна Милчева Митевска-Енчева")</f>
        <v>Майяна Милчева Митевска-Енчева</v>
      </c>
      <c r="B5209" s="10" t="str">
        <f ca="1">IFERROR(__xludf.DUMMYFUNCTION("""COMPUTED_VALUE"""),"Доклад от конференция")</f>
        <v>Доклад от конференция</v>
      </c>
      <c r="C5209" s="10" t="str">
        <f ca="1">IFERROR(__xludf.DUMMYFUNCTION("""COMPUTED_VALUE"""),"Effects of Career Orientation on Life and Happiness Satisfaction")</f>
        <v>Effects of Career Orientation on Life and Happiness Satisfaction</v>
      </c>
      <c r="D5209" s="10">
        <f ca="1">IFERROR(__xludf.DUMMYFUNCTION("""COMPUTED_VALUE"""),2017)</f>
        <v>2017</v>
      </c>
      <c r="E5209" s="10" t="str">
        <f ca="1">IFERROR(__xludf.DUMMYFUNCTION("""COMPUTED_VALUE"""),"8th Congress of Psychology, Sofia / Bulgaria, November 2017. ISBN 978-619-90965-1-2")</f>
        <v>8th Congress of Psychology, Sofia / Bulgaria, November 2017. ISBN 978-619-90965-1-2</v>
      </c>
      <c r="F5209" s="10"/>
      <c r="G5209" s="10" t="str">
        <f ca="1">IFERROR(__xludf.DUMMYFUNCTION("""COMPUTED_VALUE"""),"P. Radeva")</f>
        <v>P. Radeva</v>
      </c>
      <c r="H5209" s="10"/>
      <c r="I5209" s="10"/>
      <c r="J5209" s="10"/>
      <c r="K5209" s="10"/>
      <c r="L5209" s="10"/>
      <c r="M5209" s="10"/>
      <c r="N5209" s="10"/>
      <c r="O5209" s="10"/>
      <c r="P5209" s="10"/>
      <c r="Q5209" s="10"/>
      <c r="R5209" s="10"/>
      <c r="S5209" s="10"/>
      <c r="T5209" s="10"/>
      <c r="U5209" s="10"/>
      <c r="V5209" s="10"/>
      <c r="W5209" s="10"/>
      <c r="X5209" s="10"/>
      <c r="Y5209" s="10"/>
      <c r="Z5209" s="10"/>
    </row>
    <row r="5210" spans="1:26" ht="12.75">
      <c r="A5210" s="10" t="str">
        <f ca="1">IFERROR(__xludf.DUMMYFUNCTION("""COMPUTED_VALUE"""),"Майяна Милчева Митевска-Енчева")</f>
        <v>Майяна Милчева Митевска-Енчева</v>
      </c>
      <c r="B5210" s="10" t="str">
        <f ca="1">IFERROR(__xludf.DUMMYFUNCTION("""COMPUTED_VALUE"""),"Статия в списания и поредици")</f>
        <v>Статия в списания и поредици</v>
      </c>
      <c r="C5210" s="10" t="str">
        <f ca="1">IFERROR(__xludf.DUMMYFUNCTION("""COMPUTED_VALUE"""),"Адаптация на метод за академична мотивация")</f>
        <v>Адаптация на метод за академична мотивация</v>
      </c>
      <c r="D5210" s="10">
        <f ca="1">IFERROR(__xludf.DUMMYFUNCTION("""COMPUTED_VALUE"""),2017)</f>
        <v>2017</v>
      </c>
      <c r="E5210" s="10" t="str">
        <f ca="1">IFERROR(__xludf.DUMMYFUNCTION("""COMPUTED_VALUE"""),"16-та международна научна конференция на тема: „Приложната психология: възможности и перспективи”, Варна 23-25 юни 2017г., с. 410-422. ISSN 1314-0507")</f>
        <v>16-та международна научна конференция на тема: „Приложната психология: възможности и перспективи”, Варна 23-25 юни 2017г., с. 410-422. ISSN 1314-0507</v>
      </c>
      <c r="F5210" s="10"/>
      <c r="G5210" s="10"/>
      <c r="H5210" s="10"/>
      <c r="I5210" s="10"/>
      <c r="J5210" s="10"/>
      <c r="K5210" s="10"/>
      <c r="L5210" s="10"/>
      <c r="M5210" s="10"/>
      <c r="N5210" s="10"/>
      <c r="O5210" s="10"/>
      <c r="P5210" s="10"/>
      <c r="Q5210" s="10"/>
      <c r="R5210" s="10"/>
      <c r="S5210" s="10"/>
      <c r="T5210" s="10"/>
      <c r="U5210" s="10"/>
      <c r="V5210" s="10"/>
      <c r="W5210" s="10"/>
      <c r="X5210" s="10"/>
      <c r="Y5210" s="10"/>
      <c r="Z5210" s="10"/>
    </row>
    <row r="5211" spans="1:26" ht="12.75">
      <c r="A5211" s="10" t="str">
        <f ca="1">IFERROR(__xludf.DUMMYFUNCTION("""COMPUTED_VALUE"""),"Майяна Милчева Митевска-Енчева")</f>
        <v>Майяна Милчева Митевска-Енчева</v>
      </c>
      <c r="B5211" s="10" t="str">
        <f ca="1">IFERROR(__xludf.DUMMYFUNCTION("""COMPUTED_VALUE"""),"Статия в списания и поредици")</f>
        <v>Статия в списания и поредици</v>
      </c>
      <c r="C5211" s="10" t="str">
        <f ca="1">IFERROR(__xludf.DUMMYFUNCTION("""COMPUTED_VALUE"""),"Личността като предиктор на академичната мотивация")</f>
        <v>Личността като предиктор на академичната мотивация</v>
      </c>
      <c r="D5211" s="10">
        <f ca="1">IFERROR(__xludf.DUMMYFUNCTION("""COMPUTED_VALUE"""),2016)</f>
        <v>2016</v>
      </c>
      <c r="E5211" s="10" t="str">
        <f ca="1">IFERROR(__xludf.DUMMYFUNCTION("""COMPUTED_VALUE"""),"Общество на знанието и хуманизмът на XXI век. XIV Национална научна конференция с международно участие, София, 1 ноември 2016. ISSN 1314-7099")</f>
        <v>Общество на знанието и хуманизмът на XXI век. XIV Национална научна конференция с международно участие, София, 1 ноември 2016. ISSN 1314-7099</v>
      </c>
      <c r="F5211" s="10"/>
      <c r="G5211" s="10" t="str">
        <f ca="1">IFERROR(__xludf.DUMMYFUNCTION("""COMPUTED_VALUE"""),"проф. д.ик.н Гошо Петков, Цветелина Варадинова, Ралица Йотова")</f>
        <v>проф. д.ик.н Гошо Петков, Цветелина Варадинова, Ралица Йотова</v>
      </c>
      <c r="H5211" s="10"/>
      <c r="I5211" s="10"/>
      <c r="J5211" s="10"/>
      <c r="K5211" s="10"/>
      <c r="L5211" s="10"/>
      <c r="M5211" s="10"/>
      <c r="N5211" s="10"/>
      <c r="O5211" s="10"/>
      <c r="P5211" s="10"/>
      <c r="Q5211" s="10"/>
      <c r="R5211" s="10"/>
      <c r="S5211" s="10"/>
      <c r="T5211" s="10"/>
      <c r="U5211" s="10"/>
      <c r="V5211" s="10"/>
      <c r="W5211" s="10"/>
      <c r="X5211" s="10"/>
      <c r="Y5211" s="10"/>
      <c r="Z5211" s="10"/>
    </row>
    <row r="5212" spans="1:26" ht="12.75">
      <c r="A5212" s="10" t="str">
        <f ca="1">IFERROR(__xludf.DUMMYFUNCTION("""COMPUTED_VALUE"""),"Майяна Милчева Митевска-Енчева")</f>
        <v>Майяна Милчева Митевска-Енчева</v>
      </c>
      <c r="B5212" s="10" t="str">
        <f ca="1">IFERROR(__xludf.DUMMYFUNCTION("""COMPUTED_VALUE"""),"Статия в списания и поредици")</f>
        <v>Статия в списания и поредици</v>
      </c>
      <c r="C5212" s="10" t="str">
        <f ca="1">IFERROR(__xludf.DUMMYFUNCTION("""COMPUTED_VALUE"""),"Sustainability and Dynamics of the Key Value Orientations for Effective Management in a Bulgarian Socio-cultural Environment")</f>
        <v>Sustainability and Dynamics of the Key Value Orientations for Effective Management in a Bulgarian Socio-cultural Environment</v>
      </c>
      <c r="D5212" s="10">
        <f ca="1">IFERROR(__xludf.DUMMYFUNCTION("""COMPUTED_VALUE"""),2016)</f>
        <v>2016</v>
      </c>
      <c r="E5212" s="10" t="str">
        <f ca="1">IFERROR(__xludf.DUMMYFUNCTION("""COMPUTED_VALUE"""),"The Macrotheme Review 2(9), Winter 2016. E-ISSN 1848-4735 ISSN 2379-9765 http://macrotheme.com/home/the_macrotheme_review_54")</f>
        <v>The Macrotheme Review 2(9), Winter 2016. E-ISSN 1848-4735 ISSN 2379-9765 http://macrotheme.com/home/the_macrotheme_review_54</v>
      </c>
      <c r="F5212" s="10"/>
      <c r="G5212" s="10"/>
      <c r="H5212" s="10"/>
      <c r="I5212" s="10"/>
      <c r="J5212" s="10"/>
      <c r="K5212" s="10"/>
      <c r="L5212" s="10"/>
      <c r="M5212" s="10"/>
      <c r="N5212" s="10"/>
      <c r="O5212" s="10"/>
      <c r="P5212" s="10"/>
      <c r="Q5212" s="10"/>
      <c r="R5212" s="10"/>
      <c r="S5212" s="10"/>
      <c r="T5212" s="10"/>
      <c r="U5212" s="10"/>
      <c r="V5212" s="10"/>
      <c r="W5212" s="10"/>
      <c r="X5212" s="10"/>
      <c r="Y5212" s="10"/>
      <c r="Z5212" s="10"/>
    </row>
    <row r="5213" spans="1:26" ht="12.75">
      <c r="A5213" s="10" t="str">
        <f ca="1">IFERROR(__xludf.DUMMYFUNCTION("""COMPUTED_VALUE"""),"Майяна Милчева Митевска-Енчева")</f>
        <v>Майяна Милчева Митевска-Енчева</v>
      </c>
      <c r="B5213" s="10" t="str">
        <f ca="1">IFERROR(__xludf.DUMMYFUNCTION("""COMPUTED_VALUE"""),"Статия в списания и поредици")</f>
        <v>Статия в списания и поредици</v>
      </c>
      <c r="C5213" s="10" t="str">
        <f ca="1">IFERROR(__xludf.DUMMYFUNCTION("""COMPUTED_VALUE"""),"Културните практики – медиатор между личността и удовлетвореността от труда")</f>
        <v>Културните практики – медиатор между личността и удовлетвореността от труда</v>
      </c>
      <c r="D5213" s="10">
        <f ca="1">IFERROR(__xludf.DUMMYFUNCTION("""COMPUTED_VALUE"""),2016)</f>
        <v>2016</v>
      </c>
      <c r="E5213" s="10" t="str">
        <f ca="1">IFERROR(__xludf.DUMMYFUNCTION("""COMPUTED_VALUE"""),"Международна научна конференция „Лидерство и организационно развитие“, СУ „Св. Климент Охридски“. Китен, 16 – 19 юни 2016 г., с. 763-770, ISBN 978-954-07-4129-1")</f>
        <v>Международна научна конференция „Лидерство и организационно развитие“, СУ „Св. Климент Охридски“. Китен, 16 – 19 юни 2016 г., с. 763-770, ISBN 978-954-07-4129-1</v>
      </c>
      <c r="F5213" s="10"/>
      <c r="G5213" s="10"/>
      <c r="H5213" s="10"/>
      <c r="I5213" s="10"/>
      <c r="J5213" s="10"/>
      <c r="K5213" s="10"/>
      <c r="L5213" s="10"/>
      <c r="M5213" s="10"/>
      <c r="N5213" s="10"/>
      <c r="O5213" s="10"/>
      <c r="P5213" s="10"/>
      <c r="Q5213" s="10"/>
      <c r="R5213" s="10"/>
      <c r="S5213" s="10"/>
      <c r="T5213" s="10"/>
      <c r="U5213" s="10"/>
      <c r="V5213" s="10"/>
      <c r="W5213" s="10"/>
      <c r="X5213" s="10"/>
      <c r="Y5213" s="10"/>
      <c r="Z5213" s="10"/>
    </row>
    <row r="5214" spans="1:26" ht="12.75">
      <c r="A5214" s="10" t="str">
        <f ca="1">IFERROR(__xludf.DUMMYFUNCTION("""COMPUTED_VALUE"""),"Майяна Милчева Митевска-Енчева")</f>
        <v>Майяна Милчева Митевска-Енчева</v>
      </c>
      <c r="B5214" s="10" t="str">
        <f ca="1">IFERROR(__xludf.DUMMYFUNCTION("""COMPUTED_VALUE"""),"Статия в списания и поредици")</f>
        <v>Статия в списания и поредици</v>
      </c>
      <c r="C5214" s="10" t="str">
        <f ca="1">IFERROR(__xludf.DUMMYFUNCTION("""COMPUTED_VALUE"""),"Модериращата роля на пола при адаптиране на студентите към университетска среда")</f>
        <v>Модериращата роля на пола при адаптиране на студентите към университетска среда</v>
      </c>
      <c r="D5214" s="10">
        <f ca="1">IFERROR(__xludf.DUMMYFUNCTION("""COMPUTED_VALUE"""),2016)</f>
        <v>2016</v>
      </c>
      <c r="E5214" s="10" t="str">
        <f ca="1">IFERROR(__xludf.DUMMYFUNCTION("""COMPUTED_VALUE"""),"Годишна университетска научна конференция, Национален военен университет „В. Левски“, Велико Търново 20 – 21 октомври 2016, т. 7, с. 253-262, ISSN 1314-1937. Издателски комплекс на НВУ «В. Левски»")</f>
        <v>Годишна университетска научна конференция, Национален военен университет „В. Левски“, Велико Търново 20 – 21 октомври 2016, т. 7, с. 253-262, ISSN 1314-1937. Издателски комплекс на НВУ «В. Левски»</v>
      </c>
      <c r="F5214" s="10"/>
      <c r="G5214" s="10" t="str">
        <f ca="1">IFERROR(__xludf.DUMMYFUNCTION("""COMPUTED_VALUE"""),"проф. д.ик.н Гошо Петков")</f>
        <v>проф. д.ик.н Гошо Петков</v>
      </c>
      <c r="H5214" s="10"/>
      <c r="I5214" s="10"/>
      <c r="J5214" s="10"/>
      <c r="K5214" s="10"/>
      <c r="L5214" s="10"/>
      <c r="M5214" s="10"/>
      <c r="N5214" s="10"/>
      <c r="O5214" s="10"/>
      <c r="P5214" s="10"/>
      <c r="Q5214" s="10"/>
      <c r="R5214" s="10"/>
      <c r="S5214" s="10"/>
      <c r="T5214" s="10"/>
      <c r="U5214" s="10"/>
      <c r="V5214" s="10"/>
      <c r="W5214" s="10"/>
      <c r="X5214" s="10"/>
      <c r="Y5214" s="10"/>
      <c r="Z5214" s="10"/>
    </row>
    <row r="5215" spans="1:26" ht="12.75">
      <c r="A5215" s="10" t="str">
        <f ca="1">IFERROR(__xludf.DUMMYFUNCTION("""COMPUTED_VALUE"""),"Майяна Милчева Митевска-Енчева")</f>
        <v>Майяна Милчева Митевска-Енчева</v>
      </c>
      <c r="B5215" s="10" t="str">
        <f ca="1">IFERROR(__xludf.DUMMYFUNCTION("""COMPUTED_VALUE"""),"Статия в списания и поредици")</f>
        <v>Статия в списания и поредици</v>
      </c>
      <c r="C5215" s="10" t="str">
        <f ca="1">IFERROR(__xludf.DUMMYFUNCTION("""COMPUTED_VALUE"""),"Удовлетвореността от труда и чертите на личността – сложен възел от противоречиви и съгласувани взаимовръзки")</f>
        <v>Удовлетвореността от труда и чертите на личността – сложен възел от противоречиви и съгласувани взаимовръзки</v>
      </c>
      <c r="D5215" s="10">
        <f ca="1">IFERROR(__xludf.DUMMYFUNCTION("""COMPUTED_VALUE"""),2016)</f>
        <v>2016</v>
      </c>
      <c r="E5215" s="10" t="str">
        <f ca="1">IFERROR(__xludf.DUMMYFUNCTION("""COMPUTED_VALUE"""),"Общество на знанието и хуманизмът на XXI век: национална научна конференция с международно участие ISSN 1314-7099. – 2015 (2016), s. 465-471")</f>
        <v>Общество на знанието и хуманизмът на XXI век: национална научна конференция с международно участие ISSN 1314-7099. – 2015 (2016), s. 465-471</v>
      </c>
      <c r="F5215" s="10"/>
      <c r="G5215" s="10"/>
      <c r="H5215" s="10"/>
      <c r="I5215" s="10"/>
      <c r="J5215" s="10"/>
      <c r="K5215" s="10"/>
      <c r="L5215" s="10"/>
      <c r="M5215" s="10"/>
      <c r="N5215" s="10"/>
      <c r="O5215" s="10"/>
      <c r="P5215" s="10"/>
      <c r="Q5215" s="10"/>
      <c r="R5215" s="10"/>
      <c r="S5215" s="10"/>
      <c r="T5215" s="10"/>
      <c r="U5215" s="10"/>
      <c r="V5215" s="10"/>
      <c r="W5215" s="10"/>
      <c r="X5215" s="10"/>
      <c r="Y5215" s="10"/>
      <c r="Z5215" s="10"/>
    </row>
    <row r="5216" spans="1:26" ht="12.75">
      <c r="A5216" s="10" t="str">
        <f ca="1">IFERROR(__xludf.DUMMYFUNCTION("""COMPUTED_VALUE"""),"Майяна Милчева Митевска-Енчева")</f>
        <v>Майяна Милчева Митевска-Енчева</v>
      </c>
      <c r="B5216" s="10" t="str">
        <f ca="1">IFERROR(__xludf.DUMMYFUNCTION("""COMPUTED_VALUE"""),"Статия в списания и поредици")</f>
        <v>Статия в списания и поредици</v>
      </c>
      <c r="C5216" s="10" t="str">
        <f ca="1">IFERROR(__xludf.DUMMYFUNCTION("""COMPUTED_VALUE"""),"Личностни корелати на лидерското поведение")</f>
        <v>Личностни корелати на лидерското поведение</v>
      </c>
      <c r="D5216" s="10">
        <f ca="1">IFERROR(__xludf.DUMMYFUNCTION("""COMPUTED_VALUE"""),2016)</f>
        <v>2016</v>
      </c>
      <c r="E5216" s="10" t="str">
        <f ca="1">IFERROR(__xludf.DUMMYFUNCTION("""COMPUTED_VALUE"""),"Бургаски свободен университет. Център по юридически науки, Юридически сборник, Т. 23 (2016), с. 275 - 281. ISSN 1311-3771; ISBN 978-619-7126-28-0")</f>
        <v>Бургаски свободен университет. Център по юридически науки, Юридически сборник, Т. 23 (2016), с. 275 - 281. ISSN 1311-3771; ISBN 978-619-7126-28-0</v>
      </c>
      <c r="F5216" s="10"/>
      <c r="G5216" s="10" t="str">
        <f ca="1">IFERROR(__xludf.DUMMYFUNCTION("""COMPUTED_VALUE"""),"проф. д.ик.н Гошо Петков")</f>
        <v>проф. д.ик.н Гошо Петков</v>
      </c>
      <c r="H5216" s="10"/>
      <c r="I5216" s="10"/>
      <c r="J5216" s="10"/>
      <c r="K5216" s="10"/>
      <c r="L5216" s="10"/>
      <c r="M5216" s="10"/>
      <c r="N5216" s="10"/>
      <c r="O5216" s="10"/>
      <c r="P5216" s="10"/>
      <c r="Q5216" s="10"/>
      <c r="R5216" s="10"/>
      <c r="S5216" s="10"/>
      <c r="T5216" s="10"/>
      <c r="U5216" s="10"/>
      <c r="V5216" s="10"/>
      <c r="W5216" s="10"/>
      <c r="X5216" s="10"/>
      <c r="Y5216" s="10"/>
      <c r="Z5216" s="10"/>
    </row>
    <row r="5217" spans="1:26" ht="12.75">
      <c r="A5217" s="10" t="str">
        <f ca="1">IFERROR(__xludf.DUMMYFUNCTION("""COMPUTED_VALUE"""),"Майяна Милчева Митевска-Енчева")</f>
        <v>Майяна Милчева Митевска-Енчева</v>
      </c>
      <c r="B5217" s="10" t="str">
        <f ca="1">IFERROR(__xludf.DUMMYFUNCTION("""COMPUTED_VALUE"""),"Статия в списания и поредици")</f>
        <v>Статия в списания и поредици</v>
      </c>
      <c r="C5217" s="10" t="str">
        <f ca="1">IFERROR(__xludf.DUMMYFUNCTION("""COMPUTED_VALUE"""),"Емпирични илюстрации на лидерските стилове – сравнителен анализ")</f>
        <v>Емпирични илюстрации на лидерските стилове – сравнителен анализ</v>
      </c>
      <c r="D5217" s="10">
        <f ca="1">IFERROR(__xludf.DUMMYFUNCTION("""COMPUTED_VALUE"""),2016)</f>
        <v>2016</v>
      </c>
      <c r="E5217" s="10" t="str">
        <f ca="1">IFERROR(__xludf.DUMMYFUNCTION("""COMPUTED_VALUE"""),"„Подходи и методи за изследване в обществените науки – емпирични илюстрации – докторантски форум” Институт за изследване на населението и човека – БАН, 27-29 май 2017 г. Психологични изследвания, т. 20, кн. 2, Септември 2017, ISSN 0205-0617 (Print), ISSN "&amp;"2367-9174 (Online)")</f>
        <v>„Подходи и методи за изследване в обществените науки – емпирични илюстрации – докторантски форум” Институт за изследване на населението и човека – БАН, 27-29 май 2017 г. Психологични изследвания, т. 20, кн. 2, Септември 2017, ISSN 0205-0617 (Print), ISSN 2367-9174 (Online)</v>
      </c>
      <c r="F5217" s="10"/>
      <c r="G5217" s="10" t="str">
        <f ca="1">IFERROR(__xludf.DUMMYFUNCTION("""COMPUTED_VALUE"""),"Бистра Атанасова")</f>
        <v>Бистра Атанасова</v>
      </c>
      <c r="H5217" s="10"/>
      <c r="I5217" s="10"/>
      <c r="J5217" s="10"/>
      <c r="K5217" s="10"/>
      <c r="L5217" s="10"/>
      <c r="M5217" s="10"/>
      <c r="N5217" s="10"/>
      <c r="O5217" s="10"/>
      <c r="P5217" s="10"/>
      <c r="Q5217" s="10"/>
      <c r="R5217" s="10"/>
      <c r="S5217" s="10"/>
      <c r="T5217" s="10"/>
      <c r="U5217" s="10"/>
      <c r="V5217" s="10"/>
      <c r="W5217" s="10"/>
      <c r="X5217" s="10"/>
      <c r="Y5217" s="10"/>
      <c r="Z5217" s="10"/>
    </row>
    <row r="5218" spans="1:26" ht="12.75">
      <c r="A5218" s="10" t="str">
        <f ca="1">IFERROR(__xludf.DUMMYFUNCTION("""COMPUTED_VALUE"""),"Майяна Милчева Митевска-Енчева")</f>
        <v>Майяна Милчева Митевска-Енчева</v>
      </c>
      <c r="B5218" s="10" t="str">
        <f ca="1">IFERROR(__xludf.DUMMYFUNCTION("""COMPUTED_VALUE"""),"Статия в списания и поредици")</f>
        <v>Статия в списания и поредици</v>
      </c>
      <c r="C5218" s="10" t="str">
        <f ca="1">IFERROR(__xludf.DUMMYFUNCTION("""COMPUTED_VALUE"""),"Новата парадигма“ и „далечното“ харизматично лидерство")</f>
        <v>Новата парадигма“ и „далечното“ харизматично лидерство</v>
      </c>
      <c r="D5218" s="10">
        <f ca="1">IFERROR(__xludf.DUMMYFUNCTION("""COMPUTED_VALUE"""),2016)</f>
        <v>2016</v>
      </c>
      <c r="E5218" s="10" t="str">
        <f ca="1">IFERROR(__xludf.DUMMYFUNCTION("""COMPUTED_VALUE"""),"Българо-унгарски културни общувания, Будапеща 4-10 юни 2016 Съвременни измерения на европейското образователно и научно пространство: сборник с доклади ISSN 2367-7988. – T. 4 (2016), s. 138-144")</f>
        <v>Българо-унгарски културни общувания, Будапеща 4-10 юни 2016 Съвременни измерения на европейското образователно и научно пространство: сборник с доклади ISSN 2367-7988. – T. 4 (2016), s. 138-144</v>
      </c>
      <c r="F5218" s="10"/>
      <c r="G5218" s="10" t="str">
        <f ca="1">IFERROR(__xludf.DUMMYFUNCTION("""COMPUTED_VALUE"""),"проф. д,ик.н Гошо Петков")</f>
        <v>проф. д,ик.н Гошо Петков</v>
      </c>
      <c r="H5218" s="10"/>
      <c r="I5218" s="10"/>
      <c r="J5218" s="10"/>
      <c r="K5218" s="10"/>
      <c r="L5218" s="10"/>
      <c r="M5218" s="10"/>
      <c r="N5218" s="10"/>
      <c r="O5218" s="10"/>
      <c r="P5218" s="10"/>
      <c r="Q5218" s="10"/>
      <c r="R5218" s="10"/>
      <c r="S5218" s="10"/>
      <c r="T5218" s="10"/>
      <c r="U5218" s="10"/>
      <c r="V5218" s="10"/>
      <c r="W5218" s="10"/>
      <c r="X5218" s="10"/>
      <c r="Y5218" s="10"/>
      <c r="Z5218" s="10"/>
    </row>
    <row r="5219" spans="1:26" ht="12.75">
      <c r="A5219" s="10" t="str">
        <f ca="1">IFERROR(__xludf.DUMMYFUNCTION("""COMPUTED_VALUE"""),"Майяна Милчева Митевска-Енчева")</f>
        <v>Майяна Милчева Митевска-Енчева</v>
      </c>
      <c r="B5219" s="10" t="str">
        <f ca="1">IFERROR(__xludf.DUMMYFUNCTION("""COMPUTED_VALUE"""),"Статия в списания и поредици")</f>
        <v>Статия в списания и поредици</v>
      </c>
      <c r="C5219" s="10" t="str">
        <f ca="1">IFERROR(__xludf.DUMMYFUNCTION("""COMPUTED_VALUE"""),"Взаимовръзки между социокултурната среда и личностните перспективи в български университети //")</f>
        <v>Взаимовръзки между социокултурната среда и личностните перспективи в български университети //</v>
      </c>
      <c r="D5219" s="10">
        <f ca="1">IFERROR(__xludf.DUMMYFUNCTION("""COMPUTED_VALUE"""),2016)</f>
        <v>2016</v>
      </c>
      <c r="E5219" s="10" t="str">
        <f ca="1">IFERROR(__xludf.DUMMYFUNCTION("""COMPUTED_VALUE"""),"Новата идея в образованието. Бургаски свободен университет. Т. 2 (2016), с. 242 - 248. ISSN 1311-3771; ISBN 978-619-7126-28-0")</f>
        <v>Новата идея в образованието. Бургаски свободен университет. Т. 2 (2016), с. 242 - 248. ISSN 1311-3771; ISBN 978-619-7126-28-0</v>
      </c>
      <c r="F5219" s="10"/>
      <c r="G5219" s="10" t="str">
        <f ca="1">IFERROR(__xludf.DUMMYFUNCTION("""COMPUTED_VALUE"""),"проф. д.ик.н Гошо Петков")</f>
        <v>проф. д.ик.н Гошо Петков</v>
      </c>
      <c r="H5219" s="10"/>
      <c r="I5219" s="10"/>
      <c r="J5219" s="10"/>
      <c r="K5219" s="10"/>
      <c r="L5219" s="10"/>
      <c r="M5219" s="10"/>
      <c r="N5219" s="10"/>
      <c r="O5219" s="10"/>
      <c r="P5219" s="10"/>
      <c r="Q5219" s="10"/>
      <c r="R5219" s="10"/>
      <c r="S5219" s="10"/>
      <c r="T5219" s="10"/>
      <c r="U5219" s="10"/>
      <c r="V5219" s="10"/>
      <c r="W5219" s="10"/>
      <c r="X5219" s="10"/>
      <c r="Y5219" s="10"/>
      <c r="Z5219" s="10"/>
    </row>
    <row r="5220" spans="1:26" ht="12.75">
      <c r="A5220" s="10" t="str">
        <f ca="1">IFERROR(__xludf.DUMMYFUNCTION("""COMPUTED_VALUE"""),"Майяна Милчева Митевска-Енчева")</f>
        <v>Майяна Милчева Митевска-Енчева</v>
      </c>
      <c r="B5220" s="10" t="str">
        <f ca="1">IFERROR(__xludf.DUMMYFUNCTION("""COMPUTED_VALUE"""),"Статия в списания и поредици")</f>
        <v>Статия в списания и поредици</v>
      </c>
      <c r="C5220" s="10" t="str">
        <f ca="1">IFERROR(__xludf.DUMMYFUNCTION("""COMPUTED_VALUE"""),"Comparative analysis of the dominant leadership styles and personality traits in Technology Advanced Quality Learning in Bulgarian")</f>
        <v>Comparative analysis of the dominant leadership styles and personality traits in Technology Advanced Quality Learning in Bulgarian</v>
      </c>
      <c r="D5220" s="10">
        <f ca="1">IFERROR(__xludf.DUMMYFUNCTION("""COMPUTED_VALUE"""),2016)</f>
        <v>2016</v>
      </c>
      <c r="E5220" s="10" t="str">
        <f ca="1">IFERROR(__xludf.DUMMYFUNCTION("""COMPUTED_VALUE"""),"UNESCO // International Workshop QED’16: Technology Advanced Quality Learning for ALL UNESCO ISBN 978-619-185-261-1 (Online) ISBN 978-619-185-260-4 (paper) https://unesco.unibit.bg/sites/default/files/QED-16-book-selected-papers.pdf")</f>
        <v>UNESCO // International Workshop QED’16: Technology Advanced Quality Learning for ALL UNESCO ISBN 978-619-185-261-1 (Online) ISBN 978-619-185-260-4 (paper) https://unesco.unibit.bg/sites/default/files/QED-16-book-selected-papers.pdf</v>
      </c>
      <c r="F5220" s="10"/>
      <c r="G5220" s="10"/>
      <c r="H5220" s="10"/>
      <c r="I5220" s="10"/>
      <c r="J5220" s="10"/>
      <c r="K5220" s="10"/>
      <c r="L5220" s="10"/>
      <c r="M5220" s="10"/>
      <c r="N5220" s="10"/>
      <c r="O5220" s="10"/>
      <c r="P5220" s="10"/>
      <c r="Q5220" s="10"/>
      <c r="R5220" s="10"/>
      <c r="S5220" s="10"/>
      <c r="T5220" s="10"/>
      <c r="U5220" s="10"/>
      <c r="V5220" s="10"/>
      <c r="W5220" s="10"/>
      <c r="X5220" s="10"/>
      <c r="Y5220" s="10"/>
      <c r="Z5220" s="10"/>
    </row>
    <row r="5221" spans="1:26" ht="12.75">
      <c r="A5221" s="10" t="str">
        <f ca="1">IFERROR(__xludf.DUMMYFUNCTION("""COMPUTED_VALUE"""),"Майяна Милчева Митевска-Енчева")</f>
        <v>Майяна Милчева Митевска-Енчева</v>
      </c>
      <c r="B5221" s="10" t="str">
        <f ca="1">IFERROR(__xludf.DUMMYFUNCTION("""COMPUTED_VALUE"""),"Статия в списания и поредици")</f>
        <v>Статия в списания и поредици</v>
      </c>
      <c r="C5221" s="10" t="str">
        <f ca="1">IFERROR(__xludf.DUMMYFUNCTION("""COMPUTED_VALUE"""),"Емоционалният статус като фактор за академичната мотивация")</f>
        <v>Емоционалният статус като фактор за академичната мотивация</v>
      </c>
      <c r="D5221" s="10">
        <f ca="1">IFERROR(__xludf.DUMMYFUNCTION("""COMPUTED_VALUE"""),2016)</f>
        <v>2016</v>
      </c>
      <c r="E5221" s="10" t="str">
        <f ca="1">IFERROR(__xludf.DUMMYFUNCTION("""COMPUTED_VALUE"""),"Национална научна конференция с международно участие, VI: България – кръстопът на култури и цивилизации, С., 1 ноември 2016. ISSN 1314-7099")</f>
        <v>Национална научна конференция с международно участие, VI: България – кръстопът на култури и цивилизации, С., 1 ноември 2016. ISSN 1314-7099</v>
      </c>
      <c r="F5221" s="10"/>
      <c r="G5221" s="10" t="str">
        <f ca="1">IFERROR(__xludf.DUMMYFUNCTION("""COMPUTED_VALUE"""),"проф. д.ик.н Гошо Петков Цветелина Варадинова, Ралица Йотова")</f>
        <v>проф. д.ик.н Гошо Петков Цветелина Варадинова, Ралица Йотова</v>
      </c>
      <c r="H5221" s="10"/>
      <c r="I5221" s="10"/>
      <c r="J5221" s="10"/>
      <c r="K5221" s="10"/>
      <c r="L5221" s="10"/>
      <c r="M5221" s="10"/>
      <c r="N5221" s="10"/>
      <c r="O5221" s="10"/>
      <c r="P5221" s="10"/>
      <c r="Q5221" s="10"/>
      <c r="R5221" s="10"/>
      <c r="S5221" s="10"/>
      <c r="T5221" s="10"/>
      <c r="U5221" s="10"/>
      <c r="V5221" s="10"/>
      <c r="W5221" s="10"/>
      <c r="X5221" s="10"/>
      <c r="Y5221" s="10"/>
      <c r="Z5221" s="10"/>
    </row>
    <row r="5222" spans="1:26" ht="12.75">
      <c r="A5222" s="10" t="str">
        <f ca="1">IFERROR(__xludf.DUMMYFUNCTION("""COMPUTED_VALUE"""),"Майяна Милчева Митевска-Енчева")</f>
        <v>Майяна Милчева Митевска-Енчева</v>
      </c>
      <c r="B5222" s="10" t="str">
        <f ca="1">IFERROR(__xludf.DUMMYFUNCTION("""COMPUTED_VALUE"""),"Статия в списания и поредици")</f>
        <v>Статия в списания и поредици</v>
      </c>
      <c r="C5222" s="10" t="str">
        <f ca="1">IFERROR(__xludf.DUMMYFUNCTION("""COMPUTED_VALUE"""),"Moderator Personality Effects on Satisfaction Based on Gender Differences in Bulgarian universitie")</f>
        <v>Moderator Personality Effects on Satisfaction Based on Gender Differences in Bulgarian universitie</v>
      </c>
      <c r="D5222" s="10">
        <f ca="1">IFERROR(__xludf.DUMMYFUNCTION("""COMPUTED_VALUE"""),2016)</f>
        <v>2016</v>
      </c>
      <c r="E5222" s="10" t="str">
        <f ca="1">IFERROR(__xludf.DUMMYFUNCTION("""COMPUTED_VALUE"""),"IJIRES Index Copernicus Value (ICV): 57.79, November 2016, Vol. -6, Isuue-11 ISSN 2249-2496 http://www.ijmra.us/project%20doc/Cover_Page/Cover_Page_IJRSS_November_2016.pdf")</f>
        <v>IJIRES Index Copernicus Value (ICV): 57.79, November 2016, Vol. -6, Isuue-11 ISSN 2249-2496 http://www.ijmra.us/project%20doc/Cover_Page/Cover_Page_IJRSS_November_2016.pdf</v>
      </c>
      <c r="F5222" s="10"/>
      <c r="G5222" s="10" t="str">
        <f ca="1">IFERROR(__xludf.DUMMYFUNCTION("""COMPUTED_VALUE"""),"Prof. DSc. Gosho Kirilov Petkov , Ph.D.")</f>
        <v>Prof. DSc. Gosho Kirilov Petkov , Ph.D.</v>
      </c>
      <c r="H5222" s="10"/>
      <c r="I5222" s="10"/>
      <c r="J5222" s="10"/>
      <c r="K5222" s="10"/>
      <c r="L5222" s="10"/>
      <c r="M5222" s="10"/>
      <c r="N5222" s="10"/>
      <c r="O5222" s="10"/>
      <c r="P5222" s="10"/>
      <c r="Q5222" s="10"/>
      <c r="R5222" s="10"/>
      <c r="S5222" s="10"/>
      <c r="T5222" s="10"/>
      <c r="U5222" s="10"/>
      <c r="V5222" s="10"/>
      <c r="W5222" s="10"/>
      <c r="X5222" s="10"/>
      <c r="Y5222" s="10"/>
      <c r="Z5222" s="10"/>
    </row>
    <row r="5223" spans="1:26" ht="12.75">
      <c r="A5223" s="10" t="str">
        <f ca="1">IFERROR(__xludf.DUMMYFUNCTION("""COMPUTED_VALUE"""),"Майяна Милчева Митевска-Енчева")</f>
        <v>Майяна Милчева Митевска-Енчева</v>
      </c>
      <c r="B5223" s="10" t="str">
        <f ca="1">IFERROR(__xludf.DUMMYFUNCTION("""COMPUTED_VALUE"""),"Статия в списания и поредици")</f>
        <v>Статия в списания и поредици</v>
      </c>
      <c r="C5223" s="10" t="str">
        <f ca="1">IFERROR(__xludf.DUMMYFUNCTION("""COMPUTED_VALUE"""),"Лидерството в демократичната среда: изучаване, преподаване, възпитаване")</f>
        <v>Лидерството в демократичната среда: изучаване, преподаване, възпитаване</v>
      </c>
      <c r="D5223" s="10">
        <f ca="1">IFERROR(__xludf.DUMMYFUNCTION("""COMPUTED_VALUE"""),2015)</f>
        <v>2015</v>
      </c>
      <c r="E5223" s="10" t="str">
        <f ca="1">IFERROR(__xludf.DUMMYFUNCTION("""COMPUTED_VALUE"""),"Общество на знанието и хуманизмът на XXI век: национална научна конференция с международно участие ISSN 2367-7295")</f>
        <v>Общество на знанието и хуманизмът на XXI век: национална научна конференция с международно участие ISSN 2367-7295</v>
      </c>
      <c r="F5223" s="10"/>
      <c r="G5223" s="10"/>
      <c r="H5223" s="10"/>
      <c r="I5223" s="10"/>
      <c r="J5223" s="10"/>
      <c r="K5223" s="10"/>
      <c r="L5223" s="10"/>
      <c r="M5223" s="10"/>
      <c r="N5223" s="10"/>
      <c r="O5223" s="10"/>
      <c r="P5223" s="10"/>
      <c r="Q5223" s="10"/>
      <c r="R5223" s="10"/>
      <c r="S5223" s="10"/>
      <c r="T5223" s="10"/>
      <c r="U5223" s="10"/>
      <c r="V5223" s="10"/>
      <c r="W5223" s="10"/>
      <c r="X5223" s="10"/>
      <c r="Y5223" s="10"/>
      <c r="Z5223" s="10"/>
    </row>
    <row r="5224" spans="1:26" ht="12.75">
      <c r="A5224" s="10" t="str">
        <f ca="1">IFERROR(__xludf.DUMMYFUNCTION("""COMPUTED_VALUE"""),"Майяна Милчева Митевска-Енчева")</f>
        <v>Майяна Милчева Митевска-Енчева</v>
      </c>
      <c r="B5224" s="10" t="str">
        <f ca="1">IFERROR(__xludf.DUMMYFUNCTION("""COMPUTED_VALUE"""),"Статия в списания и поредици")</f>
        <v>Статия в списания и поредици</v>
      </c>
      <c r="C5224" s="10" t="str">
        <f ca="1">IFERROR(__xludf.DUMMYFUNCTION("""COMPUTED_VALUE"""),"Отвъд психоанализата - идеи и възгледи на Вилхелм Райх.")</f>
        <v>Отвъд психоанализата - идеи и възгледи на Вилхелм Райх.</v>
      </c>
      <c r="D5224" s="10">
        <f ca="1">IFERROR(__xludf.DUMMYFUNCTION("""COMPUTED_VALUE"""),2015)</f>
        <v>2015</v>
      </c>
      <c r="E5224" s="10" t="str">
        <f ca="1">IFERROR(__xludf.DUMMYFUNCTION("""COMPUTED_VALUE"""),"Тр. На УниБИТ, Том 14. С.,2015. с. 277-293 ISSN 1314-2623")</f>
        <v>Тр. На УниБИТ, Том 14. С.,2015. с. 277-293 ISSN 1314-2623</v>
      </c>
      <c r="F5224" s="10"/>
      <c r="G5224" s="10"/>
      <c r="H5224" s="10"/>
      <c r="I5224" s="10"/>
      <c r="J5224" s="10"/>
      <c r="K5224" s="10"/>
      <c r="L5224" s="10"/>
      <c r="M5224" s="10"/>
      <c r="N5224" s="10"/>
      <c r="O5224" s="10"/>
      <c r="P5224" s="10"/>
      <c r="Q5224" s="10"/>
      <c r="R5224" s="10"/>
      <c r="S5224" s="10"/>
      <c r="T5224" s="10"/>
      <c r="U5224" s="10"/>
      <c r="V5224" s="10"/>
      <c r="W5224" s="10"/>
      <c r="X5224" s="10"/>
      <c r="Y5224" s="10"/>
      <c r="Z5224" s="10"/>
    </row>
    <row r="5225" spans="1:26" ht="12.75">
      <c r="A5225" s="10" t="str">
        <f ca="1">IFERROR(__xludf.DUMMYFUNCTION("""COMPUTED_VALUE"""),"Майяна Милчева Митевска-Енчева")</f>
        <v>Майяна Милчева Митевска-Енчева</v>
      </c>
      <c r="B5225" s="10" t="str">
        <f ca="1">IFERROR(__xludf.DUMMYFUNCTION("""COMPUTED_VALUE"""),"Статия в списания и поредици")</f>
        <v>Статия в списания и поредици</v>
      </c>
      <c r="C5225" s="10" t="str">
        <f ca="1">IFERROR(__xludf.DUMMYFUNCTION("""COMPUTED_VALUE"""),"Психологически климат и конфликти в български организации – взаимовръзки")</f>
        <v>Психологически климат и конфликти в български организации – взаимовръзки</v>
      </c>
      <c r="D5225" s="10">
        <f ca="1">IFERROR(__xludf.DUMMYFUNCTION("""COMPUTED_VALUE"""),2015)</f>
        <v>2015</v>
      </c>
      <c r="E5225" s="10" t="str">
        <f ca="1">IFERROR(__xludf.DUMMYFUNCTION("""COMPUTED_VALUE"""),"Военен журнал 1, 2015, София, Военна академия „Г.С.Раковски“, с. 26-36, ISSN 0861-7392")</f>
        <v>Военен журнал 1, 2015, София, Военна академия „Г.С.Раковски“, с. 26-36, ISSN 0861-7392</v>
      </c>
      <c r="F5225" s="10"/>
      <c r="G5225" s="10"/>
      <c r="H5225" s="10"/>
      <c r="I5225" s="10"/>
      <c r="J5225" s="10"/>
      <c r="K5225" s="10"/>
      <c r="L5225" s="10"/>
      <c r="M5225" s="10"/>
      <c r="N5225" s="10"/>
      <c r="O5225" s="10"/>
      <c r="P5225" s="10"/>
      <c r="Q5225" s="10"/>
      <c r="R5225" s="10"/>
      <c r="S5225" s="10"/>
      <c r="T5225" s="10"/>
      <c r="U5225" s="10"/>
      <c r="V5225" s="10"/>
      <c r="W5225" s="10"/>
      <c r="X5225" s="10"/>
      <c r="Y5225" s="10"/>
      <c r="Z5225" s="10"/>
    </row>
    <row r="5226" spans="1:26" ht="12.75">
      <c r="A5226" s="10" t="str">
        <f ca="1">IFERROR(__xludf.DUMMYFUNCTION("""COMPUTED_VALUE"""),"Майяна Милчева Митевска-Енчева")</f>
        <v>Майяна Милчева Митевска-Енчева</v>
      </c>
      <c r="B5226" s="10" t="str">
        <f ca="1">IFERROR(__xludf.DUMMYFUNCTION("""COMPUTED_VALUE"""),"Статия в списания и поредици")</f>
        <v>Статия в списания и поредици</v>
      </c>
      <c r="C5226" s="10" t="str">
        <f ca="1">IFERROR(__xludf.DUMMYFUNCTION("""COMPUTED_VALUE"""),"Оптималното функциониране на обучаемите, ключов фактор за оптимизиране на учебния процес.")</f>
        <v>Оптималното функциониране на обучаемите, ключов фактор за оптимизиране на учебния процес.</v>
      </c>
      <c r="D5226" s="10">
        <f ca="1">IFERROR(__xludf.DUMMYFUNCTION("""COMPUTED_VALUE"""),2015)</f>
        <v>2015</v>
      </c>
      <c r="E5226" s="10" t="str">
        <f ca="1">IFERROR(__xludf.DUMMYFUNCTION("""COMPUTED_VALUE"""),"Военен журнал 3, 2015, София, Военна академия „Г.С.Раковски“, с. 127-134 ISSN 0861-7392, God. 122, br. 3 (2015), s. 127-133")</f>
        <v>Военен журнал 3, 2015, София, Военна академия „Г.С.Раковски“, с. 127-134 ISSN 0861-7392, God. 122, br. 3 (2015), s. 127-133</v>
      </c>
      <c r="F5226" s="10"/>
      <c r="G5226" s="10" t="str">
        <f ca="1">IFERROR(__xludf.DUMMYFUNCTION("""COMPUTED_VALUE"""),"проф. д.ик.н Гошо Петков")</f>
        <v>проф. д.ик.н Гошо Петков</v>
      </c>
      <c r="H5226" s="10"/>
      <c r="I5226" s="10"/>
      <c r="J5226" s="10"/>
      <c r="K5226" s="10"/>
      <c r="L5226" s="10"/>
      <c r="M5226" s="10"/>
      <c r="N5226" s="10"/>
      <c r="O5226" s="10"/>
      <c r="P5226" s="10"/>
      <c r="Q5226" s="10"/>
      <c r="R5226" s="10"/>
      <c r="S5226" s="10"/>
      <c r="T5226" s="10"/>
      <c r="U5226" s="10"/>
      <c r="V5226" s="10"/>
      <c r="W5226" s="10"/>
      <c r="X5226" s="10"/>
      <c r="Y5226" s="10"/>
      <c r="Z5226" s="10"/>
    </row>
    <row r="5227" spans="1:26" ht="12.75">
      <c r="A5227" s="10" t="str">
        <f ca="1">IFERROR(__xludf.DUMMYFUNCTION("""COMPUTED_VALUE"""),"Майяна Милчева Митевска-Енчева")</f>
        <v>Майяна Милчева Митевска-Енчева</v>
      </c>
      <c r="B5227" s="10" t="str">
        <f ca="1">IFERROR(__xludf.DUMMYFUNCTION("""COMPUTED_VALUE"""),"Статия в списания и поредици")</f>
        <v>Статия в списания и поредици</v>
      </c>
      <c r="C5227" s="10" t="str">
        <f ca="1">IFERROR(__xludf.DUMMYFUNCTION("""COMPUTED_VALUE"""),"Организационна култура и библиотеки")</f>
        <v>Организационна култура и библиотеки</v>
      </c>
      <c r="D5227" s="10">
        <f ca="1">IFERROR(__xludf.DUMMYFUNCTION("""COMPUTED_VALUE"""),2015)</f>
        <v>2015</v>
      </c>
      <c r="E5227" s="10" t="str">
        <f ca="1">IFERROR(__xludf.DUMMYFUNCTION("""COMPUTED_VALUE"""),"Съвременни измерения на европейското образователно и научно пространство ISSN 2367-7988. – T. 2 (2015), s. 303-307")</f>
        <v>Съвременни измерения на европейското образователно и научно пространство ISSN 2367-7988. – T. 2 (2015), s. 303-307</v>
      </c>
      <c r="F5227" s="10"/>
      <c r="G5227" s="10"/>
      <c r="H5227" s="10"/>
      <c r="I5227" s="10"/>
      <c r="J5227" s="10"/>
      <c r="K5227" s="10"/>
      <c r="L5227" s="10"/>
      <c r="M5227" s="10"/>
      <c r="N5227" s="10"/>
      <c r="O5227" s="10"/>
      <c r="P5227" s="10"/>
      <c r="Q5227" s="10"/>
      <c r="R5227" s="10"/>
      <c r="S5227" s="10"/>
      <c r="T5227" s="10"/>
      <c r="U5227" s="10"/>
      <c r="V5227" s="10"/>
      <c r="W5227" s="10"/>
      <c r="X5227" s="10"/>
      <c r="Y5227" s="10"/>
      <c r="Z5227" s="10"/>
    </row>
    <row r="5228" spans="1:26" ht="12.75">
      <c r="A5228" s="10" t="str">
        <f ca="1">IFERROR(__xludf.DUMMYFUNCTION("""COMPUTED_VALUE"""),"Майяна Милчева Митевска-Енчева")</f>
        <v>Майяна Милчева Митевска-Енчева</v>
      </c>
      <c r="B5228" s="10" t="str">
        <f ca="1">IFERROR(__xludf.DUMMYFUNCTION("""COMPUTED_VALUE"""),"Статия в списания и поредици")</f>
        <v>Статия в списания и поредици</v>
      </c>
      <c r="C5228" s="10" t="str">
        <f ca="1">IFERROR(__xludf.DUMMYFUNCTION("""COMPUTED_VALUE"""),"Organizational values: intercultural study in universities")</f>
        <v>Organizational values: intercultural study in universities</v>
      </c>
      <c r="D5228" s="10">
        <f ca="1">IFERROR(__xludf.DUMMYFUNCTION("""COMPUTED_VALUE"""),2015)</f>
        <v>2015</v>
      </c>
      <c r="E5228" s="10" t="str">
        <f ca="1">IFERROR(__xludf.DUMMYFUNCTION("""COMPUTED_VALUE"""),"UNESCO International Workshop QED’14, Sofia 2015, Za bukvite, O’pismeneh, pp. 96 – 105. ISBN 978-619-185-163-8 – online, published on http://unesco.unibit.bg")</f>
        <v>UNESCO International Workshop QED’14, Sofia 2015, Za bukvite, O’pismeneh, pp. 96 – 105. ISBN 978-619-185-163-8 – online, published on http://unesco.unibit.bg</v>
      </c>
      <c r="F5228" s="10"/>
      <c r="G5228" s="10"/>
      <c r="H5228" s="10"/>
      <c r="I5228" s="10"/>
      <c r="J5228" s="10"/>
      <c r="K5228" s="10"/>
      <c r="L5228" s="10"/>
      <c r="M5228" s="10"/>
      <c r="N5228" s="10"/>
      <c r="O5228" s="10"/>
      <c r="P5228" s="10"/>
      <c r="Q5228" s="10"/>
      <c r="R5228" s="10"/>
      <c r="S5228" s="10"/>
      <c r="T5228" s="10"/>
      <c r="U5228" s="10"/>
      <c r="V5228" s="10"/>
      <c r="W5228" s="10"/>
      <c r="X5228" s="10"/>
      <c r="Y5228" s="10"/>
      <c r="Z5228" s="10"/>
    </row>
    <row r="5229" spans="1:26" ht="12.75">
      <c r="A5229" s="10" t="str">
        <f ca="1">IFERROR(__xludf.DUMMYFUNCTION("""COMPUTED_VALUE"""),"Майяна Милчева Митевска-Енчева")</f>
        <v>Майяна Милчева Митевска-Енчева</v>
      </c>
      <c r="B5229" s="10" t="str">
        <f ca="1">IFERROR(__xludf.DUMMYFUNCTION("""COMPUTED_VALUE"""),"Статия в списания и поредици")</f>
        <v>Статия в списания и поредици</v>
      </c>
      <c r="C5229" s="10" t="str">
        <f ca="1">IFERROR(__xludf.DUMMYFUNCTION("""COMPUTED_VALUE"""),"Конфликти и стратегии за разрешаването им – междукултурно изследване")</f>
        <v>Конфликти и стратегии за разрешаването им – междукултурно изследване</v>
      </c>
      <c r="D5229" s="10">
        <f ca="1">IFERROR(__xludf.DUMMYFUNCTION("""COMPUTED_VALUE"""),2015)</f>
        <v>2015</v>
      </c>
      <c r="E5229" s="10" t="str">
        <f ca="1">IFERROR(__xludf.DUMMYFUNCTION("""COMPUTED_VALUE"""),"Лидерство и организационно развитие, Софийски университет „Св. Климент Охридски“, Университетски център за управление на конфликти и организационни изследвания. Китен, 2015, с. 787-794 ISBN 978-954-07-3946-5")</f>
        <v>Лидерство и организационно развитие, Софийски университет „Св. Климент Охридски“, Университетски център за управление на конфликти и организационни изследвания. Китен, 2015, с. 787-794 ISBN 978-954-07-3946-5</v>
      </c>
      <c r="F5229" s="10"/>
      <c r="G5229" s="10"/>
      <c r="H5229" s="10"/>
      <c r="I5229" s="10"/>
      <c r="J5229" s="10"/>
      <c r="K5229" s="10"/>
      <c r="L5229" s="10"/>
      <c r="M5229" s="10"/>
      <c r="N5229" s="10"/>
      <c r="O5229" s="10"/>
      <c r="P5229" s="10"/>
      <c r="Q5229" s="10"/>
      <c r="R5229" s="10"/>
      <c r="S5229" s="10"/>
      <c r="T5229" s="10"/>
      <c r="U5229" s="10"/>
      <c r="V5229" s="10"/>
      <c r="W5229" s="10"/>
      <c r="X5229" s="10"/>
      <c r="Y5229" s="10"/>
      <c r="Z5229" s="10"/>
    </row>
    <row r="5230" spans="1:26" ht="12.75">
      <c r="A5230" s="10" t="str">
        <f ca="1">IFERROR(__xludf.DUMMYFUNCTION("""COMPUTED_VALUE"""),"Майяна Милчева Митевска-Енчева")</f>
        <v>Майяна Милчева Митевска-Енчева</v>
      </c>
      <c r="B5230" s="10" t="str">
        <f ca="1">IFERROR(__xludf.DUMMYFUNCTION("""COMPUTED_VALUE"""),"Статия в списания и поредици")</f>
        <v>Статия в списания и поредици</v>
      </c>
      <c r="C5230" s="10" t="str">
        <f ca="1">IFERROR(__xludf.DUMMYFUNCTION("""COMPUTED_VALUE"""),"Ефекти на психологическия климат върху конфликтите в организационна среда")</f>
        <v>Ефекти на психологическия климат върху конфликтите в организационна среда</v>
      </c>
      <c r="D5230" s="10">
        <f ca="1">IFERROR(__xludf.DUMMYFUNCTION("""COMPUTED_VALUE"""),2015)</f>
        <v>2015</v>
      </c>
      <c r="E5230" s="10" t="str">
        <f ca="1">IFERROR(__xludf.DUMMYFUNCTION("""COMPUTED_VALUE"""),"Общество на знанието и хуманизмът на XXI век: национална научна конференция с международно участие ISSN 1314-7099. – 2014 (2015), s. 318-324")</f>
        <v>Общество на знанието и хуманизмът на XXI век: национална научна конференция с международно участие ISSN 1314-7099. – 2014 (2015), s. 318-324</v>
      </c>
      <c r="F5230" s="10"/>
      <c r="G5230" s="10"/>
      <c r="H5230" s="10"/>
      <c r="I5230" s="10"/>
      <c r="J5230" s="10"/>
      <c r="K5230" s="10"/>
      <c r="L5230" s="10"/>
      <c r="M5230" s="10"/>
      <c r="N5230" s="10"/>
      <c r="O5230" s="10"/>
      <c r="P5230" s="10"/>
      <c r="Q5230" s="10"/>
      <c r="R5230" s="10"/>
      <c r="S5230" s="10"/>
      <c r="T5230" s="10"/>
      <c r="U5230" s="10"/>
      <c r="V5230" s="10"/>
      <c r="W5230" s="10"/>
      <c r="X5230" s="10"/>
      <c r="Y5230" s="10"/>
      <c r="Z5230" s="10"/>
    </row>
    <row r="5231" spans="1:26" ht="12.75">
      <c r="A5231" s="10" t="str">
        <f ca="1">IFERROR(__xludf.DUMMYFUNCTION("""COMPUTED_VALUE"""),"Майяна Милчева Митевска-Енчева")</f>
        <v>Майяна Милчева Митевска-Енчева</v>
      </c>
      <c r="B5231" s="10" t="str">
        <f ca="1">IFERROR(__xludf.DUMMYFUNCTION("""COMPUTED_VALUE"""),"Статия в списания и поредици")</f>
        <v>Статия в списания и поредици</v>
      </c>
      <c r="C5231" s="10" t="str">
        <f ca="1">IFERROR(__xludf.DUMMYFUNCTION("""COMPUTED_VALUE"""),"Factors to Overcome оrganizational Conflicts in Different Cultural Enviroments")</f>
        <v>Factors to Overcome оrganizational Conflicts in Different Cultural Enviroments</v>
      </c>
      <c r="D5231" s="10">
        <f ca="1">IFERROR(__xludf.DUMMYFUNCTION("""COMPUTED_VALUE"""),2015)</f>
        <v>2015</v>
      </c>
      <c r="E5231" s="10" t="str">
        <f ca="1">IFERROR(__xludf.DUMMYFUNCTION("""COMPUTED_VALUE"""),"International Journal of Arts and Sciences, 8 (3), 2015. Vol. 08, Number 03 ISSN 1944-6934 http://www.universitypublications.net/ijas/0803/index.html")</f>
        <v>International Journal of Arts and Sciences, 8 (3), 2015. Vol. 08, Number 03 ISSN 1944-6934 http://www.universitypublications.net/ijas/0803/index.html</v>
      </c>
      <c r="F5231" s="10"/>
      <c r="G5231" s="10"/>
      <c r="H5231" s="10"/>
      <c r="I5231" s="10"/>
      <c r="J5231" s="10"/>
      <c r="K5231" s="10"/>
      <c r="L5231" s="10"/>
      <c r="M5231" s="10"/>
      <c r="N5231" s="10"/>
      <c r="O5231" s="10"/>
      <c r="P5231" s="10"/>
      <c r="Q5231" s="10"/>
      <c r="R5231" s="10"/>
      <c r="S5231" s="10"/>
      <c r="T5231" s="10"/>
      <c r="U5231" s="10"/>
      <c r="V5231" s="10"/>
      <c r="W5231" s="10"/>
      <c r="X5231" s="10"/>
      <c r="Y5231" s="10"/>
      <c r="Z5231" s="10"/>
    </row>
    <row r="5232" spans="1:26" ht="12.75">
      <c r="A5232" s="10" t="str">
        <f ca="1">IFERROR(__xludf.DUMMYFUNCTION("""COMPUTED_VALUE"""),"Майяна Милчева Митевска-Енчева")</f>
        <v>Майяна Милчева Митевска-Енчева</v>
      </c>
      <c r="B5232" s="10" t="str">
        <f ca="1">IFERROR(__xludf.DUMMYFUNCTION("""COMPUTED_VALUE"""),"Статия в списания и поредици")</f>
        <v>Статия в списания и поредици</v>
      </c>
      <c r="C5232" s="10" t="str">
        <f ca="1">IFERROR(__xludf.DUMMYFUNCTION("""COMPUTED_VALUE"""),"Социалнопсихологически особености на културните практики в български университети")</f>
        <v>Социалнопсихологически особености на културните практики в български университети</v>
      </c>
      <c r="D5232" s="10">
        <f ca="1">IFERROR(__xludf.DUMMYFUNCTION("""COMPUTED_VALUE"""),2015)</f>
        <v>2015</v>
      </c>
      <c r="E5232" s="10" t="str">
        <f ca="1">IFERROR(__xludf.DUMMYFUNCTION("""COMPUTED_VALUE"""),"В: Б. Хинкова и М. Нанкова (съст.) Нови информа¬ционни технологии в образователния процес. Доклади и съобщения от Десетия научен семинар на УНИБИТ, Истанбул 4-8 април, 2015 г. С., Изд. За буквите – О писменехъ“, 2015, 310-322. ISSN 1313-2768")</f>
        <v>В: Б. Хинкова и М. Нанкова (съст.) Нови информа¬ционни технологии в образователния процес. Доклади и съобщения от Десетия научен семинар на УНИБИТ, Истанбул 4-8 април, 2015 г. С., Изд. За буквите – О писменехъ“, 2015, 310-322. ISSN 1313-2768</v>
      </c>
      <c r="F5232" s="10"/>
      <c r="G5232" s="10" t="str">
        <f ca="1">IFERROR(__xludf.DUMMYFUNCTION("""COMPUTED_VALUE"""),"проф. д.ик.н Гошо Петков")</f>
        <v>проф. д.ик.н Гошо Петков</v>
      </c>
      <c r="H5232" s="10"/>
      <c r="I5232" s="10"/>
      <c r="J5232" s="10"/>
      <c r="K5232" s="10"/>
      <c r="L5232" s="10"/>
      <c r="M5232" s="10"/>
      <c r="N5232" s="10"/>
      <c r="O5232" s="10"/>
      <c r="P5232" s="10"/>
      <c r="Q5232" s="10"/>
      <c r="R5232" s="10"/>
      <c r="S5232" s="10"/>
      <c r="T5232" s="10"/>
      <c r="U5232" s="10"/>
      <c r="V5232" s="10"/>
      <c r="W5232" s="10"/>
      <c r="X5232" s="10"/>
      <c r="Y5232" s="10"/>
      <c r="Z5232" s="10"/>
    </row>
    <row r="5233" spans="1:26" ht="12.75">
      <c r="A5233" s="10" t="str">
        <f ca="1">IFERROR(__xludf.DUMMYFUNCTION("""COMPUTED_VALUE"""),"Майяна Милчева Митевска-Енчева")</f>
        <v>Майяна Милчева Митевска-Енчева</v>
      </c>
      <c r="B5233" s="10" t="str">
        <f ca="1">IFERROR(__xludf.DUMMYFUNCTION("""COMPUTED_VALUE"""),"Статия в списания и поредици")</f>
        <v>Статия в списания и поредици</v>
      </c>
      <c r="C5233" s="10" t="str">
        <f ca="1">IFERROR(__xludf.DUMMYFUNCTION("""COMPUTED_VALUE"""),"Индивидуални и групови различия в значими поведенчески ефекти в организацията")</f>
        <v>Индивидуални и групови различия в значими поведенчески ефекти в организацията</v>
      </c>
      <c r="D5233" s="10">
        <f ca="1">IFERROR(__xludf.DUMMYFUNCTION("""COMPUTED_VALUE"""),2015)</f>
        <v>2015</v>
      </c>
      <c r="E5233" s="10" t="str">
        <f ca="1">IFERROR(__xludf.DUMMYFUNCTION("""COMPUTED_VALUE"""),"„Индивидуални И Групови Различия - Значими Поведенчески Ефекти”, Департамент „Психология” при ИИНЧ-БАН на 28 май 2015 г. Година 18, № 2, 2015, статия 14 ISSN 1311-4700 (Print) ISSN 2367-4563 (Online)")</f>
        <v>„Индивидуални И Групови Различия - Значими Поведенчески Ефекти”, Департамент „Психология” при ИИНЧ-БАН на 28 май 2015 г. Година 18, № 2, 2015, статия 14 ISSN 1311-4700 (Print) ISSN 2367-4563 (Online)</v>
      </c>
      <c r="F5233" s="10"/>
      <c r="G5233" s="10"/>
      <c r="H5233" s="10"/>
      <c r="I5233" s="10"/>
      <c r="J5233" s="10"/>
      <c r="K5233" s="10"/>
      <c r="L5233" s="10"/>
      <c r="M5233" s="10"/>
      <c r="N5233" s="10"/>
      <c r="O5233" s="10"/>
      <c r="P5233" s="10"/>
      <c r="Q5233" s="10"/>
      <c r="R5233" s="10"/>
      <c r="S5233" s="10"/>
      <c r="T5233" s="10"/>
      <c r="U5233" s="10"/>
      <c r="V5233" s="10"/>
      <c r="W5233" s="10"/>
      <c r="X5233" s="10"/>
      <c r="Y5233" s="10"/>
      <c r="Z5233" s="10"/>
    </row>
    <row r="5234" spans="1:26" ht="12.75">
      <c r="A5234" s="10" t="str">
        <f ca="1">IFERROR(__xludf.DUMMYFUNCTION("""COMPUTED_VALUE"""),"Майяна Милчева Митевска-Енчева")</f>
        <v>Майяна Милчева Митевска-Енчева</v>
      </c>
      <c r="B5234" s="10" t="str">
        <f ca="1">IFERROR(__xludf.DUMMYFUNCTION("""COMPUTED_VALUE"""),"Статия в списания и поредици")</f>
        <v>Статия в списания и поредици</v>
      </c>
      <c r="C5234" s="10" t="str">
        <f ca="1">IFERROR(__xludf.DUMMYFUNCTION("""COMPUTED_VALUE"""),"Ефекти на психологическия климат върху конфликтите в организационна среда")</f>
        <v>Ефекти на психологическия климат върху конфликтите в организационна среда</v>
      </c>
      <c r="D5234" s="10">
        <f ca="1">IFERROR(__xludf.DUMMYFUNCTION("""COMPUTED_VALUE"""),2015)</f>
        <v>2015</v>
      </c>
      <c r="E5234" s="10" t="str">
        <f ca="1">IFERROR(__xludf.DUMMYFUNCTION("""COMPUTED_VALUE"""),"Тринадесета научна кон¬ференция с международно участие, Общество на знанието и хуманизмът на ХХ1 век, София 31 октомври -1 ноември 2015, За буквите – О писменех, София 2015г., ISSN 1314-7019")</f>
        <v>Тринадесета научна кон¬ференция с международно участие, Общество на знанието и хуманизмът на ХХ1 век, София 31 октомври -1 ноември 2015, За буквите – О писменех, София 2015г., ISSN 1314-7019</v>
      </c>
      <c r="F5234" s="10"/>
      <c r="G5234" s="10"/>
      <c r="H5234" s="10"/>
      <c r="I5234" s="10"/>
      <c r="J5234" s="10"/>
      <c r="K5234" s="10"/>
      <c r="L5234" s="10"/>
      <c r="M5234" s="10"/>
      <c r="N5234" s="10"/>
      <c r="O5234" s="10"/>
      <c r="P5234" s="10"/>
      <c r="Q5234" s="10"/>
      <c r="R5234" s="10"/>
      <c r="S5234" s="10"/>
      <c r="T5234" s="10"/>
      <c r="U5234" s="10"/>
      <c r="V5234" s="10"/>
      <c r="W5234" s="10"/>
      <c r="X5234" s="10"/>
      <c r="Y5234" s="10"/>
      <c r="Z5234" s="10"/>
    </row>
    <row r="5235" spans="1:26" ht="12.75">
      <c r="A5235" s="10" t="str">
        <f ca="1">IFERROR(__xludf.DUMMYFUNCTION("""COMPUTED_VALUE"""),"Майяна Милчева Митевска-Енчева")</f>
        <v>Майяна Милчева Митевска-Енчева</v>
      </c>
      <c r="B5235" s="10" t="str">
        <f ca="1">IFERROR(__xludf.DUMMYFUNCTION("""COMPUTED_VALUE"""),"Статия в списания и поредици")</f>
        <v>Статия в списания и поредици</v>
      </c>
      <c r="C5235" s="10" t="str">
        <f ca="1">IFERROR(__xludf.DUMMYFUNCTION("""COMPUTED_VALUE"""),"Проверка и оценка на знанията – психологически аспекти")</f>
        <v>Проверка и оценка на знанията – психологически аспекти</v>
      </c>
      <c r="D5235" s="10">
        <f ca="1">IFERROR(__xludf.DUMMYFUNCTION("""COMPUTED_VALUE"""),2015)</f>
        <v>2015</v>
      </c>
      <c r="E5235" s="10" t="str">
        <f ca="1">IFERROR(__xludf.DUMMYFUNCTION("""COMPUTED_VALUE"""),"Съвременни измерения на европейското образователно и научно пространство ISSN 2367-7988. Т. 3 (2015), s. 374-378")</f>
        <v>Съвременни измерения на европейското образователно и научно пространство ISSN 2367-7988. Т. 3 (2015), s. 374-378</v>
      </c>
      <c r="F5235" s="10"/>
      <c r="G5235" s="10" t="str">
        <f ca="1">IFERROR(__xludf.DUMMYFUNCTION("""COMPUTED_VALUE"""),"проф. д.ик.н Гошо Петков")</f>
        <v>проф. д.ик.н Гошо Петков</v>
      </c>
      <c r="H5235" s="10"/>
      <c r="I5235" s="10"/>
      <c r="J5235" s="10"/>
      <c r="K5235" s="10"/>
      <c r="L5235" s="10"/>
      <c r="M5235" s="10"/>
      <c r="N5235" s="10"/>
      <c r="O5235" s="10"/>
      <c r="P5235" s="10"/>
      <c r="Q5235" s="10"/>
      <c r="R5235" s="10"/>
      <c r="S5235" s="10"/>
      <c r="T5235" s="10"/>
      <c r="U5235" s="10"/>
      <c r="V5235" s="10"/>
      <c r="W5235" s="10"/>
      <c r="X5235" s="10"/>
      <c r="Y5235" s="10"/>
      <c r="Z5235" s="10"/>
    </row>
    <row r="5236" spans="1:26" ht="12.75">
      <c r="A5236" s="10" t="str">
        <f ca="1">IFERROR(__xludf.DUMMYFUNCTION("""COMPUTED_VALUE"""),"Майяна Милчева Митевска-Енчева")</f>
        <v>Майяна Милчева Митевска-Енчева</v>
      </c>
      <c r="B5236" s="10" t="str">
        <f ca="1">IFERROR(__xludf.DUMMYFUNCTION("""COMPUTED_VALUE"""),"Статия в списания и поредици")</f>
        <v>Статия в списания и поредици</v>
      </c>
      <c r="C5236" s="10" t="str">
        <f ca="1">IFERROR(__xludf.DUMMYFUNCTION("""COMPUTED_VALUE"""),"Correspondence between cultural practices and adaptation of personality in the university environment in Bulgaria")</f>
        <v>Correspondence between cultural practices and adaptation of personality in the university environment in Bulgaria</v>
      </c>
      <c r="D5236" s="10">
        <f ca="1">IFERROR(__xludf.DUMMYFUNCTION("""COMPUTED_VALUE"""),2015)</f>
        <v>2015</v>
      </c>
      <c r="E5236" s="10" t="str">
        <f ca="1">IFERROR(__xludf.DUMMYFUNCTION("""COMPUTED_VALUE"""),"The Macrotheme Review 4(7), Winter 2015. http://macrotheme.com/home/the_macrotheme_review_47, E-ISSN 1848-4735 ISSN 2379-9765")</f>
        <v>The Macrotheme Review 4(7), Winter 2015. http://macrotheme.com/home/the_macrotheme_review_47, E-ISSN 1848-4735 ISSN 2379-9765</v>
      </c>
      <c r="F5236" s="10"/>
      <c r="G5236" s="10"/>
      <c r="H5236" s="10"/>
      <c r="I5236" s="10"/>
      <c r="J5236" s="10"/>
      <c r="K5236" s="10"/>
      <c r="L5236" s="10"/>
      <c r="M5236" s="10"/>
      <c r="N5236" s="10"/>
      <c r="O5236" s="10"/>
      <c r="P5236" s="10"/>
      <c r="Q5236" s="10"/>
      <c r="R5236" s="10"/>
      <c r="S5236" s="10"/>
      <c r="T5236" s="10"/>
      <c r="U5236" s="10"/>
      <c r="V5236" s="10"/>
      <c r="W5236" s="10"/>
      <c r="X5236" s="10"/>
      <c r="Y5236" s="10"/>
      <c r="Z5236" s="10"/>
    </row>
    <row r="5237" spans="1:26" ht="12.75">
      <c r="A5237" s="10" t="str">
        <f ca="1">IFERROR(__xludf.DUMMYFUNCTION("""COMPUTED_VALUE"""),"Майяна Милчева Митевска-Енчева")</f>
        <v>Майяна Милчева Митевска-Енчева</v>
      </c>
      <c r="B5237" s="10" t="str">
        <f ca="1">IFERROR(__xludf.DUMMYFUNCTION("""COMPUTED_VALUE"""),"Доклад от конференция")</f>
        <v>Доклад от конференция</v>
      </c>
      <c r="C5237" s="10" t="str">
        <f ca="1">IFERROR(__xludf.DUMMYFUNCTION("""COMPUTED_VALUE"""),"COMPARATIVE ANALYSIS OF THE DOMINANT VALUE ORIENTATION IN THE SPERE OF ORGANIZATION AND MANAGEMENT OUTSIDE OF THE MATERIAL PRODUCTION")</f>
        <v>COMPARATIVE ANALYSIS OF THE DOMINANT VALUE ORIENTATION IN THE SPERE OF ORGANIZATION AND MANAGEMENT OUTSIDE OF THE MATERIAL PRODUCTION</v>
      </c>
      <c r="D5237" s="10">
        <f ca="1">IFERROR(__xludf.DUMMYFUNCTION("""COMPUTED_VALUE"""),2015)</f>
        <v>2015</v>
      </c>
      <c r="E5237" s="10"/>
      <c r="F5237" s="10"/>
      <c r="G5237" s="10"/>
      <c r="H5237" s="10"/>
      <c r="I5237" s="10"/>
      <c r="J5237" s="10"/>
      <c r="K5237" s="10"/>
      <c r="L5237" s="10"/>
      <c r="M5237" s="10"/>
      <c r="N5237" s="10"/>
      <c r="O5237" s="10"/>
      <c r="P5237" s="10"/>
      <c r="Q5237" s="10"/>
      <c r="R5237" s="10"/>
      <c r="S5237" s="10"/>
      <c r="T5237" s="10"/>
      <c r="U5237" s="10"/>
      <c r="V5237" s="10"/>
      <c r="W5237" s="10"/>
      <c r="X5237" s="10"/>
      <c r="Y5237" s="10"/>
      <c r="Z5237" s="10"/>
    </row>
    <row r="5238" spans="1:26" ht="12.75">
      <c r="A5238" s="10" t="str">
        <f ca="1">IFERROR(__xludf.DUMMYFUNCTION("""COMPUTED_VALUE"""),"Майяна Милчева Митевска-Енчева")</f>
        <v>Майяна Милчева Митевска-Енчева</v>
      </c>
      <c r="B5238" s="10" t="str">
        <f ca="1">IFERROR(__xludf.DUMMYFUNCTION("""COMPUTED_VALUE"""),"Доклад от конференция")</f>
        <v>Доклад от конференция</v>
      </c>
      <c r="C5238" s="10" t="str">
        <f ca="1">IFERROR(__xludf.DUMMYFUNCTION("""COMPUTED_VALUE"""),"Конфликти и стратегии за разрешаването им – междукултурно изследване.")</f>
        <v>Конфликти и стратегии за разрешаването им – междукултурно изследване.</v>
      </c>
      <c r="D5238" s="10">
        <f ca="1">IFERROR(__xludf.DUMMYFUNCTION("""COMPUTED_VALUE"""),2015)</f>
        <v>2015</v>
      </c>
      <c r="E5238" s="10" t="str">
        <f ca="1">IFERROR(__xludf.DUMMYFUNCTION("""COMPUTED_VALUE"""),"Китен, 2015, Лидерство и организационно развитие, Софийски университет „Св. Климент Охридски“, Университетски център за управлен")</f>
        <v>Китен, 2015, Лидерство и организационно развитие, Софийски университет „Св. Климент Охридски“, Университетски център за управлен</v>
      </c>
      <c r="F5238" s="10"/>
      <c r="G5238" s="10"/>
      <c r="H5238" s="10"/>
      <c r="I5238" s="10"/>
      <c r="J5238" s="10"/>
      <c r="K5238" s="10"/>
      <c r="L5238" s="10"/>
      <c r="M5238" s="10"/>
      <c r="N5238" s="10"/>
      <c r="O5238" s="10"/>
      <c r="P5238" s="10"/>
      <c r="Q5238" s="10"/>
      <c r="R5238" s="10"/>
      <c r="S5238" s="10"/>
      <c r="T5238" s="10"/>
      <c r="U5238" s="10"/>
      <c r="V5238" s="10"/>
      <c r="W5238" s="10"/>
      <c r="X5238" s="10"/>
      <c r="Y5238" s="10"/>
      <c r="Z5238" s="10"/>
    </row>
    <row r="5239" spans="1:26" ht="12.75">
      <c r="A5239" s="10" t="str">
        <f ca="1">IFERROR(__xludf.DUMMYFUNCTION("""COMPUTED_VALUE"""),"Майяна Милчева Митевска-Енчева")</f>
        <v>Майяна Милчева Митевска-Енчева</v>
      </c>
      <c r="B5239" s="10" t="str">
        <f ca="1">IFERROR(__xludf.DUMMYFUNCTION("""COMPUTED_VALUE"""),"Доклад от конференция")</f>
        <v>Доклад от конференция</v>
      </c>
      <c r="C5239" s="10" t="str">
        <f ca="1">IFERROR(__xludf.DUMMYFUNCTION("""COMPUTED_VALUE"""),"Удовлетвореността от комуникацията като организационен проблем.")</f>
        <v>Удовлетвореността от комуникацията като организационен проблем.</v>
      </c>
      <c r="D5239" s="10">
        <f ca="1">IFERROR(__xludf.DUMMYFUNCTION("""COMPUTED_VALUE"""),2015)</f>
        <v>2015</v>
      </c>
      <c r="E5239" s="10" t="str">
        <f ca="1">IFERROR(__xludf.DUMMYFUNCTION("""COMPUTED_VALUE"""),"Психология – теория и практика. Психоаналитична практика, Варна май 2015. с. 67 – 78.")</f>
        <v>Психология – теория и практика. Психоаналитична практика, Варна май 2015. с. 67 – 78.</v>
      </c>
      <c r="F5239" s="10"/>
      <c r="G5239" s="10"/>
      <c r="H5239" s="10"/>
      <c r="I5239" s="10"/>
      <c r="J5239" s="10"/>
      <c r="K5239" s="10"/>
      <c r="L5239" s="10"/>
      <c r="M5239" s="10"/>
      <c r="N5239" s="10"/>
      <c r="O5239" s="10"/>
      <c r="P5239" s="10"/>
      <c r="Q5239" s="10"/>
      <c r="R5239" s="10"/>
      <c r="S5239" s="10"/>
      <c r="T5239" s="10"/>
      <c r="U5239" s="10"/>
      <c r="V5239" s="10"/>
      <c r="W5239" s="10"/>
      <c r="X5239" s="10"/>
      <c r="Y5239" s="10"/>
      <c r="Z5239" s="10"/>
    </row>
    <row r="5240" spans="1:26" ht="12.75">
      <c r="A5240" s="10" t="str">
        <f ca="1">IFERROR(__xludf.DUMMYFUNCTION("""COMPUTED_VALUE"""),"Майяна Милчева Митевска-Енчева")</f>
        <v>Майяна Милчева Митевска-Енчева</v>
      </c>
      <c r="B5240" s="10" t="str">
        <f ca="1">IFERROR(__xludf.DUMMYFUNCTION("""COMPUTED_VALUE"""),"Статия в списания и поредици")</f>
        <v>Статия в списания и поредици</v>
      </c>
      <c r="C5240" s="10" t="str">
        <f ca="1">IFERROR(__xludf.DUMMYFUNCTION("""COMPUTED_VALUE"""),"Удовлетвореността от труда в частни и държавни организации.")</f>
        <v>Удовлетвореността от труда в частни и държавни организации.</v>
      </c>
      <c r="D5240" s="10">
        <f ca="1">IFERROR(__xludf.DUMMYFUNCTION("""COMPUTED_VALUE"""),2015)</f>
        <v>2015</v>
      </c>
      <c r="E5240" s="10" t="str">
        <f ca="1">IFERROR(__xludf.DUMMYFUNCTION("""COMPUTED_VALUE"""),"14-та Международна Конференция Приложната психология: възможности и перспективи 2015. Варна 2015, с. 203 -219, ISSN 1314-0507")</f>
        <v>14-та Международна Конференция Приложната психология: възможности и перспективи 2015. Варна 2015, с. 203 -219, ISSN 1314-0507</v>
      </c>
      <c r="F5240" s="10"/>
      <c r="G5240" s="10"/>
      <c r="H5240" s="10"/>
      <c r="I5240" s="10"/>
      <c r="J5240" s="10"/>
      <c r="K5240" s="10"/>
      <c r="L5240" s="10"/>
      <c r="M5240" s="10"/>
      <c r="N5240" s="10"/>
      <c r="O5240" s="10"/>
      <c r="P5240" s="10"/>
      <c r="Q5240" s="10"/>
      <c r="R5240" s="10"/>
      <c r="S5240" s="10"/>
      <c r="T5240" s="10"/>
      <c r="U5240" s="10"/>
      <c r="V5240" s="10"/>
      <c r="W5240" s="10"/>
      <c r="X5240" s="10"/>
      <c r="Y5240" s="10"/>
      <c r="Z5240" s="10"/>
    </row>
    <row r="5241" spans="1:26" ht="12.75">
      <c r="A5241" s="10" t="str">
        <f ca="1">IFERROR(__xludf.DUMMYFUNCTION("""COMPUTED_VALUE"""),"Майяна Милчева Митевска-Енчева")</f>
        <v>Майяна Милчева Митевска-Енчева</v>
      </c>
      <c r="B5241" s="10" t="str">
        <f ca="1">IFERROR(__xludf.DUMMYFUNCTION("""COMPUTED_VALUE"""),"Статия в списания и поредици")</f>
        <v>Статия в списания и поредици</v>
      </c>
      <c r="C5241" s="10" t="str">
        <f ca="1">IFERROR(__xludf.DUMMYFUNCTION("""COMPUTED_VALUE"""),"Социалната среда като посредник между културните практики и адаптацията на обучаемите – медиаторен модел")</f>
        <v>Социалната среда като посредник между културните практики и адаптацията на обучаемите – медиаторен модел</v>
      </c>
      <c r="D5241" s="10">
        <f ca="1">IFERROR(__xludf.DUMMYFUNCTION("""COMPUTED_VALUE"""),2015)</f>
        <v>2015</v>
      </c>
      <c r="E5241" s="10" t="str">
        <f ca="1">IFERROR(__xludf.DUMMYFUNCTION("""COMPUTED_VALUE"""),"Тринадесета научна конференция с международно участие, София 1 ноември 2015, За буквите – О писменех, София 2016 г., ISSN 1314-7019")</f>
        <v>Тринадесета научна конференция с международно участие, София 1 ноември 2015, За буквите – О писменех, София 2016 г., ISSN 1314-7019</v>
      </c>
      <c r="F5241" s="10"/>
      <c r="G5241" s="10"/>
      <c r="H5241" s="10"/>
      <c r="I5241" s="10"/>
      <c r="J5241" s="10"/>
      <c r="K5241" s="10"/>
      <c r="L5241" s="10"/>
      <c r="M5241" s="10"/>
      <c r="N5241" s="10"/>
      <c r="O5241" s="10"/>
      <c r="P5241" s="10"/>
      <c r="Q5241" s="10"/>
      <c r="R5241" s="10"/>
      <c r="S5241" s="10"/>
      <c r="T5241" s="10"/>
      <c r="U5241" s="10"/>
      <c r="V5241" s="10"/>
      <c r="W5241" s="10"/>
      <c r="X5241" s="10"/>
      <c r="Y5241" s="10"/>
      <c r="Z5241" s="10"/>
    </row>
    <row r="5242" spans="1:26" ht="12.75">
      <c r="A5242" s="10" t="str">
        <f ca="1">IFERROR(__xludf.DUMMYFUNCTION("""COMPUTED_VALUE"""),"Майяна Милчева Митевска-Енчева")</f>
        <v>Майяна Милчева Митевска-Енчева</v>
      </c>
      <c r="B5242" s="10" t="str">
        <f ca="1">IFERROR(__xludf.DUMMYFUNCTION("""COMPUTED_VALUE"""),"Статия в списания и поредици")</f>
        <v>Статия в списания и поредици</v>
      </c>
      <c r="C5242" s="10" t="str">
        <f ca="1">IFERROR(__xludf.DUMMYFUNCTION("""COMPUTED_VALUE"""),"Адаптацията към университетската среда, ключов фактор за оптимизиране на учебния процес")</f>
        <v>Адаптацията към университетската среда, ключов фактор за оптимизиране на учебния процес</v>
      </c>
      <c r="D5242" s="10">
        <f ca="1">IFERROR(__xludf.DUMMYFUNCTION("""COMPUTED_VALUE"""),2015)</f>
        <v>2015</v>
      </c>
      <c r="E5242" s="10" t="str">
        <f ca="1">IFERROR(__xludf.DUMMYFUNCTION("""COMPUTED_VALUE"""),"Нови информационни технологии в образователния процес. Сборник, Истанбул 4-8 април, 2015 г. С., Изд. За буквите – О писменехъ“, ISSN 1313-2768. Ш. 10 (2015), s. 299-309")</f>
        <v>Нови информационни технологии в образователния процес. Сборник, Истанбул 4-8 април, 2015 г. С., Изд. За буквите – О писменехъ“, ISSN 1313-2768. Ш. 10 (2015), s. 299-309</v>
      </c>
      <c r="F5242" s="10"/>
      <c r="G5242" s="10" t="str">
        <f ca="1">IFERROR(__xludf.DUMMYFUNCTION("""COMPUTED_VALUE"""),"проф. д.ик.н Гошо Петков")</f>
        <v>проф. д.ик.н Гошо Петков</v>
      </c>
      <c r="H5242" s="10"/>
      <c r="I5242" s="10"/>
      <c r="J5242" s="10"/>
      <c r="K5242" s="10"/>
      <c r="L5242" s="10"/>
      <c r="M5242" s="10"/>
      <c r="N5242" s="10"/>
      <c r="O5242" s="10"/>
      <c r="P5242" s="10"/>
      <c r="Q5242" s="10"/>
      <c r="R5242" s="10"/>
      <c r="S5242" s="10"/>
      <c r="T5242" s="10"/>
      <c r="U5242" s="10"/>
      <c r="V5242" s="10"/>
      <c r="W5242" s="10"/>
      <c r="X5242" s="10"/>
      <c r="Y5242" s="10"/>
      <c r="Z5242" s="10"/>
    </row>
    <row r="5243" spans="1:26" ht="12.75">
      <c r="A5243" s="10" t="str">
        <f ca="1">IFERROR(__xludf.DUMMYFUNCTION("""COMPUTED_VALUE"""),"Майяна Милчева Митевска-Енчева")</f>
        <v>Майяна Милчева Митевска-Енчева</v>
      </c>
      <c r="B5243" s="10" t="str">
        <f ca="1">IFERROR(__xludf.DUMMYFUNCTION("""COMPUTED_VALUE"""),"Доклад от конференция")</f>
        <v>Доклад от конференция</v>
      </c>
      <c r="C5243" s="10" t="str">
        <f ca="1">IFERROR(__xludf.DUMMYFUNCTION("""COMPUTED_VALUE"""),"Ценностна ориентация в организациите.")</f>
        <v>Ценностна ориентация в организациите.</v>
      </c>
      <c r="D5243" s="10">
        <f ca="1">IFERROR(__xludf.DUMMYFUNCTION("""COMPUTED_VALUE"""),2015)</f>
        <v>2015</v>
      </c>
      <c r="E5243" s="10"/>
      <c r="F5243" s="10"/>
      <c r="G5243" s="10"/>
      <c r="H5243" s="10"/>
      <c r="I5243" s="10"/>
      <c r="J5243" s="10"/>
      <c r="K5243" s="10"/>
      <c r="L5243" s="10"/>
      <c r="M5243" s="10"/>
      <c r="N5243" s="10"/>
      <c r="O5243" s="10"/>
      <c r="P5243" s="10"/>
      <c r="Q5243" s="10"/>
      <c r="R5243" s="10"/>
      <c r="S5243" s="10"/>
      <c r="T5243" s="10"/>
      <c r="U5243" s="10"/>
      <c r="V5243" s="10"/>
      <c r="W5243" s="10"/>
      <c r="X5243" s="10"/>
      <c r="Y5243" s="10"/>
      <c r="Z5243" s="10"/>
    </row>
    <row r="5244" spans="1:26" ht="12.75">
      <c r="A5244" s="10" t="str">
        <f ca="1">IFERROR(__xludf.DUMMYFUNCTION("""COMPUTED_VALUE"""),"Майяна Милчева Митевска-Енчева")</f>
        <v>Майяна Милчева Митевска-Енчева</v>
      </c>
      <c r="B5244" s="10" t="str">
        <f ca="1">IFERROR(__xludf.DUMMYFUNCTION("""COMPUTED_VALUE"""),"Статия в списания и поредици")</f>
        <v>Статия в списания и поредици</v>
      </c>
      <c r="C5244" s="10" t="str">
        <f ca="1">IFERROR(__xludf.DUMMYFUNCTION("""COMPUTED_VALUE"""),"Методи за оценка на организационната култура (съпоставителен анализ).")</f>
        <v>Методи за оценка на организационната култура (съпоставителен анализ).</v>
      </c>
      <c r="D5244" s="10">
        <f ca="1">IFERROR(__xludf.DUMMYFUNCTION("""COMPUTED_VALUE"""),2015)</f>
        <v>2015</v>
      </c>
      <c r="E5244" s="10" t="str">
        <f ca="1">IFERROR(__xludf.DUMMYFUNCTION("""COMPUTED_VALUE"""),"Годишна университетска научна конференция, Национален военен университет „В. Левски“, Велико Търново 2015, тл 1, с. 45-52, Издателски комплекс на НВУ «В. Левски» ISSN 1314-1937.")</f>
        <v>Годишна университетска научна конференция, Национален военен университет „В. Левски“, Велико Търново 2015, тл 1, с. 45-52, Издателски комплекс на НВУ «В. Левски» ISSN 1314-1937.</v>
      </c>
      <c r="F5244" s="10"/>
      <c r="G5244" s="10"/>
      <c r="H5244" s="10"/>
      <c r="I5244" s="10"/>
      <c r="J5244" s="10"/>
      <c r="K5244" s="10"/>
      <c r="L5244" s="10"/>
      <c r="M5244" s="10"/>
      <c r="N5244" s="10"/>
      <c r="O5244" s="10"/>
      <c r="P5244" s="10"/>
      <c r="Q5244" s="10"/>
      <c r="R5244" s="10"/>
      <c r="S5244" s="10"/>
      <c r="T5244" s="10"/>
      <c r="U5244" s="10"/>
      <c r="V5244" s="10"/>
      <c r="W5244" s="10"/>
      <c r="X5244" s="10"/>
      <c r="Y5244" s="10"/>
      <c r="Z5244" s="10"/>
    </row>
    <row r="5245" spans="1:26" ht="12.75">
      <c r="A5245" s="10" t="str">
        <f ca="1">IFERROR(__xludf.DUMMYFUNCTION("""COMPUTED_VALUE"""),"Майяна Милчева Митевска-Енчева")</f>
        <v>Майяна Милчева Митевска-Енчева</v>
      </c>
      <c r="B5245" s="10" t="str">
        <f ca="1">IFERROR(__xludf.DUMMYFUNCTION("""COMPUTED_VALUE"""),"Статия в списания и поредици")</f>
        <v>Статия в списания и поредици</v>
      </c>
      <c r="C5245" s="10" t="str">
        <f ca="1">IFERROR(__xludf.DUMMYFUNCTION("""COMPUTED_VALUE"""),"Оптималното функциониране на обучаемите, ключов фактор за оптимизиране на учебния процес")</f>
        <v>Оптималното функциониране на обучаемите, ключов фактор за оптимизиране на учебния процес</v>
      </c>
      <c r="D5245" s="10">
        <f ca="1">IFERROR(__xludf.DUMMYFUNCTION("""COMPUTED_VALUE"""),2015)</f>
        <v>2015</v>
      </c>
      <c r="E5245" s="10" t="str">
        <f ca="1">IFERROR(__xludf.DUMMYFUNCTION("""COMPUTED_VALUE"""),"Военен журнал 3, 2015, София, Военна академия „Г.С.Раковски“, с. 127-134")</f>
        <v>Военен журнал 3, 2015, София, Военна академия „Г.С.Раковски“, с. 127-134</v>
      </c>
      <c r="F5245" s="10"/>
      <c r="G5245" s="10" t="str">
        <f ca="1">IFERROR(__xludf.DUMMYFUNCTION("""COMPUTED_VALUE"""),"Гошо Петков")</f>
        <v>Гошо Петков</v>
      </c>
      <c r="H5245" s="10"/>
      <c r="I5245" s="10"/>
      <c r="J5245" s="10"/>
      <c r="K5245" s="10"/>
      <c r="L5245" s="10"/>
      <c r="M5245" s="10"/>
      <c r="N5245" s="10"/>
      <c r="O5245" s="10"/>
      <c r="P5245" s="10"/>
      <c r="Q5245" s="10"/>
      <c r="R5245" s="10"/>
      <c r="S5245" s="10"/>
      <c r="T5245" s="10"/>
      <c r="U5245" s="10"/>
      <c r="V5245" s="10"/>
      <c r="W5245" s="10"/>
      <c r="X5245" s="10"/>
      <c r="Y5245" s="10"/>
      <c r="Z5245" s="10"/>
    </row>
    <row r="5246" spans="1:26" ht="12.75">
      <c r="A5246" s="10" t="str">
        <f ca="1">IFERROR(__xludf.DUMMYFUNCTION("""COMPUTED_VALUE"""),"Майяна Милчева Митевска-Енчева")</f>
        <v>Майяна Милчева Митевска-Енчева</v>
      </c>
      <c r="B5246" s="10" t="str">
        <f ca="1">IFERROR(__xludf.DUMMYFUNCTION("""COMPUTED_VALUE"""),"Статия в списания и поредици")</f>
        <v>Статия в списания и поредици</v>
      </c>
      <c r="C5246" s="10" t="str">
        <f ca="1">IFERROR(__xludf.DUMMYFUNCTION("""COMPUTED_VALUE"""),"Удовлетвореността от комуникацията като организационен проблем")</f>
        <v>Удовлетвореността от комуникацията като организационен проблем</v>
      </c>
      <c r="D5246" s="10">
        <f ca="1">IFERROR(__xludf.DUMMYFUNCTION("""COMPUTED_VALUE"""),2015)</f>
        <v>2015</v>
      </c>
      <c r="E5246" s="10" t="str">
        <f ca="1">IFERROR(__xludf.DUMMYFUNCTION("""COMPUTED_VALUE"""),"Национална научно-практическа конференция по психология – теория и практика: сборник доклади ISSN 2367-508X. –C. 2 (2015), s. 20-33")</f>
        <v>Национална научно-практическа конференция по психология – теория и практика: сборник доклади ISSN 2367-508X. –C. 2 (2015), s. 20-33</v>
      </c>
      <c r="F5246" s="10"/>
      <c r="G5246" s="10"/>
      <c r="H5246" s="10"/>
      <c r="I5246" s="10"/>
      <c r="J5246" s="10"/>
      <c r="K5246" s="10"/>
      <c r="L5246" s="10"/>
      <c r="M5246" s="10"/>
      <c r="N5246" s="10"/>
      <c r="O5246" s="10"/>
      <c r="P5246" s="10"/>
      <c r="Q5246" s="10"/>
      <c r="R5246" s="10"/>
      <c r="S5246" s="10"/>
      <c r="T5246" s="10"/>
      <c r="U5246" s="10"/>
      <c r="V5246" s="10"/>
      <c r="W5246" s="10"/>
      <c r="X5246" s="10"/>
      <c r="Y5246" s="10"/>
      <c r="Z5246" s="10"/>
    </row>
    <row r="5247" spans="1:26" ht="12.75">
      <c r="A5247" s="10" t="str">
        <f ca="1">IFERROR(__xludf.DUMMYFUNCTION("""COMPUTED_VALUE"""),"Майяна Милчева Митевска-Енчева")</f>
        <v>Майяна Милчева Митевска-Енчева</v>
      </c>
      <c r="B5247" s="10" t="str">
        <f ca="1">IFERROR(__xludf.DUMMYFUNCTION("""COMPUTED_VALUE"""),"Статия в списания и поредици")</f>
        <v>Статия в списания и поредици</v>
      </c>
      <c r="C5247" s="10" t="str">
        <f ca="1">IFERROR(__xludf.DUMMYFUNCTION("""COMPUTED_VALUE"""),"Сomparative analysis of the dominant value orientation in the sphere of organization and management outside of the material production")</f>
        <v>Сomparative analysis of the dominant value orientation in the sphere of organization and management outside of the material production</v>
      </c>
      <c r="D5247" s="10">
        <f ca="1">IFERROR(__xludf.DUMMYFUNCTION("""COMPUTED_VALUE"""),2014)</f>
        <v>2014</v>
      </c>
      <c r="E5247" s="10" t="str">
        <f ca="1">IFERROR(__xludf.DUMMYFUNCTION("""COMPUTED_VALUE"""),"Humanities and Social Sciences Review, Vol. 03, Number 03 ISSN 2165-6258 http://www.universitypublications.net/hssr/0304/index.html")</f>
        <v>Humanities and Social Sciences Review, Vol. 03, Number 03 ISSN 2165-6258 http://www.universitypublications.net/hssr/0304/index.html</v>
      </c>
      <c r="F5247" s="10"/>
      <c r="G5247" s="10"/>
      <c r="H5247" s="10"/>
      <c r="I5247" s="10"/>
      <c r="J5247" s="10"/>
      <c r="K5247" s="10"/>
      <c r="L5247" s="10"/>
      <c r="M5247" s="10"/>
      <c r="N5247" s="10"/>
      <c r="O5247" s="10"/>
      <c r="P5247" s="10"/>
      <c r="Q5247" s="10"/>
      <c r="R5247" s="10"/>
      <c r="S5247" s="10"/>
      <c r="T5247" s="10"/>
      <c r="U5247" s="10"/>
      <c r="V5247" s="10"/>
      <c r="W5247" s="10"/>
      <c r="X5247" s="10"/>
      <c r="Y5247" s="10"/>
      <c r="Z5247" s="10"/>
    </row>
    <row r="5248" spans="1:26" ht="12.75">
      <c r="A5248" s="10" t="str">
        <f ca="1">IFERROR(__xludf.DUMMYFUNCTION("""COMPUTED_VALUE"""),"Майяна Милчева Митевска-Енчева")</f>
        <v>Майяна Милчева Митевска-Енчева</v>
      </c>
      <c r="B5248" s="10" t="str">
        <f ca="1">IFERROR(__xludf.DUMMYFUNCTION("""COMPUTED_VALUE"""),"Доклад от конференция")</f>
        <v>Доклад от конференция</v>
      </c>
      <c r="C5248" s="10" t="str">
        <f ca="1">IFERROR(__xludf.DUMMYFUNCTION("""COMPUTED_VALUE"""),"Трансформация на организационните ценности в българска социо-културна среда")</f>
        <v>Трансформация на организационните ценности в българска социо-културна среда</v>
      </c>
      <c r="D5248" s="10">
        <f ca="1">IFERROR(__xludf.DUMMYFUNCTION("""COMPUTED_VALUE"""),2014)</f>
        <v>2014</v>
      </c>
      <c r="E5248" s="10" t="str">
        <f ca="1">IFERROR(__xludf.DUMMYFUNCTION("""COMPUTED_VALUE"""),"International Conference”Defence studies in Bulgaria: A Sentential traditional and new horizons, 7-9 Октомври, 2014, София, Воен")</f>
        <v>International Conference”Defence studies in Bulgaria: A Sentential traditional and new horizons, 7-9 Октомври, 2014, София, Воен</v>
      </c>
      <c r="F5248" s="10"/>
      <c r="G5248" s="10"/>
      <c r="H5248" s="10"/>
      <c r="I5248" s="10"/>
      <c r="J5248" s="10"/>
      <c r="K5248" s="10"/>
      <c r="L5248" s="10"/>
      <c r="M5248" s="10"/>
      <c r="N5248" s="10"/>
      <c r="O5248" s="10"/>
      <c r="P5248" s="10"/>
      <c r="Q5248" s="10"/>
      <c r="R5248" s="10"/>
      <c r="S5248" s="10"/>
      <c r="T5248" s="10"/>
      <c r="U5248" s="10"/>
      <c r="V5248" s="10"/>
      <c r="W5248" s="10"/>
      <c r="X5248" s="10"/>
      <c r="Y5248" s="10"/>
      <c r="Z5248" s="10"/>
    </row>
    <row r="5249" spans="1:26" ht="12.75">
      <c r="A5249" s="10" t="str">
        <f ca="1">IFERROR(__xludf.DUMMYFUNCTION("""COMPUTED_VALUE"""),"Майяна Милчева Митевска-Енчева")</f>
        <v>Майяна Милчева Митевска-Енчева</v>
      </c>
      <c r="B5249" s="10" t="str">
        <f ca="1">IFERROR(__xludf.DUMMYFUNCTION("""COMPUTED_VALUE"""),"Статия в списания и поредици")</f>
        <v>Статия в списания и поредици</v>
      </c>
      <c r="C5249" s="10" t="str">
        <f ca="1">IFERROR(__xludf.DUMMYFUNCTION("""COMPUTED_VALUE"""),"Factor’s of organizational culture influence on conflicts in Bulgarian organizations")</f>
        <v>Factor’s of organizational culture influence on conflicts in Bulgarian organizations</v>
      </c>
      <c r="D5249" s="10">
        <f ca="1">IFERROR(__xludf.DUMMYFUNCTION("""COMPUTED_VALUE"""),2014)</f>
        <v>2014</v>
      </c>
      <c r="E5249" s="10" t="str">
        <f ca="1">IFERROR(__xludf.DUMMYFUNCTION("""COMPUTED_VALUE"""),"Papers of BAS. Sofia. 2014, p. 56 – 70 ISSN (print) 2367-6248 ISSN (online) 2603-4832")</f>
        <v>Papers of BAS. Sofia. 2014, p. 56 – 70 ISSN (print) 2367-6248 ISSN (online) 2603-4832</v>
      </c>
      <c r="F5249" s="10"/>
      <c r="G5249" s="10" t="str">
        <f ca="1">IFERROR(__xludf.DUMMYFUNCTION("""COMPUTED_VALUE"""),"Prof. DSc. Gosho Kirilov Petkov , Ph.D.")</f>
        <v>Prof. DSc. Gosho Kirilov Petkov , Ph.D.</v>
      </c>
      <c r="H5249" s="10"/>
      <c r="I5249" s="10"/>
      <c r="J5249" s="10"/>
      <c r="K5249" s="10"/>
      <c r="L5249" s="10"/>
      <c r="M5249" s="10"/>
      <c r="N5249" s="10"/>
      <c r="O5249" s="10"/>
      <c r="P5249" s="10"/>
      <c r="Q5249" s="10"/>
      <c r="R5249" s="10"/>
      <c r="S5249" s="10"/>
      <c r="T5249" s="10"/>
      <c r="U5249" s="10"/>
      <c r="V5249" s="10"/>
      <c r="W5249" s="10"/>
      <c r="X5249" s="10"/>
      <c r="Y5249" s="10"/>
      <c r="Z5249" s="10"/>
    </row>
    <row r="5250" spans="1:26" ht="12.75">
      <c r="A5250" s="10" t="str">
        <f ca="1">IFERROR(__xludf.DUMMYFUNCTION("""COMPUTED_VALUE"""),"Майяна Милчева Митевска-Енчева")</f>
        <v>Майяна Милчева Митевска-Енчева</v>
      </c>
      <c r="B5250" s="10" t="str">
        <f ca="1">IFERROR(__xludf.DUMMYFUNCTION("""COMPUTED_VALUE"""),"Статия в списания и поредици")</f>
        <v>Статия в списания и поредици</v>
      </c>
      <c r="C5250" s="10" t="str">
        <f ca="1">IFERROR(__xludf.DUMMYFUNCTION("""COMPUTED_VALUE"""),"Психологически анализ в сферата на бизнес-комуникацията")</f>
        <v>Психологически анализ в сферата на бизнес-комуникацията</v>
      </c>
      <c r="D5250" s="10">
        <f ca="1">IFERROR(__xludf.DUMMYFUNCTION("""COMPUTED_VALUE"""),2014)</f>
        <v>2014</v>
      </c>
      <c r="E5250" s="10" t="str">
        <f ca="1">IFERROR(__xludf.DUMMYFUNCTION("""COMPUTED_VALUE"""),"Психология – теория и практика ISSN C627-5834; 1314-006X. – God. 6, br. 3 (2014), s. 106-119")</f>
        <v>Психология – теория и практика ISSN C627-5834; 1314-006X. – God. 6, br. 3 (2014), s. 106-119</v>
      </c>
      <c r="F5250" s="10"/>
      <c r="G5250" s="10"/>
      <c r="H5250" s="10"/>
      <c r="I5250" s="10"/>
      <c r="J5250" s="10"/>
      <c r="K5250" s="10"/>
      <c r="L5250" s="10"/>
      <c r="M5250" s="10"/>
      <c r="N5250" s="10"/>
      <c r="O5250" s="10"/>
      <c r="P5250" s="10"/>
      <c r="Q5250" s="10"/>
      <c r="R5250" s="10"/>
      <c r="S5250" s="10"/>
      <c r="T5250" s="10"/>
      <c r="U5250" s="10"/>
      <c r="V5250" s="10"/>
      <c r="W5250" s="10"/>
      <c r="X5250" s="10"/>
      <c r="Y5250" s="10"/>
      <c r="Z5250" s="10"/>
    </row>
    <row r="5251" spans="1:26" ht="12.75">
      <c r="A5251" s="10" t="str">
        <f ca="1">IFERROR(__xludf.DUMMYFUNCTION("""COMPUTED_VALUE"""),"Майяна Милчева Митевска-Енчева")</f>
        <v>Майяна Милчева Митевска-Енчева</v>
      </c>
      <c r="B5251" s="10" t="str">
        <f ca="1">IFERROR(__xludf.DUMMYFUNCTION("""COMPUTED_VALUE"""),"Доклад от конференция")</f>
        <v>Доклад от конференция</v>
      </c>
      <c r="C5251" s="10" t="str">
        <f ca="1">IFERROR(__xludf.DUMMYFUNCTION("""COMPUTED_VALUE"""),"Доминираща ценностна ориентация и гражданско поведение. Психологични изследвания.")</f>
        <v>Доминираща ценностна ориентация и гражданско поведение. Психологични изследвания.</v>
      </c>
      <c r="D5251" s="10">
        <f ca="1">IFERROR(__xludf.DUMMYFUNCTION("""COMPUTED_VALUE"""),2014)</f>
        <v>2014</v>
      </c>
      <c r="E5251" s="10" t="str">
        <f ca="1">IFERROR(__xludf.DUMMYFUNCTION("""COMPUTED_VALUE"""),"Институт за изследване на населението и човека – БАН. Книжка 17, 2014. Академично издателство „Проф. Марин Дринов“, с. 79 – 87.")</f>
        <v>Институт за изследване на населението и човека – БАН. Книжка 17, 2014. Академично издателство „Проф. Марин Дринов“, с. 79 – 87.</v>
      </c>
      <c r="F5251" s="10"/>
      <c r="G5251" s="10"/>
      <c r="H5251" s="10"/>
      <c r="I5251" s="10"/>
      <c r="J5251" s="10"/>
      <c r="K5251" s="10"/>
      <c r="L5251" s="10"/>
      <c r="M5251" s="10"/>
      <c r="N5251" s="10"/>
      <c r="O5251" s="10"/>
      <c r="P5251" s="10"/>
      <c r="Q5251" s="10"/>
      <c r="R5251" s="10"/>
      <c r="S5251" s="10"/>
      <c r="T5251" s="10"/>
      <c r="U5251" s="10"/>
      <c r="V5251" s="10"/>
      <c r="W5251" s="10"/>
      <c r="X5251" s="10"/>
      <c r="Y5251" s="10"/>
      <c r="Z5251" s="10"/>
    </row>
    <row r="5252" spans="1:26" ht="12.75">
      <c r="A5252" s="10" t="str">
        <f ca="1">IFERROR(__xludf.DUMMYFUNCTION("""COMPUTED_VALUE"""),"Майяна Милчева Митевска-Енчева")</f>
        <v>Майяна Милчева Митевска-Енчева</v>
      </c>
      <c r="B5252" s="10" t="str">
        <f ca="1">IFERROR(__xludf.DUMMYFUNCTION("""COMPUTED_VALUE"""),"Статия в списания и поредици")</f>
        <v>Статия в списания и поредици</v>
      </c>
      <c r="C5252" s="10" t="str">
        <f ca="1">IFERROR(__xludf.DUMMYFUNCTION("""COMPUTED_VALUE"""),"Sustainability and Dunamics of the Key Value Orientations for Effecti-ve Manegment in a Bulgarian Sosiocultural Enviorment")</f>
        <v>Sustainability and Dunamics of the Key Value Orientations for Effecti-ve Manegment in a Bulgarian Sosiocultural Enviorment</v>
      </c>
      <c r="D5252" s="10">
        <f ca="1">IFERROR(__xludf.DUMMYFUNCTION("""COMPUTED_VALUE"""),2014)</f>
        <v>2014</v>
      </c>
      <c r="E5252" s="10" t="str">
        <f ca="1">IFERROR(__xludf.DUMMYFUNCTION("""COMPUTED_VALUE"""),"The Macrotheme Review E-ISSN 1848-4735 ISSN 2379-9765 http://macrotheme.com")</f>
        <v>The Macrotheme Review E-ISSN 1848-4735 ISSN 2379-9765 http://macrotheme.com</v>
      </c>
      <c r="F5252" s="10"/>
      <c r="G5252" s="10"/>
      <c r="H5252" s="10"/>
      <c r="I5252" s="10"/>
      <c r="J5252" s="10"/>
      <c r="K5252" s="10"/>
      <c r="L5252" s="10"/>
      <c r="M5252" s="10"/>
      <c r="N5252" s="10"/>
      <c r="O5252" s="10"/>
      <c r="P5252" s="10"/>
      <c r="Q5252" s="10"/>
      <c r="R5252" s="10"/>
      <c r="S5252" s="10"/>
      <c r="T5252" s="10"/>
      <c r="U5252" s="10"/>
      <c r="V5252" s="10"/>
      <c r="W5252" s="10"/>
      <c r="X5252" s="10"/>
      <c r="Y5252" s="10"/>
      <c r="Z5252" s="10"/>
    </row>
    <row r="5253" spans="1:26" ht="12.75">
      <c r="A5253" s="10" t="str">
        <f ca="1">IFERROR(__xludf.DUMMYFUNCTION("""COMPUTED_VALUE"""),"Майяна Милчева Митевска-Енчева")</f>
        <v>Майяна Милчева Митевска-Енчева</v>
      </c>
      <c r="B5253" s="10" t="str">
        <f ca="1">IFERROR(__xludf.DUMMYFUNCTION("""COMPUTED_VALUE"""),"Статия в списания и поредици")</f>
        <v>Статия в списания и поредици</v>
      </c>
      <c r="C5253" s="10" t="str">
        <f ca="1">IFERROR(__xludf.DUMMYFUNCTION("""COMPUTED_VALUE"""),"Изследване на видовете организационен климат")</f>
        <v>Изследване на видовете организационен климат</v>
      </c>
      <c r="D5253" s="10">
        <f ca="1">IFERROR(__xludf.DUMMYFUNCTION("""COMPUTED_VALUE"""),2014)</f>
        <v>2014</v>
      </c>
      <c r="E5253" s="10" t="str">
        <f ca="1">IFERROR(__xludf.DUMMYFUNCTION("""COMPUTED_VALUE"""),"Нови информационни технологии в образователния процес: Сборник ISSN 1313-2768. – 2013 (2014), s. 117-129")</f>
        <v>Нови информационни технологии в образователния процес: Сборник ISSN 1313-2768. – 2013 (2014), s. 117-129</v>
      </c>
      <c r="F5253" s="10"/>
      <c r="G5253" s="10"/>
      <c r="H5253" s="10"/>
      <c r="I5253" s="10"/>
      <c r="J5253" s="10"/>
      <c r="K5253" s="10"/>
      <c r="L5253" s="10"/>
      <c r="M5253" s="10"/>
      <c r="N5253" s="10"/>
      <c r="O5253" s="10"/>
      <c r="P5253" s="10"/>
      <c r="Q5253" s="10"/>
      <c r="R5253" s="10"/>
      <c r="S5253" s="10"/>
      <c r="T5253" s="10"/>
      <c r="U5253" s="10"/>
      <c r="V5253" s="10"/>
      <c r="W5253" s="10"/>
      <c r="X5253" s="10"/>
      <c r="Y5253" s="10"/>
      <c r="Z5253" s="10"/>
    </row>
    <row r="5254" spans="1:26" ht="12.75">
      <c r="A5254" s="10" t="str">
        <f ca="1">IFERROR(__xludf.DUMMYFUNCTION("""COMPUTED_VALUE"""),"Майяна Милчева Митевска-Енчева")</f>
        <v>Майяна Милчева Митевска-Енчева</v>
      </c>
      <c r="B5254" s="10" t="str">
        <f ca="1">IFERROR(__xludf.DUMMYFUNCTION("""COMPUTED_VALUE"""),"Статия в списания и поредици")</f>
        <v>Статия в списания и поредици</v>
      </c>
      <c r="C5254" s="10" t="str">
        <f ca="1">IFERROR(__xludf.DUMMYFUNCTION("""COMPUTED_VALUE"""),"Поглед към същността на организационната психика")</f>
        <v>Поглед към същността на организационната психика</v>
      </c>
      <c r="D5254" s="10">
        <f ca="1">IFERROR(__xludf.DUMMYFUNCTION("""COMPUTED_VALUE"""),2014)</f>
        <v>2014</v>
      </c>
      <c r="E5254" s="10" t="str">
        <f ca="1">IFERROR(__xludf.DUMMYFUNCTION("""COMPUTED_VALUE"""),"Трудове на Специализираното висше училище по библиотекознание и информационни технологии ISSN 1312-5834. – 3 (2004), s. 271-277")</f>
        <v>Трудове на Специализираното висше училище по библиотекознание и информационни технологии ISSN 1312-5834. – 3 (2004), s. 271-277</v>
      </c>
      <c r="F5254" s="10"/>
      <c r="G5254" s="10"/>
      <c r="H5254" s="10"/>
      <c r="I5254" s="10"/>
      <c r="J5254" s="10"/>
      <c r="K5254" s="10"/>
      <c r="L5254" s="10"/>
      <c r="M5254" s="10"/>
      <c r="N5254" s="10"/>
      <c r="O5254" s="10"/>
      <c r="P5254" s="10"/>
      <c r="Q5254" s="10"/>
      <c r="R5254" s="10"/>
      <c r="S5254" s="10"/>
      <c r="T5254" s="10"/>
      <c r="U5254" s="10"/>
      <c r="V5254" s="10"/>
      <c r="W5254" s="10"/>
      <c r="X5254" s="10"/>
      <c r="Y5254" s="10"/>
      <c r="Z5254" s="10"/>
    </row>
    <row r="5255" spans="1:26" ht="12.75">
      <c r="A5255" s="10" t="str">
        <f ca="1">IFERROR(__xludf.DUMMYFUNCTION("""COMPUTED_VALUE"""),"Майяна Милчева Митевска-Енчева")</f>
        <v>Майяна Милчева Митевска-Енчева</v>
      </c>
      <c r="B5255" s="10" t="str">
        <f ca="1">IFERROR(__xludf.DUMMYFUNCTION("""COMPUTED_VALUE"""),"Статия в списания и поредици")</f>
        <v>Статия в списания и поредици</v>
      </c>
      <c r="C5255" s="10" t="str">
        <f ca="1">IFERROR(__xludf.DUMMYFUNCTION("""COMPUTED_VALUE"""),"Стабилност и изменчивост в организационните ценности.")</f>
        <v>Стабилност и изменчивост в организационните ценности.</v>
      </c>
      <c r="D5255" s="10">
        <f ca="1">IFERROR(__xludf.DUMMYFUNCTION("""COMPUTED_VALUE"""),2014)</f>
        <v>2014</v>
      </c>
      <c r="E5255" s="10" t="str">
        <f ca="1">IFERROR(__xludf.DUMMYFUNCTION("""COMPUTED_VALUE"""),"Новата парадигма за сигурност в киберпространството, Научна конференция – 2014, Шумен, Национален военен университет „В. Левски“, с. 140 – 148. ISBN 978-954-9681-49-9")</f>
        <v>Новата парадигма за сигурност в киберпространството, Научна конференция – 2014, Шумен, Национален военен университет „В. Левски“, с. 140 – 148. ISBN 978-954-9681-49-9</v>
      </c>
      <c r="F5255" s="10"/>
      <c r="G5255" s="10"/>
      <c r="H5255" s="10"/>
      <c r="I5255" s="10"/>
      <c r="J5255" s="10"/>
      <c r="K5255" s="10"/>
      <c r="L5255" s="10"/>
      <c r="M5255" s="10"/>
      <c r="N5255" s="10"/>
      <c r="O5255" s="10"/>
      <c r="P5255" s="10"/>
      <c r="Q5255" s="10"/>
      <c r="R5255" s="10"/>
      <c r="S5255" s="10"/>
      <c r="T5255" s="10"/>
      <c r="U5255" s="10"/>
      <c r="V5255" s="10"/>
      <c r="W5255" s="10"/>
      <c r="X5255" s="10"/>
      <c r="Y5255" s="10"/>
      <c r="Z5255" s="10"/>
    </row>
    <row r="5256" spans="1:26" ht="12.75">
      <c r="A5256" s="10" t="str">
        <f ca="1">IFERROR(__xludf.DUMMYFUNCTION("""COMPUTED_VALUE"""),"Майяна Милчева Митевска-Енчева")</f>
        <v>Майяна Милчева Митевска-Енчева</v>
      </c>
      <c r="B5256" s="10" t="str">
        <f ca="1">IFERROR(__xludf.DUMMYFUNCTION("""COMPUTED_VALUE"""),"Доклад от конференция")</f>
        <v>Доклад от конференция</v>
      </c>
      <c r="C5256" s="10" t="str">
        <f ca="1">IFERROR(__xludf.DUMMYFUNCTION("""COMPUTED_VALUE"""),"Младите в науката – инвестиция в бъдещето")</f>
        <v>Младите в науката – инвестиция в бъдещето</v>
      </c>
      <c r="D5256" s="10">
        <f ca="1">IFERROR(__xludf.DUMMYFUNCTION("""COMPUTED_VALUE"""),2014)</f>
        <v>2014</v>
      </c>
      <c r="E5256" s="10" t="str">
        <f ca="1">IFERROR(__xludf.DUMMYFUNCTION("""COMPUTED_VALUE"""),"Международна научна конференция ISBN 978-619-185-132-4")</f>
        <v>Международна научна конференция ISBN 978-619-185-132-4</v>
      </c>
      <c r="F5256" s="10"/>
      <c r="G5256" s="10"/>
      <c r="H5256" s="10"/>
      <c r="I5256" s="10"/>
      <c r="J5256" s="10"/>
      <c r="K5256" s="10"/>
      <c r="L5256" s="10"/>
      <c r="M5256" s="10"/>
      <c r="N5256" s="10"/>
      <c r="O5256" s="10"/>
      <c r="P5256" s="10"/>
      <c r="Q5256" s="10"/>
      <c r="R5256" s="10"/>
      <c r="S5256" s="10"/>
      <c r="T5256" s="10"/>
      <c r="U5256" s="10"/>
      <c r="V5256" s="10"/>
      <c r="W5256" s="10"/>
      <c r="X5256" s="10"/>
      <c r="Y5256" s="10"/>
      <c r="Z5256" s="10"/>
    </row>
    <row r="5257" spans="1:26" ht="12.75">
      <c r="A5257" s="10" t="str">
        <f ca="1">IFERROR(__xludf.DUMMYFUNCTION("""COMPUTED_VALUE"""),"Майяна Милчева Митевска-Енчева")</f>
        <v>Майяна Милчева Митевска-Енчева</v>
      </c>
      <c r="B5257" s="10" t="str">
        <f ca="1">IFERROR(__xludf.DUMMYFUNCTION("""COMPUTED_VALUE"""),"Статия в списания и поредици")</f>
        <v>Статия в списания и поредици</v>
      </c>
      <c r="C5257" s="10" t="str">
        <f ca="1">IFERROR(__xludf.DUMMYFUNCTION("""COMPUTED_VALUE"""),"Доминираща ценностна ориентация и гражданско поведение")</f>
        <v>Доминираща ценностна ориентация и гражданско поведение</v>
      </c>
      <c r="D5257" s="10">
        <f ca="1">IFERROR(__xludf.DUMMYFUNCTION("""COMPUTED_VALUE"""),2014)</f>
        <v>2014</v>
      </c>
      <c r="E5257" s="10" t="str">
        <f ca="1">IFERROR(__xludf.DUMMYFUNCTION("""COMPUTED_VALUE"""),"Психологични изследвания ISSN 1311-4700. – God. 17, br. 1 (2014), s. 79-86")</f>
        <v>Психологични изследвания ISSN 1311-4700. – God. 17, br. 1 (2014), s. 79-86</v>
      </c>
      <c r="F5257" s="10"/>
      <c r="G5257" s="10"/>
      <c r="H5257" s="10"/>
      <c r="I5257" s="10"/>
      <c r="J5257" s="10"/>
      <c r="K5257" s="10"/>
      <c r="L5257" s="10"/>
      <c r="M5257" s="10"/>
      <c r="N5257" s="10"/>
      <c r="O5257" s="10"/>
      <c r="P5257" s="10"/>
      <c r="Q5257" s="10"/>
      <c r="R5257" s="10"/>
      <c r="S5257" s="10"/>
      <c r="T5257" s="10"/>
      <c r="U5257" s="10"/>
      <c r="V5257" s="10"/>
      <c r="W5257" s="10"/>
      <c r="X5257" s="10"/>
      <c r="Y5257" s="10"/>
      <c r="Z5257" s="10"/>
    </row>
    <row r="5258" spans="1:26" ht="12.75">
      <c r="A5258" s="10" t="str">
        <f ca="1">IFERROR(__xludf.DUMMYFUNCTION("""COMPUTED_VALUE"""),"Майяна Милчева Митевска-Енчева")</f>
        <v>Майяна Милчева Митевска-Енчева</v>
      </c>
      <c r="B5258" s="10" t="str">
        <f ca="1">IFERROR(__xludf.DUMMYFUNCTION("""COMPUTED_VALUE"""),"Статия в списания и поредици")</f>
        <v>Статия в списания и поредици</v>
      </c>
      <c r="C5258" s="10" t="str">
        <f ca="1">IFERROR(__xludf.DUMMYFUNCTION("""COMPUTED_VALUE"""),"Survei on prososial behavior in the organization field")</f>
        <v>Survei on prososial behavior in the organization field</v>
      </c>
      <c r="D5258" s="10">
        <f ca="1">IFERROR(__xludf.DUMMYFUNCTION("""COMPUTED_VALUE"""),2013)</f>
        <v>2013</v>
      </c>
      <c r="E5258" s="10" t="str">
        <f ca="1">IFERROR(__xludf.DUMMYFUNCTION("""COMPUTED_VALUE"""),"Научна конференция с международно участие „психологията – традиции и перспективи“ ЮЗУ „Неофит Рилски“ в парт¬ньорство с Аристотелов университет, Гърция, 9–10.11. 2013 г., Благоев¬град, Университетски център „Бачиново“")</f>
        <v>Научна конференция с международно участие „психологията – традиции и перспективи“ ЮЗУ „Неофит Рилски“ в парт¬ньорство с Аристотелов университет, Гърция, 9–10.11. 2013 г., Благоев¬град, Университетски център „Бачиново“</v>
      </c>
      <c r="F5258" s="10"/>
      <c r="G5258" s="10"/>
      <c r="H5258" s="10"/>
      <c r="I5258" s="10"/>
      <c r="J5258" s="10"/>
      <c r="K5258" s="10"/>
      <c r="L5258" s="10"/>
      <c r="M5258" s="10"/>
      <c r="N5258" s="10"/>
      <c r="O5258" s="10"/>
      <c r="P5258" s="10"/>
      <c r="Q5258" s="10"/>
      <c r="R5258" s="10"/>
      <c r="S5258" s="10"/>
      <c r="T5258" s="10"/>
      <c r="U5258" s="10"/>
      <c r="V5258" s="10"/>
      <c r="W5258" s="10"/>
      <c r="X5258" s="10"/>
      <c r="Y5258" s="10"/>
      <c r="Z5258" s="10"/>
    </row>
    <row r="5259" spans="1:26" ht="12.75">
      <c r="A5259" s="10" t="str">
        <f ca="1">IFERROR(__xludf.DUMMYFUNCTION("""COMPUTED_VALUE"""),"Майяна Милчева Митевска-Енчева")</f>
        <v>Майяна Милчева Митевска-Енчева</v>
      </c>
      <c r="B5259" s="10" t="str">
        <f ca="1">IFERROR(__xludf.DUMMYFUNCTION("""COMPUTED_VALUE"""),"Статия в списания и поредици")</f>
        <v>Статия в списания и поредици</v>
      </c>
      <c r="C5259" s="10" t="str">
        <f ca="1">IFERROR(__xludf.DUMMYFUNCTION("""COMPUTED_VALUE"""),"Организационен климат и гражданско организационно поведение при ИТ специалисти")</f>
        <v>Организационен климат и гражданско организационно поведение при ИТ специалисти</v>
      </c>
      <c r="D5259" s="10">
        <f ca="1">IFERROR(__xludf.DUMMYFUNCTION("""COMPUTED_VALUE"""),2013)</f>
        <v>2013</v>
      </c>
      <c r="E5259" s="10" t="str">
        <f ca="1">IFERROR(__xludf.DUMMYFUNCTION("""COMPUTED_VALUE"""),"Общество на знанието и хуманизмът на XXI век: национална научна конференция с международно участие ISSN 1314-7099. – T. 10 (2013), s. 451-458")</f>
        <v>Общество на знанието и хуманизмът на XXI век: национална научна конференция с международно участие ISSN 1314-7099. – T. 10 (2013), s. 451-458</v>
      </c>
      <c r="F5259" s="10"/>
      <c r="G5259" s="10"/>
      <c r="H5259" s="10"/>
      <c r="I5259" s="10"/>
      <c r="J5259" s="10"/>
      <c r="K5259" s="10"/>
      <c r="L5259" s="10"/>
      <c r="M5259" s="10"/>
      <c r="N5259" s="10"/>
      <c r="O5259" s="10"/>
      <c r="P5259" s="10"/>
      <c r="Q5259" s="10"/>
      <c r="R5259" s="10"/>
      <c r="S5259" s="10"/>
      <c r="T5259" s="10"/>
      <c r="U5259" s="10"/>
      <c r="V5259" s="10"/>
      <c r="W5259" s="10"/>
      <c r="X5259" s="10"/>
      <c r="Y5259" s="10"/>
      <c r="Z5259" s="10"/>
    </row>
    <row r="5260" spans="1:26" ht="12.75">
      <c r="A5260" s="10" t="str">
        <f ca="1">IFERROR(__xludf.DUMMYFUNCTION("""COMPUTED_VALUE"""),"Майяна Милчева Митевска-Енчева")</f>
        <v>Майяна Милчева Митевска-Енчева</v>
      </c>
      <c r="B5260" s="10" t="str">
        <f ca="1">IFERROR(__xludf.DUMMYFUNCTION("""COMPUTED_VALUE"""),"Книга")</f>
        <v>Книга</v>
      </c>
      <c r="C5260" s="10" t="str">
        <f ca="1">IFERROR(__xludf.DUMMYFUNCTION("""COMPUTED_VALUE"""),"Иновационни стратегии и поведение. Учебно помагало")</f>
        <v>Иновационни стратегии и поведение. Учебно помагало</v>
      </c>
      <c r="D5260" s="10">
        <f ca="1">IFERROR(__xludf.DUMMYFUNCTION("""COMPUTED_VALUE"""),2013)</f>
        <v>2013</v>
      </c>
      <c r="E5260" s="10" t="str">
        <f ca="1">IFERROR(__xludf.DUMMYFUNCTION("""COMPUTED_VALUE"""),"2. Майяна Митевска-Енчева. Иновационни стратегии и поведение. Учебно помагало. София, За буквите 2013, 206 с. ISBN 978-954-2946-")</f>
        <v>2. Майяна Митевска-Енчева. Иновационни стратегии и поведение. Учебно помагало. София, За буквите 2013, 206 с. ISBN 978-954-2946-</v>
      </c>
      <c r="F5260" s="10"/>
      <c r="G5260" s="10"/>
      <c r="H5260" s="10"/>
      <c r="I5260" s="10"/>
      <c r="J5260" s="10"/>
      <c r="K5260" s="10"/>
      <c r="L5260" s="10"/>
      <c r="M5260" s="10"/>
      <c r="N5260" s="10"/>
      <c r="O5260" s="10"/>
      <c r="P5260" s="10"/>
      <c r="Q5260" s="10"/>
      <c r="R5260" s="10"/>
      <c r="S5260" s="10"/>
      <c r="T5260" s="10"/>
      <c r="U5260" s="10"/>
      <c r="V5260" s="10"/>
      <c r="W5260" s="10"/>
      <c r="X5260" s="10"/>
      <c r="Y5260" s="10"/>
      <c r="Z5260" s="10"/>
    </row>
    <row r="5261" spans="1:26" ht="12.75">
      <c r="A5261" s="10" t="str">
        <f ca="1">IFERROR(__xludf.DUMMYFUNCTION("""COMPUTED_VALUE"""),"Майяна Милчева Митевска-Енчева")</f>
        <v>Майяна Милчева Митевска-Енчева</v>
      </c>
      <c r="B5261" s="10" t="str">
        <f ca="1">IFERROR(__xludf.DUMMYFUNCTION("""COMPUTED_VALUE"""),"Статия в списания и поредици")</f>
        <v>Статия в списания и поредици</v>
      </c>
      <c r="C5261" s="10" t="str">
        <f ca="1">IFERROR(__xludf.DUMMYFUNCTION("""COMPUTED_VALUE"""),"Анализ на различията на видовете организационен климат")</f>
        <v>Анализ на различията на видовете организационен климат</v>
      </c>
      <c r="D5261" s="10">
        <f ca="1">IFERROR(__xludf.DUMMYFUNCTION("""COMPUTED_VALUE"""),2013)</f>
        <v>2013</v>
      </c>
      <c r="E5261" s="10" t="str">
        <f ca="1">IFERROR(__xludf.DUMMYFUNCTION("""COMPUTED_VALUE"""),"Научен семинар, 30 - 31 октомври 2013 г., НАЦИОНАЛЕН ВОЕНЕН УНИВЕРСИТЕТ – Факултет „Артилерия, ПВО и КИС“ гр. Шумен. Сборник Научни трудове, част 2 ISSN 1313-7433")</f>
        <v>Научен семинар, 30 - 31 октомври 2013 г., НАЦИОНАЛЕН ВОЕНЕН УНИВЕРСИТЕТ – Факултет „Артилерия, ПВО и КИС“ гр. Шумен. Сборник Научни трудове, част 2 ISSN 1313-7433</v>
      </c>
      <c r="F5261" s="10"/>
      <c r="G5261" s="10"/>
      <c r="H5261" s="10"/>
      <c r="I5261" s="10"/>
      <c r="J5261" s="10"/>
      <c r="K5261" s="10"/>
      <c r="L5261" s="10"/>
      <c r="M5261" s="10"/>
      <c r="N5261" s="10"/>
      <c r="O5261" s="10"/>
      <c r="P5261" s="10"/>
      <c r="Q5261" s="10"/>
      <c r="R5261" s="10"/>
      <c r="S5261" s="10"/>
      <c r="T5261" s="10"/>
      <c r="U5261" s="10"/>
      <c r="V5261" s="10"/>
      <c r="W5261" s="10"/>
      <c r="X5261" s="10"/>
      <c r="Y5261" s="10"/>
      <c r="Z5261" s="10"/>
    </row>
    <row r="5262" spans="1:26" ht="12.75">
      <c r="A5262" s="10" t="str">
        <f ca="1">IFERROR(__xludf.DUMMYFUNCTION("""COMPUTED_VALUE"""),"Майяна Милчева Митевска-Енчева")</f>
        <v>Майяна Милчева Митевска-Енчева</v>
      </c>
      <c r="B5262" s="10" t="str">
        <f ca="1">IFERROR(__xludf.DUMMYFUNCTION("""COMPUTED_VALUE"""),"Доклад от конференция")</f>
        <v>Доклад от конференция</v>
      </c>
      <c r="C5262" s="10" t="str">
        <f ca="1">IFERROR(__xludf.DUMMYFUNCTION("""COMPUTED_VALUE"""),"Взаимозависимост между типовете конфликти и стиловете за разрешаването им в организациите")</f>
        <v>Взаимозависимост между типовете конфликти и стиловете за разрешаването им в организациите</v>
      </c>
      <c r="D5262" s="10">
        <f ca="1">IFERROR(__xludf.DUMMYFUNCTION("""COMPUTED_VALUE"""),2013)</f>
        <v>2013</v>
      </c>
      <c r="E5262" s="10" t="str">
        <f ca="1">IFERROR(__xludf.DUMMYFUNCTION("""COMPUTED_VALUE"""),"Международна конференция „Психологическа интервенция и превенция на конфилкта при съчетаване на семейния и професионалния живот“, 19-20 септември 2013, София ISВN 978-954-2987-05-5")</f>
        <v>Международна конференция „Психологическа интервенция и превенция на конфилкта при съчетаване на семейния и професионалния живот“, 19-20 септември 2013, София ISВN 978-954-2987-05-5</v>
      </c>
      <c r="F5262" s="10"/>
      <c r="G5262" s="10"/>
      <c r="H5262" s="10"/>
      <c r="I5262" s="10"/>
      <c r="J5262" s="10"/>
      <c r="K5262" s="10"/>
      <c r="L5262" s="10"/>
      <c r="M5262" s="10"/>
      <c r="N5262" s="10"/>
      <c r="O5262" s="10"/>
      <c r="P5262" s="10"/>
      <c r="Q5262" s="10"/>
      <c r="R5262" s="10"/>
      <c r="S5262" s="10"/>
      <c r="T5262" s="10"/>
      <c r="U5262" s="10"/>
      <c r="V5262" s="10"/>
      <c r="W5262" s="10"/>
      <c r="X5262" s="10"/>
      <c r="Y5262" s="10"/>
      <c r="Z5262" s="10"/>
    </row>
    <row r="5263" spans="1:26" ht="12.75">
      <c r="A5263" s="10" t="str">
        <f ca="1">IFERROR(__xludf.DUMMYFUNCTION("""COMPUTED_VALUE"""),"Майяна Милчева Митевска-Енчева")</f>
        <v>Майяна Милчева Митевска-Енчева</v>
      </c>
      <c r="B5263" s="10" t="str">
        <f ca="1">IFERROR(__xludf.DUMMYFUNCTION("""COMPUTED_VALUE"""),"Статия в списания и поредици")</f>
        <v>Статия в списания и поредици</v>
      </c>
      <c r="C5263" s="10" t="str">
        <f ca="1">IFERROR(__xludf.DUMMYFUNCTION("""COMPUTED_VALUE"""),"Влияние на демографските променливи върху организационния климат")</f>
        <v>Влияние на демографските променливи върху организационния климат</v>
      </c>
      <c r="D5263" s="10">
        <f ca="1">IFERROR(__xludf.DUMMYFUNCTION("""COMPUTED_VALUE"""),2013)</f>
        <v>2013</v>
      </c>
      <c r="E5263" s="10" t="str">
        <f ca="1">IFERROR(__xludf.DUMMYFUNCTION("""COMPUTED_VALUE"""),"Психологически изследвания, БАН, 2013, кн. 2/2013 ISSN 1311-4700 (Print) ISSN 2367-4563 (Online)")</f>
        <v>Психологически изследвания, БАН, 2013, кн. 2/2013 ISSN 1311-4700 (Print) ISSN 2367-4563 (Online)</v>
      </c>
      <c r="F5263" s="10"/>
      <c r="G5263" s="10"/>
      <c r="H5263" s="10"/>
      <c r="I5263" s="10"/>
      <c r="J5263" s="10"/>
      <c r="K5263" s="10"/>
      <c r="L5263" s="10"/>
      <c r="M5263" s="10"/>
      <c r="N5263" s="10"/>
      <c r="O5263" s="10"/>
      <c r="P5263" s="10"/>
      <c r="Q5263" s="10"/>
      <c r="R5263" s="10"/>
      <c r="S5263" s="10"/>
      <c r="T5263" s="10"/>
      <c r="U5263" s="10"/>
      <c r="V5263" s="10"/>
      <c r="W5263" s="10"/>
      <c r="X5263" s="10"/>
      <c r="Y5263" s="10"/>
      <c r="Z5263" s="10"/>
    </row>
    <row r="5264" spans="1:26" ht="12.75">
      <c r="A5264" s="10" t="str">
        <f ca="1">IFERROR(__xludf.DUMMYFUNCTION("""COMPUTED_VALUE"""),"Майяна Милчева Митевска-Енчева")</f>
        <v>Майяна Милчева Митевска-Енчева</v>
      </c>
      <c r="B5264" s="10" t="str">
        <f ca="1">IFERROR(__xludf.DUMMYFUNCTION("""COMPUTED_VALUE"""),"Статия в списания и поредици")</f>
        <v>Статия в списания и поредици</v>
      </c>
      <c r="C5264" s="10" t="str">
        <f ca="1">IFERROR(__xludf.DUMMYFUNCTION("""COMPUTED_VALUE"""),"Взаимовръзка и взаимовлияние между проявите на просоциално поведение и типовете и организационен климат")</f>
        <v>Взаимовръзка и взаимовлияние между проявите на просоциално поведение и типовете и организационен климат</v>
      </c>
      <c r="D5264" s="10">
        <f ca="1">IFERROR(__xludf.DUMMYFUNCTION("""COMPUTED_VALUE"""),2013)</f>
        <v>2013</v>
      </c>
      <c r="E5264" s="10" t="str">
        <f ca="1">IFERROR(__xludf.DUMMYFUNCTION("""COMPUTED_VALUE"""),"Научен семинар, 30 - 31 октомври 2013 г., НАЦИОНАЛЕН ВОЕНЕН УНИВЕРСИТЕТ – Факултет „Артилерия, ПВО и КИС“ гр. Шумен. Сборник Научни трудове, част 2 ISSN 1313-7433")</f>
        <v>Научен семинар, 30 - 31 октомври 2013 г., НАЦИОНАЛЕН ВОЕНЕН УНИВЕРСИТЕТ – Факултет „Артилерия, ПВО и КИС“ гр. Шумен. Сборник Научни трудове, част 2 ISSN 1313-7433</v>
      </c>
      <c r="F5264" s="10"/>
      <c r="G5264" s="10"/>
      <c r="H5264" s="10"/>
      <c r="I5264" s="10"/>
      <c r="J5264" s="10"/>
      <c r="K5264" s="10"/>
      <c r="L5264" s="10"/>
      <c r="M5264" s="10"/>
      <c r="N5264" s="10"/>
      <c r="O5264" s="10"/>
      <c r="P5264" s="10"/>
      <c r="Q5264" s="10"/>
      <c r="R5264" s="10"/>
      <c r="S5264" s="10"/>
      <c r="T5264" s="10"/>
      <c r="U5264" s="10"/>
      <c r="V5264" s="10"/>
      <c r="W5264" s="10"/>
      <c r="X5264" s="10"/>
      <c r="Y5264" s="10"/>
      <c r="Z5264" s="10"/>
    </row>
    <row r="5265" spans="1:26" ht="12.75">
      <c r="A5265" s="10" t="str">
        <f ca="1">IFERROR(__xludf.DUMMYFUNCTION("""COMPUTED_VALUE"""),"Майяна Милчева Митевска-Енчева")</f>
        <v>Майяна Милчева Митевска-Енчева</v>
      </c>
      <c r="B5265" s="10" t="str">
        <f ca="1">IFERROR(__xludf.DUMMYFUNCTION("""COMPUTED_VALUE"""),"Монография")</f>
        <v>Монография</v>
      </c>
      <c r="C5265" s="10" t="str">
        <f ca="1">IFERROR(__xludf.DUMMYFUNCTION("""COMPUTED_VALUE"""),"Просоциално поведение и организационен климат")</f>
        <v>Просоциално поведение и организационен климат</v>
      </c>
      <c r="D5265" s="10">
        <f ca="1">IFERROR(__xludf.DUMMYFUNCTION("""COMPUTED_VALUE"""),2013)</f>
        <v>2013</v>
      </c>
      <c r="E5265" s="10" t="str">
        <f ca="1">IFERROR(__xludf.DUMMYFUNCTION("""COMPUTED_VALUE"""),"2. Майяна Митевска-Енчева, Просоциално поведение и организационен климат, София, За буквите 2013, 201 с. ISBN 978-954-2946-75-5")</f>
        <v>2. Майяна Митевска-Енчева, Просоциално поведение и организационен климат, София, За буквите 2013, 201 с. ISBN 978-954-2946-75-5</v>
      </c>
      <c r="F5265" s="10"/>
      <c r="G5265" s="10"/>
      <c r="H5265" s="10"/>
      <c r="I5265" s="10"/>
      <c r="J5265" s="10"/>
      <c r="K5265" s="10"/>
      <c r="L5265" s="10"/>
      <c r="M5265" s="10"/>
      <c r="N5265" s="10"/>
      <c r="O5265" s="10"/>
      <c r="P5265" s="10"/>
      <c r="Q5265" s="10"/>
      <c r="R5265" s="10"/>
      <c r="S5265" s="10"/>
      <c r="T5265" s="10"/>
      <c r="U5265" s="10"/>
      <c r="V5265" s="10"/>
      <c r="W5265" s="10"/>
      <c r="X5265" s="10"/>
      <c r="Y5265" s="10"/>
      <c r="Z5265" s="10"/>
    </row>
    <row r="5266" spans="1:26" ht="12.75">
      <c r="A5266" s="10" t="str">
        <f ca="1">IFERROR(__xludf.DUMMYFUNCTION("""COMPUTED_VALUE"""),"Майяна Милчева Митевска-Енчева")</f>
        <v>Майяна Милчева Митевска-Енчева</v>
      </c>
      <c r="B5266" s="10" t="str">
        <f ca="1">IFERROR(__xludf.DUMMYFUNCTION("""COMPUTED_VALUE"""),"Статия в списания и поредици")</f>
        <v>Статия в списания и поредици</v>
      </c>
      <c r="C5266" s="10" t="str">
        <f ca="1">IFERROR(__xludf.DUMMYFUNCTION("""COMPUTED_VALUE"""),"Interdependence and Mutual Influence of Pro-social Behavior and Organizational Climate In Different Arias of Activity in Bulgaria")</f>
        <v>Interdependence and Mutual Influence of Pro-social Behavior and Organizational Climate In Different Arias of Activity in Bulgaria</v>
      </c>
      <c r="D5266" s="10">
        <f ca="1">IFERROR(__xludf.DUMMYFUNCTION("""COMPUTED_VALUE"""),2013)</f>
        <v>2013</v>
      </c>
      <c r="E5266" s="10" t="str">
        <f ca="1">IFERROR(__xludf.DUMMYFUNCTION("""COMPUTED_VALUE"""),"The Macrotheme Review 2(6), Special Issue: International Macro Themes, 2013, рр. 47-57. Е-ISSN 1848-4735 ISSN 2379-9765 http://macrotheme.com/yahoo_site_admin/assets/docs/2MR74Ma.337233611.pdf")</f>
        <v>The Macrotheme Review 2(6), Special Issue: International Macro Themes, 2013, рр. 47-57. Е-ISSN 1848-4735 ISSN 2379-9765 http://macrotheme.com/yahoo_site_admin/assets/docs/2MR74Ma.337233611.pdf</v>
      </c>
      <c r="F5266" s="10"/>
      <c r="G5266" s="10"/>
      <c r="H5266" s="10"/>
      <c r="I5266" s="10"/>
      <c r="J5266" s="10"/>
      <c r="K5266" s="10"/>
      <c r="L5266" s="10"/>
      <c r="M5266" s="10"/>
      <c r="N5266" s="10"/>
      <c r="O5266" s="10"/>
      <c r="P5266" s="10"/>
      <c r="Q5266" s="10"/>
      <c r="R5266" s="10"/>
      <c r="S5266" s="10"/>
      <c r="T5266" s="10"/>
      <c r="U5266" s="10"/>
      <c r="V5266" s="10"/>
      <c r="W5266" s="10"/>
      <c r="X5266" s="10"/>
      <c r="Y5266" s="10"/>
      <c r="Z5266" s="10"/>
    </row>
    <row r="5267" spans="1:26" ht="12.75">
      <c r="A5267" s="10" t="str">
        <f ca="1">IFERROR(__xludf.DUMMYFUNCTION("""COMPUTED_VALUE"""),"Майяна Милчева Митевска-Енчева")</f>
        <v>Майяна Милчева Митевска-Енчева</v>
      </c>
      <c r="B5267" s="10" t="str">
        <f ca="1">IFERROR(__xludf.DUMMYFUNCTION("""COMPUTED_VALUE"""),"Статия в списания и поредици")</f>
        <v>Статия в списания и поредици</v>
      </c>
      <c r="C5267" s="10" t="str">
        <f ca="1">IFERROR(__xludf.DUMMYFUNCTION("""COMPUTED_VALUE"""),"Влияние на просоциалното поведение върху феномени от организационно равнище")</f>
        <v>Влияние на просоциалното поведение върху феномени от организационно равнище</v>
      </c>
      <c r="D5267" s="10">
        <f ca="1">IFERROR(__xludf.DUMMYFUNCTION("""COMPUTED_VALUE"""),2013)</f>
        <v>2013</v>
      </c>
      <c r="E5267" s="10" t="str">
        <f ca="1">IFERROR(__xludf.DUMMYFUNCTION("""COMPUTED_VALUE"""),"Трудове УниБИТ, 2012, Издателство „За буквите – о писменехъ”, 2013 ISSN 1314-2623")</f>
        <v>Трудове УниБИТ, 2012, Издателство „За буквите – о писменехъ”, 2013 ISSN 1314-2623</v>
      </c>
      <c r="F5267" s="10"/>
      <c r="G5267" s="10"/>
      <c r="H5267" s="10"/>
      <c r="I5267" s="10"/>
      <c r="J5267" s="10"/>
      <c r="K5267" s="10"/>
      <c r="L5267" s="10"/>
      <c r="M5267" s="10"/>
      <c r="N5267" s="10"/>
      <c r="O5267" s="10"/>
      <c r="P5267" s="10"/>
      <c r="Q5267" s="10"/>
      <c r="R5267" s="10"/>
      <c r="S5267" s="10"/>
      <c r="T5267" s="10"/>
      <c r="U5267" s="10"/>
      <c r="V5267" s="10"/>
      <c r="W5267" s="10"/>
      <c r="X5267" s="10"/>
      <c r="Y5267" s="10"/>
      <c r="Z5267" s="10"/>
    </row>
    <row r="5268" spans="1:26" ht="12.75">
      <c r="A5268" s="10" t="str">
        <f ca="1">IFERROR(__xludf.DUMMYFUNCTION("""COMPUTED_VALUE"""),"Майяна Милчева Митевска-Енчева")</f>
        <v>Майяна Милчева Митевска-Енчева</v>
      </c>
      <c r="B5268" s="10" t="str">
        <f ca="1">IFERROR(__xludf.DUMMYFUNCTION("""COMPUTED_VALUE"""),"Статия в списания и поредици")</f>
        <v>Статия в списания и поредици</v>
      </c>
      <c r="C5268" s="10" t="str">
        <f ca="1">IFERROR(__xludf.DUMMYFUNCTION("""COMPUTED_VALUE"""),"Ценностна ориентация в организациите. // Общество на знанието и хуманизмът.")</f>
        <v>Ценностна ориентация в организациите. // Общество на знанието и хуманизмът.</v>
      </c>
      <c r="D5268" s="10">
        <f ca="1">IFERROR(__xludf.DUMMYFUNCTION("""COMPUTED_VALUE"""),2013)</f>
        <v>2013</v>
      </c>
      <c r="E5268" s="10" t="str">
        <f ca="1">IFERROR(__xludf.DUMMYFUNCTION("""COMPUTED_VALUE"""),"Единадесета научна конференция с международно участие, София 1 ноември 2013, За буквите – О писменех, София 2014г., с. 502 – 511. ISSN 1314-7019")</f>
        <v>Единадесета научна конференция с международно участие, София 1 ноември 2013, За буквите – О писменех, София 2014г., с. 502 – 511. ISSN 1314-7019</v>
      </c>
      <c r="F5268" s="10"/>
      <c r="G5268" s="10"/>
      <c r="H5268" s="10"/>
      <c r="I5268" s="10"/>
      <c r="J5268" s="10"/>
      <c r="K5268" s="10"/>
      <c r="L5268" s="10"/>
      <c r="M5268" s="10"/>
      <c r="N5268" s="10"/>
      <c r="O5268" s="10"/>
      <c r="P5268" s="10"/>
      <c r="Q5268" s="10"/>
      <c r="R5268" s="10"/>
      <c r="S5268" s="10"/>
      <c r="T5268" s="10"/>
      <c r="U5268" s="10"/>
      <c r="V5268" s="10"/>
      <c r="W5268" s="10"/>
      <c r="X5268" s="10"/>
      <c r="Y5268" s="10"/>
      <c r="Z5268" s="10"/>
    </row>
    <row r="5269" spans="1:26" ht="12.75">
      <c r="A5269" s="10" t="str">
        <f ca="1">IFERROR(__xludf.DUMMYFUNCTION("""COMPUTED_VALUE"""),"Майяна Милчева Митевска-Енчева")</f>
        <v>Майяна Милчева Митевска-Енчева</v>
      </c>
      <c r="B5269" s="10" t="str">
        <f ca="1">IFERROR(__xludf.DUMMYFUNCTION("""COMPUTED_VALUE"""),"Учебник")</f>
        <v>Учебник</v>
      </c>
      <c r="C5269" s="10" t="str">
        <f ca="1">IFERROR(__xludf.DUMMYFUNCTION("""COMPUTED_VALUE"""),"Поведение в организацията")</f>
        <v>Поведение в организацията</v>
      </c>
      <c r="D5269" s="10">
        <f ca="1">IFERROR(__xludf.DUMMYFUNCTION("""COMPUTED_VALUE"""),2013)</f>
        <v>2013</v>
      </c>
      <c r="E5269" s="10" t="str">
        <f ca="1">IFERROR(__xludf.DUMMYFUNCTION("""COMPUTED_VALUE"""),"София, За буквите 2013, 210 с. ISBN 978-954-2946-77-9.")</f>
        <v>София, За буквите 2013, 210 с. ISBN 978-954-2946-77-9.</v>
      </c>
      <c r="F5269" s="10"/>
      <c r="G5269" s="10"/>
      <c r="H5269" s="10"/>
      <c r="I5269" s="10"/>
      <c r="J5269" s="10"/>
      <c r="K5269" s="10"/>
      <c r="L5269" s="10"/>
      <c r="M5269" s="10"/>
      <c r="N5269" s="10"/>
      <c r="O5269" s="10"/>
      <c r="P5269" s="10"/>
      <c r="Q5269" s="10"/>
      <c r="R5269" s="10"/>
      <c r="S5269" s="10"/>
      <c r="T5269" s="10"/>
      <c r="U5269" s="10"/>
      <c r="V5269" s="10"/>
      <c r="W5269" s="10"/>
      <c r="X5269" s="10"/>
      <c r="Y5269" s="10"/>
      <c r="Z5269" s="10"/>
    </row>
    <row r="5270" spans="1:26" ht="12.75">
      <c r="A5270" s="10" t="str">
        <f ca="1">IFERROR(__xludf.DUMMYFUNCTION("""COMPUTED_VALUE"""),"Майяна Милчева Митевска-Енчева")</f>
        <v>Майяна Милчева Митевска-Енчева</v>
      </c>
      <c r="B5270" s="10" t="str">
        <f ca="1">IFERROR(__xludf.DUMMYFUNCTION("""COMPUTED_VALUE"""),"Книга")</f>
        <v>Книга</v>
      </c>
      <c r="C5270" s="10" t="str">
        <f ca="1">IFERROR(__xludf.DUMMYFUNCTION("""COMPUTED_VALUE"""),"Поведение в организацията. Учебно помагало")</f>
        <v>Поведение в организацията. Учебно помагало</v>
      </c>
      <c r="D5270" s="10">
        <f ca="1">IFERROR(__xludf.DUMMYFUNCTION("""COMPUTED_VALUE"""),2013)</f>
        <v>2013</v>
      </c>
      <c r="E5270" s="10" t="str">
        <f ca="1">IFERROR(__xludf.DUMMYFUNCTION("""COMPUTED_VALUE"""),"1. Майяна Митевска-Енчева. Поведение в организацията. Учебно помагало. София, За буквите 2013, 205 с. ISBN 978-954-2946-77-9.")</f>
        <v>1. Майяна Митевска-Енчева. Поведение в организацията. Учебно помагало. София, За буквите 2013, 205 с. ISBN 978-954-2946-77-9.</v>
      </c>
      <c r="F5270" s="10"/>
      <c r="G5270" s="10"/>
      <c r="H5270" s="10"/>
      <c r="I5270" s="10"/>
      <c r="J5270" s="10"/>
      <c r="K5270" s="10"/>
      <c r="L5270" s="10"/>
      <c r="M5270" s="10"/>
      <c r="N5270" s="10"/>
      <c r="O5270" s="10"/>
      <c r="P5270" s="10"/>
      <c r="Q5270" s="10"/>
      <c r="R5270" s="10"/>
      <c r="S5270" s="10"/>
      <c r="T5270" s="10"/>
      <c r="U5270" s="10"/>
      <c r="V5270" s="10"/>
      <c r="W5270" s="10"/>
      <c r="X5270" s="10"/>
      <c r="Y5270" s="10"/>
      <c r="Z5270" s="10"/>
    </row>
    <row r="5271" spans="1:26" ht="12.75">
      <c r="A5271" s="10" t="str">
        <f ca="1">IFERROR(__xludf.DUMMYFUNCTION("""COMPUTED_VALUE"""),"Майяна Милчева Митевска-Енчева")</f>
        <v>Майяна Милчева Митевска-Енчева</v>
      </c>
      <c r="B5271" s="10" t="str">
        <f ca="1">IFERROR(__xludf.DUMMYFUNCTION("""COMPUTED_VALUE"""),"Статия в списания и поредици")</f>
        <v>Статия в списания и поредици</v>
      </c>
      <c r="C5271" s="10" t="str">
        <f ca="1">IFERROR(__xludf.DUMMYFUNCTION("""COMPUTED_VALUE"""),"Възприятия към ценностната ориентация в организацията")</f>
        <v>Възприятия към ценностната ориентация в организацията</v>
      </c>
      <c r="D5271" s="10">
        <f ca="1">IFERROR(__xludf.DUMMYFUNCTION("""COMPUTED_VALUE"""),2013)</f>
        <v>2013</v>
      </c>
      <c r="E5271" s="10" t="str">
        <f ca="1">IFERROR(__xludf.DUMMYFUNCTION("""COMPUTED_VALUE"""),"XI национална научна конференция с междуна¬родно участие на тема: “Обществото на знанието и хуманизмът на ХХІ век”, 2013: [Сб.]. 2013. ISSN 1314-7099")</f>
        <v>XI национална научна конференция с междуна¬родно участие на тема: “Обществото на знанието и хуманизмът на ХХІ век”, 2013: [Сб.]. 2013. ISSN 1314-7099</v>
      </c>
      <c r="F5271" s="10"/>
      <c r="G5271" s="10"/>
      <c r="H5271" s="10"/>
      <c r="I5271" s="10"/>
      <c r="J5271" s="10"/>
      <c r="K5271" s="10"/>
      <c r="L5271" s="10"/>
      <c r="M5271" s="10"/>
      <c r="N5271" s="10"/>
      <c r="O5271" s="10"/>
      <c r="P5271" s="10"/>
      <c r="Q5271" s="10"/>
      <c r="R5271" s="10"/>
      <c r="S5271" s="10"/>
      <c r="T5271" s="10"/>
      <c r="U5271" s="10"/>
      <c r="V5271" s="10"/>
      <c r="W5271" s="10"/>
      <c r="X5271" s="10"/>
      <c r="Y5271" s="10"/>
      <c r="Z5271" s="10"/>
    </row>
    <row r="5272" spans="1:26" ht="12.75">
      <c r="A5272" s="10" t="str">
        <f ca="1">IFERROR(__xludf.DUMMYFUNCTION("""COMPUTED_VALUE"""),"Майяна Милчева Митевска-Енчева")</f>
        <v>Майяна Милчева Митевска-Енчева</v>
      </c>
      <c r="B5272" s="10" t="str">
        <f ca="1">IFERROR(__xludf.DUMMYFUNCTION("""COMPUTED_VALUE"""),"Статия в списания и поредици")</f>
        <v>Статия в списания и поредици</v>
      </c>
      <c r="C5272" s="10" t="str">
        <f ca="1">IFERROR(__xludf.DUMMYFUNCTION("""COMPUTED_VALUE"""),"Impact of psychological factors on the successful standardization")</f>
        <v>Impact of psychological factors on the successful standardization</v>
      </c>
      <c r="D5272" s="10">
        <f ca="1">IFERROR(__xludf.DUMMYFUNCTION("""COMPUTED_VALUE"""),2013)</f>
        <v>2013</v>
      </c>
      <c r="E5272" s="10" t="str">
        <f ca="1">IFERROR(__xludf.DUMMYFUNCTION("""COMPUTED_VALUE"""),"10-ТА ЮБИЛЕЙНА МЕЖДУНАРОДНА КОНФЕРЕНЦИЯ, Стандартизация и свързаните с нея дейнос¬ти, Созопол, 12 – 14 септ. 2013 г.")</f>
        <v>10-ТА ЮБИЛЕЙНА МЕЖДУНАРОДНА КОНФЕРЕНЦИЯ, Стандартизация и свързаните с нея дейнос¬ти, Созопол, 12 – 14 септ. 2013 г.</v>
      </c>
      <c r="F5272" s="10"/>
      <c r="G5272" s="10"/>
      <c r="H5272" s="10"/>
      <c r="I5272" s="10"/>
      <c r="J5272" s="10"/>
      <c r="K5272" s="10"/>
      <c r="L5272" s="10"/>
      <c r="M5272" s="10"/>
      <c r="N5272" s="10"/>
      <c r="O5272" s="10"/>
      <c r="P5272" s="10"/>
      <c r="Q5272" s="10"/>
      <c r="R5272" s="10"/>
      <c r="S5272" s="10"/>
      <c r="T5272" s="10"/>
      <c r="U5272" s="10"/>
      <c r="V5272" s="10"/>
      <c r="W5272" s="10"/>
      <c r="X5272" s="10"/>
      <c r="Y5272" s="10"/>
      <c r="Z5272" s="10"/>
    </row>
    <row r="5273" spans="1:26" ht="12.75">
      <c r="A5273" s="10" t="str">
        <f ca="1">IFERROR(__xludf.DUMMYFUNCTION("""COMPUTED_VALUE"""),"Майяна Милчева Митевска-Енчева")</f>
        <v>Майяна Милчева Митевска-Енчева</v>
      </c>
      <c r="B5273" s="10" t="str">
        <f ca="1">IFERROR(__xludf.DUMMYFUNCTION("""COMPUTED_VALUE"""),"Статия в списания и поредици")</f>
        <v>Статия в списания и поредици</v>
      </c>
      <c r="C5273" s="10" t="str">
        <f ca="1">IFERROR(__xludf.DUMMYFUNCTION("""COMPUTED_VALUE"""),"Изследване на гражданското организационно поведение при студенти")</f>
        <v>Изследване на гражданското организационно поведение при студенти</v>
      </c>
      <c r="D5273" s="10">
        <f ca="1">IFERROR(__xludf.DUMMYFUNCTION("""COMPUTED_VALUE"""),2013)</f>
        <v>2013</v>
      </c>
      <c r="E5273" s="10" t="str">
        <f ca="1">IFERROR(__xludf.DUMMYFUNCTION("""COMPUTED_VALUE"""),"Нови информационни технологии в образователния процес: Сборник ISSN 1313-2768. – 2012 (2013), s. 315-327")</f>
        <v>Нови информационни технологии в образователния процес: Сборник ISSN 1313-2768. – 2012 (2013), s. 315-327</v>
      </c>
      <c r="F5273" s="10"/>
      <c r="G5273" s="10"/>
      <c r="H5273" s="10"/>
      <c r="I5273" s="10"/>
      <c r="J5273" s="10"/>
      <c r="K5273" s="10"/>
      <c r="L5273" s="10"/>
      <c r="M5273" s="10"/>
      <c r="N5273" s="10"/>
      <c r="O5273" s="10"/>
      <c r="P5273" s="10"/>
      <c r="Q5273" s="10"/>
      <c r="R5273" s="10"/>
      <c r="S5273" s="10"/>
      <c r="T5273" s="10"/>
      <c r="U5273" s="10"/>
      <c r="V5273" s="10"/>
      <c r="W5273" s="10"/>
      <c r="X5273" s="10"/>
      <c r="Y5273" s="10"/>
      <c r="Z5273" s="10"/>
    </row>
    <row r="5274" spans="1:26" ht="12.75">
      <c r="A5274" s="10" t="str">
        <f ca="1">IFERROR(__xludf.DUMMYFUNCTION("""COMPUTED_VALUE"""),"Майяна Милчева Митевска-Енчева")</f>
        <v>Майяна Милчева Митевска-Енчева</v>
      </c>
      <c r="B5274" s="10" t="str">
        <f ca="1">IFERROR(__xludf.DUMMYFUNCTION("""COMPUTED_VALUE"""),"Статия в списания и поредици")</f>
        <v>Статия в списания и поредици</v>
      </c>
      <c r="C5274" s="10" t="str">
        <f ca="1">IFERROR(__xludf.DUMMYFUNCTION("""COMPUTED_VALUE"""),"Impact of psychological factors on the successful standardization")</f>
        <v>Impact of psychological factors on the successful standardization</v>
      </c>
      <c r="D5274" s="10">
        <f ca="1">IFERROR(__xludf.DUMMYFUNCTION("""COMPUTED_VALUE"""),2013)</f>
        <v>2013</v>
      </c>
      <c r="E5274" s="10" t="str">
        <f ca="1">IFERROR(__xludf.DUMMYFUNCTION("""COMPUTED_VALUE"""),"Anniversary international conference „Standardization and related activities - a means of international and Balkan collaboration“ – 13-14 September 2013, Sozopol, Bulgaria: Proceedings. Sofia, Publishing House of Technical University of Sofia, 2013, pp. 1"&amp;"98-203. ISBN 978-619-167-048-2")</f>
        <v>Anniversary international conference „Standardization and related activities - a means of international and Balkan collaboration“ – 13-14 September 2013, Sozopol, Bulgaria: Proceedings. Sofia, Publishing House of Technical University of Sofia, 2013, pp. 198-203. ISBN 978-619-167-048-2</v>
      </c>
      <c r="F5274" s="10"/>
      <c r="G5274" s="10" t="str">
        <f ca="1">IFERROR(__xludf.DUMMYFUNCTION("""COMPUTED_VALUE"""),"S. Galabova, R. Krusteva")</f>
        <v>S. Galabova, R. Krusteva</v>
      </c>
      <c r="H5274" s="10"/>
      <c r="I5274" s="10"/>
      <c r="J5274" s="10"/>
      <c r="K5274" s="10"/>
      <c r="L5274" s="10"/>
      <c r="M5274" s="10"/>
      <c r="N5274" s="10"/>
      <c r="O5274" s="10"/>
      <c r="P5274" s="10"/>
      <c r="Q5274" s="10"/>
      <c r="R5274" s="10"/>
      <c r="S5274" s="10"/>
      <c r="T5274" s="10"/>
      <c r="U5274" s="10"/>
      <c r="V5274" s="10"/>
      <c r="W5274" s="10"/>
      <c r="X5274" s="10"/>
      <c r="Y5274" s="10"/>
      <c r="Z5274" s="10"/>
    </row>
    <row r="5275" spans="1:26" ht="12.75">
      <c r="A5275" s="10" t="str">
        <f ca="1">IFERROR(__xludf.DUMMYFUNCTION("""COMPUTED_VALUE"""),"Майяна Милчева Митевска-Енчева")</f>
        <v>Майяна Милчева Митевска-Енчева</v>
      </c>
      <c r="B5275" s="10" t="str">
        <f ca="1">IFERROR(__xludf.DUMMYFUNCTION("""COMPUTED_VALUE"""),"Статия в списания и поредици")</f>
        <v>Статия в списания и поредици</v>
      </c>
      <c r="C5275" s="10" t="str">
        <f ca="1">IFERROR(__xludf.DUMMYFUNCTION("""COMPUTED_VALUE"""),"Изследване на психологическите аспекти на просоциалното поведение в организацията")</f>
        <v>Изследване на психологическите аспекти на просоциалното поведение в организацията</v>
      </c>
      <c r="D5275" s="10">
        <f ca="1">IFERROR(__xludf.DUMMYFUNCTION("""COMPUTED_VALUE"""),2013)</f>
        <v>2013</v>
      </c>
      <c r="E5275" s="10" t="str">
        <f ca="1">IFERROR(__xludf.DUMMYFUNCTION("""COMPUTED_VALUE"""),"Научен семинар, 30 - 31 октомври 2013 г., НАЦИОНАЛЕН ВОЕНЕН УНИВЕРСИТЕТ – Факултет „Артилерия, ПВО и КИС“ гр. Шумен. Сборник Научни трудове, част 2 ISSN 1313-7433")</f>
        <v>Научен семинар, 30 - 31 октомври 2013 г., НАЦИОНАЛЕН ВОЕНЕН УНИВЕРСИТЕТ – Факултет „Артилерия, ПВО и КИС“ гр. Шумен. Сборник Научни трудове, част 2 ISSN 1313-7433</v>
      </c>
      <c r="F5275" s="10"/>
      <c r="G5275" s="10"/>
      <c r="H5275" s="10"/>
      <c r="I5275" s="10"/>
      <c r="J5275" s="10"/>
      <c r="K5275" s="10"/>
      <c r="L5275" s="10"/>
      <c r="M5275" s="10"/>
      <c r="N5275" s="10"/>
      <c r="O5275" s="10"/>
      <c r="P5275" s="10"/>
      <c r="Q5275" s="10"/>
      <c r="R5275" s="10"/>
      <c r="S5275" s="10"/>
      <c r="T5275" s="10"/>
      <c r="U5275" s="10"/>
      <c r="V5275" s="10"/>
      <c r="W5275" s="10"/>
      <c r="X5275" s="10"/>
      <c r="Y5275" s="10"/>
      <c r="Z5275" s="10"/>
    </row>
    <row r="5276" spans="1:26" ht="12.75">
      <c r="A5276" s="10" t="str">
        <f ca="1">IFERROR(__xludf.DUMMYFUNCTION("""COMPUTED_VALUE"""),"Майяна Милчева Митевска-Енчева")</f>
        <v>Майяна Милчева Митевска-Енчева</v>
      </c>
      <c r="B5276" s="10" t="str">
        <f ca="1">IFERROR(__xludf.DUMMYFUNCTION("""COMPUTED_VALUE"""),"Статия в списания и поредици")</f>
        <v>Статия в списания и поредици</v>
      </c>
      <c r="C5276" s="10" t="str">
        <f ca="1">IFERROR(__xludf.DUMMYFUNCTION("""COMPUTED_VALUE"""),"Prosocial Behaviour and Organizational Climate in the Field of Bulgarian Knowledge Managers and Workers")</f>
        <v>Prosocial Behaviour and Organizational Climate in the Field of Bulgarian Knowledge Managers and Workers</v>
      </c>
      <c r="D5276" s="10">
        <f ca="1">IFERROR(__xludf.DUMMYFUNCTION("""COMPUTED_VALUE"""),2012)</f>
        <v>2012</v>
      </c>
      <c r="E5276" s="10" t="str">
        <f ca="1">IFERROR(__xludf.DUMMYFUNCTION("""COMPUTED_VALUE"""),"International Institute of Social and Economic Sciences, IJoSS Vol. II /No. 3/ 2013 ISSN 1804-980X")</f>
        <v>International Institute of Social and Economic Sciences, IJoSS Vol. II /No. 3/ 2013 ISSN 1804-980X</v>
      </c>
      <c r="F5276" s="10"/>
      <c r="G5276" s="10"/>
      <c r="H5276" s="10"/>
      <c r="I5276" s="10"/>
      <c r="J5276" s="10"/>
      <c r="K5276" s="10"/>
      <c r="L5276" s="10"/>
      <c r="M5276" s="10"/>
      <c r="N5276" s="10"/>
      <c r="O5276" s="10"/>
      <c r="P5276" s="10"/>
      <c r="Q5276" s="10"/>
      <c r="R5276" s="10"/>
      <c r="S5276" s="10"/>
      <c r="T5276" s="10"/>
      <c r="U5276" s="10"/>
      <c r="V5276" s="10"/>
      <c r="W5276" s="10"/>
      <c r="X5276" s="10"/>
      <c r="Y5276" s="10"/>
      <c r="Z5276" s="10"/>
    </row>
    <row r="5277" spans="1:26" ht="12.75">
      <c r="A5277" s="10" t="str">
        <f ca="1">IFERROR(__xludf.DUMMYFUNCTION("""COMPUTED_VALUE"""),"Майяна Милчева Митевска-Енчева")</f>
        <v>Майяна Милчева Митевска-Енчева</v>
      </c>
      <c r="B5277" s="10" t="str">
        <f ca="1">IFERROR(__xludf.DUMMYFUNCTION("""COMPUTED_VALUE"""),"Статия в списания и поредици")</f>
        <v>Статия в списания и поредици</v>
      </c>
      <c r="C5277" s="10" t="str">
        <f ca="1">IFERROR(__xludf.DUMMYFUNCTION("""COMPUTED_VALUE"""),"Анализ на макрофакторите на външната среда в иновативен клъстер")</f>
        <v>Анализ на макрофакторите на външната среда в иновативен клъстер</v>
      </c>
      <c r="D5277" s="10">
        <f ca="1">IFERROR(__xludf.DUMMYFUNCTION("""COMPUTED_VALUE"""),2012)</f>
        <v>2012</v>
      </c>
      <c r="E5277" s="10" t="str">
        <f ca="1">IFERROR(__xludf.DUMMYFUNCTION("""COMPUTED_VALUE"""),"УДК 334.72:339.13 332.14 COBISS.BG-ID 1260780772")</f>
        <v>УДК 334.72:339.13 332.14 COBISS.BG-ID 1260780772</v>
      </c>
      <c r="F5277" s="10"/>
      <c r="G5277" s="10"/>
      <c r="H5277" s="10"/>
      <c r="I5277" s="10"/>
      <c r="J5277" s="10"/>
      <c r="K5277" s="10"/>
      <c r="L5277" s="10"/>
      <c r="M5277" s="10"/>
      <c r="N5277" s="10"/>
      <c r="O5277" s="10"/>
      <c r="P5277" s="10"/>
      <c r="Q5277" s="10"/>
      <c r="R5277" s="10"/>
      <c r="S5277" s="10"/>
      <c r="T5277" s="10"/>
      <c r="U5277" s="10"/>
      <c r="V5277" s="10"/>
      <c r="W5277" s="10"/>
      <c r="X5277" s="10"/>
      <c r="Y5277" s="10"/>
      <c r="Z5277" s="10"/>
    </row>
    <row r="5278" spans="1:26" ht="12.75">
      <c r="A5278" s="10" t="str">
        <f ca="1">IFERROR(__xludf.DUMMYFUNCTION("""COMPUTED_VALUE"""),"Майяна Милчева Митевска-Енчева")</f>
        <v>Майяна Милчева Митевска-Енчева</v>
      </c>
      <c r="B5278" s="10" t="str">
        <f ca="1">IFERROR(__xludf.DUMMYFUNCTION("""COMPUTED_VALUE"""),"Статия в списания и поредици")</f>
        <v>Статия в списания и поредици</v>
      </c>
      <c r="C5278" s="10" t="str">
        <f ca="1">IFERROR(__xludf.DUMMYFUNCTION("""COMPUTED_VALUE"""),"Влияние на демографските показатели върху проявите на просоциално поведение в организациите")</f>
        <v>Влияние на демографските показатели върху проявите на просоциално поведение в организациите</v>
      </c>
      <c r="D5278" s="10">
        <f ca="1">IFERROR(__xludf.DUMMYFUNCTION("""COMPUTED_VALUE"""),2012)</f>
        <v>2012</v>
      </c>
      <c r="E5278" s="10" t="str">
        <f ca="1">IFERROR(__xludf.DUMMYFUNCTION("""COMPUTED_VALUE"""),"Варненски свободен университет „Черноризец Храбър“ ISSN 1314-0507 Университетско издателство, 2012, с. 783-797")</f>
        <v>Варненски свободен университет „Черноризец Храбър“ ISSN 1314-0507 Университетско издателство, 2012, с. 783-797</v>
      </c>
      <c r="F5278" s="10"/>
      <c r="G5278" s="10"/>
      <c r="H5278" s="10"/>
      <c r="I5278" s="10"/>
      <c r="J5278" s="10"/>
      <c r="K5278" s="10"/>
      <c r="L5278" s="10"/>
      <c r="M5278" s="10"/>
      <c r="N5278" s="10"/>
      <c r="O5278" s="10"/>
      <c r="P5278" s="10"/>
      <c r="Q5278" s="10"/>
      <c r="R5278" s="10"/>
      <c r="S5278" s="10"/>
      <c r="T5278" s="10"/>
      <c r="U5278" s="10"/>
      <c r="V5278" s="10"/>
      <c r="W5278" s="10"/>
      <c r="X5278" s="10"/>
      <c r="Y5278" s="10"/>
      <c r="Z5278" s="10"/>
    </row>
    <row r="5279" spans="1:26" ht="12.75">
      <c r="A5279" s="10" t="str">
        <f ca="1">IFERROR(__xludf.DUMMYFUNCTION("""COMPUTED_VALUE"""),"Майяна Милчева Митевска-Енчева")</f>
        <v>Майяна Милчева Митевска-Енчева</v>
      </c>
      <c r="B5279" s="10" t="str">
        <f ca="1">IFERROR(__xludf.DUMMYFUNCTION("""COMPUTED_VALUE"""),"Статия в списания и поредици")</f>
        <v>Статия в списания и поредици</v>
      </c>
      <c r="C5279" s="10" t="str">
        <f ca="1">IFERROR(__xludf.DUMMYFUNCTION("""COMPUTED_VALUE"""),"Организационни комуникации в библиотеките")</f>
        <v>Организационни комуникации в библиотеките</v>
      </c>
      <c r="D5279" s="10">
        <f ca="1">IFERROR(__xludf.DUMMYFUNCTION("""COMPUTED_VALUE"""),2012)</f>
        <v>2012</v>
      </c>
      <c r="E5279" s="10" t="str">
        <f ca="1">IFERROR(__xludf.DUMMYFUNCTION("""COMPUTED_VALUE"""),"Варненски свободен университет „Черноризец Храбър“ ISSN 1314-0507 Университетско издателство, 2012, с. 783-797")</f>
        <v>Варненски свободен университет „Черноризец Храбър“ ISSN 1314-0507 Университетско издателство, 2012, с. 783-797</v>
      </c>
      <c r="F5279" s="10"/>
      <c r="G5279" s="10"/>
      <c r="H5279" s="10"/>
      <c r="I5279" s="10"/>
      <c r="J5279" s="10"/>
      <c r="K5279" s="10"/>
      <c r="L5279" s="10"/>
      <c r="M5279" s="10"/>
      <c r="N5279" s="10"/>
      <c r="O5279" s="10"/>
      <c r="P5279" s="10"/>
      <c r="Q5279" s="10"/>
      <c r="R5279" s="10"/>
      <c r="S5279" s="10"/>
      <c r="T5279" s="10"/>
      <c r="U5279" s="10"/>
      <c r="V5279" s="10"/>
      <c r="W5279" s="10"/>
      <c r="X5279" s="10"/>
      <c r="Y5279" s="10"/>
      <c r="Z5279" s="10"/>
    </row>
    <row r="5280" spans="1:26" ht="12.75">
      <c r="A5280" s="10" t="str">
        <f ca="1">IFERROR(__xludf.DUMMYFUNCTION("""COMPUTED_VALUE"""),"Майяна Милчева Митевска-Енчева")</f>
        <v>Майяна Милчева Митевска-Енчева</v>
      </c>
      <c r="B5280" s="10" t="str">
        <f ca="1">IFERROR(__xludf.DUMMYFUNCTION("""COMPUTED_VALUE"""),"Статия в списания и поредици")</f>
        <v>Статия в списания и поредици</v>
      </c>
      <c r="C5280" s="10" t="str">
        <f ca="1">IFERROR(__xludf.DUMMYFUNCTION("""COMPUTED_VALUE"""),"Психологически особености при възприемането на рекламата")</f>
        <v>Психологически особености при възприемането на рекламата</v>
      </c>
      <c r="D5280" s="10">
        <f ca="1">IFERROR(__xludf.DUMMYFUNCTION("""COMPUTED_VALUE"""),2012)</f>
        <v>2012</v>
      </c>
      <c r="E5280" s="10" t="str">
        <f ca="1">IFERROR(__xludf.DUMMYFUNCTION("""COMPUTED_VALUE"""),"Общество на знанието и хуманизмът на XXI век: национална научна конференция с международно участие ISSN 1314-7099. – T. 9 (2012), s. 467-476")</f>
        <v>Общество на знанието и хуманизмът на XXI век: национална научна конференция с международно участие ISSN 1314-7099. – T. 9 (2012), s. 467-476</v>
      </c>
      <c r="F5280" s="10"/>
      <c r="G5280" s="10"/>
      <c r="H5280" s="10"/>
      <c r="I5280" s="10"/>
      <c r="J5280" s="10"/>
      <c r="K5280" s="10"/>
      <c r="L5280" s="10"/>
      <c r="M5280" s="10"/>
      <c r="N5280" s="10"/>
      <c r="O5280" s="10"/>
      <c r="P5280" s="10"/>
      <c r="Q5280" s="10"/>
      <c r="R5280" s="10"/>
      <c r="S5280" s="10"/>
      <c r="T5280" s="10"/>
      <c r="U5280" s="10"/>
      <c r="V5280" s="10"/>
      <c r="W5280" s="10"/>
      <c r="X5280" s="10"/>
      <c r="Y5280" s="10"/>
      <c r="Z5280" s="10"/>
    </row>
    <row r="5281" spans="1:26" ht="12.75">
      <c r="A5281" s="10" t="str">
        <f ca="1">IFERROR(__xludf.DUMMYFUNCTION("""COMPUTED_VALUE"""),"Майяна Милчева Митевска-Енчева")</f>
        <v>Майяна Милчева Митевска-Енчева</v>
      </c>
      <c r="B5281" s="10" t="str">
        <f ca="1">IFERROR(__xludf.DUMMYFUNCTION("""COMPUTED_VALUE"""),"Монография")</f>
        <v>Монография</v>
      </c>
      <c r="C5281" s="10" t="str">
        <f ca="1">IFERROR(__xludf.DUMMYFUNCTION("""COMPUTED_VALUE"""),"Иновативни клъстери и организационна култура")</f>
        <v>Иновативни клъстери и организационна култура</v>
      </c>
      <c r="D5281" s="10">
        <f ca="1">IFERROR(__xludf.DUMMYFUNCTION("""COMPUTED_VALUE"""),2012)</f>
        <v>2012</v>
      </c>
      <c r="E5281" s="10" t="str">
        <f ca="1">IFERROR(__xludf.DUMMYFUNCTION("""COMPUTED_VALUE"""),"София, За буквите 2012, 153 с. ISBN 978-954-2946-46-5")</f>
        <v>София, За буквите 2012, 153 с. ISBN 978-954-2946-46-5</v>
      </c>
      <c r="F5281" s="10"/>
      <c r="G5281" s="10"/>
      <c r="H5281" s="10"/>
      <c r="I5281" s="10"/>
      <c r="J5281" s="10"/>
      <c r="K5281" s="10"/>
      <c r="L5281" s="10"/>
      <c r="M5281" s="10"/>
      <c r="N5281" s="10"/>
      <c r="O5281" s="10"/>
      <c r="P5281" s="10"/>
      <c r="Q5281" s="10"/>
      <c r="R5281" s="10"/>
      <c r="S5281" s="10"/>
      <c r="T5281" s="10"/>
      <c r="U5281" s="10"/>
      <c r="V5281" s="10"/>
      <c r="W5281" s="10"/>
      <c r="X5281" s="10"/>
      <c r="Y5281" s="10"/>
      <c r="Z5281" s="10"/>
    </row>
    <row r="5282" spans="1:26" ht="12.75">
      <c r="A5282" s="10" t="str">
        <f ca="1">IFERROR(__xludf.DUMMYFUNCTION("""COMPUTED_VALUE"""),"Майяна Милчева Митевска-Енчева")</f>
        <v>Майяна Милчева Митевска-Енчева</v>
      </c>
      <c r="B5282" s="10" t="str">
        <f ca="1">IFERROR(__xludf.DUMMYFUNCTION("""COMPUTED_VALUE"""),"Статия в списания и поредици")</f>
        <v>Статия в списания и поредици</v>
      </c>
      <c r="C5282" s="10" t="str">
        <f ca="1">IFERROR(__xludf.DUMMYFUNCTION("""COMPUTED_VALUE"""),"Организационната култура в подкрепа на иновативната практика")</f>
        <v>Организационната култура в подкрепа на иновативната практика</v>
      </c>
      <c r="D5282" s="10">
        <f ca="1">IFERROR(__xludf.DUMMYFUNCTION("""COMPUTED_VALUE"""),2011)</f>
        <v>2011</v>
      </c>
      <c r="E5282" s="10" t="str">
        <f ca="1">IFERROR(__xludf.DUMMYFUNCTION("""COMPUTED_VALUE"""),"Психологически изследвания ISSN 1311-4700. – Br. 2 (2011), s. 103-113")</f>
        <v>Психологически изследвания ISSN 1311-4700. – Br. 2 (2011), s. 103-113</v>
      </c>
      <c r="F5282" s="10"/>
      <c r="G5282" s="10"/>
      <c r="H5282" s="10"/>
      <c r="I5282" s="10"/>
      <c r="J5282" s="10"/>
      <c r="K5282" s="10"/>
      <c r="L5282" s="10"/>
      <c r="M5282" s="10"/>
      <c r="N5282" s="10"/>
      <c r="O5282" s="10"/>
      <c r="P5282" s="10"/>
      <c r="Q5282" s="10"/>
      <c r="R5282" s="10"/>
      <c r="S5282" s="10"/>
      <c r="T5282" s="10"/>
      <c r="U5282" s="10"/>
      <c r="V5282" s="10"/>
      <c r="W5282" s="10"/>
      <c r="X5282" s="10"/>
      <c r="Y5282" s="10"/>
      <c r="Z5282" s="10"/>
    </row>
    <row r="5283" spans="1:26" ht="12.75">
      <c r="A5283" s="10" t="str">
        <f ca="1">IFERROR(__xludf.DUMMYFUNCTION("""COMPUTED_VALUE"""),"Майяна Милчева Митевска-Енчева")</f>
        <v>Майяна Милчева Митевска-Енчева</v>
      </c>
      <c r="B5283" s="10" t="str">
        <f ca="1">IFERROR(__xludf.DUMMYFUNCTION("""COMPUTED_VALUE"""),"Статия в списания и поредици")</f>
        <v>Статия в списания и поредици</v>
      </c>
      <c r="C5283" s="10" t="str">
        <f ca="1">IFERROR(__xludf.DUMMYFUNCTION("""COMPUTED_VALUE"""),"Клъстерът – възможна организационна иновация")</f>
        <v>Клъстерът – възможна организационна иновация</v>
      </c>
      <c r="D5283" s="10">
        <f ca="1">IFERROR(__xludf.DUMMYFUNCTION("""COMPUTED_VALUE"""),2010)</f>
        <v>2010</v>
      </c>
      <c r="E5283" s="10" t="str">
        <f ca="1">IFERROR(__xludf.DUMMYFUNCTION("""COMPUTED_VALUE"""),"Научни трудове на Университета по библиотекознание и информационни технологии ISSN 1314-2623. – T. 8 (2010), s. 459-469")</f>
        <v>Научни трудове на Университета по библиотекознание и информационни технологии ISSN 1314-2623. – T. 8 (2010), s. 459-469</v>
      </c>
      <c r="F5283" s="10"/>
      <c r="G5283" s="10"/>
      <c r="H5283" s="10"/>
      <c r="I5283" s="10"/>
      <c r="J5283" s="10"/>
      <c r="K5283" s="10"/>
      <c r="L5283" s="10"/>
      <c r="M5283" s="10"/>
      <c r="N5283" s="10"/>
      <c r="O5283" s="10"/>
      <c r="P5283" s="10"/>
      <c r="Q5283" s="10"/>
      <c r="R5283" s="10"/>
      <c r="S5283" s="10"/>
      <c r="T5283" s="10"/>
      <c r="U5283" s="10"/>
      <c r="V5283" s="10"/>
      <c r="W5283" s="10"/>
      <c r="X5283" s="10"/>
      <c r="Y5283" s="10"/>
      <c r="Z5283" s="10"/>
    </row>
    <row r="5284" spans="1:26" ht="12.75">
      <c r="A5284" s="10" t="str">
        <f ca="1">IFERROR(__xludf.DUMMYFUNCTION("""COMPUTED_VALUE"""),"Майяна Милчева Митевска-Енчева")</f>
        <v>Майяна Милчева Митевска-Енчева</v>
      </c>
      <c r="B5284" s="10"/>
      <c r="C5284" s="10" t="str">
        <f ca="1">IFERROR(__xludf.DUMMYFUNCTION("""COMPUTED_VALUE"""),"Информационни технологии и информационно брокерство")</f>
        <v>Информационни технологии и информационно брокерство</v>
      </c>
      <c r="D5284" s="10">
        <f ca="1">IFERROR(__xludf.DUMMYFUNCTION("""COMPUTED_VALUE"""),2009)</f>
        <v>2009</v>
      </c>
      <c r="E5284" s="10" t="str">
        <f ca="1">IFERROR(__xludf.DUMMYFUNCTION("""COMPUTED_VALUE"""),"ISBN 978-954-8887-54-0")</f>
        <v>ISBN 978-954-8887-54-0</v>
      </c>
      <c r="F5284" s="10"/>
      <c r="G5284" s="10"/>
      <c r="H5284" s="10"/>
      <c r="I5284" s="10"/>
      <c r="J5284" s="10"/>
      <c r="K5284" s="10"/>
      <c r="L5284" s="10"/>
      <c r="M5284" s="10"/>
      <c r="N5284" s="10"/>
      <c r="O5284" s="10"/>
      <c r="P5284" s="10"/>
      <c r="Q5284" s="10"/>
      <c r="R5284" s="10"/>
      <c r="S5284" s="10"/>
      <c r="T5284" s="10"/>
      <c r="U5284" s="10"/>
      <c r="V5284" s="10"/>
      <c r="W5284" s="10"/>
      <c r="X5284" s="10"/>
      <c r="Y5284" s="10"/>
      <c r="Z5284" s="10"/>
    </row>
    <row r="5285" spans="1:26" ht="12.75">
      <c r="A5285" s="10" t="str">
        <f ca="1">IFERROR(__xludf.DUMMYFUNCTION("""COMPUTED_VALUE"""),"Майяна Милчева Митевска-Енчева")</f>
        <v>Майяна Милчева Митевска-Енчева</v>
      </c>
      <c r="B5285" s="10" t="str">
        <f ca="1">IFERROR(__xludf.DUMMYFUNCTION("""COMPUTED_VALUE"""),"Доклад от конференция")</f>
        <v>Доклад от конференция</v>
      </c>
      <c r="C5285" s="10" t="str">
        <f ca="1">IFERROR(__xludf.DUMMYFUNCTION("""COMPUTED_VALUE"""),"Методи за комплексен анализ на макро- и микро- фактори на средата: PEST, SWOT, бенчмаркинг")</f>
        <v>Методи за комплексен анализ на макро- и микро- фактори на средата: PEST, SWOT, бенчмаркинг</v>
      </c>
      <c r="D5285" s="10">
        <f ca="1">IFERROR(__xludf.DUMMYFUNCTION("""COMPUTED_VALUE"""),2009)</f>
        <v>2009</v>
      </c>
      <c r="E5285" s="10" t="str">
        <f ca="1">IFERROR(__xludf.DUMMYFUNCTION("""COMPUTED_VALUE"""),"Научен семинар, Хисаря 2009. Нови информационни технологии в образователния процес: Сборник ISВN 978-954-2946-77-9")</f>
        <v>Научен семинар, Хисаря 2009. Нови информационни технологии в образователния процес: Сборник ISВN 978-954-2946-77-9</v>
      </c>
      <c r="F5285" s="10"/>
      <c r="G5285" s="10"/>
      <c r="H5285" s="10"/>
      <c r="I5285" s="10"/>
      <c r="J5285" s="10"/>
      <c r="K5285" s="10"/>
      <c r="L5285" s="10"/>
      <c r="M5285" s="10"/>
      <c r="N5285" s="10"/>
      <c r="O5285" s="10"/>
      <c r="P5285" s="10"/>
      <c r="Q5285" s="10"/>
      <c r="R5285" s="10"/>
      <c r="S5285" s="10"/>
      <c r="T5285" s="10"/>
      <c r="U5285" s="10"/>
      <c r="V5285" s="10"/>
      <c r="W5285" s="10"/>
      <c r="X5285" s="10"/>
      <c r="Y5285" s="10"/>
      <c r="Z5285" s="10"/>
    </row>
    <row r="5286" spans="1:26" ht="12.75">
      <c r="A5286" s="10" t="str">
        <f ca="1">IFERROR(__xludf.DUMMYFUNCTION("""COMPUTED_VALUE"""),"Майяна Милчева Митевска-Енчева")</f>
        <v>Майяна Милчева Митевска-Енчева</v>
      </c>
      <c r="B5286" s="10" t="str">
        <f ca="1">IFERROR(__xludf.DUMMYFUNCTION("""COMPUTED_VALUE"""),"Статия в списания и поредици")</f>
        <v>Статия в списания и поредици</v>
      </c>
      <c r="C5286" s="10" t="str">
        <f ca="1">IFERROR(__xludf.DUMMYFUNCTION("""COMPUTED_VALUE"""),"Изследване на организационната култура в аспекта на общество, основано на знанието")</f>
        <v>Изследване на организационната култура в аспекта на общество, основано на знанието</v>
      </c>
      <c r="D5286" s="10">
        <f ca="1">IFERROR(__xludf.DUMMYFUNCTION("""COMPUTED_VALUE"""),2009)</f>
        <v>2009</v>
      </c>
      <c r="E5286" s="10" t="str">
        <f ca="1">IFERROR(__xludf.DUMMYFUNCTION("""COMPUTED_VALUE"""),"Международна научна конференция Ст. Загора, 2009")</f>
        <v>Международна научна конференция Ст. Загора, 2009</v>
      </c>
      <c r="F5286" s="10"/>
      <c r="G5286" s="10"/>
      <c r="H5286" s="10"/>
      <c r="I5286" s="10"/>
      <c r="J5286" s="10"/>
      <c r="K5286" s="10"/>
      <c r="L5286" s="10"/>
      <c r="M5286" s="10"/>
      <c r="N5286" s="10"/>
      <c r="O5286" s="10"/>
      <c r="P5286" s="10"/>
      <c r="Q5286" s="10"/>
      <c r="R5286" s="10"/>
      <c r="S5286" s="10"/>
      <c r="T5286" s="10"/>
      <c r="U5286" s="10"/>
      <c r="V5286" s="10"/>
      <c r="W5286" s="10"/>
      <c r="X5286" s="10"/>
      <c r="Y5286" s="10"/>
      <c r="Z5286" s="10"/>
    </row>
    <row r="5287" spans="1:26" ht="12.75">
      <c r="A5287" s="10" t="str">
        <f ca="1">IFERROR(__xludf.DUMMYFUNCTION("""COMPUTED_VALUE"""),"Майяна Милчева Митевска-Енчева")</f>
        <v>Майяна Милчева Митевска-Енчева</v>
      </c>
      <c r="B5287" s="10" t="str">
        <f ca="1">IFERROR(__xludf.DUMMYFUNCTION("""COMPUTED_VALUE"""),"Статия в списания и поредици")</f>
        <v>Статия в списания и поредици</v>
      </c>
      <c r="C5287" s="10" t="str">
        <f ca="1">IFERROR(__xludf.DUMMYFUNCTION("""COMPUTED_VALUE"""),"«Емоционален» профил на продукта")</f>
        <v>«Емоционален» профил на продукта</v>
      </c>
      <c r="D5287" s="10">
        <f ca="1">IFERROR(__xludf.DUMMYFUNCTION("""COMPUTED_VALUE"""),2009)</f>
        <v>2009</v>
      </c>
      <c r="E5287" s="10" t="str">
        <f ca="1">IFERROR(__xludf.DUMMYFUNCTION("""COMPUTED_VALUE"""),"Нови информационни технологии в образователния процес: ISSN 1313-2768.- 2009 (2009), s. 181-276")</f>
        <v>Нови информационни технологии в образователния процес: ISSN 1313-2768.- 2009 (2009), s. 181-276</v>
      </c>
      <c r="F5287" s="10"/>
      <c r="G5287" s="10"/>
      <c r="H5287" s="10"/>
      <c r="I5287" s="10"/>
      <c r="J5287" s="10"/>
      <c r="K5287" s="10"/>
      <c r="L5287" s="10"/>
      <c r="M5287" s="10"/>
      <c r="N5287" s="10"/>
      <c r="O5287" s="10"/>
      <c r="P5287" s="10"/>
      <c r="Q5287" s="10"/>
      <c r="R5287" s="10"/>
      <c r="S5287" s="10"/>
      <c r="T5287" s="10"/>
      <c r="U5287" s="10"/>
      <c r="V5287" s="10"/>
      <c r="W5287" s="10"/>
      <c r="X5287" s="10"/>
      <c r="Y5287" s="10"/>
      <c r="Z5287" s="10"/>
    </row>
    <row r="5288" spans="1:26" ht="12.75">
      <c r="A5288" s="10" t="str">
        <f ca="1">IFERROR(__xludf.DUMMYFUNCTION("""COMPUTED_VALUE"""),"Майяна Милчева Митевска-Енчева")</f>
        <v>Майяна Милчева Митевска-Енчева</v>
      </c>
      <c r="B5288" s="10" t="str">
        <f ca="1">IFERROR(__xludf.DUMMYFUNCTION("""COMPUTED_VALUE"""),"Статия в списания и поредици")</f>
        <v>Статия в списания и поредици</v>
      </c>
      <c r="C5288" s="10" t="str">
        <f ca="1">IFERROR(__xludf.DUMMYFUNCTION("""COMPUTED_VALUE"""),"Клъстеризацията - нова форма на коопериране в условия на глобализация")</f>
        <v>Клъстеризацията - нова форма на коопериране в условия на глобализация</v>
      </c>
      <c r="D5288" s="10">
        <f ca="1">IFERROR(__xludf.DUMMYFUNCTION("""COMPUTED_VALUE"""),2009)</f>
        <v>2009</v>
      </c>
      <c r="E5288" s="10" t="str">
        <f ca="1">IFERROR(__xludf.DUMMYFUNCTION("""COMPUTED_VALUE"""),"Национална научна конференция с международно участие, VI: България – кръстопът на култури и цивилизации, С., 1 ноември 2009, с. 395-403 ISSN 1314-7099")</f>
        <v>Национална научна конференция с международно участие, VI: България – кръстопът на култури и цивилизации, С., 1 ноември 2009, с. 395-403 ISSN 1314-7099</v>
      </c>
      <c r="F5288" s="10"/>
      <c r="G5288" s="10"/>
      <c r="H5288" s="10"/>
      <c r="I5288" s="10"/>
      <c r="J5288" s="10"/>
      <c r="K5288" s="10"/>
      <c r="L5288" s="10"/>
      <c r="M5288" s="10"/>
      <c r="N5288" s="10"/>
      <c r="O5288" s="10"/>
      <c r="P5288" s="10"/>
      <c r="Q5288" s="10"/>
      <c r="R5288" s="10"/>
      <c r="S5288" s="10"/>
      <c r="T5288" s="10"/>
      <c r="U5288" s="10"/>
      <c r="V5288" s="10"/>
      <c r="W5288" s="10"/>
      <c r="X5288" s="10"/>
      <c r="Y5288" s="10"/>
      <c r="Z5288" s="10"/>
    </row>
    <row r="5289" spans="1:26" ht="12.75">
      <c r="A5289" s="10" t="str">
        <f ca="1">IFERROR(__xludf.DUMMYFUNCTION("""COMPUTED_VALUE"""),"Майяна Милчева Митевска-Енчева")</f>
        <v>Майяна Милчева Митевска-Енчева</v>
      </c>
      <c r="B5289" s="10" t="str">
        <f ca="1">IFERROR(__xludf.DUMMYFUNCTION("""COMPUTED_VALUE"""),"Статия в списания и поредици")</f>
        <v>Статия в списания и поредици</v>
      </c>
      <c r="C5289" s="10" t="str">
        <f ca="1">IFERROR(__xludf.DUMMYFUNCTION("""COMPUTED_VALUE"""),"Изследване на организационната култура и конфликти в наукоемки организации")</f>
        <v>Изследване на организационната култура и конфликти в наукоемки организации</v>
      </c>
      <c r="D5289" s="10">
        <f ca="1">IFERROR(__xludf.DUMMYFUNCTION("""COMPUTED_VALUE"""),2009)</f>
        <v>2009</v>
      </c>
      <c r="E5289" s="10" t="str">
        <f ca="1">IFERROR(__xludf.DUMMYFUNCTION("""COMPUTED_VALUE"""),"Международна научна конференция на младите учени, Пл. 2009. с. 203-205")</f>
        <v>Международна научна конференция на младите учени, Пл. 2009. с. 203-205</v>
      </c>
      <c r="F5289" s="10"/>
      <c r="G5289" s="10"/>
      <c r="H5289" s="10"/>
      <c r="I5289" s="10"/>
      <c r="J5289" s="10"/>
      <c r="K5289" s="10"/>
      <c r="L5289" s="10"/>
      <c r="M5289" s="10"/>
      <c r="N5289" s="10"/>
      <c r="O5289" s="10"/>
      <c r="P5289" s="10"/>
      <c r="Q5289" s="10"/>
      <c r="R5289" s="10"/>
      <c r="S5289" s="10"/>
      <c r="T5289" s="10"/>
      <c r="U5289" s="10"/>
      <c r="V5289" s="10"/>
      <c r="W5289" s="10"/>
      <c r="X5289" s="10"/>
      <c r="Y5289" s="10"/>
      <c r="Z5289" s="10"/>
    </row>
    <row r="5290" spans="1:26" ht="12.75">
      <c r="A5290" s="10" t="str">
        <f ca="1">IFERROR(__xludf.DUMMYFUNCTION("""COMPUTED_VALUE"""),"Майяна Милчева Митевска-Енчева")</f>
        <v>Майяна Милчева Митевска-Енчева</v>
      </c>
      <c r="B5290" s="10" t="str">
        <f ca="1">IFERROR(__xludf.DUMMYFUNCTION("""COMPUTED_VALUE"""),"Статия в списания и поредици")</f>
        <v>Статия в списания и поредици</v>
      </c>
      <c r="C5290" s="10" t="str">
        <f ca="1">IFERROR(__xludf.DUMMYFUNCTION("""COMPUTED_VALUE"""),"Сигурност и криза в доминиращите ценностни ориентации в организационна среда")</f>
        <v>Сигурност и криза в доминиращите ценностни ориентации в организационна среда</v>
      </c>
      <c r="D5290" s="10">
        <f ca="1">IFERROR(__xludf.DUMMYFUNCTION("""COMPUTED_VALUE"""),2009)</f>
        <v>2009</v>
      </c>
      <c r="E5290" s="10" t="str">
        <f ca="1">IFERROR(__xludf.DUMMYFUNCTION("""COMPUTED_VALUE"""),"Новата парадигма за сигур¬ност в киберпространството, Научна конференция – 2014, Шумен, Национален военен университет „В. Левски“, с. 148 – 154. ISBN 978-954-9681-49-9")</f>
        <v>Новата парадигма за сигур¬ност в киберпространството, Научна конференция – 2014, Шумен, Национален военен университет „В. Левски“, с. 148 – 154. ISBN 978-954-9681-49-9</v>
      </c>
      <c r="F5290" s="10"/>
      <c r="G5290" s="10"/>
      <c r="H5290" s="10"/>
      <c r="I5290" s="10"/>
      <c r="J5290" s="10"/>
      <c r="K5290" s="10"/>
      <c r="L5290" s="10"/>
      <c r="M5290" s="10"/>
      <c r="N5290" s="10"/>
      <c r="O5290" s="10"/>
      <c r="P5290" s="10"/>
      <c r="Q5290" s="10"/>
      <c r="R5290" s="10"/>
      <c r="S5290" s="10"/>
      <c r="T5290" s="10"/>
      <c r="U5290" s="10"/>
      <c r="V5290" s="10"/>
      <c r="W5290" s="10"/>
      <c r="X5290" s="10"/>
      <c r="Y5290" s="10"/>
      <c r="Z5290" s="10"/>
    </row>
    <row r="5291" spans="1:26" ht="12.75">
      <c r="A5291" s="10" t="str">
        <f ca="1">IFERROR(__xludf.DUMMYFUNCTION("""COMPUTED_VALUE"""),"Майяна Милчева Митевска-Енчева")</f>
        <v>Майяна Милчева Митевска-Енчева</v>
      </c>
      <c r="B5291" s="10" t="str">
        <f ca="1">IFERROR(__xludf.DUMMYFUNCTION("""COMPUTED_VALUE"""),"Статия в списания и поредици")</f>
        <v>Статия в списания и поредици</v>
      </c>
      <c r="C5291" s="10" t="str">
        <f ca="1">IFERROR(__xludf.DUMMYFUNCTION("""COMPUTED_VALUE"""),"Организационните структури и комуникациите им с променящата се външна среда")</f>
        <v>Организационните структури и комуникациите им с променящата се външна среда</v>
      </c>
      <c r="D5291" s="10">
        <f ca="1">IFERROR(__xludf.DUMMYFUNCTION("""COMPUTED_VALUE"""),2008)</f>
        <v>2008</v>
      </c>
      <c r="E5291" s="10" t="str">
        <f ca="1">IFERROR(__xludf.DUMMYFUNCTION("""COMPUTED_VALUE"""),"Библиотеки, четене, комуникации ISSN 1313-8138. – 2008 (2008), s. 334-345")</f>
        <v>Библиотеки, четене, комуникации ISSN 1313-8138. – 2008 (2008), s. 334-345</v>
      </c>
      <c r="F5291" s="10"/>
      <c r="G5291" s="10"/>
      <c r="H5291" s="10"/>
      <c r="I5291" s="10"/>
      <c r="J5291" s="10"/>
      <c r="K5291" s="10"/>
      <c r="L5291" s="10"/>
      <c r="M5291" s="10"/>
      <c r="N5291" s="10"/>
      <c r="O5291" s="10"/>
      <c r="P5291" s="10"/>
      <c r="Q5291" s="10"/>
      <c r="R5291" s="10"/>
      <c r="S5291" s="10"/>
      <c r="T5291" s="10"/>
      <c r="U5291" s="10"/>
      <c r="V5291" s="10"/>
      <c r="W5291" s="10"/>
      <c r="X5291" s="10"/>
      <c r="Y5291" s="10"/>
      <c r="Z5291" s="10"/>
    </row>
    <row r="5292" spans="1:26" ht="12.75">
      <c r="A5292" s="10" t="str">
        <f ca="1">IFERROR(__xludf.DUMMYFUNCTION("""COMPUTED_VALUE"""),"Майяна Милчева Митевска-Енчева")</f>
        <v>Майяна Милчева Митевска-Енчева</v>
      </c>
      <c r="B5292" s="10" t="str">
        <f ca="1">IFERROR(__xludf.DUMMYFUNCTION("""COMPUTED_VALUE"""),"Доклад от конференция")</f>
        <v>Доклад от конференция</v>
      </c>
      <c r="C5292" s="10" t="str">
        <f ca="1">IFERROR(__xludf.DUMMYFUNCTION("""COMPUTED_VALUE"""),"Иновационната култура в диалектиката на компетентностите и знанията")</f>
        <v>Иновационната култура в диалектиката на компетентностите и знанията</v>
      </c>
      <c r="D5292" s="10">
        <f ca="1">IFERROR(__xludf.DUMMYFUNCTION("""COMPUTED_VALUE"""),2008)</f>
        <v>2008</v>
      </c>
      <c r="E5292" s="10" t="str">
        <f ca="1">IFERROR(__xludf.DUMMYFUNCTION("""COMPUTED_VALUE"""),"Национална научна конференция с международно участие, VI: България в културното многообразие на Европа, София, 1 ноември, 2008: [Сб.]. 2008. с.545-553. ISSN 1314-7099")</f>
        <v>Национална научна конференция с международно участие, VI: България в културното многообразие на Европа, София, 1 ноември, 2008: [Сб.]. 2008. с.545-553. ISSN 1314-7099</v>
      </c>
      <c r="F5292" s="10"/>
      <c r="G5292" s="10"/>
      <c r="H5292" s="10"/>
      <c r="I5292" s="10"/>
      <c r="J5292" s="10"/>
      <c r="K5292" s="10"/>
      <c r="L5292" s="10"/>
      <c r="M5292" s="10"/>
      <c r="N5292" s="10"/>
      <c r="O5292" s="10"/>
      <c r="P5292" s="10"/>
      <c r="Q5292" s="10"/>
      <c r="R5292" s="10"/>
      <c r="S5292" s="10"/>
      <c r="T5292" s="10"/>
      <c r="U5292" s="10"/>
      <c r="V5292" s="10"/>
      <c r="W5292" s="10"/>
      <c r="X5292" s="10"/>
      <c r="Y5292" s="10"/>
      <c r="Z5292" s="10"/>
    </row>
    <row r="5293" spans="1:26" ht="12.75">
      <c r="A5293" s="10" t="str">
        <f ca="1">IFERROR(__xludf.DUMMYFUNCTION("""COMPUTED_VALUE"""),"Майяна Милчева Митевска-Енчева")</f>
        <v>Майяна Милчева Митевска-Енчева</v>
      </c>
      <c r="B5293" s="10" t="str">
        <f ca="1">IFERROR(__xludf.DUMMYFUNCTION("""COMPUTED_VALUE"""),"Статия в списания и поредици")</f>
        <v>Статия в списания и поредици</v>
      </c>
      <c r="C5293" s="10" t="str">
        <f ca="1">IFERROR(__xludf.DUMMYFUNCTION("""COMPUTED_VALUE"""),"Съвременни тенденции в развитието на научните изследвания")</f>
        <v>Съвременни тенденции в развитието на научните изследвания</v>
      </c>
      <c r="D5293" s="10">
        <f ca="1">IFERROR(__xludf.DUMMYFUNCTION("""COMPUTED_VALUE"""),2007)</f>
        <v>2007</v>
      </c>
      <c r="E5293" s="10" t="str">
        <f ca="1">IFERROR(__xludf.DUMMYFUNCTION("""COMPUTED_VALUE"""),"Тр. на СВУБИТ, Том 6. С.,2007. с. 277-293")</f>
        <v>Тр. на СВУБИТ, Том 6. С.,2007. с. 277-293</v>
      </c>
      <c r="F5293" s="10"/>
      <c r="G5293" s="10"/>
      <c r="H5293" s="10"/>
      <c r="I5293" s="10"/>
      <c r="J5293" s="10"/>
      <c r="K5293" s="10"/>
      <c r="L5293" s="10"/>
      <c r="M5293" s="10"/>
      <c r="N5293" s="10"/>
      <c r="O5293" s="10"/>
      <c r="P5293" s="10"/>
      <c r="Q5293" s="10"/>
      <c r="R5293" s="10"/>
      <c r="S5293" s="10"/>
      <c r="T5293" s="10"/>
      <c r="U5293" s="10"/>
      <c r="V5293" s="10"/>
      <c r="W5293" s="10"/>
      <c r="X5293" s="10"/>
      <c r="Y5293" s="10"/>
      <c r="Z5293" s="10"/>
    </row>
    <row r="5294" spans="1:26" ht="12.75">
      <c r="A5294" s="10" t="str">
        <f ca="1">IFERROR(__xludf.DUMMYFUNCTION("""COMPUTED_VALUE"""),"Майяна Милчева Митевска-Енчева")</f>
        <v>Майяна Милчева Митевска-Енчева</v>
      </c>
      <c r="B5294" s="10" t="str">
        <f ca="1">IFERROR(__xludf.DUMMYFUNCTION("""COMPUTED_VALUE"""),"Статия в списания и поредици")</f>
        <v>Статия в списания и поредици</v>
      </c>
      <c r="C5294" s="10" t="str">
        <f ca="1">IFERROR(__xludf.DUMMYFUNCTION("""COMPUTED_VALUE"""),"Съвременни тенденции в развитието на научните изследвания")</f>
        <v>Съвременни тенденции в развитието на научните изследвания</v>
      </c>
      <c r="D5294" s="10">
        <f ca="1">IFERROR(__xludf.DUMMYFUNCTION("""COMPUTED_VALUE"""),2007)</f>
        <v>2007</v>
      </c>
      <c r="E5294" s="10" t="str">
        <f ca="1">IFERROR(__xludf.DUMMYFUNCTION("""COMPUTED_VALUE"""),"Трудове на Специализираното висше училище по библиотекознание и информационни технологии ISSN 1312-5834. – 6 (2007), s. 277-308")</f>
        <v>Трудове на Специализираното висше училище по библиотекознание и информационни технологии ISSN 1312-5834. – 6 (2007), s. 277-308</v>
      </c>
      <c r="F5294" s="10"/>
      <c r="G5294" s="10"/>
      <c r="H5294" s="10"/>
      <c r="I5294" s="10"/>
      <c r="J5294" s="10"/>
      <c r="K5294" s="10"/>
      <c r="L5294" s="10"/>
      <c r="M5294" s="10"/>
      <c r="N5294" s="10"/>
      <c r="O5294" s="10"/>
      <c r="P5294" s="10"/>
      <c r="Q5294" s="10"/>
      <c r="R5294" s="10"/>
      <c r="S5294" s="10"/>
      <c r="T5294" s="10"/>
      <c r="U5294" s="10"/>
      <c r="V5294" s="10"/>
      <c r="W5294" s="10"/>
      <c r="X5294" s="10"/>
      <c r="Y5294" s="10"/>
      <c r="Z5294" s="10"/>
    </row>
    <row r="5295" spans="1:26" ht="12.75">
      <c r="A5295" s="10" t="str">
        <f ca="1">IFERROR(__xludf.DUMMYFUNCTION("""COMPUTED_VALUE"""),"Майяна Милчева Митевска-Енчева")</f>
        <v>Майяна Милчева Митевска-Енчева</v>
      </c>
      <c r="B5295" s="10" t="str">
        <f ca="1">IFERROR(__xludf.DUMMYFUNCTION("""COMPUTED_VALUE"""),"Статия в списания и поредици")</f>
        <v>Статия в списания и поредици</v>
      </c>
      <c r="C5295" s="10" t="str">
        <f ca="1">IFERROR(__xludf.DUMMYFUNCTION("""COMPUTED_VALUE"""),"Иновационните системи - основни постановки и приложение")</f>
        <v>Иновационните системи - основни постановки и приложение</v>
      </c>
      <c r="D5295" s="10">
        <f ca="1">IFERROR(__xludf.DUMMYFUNCTION("""COMPUTED_VALUE"""),2007)</f>
        <v>2007</v>
      </c>
      <c r="E5295" s="10" t="str">
        <f ca="1">IFERROR(__xludf.DUMMYFUNCTION("""COMPUTED_VALUE"""),"Национална научна конференция с международно участие, V: Кирилицата в духовността на европейската информационна цивилизация, София, 1 ноември 2007: [Сб.]. София, 2007, с. 490-502. ISSN 1314-7099")</f>
        <v>Национална научна конференция с международно участие, V: Кирилицата в духовността на европейската информационна цивилизация, София, 1 ноември 2007: [Сб.]. София, 2007, с. 490-502. ISSN 1314-7099</v>
      </c>
      <c r="F5295" s="10"/>
      <c r="G5295" s="10"/>
      <c r="H5295" s="10"/>
      <c r="I5295" s="10"/>
      <c r="J5295" s="10"/>
      <c r="K5295" s="10"/>
      <c r="L5295" s="10"/>
      <c r="M5295" s="10"/>
      <c r="N5295" s="10"/>
      <c r="O5295" s="10"/>
      <c r="P5295" s="10"/>
      <c r="Q5295" s="10"/>
      <c r="R5295" s="10"/>
      <c r="S5295" s="10"/>
      <c r="T5295" s="10"/>
      <c r="U5295" s="10"/>
      <c r="V5295" s="10"/>
      <c r="W5295" s="10"/>
      <c r="X5295" s="10"/>
      <c r="Y5295" s="10"/>
      <c r="Z5295" s="10"/>
    </row>
    <row r="5296" spans="1:26" ht="12.75">
      <c r="A5296" s="10" t="str">
        <f ca="1">IFERROR(__xludf.DUMMYFUNCTION("""COMPUTED_VALUE"""),"Майяна Милчева Митевска-Енчева")</f>
        <v>Майяна Милчева Митевска-Енчева</v>
      </c>
      <c r="B5296" s="10" t="str">
        <f ca="1">IFERROR(__xludf.DUMMYFUNCTION("""COMPUTED_VALUE"""),"Учебник")</f>
        <v>Учебник</v>
      </c>
      <c r="C5296" s="10" t="str">
        <f ca="1">IFERROR(__xludf.DUMMYFUNCTION("""COMPUTED_VALUE"""),"Примерни въпроси за кандидатстудентски тестове")</f>
        <v>Примерни въпроси за кандидатстудентски тестове</v>
      </c>
      <c r="D5296" s="10">
        <f ca="1">IFERROR(__xludf.DUMMYFUNCTION("""COMPUTED_VALUE"""),2007)</f>
        <v>2007</v>
      </c>
      <c r="E5296" s="10" t="str">
        <f ca="1">IFERROR(__xludf.DUMMYFUNCTION("""COMPUTED_VALUE"""),"София, Издателство „За буквите – о писменехъ”, 2007, с. 210-226., ISBN 978-954-8887-35-9")</f>
        <v>София, Издателство „За буквите – о писменехъ”, 2007, с. 210-226., ISBN 978-954-8887-35-9</v>
      </c>
      <c r="F5296" s="10"/>
      <c r="G5296" s="10"/>
      <c r="H5296" s="10"/>
      <c r="I5296" s="10"/>
      <c r="J5296" s="10"/>
      <c r="K5296" s="10"/>
      <c r="L5296" s="10"/>
      <c r="M5296" s="10"/>
      <c r="N5296" s="10"/>
      <c r="O5296" s="10"/>
      <c r="P5296" s="10"/>
      <c r="Q5296" s="10"/>
      <c r="R5296" s="10"/>
      <c r="S5296" s="10"/>
      <c r="T5296" s="10"/>
      <c r="U5296" s="10"/>
      <c r="V5296" s="10"/>
      <c r="W5296" s="10"/>
      <c r="X5296" s="10"/>
      <c r="Y5296" s="10"/>
      <c r="Z5296" s="10"/>
    </row>
    <row r="5297" spans="1:26" ht="12.75">
      <c r="A5297" s="10" t="str">
        <f ca="1">IFERROR(__xludf.DUMMYFUNCTION("""COMPUTED_VALUE"""),"Майяна Милчева Митевска-Енчева")</f>
        <v>Майяна Милчева Митевска-Енчева</v>
      </c>
      <c r="B5297" s="10" t="str">
        <f ca="1">IFERROR(__xludf.DUMMYFUNCTION("""COMPUTED_VALUE"""),"Статия в списания и поредици")</f>
        <v>Статия в списания и поредици</v>
      </c>
      <c r="C5297" s="10" t="str">
        <f ca="1">IFERROR(__xludf.DUMMYFUNCTION("""COMPUTED_VALUE"""),"За осезаемите и неосезаемите активи на интелектуалния капитал")</f>
        <v>За осезаемите и неосезаемите активи на интелектуалния капитал</v>
      </c>
      <c r="D5297" s="10">
        <f ca="1">IFERROR(__xludf.DUMMYFUNCTION("""COMPUTED_VALUE"""),2007)</f>
        <v>2007</v>
      </c>
      <c r="E5297" s="10" t="str">
        <f ca="1">IFERROR(__xludf.DUMMYFUNCTION("""COMPUTED_VALUE"""),"ISSN 1312-5834.-(2007), s. 277-308= Тр. на СВУБИТ, Том 6,")</f>
        <v>ISSN 1312-5834.-(2007), s. 277-308= Тр. на СВУБИТ, Том 6,</v>
      </c>
      <c r="F5297" s="10"/>
      <c r="G5297" s="10"/>
      <c r="H5297" s="10"/>
      <c r="I5297" s="10"/>
      <c r="J5297" s="10"/>
      <c r="K5297" s="10"/>
      <c r="L5297" s="10"/>
      <c r="M5297" s="10"/>
      <c r="N5297" s="10"/>
      <c r="O5297" s="10"/>
      <c r="P5297" s="10"/>
      <c r="Q5297" s="10"/>
      <c r="R5297" s="10"/>
      <c r="S5297" s="10"/>
      <c r="T5297" s="10"/>
      <c r="U5297" s="10"/>
      <c r="V5297" s="10"/>
      <c r="W5297" s="10"/>
      <c r="X5297" s="10"/>
      <c r="Y5297" s="10"/>
      <c r="Z5297" s="10"/>
    </row>
    <row r="5298" spans="1:26" ht="12.75">
      <c r="A5298" s="10" t="str">
        <f ca="1">IFERROR(__xludf.DUMMYFUNCTION("""COMPUTED_VALUE"""),"Майяна Милчева Митевска-Енчева")</f>
        <v>Майяна Милчева Митевска-Енчева</v>
      </c>
      <c r="B5298" s="10" t="str">
        <f ca="1">IFERROR(__xludf.DUMMYFUNCTION("""COMPUTED_VALUE"""),"Статия в списания и поредици")</f>
        <v>Статия в списания и поредици</v>
      </c>
      <c r="C5298" s="10" t="str">
        <f ca="1">IFERROR(__xludf.DUMMYFUNCTION("""COMPUTED_VALUE"""),"Съвременни тенденции в развитието на научните изследвания")</f>
        <v>Съвременни тенденции в развитието на научните изследвания</v>
      </c>
      <c r="D5298" s="10">
        <f ca="1">IFERROR(__xludf.DUMMYFUNCTION("""COMPUTED_VALUE"""),2007)</f>
        <v>2007</v>
      </c>
      <c r="E5298" s="10" t="str">
        <f ca="1">IFERROR(__xludf.DUMMYFUNCTION("""COMPUTED_VALUE"""),"Тр. на СВУБИТ, Том 6. С.,2007.")</f>
        <v>Тр. на СВУБИТ, Том 6. С.,2007.</v>
      </c>
      <c r="F5298" s="10"/>
      <c r="G5298" s="10"/>
      <c r="H5298" s="10"/>
      <c r="I5298" s="10"/>
      <c r="J5298" s="10"/>
      <c r="K5298" s="10"/>
      <c r="L5298" s="10"/>
      <c r="M5298" s="10"/>
      <c r="N5298" s="10"/>
      <c r="O5298" s="10"/>
      <c r="P5298" s="10"/>
      <c r="Q5298" s="10"/>
      <c r="R5298" s="10"/>
      <c r="S5298" s="10"/>
      <c r="T5298" s="10"/>
      <c r="U5298" s="10"/>
      <c r="V5298" s="10"/>
      <c r="W5298" s="10"/>
      <c r="X5298" s="10"/>
      <c r="Y5298" s="10"/>
      <c r="Z5298" s="10"/>
    </row>
    <row r="5299" spans="1:26" ht="12.75">
      <c r="A5299" s="10" t="str">
        <f ca="1">IFERROR(__xludf.DUMMYFUNCTION("""COMPUTED_VALUE"""),"Майяна Милчева Митевска-Енчева")</f>
        <v>Майяна Милчева Митевска-Енчева</v>
      </c>
      <c r="B5299" s="10" t="str">
        <f ca="1">IFERROR(__xludf.DUMMYFUNCTION("""COMPUTED_VALUE"""),"Статия в списания и поредици")</f>
        <v>Статия в списания и поредици</v>
      </c>
      <c r="C5299" s="10" t="str">
        <f ca="1">IFERROR(__xludf.DUMMYFUNCTION("""COMPUTED_VALUE"""),"Кейс стади в контекста на развитието на човешкия капитал")</f>
        <v>Кейс стади в контекста на развитието на човешкия капитал</v>
      </c>
      <c r="D5299" s="10">
        <f ca="1">IFERROR(__xludf.DUMMYFUNCTION("""COMPUTED_VALUE"""),2007)</f>
        <v>2007</v>
      </c>
      <c r="E5299" s="10" t="str">
        <f ca="1">IFERROR(__xludf.DUMMYFUNCTION("""COMPUTED_VALUE"""),"Нови информационни технологии в образователния процес: Сборник ISSN 1313-2768. – 2007 (2007), s. 9-123")</f>
        <v>Нови информационни технологии в образователния процес: Сборник ISSN 1313-2768. – 2007 (2007), s. 9-123</v>
      </c>
      <c r="F5299" s="10"/>
      <c r="G5299" s="10"/>
      <c r="H5299" s="10"/>
      <c r="I5299" s="10"/>
      <c r="J5299" s="10"/>
      <c r="K5299" s="10"/>
      <c r="L5299" s="10"/>
      <c r="M5299" s="10"/>
      <c r="N5299" s="10"/>
      <c r="O5299" s="10"/>
      <c r="P5299" s="10"/>
      <c r="Q5299" s="10"/>
      <c r="R5299" s="10"/>
      <c r="S5299" s="10"/>
      <c r="T5299" s="10"/>
      <c r="U5299" s="10"/>
      <c r="V5299" s="10"/>
      <c r="W5299" s="10"/>
      <c r="X5299" s="10"/>
      <c r="Y5299" s="10"/>
      <c r="Z5299" s="10"/>
    </row>
    <row r="5300" spans="1:26" ht="12.75">
      <c r="A5300" s="10" t="str">
        <f ca="1">IFERROR(__xludf.DUMMYFUNCTION("""COMPUTED_VALUE"""),"Майяна Милчева Митевска-Енчева")</f>
        <v>Майяна Милчева Митевска-Енчева</v>
      </c>
      <c r="B5300" s="10" t="str">
        <f ca="1">IFERROR(__xludf.DUMMYFUNCTION("""COMPUTED_VALUE"""),"Статия в списания и поредици")</f>
        <v>Статия в списания и поредици</v>
      </c>
      <c r="C5300" s="10" t="str">
        <f ca="1">IFERROR(__xludf.DUMMYFUNCTION("""COMPUTED_VALUE"""),"Новата платформа за организация на научните изследвания")</f>
        <v>Новата платформа за организация на научните изследвания</v>
      </c>
      <c r="D5300" s="10">
        <f ca="1">IFERROR(__xludf.DUMMYFUNCTION("""COMPUTED_VALUE"""),2006)</f>
        <v>2006</v>
      </c>
      <c r="E5300" s="10" t="str">
        <f ca="1">IFERROR(__xludf.DUMMYFUNCTION("""COMPUTED_VALUE"""),"Национална научна конференция с международно участие, IV: Държавата на духа. София, 1 ноември, 2006: [Сб.]. 2006. с.545-553.")</f>
        <v>Национална научна конференция с международно участие, IV: Държавата на духа. София, 1 ноември, 2006: [Сб.]. 2006. с.545-553.</v>
      </c>
      <c r="F5300" s="10"/>
      <c r="G5300" s="10"/>
      <c r="H5300" s="10"/>
      <c r="I5300" s="10"/>
      <c r="J5300" s="10"/>
      <c r="K5300" s="10"/>
      <c r="L5300" s="10"/>
      <c r="M5300" s="10"/>
      <c r="N5300" s="10"/>
      <c r="O5300" s="10"/>
      <c r="P5300" s="10"/>
      <c r="Q5300" s="10"/>
      <c r="R5300" s="10"/>
      <c r="S5300" s="10"/>
      <c r="T5300" s="10"/>
      <c r="U5300" s="10"/>
      <c r="V5300" s="10"/>
      <c r="W5300" s="10"/>
      <c r="X5300" s="10"/>
      <c r="Y5300" s="10"/>
      <c r="Z5300" s="10"/>
    </row>
    <row r="5301" spans="1:26" ht="12.75">
      <c r="A5301" s="10" t="str">
        <f ca="1">IFERROR(__xludf.DUMMYFUNCTION("""COMPUTED_VALUE"""),"Майяна Милчева Митевска-Енчева")</f>
        <v>Майяна Милчева Митевска-Енчева</v>
      </c>
      <c r="B5301" s="10" t="str">
        <f ca="1">IFERROR(__xludf.DUMMYFUNCTION("""COMPUTED_VALUE"""),"Статия в списания и поредици")</f>
        <v>Статия в списания и поредици</v>
      </c>
      <c r="C5301" s="10" t="str">
        <f ca="1">IFERROR(__xludf.DUMMYFUNCTION("""COMPUTED_VALUE"""),"Организационната култура като определящ управленски фактор")</f>
        <v>Организационната култура като определящ управленски фактор</v>
      </c>
      <c r="D5301" s="10">
        <f ca="1">IFERROR(__xludf.DUMMYFUNCTION("""COMPUTED_VALUE"""),2006)</f>
        <v>2006</v>
      </c>
      <c r="E5301" s="10" t="str">
        <f ca="1">IFERROR(__xludf.DUMMYFUNCTION("""COMPUTED_VALUE"""),"Трудове на Специализираното висше училище по библиотекознание и информационни технологии ISSN 1312-5834. – 5 (2006), s. 545-551")</f>
        <v>Трудове на Специализираното висше училище по библиотекознание и информационни технологии ISSN 1312-5834. – 5 (2006), s. 545-551</v>
      </c>
      <c r="F5301" s="10"/>
      <c r="G5301" s="10"/>
      <c r="H5301" s="10"/>
      <c r="I5301" s="10"/>
      <c r="J5301" s="10"/>
      <c r="K5301" s="10"/>
      <c r="L5301" s="10"/>
      <c r="M5301" s="10"/>
      <c r="N5301" s="10"/>
      <c r="O5301" s="10"/>
      <c r="P5301" s="10"/>
      <c r="Q5301" s="10"/>
      <c r="R5301" s="10"/>
      <c r="S5301" s="10"/>
      <c r="T5301" s="10"/>
      <c r="U5301" s="10"/>
      <c r="V5301" s="10"/>
      <c r="W5301" s="10"/>
      <c r="X5301" s="10"/>
      <c r="Y5301" s="10"/>
      <c r="Z5301" s="10"/>
    </row>
    <row r="5302" spans="1:26" ht="12.75">
      <c r="A5302" s="10" t="str">
        <f ca="1">IFERROR(__xludf.DUMMYFUNCTION("""COMPUTED_VALUE"""),"Майяна Милчева Митевска-Енчева")</f>
        <v>Майяна Милчева Митевска-Енчева</v>
      </c>
      <c r="B5302" s="10" t="str">
        <f ca="1">IFERROR(__xludf.DUMMYFUNCTION("""COMPUTED_VALUE"""),"Статия в списания и поредици")</f>
        <v>Статия в списания и поредици</v>
      </c>
      <c r="C5302" s="10" t="str">
        <f ca="1">IFERROR(__xludf.DUMMYFUNCTION("""COMPUTED_VALUE"""),"Взаимозависимости между организационната култура, конфликтите и стиловете за разрешаването им в информационна структура")</f>
        <v>Взаимозависимости между организационната култура, конфликтите и стиловете за разрешаването им в информационна структура</v>
      </c>
      <c r="D5302" s="10">
        <f ca="1">IFERROR(__xludf.DUMMYFUNCTION("""COMPUTED_VALUE"""),2006)</f>
        <v>2006</v>
      </c>
      <c r="E5302" s="10" t="str">
        <f ca="1">IFERROR(__xludf.DUMMYFUNCTION("""COMPUTED_VALUE"""),"Трудове на Специализираното висше училище по библиотекознание и информационни технологии ISSN 1312-5834. – 5 (2006), s. 553-562")</f>
        <v>Трудове на Специализираното висше училище по библиотекознание и информационни технологии ISSN 1312-5834. – 5 (2006), s. 553-562</v>
      </c>
      <c r="F5302" s="10"/>
      <c r="G5302" s="10"/>
      <c r="H5302" s="10"/>
      <c r="I5302" s="10"/>
      <c r="J5302" s="10"/>
      <c r="K5302" s="10"/>
      <c r="L5302" s="10"/>
      <c r="M5302" s="10"/>
      <c r="N5302" s="10"/>
      <c r="O5302" s="10"/>
      <c r="P5302" s="10"/>
      <c r="Q5302" s="10"/>
      <c r="R5302" s="10"/>
      <c r="S5302" s="10"/>
      <c r="T5302" s="10"/>
      <c r="U5302" s="10"/>
      <c r="V5302" s="10"/>
      <c r="W5302" s="10"/>
      <c r="X5302" s="10"/>
      <c r="Y5302" s="10"/>
      <c r="Z5302" s="10"/>
    </row>
    <row r="5303" spans="1:26" ht="12.75">
      <c r="A5303" s="10" t="str">
        <f ca="1">IFERROR(__xludf.DUMMYFUNCTION("""COMPUTED_VALUE"""),"Майяна Милчева Митевска-Енчева")</f>
        <v>Майяна Милчева Митевска-Енчева</v>
      </c>
      <c r="B5303" s="10" t="str">
        <f ca="1">IFERROR(__xludf.DUMMYFUNCTION("""COMPUTED_VALUE"""),"Статия в списания и поредици")</f>
        <v>Статия в списания и поредици</v>
      </c>
      <c r="C5303" s="10" t="str">
        <f ca="1">IFERROR(__xludf.DUMMYFUNCTION("""COMPUTED_VALUE"""),"Изследване на организационната култура в информационна структура")</f>
        <v>Изследване на организационната култура в информационна структура</v>
      </c>
      <c r="D5303" s="10">
        <f ca="1">IFERROR(__xludf.DUMMYFUNCTION("""COMPUTED_VALUE"""),2005)</f>
        <v>2005</v>
      </c>
      <c r="E5303" s="10" t="str">
        <f ca="1">IFERROR(__xludf.DUMMYFUNCTION("""COMPUTED_VALUE"""),"Трудове на Специализираното висше училище по библиотекознание и информационни технологии ISSN 1312-5834. – 4 (2005), s. 397-408")</f>
        <v>Трудове на Специализираното висше училище по библиотекознание и информационни технологии ISSN 1312-5834. – 4 (2005), s. 397-408</v>
      </c>
      <c r="F5303" s="10"/>
      <c r="G5303" s="10"/>
      <c r="H5303" s="10"/>
      <c r="I5303" s="10"/>
      <c r="J5303" s="10"/>
      <c r="K5303" s="10"/>
      <c r="L5303" s="10"/>
      <c r="M5303" s="10"/>
      <c r="N5303" s="10"/>
      <c r="O5303" s="10"/>
      <c r="P5303" s="10"/>
      <c r="Q5303" s="10"/>
      <c r="R5303" s="10"/>
      <c r="S5303" s="10"/>
      <c r="T5303" s="10"/>
      <c r="U5303" s="10"/>
      <c r="V5303" s="10"/>
      <c r="W5303" s="10"/>
      <c r="X5303" s="10"/>
      <c r="Y5303" s="10"/>
      <c r="Z5303" s="10"/>
    </row>
    <row r="5304" spans="1:26" ht="12.75">
      <c r="A5304" s="10" t="str">
        <f ca="1">IFERROR(__xludf.DUMMYFUNCTION("""COMPUTED_VALUE"""),"Майяна Милчева Митевска-Енчева")</f>
        <v>Майяна Милчева Митевска-Енчева</v>
      </c>
      <c r="B5304" s="10" t="str">
        <f ca="1">IFERROR(__xludf.DUMMYFUNCTION("""COMPUTED_VALUE"""),"Статия в списания и поредици")</f>
        <v>Статия в списания и поредици</v>
      </c>
      <c r="C5304" s="10" t="str">
        <f ca="1">IFERROR(__xludf.DUMMYFUNCTION("""COMPUTED_VALUE"""),"Типове конфликти и стилове за разрешаването им в информационна структура")</f>
        <v>Типове конфликти и стилове за разрешаването им в информационна структура</v>
      </c>
      <c r="D5304" s="10">
        <f ca="1">IFERROR(__xludf.DUMMYFUNCTION("""COMPUTED_VALUE"""),2005)</f>
        <v>2005</v>
      </c>
      <c r="E5304" s="10" t="str">
        <f ca="1">IFERROR(__xludf.DUMMYFUNCTION("""COMPUTED_VALUE"""),"Трудове на Специализираното висше училище по библиотекознание и информационни технологии ISSN 1312-5834. – 4 (2005), s. 409-421")</f>
        <v>Трудове на Специализираното висше училище по библиотекознание и информационни технологии ISSN 1312-5834. – 4 (2005), s. 409-421</v>
      </c>
      <c r="F5304" s="10"/>
      <c r="G5304" s="10"/>
      <c r="H5304" s="10"/>
      <c r="I5304" s="10"/>
      <c r="J5304" s="10"/>
      <c r="K5304" s="10"/>
      <c r="L5304" s="10"/>
      <c r="M5304" s="10"/>
      <c r="N5304" s="10"/>
      <c r="O5304" s="10"/>
      <c r="P5304" s="10"/>
      <c r="Q5304" s="10"/>
      <c r="R5304" s="10"/>
      <c r="S5304" s="10"/>
      <c r="T5304" s="10"/>
      <c r="U5304" s="10"/>
      <c r="V5304" s="10"/>
      <c r="W5304" s="10"/>
      <c r="X5304" s="10"/>
      <c r="Y5304" s="10"/>
      <c r="Z5304" s="10"/>
    </row>
    <row r="5305" spans="1:26" ht="12.75">
      <c r="A5305" s="10" t="str">
        <f ca="1">IFERROR(__xludf.DUMMYFUNCTION("""COMPUTED_VALUE"""),"Майяна Милчева Митевска-Енчева")</f>
        <v>Майяна Милчева Митевска-Енчева</v>
      </c>
      <c r="B5305" s="10" t="str">
        <f ca="1">IFERROR(__xludf.DUMMYFUNCTION("""COMPUTED_VALUE"""),"Статия в списания и поредици")</f>
        <v>Статия в списания и поредици</v>
      </c>
      <c r="C5305" s="10" t="str">
        <f ca="1">IFERROR(__xludf.DUMMYFUNCTION("""COMPUTED_VALUE"""),"Организационната психология – област на знанието за човешкото поведение в организацията")</f>
        <v>Организационната психология – област на знанието за човешкото поведение в организацията</v>
      </c>
      <c r="D5305" s="10">
        <f ca="1">IFERROR(__xludf.DUMMYFUNCTION("""COMPUTED_VALUE"""),2004)</f>
        <v>2004</v>
      </c>
      <c r="E5305" s="10" t="str">
        <f ca="1">IFERROR(__xludf.DUMMYFUNCTION("""COMPUTED_VALUE"""),"Трудове на Специализираното висше училище по библиотекознание и информационни технологии ISSN 1312-5834. – 3 (2004), s. 271-277")</f>
        <v>Трудове на Специализираното висше училище по библиотекознание и информационни технологии ISSN 1312-5834. – 3 (2004), s. 271-277</v>
      </c>
      <c r="F5305" s="10"/>
      <c r="G5305" s="10"/>
      <c r="H5305" s="10"/>
      <c r="I5305" s="10"/>
      <c r="J5305" s="10"/>
      <c r="K5305" s="10"/>
      <c r="L5305" s="10"/>
      <c r="M5305" s="10"/>
      <c r="N5305" s="10"/>
      <c r="O5305" s="10"/>
      <c r="P5305" s="10"/>
      <c r="Q5305" s="10"/>
      <c r="R5305" s="10"/>
      <c r="S5305" s="10"/>
      <c r="T5305" s="10"/>
      <c r="U5305" s="10"/>
      <c r="V5305" s="10"/>
      <c r="W5305" s="10"/>
      <c r="X5305" s="10"/>
      <c r="Y5305" s="10"/>
      <c r="Z5305" s="10"/>
    </row>
    <row r="5306" spans="1:26" ht="12.75">
      <c r="A5306" s="10" t="str">
        <f ca="1">IFERROR(__xludf.DUMMYFUNCTION("""COMPUTED_VALUE"""),"Майяна Милчева Митевска-Енчева")</f>
        <v>Майяна Милчева Митевска-Енчева</v>
      </c>
      <c r="B5306" s="10" t="str">
        <f ca="1">IFERROR(__xludf.DUMMYFUNCTION("""COMPUTED_VALUE"""),"Статия в списания и поредици")</f>
        <v>Статия в списания и поредици</v>
      </c>
      <c r="C5306" s="10" t="str">
        <f ca="1">IFERROR(__xludf.DUMMYFUNCTION("""COMPUTED_VALUE"""),"Психологически аспекти на конфликтите в организацията")</f>
        <v>Психологически аспекти на конфликтите в организацията</v>
      </c>
      <c r="D5306" s="10">
        <f ca="1">IFERROR(__xludf.DUMMYFUNCTION("""COMPUTED_VALUE"""),2004)</f>
        <v>2004</v>
      </c>
      <c r="E5306" s="10" t="str">
        <f ca="1">IFERROR(__xludf.DUMMYFUNCTION("""COMPUTED_VALUE"""),"Трудове на Специализираното висше училище по библиотекознание и информационни технологии ISSN 1312-5834. – 3 (2004), s. 279-287")</f>
        <v>Трудове на Специализираното висше училище по библиотекознание и информационни технологии ISSN 1312-5834. – 3 (2004), s. 279-287</v>
      </c>
      <c r="F5306" s="10"/>
      <c r="G5306" s="10"/>
      <c r="H5306" s="10"/>
      <c r="I5306" s="10"/>
      <c r="J5306" s="10"/>
      <c r="K5306" s="10"/>
      <c r="L5306" s="10"/>
      <c r="M5306" s="10"/>
      <c r="N5306" s="10"/>
      <c r="O5306" s="10"/>
      <c r="P5306" s="10"/>
      <c r="Q5306" s="10"/>
      <c r="R5306" s="10"/>
      <c r="S5306" s="10"/>
      <c r="T5306" s="10"/>
      <c r="U5306" s="10"/>
      <c r="V5306" s="10"/>
      <c r="W5306" s="10"/>
      <c r="X5306" s="10"/>
      <c r="Y5306" s="10"/>
      <c r="Z5306" s="10"/>
    </row>
    <row r="5307" spans="1:26" ht="12.75">
      <c r="A5307" s="10" t="str">
        <f ca="1">IFERROR(__xludf.DUMMYFUNCTION("""COMPUTED_VALUE"""),"Майяна Милчева Митевска-Енчева")</f>
        <v>Майяна Милчева Митевска-Енчева</v>
      </c>
      <c r="B5307" s="10" t="str">
        <f ca="1">IFERROR(__xludf.DUMMYFUNCTION("""COMPUTED_VALUE"""),"Статия в списания и поредици")</f>
        <v>Статия в списания и поредици</v>
      </c>
      <c r="C5307" s="10" t="str">
        <f ca="1">IFERROR(__xludf.DUMMYFUNCTION("""COMPUTED_VALUE"""),"Организационната психология – област на знанието за човешкото поведение в организацията")</f>
        <v>Организационната психология – област на знанието за човешкото поведение в организацията</v>
      </c>
      <c r="D5307" s="10">
        <f ca="1">IFERROR(__xludf.DUMMYFUNCTION("""COMPUTED_VALUE"""),2003)</f>
        <v>2003</v>
      </c>
      <c r="E5307" s="10" t="str">
        <f ca="1">IFERROR(__xludf.DUMMYFUNCTION("""COMPUTED_VALUE"""),"Трудове на Колежа по библиотекознание и информационни технологии ISSN 1312-4013. – 2 (2003), s. 279-283")</f>
        <v>Трудове на Колежа по библиотекознание и информационни технологии ISSN 1312-4013. – 2 (2003), s. 279-283</v>
      </c>
      <c r="F5307" s="10"/>
      <c r="G5307" s="10"/>
      <c r="H5307" s="10"/>
      <c r="I5307" s="10"/>
      <c r="J5307" s="10"/>
      <c r="K5307" s="10"/>
      <c r="L5307" s="10"/>
      <c r="M5307" s="10"/>
      <c r="N5307" s="10"/>
      <c r="O5307" s="10"/>
      <c r="P5307" s="10"/>
      <c r="Q5307" s="10"/>
      <c r="R5307" s="10"/>
      <c r="S5307" s="10"/>
      <c r="T5307" s="10"/>
      <c r="U5307" s="10"/>
      <c r="V5307" s="10"/>
      <c r="W5307" s="10"/>
      <c r="X5307" s="10"/>
      <c r="Y5307" s="10"/>
      <c r="Z5307" s="10"/>
    </row>
    <row r="5308" spans="1:26" ht="12.75">
      <c r="A5308" s="10" t="str">
        <f ca="1">IFERROR(__xludf.DUMMYFUNCTION("""COMPUTED_VALUE"""),"Мариана Атанасова Атанасова")</f>
        <v>Мариана Атанасова Атанасова</v>
      </c>
      <c r="B5308" s="10" t="str">
        <f ca="1">IFERROR(__xludf.DUMMYFUNCTION("""COMPUTED_VALUE"""),"Статия в списания и поредици")</f>
        <v>Статия в списания и поредици</v>
      </c>
      <c r="C5308" s="10" t="str">
        <f ca="1">IFERROR(__xludf.DUMMYFUNCTION("""COMPUTED_VALUE"""),"Мястото на разбирането в комуникационните модели")</f>
        <v>Мястото на разбирането в комуникационните модели</v>
      </c>
      <c r="D5308" s="10">
        <f ca="1">IFERROR(__xludf.DUMMYFUNCTION("""COMPUTED_VALUE"""),2020)</f>
        <v>2020</v>
      </c>
      <c r="E5308" s="10" t="str">
        <f ca="1">IFERROR(__xludf.DUMMYFUNCTION("""COMPUTED_VALUE"""),"В: Научни трудове на Университета по библиотекознание и информационни технологии, Том 18, 2020. ISSN 1314-2623 (под печат)")</f>
        <v>В: Научни трудове на Университета по библиотекознание и информационни технологии, Том 18, 2020. ISSN 1314-2623 (под печат)</v>
      </c>
      <c r="F5308" s="10"/>
      <c r="G5308" s="10"/>
      <c r="H5308" s="10"/>
      <c r="I5308" s="10"/>
      <c r="J5308" s="10"/>
      <c r="K5308" s="10"/>
      <c r="L5308" s="10"/>
      <c r="M5308" s="10"/>
      <c r="N5308" s="10"/>
      <c r="O5308" s="10"/>
      <c r="P5308" s="10"/>
      <c r="Q5308" s="10"/>
      <c r="R5308" s="10"/>
      <c r="S5308" s="10"/>
      <c r="T5308" s="10"/>
      <c r="U5308" s="10"/>
      <c r="V5308" s="10"/>
      <c r="W5308" s="10"/>
      <c r="X5308" s="10"/>
      <c r="Y5308" s="10"/>
      <c r="Z5308" s="10"/>
    </row>
    <row r="5309" spans="1:26" ht="12.75">
      <c r="A5309" s="10" t="str">
        <f ca="1">IFERROR(__xludf.DUMMYFUNCTION("""COMPUTED_VALUE"""),"Мариана Атанасова Атанасова")</f>
        <v>Мариана Атанасова Атанасова</v>
      </c>
      <c r="B5309" s="10" t="str">
        <f ca="1">IFERROR(__xludf.DUMMYFUNCTION("""COMPUTED_VALUE"""),"Статия в списания и поредици")</f>
        <v>Статия в списания и поредици</v>
      </c>
      <c r="C5309" s="10" t="str">
        <f ca="1">IFERROR(__xludf.DUMMYFUNCTION("""COMPUTED_VALUE"""),"Теоретични подходи за изследване на медиите и техните перспективи")</f>
        <v>Теоретични подходи за изследване на медиите и техните перспективи</v>
      </c>
      <c r="D5309" s="10">
        <f ca="1">IFERROR(__xludf.DUMMYFUNCTION("""COMPUTED_VALUE"""),2020)</f>
        <v>2020</v>
      </c>
      <c r="E5309" s="10" t="str">
        <f ca="1">IFERROR(__xludf.DUMMYFUNCTION("""COMPUTED_VALUE"""),"Комуникации и политики. (Учебно помагало). С., изд. „За буквите – О писменехь“, том 4, 2020. 
  ISBN 978-619-185-390-8 (под печат).")</f>
        <v>Комуникации и политики. (Учебно помагало). С., изд. „За буквите – О писменехь“, том 4, 2020. 
  ISBN 978-619-185-390-8 (под печат).</v>
      </c>
      <c r="F5309" s="10"/>
      <c r="G5309" s="10"/>
      <c r="H5309" s="10"/>
      <c r="I5309" s="10"/>
      <c r="J5309" s="10"/>
      <c r="K5309" s="10"/>
      <c r="L5309" s="10"/>
      <c r="M5309" s="10"/>
      <c r="N5309" s="10"/>
      <c r="O5309" s="10"/>
      <c r="P5309" s="10"/>
      <c r="Q5309" s="10"/>
      <c r="R5309" s="10"/>
      <c r="S5309" s="10"/>
      <c r="T5309" s="10"/>
      <c r="U5309" s="10"/>
      <c r="V5309" s="10"/>
      <c r="W5309" s="10"/>
      <c r="X5309" s="10"/>
      <c r="Y5309" s="10"/>
      <c r="Z5309" s="10"/>
    </row>
    <row r="5310" spans="1:26" ht="12.75">
      <c r="A5310" s="10" t="str">
        <f ca="1">IFERROR(__xludf.DUMMYFUNCTION("""COMPUTED_VALUE"""),"Мариана Атанасова Атанасова")</f>
        <v>Мариана Атанасова Атанасова</v>
      </c>
      <c r="B5310" s="10" t="str">
        <f ca="1">IFERROR(__xludf.DUMMYFUNCTION("""COMPUTED_VALUE"""),"Статия в списания и поредици")</f>
        <v>Статия в списания и поредици</v>
      </c>
      <c r="C5310" s="10" t="str">
        <f ca="1">IFERROR(__xludf.DUMMYFUNCTION("""COMPUTED_VALUE"""),"Медиатизацията и промените в социо-културната сфера")</f>
        <v>Медиатизацията и промените в социо-културната сфера</v>
      </c>
      <c r="D5310" s="10">
        <f ca="1">IFERROR(__xludf.DUMMYFUNCTION("""COMPUTED_VALUE"""),2020)</f>
        <v>2020</v>
      </c>
      <c r="E5310" s="10" t="str">
        <f ca="1">IFERROR(__xludf.DUMMYFUNCTION("""COMPUTED_VALUE"""),"Във: Проблеми на обществената комуникация. С., изд. „За буквите – О писменехь“, 2020.
  ISBN 978-619-185-390-8 (под печат)")</f>
        <v>Във: Проблеми на обществената комуникация. С., изд. „За буквите – О писменехь“, 2020.
  ISBN 978-619-185-390-8 (под печат)</v>
      </c>
      <c r="F5310" s="10"/>
      <c r="G5310" s="10"/>
      <c r="H5310" s="10"/>
      <c r="I5310" s="10"/>
      <c r="J5310" s="10"/>
      <c r="K5310" s="10"/>
      <c r="L5310" s="10"/>
      <c r="M5310" s="10"/>
      <c r="N5310" s="10"/>
      <c r="O5310" s="10"/>
      <c r="P5310" s="10"/>
      <c r="Q5310" s="10"/>
      <c r="R5310" s="10"/>
      <c r="S5310" s="10"/>
      <c r="T5310" s="10"/>
      <c r="U5310" s="10"/>
      <c r="V5310" s="10"/>
      <c r="W5310" s="10"/>
      <c r="X5310" s="10"/>
      <c r="Y5310" s="10"/>
      <c r="Z5310" s="10"/>
    </row>
    <row r="5311" spans="1:26" ht="12.75">
      <c r="A5311" s="10" t="str">
        <f ca="1">IFERROR(__xludf.DUMMYFUNCTION("""COMPUTED_VALUE"""),"Мариана Атанасова Атанасова")</f>
        <v>Мариана Атанасова Атанасова</v>
      </c>
      <c r="B5311" s="10" t="str">
        <f ca="1">IFERROR(__xludf.DUMMYFUNCTION("""COMPUTED_VALUE"""),"Статия в списания и поредици")</f>
        <v>Статия в списания и поредици</v>
      </c>
      <c r="C5311" s="10" t="str">
        <f ca="1">IFERROR(__xludf.DUMMYFUNCTION("""COMPUTED_VALUE"""),"Фалшивите новини като трансформатори на медиите")</f>
        <v>Фалшивите новини като трансформатори на медиите</v>
      </c>
      <c r="D5311" s="10">
        <f ca="1">IFERROR(__xludf.DUMMYFUNCTION("""COMPUTED_VALUE"""),2019)</f>
        <v>2019</v>
      </c>
      <c r="E5311" s="10" t="str">
        <f ca="1">IFERROR(__xludf.DUMMYFUNCTION("""COMPUTED_VALUE"""),"Във: Комуникации и политики. (Учебно помагало). С., изд. „За буквите – О писменехь“, том 2, 2018, с. 50-57
 ISBN 978-619-185-390-8")</f>
        <v>Във: Комуникации и политики. (Учебно помагало). С., изд. „За буквите – О писменехь“, том 2, 2018, с. 50-57
 ISBN 978-619-185-390-8</v>
      </c>
      <c r="F5311" s="10"/>
      <c r="G5311" s="10"/>
      <c r="H5311" s="10"/>
      <c r="I5311" s="10"/>
      <c r="J5311" s="10"/>
      <c r="K5311" s="10"/>
      <c r="L5311" s="10"/>
      <c r="M5311" s="10"/>
      <c r="N5311" s="10"/>
      <c r="O5311" s="10"/>
      <c r="P5311" s="10"/>
      <c r="Q5311" s="10"/>
      <c r="R5311" s="10"/>
      <c r="S5311" s="10"/>
      <c r="T5311" s="10"/>
      <c r="U5311" s="10"/>
      <c r="V5311" s="10"/>
      <c r="W5311" s="10"/>
      <c r="X5311" s="10"/>
      <c r="Y5311" s="10"/>
      <c r="Z5311" s="10"/>
    </row>
    <row r="5312" spans="1:26" ht="12.75">
      <c r="A5312" s="10" t="str">
        <f ca="1">IFERROR(__xludf.DUMMYFUNCTION("""COMPUTED_VALUE"""),"Мариана Атанасова Атанасова")</f>
        <v>Мариана Атанасова Атанасова</v>
      </c>
      <c r="B5312" s="10" t="str">
        <f ca="1">IFERROR(__xludf.DUMMYFUNCTION("""COMPUTED_VALUE"""),"Доклад от конференция")</f>
        <v>Доклад от конференция</v>
      </c>
      <c r="C5312" s="10" t="str">
        <f ca="1">IFERROR(__xludf.DUMMYFUNCTION("""COMPUTED_VALUE"""),"Работа със завършили студенти – алумни – една недооценена възможност за издигане на имиджа на висшите училища")</f>
        <v>Работа със завършили студенти – алумни – една недооценена възможност за издигане на имиджа на висшите училища</v>
      </c>
      <c r="D5312" s="10">
        <f ca="1">IFERROR(__xludf.DUMMYFUNCTION("""COMPUTED_VALUE"""),2019)</f>
        <v>2019</v>
      </c>
      <c r="E5312" s="10" t="str">
        <f ca="1">IFERROR(__xludf.DUMMYFUNCTION("""COMPUTED_VALUE"""),"В: Формиране на имидж и стратегическо управление в университетска информационна среда. София : За буквите - Описменехь, 2019. 149 с. : с табл., диагр. ; 21 см. ISBN 978-619-185-373-1")</f>
        <v>В: Формиране на имидж и стратегическо управление в университетска информационна среда. София : За буквите - Описменехь, 2019. 149 с. : с табл., диагр. ; 21 см. ISBN 978-619-185-373-1</v>
      </c>
      <c r="F5312" s="10" t="str">
        <f ca="1">IFERROR(__xludf.DUMMYFUNCTION("""COMPUTED_VALUE"""),"COBISS.BG-ID - 1290597860")</f>
        <v>COBISS.BG-ID - 1290597860</v>
      </c>
      <c r="G5312" s="10"/>
      <c r="H5312" s="10"/>
      <c r="I5312" s="10"/>
      <c r="J5312" s="10"/>
      <c r="K5312" s="10"/>
      <c r="L5312" s="10"/>
      <c r="M5312" s="10"/>
      <c r="N5312" s="10"/>
      <c r="O5312" s="10"/>
      <c r="P5312" s="10"/>
      <c r="Q5312" s="10"/>
      <c r="R5312" s="10"/>
      <c r="S5312" s="10"/>
      <c r="T5312" s="10"/>
      <c r="U5312" s="10"/>
      <c r="V5312" s="10"/>
      <c r="W5312" s="10"/>
      <c r="X5312" s="10"/>
      <c r="Y5312" s="10"/>
      <c r="Z5312" s="10"/>
    </row>
    <row r="5313" spans="1:26" ht="12.75">
      <c r="A5313" s="10" t="str">
        <f ca="1">IFERROR(__xludf.DUMMYFUNCTION("""COMPUTED_VALUE"""),"Мариана Атанасова Атанасова")</f>
        <v>Мариана Атанасова Атанасова</v>
      </c>
      <c r="B5313" s="10" t="str">
        <f ca="1">IFERROR(__xludf.DUMMYFUNCTION("""COMPUTED_VALUE"""),"Доклад от конференция")</f>
        <v>Доклад от конференция</v>
      </c>
      <c r="C5313" s="10" t="str">
        <f ca="1">IFERROR(__xludf.DUMMYFUNCTION("""COMPUTED_VALUE"""),"University image – a factor in generating leadership positions, trust and corporate positions in university information environment")</f>
        <v>University image – a factor in generating leadership positions, trust and corporate positions in university information environment</v>
      </c>
      <c r="D5313" s="10">
        <f ca="1">IFERROR(__xludf.DUMMYFUNCTION("""COMPUTED_VALUE"""),2018)</f>
        <v>2018</v>
      </c>
      <c r="E5313" s="10" t="str">
        <f ca="1">IFERROR(__xludf.DUMMYFUNCTION("""COMPUTED_VALUE"""),"Proceedings of EDULEARN18 Conference 2nd-4th July 2018, Palma, Mallorca, Spain, ISBN: 978-84-09-02709-5.pp-1300-1303")</f>
        <v>Proceedings of EDULEARN18 Conference 2nd-4th July 2018, Palma, Mallorca, Spain, ISBN: 978-84-09-02709-5.pp-1300-1303</v>
      </c>
      <c r="F5313" s="10" t="str">
        <f ca="1">IFERROR(__xludf.DUMMYFUNCTION("""COMPUTED_VALUE"""),"Web of science, Crossref")</f>
        <v>Web of science, Crossref</v>
      </c>
      <c r="G5313" s="10" t="str">
        <f ca="1">IFERROR(__xludf.DUMMYFUNCTION("""COMPUTED_VALUE"""),"Miriyana Pavlova, Diana Stoyanova, Kristina Bosakova")</f>
        <v>Miriyana Pavlova, Diana Stoyanova, Kristina Bosakova</v>
      </c>
      <c r="H5313" s="10"/>
      <c r="I5313" s="10"/>
      <c r="J5313" s="10"/>
      <c r="K5313" s="10"/>
      <c r="L5313" s="10"/>
      <c r="M5313" s="10"/>
      <c r="N5313" s="10"/>
      <c r="O5313" s="10"/>
      <c r="P5313" s="10"/>
      <c r="Q5313" s="10"/>
      <c r="R5313" s="10"/>
      <c r="S5313" s="10"/>
      <c r="T5313" s="10"/>
      <c r="U5313" s="10"/>
      <c r="V5313" s="10"/>
      <c r="W5313" s="10"/>
      <c r="X5313" s="10"/>
      <c r="Y5313" s="10"/>
      <c r="Z5313" s="10"/>
    </row>
    <row r="5314" spans="1:26" ht="12.75">
      <c r="A5314" s="10" t="str">
        <f ca="1">IFERROR(__xludf.DUMMYFUNCTION("""COMPUTED_VALUE"""),"Мариана Атанасова Атанасова")</f>
        <v>Мариана Атанасова Атанасова</v>
      </c>
      <c r="B5314" s="10" t="str">
        <f ca="1">IFERROR(__xludf.DUMMYFUNCTION("""COMPUTED_VALUE"""),"Статия в списания и поредици")</f>
        <v>Статия в списания и поредици</v>
      </c>
      <c r="C5314" s="10" t="str">
        <f ca="1">IFERROR(__xludf.DUMMYFUNCTION("""COMPUTED_VALUE"""),"НЕОЛИБЕРАЛЬНАЯ СТИЛИСТИКА МАНИПУЛЯТИВНОГО ВОЗДЕЙСТВИЯ ОБЩЕСТВЕННОЙ ИНФОРМАЦИИ")</f>
        <v>НЕОЛИБЕРАЛЬНАЯ СТИЛИСТИКА МАНИПУЛЯТИВНОГО ВОЗДЕЙСТВИЯ ОБЩЕСТВЕННОЙ ИНФОРМАЦИИ</v>
      </c>
      <c r="D5314" s="10">
        <f ca="1">IFERROR(__xludf.DUMMYFUNCTION("""COMPUTED_VALUE"""),2018)</f>
        <v>2018</v>
      </c>
      <c r="E5314" s="10" t="str">
        <f ca="1">IFERROR(__xludf.DUMMYFUNCTION("""COMPUTED_VALUE"""),"„Геополитический журнал“, 2018, № 1 (21 ),с 19-24 Издательство ООО «Сам Полиграфист». Отпечатано в типографии «OneBook» 109125, г. Москва, Волгоградский проспект, д. 42, Россия, ISSN 2410-7771")</f>
        <v>„Геополитический журнал“, 2018, № 1 (21 ),с 19-24 Издательство ООО «Сам Полиграфист». Отпечатано в типографии «OneBook» 109125, г. Москва, Волгоградский проспект, д. 42, Россия, ISSN 2410-7771</v>
      </c>
      <c r="F5314" s="10"/>
      <c r="G5314" s="10" t="str">
        <f ca="1">IFERROR(__xludf.DUMMYFUNCTION("""COMPUTED_VALUE"""),"Стоян Денчев Николай Палашев")</f>
        <v>Стоян Денчев Николай Палашев</v>
      </c>
      <c r="H5314" s="10"/>
      <c r="I5314" s="10"/>
      <c r="J5314" s="10"/>
      <c r="K5314" s="10"/>
      <c r="L5314" s="10"/>
      <c r="M5314" s="10"/>
      <c r="N5314" s="10"/>
      <c r="O5314" s="10"/>
      <c r="P5314" s="10"/>
      <c r="Q5314" s="10"/>
      <c r="R5314" s="10"/>
      <c r="S5314" s="10"/>
      <c r="T5314" s="10"/>
      <c r="U5314" s="10"/>
      <c r="V5314" s="10"/>
      <c r="W5314" s="10"/>
      <c r="X5314" s="10"/>
      <c r="Y5314" s="10"/>
      <c r="Z5314" s="10"/>
    </row>
    <row r="5315" spans="1:26" ht="12.75">
      <c r="A5315" s="10" t="str">
        <f ca="1">IFERROR(__xludf.DUMMYFUNCTION("""COMPUTED_VALUE"""),"Мариана Атанасова Атанасова")</f>
        <v>Мариана Атанасова Атанасова</v>
      </c>
      <c r="B5315" s="10" t="str">
        <f ca="1">IFERROR(__xludf.DUMMYFUNCTION("""COMPUTED_VALUE"""),"Доклад от конференция")</f>
        <v>Доклад от конференция</v>
      </c>
      <c r="C5315" s="10" t="str">
        <f ca="1">IFERROR(__xludf.DUMMYFUNCTION("""COMPUTED_VALUE"""),"Комуникационно насилие в интернет")</f>
        <v>Комуникационно насилие в интернет</v>
      </c>
      <c r="D5315" s="10">
        <f ca="1">IFERROR(__xludf.DUMMYFUNCTION("""COMPUTED_VALUE"""),2018)</f>
        <v>2018</v>
      </c>
      <c r="E5315" s="10" t="str">
        <f ca="1">IFERROR(__xludf.DUMMYFUNCTION("""COMPUTED_VALUE"""),"Във: Комуникации и политики. (Учебно помагало). С., изд. „За буквите – О писменехь“, 2018, с 237-242, ISBN 978-619-185-304-5 (Print), ISBN 978-619-185-305-2 (Online)")</f>
        <v>Във: Комуникации и политики. (Учебно помагало). С., изд. „За буквите – О писменехь“, 2018, с 237-242, ISBN 978-619-185-304-5 (Print), ISBN 978-619-185-305-2 (Online)</v>
      </c>
      <c r="F5315" s="28" t="str">
        <f ca="1">IFERROR(__xludf.DUMMYFUNCTION("""COMPUTED_VALUE"""),"Researchechgate.net")</f>
        <v>Researchechgate.net</v>
      </c>
      <c r="G5315" s="10"/>
      <c r="H5315" s="10"/>
      <c r="I5315" s="10"/>
      <c r="J5315" s="10"/>
      <c r="K5315" s="10"/>
      <c r="L5315" s="10"/>
      <c r="M5315" s="10"/>
      <c r="N5315" s="10"/>
      <c r="O5315" s="10"/>
      <c r="P5315" s="10"/>
      <c r="Q5315" s="10"/>
      <c r="R5315" s="10"/>
      <c r="S5315" s="10"/>
      <c r="T5315" s="10"/>
      <c r="U5315" s="10"/>
      <c r="V5315" s="10"/>
      <c r="W5315" s="10"/>
      <c r="X5315" s="10"/>
      <c r="Y5315" s="10"/>
      <c r="Z5315" s="10"/>
    </row>
    <row r="5316" spans="1:26" ht="12.75">
      <c r="A5316" s="10" t="str">
        <f ca="1">IFERROR(__xludf.DUMMYFUNCTION("""COMPUTED_VALUE"""),"Мариана Атанасова Атанасова")</f>
        <v>Мариана Атанасова Атанасова</v>
      </c>
      <c r="B5316" s="10" t="str">
        <f ca="1">IFERROR(__xludf.DUMMYFUNCTION("""COMPUTED_VALUE"""),"Доклад от конференция")</f>
        <v>Доклад от конференция</v>
      </c>
      <c r="C5316" s="10" t="str">
        <f ca="1">IFERROR(__xludf.DUMMYFUNCTION("""COMPUTED_VALUE"""),"Медиите и социокултурната реалност")</f>
        <v>Медиите и социокултурната реалност</v>
      </c>
      <c r="D5316" s="10">
        <f ca="1">IFERROR(__xludf.DUMMYFUNCTION("""COMPUTED_VALUE"""),2018)</f>
        <v>2018</v>
      </c>
      <c r="E5316" s="10" t="str">
        <f ca="1">IFERROR(__xludf.DUMMYFUNCTION("""COMPUTED_VALUE"""),"В : Комуникации и политики. (Учебно помагало) (съст.: Димитрова, Я., Николай Палашев, Христина Богова, Магдалена Гарванова). С. изд. „За буквите – О писменехь“, 2018, с 90-97, ISBN 978-619-185-304-5 (Print), ISBN 978-619-185-305-2 (Online)")</f>
        <v>В : Комуникации и политики. (Учебно помагало) (съст.: Димитрова, Я., Николай Палашев, Христина Богова, Магдалена Гарванова). С. изд. „За буквите – О писменехь“, 2018, с 90-97, ISBN 978-619-185-304-5 (Print), ISBN 978-619-185-305-2 (Online)</v>
      </c>
      <c r="F5316" s="28" t="str">
        <f ca="1">IFERROR(__xludf.DUMMYFUNCTION("""COMPUTED_VALUE"""),"Researchechgate.net")</f>
        <v>Researchechgate.net</v>
      </c>
      <c r="G5316" s="10" t="str">
        <f ca="1">IFERROR(__xludf.DUMMYFUNCTION("""COMPUTED_VALUE"""),"Палашев, Николай")</f>
        <v>Палашев, Николай</v>
      </c>
      <c r="H5316" s="10"/>
      <c r="I5316" s="10"/>
      <c r="J5316" s="10"/>
      <c r="K5316" s="10"/>
      <c r="L5316" s="10"/>
      <c r="M5316" s="10"/>
      <c r="N5316" s="10"/>
      <c r="O5316" s="10"/>
      <c r="P5316" s="10"/>
      <c r="Q5316" s="10"/>
      <c r="R5316" s="10"/>
      <c r="S5316" s="10"/>
      <c r="T5316" s="10"/>
      <c r="U5316" s="10"/>
      <c r="V5316" s="10"/>
      <c r="W5316" s="10"/>
      <c r="X5316" s="10"/>
      <c r="Y5316" s="10"/>
      <c r="Z5316" s="10"/>
    </row>
    <row r="5317" spans="1:26" ht="12.75">
      <c r="A5317" s="10" t="str">
        <f ca="1">IFERROR(__xludf.DUMMYFUNCTION("""COMPUTED_VALUE"""),"Мариана Атанасова Атанасова")</f>
        <v>Мариана Атанасова Атанасова</v>
      </c>
      <c r="B5317" s="10" t="str">
        <f ca="1">IFERROR(__xludf.DUMMYFUNCTION("""COMPUTED_VALUE"""),"Доклад от конференция")</f>
        <v>Доклад от конференция</v>
      </c>
      <c r="C5317" s="10" t="str">
        <f ca="1">IFERROR(__xludf.DUMMYFUNCTION("""COMPUTED_VALUE"""),"ASPECTS OF THE ACTIVITIES PF A STUDENT CENTER FOR MEDIA PRACTICES AND RESEARCH")</f>
        <v>ASPECTS OF THE ACTIVITIES PF A STUDENT CENTER FOR MEDIA PRACTICES AND RESEARCH</v>
      </c>
      <c r="D5317" s="10">
        <f ca="1">IFERROR(__xludf.DUMMYFUNCTION("""COMPUTED_VALUE"""),2018)</f>
        <v>2018</v>
      </c>
      <c r="E5317" s="10" t="str">
        <f ca="1">IFERROR(__xludf.DUMMYFUNCTION("""COMPUTED_VALUE"""),"In: ICERI2018 Proceedings, the 11th annual International Conference of Education, Research and Innovation. 2018. p. 4556-4559 ISBN: 978-84-09-05948-5 ISSN: 2340-1095 doi: 10.21125/iceri.2018.2028")</f>
        <v>In: ICERI2018 Proceedings, the 11th annual International Conference of Education, Research and Innovation. 2018. p. 4556-4559 ISBN: 978-84-09-05948-5 ISSN: 2340-1095 doi: 10.21125/iceri.2018.2028</v>
      </c>
      <c r="F5317" s="10" t="str">
        <f ca="1">IFERROR(__xludf.DUMMYFUNCTION("""COMPUTED_VALUE"""),"Web of Science")</f>
        <v>Web of Science</v>
      </c>
      <c r="G5317" s="10"/>
      <c r="H5317" s="10"/>
      <c r="I5317" s="10"/>
      <c r="J5317" s="10"/>
      <c r="K5317" s="10"/>
      <c r="L5317" s="10"/>
      <c r="M5317" s="10"/>
      <c r="N5317" s="10"/>
      <c r="O5317" s="10"/>
      <c r="P5317" s="10"/>
      <c r="Q5317" s="10"/>
      <c r="R5317" s="10"/>
      <c r="S5317" s="10"/>
      <c r="T5317" s="10"/>
      <c r="U5317" s="10"/>
      <c r="V5317" s="10"/>
      <c r="W5317" s="10"/>
      <c r="X5317" s="10"/>
      <c r="Y5317" s="10"/>
      <c r="Z5317" s="10"/>
    </row>
    <row r="5318" spans="1:26" ht="12.75">
      <c r="A5318" s="10" t="str">
        <f ca="1">IFERROR(__xludf.DUMMYFUNCTION("""COMPUTED_VALUE"""),"Мариана Атанасова Атанасова")</f>
        <v>Мариана Атанасова Атанасова</v>
      </c>
      <c r="B5318" s="10" t="str">
        <f ca="1">IFERROR(__xludf.DUMMYFUNCTION("""COMPUTED_VALUE"""),"Доклад от конференция")</f>
        <v>Доклад от конференция</v>
      </c>
      <c r="C5318" s="10" t="str">
        <f ca="1">IFERROR(__xludf.DUMMYFUNCTION("""COMPUTED_VALUE"""),"Комуникационната война на неолиберализма.")</f>
        <v>Комуникационната война на неолиберализма.</v>
      </c>
      <c r="D5318" s="10">
        <f ca="1">IFERROR(__xludf.DUMMYFUNCTION("""COMPUTED_VALUE"""),2018)</f>
        <v>2018</v>
      </c>
      <c r="E5318" s="10" t="str">
        <f ca="1">IFERROR(__xludf.DUMMYFUNCTION("""COMPUTED_VALUE"""),"Сборник с научни доклади от „Четвърта международна кръгла маса“, УниБИТ (под печат)")</f>
        <v>Сборник с научни доклади от „Четвърта международна кръгла маса“, УниБИТ (под печат)</v>
      </c>
      <c r="F5318" s="10"/>
      <c r="G5318" s="10" t="str">
        <f ca="1">IFERROR(__xludf.DUMMYFUNCTION("""COMPUTED_VALUE"""),"Денчев, Стоян, Николай Палашев")</f>
        <v>Денчев, Стоян, Николай Палашев</v>
      </c>
      <c r="H5318" s="10"/>
      <c r="I5318" s="10"/>
      <c r="J5318" s="10"/>
      <c r="K5318" s="10"/>
      <c r="L5318" s="10"/>
      <c r="M5318" s="10"/>
      <c r="N5318" s="10"/>
      <c r="O5318" s="10"/>
      <c r="P5318" s="10"/>
      <c r="Q5318" s="10"/>
      <c r="R5318" s="10"/>
      <c r="S5318" s="10"/>
      <c r="T5318" s="10"/>
      <c r="U5318" s="10"/>
      <c r="V5318" s="10"/>
      <c r="W5318" s="10"/>
      <c r="X5318" s="10"/>
      <c r="Y5318" s="10"/>
      <c r="Z5318" s="10"/>
    </row>
    <row r="5319" spans="1:26" ht="12.75">
      <c r="A5319" s="10" t="str">
        <f ca="1">IFERROR(__xludf.DUMMYFUNCTION("""COMPUTED_VALUE"""),"Мариана Атанасова Атанасова")</f>
        <v>Мариана Атанасова Атанасова</v>
      </c>
      <c r="B5319" s="10" t="str">
        <f ca="1">IFERROR(__xludf.DUMMYFUNCTION("""COMPUTED_VALUE"""),"Доклад от конференция")</f>
        <v>Доклад от конференция</v>
      </c>
      <c r="C5319" s="10" t="str">
        <f ca="1">IFERROR(__xludf.DUMMYFUNCTION("""COMPUTED_VALUE"""),"Фалшиви ли са новините в България?")</f>
        <v>Фалшиви ли са новините в България?</v>
      </c>
      <c r="D5319" s="10">
        <f ca="1">IFERROR(__xludf.DUMMYFUNCTION("""COMPUTED_VALUE"""),2018)</f>
        <v>2018</v>
      </c>
      <c r="E5319" s="10" t="str">
        <f ca="1">IFERROR(__xludf.DUMMYFUNCTION("""COMPUTED_VALUE"""),"Във: Комуникации и политики. (Учебно помагало). С., изд. „За буквите – О писменехь“2018, с 182-187, ISBN 978-619-185-304-5 (Print), ISBN 978-619-185-305-2 (Online)")</f>
        <v>Във: Комуникации и политики. (Учебно помагало). С., изд. „За буквите – О писменехь“2018, с 182-187, ISBN 978-619-185-304-5 (Print), ISBN 978-619-185-305-2 (Online)</v>
      </c>
      <c r="F5319" s="28" t="str">
        <f ca="1">IFERROR(__xludf.DUMMYFUNCTION("""COMPUTED_VALUE"""),"Researchechgate.net")</f>
        <v>Researchechgate.net</v>
      </c>
      <c r="G5319" s="10" t="str">
        <f ca="1">IFERROR(__xludf.DUMMYFUNCTION("""COMPUTED_VALUE"""),"Палашев, Н., Христина Богова")</f>
        <v>Палашев, Н., Христина Богова</v>
      </c>
      <c r="H5319" s="10"/>
      <c r="I5319" s="10"/>
      <c r="J5319" s="10"/>
      <c r="K5319" s="10"/>
      <c r="L5319" s="10"/>
      <c r="M5319" s="10"/>
      <c r="N5319" s="10"/>
      <c r="O5319" s="10"/>
      <c r="P5319" s="10"/>
      <c r="Q5319" s="10"/>
      <c r="R5319" s="10"/>
      <c r="S5319" s="10"/>
      <c r="T5319" s="10"/>
      <c r="U5319" s="10"/>
      <c r="V5319" s="10"/>
      <c r="W5319" s="10"/>
      <c r="X5319" s="10"/>
      <c r="Y5319" s="10"/>
      <c r="Z5319" s="10"/>
    </row>
    <row r="5320" spans="1:26" ht="12.75">
      <c r="A5320" s="10" t="str">
        <f ca="1">IFERROR(__xludf.DUMMYFUNCTION("""COMPUTED_VALUE"""),"Мариана Атанасова Атанасова")</f>
        <v>Мариана Атанасова Атанасова</v>
      </c>
      <c r="B5320" s="10" t="str">
        <f ca="1">IFERROR(__xludf.DUMMYFUNCTION("""COMPUTED_VALUE"""),"Доклад от конференция")</f>
        <v>Доклад от конференция</v>
      </c>
      <c r="C5320" s="10" t="str">
        <f ca="1">IFERROR(__xludf.DUMMYFUNCTION("""COMPUTED_VALUE"""),"Комуникационни технологии при сугестивната комуникация")</f>
        <v>Комуникационни технологии при сугестивната комуникация</v>
      </c>
      <c r="D5320" s="10">
        <f ca="1">IFERROR(__xludf.DUMMYFUNCTION("""COMPUTED_VALUE"""),2018)</f>
        <v>2018</v>
      </c>
      <c r="E5320" s="10" t="str">
        <f ca="1">IFERROR(__xludf.DUMMYFUNCTION("""COMPUTED_VALUE"""),"Сборник с научни доклади от „Четвърта международна кръгла маса“, УниБИТ (под печат)")</f>
        <v>Сборник с научни доклади от „Четвърта международна кръгла маса“, УниБИТ (под печат)</v>
      </c>
      <c r="F5320" s="10"/>
      <c r="G5320" s="10"/>
      <c r="H5320" s="10"/>
      <c r="I5320" s="10"/>
      <c r="J5320" s="10"/>
      <c r="K5320" s="10"/>
      <c r="L5320" s="10"/>
      <c r="M5320" s="10"/>
      <c r="N5320" s="10"/>
      <c r="O5320" s="10"/>
      <c r="P5320" s="10"/>
      <c r="Q5320" s="10"/>
      <c r="R5320" s="10"/>
      <c r="S5320" s="10"/>
      <c r="T5320" s="10"/>
      <c r="U5320" s="10"/>
      <c r="V5320" s="10"/>
      <c r="W5320" s="10"/>
      <c r="X5320" s="10"/>
      <c r="Y5320" s="10"/>
      <c r="Z5320" s="10"/>
    </row>
    <row r="5321" spans="1:26" ht="12.75">
      <c r="A5321" s="10" t="str">
        <f ca="1">IFERROR(__xludf.DUMMYFUNCTION("""COMPUTED_VALUE"""),"Мариана Атанасова Атанасова")</f>
        <v>Мариана Атанасова Атанасова</v>
      </c>
      <c r="B5321" s="10" t="str">
        <f ca="1">IFERROR(__xludf.DUMMYFUNCTION("""COMPUTED_VALUE"""),"Доклад от конференция")</f>
        <v>Доклад от конференция</v>
      </c>
      <c r="C5321" s="10" t="str">
        <f ca="1">IFERROR(__xludf.DUMMYFUNCTION("""COMPUTED_VALUE"""),"Комуникационни техники за манипулация и „Не-етичен“ рейтинг на медиите.")</f>
        <v>Комуникационни техники за манипулация и „Не-етичен“ рейтинг на медиите.</v>
      </c>
      <c r="D5321" s="10">
        <f ca="1">IFERROR(__xludf.DUMMYFUNCTION("""COMPUTED_VALUE"""),2017)</f>
        <v>2017</v>
      </c>
      <c r="E5321" s="10" t="str">
        <f ca="1">IFERROR(__xludf.DUMMYFUNCTION("""COMPUTED_VALUE"""),"Научни доклади от Трета кръгла маса „Проблеми на обществената комуникация 2017, С., издателство „За буквите-о-писменехь“,с 298")</f>
        <v>Научни доклади от Трета кръгла маса „Проблеми на обществената комуникация 2017, С., издателство „За буквите-о-писменехь“,с 298</v>
      </c>
      <c r="F5321" s="10"/>
      <c r="G5321" s="10" t="str">
        <f ca="1">IFERROR(__xludf.DUMMYFUNCTION("""COMPUTED_VALUE"""),"Христина Богова")</f>
        <v>Христина Богова</v>
      </c>
      <c r="H5321" s="10"/>
      <c r="I5321" s="10"/>
      <c r="J5321" s="10"/>
      <c r="K5321" s="10"/>
      <c r="L5321" s="10"/>
      <c r="M5321" s="10"/>
      <c r="N5321" s="10"/>
      <c r="O5321" s="10"/>
      <c r="P5321" s="10"/>
      <c r="Q5321" s="10"/>
      <c r="R5321" s="10"/>
      <c r="S5321" s="10"/>
      <c r="T5321" s="10"/>
      <c r="U5321" s="10"/>
      <c r="V5321" s="10"/>
      <c r="W5321" s="10"/>
      <c r="X5321" s="10"/>
      <c r="Y5321" s="10"/>
      <c r="Z5321" s="10"/>
    </row>
    <row r="5322" spans="1:26" ht="12.75">
      <c r="A5322" s="10" t="str">
        <f ca="1">IFERROR(__xludf.DUMMYFUNCTION("""COMPUTED_VALUE"""),"Мариана Атанасова Атанасова")</f>
        <v>Мариана Атанасова Атанасова</v>
      </c>
      <c r="B5322" s="10" t="str">
        <f ca="1">IFERROR(__xludf.DUMMYFUNCTION("""COMPUTED_VALUE"""),"Доклад от конференция")</f>
        <v>Доклад от конференция</v>
      </c>
      <c r="C5322" s="10" t="str">
        <f ca="1">IFERROR(__xludf.DUMMYFUNCTION("""COMPUTED_VALUE"""),"Медийните реалности като социокултурен феномен")</f>
        <v>Медийните реалности като социокултурен феномен</v>
      </c>
      <c r="D5322" s="10">
        <f ca="1">IFERROR(__xludf.DUMMYFUNCTION("""COMPUTED_VALUE"""),2017)</f>
        <v>2017</v>
      </c>
      <c r="E5322" s="10" t="str">
        <f ca="1">IFERROR(__xludf.DUMMYFUNCTION("""COMPUTED_VALUE"""),"Участие в научен семинар на УниБИТ в Одрин, проведен на 26 октомври 2017 г. (под печат)")</f>
        <v>Участие в научен семинар на УниБИТ в Одрин, проведен на 26 октомври 2017 г. (под печат)</v>
      </c>
      <c r="F5322" s="10"/>
      <c r="G5322" s="10" t="str">
        <f ca="1">IFERROR(__xludf.DUMMYFUNCTION("""COMPUTED_VALUE"""),"Палашев, Николай")</f>
        <v>Палашев, Николай</v>
      </c>
      <c r="H5322" s="10"/>
      <c r="I5322" s="10"/>
      <c r="J5322" s="10"/>
      <c r="K5322" s="10"/>
      <c r="L5322" s="10"/>
      <c r="M5322" s="10"/>
      <c r="N5322" s="10"/>
      <c r="O5322" s="10"/>
      <c r="P5322" s="10"/>
      <c r="Q5322" s="10"/>
      <c r="R5322" s="10"/>
      <c r="S5322" s="10"/>
      <c r="T5322" s="10"/>
      <c r="U5322" s="10"/>
      <c r="V5322" s="10"/>
      <c r="W5322" s="10"/>
      <c r="X5322" s="10"/>
      <c r="Y5322" s="10"/>
      <c r="Z5322" s="10"/>
    </row>
    <row r="5323" spans="1:26" ht="12.75">
      <c r="A5323" s="10" t="str">
        <f ca="1">IFERROR(__xludf.DUMMYFUNCTION("""COMPUTED_VALUE"""),"Мариана Атанасова Атанасова")</f>
        <v>Мариана Атанасова Атанасова</v>
      </c>
      <c r="B5323" s="10" t="str">
        <f ca="1">IFERROR(__xludf.DUMMYFUNCTION("""COMPUTED_VALUE"""),"Доклад от конференция")</f>
        <v>Доклад от конференция</v>
      </c>
      <c r="C5323" s="10" t="str">
        <f ca="1">IFERROR(__xludf.DUMMYFUNCTION("""COMPUTED_VALUE"""),"Експанзията на фактчекинга.")</f>
        <v>Експанзията на фактчекинга.</v>
      </c>
      <c r="D5323" s="10">
        <f ca="1">IFERROR(__xludf.DUMMYFUNCTION("""COMPUTED_VALUE"""),2017)</f>
        <v>2017</v>
      </c>
      <c r="E5323" s="10" t="str">
        <f ca="1">IFERROR(__xludf.DUMMYFUNCTION("""COMPUTED_VALUE"""),"Петнадесета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2017г., организирана от УниБИТ и БАН, София ISSN 1314-7090")</f>
        <v>Петнадесета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2017г., организирана от УниБИТ и БАН, София ISSN 1314-7090</v>
      </c>
      <c r="F5323" s="10"/>
      <c r="G5323" s="10"/>
      <c r="H5323" s="10"/>
      <c r="I5323" s="10"/>
      <c r="J5323" s="10"/>
      <c r="K5323" s="10"/>
      <c r="L5323" s="10"/>
      <c r="M5323" s="10"/>
      <c r="N5323" s="10"/>
      <c r="O5323" s="10"/>
      <c r="P5323" s="10"/>
      <c r="Q5323" s="10"/>
      <c r="R5323" s="10"/>
      <c r="S5323" s="10"/>
      <c r="T5323" s="10"/>
      <c r="U5323" s="10"/>
      <c r="V5323" s="10"/>
      <c r="W5323" s="10"/>
      <c r="X5323" s="10"/>
      <c r="Y5323" s="10"/>
      <c r="Z5323" s="10"/>
    </row>
    <row r="5324" spans="1:26" ht="12.75">
      <c r="A5324" s="10" t="str">
        <f ca="1">IFERROR(__xludf.DUMMYFUNCTION("""COMPUTED_VALUE"""),"Мариана Атанасова Атанасова")</f>
        <v>Мариана Атанасова Атанасова</v>
      </c>
      <c r="B5324" s="10" t="str">
        <f ca="1">IFERROR(__xludf.DUMMYFUNCTION("""COMPUTED_VALUE"""),"Доклад от конференция")</f>
        <v>Доклад от конференция</v>
      </c>
      <c r="C5324" s="10" t="str">
        <f ca="1">IFERROR(__xludf.DUMMYFUNCTION("""COMPUTED_VALUE"""),"Специфики на технологиите и техниките за манипулация, използвани в телевизията")</f>
        <v>Специфики на технологиите и техниките за манипулация, използвани в телевизията</v>
      </c>
      <c r="D5324" s="10">
        <f ca="1">IFERROR(__xludf.DUMMYFUNCTION("""COMPUTED_VALUE"""),2016)</f>
        <v>2016</v>
      </c>
      <c r="E5324" s="10" t="str">
        <f ca="1">IFERROR(__xludf.DUMMYFUNCTION("""COMPUTED_VALUE"""),"Научни доклади от Втора кръгла маса „Проблеми на обществената комуникация 2016, С., издателство „За буквите-о-писменехь“,с.232-238, ISSN 2534-9430")</f>
        <v>Научни доклади от Втора кръгла маса „Проблеми на обществената комуникация 2016, С., издателство „За буквите-о-писменехь“,с.232-238, ISSN 2534-9430</v>
      </c>
      <c r="F5324" s="10"/>
      <c r="G5324" s="10"/>
      <c r="H5324" s="10"/>
      <c r="I5324" s="10"/>
      <c r="J5324" s="10"/>
      <c r="K5324" s="10"/>
      <c r="L5324" s="10"/>
      <c r="M5324" s="10"/>
      <c r="N5324" s="10"/>
      <c r="O5324" s="10"/>
      <c r="P5324" s="10"/>
      <c r="Q5324" s="10"/>
      <c r="R5324" s="10"/>
      <c r="S5324" s="10"/>
      <c r="T5324" s="10"/>
      <c r="U5324" s="10"/>
      <c r="V5324" s="10"/>
      <c r="W5324" s="10"/>
      <c r="X5324" s="10"/>
      <c r="Y5324" s="10"/>
      <c r="Z5324" s="10"/>
    </row>
    <row r="5325" spans="1:26" ht="12.75">
      <c r="A5325" s="10" t="str">
        <f ca="1">IFERROR(__xludf.DUMMYFUNCTION("""COMPUTED_VALUE"""),"Мариана Атанасова Атанасова")</f>
        <v>Мариана Атанасова Атанасова</v>
      </c>
      <c r="B5325" s="10" t="str">
        <f ca="1">IFERROR(__xludf.DUMMYFUNCTION("""COMPUTED_VALUE"""),"Доклад от конференция")</f>
        <v>Доклад от конференция</v>
      </c>
      <c r="C5325" s="10" t="str">
        <f ca="1">IFERROR(__xludf.DUMMYFUNCTION("""COMPUTED_VALUE"""),"Подходи и комуникационни техники при работа с медиите")</f>
        <v>Подходи и комуникационни техники при работа с медиите</v>
      </c>
      <c r="D5325" s="10">
        <f ca="1">IFERROR(__xludf.DUMMYFUNCTION("""COMPUTED_VALUE"""),2015)</f>
        <v>2015</v>
      </c>
      <c r="E5325" s="10" t="str">
        <f ca="1">IFERROR(__xludf.DUMMYFUNCTION("""COMPUTED_VALUE"""),"Тринадесета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2015г., организирана от УниБИТ и БАН, София")</f>
        <v>Тринадесета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2015г., организирана от УниБИТ и БАН, София</v>
      </c>
      <c r="F5325" s="10"/>
      <c r="G5325" s="10"/>
      <c r="H5325" s="10"/>
      <c r="I5325" s="10"/>
      <c r="J5325" s="10"/>
      <c r="K5325" s="10"/>
      <c r="L5325" s="10"/>
      <c r="M5325" s="10"/>
      <c r="N5325" s="10"/>
      <c r="O5325" s="10"/>
      <c r="P5325" s="10"/>
      <c r="Q5325" s="10"/>
      <c r="R5325" s="10"/>
      <c r="S5325" s="10"/>
      <c r="T5325" s="10"/>
      <c r="U5325" s="10"/>
      <c r="V5325" s="10"/>
      <c r="W5325" s="10"/>
      <c r="X5325" s="10"/>
      <c r="Y5325" s="10"/>
      <c r="Z5325" s="10"/>
    </row>
    <row r="5326" spans="1:26" ht="12.75">
      <c r="A5326" s="10" t="str">
        <f ca="1">IFERROR(__xludf.DUMMYFUNCTION("""COMPUTED_VALUE"""),"Мариана Атанасова Атанасова")</f>
        <v>Мариана Атанасова Атанасова</v>
      </c>
      <c r="B5326" s="10" t="str">
        <f ca="1">IFERROR(__xludf.DUMMYFUNCTION("""COMPUTED_VALUE"""),"Доклад от конференция")</f>
        <v>Доклад от конференция</v>
      </c>
      <c r="C5326" s="10" t="str">
        <f ca="1">IFERROR(__xludf.DUMMYFUNCTION("""COMPUTED_VALUE"""),"Фактори, оказващи влияние върху успеха на публичните изказвания")</f>
        <v>Фактори, оказващи влияние върху успеха на публичните изказвания</v>
      </c>
      <c r="D5326" s="10">
        <f ca="1">IFERROR(__xludf.DUMMYFUNCTION("""COMPUTED_VALUE"""),2015)</f>
        <v>2015</v>
      </c>
      <c r="E5326" s="10" t="str">
        <f ca="1">IFERROR(__xludf.DUMMYFUNCTION("""COMPUTED_VALUE"""),"Научни доклади от Пъва кръгла маса „Проблеми на обществената комуникация 2015, С., издателство „За буквите-о-писменехь“, с.144-149, ISBN 978-619-185-166-9")</f>
        <v>Научни доклади от Пъва кръгла маса „Проблеми на обществената комуникация 2015, С., издателство „За буквите-о-писменехь“, с.144-149, ISBN 978-619-185-166-9</v>
      </c>
      <c r="F5326" s="10"/>
      <c r="G5326" s="10" t="str">
        <f ca="1">IFERROR(__xludf.DUMMYFUNCTION("""COMPUTED_VALUE"""),"Христина Богова")</f>
        <v>Христина Богова</v>
      </c>
      <c r="H5326" s="10"/>
      <c r="I5326" s="10"/>
      <c r="J5326" s="10"/>
      <c r="K5326" s="10"/>
      <c r="L5326" s="10"/>
      <c r="M5326" s="10"/>
      <c r="N5326" s="10"/>
      <c r="O5326" s="10"/>
      <c r="P5326" s="10"/>
      <c r="Q5326" s="10"/>
      <c r="R5326" s="10"/>
      <c r="S5326" s="10"/>
      <c r="T5326" s="10"/>
      <c r="U5326" s="10"/>
      <c r="V5326" s="10"/>
      <c r="W5326" s="10"/>
      <c r="X5326" s="10"/>
      <c r="Y5326" s="10"/>
      <c r="Z5326" s="10"/>
    </row>
    <row r="5327" spans="1:26" ht="12.75">
      <c r="A5327" s="10" t="str">
        <f ca="1">IFERROR(__xludf.DUMMYFUNCTION("""COMPUTED_VALUE"""),"Мариана Атанасова Атанасова")</f>
        <v>Мариана Атанасова Атанасова</v>
      </c>
      <c r="B5327" s="10" t="str">
        <f ca="1">IFERROR(__xludf.DUMMYFUNCTION("""COMPUTED_VALUE"""),"Доклад от конференция")</f>
        <v>Доклад от конференция</v>
      </c>
      <c r="C5327" s="10" t="str">
        <f ca="1">IFERROR(__xludf.DUMMYFUNCTION("""COMPUTED_VALUE"""),"Формиране на комуникационни умения на лидера в академична среда")</f>
        <v>Формиране на комуникационни умения на лидера в академична среда</v>
      </c>
      <c r="D5327" s="10">
        <f ca="1">IFERROR(__xludf.DUMMYFUNCTION("""COMPUTED_VALUE"""),2015)</f>
        <v>2015</v>
      </c>
      <c r="E5327" s="10" t="str">
        <f ca="1">IFERROR(__xludf.DUMMYFUNCTION("""COMPUTED_VALUE"""),"Научна сесия лидерството в демократична среда изучаване, преподаване, възпитаване, С., издателство „За буквите-о-писменехь“,2015, с.137-141, ISSN 1313-7782")</f>
        <v>Научна сесия лидерството в демократична среда изучаване, преподаване, възпитаване, С., издателство „За буквите-о-писменехь“,2015, с.137-141, ISSN 1313-7782</v>
      </c>
      <c r="F5327" s="10"/>
      <c r="G5327" s="10" t="str">
        <f ca="1">IFERROR(__xludf.DUMMYFUNCTION("""COMPUTED_VALUE"""),"Христина Богова")</f>
        <v>Христина Богова</v>
      </c>
      <c r="H5327" s="10"/>
      <c r="I5327" s="10"/>
      <c r="J5327" s="10"/>
      <c r="K5327" s="10"/>
      <c r="L5327" s="10"/>
      <c r="M5327" s="10"/>
      <c r="N5327" s="10"/>
      <c r="O5327" s="10"/>
      <c r="P5327" s="10"/>
      <c r="Q5327" s="10"/>
      <c r="R5327" s="10"/>
      <c r="S5327" s="10"/>
      <c r="T5327" s="10"/>
      <c r="U5327" s="10"/>
      <c r="V5327" s="10"/>
      <c r="W5327" s="10"/>
      <c r="X5327" s="10"/>
      <c r="Y5327" s="10"/>
      <c r="Z5327" s="10"/>
    </row>
    <row r="5328" spans="1:26" ht="12.75">
      <c r="A5328" s="10" t="str">
        <f ca="1">IFERROR(__xludf.DUMMYFUNCTION("""COMPUTED_VALUE"""),"Мариана Атанасова Атанасова")</f>
        <v>Мариана Атанасова Атанасова</v>
      </c>
      <c r="B5328" s="10" t="str">
        <f ca="1">IFERROR(__xludf.DUMMYFUNCTION("""COMPUTED_VALUE"""),"Доклад от конференция")</f>
        <v>Доклад от конференция</v>
      </c>
      <c r="C5328" s="10" t="str">
        <f ca="1">IFERROR(__xludf.DUMMYFUNCTION("""COMPUTED_VALUE"""),"Същност и използване на интерактивните методи при обучението на студенти")</f>
        <v>Същност и използване на интерактивните методи при обучението на студенти</v>
      </c>
      <c r="D5328" s="10">
        <f ca="1">IFERROR(__xludf.DUMMYFUNCTION("""COMPUTED_VALUE"""),2014)</f>
        <v>2014</v>
      </c>
      <c r="E5328" s="10" t="str">
        <f ca="1">IFERROR(__xludf.DUMMYFUNCTION("""COMPUTED_VALUE"""),"Приложението на дидактически методи с евристичен характер в академична среда.// Сборник с доклади по научноизследователски проект НИП-2014-04, С., издателство „За буквите-о-писменехь“, с.63-72, 2014, ISBN 798-619-185-144-7")</f>
        <v>Приложението на дидактически методи с евристичен характер в академична среда.// Сборник с доклади по научноизследователски проект НИП-2014-04, С., издателство „За буквите-о-писменехь“, с.63-72, 2014, ISBN 798-619-185-144-7</v>
      </c>
      <c r="F5328" s="10"/>
      <c r="G5328" s="10" t="str">
        <f ca="1">IFERROR(__xludf.DUMMYFUNCTION("""COMPUTED_VALUE"""),"Христина Богова")</f>
        <v>Христина Богова</v>
      </c>
      <c r="H5328" s="10"/>
      <c r="I5328" s="10"/>
      <c r="J5328" s="10"/>
      <c r="K5328" s="10"/>
      <c r="L5328" s="10"/>
      <c r="M5328" s="10"/>
      <c r="N5328" s="10"/>
      <c r="O5328" s="10"/>
      <c r="P5328" s="10"/>
      <c r="Q5328" s="10"/>
      <c r="R5328" s="10"/>
      <c r="S5328" s="10"/>
      <c r="T5328" s="10"/>
      <c r="U5328" s="10"/>
      <c r="V5328" s="10"/>
      <c r="W5328" s="10"/>
      <c r="X5328" s="10"/>
      <c r="Y5328" s="10"/>
      <c r="Z5328" s="10"/>
    </row>
    <row r="5329" spans="1:26" ht="12.75">
      <c r="A5329" s="10" t="str">
        <f ca="1">IFERROR(__xludf.DUMMYFUNCTION("""COMPUTED_VALUE"""),"Мариана Трифонова Драганова")</f>
        <v>Мариана Трифонова Драганова</v>
      </c>
      <c r="B5329" s="10" t="str">
        <f ca="1">IFERROR(__xludf.DUMMYFUNCTION("""COMPUTED_VALUE"""),"Доклад от конференция")</f>
        <v>Доклад от конференция</v>
      </c>
      <c r="C5329" s="10" t="str">
        <f ca="1">IFERROR(__xludf.DUMMYFUNCTION("""COMPUTED_VALUE"""),"Expanding the functional abilities of Mechanics add-ins for MS Excel with examples in the field of statics")</f>
        <v>Expanding the functional abilities of Mechanics add-ins for MS Excel with examples in the field of statics</v>
      </c>
      <c r="D5329" s="10">
        <f ca="1">IFERROR(__xludf.DUMMYFUNCTION("""COMPUTED_VALUE"""),2019)</f>
        <v>2019</v>
      </c>
      <c r="E5329" s="10" t="str">
        <f ca="1">IFERROR(__xludf.DUMMYFUNCTION("""COMPUTED_VALUE"""),"Journal of Mining and Geological Sciences, Vol. 62, number 4, 2019, pp. 88-91,ISSN: 2682-9525")</f>
        <v>Journal of Mining and Geological Sciences, Vol. 62, number 4, 2019, pp. 88-91,ISSN: 2682-9525</v>
      </c>
      <c r="F5329" s="10"/>
      <c r="G5329" s="10" t="str">
        <f ca="1">IFERROR(__xludf.DUMMYFUNCTION("""COMPUTED_VALUE"""),"Trifonova M.")</f>
        <v>Trifonova M.</v>
      </c>
      <c r="H5329" s="10"/>
      <c r="I5329" s="10"/>
      <c r="J5329" s="10"/>
      <c r="K5329" s="10"/>
      <c r="L5329" s="10"/>
      <c r="M5329" s="10"/>
      <c r="N5329" s="10"/>
      <c r="O5329" s="10"/>
      <c r="P5329" s="10"/>
      <c r="Q5329" s="10"/>
      <c r="R5329" s="10"/>
      <c r="S5329" s="10"/>
      <c r="T5329" s="10"/>
      <c r="U5329" s="10"/>
      <c r="V5329" s="10"/>
      <c r="W5329" s="10"/>
      <c r="X5329" s="10"/>
      <c r="Y5329" s="10"/>
      <c r="Z5329" s="10"/>
    </row>
    <row r="5330" spans="1:26" ht="12.75">
      <c r="A5330" s="10" t="str">
        <f ca="1">IFERROR(__xludf.DUMMYFUNCTION("""COMPUTED_VALUE"""),"Мариана Трифонова Драганова")</f>
        <v>Мариана Трифонова Драганова</v>
      </c>
      <c r="B5330" s="10" t="str">
        <f ca="1">IFERROR(__xludf.DUMMYFUNCTION("""COMPUTED_VALUE"""),"Доклад от конференция")</f>
        <v>Доклад от конференция</v>
      </c>
      <c r="C5330" s="10" t="str">
        <f ca="1">IFERROR(__xludf.DUMMYFUNCTION("""COMPUTED_VALUE"""),"AN ADDITION TO MS EXCEL AIMED AT SOLVING OF PROBLEMS IN THE FIELD OF MECHANICS")</f>
        <v>AN ADDITION TO MS EXCEL AIMED AT SOLVING OF PROBLEMS IN THE FIELD OF MECHANICS</v>
      </c>
      <c r="D5330" s="10">
        <f ca="1">IFERROR(__xludf.DUMMYFUNCTION("""COMPUTED_VALUE"""),2017)</f>
        <v>2017</v>
      </c>
      <c r="E5330" s="10" t="str">
        <f ca="1">IFERROR(__xludf.DUMMYFUNCTION("""COMPUTED_VALUE"""),"JOURNAL OF MINING AND GEOLOGICAL SCIENCES, Vol. 60, Part IV, Humanitarian sciences and Economics, 2017")</f>
        <v>JOURNAL OF MINING AND GEOLOGICAL SCIENCES, Vol. 60, Part IV, Humanitarian sciences and Economics, 2017</v>
      </c>
      <c r="F5330" s="10" t="str">
        <f ca="1">IFERROR(__xludf.DUMMYFUNCTION("""COMPUTED_VALUE"""),"ВИНИТИ Реферативен журнал")</f>
        <v>ВИНИТИ Реферативен журнал</v>
      </c>
      <c r="G5330" s="10" t="str">
        <f ca="1">IFERROR(__xludf.DUMMYFUNCTION("""COMPUTED_VALUE"""),"Цветина Ралева")</f>
        <v>Цветина Ралева</v>
      </c>
      <c r="H5330" s="10"/>
      <c r="I5330" s="10"/>
      <c r="J5330" s="10"/>
      <c r="K5330" s="10"/>
      <c r="L5330" s="10"/>
      <c r="M5330" s="10"/>
      <c r="N5330" s="10"/>
      <c r="O5330" s="10"/>
      <c r="P5330" s="10"/>
      <c r="Q5330" s="10"/>
      <c r="R5330" s="10"/>
      <c r="S5330" s="10"/>
      <c r="T5330" s="10"/>
      <c r="U5330" s="10"/>
      <c r="V5330" s="10"/>
      <c r="W5330" s="10"/>
      <c r="X5330" s="10"/>
      <c r="Y5330" s="10"/>
      <c r="Z5330" s="10"/>
    </row>
    <row r="5331" spans="1:26" ht="12.75">
      <c r="A5331" s="10" t="str">
        <f ca="1">IFERROR(__xludf.DUMMYFUNCTION("""COMPUTED_VALUE"""),"Мариана Трифонова Драганова")</f>
        <v>Мариана Трифонова Драганова</v>
      </c>
      <c r="B5331" s="10" t="str">
        <f ca="1">IFERROR(__xludf.DUMMYFUNCTION("""COMPUTED_VALUE"""),"Доклад от конференция")</f>
        <v>Доклад от конференция</v>
      </c>
      <c r="C5331" s="10" t="str">
        <f ca="1">IFERROR(__xludf.DUMMYFUNCTION("""COMPUTED_VALUE"""),"Analytical Mathematical Models for Determining the Probable Sliding Surface of the Working Slope")</f>
        <v>Analytical Mathematical Models for Determining the Probable Sliding Surface of the Working Slope</v>
      </c>
      <c r="D5331" s="10">
        <f ca="1">IFERROR(__xludf.DUMMYFUNCTION("""COMPUTED_VALUE"""),2017)</f>
        <v>2017</v>
      </c>
      <c r="E5331" s="10" t="str">
        <f ca="1">IFERROR(__xludf.DUMMYFUNCTION("""COMPUTED_VALUE"""),"International Symposium Mining and Geological Today,18-20.09.2017, Belgrade, pp. 179-182, ISBN: 978-86-82673-13-2.")</f>
        <v>International Symposium Mining and Geological Today,18-20.09.2017, Belgrade, pp. 179-182, ISBN: 978-86-82673-13-2.</v>
      </c>
      <c r="F5331" s="10"/>
      <c r="G5331" s="10" t="str">
        <f ca="1">IFERROR(__xludf.DUMMYFUNCTION("""COMPUTED_VALUE"""),"X. Li-Shtereva")</f>
        <v>X. Li-Shtereva</v>
      </c>
      <c r="H5331" s="10"/>
      <c r="I5331" s="10"/>
      <c r="J5331" s="10"/>
      <c r="K5331" s="10"/>
      <c r="L5331" s="10"/>
      <c r="M5331" s="10"/>
      <c r="N5331" s="10"/>
      <c r="O5331" s="10"/>
      <c r="P5331" s="10"/>
      <c r="Q5331" s="10"/>
      <c r="R5331" s="10"/>
      <c r="S5331" s="10"/>
      <c r="T5331" s="10"/>
      <c r="U5331" s="10"/>
      <c r="V5331" s="10"/>
      <c r="W5331" s="10"/>
      <c r="X5331" s="10"/>
      <c r="Y5331" s="10"/>
      <c r="Z5331" s="10"/>
    </row>
    <row r="5332" spans="1:26" ht="12.75">
      <c r="A5332" s="10" t="str">
        <f ca="1">IFERROR(__xludf.DUMMYFUNCTION("""COMPUTED_VALUE"""),"Мариана Трифонова Драганова")</f>
        <v>Мариана Трифонова Драганова</v>
      </c>
      <c r="B5332" s="10" t="str">
        <f ca="1">IFERROR(__xludf.DUMMYFUNCTION("""COMPUTED_VALUE"""),"Доклад от конференция")</f>
        <v>Доклад от конференция</v>
      </c>
      <c r="C5332" s="10" t="str">
        <f ca="1">IFERROR(__xludf.DUMMYFUNCTION("""COMPUTED_VALUE"""),"Едно допълнение към scatter-диаграмите в Excel")</f>
        <v>Едно допълнение към scatter-диаграмите в Excel</v>
      </c>
      <c r="D5332" s="10">
        <f ca="1">IFERROR(__xludf.DUMMYFUNCTION("""COMPUTED_VALUE"""),2016)</f>
        <v>2016</v>
      </c>
      <c r="E5332" s="10" t="str">
        <f ca="1">IFERROR(__xludf.DUMMYFUNCTION("""COMPUTED_VALUE"""),"Год. на МГУ „Св. Ив. Рилски”, т. 59, св. ІII, София, 2016.")</f>
        <v>Год. на МГУ „Св. Ив. Рилски”, т. 59, св. ІII, София, 2016.</v>
      </c>
      <c r="F5332" s="10"/>
      <c r="G5332" s="10" t="str">
        <f ca="1">IFERROR(__xludf.DUMMYFUNCTION("""COMPUTED_VALUE"""),"Л. Драганова")</f>
        <v>Л. Драганова</v>
      </c>
      <c r="H5332" s="10"/>
      <c r="I5332" s="10"/>
      <c r="J5332" s="10"/>
      <c r="K5332" s="10"/>
      <c r="L5332" s="10"/>
      <c r="M5332" s="10"/>
      <c r="N5332" s="10"/>
      <c r="O5332" s="10"/>
      <c r="P5332" s="10"/>
      <c r="Q5332" s="10"/>
      <c r="R5332" s="10"/>
      <c r="S5332" s="10"/>
      <c r="T5332" s="10"/>
      <c r="U5332" s="10"/>
      <c r="V5332" s="10"/>
      <c r="W5332" s="10"/>
      <c r="X5332" s="10"/>
      <c r="Y5332" s="10"/>
      <c r="Z5332" s="10"/>
    </row>
    <row r="5333" spans="1:26" ht="12.75">
      <c r="A5333" s="10" t="str">
        <f ca="1">IFERROR(__xludf.DUMMYFUNCTION("""COMPUTED_VALUE"""),"Мариана Трифонова Драганова")</f>
        <v>Мариана Трифонова Драганова</v>
      </c>
      <c r="B5333" s="10" t="str">
        <f ca="1">IFERROR(__xludf.DUMMYFUNCTION("""COMPUTED_VALUE"""),"Доклад от конференция")</f>
        <v>Доклад от конференция</v>
      </c>
      <c r="C5333" s="10" t="str">
        <f ca="1">IFERROR(__xludf.DUMMYFUNCTION("""COMPUTED_VALUE"""),"А Method Qualifying the Generalized Tensions in Rectangular Supporting Pillars")</f>
        <v>А Method Qualifying the Generalized Tensions in Rectangular Supporting Pillars</v>
      </c>
      <c r="D5333" s="10">
        <f ca="1">IFERROR(__xludf.DUMMYFUNCTION("""COMPUTED_VALUE"""),2016)</f>
        <v>2016</v>
      </c>
      <c r="E5333" s="10" t="str">
        <f ca="1">IFERROR(__xludf.DUMMYFUNCTION("""COMPUTED_VALUE"""),"VIІ International geomechanics conference, Varna, Bulgaria, 2016.")</f>
        <v>VIІ International geomechanics conference, Varna, Bulgaria, 2016.</v>
      </c>
      <c r="F5333" s="10"/>
      <c r="G5333" s="10"/>
      <c r="H5333" s="10"/>
      <c r="I5333" s="10"/>
      <c r="J5333" s="10"/>
      <c r="K5333" s="10"/>
      <c r="L5333" s="10"/>
      <c r="M5333" s="10"/>
      <c r="N5333" s="10"/>
      <c r="O5333" s="10"/>
      <c r="P5333" s="10"/>
      <c r="Q5333" s="10"/>
      <c r="R5333" s="10"/>
      <c r="S5333" s="10"/>
      <c r="T5333" s="10"/>
      <c r="U5333" s="10"/>
      <c r="V5333" s="10"/>
      <c r="W5333" s="10"/>
      <c r="X5333" s="10"/>
      <c r="Y5333" s="10"/>
      <c r="Z5333" s="10"/>
    </row>
    <row r="5334" spans="1:26" ht="12.75">
      <c r="A5334" s="10" t="str">
        <f ca="1">IFERROR(__xludf.DUMMYFUNCTION("""COMPUTED_VALUE"""),"Мариана Трифонова Драганова")</f>
        <v>Мариана Трифонова Драганова</v>
      </c>
      <c r="B5334" s="10" t="str">
        <f ca="1">IFERROR(__xludf.DUMMYFUNCTION("""COMPUTED_VALUE"""),"Доклад от конференция")</f>
        <v>Доклад от конференция</v>
      </c>
      <c r="C5334" s="10" t="str">
        <f ca="1">IFERROR(__xludf.DUMMYFUNCTION("""COMPUTED_VALUE"""),"System SlopeStabBG for Calculation of Stability Factor in Opencast Mines")</f>
        <v>System SlopeStabBG for Calculation of Stability Factor in Opencast Mines</v>
      </c>
      <c r="D5334" s="10">
        <f ca="1">IFERROR(__xludf.DUMMYFUNCTION("""COMPUTED_VALUE"""),2016)</f>
        <v>2016</v>
      </c>
      <c r="E5334" s="10" t="str">
        <f ca="1">IFERROR(__xludf.DUMMYFUNCTION("""COMPUTED_VALUE"""),"X International Conference on Information Systems &amp; Grid Technologies (ISGT’2016), Sofia, Bulgaria, 2016.")</f>
        <v>X International Conference on Information Systems &amp; Grid Technologies (ISGT’2016), Sofia, Bulgaria, 2016.</v>
      </c>
      <c r="F5334" s="10"/>
      <c r="G5334" s="10"/>
      <c r="H5334" s="10"/>
      <c r="I5334" s="10"/>
      <c r="J5334" s="10"/>
      <c r="K5334" s="10"/>
      <c r="L5334" s="10"/>
      <c r="M5334" s="10"/>
      <c r="N5334" s="10"/>
      <c r="O5334" s="10"/>
      <c r="P5334" s="10"/>
      <c r="Q5334" s="10"/>
      <c r="R5334" s="10"/>
      <c r="S5334" s="10"/>
      <c r="T5334" s="10"/>
      <c r="U5334" s="10"/>
      <c r="V5334" s="10"/>
      <c r="W5334" s="10"/>
      <c r="X5334" s="10"/>
      <c r="Y5334" s="10"/>
      <c r="Z5334" s="10"/>
    </row>
    <row r="5335" spans="1:26" ht="12.75">
      <c r="A5335" s="10" t="str">
        <f ca="1">IFERROR(__xludf.DUMMYFUNCTION("""COMPUTED_VALUE"""),"Мариана Трифонова Драганова")</f>
        <v>Мариана Трифонова Драганова</v>
      </c>
      <c r="B5335" s="10" t="str">
        <f ca="1">IFERROR(__xludf.DUMMYFUNCTION("""COMPUTED_VALUE"""),"Доклад от конференция")</f>
        <v>Доклад от конференция</v>
      </c>
      <c r="C5335" s="10" t="str">
        <f ca="1">IFERROR(__xludf.DUMMYFUNCTION("""COMPUTED_VALUE"""),"Програмни системи за 3D моделиране и използването им в учебния процес")</f>
        <v>Програмни системи за 3D моделиране и използването им в учебния процес</v>
      </c>
      <c r="D5335" s="10">
        <f ca="1">IFERROR(__xludf.DUMMYFUNCTION("""COMPUTED_VALUE"""),2016)</f>
        <v>2016</v>
      </c>
      <c r="E5335" s="10" t="str">
        <f ca="1">IFERROR(__xludf.DUMMYFUNCTION("""COMPUTED_VALUE"""),"Год. на МГУ „Св. Ив. Рилски”, т. 59, св. ІV, София, 2016.")</f>
        <v>Год. на МГУ „Св. Ив. Рилски”, т. 59, св. ІV, София, 2016.</v>
      </c>
      <c r="F5335" s="10"/>
      <c r="G5335" s="10" t="str">
        <f ca="1">IFERROR(__xludf.DUMMYFUNCTION("""COMPUTED_VALUE"""),"Е. Костадинов, М. Рихеров")</f>
        <v>Е. Костадинов, М. Рихеров</v>
      </c>
      <c r="H5335" s="10"/>
      <c r="I5335" s="10"/>
      <c r="J5335" s="10"/>
      <c r="K5335" s="10"/>
      <c r="L5335" s="10"/>
      <c r="M5335" s="10"/>
      <c r="N5335" s="10"/>
      <c r="O5335" s="10"/>
      <c r="P5335" s="10"/>
      <c r="Q5335" s="10"/>
      <c r="R5335" s="10"/>
      <c r="S5335" s="10"/>
      <c r="T5335" s="10"/>
      <c r="U5335" s="10"/>
      <c r="V5335" s="10"/>
      <c r="W5335" s="10"/>
      <c r="X5335" s="10"/>
      <c r="Y5335" s="10"/>
      <c r="Z5335" s="10"/>
    </row>
    <row r="5336" spans="1:26" ht="12.75">
      <c r="A5336" s="10" t="str">
        <f ca="1">IFERROR(__xludf.DUMMYFUNCTION("""COMPUTED_VALUE"""),"Мариана Трифонова Драганова")</f>
        <v>Мариана Трифонова Драганова</v>
      </c>
      <c r="B5336" s="10" t="str">
        <f ca="1">IFERROR(__xludf.DUMMYFUNCTION("""COMPUTED_VALUE"""),"Доклад от конференция")</f>
        <v>Доклад от конференция</v>
      </c>
      <c r="C5336" s="10" t="str">
        <f ca="1">IFERROR(__xludf.DUMMYFUNCTION("""COMPUTED_VALUE"""),"Геомеханични и геотехнологични аспекти на комбинирано (открито-подземно) разработване на рудни полезни изкопаеми")</f>
        <v>Геомеханични и геотехнологични аспекти на комбинирано (открито-подземно) разработване на рудни полезни изкопаеми</v>
      </c>
      <c r="D5336" s="10">
        <f ca="1">IFERROR(__xludf.DUMMYFUNCTION("""COMPUTED_VALUE"""),2015)</f>
        <v>2015</v>
      </c>
      <c r="E5336" s="10" t="str">
        <f ca="1">IFERROR(__xludf.DUMMYFUNCTION("""COMPUTED_VALUE"""),"ХІІІ Национална конференция с международно участие по открит и подводен добив на полезни изкопаеми, 2015, Варна, 2015, стр. 38-46, ISSN: 1314-8877.")</f>
        <v>ХІІІ Национална конференция с международно участие по открит и подводен добив на полезни изкопаеми, 2015, Варна, 2015, стр. 38-46, ISSN: 1314-8877.</v>
      </c>
      <c r="F5336" s="10"/>
      <c r="G5336" s="10" t="str">
        <f ca="1">IFERROR(__xludf.DUMMYFUNCTION("""COMPUTED_VALUE"""),"Георги Атанасов Михайлов, Георги Трапов")</f>
        <v>Георги Атанасов Михайлов, Георги Трапов</v>
      </c>
      <c r="H5336" s="10"/>
      <c r="I5336" s="10"/>
      <c r="J5336" s="10"/>
      <c r="K5336" s="10"/>
      <c r="L5336" s="10"/>
      <c r="M5336" s="10"/>
      <c r="N5336" s="10"/>
      <c r="O5336" s="10"/>
      <c r="P5336" s="10"/>
      <c r="Q5336" s="10"/>
      <c r="R5336" s="10"/>
      <c r="S5336" s="10"/>
      <c r="T5336" s="10"/>
      <c r="U5336" s="10"/>
      <c r="V5336" s="10"/>
      <c r="W5336" s="10"/>
      <c r="X5336" s="10"/>
      <c r="Y5336" s="10"/>
      <c r="Z5336" s="10"/>
    </row>
    <row r="5337" spans="1:26" ht="12.75">
      <c r="A5337" s="10" t="str">
        <f ca="1">IFERROR(__xludf.DUMMYFUNCTION("""COMPUTED_VALUE"""),"Мариана Трифонова Драганова")</f>
        <v>Мариана Трифонова Драганова</v>
      </c>
      <c r="B5337" s="10" t="str">
        <f ca="1">IFERROR(__xludf.DUMMYFUNCTION("""COMPUTED_VALUE"""),"Монография")</f>
        <v>Монография</v>
      </c>
      <c r="C5337" s="10" t="str">
        <f ca="1">IFERROR(__xludf.DUMMYFUNCTION("""COMPUTED_VALUE"""),"Алгоритми за компютърна графика и използването им за решаване на инженерни задачи")</f>
        <v>Алгоритми за компютърна графика и използването им за решаване на инженерни задачи</v>
      </c>
      <c r="D5337" s="10">
        <f ca="1">IFERROR(__xludf.DUMMYFUNCTION("""COMPUTED_VALUE"""),2015)</f>
        <v>2015</v>
      </c>
      <c r="E5337" s="10" t="str">
        <f ca="1">IFERROR(__xludf.DUMMYFUNCTION("""COMPUTED_VALUE"""),"Издателска къща на МГУ ""Св. Иван Рилски"", София.")</f>
        <v>Издателска къща на МГУ "Св. Иван Рилски", София.</v>
      </c>
      <c r="F5337" s="10"/>
      <c r="G5337" s="10"/>
      <c r="H5337" s="10"/>
      <c r="I5337" s="10"/>
      <c r="J5337" s="10"/>
      <c r="K5337" s="10"/>
      <c r="L5337" s="10"/>
      <c r="M5337" s="10"/>
      <c r="N5337" s="10"/>
      <c r="O5337" s="10"/>
      <c r="P5337" s="10"/>
      <c r="Q5337" s="10"/>
      <c r="R5337" s="10"/>
      <c r="S5337" s="10"/>
      <c r="T5337" s="10"/>
      <c r="U5337" s="10"/>
      <c r="V5337" s="10"/>
      <c r="W5337" s="10"/>
      <c r="X5337" s="10"/>
      <c r="Y5337" s="10"/>
      <c r="Z5337" s="10"/>
    </row>
    <row r="5338" spans="1:26" ht="12.75">
      <c r="A5338" s="10" t="str">
        <f ca="1">IFERROR(__xludf.DUMMYFUNCTION("""COMPUTED_VALUE"""),"Мариана Трифонова Драганова")</f>
        <v>Мариана Трифонова Драганова</v>
      </c>
      <c r="B5338" s="10" t="str">
        <f ca="1">IFERROR(__xludf.DUMMYFUNCTION("""COMPUTED_VALUE"""),"Доклад от конференция")</f>
        <v>Доклад от конференция</v>
      </c>
      <c r="C5338" s="10" t="str">
        <f ca="1">IFERROR(__xludf.DUMMYFUNCTION("""COMPUTED_VALUE"""),"РАЗРАБОТКА НА ПРИЛОЖЕНИЯ В СРЕДА НА AUTODESK-ПРОДУКТИ")</f>
        <v>РАЗРАБОТКА НА ПРИЛОЖЕНИЯ В СРЕДА НА AUTODESK-ПРОДУКТИ</v>
      </c>
      <c r="D5338" s="10">
        <f ca="1">IFERROR(__xludf.DUMMYFUNCTION("""COMPUTED_VALUE"""),2015)</f>
        <v>2015</v>
      </c>
      <c r="E5338" s="10" t="str">
        <f ca="1">IFERROR(__xludf.DUMMYFUNCTION("""COMPUTED_VALUE"""),"ГОДИШНИК НА МИННО-ГЕОЛОЖКИЯ УНИВЕРСИТЕТ “СВ. ИВАН РИЛСКИ”, Том 58, Св. IV, Хуманитарни и стопански науки")</f>
        <v>ГОДИШНИК НА МИННО-ГЕОЛОЖКИЯ УНИВЕРСИТЕТ “СВ. ИВАН РИЛСКИ”, Том 58, Св. IV, Хуманитарни и стопански науки</v>
      </c>
      <c r="F5338" s="10"/>
      <c r="G5338" s="10" t="str">
        <f ca="1">IFERROR(__xludf.DUMMYFUNCTION("""COMPUTED_VALUE"""),"Елена Николова, Светлана Тончева")</f>
        <v>Елена Николова, Светлана Тончева</v>
      </c>
      <c r="H5338" s="10"/>
      <c r="I5338" s="10"/>
      <c r="J5338" s="10"/>
      <c r="K5338" s="10"/>
      <c r="L5338" s="10"/>
      <c r="M5338" s="10"/>
      <c r="N5338" s="10"/>
      <c r="O5338" s="10"/>
      <c r="P5338" s="10"/>
      <c r="Q5338" s="10"/>
      <c r="R5338" s="10"/>
      <c r="S5338" s="10"/>
      <c r="T5338" s="10"/>
      <c r="U5338" s="10"/>
      <c r="V5338" s="10"/>
      <c r="W5338" s="10"/>
      <c r="X5338" s="10"/>
      <c r="Y5338" s="10"/>
      <c r="Z5338" s="10"/>
    </row>
    <row r="5339" spans="1:26" ht="12.75">
      <c r="A5339" s="10" t="str">
        <f ca="1">IFERROR(__xludf.DUMMYFUNCTION("""COMPUTED_VALUE"""),"Мариана Трифонова Драганова")</f>
        <v>Мариана Трифонова Драганова</v>
      </c>
      <c r="B5339" s="10" t="str">
        <f ca="1">IFERROR(__xludf.DUMMYFUNCTION("""COMPUTED_VALUE"""),"Книга")</f>
        <v>Книга</v>
      </c>
      <c r="C5339" s="10" t="str">
        <f ca="1">IFERROR(__xludf.DUMMYFUNCTION("""COMPUTED_VALUE"""),"AUTOCAD")</f>
        <v>AUTOCAD</v>
      </c>
      <c r="D5339" s="10">
        <f ca="1">IFERROR(__xludf.DUMMYFUNCTION("""COMPUTED_VALUE"""),2014)</f>
        <v>2014</v>
      </c>
      <c r="E5339" s="10" t="str">
        <f ca="1">IFERROR(__xludf.DUMMYFUNCTION("""COMPUTED_VALUE"""),"Изд. „За буквите – О писменехь”, София, 2014, 189стр., ISBN: 978-619-185-113-3.")</f>
        <v>Изд. „За буквите – О писменехь”, София, 2014, 189стр., ISBN: 978-619-185-113-3.</v>
      </c>
      <c r="F5339" s="10"/>
      <c r="G5339" s="10"/>
      <c r="H5339" s="10"/>
      <c r="I5339" s="10"/>
      <c r="J5339" s="10"/>
      <c r="K5339" s="10"/>
      <c r="L5339" s="10"/>
      <c r="M5339" s="10"/>
      <c r="N5339" s="10"/>
      <c r="O5339" s="10"/>
      <c r="P5339" s="10"/>
      <c r="Q5339" s="10"/>
      <c r="R5339" s="10"/>
      <c r="S5339" s="10"/>
      <c r="T5339" s="10"/>
      <c r="U5339" s="10"/>
      <c r="V5339" s="10"/>
      <c r="W5339" s="10"/>
      <c r="X5339" s="10"/>
      <c r="Y5339" s="10"/>
      <c r="Z5339" s="10"/>
    </row>
    <row r="5340" spans="1:26" ht="12.75">
      <c r="A5340" s="10" t="str">
        <f ca="1">IFERROR(__xludf.DUMMYFUNCTION("""COMPUTED_VALUE"""),"Мариана Трифонова Драганова")</f>
        <v>Мариана Трифонова Драганова</v>
      </c>
      <c r="B5340" s="10" t="str">
        <f ca="1">IFERROR(__xludf.DUMMYFUNCTION("""COMPUTED_VALUE"""),"Статия в списания и поредици")</f>
        <v>Статия в списания и поредици</v>
      </c>
      <c r="C5340" s="10" t="str">
        <f ca="1">IFERROR(__xludf.DUMMYFUNCTION("""COMPUTED_VALUE"""),"Geomechanical risk assessment in underground ore mining as a factor for determining an optimal variant")</f>
        <v>Geomechanical risk assessment in underground ore mining as a factor for determining an optimal variant</v>
      </c>
      <c r="D5340" s="10">
        <f ca="1">IFERROR(__xludf.DUMMYFUNCTION("""COMPUTED_VALUE"""),2014)</f>
        <v>2014</v>
      </c>
      <c r="E5340" s="10" t="str">
        <f ca="1">IFERROR(__xludf.DUMMYFUNCTION("""COMPUTED_VALUE"""),"Минно дело и геология, № 9-10, 2014")</f>
        <v>Минно дело и геология, № 9-10, 2014</v>
      </c>
      <c r="F5340" s="10"/>
      <c r="G5340" s="10" t="str">
        <f ca="1">IFERROR(__xludf.DUMMYFUNCTION("""COMPUTED_VALUE"""),"Georgi Atanasov Mihaylov, Georgy Trapov")</f>
        <v>Georgi Atanasov Mihaylov, Georgy Trapov</v>
      </c>
      <c r="H5340" s="10"/>
      <c r="I5340" s="10"/>
      <c r="J5340" s="10"/>
      <c r="K5340" s="10"/>
      <c r="L5340" s="10"/>
      <c r="M5340" s="10"/>
      <c r="N5340" s="10"/>
      <c r="O5340" s="10"/>
      <c r="P5340" s="10"/>
      <c r="Q5340" s="10"/>
      <c r="R5340" s="10"/>
      <c r="S5340" s="10"/>
      <c r="T5340" s="10"/>
      <c r="U5340" s="10"/>
      <c r="V5340" s="10"/>
      <c r="W5340" s="10"/>
      <c r="X5340" s="10"/>
      <c r="Y5340" s="10"/>
      <c r="Z5340" s="10"/>
    </row>
    <row r="5341" spans="1:26" ht="12.75">
      <c r="A5341" s="10" t="str">
        <f ca="1">IFERROR(__xludf.DUMMYFUNCTION("""COMPUTED_VALUE"""),"Мариана Трифонова Драганова")</f>
        <v>Мариана Трифонова Драганова</v>
      </c>
      <c r="B5341" s="10" t="str">
        <f ca="1">IFERROR(__xludf.DUMMYFUNCTION("""COMPUTED_VALUE"""),"Доклад от конференция")</f>
        <v>Доклад от конференция</v>
      </c>
      <c r="C5341" s="10" t="str">
        <f ca="1">IFERROR(__xludf.DUMMYFUNCTION("""COMPUTED_VALUE"""),"Geomechanical risk assessment in underground ore mining as a factor for determining an optimal variant")</f>
        <v>Geomechanical risk assessment in underground ore mining as a factor for determining an optimal variant</v>
      </c>
      <c r="D5341" s="10">
        <f ca="1">IFERROR(__xludf.DUMMYFUNCTION("""COMPUTED_VALUE"""),2014)</f>
        <v>2014</v>
      </c>
      <c r="E5341" s="10" t="str">
        <f ca="1">IFERROR(__xludf.DUMMYFUNCTION("""COMPUTED_VALUE"""),"VI International geomechanics conference, 24-28 June 2014, Varna, Bulgaria, pp. 437-448, ISSN: 1314-6467.")</f>
        <v>VI International geomechanics conference, 24-28 June 2014, Varna, Bulgaria, pp. 437-448, ISSN: 1314-6467.</v>
      </c>
      <c r="F5341" s="10"/>
      <c r="G5341" s="10" t="str">
        <f ca="1">IFERROR(__xludf.DUMMYFUNCTION("""COMPUTED_VALUE"""),"Georgi Atanasov Mihaylov, Georgy Trapov")</f>
        <v>Georgi Atanasov Mihaylov, Georgy Trapov</v>
      </c>
      <c r="H5341" s="10"/>
      <c r="I5341" s="10"/>
      <c r="J5341" s="10"/>
      <c r="K5341" s="10"/>
      <c r="L5341" s="10"/>
      <c r="M5341" s="10"/>
      <c r="N5341" s="10"/>
      <c r="O5341" s="10"/>
      <c r="P5341" s="10"/>
      <c r="Q5341" s="10"/>
      <c r="R5341" s="10"/>
      <c r="S5341" s="10"/>
      <c r="T5341" s="10"/>
      <c r="U5341" s="10"/>
      <c r="V5341" s="10"/>
      <c r="W5341" s="10"/>
      <c r="X5341" s="10"/>
      <c r="Y5341" s="10"/>
      <c r="Z5341" s="10"/>
    </row>
    <row r="5342" spans="1:26" ht="12.75">
      <c r="A5342" s="10" t="str">
        <f ca="1">IFERROR(__xludf.DUMMYFUNCTION("""COMPUTED_VALUE"""),"Мариана Трифонова Драганова")</f>
        <v>Мариана Трифонова Драганова</v>
      </c>
      <c r="B5342" s="10" t="str">
        <f ca="1">IFERROR(__xludf.DUMMYFUNCTION("""COMPUTED_VALUE"""),"Доклад от конференция")</f>
        <v>Доклад от конференция</v>
      </c>
      <c r="C5342" s="10" t="str">
        <f ca="1">IFERROR(__xludf.DUMMYFUNCTION("""COMPUTED_VALUE"""),"Комбинирани схеми на разработване (открито-подземно) и перспективи за тяхното приложение в България")</f>
        <v>Комбинирани схеми на разработване (открито-подземно) и перспективи за тяхното приложение в България</v>
      </c>
      <c r="D5342" s="10">
        <f ca="1">IFERROR(__xludf.DUMMYFUNCTION("""COMPUTED_VALUE"""),2013)</f>
        <v>2013</v>
      </c>
      <c r="E5342" s="10" t="str">
        <f ca="1">IFERROR(__xludf.DUMMYFUNCTION("""COMPUTED_VALUE"""),"ХІ Национална конференция с международно участие по открит и подводен добив на полезни изкопаеми, Варна, 2013, стр. 43-52, ISSN: 1314-8877.")</f>
        <v>ХІ Национална конференция с международно участие по открит и подводен добив на полезни изкопаеми, Варна, 2013, стр. 43-52, ISSN: 1314-8877.</v>
      </c>
      <c r="F5342" s="10"/>
      <c r="G5342" s="10" t="str">
        <f ca="1">IFERROR(__xludf.DUMMYFUNCTION("""COMPUTED_VALUE"""),"Георги Атанасов Михайлов, Георги Трапов")</f>
        <v>Георги Атанасов Михайлов, Георги Трапов</v>
      </c>
      <c r="H5342" s="10"/>
      <c r="I5342" s="10"/>
      <c r="J5342" s="10"/>
      <c r="K5342" s="10"/>
      <c r="L5342" s="10"/>
      <c r="M5342" s="10"/>
      <c r="N5342" s="10"/>
      <c r="O5342" s="10"/>
      <c r="P5342" s="10"/>
      <c r="Q5342" s="10"/>
      <c r="R5342" s="10"/>
      <c r="S5342" s="10"/>
      <c r="T5342" s="10"/>
      <c r="U5342" s="10"/>
      <c r="V5342" s="10"/>
      <c r="W5342" s="10"/>
      <c r="X5342" s="10"/>
      <c r="Y5342" s="10"/>
      <c r="Z5342" s="10"/>
    </row>
    <row r="5343" spans="1:26" ht="12.75">
      <c r="A5343" s="10" t="str">
        <f ca="1">IFERROR(__xludf.DUMMYFUNCTION("""COMPUTED_VALUE"""),"Мариана Трифонова Драганова")</f>
        <v>Мариана Трифонова Драганова</v>
      </c>
      <c r="B5343" s="10" t="str">
        <f ca="1">IFERROR(__xludf.DUMMYFUNCTION("""COMPUTED_VALUE"""),"Доклад от конференция")</f>
        <v>Доклад от конференция</v>
      </c>
      <c r="C5343" s="10" t="str">
        <f ca="1">IFERROR(__xludf.DUMMYFUNCTION("""COMPUTED_VALUE"""),"Analysis of state of stress and deformation of body taking into consideration probabilistic nature of mechanical characteristics")</f>
        <v>Analysis of state of stress and deformation of body taking into consideration probabilistic nature of mechanical characteristics</v>
      </c>
      <c r="D5343" s="10">
        <f ca="1">IFERROR(__xludf.DUMMYFUNCTION("""COMPUTED_VALUE"""),2013)</f>
        <v>2013</v>
      </c>
      <c r="E5343" s="10" t="str">
        <f ca="1">IFERROR(__xludf.DUMMYFUNCTION("""COMPUTED_VALUE"""),"5th Balkan Mining Congress BALKANMINE Ohrid 2013, ISBN: 978-608-65530-0-5.")</f>
        <v>5th Balkan Mining Congress BALKANMINE Ohrid 2013, ISBN: 978-608-65530-0-5.</v>
      </c>
      <c r="F5343" s="10"/>
      <c r="G5343" s="10" t="str">
        <f ca="1">IFERROR(__xludf.DUMMYFUNCTION("""COMPUTED_VALUE"""),"Georgi Atanasov Mihaylov, Georgy Trapov")</f>
        <v>Georgi Atanasov Mihaylov, Georgy Trapov</v>
      </c>
      <c r="H5343" s="10"/>
      <c r="I5343" s="10"/>
      <c r="J5343" s="10"/>
      <c r="K5343" s="10"/>
      <c r="L5343" s="10"/>
      <c r="M5343" s="10"/>
      <c r="N5343" s="10"/>
      <c r="O5343" s="10"/>
      <c r="P5343" s="10"/>
      <c r="Q5343" s="10"/>
      <c r="R5343" s="10"/>
      <c r="S5343" s="10"/>
      <c r="T5343" s="10"/>
      <c r="U5343" s="10"/>
      <c r="V5343" s="10"/>
      <c r="W5343" s="10"/>
      <c r="X5343" s="10"/>
      <c r="Y5343" s="10"/>
      <c r="Z5343" s="10"/>
    </row>
    <row r="5344" spans="1:26" ht="12.75">
      <c r="A5344" s="10" t="str">
        <f ca="1">IFERROR(__xludf.DUMMYFUNCTION("""COMPUTED_VALUE"""),"Мариана Трифонова Драганова")</f>
        <v>Мариана Трифонова Драганова</v>
      </c>
      <c r="B5344" s="10" t="str">
        <f ca="1">IFERROR(__xludf.DUMMYFUNCTION("""COMPUTED_VALUE"""),"Доклад от конференция")</f>
        <v>Доклад от конференция</v>
      </c>
      <c r="C5344" s="10" t="str">
        <f ca="1">IFERROR(__xludf.DUMMYFUNCTION("""COMPUTED_VALUE"""),"Моделиране на процеса на усредняване качеството на полезното изкопаемо при използване на комплекси с непрекъснато действие")</f>
        <v>Моделиране на процеса на усредняване качеството на полезното изкопаемо при използване на комплекси с непрекъснато действие</v>
      </c>
      <c r="D5344" s="10">
        <f ca="1">IFERROR(__xludf.DUMMYFUNCTION("""COMPUTED_VALUE"""),2012)</f>
        <v>2012</v>
      </c>
      <c r="E5344" s="10" t="str">
        <f ca="1">IFERROR(__xludf.DUMMYFUNCTION("""COMPUTED_VALUE"""),"Год. на МГУ „Св. Ив. Рилски”, т. 55, св. ІІ, София, 2012, стр. 204-207, ISSN: 1312-1820.")</f>
        <v>Год. на МГУ „Св. Ив. Рилски”, т. 55, св. ІІ, София, 2012, стр. 204-207, ISSN: 1312-1820.</v>
      </c>
      <c r="F5344" s="10"/>
      <c r="G5344" s="10" t="str">
        <f ca="1">IFERROR(__xludf.DUMMYFUNCTION("""COMPUTED_VALUE"""),"Илиян Джобов, Георги Трапов, Паулин Златанов")</f>
        <v>Илиян Джобов, Георги Трапов, Паулин Златанов</v>
      </c>
      <c r="H5344" s="10"/>
      <c r="I5344" s="10"/>
      <c r="J5344" s="10"/>
      <c r="K5344" s="10"/>
      <c r="L5344" s="10"/>
      <c r="M5344" s="10"/>
      <c r="N5344" s="10"/>
      <c r="O5344" s="10"/>
      <c r="P5344" s="10"/>
      <c r="Q5344" s="10"/>
      <c r="R5344" s="10"/>
      <c r="S5344" s="10"/>
      <c r="T5344" s="10"/>
      <c r="U5344" s="10"/>
      <c r="V5344" s="10"/>
      <c r="W5344" s="10"/>
      <c r="X5344" s="10"/>
      <c r="Y5344" s="10"/>
      <c r="Z5344" s="10"/>
    </row>
    <row r="5345" spans="1:26" ht="12.75">
      <c r="A5345" s="10" t="str">
        <f ca="1">IFERROR(__xludf.DUMMYFUNCTION("""COMPUTED_VALUE"""),"Мариана Трифонова Драганова")</f>
        <v>Мариана Трифонова Драганова</v>
      </c>
      <c r="B5345" s="10" t="str">
        <f ca="1">IFERROR(__xludf.DUMMYFUNCTION("""COMPUTED_VALUE"""),"Доклад от конференция")</f>
        <v>Доклад от конференция</v>
      </c>
      <c r="C5345" s="10" t="str">
        <f ca="1">IFERROR(__xludf.DUMMYFUNCTION("""COMPUTED_VALUE"""),"Адаптиране на Fp-метода за оценка на устойчивостта на откоси в CAD системи")</f>
        <v>Адаптиране на Fp-метода за оценка на устойчивостта на откоси в CAD системи</v>
      </c>
      <c r="D5345" s="10">
        <f ca="1">IFERROR(__xludf.DUMMYFUNCTION("""COMPUTED_VALUE"""),2012)</f>
        <v>2012</v>
      </c>
      <c r="E5345" s="10" t="str">
        <f ca="1">IFERROR(__xludf.DUMMYFUNCTION("""COMPUTED_VALUE"""),"Научни трудове на Съюза на учените в България – Пловдив, 25-26.Х.2012г., т. ХV, стр. 112-116, ISSN: 1311-9192.")</f>
        <v>Научни трудове на Съюза на учените в България – Пловдив, 25-26.Х.2012г., т. ХV, стр. 112-116, ISSN: 1311-9192.</v>
      </c>
      <c r="F5345" s="10"/>
      <c r="G5345" s="10"/>
      <c r="H5345" s="10"/>
      <c r="I5345" s="10"/>
      <c r="J5345" s="10"/>
      <c r="K5345" s="10"/>
      <c r="L5345" s="10"/>
      <c r="M5345" s="10"/>
      <c r="N5345" s="10"/>
      <c r="O5345" s="10"/>
      <c r="P5345" s="10"/>
      <c r="Q5345" s="10"/>
      <c r="R5345" s="10"/>
      <c r="S5345" s="10"/>
      <c r="T5345" s="10"/>
      <c r="U5345" s="10"/>
      <c r="V5345" s="10"/>
      <c r="W5345" s="10"/>
      <c r="X5345" s="10"/>
      <c r="Y5345" s="10"/>
      <c r="Z5345" s="10"/>
    </row>
    <row r="5346" spans="1:26" ht="12.75">
      <c r="A5346" s="10" t="str">
        <f ca="1">IFERROR(__xludf.DUMMYFUNCTION("""COMPUTED_VALUE"""),"Мариана Трифонова Драганова")</f>
        <v>Мариана Трифонова Драганова</v>
      </c>
      <c r="B5346" s="10" t="str">
        <f ca="1">IFERROR(__xludf.DUMMYFUNCTION("""COMPUTED_VALUE"""),"Доклад от конференция")</f>
        <v>Доклад от конференция</v>
      </c>
      <c r="C5346" s="10" t="str">
        <f ca="1">IFERROR(__xludf.DUMMYFUNCTION("""COMPUTED_VALUE"""),"НОВ ПОДХОД ЗА ИЗБОР НА ИЗЧИСЛИТЕЛНА СХЕМА ПРИ ОЦЕНКА УСТОЙЧИВОСТТА НА ОТКОСИ")</f>
        <v>НОВ ПОДХОД ЗА ИЗБОР НА ИЗЧИСЛИТЕЛНА СХЕМА ПРИ ОЦЕНКА УСТОЙЧИВОСТТА НА ОТКОСИ</v>
      </c>
      <c r="D5346" s="10">
        <f ca="1">IFERROR(__xludf.DUMMYFUNCTION("""COMPUTED_VALUE"""),2012)</f>
        <v>2012</v>
      </c>
      <c r="E5346" s="10" t="str">
        <f ca="1">IFERROR(__xludf.DUMMYFUNCTION("""COMPUTED_VALUE"""),"ГОДИШНИК НА МИННО-ГЕОЛОЖКИЯ УНИВЕРСИТЕТ “СВ. ИВАН РИЛСКИ”, Том 55, Св. II, Добив и преработка на минерални суровини")</f>
        <v>ГОДИШНИК НА МИННО-ГЕОЛОЖКИЯ УНИВЕРСИТЕТ “СВ. ИВАН РИЛСКИ”, Том 55, Св. II, Добив и преработка на минерални суровини</v>
      </c>
      <c r="F5346" s="10"/>
      <c r="G5346" s="10"/>
      <c r="H5346" s="10"/>
      <c r="I5346" s="10"/>
      <c r="J5346" s="10"/>
      <c r="K5346" s="10"/>
      <c r="L5346" s="10"/>
      <c r="M5346" s="10"/>
      <c r="N5346" s="10"/>
      <c r="O5346" s="10"/>
      <c r="P5346" s="10"/>
      <c r="Q5346" s="10"/>
      <c r="R5346" s="10"/>
      <c r="S5346" s="10"/>
      <c r="T5346" s="10"/>
      <c r="U5346" s="10"/>
      <c r="V5346" s="10"/>
      <c r="W5346" s="10"/>
      <c r="X5346" s="10"/>
      <c r="Y5346" s="10"/>
      <c r="Z5346" s="10"/>
    </row>
    <row r="5347" spans="1:26" ht="12.75">
      <c r="A5347" s="10" t="str">
        <f ca="1">IFERROR(__xludf.DUMMYFUNCTION("""COMPUTED_VALUE"""),"Мариана Трифонова Драганова")</f>
        <v>Мариана Трифонова Драганова</v>
      </c>
      <c r="B5347" s="10" t="str">
        <f ca="1">IFERROR(__xludf.DUMMYFUNCTION("""COMPUTED_VALUE"""),"Доклад от конференция")</f>
        <v>Доклад от конференция</v>
      </c>
      <c r="C5347" s="10" t="str">
        <f ca="1">IFERROR(__xludf.DUMMYFUNCTION("""COMPUTED_VALUE"""),"Използване на статистическо моделиране при технико-икономическо сравняване ефективността на добивни технологии (на примера на тънки жили)")</f>
        <v>Използване на статистическо моделиране при технико-икономическо сравняване ефективността на добивни технологии (на примера на тънки жили)</v>
      </c>
      <c r="D5347" s="10">
        <f ca="1">IFERROR(__xludf.DUMMYFUNCTION("""COMPUTED_VALUE"""),2012)</f>
        <v>2012</v>
      </c>
      <c r="E5347" s="10" t="str">
        <f ca="1">IFERROR(__xludf.DUMMYFUNCTION("""COMPUTED_VALUE"""),"ІІІ национална научно-техническа конференция с международно участие „Технологии и практики при подземен добив и минно строителство”, 8-11.Х.2012г., гр. Девин, стр. 44-52, ISSN: 1314-7056.")</f>
        <v>ІІІ национална научно-техническа конференция с международно участие „Технологии и практики при подземен добив и минно строителство”, 8-11.Х.2012г., гр. Девин, стр. 44-52, ISSN: 1314-7056.</v>
      </c>
      <c r="F5347" s="10"/>
      <c r="G5347" s="10" t="str">
        <f ca="1">IFERROR(__xludf.DUMMYFUNCTION("""COMPUTED_VALUE"""),"Георги Атанасов Михайлов, Георги Трапов")</f>
        <v>Георги Атанасов Михайлов, Георги Трапов</v>
      </c>
      <c r="H5347" s="10"/>
      <c r="I5347" s="10"/>
      <c r="J5347" s="10"/>
      <c r="K5347" s="10"/>
      <c r="L5347" s="10"/>
      <c r="M5347" s="10"/>
      <c r="N5347" s="10"/>
      <c r="O5347" s="10"/>
      <c r="P5347" s="10"/>
      <c r="Q5347" s="10"/>
      <c r="R5347" s="10"/>
      <c r="S5347" s="10"/>
      <c r="T5347" s="10"/>
      <c r="U5347" s="10"/>
      <c r="V5347" s="10"/>
      <c r="W5347" s="10"/>
      <c r="X5347" s="10"/>
      <c r="Y5347" s="10"/>
      <c r="Z5347" s="10"/>
    </row>
    <row r="5348" spans="1:26" ht="12.75">
      <c r="A5348" s="10" t="str">
        <f ca="1">IFERROR(__xludf.DUMMYFUNCTION("""COMPUTED_VALUE"""),"Мариана Трифонова Драганова")</f>
        <v>Мариана Трифонова Драганова</v>
      </c>
      <c r="B5348" s="10" t="str">
        <f ca="1">IFERROR(__xludf.DUMMYFUNCTION("""COMPUTED_VALUE"""),"Доклад от конференция")</f>
        <v>Доклад от конференция</v>
      </c>
      <c r="C5348" s="10" t="str">
        <f ca="1">IFERROR(__xludf.DUMMYFUNCTION("""COMPUTED_VALUE"""),"Оценка устойчивостта на откоси с отчитане на риска")</f>
        <v>Оценка устойчивостта на откоси с отчитане на риска</v>
      </c>
      <c r="D5348" s="10">
        <f ca="1">IFERROR(__xludf.DUMMYFUNCTION("""COMPUTED_VALUE"""),2012)</f>
        <v>2012</v>
      </c>
      <c r="E5348" s="10" t="str">
        <f ca="1">IFERROR(__xludf.DUMMYFUNCTION("""COMPUTED_VALUE"""),"Научни трудове на Съюза на учените в България – Пловдив, 25-26.Х.2012г., т. ХV, стр. 107-111, ISSN: 1311-9192.")</f>
        <v>Научни трудове на Съюза на учените в България – Пловдив, 25-26.Х.2012г., т. ХV, стр. 107-111, ISSN: 1311-9192.</v>
      </c>
      <c r="F5348" s="10"/>
      <c r="G5348" s="10" t="str">
        <f ca="1">IFERROR(__xludf.DUMMYFUNCTION("""COMPUTED_VALUE"""),"Евгения Иванова Александрова")</f>
        <v>Евгения Иванова Александрова</v>
      </c>
      <c r="H5348" s="10"/>
      <c r="I5348" s="10"/>
      <c r="J5348" s="10"/>
      <c r="K5348" s="10"/>
      <c r="L5348" s="10"/>
      <c r="M5348" s="10"/>
      <c r="N5348" s="10"/>
      <c r="O5348" s="10"/>
      <c r="P5348" s="10"/>
      <c r="Q5348" s="10"/>
      <c r="R5348" s="10"/>
      <c r="S5348" s="10"/>
      <c r="T5348" s="10"/>
      <c r="U5348" s="10"/>
      <c r="V5348" s="10"/>
      <c r="W5348" s="10"/>
      <c r="X5348" s="10"/>
      <c r="Y5348" s="10"/>
      <c r="Z5348" s="10"/>
    </row>
    <row r="5349" spans="1:26" ht="12.75">
      <c r="A5349" s="10" t="str">
        <f ca="1">IFERROR(__xludf.DUMMYFUNCTION("""COMPUTED_VALUE"""),"Мариана Трифонова Драганова")</f>
        <v>Мариана Трифонова Драганова</v>
      </c>
      <c r="B5349" s="10" t="str">
        <f ca="1">IFERROR(__xludf.DUMMYFUNCTION("""COMPUTED_VALUE"""),"Доклад от конференция")</f>
        <v>Доклад от конференция</v>
      </c>
      <c r="C5349" s="10" t="str">
        <f ca="1">IFERROR(__xludf.DUMMYFUNCTION("""COMPUTED_VALUE"""),"СЪСТАВ И СТРУКТУРА НА АРХИВ ОТ ЗАДАЧИ ПО КОМПЮТЪРНА ГРАФИКА")</f>
        <v>СЪСТАВ И СТРУКТУРА НА АРХИВ ОТ ЗАДАЧИ ПО КОМПЮТЪРНА ГРАФИКА</v>
      </c>
      <c r="D5349" s="10">
        <f ca="1">IFERROR(__xludf.DUMMYFUNCTION("""COMPUTED_VALUE"""),2012)</f>
        <v>2012</v>
      </c>
      <c r="E5349" s="10" t="str">
        <f ca="1">IFERROR(__xludf.DUMMYFUNCTION("""COMPUTED_VALUE"""),"Год. на МГУ „Св. Ив. Рилски”, т. 55, св. ІV, София, 2012, стр. 88-90, ISSN: 1312-1820.")</f>
        <v>Год. на МГУ „Св. Ив. Рилски”, т. 55, св. ІV, София, 2012, стр. 88-90, ISSN: 1312-1820.</v>
      </c>
      <c r="F5349" s="10"/>
      <c r="G5349" s="10"/>
      <c r="H5349" s="10"/>
      <c r="I5349" s="10"/>
      <c r="J5349" s="10"/>
      <c r="K5349" s="10"/>
      <c r="L5349" s="10"/>
      <c r="M5349" s="10"/>
      <c r="N5349" s="10"/>
      <c r="O5349" s="10"/>
      <c r="P5349" s="10"/>
      <c r="Q5349" s="10"/>
      <c r="R5349" s="10"/>
      <c r="S5349" s="10"/>
      <c r="T5349" s="10"/>
      <c r="U5349" s="10"/>
      <c r="V5349" s="10"/>
      <c r="W5349" s="10"/>
      <c r="X5349" s="10"/>
      <c r="Y5349" s="10"/>
      <c r="Z5349" s="10"/>
    </row>
    <row r="5350" spans="1:26" ht="12.75">
      <c r="A5350" s="10" t="str">
        <f ca="1">IFERROR(__xludf.DUMMYFUNCTION("""COMPUTED_VALUE"""),"Мариана Трифонова Драганова")</f>
        <v>Мариана Трифонова Драганова</v>
      </c>
      <c r="B5350" s="10" t="str">
        <f ca="1">IFERROR(__xludf.DUMMYFUNCTION("""COMPUTED_VALUE"""),"Доклад от конференция")</f>
        <v>Доклад от конференция</v>
      </c>
      <c r="C5350" s="10" t="str">
        <f ca="1">IFERROR(__xludf.DUMMYFUNCTION("""COMPUTED_VALUE"""),"Изготвяне на програма, изчисляваща производителността на автотранспорта за повишаване на ефективността при проектиране на открити рудници")</f>
        <v>Изготвяне на програма, изчисляваща производителността на автотранспорта за повишаване на ефективността при проектиране на открити рудници</v>
      </c>
      <c r="D5350" s="10">
        <f ca="1">IFERROR(__xludf.DUMMYFUNCTION("""COMPUTED_VALUE"""),2010)</f>
        <v>2010</v>
      </c>
      <c r="E5350" s="10" t="str">
        <f ca="1">IFERROR(__xludf.DUMMYFUNCTION("""COMPUTED_VALUE"""),"Научна конференция с международно участие “Наука и общество”, 13-14 октомври 2010, Кърджали, стр. 345-348, ISSN 1314-3425.")</f>
        <v>Научна конференция с международно участие “Наука и общество”, 13-14 октомври 2010, Кърджали, стр. 345-348, ISSN 1314-3425.</v>
      </c>
      <c r="F5350" s="10"/>
      <c r="G5350" s="10" t="str">
        <f ca="1">IFERROR(__xludf.DUMMYFUNCTION("""COMPUTED_VALUE"""),"Илиян Джобов")</f>
        <v>Илиян Джобов</v>
      </c>
      <c r="H5350" s="10"/>
      <c r="I5350" s="10"/>
      <c r="J5350" s="10"/>
      <c r="K5350" s="10"/>
      <c r="L5350" s="10"/>
      <c r="M5350" s="10"/>
      <c r="N5350" s="10"/>
      <c r="O5350" s="10"/>
      <c r="P5350" s="10"/>
      <c r="Q5350" s="10"/>
      <c r="R5350" s="10"/>
      <c r="S5350" s="10"/>
      <c r="T5350" s="10"/>
      <c r="U5350" s="10"/>
      <c r="V5350" s="10"/>
      <c r="W5350" s="10"/>
      <c r="X5350" s="10"/>
      <c r="Y5350" s="10"/>
      <c r="Z5350" s="10"/>
    </row>
    <row r="5351" spans="1:26" ht="12.75">
      <c r="A5351" s="10" t="str">
        <f ca="1">IFERROR(__xludf.DUMMYFUNCTION("""COMPUTED_VALUE"""),"Мариана Трифонова Драганова")</f>
        <v>Мариана Трифонова Драганова</v>
      </c>
      <c r="B5351" s="10" t="str">
        <f ca="1">IFERROR(__xludf.DUMMYFUNCTION("""COMPUTED_VALUE"""),"Доклад от конференция")</f>
        <v>Доклад от конференция</v>
      </c>
      <c r="C5351" s="10" t="str">
        <f ca="1">IFERROR(__xludf.DUMMYFUNCTION("""COMPUTED_VALUE"""),"Изготвяне на алгоритъм за изчисляване на паспорт на ПВР с цел повишаване на ефективността
 при проектиране на открити рудници")</f>
        <v>Изготвяне на алгоритъм за изчисляване на паспорт на ПВР с цел повишаване на ефективността
 при проектиране на открити рудници</v>
      </c>
      <c r="D5351" s="10">
        <f ca="1">IFERROR(__xludf.DUMMYFUNCTION("""COMPUTED_VALUE"""),2010)</f>
        <v>2010</v>
      </c>
      <c r="E5351" s="10" t="str">
        <f ca="1">IFERROR(__xludf.DUMMYFUNCTION("""COMPUTED_VALUE"""),"Научна конференция с международно участие “Наука и общество”, 13-14 октомври 2010, Кърджали, стр. 341-344, ISSN: 1314-3425")</f>
        <v>Научна конференция с международно участие “Наука и общество”, 13-14 октомври 2010, Кърджали, стр. 341-344, ISSN: 1314-3425</v>
      </c>
      <c r="F5351" s="10"/>
      <c r="G5351" s="10" t="str">
        <f ca="1">IFERROR(__xludf.DUMMYFUNCTION("""COMPUTED_VALUE"""),"Джобов И.")</f>
        <v>Джобов И.</v>
      </c>
      <c r="H5351" s="10"/>
      <c r="I5351" s="10"/>
      <c r="J5351" s="10"/>
      <c r="K5351" s="10"/>
      <c r="L5351" s="10"/>
      <c r="M5351" s="10"/>
      <c r="N5351" s="10"/>
      <c r="O5351" s="10"/>
      <c r="P5351" s="10"/>
      <c r="Q5351" s="10"/>
      <c r="R5351" s="10"/>
      <c r="S5351" s="10"/>
      <c r="T5351" s="10"/>
      <c r="U5351" s="10"/>
      <c r="V5351" s="10"/>
      <c r="W5351" s="10"/>
      <c r="X5351" s="10"/>
      <c r="Y5351" s="10"/>
      <c r="Z5351" s="10"/>
    </row>
    <row r="5352" spans="1:26" ht="12.75">
      <c r="A5352" s="10" t="str">
        <f ca="1">IFERROR(__xludf.DUMMYFUNCTION("""COMPUTED_VALUE"""),"Мариана Трифонова Драганова")</f>
        <v>Мариана Трифонова Драганова</v>
      </c>
      <c r="B5352" s="10" t="str">
        <f ca="1">IFERROR(__xludf.DUMMYFUNCTION("""COMPUTED_VALUE"""),"Доклад от конференция")</f>
        <v>Доклад от конференция</v>
      </c>
      <c r="C5352" s="10" t="str">
        <f ca="1">IFERROR(__xludf.DUMMYFUNCTION("""COMPUTED_VALUE"""),"Влияние на дълбочината на залягане на иззетия пласт върху физико-механическите свойства на
 стохастическата земна среда на Кандауров")</f>
        <v>Влияние на дълбочината на залягане на иззетия пласт върху физико-механическите свойства на
 стохастическата земна среда на Кандауров</v>
      </c>
      <c r="D5352" s="10">
        <f ca="1">IFERROR(__xludf.DUMMYFUNCTION("""COMPUTED_VALUE"""),2010)</f>
        <v>2010</v>
      </c>
      <c r="E5352" s="10" t="str">
        <f ca="1">IFERROR(__xludf.DUMMYFUNCTION("""COMPUTED_VALUE"""),"Год. на МГУ “Св. Иван Рилски”, св. ІІ, т. 53, 2010, стр. 58-60, ISSN: 1312-1820")</f>
        <v>Год. на МГУ “Св. Иван Рилски”, св. ІІ, т. 53, 2010, стр. 58-60, ISSN: 1312-1820</v>
      </c>
      <c r="F5352" s="10"/>
      <c r="G5352" s="10"/>
      <c r="H5352" s="10"/>
      <c r="I5352" s="10"/>
      <c r="J5352" s="10"/>
      <c r="K5352" s="10"/>
      <c r="L5352" s="10"/>
      <c r="M5352" s="10"/>
      <c r="N5352" s="10"/>
      <c r="O5352" s="10"/>
      <c r="P5352" s="10"/>
      <c r="Q5352" s="10"/>
      <c r="R5352" s="10"/>
      <c r="S5352" s="10"/>
      <c r="T5352" s="10"/>
      <c r="U5352" s="10"/>
      <c r="V5352" s="10"/>
      <c r="W5352" s="10"/>
      <c r="X5352" s="10"/>
      <c r="Y5352" s="10"/>
      <c r="Z5352" s="10"/>
    </row>
    <row r="5353" spans="1:26" ht="12.75">
      <c r="A5353" s="10" t="str">
        <f ca="1">IFERROR(__xludf.DUMMYFUNCTION("""COMPUTED_VALUE"""),"Мариана Трифонова Драганова")</f>
        <v>Мариана Трифонова Драганова</v>
      </c>
      <c r="B5353" s="10" t="str">
        <f ca="1">IFERROR(__xludf.DUMMYFUNCTION("""COMPUTED_VALUE"""),"Доклад от конференция")</f>
        <v>Доклад от конференция</v>
      </c>
      <c r="C5353" s="10" t="str">
        <f ca="1">IFERROR(__xludf.DUMMYFUNCTION("""COMPUTED_VALUE"""),"Един метод за определяне физико-механическите свойства на стохастическата земна среда на Кандауров")</f>
        <v>Един метод за определяне физико-механическите свойства на стохастическата земна среда на Кандауров</v>
      </c>
      <c r="D5353" s="10">
        <f ca="1">IFERROR(__xludf.DUMMYFUNCTION("""COMPUTED_VALUE"""),2008)</f>
        <v>2008</v>
      </c>
      <c r="E5353" s="10" t="str">
        <f ca="1">IFERROR(__xludf.DUMMYFUNCTION("""COMPUTED_VALUE"""),"Год. на МГУ “Св. Иван Рилски”, св. ІІ:, т. 51, 2008, стр. 141-143, ISSN: 1312-1820")</f>
        <v>Год. на МГУ “Св. Иван Рилски”, св. ІІ:, т. 51, 2008, стр. 141-143, ISSN: 1312-1820</v>
      </c>
      <c r="F5353" s="10"/>
      <c r="G5353" s="10"/>
      <c r="H5353" s="10"/>
      <c r="I5353" s="10"/>
      <c r="J5353" s="10"/>
      <c r="K5353" s="10"/>
      <c r="L5353" s="10"/>
      <c r="M5353" s="10"/>
      <c r="N5353" s="10"/>
      <c r="O5353" s="10"/>
      <c r="P5353" s="10"/>
      <c r="Q5353" s="10"/>
      <c r="R5353" s="10"/>
      <c r="S5353" s="10"/>
      <c r="T5353" s="10"/>
      <c r="U5353" s="10"/>
      <c r="V5353" s="10"/>
      <c r="W5353" s="10"/>
      <c r="X5353" s="10"/>
      <c r="Y5353" s="10"/>
      <c r="Z5353" s="10"/>
    </row>
    <row r="5354" spans="1:26" ht="12.75">
      <c r="A5354" s="10" t="str">
        <f ca="1">IFERROR(__xludf.DUMMYFUNCTION("""COMPUTED_VALUE"""),"Мариана Трифонова Драганова")</f>
        <v>Мариана Трифонова Драганова</v>
      </c>
      <c r="B5354" s="10" t="str">
        <f ca="1">IFERROR(__xludf.DUMMYFUNCTION("""COMPUTED_VALUE"""),"Доклад от конференция")</f>
        <v>Доклад от конференция</v>
      </c>
      <c r="C5354" s="10" t="str">
        <f ca="1">IFERROR(__xludf.DUMMYFUNCTION("""COMPUTED_VALUE"""),"Нов подход към определянето на наземната депресия, причинена от изземването на наклонен пласт")</f>
        <v>Нов подход към определянето на наземната депресия, причинена от изземването на наклонен пласт</v>
      </c>
      <c r="D5354" s="10">
        <f ca="1">IFERROR(__xludf.DUMMYFUNCTION("""COMPUTED_VALUE"""),2008)</f>
        <v>2008</v>
      </c>
      <c r="E5354" s="10" t="str">
        <f ca="1">IFERROR(__xludf.DUMMYFUNCTION("""COMPUTED_VALUE"""),"Год. на МГУ “Св. Иван Рилски”, св. ІІ, т. 51, 2008, стр. 149-151, ISSN: 1312-1820.")</f>
        <v>Год. на МГУ “Св. Иван Рилски”, св. ІІ, т. 51, 2008, стр. 149-151, ISSN: 1312-1820.</v>
      </c>
      <c r="F5354" s="10"/>
      <c r="G5354" s="10"/>
      <c r="H5354" s="10"/>
      <c r="I5354" s="10"/>
      <c r="J5354" s="10"/>
      <c r="K5354" s="10"/>
      <c r="L5354" s="10"/>
      <c r="M5354" s="10"/>
      <c r="N5354" s="10"/>
      <c r="O5354" s="10"/>
      <c r="P5354" s="10"/>
      <c r="Q5354" s="10"/>
      <c r="R5354" s="10"/>
      <c r="S5354" s="10"/>
      <c r="T5354" s="10"/>
      <c r="U5354" s="10"/>
      <c r="V5354" s="10"/>
      <c r="W5354" s="10"/>
      <c r="X5354" s="10"/>
      <c r="Y5354" s="10"/>
      <c r="Z5354" s="10"/>
    </row>
    <row r="5355" spans="1:26" ht="12.75">
      <c r="A5355" s="10" t="str">
        <f ca="1">IFERROR(__xludf.DUMMYFUNCTION("""COMPUTED_VALUE"""),"Мариана Трифонова Драганова")</f>
        <v>Мариана Трифонова Драганова</v>
      </c>
      <c r="B5355" s="10" t="str">
        <f ca="1">IFERROR(__xludf.DUMMYFUNCTION("""COMPUTED_VALUE"""),"Доклад от конференция")</f>
        <v>Доклад от конференция</v>
      </c>
      <c r="C5355" s="10" t="str">
        <f ca="1">IFERROR(__xludf.DUMMYFUNCTION("""COMPUTED_VALUE"""),"Едно приложение на информационните технологии в управлението на открити рудници")</f>
        <v>Едно приложение на информационните технологии в управлението на открити рудници</v>
      </c>
      <c r="D5355" s="10">
        <f ca="1">IFERROR(__xludf.DUMMYFUNCTION("""COMPUTED_VALUE"""),2006)</f>
        <v>2006</v>
      </c>
      <c r="E5355" s="10" t="str">
        <f ca="1">IFERROR(__xludf.DUMMYFUNCTION("""COMPUTED_VALUE"""),"Год. на МГУ, св. ІІІ, т. 49, 2006, стр. 185-188, ISSN: 1312-1820.")</f>
        <v>Год. на МГУ, св. ІІІ, т. 49, 2006, стр. 185-188, ISSN: 1312-1820.</v>
      </c>
      <c r="F5355" s="10"/>
      <c r="G5355" s="10" t="str">
        <f ca="1">IFERROR(__xludf.DUMMYFUNCTION("""COMPUTED_VALUE"""),"Искра Стефанова Щърбанова, Юлий Тодоров")</f>
        <v>Искра Стефанова Щърбанова, Юлий Тодоров</v>
      </c>
      <c r="H5355" s="10"/>
      <c r="I5355" s="10"/>
      <c r="J5355" s="10"/>
      <c r="K5355" s="10"/>
      <c r="L5355" s="10"/>
      <c r="M5355" s="10"/>
      <c r="N5355" s="10"/>
      <c r="O5355" s="10"/>
      <c r="P5355" s="10"/>
      <c r="Q5355" s="10"/>
      <c r="R5355" s="10"/>
      <c r="S5355" s="10"/>
      <c r="T5355" s="10"/>
      <c r="U5355" s="10"/>
      <c r="V5355" s="10"/>
      <c r="W5355" s="10"/>
      <c r="X5355" s="10"/>
      <c r="Y5355" s="10"/>
      <c r="Z5355" s="10"/>
    </row>
    <row r="5356" spans="1:26" ht="12.75">
      <c r="A5356" s="10" t="str">
        <f ca="1">IFERROR(__xludf.DUMMYFUNCTION("""COMPUTED_VALUE"""),"Мариана Трифонова Драганова")</f>
        <v>Мариана Трифонова Драганова</v>
      </c>
      <c r="B5356" s="10" t="str">
        <f ca="1">IFERROR(__xludf.DUMMYFUNCTION("""COMPUTED_VALUE"""),"Доклад от конференция")</f>
        <v>Доклад от конференция</v>
      </c>
      <c r="C5356" s="10" t="str">
        <f ca="1">IFERROR(__xludf.DUMMYFUNCTION("""COMPUTED_VALUE"""),"Модул „Конструктор” за автоматизирано изчертаване на конструктивна документация в AutoCAD")</f>
        <v>Модул „Конструктор” за автоматизирано изчертаване на конструктивна документация в AutoCAD</v>
      </c>
      <c r="D5356" s="10">
        <f ca="1">IFERROR(__xludf.DUMMYFUNCTION("""COMPUTED_VALUE"""),2006)</f>
        <v>2006</v>
      </c>
      <c r="E5356" s="10" t="str">
        <f ca="1">IFERROR(__xludf.DUMMYFUNCTION("""COMPUTED_VALUE"""),"Год. на МГУ, св. ІІІ , т. 49, 2006, стр. 189-192, ISSN: 1312-1820.")</f>
        <v>Год. на МГУ, св. ІІІ , т. 49, 2006, стр. 189-192, ISSN: 1312-1820.</v>
      </c>
      <c r="F5356" s="10"/>
      <c r="G5356" s="10"/>
      <c r="H5356" s="10"/>
      <c r="I5356" s="10"/>
      <c r="J5356" s="10"/>
      <c r="K5356" s="10"/>
      <c r="L5356" s="10"/>
      <c r="M5356" s="10"/>
      <c r="N5356" s="10"/>
      <c r="O5356" s="10"/>
      <c r="P5356" s="10"/>
      <c r="Q5356" s="10"/>
      <c r="R5356" s="10"/>
      <c r="S5356" s="10"/>
      <c r="T5356" s="10"/>
      <c r="U5356" s="10"/>
      <c r="V5356" s="10"/>
      <c r="W5356" s="10"/>
      <c r="X5356" s="10"/>
      <c r="Y5356" s="10"/>
      <c r="Z5356" s="10"/>
    </row>
    <row r="5357" spans="1:26" ht="12.75">
      <c r="A5357" s="10" t="str">
        <f ca="1">IFERROR(__xludf.DUMMYFUNCTION("""COMPUTED_VALUE"""),"Мариана Трифонова Драганова")</f>
        <v>Мариана Трифонова Драганова</v>
      </c>
      <c r="B5357" s="10" t="str">
        <f ca="1">IFERROR(__xludf.DUMMYFUNCTION("""COMPUTED_VALUE"""),"Доклад от конференция")</f>
        <v>Доклад от конференция</v>
      </c>
      <c r="C5357" s="10" t="str">
        <f ca="1">IFERROR(__xludf.DUMMYFUNCTION("""COMPUTED_VALUE"""),"Douglas Fir (Pseudopsuga menziesii (Mirb.) Franko) Plantations in Bulgaria")</f>
        <v>Douglas Fir (Pseudopsuga menziesii (Mirb.) Franko) Plantations in Bulgaria</v>
      </c>
      <c r="D5357" s="10">
        <f ca="1">IFERROR(__xludf.DUMMYFUNCTION("""COMPUTED_VALUE"""),2006)</f>
        <v>2006</v>
      </c>
      <c r="E5357" s="10" t="str">
        <f ca="1">IFERROR(__xludf.DUMMYFUNCTION("""COMPUTED_VALUE"""),"International Scientific conference “Sustainable use of forest ecosystems challenge of the 21st century”, 8-10th November 2006, Donji Milanovac, Serbia, 2006, pp. 130 – 135")</f>
        <v>International Scientific conference “Sustainable use of forest ecosystems challenge of the 21st century”, 8-10th November 2006, Donji Milanovac, Serbia, 2006, pp. 130 – 135</v>
      </c>
      <c r="F5357" s="10"/>
      <c r="G5357" s="10" t="str">
        <f ca="1">IFERROR(__xludf.DUMMYFUNCTION("""COMPUTED_VALUE"""),"Emil Popov, D. Pandeva, Veselin Christov")</f>
        <v>Emil Popov, D. Pandeva, Veselin Christov</v>
      </c>
      <c r="H5357" s="10"/>
      <c r="I5357" s="10"/>
      <c r="J5357" s="10"/>
      <c r="K5357" s="10"/>
      <c r="L5357" s="10"/>
      <c r="M5357" s="10"/>
      <c r="N5357" s="10"/>
      <c r="O5357" s="10"/>
      <c r="P5357" s="10"/>
      <c r="Q5357" s="10"/>
      <c r="R5357" s="10"/>
      <c r="S5357" s="10"/>
      <c r="T5357" s="10"/>
      <c r="U5357" s="10"/>
      <c r="V5357" s="10"/>
      <c r="W5357" s="10"/>
      <c r="X5357" s="10"/>
      <c r="Y5357" s="10"/>
      <c r="Z5357" s="10"/>
    </row>
    <row r="5358" spans="1:26" ht="12.75">
      <c r="A5358" s="10" t="str">
        <f ca="1">IFERROR(__xludf.DUMMYFUNCTION("""COMPUTED_VALUE"""),"Мариана Трифонова Драганова")</f>
        <v>Мариана Трифонова Драганова</v>
      </c>
      <c r="B5358" s="10" t="str">
        <f ca="1">IFERROR(__xludf.DUMMYFUNCTION("""COMPUTED_VALUE"""),"Доклад от конференция")</f>
        <v>Доклад от конференция</v>
      </c>
      <c r="C5358" s="10" t="str">
        <f ca="1">IFERROR(__xludf.DUMMYFUNCTION("""COMPUTED_VALUE"""),"Information System for Planning, management and reporting of open Cast Mines Production (Output)")</f>
        <v>Information System for Planning, management and reporting of open Cast Mines Production (Output)</v>
      </c>
      <c r="D5358" s="10">
        <f ca="1">IFERROR(__xludf.DUMMYFUNCTION("""COMPUTED_VALUE"""),2005)</f>
        <v>2005</v>
      </c>
      <c r="E5358" s="10" t="str">
        <f ca="1">IFERROR(__xludf.DUMMYFUNCTION("""COMPUTED_VALUE"""),"First International Conference on Information Systems &amp;Datagrid, Sofia, 2005, pp. 147-154, ISBN: 954-649-761-4.")</f>
        <v>First International Conference on Information Systems &amp;Datagrid, Sofia, 2005, pp. 147-154, ISBN: 954-649-761-4.</v>
      </c>
      <c r="F5358" s="10"/>
      <c r="G5358" s="10" t="str">
        <f ca="1">IFERROR(__xludf.DUMMYFUNCTION("""COMPUTED_VALUE"""),"Julii Iliev Todorov, Iskra Sturbanova")</f>
        <v>Julii Iliev Todorov, Iskra Sturbanova</v>
      </c>
      <c r="H5358" s="10"/>
      <c r="I5358" s="10"/>
      <c r="J5358" s="10"/>
      <c r="K5358" s="10"/>
      <c r="L5358" s="10"/>
      <c r="M5358" s="10"/>
      <c r="N5358" s="10"/>
      <c r="O5358" s="10"/>
      <c r="P5358" s="10"/>
      <c r="Q5358" s="10"/>
      <c r="R5358" s="10"/>
      <c r="S5358" s="10"/>
      <c r="T5358" s="10"/>
      <c r="U5358" s="10"/>
      <c r="V5358" s="10"/>
      <c r="W5358" s="10"/>
      <c r="X5358" s="10"/>
      <c r="Y5358" s="10"/>
      <c r="Z5358" s="10"/>
    </row>
    <row r="5359" spans="1:26" ht="12.75">
      <c r="A5359" s="10" t="str">
        <f ca="1">IFERROR(__xludf.DUMMYFUNCTION("""COMPUTED_VALUE"""),"Мариана Трифонова Драганова")</f>
        <v>Мариана Трифонова Драганова</v>
      </c>
      <c r="B5359" s="10" t="str">
        <f ca="1">IFERROR(__xludf.DUMMYFUNCTION("""COMPUTED_VALUE"""),"Доклад от конференция")</f>
        <v>Доклад от конференция</v>
      </c>
      <c r="C5359" s="10" t="str">
        <f ca="1">IFERROR(__xludf.DUMMYFUNCTION("""COMPUTED_VALUE"""),"Investigation of the of motion of mineral to be milled on the discs by means of mathematical models")</f>
        <v>Investigation of the of motion of mineral to be milled on the discs by means of mathematical models</v>
      </c>
      <c r="D5359" s="10">
        <f ca="1">IFERROR(__xludf.DUMMYFUNCTION("""COMPUTED_VALUE"""),2004)</f>
        <v>2004</v>
      </c>
      <c r="E5359" s="10" t="str">
        <f ca="1">IFERROR(__xludf.DUMMYFUNCTION("""COMPUTED_VALUE"""),"International conference Manufacturing and Management in 21st century, Македония, 2004, стр. 272-274")</f>
        <v>International conference Manufacturing and Management in 21st century, Македония, 2004, стр. 272-274</v>
      </c>
      <c r="F5359" s="10"/>
      <c r="G5359" s="10" t="str">
        <f ca="1">IFERROR(__xludf.DUMMYFUNCTION("""COMPUTED_VALUE"""),"Rayna Jordanova Vucheva,")</f>
        <v>Rayna Jordanova Vucheva,</v>
      </c>
      <c r="H5359" s="10"/>
      <c r="I5359" s="10"/>
      <c r="J5359" s="10"/>
      <c r="K5359" s="10"/>
      <c r="L5359" s="10"/>
      <c r="M5359" s="10"/>
      <c r="N5359" s="10"/>
      <c r="O5359" s="10"/>
      <c r="P5359" s="10"/>
      <c r="Q5359" s="10"/>
      <c r="R5359" s="10"/>
      <c r="S5359" s="10"/>
      <c r="T5359" s="10"/>
      <c r="U5359" s="10"/>
      <c r="V5359" s="10"/>
      <c r="W5359" s="10"/>
      <c r="X5359" s="10"/>
      <c r="Y5359" s="10"/>
      <c r="Z5359" s="10"/>
    </row>
    <row r="5360" spans="1:26" ht="12.75">
      <c r="A5360" s="10" t="str">
        <f ca="1">IFERROR(__xludf.DUMMYFUNCTION("""COMPUTED_VALUE"""),"Мариана Трифонова Драганова")</f>
        <v>Мариана Трифонова Драганова</v>
      </c>
      <c r="B5360" s="10" t="str">
        <f ca="1">IFERROR(__xludf.DUMMYFUNCTION("""COMPUTED_VALUE"""),"Доклад от конференция")</f>
        <v>Доклад от конференция</v>
      </c>
      <c r="C5360" s="10" t="str">
        <f ca="1">IFERROR(__xludf.DUMMYFUNCTION("""COMPUTED_VALUE"""),"New opportunities for processing investigation and design of cone-roll mills")</f>
        <v>New opportunities for processing investigation and design of cone-roll mills</v>
      </c>
      <c r="D5360" s="10">
        <f ca="1">IFERROR(__xludf.DUMMYFUNCTION("""COMPUTED_VALUE"""),2004)</f>
        <v>2004</v>
      </c>
      <c r="E5360" s="10" t="str">
        <f ca="1">IFERROR(__xludf.DUMMYFUNCTION("""COMPUTED_VALUE"""),"International conference Manufacturing and Management in 21st century, Македония, 2004, стр. 265-267")</f>
        <v>International conference Manufacturing and Management in 21st century, Македония, 2004, стр. 265-267</v>
      </c>
      <c r="F5360" s="10"/>
      <c r="G5360" s="10" t="str">
        <f ca="1">IFERROR(__xludf.DUMMYFUNCTION("""COMPUTED_VALUE"""),"Rayna Jordanova Vucheva, Lubomir Rashev")</f>
        <v>Rayna Jordanova Vucheva, Lubomir Rashev</v>
      </c>
      <c r="H5360" s="10"/>
      <c r="I5360" s="10"/>
      <c r="J5360" s="10"/>
      <c r="K5360" s="10"/>
      <c r="L5360" s="10"/>
      <c r="M5360" s="10"/>
      <c r="N5360" s="10"/>
      <c r="O5360" s="10"/>
      <c r="P5360" s="10"/>
      <c r="Q5360" s="10"/>
      <c r="R5360" s="10"/>
      <c r="S5360" s="10"/>
      <c r="T5360" s="10"/>
      <c r="U5360" s="10"/>
      <c r="V5360" s="10"/>
      <c r="W5360" s="10"/>
      <c r="X5360" s="10"/>
      <c r="Y5360" s="10"/>
      <c r="Z5360" s="10"/>
    </row>
    <row r="5361" spans="1:26" ht="12.75">
      <c r="A5361" s="10" t="str">
        <f ca="1">IFERROR(__xludf.DUMMYFUNCTION("""COMPUTED_VALUE"""),"Мариана Трифонова Драганова")</f>
        <v>Мариана Трифонова Драганова</v>
      </c>
      <c r="B5361" s="10" t="str">
        <f ca="1">IFERROR(__xludf.DUMMYFUNCTION("""COMPUTED_VALUE"""),"Доклад от конференция")</f>
        <v>Доклад от конференция</v>
      </c>
      <c r="C5361" s="10" t="str">
        <f ca="1">IFERROR(__xludf.DUMMYFUNCTION("""COMPUTED_VALUE"""),"Влияние на конструкционни неточности върху скален механизъм")</f>
        <v>Влияние на конструкционни неточности върху скален механизъм</v>
      </c>
      <c r="D5361" s="10">
        <f ca="1">IFERROR(__xludf.DUMMYFUNCTION("""COMPUTED_VALUE"""),2004)</f>
        <v>2004</v>
      </c>
      <c r="E5361" s="10" t="str">
        <f ca="1">IFERROR(__xludf.DUMMYFUNCTION("""COMPUTED_VALUE"""),"Механика на машините, книга 1, Варна, 2004, стр. 87-89, ISSN: 0861-9727")</f>
        <v>Механика на машините, книга 1, Варна, 2004, стр. 87-89, ISSN: 0861-9727</v>
      </c>
      <c r="F5361" s="10"/>
      <c r="G5361" s="10" t="str">
        <f ca="1">IFERROR(__xludf.DUMMYFUNCTION("""COMPUTED_VALUE"""),"Любомир Тодоров Кандов,")</f>
        <v>Любомир Тодоров Кандов,</v>
      </c>
      <c r="H5361" s="10"/>
      <c r="I5361" s="10"/>
      <c r="J5361" s="10"/>
      <c r="K5361" s="10"/>
      <c r="L5361" s="10"/>
      <c r="M5361" s="10"/>
      <c r="N5361" s="10"/>
      <c r="O5361" s="10"/>
      <c r="P5361" s="10"/>
      <c r="Q5361" s="10"/>
      <c r="R5361" s="10"/>
      <c r="S5361" s="10"/>
      <c r="T5361" s="10"/>
      <c r="U5361" s="10"/>
      <c r="V5361" s="10"/>
      <c r="W5361" s="10"/>
      <c r="X5361" s="10"/>
      <c r="Y5361" s="10"/>
      <c r="Z5361" s="10"/>
    </row>
    <row r="5362" spans="1:26" ht="12.75">
      <c r="A5362" s="10" t="str">
        <f ca="1">IFERROR(__xludf.DUMMYFUNCTION("""COMPUTED_VALUE"""),"Мариана Трифонова Драганова")</f>
        <v>Мариана Трифонова Драганова</v>
      </c>
      <c r="B5362" s="10" t="str">
        <f ca="1">IFERROR(__xludf.DUMMYFUNCTION("""COMPUTED_VALUE"""),"Доклад от конференция")</f>
        <v>Доклад от конференция</v>
      </c>
      <c r="C5362" s="10" t="str">
        <f ca="1">IFERROR(__xludf.DUMMYFUNCTION("""COMPUTED_VALUE"""),"Метод на N- функции, илюстриран върху коляномотовилков механизъм")</f>
        <v>Метод на N- функции, илюстриран върху коляномотовилков механизъм</v>
      </c>
      <c r="D5362" s="10">
        <f ca="1">IFERROR(__xludf.DUMMYFUNCTION("""COMPUTED_VALUE"""),2003)</f>
        <v>2003</v>
      </c>
      <c r="E5362" s="10" t="str">
        <f ca="1">IFERROR(__xludf.DUMMYFUNCTION("""COMPUTED_VALUE"""),"Механика на машините, книга 2, Варна, 2003, стр. 45-49, ISSN: 0861-9727.")</f>
        <v>Механика на машините, книга 2, Варна, 2003, стр. 45-49, ISSN: 0861-9727.</v>
      </c>
      <c r="F5362" s="10"/>
      <c r="G5362" s="10" t="str">
        <f ca="1">IFERROR(__xludf.DUMMYFUNCTION("""COMPUTED_VALUE"""),"Любомир Тодоров Кандов, Надежда Йончева")</f>
        <v>Любомир Тодоров Кандов, Надежда Йончева</v>
      </c>
      <c r="H5362" s="10"/>
      <c r="I5362" s="10"/>
      <c r="J5362" s="10"/>
      <c r="K5362" s="10"/>
      <c r="L5362" s="10"/>
      <c r="M5362" s="10"/>
      <c r="N5362" s="10"/>
      <c r="O5362" s="10"/>
      <c r="P5362" s="10"/>
      <c r="Q5362" s="10"/>
      <c r="R5362" s="10"/>
      <c r="S5362" s="10"/>
      <c r="T5362" s="10"/>
      <c r="U5362" s="10"/>
      <c r="V5362" s="10"/>
      <c r="W5362" s="10"/>
      <c r="X5362" s="10"/>
      <c r="Y5362" s="10"/>
      <c r="Z5362" s="10"/>
    </row>
    <row r="5363" spans="1:26" ht="12.75">
      <c r="A5363" s="10" t="str">
        <f ca="1">IFERROR(__xludf.DUMMYFUNCTION("""COMPUTED_VALUE"""),"Мариана Трифонова Драганова")</f>
        <v>Мариана Трифонова Драганова</v>
      </c>
      <c r="B5363" s="10" t="str">
        <f ca="1">IFERROR(__xludf.DUMMYFUNCTION("""COMPUTED_VALUE"""),"Доклад от конференция")</f>
        <v>Доклад от конференция</v>
      </c>
      <c r="C5363" s="10" t="str">
        <f ca="1">IFERROR(__xludf.DUMMYFUNCTION("""COMPUTED_VALUE"""),"Автоматизиране изчертаването на конструктивни елементи, използвани при инженерното проектиране на телекомуникационни съоръжения в среда на AutoCAD 2000")</f>
        <v>Автоматизиране изчертаването на конструктивни елементи, използвани при инженерното проектиране на телекомуникационни съоръжения в среда на AutoCAD 2000</v>
      </c>
      <c r="D5363" s="10">
        <f ca="1">IFERROR(__xludf.DUMMYFUNCTION("""COMPUTED_VALUE"""),2002)</f>
        <v>2002</v>
      </c>
      <c r="E5363" s="10" t="str">
        <f ca="1">IFERROR(__xludf.DUMMYFUNCTION("""COMPUTED_VALUE"""),"Национална конференция с международно участие ТЕЛЕКОМ 2002, Варна, 10-11.10.2002г., стр. 617-621.")</f>
        <v>Национална конференция с международно участие ТЕЛЕКОМ 2002, Варна, 10-11.10.2002г., стр. 617-621.</v>
      </c>
      <c r="F5363" s="10"/>
      <c r="G5363" s="10" t="str">
        <f ca="1">IFERROR(__xludf.DUMMYFUNCTION("""COMPUTED_VALUE"""),"Мария Гунева, Детелина Докузанова, М. Атанасов")</f>
        <v>Мария Гунева, Детелина Докузанова, М. Атанасов</v>
      </c>
      <c r="H5363" s="10"/>
      <c r="I5363" s="10"/>
      <c r="J5363" s="10"/>
      <c r="K5363" s="10"/>
      <c r="L5363" s="10"/>
      <c r="M5363" s="10"/>
      <c r="N5363" s="10"/>
      <c r="O5363" s="10"/>
      <c r="P5363" s="10"/>
      <c r="Q5363" s="10"/>
      <c r="R5363" s="10"/>
      <c r="S5363" s="10"/>
      <c r="T5363" s="10"/>
      <c r="U5363" s="10"/>
      <c r="V5363" s="10"/>
      <c r="W5363" s="10"/>
      <c r="X5363" s="10"/>
      <c r="Y5363" s="10"/>
      <c r="Z5363" s="10"/>
    </row>
    <row r="5364" spans="1:26" ht="12.75">
      <c r="A5364" s="10" t="str">
        <f ca="1">IFERROR(__xludf.DUMMYFUNCTION("""COMPUTED_VALUE"""),"Мариана Трифонова Драганова")</f>
        <v>Мариана Трифонова Драганова</v>
      </c>
      <c r="B5364" s="10" t="str">
        <f ca="1">IFERROR(__xludf.DUMMYFUNCTION("""COMPUTED_VALUE"""),"Доклад от конференция")</f>
        <v>Доклад от конференция</v>
      </c>
      <c r="C5364" s="10" t="str">
        <f ca="1">IFERROR(__xludf.DUMMYFUNCTION("""COMPUTED_VALUE"""),"Кинематично изследване на сложен логически механизъм")</f>
        <v>Кинематично изследване на сложен логически механизъм</v>
      </c>
      <c r="D5364" s="10">
        <f ca="1">IFERROR(__xludf.DUMMYFUNCTION("""COMPUTED_VALUE"""),2002)</f>
        <v>2002</v>
      </c>
      <c r="E5364" s="10" t="str">
        <f ca="1">IFERROR(__xludf.DUMMYFUNCTION("""COMPUTED_VALUE"""),"Механика на машините, книга 4, Варна, 2002, стр. 58-60, ISSN: 0861-9727.")</f>
        <v>Механика на машините, книга 4, Варна, 2002, стр. 58-60, ISSN: 0861-9727.</v>
      </c>
      <c r="F5364" s="10"/>
      <c r="G5364" s="10" t="str">
        <f ca="1">IFERROR(__xludf.DUMMYFUNCTION("""COMPUTED_VALUE"""),"Любомир Кандов")</f>
        <v>Любомир Кандов</v>
      </c>
      <c r="H5364" s="10"/>
      <c r="I5364" s="10"/>
      <c r="J5364" s="10"/>
      <c r="K5364" s="10"/>
      <c r="L5364" s="10"/>
      <c r="M5364" s="10"/>
      <c r="N5364" s="10"/>
      <c r="O5364" s="10"/>
      <c r="P5364" s="10"/>
      <c r="Q5364" s="10"/>
      <c r="R5364" s="10"/>
      <c r="S5364" s="10"/>
      <c r="T5364" s="10"/>
      <c r="U5364" s="10"/>
      <c r="V5364" s="10"/>
      <c r="W5364" s="10"/>
      <c r="X5364" s="10"/>
      <c r="Y5364" s="10"/>
      <c r="Z5364" s="10"/>
    </row>
    <row r="5365" spans="1:26" ht="12.75">
      <c r="A5365" s="10" t="str">
        <f ca="1">IFERROR(__xludf.DUMMYFUNCTION("""COMPUTED_VALUE"""),"Мариана Трифонова Драганова")</f>
        <v>Мариана Трифонова Драганова</v>
      </c>
      <c r="B5365" s="10" t="str">
        <f ca="1">IFERROR(__xludf.DUMMYFUNCTION("""COMPUTED_VALUE"""),"Доклад от конференция")</f>
        <v>Доклад от конференция</v>
      </c>
      <c r="C5365" s="10" t="str">
        <f ca="1">IFERROR(__xludf.DUMMYFUNCTION("""COMPUTED_VALUE"""),"Приложение на N-ъгълниковите функции при изследване на сложни механизми")</f>
        <v>Приложение на N-ъгълниковите функции при изследване на сложни механизми</v>
      </c>
      <c r="D5365" s="10">
        <f ca="1">IFERROR(__xludf.DUMMYFUNCTION("""COMPUTED_VALUE"""),2002)</f>
        <v>2002</v>
      </c>
      <c r="E5365" s="10" t="str">
        <f ca="1">IFERROR(__xludf.DUMMYFUNCTION("""COMPUTED_VALUE"""),"Механика на машините, книга 4, Варна, 2002, стр. 61-63, ISSN: 0861-9727")</f>
        <v>Механика на машините, книга 4, Варна, 2002, стр. 61-63, ISSN: 0861-9727</v>
      </c>
      <c r="F5365" s="10"/>
      <c r="G5365" s="10" t="str">
        <f ca="1">IFERROR(__xludf.DUMMYFUNCTION("""COMPUTED_VALUE"""),"Любомир Тодоров Кандов, Надежда Йончева")</f>
        <v>Любомир Тодоров Кандов, Надежда Йончева</v>
      </c>
      <c r="H5365" s="10"/>
      <c r="I5365" s="10"/>
      <c r="J5365" s="10"/>
      <c r="K5365" s="10"/>
      <c r="L5365" s="10"/>
      <c r="M5365" s="10"/>
      <c r="N5365" s="10"/>
      <c r="O5365" s="10"/>
      <c r="P5365" s="10"/>
      <c r="Q5365" s="10"/>
      <c r="R5365" s="10"/>
      <c r="S5365" s="10"/>
      <c r="T5365" s="10"/>
      <c r="U5365" s="10"/>
      <c r="V5365" s="10"/>
      <c r="W5365" s="10"/>
      <c r="X5365" s="10"/>
      <c r="Y5365" s="10"/>
      <c r="Z5365" s="10"/>
    </row>
    <row r="5366" spans="1:26" ht="12.75">
      <c r="A5366" s="10" t="str">
        <f ca="1">IFERROR(__xludf.DUMMYFUNCTION("""COMPUTED_VALUE"""),"Мариана Трифонова Драганова")</f>
        <v>Мариана Трифонова Драганова</v>
      </c>
      <c r="B5366" s="10" t="str">
        <f ca="1">IFERROR(__xludf.DUMMYFUNCTION("""COMPUTED_VALUE"""),"Доклад от конференция")</f>
        <v>Доклад от конференция</v>
      </c>
      <c r="C5366" s="10" t="str">
        <f ca="1">IFERROR(__xludf.DUMMYFUNCTION("""COMPUTED_VALUE"""),"Нови възможности за инвариантно представяне на уравненията на движение на лостови механизми")</f>
        <v>Нови възможности за инвариантно представяне на уравненията на движение на лостови механизми</v>
      </c>
      <c r="D5366" s="10">
        <f ca="1">IFERROR(__xludf.DUMMYFUNCTION("""COMPUTED_VALUE"""),2001)</f>
        <v>2001</v>
      </c>
      <c r="E5366" s="10" t="str">
        <f ca="1">IFERROR(__xludf.DUMMYFUNCTION("""COMPUTED_VALUE"""),"Механика на машините, книга 3, Варна, 2001, стр. 33-36, ISSN: 0861-9727")</f>
        <v>Механика на машините, книга 3, Варна, 2001, стр. 33-36, ISSN: 0861-9727</v>
      </c>
      <c r="F5366" s="10"/>
      <c r="G5366" s="10" t="str">
        <f ca="1">IFERROR(__xludf.DUMMYFUNCTION("""COMPUTED_VALUE"""),"Любомир Тодоров Кандов")</f>
        <v>Любомир Тодоров Кандов</v>
      </c>
      <c r="H5366" s="10"/>
      <c r="I5366" s="10"/>
      <c r="J5366" s="10"/>
      <c r="K5366" s="10"/>
      <c r="L5366" s="10"/>
      <c r="M5366" s="10"/>
      <c r="N5366" s="10"/>
      <c r="O5366" s="10"/>
      <c r="P5366" s="10"/>
      <c r="Q5366" s="10"/>
      <c r="R5366" s="10"/>
      <c r="S5366" s="10"/>
      <c r="T5366" s="10"/>
      <c r="U5366" s="10"/>
      <c r="V5366" s="10"/>
      <c r="W5366" s="10"/>
      <c r="X5366" s="10"/>
      <c r="Y5366" s="10"/>
      <c r="Z5366" s="10"/>
    </row>
    <row r="5367" spans="1:26" ht="12.75">
      <c r="A5367" s="10" t="str">
        <f ca="1">IFERROR(__xludf.DUMMYFUNCTION("""COMPUTED_VALUE"""),"Мариана Трифонова Драганова")</f>
        <v>Мариана Трифонова Драганова</v>
      </c>
      <c r="B5367" s="10" t="str">
        <f ca="1">IFERROR(__xludf.DUMMYFUNCTION("""COMPUTED_VALUE"""),"Доклад от конференция")</f>
        <v>Доклад от конференция</v>
      </c>
      <c r="C5367" s="10" t="str">
        <f ca="1">IFERROR(__xludf.DUMMYFUNCTION("""COMPUTED_VALUE"""),"Разширяване на функционалните възможности на AutoCAD 2000 за автоматизирано проектиране на кабелни трасета")</f>
        <v>Разширяване на функционалните възможности на AutoCAD 2000 за автоматизирано проектиране на кабелни трасета</v>
      </c>
      <c r="D5367" s="10">
        <f ca="1">IFERROR(__xludf.DUMMYFUNCTION("""COMPUTED_VALUE"""),2001)</f>
        <v>2001</v>
      </c>
      <c r="E5367" s="10" t="str">
        <f ca="1">IFERROR(__xludf.DUMMYFUNCTION("""COMPUTED_VALUE"""),"Национална конференция с международно участие ТЕЛЕКОМ 2001, Варна, 10-12.10.2001г., стр. 122-127")</f>
        <v>Национална конференция с международно участие ТЕЛЕКОМ 2001, Варна, 10-12.10.2001г., стр. 122-127</v>
      </c>
      <c r="F5367" s="10"/>
      <c r="G5367" s="10" t="str">
        <f ca="1">IFERROR(__xludf.DUMMYFUNCTION("""COMPUTED_VALUE"""),"Мария Гунева,")</f>
        <v>Мария Гунева,</v>
      </c>
      <c r="H5367" s="10"/>
      <c r="I5367" s="10"/>
      <c r="J5367" s="10"/>
      <c r="K5367" s="10"/>
      <c r="L5367" s="10"/>
      <c r="M5367" s="10"/>
      <c r="N5367" s="10"/>
      <c r="O5367" s="10"/>
      <c r="P5367" s="10"/>
      <c r="Q5367" s="10"/>
      <c r="R5367" s="10"/>
      <c r="S5367" s="10"/>
      <c r="T5367" s="10"/>
      <c r="U5367" s="10"/>
      <c r="V5367" s="10"/>
      <c r="W5367" s="10"/>
      <c r="X5367" s="10"/>
      <c r="Y5367" s="10"/>
      <c r="Z5367" s="10"/>
    </row>
    <row r="5368" spans="1:26" ht="12.75">
      <c r="A5368" s="10" t="str">
        <f ca="1">IFERROR(__xludf.DUMMYFUNCTION("""COMPUTED_VALUE"""),"Мариана Трифонова Драганова")</f>
        <v>Мариана Трифонова Драганова</v>
      </c>
      <c r="B5368" s="10" t="str">
        <f ca="1">IFERROR(__xludf.DUMMYFUNCTION("""COMPUTED_VALUE"""),"Доклад от конференция")</f>
        <v>Доклад от конференция</v>
      </c>
      <c r="C5368" s="10" t="str">
        <f ca="1">IFERROR(__xludf.DUMMYFUNCTION("""COMPUTED_VALUE"""),"Устойчивостта на откосите на бордовете на рудник “Връшник” – Република Македония")</f>
        <v>Устойчивостта на откосите на бордовете на рудник “Връшник” – Република Македония</v>
      </c>
      <c r="D5368" s="10">
        <f ca="1">IFERROR(__xludf.DUMMYFUNCTION("""COMPUTED_VALUE"""),2000)</f>
        <v>2000</v>
      </c>
      <c r="E5368" s="10" t="str">
        <f ca="1">IFERROR(__xludf.DUMMYFUNCTION("""COMPUTED_VALUE"""),"Сборник трудове на VІІ национална маркшайдерска конференция с международно участие, Златни пясъци, 19-25.VІ.2000г., стр. 145-152.")</f>
        <v>Сборник трудове на VІІ национална маркшайдерска конференция с международно участие, Златни пясъци, 19-25.VІ.2000г., стр. 145-152.</v>
      </c>
      <c r="F5368" s="10"/>
      <c r="G5368" s="10" t="str">
        <f ca="1">IFERROR(__xludf.DUMMYFUNCTION("""COMPUTED_VALUE"""),"Стоян Христов, Н. Туджаров, Г. Митевски")</f>
        <v>Стоян Христов, Н. Туджаров, Г. Митевски</v>
      </c>
      <c r="H5368" s="10"/>
      <c r="I5368" s="10"/>
      <c r="J5368" s="10"/>
      <c r="K5368" s="10"/>
      <c r="L5368" s="10"/>
      <c r="M5368" s="10"/>
      <c r="N5368" s="10"/>
      <c r="O5368" s="10"/>
      <c r="P5368" s="10"/>
      <c r="Q5368" s="10"/>
      <c r="R5368" s="10"/>
      <c r="S5368" s="10"/>
      <c r="T5368" s="10"/>
      <c r="U5368" s="10"/>
      <c r="V5368" s="10"/>
      <c r="W5368" s="10"/>
      <c r="X5368" s="10"/>
      <c r="Y5368" s="10"/>
      <c r="Z5368" s="10"/>
    </row>
    <row r="5369" spans="1:26" ht="12.75">
      <c r="A5369" s="10" t="str">
        <f ca="1">IFERROR(__xludf.DUMMYFUNCTION("""COMPUTED_VALUE"""),"Мариана Трифонова Драганова")</f>
        <v>Мариана Трифонова Драганова</v>
      </c>
      <c r="B5369" s="10" t="str">
        <f ca="1">IFERROR(__xludf.DUMMYFUNCTION("""COMPUTED_VALUE"""),"Статия в списания и поредици")</f>
        <v>Статия в списания и поредици</v>
      </c>
      <c r="C5369" s="10" t="str">
        <f ca="1">IFERROR(__xludf.DUMMYFUNCTION("""COMPUTED_VALUE"""),"Възможности за изземване на откривката и рудата в района на отводнителната галерия на р-к “Кремиковци”")</f>
        <v>Възможности за изземване на откривката и рудата в района на отводнителната галерия на р-к “Кремиковци”</v>
      </c>
      <c r="D5369" s="10">
        <f ca="1">IFERROR(__xludf.DUMMYFUNCTION("""COMPUTED_VALUE"""),2000)</f>
        <v>2000</v>
      </c>
      <c r="E5369" s="10" t="str">
        <f ca="1">IFERROR(__xludf.DUMMYFUNCTION("""COMPUTED_VALUE"""),"Геология и минерални ресурси, № 10, 2000г.")</f>
        <v>Геология и минерални ресурси, № 10, 2000г.</v>
      </c>
      <c r="F5369" s="10"/>
      <c r="G5369" s="10" t="str">
        <f ca="1">IFERROR(__xludf.DUMMYFUNCTION("""COMPUTED_VALUE"""),"Стоян Христов, Георги Койчев, Явор Евтимов, М. Бенов, Ст. Сапунджиев")</f>
        <v>Стоян Христов, Георги Койчев, Явор Евтимов, М. Бенов, Ст. Сапунджиев</v>
      </c>
      <c r="H5369" s="10"/>
      <c r="I5369" s="10"/>
      <c r="J5369" s="10"/>
      <c r="K5369" s="10"/>
      <c r="L5369" s="10"/>
      <c r="M5369" s="10"/>
      <c r="N5369" s="10"/>
      <c r="O5369" s="10"/>
      <c r="P5369" s="10"/>
      <c r="Q5369" s="10"/>
      <c r="R5369" s="10"/>
      <c r="S5369" s="10"/>
      <c r="T5369" s="10"/>
      <c r="U5369" s="10"/>
      <c r="V5369" s="10"/>
      <c r="W5369" s="10"/>
      <c r="X5369" s="10"/>
      <c r="Y5369" s="10"/>
      <c r="Z5369" s="10"/>
    </row>
    <row r="5370" spans="1:26" ht="12.75">
      <c r="A5370" s="10" t="str">
        <f ca="1">IFERROR(__xludf.DUMMYFUNCTION("""COMPUTED_VALUE"""),"Мариана Трифонова Драганова")</f>
        <v>Мариана Трифонова Драганова</v>
      </c>
      <c r="B5370" s="10" t="str">
        <f ca="1">IFERROR(__xludf.DUMMYFUNCTION("""COMPUTED_VALUE"""),"Доклад от конференция")</f>
        <v>Доклад от конференция</v>
      </c>
      <c r="C5370" s="10" t="str">
        <f ca="1">IFERROR(__xludf.DUMMYFUNCTION("""COMPUTED_VALUE"""),"Осигуряване устойчивостта на борда при изземване на рудата в откривката на североизточната част на рудник “Кремиковци”")</f>
        <v>Осигуряване устойчивостта на борда при изземване на рудата в откривката на североизточната част на рудник “Кремиковци”</v>
      </c>
      <c r="D5370" s="10">
        <f ca="1">IFERROR(__xludf.DUMMYFUNCTION("""COMPUTED_VALUE"""),2000)</f>
        <v>2000</v>
      </c>
      <c r="E5370" s="10" t="str">
        <f ca="1">IFERROR(__xludf.DUMMYFUNCTION("""COMPUTED_VALUE"""),"VІІ национална маркшайдерска конференция с международно участие, Златни пясъци, 19-25.VІ.2000г., стр. 137-144")</f>
        <v>VІІ национална маркшайдерска конференция с международно участие, Златни пясъци, 19-25.VІ.2000г., стр. 137-144</v>
      </c>
      <c r="F5370" s="10"/>
      <c r="G5370" s="10" t="str">
        <f ca="1">IFERROR(__xludf.DUMMYFUNCTION("""COMPUTED_VALUE"""),"Стоян Христов, Явор Евтимов, Георги Койчев, Цветомир Фильов")</f>
        <v>Стоян Христов, Явор Евтимов, Георги Койчев, Цветомир Фильов</v>
      </c>
      <c r="H5370" s="10"/>
      <c r="I5370" s="10"/>
      <c r="J5370" s="10"/>
      <c r="K5370" s="10"/>
      <c r="L5370" s="10"/>
      <c r="M5370" s="10"/>
      <c r="N5370" s="10"/>
      <c r="O5370" s="10"/>
      <c r="P5370" s="10"/>
      <c r="Q5370" s="10"/>
      <c r="R5370" s="10"/>
      <c r="S5370" s="10"/>
      <c r="T5370" s="10"/>
      <c r="U5370" s="10"/>
      <c r="V5370" s="10"/>
      <c r="W5370" s="10"/>
      <c r="X5370" s="10"/>
      <c r="Y5370" s="10"/>
      <c r="Z5370" s="10"/>
    </row>
    <row r="5371" spans="1:26" ht="12.75">
      <c r="A5371" s="10" t="str">
        <f ca="1">IFERROR(__xludf.DUMMYFUNCTION("""COMPUTED_VALUE"""),"Мариана Трифонова Драганова")</f>
        <v>Мариана Трифонова Драганова</v>
      </c>
      <c r="B5371" s="10" t="str">
        <f ca="1">IFERROR(__xludf.DUMMYFUNCTION("""COMPUTED_VALUE"""),"Доклад от конференция")</f>
        <v>Доклад от конференция</v>
      </c>
      <c r="C5371" s="10" t="str">
        <f ca="1">IFERROR(__xludf.DUMMYFUNCTION("""COMPUTED_VALUE"""),"Изчисляване устойчивостта на северния борд на рудник “Кремиковци” със запазване на отговорни съоръжения")</f>
        <v>Изчисляване устойчивостта на северния борд на рудник “Кремиковци” със запазване на отговорни съоръжения</v>
      </c>
      <c r="D5371" s="10">
        <f ca="1">IFERROR(__xludf.DUMMYFUNCTION("""COMPUTED_VALUE"""),1999)</f>
        <v>1999</v>
      </c>
      <c r="E5371" s="10" t="str">
        <f ca="1">IFERROR(__xludf.DUMMYFUNCTION("""COMPUTED_VALUE"""),"VІ национална маркшайдерска конференция, Несебър, 21-24.VІ.1999, стр. 115-122")</f>
        <v>VІ национална маркшайдерска конференция, Несебър, 21-24.VІ.1999, стр. 115-122</v>
      </c>
      <c r="F5371" s="10"/>
      <c r="G5371" s="10" t="str">
        <f ca="1">IFERROR(__xludf.DUMMYFUNCTION("""COMPUTED_VALUE"""),"Стоян Христов, Георги Койчев")</f>
        <v>Стоян Христов, Георги Койчев</v>
      </c>
      <c r="H5371" s="10"/>
      <c r="I5371" s="10"/>
      <c r="J5371" s="10"/>
      <c r="K5371" s="10"/>
      <c r="L5371" s="10"/>
      <c r="M5371" s="10"/>
      <c r="N5371" s="10"/>
      <c r="O5371" s="10"/>
      <c r="P5371" s="10"/>
      <c r="Q5371" s="10"/>
      <c r="R5371" s="10"/>
      <c r="S5371" s="10"/>
      <c r="T5371" s="10"/>
      <c r="U5371" s="10"/>
      <c r="V5371" s="10"/>
      <c r="W5371" s="10"/>
      <c r="X5371" s="10"/>
      <c r="Y5371" s="10"/>
      <c r="Z5371" s="10"/>
    </row>
    <row r="5372" spans="1:26" ht="12.75">
      <c r="A5372" s="10" t="str">
        <f ca="1">IFERROR(__xludf.DUMMYFUNCTION("""COMPUTED_VALUE"""),"Мариана Трифонова Драганова")</f>
        <v>Мариана Трифонова Драганова</v>
      </c>
      <c r="B5372" s="10" t="str">
        <f ca="1">IFERROR(__xludf.DUMMYFUNCTION("""COMPUTED_VALUE"""),"Доклад от конференция")</f>
        <v>Доклад от конференция</v>
      </c>
      <c r="C5372" s="10" t="str">
        <f ca="1">IFERROR(__xludf.DUMMYFUNCTION("""COMPUTED_VALUE"""),"Усъвършенстван метод за кинематично изследване на блокова система, произлизаща от скален масив")</f>
        <v>Усъвършенстван метод за кинематично изследване на блокова система, произлизаща от скален масив</v>
      </c>
      <c r="D5372" s="10">
        <f ca="1">IFERROR(__xludf.DUMMYFUNCTION("""COMPUTED_VALUE"""),1999)</f>
        <v>1999</v>
      </c>
      <c r="E5372" s="10" t="str">
        <f ca="1">IFERROR(__xludf.DUMMYFUNCTION("""COMPUTED_VALUE"""),"Механика на машините, книга 4, Варна, 1999, стр. 103-106, ISSN: 0861-9727")</f>
        <v>Механика на машините, книга 4, Варна, 1999, стр. 103-106, ISSN: 0861-9727</v>
      </c>
      <c r="F5372" s="10"/>
      <c r="G5372" s="10" t="str">
        <f ca="1">IFERROR(__xludf.DUMMYFUNCTION("""COMPUTED_VALUE"""),"Любомир Тодоров Кандов, Надежда Йончева")</f>
        <v>Любомир Тодоров Кандов, Надежда Йончева</v>
      </c>
      <c r="H5372" s="10"/>
      <c r="I5372" s="10"/>
      <c r="J5372" s="10"/>
      <c r="K5372" s="10"/>
      <c r="L5372" s="10"/>
      <c r="M5372" s="10"/>
      <c r="N5372" s="10"/>
      <c r="O5372" s="10"/>
      <c r="P5372" s="10"/>
      <c r="Q5372" s="10"/>
      <c r="R5372" s="10"/>
      <c r="S5372" s="10"/>
      <c r="T5372" s="10"/>
      <c r="U5372" s="10"/>
      <c r="V5372" s="10"/>
      <c r="W5372" s="10"/>
      <c r="X5372" s="10"/>
      <c r="Y5372" s="10"/>
      <c r="Z5372" s="10"/>
    </row>
    <row r="5373" spans="1:26" ht="12.75">
      <c r="A5373" s="10" t="str">
        <f ca="1">IFERROR(__xludf.DUMMYFUNCTION("""COMPUTED_VALUE"""),"Мариана Трифонова Драганова")</f>
        <v>Мариана Трифонова Драганова</v>
      </c>
      <c r="B5373" s="10" t="str">
        <f ca="1">IFERROR(__xludf.DUMMYFUNCTION("""COMPUTED_VALUE"""),"Доклад от конференция")</f>
        <v>Доклад от конференция</v>
      </c>
      <c r="C5373" s="10" t="str">
        <f ca="1">IFERROR(__xludf.DUMMYFUNCTION("""COMPUTED_VALUE"""),"Синтез на равнинен механизъм по зададена структура и кинематични величини")</f>
        <v>Синтез на равнинен механизъм по зададена структура и кинематични величини</v>
      </c>
      <c r="D5373" s="10">
        <f ca="1">IFERROR(__xludf.DUMMYFUNCTION("""COMPUTED_VALUE"""),1999)</f>
        <v>1999</v>
      </c>
      <c r="E5373" s="10" t="str">
        <f ca="1">IFERROR(__xludf.DUMMYFUNCTION("""COMPUTED_VALUE"""),"Механика на машините, книга 4, Варна, 1999, стр. 102-103, ISSN: 0861-9727.")</f>
        <v>Механика на машините, книга 4, Варна, 1999, стр. 102-103, ISSN: 0861-9727.</v>
      </c>
      <c r="F5373" s="10"/>
      <c r="G5373" s="10" t="str">
        <f ca="1">IFERROR(__xludf.DUMMYFUNCTION("""COMPUTED_VALUE"""),"Любомир Тодоров Кандов")</f>
        <v>Любомир Тодоров Кандов</v>
      </c>
      <c r="H5373" s="10"/>
      <c r="I5373" s="10"/>
      <c r="J5373" s="10"/>
      <c r="K5373" s="10"/>
      <c r="L5373" s="10"/>
      <c r="M5373" s="10"/>
      <c r="N5373" s="10"/>
      <c r="O5373" s="10"/>
      <c r="P5373" s="10"/>
      <c r="Q5373" s="10"/>
      <c r="R5373" s="10"/>
      <c r="S5373" s="10"/>
      <c r="T5373" s="10"/>
      <c r="U5373" s="10"/>
      <c r="V5373" s="10"/>
      <c r="W5373" s="10"/>
      <c r="X5373" s="10"/>
      <c r="Y5373" s="10"/>
      <c r="Z5373" s="10"/>
    </row>
    <row r="5374" spans="1:26" ht="12.75">
      <c r="A5374" s="10" t="str">
        <f ca="1">IFERROR(__xludf.DUMMYFUNCTION("""COMPUTED_VALUE"""),"Мариана Трифонова Драганова")</f>
        <v>Мариана Трифонова Драганова</v>
      </c>
      <c r="B5374" s="10" t="str">
        <f ca="1">IFERROR(__xludf.DUMMYFUNCTION("""COMPUTED_VALUE"""),"Доклад от конференция")</f>
        <v>Доклад от конференция</v>
      </c>
      <c r="C5374" s="10" t="str">
        <f ca="1">IFERROR(__xludf.DUMMYFUNCTION("""COMPUTED_VALUE"""),"Върху динамиката на сложни логически механизми")</f>
        <v>Върху динамиката на сложни логически механизми</v>
      </c>
      <c r="D5374" s="10">
        <f ca="1">IFERROR(__xludf.DUMMYFUNCTION("""COMPUTED_VALUE"""),1999)</f>
        <v>1999</v>
      </c>
      <c r="E5374" s="10" t="str">
        <f ca="1">IFERROR(__xludf.DUMMYFUNCTION("""COMPUTED_VALUE"""),"Механика на машините, книга 4, Варна, 1999, стр. 110-113, ISSN: 0861-9727")</f>
        <v>Механика на машините, книга 4, Варна, 1999, стр. 110-113, ISSN: 0861-9727</v>
      </c>
      <c r="F5374" s="10"/>
      <c r="G5374" s="10" t="str">
        <f ca="1">IFERROR(__xludf.DUMMYFUNCTION("""COMPUTED_VALUE"""),"Иван Сарафов")</f>
        <v>Иван Сарафов</v>
      </c>
      <c r="H5374" s="10"/>
      <c r="I5374" s="10"/>
      <c r="J5374" s="10"/>
      <c r="K5374" s="10"/>
      <c r="L5374" s="10"/>
      <c r="M5374" s="10"/>
      <c r="N5374" s="10"/>
      <c r="O5374" s="10"/>
      <c r="P5374" s="10"/>
      <c r="Q5374" s="10"/>
      <c r="R5374" s="10"/>
      <c r="S5374" s="10"/>
      <c r="T5374" s="10"/>
      <c r="U5374" s="10"/>
      <c r="V5374" s="10"/>
      <c r="W5374" s="10"/>
      <c r="X5374" s="10"/>
      <c r="Y5374" s="10"/>
      <c r="Z5374" s="10"/>
    </row>
    <row r="5375" spans="1:26" ht="12.75">
      <c r="A5375" s="10" t="str">
        <f ca="1">IFERROR(__xludf.DUMMYFUNCTION("""COMPUTED_VALUE"""),"Мариана Трифонова Драганова")</f>
        <v>Мариана Трифонова Драганова</v>
      </c>
      <c r="B5375" s="10" t="str">
        <f ca="1">IFERROR(__xludf.DUMMYFUNCTION("""COMPUTED_VALUE"""),"Доклад от конференция")</f>
        <v>Доклад от конференция</v>
      </c>
      <c r="C5375" s="10" t="str">
        <f ca="1">IFERROR(__xludf.DUMMYFUNCTION("""COMPUTED_VALUE"""),"Аналитичен метод, приложим при геометрически нелинейни задачи на механиката")</f>
        <v>Аналитичен метод, приложим при геометрически нелинейни задачи на механиката</v>
      </c>
      <c r="D5375" s="10">
        <f ca="1">IFERROR(__xludf.DUMMYFUNCTION("""COMPUTED_VALUE"""),1999)</f>
        <v>1999</v>
      </c>
      <c r="E5375" s="10" t="str">
        <f ca="1">IFERROR(__xludf.DUMMYFUNCTION("""COMPUTED_VALUE"""),"Год. на МГУ, св. ІІ, т. XLII, 1999, стр. 69-73, ISSN: 0387-5467")</f>
        <v>Год. на МГУ, св. ІІ, т. XLII, 1999, стр. 69-73, ISSN: 0387-5467</v>
      </c>
      <c r="F5375" s="10"/>
      <c r="G5375" s="10" t="str">
        <f ca="1">IFERROR(__xludf.DUMMYFUNCTION("""COMPUTED_VALUE"""),"Любомир Тодоров Кандов, Надежда Йончева,")</f>
        <v>Любомир Тодоров Кандов, Надежда Йончева,</v>
      </c>
      <c r="H5375" s="10"/>
      <c r="I5375" s="10"/>
      <c r="J5375" s="10"/>
      <c r="K5375" s="10"/>
      <c r="L5375" s="10"/>
      <c r="M5375" s="10"/>
      <c r="N5375" s="10"/>
      <c r="O5375" s="10"/>
      <c r="P5375" s="10"/>
      <c r="Q5375" s="10"/>
      <c r="R5375" s="10"/>
      <c r="S5375" s="10"/>
      <c r="T5375" s="10"/>
      <c r="U5375" s="10"/>
      <c r="V5375" s="10"/>
      <c r="W5375" s="10"/>
      <c r="X5375" s="10"/>
      <c r="Y5375" s="10"/>
      <c r="Z5375" s="10"/>
    </row>
    <row r="5376" spans="1:26" ht="12.75">
      <c r="A5376" s="10" t="str">
        <f ca="1">IFERROR(__xludf.DUMMYFUNCTION("""COMPUTED_VALUE"""),"Мариана Трифонова Драганова")</f>
        <v>Мариана Трифонова Драганова</v>
      </c>
      <c r="B5376" s="10" t="str">
        <f ca="1">IFERROR(__xludf.DUMMYFUNCTION("""COMPUTED_VALUE"""),"Доклад от конференция")</f>
        <v>Доклад от конференция</v>
      </c>
      <c r="C5376" s="10" t="str">
        <f ca="1">IFERROR(__xludf.DUMMYFUNCTION("""COMPUTED_VALUE"""),"Проблеми на кластомеханиката при проектиране и изследване устойчивост на бортове и скатове")</f>
        <v>Проблеми на кластомеханиката при проектиране и изследване устойчивост на бортове и скатове</v>
      </c>
      <c r="D5376" s="10">
        <f ca="1">IFERROR(__xludf.DUMMYFUNCTION("""COMPUTED_VALUE"""),1998)</f>
        <v>1998</v>
      </c>
      <c r="E5376" s="10" t="str">
        <f ca="1">IFERROR(__xludf.DUMMYFUNCTION("""COMPUTED_VALUE"""),"V Национална конференция с международно участие по открит добив на полезни изкопаеми, 02-06.06.1998, т. 1, Варна, стр. 117-124")</f>
        <v>V Национална конференция с международно участие по открит добив на полезни изкопаеми, 02-06.06.1998, т. 1, Варна, стр. 117-124</v>
      </c>
      <c r="F5376" s="10"/>
      <c r="G5376" s="10" t="str">
        <f ca="1">IFERROR(__xludf.DUMMYFUNCTION("""COMPUTED_VALUE"""),"Любомир Тодоров Кандов, Надежда Йончева")</f>
        <v>Любомир Тодоров Кандов, Надежда Йончева</v>
      </c>
      <c r="H5376" s="10"/>
      <c r="I5376" s="10"/>
      <c r="J5376" s="10"/>
      <c r="K5376" s="10"/>
      <c r="L5376" s="10"/>
      <c r="M5376" s="10"/>
      <c r="N5376" s="10"/>
      <c r="O5376" s="10"/>
      <c r="P5376" s="10"/>
      <c r="Q5376" s="10"/>
      <c r="R5376" s="10"/>
      <c r="S5376" s="10"/>
      <c r="T5376" s="10"/>
      <c r="U5376" s="10"/>
      <c r="V5376" s="10"/>
      <c r="W5376" s="10"/>
      <c r="X5376" s="10"/>
      <c r="Y5376" s="10"/>
      <c r="Z5376" s="10"/>
    </row>
    <row r="5377" spans="1:26" ht="12.75">
      <c r="A5377" s="10" t="str">
        <f ca="1">IFERROR(__xludf.DUMMYFUNCTION("""COMPUTED_VALUE"""),"Мариана Трифонова Драганова")</f>
        <v>Мариана Трифонова Драганова</v>
      </c>
      <c r="B5377" s="10" t="str">
        <f ca="1">IFERROR(__xludf.DUMMYFUNCTION("""COMPUTED_VALUE"""),"Доклад от конференция")</f>
        <v>Доклад от конференция</v>
      </c>
      <c r="C5377" s="10" t="str">
        <f ca="1">IFERROR(__xludf.DUMMYFUNCTION("""COMPUTED_VALUE"""),"Върху синтеза на лостов механизъм чрез използване n-ъгълникови функции")</f>
        <v>Върху синтеза на лостов механизъм чрез използване n-ъгълникови функции</v>
      </c>
      <c r="D5377" s="10">
        <f ca="1">IFERROR(__xludf.DUMMYFUNCTION("""COMPUTED_VALUE"""),1998)</f>
        <v>1998</v>
      </c>
      <c r="E5377" s="10" t="str">
        <f ca="1">IFERROR(__xludf.DUMMYFUNCTION("""COMPUTED_VALUE"""),"Механика на машините, книга 3, Варна, 1998, стр. 32-35, ISSN: 0861-9727")</f>
        <v>Механика на машините, книга 3, Варна, 1998, стр. 32-35, ISSN: 0861-9727</v>
      </c>
      <c r="F5377" s="10"/>
      <c r="G5377" s="10" t="str">
        <f ca="1">IFERROR(__xludf.DUMMYFUNCTION("""COMPUTED_VALUE"""),"Любомир Тодоров Кандов, Надежда Йончева")</f>
        <v>Любомир Тодоров Кандов, Надежда Йончева</v>
      </c>
      <c r="H5377" s="10"/>
      <c r="I5377" s="10"/>
      <c r="J5377" s="10"/>
      <c r="K5377" s="10"/>
      <c r="L5377" s="10"/>
      <c r="M5377" s="10"/>
      <c r="N5377" s="10"/>
      <c r="O5377" s="10"/>
      <c r="P5377" s="10"/>
      <c r="Q5377" s="10"/>
      <c r="R5377" s="10"/>
      <c r="S5377" s="10"/>
      <c r="T5377" s="10"/>
      <c r="U5377" s="10"/>
      <c r="V5377" s="10"/>
      <c r="W5377" s="10"/>
      <c r="X5377" s="10"/>
      <c r="Y5377" s="10"/>
      <c r="Z5377" s="10"/>
    </row>
    <row r="5378" spans="1:26" ht="12.75">
      <c r="A5378" s="10" t="str">
        <f ca="1">IFERROR(__xludf.DUMMYFUNCTION("""COMPUTED_VALUE"""),"Мариана Трифонова Драганова")</f>
        <v>Мариана Трифонова Драганова</v>
      </c>
      <c r="B5378" s="10" t="str">
        <f ca="1">IFERROR(__xludf.DUMMYFUNCTION("""COMPUTED_VALUE"""),"Доклад от конференция")</f>
        <v>Доклад от конференция</v>
      </c>
      <c r="C5378" s="10" t="str">
        <f ca="1">IFERROR(__xludf.DUMMYFUNCTION("""COMPUTED_VALUE"""),"Върху анализа на лостови механизми с определяне на висши ускорения")</f>
        <v>Върху анализа на лостови механизми с определяне на висши ускорения</v>
      </c>
      <c r="D5378" s="10">
        <f ca="1">IFERROR(__xludf.DUMMYFUNCTION("""COMPUTED_VALUE"""),1998)</f>
        <v>1998</v>
      </c>
      <c r="E5378" s="10" t="str">
        <f ca="1">IFERROR(__xludf.DUMMYFUNCTION("""COMPUTED_VALUE"""),"Механика на машините, книга 3, Варна, 1998, стр. 3-6, ISSN: 0861-9727")</f>
        <v>Механика на машините, книга 3, Варна, 1998, стр. 3-6, ISSN: 0861-9727</v>
      </c>
      <c r="F5378" s="10"/>
      <c r="G5378" s="10"/>
      <c r="H5378" s="10"/>
      <c r="I5378" s="10"/>
      <c r="J5378" s="10"/>
      <c r="K5378" s="10"/>
      <c r="L5378" s="10"/>
      <c r="M5378" s="10"/>
      <c r="N5378" s="10"/>
      <c r="O5378" s="10"/>
      <c r="P5378" s="10"/>
      <c r="Q5378" s="10"/>
      <c r="R5378" s="10"/>
      <c r="S5378" s="10"/>
      <c r="T5378" s="10"/>
      <c r="U5378" s="10"/>
      <c r="V5378" s="10"/>
      <c r="W5378" s="10"/>
      <c r="X5378" s="10"/>
      <c r="Y5378" s="10"/>
      <c r="Z5378" s="10"/>
    </row>
    <row r="5379" spans="1:26" ht="12.75">
      <c r="A5379" s="10" t="str">
        <f ca="1">IFERROR(__xludf.DUMMYFUNCTION("""COMPUTED_VALUE"""),"Мариана Трифонова Драганова")</f>
        <v>Мариана Трифонова Драганова</v>
      </c>
      <c r="B5379" s="10" t="str">
        <f ca="1">IFERROR(__xludf.DUMMYFUNCTION("""COMPUTED_VALUE"""),"Доклад от конференция")</f>
        <v>Доклад от конференция</v>
      </c>
      <c r="C5379" s="10" t="str">
        <f ca="1">IFERROR(__xludf.DUMMYFUNCTION("""COMPUTED_VALUE"""),"GTMData – български софтуер за планиране, управление и отчитане на добива, използван в р-к “Елаците” и “Асарел-Медет” АД")</f>
        <v>GTMData – български софтуер за планиране, управление и отчитане на добива, използван в р-к “Елаците” и “Асарел-Медет” АД</v>
      </c>
      <c r="D5379" s="10">
        <f ca="1">IFERROR(__xludf.DUMMYFUNCTION("""COMPUTED_VALUE"""),1998)</f>
        <v>1998</v>
      </c>
      <c r="E5379" s="10" t="str">
        <f ca="1">IFERROR(__xludf.DUMMYFUNCTION("""COMPUTED_VALUE"""),"V Национална конференция с международно участие по открит добив на полезни изкопаеми, 02-06.06.1998, т. 2, Варна, стр. 137-143")</f>
        <v>V Национална конференция с международно участие по открит добив на полезни изкопаеми, 02-06.06.1998, т. 2, Варна, стр. 137-143</v>
      </c>
      <c r="F5379" s="10"/>
      <c r="G5379" s="10" t="str">
        <f ca="1">IFERROR(__xludf.DUMMYFUNCTION("""COMPUTED_VALUE"""),"Юлий Илиев Тодоров, Искра Стефанова Щърбанова")</f>
        <v>Юлий Илиев Тодоров, Искра Стефанова Щърбанова</v>
      </c>
      <c r="H5379" s="10"/>
      <c r="I5379" s="10"/>
      <c r="J5379" s="10"/>
      <c r="K5379" s="10"/>
      <c r="L5379" s="10"/>
      <c r="M5379" s="10"/>
      <c r="N5379" s="10"/>
      <c r="O5379" s="10"/>
      <c r="P5379" s="10"/>
      <c r="Q5379" s="10"/>
      <c r="R5379" s="10"/>
      <c r="S5379" s="10"/>
      <c r="T5379" s="10"/>
      <c r="U5379" s="10"/>
      <c r="V5379" s="10"/>
      <c r="W5379" s="10"/>
      <c r="X5379" s="10"/>
      <c r="Y5379" s="10"/>
      <c r="Z5379" s="10"/>
    </row>
    <row r="5380" spans="1:26" ht="12.75">
      <c r="A5380" s="10" t="str">
        <f ca="1">IFERROR(__xludf.DUMMYFUNCTION("""COMPUTED_VALUE"""),"Мариана Трифонова Драганова")</f>
        <v>Мариана Трифонова Драганова</v>
      </c>
      <c r="B5380" s="10" t="str">
        <f ca="1">IFERROR(__xludf.DUMMYFUNCTION("""COMPUTED_VALUE"""),"Доклад от конференция")</f>
        <v>Доклад от конференция</v>
      </c>
      <c r="C5380" s="10" t="str">
        <f ca="1">IFERROR(__xludf.DUMMYFUNCTION("""COMPUTED_VALUE"""),"Определяне устойчивостта на откоси по метода на Фисенко на база на якостните критерии на Hoek&amp;Brown и Leon&amp;Torre и геотехническата GSI-класификация на Bieniawski&amp;Barton")</f>
        <v>Определяне устойчивостта на откоси по метода на Фисенко на база на якостните критерии на Hoek&amp;Brown и Leon&amp;Torre и геотехническата GSI-класификация на Bieniawski&amp;Barton</v>
      </c>
      <c r="D5380" s="10">
        <f ca="1">IFERROR(__xludf.DUMMYFUNCTION("""COMPUTED_VALUE"""),1998)</f>
        <v>1998</v>
      </c>
      <c r="E5380" s="10" t="str">
        <f ca="1">IFERROR(__xludf.DUMMYFUNCTION("""COMPUTED_VALUE"""),"V Национална конференция с международно участие по открит добив на полезни изкопаеми, 02-06.06.1998, т. 1, Варна, стр. 105-111")</f>
        <v>V Национална конференция с международно участие по открит добив на полезни изкопаеми, 02-06.06.1998, т. 1, Варна, стр. 105-111</v>
      </c>
      <c r="F5380" s="10"/>
      <c r="G5380" s="10" t="str">
        <f ca="1">IFERROR(__xludf.DUMMYFUNCTION("""COMPUTED_VALUE"""),"Пламен Русев")</f>
        <v>Пламен Русев</v>
      </c>
      <c r="H5380" s="10"/>
      <c r="I5380" s="10"/>
      <c r="J5380" s="10"/>
      <c r="K5380" s="10"/>
      <c r="L5380" s="10"/>
      <c r="M5380" s="10"/>
      <c r="N5380" s="10"/>
      <c r="O5380" s="10"/>
      <c r="P5380" s="10"/>
      <c r="Q5380" s="10"/>
      <c r="R5380" s="10"/>
      <c r="S5380" s="10"/>
      <c r="T5380" s="10"/>
      <c r="U5380" s="10"/>
      <c r="V5380" s="10"/>
      <c r="W5380" s="10"/>
      <c r="X5380" s="10"/>
      <c r="Y5380" s="10"/>
      <c r="Z5380" s="10"/>
    </row>
    <row r="5381" spans="1:26" ht="12.75">
      <c r="A5381" s="10" t="str">
        <f ca="1">IFERROR(__xludf.DUMMYFUNCTION("""COMPUTED_VALUE"""),"Мариана Трифонова Драганова")</f>
        <v>Мариана Трифонова Драганова</v>
      </c>
      <c r="B5381" s="10" t="str">
        <f ca="1">IFERROR(__xludf.DUMMYFUNCTION("""COMPUTED_VALUE"""),"Доклад от конференция")</f>
        <v>Доклад от конференция</v>
      </c>
      <c r="C5381" s="10" t="str">
        <f ca="1">IFERROR(__xludf.DUMMYFUNCTION("""COMPUTED_VALUE"""),"Възможности за изземване на откривката и рудата в района на отводнителната галерия на р-к “Кремиковци”")</f>
        <v>Възможности за изземване на откривката и рудата в района на отводнителната галерия на р-к “Кремиковци”</v>
      </c>
      <c r="D5381" s="10">
        <f ca="1">IFERROR(__xludf.DUMMYFUNCTION("""COMPUTED_VALUE"""),1998)</f>
        <v>1998</v>
      </c>
      <c r="E5381" s="10" t="str">
        <f ca="1">IFERROR(__xludf.DUMMYFUNCTION("""COMPUTED_VALUE"""),"V Национална конференция с международно участие по открит добив на полезни изкопаеми, 02-06.06.1998, т. 1, Варна, стр. 245-251")</f>
        <v>V Национална конференция с международно участие по открит добив на полезни изкопаеми, 02-06.06.1998, т. 1, Варна, стр. 245-251</v>
      </c>
      <c r="F5381" s="10"/>
      <c r="G5381" s="10" t="str">
        <f ca="1">IFERROR(__xludf.DUMMYFUNCTION("""COMPUTED_VALUE"""),"Стоян Христов, Георги Койчев, Явор Евтимов, М. Бенов, Ст. Сапунджиев")</f>
        <v>Стоян Христов, Георги Койчев, Явор Евтимов, М. Бенов, Ст. Сапунджиев</v>
      </c>
      <c r="H5381" s="10"/>
      <c r="I5381" s="10"/>
      <c r="J5381" s="10"/>
      <c r="K5381" s="10"/>
      <c r="L5381" s="10"/>
      <c r="M5381" s="10"/>
      <c r="N5381" s="10"/>
      <c r="O5381" s="10"/>
      <c r="P5381" s="10"/>
      <c r="Q5381" s="10"/>
      <c r="R5381" s="10"/>
      <c r="S5381" s="10"/>
      <c r="T5381" s="10"/>
      <c r="U5381" s="10"/>
      <c r="V5381" s="10"/>
      <c r="W5381" s="10"/>
      <c r="X5381" s="10"/>
      <c r="Y5381" s="10"/>
      <c r="Z5381" s="10"/>
    </row>
    <row r="5382" spans="1:26" ht="12.75">
      <c r="A5382" s="10" t="str">
        <f ca="1">IFERROR(__xludf.DUMMYFUNCTION("""COMPUTED_VALUE"""),"Мариана Трифонова Драганова")</f>
        <v>Мариана Трифонова Драганова</v>
      </c>
      <c r="B5382" s="10" t="str">
        <f ca="1">IFERROR(__xludf.DUMMYFUNCTION("""COMPUTED_VALUE"""),"Доклад от конференция")</f>
        <v>Доклад от конференция</v>
      </c>
      <c r="C5382" s="10" t="str">
        <f ca="1">IFERROR(__xludf.DUMMYFUNCTION("""COMPUTED_VALUE"""),"Изследване движението на стрелата на хидроподемник при спускането й")</f>
        <v>Изследване движението на стрелата на хидроподемник при спускането й</v>
      </c>
      <c r="D5382" s="10">
        <f ca="1">IFERROR(__xludf.DUMMYFUNCTION("""COMPUTED_VALUE"""),1997)</f>
        <v>1997</v>
      </c>
      <c r="E5382" s="10" t="str">
        <f ca="1">IFERROR(__xludf.DUMMYFUNCTION("""COMPUTED_VALUE"""),"Механика на машините, книга 3, Варна, 1997, стр. 37-40, ISSN: 0861-9727.")</f>
        <v>Механика на машините, книга 3, Варна, 1997, стр. 37-40, ISSN: 0861-9727.</v>
      </c>
      <c r="F5382" s="10"/>
      <c r="G5382" s="10" t="str">
        <f ca="1">IFERROR(__xludf.DUMMYFUNCTION("""COMPUTED_VALUE"""),"Любомир Тодоров Кандов, Надежда Йончева")</f>
        <v>Любомир Тодоров Кандов, Надежда Йончева</v>
      </c>
      <c r="H5382" s="10"/>
      <c r="I5382" s="10"/>
      <c r="J5382" s="10"/>
      <c r="K5382" s="10"/>
      <c r="L5382" s="10"/>
      <c r="M5382" s="10"/>
      <c r="N5382" s="10"/>
      <c r="O5382" s="10"/>
      <c r="P5382" s="10"/>
      <c r="Q5382" s="10"/>
      <c r="R5382" s="10"/>
      <c r="S5382" s="10"/>
      <c r="T5382" s="10"/>
      <c r="U5382" s="10"/>
      <c r="V5382" s="10"/>
      <c r="W5382" s="10"/>
      <c r="X5382" s="10"/>
      <c r="Y5382" s="10"/>
      <c r="Z5382" s="10"/>
    </row>
    <row r="5383" spans="1:26" ht="12.75">
      <c r="A5383" s="10" t="str">
        <f ca="1">IFERROR(__xludf.DUMMYFUNCTION("""COMPUTED_VALUE"""),"Мариана Трифонова Драганова")</f>
        <v>Мариана Трифонова Драганова</v>
      </c>
      <c r="B5383" s="10" t="str">
        <f ca="1">IFERROR(__xludf.DUMMYFUNCTION("""COMPUTED_VALUE"""),"Доклад от конференция")</f>
        <v>Доклад от конференция</v>
      </c>
      <c r="C5383" s="10" t="str">
        <f ca="1">IFERROR(__xludf.DUMMYFUNCTION("""COMPUTED_VALUE"""),"Моделиране на скални системи чрез лостови механизми")</f>
        <v>Моделиране на скални системи чрез лостови механизми</v>
      </c>
      <c r="D5383" s="10">
        <f ca="1">IFERROR(__xludf.DUMMYFUNCTION("""COMPUTED_VALUE"""),1997)</f>
        <v>1997</v>
      </c>
      <c r="E5383" s="10" t="str">
        <f ca="1">IFERROR(__xludf.DUMMYFUNCTION("""COMPUTED_VALUE"""),"Механика на машините, книга 4, Варна, 1997, стр. 15-18, ISSN: 0861-9727")</f>
        <v>Механика на машините, книга 4, Варна, 1997, стр. 15-18, ISSN: 0861-9727</v>
      </c>
      <c r="F5383" s="10"/>
      <c r="G5383" s="10" t="str">
        <f ca="1">IFERROR(__xludf.DUMMYFUNCTION("""COMPUTED_VALUE"""),"Любомир Тодоров Кандов, Надежда Йончева")</f>
        <v>Любомир Тодоров Кандов, Надежда Йончева</v>
      </c>
      <c r="H5383" s="10"/>
      <c r="I5383" s="10"/>
      <c r="J5383" s="10"/>
      <c r="K5383" s="10"/>
      <c r="L5383" s="10"/>
      <c r="M5383" s="10"/>
      <c r="N5383" s="10"/>
      <c r="O5383" s="10"/>
      <c r="P5383" s="10"/>
      <c r="Q5383" s="10"/>
      <c r="R5383" s="10"/>
      <c r="S5383" s="10"/>
      <c r="T5383" s="10"/>
      <c r="U5383" s="10"/>
      <c r="V5383" s="10"/>
      <c r="W5383" s="10"/>
      <c r="X5383" s="10"/>
      <c r="Y5383" s="10"/>
      <c r="Z5383" s="10"/>
    </row>
    <row r="5384" spans="1:26" ht="12.75">
      <c r="A5384" s="10" t="str">
        <f ca="1">IFERROR(__xludf.DUMMYFUNCTION("""COMPUTED_VALUE"""),"Мариана Трифонова Драганова")</f>
        <v>Мариана Трифонова Драганова</v>
      </c>
      <c r="B5384" s="10" t="str">
        <f ca="1">IFERROR(__xludf.DUMMYFUNCTION("""COMPUTED_VALUE"""),"Книга")</f>
        <v>Книга</v>
      </c>
      <c r="C5384" s="10" t="str">
        <f ca="1">IFERROR(__xludf.DUMMYFUNCTION("""COMPUTED_VALUE"""),"Изследване на устойчивост на откоси, моделирани чрез кластоси-механизми")</f>
        <v>Изследване на устойчивост на откоси, моделирани чрез кластоси-механизми</v>
      </c>
      <c r="D5384" s="10">
        <f ca="1">IFERROR(__xludf.DUMMYFUNCTION("""COMPUTED_VALUE"""),1997)</f>
        <v>1997</v>
      </c>
      <c r="E5384" s="10" t="str">
        <f ca="1">IFERROR(__xludf.DUMMYFUNCTION("""COMPUTED_VALUE"""),"Печатна база на МОН, София, 1997")</f>
        <v>Печатна база на МОН, София, 1997</v>
      </c>
      <c r="F5384" s="10"/>
      <c r="G5384" s="10" t="str">
        <f ca="1">IFERROR(__xludf.DUMMYFUNCTION("""COMPUTED_VALUE"""),"Любомир Тодоров Кандов, Надежда Йончева")</f>
        <v>Любомир Тодоров Кандов, Надежда Йончева</v>
      </c>
      <c r="H5384" s="10"/>
      <c r="I5384" s="10"/>
      <c r="J5384" s="10"/>
      <c r="K5384" s="10"/>
      <c r="L5384" s="10"/>
      <c r="M5384" s="10"/>
      <c r="N5384" s="10"/>
      <c r="O5384" s="10"/>
      <c r="P5384" s="10"/>
      <c r="Q5384" s="10"/>
      <c r="R5384" s="10"/>
      <c r="S5384" s="10"/>
      <c r="T5384" s="10"/>
      <c r="U5384" s="10"/>
      <c r="V5384" s="10"/>
      <c r="W5384" s="10"/>
      <c r="X5384" s="10"/>
      <c r="Y5384" s="10"/>
      <c r="Z5384" s="10"/>
    </row>
    <row r="5385" spans="1:26" ht="12.75">
      <c r="A5385" s="10" t="str">
        <f ca="1">IFERROR(__xludf.DUMMYFUNCTION("""COMPUTED_VALUE"""),"Мариана Трифонова Драганова")</f>
        <v>Мариана Трифонова Драганова</v>
      </c>
      <c r="B5385" s="10" t="str">
        <f ca="1">IFERROR(__xludf.DUMMYFUNCTION("""COMPUTED_VALUE"""),"Доклад от конференция")</f>
        <v>Доклад от конференция</v>
      </c>
      <c r="C5385" s="10" t="str">
        <f ca="1">IFERROR(__xludf.DUMMYFUNCTION("""COMPUTED_VALUE"""),"Изследване влиянието на смилащите конуси върху движението на материала в конусно-валцовите мелници")</f>
        <v>Изследване влиянието на смилащите конуси върху движението на материала в конусно-валцовите мелници</v>
      </c>
      <c r="D5385" s="10">
        <f ca="1">IFERROR(__xludf.DUMMYFUNCTION("""COMPUTED_VALUE"""),1989)</f>
        <v>1989</v>
      </c>
      <c r="E5385" s="10" t="str">
        <f ca="1">IFERROR(__xludf.DUMMYFUNCTION("""COMPUTED_VALUE"""),"Год. на ВМГИ, 1989, стр. 63-67")</f>
        <v>Год. на ВМГИ, 1989, стр. 63-67</v>
      </c>
      <c r="F5385" s="10"/>
      <c r="G5385" s="10" t="str">
        <f ca="1">IFERROR(__xludf.DUMMYFUNCTION("""COMPUTED_VALUE"""),"Райна Йорданова Вучева, Любомир Рашев")</f>
        <v>Райна Йорданова Вучева, Любомир Рашев</v>
      </c>
      <c r="H5385" s="10"/>
      <c r="I5385" s="10"/>
      <c r="J5385" s="10"/>
      <c r="K5385" s="10"/>
      <c r="L5385" s="10"/>
      <c r="M5385" s="10"/>
      <c r="N5385" s="10"/>
      <c r="O5385" s="10"/>
      <c r="P5385" s="10"/>
      <c r="Q5385" s="10"/>
      <c r="R5385" s="10"/>
      <c r="S5385" s="10"/>
      <c r="T5385" s="10"/>
      <c r="U5385" s="10"/>
      <c r="V5385" s="10"/>
      <c r="W5385" s="10"/>
      <c r="X5385" s="10"/>
      <c r="Y5385" s="10"/>
      <c r="Z5385" s="10"/>
    </row>
    <row r="5386" spans="1:26" ht="12.75">
      <c r="A5386" s="10" t="str">
        <f ca="1">IFERROR(__xludf.DUMMYFUNCTION("""COMPUTED_VALUE"""),"Мариана Трифонова Драганова")</f>
        <v>Мариана Трифонова Драганова</v>
      </c>
      <c r="B5386" s="10" t="str">
        <f ca="1">IFERROR(__xludf.DUMMYFUNCTION("""COMPUTED_VALUE"""),"Книга")</f>
        <v>Книга</v>
      </c>
      <c r="C5386" s="10" t="str">
        <f ca="1">IFERROR(__xludf.DUMMYFUNCTION("""COMPUTED_VALUE"""),"Инвариантно представяне уравненията на движение на сложни равнинни механизми, І част")</f>
        <v>Инвариантно представяне уравненията на движение на сложни равнинни механизми, І част</v>
      </c>
      <c r="D5386" s="10">
        <f ca="1">IFERROR(__xludf.DUMMYFUNCTION("""COMPUTED_VALUE"""),1988)</f>
        <v>1988</v>
      </c>
      <c r="E5386" s="10" t="str">
        <f ca="1">IFERROR(__xludf.DUMMYFUNCTION("""COMPUTED_VALUE"""),"Печатна база на МОН, София, 1988")</f>
        <v>Печатна база на МОН, София, 1988</v>
      </c>
      <c r="F5386" s="10"/>
      <c r="G5386" s="10" t="str">
        <f ca="1">IFERROR(__xludf.DUMMYFUNCTION("""COMPUTED_VALUE"""),"Любомир Тодоров Кандов, Надежда Йончева, Славко Тотев")</f>
        <v>Любомир Тодоров Кандов, Надежда Йончева, Славко Тотев</v>
      </c>
      <c r="H5386" s="10"/>
      <c r="I5386" s="10"/>
      <c r="J5386" s="10"/>
      <c r="K5386" s="10"/>
      <c r="L5386" s="10"/>
      <c r="M5386" s="10"/>
      <c r="N5386" s="10"/>
      <c r="O5386" s="10"/>
      <c r="P5386" s="10"/>
      <c r="Q5386" s="10"/>
      <c r="R5386" s="10"/>
      <c r="S5386" s="10"/>
      <c r="T5386" s="10"/>
      <c r="U5386" s="10"/>
      <c r="V5386" s="10"/>
      <c r="W5386" s="10"/>
      <c r="X5386" s="10"/>
      <c r="Y5386" s="10"/>
      <c r="Z5386" s="10"/>
    </row>
    <row r="5387" spans="1:26" ht="12.75">
      <c r="A5387" s="10" t="str">
        <f ca="1">IFERROR(__xludf.DUMMYFUNCTION("""COMPUTED_VALUE"""),"Мариана Трифонова Драганова")</f>
        <v>Мариана Трифонова Драганова</v>
      </c>
      <c r="B5387" s="10" t="str">
        <f ca="1">IFERROR(__xludf.DUMMYFUNCTION("""COMPUTED_VALUE"""),"Доклад от конференция")</f>
        <v>Доклад от конференция</v>
      </c>
      <c r="C5387" s="10" t="str">
        <f ca="1">IFERROR(__xludf.DUMMYFUNCTION("""COMPUTED_VALUE"""),"Исспользование машинной графики при обучении студентов проффесиональных направлении “Горное дело” и “Геолого разведочное дело”")</f>
        <v>Исспользование машинной графики при обучении студентов проффесиональных направлении “Горное дело” и “Геолого разведочное дело”</v>
      </c>
      <c r="D5387" s="10">
        <f ca="1">IFERROR(__xludf.DUMMYFUNCTION("""COMPUTED_VALUE"""),1984)</f>
        <v>1984</v>
      </c>
      <c r="E5387" s="10" t="str">
        <f ca="1">IFERROR(__xludf.DUMMYFUNCTION("""COMPUTED_VALUE"""),"Сб. “Проблемы информатики и ее применение в управлении, обучения и научных исследований”, София, 1984, стр. 89-95.")</f>
        <v>Сб. “Проблемы информатики и ее применение в управлении, обучения и научных исследований”, София, 1984, стр. 89-95.</v>
      </c>
      <c r="F5387" s="10"/>
      <c r="G5387" s="10" t="str">
        <f ca="1">IFERROR(__xludf.DUMMYFUNCTION("""COMPUTED_VALUE"""),"Атанас Германов Атанасов, Ирина Христова")</f>
        <v>Атанас Германов Атанасов, Ирина Христова</v>
      </c>
      <c r="H5387" s="10"/>
      <c r="I5387" s="10"/>
      <c r="J5387" s="10"/>
      <c r="K5387" s="10"/>
      <c r="L5387" s="10"/>
      <c r="M5387" s="10"/>
      <c r="N5387" s="10"/>
      <c r="O5387" s="10"/>
      <c r="P5387" s="10"/>
      <c r="Q5387" s="10"/>
      <c r="R5387" s="10"/>
      <c r="S5387" s="10"/>
      <c r="T5387" s="10"/>
      <c r="U5387" s="10"/>
      <c r="V5387" s="10"/>
      <c r="W5387" s="10"/>
      <c r="X5387" s="10"/>
      <c r="Y5387" s="10"/>
      <c r="Z5387" s="10"/>
    </row>
    <row r="5388" spans="1:26" ht="12.75">
      <c r="A5388" s="10" t="str">
        <f ca="1">IFERROR(__xludf.DUMMYFUNCTION("""COMPUTED_VALUE"""),"Мариана Трифонова Драганова")</f>
        <v>Мариана Трифонова Драганова</v>
      </c>
      <c r="B5388" s="10" t="str">
        <f ca="1">IFERROR(__xludf.DUMMYFUNCTION("""COMPUTED_VALUE"""),"Статия в списания и поредици")</f>
        <v>Статия в списания и поредици</v>
      </c>
      <c r="C5388" s="10" t="str">
        <f ca="1">IFERROR(__xludf.DUMMYFUNCTION("""COMPUTED_VALUE"""),"Partially Monotone Approximation of Differentiable Functions")</f>
        <v>Partially Monotone Approximation of Differentiable Functions</v>
      </c>
      <c r="D5388" s="10">
        <f ca="1">IFERROR(__xludf.DUMMYFUNCTION("""COMPUTED_VALUE"""),1983)</f>
        <v>1983</v>
      </c>
      <c r="E5388" s="10" t="str">
        <f ca="1">IFERROR(__xludf.DUMMYFUNCTION("""COMPUTED_VALUE"""),"PLISKA, Studia Mathematica Bulgaria, vol. 5, Sofia, 1983, pp. 144-150.")</f>
        <v>PLISKA, Studia Mathematica Bulgaria, vol. 5, Sofia, 1983, pp. 144-150.</v>
      </c>
      <c r="F5388" s="10"/>
      <c r="G5388" s="10" t="str">
        <f ca="1">IFERROR(__xludf.DUMMYFUNCTION("""COMPUTED_VALUE"""),"Georgi Lubomirov Iliev,")</f>
        <v>Georgi Lubomirov Iliev,</v>
      </c>
      <c r="H5388" s="10"/>
      <c r="I5388" s="10"/>
      <c r="J5388" s="10"/>
      <c r="K5388" s="10"/>
      <c r="L5388" s="10"/>
      <c r="M5388" s="10"/>
      <c r="N5388" s="10"/>
      <c r="O5388" s="10"/>
      <c r="P5388" s="10"/>
      <c r="Q5388" s="10"/>
      <c r="R5388" s="10"/>
      <c r="S5388" s="10"/>
      <c r="T5388" s="10"/>
      <c r="U5388" s="10"/>
      <c r="V5388" s="10"/>
      <c r="W5388" s="10"/>
      <c r="X5388" s="10"/>
      <c r="Y5388" s="10"/>
      <c r="Z5388" s="10"/>
    </row>
    <row r="5389" spans="1:26" ht="12.75">
      <c r="A5389" s="10" t="str">
        <f ca="1">IFERROR(__xludf.DUMMYFUNCTION("""COMPUTED_VALUE"""),"Мариана Трифонова Драганова")</f>
        <v>Мариана Трифонова Драганова</v>
      </c>
      <c r="B5389" s="10" t="str">
        <f ca="1">IFERROR(__xludf.DUMMYFUNCTION("""COMPUTED_VALUE"""),"Доклад от конференция")</f>
        <v>Доклад от конференция</v>
      </c>
      <c r="C5389" s="10" t="str">
        <f ca="1">IFERROR(__xludf.DUMMYFUNCTION("""COMPUTED_VALUE"""),"Автоматизация на информационния процес във ВУЗ")</f>
        <v>Автоматизация на информационния процес във ВУЗ</v>
      </c>
      <c r="D5389" s="10">
        <f ca="1">IFERROR(__xludf.DUMMYFUNCTION("""COMPUTED_VALUE"""),1983)</f>
        <v>1983</v>
      </c>
      <c r="E5389" s="10" t="str">
        <f ca="1">IFERROR(__xludf.DUMMYFUNCTION("""COMPUTED_VALUE"""),"Год. на ВМГИ, т. ХХІХ, част 5, София, 1982-1983г., стр. 173-181.")</f>
        <v>Год. на ВМГИ, т. ХХІХ, част 5, София, 1982-1983г., стр. 173-181.</v>
      </c>
      <c r="F5389" s="10"/>
      <c r="G5389" s="10" t="str">
        <f ca="1">IFERROR(__xludf.DUMMYFUNCTION("""COMPUTED_VALUE"""),"Атанас Германов Атанасов, Маргарита Атанасова, Диана Дечева, Зоя Трифонова, Пламена Пугева")</f>
        <v>Атанас Германов Атанасов, Маргарита Атанасова, Диана Дечева, Зоя Трифонова, Пламена Пугева</v>
      </c>
      <c r="H5389" s="10"/>
      <c r="I5389" s="10"/>
      <c r="J5389" s="10"/>
      <c r="K5389" s="10"/>
      <c r="L5389" s="10"/>
      <c r="M5389" s="10"/>
      <c r="N5389" s="10"/>
      <c r="O5389" s="10"/>
      <c r="P5389" s="10"/>
      <c r="Q5389" s="10"/>
      <c r="R5389" s="10"/>
      <c r="S5389" s="10"/>
      <c r="T5389" s="10"/>
      <c r="U5389" s="10"/>
      <c r="V5389" s="10"/>
      <c r="W5389" s="10"/>
      <c r="X5389" s="10"/>
      <c r="Y5389" s="10"/>
      <c r="Z5389" s="10"/>
    </row>
    <row r="5390" spans="1:26" ht="12.75">
      <c r="A5390" s="10" t="str">
        <f ca="1">IFERROR(__xludf.DUMMYFUNCTION("""COMPUTED_VALUE"""),"Мариела Тодорова Модева (Нанкова)")</f>
        <v>Мариела Тодорова Модева (Нанкова)</v>
      </c>
      <c r="B5390" s="10" t="str">
        <f ca="1">IFERROR(__xludf.DUMMYFUNCTION("""COMPUTED_VALUE"""),"Доклад от конференция")</f>
        <v>Доклад от конференция</v>
      </c>
      <c r="C5390" s="10" t="str">
        <f ca="1">IFERROR(__xludf.DUMMYFUNCTION("""COMPUTED_VALUE"""),"PUBLIC LIBRARIES AS A FACTOR TO OVERCOME THE DIGITAL DIVISION")</f>
        <v>PUBLIC LIBRARIES AS A FACTOR TO OVERCOME THE DIGITAL DIVISION</v>
      </c>
      <c r="D5390" s="10">
        <f ca="1">IFERROR(__xludf.DUMMYFUNCTION("""COMPUTED_VALUE"""),2020)</f>
        <v>2020</v>
      </c>
      <c r="E5390" s="10" t="str">
        <f ca="1">IFERROR(__xludf.DUMMYFUNCTION("""COMPUTED_VALUE"""),"INTED2020 Proceedings, pp. 2925-2928. ISBN: 978-84-09-17939-8, ISSN: 2340-1079")</f>
        <v>INTED2020 Proceedings, pp. 2925-2928. ISBN: 978-84-09-17939-8, ISSN: 2340-1079</v>
      </c>
      <c r="F5390" s="10" t="str">
        <f ca="1">IFERROR(__xludf.DUMMYFUNCTION("""COMPUTED_VALUE"""),"Web of Science")</f>
        <v>Web of Science</v>
      </c>
      <c r="G5390" s="10"/>
      <c r="H5390" s="10"/>
      <c r="I5390" s="10"/>
      <c r="J5390" s="10"/>
      <c r="K5390" s="10"/>
      <c r="L5390" s="10"/>
      <c r="M5390" s="10"/>
      <c r="N5390" s="10"/>
      <c r="O5390" s="10"/>
      <c r="P5390" s="10"/>
      <c r="Q5390" s="10"/>
      <c r="R5390" s="10"/>
      <c r="S5390" s="10"/>
      <c r="T5390" s="10"/>
      <c r="U5390" s="10"/>
      <c r="V5390" s="10"/>
      <c r="W5390" s="10"/>
      <c r="X5390" s="10"/>
      <c r="Y5390" s="10"/>
      <c r="Z5390" s="10"/>
    </row>
    <row r="5391" spans="1:26" ht="12.75">
      <c r="A5391" s="10" t="str">
        <f ca="1">IFERROR(__xludf.DUMMYFUNCTION("""COMPUTED_VALUE"""),"Мариела Тодорова Модева (Нанкова)")</f>
        <v>Мариела Тодорова Модева (Нанкова)</v>
      </c>
      <c r="B5391" s="10" t="str">
        <f ca="1">IFERROR(__xludf.DUMMYFUNCTION("""COMPUTED_VALUE"""),"Статия в списания и поредици")</f>
        <v>Статия в списания и поредици</v>
      </c>
      <c r="C5391" s="10" t="str">
        <f ca="1">IFERROR(__xludf.DUMMYFUNCTION("""COMPUTED_VALUE"""),"""Current aspects access to cultural content in conditions of social isolation (by the pandemic case-COVID-19)""")</f>
        <v>"Current aspects access to cultural content in conditions of social isolation (by the pandemic case-COVID-19)"</v>
      </c>
      <c r="D5391" s="10">
        <f ca="1">IFERROR(__xludf.DUMMYFUNCTION("""COMPUTED_VALUE"""),2020)</f>
        <v>2020</v>
      </c>
      <c r="E5391" s="10" t="str">
        <f ca="1">IFERROR(__xludf.DUMMYFUNCTION("""COMPUTED_VALUE"""),"""В //ФИЛОСОФИЯ И КУЛЬТУРА В ГУМАНИТАРНОМ
 ДИСКУРСЕ. Воронеж : Воронежский государственый университет, 2020, с. 135-142.""ISBN 978-5-4218-0399-7")</f>
        <v>"В //ФИЛОСОФИЯ И КУЛЬТУРА В ГУМАНИТАРНОМ
 ДИСКУРСЕ. Воронеж : Воронежский государственый университет, 2020, с. 135-142."ISBN 978-5-4218-0399-7</v>
      </c>
      <c r="F5391" s="10" t="str">
        <f ca="1">IFERROR(__xludf.DUMMYFUNCTION("""COMPUTED_VALUE"""),"Web of Science")</f>
        <v>Web of Science</v>
      </c>
      <c r="G5391" s="10"/>
      <c r="H5391" s="10"/>
      <c r="I5391" s="10"/>
      <c r="J5391" s="10"/>
      <c r="K5391" s="10"/>
      <c r="L5391" s="10"/>
      <c r="M5391" s="10"/>
      <c r="N5391" s="10"/>
      <c r="O5391" s="10"/>
      <c r="P5391" s="10"/>
      <c r="Q5391" s="10"/>
      <c r="R5391" s="10"/>
      <c r="S5391" s="10"/>
      <c r="T5391" s="10"/>
      <c r="U5391" s="10"/>
      <c r="V5391" s="10"/>
      <c r="W5391" s="10"/>
      <c r="X5391" s="10"/>
      <c r="Y5391" s="10"/>
      <c r="Z5391" s="10"/>
    </row>
    <row r="5392" spans="1:26" ht="12.75">
      <c r="A5392" s="10" t="str">
        <f ca="1">IFERROR(__xludf.DUMMYFUNCTION("""COMPUTED_VALUE"""),"Мариела Тодорова Модева (Нанкова)")</f>
        <v>Мариела Тодорова Модева (Нанкова)</v>
      </c>
      <c r="B5392" s="10" t="str">
        <f ca="1">IFERROR(__xludf.DUMMYFUNCTION("""COMPUTED_VALUE"""),"Доклад от конференция")</f>
        <v>Доклад от конференция</v>
      </c>
      <c r="C5392" s="10" t="str">
        <f ca="1">IFERROR(__xludf.DUMMYFUNCTION("""COMPUTED_VALUE"""),"Социализацията на културното наследство за целите на културния туризъм чрез приложение на новите информационни и комуникационни технологии")</f>
        <v>Социализацията на културното наследство за целите на културния туризъм чрез приложение на новите информационни и комуникационни технологии</v>
      </c>
      <c r="D5392" s="10">
        <f ca="1">IFERROR(__xludf.DUMMYFUNCTION("""COMPUTED_VALUE"""),2020)</f>
        <v>2020</v>
      </c>
      <c r="E5392" s="10" t="str">
        <f ca="1">IFERROR(__xludf.DUMMYFUNCTION("""COMPUTED_VALUE"""),"В: КУЛТУРНО НАСЛЕДСТВО И СЪВРЕМЕННИ ИНФОРМАЦИОННИ ТЕХНОЛОГИИ, София : За буквите - О писменехь, 2020, с. 199-211, ISBN 978-619-185-402-8, Е ISBN 978-619-185-403-5")</f>
        <v>В: КУЛТУРНО НАСЛЕДСТВО И СЪВРЕМЕННИ ИНФОРМАЦИОННИ ТЕХНОЛОГИИ, София : За буквите - О писменехь, 2020, с. 199-211, ISBN 978-619-185-402-8, Е ISBN 978-619-185-403-5</v>
      </c>
      <c r="F5392" s="10" t="str">
        <f ca="1">IFERROR(__xludf.DUMMYFUNCTION("""COMPUTED_VALUE"""),"НАЦИД Google Scholar, ResearchGate")</f>
        <v>НАЦИД Google Scholar, ResearchGate</v>
      </c>
      <c r="G5392" s="10"/>
      <c r="H5392" s="10"/>
      <c r="I5392" s="10"/>
      <c r="J5392" s="10"/>
      <c r="K5392" s="10"/>
      <c r="L5392" s="10"/>
      <c r="M5392" s="10"/>
      <c r="N5392" s="10"/>
      <c r="O5392" s="10"/>
      <c r="P5392" s="10"/>
      <c r="Q5392" s="10"/>
      <c r="R5392" s="10"/>
      <c r="S5392" s="10"/>
      <c r="T5392" s="10"/>
      <c r="U5392" s="10"/>
      <c r="V5392" s="10"/>
      <c r="W5392" s="10"/>
      <c r="X5392" s="10"/>
      <c r="Y5392" s="10"/>
      <c r="Z5392" s="10"/>
    </row>
    <row r="5393" spans="1:26" ht="12.75">
      <c r="A5393" s="10" t="str">
        <f ca="1">IFERROR(__xludf.DUMMYFUNCTION("""COMPUTED_VALUE"""),"Мариела Тодорова Модева (Нанкова)")</f>
        <v>Мариела Тодорова Модева (Нанкова)</v>
      </c>
      <c r="B5393" s="10" t="str">
        <f ca="1">IFERROR(__xludf.DUMMYFUNCTION("""COMPUTED_VALUE"""),"Статия в списания и поредици")</f>
        <v>Статия в списания и поредици</v>
      </c>
      <c r="C5393" s="10" t="str">
        <f ca="1">IFERROR(__xludf.DUMMYFUNCTION("""COMPUTED_VALUE"""),"THE ROLE OF LEADERSHIP IN CULTURAL HERITAGE EDUCATION USING NEW INFORMATION AND COMMUNICATION TECHNOLOGIES")</f>
        <v>THE ROLE OF LEADERSHIP IN CULTURAL HERITAGE EDUCATION USING NEW INFORMATION AND COMMUNICATION TECHNOLOGIES</v>
      </c>
      <c r="D5393" s="10">
        <f ca="1">IFERROR(__xludf.DUMMYFUNCTION("""COMPUTED_VALUE"""),2020)</f>
        <v>2020</v>
      </c>
      <c r="E5393" s="10" t="str">
        <f ca="1">IFERROR(__xludf.DUMMYFUNCTION("""COMPUTED_VALUE"""),"EDULEARN20 Proceedings, 12th International Conference on Education and New Learning Technologies. pp 8155-8163. ""ISBN: 978-84-09-17979-4 ISSN: 2340-1117""")</f>
        <v>EDULEARN20 Proceedings, 12th International Conference on Education and New Learning Technologies. pp 8155-8163. "ISBN: 978-84-09-17979-4 ISSN: 2340-1117"</v>
      </c>
      <c r="F5393" s="10" t="str">
        <f ca="1">IFERROR(__xludf.DUMMYFUNCTION("""COMPUTED_VALUE"""),"Web of Science")</f>
        <v>Web of Science</v>
      </c>
      <c r="G5393" s="10"/>
      <c r="H5393" s="10"/>
      <c r="I5393" s="10"/>
      <c r="J5393" s="10"/>
      <c r="K5393" s="10"/>
      <c r="L5393" s="10"/>
      <c r="M5393" s="10"/>
      <c r="N5393" s="10"/>
      <c r="O5393" s="10"/>
      <c r="P5393" s="10"/>
      <c r="Q5393" s="10"/>
      <c r="R5393" s="10"/>
      <c r="S5393" s="10"/>
      <c r="T5393" s="10"/>
      <c r="U5393" s="10"/>
      <c r="V5393" s="10"/>
      <c r="W5393" s="10"/>
      <c r="X5393" s="10"/>
      <c r="Y5393" s="10"/>
      <c r="Z5393" s="10"/>
    </row>
    <row r="5394" spans="1:26" ht="12.75">
      <c r="A5394" s="10" t="str">
        <f ca="1">IFERROR(__xludf.DUMMYFUNCTION("""COMPUTED_VALUE"""),"Мариела Тодорова Модева (Нанкова)")</f>
        <v>Мариела Тодорова Модева (Нанкова)</v>
      </c>
      <c r="B5394" s="10" t="str">
        <f ca="1">IFERROR(__xludf.DUMMYFUNCTION("""COMPUTED_VALUE"""),"Доклад от конференция")</f>
        <v>Доклад от конференция</v>
      </c>
      <c r="C5394" s="10" t="str">
        <f ca="1">IFERROR(__xludf.DUMMYFUNCTION("""COMPUTED_VALUE"""),"""ДИГИТАЛНОТО ЛИДЕРСТВО – СЪВРЕМЕННИ ИЗМЕРЕНИЯ И ПЕРСПЕКТИВИ""")</f>
        <v>"ДИГИТАЛНОТО ЛИДЕРСТВО – СЪВРЕМЕННИ ИЗМЕРЕНИЯ И ПЕРСПЕКТИВИ"</v>
      </c>
      <c r="D5394" s="10">
        <f ca="1">IFERROR(__xludf.DUMMYFUNCTION("""COMPUTED_VALUE"""),2020)</f>
        <v>2020</v>
      </c>
      <c r="E5394" s="10" t="str">
        <f ca="1">IFERROR(__xludf.DUMMYFUNCTION("""COMPUTED_VALUE"""),"В // Обществото на знанието и хуманизмът на XXI век. София : За буквите-О писменехь, 2020, с. 553-563.
 ""ISSN 2683-0094")</f>
        <v>В // Обществото на знанието и хуманизмът на XXI век. София : За буквите-О писменехь, 2020, с. 553-563.
 "ISSN 2683-0094</v>
      </c>
      <c r="F5394" s="10"/>
      <c r="G5394" s="10" t="str">
        <f ca="1">IFERROR(__xludf.DUMMYFUNCTION("""COMPUTED_VALUE"""),"Мариела Модева, Нина Костова")</f>
        <v>Мариела Модева, Нина Костова</v>
      </c>
      <c r="H5394" s="10"/>
      <c r="I5394" s="10"/>
      <c r="J5394" s="10"/>
      <c r="K5394" s="10"/>
      <c r="L5394" s="10"/>
      <c r="M5394" s="10"/>
      <c r="N5394" s="10"/>
      <c r="O5394" s="10"/>
      <c r="P5394" s="10"/>
      <c r="Q5394" s="10"/>
      <c r="R5394" s="10"/>
      <c r="S5394" s="10"/>
      <c r="T5394" s="10"/>
      <c r="U5394" s="10"/>
      <c r="V5394" s="10"/>
      <c r="W5394" s="10"/>
      <c r="X5394" s="10"/>
      <c r="Y5394" s="10"/>
      <c r="Z5394" s="10"/>
    </row>
    <row r="5395" spans="1:26" ht="12.75">
      <c r="A5395" s="10" t="str">
        <f ca="1">IFERROR(__xludf.DUMMYFUNCTION("""COMPUTED_VALUE"""),"Мариела Тодорова Модева (Нанкова)")</f>
        <v>Мариела Тодорова Модева (Нанкова)</v>
      </c>
      <c r="B5395" s="10" t="str">
        <f ca="1">IFERROR(__xludf.DUMMYFUNCTION("""COMPUTED_VALUE"""),"Глава от колективна монография")</f>
        <v>Глава от колективна монография</v>
      </c>
      <c r="C5395" s="10" t="str">
        <f ca="1">IFERROR(__xludf.DUMMYFUNCTION("""COMPUTED_VALUE"""),"Иновации в продължаващото обучение на възрастни")</f>
        <v>Иновации в продължаващото обучение на възрастни</v>
      </c>
      <c r="D5395" s="10">
        <f ca="1">IFERROR(__xludf.DUMMYFUNCTION("""COMPUTED_VALUE"""),2019)</f>
        <v>2019</v>
      </c>
      <c r="E5395" s="10" t="str">
        <f ca="1">IFERROR(__xludf.DUMMYFUNCTION("""COMPUTED_VALUE"""),"В: Възрастни хора и нови технологии, София : Авангард Прима, 2019, с. 98-107. ISBN 978-619-239-172-0")</f>
        <v>В: Възрастни хора и нови технологии, София : Авангард Прима, 2019, с. 98-107. ISBN 978-619-239-172-0</v>
      </c>
      <c r="F5395" s="10"/>
      <c r="G5395" s="10"/>
      <c r="H5395" s="10"/>
      <c r="I5395" s="10"/>
      <c r="J5395" s="10"/>
      <c r="K5395" s="10"/>
      <c r="L5395" s="10"/>
      <c r="M5395" s="10"/>
      <c r="N5395" s="10"/>
      <c r="O5395" s="10"/>
      <c r="P5395" s="10"/>
      <c r="Q5395" s="10"/>
      <c r="R5395" s="10"/>
      <c r="S5395" s="10"/>
      <c r="T5395" s="10"/>
      <c r="U5395" s="10"/>
      <c r="V5395" s="10"/>
      <c r="W5395" s="10"/>
      <c r="X5395" s="10"/>
      <c r="Y5395" s="10"/>
      <c r="Z5395" s="10"/>
    </row>
    <row r="5396" spans="1:26" ht="12.75">
      <c r="A5396" s="10" t="str">
        <f ca="1">IFERROR(__xludf.DUMMYFUNCTION("""COMPUTED_VALUE"""),"Мариела Тодорова Модева (Нанкова)")</f>
        <v>Мариела Тодорова Модева (Нанкова)</v>
      </c>
      <c r="B5396" s="10" t="str">
        <f ca="1">IFERROR(__xludf.DUMMYFUNCTION("""COMPUTED_VALUE"""),"Статия в списания и поредици")</f>
        <v>Статия в списания и поредици</v>
      </c>
      <c r="C5396" s="10" t="str">
        <f ca="1">IFERROR(__xludf.DUMMYFUNCTION("""COMPUTED_VALUE"""),"Interactivity in the Curriculum Process (Types of Problem Situations as Interactive Forms of Learning)")</f>
        <v>Interactivity in the Curriculum Process (Types of Problem Situations as Interactive Forms of Learning)</v>
      </c>
      <c r="D5396" s="10">
        <f ca="1">IFERROR(__xludf.DUMMYFUNCTION("""COMPUTED_VALUE"""),2018)</f>
        <v>2018</v>
      </c>
      <c r="E5396" s="10" t="str">
        <f ca="1">IFERROR(__xludf.DUMMYFUNCTION("""COMPUTED_VALUE"""),"ICERI2018, Proceedings of ICERI2018 Conference 12th-14th November 2018, Seville, Spain. ISBN: 978-84-09-05948-5, pp. 10480-10486")</f>
        <v>ICERI2018, Proceedings of ICERI2018 Conference 12th-14th November 2018, Seville, Spain. ISBN: 978-84-09-05948-5, pp. 10480-10486</v>
      </c>
      <c r="F5396" s="10" t="str">
        <f ca="1">IFERROR(__xludf.DUMMYFUNCTION("""COMPUTED_VALUE"""),"ISI CPCI (Web of Science)")</f>
        <v>ISI CPCI (Web of Science)</v>
      </c>
      <c r="G5396" s="10"/>
      <c r="H5396" s="10"/>
      <c r="I5396" s="10"/>
      <c r="J5396" s="10"/>
      <c r="K5396" s="10"/>
      <c r="L5396" s="10"/>
      <c r="M5396" s="10"/>
      <c r="N5396" s="10"/>
      <c r="O5396" s="10"/>
      <c r="P5396" s="10"/>
      <c r="Q5396" s="10"/>
      <c r="R5396" s="10"/>
      <c r="S5396" s="10"/>
      <c r="T5396" s="10"/>
      <c r="U5396" s="10"/>
      <c r="V5396" s="10"/>
      <c r="W5396" s="10"/>
      <c r="X5396" s="10"/>
      <c r="Y5396" s="10"/>
      <c r="Z5396" s="10"/>
    </row>
    <row r="5397" spans="1:26" ht="12.75">
      <c r="A5397" s="10" t="str">
        <f ca="1">IFERROR(__xludf.DUMMYFUNCTION("""COMPUTED_VALUE"""),"Мариела Тодорова Модева (Нанкова)")</f>
        <v>Мариела Тодорова Модева (Нанкова)</v>
      </c>
      <c r="B5397" s="10" t="str">
        <f ca="1">IFERROR(__xludf.DUMMYFUNCTION("""COMPUTED_VALUE"""),"Доклад от конференция")</f>
        <v>Доклад от конференция</v>
      </c>
      <c r="C5397" s="10" t="str">
        <f ca="1">IFERROR(__xludf.DUMMYFUNCTION("""COMPUTED_VALUE"""),"Възможности за разширяване на достъпа до културно съдържание")</f>
        <v>Възможности за разширяване на достъпа до културно съдържание</v>
      </c>
      <c r="D5397" s="10">
        <f ca="1">IFERROR(__xludf.DUMMYFUNCTION("""COMPUTED_VALUE"""),2018)</f>
        <v>2018</v>
      </c>
      <c r="E5397" s="10" t="str">
        <f ca="1">IFERROR(__xludf.DUMMYFUNCTION("""COMPUTED_VALUE"""),"В: Съвременни измерения на европейското образователно и научно пространство, София : За буквите – О писменехь, 2018, с. 21-26, ISSN 2367-7988")</f>
        <v>В: Съвременни измерения на европейското образователно и научно пространство, София : За буквите – О писменехь, 2018, с. 21-26, ISSN 2367-7988</v>
      </c>
      <c r="F5397" s="10"/>
      <c r="G5397" s="10"/>
      <c r="H5397" s="10"/>
      <c r="I5397" s="10"/>
      <c r="J5397" s="10"/>
      <c r="K5397" s="10"/>
      <c r="L5397" s="10"/>
      <c r="M5397" s="10"/>
      <c r="N5397" s="10"/>
      <c r="O5397" s="10"/>
      <c r="P5397" s="10"/>
      <c r="Q5397" s="10"/>
      <c r="R5397" s="10"/>
      <c r="S5397" s="10"/>
      <c r="T5397" s="10"/>
      <c r="U5397" s="10"/>
      <c r="V5397" s="10"/>
      <c r="W5397" s="10"/>
      <c r="X5397" s="10"/>
      <c r="Y5397" s="10"/>
      <c r="Z5397" s="10"/>
    </row>
    <row r="5398" spans="1:26" ht="12.75">
      <c r="A5398" s="10" t="str">
        <f ca="1">IFERROR(__xludf.DUMMYFUNCTION("""COMPUTED_VALUE"""),"Мариела Тодорова Модева (Нанкова)")</f>
        <v>Мариела Тодорова Модева (Нанкова)</v>
      </c>
      <c r="B5398" s="10" t="str">
        <f ca="1">IFERROR(__xludf.DUMMYFUNCTION("""COMPUTED_VALUE"""),"Статия в списания и поредици")</f>
        <v>Статия в списания и поредици</v>
      </c>
      <c r="C5398" s="10" t="str">
        <f ca="1">IFERROR(__xludf.DUMMYFUNCTION("""COMPUTED_VALUE"""),"The Role of Information and Communication Technologies for Enhancing Access to Cultural Content")</f>
        <v>The Role of Information and Communication Technologies for Enhancing Access to Cultural Content</v>
      </c>
      <c r="D5398" s="10">
        <f ca="1">IFERROR(__xludf.DUMMYFUNCTION("""COMPUTED_VALUE"""),2018)</f>
        <v>2018</v>
      </c>
      <c r="E5398" s="10" t="str">
        <f ca="1">IFERROR(__xludf.DUMMYFUNCTION("""COMPUTED_VALUE"""),"Digital Heritage. Progress in Cultural Heritage: Documentation, Preservation, and Protection, 7th International Conference, EuroMed 2018, Nicosia, Cyprus, October 29–November 3, 2018, Proceedings, Part I, Editors: Ioannides, M., Fink, E., Brumana, R., Pat"&amp;"ias, P., Doulamis, A., Martins, J., Wallace, M. (Eds.), Springer Nature Switzerland AG, 2018, pages 654-663, DOI 978-3-030-01762-0_58, © 2018 Print ISBN 978-3-030-01761-3 Online ISBN 978-3-030-01762-0")</f>
        <v>Digital Heritage. Progress in Cultural Heritage: Documentation, Preservation, and Protection, 7th International Conference, EuroMed 2018, Nicosia, Cyprus, October 29–November 3, 2018, Proceedings, Part I, Editors: Ioannides, M., Fink, E., Brumana, R., Patias, P., Doulamis, A., Martins, J., Wallace, M. (Eds.), Springer Nature Switzerland AG, 2018, pages 654-663, DOI 978-3-030-01762-0_58, © 2018 Print ISBN 978-3-030-01761-3 Online ISBN 978-3-030-01762-0</v>
      </c>
      <c r="F5398" s="10" t="str">
        <f ca="1">IFERROR(__xludf.DUMMYFUNCTION("""COMPUTED_VALUE"""),"Thomson Reuters, Elsevier's SCOPUS")</f>
        <v>Thomson Reuters, Elsevier's SCOPUS</v>
      </c>
      <c r="G5398" s="10"/>
      <c r="H5398" s="10"/>
      <c r="I5398" s="10"/>
      <c r="J5398" s="10"/>
      <c r="K5398" s="10"/>
      <c r="L5398" s="10"/>
      <c r="M5398" s="10"/>
      <c r="N5398" s="10"/>
      <c r="O5398" s="10"/>
      <c r="P5398" s="10"/>
      <c r="Q5398" s="10"/>
      <c r="R5398" s="10"/>
      <c r="S5398" s="10"/>
      <c r="T5398" s="10"/>
      <c r="U5398" s="10"/>
      <c r="V5398" s="10"/>
      <c r="W5398" s="10"/>
      <c r="X5398" s="10"/>
      <c r="Y5398" s="10"/>
      <c r="Z5398" s="10"/>
    </row>
    <row r="5399" spans="1:26" ht="12.75">
      <c r="A5399" s="10" t="str">
        <f ca="1">IFERROR(__xludf.DUMMYFUNCTION("""COMPUTED_VALUE"""),"Мариела Тодорова Модева (Нанкова)")</f>
        <v>Мариела Тодорова Модева (Нанкова)</v>
      </c>
      <c r="B5399" s="10" t="str">
        <f ca="1">IFERROR(__xludf.DUMMYFUNCTION("""COMPUTED_VALUE"""),"Доклад от конференция")</f>
        <v>Доклад от конференция</v>
      </c>
      <c r="C5399" s="10" t="str">
        <f ca="1">IFERROR(__xludf.DUMMYFUNCTION("""COMPUTED_VALUE"""),"Интердисциплинни аспекти и интерактивност в обучението по библиотечен и информационен мениджмънт")</f>
        <v>Интердисциплинни аспекти и интерактивност в обучението по библиотечен и информационен мениджмънт</v>
      </c>
      <c r="D5399" s="10">
        <f ca="1">IFERROR(__xludf.DUMMYFUNCTION("""COMPUTED_VALUE"""),2018)</f>
        <v>2018</v>
      </c>
      <c r="E5399" s="10" t="str">
        <f ca="1">IFERROR(__xludf.DUMMYFUNCTION("""COMPUTED_VALUE"""),"В: Библиотечният и информационен мениджмънт: 10 години постижения и предизвикателства, София : За буквите – О писменехь, 2018, с. 97-111, ISBN 978-619-185-347-2")</f>
        <v>В: Библиотечният и информационен мениджмънт: 10 години постижения и предизвикателства, София : За буквите – О писменехь, 2018, с. 97-111, ISBN 978-619-185-347-2</v>
      </c>
      <c r="F5399" s="10"/>
      <c r="G5399" s="10"/>
      <c r="H5399" s="10"/>
      <c r="I5399" s="10"/>
      <c r="J5399" s="10"/>
      <c r="K5399" s="10"/>
      <c r="L5399" s="10"/>
      <c r="M5399" s="10"/>
      <c r="N5399" s="10"/>
      <c r="O5399" s="10"/>
      <c r="P5399" s="10"/>
      <c r="Q5399" s="10"/>
      <c r="R5399" s="10"/>
      <c r="S5399" s="10"/>
      <c r="T5399" s="10"/>
      <c r="U5399" s="10"/>
      <c r="V5399" s="10"/>
      <c r="W5399" s="10"/>
      <c r="X5399" s="10"/>
      <c r="Y5399" s="10"/>
      <c r="Z5399" s="10"/>
    </row>
    <row r="5400" spans="1:26" ht="12.75">
      <c r="A5400" s="10" t="str">
        <f ca="1">IFERROR(__xludf.DUMMYFUNCTION("""COMPUTED_VALUE"""),"Мариела Тодорова Модева (Нанкова)")</f>
        <v>Мариела Тодорова Модева (Нанкова)</v>
      </c>
      <c r="B5400" s="10" t="str">
        <f ca="1">IFERROR(__xludf.DUMMYFUNCTION("""COMPUTED_VALUE"""),"Студия")</f>
        <v>Студия</v>
      </c>
      <c r="C5400" s="10" t="str">
        <f ca="1">IFERROR(__xludf.DUMMYFUNCTION("""COMPUTED_VALUE"""),"Защита на жени, жертва на насилие, на работното място. Добри практики")</f>
        <v>Защита на жени, жертва на насилие, на работното място. Добри практики</v>
      </c>
      <c r="D5400" s="10">
        <f ca="1">IFERROR(__xludf.DUMMYFUNCTION("""COMPUTED_VALUE"""),2018)</f>
        <v>2018</v>
      </c>
      <c r="E5400" s="10" t="str">
        <f ca="1">IFERROR(__xludf.DUMMYFUNCTION("""COMPUTED_VALUE"""),"В: Преходът, жените и насилието, София : Авангард Прима, 2019, с. 147-166. ISBN 978-619-239-049-5")</f>
        <v>В: Преходът, жените и насилието, София : Авангард Прима, 2019, с. 147-166. ISBN 978-619-239-049-5</v>
      </c>
      <c r="F5400" s="10"/>
      <c r="G5400" s="10"/>
      <c r="H5400" s="10"/>
      <c r="I5400" s="10"/>
      <c r="J5400" s="10"/>
      <c r="K5400" s="10"/>
      <c r="L5400" s="10"/>
      <c r="M5400" s="10"/>
      <c r="N5400" s="10"/>
      <c r="O5400" s="10"/>
      <c r="P5400" s="10"/>
      <c r="Q5400" s="10"/>
      <c r="R5400" s="10"/>
      <c r="S5400" s="10"/>
      <c r="T5400" s="10"/>
      <c r="U5400" s="10"/>
      <c r="V5400" s="10"/>
      <c r="W5400" s="10"/>
      <c r="X5400" s="10"/>
      <c r="Y5400" s="10"/>
      <c r="Z5400" s="10"/>
    </row>
    <row r="5401" spans="1:26" ht="12.75">
      <c r="A5401" s="10" t="str">
        <f ca="1">IFERROR(__xludf.DUMMYFUNCTION("""COMPUTED_VALUE"""),"Мариела Тодорова Модева (Нанкова)")</f>
        <v>Мариела Тодорова Модева (Нанкова)</v>
      </c>
      <c r="B5401" s="10" t="str">
        <f ca="1">IFERROR(__xludf.DUMMYFUNCTION("""COMPUTED_VALUE"""),"Статия в списания и поредици")</f>
        <v>Статия в списания и поредици</v>
      </c>
      <c r="C5401" s="10" t="str">
        <f ca="1">IFERROR(__xludf.DUMMYFUNCTION("""COMPUTED_VALUE"""),"Ролята на културното наследство за съвременното регионално развитие")</f>
        <v>Ролята на културното наследство за съвременното регионално развитие</v>
      </c>
      <c r="D5401" s="10">
        <f ca="1">IFERROR(__xludf.DUMMYFUNCTION("""COMPUTED_VALUE"""),2017)</f>
        <v>2017</v>
      </c>
      <c r="E5401" s="10" t="str">
        <f ca="1">IFERROR(__xludf.DUMMYFUNCTION("""COMPUTED_VALUE"""),"В. Опазване на културното наследство. Идеи и практики. По случай 60 години от присъединяването на България към ЮНЕСКО, изд. на БАН „Проф. Марин Дринов“, София, 2017, с. 104-111. ISBN 978-954-322-908-6")</f>
        <v>В. Опазване на културното наследство. Идеи и практики. По случай 60 години от присъединяването на България към ЮНЕСКО, изд. на БАН „Проф. Марин Дринов“, София, 2017, с. 104-111. ISBN 978-954-322-908-6</v>
      </c>
      <c r="F5401" s="10" t="str">
        <f ca="1">IFERROR(__xludf.DUMMYFUNCTION("""COMPUTED_VALUE"""),"Google Scholar")</f>
        <v>Google Scholar</v>
      </c>
      <c r="G5401" s="10"/>
      <c r="H5401" s="10"/>
      <c r="I5401" s="10"/>
      <c r="J5401" s="10"/>
      <c r="K5401" s="10"/>
      <c r="L5401" s="10"/>
      <c r="M5401" s="10"/>
      <c r="N5401" s="10"/>
      <c r="O5401" s="10"/>
      <c r="P5401" s="10"/>
      <c r="Q5401" s="10"/>
      <c r="R5401" s="10"/>
      <c r="S5401" s="10"/>
      <c r="T5401" s="10"/>
      <c r="U5401" s="10"/>
      <c r="V5401" s="10"/>
      <c r="W5401" s="10"/>
      <c r="X5401" s="10"/>
      <c r="Y5401" s="10"/>
      <c r="Z5401" s="10"/>
    </row>
    <row r="5402" spans="1:26" ht="12.75">
      <c r="A5402" s="10" t="str">
        <f ca="1">IFERROR(__xludf.DUMMYFUNCTION("""COMPUTED_VALUE"""),"Мариела Тодорова Модева (Нанкова)")</f>
        <v>Мариела Тодорова Модева (Нанкова)</v>
      </c>
      <c r="B5402" s="10" t="str">
        <f ca="1">IFERROR(__xludf.DUMMYFUNCTION("""COMPUTED_VALUE"""),"Доклад от конференция")</f>
        <v>Доклад от конференция</v>
      </c>
      <c r="C5402" s="10" t="str">
        <f ca="1">IFERROR(__xludf.DUMMYFUNCTION("""COMPUTED_VALUE"""),"Cultural dimensions of integration of migrants through the education")</f>
        <v>Cultural dimensions of integration of migrants through the education</v>
      </c>
      <c r="D5402" s="10">
        <f ca="1">IFERROR(__xludf.DUMMYFUNCTION("""COMPUTED_VALUE"""),2017)</f>
        <v>2017</v>
      </c>
      <c r="E5402" s="10" t="str">
        <f ca="1">IFERROR(__xludf.DUMMYFUNCTION("""COMPUTED_VALUE"""),"International UNESCO seminar, 29.11.– 2.12. 2016, Moscow, Russian Federation.")</f>
        <v>International UNESCO seminar, 29.11.– 2.12. 2016, Moscow, Russian Federation.</v>
      </c>
      <c r="F5402" s="10"/>
      <c r="G5402" s="10"/>
      <c r="H5402" s="10"/>
      <c r="I5402" s="10"/>
      <c r="J5402" s="10"/>
      <c r="K5402" s="10"/>
      <c r="L5402" s="10"/>
      <c r="M5402" s="10"/>
      <c r="N5402" s="10"/>
      <c r="O5402" s="10"/>
      <c r="P5402" s="10"/>
      <c r="Q5402" s="10"/>
      <c r="R5402" s="10"/>
      <c r="S5402" s="10"/>
      <c r="T5402" s="10"/>
      <c r="U5402" s="10"/>
      <c r="V5402" s="10"/>
      <c r="W5402" s="10"/>
      <c r="X5402" s="10"/>
      <c r="Y5402" s="10"/>
      <c r="Z5402" s="10"/>
    </row>
    <row r="5403" spans="1:26" ht="12.75">
      <c r="A5403" s="10" t="str">
        <f ca="1">IFERROR(__xludf.DUMMYFUNCTION("""COMPUTED_VALUE"""),"Мариела Тодорова Модева (Нанкова)")</f>
        <v>Мариела Тодорова Модева (Нанкова)</v>
      </c>
      <c r="B5403" s="10" t="str">
        <f ca="1">IFERROR(__xludf.DUMMYFUNCTION("""COMPUTED_VALUE"""),"Статия в списания и поредици")</f>
        <v>Статия в списания и поредици</v>
      </c>
      <c r="C5403" s="10" t="str">
        <f ca="1">IFERROR(__xludf.DUMMYFUNCTION("""COMPUTED_VALUE"""),"Культурные аспекты интеграции мигрантов средствами образования")</f>
        <v>Культурные аспекты интеграции мигрантов средствами образования</v>
      </c>
      <c r="D5403" s="10">
        <f ca="1">IFERROR(__xludf.DUMMYFUNCTION("""COMPUTED_VALUE"""),2017)</f>
        <v>2017</v>
      </c>
      <c r="E5403" s="10" t="str">
        <f ca="1">IFERROR(__xludf.DUMMYFUNCTION("""COMPUTED_VALUE"""),"«Этнодиалоги». Научно-информационный альманах. №3 (54) 2017, с. 23-34. ISSN 2071-8349")</f>
        <v>«Этнодиалоги». Научно-информационный альманах. №3 (54) 2017, с. 23-34. ISSN 2071-8349</v>
      </c>
      <c r="F5403" s="10" t="str">
        <f ca="1">IFERROR(__xludf.DUMMYFUNCTION("""COMPUTED_VALUE"""),"Индексиран в Российский индекс научного цитирования (РИНЦ) и в Science Index.")</f>
        <v>Индексиран в Российский индекс научного цитирования (РИНЦ) и в Science Index.</v>
      </c>
      <c r="G5403" s="10"/>
      <c r="H5403" s="10"/>
      <c r="I5403" s="10"/>
      <c r="J5403" s="10"/>
      <c r="K5403" s="10"/>
      <c r="L5403" s="10"/>
      <c r="M5403" s="10"/>
      <c r="N5403" s="10"/>
      <c r="O5403" s="10"/>
      <c r="P5403" s="10"/>
      <c r="Q5403" s="10"/>
      <c r="R5403" s="10"/>
      <c r="S5403" s="10"/>
      <c r="T5403" s="10"/>
      <c r="U5403" s="10"/>
      <c r="V5403" s="10"/>
      <c r="W5403" s="10"/>
      <c r="X5403" s="10"/>
      <c r="Y5403" s="10"/>
      <c r="Z5403" s="10"/>
    </row>
    <row r="5404" spans="1:26" ht="12.75">
      <c r="A5404" s="10" t="str">
        <f ca="1">IFERROR(__xludf.DUMMYFUNCTION("""COMPUTED_VALUE"""),"Мариела Тодорова Модева (Нанкова)")</f>
        <v>Мариела Тодорова Модева (Нанкова)</v>
      </c>
      <c r="B5404" s="10" t="str">
        <f ca="1">IFERROR(__xludf.DUMMYFUNCTION("""COMPUTED_VALUE"""),"Учебник")</f>
        <v>Учебник</v>
      </c>
      <c r="C5404" s="10" t="str">
        <f ca="1">IFERROR(__xludf.DUMMYFUNCTION("""COMPUTED_VALUE"""),"Европейски фондове и програми за подкрепа на културното наследство")</f>
        <v>Европейски фондове и програми за подкрепа на културното наследство</v>
      </c>
      <c r="D5404" s="10">
        <f ca="1">IFERROR(__xludf.DUMMYFUNCTION("""COMPUTED_VALUE"""),2016)</f>
        <v>2016</v>
      </c>
      <c r="E5404" s="10" t="str">
        <f ca="1">IFERROR(__xludf.DUMMYFUNCTION("""COMPUTED_VALUE"""),"София: изд. За буквите-О писменехь, 2016, 109 с. ISBN 978-619-185-233-8")</f>
        <v>София: изд. За буквите-О писменехь, 2016, 109 с. ISBN 978-619-185-233-8</v>
      </c>
      <c r="F5404" s="10" t="str">
        <f ca="1">IFERROR(__xludf.DUMMYFUNCTION("""COMPUTED_VALUE"""),"Google Scholar")</f>
        <v>Google Scholar</v>
      </c>
      <c r="G5404" s="10"/>
      <c r="H5404" s="10"/>
      <c r="I5404" s="10"/>
      <c r="J5404" s="10"/>
      <c r="K5404" s="10"/>
      <c r="L5404" s="10"/>
      <c r="M5404" s="10"/>
      <c r="N5404" s="10"/>
      <c r="O5404" s="10"/>
      <c r="P5404" s="10"/>
      <c r="Q5404" s="10"/>
      <c r="R5404" s="10"/>
      <c r="S5404" s="10"/>
      <c r="T5404" s="10"/>
      <c r="U5404" s="10"/>
      <c r="V5404" s="10"/>
      <c r="W5404" s="10"/>
      <c r="X5404" s="10"/>
      <c r="Y5404" s="10"/>
      <c r="Z5404" s="10"/>
    </row>
    <row r="5405" spans="1:26" ht="12.75">
      <c r="A5405" s="10" t="str">
        <f ca="1">IFERROR(__xludf.DUMMYFUNCTION("""COMPUTED_VALUE"""),"Мариела Тодорова Модева (Нанкова)")</f>
        <v>Мариела Тодорова Модева (Нанкова)</v>
      </c>
      <c r="B5405" s="10" t="str">
        <f ca="1">IFERROR(__xludf.DUMMYFUNCTION("""COMPUTED_VALUE"""),"Доклад от конференция")</f>
        <v>Доклад от конференция</v>
      </c>
      <c r="C5405" s="10" t="str">
        <f ca="1">IFERROR(__xludf.DUMMYFUNCTION("""COMPUTED_VALUE"""),"Bulgarian cultural institute - catalyst of the bulgarian-hungarian cultural relations in the period 1989-2015.")</f>
        <v>Bulgarian cultural institute - catalyst of the bulgarian-hungarian cultural relations in the period 1989-2015.</v>
      </c>
      <c r="D5405" s="10">
        <f ca="1">IFERROR(__xludf.DUMMYFUNCTION("""COMPUTED_VALUE"""),2016)</f>
        <v>2016</v>
      </c>
      <c r="E5405" s="10" t="str">
        <f ca="1">IFERROR(__xludf.DUMMYFUNCTION("""COMPUTED_VALUE"""),"Съвременни измерения на европейското образователно и научно пространство. София : За буквите - О писменехь, 2014- ISSN 2367-7988 (print)")</f>
        <v>Съвременни измерения на европейското образователно и научно пространство. София : За буквите - О писменехь, 2014- ISSN 2367-7988 (print)</v>
      </c>
      <c r="F5405" s="10" t="str">
        <f ca="1">IFERROR(__xludf.DUMMYFUNCTION("""COMPUTED_VALUE"""),"Google Scholar")</f>
        <v>Google Scholar</v>
      </c>
      <c r="G5405" s="10"/>
      <c r="H5405" s="10"/>
      <c r="I5405" s="10"/>
      <c r="J5405" s="10"/>
      <c r="K5405" s="10"/>
      <c r="L5405" s="10"/>
      <c r="M5405" s="10"/>
      <c r="N5405" s="10"/>
      <c r="O5405" s="10"/>
      <c r="P5405" s="10"/>
      <c r="Q5405" s="10"/>
      <c r="R5405" s="10"/>
      <c r="S5405" s="10"/>
      <c r="T5405" s="10"/>
      <c r="U5405" s="10"/>
      <c r="V5405" s="10"/>
      <c r="W5405" s="10"/>
      <c r="X5405" s="10"/>
      <c r="Y5405" s="10"/>
      <c r="Z5405" s="10"/>
    </row>
    <row r="5406" spans="1:26" ht="12.75">
      <c r="A5406" s="10" t="str">
        <f ca="1">IFERROR(__xludf.DUMMYFUNCTION("""COMPUTED_VALUE"""),"Мариела Тодорова Модева (Нанкова)")</f>
        <v>Мариела Тодорова Модева (Нанкова)</v>
      </c>
      <c r="B5406" s="10" t="str">
        <f ca="1">IFERROR(__xludf.DUMMYFUNCTION("""COMPUTED_VALUE"""),"Статия в списания и поредици")</f>
        <v>Статия в списания и поредици</v>
      </c>
      <c r="C5406" s="10" t="str">
        <f ca="1">IFERROR(__xludf.DUMMYFUNCTION("""COMPUTED_VALUE"""),"Ролята на религиозната толерантност при опазването на културното наследство в контекста на настоящата геостратегическа ситуация")</f>
        <v>Ролята на религиозната толерантност при опазването на културното наследство в контекста на настоящата геостратегическа ситуация</v>
      </c>
      <c r="D5406" s="10">
        <f ca="1">IFERROR(__xludf.DUMMYFUNCTION("""COMPUTED_VALUE"""),2016)</f>
        <v>2016</v>
      </c>
      <c r="E5406" s="10" t="str">
        <f ca="1">IFERROR(__xludf.DUMMYFUNCTION("""COMPUTED_VALUE"""),"В: Геостратегическата ситуация и бежанските вълни - между хуманизма и агресията. София: изд. Авангард Прима. ISBN 978-619-160-615-3")</f>
        <v>В: Геостратегическата ситуация и бежанските вълни - между хуманизма и агресията. София: изд. Авангард Прима. ISBN 978-619-160-615-3</v>
      </c>
      <c r="F5406" s="10" t="str">
        <f ca="1">IFERROR(__xludf.DUMMYFUNCTION("""COMPUTED_VALUE"""),"Google Scholar")</f>
        <v>Google Scholar</v>
      </c>
      <c r="G5406" s="10"/>
      <c r="H5406" s="10"/>
      <c r="I5406" s="10"/>
      <c r="J5406" s="10"/>
      <c r="K5406" s="10"/>
      <c r="L5406" s="10"/>
      <c r="M5406" s="10"/>
      <c r="N5406" s="10"/>
      <c r="O5406" s="10"/>
      <c r="P5406" s="10"/>
      <c r="Q5406" s="10"/>
      <c r="R5406" s="10"/>
      <c r="S5406" s="10"/>
      <c r="T5406" s="10"/>
      <c r="U5406" s="10"/>
      <c r="V5406" s="10"/>
      <c r="W5406" s="10"/>
      <c r="X5406" s="10"/>
      <c r="Y5406" s="10"/>
      <c r="Z5406" s="10"/>
    </row>
    <row r="5407" spans="1:26" ht="12.75">
      <c r="A5407" s="10" t="str">
        <f ca="1">IFERROR(__xludf.DUMMYFUNCTION("""COMPUTED_VALUE"""),"Мариела Тодорова Модева (Нанкова)")</f>
        <v>Мариела Тодорова Модева (Нанкова)</v>
      </c>
      <c r="B5407" s="10" t="str">
        <f ca="1">IFERROR(__xludf.DUMMYFUNCTION("""COMPUTED_VALUE"""),"Доклад от конференция")</f>
        <v>Доклад от конференция</v>
      </c>
      <c r="C5407" s="10" t="str">
        <f ca="1">IFERROR(__xludf.DUMMYFUNCTION("""COMPUTED_VALUE"""),"From Accredited Qualifications to Certified Skills: The SummerKnowledge Academy-New Educational Approach in the State University of Library Studies and Information Technologies")</f>
        <v>From Accredited Qualifications to Certified Skills: The SummerKnowledge Academy-New Educational Approach in the State University of Library Studies and Information Technologies</v>
      </c>
      <c r="D5407" s="10">
        <f ca="1">IFERROR(__xludf.DUMMYFUNCTION("""COMPUTED_VALUE"""),2016)</f>
        <v>2016</v>
      </c>
      <c r="E5407" s="10" t="str">
        <f ca="1">IFERROR(__xludf.DUMMYFUNCTION("""COMPUTED_VALUE"""),"Proceedings of the 2nd Annual, 2016, ISSN 2241-2891, No: LIB2015-2151, pp. 3–13.")</f>
        <v>Proceedings of the 2nd Annual, 2016, ISSN 2241-2891, No: LIB2015-2151, pp. 3–13.</v>
      </c>
      <c r="F5407" s="10" t="str">
        <f ca="1">IFERROR(__xludf.DUMMYFUNCTION("""COMPUTED_VALUE"""),"Google Scholar")</f>
        <v>Google Scholar</v>
      </c>
      <c r="G5407" s="10" t="str">
        <f ca="1">IFERROR(__xludf.DUMMYFUNCTION("""COMPUTED_VALUE"""),"Denchev, S., Nankova, M. and others")</f>
        <v>Denchev, S., Nankova, M. and others</v>
      </c>
      <c r="H5407" s="10"/>
      <c r="I5407" s="10"/>
      <c r="J5407" s="10"/>
      <c r="K5407" s="10"/>
      <c r="L5407" s="10"/>
      <c r="M5407" s="10"/>
      <c r="N5407" s="10"/>
      <c r="O5407" s="10"/>
      <c r="P5407" s="10"/>
      <c r="Q5407" s="10"/>
      <c r="R5407" s="10"/>
      <c r="S5407" s="10"/>
      <c r="T5407" s="10"/>
      <c r="U5407" s="10"/>
      <c r="V5407" s="10"/>
      <c r="W5407" s="10"/>
      <c r="X5407" s="10"/>
      <c r="Y5407" s="10"/>
      <c r="Z5407" s="10"/>
    </row>
    <row r="5408" spans="1:26" ht="12.75">
      <c r="A5408" s="10" t="str">
        <f ca="1">IFERROR(__xludf.DUMMYFUNCTION("""COMPUTED_VALUE"""),"Мариела Тодорова Модева (Нанкова)")</f>
        <v>Мариела Тодорова Модева (Нанкова)</v>
      </c>
      <c r="B5408" s="10" t="str">
        <f ca="1">IFERROR(__xludf.DUMMYFUNCTION("""COMPUTED_VALUE"""),"Статия в списания и поредици")</f>
        <v>Статия в списания и поредици</v>
      </c>
      <c r="C5408" s="10" t="str">
        <f ca="1">IFERROR(__xludf.DUMMYFUNCTION("""COMPUTED_VALUE"""),"Ролята на библиотеките за развитие на културния туризъм.")</f>
        <v>Ролята на библиотеките за развитие на културния туризъм.</v>
      </c>
      <c r="D5408" s="10">
        <f ca="1">IFERROR(__xludf.DUMMYFUNCTION("""COMPUTED_VALUE"""),2016)</f>
        <v>2016</v>
      </c>
      <c r="E5408" s="10" t="str">
        <f ca="1">IFERROR(__xludf.DUMMYFUNCTION("""COMPUTED_VALUE"""),"Обществото на знанието и хуманизмът на XXI век : национална научна конференция с международно участие. София : За буквите - О писменехь, [2003]- ISSN 1314-7099")</f>
        <v>Обществото на знанието и хуманизмът на XXI век : национална научна конференция с международно участие. София : За буквите - О писменехь, [2003]- ISSN 1314-7099</v>
      </c>
      <c r="F5408" s="10" t="str">
        <f ca="1">IFERROR(__xludf.DUMMYFUNCTION("""COMPUTED_VALUE"""),"Google Scholar")</f>
        <v>Google Scholar</v>
      </c>
      <c r="G5408" s="10"/>
      <c r="H5408" s="10"/>
      <c r="I5408" s="10"/>
      <c r="J5408" s="10"/>
      <c r="K5408" s="10"/>
      <c r="L5408" s="10"/>
      <c r="M5408" s="10"/>
      <c r="N5408" s="10"/>
      <c r="O5408" s="10"/>
      <c r="P5408" s="10"/>
      <c r="Q5408" s="10"/>
      <c r="R5408" s="10"/>
      <c r="S5408" s="10"/>
      <c r="T5408" s="10"/>
      <c r="U5408" s="10"/>
      <c r="V5408" s="10"/>
      <c r="W5408" s="10"/>
      <c r="X5408" s="10"/>
      <c r="Y5408" s="10"/>
      <c r="Z5408" s="10"/>
    </row>
    <row r="5409" spans="1:26" ht="12.75">
      <c r="A5409" s="10" t="str">
        <f ca="1">IFERROR(__xludf.DUMMYFUNCTION("""COMPUTED_VALUE"""),"Мариела Тодорова Модева (Нанкова)")</f>
        <v>Мариела Тодорова Модева (Нанкова)</v>
      </c>
      <c r="B5409" s="10" t="str">
        <f ca="1">IFERROR(__xludf.DUMMYFUNCTION("""COMPUTED_VALUE"""),"Доклад от конференция")</f>
        <v>Доклад от конференция</v>
      </c>
      <c r="C5409" s="10" t="str">
        <f ca="1">IFERROR(__xludf.DUMMYFUNCTION("""COMPUTED_VALUE"""),"The role of ICT in Cultural Heritage Education")</f>
        <v>The role of ICT in Cultural Heritage Education</v>
      </c>
      <c r="D5409" s="10">
        <f ca="1">IFERROR(__xludf.DUMMYFUNCTION("""COMPUTED_VALUE"""),2016)</f>
        <v>2016</v>
      </c>
      <c r="E5409" s="10" t="str">
        <f ca="1">IFERROR(__xludf.DUMMYFUNCTION("""COMPUTED_VALUE"""),"UNESCO International Workshop QED’16: Technology Advanced Quality Learning for ALL, June 13-15, 2016, Sofia, електронна публикация")</f>
        <v>UNESCO International Workshop QED’16: Technology Advanced Quality Learning for ALL, June 13-15, 2016, Sofia, електронна публикация</v>
      </c>
      <c r="F5409" s="10" t="str">
        <f ca="1">IFERROR(__xludf.DUMMYFUNCTION("""COMPUTED_VALUE"""),"Google Scholar")</f>
        <v>Google Scholar</v>
      </c>
      <c r="G5409" s="10"/>
      <c r="H5409" s="10"/>
      <c r="I5409" s="10"/>
      <c r="J5409" s="10"/>
      <c r="K5409" s="10"/>
      <c r="L5409" s="10"/>
      <c r="M5409" s="10"/>
      <c r="N5409" s="10"/>
      <c r="O5409" s="10"/>
      <c r="P5409" s="10"/>
      <c r="Q5409" s="10"/>
      <c r="R5409" s="10"/>
      <c r="S5409" s="10"/>
      <c r="T5409" s="10"/>
      <c r="U5409" s="10"/>
      <c r="V5409" s="10"/>
      <c r="W5409" s="10"/>
      <c r="X5409" s="10"/>
      <c r="Y5409" s="10"/>
      <c r="Z5409" s="10"/>
    </row>
    <row r="5410" spans="1:26" ht="12.75">
      <c r="A5410" s="10" t="str">
        <f ca="1">IFERROR(__xludf.DUMMYFUNCTION("""COMPUTED_VALUE"""),"Мариела Тодорова Модева (Нанкова)")</f>
        <v>Мариела Тодорова Модева (Нанкова)</v>
      </c>
      <c r="B5410" s="10" t="str">
        <f ca="1">IFERROR(__xludf.DUMMYFUNCTION("""COMPUTED_VALUE"""),"Учебник")</f>
        <v>Учебник</v>
      </c>
      <c r="C5410" s="10" t="str">
        <f ca="1">IFERROR(__xludf.DUMMYFUNCTION("""COMPUTED_VALUE"""),"Европейски институции")</f>
        <v>Европейски институции</v>
      </c>
      <c r="D5410" s="10">
        <f ca="1">IFERROR(__xludf.DUMMYFUNCTION("""COMPUTED_VALUE"""),2016)</f>
        <v>2016</v>
      </c>
      <c r="E5410" s="10" t="str">
        <f ca="1">IFERROR(__xludf.DUMMYFUNCTION("""COMPUTED_VALUE"""),"София: изд. За буквите-О писменехь, 2016, 283 с. ISBN 978-619-185-232-1")</f>
        <v>София: изд. За буквите-О писменехь, 2016, 283 с. ISBN 978-619-185-232-1</v>
      </c>
      <c r="F5410" s="10" t="str">
        <f ca="1">IFERROR(__xludf.DUMMYFUNCTION("""COMPUTED_VALUE"""),"Google Scholar")</f>
        <v>Google Scholar</v>
      </c>
      <c r="G5410" s="10"/>
      <c r="H5410" s="10"/>
      <c r="I5410" s="10"/>
      <c r="J5410" s="10"/>
      <c r="K5410" s="10"/>
      <c r="L5410" s="10"/>
      <c r="M5410" s="10"/>
      <c r="N5410" s="10"/>
      <c r="O5410" s="10"/>
      <c r="P5410" s="10"/>
      <c r="Q5410" s="10"/>
      <c r="R5410" s="10"/>
      <c r="S5410" s="10"/>
      <c r="T5410" s="10"/>
      <c r="U5410" s="10"/>
      <c r="V5410" s="10"/>
      <c r="W5410" s="10"/>
      <c r="X5410" s="10"/>
      <c r="Y5410" s="10"/>
      <c r="Z5410" s="10"/>
    </row>
    <row r="5411" spans="1:26" ht="12.75">
      <c r="A5411" s="10" t="str">
        <f ca="1">IFERROR(__xludf.DUMMYFUNCTION("""COMPUTED_VALUE"""),"Мариела Тодорова Модева (Нанкова)")</f>
        <v>Мариела Тодорова Модева (Нанкова)</v>
      </c>
      <c r="B5411" s="10" t="str">
        <f ca="1">IFERROR(__xludf.DUMMYFUNCTION("""COMPUTED_VALUE"""),"Книга")</f>
        <v>Книга</v>
      </c>
      <c r="C5411" s="10" t="str">
        <f ca="1">IFERROR(__xludf.DUMMYFUNCTION("""COMPUTED_VALUE"""),"Библиотеки и културен туризъм (възможности и предпоставки за развитие)")</f>
        <v>Библиотеки и културен туризъм (възможности и предпоставки за развитие)</v>
      </c>
      <c r="D5411" s="10">
        <f ca="1">IFERROR(__xludf.DUMMYFUNCTION("""COMPUTED_VALUE"""),2016)</f>
        <v>2016</v>
      </c>
      <c r="E5411" s="10" t="str">
        <f ca="1">IFERROR(__xludf.DUMMYFUNCTION("""COMPUTED_VALUE"""),"София: изд. За буквите- О писменехь, 2016 г., 368 с. ISBN 978-619-185-234-5")</f>
        <v>София: изд. За буквите- О писменехь, 2016 г., 368 с. ISBN 978-619-185-234-5</v>
      </c>
      <c r="F5411" s="10" t="str">
        <f ca="1">IFERROR(__xludf.DUMMYFUNCTION("""COMPUTED_VALUE"""),"Google Scholar")</f>
        <v>Google Scholar</v>
      </c>
      <c r="G5411" s="10"/>
      <c r="H5411" s="10"/>
      <c r="I5411" s="10"/>
      <c r="J5411" s="10"/>
      <c r="K5411" s="10"/>
      <c r="L5411" s="10"/>
      <c r="M5411" s="10"/>
      <c r="N5411" s="10"/>
      <c r="O5411" s="10"/>
      <c r="P5411" s="10"/>
      <c r="Q5411" s="10"/>
      <c r="R5411" s="10"/>
      <c r="S5411" s="10"/>
      <c r="T5411" s="10"/>
      <c r="U5411" s="10"/>
      <c r="V5411" s="10"/>
      <c r="W5411" s="10"/>
      <c r="X5411" s="10"/>
      <c r="Y5411" s="10"/>
      <c r="Z5411" s="10"/>
    </row>
    <row r="5412" spans="1:26" ht="12.75">
      <c r="A5412" s="10" t="str">
        <f ca="1">IFERROR(__xludf.DUMMYFUNCTION("""COMPUTED_VALUE"""),"Мариела Тодорова Модева (Нанкова)")</f>
        <v>Мариела Тодорова Модева (Нанкова)</v>
      </c>
      <c r="B5412" s="10" t="str">
        <f ca="1">IFERROR(__xludf.DUMMYFUNCTION("""COMPUTED_VALUE"""),"Доклад от конференция")</f>
        <v>Доклад от конференция</v>
      </c>
      <c r="C5412" s="10" t="str">
        <f ca="1">IFERROR(__xludf.DUMMYFUNCTION("""COMPUTED_VALUE"""),"Ролята на библиотеките за преодоляване на дигиталното разделение")</f>
        <v>Ролята на библиотеките за преодоляване на дигиталното разделение</v>
      </c>
      <c r="D5412" s="10">
        <f ca="1">IFERROR(__xludf.DUMMYFUNCTION("""COMPUTED_VALUE"""),2015)</f>
        <v>2015</v>
      </c>
      <c r="E5412" s="10" t="str">
        <f ca="1">IFERROR(__xludf.DUMMYFUNCTION("""COMPUTED_VALUE"""),"Интелектуалната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София: изд. За буквите-О писменехь, 2015, с. 272-279. София : За буквите - О писменехь, 2015 I"&amp;"SBN 978-619-185-160-7")</f>
        <v>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София: изд. За буквите-О писменехь, 2015, с. 272-279. София : За буквите - О писменехь, 2015 ISBN 978-619-185-160-7</v>
      </c>
      <c r="F5412" s="10" t="str">
        <f ca="1">IFERROR(__xludf.DUMMYFUNCTION("""COMPUTED_VALUE"""),"Google Scholar")</f>
        <v>Google Scholar</v>
      </c>
      <c r="G5412" s="10"/>
      <c r="H5412" s="10"/>
      <c r="I5412" s="10"/>
      <c r="J5412" s="10"/>
      <c r="K5412" s="10"/>
      <c r="L5412" s="10"/>
      <c r="M5412" s="10"/>
      <c r="N5412" s="10"/>
      <c r="O5412" s="10"/>
      <c r="P5412" s="10"/>
      <c r="Q5412" s="10"/>
      <c r="R5412" s="10"/>
      <c r="S5412" s="10"/>
      <c r="T5412" s="10"/>
      <c r="U5412" s="10"/>
      <c r="V5412" s="10"/>
      <c r="W5412" s="10"/>
      <c r="X5412" s="10"/>
      <c r="Y5412" s="10"/>
      <c r="Z5412" s="10"/>
    </row>
    <row r="5413" spans="1:26" ht="12.75">
      <c r="A5413" s="10" t="str">
        <f ca="1">IFERROR(__xludf.DUMMYFUNCTION("""COMPUTED_VALUE"""),"Мариела Тодорова Модева (Нанкова)")</f>
        <v>Мариела Тодорова Модева (Нанкова)</v>
      </c>
      <c r="B5413" s="10" t="str">
        <f ca="1">IFERROR(__xludf.DUMMYFUNCTION("""COMPUTED_VALUE"""),"Статия в списания и поредици")</f>
        <v>Статия в списания и поредици</v>
      </c>
      <c r="C5413"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5413" s="10">
        <f ca="1">IFERROR(__xludf.DUMMYFUNCTION("""COMPUTED_VALUE"""),2015)</f>
        <v>2015</v>
      </c>
      <c r="E5413" s="10" t="str">
        <f ca="1">IFERROR(__xludf.DUMMYFUNCTION("""COMPUTED_VALUE"""),"Conference Proceedings : 2nd International Conference for Library and Information Science, Abstract book, Athens, Greece, 27-30 July 2015, , p. 45-47. Athens: ATINER'S Conference Paper Series, No: LIB2015-2151. ISSN: 2241-2891.")</f>
        <v>Conference Proceedings : 2nd International Conference for Library and Information Science, Abstract book, Athens, Greece, 27-30 July 2015, , p. 45-47. Athens: ATINER'S Conference Paper Series, No: LIB2015-2151. ISSN: 2241-2891.</v>
      </c>
      <c r="F5413" s="10" t="str">
        <f ca="1">IFERROR(__xludf.DUMMYFUNCTION("""COMPUTED_VALUE"""),"Google Scholar")</f>
        <v>Google Scholar</v>
      </c>
      <c r="G5413" s="10" t="str">
        <f ca="1">IFERROR(__xludf.DUMMYFUNCTION("""COMPUTED_VALUE"""),"Tereza Trencheva et al. Other authors: Stoyan Denchev, Dobri Boyadzhiev, Diana Stoyanova, Elena Ignatova, Konstantin Kazakov, Mariela Nankova, Nikolay Mitev, Vasil Zagorov.")</f>
        <v>Tereza Trencheva et al. Other authors: Stoyan Denchev, Dobri Boyadzhiev, Diana Stoyanova, Elena Ignatova, Konstantin Kazakov, Mariela Nankova, Nikolay Mitev, Vasil Zagorov.</v>
      </c>
      <c r="H5413" s="10"/>
      <c r="I5413" s="10"/>
      <c r="J5413" s="10"/>
      <c r="K5413" s="10"/>
      <c r="L5413" s="10"/>
      <c r="M5413" s="10"/>
      <c r="N5413" s="10"/>
      <c r="O5413" s="10"/>
      <c r="P5413" s="10"/>
      <c r="Q5413" s="10"/>
      <c r="R5413" s="10"/>
      <c r="S5413" s="10"/>
      <c r="T5413" s="10"/>
      <c r="U5413" s="10"/>
      <c r="V5413" s="10"/>
      <c r="W5413" s="10"/>
      <c r="X5413" s="10"/>
      <c r="Y5413" s="10"/>
      <c r="Z5413" s="10"/>
    </row>
    <row r="5414" spans="1:26" ht="12.75">
      <c r="A5414" s="10" t="str">
        <f ca="1">IFERROR(__xludf.DUMMYFUNCTION("""COMPUTED_VALUE"""),"Мариела Тодорова Модева (Нанкова)")</f>
        <v>Мариела Тодорова Модева (Нанкова)</v>
      </c>
      <c r="B5414" s="10" t="str">
        <f ca="1">IFERROR(__xludf.DUMMYFUNCTION("""COMPUTED_VALUE"""),"Статия в списания и поредици")</f>
        <v>Статия в списания и поредици</v>
      </c>
      <c r="C5414" s="10" t="str">
        <f ca="1">IFERROR(__xludf.DUMMYFUNCTION("""COMPUTED_VALUE"""),"Перспективи пред взаимодействията между обществената библиотека и обществените организации в условията на информационното общество.")</f>
        <v>Перспективи пред взаимодействията между обществената библиотека и обществените организации в условията на информационното общество.</v>
      </c>
      <c r="D5414" s="10">
        <f ca="1">IFERROR(__xludf.DUMMYFUNCTION("""COMPUTED_VALUE"""),2015)</f>
        <v>2015</v>
      </c>
      <c r="E5414" s="10" t="str">
        <f ca="1">IFERROR(__xludf.DUMMYFUNCTION("""COMPUTED_VALUE"""),"Обществото на знанието и хуманизмът на XXI век : национална научна конференция с международно участие. София : За буквите - О писменехь, [2003]- ISSN 1314-7099")</f>
        <v>Обществото на знанието и хуманизмът на XXI век : национална научна конференция с международно участие. София : За буквите - О писменехь, [2003]- ISSN 1314-7099</v>
      </c>
      <c r="F5414" s="10" t="str">
        <f ca="1">IFERROR(__xludf.DUMMYFUNCTION("""COMPUTED_VALUE"""),"Google Scholar")</f>
        <v>Google Scholar</v>
      </c>
      <c r="G5414" s="10"/>
      <c r="H5414" s="10"/>
      <c r="I5414" s="10"/>
      <c r="J5414" s="10"/>
      <c r="K5414" s="10"/>
      <c r="L5414" s="10"/>
      <c r="M5414" s="10"/>
      <c r="N5414" s="10"/>
      <c r="O5414" s="10"/>
      <c r="P5414" s="10"/>
      <c r="Q5414" s="10"/>
      <c r="R5414" s="10"/>
      <c r="S5414" s="10"/>
      <c r="T5414" s="10"/>
      <c r="U5414" s="10"/>
      <c r="V5414" s="10"/>
      <c r="W5414" s="10"/>
      <c r="X5414" s="10"/>
      <c r="Y5414" s="10"/>
      <c r="Z5414" s="10"/>
    </row>
    <row r="5415" spans="1:26" ht="12.75">
      <c r="A5415" s="10" t="str">
        <f ca="1">IFERROR(__xludf.DUMMYFUNCTION("""COMPUTED_VALUE"""),"Мариела Тодорова Модева (Нанкова)")</f>
        <v>Мариела Тодорова Модева (Нанкова)</v>
      </c>
      <c r="B5415" s="10" t="str">
        <f ca="1">IFERROR(__xludf.DUMMYFUNCTION("""COMPUTED_VALUE"""),"Статия в списания и поредици")</f>
        <v>Статия в списания и поредици</v>
      </c>
      <c r="C5415" s="10" t="str">
        <f ca="1">IFERROR(__xludf.DUMMYFUNCTION("""COMPUTED_VALUE"""),"Място на еко-етическите знания и нагласи в опазването на културно-историческото наследство - национални специфики")</f>
        <v>Място на еко-етическите знания и нагласи в опазването на културно-историческото наследство - национални специфики</v>
      </c>
      <c r="D5415" s="10">
        <f ca="1">IFERROR(__xludf.DUMMYFUNCTION("""COMPUTED_VALUE"""),2015)</f>
        <v>2015</v>
      </c>
      <c r="E5415" s="10" t="str">
        <f ca="1">IFERROR(__xludf.DUMMYFUNCTION("""COMPUTED_VALUE"""),"Екологическа етика, природа и устойчиво развитие на България : десета национална конференция по етика, 20-21 ноември 2014, София : сборник статии / [състав. и науч. ред. Емилия Маринова]. София : Фонд. Устойчиво развитие за България, 2015 (София : Булгед)"&amp;". ISBN 978-619-7136-15-9")</f>
        <v>Екологическа етика, природа и устойчиво развитие на България : десета национална конференция по етика, 20-21 ноември 2014, София : сборник статии / [състав. и науч. ред. Емилия Маринова]. София : Фонд. Устойчиво развитие за България, 2015 (София : Булгед). ISBN 978-619-7136-15-9</v>
      </c>
      <c r="F5415" s="10" t="str">
        <f ca="1">IFERROR(__xludf.DUMMYFUNCTION("""COMPUTED_VALUE"""),"Google Scholar")</f>
        <v>Google Scholar</v>
      </c>
      <c r="G5415" s="10"/>
      <c r="H5415" s="10"/>
      <c r="I5415" s="10"/>
      <c r="J5415" s="10"/>
      <c r="K5415" s="10"/>
      <c r="L5415" s="10"/>
      <c r="M5415" s="10"/>
      <c r="N5415" s="10"/>
      <c r="O5415" s="10"/>
      <c r="P5415" s="10"/>
      <c r="Q5415" s="10"/>
      <c r="R5415" s="10"/>
      <c r="S5415" s="10"/>
      <c r="T5415" s="10"/>
      <c r="U5415" s="10"/>
      <c r="V5415" s="10"/>
      <c r="W5415" s="10"/>
      <c r="X5415" s="10"/>
      <c r="Y5415" s="10"/>
      <c r="Z5415" s="10"/>
    </row>
    <row r="5416" spans="1:26" ht="12.75">
      <c r="A5416" s="10" t="str">
        <f ca="1">IFERROR(__xludf.DUMMYFUNCTION("""COMPUTED_VALUE"""),"Мариела Тодорова Модева (Нанкова)")</f>
        <v>Мариела Тодорова Модева (Нанкова)</v>
      </c>
      <c r="B5416" s="10" t="str">
        <f ca="1">IFERROR(__xludf.DUMMYFUNCTION("""COMPUTED_VALUE"""),"Доклад от конференция")</f>
        <v>Доклад от конференция</v>
      </c>
      <c r="C5416" s="10" t="str">
        <f ca="1">IFERROR(__xludf.DUMMYFUNCTION("""COMPUTED_VALUE"""),"Опазване на културното наследство в България и Турция")</f>
        <v>Опазване на културното наследство в България и Турция</v>
      </c>
      <c r="D5416" s="10">
        <f ca="1">IFERROR(__xludf.DUMMYFUNCTION("""COMPUTED_VALUE"""),2015)</f>
        <v>2015</v>
      </c>
      <c r="E5416" s="10" t="str">
        <f ca="1">IFERROR(__xludf.DUMMYFUNCTION("""COMPUTED_VALUE"""),"Научен семинар на УниБИТ, Истанбул, 2015.""Научен семинар на УниБИТ, Истанбул, 2015, София : За буквите – О писменехь, 2015, ISSN 1313-2768, c. 149–158. """)</f>
        <v>Научен семинар на УниБИТ, Истанбул, 2015."Научен семинар на УниБИТ, Истанбул, 2015, София : За буквите – О писменехь, 2015, ISSN 1313-2768, c. 149–158. "</v>
      </c>
      <c r="F5416" s="10"/>
      <c r="G5416" s="10"/>
      <c r="H5416" s="10"/>
      <c r="I5416" s="10"/>
      <c r="J5416" s="10"/>
      <c r="K5416" s="10"/>
      <c r="L5416" s="10"/>
      <c r="M5416" s="10"/>
      <c r="N5416" s="10"/>
      <c r="O5416" s="10"/>
      <c r="P5416" s="10"/>
      <c r="Q5416" s="10"/>
      <c r="R5416" s="10"/>
      <c r="S5416" s="10"/>
      <c r="T5416" s="10"/>
      <c r="U5416" s="10"/>
      <c r="V5416" s="10"/>
      <c r="W5416" s="10"/>
      <c r="X5416" s="10"/>
      <c r="Y5416" s="10"/>
      <c r="Z5416" s="10"/>
    </row>
    <row r="5417" spans="1:26" ht="12.75">
      <c r="A5417" s="10" t="str">
        <f ca="1">IFERROR(__xludf.DUMMYFUNCTION("""COMPUTED_VALUE"""),"Мариела Тодорова Модева (Нанкова)")</f>
        <v>Мариела Тодорова Модева (Нанкова)</v>
      </c>
      <c r="B5417" s="10" t="str">
        <f ca="1">IFERROR(__xludf.DUMMYFUNCTION("""COMPUTED_VALUE"""),"Статия в списания и поредици")</f>
        <v>Статия в списания и поредици</v>
      </c>
      <c r="C5417" s="10" t="str">
        <f ca="1">IFERROR(__xludf.DUMMYFUNCTION("""COMPUTED_VALUE"""),"Older Adults’ Lifelong Learning and ICT Use in the Danube Region")</f>
        <v>Older Adults’ Lifelong Learning and ICT Use in the Danube Region</v>
      </c>
      <c r="D5417" s="10">
        <f ca="1">IFERROR(__xludf.DUMMYFUNCTION("""COMPUTED_VALUE"""),2015)</f>
        <v>2015</v>
      </c>
      <c r="E5417" s="10" t="str">
        <f ca="1">IFERROR(__xludf.DUMMYFUNCTION("""COMPUTED_VALUE"""),"University of Ulm, Newsletter, 2015.")</f>
        <v>University of Ulm, Newsletter, 2015.</v>
      </c>
      <c r="F5417" s="10"/>
      <c r="G5417" s="10"/>
      <c r="H5417" s="10"/>
      <c r="I5417" s="10"/>
      <c r="J5417" s="10"/>
      <c r="K5417" s="10"/>
      <c r="L5417" s="10"/>
      <c r="M5417" s="10"/>
      <c r="N5417" s="10"/>
      <c r="O5417" s="10"/>
      <c r="P5417" s="10"/>
      <c r="Q5417" s="10"/>
      <c r="R5417" s="10"/>
      <c r="S5417" s="10"/>
      <c r="T5417" s="10"/>
      <c r="U5417" s="10"/>
      <c r="V5417" s="10"/>
      <c r="W5417" s="10"/>
      <c r="X5417" s="10"/>
      <c r="Y5417" s="10"/>
      <c r="Z5417" s="10"/>
    </row>
    <row r="5418" spans="1:26" ht="12.75">
      <c r="A5418" s="10" t="str">
        <f ca="1">IFERROR(__xludf.DUMMYFUNCTION("""COMPUTED_VALUE"""),"Мариела Тодорова Модева (Нанкова)")</f>
        <v>Мариела Тодорова Модева (Нанкова)</v>
      </c>
      <c r="B5418" s="10" t="str">
        <f ca="1">IFERROR(__xludf.DUMMYFUNCTION("""COMPUTED_VALUE"""),"Статия в списания и поредици")</f>
        <v>Статия в списания и поредици</v>
      </c>
      <c r="C5418" s="10" t="str">
        <f ca="1">IFERROR(__xludf.DUMMYFUNCTION("""COMPUTED_VALUE"""),"Съвременно значение на културното наследство за регионалното развитие")</f>
        <v>Съвременно значение на културното наследство за регионалното развитие</v>
      </c>
      <c r="D5418" s="10">
        <f ca="1">IFERROR(__xludf.DUMMYFUNCTION("""COMPUTED_VALUE"""),2015)</f>
        <v>2015</v>
      </c>
      <c r="E5418" s="10" t="str">
        <f ca="1">IFERROR(__xludf.DUMMYFUNCTION("""COMPUTED_VALUE"""),"В // Международен научноизследователски и образователен проект „Изкуство и жизнена среда“. Научна конференция с международно участие „Съвременни технологии в културно-историческото наследство“ : сборник доклади. София: ТУ, 2015, с. 70-76. София : Т. 1 (20"&amp;"13)- ISSN 2367-6523")</f>
        <v>В // Международен научноизследователски и образователен проект „Изкуство и жизнена среда“. Научна конференция с международно участие „Съвременни технологии в културно-историческото наследство“ : сборник доклади. София: ТУ, 2015, с. 70-76. София : Т. 1 (2013)- ISSN 2367-6523</v>
      </c>
      <c r="F5418" s="10" t="str">
        <f ca="1">IFERROR(__xludf.DUMMYFUNCTION("""COMPUTED_VALUE"""),"Google Scholar")</f>
        <v>Google Scholar</v>
      </c>
      <c r="G5418" s="10"/>
      <c r="H5418" s="10"/>
      <c r="I5418" s="10"/>
      <c r="J5418" s="10"/>
      <c r="K5418" s="10"/>
      <c r="L5418" s="10"/>
      <c r="M5418" s="10"/>
      <c r="N5418" s="10"/>
      <c r="O5418" s="10"/>
      <c r="P5418" s="10"/>
      <c r="Q5418" s="10"/>
      <c r="R5418" s="10"/>
      <c r="S5418" s="10"/>
      <c r="T5418" s="10"/>
      <c r="U5418" s="10"/>
      <c r="V5418" s="10"/>
      <c r="W5418" s="10"/>
      <c r="X5418" s="10"/>
      <c r="Y5418" s="10"/>
      <c r="Z5418" s="10"/>
    </row>
    <row r="5419" spans="1:26" ht="12.75">
      <c r="A5419" s="10" t="str">
        <f ca="1">IFERROR(__xludf.DUMMYFUNCTION("""COMPUTED_VALUE"""),"Мариела Тодорова Модева (Нанкова)")</f>
        <v>Мариела Тодорова Модева (Нанкова)</v>
      </c>
      <c r="B5419" s="10" t="str">
        <f ca="1">IFERROR(__xludf.DUMMYFUNCTION("""COMPUTED_VALUE"""),"Доклад от конференция")</f>
        <v>Доклад от конференция</v>
      </c>
      <c r="C5419" s="10" t="str">
        <f ca="1">IFERROR(__xludf.DUMMYFUNCTION("""COMPUTED_VALUE"""),"Danube Civil Society Forum – History and Perspectives")</f>
        <v>Danube Civil Society Forum – History and Perspectives</v>
      </c>
      <c r="D5419" s="10">
        <f ca="1">IFERROR(__xludf.DUMMYFUNCTION("""COMPUTED_VALUE"""),2015)</f>
        <v>2015</v>
      </c>
      <c r="E5419" s="10" t="str">
        <f ca="1">IFERROR(__xludf.DUMMYFUNCTION("""COMPUTED_VALUE"""),"Building Prosperity in the Danube Region, DCSF, 27 October 2015, електронна публикация, http://en.danubenetworkers.eu/newsletter/2-2-danube-civil-society-forum-history-and-perspectives/")</f>
        <v>Building Prosperity in the Danube Region, DCSF, 27 October 2015, електронна публикация, http://en.danubenetworkers.eu/newsletter/2-2-danube-civil-society-forum-history-and-perspectives/</v>
      </c>
      <c r="F5419" s="10"/>
      <c r="G5419" s="10"/>
      <c r="H5419" s="10"/>
      <c r="I5419" s="10"/>
      <c r="J5419" s="10"/>
      <c r="K5419" s="10"/>
      <c r="L5419" s="10"/>
      <c r="M5419" s="10"/>
      <c r="N5419" s="10"/>
      <c r="O5419" s="10"/>
      <c r="P5419" s="10"/>
      <c r="Q5419" s="10"/>
      <c r="R5419" s="10"/>
      <c r="S5419" s="10"/>
      <c r="T5419" s="10"/>
      <c r="U5419" s="10"/>
      <c r="V5419" s="10"/>
      <c r="W5419" s="10"/>
      <c r="X5419" s="10"/>
      <c r="Y5419" s="10"/>
      <c r="Z5419" s="10"/>
    </row>
    <row r="5420" spans="1:26" ht="12.75">
      <c r="A5420" s="10" t="str">
        <f ca="1">IFERROR(__xludf.DUMMYFUNCTION("""COMPUTED_VALUE"""),"Мариела Тодорова Модева (Нанкова)")</f>
        <v>Мариела Тодорова Модева (Нанкова)</v>
      </c>
      <c r="B5420" s="10" t="str">
        <f ca="1">IFERROR(__xludf.DUMMYFUNCTION("""COMPUTED_VALUE"""),"Доклад от конференция")</f>
        <v>Доклад от конференция</v>
      </c>
      <c r="C5420" s="10" t="str">
        <f ca="1">IFERROR(__xludf.DUMMYFUNCTION("""COMPUTED_VALUE"""),"Опазване на културното наследство в България и Малта")</f>
        <v>Опазване на културното наследство в България и Малта</v>
      </c>
      <c r="D5420" s="10">
        <f ca="1">IFERROR(__xludf.DUMMYFUNCTION("""COMPUTED_VALUE"""),2015)</f>
        <v>2015</v>
      </c>
      <c r="E5420" s="10" t="str">
        <f ca="1">IFERROR(__xludf.DUMMYFUNCTION("""COMPUTED_VALUE"""),"Сборник от Международен научен пътуващ семинар на УниБИТ, изд. За буквите-О писменехь, С., 2015. Съвременни измерения на европейското образователно и научно пространство : сборник с доклади = Modern dimensions in European education and research area. Софи"&amp;"я : За буквите - О писменехь, 2014- ISSN 2367-7988")</f>
        <v>Сборник от Международен научен пътуващ семинар на УниБИТ, изд. За буквите-О писменехь, С., 2015. Съвременни измерения на европейското образователно и научно пространство : сборник с доклади = Modern dimensions in European education and research area. София : За буквите - О писменехь, 2014- ISSN 2367-7988</v>
      </c>
      <c r="F5420" s="10" t="str">
        <f ca="1">IFERROR(__xludf.DUMMYFUNCTION("""COMPUTED_VALUE"""),"Google Scholar")</f>
        <v>Google Scholar</v>
      </c>
      <c r="G5420" s="10"/>
      <c r="H5420" s="10"/>
      <c r="I5420" s="10"/>
      <c r="J5420" s="10"/>
      <c r="K5420" s="10"/>
      <c r="L5420" s="10"/>
      <c r="M5420" s="10"/>
      <c r="N5420" s="10"/>
      <c r="O5420" s="10"/>
      <c r="P5420" s="10"/>
      <c r="Q5420" s="10"/>
      <c r="R5420" s="10"/>
      <c r="S5420" s="10"/>
      <c r="T5420" s="10"/>
      <c r="U5420" s="10"/>
      <c r="V5420" s="10"/>
      <c r="W5420" s="10"/>
      <c r="X5420" s="10"/>
      <c r="Y5420" s="10"/>
      <c r="Z5420" s="10"/>
    </row>
    <row r="5421" spans="1:26" ht="12.75">
      <c r="A5421" s="10" t="str">
        <f ca="1">IFERROR(__xludf.DUMMYFUNCTION("""COMPUTED_VALUE"""),"Мариела Тодорова Модева (Нанкова)")</f>
        <v>Мариела Тодорова Модева (Нанкова)</v>
      </c>
      <c r="B5421" s="10" t="str">
        <f ca="1">IFERROR(__xludf.DUMMYFUNCTION("""COMPUTED_VALUE"""),"Статия в списания и поредици")</f>
        <v>Статия в списания и поредици</v>
      </c>
      <c r="C5421" s="10" t="str">
        <f ca="1">IFERROR(__xludf.DUMMYFUNCTION("""COMPUTED_VALUE"""),"Съвременни тенденции в управление на знанието.")</f>
        <v>Съвременни тенденции в управление на знанието.</v>
      </c>
      <c r="D5421" s="10">
        <f ca="1">IFERROR(__xludf.DUMMYFUNCTION("""COMPUTED_VALUE"""),2015)</f>
        <v>2015</v>
      </c>
      <c r="E5421" s="10" t="str">
        <f ca="1">IFERROR(__xludf.DUMMYFUNCTION("""COMPUTED_VALUE"""),"Нови информационни технологии в образователния процес : Сборник / Специализирано висше училище по библиотекознание и информационни технологии. София : За буквите - О писменехь, 2006- ISSN 1313-2768")</f>
        <v>Нови информационни технологии в образователния процес : Сборник / Специализирано висше училище по библиотекознание и информационни технологии. София : За буквите - О писменехь, 2006- ISSN 1313-2768</v>
      </c>
      <c r="F5421" s="10" t="str">
        <f ca="1">IFERROR(__xludf.DUMMYFUNCTION("""COMPUTED_VALUE"""),"Google Scholar")</f>
        <v>Google Scholar</v>
      </c>
      <c r="G5421" s="10"/>
      <c r="H5421" s="10"/>
      <c r="I5421" s="10"/>
      <c r="J5421" s="10"/>
      <c r="K5421" s="10"/>
      <c r="L5421" s="10"/>
      <c r="M5421" s="10"/>
      <c r="N5421" s="10"/>
      <c r="O5421" s="10"/>
      <c r="P5421" s="10"/>
      <c r="Q5421" s="10"/>
      <c r="R5421" s="10"/>
      <c r="S5421" s="10"/>
      <c r="T5421" s="10"/>
      <c r="U5421" s="10"/>
      <c r="V5421" s="10"/>
      <c r="W5421" s="10"/>
      <c r="X5421" s="10"/>
      <c r="Y5421" s="10"/>
      <c r="Z5421" s="10"/>
    </row>
    <row r="5422" spans="1:26" ht="12.75">
      <c r="A5422" s="10" t="str">
        <f ca="1">IFERROR(__xludf.DUMMYFUNCTION("""COMPUTED_VALUE"""),"Мариела Тодорова Модева (Нанкова)")</f>
        <v>Мариела Тодорова Модева (Нанкова)</v>
      </c>
      <c r="B5422" s="10" t="str">
        <f ca="1">IFERROR(__xludf.DUMMYFUNCTION("""COMPUTED_VALUE"""),"Доклад от конференция")</f>
        <v>Доклад от конференция</v>
      </c>
      <c r="C5422" s="10" t="str">
        <f ca="1">IFERROR(__xludf.DUMMYFUNCTION("""COMPUTED_VALUE"""),"Preservation of the cultural identity in the contemporary digital environment")</f>
        <v>Preservation of the cultural identity in the contemporary digital environment</v>
      </c>
      <c r="D5422" s="10">
        <f ca="1">IFERROR(__xludf.DUMMYFUNCTION("""COMPUTED_VALUE"""),2014)</f>
        <v>2014</v>
      </c>
      <c r="E5422" s="10" t="str">
        <f ca="1">IFERROR(__xludf.DUMMYFUNCTION("""COMPUTED_VALUE"""),"Third UNESCO International Conference “Linguistic and Cultural Diversity in Cyberspace”, Volume 1 Moscow, 2014.")</f>
        <v>Third UNESCO International Conference “Linguistic and Cultural Diversity in Cyberspace”, Volume 1 Moscow, 2014.</v>
      </c>
      <c r="F5422" s="10"/>
      <c r="G5422" s="10"/>
      <c r="H5422" s="10"/>
      <c r="I5422" s="10"/>
      <c r="J5422" s="10"/>
      <c r="K5422" s="10"/>
      <c r="L5422" s="10"/>
      <c r="M5422" s="10"/>
      <c r="N5422" s="10"/>
      <c r="O5422" s="10"/>
      <c r="P5422" s="10"/>
      <c r="Q5422" s="10"/>
      <c r="R5422" s="10"/>
      <c r="S5422" s="10"/>
      <c r="T5422" s="10"/>
      <c r="U5422" s="10"/>
      <c r="V5422" s="10"/>
      <c r="W5422" s="10"/>
      <c r="X5422" s="10"/>
      <c r="Y5422" s="10"/>
      <c r="Z5422" s="10"/>
    </row>
    <row r="5423" spans="1:26" ht="12.75">
      <c r="A5423" s="10" t="str">
        <f ca="1">IFERROR(__xludf.DUMMYFUNCTION("""COMPUTED_VALUE"""),"Мариела Тодорова Модева (Нанкова)")</f>
        <v>Мариела Тодорова Модева (Нанкова)</v>
      </c>
      <c r="B5423" s="10" t="str">
        <f ca="1">IFERROR(__xludf.DUMMYFUNCTION("""COMPUTED_VALUE"""),"Доклад от конференция")</f>
        <v>Доклад от конференция</v>
      </c>
      <c r="C5423" s="10" t="str">
        <f ca="1">IFERROR(__xludf.DUMMYFUNCTION("""COMPUTED_VALUE"""),"Интерактивни методи на обучение на студенти по програма „Учене през целия живот“")</f>
        <v>Интерактивни методи на обучение на студенти по програма „Учене през целия живот“</v>
      </c>
      <c r="D5423" s="10">
        <f ca="1">IFERROR(__xludf.DUMMYFUNCTION("""COMPUTED_VALUE"""),2014)</f>
        <v>2014</v>
      </c>
      <c r="E5423" s="10" t="str">
        <f ca="1">IFERROR(__xludf.DUMMYFUNCTION("""COMPUTED_VALUE"""),"Осмия научен семинар на УниБИТ, изд. За буквите- О писменехь, С., 2014, ISSN 1313-2768, c. 105-117.")</f>
        <v>Осмия научен семинар на УниБИТ, изд. За буквите- О писменехь, С., 2014, ISSN 1313-2768, c. 105-117.</v>
      </c>
      <c r="F5423" s="10"/>
      <c r="G5423" s="10"/>
      <c r="H5423" s="10"/>
      <c r="I5423" s="10"/>
      <c r="J5423" s="10"/>
      <c r="K5423" s="10"/>
      <c r="L5423" s="10"/>
      <c r="M5423" s="10"/>
      <c r="N5423" s="10"/>
      <c r="O5423" s="10"/>
      <c r="P5423" s="10"/>
      <c r="Q5423" s="10"/>
      <c r="R5423" s="10"/>
      <c r="S5423" s="10"/>
      <c r="T5423" s="10"/>
      <c r="U5423" s="10"/>
      <c r="V5423" s="10"/>
      <c r="W5423" s="10"/>
      <c r="X5423" s="10"/>
      <c r="Y5423" s="10"/>
      <c r="Z5423" s="10"/>
    </row>
    <row r="5424" spans="1:26" ht="12.75">
      <c r="A5424" s="10" t="str">
        <f ca="1">IFERROR(__xludf.DUMMYFUNCTION("""COMPUTED_VALUE"""),"Мариела Тодорова Модева (Нанкова)")</f>
        <v>Мариела Тодорова Модева (Нанкова)</v>
      </c>
      <c r="B5424" s="10" t="str">
        <f ca="1">IFERROR(__xludf.DUMMYFUNCTION("""COMPUTED_VALUE"""),"Статия в списания и поредици")</f>
        <v>Статия в списания и поредици</v>
      </c>
      <c r="C5424" s="10" t="str">
        <f ca="1">IFERROR(__xludf.DUMMYFUNCTION("""COMPUTED_VALUE"""),"Съвременни тенденции в управление на знанието и ролята на интерактивните методи в обучението")</f>
        <v>Съвременни тенденции в управление на знанието и ролята на интерактивните методи в обучението</v>
      </c>
      <c r="D5424" s="10">
        <f ca="1">IFERROR(__xludf.DUMMYFUNCTION("""COMPUTED_VALUE"""),2014)</f>
        <v>2014</v>
      </c>
      <c r="E5424" s="10" t="str">
        <f ca="1">IFERROR(__xludf.DUMMYFUNCTION("""COMPUTED_VALUE"""),"сп. Образование и технологии, бр. 5/2014, гр. Бургас. ISSN 1314-1791, c. 79-81.")</f>
        <v>сп. Образование и технологии, бр. 5/2014, гр. Бургас. ISSN 1314-1791, c. 79-81.</v>
      </c>
      <c r="F5424" s="10"/>
      <c r="G5424" s="10" t="str">
        <f ca="1">IFERROR(__xludf.DUMMYFUNCTION("""COMPUTED_VALUE"""),"Добринка Стойкова")</f>
        <v>Добринка Стойкова</v>
      </c>
      <c r="H5424" s="10"/>
      <c r="I5424" s="10"/>
      <c r="J5424" s="10"/>
      <c r="K5424" s="10"/>
      <c r="L5424" s="10"/>
      <c r="M5424" s="10"/>
      <c r="N5424" s="10"/>
      <c r="O5424" s="10"/>
      <c r="P5424" s="10"/>
      <c r="Q5424" s="10"/>
      <c r="R5424" s="10"/>
      <c r="S5424" s="10"/>
      <c r="T5424" s="10"/>
      <c r="U5424" s="10"/>
      <c r="V5424" s="10"/>
      <c r="W5424" s="10"/>
      <c r="X5424" s="10"/>
      <c r="Y5424" s="10"/>
      <c r="Z5424" s="10"/>
    </row>
    <row r="5425" spans="1:26" ht="12.75">
      <c r="A5425" s="10" t="str">
        <f ca="1">IFERROR(__xludf.DUMMYFUNCTION("""COMPUTED_VALUE"""),"Мариела Тодорова Модева (Нанкова)")</f>
        <v>Мариела Тодорова Модева (Нанкова)</v>
      </c>
      <c r="B5425" s="10" t="str">
        <f ca="1">IFERROR(__xludf.DUMMYFUNCTION("""COMPUTED_VALUE"""),"Доклад от конференция")</f>
        <v>Доклад от конференция</v>
      </c>
      <c r="C5425" s="10" t="str">
        <f ca="1">IFERROR(__xludf.DUMMYFUNCTION("""COMPUTED_VALUE"""),"Съвременни тенденции в управление на знанието. Добри практики")</f>
        <v>Съвременни тенденции в управление на знанието. Добри практики</v>
      </c>
      <c r="D5425" s="10">
        <f ca="1">IFERROR(__xludf.DUMMYFUNCTION("""COMPUTED_VALUE"""),2014)</f>
        <v>2014</v>
      </c>
      <c r="E5425" s="10" t="str">
        <f ca="1">IFERROR(__xludf.DUMMYFUNCTION("""COMPUTED_VALUE"""),"Първа научна конференция «СЪВРЕМЕННИ СТРАТЕГИИ И ИНОВАЦИИ В УПРАВЛЕНИЕ НА ЗНАНИЕТО», 3-ти декември, УниБИТ, 2014 г. Съвременни стратегии и иновации в управление на знанието : сборник с доклади от първа научна конференция, 3-4 декември 2014 г., Университет"&amp;" по библиотекознание и информационни технологии, Лятна академия за управление и знания / състав. Стоян Денчев ... [и др.] ; [науч. ред. Мариела Нанкова]. София : За буквите - О писменехь, 2014 ([София] : Авангард Прима) ISBN 978-619-185-140-9.")</f>
        <v>Първа научна конференция «СЪВРЕМЕННИ СТРАТЕГИИ И ИНОВАЦИИ В УПРАВЛЕНИЕ НА ЗНАНИЕТО», 3-ти декември, УниБИТ, 2014 г. Съвременни стратегии и иновации в управление на знанието : сборник с доклади от първа научна конференция, 3-4 декември 2014 г., Университет по библиотекознание и информационни технологии, Лятна академия за управление и знания / състав. Стоян Денчев ... [и др.] ; [науч. ред. Мариела Нанкова]. София : За буквите - О писменехь, 2014 ([София] : Авангард Прима) ISBN 978-619-185-140-9.</v>
      </c>
      <c r="F5425" s="10" t="str">
        <f ca="1">IFERROR(__xludf.DUMMYFUNCTION("""COMPUTED_VALUE"""),"Google Scholar")</f>
        <v>Google Scholar</v>
      </c>
      <c r="G5425" s="10"/>
      <c r="H5425" s="10"/>
      <c r="I5425" s="10"/>
      <c r="J5425" s="10"/>
      <c r="K5425" s="10"/>
      <c r="L5425" s="10"/>
      <c r="M5425" s="10"/>
      <c r="N5425" s="10"/>
      <c r="O5425" s="10"/>
      <c r="P5425" s="10"/>
      <c r="Q5425" s="10"/>
      <c r="R5425" s="10"/>
      <c r="S5425" s="10"/>
      <c r="T5425" s="10"/>
      <c r="U5425" s="10"/>
      <c r="V5425" s="10"/>
      <c r="W5425" s="10"/>
      <c r="X5425" s="10"/>
      <c r="Y5425" s="10"/>
      <c r="Z5425" s="10"/>
    </row>
    <row r="5426" spans="1:26" ht="12.75">
      <c r="A5426" s="10" t="str">
        <f ca="1">IFERROR(__xludf.DUMMYFUNCTION("""COMPUTED_VALUE"""),"Мариела Тодорова Модева (Нанкова)")</f>
        <v>Мариела Тодорова Модева (Нанкова)</v>
      </c>
      <c r="B5426" s="10" t="str">
        <f ca="1">IFERROR(__xludf.DUMMYFUNCTION("""COMPUTED_VALUE"""),"Доклад от конференция")</f>
        <v>Доклад от конференция</v>
      </c>
      <c r="C5426" s="10" t="str">
        <f ca="1">IFERROR(__xludf.DUMMYFUNCTION("""COMPUTED_VALUE"""),"Ролята на иновациите за опазване на библиотечните фондове")</f>
        <v>Ролята на иновациите за опазване на библиотечните фондове</v>
      </c>
      <c r="D5426" s="10">
        <f ca="1">IFERROR(__xludf.DUMMYFUNCTION("""COMPUTED_VALUE"""),2014)</f>
        <v>2014</v>
      </c>
      <c r="E5426" s="10" t="str">
        <f ca="1">IFERROR(__xludf.DUMMYFUNCTION("""COMPUTED_VALUE"""),"ХI-та Национална научна конференция с международно участие под мотото: „ОБЩЕСТВОТО НА ЗНАНИЕТО И ХУМАНИЗМЪТ НА ХХІ ВЕК. София : За буквите - О писменехь, [2003]- ISSN 1314-7099")</f>
        <v>ХI-та Национална научна конференция с международно участие под мотото: „ОБЩЕСТВОТО НА ЗНАНИЕТО И ХУМАНИЗМЪТ НА ХХІ ВЕК. София : За буквите - О писменехь, [2003]- ISSN 1314-7099</v>
      </c>
      <c r="F5426" s="10" t="str">
        <f ca="1">IFERROR(__xludf.DUMMYFUNCTION("""COMPUTED_VALUE"""),"Google Scholar")</f>
        <v>Google Scholar</v>
      </c>
      <c r="G5426" s="10"/>
      <c r="H5426" s="10"/>
      <c r="I5426" s="10"/>
      <c r="J5426" s="10"/>
      <c r="K5426" s="10"/>
      <c r="L5426" s="10"/>
      <c r="M5426" s="10"/>
      <c r="N5426" s="10"/>
      <c r="O5426" s="10"/>
      <c r="P5426" s="10"/>
      <c r="Q5426" s="10"/>
      <c r="R5426" s="10"/>
      <c r="S5426" s="10"/>
      <c r="T5426" s="10"/>
      <c r="U5426" s="10"/>
      <c r="V5426" s="10"/>
      <c r="W5426" s="10"/>
      <c r="X5426" s="10"/>
      <c r="Y5426" s="10"/>
      <c r="Z5426" s="10"/>
    </row>
    <row r="5427" spans="1:26" ht="12.75">
      <c r="A5427" s="10" t="str">
        <f ca="1">IFERROR(__xludf.DUMMYFUNCTION("""COMPUTED_VALUE"""),"Мариела Тодорова Модева (Нанкова)")</f>
        <v>Мариела Тодорова Модева (Нанкова)</v>
      </c>
      <c r="B5427" s="10" t="str">
        <f ca="1">IFERROR(__xludf.DUMMYFUNCTION("""COMPUTED_VALUE"""),"Статия в списания и поредици")</f>
        <v>Статия в списания и поредици</v>
      </c>
      <c r="C5427" s="10" t="str">
        <f ca="1">IFERROR(__xludf.DUMMYFUNCTION("""COMPUTED_VALUE"""),"Информационните технологии-база за нова образователна среда в продължаващото обучение")</f>
        <v>Информационните технологии-база за нова образователна среда в продължаващото обучение</v>
      </c>
      <c r="D5427" s="10">
        <f ca="1">IFERROR(__xludf.DUMMYFUNCTION("""COMPUTED_VALUE"""),2014)</f>
        <v>2014</v>
      </c>
      <c r="E5427" s="10" t="str">
        <f ca="1">IFERROR(__xludf.DUMMYFUNCTION("""COMPUTED_VALUE"""),"сп. Погледи, год. II, брой 4, Лесковац, 2014.")</f>
        <v>сп. Погледи, год. II, брой 4, Лесковац, 2014.</v>
      </c>
      <c r="F5427" s="10"/>
      <c r="G5427" s="10" t="str">
        <f ca="1">IFERROR(__xludf.DUMMYFUNCTION("""COMPUTED_VALUE"""),"Модев, С.")</f>
        <v>Модев, С.</v>
      </c>
      <c r="H5427" s="10"/>
      <c r="I5427" s="10"/>
      <c r="J5427" s="10"/>
      <c r="K5427" s="10"/>
      <c r="L5427" s="10"/>
      <c r="M5427" s="10"/>
      <c r="N5427" s="10"/>
      <c r="O5427" s="10"/>
      <c r="P5427" s="10"/>
      <c r="Q5427" s="10"/>
      <c r="R5427" s="10"/>
      <c r="S5427" s="10"/>
      <c r="T5427" s="10"/>
      <c r="U5427" s="10"/>
      <c r="V5427" s="10"/>
      <c r="W5427" s="10"/>
      <c r="X5427" s="10"/>
      <c r="Y5427" s="10"/>
      <c r="Z5427" s="10"/>
    </row>
    <row r="5428" spans="1:26" ht="12.75">
      <c r="A5428" s="10" t="str">
        <f ca="1">IFERROR(__xludf.DUMMYFUNCTION("""COMPUTED_VALUE"""),"Мариела Тодорова Модева (Нанкова)")</f>
        <v>Мариела Тодорова Модева (Нанкова)</v>
      </c>
      <c r="B5428" s="10" t="str">
        <f ca="1">IFERROR(__xludf.DUMMYFUNCTION("""COMPUTED_VALUE"""),"Доклад от конференция")</f>
        <v>Доклад от конференция</v>
      </c>
      <c r="C5428" s="10" t="str">
        <f ca="1">IFERROR(__xludf.DUMMYFUNCTION("""COMPUTED_VALUE"""),"Анализ на международни документи и планове за управление на класирани паметници")</f>
        <v>Анализ на международни документи и планове за управление на класирани паметници</v>
      </c>
      <c r="D5428" s="10">
        <f ca="1">IFERROR(__xludf.DUMMYFUNCTION("""COMPUTED_VALUE"""),2014)</f>
        <v>2014</v>
      </c>
      <c r="E5428" s="10" t="str">
        <f ca="1">IFERROR(__xludf.DUMMYFUNCTION("""COMPUTED_VALUE"""),"Сборник с изследвания „Модерният град и съхраняване на националната идентичност, т.1, изд. За буквите- О писменехь, С., 2014, ISBN 978-619-185-123-2, c. 86-102.")</f>
        <v>Сборник с изследвания „Модерният град и съхраняване на националната идентичност, т.1, изд. За буквите- О писменехь, С., 2014, ISBN 978-619-185-123-2, c. 86-102.</v>
      </c>
      <c r="F5428" s="10"/>
      <c r="G5428" s="10"/>
      <c r="H5428" s="10"/>
      <c r="I5428" s="10"/>
      <c r="J5428" s="10"/>
      <c r="K5428" s="10"/>
      <c r="L5428" s="10"/>
      <c r="M5428" s="10"/>
      <c r="N5428" s="10"/>
      <c r="O5428" s="10"/>
      <c r="P5428" s="10"/>
      <c r="Q5428" s="10"/>
      <c r="R5428" s="10"/>
      <c r="S5428" s="10"/>
      <c r="T5428" s="10"/>
      <c r="U5428" s="10"/>
      <c r="V5428" s="10"/>
      <c r="W5428" s="10"/>
      <c r="X5428" s="10"/>
      <c r="Y5428" s="10"/>
      <c r="Z5428" s="10"/>
    </row>
    <row r="5429" spans="1:26" ht="12.75">
      <c r="A5429" s="10" t="str">
        <f ca="1">IFERROR(__xludf.DUMMYFUNCTION("""COMPUTED_VALUE"""),"Мариела Тодорова Модева (Нанкова)")</f>
        <v>Мариела Тодорова Модева (Нанкова)</v>
      </c>
      <c r="B5429" s="10" t="str">
        <f ca="1">IFERROR(__xludf.DUMMYFUNCTION("""COMPUTED_VALUE"""),"Доклад от конференция")</f>
        <v>Доклад от конференция</v>
      </c>
      <c r="C5429" s="10" t="str">
        <f ca="1">IFERROR(__xludf.DUMMYFUNCTION("""COMPUTED_VALUE"""),"Предпоставки и перспективи за развитие на културния туризъм в България и Албания")</f>
        <v>Предпоставки и перспективи за развитие на културния туризъм в България и Албания</v>
      </c>
      <c r="D5429" s="10">
        <f ca="1">IFERROR(__xludf.DUMMYFUNCTION("""COMPUTED_VALUE"""),2014)</f>
        <v>2014</v>
      </c>
      <c r="E5429" s="10" t="str">
        <f ca="1">IFERROR(__xludf.DUMMYFUNCTION("""COMPUTED_VALUE"""),"Сборник от Международен научен пътуващ семинар на УниБИТ, изд. За буквите-О писменехь, С., 2015. Съвременни измерения на европейското образователно и научно пространство : сборник с доклади = Modern dimensions in European education and research area. Софи"&amp;"я : За буквите - О писменехь, 2014- ISSN 2367-7988, c. 288–293.")</f>
        <v>Сборник от Международен научен пътуващ семинар на УниБИТ, изд. За буквите-О писменехь, С., 2015. Съвременни измерения на европейското образователно и научно пространство : сборник с доклади = Modern dimensions in European education and research area. София : За буквите - О писменехь, 2014- ISSN 2367-7988, c. 288–293.</v>
      </c>
      <c r="F5429" s="10"/>
      <c r="G5429" s="10"/>
      <c r="H5429" s="10"/>
      <c r="I5429" s="10"/>
      <c r="J5429" s="10"/>
      <c r="K5429" s="10"/>
      <c r="L5429" s="10"/>
      <c r="M5429" s="10"/>
      <c r="N5429" s="10"/>
      <c r="O5429" s="10"/>
      <c r="P5429" s="10"/>
      <c r="Q5429" s="10"/>
      <c r="R5429" s="10"/>
      <c r="S5429" s="10"/>
      <c r="T5429" s="10"/>
      <c r="U5429" s="10"/>
      <c r="V5429" s="10"/>
      <c r="W5429" s="10"/>
      <c r="X5429" s="10"/>
      <c r="Y5429" s="10"/>
      <c r="Z5429" s="10"/>
    </row>
    <row r="5430" spans="1:26" ht="12.75">
      <c r="A5430" s="10" t="str">
        <f ca="1">IFERROR(__xludf.DUMMYFUNCTION("""COMPUTED_VALUE"""),"Мариела Тодорова Модева (Нанкова)")</f>
        <v>Мариела Тодорова Модева (Нанкова)</v>
      </c>
      <c r="B5430" s="10" t="str">
        <f ca="1">IFERROR(__xludf.DUMMYFUNCTION("""COMPUTED_VALUE"""),"Доклад от конференция")</f>
        <v>Доклад от конференция</v>
      </c>
      <c r="C5430" s="10" t="str">
        <f ca="1">IFERROR(__xludf.DUMMYFUNCTION("""COMPUTED_VALUE"""),"Електронното правителство в България в контекста на ЕС „ЕВРОПА 2020”")</f>
        <v>Електронното правителство в България в контекста на ЕС „ЕВРОПА 2020”</v>
      </c>
      <c r="D5430" s="10">
        <f ca="1">IFERROR(__xludf.DUMMYFUNCTION("""COMPUTED_VALUE"""),2014)</f>
        <v>2014</v>
      </c>
      <c r="E5430" s="10" t="str">
        <f ca="1">IFERROR(__xludf.DUMMYFUNCTION("""COMPUTED_VALUE"""),"Научен семинар „Интелектуалната собственост в 21 в.: Българският опит в творческите и информационни индустрии“, София : За буквите-О писменехь, ISBN 978-619-185-019-8, c. 153-163.")</f>
        <v>Научен семинар „Интелектуалната собственост в 21 в.: Българският опит в творческите и информационни индустрии“, София : За буквите-О писменехь, ISBN 978-619-185-019-8, c. 153-163.</v>
      </c>
      <c r="F5430" s="10"/>
      <c r="G5430" s="10"/>
      <c r="H5430" s="10"/>
      <c r="I5430" s="10"/>
      <c r="J5430" s="10"/>
      <c r="K5430" s="10"/>
      <c r="L5430" s="10"/>
      <c r="M5430" s="10"/>
      <c r="N5430" s="10"/>
      <c r="O5430" s="10"/>
      <c r="P5430" s="10"/>
      <c r="Q5430" s="10"/>
      <c r="R5430" s="10"/>
      <c r="S5430" s="10"/>
      <c r="T5430" s="10"/>
      <c r="U5430" s="10"/>
      <c r="V5430" s="10"/>
      <c r="W5430" s="10"/>
      <c r="X5430" s="10"/>
      <c r="Y5430" s="10"/>
      <c r="Z5430" s="10"/>
    </row>
    <row r="5431" spans="1:26" ht="12.75">
      <c r="A5431" s="10" t="str">
        <f ca="1">IFERROR(__xludf.DUMMYFUNCTION("""COMPUTED_VALUE"""),"Мариела Тодорова Модева (Нанкова)")</f>
        <v>Мариела Тодорова Модева (Нанкова)</v>
      </c>
      <c r="B5431" s="10" t="str">
        <f ca="1">IFERROR(__xludf.DUMMYFUNCTION("""COMPUTED_VALUE"""),"Статия в списания и поредици")</f>
        <v>Статия в списания и поредици</v>
      </c>
      <c r="C5431" s="10" t="str">
        <f ca="1">IFERROR(__xludf.DUMMYFUNCTION("""COMPUTED_VALUE"""),"Справочни книги на руски и английски език за нестинарството.")</f>
        <v>Справочни книги на руски и английски език за нестинарството.</v>
      </c>
      <c r="D5431" s="10">
        <f ca="1">IFERROR(__xludf.DUMMYFUNCTION("""COMPUTED_VALUE"""),2014)</f>
        <v>2014</v>
      </c>
      <c r="E5431" s="10" t="str">
        <f ca="1">IFERROR(__xludf.DUMMYFUNCTION("""COMPUTED_VALUE"""),"Научни трудове на Университета по библиотекознание и информационни технологии = Proceedings of the State University of Library Studies and Information Technologies. София : За буквите - О писменехь, 2011, ISSN 1314-2623")</f>
        <v>Научни трудове на Университета по библиотекознание и информационни технологии = Proceedings of the State University of Library Studies and Information Technologies. София : За буквите - О писменехь, 2011, ISSN 1314-2623</v>
      </c>
      <c r="F5431" s="10" t="str">
        <f ca="1">IFERROR(__xludf.DUMMYFUNCTION("""COMPUTED_VALUE"""),"Google Scholar")</f>
        <v>Google Scholar</v>
      </c>
      <c r="G5431" s="10"/>
      <c r="H5431" s="10"/>
      <c r="I5431" s="10"/>
      <c r="J5431" s="10"/>
      <c r="K5431" s="10"/>
      <c r="L5431" s="10"/>
      <c r="M5431" s="10"/>
      <c r="N5431" s="10"/>
      <c r="O5431" s="10"/>
      <c r="P5431" s="10"/>
      <c r="Q5431" s="10"/>
      <c r="R5431" s="10"/>
      <c r="S5431" s="10"/>
      <c r="T5431" s="10"/>
      <c r="U5431" s="10"/>
      <c r="V5431" s="10"/>
      <c r="W5431" s="10"/>
      <c r="X5431" s="10"/>
      <c r="Y5431" s="10"/>
      <c r="Z5431" s="10"/>
    </row>
    <row r="5432" spans="1:26" ht="12.75">
      <c r="A5432" s="10" t="str">
        <f ca="1">IFERROR(__xludf.DUMMYFUNCTION("""COMPUTED_VALUE"""),"Мариела Тодорова Модева (Нанкова)")</f>
        <v>Мариела Тодорова Модева (Нанкова)</v>
      </c>
      <c r="B5432" s="10" t="str">
        <f ca="1">IFERROR(__xludf.DUMMYFUNCTION("""COMPUTED_VALUE"""),"Статия в списания и поредици")</f>
        <v>Статия в списания и поредици</v>
      </c>
      <c r="C5432" s="10" t="str">
        <f ca="1">IFERROR(__xludf.DUMMYFUNCTION("""COMPUTED_VALUE"""),"Книгата между традиционното и модерното.")</f>
        <v>Книгата между традиционното и модерното.</v>
      </c>
      <c r="D5432" s="10">
        <f ca="1">IFERROR(__xludf.DUMMYFUNCTION("""COMPUTED_VALUE"""),2014)</f>
        <v>2014</v>
      </c>
      <c r="E5432" s="10" t="str">
        <f ca="1">IFERROR(__xludf.DUMMYFUNCTION("""COMPUTED_VALUE"""),"Книгата нашето по-смислено настояще. София: изд. За буквите-О писменехь, 2014. с. 35-43. ISSN 1314-7323")</f>
        <v>Книгата нашето по-смислено настояще. София: изд. За буквите-О писменехь, 2014. с. 35-43. ISSN 1314-7323</v>
      </c>
      <c r="F5432" s="10" t="str">
        <f ca="1">IFERROR(__xludf.DUMMYFUNCTION("""COMPUTED_VALUE"""),"Google Scholar")</f>
        <v>Google Scholar</v>
      </c>
      <c r="G5432" s="10"/>
      <c r="H5432" s="10"/>
      <c r="I5432" s="10"/>
      <c r="J5432" s="10"/>
      <c r="K5432" s="10"/>
      <c r="L5432" s="10"/>
      <c r="M5432" s="10"/>
      <c r="N5432" s="10"/>
      <c r="O5432" s="10"/>
      <c r="P5432" s="10"/>
      <c r="Q5432" s="10"/>
      <c r="R5432" s="10"/>
      <c r="S5432" s="10"/>
      <c r="T5432" s="10"/>
      <c r="U5432" s="10"/>
      <c r="V5432" s="10"/>
      <c r="W5432" s="10"/>
      <c r="X5432" s="10"/>
      <c r="Y5432" s="10"/>
      <c r="Z5432" s="10"/>
    </row>
    <row r="5433" spans="1:26" ht="12.75">
      <c r="A5433" s="10" t="str">
        <f ca="1">IFERROR(__xludf.DUMMYFUNCTION("""COMPUTED_VALUE"""),"Мариела Тодорова Модева (Нанкова)")</f>
        <v>Мариела Тодорова Модева (Нанкова)</v>
      </c>
      <c r="B5433" s="10" t="str">
        <f ca="1">IFERROR(__xludf.DUMMYFUNCTION("""COMPUTED_VALUE"""),"Доклад от конференция")</f>
        <v>Доклад от конференция</v>
      </c>
      <c r="C5433" s="10" t="str">
        <f ca="1">IFERROR(__xludf.DUMMYFUNCTION("""COMPUTED_VALUE"""),"Книгата между традиционното и модерното")</f>
        <v>Книгата между традиционното и модерното</v>
      </c>
      <c r="D5433" s="10">
        <f ca="1">IFERROR(__xludf.DUMMYFUNCTION("""COMPUTED_VALUE"""),2014)</f>
        <v>2014</v>
      </c>
      <c r="E5433" s="10" t="str">
        <f ca="1">IFERROR(__xludf.DUMMYFUNCTION("""COMPUTED_VALUE"""),"Сборник „Книгата между традиционното и модерното“, изд. За буквите- О писменехь, С., 2014.")</f>
        <v>Сборник „Книгата между традиционното и модерното“, изд. За буквите- О писменехь, С., 2014.</v>
      </c>
      <c r="F5433" s="10"/>
      <c r="G5433" s="10"/>
      <c r="H5433" s="10"/>
      <c r="I5433" s="10"/>
      <c r="J5433" s="10"/>
      <c r="K5433" s="10"/>
      <c r="L5433" s="10"/>
      <c r="M5433" s="10"/>
      <c r="N5433" s="10"/>
      <c r="O5433" s="10"/>
      <c r="P5433" s="10"/>
      <c r="Q5433" s="10"/>
      <c r="R5433" s="10"/>
      <c r="S5433" s="10"/>
      <c r="T5433" s="10"/>
      <c r="U5433" s="10"/>
      <c r="V5433" s="10"/>
      <c r="W5433" s="10"/>
      <c r="X5433" s="10"/>
      <c r="Y5433" s="10"/>
      <c r="Z5433" s="10"/>
    </row>
    <row r="5434" spans="1:26" ht="12.75">
      <c r="A5434" s="10" t="str">
        <f ca="1">IFERROR(__xludf.DUMMYFUNCTION("""COMPUTED_VALUE"""),"Мариела Тодорова Модева (Нанкова)")</f>
        <v>Мариела Тодорова Модева (Нанкова)</v>
      </c>
      <c r="B5434" s="10" t="str">
        <f ca="1">IFERROR(__xludf.DUMMYFUNCTION("""COMPUTED_VALUE"""),"Статия в списания и поредици")</f>
        <v>Статия в списания и поредици</v>
      </c>
      <c r="C5434" s="10" t="str">
        <f ca="1">IFERROR(__xludf.DUMMYFUNCTION("""COMPUTED_VALUE"""),"Анализ на документи на ЮНЕСКО и ИКОМОС за опазване, социализация и устойчиво развитие на материалните ценности - архитектурни паметници, и тяхната среда.")</f>
        <v>Анализ на документи на ЮНЕСКО и ИКОМОС за опазване, социализация и устойчиво развитие на материалните ценности - архитектурни паметници, и тяхната среда.</v>
      </c>
      <c r="D5434" s="10">
        <f ca="1">IFERROR(__xludf.DUMMYFUNCTION("""COMPUTED_VALUE"""),2013)</f>
        <v>2013</v>
      </c>
      <c r="E5434" s="10" t="str">
        <f ca="1">IFERROR(__xludf.DUMMYFUNCTION("""COMPUTED_VALUE"""),"Научни трудове на Университета по библиотекознание и информационни технологии. с. 197-205. ISSN: 1314-2623")</f>
        <v>Научни трудове на Университета по библиотекознание и информационни технологии. с. 197-205. ISSN: 1314-2623</v>
      </c>
      <c r="F5434" s="10" t="str">
        <f ca="1">IFERROR(__xludf.DUMMYFUNCTION("""COMPUTED_VALUE"""),"Google Scholar")</f>
        <v>Google Scholar</v>
      </c>
      <c r="G5434" s="10"/>
      <c r="H5434" s="10"/>
      <c r="I5434" s="10"/>
      <c r="J5434" s="10"/>
      <c r="K5434" s="10"/>
      <c r="L5434" s="10"/>
      <c r="M5434" s="10"/>
      <c r="N5434" s="10"/>
      <c r="O5434" s="10"/>
      <c r="P5434" s="10"/>
      <c r="Q5434" s="10"/>
      <c r="R5434" s="10"/>
      <c r="S5434" s="10"/>
      <c r="T5434" s="10"/>
      <c r="U5434" s="10"/>
      <c r="V5434" s="10"/>
      <c r="W5434" s="10"/>
      <c r="X5434" s="10"/>
      <c r="Y5434" s="10"/>
      <c r="Z5434" s="10"/>
    </row>
    <row r="5435" spans="1:26" ht="12.75">
      <c r="A5435" s="10" t="str">
        <f ca="1">IFERROR(__xludf.DUMMYFUNCTION("""COMPUTED_VALUE"""),"Мариела Тодорова Модева (Нанкова)")</f>
        <v>Мариела Тодорова Модева (Нанкова)</v>
      </c>
      <c r="B5435" s="10" t="str">
        <f ca="1">IFERROR(__xludf.DUMMYFUNCTION("""COMPUTED_VALUE"""),"Статия в списания и поредици")</f>
        <v>Статия в списания и поредици</v>
      </c>
      <c r="C5435" s="10" t="str">
        <f ca="1">IFERROR(__xludf.DUMMYFUNCTION("""COMPUTED_VALUE"""),"Държавни политики за подкрепа на четенето.")</f>
        <v>Държавни политики за подкрепа на четенето.</v>
      </c>
      <c r="D5435" s="10">
        <f ca="1">IFERROR(__xludf.DUMMYFUNCTION("""COMPUTED_VALUE"""),2013)</f>
        <v>2013</v>
      </c>
      <c r="E5435" s="10" t="str">
        <f ca="1">IFERROR(__xludf.DUMMYFUNCTION("""COMPUTED_VALUE"""),"Добри практики за читателска компетентност при деца и ученици : сборник със студии и статии по проблеми на читателската компетентност. София : За буквите - О писменехь, 2013 (София : Симелпрес), с. 63-81. ISBN 978-954-2946-92-2")</f>
        <v>Добри практики за читателска компетентност при деца и ученици : сборник със студии и статии по проблеми на читателската компетентност. София : За буквите - О писменехь, 2013 (София : Симелпрес), с. 63-81. ISBN 978-954-2946-92-2</v>
      </c>
      <c r="F5435" s="10" t="str">
        <f ca="1">IFERROR(__xludf.DUMMYFUNCTION("""COMPUTED_VALUE"""),"Google Scholar")</f>
        <v>Google Scholar</v>
      </c>
      <c r="G5435" s="10"/>
      <c r="H5435" s="10"/>
      <c r="I5435" s="10"/>
      <c r="J5435" s="10"/>
      <c r="K5435" s="10"/>
      <c r="L5435" s="10"/>
      <c r="M5435" s="10"/>
      <c r="N5435" s="10"/>
      <c r="O5435" s="10"/>
      <c r="P5435" s="10"/>
      <c r="Q5435" s="10"/>
      <c r="R5435" s="10"/>
      <c r="S5435" s="10"/>
      <c r="T5435" s="10"/>
      <c r="U5435" s="10"/>
      <c r="V5435" s="10"/>
      <c r="W5435" s="10"/>
      <c r="X5435" s="10"/>
      <c r="Y5435" s="10"/>
      <c r="Z5435" s="10"/>
    </row>
    <row r="5436" spans="1:26" ht="12.75">
      <c r="A5436" s="10" t="str">
        <f ca="1">IFERROR(__xludf.DUMMYFUNCTION("""COMPUTED_VALUE"""),"Мариела Тодорова Модева (Нанкова)")</f>
        <v>Мариела Тодорова Модева (Нанкова)</v>
      </c>
      <c r="B5436" s="10" t="str">
        <f ca="1">IFERROR(__xludf.DUMMYFUNCTION("""COMPUTED_VALUE"""),"Статия в списания и поредици")</f>
        <v>Статия в списания и поредици</v>
      </c>
      <c r="C5436" s="10" t="str">
        <f ca="1">IFERROR(__xludf.DUMMYFUNCTION("""COMPUTED_VALUE"""),"Перспективи пред висшето образование в контекста на новите информационни технологии.")</f>
        <v>Перспективи пред висшето образование в контекста на новите информационни технологии.</v>
      </c>
      <c r="D5436" s="10">
        <f ca="1">IFERROR(__xludf.DUMMYFUNCTION("""COMPUTED_VALUE"""),2012)</f>
        <v>2012</v>
      </c>
      <c r="E5436" s="10" t="str">
        <f ca="1">IFERROR(__xludf.DUMMYFUNCTION("""COMPUTED_VALUE"""),"Нови информационни технологии в образователния процес. София : За буквите – О писменехь, 2012, с. 169-178. ISSN: 1313-2768")</f>
        <v>Нови информационни технологии в образователния процес. София : За буквите – О писменехь, 2012, с. 169-178. ISSN: 1313-2768</v>
      </c>
      <c r="F5436" s="10" t="str">
        <f ca="1">IFERROR(__xludf.DUMMYFUNCTION("""COMPUTED_VALUE"""),"Google Scholar")</f>
        <v>Google Scholar</v>
      </c>
      <c r="G5436" s="10"/>
      <c r="H5436" s="10"/>
      <c r="I5436" s="10"/>
      <c r="J5436" s="10"/>
      <c r="K5436" s="10"/>
      <c r="L5436" s="10"/>
      <c r="M5436" s="10"/>
      <c r="N5436" s="10"/>
      <c r="O5436" s="10"/>
      <c r="P5436" s="10"/>
      <c r="Q5436" s="10"/>
      <c r="R5436" s="10"/>
      <c r="S5436" s="10"/>
      <c r="T5436" s="10"/>
      <c r="U5436" s="10"/>
      <c r="V5436" s="10"/>
      <c r="W5436" s="10"/>
      <c r="X5436" s="10"/>
      <c r="Y5436" s="10"/>
      <c r="Z5436" s="10"/>
    </row>
    <row r="5437" spans="1:26" ht="12.75">
      <c r="A5437" s="10" t="str">
        <f ca="1">IFERROR(__xludf.DUMMYFUNCTION("""COMPUTED_VALUE"""),"Мариела Тодорова Модева (Нанкова)")</f>
        <v>Мариела Тодорова Модева (Нанкова)</v>
      </c>
      <c r="B5437" s="10" t="str">
        <f ca="1">IFERROR(__xludf.DUMMYFUNCTION("""COMPUTED_VALUE"""),"Статия в списания и поредици")</f>
        <v>Статия в списания и поредици</v>
      </c>
      <c r="C5437" s="10" t="str">
        <f ca="1">IFERROR(__xludf.DUMMYFUNCTION("""COMPUTED_VALUE"""),"Проектът за национална стратегия за развитие на културата в контекста на българската културна политика в рамките на европейското духовно пространство.")</f>
        <v>Проектът за национална стратегия за развитие на културата в контекста на българската културна политика в рамките на европейското духовно пространство.</v>
      </c>
      <c r="D5437" s="10">
        <f ca="1">IFERROR(__xludf.DUMMYFUNCTION("""COMPUTED_VALUE"""),2012)</f>
        <v>2012</v>
      </c>
      <c r="E5437" s="10" t="str">
        <f ca="1">IFERROR(__xludf.DUMMYFUNCTION("""COMPUTED_VALUE"""),"Фондация Арете – Бюлетин. София : Земя, 2011- (София : ИД Принт) ISSN 1314-5517")</f>
        <v>Фондация Арете – Бюлетин. София : Земя, 2011- (София : ИД Принт) ISSN 1314-5517</v>
      </c>
      <c r="F5437" s="10" t="str">
        <f ca="1">IFERROR(__xludf.DUMMYFUNCTION("""COMPUTED_VALUE"""),"Google Scholar")</f>
        <v>Google Scholar</v>
      </c>
      <c r="G5437" s="10"/>
      <c r="H5437" s="10"/>
      <c r="I5437" s="10"/>
      <c r="J5437" s="10"/>
      <c r="K5437" s="10"/>
      <c r="L5437" s="10"/>
      <c r="M5437" s="10"/>
      <c r="N5437" s="10"/>
      <c r="O5437" s="10"/>
      <c r="P5437" s="10"/>
      <c r="Q5437" s="10"/>
      <c r="R5437" s="10"/>
      <c r="S5437" s="10"/>
      <c r="T5437" s="10"/>
      <c r="U5437" s="10"/>
      <c r="V5437" s="10"/>
      <c r="W5437" s="10"/>
      <c r="X5437" s="10"/>
      <c r="Y5437" s="10"/>
      <c r="Z5437" s="10"/>
    </row>
    <row r="5438" spans="1:26" ht="12.75">
      <c r="A5438" s="10" t="str">
        <f ca="1">IFERROR(__xludf.DUMMYFUNCTION("""COMPUTED_VALUE"""),"Мариела Тодорова Модева (Нанкова)")</f>
        <v>Мариела Тодорова Модева (Нанкова)</v>
      </c>
      <c r="B5438" s="10" t="str">
        <f ca="1">IFERROR(__xludf.DUMMYFUNCTION("""COMPUTED_VALUE"""),"Книга")</f>
        <v>Книга</v>
      </c>
      <c r="C5438" s="10" t="str">
        <f ca="1">IFERROR(__xludf.DUMMYFUNCTION("""COMPUTED_VALUE"""),"Библиотека и обществени организации : историография и перспективи.")</f>
        <v>Библиотека и обществени организации : историография и перспективи.</v>
      </c>
      <c r="D5438" s="10">
        <f ca="1">IFERROR(__xludf.DUMMYFUNCTION("""COMPUTED_VALUE"""),2011)</f>
        <v>2011</v>
      </c>
      <c r="E5438" s="10" t="str">
        <f ca="1">IFERROR(__xludf.DUMMYFUNCTION("""COMPUTED_VALUE"""),"София : За буквите - О писменехь, 2011 ([София] : [Авангард прима]), 386 с., ISBN 978-954-2946-07-6")</f>
        <v>София : За буквите - О писменехь, 2011 ([София] : [Авангард прима]), 386 с., ISBN 978-954-2946-07-6</v>
      </c>
      <c r="F5438" s="10" t="str">
        <f ca="1">IFERROR(__xludf.DUMMYFUNCTION("""COMPUTED_VALUE"""),"Google Scholar")</f>
        <v>Google Scholar</v>
      </c>
      <c r="G5438" s="10"/>
      <c r="H5438" s="10"/>
      <c r="I5438" s="10"/>
      <c r="J5438" s="10"/>
      <c r="K5438" s="10"/>
      <c r="L5438" s="10"/>
      <c r="M5438" s="10"/>
      <c r="N5438" s="10"/>
      <c r="O5438" s="10"/>
      <c r="P5438" s="10"/>
      <c r="Q5438" s="10"/>
      <c r="R5438" s="10"/>
      <c r="S5438" s="10"/>
      <c r="T5438" s="10"/>
      <c r="U5438" s="10"/>
      <c r="V5438" s="10"/>
      <c r="W5438" s="10"/>
      <c r="X5438" s="10"/>
      <c r="Y5438" s="10"/>
      <c r="Z5438" s="10"/>
    </row>
    <row r="5439" spans="1:26" ht="12.75">
      <c r="A5439" s="10" t="str">
        <f ca="1">IFERROR(__xludf.DUMMYFUNCTION("""COMPUTED_VALUE"""),"Мариела Тодорова Модева (Нанкова)")</f>
        <v>Мариела Тодорова Модева (Нанкова)</v>
      </c>
      <c r="B5439" s="10" t="str">
        <f ca="1">IFERROR(__xludf.DUMMYFUNCTION("""COMPUTED_VALUE"""),"Учебник")</f>
        <v>Учебник</v>
      </c>
      <c r="C5439" s="10" t="str">
        <f ca="1">IFERROR(__xludf.DUMMYFUNCTION("""COMPUTED_VALUE"""),"Интерактивността в учебния процес на специалността „Библиотечен мениджмънт“ : методи на проблемните ситуации.")</f>
        <v>Интерактивността в учебния процес на специалността „Библиотечен мениджмънт“ : методи на проблемните ситуации.</v>
      </c>
      <c r="D5439" s="10">
        <f ca="1">IFERROR(__xludf.DUMMYFUNCTION("""COMPUTED_VALUE"""),2011)</f>
        <v>2011</v>
      </c>
      <c r="E5439" s="10" t="str">
        <f ca="1">IFERROR(__xludf.DUMMYFUNCTION("""COMPUTED_VALUE"""),"София : За буквите - О писменехь, 2011 ([София] : [Авангард прима]), 191 с., ISBN 978-954-2946-06-9")</f>
        <v>София : За буквите - О писменехь, 2011 ([София] : [Авангард прима]), 191 с., ISBN 978-954-2946-06-9</v>
      </c>
      <c r="F5439" s="10" t="str">
        <f ca="1">IFERROR(__xludf.DUMMYFUNCTION("""COMPUTED_VALUE"""),"Google Scholar")</f>
        <v>Google Scholar</v>
      </c>
      <c r="G5439" s="10"/>
      <c r="H5439" s="10"/>
      <c r="I5439" s="10"/>
      <c r="J5439" s="10"/>
      <c r="K5439" s="10"/>
      <c r="L5439" s="10"/>
      <c r="M5439" s="10"/>
      <c r="N5439" s="10"/>
      <c r="O5439" s="10"/>
      <c r="P5439" s="10"/>
      <c r="Q5439" s="10"/>
      <c r="R5439" s="10"/>
      <c r="S5439" s="10"/>
      <c r="T5439" s="10"/>
      <c r="U5439" s="10"/>
      <c r="V5439" s="10"/>
      <c r="W5439" s="10"/>
      <c r="X5439" s="10"/>
      <c r="Y5439" s="10"/>
      <c r="Z5439" s="10"/>
    </row>
    <row r="5440" spans="1:26" ht="12.75">
      <c r="A5440" s="10" t="str">
        <f ca="1">IFERROR(__xludf.DUMMYFUNCTION("""COMPUTED_VALUE"""),"Мариела Тодорова Модева (Нанкова)")</f>
        <v>Мариела Тодорова Модева (Нанкова)</v>
      </c>
      <c r="B5440" s="10" t="str">
        <f ca="1">IFERROR(__xludf.DUMMYFUNCTION("""COMPUTED_VALUE"""),"Статия в списания и поредици")</f>
        <v>Статия в списания и поредици</v>
      </c>
      <c r="C5440" s="10" t="str">
        <f ca="1">IFERROR(__xludf.DUMMYFUNCTION("""COMPUTED_VALUE"""),"Невербалната комуникация в PR-а на политическите лидери")</f>
        <v>Невербалната комуникация в PR-а на политическите лидери</v>
      </c>
      <c r="D5440" s="10">
        <f ca="1">IFERROR(__xludf.DUMMYFUNCTION("""COMPUTED_VALUE"""),2007)</f>
        <v>2007</v>
      </c>
      <c r="E5440" s="10" t="str">
        <f ca="1">IFERROR(__xludf.DUMMYFUNCTION("""COMPUTED_VALUE"""),"Връзки с обществеността - съвременни измерения : Юбилейна научна сесия, Благоевград, ЮЗУ, 19-20 окт. 2007 : PR стратегии и кампании, ISSN: 1312-6385 SG=А 24398.- 4, 2 (2008), с. 139-269.")</f>
        <v>Връзки с обществеността - съвременни измерения : Юбилейна научна сесия, Благоевград, ЮЗУ, 19-20 окт. 2007 : PR стратегии и кампании, ISSN: 1312-6385 SG=А 24398.- 4, 2 (2008), с. 139-269.</v>
      </c>
      <c r="F5440" s="10"/>
      <c r="G5440" s="10"/>
      <c r="H5440" s="10"/>
      <c r="I5440" s="10"/>
      <c r="J5440" s="10"/>
      <c r="K5440" s="10"/>
      <c r="L5440" s="10"/>
      <c r="M5440" s="10"/>
      <c r="N5440" s="10"/>
      <c r="O5440" s="10"/>
      <c r="P5440" s="10"/>
      <c r="Q5440" s="10"/>
      <c r="R5440" s="10"/>
      <c r="S5440" s="10"/>
      <c r="T5440" s="10"/>
      <c r="U5440" s="10"/>
      <c r="V5440" s="10"/>
      <c r="W5440" s="10"/>
      <c r="X5440" s="10"/>
      <c r="Y5440" s="10"/>
      <c r="Z5440" s="10"/>
    </row>
    <row r="5441" spans="1:26" ht="12.75">
      <c r="A5441" s="10" t="str">
        <f ca="1">IFERROR(__xludf.DUMMYFUNCTION("""COMPUTED_VALUE"""),"Мариела Тодорова Модева (Нанкова)")</f>
        <v>Мариела Тодорова Модева (Нанкова)</v>
      </c>
      <c r="B5441" s="10" t="str">
        <f ca="1">IFERROR(__xludf.DUMMYFUNCTION("""COMPUTED_VALUE"""),"Статия в списания и поредици")</f>
        <v>Статия в списания и поредици</v>
      </c>
      <c r="C5441" s="10" t="str">
        <f ca="1">IFERROR(__xludf.DUMMYFUNCTION("""COMPUTED_VALUE"""),"Еволюция на изследванията в областта на невербалната комуникация")</f>
        <v>Еволюция на изследванията в областта на невербалната комуникация</v>
      </c>
      <c r="D5441" s="10">
        <f ca="1">IFERROR(__xludf.DUMMYFUNCTION("""COMPUTED_VALUE"""),2007)</f>
        <v>2007</v>
      </c>
      <c r="E5441" s="10" t="str">
        <f ca="1">IFERROR(__xludf.DUMMYFUNCTION("""COMPUTED_VALUE"""),"Икономика и управление : научно списание на Стопанския факултет при Югозападен университет ""Неофит Рилски"" - Благоевград = ISSN: 1312-594X SG=А 24375.- III, 2 (2007), с. 54-57.")</f>
        <v>Икономика и управление : научно списание на Стопанския факултет при Югозападен университет "Неофит Рилски" - Благоевград = ISSN: 1312-594X SG=А 24375.- III, 2 (2007), с. 54-57.</v>
      </c>
      <c r="F5441" s="10"/>
      <c r="G5441" s="10"/>
      <c r="H5441" s="10"/>
      <c r="I5441" s="10"/>
      <c r="J5441" s="10"/>
      <c r="K5441" s="10"/>
      <c r="L5441" s="10"/>
      <c r="M5441" s="10"/>
      <c r="N5441" s="10"/>
      <c r="O5441" s="10"/>
      <c r="P5441" s="10"/>
      <c r="Q5441" s="10"/>
      <c r="R5441" s="10"/>
      <c r="S5441" s="10"/>
      <c r="T5441" s="10"/>
      <c r="U5441" s="10"/>
      <c r="V5441" s="10"/>
      <c r="W5441" s="10"/>
      <c r="X5441" s="10"/>
      <c r="Y5441" s="10"/>
      <c r="Z5441" s="10"/>
    </row>
    <row r="5442" spans="1:26" ht="12.75">
      <c r="A5442" s="10" t="str">
        <f ca="1">IFERROR(__xludf.DUMMYFUNCTION("""COMPUTED_VALUE"""),"Мариела Тодорова Модева (Нанкова)")</f>
        <v>Мариела Тодорова Модева (Нанкова)</v>
      </c>
      <c r="B5442" s="10" t="str">
        <f ca="1">IFERROR(__xludf.DUMMYFUNCTION("""COMPUTED_VALUE"""),"Статия в списания и поредици")</f>
        <v>Статия в списания и поредици</v>
      </c>
      <c r="C5442" s="10" t="str">
        <f ca="1">IFERROR(__xludf.DUMMYFUNCTION("""COMPUTED_VALUE"""),"Невербалната комуникация [в ПР] - съвременно значение в политическото общуване")</f>
        <v>Невербалната комуникация [в ПР] - съвременно значение в политическото общуване</v>
      </c>
      <c r="D5442" s="10">
        <f ca="1">IFERROR(__xludf.DUMMYFUNCTION("""COMPUTED_VALUE"""),2006)</f>
        <v>2006</v>
      </c>
      <c r="E5442" s="10" t="str">
        <f ca="1">IFERROR(__xludf.DUMMYFUNCTION("""COMPUTED_VALUE"""),"Икономика и управление : научно списание на Стопанския факултет при Югозападен университет ""Неофит Рилски"" – Благоевград, ISSN: 1312-594X SG=А 24375.- II, 2 (2006), с. 56-59.")</f>
        <v>Икономика и управление : научно списание на Стопанския факултет при Югозападен университет "Неофит Рилски" – Благоевград, ISSN: 1312-594X SG=А 24375.- II, 2 (2006), с. 56-59.</v>
      </c>
      <c r="F5442" s="10"/>
      <c r="G5442" s="10"/>
      <c r="H5442" s="10"/>
      <c r="I5442" s="10"/>
      <c r="J5442" s="10"/>
      <c r="K5442" s="10"/>
      <c r="L5442" s="10"/>
      <c r="M5442" s="10"/>
      <c r="N5442" s="10"/>
      <c r="O5442" s="10"/>
      <c r="P5442" s="10"/>
      <c r="Q5442" s="10"/>
      <c r="R5442" s="10"/>
      <c r="S5442" s="10"/>
      <c r="T5442" s="10"/>
      <c r="U5442" s="10"/>
      <c r="V5442" s="10"/>
      <c r="W5442" s="10"/>
      <c r="X5442" s="10"/>
      <c r="Y5442" s="10"/>
      <c r="Z5442" s="10"/>
    </row>
    <row r="5443" spans="1:26" ht="12.75">
      <c r="A5443" s="10" t="str">
        <f ca="1">IFERROR(__xludf.DUMMYFUNCTION("""COMPUTED_VALUE"""),"Марина Енчева Енчева")</f>
        <v>Марина Енчева Енчева</v>
      </c>
      <c r="B5443" s="10" t="str">
        <f ca="1">IFERROR(__xludf.DUMMYFUNCTION("""COMPUTED_VALUE"""),"Статия в списания и поредици")</f>
        <v>Статия в списания и поредици</v>
      </c>
      <c r="C5443" s="10" t="str">
        <f ca="1">IFERROR(__xludf.DUMMYFUNCTION("""COMPUTED_VALUE"""),"Сътрудничество между библиотекари и преподаватели за подобряване на информационната грамотност на студенти-хуманитари в Европа чрез обучение, базирано на игри: проект „НАВИГЕЙТ“")</f>
        <v>Сътрудничество между библиотекари и преподаватели за подобряване на информационната грамотност на студенти-хуманитари в Европа чрез обучение, базирано на игри: проект „НАВИГЕЙТ“</v>
      </c>
      <c r="D5443" s="10">
        <f ca="1">IFERROR(__xludf.DUMMYFUNCTION("""COMPUTED_VALUE"""),2020)</f>
        <v>2020</v>
      </c>
      <c r="E5443" s="10" t="str">
        <f ca="1">IFERROR(__xludf.DUMMYFUNCTION("""COMPUTED_VALUE"""),"НАУЧНИ трудове на Университета по библиотекознание и информационни технологии, т. 17.(in print)")</f>
        <v>НАУЧНИ трудове на Университета по библиотекознание и информационни технологии, т. 17.(in print)</v>
      </c>
      <c r="F5443" s="10"/>
      <c r="G5443" s="10"/>
      <c r="H5443" s="10"/>
      <c r="I5443" s="10"/>
      <c r="J5443" s="10"/>
      <c r="K5443" s="10"/>
      <c r="L5443" s="10"/>
      <c r="M5443" s="10"/>
      <c r="N5443" s="10"/>
      <c r="O5443" s="10"/>
      <c r="P5443" s="10"/>
      <c r="Q5443" s="10"/>
      <c r="R5443" s="10"/>
      <c r="S5443" s="10"/>
      <c r="T5443" s="10"/>
      <c r="U5443" s="10"/>
      <c r="V5443" s="10"/>
      <c r="W5443" s="10"/>
      <c r="X5443" s="10"/>
      <c r="Y5443" s="10"/>
      <c r="Z5443" s="10"/>
    </row>
    <row r="5444" spans="1:26" ht="12.75">
      <c r="A5444" s="10" t="str">
        <f ca="1">IFERROR(__xludf.DUMMYFUNCTION("""COMPUTED_VALUE"""),"Марина Енчева Енчева")</f>
        <v>Марина Енчева Енчева</v>
      </c>
      <c r="B5444" s="10" t="str">
        <f ca="1">IFERROR(__xludf.DUMMYFUNCTION("""COMPUTED_VALUE"""),"Статия в списания и поредици")</f>
        <v>Статия в списания и поредици</v>
      </c>
      <c r="C5444" s="10" t="str">
        <f ca="1">IFERROR(__xludf.DUMMYFUNCTION("""COMPUTED_VALUE"""),"Digitalisierungsprojekt Bibliografie der Wiedergeburt Bulgariens in Sofia")</f>
        <v>Digitalisierungsprojekt Bibliografie der Wiedergeburt Bulgariens in Sofia</v>
      </c>
      <c r="D5444" s="10">
        <f ca="1">IFERROR(__xludf.DUMMYFUNCTION("""COMPUTED_VALUE"""),2020)</f>
        <v>2020</v>
      </c>
      <c r="E5444" s="10" t="str">
        <f ca="1">IFERROR(__xludf.DUMMYFUNCTION("""COMPUTED_VALUE"""),"BIBLIOTHEK – Forschung und Praxis, 44(3), pp.1-11. ""Online ISSN: 1865-7648 Print ISSN: 0341-4183, DOI: 10.18452/22007""")</f>
        <v>BIBLIOTHEK – Forschung und Praxis, 44(3), pp.1-11. "Online ISSN: 1865-7648 Print ISSN: 0341-4183, DOI: 10.18452/22007"</v>
      </c>
      <c r="F5444" s="10" t="str">
        <f ca="1">IFERROR(__xludf.DUMMYFUNCTION("""COMPUTED_VALUE"""),"Web of Science
 https://edoc.hu-berlin.de/handle/18452/22686")</f>
        <v>Web of Science
 https://edoc.hu-berlin.de/handle/18452/22686</v>
      </c>
      <c r="G5444" s="10" t="str">
        <f ca="1">IFERROR(__xludf.DUMMYFUNCTION("""COMPUTED_VALUE"""),"Marina Encheva, Nicole Krüger, Vasil Zagorov, Plamena Zlatkova und Gabriela Angelova")</f>
        <v>Marina Encheva, Nicole Krüger, Vasil Zagorov, Plamena Zlatkova und Gabriela Angelova</v>
      </c>
      <c r="H5444" s="10"/>
      <c r="I5444" s="10"/>
      <c r="J5444" s="10"/>
      <c r="K5444" s="10"/>
      <c r="L5444" s="10"/>
      <c r="M5444" s="10"/>
      <c r="N5444" s="10"/>
      <c r="O5444" s="10"/>
      <c r="P5444" s="10"/>
      <c r="Q5444" s="10"/>
      <c r="R5444" s="10"/>
      <c r="S5444" s="10"/>
      <c r="T5444" s="10"/>
      <c r="U5444" s="10"/>
      <c r="V5444" s="10"/>
      <c r="W5444" s="10"/>
      <c r="X5444" s="10"/>
      <c r="Y5444" s="10"/>
      <c r="Z5444" s="10"/>
    </row>
    <row r="5445" spans="1:26" ht="12.75">
      <c r="A5445" s="10" t="str">
        <f ca="1">IFERROR(__xludf.DUMMYFUNCTION("""COMPUTED_VALUE"""),"Марина Енчева Енчева")</f>
        <v>Марина Енчева Енчева</v>
      </c>
      <c r="B5445" s="10" t="str">
        <f ca="1">IFERROR(__xludf.DUMMYFUNCTION("""COMPUTED_VALUE"""),"Статия в списания и поредици")</f>
        <v>Статия в списания и поредици</v>
      </c>
      <c r="C5445" s="10" t="str">
        <f ca="1">IFERROR(__xludf.DUMMYFUNCTION("""COMPUTED_VALUE"""),"Games to Improve Students Information Literacy Skills")</f>
        <v>Games to Improve Students Information Literacy Skills</v>
      </c>
      <c r="D5445" s="10">
        <f ca="1">IFERROR(__xludf.DUMMYFUNCTION("""COMPUTED_VALUE"""),2020)</f>
        <v>2020</v>
      </c>
      <c r="E5445" s="10" t="str">
        <f ca="1">IFERROR(__xludf.DUMMYFUNCTION("""COMPUTED_VALUE"""),"International Information and Library Review, Volume 52 (2), pp. 130-138.Print ISSN: 1057-2317, Online ISSN: 1095-9297, https://doi.org/10.1080/10572317.2020.1746024")</f>
        <v>International Information and Library Review, Volume 52 (2), pp. 130-138.Print ISSN: 1057-2317, Online ISSN: 1095-9297, https://doi.org/10.1080/10572317.2020.1746024</v>
      </c>
      <c r="F5445" s="10" t="str">
        <f ca="1">IFERROR(__xludf.DUMMYFUNCTION("""COMPUTED_VALUE"""),"Scopus
 https://www.tandfonline.com/doi/full/10.1080/10572317.2020.1746024")</f>
        <v>Scopus
 https://www.tandfonline.com/doi/full/10.1080/10572317.2020.1746024</v>
      </c>
      <c r="G5445" s="10" t="str">
        <f ca="1">IFERROR(__xludf.DUMMYFUNCTION("""COMPUTED_VALUE"""),"Marina Encheva, Anna Maria Tammaro, Alexandra Kumanova")</f>
        <v>Marina Encheva, Anna Maria Tammaro, Alexandra Kumanova</v>
      </c>
      <c r="H5445" s="10"/>
      <c r="I5445" s="10"/>
      <c r="J5445" s="10"/>
      <c r="K5445" s="10"/>
      <c r="L5445" s="10"/>
      <c r="M5445" s="10"/>
      <c r="N5445" s="10"/>
      <c r="O5445" s="10"/>
      <c r="P5445" s="10"/>
      <c r="Q5445" s="10"/>
      <c r="R5445" s="10"/>
      <c r="S5445" s="10"/>
      <c r="T5445" s="10"/>
      <c r="U5445" s="10"/>
      <c r="V5445" s="10"/>
      <c r="W5445" s="10"/>
      <c r="X5445" s="10"/>
      <c r="Y5445" s="10"/>
      <c r="Z5445" s="10"/>
    </row>
    <row r="5446" spans="1:26" ht="12.75">
      <c r="A5446" s="10" t="str">
        <f ca="1">IFERROR(__xludf.DUMMYFUNCTION("""COMPUTED_VALUE"""),"Марина Енчева Енчева")</f>
        <v>Марина Енчева Енчева</v>
      </c>
      <c r="B5446" s="10" t="str">
        <f ca="1">IFERROR(__xludf.DUMMYFUNCTION("""COMPUTED_VALUE"""),"Статия в списания и поредици")</f>
        <v>Статия в списания и поредици</v>
      </c>
      <c r="C5446" s="10" t="str">
        <f ca="1">IFERROR(__xludf.DUMMYFUNCTION("""COMPUTED_VALUE"""),"New Forms of Literacy and Transformation of Reading Practices in Bulgaria")</f>
        <v>New Forms of Literacy and Transformation of Reading Practices in Bulgaria</v>
      </c>
      <c r="D5446" s="10">
        <f ca="1">IFERROR(__xludf.DUMMYFUNCTION("""COMPUTED_VALUE"""),2019)</f>
        <v>2019</v>
      </c>
      <c r="E5446" s="10" t="str">
        <f ca="1">IFERROR(__xludf.DUMMYFUNCTION("""COMPUTED_VALUE"""),"International Information &amp; Library Review, Vol. 51, Issue 3, 2019, pp. 275-283. ISSN 10959297")</f>
        <v>International Information &amp; Library Review, Vol. 51, Issue 3, 2019, pp. 275-283. ISSN 10959297</v>
      </c>
      <c r="F5446" s="10" t="str">
        <f ca="1">IFERROR(__xludf.DUMMYFUNCTION("""COMPUTED_VALUE"""),"Web of Knowledge")</f>
        <v>Web of Knowledge</v>
      </c>
      <c r="G5446" s="10" t="str">
        <f ca="1">IFERROR(__xludf.DUMMYFUNCTION("""COMPUTED_VALUE"""),"Mukanova, P., Borisova, M., Naydenova, S.")</f>
        <v>Mukanova, P., Borisova, M., Naydenova, S.</v>
      </c>
      <c r="H5446" s="10"/>
      <c r="I5446" s="10"/>
      <c r="J5446" s="10"/>
      <c r="K5446" s="10"/>
      <c r="L5446" s="10"/>
      <c r="M5446" s="10"/>
      <c r="N5446" s="10"/>
      <c r="O5446" s="10"/>
      <c r="P5446" s="10"/>
      <c r="Q5446" s="10"/>
      <c r="R5446" s="10"/>
      <c r="S5446" s="10"/>
      <c r="T5446" s="10"/>
      <c r="U5446" s="10"/>
      <c r="V5446" s="10"/>
      <c r="W5446" s="10"/>
      <c r="X5446" s="10"/>
      <c r="Y5446" s="10"/>
      <c r="Z5446" s="10"/>
    </row>
    <row r="5447" spans="1:26" ht="12.75">
      <c r="A5447" s="10" t="str">
        <f ca="1">IFERROR(__xludf.DUMMYFUNCTION("""COMPUTED_VALUE"""),"Марина Енчева Енчева")</f>
        <v>Марина Енчева Енчева</v>
      </c>
      <c r="B5447" s="10" t="str">
        <f ca="1">IFERROR(__xludf.DUMMYFUNCTION("""COMPUTED_VALUE"""),"Доклад от конференция")</f>
        <v>Доклад от конференция</v>
      </c>
      <c r="C5447" s="10" t="str">
        <f ca="1">IFERROR(__xludf.DUMMYFUNCTION("""COMPUTED_VALUE"""),"НАВИГЕЙТ – педагогически модел, базиран на игри за повишаване на информационната грамотност на студенти- хуманитари в България, Италия и Швеция. година на издаване")</f>
        <v>НАВИГЕЙТ – педагогически модел, базиран на игри за повишаване на информационната грамотност на студенти- хуманитари в България, Италия и Швеция. година на издаване</v>
      </c>
      <c r="D5447" s="10">
        <f ca="1">IFERROR(__xludf.DUMMYFUNCTION("""COMPUTED_VALUE"""),2019)</f>
        <v>2019</v>
      </c>
      <c r="E5447" s="10" t="str">
        <f ca="1">IFERROR(__xludf.DUMMYFUNCTION("""COMPUTED_VALUE"""),"ОБЩЕСТВОТО на знанието и хуманизмът на XXI век – София: За буквите - О писменехь, 2019, с. 486-500.
 ISSN 1314-7099")</f>
        <v>ОБЩЕСТВОТО на знанието и хуманизмът на XXI век – София: За буквите - О писменехь, 2019, с. 486-500.
 ISSN 1314-7099</v>
      </c>
      <c r="F5447" s="10" t="str">
        <f ca="1">IFERROR(__xludf.DUMMYFUNCTION("""COMPUTED_VALUE"""),"Рефериран списък на НАЦИД")</f>
        <v>Рефериран списък на НАЦИД</v>
      </c>
      <c r="G5447" s="10" t="str">
        <f ca="1">IFERROR(__xludf.DUMMYFUNCTION("""COMPUTED_VALUE"""),"П. Златкова")</f>
        <v>П. Златкова</v>
      </c>
      <c r="H5447" s="10"/>
      <c r="I5447" s="10"/>
      <c r="J5447" s="10"/>
      <c r="K5447" s="10"/>
      <c r="L5447" s="10"/>
      <c r="M5447" s="10"/>
      <c r="N5447" s="10"/>
      <c r="O5447" s="10"/>
      <c r="P5447" s="10"/>
      <c r="Q5447" s="10"/>
      <c r="R5447" s="10"/>
      <c r="S5447" s="10"/>
      <c r="T5447" s="10"/>
      <c r="U5447" s="10"/>
      <c r="V5447" s="10"/>
      <c r="W5447" s="10"/>
      <c r="X5447" s="10"/>
      <c r="Y5447" s="10"/>
      <c r="Z5447" s="10"/>
    </row>
    <row r="5448" spans="1:26" ht="12.75">
      <c r="A5448" s="10" t="str">
        <f ca="1">IFERROR(__xludf.DUMMYFUNCTION("""COMPUTED_VALUE"""),"Марина Енчева Енчева")</f>
        <v>Марина Енчева Енчева</v>
      </c>
      <c r="B5448" s="10" t="str">
        <f ca="1">IFERROR(__xludf.DUMMYFUNCTION("""COMPUTED_VALUE"""),"Доклад от конференция")</f>
        <v>Доклад от конференция</v>
      </c>
      <c r="C5448" s="10" t="str">
        <f ca="1">IFERROR(__xludf.DUMMYFUNCTION("""COMPUTED_VALUE"""),"Information Behavior Of Humanities Students In Bulgaria, Italy And Sweden: Planning A Game-Based Learning Approach For Avoiding Fake Content")</f>
        <v>Information Behavior Of Humanities Students In Bulgaria, Italy And Sweden: Planning A Game-Based Learning Approach For Avoiding Fake Content</v>
      </c>
      <c r="D5448" s="10">
        <f ca="1">IFERROR(__xludf.DUMMYFUNCTION("""COMPUTED_VALUE"""),2019)</f>
        <v>2019</v>
      </c>
      <c r="E5448" s="10" t="str">
        <f ca="1">IFERROR(__xludf.DUMMYFUNCTION("""COMPUTED_VALUE"""),"6th European Conference, ECIL 2018 Oulu, Finland, September 24–27, 2018, pp. 295–306. In: Kurbanoğlu S. et al. (eds) Information Literacy in Everyday Life. ECIL 2018. Communications in Computer and Information Science, vol 989. Springer, Cham (2019). Prin"&amp;"t ISBN 978-3-030-13471-6, Online ISBN 978-3-030-13472-3, DOI https://doi.org/10.1007/978-3-030-13472-3_28")</f>
        <v>6th European Conference, ECIL 2018 Oulu, Finland, September 24–27, 2018, pp. 295–306. In: Kurbanoğlu S. et al. (eds) Information Literacy in Everyday Life. ECIL 2018. Communications in Computer and Information Science, vol 989. Springer, Cham (2019). Print ISBN 978-3-030-13471-6, Online ISBN 978-3-030-13472-3, DOI https://doi.org/10.1007/978-3-030-13472-3_28</v>
      </c>
      <c r="F5448" s="10" t="str">
        <f ca="1">IFERROR(__xludf.DUMMYFUNCTION("""COMPUTED_VALUE"""),"SCOPUS, Springer")</f>
        <v>SCOPUS, Springer</v>
      </c>
      <c r="G5448" s="10" t="str">
        <f ca="1">IFERROR(__xludf.DUMMYFUNCTION("""COMPUTED_VALUE"""),"P. Zlatkova, A. M. Tammaro, M. Brenner")</f>
        <v>P. Zlatkova, A. M. Tammaro, M. Brenner</v>
      </c>
      <c r="H5448" s="10"/>
      <c r="I5448" s="10"/>
      <c r="J5448" s="10"/>
      <c r="K5448" s="10"/>
      <c r="L5448" s="10"/>
      <c r="M5448" s="10"/>
      <c r="N5448" s="10"/>
      <c r="O5448" s="10"/>
      <c r="P5448" s="10"/>
      <c r="Q5448" s="10"/>
      <c r="R5448" s="10"/>
      <c r="S5448" s="10"/>
      <c r="T5448" s="10"/>
      <c r="U5448" s="10"/>
      <c r="V5448" s="10"/>
      <c r="W5448" s="10"/>
      <c r="X5448" s="10"/>
      <c r="Y5448" s="10"/>
      <c r="Z5448" s="10"/>
    </row>
    <row r="5449" spans="1:26" ht="12.75">
      <c r="A5449" s="10" t="str">
        <f ca="1">IFERROR(__xludf.DUMMYFUNCTION("""COMPUTED_VALUE"""),"Марина Енчева Енчева")</f>
        <v>Марина Енчева Енчева</v>
      </c>
      <c r="B5449" s="10" t="str">
        <f ca="1">IFERROR(__xludf.DUMMYFUNCTION("""COMPUTED_VALUE"""),"Доклад от конференция")</f>
        <v>Доклад от конференция</v>
      </c>
      <c r="C5449" s="10" t="str">
        <f ca="1">IFERROR(__xludf.DUMMYFUNCTION("""COMPUTED_VALUE"""),"Enjoy Yourself while Training, or how Traintool Takes down Students’ Barriers through Video Role Playing")</f>
        <v>Enjoy Yourself while Training, or how Traintool Takes down Students’ Barriers through Video Role Playing</v>
      </c>
      <c r="D5449" s="10">
        <f ca="1">IFERROR(__xludf.DUMMYFUNCTION("""COMPUTED_VALUE"""),2018)</f>
        <v>2018</v>
      </c>
      <c r="E5449" s="10" t="str">
        <f ca="1">IFERROR(__xludf.DUMMYFUNCTION("""COMPUTED_VALUE"""),"INTED 2018 Proceedings. 12th International Technology, Education and Development Conference, 5-7th March, 2018. Valencia: IATED Academy, pp. 7244-7250, ISBN: 978-84-697-9480-7, DOI: 10.21125/inted.2018.1703")</f>
        <v>INTED 2018 Proceedings. 12th International Technology, Education and Development Conference, 5-7th March, 2018. Valencia: IATED Academy, pp. 7244-7250, ISBN: 978-84-697-9480-7, DOI: 10.21125/inted.2018.1703</v>
      </c>
      <c r="F5449" s="10" t="str">
        <f ca="1">IFERROR(__xludf.DUMMYFUNCTION("""COMPUTED_VALUE"""),"Web of Science")</f>
        <v>Web of Science</v>
      </c>
      <c r="G5449" s="10" t="str">
        <f ca="1">IFERROR(__xludf.DUMMYFUNCTION("""COMPUTED_VALUE"""),"Polly Mukanova, Gergana Yancheva")</f>
        <v>Polly Mukanova, Gergana Yancheva</v>
      </c>
      <c r="H5449" s="10"/>
      <c r="I5449" s="10"/>
      <c r="J5449" s="10"/>
      <c r="K5449" s="10"/>
      <c r="L5449" s="10"/>
      <c r="M5449" s="10"/>
      <c r="N5449" s="10"/>
      <c r="O5449" s="10"/>
      <c r="P5449" s="10"/>
      <c r="Q5449" s="10"/>
      <c r="R5449" s="10"/>
      <c r="S5449" s="10"/>
      <c r="T5449" s="10"/>
      <c r="U5449" s="10"/>
      <c r="V5449" s="10"/>
      <c r="W5449" s="10"/>
      <c r="X5449" s="10"/>
      <c r="Y5449" s="10"/>
      <c r="Z5449" s="10"/>
    </row>
    <row r="5450" spans="1:26" ht="12.75">
      <c r="A5450" s="10" t="str">
        <f ca="1">IFERROR(__xludf.DUMMYFUNCTION("""COMPUTED_VALUE"""),"Марина Енчева Енчева")</f>
        <v>Марина Енчева Енчева</v>
      </c>
      <c r="B5450" s="10" t="str">
        <f ca="1">IFERROR(__xludf.DUMMYFUNCTION("""COMPUTED_VALUE"""),"Доклад от конференция")</f>
        <v>Доклад от конференция</v>
      </c>
      <c r="C5450" s="10" t="str">
        <f ca="1">IFERROR(__xludf.DUMMYFUNCTION("""COMPUTED_VALUE"""),"Changing Information Literacy Training of Undergraduate Students in Europe through the Game-based Learning Approach")</f>
        <v>Changing Information Literacy Training of Undergraduate Students in Europe through the Game-based Learning Approach</v>
      </c>
      <c r="D5450" s="10">
        <f ca="1">IFERROR(__xludf.DUMMYFUNCTION("""COMPUTED_VALUE"""),2018)</f>
        <v>2018</v>
      </c>
      <c r="E5450" s="10" t="str">
        <f ca="1">IFERROR(__xludf.DUMMYFUNCTION("""COMPUTED_VALUE"""),"INTED 2018 Proceedings. 12th International Technology, Education and Development Conference, 5-7th March, 2018. Valencia: IATED Academy, pp. 587-592, ISBN: 978-84-697-9480-7, DOI: 10.21125/inted.2018.1106")</f>
        <v>INTED 2018 Proceedings. 12th International Technology, Education and Development Conference, 5-7th March, 2018. Valencia: IATED Academy, pp. 587-592, ISBN: 978-84-697-9480-7, DOI: 10.21125/inted.2018.1106</v>
      </c>
      <c r="F5450" s="10" t="str">
        <f ca="1">IFERROR(__xludf.DUMMYFUNCTION("""COMPUTED_VALUE"""),"Web of Science")</f>
        <v>Web of Science</v>
      </c>
      <c r="G5450" s="10" t="str">
        <f ca="1">IFERROR(__xludf.DUMMYFUNCTION("""COMPUTED_VALUE"""),"Polly Mukanova, Plamena Zlatkova, Vasil Zagorov")</f>
        <v>Polly Mukanova, Plamena Zlatkova, Vasil Zagorov</v>
      </c>
      <c r="H5450" s="10"/>
      <c r="I5450" s="10"/>
      <c r="J5450" s="10"/>
      <c r="K5450" s="10"/>
      <c r="L5450" s="10"/>
      <c r="M5450" s="10"/>
      <c r="N5450" s="10"/>
      <c r="O5450" s="10"/>
      <c r="P5450" s="10"/>
      <c r="Q5450" s="10"/>
      <c r="R5450" s="10"/>
      <c r="S5450" s="10"/>
      <c r="T5450" s="10"/>
      <c r="U5450" s="10"/>
      <c r="V5450" s="10"/>
      <c r="W5450" s="10"/>
      <c r="X5450" s="10"/>
      <c r="Y5450" s="10"/>
      <c r="Z5450" s="10"/>
    </row>
    <row r="5451" spans="1:26" ht="12.75">
      <c r="A5451" s="10" t="str">
        <f ca="1">IFERROR(__xludf.DUMMYFUNCTION("""COMPUTED_VALUE"""),"Марина Енчева Енчева")</f>
        <v>Марина Енчева Енчева</v>
      </c>
      <c r="B5451" s="10" t="str">
        <f ca="1">IFERROR(__xludf.DUMMYFUNCTION("""COMPUTED_VALUE"""),"Монография")</f>
        <v>Монография</v>
      </c>
      <c r="C5451" s="10" t="str">
        <f ca="1">IFERROR(__xludf.DUMMYFUNCTION("""COMPUTED_VALUE"""),"Игрови подходи в обучението по информационна грамотност")</f>
        <v>Игрови подходи в обучението по информационна грамотност</v>
      </c>
      <c r="D5451" s="10">
        <f ca="1">IFERROR(__xludf.DUMMYFUNCTION("""COMPUTED_VALUE"""),2018)</f>
        <v>2018</v>
      </c>
      <c r="E5451" s="10" t="str">
        <f ca="1">IFERROR(__xludf.DUMMYFUNCTION("""COMPUTED_VALUE"""),"София: Издателство „За буквите – о писменехь“ . – 196 с. ISBN 978-619-185-327-4")</f>
        <v>София: Издателство „За буквите – о писменехь“ . – 196 с. ISBN 978-619-185-327-4</v>
      </c>
      <c r="F5451" s="10"/>
      <c r="G5451" s="10"/>
      <c r="H5451" s="10"/>
      <c r="I5451" s="10"/>
      <c r="J5451" s="10"/>
      <c r="K5451" s="10"/>
      <c r="L5451" s="10"/>
      <c r="M5451" s="10"/>
      <c r="N5451" s="10"/>
      <c r="O5451" s="10"/>
      <c r="P5451" s="10"/>
      <c r="Q5451" s="10"/>
      <c r="R5451" s="10"/>
      <c r="S5451" s="10"/>
      <c r="T5451" s="10"/>
      <c r="U5451" s="10"/>
      <c r="V5451" s="10"/>
      <c r="W5451" s="10"/>
      <c r="X5451" s="10"/>
      <c r="Y5451" s="10"/>
      <c r="Z5451" s="10"/>
    </row>
    <row r="5452" spans="1:26" ht="12.75">
      <c r="A5452" s="10" t="str">
        <f ca="1">IFERROR(__xludf.DUMMYFUNCTION("""COMPUTED_VALUE"""),"Марина Енчева Енчева")</f>
        <v>Марина Енчева Енчева</v>
      </c>
      <c r="B5452" s="10" t="str">
        <f ca="1">IFERROR(__xludf.DUMMYFUNCTION("""COMPUTED_VALUE"""),"Доклад от конференция")</f>
        <v>Доклад от конференция</v>
      </c>
      <c r="C5452" s="10" t="str">
        <f ca="1">IFERROR(__xludf.DUMMYFUNCTION("""COMPUTED_VALUE"""),"Digitalization of the Repertoire of Books from the Bulgarian Revival (1801-1878)")</f>
        <v>Digitalization of the Repertoire of Books from the Bulgarian Revival (1801-1878)</v>
      </c>
      <c r="D5452" s="10">
        <f ca="1">IFERROR(__xludf.DUMMYFUNCTION("""COMPUTED_VALUE"""),2017)</f>
        <v>2017</v>
      </c>
      <c r="E5452" s="10" t="str">
        <f ca="1">IFERROR(__xludf.DUMMYFUNCTION("""COMPUTED_VALUE"""),"ICERI 2017 Proceedings. 10th International Conference of Education, Research and Innovation, 16-18th November, 2017. Seville: IATED Academy, pp. 3545–3548. ISBN: 978-84-697-6957-7 ISSN: 2340-1095 doi: 10.21125/iceri.2017.0961")</f>
        <v>ICERI 2017 Proceedings. 10th International Conference of Education, Research and Innovation, 16-18th November, 2017. Seville: IATED Academy, pp. 3545–3548. ISBN: 978-84-697-6957-7 ISSN: 2340-1095 doi: 10.21125/iceri.2017.0961</v>
      </c>
      <c r="F5452" s="10" t="str">
        <f ca="1">IFERROR(__xludf.DUMMYFUNCTION("""COMPUTED_VALUE"""),"Web of Science")</f>
        <v>Web of Science</v>
      </c>
      <c r="G5452" s="10" t="str">
        <f ca="1">IFERROR(__xludf.DUMMYFUNCTION("""COMPUTED_VALUE"""),"Vasil Zagorov")</f>
        <v>Vasil Zagorov</v>
      </c>
      <c r="H5452" s="10"/>
      <c r="I5452" s="10"/>
      <c r="J5452" s="10"/>
      <c r="K5452" s="10"/>
      <c r="L5452" s="10"/>
      <c r="M5452" s="10"/>
      <c r="N5452" s="10"/>
      <c r="O5452" s="10"/>
      <c r="P5452" s="10"/>
      <c r="Q5452" s="10"/>
      <c r="R5452" s="10"/>
      <c r="S5452" s="10"/>
      <c r="T5452" s="10"/>
      <c r="U5452" s="10"/>
      <c r="V5452" s="10"/>
      <c r="W5452" s="10"/>
      <c r="X5452" s="10"/>
      <c r="Y5452" s="10"/>
      <c r="Z5452" s="10"/>
    </row>
    <row r="5453" spans="1:26" ht="12.75">
      <c r="A5453" s="10" t="str">
        <f ca="1">IFERROR(__xludf.DUMMYFUNCTION("""COMPUTED_VALUE"""),"Марина Енчева Енчева")</f>
        <v>Марина Енчева Енчева</v>
      </c>
      <c r="B5453" s="10" t="str">
        <f ca="1">IFERROR(__xludf.DUMMYFUNCTION("""COMPUTED_VALUE"""),"Статия в списания и поредици")</f>
        <v>Статия в списания и поредици</v>
      </c>
      <c r="C5453" s="10" t="str">
        <f ca="1">IFERROR(__xludf.DUMMYFUNCTION("""COMPUTED_VALUE"""),"Насоки за бъдещето на библиотечното образование в България: Прилагане на иновативни подходи при обучението на библиотекари и информационни специалисти в УниБИТ")</f>
        <v>Насоки за бъдещето на библиотечното образование в България: Прилагане на иновативни подходи при обучението на библиотекари и информационни специалисти в УниБИТ</v>
      </c>
      <c r="D5453" s="10">
        <f ca="1">IFERROR(__xludf.DUMMYFUNCTION("""COMPUTED_VALUE"""),2017)</f>
        <v>2017</v>
      </c>
      <c r="E5453" s="10" t="str">
        <f ca="1">IFERROR(__xludf.DUMMYFUNCTION("""COMPUTED_VALUE"""),"Библиотека, № 3, 169-174. ISSN 0861-847X")</f>
        <v>Библиотека, № 3, 169-174. ISSN 0861-847X</v>
      </c>
      <c r="F5453" s="10" t="str">
        <f ca="1">IFERROR(__xludf.DUMMYFUNCTION("""COMPUTED_VALUE"""),"CEEOL, ИНИОН РАН")</f>
        <v>CEEOL, ИНИОН РАН</v>
      </c>
      <c r="G5453" s="10" t="str">
        <f ca="1">IFERROR(__xludf.DUMMYFUNCTION("""COMPUTED_VALUE"""),"Васил Загоров")</f>
        <v>Васил Загоров</v>
      </c>
      <c r="H5453" s="10"/>
      <c r="I5453" s="10"/>
      <c r="J5453" s="10"/>
      <c r="K5453" s="10"/>
      <c r="L5453" s="10"/>
      <c r="M5453" s="10"/>
      <c r="N5453" s="10"/>
      <c r="O5453" s="10"/>
      <c r="P5453" s="10"/>
      <c r="Q5453" s="10"/>
      <c r="R5453" s="10"/>
      <c r="S5453" s="10"/>
      <c r="T5453" s="10"/>
      <c r="U5453" s="10"/>
      <c r="V5453" s="10"/>
      <c r="W5453" s="10"/>
      <c r="X5453" s="10"/>
      <c r="Y5453" s="10"/>
      <c r="Z5453" s="10"/>
    </row>
    <row r="5454" spans="1:26" ht="12.75">
      <c r="A5454" s="10" t="str">
        <f ca="1">IFERROR(__xludf.DUMMYFUNCTION("""COMPUTED_VALUE"""),"Марина Енчева Енчева")</f>
        <v>Марина Енчева Енчева</v>
      </c>
      <c r="B5454" s="10" t="str">
        <f ca="1">IFERROR(__xludf.DUMMYFUNCTION("""COMPUTED_VALUE"""),"Доклад от конференция")</f>
        <v>Доклад от конференция</v>
      </c>
      <c r="C5454" s="10" t="str">
        <f ca="1">IFERROR(__xludf.DUMMYFUNCTION("""COMPUTED_VALUE"""),"Virtual and Augmented Reality in the Higher Education Sector in Bulgaria")</f>
        <v>Virtual and Augmented Reality in the Higher Education Sector in Bulgaria</v>
      </c>
      <c r="D5454" s="10">
        <f ca="1">IFERROR(__xludf.DUMMYFUNCTION("""COMPUTED_VALUE"""),2017)</f>
        <v>2017</v>
      </c>
      <c r="E5454" s="10" t="str">
        <f ca="1">IFERROR(__xludf.DUMMYFUNCTION("""COMPUTED_VALUE"""),"ICERI 2017 Proceedings. 10th International Conference of Education, Research and Innovation, 16-18th November, 2017. Seville: IATED Academy, pp. 3703–3705. ISBN: 978-84-697-6957-7 ISSN: 2340-1095 doi: 10.21125/iceri.2017.0996")</f>
        <v>ICERI 2017 Proceedings. 10th International Conference of Education, Research and Innovation, 16-18th November, 2017. Seville: IATED Academy, pp. 3703–3705. ISBN: 978-84-697-6957-7 ISSN: 2340-1095 doi: 10.21125/iceri.2017.0996</v>
      </c>
      <c r="F5454" s="10" t="str">
        <f ca="1">IFERROR(__xludf.DUMMYFUNCTION("""COMPUTED_VALUE"""),"Web of Science")</f>
        <v>Web of Science</v>
      </c>
      <c r="G5454" s="10"/>
      <c r="H5454" s="10"/>
      <c r="I5454" s="10"/>
      <c r="J5454" s="10"/>
      <c r="K5454" s="10"/>
      <c r="L5454" s="10"/>
      <c r="M5454" s="10"/>
      <c r="N5454" s="10"/>
      <c r="O5454" s="10"/>
      <c r="P5454" s="10"/>
      <c r="Q5454" s="10"/>
      <c r="R5454" s="10"/>
      <c r="S5454" s="10"/>
      <c r="T5454" s="10"/>
      <c r="U5454" s="10"/>
      <c r="V5454" s="10"/>
      <c r="W5454" s="10"/>
      <c r="X5454" s="10"/>
      <c r="Y5454" s="10"/>
      <c r="Z5454" s="10"/>
    </row>
    <row r="5455" spans="1:26" ht="12.75">
      <c r="A5455" s="10" t="str">
        <f ca="1">IFERROR(__xludf.DUMMYFUNCTION("""COMPUTED_VALUE"""),"Марина Енчева Енчева")</f>
        <v>Марина Енчева Енчева</v>
      </c>
      <c r="B5455" s="10" t="str">
        <f ca="1">IFERROR(__xludf.DUMMYFUNCTION("""COMPUTED_VALUE"""),"Статия в списания и поредици")</f>
        <v>Статия в списания и поредици</v>
      </c>
      <c r="C5455" s="10" t="str">
        <f ca="1">IFERROR(__xludf.DUMMYFUNCTION("""COMPUTED_VALUE"""),"Mobile and Information Literacy Perceptions and Skills of Library and Information Sciences and Humanities Students from Bulgaria and Turkey")</f>
        <v>Mobile and Information Literacy Perceptions and Skills of Library and Information Sciences and Humanities Students from Bulgaria and Turkey</v>
      </c>
      <c r="D5455" s="10">
        <f ca="1">IFERROR(__xludf.DUMMYFUNCTION("""COMPUTED_VALUE"""),2017)</f>
        <v>2017</v>
      </c>
      <c r="E5455" s="10" t="str">
        <f ca="1">IFERROR(__xludf.DUMMYFUNCTION("""COMPUTED_VALUE"""),"International Information &amp; Library Review, Volume 49, Issue № 2, 145-161. ISSN: 1057-2317 (Print) 1095-9297 (Online) DOI: 10.1080/10572317.2017.1314145")</f>
        <v>International Information &amp; Library Review, Volume 49, Issue № 2, 145-161. ISSN: 1057-2317 (Print) 1095-9297 (Online) DOI: 10.1080/10572317.2017.1314145</v>
      </c>
      <c r="F5455" s="10" t="str">
        <f ca="1">IFERROR(__xludf.DUMMYFUNCTION("""COMPUTED_VALUE"""),"SCOPUS")</f>
        <v>SCOPUS</v>
      </c>
      <c r="G5455" s="10" t="str">
        <f ca="1">IFERROR(__xludf.DUMMYFUNCTION("""COMPUTED_VALUE"""),"Plamena Zlatkova, Nilgun Ozdamar-Keskin, Isker Vatansever")</f>
        <v>Plamena Zlatkova, Nilgun Ozdamar-Keskin, Isker Vatansever</v>
      </c>
      <c r="H5455" s="10"/>
      <c r="I5455" s="10"/>
      <c r="J5455" s="10"/>
      <c r="K5455" s="10"/>
      <c r="L5455" s="10"/>
      <c r="M5455" s="10"/>
      <c r="N5455" s="10"/>
      <c r="O5455" s="10"/>
      <c r="P5455" s="10"/>
      <c r="Q5455" s="10"/>
      <c r="R5455" s="10"/>
      <c r="S5455" s="10"/>
      <c r="T5455" s="10"/>
      <c r="U5455" s="10"/>
      <c r="V5455" s="10"/>
      <c r="W5455" s="10"/>
      <c r="X5455" s="10"/>
      <c r="Y5455" s="10"/>
      <c r="Z5455" s="10"/>
    </row>
    <row r="5456" spans="1:26" ht="12.75">
      <c r="A5456" s="10" t="str">
        <f ca="1">IFERROR(__xludf.DUMMYFUNCTION("""COMPUTED_VALUE"""),"Марина Енчева Енчева")</f>
        <v>Марина Енчева Енчева</v>
      </c>
      <c r="B5456" s="10" t="str">
        <f ca="1">IFERROR(__xludf.DUMMYFUNCTION("""COMPUTED_VALUE"""),"Статия в списания и поредици")</f>
        <v>Статия в списания и поредици</v>
      </c>
      <c r="C5456" s="10" t="str">
        <f ca="1">IFERROR(__xludf.DUMMYFUNCTION("""COMPUTED_VALUE"""),"Новая образовательная среда болгарской школы: вызовы времени")</f>
        <v>Новая образовательная среда болгарской школы: вызовы времени</v>
      </c>
      <c r="D5456" s="10">
        <f ca="1">IFERROR(__xludf.DUMMYFUNCTION("""COMPUTED_VALUE"""),2016)</f>
        <v>2016</v>
      </c>
      <c r="E5456" s="10" t="str">
        <f ca="1">IFERROR(__xludf.DUMMYFUNCTION("""COMPUTED_VALUE"""),"Школьная библиотека сегодня и завтра, № 3, с. 27-36, ISSN: 1680 - 2748")</f>
        <v>Школьная библиотека сегодня и завтра, № 3, с. 27-36, ISSN: 1680 - 2748</v>
      </c>
      <c r="F5456" s="10"/>
      <c r="G5456" s="10" t="str">
        <f ca="1">IFERROR(__xludf.DUMMYFUNCTION("""COMPUTED_VALUE"""),"Пламена Златкова")</f>
        <v>Пламена Златкова</v>
      </c>
      <c r="H5456" s="10"/>
      <c r="I5456" s="10"/>
      <c r="J5456" s="10"/>
      <c r="K5456" s="10"/>
      <c r="L5456" s="10"/>
      <c r="M5456" s="10"/>
      <c r="N5456" s="10"/>
      <c r="O5456" s="10"/>
      <c r="P5456" s="10"/>
      <c r="Q5456" s="10"/>
      <c r="R5456" s="10"/>
      <c r="S5456" s="10"/>
      <c r="T5456" s="10"/>
      <c r="U5456" s="10"/>
      <c r="V5456" s="10"/>
      <c r="W5456" s="10"/>
      <c r="X5456" s="10"/>
      <c r="Y5456" s="10"/>
      <c r="Z5456" s="10"/>
    </row>
    <row r="5457" spans="1:26" ht="12.75">
      <c r="A5457" s="10" t="str">
        <f ca="1">IFERROR(__xludf.DUMMYFUNCTION("""COMPUTED_VALUE"""),"Марина Енчева Енчева")</f>
        <v>Марина Енчева Енчева</v>
      </c>
      <c r="B5457" s="10" t="str">
        <f ca="1">IFERROR(__xludf.DUMMYFUNCTION("""COMPUTED_VALUE"""),"Статия в списания и поредици")</f>
        <v>Статия в списания и поредици</v>
      </c>
      <c r="C5457" s="10" t="str">
        <f ca="1">IFERROR(__xludf.DUMMYFUNCTION("""COMPUTED_VALUE"""),"Подходи при провеждането на обучение във виртуална класна стая")</f>
        <v>Подходи при провеждането на обучение във виртуална класна стая</v>
      </c>
      <c r="D5457" s="10">
        <f ca="1">IFERROR(__xludf.DUMMYFUNCTION("""COMPUTED_VALUE"""),2016)</f>
        <v>2016</v>
      </c>
      <c r="E5457" s="10" t="str">
        <f ca="1">IFERROR(__xludf.DUMMYFUNCTION("""COMPUTED_VALUE"""),"Наука, № 1, с. 42-49. ISSN 0861 3362 (печатно) ISSN 2603-3623 (електронно)")</f>
        <v>Наука, № 1, с. 42-49. ISSN 0861 3362 (печатно) ISSN 2603-3623 (електронно)</v>
      </c>
      <c r="F5457" s="10" t="str">
        <f ca="1">IFERROR(__xludf.DUMMYFUNCTION("""COMPUTED_VALUE"""),"ИНИОН РАН")</f>
        <v>ИНИОН РАН</v>
      </c>
      <c r="G5457" s="10" t="str">
        <f ca="1">IFERROR(__xludf.DUMMYFUNCTION("""COMPUTED_VALUE"""),"Иглика Гетова")</f>
        <v>Иглика Гетова</v>
      </c>
      <c r="H5457" s="10"/>
      <c r="I5457" s="10"/>
      <c r="J5457" s="10"/>
      <c r="K5457" s="10"/>
      <c r="L5457" s="10"/>
      <c r="M5457" s="10"/>
      <c r="N5457" s="10"/>
      <c r="O5457" s="10"/>
      <c r="P5457" s="10"/>
      <c r="Q5457" s="10"/>
      <c r="R5457" s="10"/>
      <c r="S5457" s="10"/>
      <c r="T5457" s="10"/>
      <c r="U5457" s="10"/>
      <c r="V5457" s="10"/>
      <c r="W5457" s="10"/>
      <c r="X5457" s="10"/>
      <c r="Y5457" s="10"/>
      <c r="Z5457" s="10"/>
    </row>
    <row r="5458" spans="1:26" ht="12.75">
      <c r="A5458" s="10" t="str">
        <f ca="1">IFERROR(__xludf.DUMMYFUNCTION("""COMPUTED_VALUE"""),"Марина Енчева Енчева")</f>
        <v>Марина Енчева Енчева</v>
      </c>
      <c r="B5458" s="10" t="str">
        <f ca="1">IFERROR(__xludf.DUMMYFUNCTION("""COMPUTED_VALUE"""),"Статия в списания и поредици")</f>
        <v>Статия в списания и поредици</v>
      </c>
      <c r="C5458" s="10" t="str">
        <f ca="1">IFERROR(__xludf.DUMMYFUNCTION("""COMPUTED_VALUE"""),"Teaching information literacy courses in the context of library and information science education in Bulgaria: challenges and innovative approaches")</f>
        <v>Teaching information literacy courses in the context of library and information science education in Bulgaria: challenges and innovative approaches</v>
      </c>
      <c r="D5458" s="10">
        <f ca="1">IFERROR(__xludf.DUMMYFUNCTION("""COMPUTED_VALUE"""),2016)</f>
        <v>2016</v>
      </c>
      <c r="E5458" s="10" t="str">
        <f ca="1">IFERROR(__xludf.DUMMYFUNCTION("""COMPUTED_VALUE"""),"Journal of Library Administration, Volume 56, Issue Number 5, p. 595–602. ISSN: 0193-0826 (Print) 1540-3564 (Online) DOI: 10.1080/01930826.2016.1186968")</f>
        <v>Journal of Library Administration, Volume 56, Issue Number 5, p. 595–602. ISSN: 0193-0826 (Print) 1540-3564 (Online) DOI: 10.1080/01930826.2016.1186968</v>
      </c>
      <c r="F5458" s="10" t="str">
        <f ca="1">IFERROR(__xludf.DUMMYFUNCTION("""COMPUTED_VALUE"""),"Web of science")</f>
        <v>Web of science</v>
      </c>
      <c r="G5458" s="10"/>
      <c r="H5458" s="10"/>
      <c r="I5458" s="10"/>
      <c r="J5458" s="10"/>
      <c r="K5458" s="10"/>
      <c r="L5458" s="10"/>
      <c r="M5458" s="10"/>
      <c r="N5458" s="10"/>
      <c r="O5458" s="10"/>
      <c r="P5458" s="10"/>
      <c r="Q5458" s="10"/>
      <c r="R5458" s="10"/>
      <c r="S5458" s="10"/>
      <c r="T5458" s="10"/>
      <c r="U5458" s="10"/>
      <c r="V5458" s="10"/>
      <c r="W5458" s="10"/>
      <c r="X5458" s="10"/>
      <c r="Y5458" s="10"/>
      <c r="Z5458" s="10"/>
    </row>
    <row r="5459" spans="1:26" ht="12.75">
      <c r="A5459" s="10" t="str">
        <f ca="1">IFERROR(__xludf.DUMMYFUNCTION("""COMPUTED_VALUE"""),"Марина Енчева Енчева")</f>
        <v>Марина Енчева Енчева</v>
      </c>
      <c r="B5459" s="10" t="str">
        <f ca="1">IFERROR(__xludf.DUMMYFUNCTION("""COMPUTED_VALUE"""),"Доклад от конференция")</f>
        <v>Доклад от конференция</v>
      </c>
      <c r="C5459" s="10" t="str">
        <f ca="1">IFERROR(__xludf.DUMMYFUNCTION("""COMPUTED_VALUE"""),"Платформи за електронно обучение с отворен код при подготовката на библиотечни и информационни специалисти в българските университети")</f>
        <v>Платформи за електронно обучение с отворен код при подготовката на библиотечни и информационни специалисти в българските университети</v>
      </c>
      <c r="D5459" s="10">
        <f ca="1">IFERROR(__xludf.DUMMYFUNCTION("""COMPUTED_VALUE"""),2015)</f>
        <v>2015</v>
      </c>
      <c r="E5459" s="10" t="str">
        <f ca="1">IFERROR(__xludf.DUMMYFUNCTION("""COMPUTED_VALUE"""),"Сборник с доклади от XII национална научна конференция с международно участие “Обществото на знанието и хуманизмът на XXI век“, с. 363-372. ISSN 1314-7099")</f>
        <v>Сборник с доклади от XII национална научна конференция с международно участие “Обществото на знанието и хуманизмът на XXI век“, с. 363-372. ISSN 1314-7099</v>
      </c>
      <c r="F5459" s="10"/>
      <c r="G5459" s="10"/>
      <c r="H5459" s="10"/>
      <c r="I5459" s="10"/>
      <c r="J5459" s="10"/>
      <c r="K5459" s="10"/>
      <c r="L5459" s="10"/>
      <c r="M5459" s="10"/>
      <c r="N5459" s="10"/>
      <c r="O5459" s="10"/>
      <c r="P5459" s="10"/>
      <c r="Q5459" s="10"/>
      <c r="R5459" s="10"/>
      <c r="S5459" s="10"/>
      <c r="T5459" s="10"/>
      <c r="U5459" s="10"/>
      <c r="V5459" s="10"/>
      <c r="W5459" s="10"/>
      <c r="X5459" s="10"/>
      <c r="Y5459" s="10"/>
      <c r="Z5459" s="10"/>
    </row>
    <row r="5460" spans="1:26" ht="12.75">
      <c r="A5460" s="10" t="str">
        <f ca="1">IFERROR(__xludf.DUMMYFUNCTION("""COMPUTED_VALUE"""),"Марина Енчева Енчева")</f>
        <v>Марина Енчева Енчева</v>
      </c>
      <c r="B5460" s="10" t="str">
        <f ca="1">IFERROR(__xludf.DUMMYFUNCTION("""COMPUTED_VALUE"""),"Статия в списания и поредици")</f>
        <v>Статия в списания и поредици</v>
      </c>
      <c r="C5460" s="10" t="str">
        <f ca="1">IFERROR(__xludf.DUMMYFUNCTION("""COMPUTED_VALUE"""),"Мотивиране на участниците в курсове за електронно обучение")</f>
        <v>Мотивиране на участниците в курсове за електронно обучение</v>
      </c>
      <c r="D5460" s="10">
        <f ca="1">IFERROR(__xludf.DUMMYFUNCTION("""COMPUTED_VALUE"""),2015)</f>
        <v>2015</v>
      </c>
      <c r="E5460" s="10" t="str">
        <f ca="1">IFERROR(__xludf.DUMMYFUNCTION("""COMPUTED_VALUE"""),"Научни трудове на УниБИТ, т.12, с. 61-67. ISSN 1314-2623")</f>
        <v>Научни трудове на УниБИТ, т.12, с. 61-67. ISSN 1314-2623</v>
      </c>
      <c r="F5460" s="10"/>
      <c r="G5460" s="10"/>
      <c r="H5460" s="10"/>
      <c r="I5460" s="10"/>
      <c r="J5460" s="10"/>
      <c r="K5460" s="10"/>
      <c r="L5460" s="10"/>
      <c r="M5460" s="10"/>
      <c r="N5460" s="10"/>
      <c r="O5460" s="10"/>
      <c r="P5460" s="10"/>
      <c r="Q5460" s="10"/>
      <c r="R5460" s="10"/>
      <c r="S5460" s="10"/>
      <c r="T5460" s="10"/>
      <c r="U5460" s="10"/>
      <c r="V5460" s="10"/>
      <c r="W5460" s="10"/>
      <c r="X5460" s="10"/>
      <c r="Y5460" s="10"/>
      <c r="Z5460" s="10"/>
    </row>
    <row r="5461" spans="1:26" ht="12.75">
      <c r="A5461" s="10" t="str">
        <f ca="1">IFERROR(__xludf.DUMMYFUNCTION("""COMPUTED_VALUE"""),"Марина Енчева Енчева")</f>
        <v>Марина Енчева Енчева</v>
      </c>
      <c r="B5461" s="10" t="str">
        <f ca="1">IFERROR(__xludf.DUMMYFUNCTION("""COMPUTED_VALUE"""),"Доклад от конференция")</f>
        <v>Доклад от конференция</v>
      </c>
      <c r="C5461" s="10" t="str">
        <f ca="1">IFERROR(__xludf.DUMMYFUNCTION("""COMPUTED_VALUE"""),"Methods for E-Evaluation of Bulgarian Distance Students in Library and Information Sciences")</f>
        <v>Methods for E-Evaluation of Bulgarian Distance Students in Library and Information Sciences</v>
      </c>
      <c r="D5461" s="10">
        <f ca="1">IFERROR(__xludf.DUMMYFUNCTION("""COMPUTED_VALUE"""),2015)</f>
        <v>2015</v>
      </c>
      <c r="E5461" s="10" t="str">
        <f ca="1">IFERROR(__xludf.DUMMYFUNCTION("""COMPUTED_VALUE"""),"Expanding Learning Scenarios, Opening out the Educational Landscape: Proceedings of the European Distance and E-Learning Networк. ISBN: 978-615-5511-04-2 DOI: 10.13140/RG.2.1.4197.4804")</f>
        <v>Expanding Learning Scenarios, Opening out the Educational Landscape: Proceedings of the European Distance and E-Learning Networк. ISBN: 978-615-5511-04-2 DOI: 10.13140/RG.2.1.4197.4804</v>
      </c>
      <c r="F5461" s="10"/>
      <c r="G5461" s="10"/>
      <c r="H5461" s="10"/>
      <c r="I5461" s="10"/>
      <c r="J5461" s="10"/>
      <c r="K5461" s="10"/>
      <c r="L5461" s="10"/>
      <c r="M5461" s="10"/>
      <c r="N5461" s="10"/>
      <c r="O5461" s="10"/>
      <c r="P5461" s="10"/>
      <c r="Q5461" s="10"/>
      <c r="R5461" s="10"/>
      <c r="S5461" s="10"/>
      <c r="T5461" s="10"/>
      <c r="U5461" s="10"/>
      <c r="V5461" s="10"/>
      <c r="W5461" s="10"/>
      <c r="X5461" s="10"/>
      <c r="Y5461" s="10"/>
      <c r="Z5461" s="10"/>
    </row>
    <row r="5462" spans="1:26" ht="12.75">
      <c r="A5462" s="10" t="str">
        <f ca="1">IFERROR(__xludf.DUMMYFUNCTION("""COMPUTED_VALUE"""),"Марина Енчева Енчева")</f>
        <v>Марина Енчева Енчева</v>
      </c>
      <c r="B5462" s="10" t="str">
        <f ca="1">IFERROR(__xludf.DUMMYFUNCTION("""COMPUTED_VALUE"""),"Статия в списания и поредици")</f>
        <v>Статия в списания и поредици</v>
      </c>
      <c r="C5462" s="10" t="str">
        <f ca="1">IFERROR(__xludf.DUMMYFUNCTION("""COMPUTED_VALUE"""),"Современные тенденции в обучении специалистов")</f>
        <v>Современные тенденции в обучении специалистов</v>
      </c>
      <c r="D5462" s="10">
        <f ca="1">IFERROR(__xludf.DUMMYFUNCTION("""COMPUTED_VALUE"""),2015)</f>
        <v>2015</v>
      </c>
      <c r="E5462" s="10" t="str">
        <f ca="1">IFERROR(__xludf.DUMMYFUNCTION("""COMPUTED_VALUE"""),"Независимый библиотечный адвокат, № 4, с. 7-11, ISSN: 1608-4071")</f>
        <v>Независимый библиотечный адвокат, № 4, с. 7-11, ISSN: 1608-4071</v>
      </c>
      <c r="F5462" s="10"/>
      <c r="G5462" s="10"/>
      <c r="H5462" s="10"/>
      <c r="I5462" s="10"/>
      <c r="J5462" s="10"/>
      <c r="K5462" s="10"/>
      <c r="L5462" s="10"/>
      <c r="M5462" s="10"/>
      <c r="N5462" s="10"/>
      <c r="O5462" s="10"/>
      <c r="P5462" s="10"/>
      <c r="Q5462" s="10"/>
      <c r="R5462" s="10"/>
      <c r="S5462" s="10"/>
      <c r="T5462" s="10"/>
      <c r="U5462" s="10"/>
      <c r="V5462" s="10"/>
      <c r="W5462" s="10"/>
      <c r="X5462" s="10"/>
      <c r="Y5462" s="10"/>
      <c r="Z5462" s="10"/>
    </row>
    <row r="5463" spans="1:26" ht="12.75">
      <c r="A5463" s="10" t="str">
        <f ca="1">IFERROR(__xludf.DUMMYFUNCTION("""COMPUTED_VALUE"""),"Марина Енчева Енчева")</f>
        <v>Марина Енчева Енчева</v>
      </c>
      <c r="B5463" s="10" t="str">
        <f ca="1">IFERROR(__xludf.DUMMYFUNCTION("""COMPUTED_VALUE"""),"Доклад от конференция")</f>
        <v>Доклад от конференция</v>
      </c>
      <c r="C5463" s="10" t="str">
        <f ca="1">IFERROR(__xludf.DUMMYFUNCTION("""COMPUTED_VALUE"""),"Библиотечно-информационное образование в Болгарии: современное состояние и перспективы развития")</f>
        <v>Библиотечно-информационное образование в Болгарии: современное состояние и перспективы развития</v>
      </c>
      <c r="D5463" s="10">
        <f ca="1">IFERROR(__xludf.DUMMYFUNCTION("""COMPUTED_VALUE"""),2015)</f>
        <v>2015</v>
      </c>
      <c r="E5463" s="10" t="str">
        <f ca="1">IFERROR(__xludf.DUMMYFUNCTION("""COMPUTED_VALUE"""),"Развитие системы высшего образования в сфере культуры: научны и образовательный опыт: Сборник научных статей и докладов Международной научно-практической конференции. с. 141-145. . eLIBRARY ID: 24378115. https://elibrary.ru/item.asp?id=24378115")</f>
        <v>Развитие системы высшего образования в сфере культуры: научны и образовательный опыт: Сборник научных статей и докладов Международной научно-практической конференции. с. 141-145. . eLIBRARY ID: 24378115. https://elibrary.ru/item.asp?id=24378115</v>
      </c>
      <c r="F5463" s="10" t="str">
        <f ca="1">IFERROR(__xludf.DUMMYFUNCTION("""COMPUTED_VALUE"""),"РИНЦ")</f>
        <v>РИНЦ</v>
      </c>
      <c r="G5463" s="10"/>
      <c r="H5463" s="10"/>
      <c r="I5463" s="10"/>
      <c r="J5463" s="10"/>
      <c r="K5463" s="10"/>
      <c r="L5463" s="10"/>
      <c r="M5463" s="10"/>
      <c r="N5463" s="10"/>
      <c r="O5463" s="10"/>
      <c r="P5463" s="10"/>
      <c r="Q5463" s="10"/>
      <c r="R5463" s="10"/>
      <c r="S5463" s="10"/>
      <c r="T5463" s="10"/>
      <c r="U5463" s="10"/>
      <c r="V5463" s="10"/>
      <c r="W5463" s="10"/>
      <c r="X5463" s="10"/>
      <c r="Y5463" s="10"/>
      <c r="Z5463" s="10"/>
    </row>
    <row r="5464" spans="1:26" ht="12.75">
      <c r="A5464" s="10" t="str">
        <f ca="1">IFERROR(__xludf.DUMMYFUNCTION("""COMPUTED_VALUE"""),"Марина Енчева Енчева")</f>
        <v>Марина Енчева Енчева</v>
      </c>
      <c r="B5464" s="10" t="str">
        <f ca="1">IFERROR(__xludf.DUMMYFUNCTION("""COMPUTED_VALUE"""),"Статия в списания и поредици")</f>
        <v>Статия в списания и поредици</v>
      </c>
      <c r="C5464" s="10" t="str">
        <f ca="1">IFERROR(__xludf.DUMMYFUNCTION("""COMPUTED_VALUE"""),"Иновативни подходи за обучение по информационна грамотност в университетска среда")</f>
        <v>Иновативни подходи за обучение по информационна грамотност в университетска среда</v>
      </c>
      <c r="D5464" s="10">
        <f ca="1">IFERROR(__xludf.DUMMYFUNCTION("""COMPUTED_VALUE"""),2015)</f>
        <v>2015</v>
      </c>
      <c r="E5464" s="10" t="str">
        <f ca="1">IFERROR(__xludf.DUMMYFUNCTION("""COMPUTED_VALUE"""),"В: Обучение чрез прктика в сферата на библиотекознанието. София: За буквите - О писменехь, 2015, с.21-29, ISBN 978619185206-2")</f>
        <v>В: Обучение чрез прктика в сферата на библиотекознанието. София: За буквите - О писменехь, 2015, с.21-29, ISBN 978619185206-2</v>
      </c>
      <c r="F5464" s="10"/>
      <c r="G5464" s="10"/>
      <c r="H5464" s="10"/>
      <c r="I5464" s="10"/>
      <c r="J5464" s="10"/>
      <c r="K5464" s="10"/>
      <c r="L5464" s="10"/>
      <c r="M5464" s="10"/>
      <c r="N5464" s="10"/>
      <c r="O5464" s="10"/>
      <c r="P5464" s="10"/>
      <c r="Q5464" s="10"/>
      <c r="R5464" s="10"/>
      <c r="S5464" s="10"/>
      <c r="T5464" s="10"/>
      <c r="U5464" s="10"/>
      <c r="V5464" s="10"/>
      <c r="W5464" s="10"/>
      <c r="X5464" s="10"/>
      <c r="Y5464" s="10"/>
      <c r="Z5464" s="10"/>
    </row>
    <row r="5465" spans="1:26" ht="12.75">
      <c r="A5465" s="10" t="str">
        <f ca="1">IFERROR(__xludf.DUMMYFUNCTION("""COMPUTED_VALUE"""),"Марина Енчева Енчева")</f>
        <v>Марина Енчева Енчева</v>
      </c>
      <c r="B5465" s="10" t="str">
        <f ca="1">IFERROR(__xludf.DUMMYFUNCTION("""COMPUTED_VALUE"""),"Доклад от конференция")</f>
        <v>Доклад от конференция</v>
      </c>
      <c r="C5465" s="10" t="str">
        <f ca="1">IFERROR(__xludf.DUMMYFUNCTION("""COMPUTED_VALUE"""),"Educational Innovations in the Bulgarian School and the Role of Libraries in their Implementation")</f>
        <v>Educational Innovations in the Bulgarian School and the Role of Libraries in their Implementation</v>
      </c>
      <c r="D5465" s="10">
        <f ca="1">IFERROR(__xludf.DUMMYFUNCTION("""COMPUTED_VALUE"""),2015)</f>
        <v>2015</v>
      </c>
      <c r="E5465" s="10" t="str">
        <f ca="1">IFERROR(__xludf.DUMMYFUNCTION("""COMPUTED_VALUE"""),"Open Discovery Space Conference: Transforming Schools into Innovative Learning Organisations, Athens, Greece, 18-21 september 2015. – Athens, 2015, p. 157-163. ISBN 978-615-5511-06-6")</f>
        <v>Open Discovery Space Conference: Transforming Schools into Innovative Learning Organisations, Athens, Greece, 18-21 september 2015. – Athens, 2015, p. 157-163. ISBN 978-615-5511-06-6</v>
      </c>
      <c r="F5465" s="10"/>
      <c r="G5465" s="10" t="str">
        <f ca="1">IFERROR(__xludf.DUMMYFUNCTION("""COMPUTED_VALUE"""),"Пламена Златкова")</f>
        <v>Пламена Златкова</v>
      </c>
      <c r="H5465" s="10"/>
      <c r="I5465" s="10"/>
      <c r="J5465" s="10"/>
      <c r="K5465" s="10"/>
      <c r="L5465" s="10"/>
      <c r="M5465" s="10"/>
      <c r="N5465" s="10"/>
      <c r="O5465" s="10"/>
      <c r="P5465" s="10"/>
      <c r="Q5465" s="10"/>
      <c r="R5465" s="10"/>
      <c r="S5465" s="10"/>
      <c r="T5465" s="10"/>
      <c r="U5465" s="10"/>
      <c r="V5465" s="10"/>
      <c r="W5465" s="10"/>
      <c r="X5465" s="10"/>
      <c r="Y5465" s="10"/>
      <c r="Z5465" s="10"/>
    </row>
    <row r="5466" spans="1:26" ht="12.75">
      <c r="A5466" s="10" t="str">
        <f ca="1">IFERROR(__xludf.DUMMYFUNCTION("""COMPUTED_VALUE"""),"Марина Енчева Енчева")</f>
        <v>Марина Енчева Енчева</v>
      </c>
      <c r="B5466" s="10" t="str">
        <f ca="1">IFERROR(__xludf.DUMMYFUNCTION("""COMPUTED_VALUE"""),"Доклад от конференция")</f>
        <v>Доклад от конференция</v>
      </c>
      <c r="C5466" s="10" t="str">
        <f ca="1">IFERROR(__xludf.DUMMYFUNCTION("""COMPUTED_VALUE"""),"Новата учебна стая – методи и инструменти за обучение")</f>
        <v>Новата учебна стая – методи и инструменти за обучение</v>
      </c>
      <c r="D5466" s="10">
        <f ca="1">IFERROR(__xludf.DUMMYFUNCTION("""COMPUTED_VALUE"""),2015)</f>
        <v>2015</v>
      </c>
      <c r="E5466" s="10" t="str">
        <f ca="1">IFERROR(__xludf.DUMMYFUNCTION("""COMPUTED_VALUE"""),"ИКТ в библиотечно-информационните науки, образованието и културното наследство: Сборник с научни доклади и съобщения от Национална научна конференция в чест на 70 години от създаването на ЮНЕСКО и 65-та годишнина на УниБИТ, 29 май 2015 г. София: Издателст"&amp;"во „За буквите – о писменехь“, с. 112-121, ISBN 978-619-185-164-5")</f>
        <v>ИКТ в библиотечно-информационните науки, образованието и културното наследство: Сборник с научни доклади и съобщения от Национална научна конференция в чест на 70 години от създаването на ЮНЕСКО и 65-та годишнина на УниБИТ, 29 май 2015 г. София: Издателство „За буквите – о писменехь“, с. 112-121, ISBN 978-619-185-164-5</v>
      </c>
      <c r="F5466" s="10"/>
      <c r="G5466" s="10" t="str">
        <f ca="1">IFERROR(__xludf.DUMMYFUNCTION("""COMPUTED_VALUE"""),"Иглика Гетова")</f>
        <v>Иглика Гетова</v>
      </c>
      <c r="H5466" s="10"/>
      <c r="I5466" s="10"/>
      <c r="J5466" s="10"/>
      <c r="K5466" s="10"/>
      <c r="L5466" s="10"/>
      <c r="M5466" s="10"/>
      <c r="N5466" s="10"/>
      <c r="O5466" s="10"/>
      <c r="P5466" s="10"/>
      <c r="Q5466" s="10"/>
      <c r="R5466" s="10"/>
      <c r="S5466" s="10"/>
      <c r="T5466" s="10"/>
      <c r="U5466" s="10"/>
      <c r="V5466" s="10"/>
      <c r="W5466" s="10"/>
      <c r="X5466" s="10"/>
      <c r="Y5466" s="10"/>
      <c r="Z5466" s="10"/>
    </row>
    <row r="5467" spans="1:26" ht="12.75">
      <c r="A5467" s="10" t="str">
        <f ca="1">IFERROR(__xludf.DUMMYFUNCTION("""COMPUTED_VALUE"""),"Марина Енчева Енчева")</f>
        <v>Марина Енчева Енчева</v>
      </c>
      <c r="B5467" s="10" t="str">
        <f ca="1">IFERROR(__xludf.DUMMYFUNCTION("""COMPUTED_VALUE"""),"Статия в списания и поредици")</f>
        <v>Статия в списания и поредици</v>
      </c>
      <c r="C5467" s="10" t="str">
        <f ca="1">IFERROR(__xludf.DUMMYFUNCTION("""COMPUTED_VALUE"""),"Подходи при планирането на курс за електронно обучение")</f>
        <v>Подходи при планирането на курс за електронно обучение</v>
      </c>
      <c r="D5467" s="10">
        <f ca="1">IFERROR(__xludf.DUMMYFUNCTION("""COMPUTED_VALUE"""),2015)</f>
        <v>2015</v>
      </c>
      <c r="E5467" s="10" t="str">
        <f ca="1">IFERROR(__xludf.DUMMYFUNCTION("""COMPUTED_VALUE"""),"Образование и технологии, 2015, № 6, с. 353-356. ISSN 1314-1791")</f>
        <v>Образование и технологии, 2015, № 6, с. 353-356. ISSN 1314-1791</v>
      </c>
      <c r="F5467" s="10"/>
      <c r="G5467" s="10"/>
      <c r="H5467" s="10"/>
      <c r="I5467" s="10"/>
      <c r="J5467" s="10"/>
      <c r="K5467" s="10"/>
      <c r="L5467" s="10"/>
      <c r="M5467" s="10"/>
      <c r="N5467" s="10"/>
      <c r="O5467" s="10"/>
      <c r="P5467" s="10"/>
      <c r="Q5467" s="10"/>
      <c r="R5467" s="10"/>
      <c r="S5467" s="10"/>
      <c r="T5467" s="10"/>
      <c r="U5467" s="10"/>
      <c r="V5467" s="10"/>
      <c r="W5467" s="10"/>
      <c r="X5467" s="10"/>
      <c r="Y5467" s="10"/>
      <c r="Z5467" s="10"/>
    </row>
    <row r="5468" spans="1:26" ht="12.75">
      <c r="A5468" s="10" t="str">
        <f ca="1">IFERROR(__xludf.DUMMYFUNCTION("""COMPUTED_VALUE"""),"Марина Енчева Енчева")</f>
        <v>Марина Енчева Енчева</v>
      </c>
      <c r="B5468" s="10" t="str">
        <f ca="1">IFERROR(__xludf.DUMMYFUNCTION("""COMPUTED_VALUE"""),"Доклад от конференция")</f>
        <v>Доклад от конференция</v>
      </c>
      <c r="C5468" s="10" t="str">
        <f ca="1">IFERROR(__xludf.DUMMYFUNCTION("""COMPUTED_VALUE"""),"Отворените образователни ресурси като инструмент за осигуряване на широк достъп до уеб-базирано дистанционно обучение")</f>
        <v>Отворените образователни ресурси като инструмент за осигуряване на широк достъп до уеб-базирано дистанционно обучение</v>
      </c>
      <c r="D5468" s="10">
        <f ca="1">IFERROR(__xludf.DUMMYFUNCTION("""COMPUTED_VALUE"""),2015)</f>
        <v>2015</v>
      </c>
      <c r="E5468" s="10" t="str">
        <f ca="1">IFERROR(__xludf.DUMMYFUNCTION("""COMPUTED_VALUE"""),"Интелектуалната собственост – формула за успех, творчество и иновации: Сборник с доклади от Трети национален семинар с международно участие 27-28 април 2015 г. с. 281-289. ISBN 978-619-185-160-7")</f>
        <v>Интелектуалната собственост – формула за успех, творчество и иновации: Сборник с доклади от Трети национален семинар с международно участие 27-28 април 2015 г. с. 281-289. ISBN 978-619-185-160-7</v>
      </c>
      <c r="F5468" s="10"/>
      <c r="G5468" s="10"/>
      <c r="H5468" s="10"/>
      <c r="I5468" s="10"/>
      <c r="J5468" s="10"/>
      <c r="K5468" s="10"/>
      <c r="L5468" s="10"/>
      <c r="M5468" s="10"/>
      <c r="N5468" s="10"/>
      <c r="O5468" s="10"/>
      <c r="P5468" s="10"/>
      <c r="Q5468" s="10"/>
      <c r="R5468" s="10"/>
      <c r="S5468" s="10"/>
      <c r="T5468" s="10"/>
      <c r="U5468" s="10"/>
      <c r="V5468" s="10"/>
      <c r="W5468" s="10"/>
      <c r="X5468" s="10"/>
      <c r="Y5468" s="10"/>
      <c r="Z5468" s="10"/>
    </row>
    <row r="5469" spans="1:26" ht="12.75">
      <c r="A5469" s="10" t="str">
        <f ca="1">IFERROR(__xludf.DUMMYFUNCTION("""COMPUTED_VALUE"""),"Марина Енчева Енчева")</f>
        <v>Марина Енчева Енчева</v>
      </c>
      <c r="B5469" s="10" t="str">
        <f ca="1">IFERROR(__xludf.DUMMYFUNCTION("""COMPUTED_VALUE"""),"Статия в списания и поредици")</f>
        <v>Статия в списания и поредици</v>
      </c>
      <c r="C5469" s="10" t="str">
        <f ca="1">IFERROR(__xludf.DUMMYFUNCTION("""COMPUTED_VALUE"""),"Методи за проверка и оценка на знанията в среди за електронно обучение")</f>
        <v>Методи за проверка и оценка на знанията в среди за електронно обучение</v>
      </c>
      <c r="D5469" s="10">
        <f ca="1">IFERROR(__xludf.DUMMYFUNCTION("""COMPUTED_VALUE"""),2015)</f>
        <v>2015</v>
      </c>
      <c r="E5469" s="10" t="str">
        <f ca="1">IFERROR(__xludf.DUMMYFUNCTION("""COMPUTED_VALUE"""),"Наука, № 2, с. 42-49. ISSN 0861 3362 (печатно) ISSN 2603-3623 (електронно)")</f>
        <v>Наука, № 2, с. 42-49. ISSN 0861 3362 (печатно) ISSN 2603-3623 (електронно)</v>
      </c>
      <c r="F5469" s="10" t="str">
        <f ca="1">IFERROR(__xludf.DUMMYFUNCTION("""COMPUTED_VALUE"""),"ИНИОН РАН")</f>
        <v>ИНИОН РАН</v>
      </c>
      <c r="G5469" s="10"/>
      <c r="H5469" s="10"/>
      <c r="I5469" s="10"/>
      <c r="J5469" s="10"/>
      <c r="K5469" s="10"/>
      <c r="L5469" s="10"/>
      <c r="M5469" s="10"/>
      <c r="N5469" s="10"/>
      <c r="O5469" s="10"/>
      <c r="P5469" s="10"/>
      <c r="Q5469" s="10"/>
      <c r="R5469" s="10"/>
      <c r="S5469" s="10"/>
      <c r="T5469" s="10"/>
      <c r="U5469" s="10"/>
      <c r="V5469" s="10"/>
      <c r="W5469" s="10"/>
      <c r="X5469" s="10"/>
      <c r="Y5469" s="10"/>
      <c r="Z5469" s="10"/>
    </row>
    <row r="5470" spans="1:26" ht="12.75">
      <c r="A5470" s="10" t="str">
        <f ca="1">IFERROR(__xludf.DUMMYFUNCTION("""COMPUTED_VALUE"""),"Марина Енчева Енчева")</f>
        <v>Марина Енчева Енчева</v>
      </c>
      <c r="B5470" s="10" t="str">
        <f ca="1">IFERROR(__xludf.DUMMYFUNCTION("""COMPUTED_VALUE"""),"Учебно пособие")</f>
        <v>Учебно пособие</v>
      </c>
      <c r="C5470" s="10" t="str">
        <f ca="1">IFERROR(__xludf.DUMMYFUNCTION("""COMPUTED_VALUE"""),"Автоматизирани информационни системи: учебно помагало")</f>
        <v>Автоматизирани информационни системи: учебно помагало</v>
      </c>
      <c r="D5470" s="10">
        <f ca="1">IFERROR(__xludf.DUMMYFUNCTION("""COMPUTED_VALUE"""),2014)</f>
        <v>2014</v>
      </c>
      <c r="E5470" s="10" t="str">
        <f ca="1">IFERROR(__xludf.DUMMYFUNCTION("""COMPUTED_VALUE"""),"Автоматизирани информационни системи: учебно помагало, С.: За буквите – О писменехь, 69 с. ISBN 978-619-185-154-6")</f>
        <v>Автоматизирани информационни системи: учебно помагало, С.: За буквите – О писменехь, 69 с. ISBN 978-619-185-154-6</v>
      </c>
      <c r="F5470" s="10"/>
      <c r="G5470" s="10"/>
      <c r="H5470" s="10"/>
      <c r="I5470" s="10"/>
      <c r="J5470" s="10"/>
      <c r="K5470" s="10"/>
      <c r="L5470" s="10"/>
      <c r="M5470" s="10"/>
      <c r="N5470" s="10"/>
      <c r="O5470" s="10"/>
      <c r="P5470" s="10"/>
      <c r="Q5470" s="10"/>
      <c r="R5470" s="10"/>
      <c r="S5470" s="10"/>
      <c r="T5470" s="10"/>
      <c r="U5470" s="10"/>
      <c r="V5470" s="10"/>
      <c r="W5470" s="10"/>
      <c r="X5470" s="10"/>
      <c r="Y5470" s="10"/>
      <c r="Z5470" s="10"/>
    </row>
    <row r="5471" spans="1:26" ht="12.75">
      <c r="A5471" s="10" t="str">
        <f ca="1">IFERROR(__xludf.DUMMYFUNCTION("""COMPUTED_VALUE"""),"Марина Енчева Енчева")</f>
        <v>Марина Енчева Енчева</v>
      </c>
      <c r="B5471" s="10" t="str">
        <f ca="1">IFERROR(__xludf.DUMMYFUNCTION("""COMPUTED_VALUE"""),"Учебно пособие")</f>
        <v>Учебно пособие</v>
      </c>
      <c r="C5471" s="10" t="str">
        <f ca="1">IFERROR(__xludf.DUMMYFUNCTION("""COMPUTED_VALUE"""),"Информационно брокерство: учебно помагало")</f>
        <v>Информационно брокерство: учебно помагало</v>
      </c>
      <c r="D5471" s="10">
        <f ca="1">IFERROR(__xludf.DUMMYFUNCTION("""COMPUTED_VALUE"""),2014)</f>
        <v>2014</v>
      </c>
      <c r="E5471" s="10" t="str">
        <f ca="1">IFERROR(__xludf.DUMMYFUNCTION("""COMPUTED_VALUE"""),"Информационно брокерство: учебно помагало, С.: За буквите – О писменехь, 75 с. ISBN 978-619-185-155-3")</f>
        <v>Информационно брокерство: учебно помагало, С.: За буквите – О писменехь, 75 с. ISBN 978-619-185-155-3</v>
      </c>
      <c r="F5471" s="10"/>
      <c r="G5471" s="10"/>
      <c r="H5471" s="10"/>
      <c r="I5471" s="10"/>
      <c r="J5471" s="10"/>
      <c r="K5471" s="10"/>
      <c r="L5471" s="10"/>
      <c r="M5471" s="10"/>
      <c r="N5471" s="10"/>
      <c r="O5471" s="10"/>
      <c r="P5471" s="10"/>
      <c r="Q5471" s="10"/>
      <c r="R5471" s="10"/>
      <c r="S5471" s="10"/>
      <c r="T5471" s="10"/>
      <c r="U5471" s="10"/>
      <c r="V5471" s="10"/>
      <c r="W5471" s="10"/>
      <c r="X5471" s="10"/>
      <c r="Y5471" s="10"/>
      <c r="Z5471" s="10"/>
    </row>
    <row r="5472" spans="1:26" ht="12.75">
      <c r="A5472" s="10" t="str">
        <f ca="1">IFERROR(__xludf.DUMMYFUNCTION("""COMPUTED_VALUE"""),"Марина Енчева Енчева")</f>
        <v>Марина Енчева Енчева</v>
      </c>
      <c r="B5472" s="10" t="str">
        <f ca="1">IFERROR(__xludf.DUMMYFUNCTION("""COMPUTED_VALUE"""),"Доклад от конференция")</f>
        <v>Доклад от конференция</v>
      </c>
      <c r="C5472" s="10" t="str">
        <f ca="1">IFERROR(__xludf.DUMMYFUNCTION("""COMPUTED_VALUE"""),"Механизми за комуникация при интерактивното уеб-базирано обучение")</f>
        <v>Механизми за комуникация при интерактивното уеб-базирано обучение</v>
      </c>
      <c r="D5472" s="10">
        <f ca="1">IFERROR(__xludf.DUMMYFUNCTION("""COMPUTED_VALUE"""),2014)</f>
        <v>2014</v>
      </c>
      <c r="E5472" s="10" t="str">
        <f ca="1">IFERROR(__xludf.DUMMYFUNCTION("""COMPUTED_VALUE"""),"Приложението на дидактически методи с евристичен характер в академична среда: сборник с доклади, с. 87-98. ISBN 978-619-185-144-7")</f>
        <v>Приложението на дидактически методи с евристичен характер в академична среда: сборник с доклади, с. 87-98. ISBN 978-619-185-144-7</v>
      </c>
      <c r="F5472" s="10"/>
      <c r="G5472" s="10"/>
      <c r="H5472" s="10"/>
      <c r="I5472" s="10"/>
      <c r="J5472" s="10"/>
      <c r="K5472" s="10"/>
      <c r="L5472" s="10"/>
      <c r="M5472" s="10"/>
      <c r="N5472" s="10"/>
      <c r="O5472" s="10"/>
      <c r="P5472" s="10"/>
      <c r="Q5472" s="10"/>
      <c r="R5472" s="10"/>
      <c r="S5472" s="10"/>
      <c r="T5472" s="10"/>
      <c r="U5472" s="10"/>
      <c r="V5472" s="10"/>
      <c r="W5472" s="10"/>
      <c r="X5472" s="10"/>
      <c r="Y5472" s="10"/>
      <c r="Z5472" s="10"/>
    </row>
    <row r="5473" spans="1:26" ht="12.75">
      <c r="A5473" s="10" t="str">
        <f ca="1">IFERROR(__xludf.DUMMYFUNCTION("""COMPUTED_VALUE"""),"Марина Енчева Енчева")</f>
        <v>Марина Енчева Енчева</v>
      </c>
      <c r="B5473" s="10" t="str">
        <f ca="1">IFERROR(__xludf.DUMMYFUNCTION("""COMPUTED_VALUE"""),"Доклад от конференция")</f>
        <v>Доклад от конференция</v>
      </c>
      <c r="C5473" s="10" t="str">
        <f ca="1">IFERROR(__xludf.DUMMYFUNCTION("""COMPUTED_VALUE"""),"Активно електронно обучение – същност и методи за реализация")</f>
        <v>Активно електронно обучение – същност и методи за реализация</v>
      </c>
      <c r="D5473" s="10">
        <f ca="1">IFERROR(__xludf.DUMMYFUNCTION("""COMPUTED_VALUE"""),2011)</f>
        <v>2011</v>
      </c>
      <c r="E5473" s="10" t="str">
        <f ca="1">IFERROR(__xludf.DUMMYFUNCTION("""COMPUTED_VALUE"""),"Сборник с доклади от VIII национална научна конференция с международно участие “Обществото на знанието и хуманизмът на ХХІ век”. – С.: За буквите – О писменехь, 2011, с. 593-599. ISSN 1314-7099")</f>
        <v>Сборник с доклади от VIII национална научна конференция с международно участие “Обществото на знанието и хуманизмът на ХХІ век”. – С.: За буквите – О писменехь, 2011, с. 593-599. ISSN 1314-7099</v>
      </c>
      <c r="F5473" s="10"/>
      <c r="G5473" s="10"/>
      <c r="H5473" s="10"/>
      <c r="I5473" s="10"/>
      <c r="J5473" s="10"/>
      <c r="K5473" s="10"/>
      <c r="L5473" s="10"/>
      <c r="M5473" s="10"/>
      <c r="N5473" s="10"/>
      <c r="O5473" s="10"/>
      <c r="P5473" s="10"/>
      <c r="Q5473" s="10"/>
      <c r="R5473" s="10"/>
      <c r="S5473" s="10"/>
      <c r="T5473" s="10"/>
      <c r="U5473" s="10"/>
      <c r="V5473" s="10"/>
      <c r="W5473" s="10"/>
      <c r="X5473" s="10"/>
      <c r="Y5473" s="10"/>
      <c r="Z5473" s="10"/>
    </row>
    <row r="5474" spans="1:26" ht="12.75">
      <c r="A5474" s="10" t="str">
        <f ca="1">IFERROR(__xludf.DUMMYFUNCTION("""COMPUTED_VALUE"""),"Марина Енчева Енчева")</f>
        <v>Марина Енчева Енчева</v>
      </c>
      <c r="B5474" s="10" t="str">
        <f ca="1">IFERROR(__xludf.DUMMYFUNCTION("""COMPUTED_VALUE"""),"Статия в списания и поредици")</f>
        <v>Статия в списания и поредици</v>
      </c>
      <c r="C5474" s="10" t="str">
        <f ca="1">IFERROR(__xludf.DUMMYFUNCTION("""COMPUTED_VALUE"""),"Модели за дистанционно обучение по библиотечно-информационни науки в САЩ")</f>
        <v>Модели за дистанционно обучение по библиотечно-информационни науки в САЩ</v>
      </c>
      <c r="D5474" s="10">
        <f ca="1">IFERROR(__xludf.DUMMYFUNCTION("""COMPUTED_VALUE"""),2006)</f>
        <v>2006</v>
      </c>
      <c r="E5474" s="10" t="str">
        <f ca="1">IFERROR(__xludf.DUMMYFUNCTION("""COMPUTED_VALUE"""),"Наука, 2006, N 3, с. 59-68. ISSN 0861 3362 (печатно) ISSN 2603-3623 (електронно).")</f>
        <v>Наука, 2006, N 3, с. 59-68. ISSN 0861 3362 (печатно) ISSN 2603-3623 (електронно).</v>
      </c>
      <c r="F5474" s="10"/>
      <c r="G5474" s="10"/>
      <c r="H5474" s="10"/>
      <c r="I5474" s="10"/>
      <c r="J5474" s="10"/>
      <c r="K5474" s="10"/>
      <c r="L5474" s="10"/>
      <c r="M5474" s="10"/>
      <c r="N5474" s="10"/>
      <c r="O5474" s="10"/>
      <c r="P5474" s="10"/>
      <c r="Q5474" s="10"/>
      <c r="R5474" s="10"/>
      <c r="S5474" s="10"/>
      <c r="T5474" s="10"/>
      <c r="U5474" s="10"/>
      <c r="V5474" s="10"/>
      <c r="W5474" s="10"/>
      <c r="X5474" s="10"/>
      <c r="Y5474" s="10"/>
      <c r="Z5474" s="10"/>
    </row>
    <row r="5475" spans="1:26" ht="12.75">
      <c r="A5475" s="10" t="str">
        <f ca="1">IFERROR(__xludf.DUMMYFUNCTION("""COMPUTED_VALUE"""),"Марина Енчева Енчева")</f>
        <v>Марина Енчева Енчева</v>
      </c>
      <c r="B5475" s="10" t="str">
        <f ca="1">IFERROR(__xludf.DUMMYFUNCTION("""COMPUTED_VALUE"""),"Статия в списания и поредици")</f>
        <v>Статия в списания и поредици</v>
      </c>
      <c r="C5475" s="10" t="str">
        <f ca="1">IFERROR(__xludf.DUMMYFUNCTION("""COMPUTED_VALUE"""),"Немският опит в дистанционното продължаващо образование на библиотекари и информационни специалисти")</f>
        <v>Немският опит в дистанционното продължаващо образование на библиотекари и информационни специалисти</v>
      </c>
      <c r="D5475" s="10">
        <f ca="1">IFERROR(__xludf.DUMMYFUNCTION("""COMPUTED_VALUE"""),2006)</f>
        <v>2006</v>
      </c>
      <c r="E5475" s="10" t="str">
        <f ca="1">IFERROR(__xludf.DUMMYFUNCTION("""COMPUTED_VALUE"""),"Библиотека, 2006, N 1, с. 24-29. ISSN 0861-847X.")</f>
        <v>Библиотека, 2006, N 1, с. 24-29. ISSN 0861-847X.</v>
      </c>
      <c r="F5475" s="10"/>
      <c r="G5475" s="10"/>
      <c r="H5475" s="10"/>
      <c r="I5475" s="10"/>
      <c r="J5475" s="10"/>
      <c r="K5475" s="10"/>
      <c r="L5475" s="10"/>
      <c r="M5475" s="10"/>
      <c r="N5475" s="10"/>
      <c r="O5475" s="10"/>
      <c r="P5475" s="10"/>
      <c r="Q5475" s="10"/>
      <c r="R5475" s="10"/>
      <c r="S5475" s="10"/>
      <c r="T5475" s="10"/>
      <c r="U5475" s="10"/>
      <c r="V5475" s="10"/>
      <c r="W5475" s="10"/>
      <c r="X5475" s="10"/>
      <c r="Y5475" s="10"/>
      <c r="Z5475" s="10"/>
    </row>
    <row r="5476" spans="1:26" ht="12.75">
      <c r="A5476" s="10" t="str">
        <f ca="1">IFERROR(__xludf.DUMMYFUNCTION("""COMPUTED_VALUE"""),"Марина Енчева Енчева")</f>
        <v>Марина Енчева Енчева</v>
      </c>
      <c r="B5476" s="10" t="str">
        <f ca="1">IFERROR(__xludf.DUMMYFUNCTION("""COMPUTED_VALUE"""),"Статия в списания и поредици")</f>
        <v>Статия в списания и поредици</v>
      </c>
      <c r="C5476" s="10" t="str">
        <f ca="1">IFERROR(__xludf.DUMMYFUNCTION("""COMPUTED_VALUE"""),"Онлайн-курсовете за информационни специалисти в контекста на развитието на дистанционното обучение в Германия")</f>
        <v>Онлайн-курсовете за информационни специалисти в контекста на развитието на дистанционното обучение в Германия</v>
      </c>
      <c r="D5476" s="10">
        <f ca="1">IFERROR(__xludf.DUMMYFUNCTION("""COMPUTED_VALUE"""),2005)</f>
        <v>2005</v>
      </c>
      <c r="E5476" s="10" t="str">
        <f ca="1">IFERROR(__xludf.DUMMYFUNCTION("""COMPUTED_VALUE"""),"Библиотека, 2005, № 1, с. 28-33. ISSN 0861-847X.")</f>
        <v>Библиотека, 2005, № 1, с. 28-33. ISSN 0861-847X.</v>
      </c>
      <c r="F5476" s="10"/>
      <c r="G5476" s="10"/>
      <c r="H5476" s="10"/>
      <c r="I5476" s="10"/>
      <c r="J5476" s="10"/>
      <c r="K5476" s="10"/>
      <c r="L5476" s="10"/>
      <c r="M5476" s="10"/>
      <c r="N5476" s="10"/>
      <c r="O5476" s="10"/>
      <c r="P5476" s="10"/>
      <c r="Q5476" s="10"/>
      <c r="R5476" s="10"/>
      <c r="S5476" s="10"/>
      <c r="T5476" s="10"/>
      <c r="U5476" s="10"/>
      <c r="V5476" s="10"/>
      <c r="W5476" s="10"/>
      <c r="X5476" s="10"/>
      <c r="Y5476" s="10"/>
      <c r="Z5476" s="10"/>
    </row>
    <row r="5477" spans="1:26" ht="12.75">
      <c r="A5477" s="10" t="str">
        <f ca="1">IFERROR(__xludf.DUMMYFUNCTION("""COMPUTED_VALUE"""),"Мария Милчева Гуленова (Дачева, Петкова)")</f>
        <v>Мария Милчева Гуленова (Дачева, Петкова)</v>
      </c>
      <c r="B5477" s="10" t="str">
        <f ca="1">IFERROR(__xludf.DUMMYFUNCTION("""COMPUTED_VALUE"""),"Статия в списания и поредици")</f>
        <v>Статия в списания и поредици</v>
      </c>
      <c r="C5477" s="10" t="str">
        <f ca="1">IFERROR(__xludf.DUMMYFUNCTION("""COMPUTED_VALUE"""),"Виртуална и добавена реалност в библиотеките")</f>
        <v>Виртуална и добавена реалност в библиотеките</v>
      </c>
      <c r="D5477" s="10">
        <f ca="1">IFERROR(__xludf.DUMMYFUNCTION("""COMPUTED_VALUE"""),2019)</f>
        <v>2019</v>
      </c>
      <c r="E5477" s="10" t="str">
        <f ca="1">IFERROR(__xludf.DUMMYFUNCTION("""COMPUTED_VALUE"""),"В: Библиотеките – ключ към миналото – портал към бъдещето, София, 6-7 юни 2019 : XXIX Национална конференция на ББИА . София : ББИА, 2019, с. 84-87. ISBN 978-954-9837-33-9 Достъпно на: https://www.lib.bg/publish/BBIA/sbornik_konf_2019.pdf")</f>
        <v>В: Библиотеките – ключ към миналото – портал към бъдещето, София, 6-7 юни 2019 : XXIX Национална конференция на ББИА . София : ББИА, 2019, с. 84-87. ISBN 978-954-9837-33-9 Достъпно на: https://www.lib.bg/publish/BBIA/sbornik_konf_2019.pdf</v>
      </c>
      <c r="F5477" s="10"/>
      <c r="G5477" s="10"/>
      <c r="H5477" s="10"/>
      <c r="I5477" s="10"/>
      <c r="J5477" s="10"/>
      <c r="K5477" s="10"/>
      <c r="L5477" s="10"/>
      <c r="M5477" s="10"/>
      <c r="N5477" s="10"/>
      <c r="O5477" s="10"/>
      <c r="P5477" s="10"/>
      <c r="Q5477" s="10"/>
      <c r="R5477" s="10"/>
      <c r="S5477" s="10"/>
      <c r="T5477" s="10"/>
      <c r="U5477" s="10"/>
      <c r="V5477" s="10"/>
      <c r="W5477" s="10"/>
      <c r="X5477" s="10"/>
      <c r="Y5477" s="10"/>
      <c r="Z5477" s="10"/>
    </row>
    <row r="5478" spans="1:26" ht="12.75">
      <c r="A5478" s="10" t="str">
        <f ca="1">IFERROR(__xludf.DUMMYFUNCTION("""COMPUTED_VALUE"""),"Мария Милчева Гуленова (Дачева, Петкова)")</f>
        <v>Мария Милчева Гуленова (Дачева, Петкова)</v>
      </c>
      <c r="B5478" s="10" t="str">
        <f ca="1">IFERROR(__xludf.DUMMYFUNCTION("""COMPUTED_VALUE"""),"Доклад от конференция")</f>
        <v>Доклад от конференция</v>
      </c>
      <c r="C5478" s="10" t="str">
        <f ca="1">IFERROR(__xludf.DUMMYFUNCTION("""COMPUTED_VALUE"""),"Авторът и неговият уеб сайт")</f>
        <v>Авторът и неговият уеб сайт</v>
      </c>
      <c r="D5478" s="10">
        <f ca="1">IFERROR(__xludf.DUMMYFUNCTION("""COMPUTED_VALUE"""),2019)</f>
        <v>2019</v>
      </c>
      <c r="E5478" s="10" t="str">
        <f ca="1">IFERROR(__xludf.DUMMYFUNCTION("""COMPUTED_VALUE"""),"Гуленова, Мария. Авторът и неговият уеб сайт. В: Обществото на знанието и хуманизмът на XXI век: Сборник с доклади от XVI Национална научна конференция с международно участие 1 ноември – Ден на будителите – 2018 г. София : АИ „За буквите За буквите - О пи"&amp;"сменехь“, 2019, с. 196-202. + ISSN 1314 - 70099")</f>
        <v>Гуленова, Мария. Авторът и неговият уеб сайт. В: Обществото на знанието и хуманизмът на XXI век: Сборник с доклади от XVI Национална научна конференция с международно участие 1 ноември – Ден на будителите – 2018 г. София : АИ „За буквите За буквите - О писменехь“, 2019, с. 196-202. + ISSN 1314 - 70099</v>
      </c>
      <c r="F5478" s="10"/>
      <c r="G5478" s="10"/>
      <c r="H5478" s="10"/>
      <c r="I5478" s="10"/>
      <c r="J5478" s="10"/>
      <c r="K5478" s="10"/>
      <c r="L5478" s="10"/>
      <c r="M5478" s="10"/>
      <c r="N5478" s="10"/>
      <c r="O5478" s="10"/>
      <c r="P5478" s="10"/>
      <c r="Q5478" s="10"/>
      <c r="R5478" s="10"/>
      <c r="S5478" s="10"/>
      <c r="T5478" s="10"/>
      <c r="U5478" s="10"/>
      <c r="V5478" s="10"/>
      <c r="W5478" s="10"/>
      <c r="X5478" s="10"/>
      <c r="Y5478" s="10"/>
      <c r="Z5478" s="10"/>
    </row>
    <row r="5479" spans="1:26" ht="12.75">
      <c r="A5479" s="10" t="str">
        <f ca="1">IFERROR(__xludf.DUMMYFUNCTION("""COMPUTED_VALUE"""),"Мария Милчева Гуленова (Дачева, Петкова)")</f>
        <v>Мария Милчева Гуленова (Дачева, Петкова)</v>
      </c>
      <c r="B5479" s="10" t="str">
        <f ca="1">IFERROR(__xludf.DUMMYFUNCTION("""COMPUTED_VALUE"""),"Статия в списания и поредици")</f>
        <v>Статия в списания и поредици</v>
      </c>
      <c r="C5479" s="10" t="str">
        <f ca="1">IFERROR(__xludf.DUMMYFUNCTION("""COMPUTED_VALUE"""),"With „A Dream of a Book“ from sponsorship to crowdfunding")</f>
        <v>With „A Dream of a Book“ from sponsorship to crowdfunding</v>
      </c>
      <c r="D5479" s="10">
        <f ca="1">IFERROR(__xludf.DUMMYFUNCTION("""COMPUTED_VALUE"""),2019)</f>
        <v>2019</v>
      </c>
      <c r="E5479" s="10" t="str">
        <f ca="1">IFERROR(__xludf.DUMMYFUNCTION("""COMPUTED_VALUE"""),"In: Science. Business. Society, 2019, № 4, pp. 135-138. + Print ISSN 1313-0226")</f>
        <v>In: Science. Business. Society, 2019, № 4, pp. 135-138. + Print ISSN 1313-0226</v>
      </c>
      <c r="F5479" s="10"/>
      <c r="G5479" s="10"/>
      <c r="H5479" s="10"/>
      <c r="I5479" s="10"/>
      <c r="J5479" s="10"/>
      <c r="K5479" s="10"/>
      <c r="L5479" s="10"/>
      <c r="M5479" s="10"/>
      <c r="N5479" s="10"/>
      <c r="O5479" s="10"/>
      <c r="P5479" s="10"/>
      <c r="Q5479" s="10"/>
      <c r="R5479" s="10"/>
      <c r="S5479" s="10"/>
      <c r="T5479" s="10"/>
      <c r="U5479" s="10"/>
      <c r="V5479" s="10"/>
      <c r="W5479" s="10"/>
      <c r="X5479" s="10"/>
      <c r="Y5479" s="10"/>
      <c r="Z5479" s="10"/>
    </row>
    <row r="5480" spans="1:26" ht="12.75">
      <c r="A5480" s="10" t="str">
        <f ca="1">IFERROR(__xludf.DUMMYFUNCTION("""COMPUTED_VALUE"""),"Мария Милчева Гуленова (Дачева, Петкова)")</f>
        <v>Мария Милчева Гуленова (Дачева, Петкова)</v>
      </c>
      <c r="B5480" s="10" t="str">
        <f ca="1">IFERROR(__xludf.DUMMYFUNCTION("""COMPUTED_VALUE"""),"Доклад от конференция")</f>
        <v>Доклад от конференция</v>
      </c>
      <c r="C5480" s="10" t="str">
        <f ca="1">IFERROR(__xludf.DUMMYFUNCTION("""COMPUTED_VALUE"""),"Дигитално дарителство")</f>
        <v>Дигитално дарителство</v>
      </c>
      <c r="D5480" s="10">
        <f ca="1">IFERROR(__xludf.DUMMYFUNCTION("""COMPUTED_VALUE"""),2019)</f>
        <v>2019</v>
      </c>
      <c r="E5480" s="10" t="str">
        <f ca="1">IFERROR(__xludf.DUMMYFUNCTION("""COMPUTED_VALUE"""),"В: Благотворителност и култура на дарителството: Доклади от Международна научна конференция, посветена на 140 години от основаването на Националната библиотека „св. Св. Кирил и Методий“, 10-11 декември 2018 г., София, 2019, с. 163-174. + ISBN - 978-954-52"&amp;"3-165-0")</f>
        <v>В: Благотворителност и култура на дарителството: Доклади от Международна научна конференция, посветена на 140 години от основаването на Националната библиотека „св. Св. Кирил и Методий“, 10-11 декември 2018 г., София, 2019, с. 163-174. + ISBN - 978-954-523-165-0</v>
      </c>
      <c r="F5480" s="10" t="str">
        <f ca="1">IFERROR(__xludf.DUMMYFUNCTION("""COMPUTED_VALUE"""),"COBISS")</f>
        <v>COBISS</v>
      </c>
      <c r="G5480" s="10"/>
      <c r="H5480" s="10"/>
      <c r="I5480" s="10"/>
      <c r="J5480" s="10"/>
      <c r="K5480" s="10"/>
      <c r="L5480" s="10"/>
      <c r="M5480" s="10"/>
      <c r="N5480" s="10"/>
      <c r="O5480" s="10"/>
      <c r="P5480" s="10"/>
      <c r="Q5480" s="10"/>
      <c r="R5480" s="10"/>
      <c r="S5480" s="10"/>
      <c r="T5480" s="10"/>
      <c r="U5480" s="10"/>
      <c r="V5480" s="10"/>
      <c r="W5480" s="10"/>
      <c r="X5480" s="10"/>
      <c r="Y5480" s="10"/>
      <c r="Z5480" s="10"/>
    </row>
    <row r="5481" spans="1:26" ht="12.75">
      <c r="A5481" s="10" t="str">
        <f ca="1">IFERROR(__xludf.DUMMYFUNCTION("""COMPUTED_VALUE"""),"Мария Милчева Гуленова (Дачева, Петкова)")</f>
        <v>Мария Милчева Гуленова (Дачева, Петкова)</v>
      </c>
      <c r="B5481" s="10" t="str">
        <f ca="1">IFERROR(__xludf.DUMMYFUNCTION("""COMPUTED_VALUE"""),"Книга")</f>
        <v>Книга</v>
      </c>
      <c r="C5481" s="10" t="str">
        <f ca="1">IFERROR(__xludf.DUMMYFUNCTION("""COMPUTED_VALUE"""),"Издателски профили")</f>
        <v>Издателски профили</v>
      </c>
      <c r="D5481" s="10">
        <f ca="1">IFERROR(__xludf.DUMMYFUNCTION("""COMPUTED_VALUE"""),2017)</f>
        <v>2017</v>
      </c>
      <c r="E5481" s="10" t="str">
        <f ca="1">IFERROR(__xludf.DUMMYFUNCTION("""COMPUTED_VALUE"""),"София: „За буквите – О писменехь”. Е ISBN 978-619-185-263-5 https://medmarbg.wordpress.com/%D0%B8%D0%B7%D0%B4%D0%B0%D1%82%D0%B5%D0%BB%D1%81%D0%BA%D0%B8-%D0%BF%D1%80%D0%BE%D1%84%D0%B8%D0%BB%D0%B8/")</f>
        <v>София: „За буквите – О писменехь”. Е ISBN 978-619-185-263-5 https://medmarbg.wordpress.com/%D0%B8%D0%B7%D0%B4%D0%B0%D1%82%D0%B5%D0%BB%D1%81%D0%BA%D0%B8-%D0%BF%D1%80%D0%BE%D1%84%D0%B8%D0%BB%D0%B8/</v>
      </c>
      <c r="F5481" s="10"/>
      <c r="G5481" s="10"/>
      <c r="H5481" s="10"/>
      <c r="I5481" s="10"/>
      <c r="J5481" s="10"/>
      <c r="K5481" s="10"/>
      <c r="L5481" s="10"/>
      <c r="M5481" s="10"/>
      <c r="N5481" s="10"/>
      <c r="O5481" s="10"/>
      <c r="P5481" s="10"/>
      <c r="Q5481" s="10"/>
      <c r="R5481" s="10"/>
      <c r="S5481" s="10"/>
      <c r="T5481" s="10"/>
      <c r="U5481" s="10"/>
      <c r="V5481" s="10"/>
      <c r="W5481" s="10"/>
      <c r="X5481" s="10"/>
      <c r="Y5481" s="10"/>
      <c r="Z5481" s="10"/>
    </row>
    <row r="5482" spans="1:26" ht="12.75">
      <c r="A5482" s="10" t="str">
        <f ca="1">IFERROR(__xludf.DUMMYFUNCTION("""COMPUTED_VALUE"""),"Мария Милчева Гуленова (Дачева, Петкова)")</f>
        <v>Мария Милчева Гуленова (Дачева, Петкова)</v>
      </c>
      <c r="B5482" s="10" t="str">
        <f ca="1">IFERROR(__xludf.DUMMYFUNCTION("""COMPUTED_VALUE"""),"Книга")</f>
        <v>Книга</v>
      </c>
      <c r="C5482" s="10" t="str">
        <f ca="1">IFERROR(__xludf.DUMMYFUNCTION("""COMPUTED_VALUE"""),"Контент маркетинг: Курс лекции за магистри. Програма „Медийна информация и реклама“ (МИР). УНИБИТ.")</f>
        <v>Контент маркетинг: Курс лекции за магистри. Програма „Медийна информация и реклама“ (МИР). УНИБИТ.</v>
      </c>
      <c r="D5482" s="10">
        <f ca="1">IFERROR(__xludf.DUMMYFUNCTION("""COMPUTED_VALUE"""),2016)</f>
        <v>2016</v>
      </c>
      <c r="E5482" s="10" t="str">
        <f ca="1">IFERROR(__xludf.DUMMYFUNCTION("""COMPUTED_VALUE"""),"Център за дистанционно обучение към УНИБИТ. &lt;e-learning.unibit.bg&gt;")</f>
        <v>Център за дистанционно обучение към УНИБИТ. &lt;e-learning.unibit.bg&gt;</v>
      </c>
      <c r="F5482" s="10"/>
      <c r="G5482" s="10"/>
      <c r="H5482" s="10"/>
      <c r="I5482" s="10"/>
      <c r="J5482" s="10"/>
      <c r="K5482" s="10"/>
      <c r="L5482" s="10"/>
      <c r="M5482" s="10"/>
      <c r="N5482" s="10"/>
      <c r="O5482" s="10"/>
      <c r="P5482" s="10"/>
      <c r="Q5482" s="10"/>
      <c r="R5482" s="10"/>
      <c r="S5482" s="10"/>
      <c r="T5482" s="10"/>
      <c r="U5482" s="10"/>
      <c r="V5482" s="10"/>
      <c r="W5482" s="10"/>
      <c r="X5482" s="10"/>
      <c r="Y5482" s="10"/>
      <c r="Z5482" s="10"/>
    </row>
    <row r="5483" spans="1:26" ht="12.75">
      <c r="A5483" s="10" t="str">
        <f ca="1">IFERROR(__xludf.DUMMYFUNCTION("""COMPUTED_VALUE"""),"Мария Милчева Гуленова (Дачева, Петкова)")</f>
        <v>Мария Милчева Гуленова (Дачева, Петкова)</v>
      </c>
      <c r="B5483" s="10" t="str">
        <f ca="1">IFERROR(__xludf.DUMMYFUNCTION("""COMPUTED_VALUE"""),"Учебно пособие")</f>
        <v>Учебно пособие</v>
      </c>
      <c r="C5483" s="10" t="str">
        <f ca="1">IFERROR(__xludf.DUMMYFUNCTION("""COMPUTED_VALUE"""),"Контент маркетинг")</f>
        <v>Контент маркетинг</v>
      </c>
      <c r="D5483" s="10">
        <f ca="1">IFERROR(__xludf.DUMMYFUNCTION("""COMPUTED_VALUE"""),2014)</f>
        <v>2014</v>
      </c>
      <c r="E5483" s="10" t="str">
        <f ca="1">IFERROR(__xludf.DUMMYFUNCTION("""COMPUTED_VALUE"""),"София, Център за дистанционно обучение към УНИБИТ. &lt;e-learning.unibit.bg&gt;")</f>
        <v>София, Център за дистанционно обучение към УНИБИТ. &lt;e-learning.unibit.bg&gt;</v>
      </c>
      <c r="F5483" s="10"/>
      <c r="G5483" s="10"/>
      <c r="H5483" s="10"/>
      <c r="I5483" s="10"/>
      <c r="J5483" s="10"/>
      <c r="K5483" s="10"/>
      <c r="L5483" s="10"/>
      <c r="M5483" s="10"/>
      <c r="N5483" s="10"/>
      <c r="O5483" s="10"/>
      <c r="P5483" s="10"/>
      <c r="Q5483" s="10"/>
      <c r="R5483" s="10"/>
      <c r="S5483" s="10"/>
      <c r="T5483" s="10"/>
      <c r="U5483" s="10"/>
      <c r="V5483" s="10"/>
      <c r="W5483" s="10"/>
      <c r="X5483" s="10"/>
      <c r="Y5483" s="10"/>
      <c r="Z5483" s="10"/>
    </row>
    <row r="5484" spans="1:26" ht="12.75">
      <c r="A5484" s="10" t="str">
        <f ca="1">IFERROR(__xludf.DUMMYFUNCTION("""COMPUTED_VALUE"""),"Мария Милчева Гуленова (Дачева, Петкова)")</f>
        <v>Мария Милчева Гуленова (Дачева, Петкова)</v>
      </c>
      <c r="B5484" s="10" t="str">
        <f ca="1">IFERROR(__xludf.DUMMYFUNCTION("""COMPUTED_VALUE"""),"Статия в списания и поредици")</f>
        <v>Статия в списания и поредици</v>
      </c>
      <c r="C5484" s="10" t="str">
        <f ca="1">IFERROR(__xludf.DUMMYFUNCTION("""COMPUTED_VALUE"""),"„Руската мрежа за културно наследство“ и нейните проекти")</f>
        <v>„Руската мрежа за културно наследство“ и нейните проекти</v>
      </c>
      <c r="D5484" s="10">
        <f ca="1">IFERROR(__xludf.DUMMYFUNCTION("""COMPUTED_VALUE"""),2011)</f>
        <v>2011</v>
      </c>
      <c r="E5484" s="10" t="str">
        <f ca="1">IFERROR(__xludf.DUMMYFUNCTION("""COMPUTED_VALUE"""),"НАУЧНИ трудове на Университета по библиотекознание и информационни технологии = Proceedings of the State University of of Library Studies and Information Technologies. София: За буквите - О писменехь, 2011, с.. 157-166. ISSN 1314-2623")</f>
        <v>НАУЧНИ трудове на Университета по библиотекознание и информационни технологии = Proceedings of the State University of of Library Studies and Information Technologies. София: За буквите - О писменехь, 2011, с.. 157-166. ISSN 1314-2623</v>
      </c>
      <c r="F5484" s="10"/>
      <c r="G5484" s="10"/>
      <c r="H5484" s="10"/>
      <c r="I5484" s="10"/>
      <c r="J5484" s="10"/>
      <c r="K5484" s="10"/>
      <c r="L5484" s="10"/>
      <c r="M5484" s="10"/>
      <c r="N5484" s="10"/>
      <c r="O5484" s="10"/>
      <c r="P5484" s="10"/>
      <c r="Q5484" s="10"/>
      <c r="R5484" s="10"/>
      <c r="S5484" s="10"/>
      <c r="T5484" s="10"/>
      <c r="U5484" s="10"/>
      <c r="V5484" s="10"/>
      <c r="W5484" s="10"/>
      <c r="X5484" s="10"/>
      <c r="Y5484" s="10"/>
      <c r="Z5484" s="10"/>
    </row>
    <row r="5485" spans="1:26" ht="12.75">
      <c r="A5485" s="10" t="str">
        <f ca="1">IFERROR(__xludf.DUMMYFUNCTION("""COMPUTED_VALUE"""),"Мария Милчева Гуленова (Дачева, Петкова)")</f>
        <v>Мария Милчева Гуленова (Дачева, Петкова)</v>
      </c>
      <c r="B5485" s="10" t="str">
        <f ca="1">IFERROR(__xludf.DUMMYFUNCTION("""COMPUTED_VALUE"""),"Доклад от конференция")</f>
        <v>Доклад от конференция</v>
      </c>
      <c r="C5485" s="10" t="str">
        <f ca="1">IFERROR(__xludf.DUMMYFUNCTION("""COMPUTED_VALUE"""),"Фейсбук и авторите")</f>
        <v>Фейсбук и авторите</v>
      </c>
      <c r="D5485" s="10">
        <f ca="1">IFERROR(__xludf.DUMMYFUNCTION("""COMPUTED_VALUE"""),2011)</f>
        <v>2011</v>
      </c>
      <c r="E5485" s="10" t="str">
        <f ca="1">IFERROR(__xludf.DUMMYFUNCTION("""COMPUTED_VALUE"""),"XXI Национална конференция на ББИА, Благоевград, 9 – 10 юни 201: Потребностите на информационното общество и библиотеките: хармония или конфликт?")</f>
        <v>XXI Национална конференция на ББИА, Благоевград, 9 – 10 юни 201: Потребностите на информационното общество и библиотеките: хармония или конфликт?</v>
      </c>
      <c r="F5485" s="10" t="str">
        <f ca="1">IFERROR(__xludf.DUMMYFUNCTION("""COMPUTED_VALUE"""),"ББИА XXI Национална годишна конференция
 ПОТРЕБНОСТИТЕ НА ИНФОРМАЦИОННОТО ОБЩЕСТВО И БИБЛИОТЕКИТЕ: ХАРМОНИЯ ИЛИ КОНФЛИКТ
 Благоевград, 9 и 10 юни 2011")</f>
        <v>ББИА XXI Национална годишна конференция
 ПОТРЕБНОСТИТЕ НА ИНФОРМАЦИОННОТО ОБЩЕСТВО И БИБЛИОТЕКИТЕ: ХАРМОНИЯ ИЛИ КОНФЛИКТ
 Благоевград, 9 и 10 юни 2011</v>
      </c>
      <c r="G5485" s="10"/>
      <c r="H5485" s="10"/>
      <c r="I5485" s="10"/>
      <c r="J5485" s="10"/>
      <c r="K5485" s="10"/>
      <c r="L5485" s="10"/>
      <c r="M5485" s="10"/>
      <c r="N5485" s="10"/>
      <c r="O5485" s="10"/>
      <c r="P5485" s="10"/>
      <c r="Q5485" s="10"/>
      <c r="R5485" s="10"/>
      <c r="S5485" s="10"/>
      <c r="T5485" s="10"/>
      <c r="U5485" s="10"/>
      <c r="V5485" s="10"/>
      <c r="W5485" s="10"/>
      <c r="X5485" s="10"/>
      <c r="Y5485" s="10"/>
      <c r="Z5485" s="10"/>
    </row>
    <row r="5486" spans="1:26" ht="12.75">
      <c r="A5486" s="10" t="str">
        <f ca="1">IFERROR(__xludf.DUMMYFUNCTION("""COMPUTED_VALUE"""),"Мария Милчева Гуленова (Дачева, Петкова)")</f>
        <v>Мария Милчева Гуленова (Дачева, Петкова)</v>
      </c>
      <c r="B5486" s="10" t="str">
        <f ca="1">IFERROR(__xludf.DUMMYFUNCTION("""COMPUTED_VALUE"""),"Доклад от конференция")</f>
        <v>Доклад от конференция</v>
      </c>
      <c r="C5486" s="10" t="str">
        <f ca="1">IFERROR(__xludf.DUMMYFUNCTION("""COMPUTED_VALUE"""),"Франция и нейното дигитално културно наследство")</f>
        <v>Франция и нейното дигитално културно наследство</v>
      </c>
      <c r="D5486" s="10">
        <f ca="1">IFERROR(__xludf.DUMMYFUNCTION("""COMPUTED_VALUE"""),2011)</f>
        <v>2011</v>
      </c>
      <c r="E5486" s="10" t="str">
        <f ca="1">IFERROR(__xludf.DUMMYFUNCTION("""COMPUTED_VALUE"""),"Европейска дигитална библиотека – съвременни подходи и политики за опзване и разпространение на културното наследство. Варна, 2011. www1.libvar.bg/conferences/conference-march2010/.../MariaGulenova.pdf")</f>
        <v>Европейска дигитална библиотека – съвременни подходи и политики за опзване и разпространение на културното наследство. Варна, 2011. www1.libvar.bg/conferences/conference-march2010/.../MariaGulenova.pdf</v>
      </c>
      <c r="F5486" s="10"/>
      <c r="G5486" s="10"/>
      <c r="H5486" s="10"/>
      <c r="I5486" s="10"/>
      <c r="J5486" s="10"/>
      <c r="K5486" s="10"/>
      <c r="L5486" s="10"/>
      <c r="M5486" s="10"/>
      <c r="N5486" s="10"/>
      <c r="O5486" s="10"/>
      <c r="P5486" s="10"/>
      <c r="Q5486" s="10"/>
      <c r="R5486" s="10"/>
      <c r="S5486" s="10"/>
      <c r="T5486" s="10"/>
      <c r="U5486" s="10"/>
      <c r="V5486" s="10"/>
      <c r="W5486" s="10"/>
      <c r="X5486" s="10"/>
      <c r="Y5486" s="10"/>
      <c r="Z5486" s="10"/>
    </row>
    <row r="5487" spans="1:26" ht="12.75">
      <c r="A5487" s="10" t="str">
        <f ca="1">IFERROR(__xludf.DUMMYFUNCTION("""COMPUTED_VALUE"""),"Мария Милчева Гуленова (Дачева, Петкова)")</f>
        <v>Мария Милчева Гуленова (Дачева, Петкова)</v>
      </c>
      <c r="B5487" s="10" t="str">
        <f ca="1">IFERROR(__xludf.DUMMYFUNCTION("""COMPUTED_VALUE"""),"Доклад от конференция")</f>
        <v>Доклад от конференция</v>
      </c>
      <c r="C5487" s="10" t="str">
        <f ca="1">IFERROR(__xludf.DUMMYFUNCTION("""COMPUTED_VALUE"""),"Сайтът ""Patrimoine ecrit"" и значението му за дейността на библиотеките във Франция")</f>
        <v>Сайтът "Patrimoine ecrit" и значението му за дейността на библиотеките във Франция</v>
      </c>
      <c r="D5487" s="10">
        <f ca="1">IFERROR(__xludf.DUMMYFUNCTION("""COMPUTED_VALUE"""),2010)</f>
        <v>2010</v>
      </c>
      <c r="E5487" s="10" t="str">
        <f ca="1">IFERROR(__xludf.DUMMYFUNCTION("""COMPUTED_VALUE"""),"Българска библиотечно-информационна асоциация Катедра ""Библиотекознание, научна информация и културна политика"", Философски факултет, Софийски университет ""Св. Климент Охридски"" Национална библиотека ""Св. Св. Кирил и Методий"" XX НАЦИОНАЛНА КОНФЕРЕНЦ"&amp;"ИЯ СЪВРЕМЕННАТА БИБЛИОТЕКА – ЦЕНТЪР ЗА ИНФОРМАЦИЯ И ЗНАНИЕ София, 9 – 10 юни 2010 г. https://www.lib.bg/konferencii1/nk2010/prezentacii/Maria_Gulenova.ppt")</f>
        <v>Българска библиотечно-информационна асоциация Катедра "Библиотекознание, научна информация и културна политика", Философски факултет, Софийски университет "Св. Климент Охридски" Национална библиотека "Св. Св. Кирил и Методий" XX НАЦИОНАЛНА КОНФЕРЕНЦИЯ СЪВРЕМЕННАТА БИБЛИОТЕКА – ЦЕНТЪР ЗА ИНФОРМАЦИЯ И ЗНАНИЕ София, 9 – 10 юни 2010 г. https://www.lib.bg/konferencii1/nk2010/prezentacii/Maria_Gulenova.ppt</v>
      </c>
      <c r="F5487" s="10"/>
      <c r="G5487" s="10"/>
      <c r="H5487" s="10"/>
      <c r="I5487" s="10"/>
      <c r="J5487" s="10"/>
      <c r="K5487" s="10"/>
      <c r="L5487" s="10"/>
      <c r="M5487" s="10"/>
      <c r="N5487" s="10"/>
      <c r="O5487" s="10"/>
      <c r="P5487" s="10"/>
      <c r="Q5487" s="10"/>
      <c r="R5487" s="10"/>
      <c r="S5487" s="10"/>
      <c r="T5487" s="10"/>
      <c r="U5487" s="10"/>
      <c r="V5487" s="10"/>
      <c r="W5487" s="10"/>
      <c r="X5487" s="10"/>
      <c r="Y5487" s="10"/>
      <c r="Z5487" s="10"/>
    </row>
    <row r="5488" spans="1:26" ht="12.75">
      <c r="A5488" s="10" t="str">
        <f ca="1">IFERROR(__xludf.DUMMYFUNCTION("""COMPUTED_VALUE"""),"Мария Милчева Гуленова (Дачева, Петкова)")</f>
        <v>Мария Милчева Гуленова (Дачева, Петкова)</v>
      </c>
      <c r="B5488" s="10" t="str">
        <f ca="1">IFERROR(__xludf.DUMMYFUNCTION("""COMPUTED_VALUE"""),"Доклад от конференция")</f>
        <v>Доклад от конференция</v>
      </c>
      <c r="C5488" s="10" t="str">
        <f ca="1">IFERROR(__xludf.DUMMYFUNCTION("""COMPUTED_VALUE"""),"Книгоиздателският бизнес в Русия в период на финансово-икономическа криза")</f>
        <v>Книгоиздателският бизнес в Русия в период на финансово-икономическа криза</v>
      </c>
      <c r="D5488" s="10">
        <f ca="1">IFERROR(__xludf.DUMMYFUNCTION("""COMPUTED_VALUE"""),2010)</f>
        <v>2010</v>
      </c>
      <c r="E5488" s="10" t="str">
        <f ca="1">IFERROR(__xludf.DUMMYFUNCTION("""COMPUTED_VALUE"""),"Между традицията и модерността:.Национална научна конференция с международно участие по проекта „Регионалните медии като фактор на влияние върху гражданското общество“, Велико Търново 11 юни 2009. В. Търново : УИ „Св. Св. Кирил и Методий“, 2010, с. 316-32"&amp;"4. ISBN 978-954-524-735-4")</f>
        <v>Между традицията и модерността:.Национална научна конференция с международно участие по проекта „Регионалните медии като фактор на влияние върху гражданското общество“, Велико Търново 11 юни 2009. В. Търново : УИ „Св. Св. Кирил и Методий“, 2010, с. 316-324. ISBN 978-954-524-735-4</v>
      </c>
      <c r="F5488" s="10"/>
      <c r="G5488" s="10"/>
      <c r="H5488" s="10"/>
      <c r="I5488" s="10"/>
      <c r="J5488" s="10"/>
      <c r="K5488" s="10"/>
      <c r="L5488" s="10"/>
      <c r="M5488" s="10"/>
      <c r="N5488" s="10"/>
      <c r="O5488" s="10"/>
      <c r="P5488" s="10"/>
      <c r="Q5488" s="10"/>
      <c r="R5488" s="10"/>
      <c r="S5488" s="10"/>
      <c r="T5488" s="10"/>
      <c r="U5488" s="10"/>
      <c r="V5488" s="10"/>
      <c r="W5488" s="10"/>
      <c r="X5488" s="10"/>
      <c r="Y5488" s="10"/>
      <c r="Z5488" s="10"/>
    </row>
    <row r="5489" spans="1:26" ht="12.75">
      <c r="A5489" s="10" t="str">
        <f ca="1">IFERROR(__xludf.DUMMYFUNCTION("""COMPUTED_VALUE"""),"Мария Милчева Гуленова (Дачева, Петкова)")</f>
        <v>Мария Милчева Гуленова (Дачева, Петкова)</v>
      </c>
      <c r="B5489" s="10" t="str">
        <f ca="1">IFERROR(__xludf.DUMMYFUNCTION("""COMPUTED_VALUE"""),"Доклад от конференция")</f>
        <v>Доклад от конференция</v>
      </c>
      <c r="C5489" s="10" t="str">
        <f ca="1">IFERROR(__xludf.DUMMYFUNCTION("""COMPUTED_VALUE"""),"""Добрите практики"" на междукултурния диалог в Европейския съюз")</f>
        <v>"Добрите практики" на междукултурния диалог в Европейския съюз</v>
      </c>
      <c r="D5489" s="10">
        <f ca="1">IFERROR(__xludf.DUMMYFUNCTION("""COMPUTED_VALUE"""),2009)</f>
        <v>2009</v>
      </c>
      <c r="E5489" s="10" t="str">
        <f ca="1">IFERROR(__xludf.DUMMYFUNCTION("""COMPUTED_VALUE"""),"БЪЛГАРИЯ в културното многообразие на Европа: шеста нац. научна конференция с международно участие, 1 ноем. 2008 г. София : За буквите - О писменехь, 2009, с. 149-154. ISBN 978-954-8887-65-6")</f>
        <v>БЪЛГАРИЯ в културното многообразие на Европа: шеста нац. научна конференция с международно участие, 1 ноем. 2008 г. София : За буквите - О писменехь, 2009, с. 149-154. ISBN 978-954-8887-65-6</v>
      </c>
      <c r="F5489" s="10"/>
      <c r="G5489" s="10"/>
      <c r="H5489" s="10"/>
      <c r="I5489" s="10"/>
      <c r="J5489" s="10"/>
      <c r="K5489" s="10"/>
      <c r="L5489" s="10"/>
      <c r="M5489" s="10"/>
      <c r="N5489" s="10"/>
      <c r="O5489" s="10"/>
      <c r="P5489" s="10"/>
      <c r="Q5489" s="10"/>
      <c r="R5489" s="10"/>
      <c r="S5489" s="10"/>
      <c r="T5489" s="10"/>
      <c r="U5489" s="10"/>
      <c r="V5489" s="10"/>
      <c r="W5489" s="10"/>
      <c r="X5489" s="10"/>
      <c r="Y5489" s="10"/>
      <c r="Z5489" s="10"/>
    </row>
    <row r="5490" spans="1:26" ht="12.75">
      <c r="A5490" s="10" t="str">
        <f ca="1">IFERROR(__xludf.DUMMYFUNCTION("""COMPUTED_VALUE"""),"Мария Милчева Гуленова (Дачева, Петкова)")</f>
        <v>Мария Милчева Гуленова (Дачева, Петкова)</v>
      </c>
      <c r="B5490" s="10" t="str">
        <f ca="1">IFERROR(__xludf.DUMMYFUNCTION("""COMPUTED_VALUE"""),"Доклад от конференция")</f>
        <v>Доклад от конференция</v>
      </c>
      <c r="C5490" s="10" t="str">
        <f ca="1">IFERROR(__xludf.DUMMYFUNCTION("""COMPUTED_VALUE"""),"Маркетинговите комуникации на издателство ""Ексмо"" (Русия)")</f>
        <v>Маркетинговите комуникации на издателство "Ексмо" (Русия)</v>
      </c>
      <c r="D5490" s="10">
        <f ca="1">IFERROR(__xludf.DUMMYFUNCTION("""COMPUTED_VALUE"""),2009)</f>
        <v>2009</v>
      </c>
      <c r="E5490" s="10" t="str">
        <f ca="1">IFERROR(__xludf.DUMMYFUNCTION("""COMPUTED_VALUE"""),"Седма национална научна конференция ""Библиотеки - четене - комуникации"". Посветена на 100 години от Независимостта на България, 21-22 ноември 2008 г. В. Търново: УИ „Св. св. Кирил и Методий“, 2009, с. 183-194. ISSN 1313-8138")</f>
        <v>Седма национална научна конференция "Библиотеки - четене - комуникации". Посветена на 100 години от Независимостта на България, 21-22 ноември 2008 г. В. Търново: УИ „Св. св. Кирил и Методий“, 2009, с. 183-194. ISSN 1313-8138</v>
      </c>
      <c r="F5490" s="10"/>
      <c r="G5490" s="10"/>
      <c r="H5490" s="10"/>
      <c r="I5490" s="10"/>
      <c r="J5490" s="10"/>
      <c r="K5490" s="10"/>
      <c r="L5490" s="10"/>
      <c r="M5490" s="10"/>
      <c r="N5490" s="10"/>
      <c r="O5490" s="10"/>
      <c r="P5490" s="10"/>
      <c r="Q5490" s="10"/>
      <c r="R5490" s="10"/>
      <c r="S5490" s="10"/>
      <c r="T5490" s="10"/>
      <c r="U5490" s="10"/>
      <c r="V5490" s="10"/>
      <c r="W5490" s="10"/>
      <c r="X5490" s="10"/>
      <c r="Y5490" s="10"/>
      <c r="Z5490" s="10"/>
    </row>
    <row r="5491" spans="1:26" ht="12.75">
      <c r="A5491" s="10" t="str">
        <f ca="1">IFERROR(__xludf.DUMMYFUNCTION("""COMPUTED_VALUE"""),"Мария Милчева Гуленова (Дачева, Петкова)")</f>
        <v>Мария Милчева Гуленова (Дачева, Петкова)</v>
      </c>
      <c r="B5491" s="10" t="str">
        <f ca="1">IFERROR(__xludf.DUMMYFUNCTION("""COMPUTED_VALUE"""),"Статия в списания и поредици")</f>
        <v>Статия в списания и поредици</v>
      </c>
      <c r="C5491" s="10" t="str">
        <f ca="1">IFERROR(__xludf.DUMMYFUNCTION("""COMPUTED_VALUE"""),"“Елзевир” – 125 години преодоляване на граници")</f>
        <v>“Елзевир” – 125 години преодоляване на граници</v>
      </c>
      <c r="D5491" s="10">
        <f ca="1">IFERROR(__xludf.DUMMYFUNCTION("""COMPUTED_VALUE"""),2008)</f>
        <v>2008</v>
      </c>
      <c r="E5491" s="10" t="str">
        <f ca="1">IFERROR(__xludf.DUMMYFUNCTION("""COMPUTED_VALUE"""),"НАУЧНИ трудове на Университета по библиотекознание и информационни технологии = Proceedings of the State University of Заб.:Продължение на Трудове на Специализираното висше училище по библиотекознание и информационни технологии (2004-2010)- ISSN 1312-5834"&amp;" Т.7, 2008 г., с.195-213.")</f>
        <v>НАУЧНИ трудове на Университета по библиотекознание и информационни технологии = Proceedings of the State University of Заб.:Продължение на Трудове на Специализираното висше училище по библиотекознание и информационни технологии (2004-2010)- ISSN 1312-5834 Т.7, 2008 г., с.195-213.</v>
      </c>
      <c r="F5491" s="10"/>
      <c r="G5491" s="10"/>
      <c r="H5491" s="10"/>
      <c r="I5491" s="10"/>
      <c r="J5491" s="10"/>
      <c r="K5491" s="10"/>
      <c r="L5491" s="10"/>
      <c r="M5491" s="10"/>
      <c r="N5491" s="10"/>
      <c r="O5491" s="10"/>
      <c r="P5491" s="10"/>
      <c r="Q5491" s="10"/>
      <c r="R5491" s="10"/>
      <c r="S5491" s="10"/>
      <c r="T5491" s="10"/>
      <c r="U5491" s="10"/>
      <c r="V5491" s="10"/>
      <c r="W5491" s="10"/>
      <c r="X5491" s="10"/>
      <c r="Y5491" s="10"/>
      <c r="Z5491" s="10"/>
    </row>
    <row r="5492" spans="1:26" ht="12.75">
      <c r="A5492" s="10" t="str">
        <f ca="1">IFERROR(__xludf.DUMMYFUNCTION("""COMPUTED_VALUE"""),"Мария Милчева Гуленова (Дачева, Петкова)")</f>
        <v>Мария Милчева Гуленова (Дачева, Петкова)</v>
      </c>
      <c r="B5492" s="10" t="str">
        <f ca="1">IFERROR(__xludf.DUMMYFUNCTION("""COMPUTED_VALUE"""),"Статия в списания и поредици")</f>
        <v>Статия в списания и поредици</v>
      </c>
      <c r="C5492" s="10" t="str">
        <f ca="1">IFERROR(__xludf.DUMMYFUNCTION("""COMPUTED_VALUE"""),"“Международната лига на антикварните книготърговци”")</f>
        <v>“Международната лига на антикварните книготърговци”</v>
      </c>
      <c r="D5492" s="10">
        <f ca="1">IFERROR(__xludf.DUMMYFUNCTION("""COMPUTED_VALUE"""),2008)</f>
        <v>2008</v>
      </c>
      <c r="E5492" s="10" t="str">
        <f ca="1">IFERROR(__xludf.DUMMYFUNCTION("""COMPUTED_VALUE"""),"И з д а т е л, 2008, № 10 (2), с. 41-44. ISSN 1310-4624 (print)")</f>
        <v>И з д а т е л, 2008, № 10 (2), с. 41-44. ISSN 1310-4624 (print)</v>
      </c>
      <c r="F5492" s="10"/>
      <c r="G5492" s="10"/>
      <c r="H5492" s="10"/>
      <c r="I5492" s="10"/>
      <c r="J5492" s="10"/>
      <c r="K5492" s="10"/>
      <c r="L5492" s="10"/>
      <c r="M5492" s="10"/>
      <c r="N5492" s="10"/>
      <c r="O5492" s="10"/>
      <c r="P5492" s="10"/>
      <c r="Q5492" s="10"/>
      <c r="R5492" s="10"/>
      <c r="S5492" s="10"/>
      <c r="T5492" s="10"/>
      <c r="U5492" s="10"/>
      <c r="V5492" s="10"/>
      <c r="W5492" s="10"/>
      <c r="X5492" s="10"/>
      <c r="Y5492" s="10"/>
      <c r="Z5492" s="10"/>
    </row>
    <row r="5493" spans="1:26" ht="12.75">
      <c r="A5493" s="10" t="str">
        <f ca="1">IFERROR(__xludf.DUMMYFUNCTION("""COMPUTED_VALUE"""),"Мария Милчева Гуленова (Дачева, Петкова)")</f>
        <v>Мария Милчева Гуленова (Дачева, Петкова)</v>
      </c>
      <c r="B5493" s="10" t="str">
        <f ca="1">IFERROR(__xludf.DUMMYFUNCTION("""COMPUTED_VALUE"""),"Статия в списания и поредици")</f>
        <v>Статия в списания и поредици</v>
      </c>
      <c r="C5493" s="10" t="str">
        <f ca="1">IFERROR(__xludf.DUMMYFUNCTION("""COMPUTED_VALUE"""),"Маркетингът на взаимоотношенията на издател № 1 на Русия – „Ексмо“")</f>
        <v>Маркетингът на взаимоотношенията на издател № 1 на Русия – „Ексмо“</v>
      </c>
      <c r="D5493" s="10">
        <f ca="1">IFERROR(__xludf.DUMMYFUNCTION("""COMPUTED_VALUE"""),2008)</f>
        <v>2008</v>
      </c>
      <c r="E5493" s="10" t="str">
        <f ca="1">IFERROR(__xludf.DUMMYFUNCTION("""COMPUTED_VALUE"""),"НАУЧНИ трудове на Университета по библиотекознание и информационни технологии = Proceedings of the State University of Заб.:Продължение на Трудове на Специализираното висше училище по библиотекознание и информационни технологии (2004-2010)- ISSN 1312-5834"&amp;" Т.7, 2008 г., с.189-194")</f>
        <v>НАУЧНИ трудове на Университета по библиотекознание и информационни технологии = Proceedings of the State University of Заб.:Продължение на Трудове на Специализираното висше училище по библиотекознание и информационни технологии (2004-2010)- ISSN 1312-5834 Т.7, 2008 г., с.189-194</v>
      </c>
      <c r="F5493" s="10"/>
      <c r="G5493" s="10"/>
      <c r="H5493" s="10"/>
      <c r="I5493" s="10"/>
      <c r="J5493" s="10"/>
      <c r="K5493" s="10"/>
      <c r="L5493" s="10"/>
      <c r="M5493" s="10"/>
      <c r="N5493" s="10"/>
      <c r="O5493" s="10"/>
      <c r="P5493" s="10"/>
      <c r="Q5493" s="10"/>
      <c r="R5493" s="10"/>
      <c r="S5493" s="10"/>
      <c r="T5493" s="10"/>
      <c r="U5493" s="10"/>
      <c r="V5493" s="10"/>
      <c r="W5493" s="10"/>
      <c r="X5493" s="10"/>
      <c r="Y5493" s="10"/>
      <c r="Z5493" s="10"/>
    </row>
    <row r="5494" spans="1:26" ht="12.75">
      <c r="A5494" s="10" t="str">
        <f ca="1">IFERROR(__xludf.DUMMYFUNCTION("""COMPUTED_VALUE"""),"Мария Милчева Гуленова (Дачева, Петкова)")</f>
        <v>Мария Милчева Гуленова (Дачева, Петкова)</v>
      </c>
      <c r="B5494" s="10" t="str">
        <f ca="1">IFERROR(__xludf.DUMMYFUNCTION("""COMPUTED_VALUE"""),"Доклад от конференция")</f>
        <v>Доклад от конференция</v>
      </c>
      <c r="C5494" s="10" t="str">
        <f ca="1">IFERROR(__xludf.DUMMYFUNCTION("""COMPUTED_VALUE"""),"Детско-юношеското книгоиздаване в България (1995-2002)")</f>
        <v>Детско-юношеското книгоиздаване в България (1995-2002)</v>
      </c>
      <c r="D5494" s="10">
        <f ca="1">IFERROR(__xludf.DUMMYFUNCTION("""COMPUTED_VALUE"""),2007)</f>
        <v>2007</v>
      </c>
      <c r="E5494" s="10" t="str">
        <f ca="1">IFERROR(__xludf.DUMMYFUNCTION("""COMPUTED_VALUE"""),"Б и з н е с среда на книгата. Сборник с доклади. София, 2007, с. 52-70. ISBN 9789540724874")</f>
        <v>Б и з н е с среда на книгата. Сборник с доклади. София, 2007, с. 52-70. ISBN 9789540724874</v>
      </c>
      <c r="F5494" s="10"/>
      <c r="G5494" s="10"/>
      <c r="H5494" s="10"/>
      <c r="I5494" s="10"/>
      <c r="J5494" s="10"/>
      <c r="K5494" s="10"/>
      <c r="L5494" s="10"/>
      <c r="M5494" s="10"/>
      <c r="N5494" s="10"/>
      <c r="O5494" s="10"/>
      <c r="P5494" s="10"/>
      <c r="Q5494" s="10"/>
      <c r="R5494" s="10"/>
      <c r="S5494" s="10"/>
      <c r="T5494" s="10"/>
      <c r="U5494" s="10"/>
      <c r="V5494" s="10"/>
      <c r="W5494" s="10"/>
      <c r="X5494" s="10"/>
      <c r="Y5494" s="10"/>
      <c r="Z5494" s="10"/>
    </row>
    <row r="5495" spans="1:26" ht="12.75">
      <c r="A5495" s="10" t="str">
        <f ca="1">IFERROR(__xludf.DUMMYFUNCTION("""COMPUTED_VALUE"""),"Мария Милчева Гуленова (Дачева, Петкова)")</f>
        <v>Мария Милчева Гуленова (Дачева, Петкова)</v>
      </c>
      <c r="B5495" s="10" t="str">
        <f ca="1">IFERROR(__xludf.DUMMYFUNCTION("""COMPUTED_VALUE"""),"Статия в списания и поредици")</f>
        <v>Статия в списания и поредици</v>
      </c>
      <c r="C5495" s="10" t="str">
        <f ca="1">IFERROR(__xludf.DUMMYFUNCTION("""COMPUTED_VALUE"""),"Издатели лидери на Русия и техните стратегии")</f>
        <v>Издатели лидери на Русия и техните стратегии</v>
      </c>
      <c r="D5495" s="10">
        <f ca="1">IFERROR(__xludf.DUMMYFUNCTION("""COMPUTED_VALUE"""),2007)</f>
        <v>2007</v>
      </c>
      <c r="E5495" s="10" t="str">
        <f ca="1">IFERROR(__xludf.DUMMYFUNCTION("""COMPUTED_VALUE"""),"Т р у д о в е на Специализираното висше училище по библиотекознание и информационни технологии. София : За буквите - О писменехь, 2007, с. 205-216. ISSN 1312-5834")</f>
        <v>Т р у д о в е на Специализираното висше училище по библиотекознание и информационни технологии. София : За буквите - О писменехь, 2007, с. 205-216. ISSN 1312-5834</v>
      </c>
      <c r="F5495" s="10"/>
      <c r="G5495" s="10"/>
      <c r="H5495" s="10"/>
      <c r="I5495" s="10"/>
      <c r="J5495" s="10"/>
      <c r="K5495" s="10"/>
      <c r="L5495" s="10"/>
      <c r="M5495" s="10"/>
      <c r="N5495" s="10"/>
      <c r="O5495" s="10"/>
      <c r="P5495" s="10"/>
      <c r="Q5495" s="10"/>
      <c r="R5495" s="10"/>
      <c r="S5495" s="10"/>
      <c r="T5495" s="10"/>
      <c r="U5495" s="10"/>
      <c r="V5495" s="10"/>
      <c r="W5495" s="10"/>
      <c r="X5495" s="10"/>
      <c r="Y5495" s="10"/>
      <c r="Z5495" s="10"/>
    </row>
    <row r="5496" spans="1:26" ht="12.75">
      <c r="A5496" s="10" t="str">
        <f ca="1">IFERROR(__xludf.DUMMYFUNCTION("""COMPUTED_VALUE"""),"Мария Милчева Гуленова (Дачева, Петкова)")</f>
        <v>Мария Милчева Гуленова (Дачева, Петкова)</v>
      </c>
      <c r="B5496" s="10" t="str">
        <f ca="1">IFERROR(__xludf.DUMMYFUNCTION("""COMPUTED_VALUE"""),"Статия в списания и поредици")</f>
        <v>Статия в списания и поредици</v>
      </c>
      <c r="C5496" s="10" t="str">
        <f ca="1">IFERROR(__xludf.DUMMYFUNCTION("""COMPUTED_VALUE"""),"""Бертелсман"" - водеща компания в световното книгоиздаване")</f>
        <v>"Бертелсман" - водеща компания в световното книгоиздаване</v>
      </c>
      <c r="D5496" s="10">
        <f ca="1">IFERROR(__xludf.DUMMYFUNCTION("""COMPUTED_VALUE"""),2007)</f>
        <v>2007</v>
      </c>
      <c r="E5496" s="10" t="str">
        <f ca="1">IFERROR(__xludf.DUMMYFUNCTION("""COMPUTED_VALUE"""),"Т р у д о в е на Специализираното висше училище по библиотекознание и информационни технологии. София : За буквите - О писменехь, 2007, с. 217-234. ISSN 1312-5834")</f>
        <v>Т р у д о в е на Специализираното висше училище по библиотекознание и информационни технологии. София : За буквите - О писменехь, 2007, с. 217-234. ISSN 1312-5834</v>
      </c>
      <c r="F5496" s="10"/>
      <c r="G5496" s="10"/>
      <c r="H5496" s="10"/>
      <c r="I5496" s="10"/>
      <c r="J5496" s="10"/>
      <c r="K5496" s="10"/>
      <c r="L5496" s="10"/>
      <c r="M5496" s="10"/>
      <c r="N5496" s="10"/>
      <c r="O5496" s="10"/>
      <c r="P5496" s="10"/>
      <c r="Q5496" s="10"/>
      <c r="R5496" s="10"/>
      <c r="S5496" s="10"/>
      <c r="T5496" s="10"/>
      <c r="U5496" s="10"/>
      <c r="V5496" s="10"/>
      <c r="W5496" s="10"/>
      <c r="X5496" s="10"/>
      <c r="Y5496" s="10"/>
      <c r="Z5496" s="10"/>
    </row>
    <row r="5497" spans="1:26" ht="12.75">
      <c r="A5497" s="10" t="str">
        <f ca="1">IFERROR(__xludf.DUMMYFUNCTION("""COMPUTED_VALUE"""),"Мария Милчева Гуленова (Дачева, Петкова)")</f>
        <v>Мария Милчева Гуленова (Дачева, Петкова)</v>
      </c>
      <c r="B5497" s="10" t="str">
        <f ca="1">IFERROR(__xludf.DUMMYFUNCTION("""COMPUTED_VALUE"""),"Статия в списания и поредици")</f>
        <v>Статия в списания и поредици</v>
      </c>
      <c r="C5497" s="10" t="str">
        <f ca="1">IFERROR(__xludf.DUMMYFUNCTION("""COMPUTED_VALUE"""),"“Бертелсман” – един от лидерите на световното книгоиздаване")</f>
        <v>“Бертелсман” – един от лидерите на световното книгоиздаване</v>
      </c>
      <c r="D5497" s="10">
        <f ca="1">IFERROR(__xludf.DUMMYFUNCTION("""COMPUTED_VALUE"""),2007)</f>
        <v>2007</v>
      </c>
      <c r="E5497" s="10" t="str">
        <f ca="1">IFERROR(__xludf.DUMMYFUNCTION("""COMPUTED_VALUE"""),"И з д а т е л, 2007, № 9 (2), с. 46-55. ISSN 1310-4624 (print)")</f>
        <v>И з д а т е л, 2007, № 9 (2), с. 46-55. ISSN 1310-4624 (print)</v>
      </c>
      <c r="F5497" s="10"/>
      <c r="G5497" s="10"/>
      <c r="H5497" s="10"/>
      <c r="I5497" s="10"/>
      <c r="J5497" s="10"/>
      <c r="K5497" s="10"/>
      <c r="L5497" s="10"/>
      <c r="M5497" s="10"/>
      <c r="N5497" s="10"/>
      <c r="O5497" s="10"/>
      <c r="P5497" s="10"/>
      <c r="Q5497" s="10"/>
      <c r="R5497" s="10"/>
      <c r="S5497" s="10"/>
      <c r="T5497" s="10"/>
      <c r="U5497" s="10"/>
      <c r="V5497" s="10"/>
      <c r="W5497" s="10"/>
      <c r="X5497" s="10"/>
      <c r="Y5497" s="10"/>
      <c r="Z5497" s="10"/>
    </row>
    <row r="5498" spans="1:26" ht="12.75">
      <c r="A5498" s="10" t="str">
        <f ca="1">IFERROR(__xludf.DUMMYFUNCTION("""COMPUTED_VALUE"""),"Мария Милчева Гуленова (Дачева, Петкова)")</f>
        <v>Мария Милчева Гуленова (Дачева, Петкова)</v>
      </c>
      <c r="B5498" s="10" t="str">
        <f ca="1">IFERROR(__xludf.DUMMYFUNCTION("""COMPUTED_VALUE"""),"Доклад от конференция")</f>
        <v>Доклад от конференция</v>
      </c>
      <c r="C5498" s="10" t="str">
        <f ca="1">IFERROR(__xludf.DUMMYFUNCTION("""COMPUTED_VALUE"""),"STM издаване")</f>
        <v>STM издаване</v>
      </c>
      <c r="D5498" s="10">
        <f ca="1">IFERROR(__xludf.DUMMYFUNCTION("""COMPUTED_VALUE"""),2006)</f>
        <v>2006</v>
      </c>
      <c r="E5498" s="10" t="str">
        <f ca="1">IFERROR(__xludf.DUMMYFUNCTION("""COMPUTED_VALUE"""),"Нови информационни технологии в образователния процес, София: За буквите - О писменехь, 2006, с. 49-56.")</f>
        <v>Нови информационни технологии в образователния процес, София: За буквите - О писменехь, 2006, с. 49-56.</v>
      </c>
      <c r="F5498" s="10"/>
      <c r="G5498" s="10"/>
      <c r="H5498" s="10"/>
      <c r="I5498" s="10"/>
      <c r="J5498" s="10"/>
      <c r="K5498" s="10"/>
      <c r="L5498" s="10"/>
      <c r="M5498" s="10"/>
      <c r="N5498" s="10"/>
      <c r="O5498" s="10"/>
      <c r="P5498" s="10"/>
      <c r="Q5498" s="10"/>
      <c r="R5498" s="10"/>
      <c r="S5498" s="10"/>
      <c r="T5498" s="10"/>
      <c r="U5498" s="10"/>
      <c r="V5498" s="10"/>
      <c r="W5498" s="10"/>
      <c r="X5498" s="10"/>
      <c r="Y5498" s="10"/>
      <c r="Z5498" s="10"/>
    </row>
    <row r="5499" spans="1:26" ht="12.75">
      <c r="A5499" s="10" t="str">
        <f ca="1">IFERROR(__xludf.DUMMYFUNCTION("""COMPUTED_VALUE"""),"Мария Милчева Гуленова (Дачева, Петкова)")</f>
        <v>Мария Милчева Гуленова (Дачева, Петкова)</v>
      </c>
      <c r="B5499" s="10" t="str">
        <f ca="1">IFERROR(__xludf.DUMMYFUNCTION("""COMPUTED_VALUE"""),"Статия в списания и поредици")</f>
        <v>Статия в списания и поредици</v>
      </c>
      <c r="C5499" s="10" t="str">
        <f ca="1">IFERROR(__xludf.DUMMYFUNCTION("""COMPUTED_VALUE"""),"Моделите на маркетинга на услугите и библиотеките")</f>
        <v>Моделите на маркетинга на услугите и библиотеките</v>
      </c>
      <c r="D5499" s="10">
        <f ca="1">IFERROR(__xludf.DUMMYFUNCTION("""COMPUTED_VALUE"""),2005)</f>
        <v>2005</v>
      </c>
      <c r="E5499" s="10" t="str">
        <f ca="1">IFERROR(__xludf.DUMMYFUNCTION("""COMPUTED_VALUE"""),"Т р у д о в е на Специализираното висше училище по библиотекознание и информационни технологии. София : За буквите - О писменехь, 2005, с. 251-266. ISSN 1312-5834")</f>
        <v>Т р у д о в е на Специализираното висше училище по библиотекознание и информационни технологии. София : За буквите - О писменехь, 2005, с. 251-266. ISSN 1312-5834</v>
      </c>
      <c r="F5499" s="10"/>
      <c r="G5499" s="10"/>
      <c r="H5499" s="10"/>
      <c r="I5499" s="10"/>
      <c r="J5499" s="10"/>
      <c r="K5499" s="10"/>
      <c r="L5499" s="10"/>
      <c r="M5499" s="10"/>
      <c r="N5499" s="10"/>
      <c r="O5499" s="10"/>
      <c r="P5499" s="10"/>
      <c r="Q5499" s="10"/>
      <c r="R5499" s="10"/>
      <c r="S5499" s="10"/>
      <c r="T5499" s="10"/>
      <c r="U5499" s="10"/>
      <c r="V5499" s="10"/>
      <c r="W5499" s="10"/>
      <c r="X5499" s="10"/>
      <c r="Y5499" s="10"/>
      <c r="Z5499" s="10"/>
    </row>
    <row r="5500" spans="1:26" ht="12.75">
      <c r="A5500" s="10" t="str">
        <f ca="1">IFERROR(__xludf.DUMMYFUNCTION("""COMPUTED_VALUE"""),"Мария Милчева Гуленова (Дачева, Петкова)")</f>
        <v>Мария Милчева Гуленова (Дачева, Петкова)</v>
      </c>
      <c r="B5500" s="10" t="str">
        <f ca="1">IFERROR(__xludf.DUMMYFUNCTION("""COMPUTED_VALUE"""),"Статия в списания и поредици")</f>
        <v>Статия в списания и поредици</v>
      </c>
      <c r="C5500" s="10" t="str">
        <f ca="1">IFERROR(__xludf.DUMMYFUNCTION("""COMPUTED_VALUE"""),"Модели на пазарни класификации на книгите")</f>
        <v>Модели на пазарни класификации на книгите</v>
      </c>
      <c r="D5500" s="10">
        <f ca="1">IFERROR(__xludf.DUMMYFUNCTION("""COMPUTED_VALUE"""),2005)</f>
        <v>2005</v>
      </c>
      <c r="E5500" s="10" t="str">
        <f ca="1">IFERROR(__xludf.DUMMYFUNCTION("""COMPUTED_VALUE"""),"Т р у д о в е на Специализираното висше училище по библиотекознание и информационни технологии. София : За буквите - О писменехь, 2005, с. 137-146. ISSN 1312-5834")</f>
        <v>Т р у д о в е на Специализираното висше училище по библиотекознание и информационни технологии. София : За буквите - О писменехь, 2005, с. 137-146. ISSN 1312-5834</v>
      </c>
      <c r="F5500" s="10"/>
      <c r="G5500" s="10"/>
      <c r="H5500" s="10"/>
      <c r="I5500" s="10"/>
      <c r="J5500" s="10"/>
      <c r="K5500" s="10"/>
      <c r="L5500" s="10"/>
      <c r="M5500" s="10"/>
      <c r="N5500" s="10"/>
      <c r="O5500" s="10"/>
      <c r="P5500" s="10"/>
      <c r="Q5500" s="10"/>
      <c r="R5500" s="10"/>
      <c r="S5500" s="10"/>
      <c r="T5500" s="10"/>
      <c r="U5500" s="10"/>
      <c r="V5500" s="10"/>
      <c r="W5500" s="10"/>
      <c r="X5500" s="10"/>
      <c r="Y5500" s="10"/>
      <c r="Z5500" s="10"/>
    </row>
    <row r="5501" spans="1:26" ht="12.75">
      <c r="A5501" s="10" t="str">
        <f ca="1">IFERROR(__xludf.DUMMYFUNCTION("""COMPUTED_VALUE"""),"Мария Милчева Гуленова (Дачева, Петкова)")</f>
        <v>Мария Милчева Гуленова (Дачева, Петкова)</v>
      </c>
      <c r="B5501" s="10" t="str">
        <f ca="1">IFERROR(__xludf.DUMMYFUNCTION("""COMPUTED_VALUE"""),"Доклад от конференция")</f>
        <v>Доклад от конференция</v>
      </c>
      <c r="C5501" s="10" t="str">
        <f ca="1">IFERROR(__xludf.DUMMYFUNCTION("""COMPUTED_VALUE"""),"Интернет и традиционните библиотечни процеси")</f>
        <v>Интернет и традиционните библиотечни процеси</v>
      </c>
      <c r="D5501" s="10">
        <f ca="1">IFERROR(__xludf.DUMMYFUNCTION("""COMPUTED_VALUE"""),2004)</f>
        <v>2004</v>
      </c>
      <c r="E5501" s="10" t="str">
        <f ca="1">IFERROR(__xludf.DUMMYFUNCTION("""COMPUTED_VALUE"""),"Н а ц и о н а л н а научна конференция „Библиотеки – четене – комуникации“. В. Търново, 2004, с. 54-67. ISSN 1313-8138 - В. Търново")</f>
        <v>Н а ц и о н а л н а научна конференция „Библиотеки – четене – комуникации“. В. Търново, 2004, с. 54-67. ISSN 1313-8138 - В. Търново</v>
      </c>
      <c r="F5501" s="10"/>
      <c r="G5501" s="10"/>
      <c r="H5501" s="10"/>
      <c r="I5501" s="10"/>
      <c r="J5501" s="10"/>
      <c r="K5501" s="10"/>
      <c r="L5501" s="10"/>
      <c r="M5501" s="10"/>
      <c r="N5501" s="10"/>
      <c r="O5501" s="10"/>
      <c r="P5501" s="10"/>
      <c r="Q5501" s="10"/>
      <c r="R5501" s="10"/>
      <c r="S5501" s="10"/>
      <c r="T5501" s="10"/>
      <c r="U5501" s="10"/>
      <c r="V5501" s="10"/>
      <c r="W5501" s="10"/>
      <c r="X5501" s="10"/>
      <c r="Y5501" s="10"/>
      <c r="Z5501" s="10"/>
    </row>
    <row r="5502" spans="1:26" ht="12.75">
      <c r="A5502" s="10" t="str">
        <f ca="1">IFERROR(__xludf.DUMMYFUNCTION("""COMPUTED_VALUE"""),"Мария Милчева Гуленова (Дачева, Петкова)")</f>
        <v>Мария Милчева Гуленова (Дачева, Петкова)</v>
      </c>
      <c r="B5502" s="10" t="str">
        <f ca="1">IFERROR(__xludf.DUMMYFUNCTION("""COMPUTED_VALUE"""),"Доклад от конференция")</f>
        <v>Доклад от конференция</v>
      </c>
      <c r="C5502" s="10" t="str">
        <f ca="1">IFERROR(__xludf.DUMMYFUNCTION("""COMPUTED_VALUE"""),"Индустриите на съдържанието между традицията и иновацията")</f>
        <v>Индустриите на съдържанието между традицията и иновацията</v>
      </c>
      <c r="D5502" s="10">
        <f ca="1">IFERROR(__xludf.DUMMYFUNCTION("""COMPUTED_VALUE"""),2004)</f>
        <v>2004</v>
      </c>
      <c r="E5502" s="10" t="str">
        <f ca="1">IFERROR(__xludf.DUMMYFUNCTION("""COMPUTED_VALUE"""),"К н и г а т а: бъдеще време в миналото?! Национална научна конференция. София, 1 ноември 2003 г София : „Захарий Стоянов“; УИ „Св. Климент Охридски“, 2004, с. 60-72. ISBN 954-739-580-7 ISBN 954-07-2053-2")</f>
        <v>К н и г а т а: бъдеще време в миналото?! Национална научна конференция. София, 1 ноември 2003 г София : „Захарий Стоянов“; УИ „Св. Климент Охридски“, 2004, с. 60-72. ISBN 954-739-580-7 ISBN 954-07-2053-2</v>
      </c>
      <c r="F5502" s="10"/>
      <c r="G5502" s="10"/>
      <c r="H5502" s="10"/>
      <c r="I5502" s="10"/>
      <c r="J5502" s="10"/>
      <c r="K5502" s="10"/>
      <c r="L5502" s="10"/>
      <c r="M5502" s="10"/>
      <c r="N5502" s="10"/>
      <c r="O5502" s="10"/>
      <c r="P5502" s="10"/>
      <c r="Q5502" s="10"/>
      <c r="R5502" s="10"/>
      <c r="S5502" s="10"/>
      <c r="T5502" s="10"/>
      <c r="U5502" s="10"/>
      <c r="V5502" s="10"/>
      <c r="W5502" s="10"/>
      <c r="X5502" s="10"/>
      <c r="Y5502" s="10"/>
      <c r="Z5502" s="10"/>
    </row>
    <row r="5503" spans="1:26" ht="12.75">
      <c r="A5503" s="10" t="str">
        <f ca="1">IFERROR(__xludf.DUMMYFUNCTION("""COMPUTED_VALUE"""),"Мария Милчева Гуленова (Дачева, Петкова)")</f>
        <v>Мария Милчева Гуленова (Дачева, Петкова)</v>
      </c>
      <c r="B5503" s="10" t="str">
        <f ca="1">IFERROR(__xludf.DUMMYFUNCTION("""COMPUTED_VALUE"""),"Книга")</f>
        <v>Книга</v>
      </c>
      <c r="C5503" s="10" t="str">
        <f ca="1">IFERROR(__xludf.DUMMYFUNCTION("""COMPUTED_VALUE"""),"Маркетинг на книгата. Комуникации")</f>
        <v>Маркетинг на книгата. Комуникации</v>
      </c>
      <c r="D5503" s="10">
        <f ca="1">IFERROR(__xludf.DUMMYFUNCTION("""COMPUTED_VALUE"""),2003)</f>
        <v>2003</v>
      </c>
      <c r="E5503" s="10" t="str">
        <f ca="1">IFERROR(__xludf.DUMMYFUNCTION("""COMPUTED_VALUE"""),"София : Квазар, 2003. 254 с. ISBN 954-8826-55-0")</f>
        <v>София : Квазар, 2003. 254 с. ISBN 954-8826-55-0</v>
      </c>
      <c r="F5503" s="10"/>
      <c r="G5503" s="10"/>
      <c r="H5503" s="10"/>
      <c r="I5503" s="10"/>
      <c r="J5503" s="10"/>
      <c r="K5503" s="10"/>
      <c r="L5503" s="10"/>
      <c r="M5503" s="10"/>
      <c r="N5503" s="10"/>
      <c r="O5503" s="10"/>
      <c r="P5503" s="10"/>
      <c r="Q5503" s="10"/>
      <c r="R5503" s="10"/>
      <c r="S5503" s="10"/>
      <c r="T5503" s="10"/>
      <c r="U5503" s="10"/>
      <c r="V5503" s="10"/>
      <c r="W5503" s="10"/>
      <c r="X5503" s="10"/>
      <c r="Y5503" s="10"/>
      <c r="Z5503" s="10"/>
    </row>
    <row r="5504" spans="1:26" ht="12.75">
      <c r="A5504" s="10" t="str">
        <f ca="1">IFERROR(__xludf.DUMMYFUNCTION("""COMPUTED_VALUE"""),"Мария Милчева Гуленова (Дачева, Петкова)")</f>
        <v>Мария Милчева Гуленова (Дачева, Петкова)</v>
      </c>
      <c r="B5504" s="10" t="str">
        <f ca="1">IFERROR(__xludf.DUMMYFUNCTION("""COMPUTED_VALUE"""),"Доклад от конференция")</f>
        <v>Доклад от конференция</v>
      </c>
      <c r="C5504" s="10" t="str">
        <f ca="1">IFERROR(__xludf.DUMMYFUNCTION("""COMPUTED_VALUE"""),"Библиотеки и маркетингови комуникации")</f>
        <v>Библиотеки и маркетингови комуникации</v>
      </c>
      <c r="D5504" s="10">
        <f ca="1">IFERROR(__xludf.DUMMYFUNCTION("""COMPUTED_VALUE"""),2003)</f>
        <v>2003</v>
      </c>
      <c r="E5504" s="10" t="str">
        <f ca="1">IFERROR(__xludf.DUMMYFUNCTION("""COMPUTED_VALUE"""),"Национална научна конференция „Б и б л и о т е к и – четене – комуникации“. В. Търново, 2003, с. 117-128.")</f>
        <v>Национална научна конференция „Б и б л и о т е к и – четене – комуникации“. В. Търново, 2003, с. 117-128.</v>
      </c>
      <c r="F5504" s="10"/>
      <c r="G5504" s="10"/>
      <c r="H5504" s="10"/>
      <c r="I5504" s="10"/>
      <c r="J5504" s="10"/>
      <c r="K5504" s="10"/>
      <c r="L5504" s="10"/>
      <c r="M5504" s="10"/>
      <c r="N5504" s="10"/>
      <c r="O5504" s="10"/>
      <c r="P5504" s="10"/>
      <c r="Q5504" s="10"/>
      <c r="R5504" s="10"/>
      <c r="S5504" s="10"/>
      <c r="T5504" s="10"/>
      <c r="U5504" s="10"/>
      <c r="V5504" s="10"/>
      <c r="W5504" s="10"/>
      <c r="X5504" s="10"/>
      <c r="Y5504" s="10"/>
      <c r="Z5504" s="10"/>
    </row>
    <row r="5505" spans="1:26" ht="12.75">
      <c r="A5505" s="10" t="str">
        <f ca="1">IFERROR(__xludf.DUMMYFUNCTION("""COMPUTED_VALUE"""),"Мария Милчева Гуленова (Дачева, Петкова)")</f>
        <v>Мария Милчева Гуленова (Дачева, Петкова)</v>
      </c>
      <c r="B5505" s="10" t="str">
        <f ca="1">IFERROR(__xludf.DUMMYFUNCTION("""COMPUTED_VALUE"""),"Статия в списания и поредици")</f>
        <v>Статия в списания и поредици</v>
      </c>
      <c r="C5505" s="10" t="str">
        <f ca="1">IFERROR(__xludf.DUMMYFUNCTION("""COMPUTED_VALUE"""),"Маркетинг на детско-юношеската книга в САЩ")</f>
        <v>Маркетинг на детско-юношеската книга в САЩ</v>
      </c>
      <c r="D5505" s="10">
        <f ca="1">IFERROR(__xludf.DUMMYFUNCTION("""COMPUTED_VALUE"""),2003)</f>
        <v>2003</v>
      </c>
      <c r="E5505" s="10" t="str">
        <f ca="1">IFERROR(__xludf.DUMMYFUNCTION("""COMPUTED_VALUE"""),"Б и б л и о те к а, 2003, № 1-2, с. 33-41. ISSN: 0861-847Х")</f>
        <v>Б и б л и о те к а, 2003, № 1-2, с. 33-41. ISSN: 0861-847Х</v>
      </c>
      <c r="F5505" s="10"/>
      <c r="G5505" s="10"/>
      <c r="H5505" s="10"/>
      <c r="I5505" s="10"/>
      <c r="J5505" s="10"/>
      <c r="K5505" s="10"/>
      <c r="L5505" s="10"/>
      <c r="M5505" s="10"/>
      <c r="N5505" s="10"/>
      <c r="O5505" s="10"/>
      <c r="P5505" s="10"/>
      <c r="Q5505" s="10"/>
      <c r="R5505" s="10"/>
      <c r="S5505" s="10"/>
      <c r="T5505" s="10"/>
      <c r="U5505" s="10"/>
      <c r="V5505" s="10"/>
      <c r="W5505" s="10"/>
      <c r="X5505" s="10"/>
      <c r="Y5505" s="10"/>
      <c r="Z5505" s="10"/>
    </row>
    <row r="5506" spans="1:26" ht="12.75">
      <c r="A5506" s="10" t="str">
        <f ca="1">IFERROR(__xludf.DUMMYFUNCTION("""COMPUTED_VALUE"""),"Мария Милчева Гуленова (Дачева, Петкова)")</f>
        <v>Мария Милчева Гуленова (Дачева, Петкова)</v>
      </c>
      <c r="B5506" s="10" t="str">
        <f ca="1">IFERROR(__xludf.DUMMYFUNCTION("""COMPUTED_VALUE"""),"Доклад от конференция")</f>
        <v>Доклад от конференция</v>
      </c>
      <c r="C5506" s="10" t="str">
        <f ca="1">IFERROR(__xludf.DUMMYFUNCTION("""COMPUTED_VALUE"""),"Електронната информационна услуга и сътрудничеството на библиотеките")</f>
        <v>Електронната информационна услуга и сътрудничеството на библиотеките</v>
      </c>
      <c r="D5506" s="10">
        <f ca="1">IFERROR(__xludf.DUMMYFUNCTION("""COMPUTED_VALUE"""),2003)</f>
        <v>2003</v>
      </c>
      <c r="E5506" s="10" t="str">
        <f ca="1">IFERROR(__xludf.DUMMYFUNCTION("""COMPUTED_VALUE"""),"Библиотечно сътрудничество - настояще и бъдеще Доклади от XIІІ годишна конференция на СБИР, 2003. https://www.lib.bg/dokladi2003/gulenova.htm")</f>
        <v>Библиотечно сътрудничество - настояще и бъдеще Доклади от XIІІ годишна конференция на СБИР, 2003. https://www.lib.bg/dokladi2003/gulenova.htm</v>
      </c>
      <c r="F5506" s="10"/>
      <c r="G5506" s="10" t="str">
        <f ca="1">IFERROR(__xludf.DUMMYFUNCTION("""COMPUTED_VALUE"""),"Десислава Гуленова")</f>
        <v>Десислава Гуленова</v>
      </c>
      <c r="H5506" s="10"/>
      <c r="I5506" s="10"/>
      <c r="J5506" s="10"/>
      <c r="K5506" s="10"/>
      <c r="L5506" s="10"/>
      <c r="M5506" s="10"/>
      <c r="N5506" s="10"/>
      <c r="O5506" s="10"/>
      <c r="P5506" s="10"/>
      <c r="Q5506" s="10"/>
      <c r="R5506" s="10"/>
      <c r="S5506" s="10"/>
      <c r="T5506" s="10"/>
      <c r="U5506" s="10"/>
      <c r="V5506" s="10"/>
      <c r="W5506" s="10"/>
      <c r="X5506" s="10"/>
      <c r="Y5506" s="10"/>
      <c r="Z5506" s="10"/>
    </row>
    <row r="5507" spans="1:26" ht="12.75">
      <c r="A5507" s="10" t="str">
        <f ca="1">IFERROR(__xludf.DUMMYFUNCTION("""COMPUTED_VALUE"""),"Мария Милчева Гуленова (Дачева, Петкова)")</f>
        <v>Мария Милчева Гуленова (Дачева, Петкова)</v>
      </c>
      <c r="B5507" s="10" t="str">
        <f ca="1">IFERROR(__xludf.DUMMYFUNCTION("""COMPUTED_VALUE"""),"Статия в списания и поредици")</f>
        <v>Статия в списания и поредици</v>
      </c>
      <c r="C5507" s="10" t="str">
        <f ca="1">IFERROR(__xludf.DUMMYFUNCTION("""COMPUTED_VALUE"""),"Стандартизация в сферата на услугите")</f>
        <v>Стандартизация в сферата на услугите</v>
      </c>
      <c r="D5507" s="10">
        <f ca="1">IFERROR(__xludf.DUMMYFUNCTION("""COMPUTED_VALUE"""),2003)</f>
        <v>2003</v>
      </c>
      <c r="E5507" s="10" t="str">
        <f ca="1">IFERROR(__xludf.DUMMYFUNCTION("""COMPUTED_VALUE"""),"С т а н д а р т и з а ц и я, 2003, № 8, с.3-8")</f>
        <v>С т а н д а р т и з а ц и я, 2003, № 8, с.3-8</v>
      </c>
      <c r="F5507" s="10"/>
      <c r="G5507" s="10" t="str">
        <f ca="1">IFERROR(__xludf.DUMMYFUNCTION("""COMPUTED_VALUE"""),"Десислава Гуленова")</f>
        <v>Десислава Гуленова</v>
      </c>
      <c r="H5507" s="10"/>
      <c r="I5507" s="10"/>
      <c r="J5507" s="10"/>
      <c r="K5507" s="10"/>
      <c r="L5507" s="10"/>
      <c r="M5507" s="10"/>
      <c r="N5507" s="10"/>
      <c r="O5507" s="10"/>
      <c r="P5507" s="10"/>
      <c r="Q5507" s="10"/>
      <c r="R5507" s="10"/>
      <c r="S5507" s="10"/>
      <c r="T5507" s="10"/>
      <c r="U5507" s="10"/>
      <c r="V5507" s="10"/>
      <c r="W5507" s="10"/>
      <c r="X5507" s="10"/>
      <c r="Y5507" s="10"/>
      <c r="Z5507" s="10"/>
    </row>
    <row r="5508" spans="1:26" ht="12.75">
      <c r="A5508" s="10" t="str">
        <f ca="1">IFERROR(__xludf.DUMMYFUNCTION("""COMPUTED_VALUE"""),"Мария Милчева Гуленова (Дачева, Петкова)")</f>
        <v>Мария Милчева Гуленова (Дачева, Петкова)</v>
      </c>
      <c r="B5508" s="10" t="str">
        <f ca="1">IFERROR(__xludf.DUMMYFUNCTION("""COMPUTED_VALUE"""),"Статия в списания и поредици")</f>
        <v>Статия в списания и поредици</v>
      </c>
      <c r="C5508" s="10" t="str">
        <f ca="1">IFERROR(__xludf.DUMMYFUNCTION("""COMPUTED_VALUE"""),"Комуникационна политика на книжния пазар")</f>
        <v>Комуникационна политика на книжния пазар</v>
      </c>
      <c r="D5508" s="10">
        <f ca="1">IFERROR(__xludf.DUMMYFUNCTION("""COMPUTED_VALUE"""),2003)</f>
        <v>2003</v>
      </c>
      <c r="E5508" s="10" t="str">
        <f ca="1">IFERROR(__xludf.DUMMYFUNCTION("""COMPUTED_VALUE"""),"ТРУДОВЕ на Колежа по библиотекознание и информационни технологии = Proceedings of the College of Library Science and Information Technologies. – София, 2003, с. 191-203. ISBN 1312-4013 (print)")</f>
        <v>ТРУДОВЕ на Колежа по библиотекознание и информационни технологии = Proceedings of the College of Library Science and Information Technologies. – София, 2003, с. 191-203. ISBN 1312-4013 (print)</v>
      </c>
      <c r="F5508" s="10"/>
      <c r="G5508" s="10"/>
      <c r="H5508" s="10"/>
      <c r="I5508" s="10"/>
      <c r="J5508" s="10"/>
      <c r="K5508" s="10"/>
      <c r="L5508" s="10"/>
      <c r="M5508" s="10"/>
      <c r="N5508" s="10"/>
      <c r="O5508" s="10"/>
      <c r="P5508" s="10"/>
      <c r="Q5508" s="10"/>
      <c r="R5508" s="10"/>
      <c r="S5508" s="10"/>
      <c r="T5508" s="10"/>
      <c r="U5508" s="10"/>
      <c r="V5508" s="10"/>
      <c r="W5508" s="10"/>
      <c r="X5508" s="10"/>
      <c r="Y5508" s="10"/>
      <c r="Z5508" s="10"/>
    </row>
    <row r="5509" spans="1:26" ht="12.75">
      <c r="A5509" s="10" t="str">
        <f ca="1">IFERROR(__xludf.DUMMYFUNCTION("""COMPUTED_VALUE"""),"Мария Милчева Гуленова (Дачева, Петкова)")</f>
        <v>Мария Милчева Гуленова (Дачева, Петкова)</v>
      </c>
      <c r="B5509" s="10" t="str">
        <f ca="1">IFERROR(__xludf.DUMMYFUNCTION("""COMPUTED_VALUE"""),"Статия в списания и поредици")</f>
        <v>Статия в списания и поредици</v>
      </c>
      <c r="C5509" s="10" t="str">
        <f ca="1">IFERROR(__xludf.DUMMYFUNCTION("""COMPUTED_VALUE"""),"Цената като инструмент на е-маркетинга на българските издателства")</f>
        <v>Цената като инструмент на е-маркетинга на българските издателства</v>
      </c>
      <c r="D5509" s="10">
        <f ca="1">IFERROR(__xludf.DUMMYFUNCTION("""COMPUTED_VALUE"""),2003)</f>
        <v>2003</v>
      </c>
      <c r="E5509" s="10" t="str">
        <f ca="1">IFERROR(__xludf.DUMMYFUNCTION("""COMPUTED_VALUE"""),"И з д а т е л, 2005, № 7 (2-3), с. 48-52. ISSN 1310-4624")</f>
        <v>И з д а т е л, 2005, № 7 (2-3), с. 48-52. ISSN 1310-4624</v>
      </c>
      <c r="F5509" s="10"/>
      <c r="G5509" s="10"/>
      <c r="H5509" s="10"/>
      <c r="I5509" s="10"/>
      <c r="J5509" s="10"/>
      <c r="K5509" s="10"/>
      <c r="L5509" s="10"/>
      <c r="M5509" s="10"/>
      <c r="N5509" s="10"/>
      <c r="O5509" s="10"/>
      <c r="P5509" s="10"/>
      <c r="Q5509" s="10"/>
      <c r="R5509" s="10"/>
      <c r="S5509" s="10"/>
      <c r="T5509" s="10"/>
      <c r="U5509" s="10"/>
      <c r="V5509" s="10"/>
      <c r="W5509" s="10"/>
      <c r="X5509" s="10"/>
      <c r="Y5509" s="10"/>
      <c r="Z5509" s="10"/>
    </row>
    <row r="5510" spans="1:26" ht="12.75">
      <c r="A5510" s="10" t="str">
        <f ca="1">IFERROR(__xludf.DUMMYFUNCTION("""COMPUTED_VALUE"""),"Мария Милчева Гуленова (Дачева, Петкова)")</f>
        <v>Мария Милчева Гуленова (Дачева, Петкова)</v>
      </c>
      <c r="B5510" s="10" t="str">
        <f ca="1">IFERROR(__xludf.DUMMYFUNCTION("""COMPUTED_VALUE"""),"Статия в списания и поредици")</f>
        <v>Статия в списания и поредици</v>
      </c>
      <c r="C5510" s="10" t="str">
        <f ca="1">IFERROR(__xludf.DUMMYFUNCTION("""COMPUTED_VALUE"""),"""Управление и маркетинг на книгоиздателската дейност"" - сполучлив опит за обединяване на историята и теорията им у нас")</f>
        <v>"Управление и маркетинг на книгоиздателската дейност" - сполучлив опит за обединяване на историята и теорията им у нас</v>
      </c>
      <c r="D5510" s="10">
        <f ca="1">IFERROR(__xludf.DUMMYFUNCTION("""COMPUTED_VALUE"""),2003)</f>
        <v>2003</v>
      </c>
      <c r="E5510" s="10" t="str">
        <f ca="1">IFERROR(__xludf.DUMMYFUNCTION("""COMPUTED_VALUE"""),"И з д а т е л, 2003, № 1-2, с. 36-38. ISSN 1310-4624 (print)")</f>
        <v>И з д а т е л, 2003, № 1-2, с. 36-38. ISSN 1310-4624 (print)</v>
      </c>
      <c r="F5510" s="10"/>
      <c r="G5510" s="10"/>
      <c r="H5510" s="10"/>
      <c r="I5510" s="10"/>
      <c r="J5510" s="10"/>
      <c r="K5510" s="10"/>
      <c r="L5510" s="10"/>
      <c r="M5510" s="10"/>
      <c r="N5510" s="10"/>
      <c r="O5510" s="10"/>
      <c r="P5510" s="10"/>
      <c r="Q5510" s="10"/>
      <c r="R5510" s="10"/>
      <c r="S5510" s="10"/>
      <c r="T5510" s="10"/>
      <c r="U5510" s="10"/>
      <c r="V5510" s="10"/>
      <c r="W5510" s="10"/>
      <c r="X5510" s="10"/>
      <c r="Y5510" s="10"/>
      <c r="Z5510" s="10"/>
    </row>
    <row r="5511" spans="1:26" ht="12.75">
      <c r="A5511" s="10" t="str">
        <f ca="1">IFERROR(__xludf.DUMMYFUNCTION("""COMPUTED_VALUE"""),"Мария Милчева Гуленова (Дачева, Петкова)")</f>
        <v>Мария Милчева Гуленова (Дачева, Петкова)</v>
      </c>
      <c r="B5511" s="10" t="str">
        <f ca="1">IFERROR(__xludf.DUMMYFUNCTION("""COMPUTED_VALUE"""),"Статия в списания и поредици")</f>
        <v>Статия в списания и поредици</v>
      </c>
      <c r="C5511" s="10" t="str">
        <f ca="1">IFERROR(__xludf.DUMMYFUNCTION("""COMPUTED_VALUE"""),"За рекламата от страниците на вестник ""Книжарска дума""")</f>
        <v>За рекламата от страниците на вестник "Книжарска дума"</v>
      </c>
      <c r="D5511" s="10">
        <f ca="1">IFERROR(__xludf.DUMMYFUNCTION("""COMPUTED_VALUE"""),2002)</f>
        <v>2002</v>
      </c>
      <c r="E5511" s="10" t="str">
        <f ca="1">IFERROR(__xludf.DUMMYFUNCTION("""COMPUTED_VALUE"""),"Б и б л и о т е к а, 2002, № 4-5, с. 75-80. ISSN: 0861-847Х")</f>
        <v>Б и б л и о т е к а, 2002, № 4-5, с. 75-80. ISSN: 0861-847Х</v>
      </c>
      <c r="F5511" s="10"/>
      <c r="G5511" s="10" t="str">
        <f ca="1">IFERROR(__xludf.DUMMYFUNCTION("""COMPUTED_VALUE"""),"Десислава Гуленова")</f>
        <v>Десислава Гуленова</v>
      </c>
      <c r="H5511" s="10"/>
      <c r="I5511" s="10"/>
      <c r="J5511" s="10"/>
      <c r="K5511" s="10"/>
      <c r="L5511" s="10"/>
      <c r="M5511" s="10"/>
      <c r="N5511" s="10"/>
      <c r="O5511" s="10"/>
      <c r="P5511" s="10"/>
      <c r="Q5511" s="10"/>
      <c r="R5511" s="10"/>
      <c r="S5511" s="10"/>
      <c r="T5511" s="10"/>
      <c r="U5511" s="10"/>
      <c r="V5511" s="10"/>
      <c r="W5511" s="10"/>
      <c r="X5511" s="10"/>
      <c r="Y5511" s="10"/>
      <c r="Z5511" s="10"/>
    </row>
    <row r="5512" spans="1:26" ht="12.75">
      <c r="A5512" s="10" t="str">
        <f ca="1">IFERROR(__xludf.DUMMYFUNCTION("""COMPUTED_VALUE"""),"Мария Милчева Гуленова (Дачева, Петкова)")</f>
        <v>Мария Милчева Гуленова (Дачева, Петкова)</v>
      </c>
      <c r="B5512" s="10" t="str">
        <f ca="1">IFERROR(__xludf.DUMMYFUNCTION("""COMPUTED_VALUE"""),"Статия в списания и поредици")</f>
        <v>Статия в списания и поредици</v>
      </c>
      <c r="C5512" s="10" t="str">
        <f ca="1">IFERROR(__xludf.DUMMYFUNCTION("""COMPUTED_VALUE"""),"Стандартите в постиндустриалното общество")</f>
        <v>Стандартите в постиндустриалното общество</v>
      </c>
      <c r="D5512" s="10">
        <f ca="1">IFERROR(__xludf.DUMMYFUNCTION("""COMPUTED_VALUE"""),2001)</f>
        <v>2001</v>
      </c>
      <c r="E5512" s="10" t="str">
        <f ca="1">IFERROR(__xludf.DUMMYFUNCTION("""COMPUTED_VALUE"""),"С т а н д а р т и з а ц и я, метрология, сертификация, 2001, № 2, с. 13-14. ISSN 0861-6574")</f>
        <v>С т а н д а р т и з а ц и я, метрология, сертификация, 2001, № 2, с. 13-14. ISSN 0861-6574</v>
      </c>
      <c r="F5512" s="10"/>
      <c r="G5512" s="10" t="str">
        <f ca="1">IFERROR(__xludf.DUMMYFUNCTION("""COMPUTED_VALUE"""),"Десислава Гуленова")</f>
        <v>Десислава Гуленова</v>
      </c>
      <c r="H5512" s="10"/>
      <c r="I5512" s="10"/>
      <c r="J5512" s="10"/>
      <c r="K5512" s="10"/>
      <c r="L5512" s="10"/>
      <c r="M5512" s="10"/>
      <c r="N5512" s="10"/>
      <c r="O5512" s="10"/>
      <c r="P5512" s="10"/>
      <c r="Q5512" s="10"/>
      <c r="R5512" s="10"/>
      <c r="S5512" s="10"/>
      <c r="T5512" s="10"/>
      <c r="U5512" s="10"/>
      <c r="V5512" s="10"/>
      <c r="W5512" s="10"/>
      <c r="X5512" s="10"/>
      <c r="Y5512" s="10"/>
      <c r="Z5512" s="10"/>
    </row>
    <row r="5513" spans="1:26" ht="12.75">
      <c r="A5513" s="10" t="str">
        <f ca="1">IFERROR(__xludf.DUMMYFUNCTION("""COMPUTED_VALUE"""),"Мария Милчева Гуленова (Дачева, Петкова)")</f>
        <v>Мария Милчева Гуленова (Дачева, Петкова)</v>
      </c>
      <c r="B5513" s="10" t="str">
        <f ca="1">IFERROR(__xludf.DUMMYFUNCTION("""COMPUTED_VALUE"""),"Учебник")</f>
        <v>Учебник</v>
      </c>
      <c r="C5513" s="10" t="str">
        <f ca="1">IFERROR(__xludf.DUMMYFUNCTION("""COMPUTED_VALUE"""),"Основи на маркетинга на книгата")</f>
        <v>Основи на маркетинга на книгата</v>
      </c>
      <c r="D5513" s="10">
        <f ca="1">IFERROR(__xludf.DUMMYFUNCTION("""COMPUTED_VALUE"""),2001)</f>
        <v>2001</v>
      </c>
      <c r="E5513" s="10" t="str">
        <f ca="1">IFERROR(__xludf.DUMMYFUNCTION("""COMPUTED_VALUE"""),"София : Филигран, 2001. 392 с. ISBN 954-90579-2-5")</f>
        <v>София : Филигран, 2001. 392 с. ISBN 954-90579-2-5</v>
      </c>
      <c r="F5513" s="10"/>
      <c r="G5513" s="10"/>
      <c r="H5513" s="10"/>
      <c r="I5513" s="10"/>
      <c r="J5513" s="10"/>
      <c r="K5513" s="10"/>
      <c r="L5513" s="10"/>
      <c r="M5513" s="10"/>
      <c r="N5513" s="10"/>
      <c r="O5513" s="10"/>
      <c r="P5513" s="10"/>
      <c r="Q5513" s="10"/>
      <c r="R5513" s="10"/>
      <c r="S5513" s="10"/>
      <c r="T5513" s="10"/>
      <c r="U5513" s="10"/>
      <c r="V5513" s="10"/>
      <c r="W5513" s="10"/>
      <c r="X5513" s="10"/>
      <c r="Y5513" s="10"/>
      <c r="Z5513" s="10"/>
    </row>
    <row r="5514" spans="1:26" ht="12.75">
      <c r="A5514" s="10" t="str">
        <f ca="1">IFERROR(__xludf.DUMMYFUNCTION("""COMPUTED_VALUE"""),"Мария Милчева Гуленова (Дачева, Петкова)")</f>
        <v>Мария Милчева Гуленова (Дачева, Петкова)</v>
      </c>
      <c r="B5514" s="10" t="str">
        <f ca="1">IFERROR(__xludf.DUMMYFUNCTION("""COMPUTED_VALUE"""),"Статия в списания и поредици")</f>
        <v>Статия в списания и поредици</v>
      </c>
      <c r="C5514" s="10" t="str">
        <f ca="1">IFERROR(__xludf.DUMMYFUNCTION("""COMPUTED_VALUE"""),"Стандартизация в електронната търговия")</f>
        <v>Стандартизация в електронната търговия</v>
      </c>
      <c r="D5514" s="10">
        <f ca="1">IFERROR(__xludf.DUMMYFUNCTION("""COMPUTED_VALUE"""),2001)</f>
        <v>2001</v>
      </c>
      <c r="E5514" s="10" t="str">
        <f ca="1">IFERROR(__xludf.DUMMYFUNCTION("""COMPUTED_VALUE"""),"С т а н д а р т и з а ц и я, метрология, сертификация, 2001, № 8, с. 3-8. ISSN 0861-6574")</f>
        <v>С т а н д а р т и з а ц и я, метрология, сертификация, 2001, № 8, с. 3-8. ISSN 0861-6574</v>
      </c>
      <c r="F5514" s="10"/>
      <c r="G5514" s="10"/>
      <c r="H5514" s="10"/>
      <c r="I5514" s="10"/>
      <c r="J5514" s="10"/>
      <c r="K5514" s="10"/>
      <c r="L5514" s="10"/>
      <c r="M5514" s="10"/>
      <c r="N5514" s="10"/>
      <c r="O5514" s="10"/>
      <c r="P5514" s="10"/>
      <c r="Q5514" s="10"/>
      <c r="R5514" s="10"/>
      <c r="S5514" s="10"/>
      <c r="T5514" s="10"/>
      <c r="U5514" s="10"/>
      <c r="V5514" s="10"/>
      <c r="W5514" s="10"/>
      <c r="X5514" s="10"/>
      <c r="Y5514" s="10"/>
      <c r="Z5514" s="10"/>
    </row>
    <row r="5515" spans="1:26" ht="12.75">
      <c r="A5515" s="10" t="str">
        <f ca="1">IFERROR(__xludf.DUMMYFUNCTION("""COMPUTED_VALUE"""),"Мария Милчева Гуленова (Дачева, Петкова)")</f>
        <v>Мария Милчева Гуленова (Дачева, Петкова)</v>
      </c>
      <c r="B5515" s="10" t="str">
        <f ca="1">IFERROR(__xludf.DUMMYFUNCTION("""COMPUTED_VALUE"""),"Статия в списания и поредици")</f>
        <v>Статия в списания и поредици</v>
      </c>
      <c r="C5515" s="10" t="str">
        <f ca="1">IFERROR(__xludf.DUMMYFUNCTION("""COMPUTED_VALUE"""),"Маркетингов инструментариум на организациите по стандартизация")</f>
        <v>Маркетингов инструментариум на организациите по стандартизация</v>
      </c>
      <c r="D5515" s="10">
        <f ca="1">IFERROR(__xludf.DUMMYFUNCTION("""COMPUTED_VALUE"""),2000)</f>
        <v>2000</v>
      </c>
      <c r="E5515" s="10" t="str">
        <f ca="1">IFERROR(__xludf.DUMMYFUNCTION("""COMPUTED_VALUE"""),"С т а н д а р т и з а ц и я, метрология, сертификация, 2000, № 2, с. 13-14. ISSN 0861-6574")</f>
        <v>С т а н д а р т и з а ц и я, метрология, сертификация, 2000, № 2, с. 13-14. ISSN 0861-6574</v>
      </c>
      <c r="F5515" s="10"/>
      <c r="G5515" s="10" t="str">
        <f ca="1">IFERROR(__xludf.DUMMYFUNCTION("""COMPUTED_VALUE"""),"Десислава Гуленова")</f>
        <v>Десислава Гуленова</v>
      </c>
      <c r="H5515" s="10"/>
      <c r="I5515" s="10"/>
      <c r="J5515" s="10"/>
      <c r="K5515" s="10"/>
      <c r="L5515" s="10"/>
      <c r="M5515" s="10"/>
      <c r="N5515" s="10"/>
      <c r="O5515" s="10"/>
      <c r="P5515" s="10"/>
      <c r="Q5515" s="10"/>
      <c r="R5515" s="10"/>
      <c r="S5515" s="10"/>
      <c r="T5515" s="10"/>
      <c r="U5515" s="10"/>
      <c r="V5515" s="10"/>
      <c r="W5515" s="10"/>
      <c r="X5515" s="10"/>
      <c r="Y5515" s="10"/>
      <c r="Z5515" s="10"/>
    </row>
    <row r="5516" spans="1:26" ht="12.75">
      <c r="A5516" s="10" t="str">
        <f ca="1">IFERROR(__xludf.DUMMYFUNCTION("""COMPUTED_VALUE"""),"Мария Милчева Гуленова (Дачева, Петкова)")</f>
        <v>Мария Милчева Гуленова (Дачева, Петкова)</v>
      </c>
      <c r="B5516" s="10" t="str">
        <f ca="1">IFERROR(__xludf.DUMMYFUNCTION("""COMPUTED_VALUE"""),"Доклад от конференция")</f>
        <v>Доклад от конференция</v>
      </c>
      <c r="C5516" s="10" t="str">
        <f ca="1">IFERROR(__xludf.DUMMYFUNCTION("""COMPUTED_VALUE"""),"Совершенствование системы ценообразования на книжную продукцию")</f>
        <v>Совершенствование системы ценообразования на книжную продукцию</v>
      </c>
      <c r="D5516" s="10">
        <f ca="1">IFERROR(__xludf.DUMMYFUNCTION("""COMPUTED_VALUE"""),1990)</f>
        <v>1990</v>
      </c>
      <c r="E5516" s="10" t="str">
        <f ca="1">IFERROR(__xludf.DUMMYFUNCTION("""COMPUTED_VALUE"""),"XII н а у ч н а я конференция болгарских аспирантов в СССР с международным участием, Москва, 1990, 9 с.")</f>
        <v>XII н а у ч н а я конференция болгарских аспирантов в СССР с международным участием, Москва, 1990, 9 с.</v>
      </c>
      <c r="F5516" s="10"/>
      <c r="G5516" s="10"/>
      <c r="H5516" s="10"/>
      <c r="I5516" s="10"/>
      <c r="J5516" s="10"/>
      <c r="K5516" s="10"/>
      <c r="L5516" s="10"/>
      <c r="M5516" s="10"/>
      <c r="N5516" s="10"/>
      <c r="O5516" s="10"/>
      <c r="P5516" s="10"/>
      <c r="Q5516" s="10"/>
      <c r="R5516" s="10"/>
      <c r="S5516" s="10"/>
      <c r="T5516" s="10"/>
      <c r="U5516" s="10"/>
      <c r="V5516" s="10"/>
      <c r="W5516" s="10"/>
      <c r="X5516" s="10"/>
      <c r="Y5516" s="10"/>
      <c r="Z5516" s="10"/>
    </row>
    <row r="5517" spans="1:26" ht="12.75">
      <c r="A5517" s="10" t="str">
        <f ca="1">IFERROR(__xludf.DUMMYFUNCTION("""COMPUTED_VALUE"""),"Мария Милчева Гуленова (Дачева, Петкова)")</f>
        <v>Мария Милчева Гуленова (Дачева, Петкова)</v>
      </c>
      <c r="B5517" s="10" t="str">
        <f ca="1">IFERROR(__xludf.DUMMYFUNCTION("""COMPUTED_VALUE"""),"Доклад от конференция")</f>
        <v>Доклад от конференция</v>
      </c>
      <c r="C5517" s="10" t="str">
        <f ca="1">IFERROR(__xludf.DUMMYFUNCTION("""COMPUTED_VALUE"""),"Оптимизация соотношения спроса и предложения книжной продукции на принципах маркетинга")</f>
        <v>Оптимизация соотношения спроса и предложения книжной продукции на принципах маркетинга</v>
      </c>
      <c r="D5517" s="10">
        <f ca="1">IFERROR(__xludf.DUMMYFUNCTION("""COMPUTED_VALUE"""),1990)</f>
        <v>1990</v>
      </c>
      <c r="E5517" s="10" t="str">
        <f ca="1">IFERROR(__xludf.DUMMYFUNCTION("""COMPUTED_VALUE"""),"60 л е т МПИ [Московского полиграфического института], 1990, с.123-124.")</f>
        <v>60 л е т МПИ [Московского полиграфического института], 1990, с.123-124.</v>
      </c>
      <c r="F5517" s="10"/>
      <c r="G5517" s="10"/>
      <c r="H5517" s="10"/>
      <c r="I5517" s="10"/>
      <c r="J5517" s="10"/>
      <c r="K5517" s="10"/>
      <c r="L5517" s="10"/>
      <c r="M5517" s="10"/>
      <c r="N5517" s="10"/>
      <c r="O5517" s="10"/>
      <c r="P5517" s="10"/>
      <c r="Q5517" s="10"/>
      <c r="R5517" s="10"/>
      <c r="S5517" s="10"/>
      <c r="T5517" s="10"/>
      <c r="U5517" s="10"/>
      <c r="V5517" s="10"/>
      <c r="W5517" s="10"/>
      <c r="X5517" s="10"/>
      <c r="Y5517" s="10"/>
      <c r="Z5517" s="10"/>
    </row>
    <row r="5518" spans="1:26" ht="12.75">
      <c r="A5518" s="10" t="str">
        <f ca="1">IFERROR(__xludf.DUMMYFUNCTION("""COMPUTED_VALUE"""),"Мария Милчева Гуленова (Дачева, Петкова)")</f>
        <v>Мария Милчева Гуленова (Дачева, Петкова)</v>
      </c>
      <c r="B5518" s="10" t="str">
        <f ca="1">IFERROR(__xludf.DUMMYFUNCTION("""COMPUTED_VALUE"""),"Доклад от конференция")</f>
        <v>Доклад от конференция</v>
      </c>
      <c r="C5518" s="10" t="str">
        <f ca="1">IFERROR(__xludf.DUMMYFUNCTION("""COMPUTED_VALUE"""),"Оптимизация соотношения спроса и предложения книжной продукции на принципах маркетинга")</f>
        <v>Оптимизация соотношения спроса и предложения книжной продукции на принципах маркетинга</v>
      </c>
      <c r="D5518" s="10">
        <f ca="1">IFERROR(__xludf.DUMMYFUNCTION("""COMPUTED_VALUE"""),1990)</f>
        <v>1990</v>
      </c>
      <c r="E5518" s="10" t="str">
        <f ca="1">IFERROR(__xludf.DUMMYFUNCTION("""COMPUTED_VALUE"""),"ХХХIV н а у ч н о-техническая конференция профессорско-преподавательского состава, научных сотрудников и аспирантов, посвященной 60-летию МПИ [Московского полиграфического института] , Москва, 1990, 6 с.")</f>
        <v>ХХХIV н а у ч н о-техническая конференция профессорско-преподавательского состава, научных сотрудников и аспирантов, посвященной 60-летию МПИ [Московского полиграфического института] , Москва, 1990, 6 с.</v>
      </c>
      <c r="F5518" s="10"/>
      <c r="G5518" s="10"/>
      <c r="H5518" s="10"/>
      <c r="I5518" s="10"/>
      <c r="J5518" s="10"/>
      <c r="K5518" s="10"/>
      <c r="L5518" s="10"/>
      <c r="M5518" s="10"/>
      <c r="N5518" s="10"/>
      <c r="O5518" s="10"/>
      <c r="P5518" s="10"/>
      <c r="Q5518" s="10"/>
      <c r="R5518" s="10"/>
      <c r="S5518" s="10"/>
      <c r="T5518" s="10"/>
      <c r="U5518" s="10"/>
      <c r="V5518" s="10"/>
      <c r="W5518" s="10"/>
      <c r="X5518" s="10"/>
      <c r="Y5518" s="10"/>
      <c r="Z5518" s="10"/>
    </row>
    <row r="5519" spans="1:26" ht="12.75">
      <c r="A5519" s="10" t="str">
        <f ca="1">IFERROR(__xludf.DUMMYFUNCTION("""COMPUTED_VALUE"""),"Мария Милчева Гуленова (Дачева, Петкова)")</f>
        <v>Мария Милчева Гуленова (Дачева, Петкова)</v>
      </c>
      <c r="B5519" s="10" t="str">
        <f ca="1">IFERROR(__xludf.DUMMYFUNCTION("""COMPUTED_VALUE"""),"Доклад от конференция")</f>
        <v>Доклад от конференция</v>
      </c>
      <c r="C5519" s="10" t="str">
        <f ca="1">IFERROR(__xludf.DUMMYFUNCTION("""COMPUTED_VALUE"""),"Управление спросом книжной продукции на принципах маркетинга")</f>
        <v>Управление спросом книжной продукции на принципах маркетинга</v>
      </c>
      <c r="D5519" s="10">
        <f ca="1">IFERROR(__xludf.DUMMYFUNCTION("""COMPUTED_VALUE"""),1990)</f>
        <v>1990</v>
      </c>
      <c r="E5519" s="10" t="str">
        <f ca="1">IFERROR(__xludf.DUMMYFUNCTION("""COMPUTED_VALUE"""),"II Всесоюзная научно-практическая конференция молодых ученых и специалистов системы Госкомпечати К н и г а, молодежь, перестройка. Телави, Всесоюзный молодежный книжный центр, 1990, с. 30-31.")</f>
        <v>II Всесоюзная научно-практическая конференция молодых ученых и специалистов системы Госкомпечати К н и г а, молодежь, перестройка. Телави, Всесоюзный молодежный книжный центр, 1990, с. 30-31.</v>
      </c>
      <c r="F5519" s="10"/>
      <c r="G5519" s="10"/>
      <c r="H5519" s="10"/>
      <c r="I5519" s="10"/>
      <c r="J5519" s="10"/>
      <c r="K5519" s="10"/>
      <c r="L5519" s="10"/>
      <c r="M5519" s="10"/>
      <c r="N5519" s="10"/>
      <c r="O5519" s="10"/>
      <c r="P5519" s="10"/>
      <c r="Q5519" s="10"/>
      <c r="R5519" s="10"/>
      <c r="S5519" s="10"/>
      <c r="T5519" s="10"/>
      <c r="U5519" s="10"/>
      <c r="V5519" s="10"/>
      <c r="W5519" s="10"/>
      <c r="X5519" s="10"/>
      <c r="Y5519" s="10"/>
      <c r="Z5519" s="10"/>
    </row>
    <row r="5520" spans="1:26" ht="12.75">
      <c r="A5520" s="10" t="str">
        <f ca="1">IFERROR(__xludf.DUMMYFUNCTION("""COMPUTED_VALUE"""),"Мария Милчева Гуленова (Дачева, Петкова)")</f>
        <v>Мария Милчева Гуленова (Дачева, Петкова)</v>
      </c>
      <c r="B5520" s="10" t="str">
        <f ca="1">IFERROR(__xludf.DUMMYFUNCTION("""COMPUTED_VALUE"""),"Доклад от конференция")</f>
        <v>Доклад от конференция</v>
      </c>
      <c r="C5520" s="10" t="str">
        <f ca="1">IFERROR(__xludf.DUMMYFUNCTION("""COMPUTED_VALUE"""),"Управление спросом книжной продукции на принципах маркетинга")</f>
        <v>Управление спросом книжной продукции на принципах маркетинга</v>
      </c>
      <c r="D5520" s="10">
        <f ca="1">IFERROR(__xludf.DUMMYFUNCTION("""COMPUTED_VALUE"""),1990)</f>
        <v>1990</v>
      </c>
      <c r="E5520" s="10" t="str">
        <f ca="1">IFERROR(__xludf.DUMMYFUNCTION("""COMPUTED_VALUE"""),"II В с е с о ю з н а я научно-практическая конференция молодых ученых и специалистов системы Госкомпечати СССР, Телави, 1990, 6 с.")</f>
        <v>II В с е с о ю з н а я научно-практическая конференция молодых ученых и специалистов системы Госкомпечати СССР, Телави, 1990, 6 с.</v>
      </c>
      <c r="F5520" s="10"/>
      <c r="G5520" s="10"/>
      <c r="H5520" s="10"/>
      <c r="I5520" s="10"/>
      <c r="J5520" s="10"/>
      <c r="K5520" s="10"/>
      <c r="L5520" s="10"/>
      <c r="M5520" s="10"/>
      <c r="N5520" s="10"/>
      <c r="O5520" s="10"/>
      <c r="P5520" s="10"/>
      <c r="Q5520" s="10"/>
      <c r="R5520" s="10"/>
      <c r="S5520" s="10"/>
      <c r="T5520" s="10"/>
      <c r="U5520" s="10"/>
      <c r="V5520" s="10"/>
      <c r="W5520" s="10"/>
      <c r="X5520" s="10"/>
      <c r="Y5520" s="10"/>
      <c r="Z5520" s="10"/>
    </row>
    <row r="5521" spans="1:26" ht="12.75">
      <c r="A5521" s="10" t="str">
        <f ca="1">IFERROR(__xludf.DUMMYFUNCTION("""COMPUTED_VALUE"""),"Мария Нейкова Кънева")</f>
        <v>Мария Нейкова Кънева</v>
      </c>
      <c r="B5521" s="10" t="str">
        <f ca="1">IFERROR(__xludf.DUMMYFUNCTION("""COMPUTED_VALUE"""),"Статия в списания и поредици")</f>
        <v>Статия в списания и поредици</v>
      </c>
      <c r="C5521" s="10" t="str">
        <f ca="1">IFERROR(__xludf.DUMMYFUNCTION("""COMPUTED_VALUE"""),"CYBERSECURITY OR THE LACK THEREOF")</f>
        <v>CYBERSECURITY OR THE LACK THEREOF</v>
      </c>
      <c r="D5521" s="10">
        <f ca="1">IFERROR(__xludf.DUMMYFUNCTION("""COMPUTED_VALUE"""),2018)</f>
        <v>2018</v>
      </c>
      <c r="E5521" s="10" t="str">
        <f ca="1">IFERROR(__xludf.DUMMYFUNCTION("""COMPUTED_VALUE"""),"University of economics and innovation in Lublin, Free University of Varna; ISSN:2367-4555")</f>
        <v>University of economics and innovation in Lublin, Free University of Varna; ISSN:2367-4555</v>
      </c>
      <c r="F5521" s="10"/>
      <c r="G5521" s="10"/>
      <c r="H5521" s="10"/>
      <c r="I5521" s="10"/>
      <c r="J5521" s="10"/>
      <c r="K5521" s="10"/>
      <c r="L5521" s="10"/>
      <c r="M5521" s="10"/>
      <c r="N5521" s="10"/>
      <c r="O5521" s="10"/>
      <c r="P5521" s="10"/>
      <c r="Q5521" s="10"/>
      <c r="R5521" s="10"/>
      <c r="S5521" s="10"/>
      <c r="T5521" s="10"/>
      <c r="U5521" s="10"/>
      <c r="V5521" s="10"/>
      <c r="W5521" s="10"/>
      <c r="X5521" s="10"/>
      <c r="Y5521" s="10"/>
      <c r="Z5521" s="10"/>
    </row>
    <row r="5522" spans="1:26" ht="12.75">
      <c r="A5522" s="10" t="str">
        <f ca="1">IFERROR(__xludf.DUMMYFUNCTION("""COMPUTED_VALUE"""),"Мария Нейкова Кънева")</f>
        <v>Мария Нейкова Кънева</v>
      </c>
      <c r="B5522" s="10" t="str">
        <f ca="1">IFERROR(__xludf.DUMMYFUNCTION("""COMPUTED_VALUE"""),"Монография")</f>
        <v>Монография</v>
      </c>
      <c r="C5522" s="10" t="str">
        <f ca="1">IFERROR(__xludf.DUMMYFUNCTION("""COMPUTED_VALUE"""),"Гражданското общество - фактор на сигурността в държвата")</f>
        <v>Гражданското общество - фактор на сигурността в държвата</v>
      </c>
      <c r="D5522" s="10">
        <f ca="1">IFERROR(__xludf.DUMMYFUNCTION("""COMPUTED_VALUE"""),2018)</f>
        <v>2018</v>
      </c>
      <c r="E5522" s="10" t="str">
        <f ca="1">IFERROR(__xludf.DUMMYFUNCTION("""COMPUTED_VALUE"""),"Авангард Прима; ISBN 978-619-239-071-6")</f>
        <v>Авангард Прима; ISBN 978-619-239-071-6</v>
      </c>
      <c r="F5522" s="10"/>
      <c r="G5522" s="10"/>
      <c r="H5522" s="10"/>
      <c r="I5522" s="10"/>
      <c r="J5522" s="10"/>
      <c r="K5522" s="10"/>
      <c r="L5522" s="10"/>
      <c r="M5522" s="10"/>
      <c r="N5522" s="10"/>
      <c r="O5522" s="10"/>
      <c r="P5522" s="10"/>
      <c r="Q5522" s="10"/>
      <c r="R5522" s="10"/>
      <c r="S5522" s="10"/>
      <c r="T5522" s="10"/>
      <c r="U5522" s="10"/>
      <c r="V5522" s="10"/>
      <c r="W5522" s="10"/>
      <c r="X5522" s="10"/>
      <c r="Y5522" s="10"/>
      <c r="Z5522" s="10"/>
    </row>
    <row r="5523" spans="1:26" ht="12.75">
      <c r="A5523" s="10" t="str">
        <f ca="1">IFERROR(__xludf.DUMMYFUNCTION("""COMPUTED_VALUE"""),"Мария Нейкова Кънева")</f>
        <v>Мария Нейкова Кънева</v>
      </c>
      <c r="B5523" s="10" t="str">
        <f ca="1">IFERROR(__xludf.DUMMYFUNCTION("""COMPUTED_VALUE"""),"Статия в списания и поредици")</f>
        <v>Статия в списания и поредици</v>
      </c>
      <c r="C5523" s="10" t="str">
        <f ca="1">IFERROR(__xludf.DUMMYFUNCTION("""COMPUTED_VALUE"""),"DIGITALIZATION OF REGISTERS IN THE PUBLIC ADMINISTRATION - KEY ELEMENT OF ELECTRONIC GOVERNANCE")</f>
        <v>DIGITALIZATION OF REGISTERS IN THE PUBLIC ADMINISTRATION - KEY ELEMENT OF ELECTRONIC GOVERNANCE</v>
      </c>
      <c r="D5523" s="10">
        <f ca="1">IFERROR(__xludf.DUMMYFUNCTION("""COMPUTED_VALUE"""),2018)</f>
        <v>2018</v>
      </c>
      <c r="E5523" s="10" t="str">
        <f ca="1">IFERROR(__xludf.DUMMYFUNCTION("""COMPUTED_VALUE"""),"University of economics and innovation in Lublin, Free University of Varna; ISSN:2367-4555")</f>
        <v>University of economics and innovation in Lublin, Free University of Varna; ISSN:2367-4555</v>
      </c>
      <c r="F5523" s="10"/>
      <c r="G5523" s="10"/>
      <c r="H5523" s="10"/>
      <c r="I5523" s="10"/>
      <c r="J5523" s="10"/>
      <c r="K5523" s="10"/>
      <c r="L5523" s="10"/>
      <c r="M5523" s="10"/>
      <c r="N5523" s="10"/>
      <c r="O5523" s="10"/>
      <c r="P5523" s="10"/>
      <c r="Q5523" s="10"/>
      <c r="R5523" s="10"/>
      <c r="S5523" s="10"/>
      <c r="T5523" s="10"/>
      <c r="U5523" s="10"/>
      <c r="V5523" s="10"/>
      <c r="W5523" s="10"/>
      <c r="X5523" s="10"/>
      <c r="Y5523" s="10"/>
      <c r="Z5523" s="10"/>
    </row>
    <row r="5524" spans="1:26" ht="12.75">
      <c r="A5524" s="10" t="str">
        <f ca="1">IFERROR(__xludf.DUMMYFUNCTION("""COMPUTED_VALUE"""),"Мария Нейкова Кънева")</f>
        <v>Мария Нейкова Кънева</v>
      </c>
      <c r="B5524" s="10" t="str">
        <f ca="1">IFERROR(__xludf.DUMMYFUNCTION("""COMPUTED_VALUE"""),"Студия")</f>
        <v>Студия</v>
      </c>
      <c r="C5524" s="10" t="str">
        <f ca="1">IFERROR(__xludf.DUMMYFUNCTION("""COMPUTED_VALUE"""),"Районите за планиране в България или необходимостта от ново административно- териториално устройство")</f>
        <v>Районите за планиране в България или необходимостта от ново административно- териториално устройство</v>
      </c>
      <c r="D5524" s="10">
        <f ca="1">IFERROR(__xludf.DUMMYFUNCTION("""COMPUTED_VALUE"""),2018)</f>
        <v>2018</v>
      </c>
      <c r="E5524" s="10" t="str">
        <f ca="1">IFERROR(__xludf.DUMMYFUNCTION("""COMPUTED_VALUE"""),"Юридически сборник БСУ; ISSN: 1311-3771")</f>
        <v>Юридически сборник БСУ; ISSN: 1311-3771</v>
      </c>
      <c r="F5524" s="10"/>
      <c r="G5524" s="10"/>
      <c r="H5524" s="10"/>
      <c r="I5524" s="10"/>
      <c r="J5524" s="10"/>
      <c r="K5524" s="10"/>
      <c r="L5524" s="10"/>
      <c r="M5524" s="10"/>
      <c r="N5524" s="10"/>
      <c r="O5524" s="10"/>
      <c r="P5524" s="10"/>
      <c r="Q5524" s="10"/>
      <c r="R5524" s="10"/>
      <c r="S5524" s="10"/>
      <c r="T5524" s="10"/>
      <c r="U5524" s="10"/>
      <c r="V5524" s="10"/>
      <c r="W5524" s="10"/>
      <c r="X5524" s="10"/>
      <c r="Y5524" s="10"/>
      <c r="Z5524" s="10"/>
    </row>
    <row r="5525" spans="1:26" ht="12.75">
      <c r="A5525" s="10" t="str">
        <f ca="1">IFERROR(__xludf.DUMMYFUNCTION("""COMPUTED_VALUE"""),"Мария Нейкова Кънева")</f>
        <v>Мария Нейкова Кънева</v>
      </c>
      <c r="B5525" s="10" t="str">
        <f ca="1">IFERROR(__xludf.DUMMYFUNCTION("""COMPUTED_VALUE"""),"Доклад от конференция")</f>
        <v>Доклад от конференция</v>
      </c>
      <c r="C5525" s="10" t="str">
        <f ca="1">IFERROR(__xludf.DUMMYFUNCTION("""COMPUTED_VALUE"""),"Служебният обмен на данни - водещ принцип в комплексното административно обслужване")</f>
        <v>Служебният обмен на данни - водещ принцип в комплексното административно обслужване</v>
      </c>
      <c r="D5525" s="10">
        <f ca="1">IFERROR(__xludf.DUMMYFUNCTION("""COMPUTED_VALUE"""),2018)</f>
        <v>2018</v>
      </c>
      <c r="E5525" s="10" t="str">
        <f ca="1">IFERROR(__xludf.DUMMYFUNCTION("""COMPUTED_VALUE"""),"Научна конференция - ""Икономически университет"" Варна")</f>
        <v>Научна конференция - "Икономически университет" Варна</v>
      </c>
      <c r="F5525" s="10"/>
      <c r="G5525" s="10"/>
      <c r="H5525" s="10"/>
      <c r="I5525" s="10"/>
      <c r="J5525" s="10"/>
      <c r="K5525" s="10"/>
      <c r="L5525" s="10"/>
      <c r="M5525" s="10"/>
      <c r="N5525" s="10"/>
      <c r="O5525" s="10"/>
      <c r="P5525" s="10"/>
      <c r="Q5525" s="10"/>
      <c r="R5525" s="10"/>
      <c r="S5525" s="10"/>
      <c r="T5525" s="10"/>
      <c r="U5525" s="10"/>
      <c r="V5525" s="10"/>
      <c r="W5525" s="10"/>
      <c r="X5525" s="10"/>
      <c r="Y5525" s="10"/>
      <c r="Z5525" s="10"/>
    </row>
    <row r="5526" spans="1:26" ht="12.75">
      <c r="A5526" s="10" t="str">
        <f ca="1">IFERROR(__xludf.DUMMYFUNCTION("""COMPUTED_VALUE"""),"Мария Нейкова Кънева")</f>
        <v>Мария Нейкова Кънева</v>
      </c>
      <c r="B5526" s="10" t="str">
        <f ca="1">IFERROR(__xludf.DUMMYFUNCTION("""COMPUTED_VALUE"""),"Учебник")</f>
        <v>Учебник</v>
      </c>
      <c r="C5526" s="10" t="str">
        <f ca="1">IFERROR(__xludf.DUMMYFUNCTION("""COMPUTED_VALUE"""),"Административно обслужване")</f>
        <v>Административно обслужване</v>
      </c>
      <c r="D5526" s="10">
        <f ca="1">IFERROR(__xludf.DUMMYFUNCTION("""COMPUTED_VALUE"""),2018)</f>
        <v>2018</v>
      </c>
      <c r="E5526" s="10" t="str">
        <f ca="1">IFERROR(__xludf.DUMMYFUNCTION("""COMPUTED_VALUE"""),"Авангард Прима, София; ISBN 978-619-160-945-1")</f>
        <v>Авангард Прима, София; ISBN 978-619-160-945-1</v>
      </c>
      <c r="F5526" s="10"/>
      <c r="G5526" s="10" t="str">
        <f ca="1">IFERROR(__xludf.DUMMYFUNCTION("""COMPUTED_VALUE"""),"Алеко Джилджов")</f>
        <v>Алеко Джилджов</v>
      </c>
      <c r="H5526" s="10"/>
      <c r="I5526" s="10"/>
      <c r="J5526" s="10"/>
      <c r="K5526" s="10"/>
      <c r="L5526" s="10"/>
      <c r="M5526" s="10"/>
      <c r="N5526" s="10"/>
      <c r="O5526" s="10"/>
      <c r="P5526" s="10"/>
      <c r="Q5526" s="10"/>
      <c r="R5526" s="10"/>
      <c r="S5526" s="10"/>
      <c r="T5526" s="10"/>
      <c r="U5526" s="10"/>
      <c r="V5526" s="10"/>
      <c r="W5526" s="10"/>
      <c r="X5526" s="10"/>
      <c r="Y5526" s="10"/>
      <c r="Z5526" s="10"/>
    </row>
    <row r="5527" spans="1:26" ht="12.75">
      <c r="A5527" s="10" t="str">
        <f ca="1">IFERROR(__xludf.DUMMYFUNCTION("""COMPUTED_VALUE"""),"Мария Нейкова Кънева")</f>
        <v>Мария Нейкова Кънева</v>
      </c>
      <c r="B5527" s="10" t="str">
        <f ca="1">IFERROR(__xludf.DUMMYFUNCTION("""COMPUTED_VALUE"""),"Статия в списания и поредици")</f>
        <v>Статия в списания и поредици</v>
      </c>
      <c r="C5527" s="10" t="str">
        <f ca="1">IFERROR(__xludf.DUMMYFUNCTION("""COMPUTED_VALUE"""),"ANALYSIS OF THE REGULATORY FRAMEWORK GOVERNING THE ADMINISTRATIVE SERVICE")</f>
        <v>ANALYSIS OF THE REGULATORY FRAMEWORK GOVERNING THE ADMINISTRATIVE SERVICE</v>
      </c>
      <c r="D5527" s="10">
        <f ca="1">IFERROR(__xludf.DUMMYFUNCTION("""COMPUTED_VALUE"""),2018)</f>
        <v>2018</v>
      </c>
      <c r="E5527" s="10" t="str">
        <f ca="1">IFERROR(__xludf.DUMMYFUNCTION("""COMPUTED_VALUE"""),"World Science; ISSN: 2413-1032")</f>
        <v>World Science; ISSN: 2413-1032</v>
      </c>
      <c r="F5527" s="10"/>
      <c r="G5527" s="10"/>
      <c r="H5527" s="10"/>
      <c r="I5527" s="10"/>
      <c r="J5527" s="10"/>
      <c r="K5527" s="10"/>
      <c r="L5527" s="10"/>
      <c r="M5527" s="10"/>
      <c r="N5527" s="10"/>
      <c r="O5527" s="10"/>
      <c r="P5527" s="10"/>
      <c r="Q5527" s="10"/>
      <c r="R5527" s="10"/>
      <c r="S5527" s="10"/>
      <c r="T5527" s="10"/>
      <c r="U5527" s="10"/>
      <c r="V5527" s="10"/>
      <c r="W5527" s="10"/>
      <c r="X5527" s="10"/>
      <c r="Y5527" s="10"/>
      <c r="Z5527" s="10"/>
    </row>
    <row r="5528" spans="1:26" ht="12.75">
      <c r="A5528" s="10" t="str">
        <f ca="1">IFERROR(__xludf.DUMMYFUNCTION("""COMPUTED_VALUE"""),"Мария Нейкова Кънева")</f>
        <v>Мария Нейкова Кънева</v>
      </c>
      <c r="B5528" s="10" t="str">
        <f ca="1">IFERROR(__xludf.DUMMYFUNCTION("""COMPUTED_VALUE"""),"Доклад от конференция")</f>
        <v>Доклад от конференция</v>
      </c>
      <c r="C5528" s="10" t="str">
        <f ca="1">IFERROR(__xludf.DUMMYFUNCTION("""COMPUTED_VALUE"""),"Управлението при кризи на местно ниво")</f>
        <v>Управлението при кризи на местно ниво</v>
      </c>
      <c r="D5528" s="10">
        <f ca="1">IFERROR(__xludf.DUMMYFUNCTION("""COMPUTED_VALUE"""),2018)</f>
        <v>2018</v>
      </c>
      <c r="E5528" s="10" t="str">
        <f ca="1">IFERROR(__xludf.DUMMYFUNCTION("""COMPUTED_VALUE"""),"Униврситетска конференция, НВУ, Велико Търново, ISSN: 2367-7481")</f>
        <v>Униврситетска конференция, НВУ, Велико Търново, ISSN: 2367-7481</v>
      </c>
      <c r="F5528" s="10"/>
      <c r="G5528" s="10"/>
      <c r="H5528" s="10"/>
      <c r="I5528" s="10"/>
      <c r="J5528" s="10"/>
      <c r="K5528" s="10"/>
      <c r="L5528" s="10"/>
      <c r="M5528" s="10"/>
      <c r="N5528" s="10"/>
      <c r="O5528" s="10"/>
      <c r="P5528" s="10"/>
      <c r="Q5528" s="10"/>
      <c r="R5528" s="10"/>
      <c r="S5528" s="10"/>
      <c r="T5528" s="10"/>
      <c r="U5528" s="10"/>
      <c r="V5528" s="10"/>
      <c r="W5528" s="10"/>
      <c r="X5528" s="10"/>
      <c r="Y5528" s="10"/>
      <c r="Z5528" s="10"/>
    </row>
    <row r="5529" spans="1:26" ht="12.75">
      <c r="A5529" s="10" t="str">
        <f ca="1">IFERROR(__xludf.DUMMYFUNCTION("""COMPUTED_VALUE"""),"Мария Нейкова Кънева")</f>
        <v>Мария Нейкова Кънева</v>
      </c>
      <c r="B5529" s="10" t="str">
        <f ca="1">IFERROR(__xludf.DUMMYFUNCTION("""COMPUTED_VALUE"""),"Статия в списания и поредици")</f>
        <v>Статия в списания и поредици</v>
      </c>
      <c r="C5529" s="10" t="str">
        <f ca="1">IFERROR(__xludf.DUMMYFUNCTION("""COMPUTED_VALUE"""),"CONTEMPORARY ASPECTS OF THE PROTECTION OF PUBLIC ORDER IN BULGARIA")</f>
        <v>CONTEMPORARY ASPECTS OF THE PROTECTION OF PUBLIC ORDER IN BULGARIA</v>
      </c>
      <c r="D5529" s="10">
        <f ca="1">IFERROR(__xludf.DUMMYFUNCTION("""COMPUTED_VALUE"""),2018)</f>
        <v>2018</v>
      </c>
      <c r="E5529" s="10" t="str">
        <f ca="1">IFERROR(__xludf.DUMMYFUNCTION("""COMPUTED_VALUE"""),"Science Review; ISSN: 2544-9346")</f>
        <v>Science Review; ISSN: 2544-9346</v>
      </c>
      <c r="F5529" s="10" t="str">
        <f ca="1">IFERROR(__xludf.DUMMYFUNCTION("""COMPUTED_VALUE"""),"SCOPUS")</f>
        <v>SCOPUS</v>
      </c>
      <c r="G5529" s="10"/>
      <c r="H5529" s="10"/>
      <c r="I5529" s="10"/>
      <c r="J5529" s="10"/>
      <c r="K5529" s="10"/>
      <c r="L5529" s="10"/>
      <c r="M5529" s="10"/>
      <c r="N5529" s="10"/>
      <c r="O5529" s="10"/>
      <c r="P5529" s="10"/>
      <c r="Q5529" s="10"/>
      <c r="R5529" s="10"/>
      <c r="S5529" s="10"/>
      <c r="T5529" s="10"/>
      <c r="U5529" s="10"/>
      <c r="V5529" s="10"/>
      <c r="W5529" s="10"/>
      <c r="X5529" s="10"/>
      <c r="Y5529" s="10"/>
      <c r="Z5529" s="10"/>
    </row>
    <row r="5530" spans="1:26" ht="12.75">
      <c r="A5530" s="10" t="str">
        <f ca="1">IFERROR(__xludf.DUMMYFUNCTION("""COMPUTED_VALUE"""),"Мария Нейкова Кънева")</f>
        <v>Мария Нейкова Кънева</v>
      </c>
      <c r="B5530" s="10" t="str">
        <f ca="1">IFERROR(__xludf.DUMMYFUNCTION("""COMPUTED_VALUE"""),"Монография")</f>
        <v>Монография</v>
      </c>
      <c r="C5530" s="10" t="str">
        <f ca="1">IFERROR(__xludf.DUMMYFUNCTION("""COMPUTED_VALUE"""),"Административноправни аспекти на опазването на недвижимото културно- историческо наследство")</f>
        <v>Административноправни аспекти на опазването на недвижимото културно- историческо наследство</v>
      </c>
      <c r="D5530" s="10">
        <f ca="1">IFERROR(__xludf.DUMMYFUNCTION("""COMPUTED_VALUE"""),2018)</f>
        <v>2018</v>
      </c>
      <c r="E5530" s="10" t="str">
        <f ca="1">IFERROR(__xludf.DUMMYFUNCTION("""COMPUTED_VALUE"""),"Издателство""АвангардПрима""; ISBN: 978-619-239-029-7")</f>
        <v>Издателство"АвангардПрима"; ISBN: 978-619-239-029-7</v>
      </c>
      <c r="F5530" s="10"/>
      <c r="G5530" s="10"/>
      <c r="H5530" s="10"/>
      <c r="I5530" s="10"/>
      <c r="J5530" s="10"/>
      <c r="K5530" s="10"/>
      <c r="L5530" s="10"/>
      <c r="M5530" s="10"/>
      <c r="N5530" s="10"/>
      <c r="O5530" s="10"/>
      <c r="P5530" s="10"/>
      <c r="Q5530" s="10"/>
      <c r="R5530" s="10"/>
      <c r="S5530" s="10"/>
      <c r="T5530" s="10"/>
      <c r="U5530" s="10"/>
      <c r="V5530" s="10"/>
      <c r="W5530" s="10"/>
      <c r="X5530" s="10"/>
      <c r="Y5530" s="10"/>
      <c r="Z5530" s="10"/>
    </row>
    <row r="5531" spans="1:26" ht="12.75">
      <c r="A5531" s="10" t="str">
        <f ca="1">IFERROR(__xludf.DUMMYFUNCTION("""COMPUTED_VALUE"""),"Мария Нейкова Кънева")</f>
        <v>Мария Нейкова Кънева</v>
      </c>
      <c r="B5531" s="10" t="str">
        <f ca="1">IFERROR(__xludf.DUMMYFUNCTION("""COMPUTED_VALUE"""),"Статия в списания и поредици")</f>
        <v>Статия в списания и поредици</v>
      </c>
      <c r="C5531" s="10" t="str">
        <f ca="1">IFERROR(__xludf.DUMMYFUNCTION("""COMPUTED_VALUE"""),"Change in the administrative procedure code and principles of the complex administrative servicing")</f>
        <v>Change in the administrative procedure code and principles of the complex administrative servicing</v>
      </c>
      <c r="D5531" s="10">
        <f ca="1">IFERROR(__xludf.DUMMYFUNCTION("""COMPUTED_VALUE"""),2017)</f>
        <v>2017</v>
      </c>
      <c r="E5531" s="10" t="str">
        <f ca="1">IFERROR(__xludf.DUMMYFUNCTION("""COMPUTED_VALUE"""),"International Scientific Journal ""Globalization, the State and the Individual"", Lublin-Varna; ISSN: 2367-4555")</f>
        <v>International Scientific Journal "Globalization, the State and the Individual", Lublin-Varna; ISSN: 2367-4555</v>
      </c>
      <c r="F5531" s="10"/>
      <c r="G5531" s="10"/>
      <c r="H5531" s="10"/>
      <c r="I5531" s="10"/>
      <c r="J5531" s="10"/>
      <c r="K5531" s="10"/>
      <c r="L5531" s="10"/>
      <c r="M5531" s="10"/>
      <c r="N5531" s="10"/>
      <c r="O5531" s="10"/>
      <c r="P5531" s="10"/>
      <c r="Q5531" s="10"/>
      <c r="R5531" s="10"/>
      <c r="S5531" s="10"/>
      <c r="T5531" s="10"/>
      <c r="U5531" s="10"/>
      <c r="V5531" s="10"/>
      <c r="W5531" s="10"/>
      <c r="X5531" s="10"/>
      <c r="Y5531" s="10"/>
      <c r="Z5531" s="10"/>
    </row>
    <row r="5532" spans="1:26" ht="12.75">
      <c r="A5532" s="10" t="str">
        <f ca="1">IFERROR(__xludf.DUMMYFUNCTION("""COMPUTED_VALUE"""),"Мария Нейкова Кънева")</f>
        <v>Мария Нейкова Кънева</v>
      </c>
      <c r="B5532" s="10" t="str">
        <f ca="1">IFERROR(__xludf.DUMMYFUNCTION("""COMPUTED_VALUE"""),"Доклад от конференция")</f>
        <v>Доклад от конференция</v>
      </c>
      <c r="C5532" s="10" t="str">
        <f ca="1">IFERROR(__xludf.DUMMYFUNCTION("""COMPUTED_VALUE"""),"Правната уредба на трудовите и служебни птавоотношения в сс на РБългария, като условие за надеждното му функциониране и фактор за ефективността му, 50%")</f>
        <v>Правната уредба на трудовите и служебни птавоотношения в сс на РБългария, като условие за надеждното му функциониране и фактор за ефективността му, 50%</v>
      </c>
      <c r="D5532" s="10">
        <f ca="1">IFERROR(__xludf.DUMMYFUNCTION("""COMPUTED_VALUE"""),2017)</f>
        <v>2017</v>
      </c>
      <c r="E5532" s="10" t="str">
        <f ca="1">IFERROR(__xludf.DUMMYFUNCTION("""COMPUTED_VALUE"""),"МК, БАН-УНИБИТ; ISSN: 1314-7099")</f>
        <v>МК, БАН-УНИБИТ; ISSN: 1314-7099</v>
      </c>
      <c r="F5532" s="10"/>
      <c r="G5532" s="10" t="str">
        <f ca="1">IFERROR(__xludf.DUMMYFUNCTION("""COMPUTED_VALUE"""),"Станимира Чубатарова")</f>
        <v>Станимира Чубатарова</v>
      </c>
      <c r="H5532" s="10"/>
      <c r="I5532" s="10"/>
      <c r="J5532" s="10"/>
      <c r="K5532" s="10"/>
      <c r="L5532" s="10"/>
      <c r="M5532" s="10"/>
      <c r="N5532" s="10"/>
      <c r="O5532" s="10"/>
      <c r="P5532" s="10"/>
      <c r="Q5532" s="10"/>
      <c r="R5532" s="10"/>
      <c r="S5532" s="10"/>
      <c r="T5532" s="10"/>
      <c r="U5532" s="10"/>
      <c r="V5532" s="10"/>
      <c r="W5532" s="10"/>
      <c r="X5532" s="10"/>
      <c r="Y5532" s="10"/>
      <c r="Z5532" s="10"/>
    </row>
    <row r="5533" spans="1:26" ht="12.75">
      <c r="A5533" s="10" t="str">
        <f ca="1">IFERROR(__xludf.DUMMYFUNCTION("""COMPUTED_VALUE"""),"Мария Нейкова Кънева")</f>
        <v>Мария Нейкова Кънева</v>
      </c>
      <c r="B5533" s="10" t="str">
        <f ca="1">IFERROR(__xludf.DUMMYFUNCTION("""COMPUTED_VALUE"""),"Статия в списания и поредици")</f>
        <v>Статия в списания и поредици</v>
      </c>
      <c r="C5533" s="10" t="str">
        <f ca="1">IFERROR(__xludf.DUMMYFUNCTION("""COMPUTED_VALUE"""),"Is Bulgarian's legislation up to the mark to the contemporary security environment")</f>
        <v>Is Bulgarian's legislation up to the mark to the contemporary security environment</v>
      </c>
      <c r="D5533" s="10">
        <f ca="1">IFERROR(__xludf.DUMMYFUNCTION("""COMPUTED_VALUE"""),2017)</f>
        <v>2017</v>
      </c>
      <c r="E5533" s="10" t="str">
        <f ca="1">IFERROR(__xludf.DUMMYFUNCTION("""COMPUTED_VALUE"""),"International Scientific Journal ""Globalization, the State and the Individual"", Lublin-Varna; ISSN: 2367-4555")</f>
        <v>International Scientific Journal "Globalization, the State and the Individual", Lublin-Varna; ISSN: 2367-4555</v>
      </c>
      <c r="F5533" s="10"/>
      <c r="G5533" s="10"/>
      <c r="H5533" s="10"/>
      <c r="I5533" s="10"/>
      <c r="J5533" s="10"/>
      <c r="K5533" s="10"/>
      <c r="L5533" s="10"/>
      <c r="M5533" s="10"/>
      <c r="N5533" s="10"/>
      <c r="O5533" s="10"/>
      <c r="P5533" s="10"/>
      <c r="Q5533" s="10"/>
      <c r="R5533" s="10"/>
      <c r="S5533" s="10"/>
      <c r="T5533" s="10"/>
      <c r="U5533" s="10"/>
      <c r="V5533" s="10"/>
      <c r="W5533" s="10"/>
      <c r="X5533" s="10"/>
      <c r="Y5533" s="10"/>
      <c r="Z5533" s="10"/>
    </row>
    <row r="5534" spans="1:26" ht="12.75">
      <c r="A5534" s="10" t="str">
        <f ca="1">IFERROR(__xludf.DUMMYFUNCTION("""COMPUTED_VALUE"""),"Мария Нейкова Кънева")</f>
        <v>Мария Нейкова Кънева</v>
      </c>
      <c r="B5534" s="10" t="str">
        <f ca="1">IFERROR(__xludf.DUMMYFUNCTION("""COMPUTED_VALUE"""),"Статия в списания и поредици")</f>
        <v>Статия в списания и поредици</v>
      </c>
      <c r="C5534" s="10" t="str">
        <f ca="1">IFERROR(__xludf.DUMMYFUNCTION("""COMPUTED_VALUE"""),"Демографският проблем – заплаха за националната сигурност")</f>
        <v>Демографският проблем – заплаха за националната сигурност</v>
      </c>
      <c r="D5534" s="10">
        <f ca="1">IFERROR(__xludf.DUMMYFUNCTION("""COMPUTED_VALUE"""),2017)</f>
        <v>2017</v>
      </c>
      <c r="E5534" s="10" t="str">
        <f ca="1">IFERROR(__xludf.DUMMYFUNCTION("""COMPUTED_VALUE"""),"Годишник на БСУ за 2017; ISSN: 1311-221-X")</f>
        <v>Годишник на БСУ за 2017; ISSN: 1311-221-X</v>
      </c>
      <c r="F5534" s="10"/>
      <c r="G5534" s="10" t="str">
        <f ca="1">IFERROR(__xludf.DUMMYFUNCTION("""COMPUTED_VALUE"""),"Ивелина Проданова")</f>
        <v>Ивелина Проданова</v>
      </c>
      <c r="H5534" s="10"/>
      <c r="I5534" s="10"/>
      <c r="J5534" s="10"/>
      <c r="K5534" s="10"/>
      <c r="L5534" s="10"/>
      <c r="M5534" s="10"/>
      <c r="N5534" s="10"/>
      <c r="O5534" s="10"/>
      <c r="P5534" s="10"/>
      <c r="Q5534" s="10"/>
      <c r="R5534" s="10"/>
      <c r="S5534" s="10"/>
      <c r="T5534" s="10"/>
      <c r="U5534" s="10"/>
      <c r="V5534" s="10"/>
      <c r="W5534" s="10"/>
      <c r="X5534" s="10"/>
      <c r="Y5534" s="10"/>
      <c r="Z5534" s="10"/>
    </row>
    <row r="5535" spans="1:26" ht="12.75">
      <c r="A5535" s="10" t="str">
        <f ca="1">IFERROR(__xludf.DUMMYFUNCTION("""COMPUTED_VALUE"""),"Мария Нейкова Кънева")</f>
        <v>Мария Нейкова Кънева</v>
      </c>
      <c r="B5535" s="10" t="str">
        <f ca="1">IFERROR(__xludf.DUMMYFUNCTION("""COMPUTED_VALUE"""),"Статия в списания и поредици")</f>
        <v>Статия в списания и поредици</v>
      </c>
      <c r="C5535" s="10" t="str">
        <f ca="1">IFERROR(__xludf.DUMMYFUNCTION("""COMPUTED_VALUE"""),"Понятието „национална сигурност“ – съвременни аспекти")</f>
        <v>Понятието „национална сигурност“ – съвременни аспекти</v>
      </c>
      <c r="D5535" s="10">
        <f ca="1">IFERROR(__xludf.DUMMYFUNCTION("""COMPUTED_VALUE"""),2017)</f>
        <v>2017</v>
      </c>
      <c r="E5535" s="10" t="str">
        <f ca="1">IFERROR(__xludf.DUMMYFUNCTION("""COMPUTED_VALUE"""),"Годишник на БСУ за 2017; ISSN: 1311-221-X")</f>
        <v>Годишник на БСУ за 2017; ISSN: 1311-221-X</v>
      </c>
      <c r="F5535" s="10"/>
      <c r="G5535" s="10"/>
      <c r="H5535" s="10"/>
      <c r="I5535" s="10"/>
      <c r="J5535" s="10"/>
      <c r="K5535" s="10"/>
      <c r="L5535" s="10"/>
      <c r="M5535" s="10"/>
      <c r="N5535" s="10"/>
      <c r="O5535" s="10"/>
      <c r="P5535" s="10"/>
      <c r="Q5535" s="10"/>
      <c r="R5535" s="10"/>
      <c r="S5535" s="10"/>
      <c r="T5535" s="10"/>
      <c r="U5535" s="10"/>
      <c r="V5535" s="10"/>
      <c r="W5535" s="10"/>
      <c r="X5535" s="10"/>
      <c r="Y5535" s="10"/>
      <c r="Z5535" s="10"/>
    </row>
    <row r="5536" spans="1:26" ht="12.75">
      <c r="A5536" s="10" t="str">
        <f ca="1">IFERROR(__xludf.DUMMYFUNCTION("""COMPUTED_VALUE"""),"Мария Нейкова Кънева")</f>
        <v>Мария Нейкова Кънева</v>
      </c>
      <c r="B5536" s="10" t="str">
        <f ca="1">IFERROR(__xludf.DUMMYFUNCTION("""COMPUTED_VALUE"""),"Доклад от конференция")</f>
        <v>Доклад от конференция</v>
      </c>
      <c r="C5536" s="10" t="str">
        <f ca="1">IFERROR(__xludf.DUMMYFUNCTION("""COMPUTED_VALUE"""),"Мобилно здравеопазване- предизвикателства пред националната правна система")</f>
        <v>Мобилно здравеопазване- предизвикателства пред националната правна система</v>
      </c>
      <c r="D5536" s="10">
        <f ca="1">IFERROR(__xludf.DUMMYFUNCTION("""COMPUTED_VALUE"""),2016)</f>
        <v>2016</v>
      </c>
      <c r="E5536" s="10" t="str">
        <f ca="1">IFERROR(__xludf.DUMMYFUNCTION("""COMPUTED_VALUE"""),"МК, ВСУ; ISSN:1313-2363")</f>
        <v>МК, ВСУ; ISSN:1313-2363</v>
      </c>
      <c r="F5536" s="10"/>
      <c r="G5536" s="10" t="str">
        <f ca="1">IFERROR(__xludf.DUMMYFUNCTION("""COMPUTED_VALUE"""),"Мариела Деливерска")</f>
        <v>Мариела Деливерска</v>
      </c>
      <c r="H5536" s="10"/>
      <c r="I5536" s="10"/>
      <c r="J5536" s="10"/>
      <c r="K5536" s="10"/>
      <c r="L5536" s="10"/>
      <c r="M5536" s="10"/>
      <c r="N5536" s="10"/>
      <c r="O5536" s="10"/>
      <c r="P5536" s="10"/>
      <c r="Q5536" s="10"/>
      <c r="R5536" s="10"/>
      <c r="S5536" s="10"/>
      <c r="T5536" s="10"/>
      <c r="U5536" s="10"/>
      <c r="V5536" s="10"/>
      <c r="W5536" s="10"/>
      <c r="X5536" s="10"/>
      <c r="Y5536" s="10"/>
      <c r="Z5536" s="10"/>
    </row>
    <row r="5537" spans="1:26" ht="12.75">
      <c r="A5537" s="10" t="str">
        <f ca="1">IFERROR(__xludf.DUMMYFUNCTION("""COMPUTED_VALUE"""),"Мария Нейкова Кънева")</f>
        <v>Мария Нейкова Кънева</v>
      </c>
      <c r="B5537" s="10" t="str">
        <f ca="1">IFERROR(__xludf.DUMMYFUNCTION("""COMPUTED_VALUE"""),"Доклад от конференция")</f>
        <v>Доклад от конференция</v>
      </c>
      <c r="C5537" s="10" t="str">
        <f ca="1">IFERROR(__xludf.DUMMYFUNCTION("""COMPUTED_VALUE"""),"Правни аспекти на мобилното здравеопазване в съавторство")</f>
        <v>Правни аспекти на мобилното здравеопазване в съавторство</v>
      </c>
      <c r="D5537" s="10">
        <f ca="1">IFERROR(__xludf.DUMMYFUNCTION("""COMPUTED_VALUE"""),2016)</f>
        <v>2016</v>
      </c>
      <c r="E5537" s="10" t="str">
        <f ca="1">IFERROR(__xludf.DUMMYFUNCTION("""COMPUTED_VALUE"""),"межд. конференция, организирана от ЦЮН, БСУ; ISSN: 1311-3771")</f>
        <v>межд. конференция, организирана от ЦЮН, БСУ; ISSN: 1311-3771</v>
      </c>
      <c r="F5537" s="10"/>
      <c r="G5537" s="10" t="str">
        <f ca="1">IFERROR(__xludf.DUMMYFUNCTION("""COMPUTED_VALUE"""),"Мариела Деливерска")</f>
        <v>Мариела Деливерска</v>
      </c>
      <c r="H5537" s="10"/>
      <c r="I5537" s="10"/>
      <c r="J5537" s="10"/>
      <c r="K5537" s="10"/>
      <c r="L5537" s="10"/>
      <c r="M5537" s="10"/>
      <c r="N5537" s="10"/>
      <c r="O5537" s="10"/>
      <c r="P5537" s="10"/>
      <c r="Q5537" s="10"/>
      <c r="R5537" s="10"/>
      <c r="S5537" s="10"/>
      <c r="T5537" s="10"/>
      <c r="U5537" s="10"/>
      <c r="V5537" s="10"/>
      <c r="W5537" s="10"/>
      <c r="X5537" s="10"/>
      <c r="Y5537" s="10"/>
      <c r="Z5537" s="10"/>
    </row>
    <row r="5538" spans="1:26" ht="12.75">
      <c r="A5538" s="10" t="str">
        <f ca="1">IFERROR(__xludf.DUMMYFUNCTION("""COMPUTED_VALUE"""),"Мария Нейкова Кънева")</f>
        <v>Мария Нейкова Кънева</v>
      </c>
      <c r="B5538" s="10" t="str">
        <f ca="1">IFERROR(__xludf.DUMMYFUNCTION("""COMPUTED_VALUE"""),"Доклад от конференция")</f>
        <v>Доклад от конференция</v>
      </c>
      <c r="C5538" s="10" t="str">
        <f ca="1">IFERROR(__xludf.DUMMYFUNCTION("""COMPUTED_VALUE"""),"Екологичната сигурност-фактор за регионалната сигурност")</f>
        <v>Екологичната сигурност-фактор за регионалната сигурност</v>
      </c>
      <c r="D5538" s="10">
        <f ca="1">IFERROR(__xludf.DUMMYFUNCTION("""COMPUTED_VALUE"""),2016)</f>
        <v>2016</v>
      </c>
      <c r="E5538" s="10" t="str">
        <f ca="1">IFERROR(__xludf.DUMMYFUNCTION("""COMPUTED_VALUE"""),"межд. конференция организирана от БАН, УНИБИТ; ISSN: 1314-7099")</f>
        <v>межд. конференция организирана от БАН, УНИБИТ; ISSN: 1314-7099</v>
      </c>
      <c r="F5538" s="10"/>
      <c r="G5538" s="10"/>
      <c r="H5538" s="10"/>
      <c r="I5538" s="10"/>
      <c r="J5538" s="10"/>
      <c r="K5538" s="10"/>
      <c r="L5538" s="10"/>
      <c r="M5538" s="10"/>
      <c r="N5538" s="10"/>
      <c r="O5538" s="10"/>
      <c r="P5538" s="10"/>
      <c r="Q5538" s="10"/>
      <c r="R5538" s="10"/>
      <c r="S5538" s="10"/>
      <c r="T5538" s="10"/>
      <c r="U5538" s="10"/>
      <c r="V5538" s="10"/>
      <c r="W5538" s="10"/>
      <c r="X5538" s="10"/>
      <c r="Y5538" s="10"/>
      <c r="Z5538" s="10"/>
    </row>
    <row r="5539" spans="1:26" ht="12.75">
      <c r="A5539" s="10" t="str">
        <f ca="1">IFERROR(__xludf.DUMMYFUNCTION("""COMPUTED_VALUE"""),"Мария Нейкова Кънева")</f>
        <v>Мария Нейкова Кънева</v>
      </c>
      <c r="B5539" s="10" t="str">
        <f ca="1">IFERROR(__xludf.DUMMYFUNCTION("""COMPUTED_VALUE"""),"Доклад от конференция")</f>
        <v>Доклад от конференция</v>
      </c>
      <c r="C5539" s="10" t="str">
        <f ca="1">IFERROR(__xludf.DUMMYFUNCTION("""COMPUTED_VALUE"""),"Правни аспекти на мобилното здравеопазване, съавторство")</f>
        <v>Правни аспекти на мобилното здравеопазване, съавторство</v>
      </c>
      <c r="D5539" s="10">
        <f ca="1">IFERROR(__xludf.DUMMYFUNCTION("""COMPUTED_VALUE"""),2016)</f>
        <v>2016</v>
      </c>
      <c r="E5539" s="10" t="str">
        <f ca="1">IFERROR(__xludf.DUMMYFUNCTION("""COMPUTED_VALUE"""),"межд. конференция, ЦЮН, БСУ; ISSN: 1311-3771")</f>
        <v>межд. конференция, ЦЮН, БСУ; ISSN: 1311-3771</v>
      </c>
      <c r="F5539" s="10"/>
      <c r="G5539" s="10" t="str">
        <f ca="1">IFERROR(__xludf.DUMMYFUNCTION("""COMPUTED_VALUE"""),"Мариела Деливерска")</f>
        <v>Мариела Деливерска</v>
      </c>
      <c r="H5539" s="10"/>
      <c r="I5539" s="10"/>
      <c r="J5539" s="10"/>
      <c r="K5539" s="10"/>
      <c r="L5539" s="10"/>
      <c r="M5539" s="10"/>
      <c r="N5539" s="10"/>
      <c r="O5539" s="10"/>
      <c r="P5539" s="10"/>
      <c r="Q5539" s="10"/>
      <c r="R5539" s="10"/>
      <c r="S5539" s="10"/>
      <c r="T5539" s="10"/>
      <c r="U5539" s="10"/>
      <c r="V5539" s="10"/>
      <c r="W5539" s="10"/>
      <c r="X5539" s="10"/>
      <c r="Y5539" s="10"/>
      <c r="Z5539" s="10"/>
    </row>
    <row r="5540" spans="1:26" ht="12.75">
      <c r="A5540" s="10" t="str">
        <f ca="1">IFERROR(__xludf.DUMMYFUNCTION("""COMPUTED_VALUE"""),"Мария Нейкова Кънева")</f>
        <v>Мария Нейкова Кънева</v>
      </c>
      <c r="B5540" s="10" t="str">
        <f ca="1">IFERROR(__xludf.DUMMYFUNCTION("""COMPUTED_VALUE"""),"Доклад от конференция")</f>
        <v>Доклад от конференция</v>
      </c>
      <c r="C5540" s="10" t="str">
        <f ca="1">IFERROR(__xludf.DUMMYFUNCTION("""COMPUTED_VALUE"""),"Добрата дипломация-основен инструмент на политиката за сигурност")</f>
        <v>Добрата дипломация-основен инструмент на политиката за сигурност</v>
      </c>
      <c r="D5540" s="10">
        <f ca="1">IFERROR(__xludf.DUMMYFUNCTION("""COMPUTED_VALUE"""),2016)</f>
        <v>2016</v>
      </c>
      <c r="E5540" s="10" t="str">
        <f ca="1">IFERROR(__xludf.DUMMYFUNCTION("""COMPUTED_VALUE"""),"МК, ВСУ")</f>
        <v>МК, ВСУ</v>
      </c>
      <c r="F5540" s="10"/>
      <c r="G5540" s="10" t="str">
        <f ca="1">IFERROR(__xludf.DUMMYFUNCTION("""COMPUTED_VALUE"""),"Даниел Добрев")</f>
        <v>Даниел Добрев</v>
      </c>
      <c r="H5540" s="10"/>
      <c r="I5540" s="10"/>
      <c r="J5540" s="10"/>
      <c r="K5540" s="10"/>
      <c r="L5540" s="10"/>
      <c r="M5540" s="10"/>
      <c r="N5540" s="10"/>
      <c r="O5540" s="10"/>
      <c r="P5540" s="10"/>
      <c r="Q5540" s="10"/>
      <c r="R5540" s="10"/>
      <c r="S5540" s="10"/>
      <c r="T5540" s="10"/>
      <c r="U5540" s="10"/>
      <c r="V5540" s="10"/>
      <c r="W5540" s="10"/>
      <c r="X5540" s="10"/>
      <c r="Y5540" s="10"/>
      <c r="Z5540" s="10"/>
    </row>
    <row r="5541" spans="1:26" ht="12.75">
      <c r="A5541" s="10" t="str">
        <f ca="1">IFERROR(__xludf.DUMMYFUNCTION("""COMPUTED_VALUE"""),"Мария Нейкова Кънева")</f>
        <v>Мария Нейкова Кънева</v>
      </c>
      <c r="B5541" s="10" t="str">
        <f ca="1">IFERROR(__xludf.DUMMYFUNCTION("""COMPUTED_VALUE"""),"Доклад от конференция")</f>
        <v>Доклад от конференция</v>
      </c>
      <c r="C5541" s="10" t="str">
        <f ca="1">IFERROR(__xludf.DUMMYFUNCTION("""COMPUTED_VALUE"""),"Административното и териториално устройство- промени и развитие /в съавторство/")</f>
        <v>Административното и териториално устройство- промени и развитие /в съавторство/</v>
      </c>
      <c r="D5541" s="10">
        <f ca="1">IFERROR(__xludf.DUMMYFUNCTION("""COMPUTED_VALUE"""),2015)</f>
        <v>2015</v>
      </c>
      <c r="E5541" s="10" t="str">
        <f ca="1">IFERROR(__xludf.DUMMYFUNCTION("""COMPUTED_VALUE"""),"межд. конференция, организирана от БАН, УНИБИТ; ISSN: 1314-7099")</f>
        <v>межд. конференция, организирана от БАН, УНИБИТ; ISSN: 1314-7099</v>
      </c>
      <c r="F5541" s="10"/>
      <c r="G5541" s="10" t="str">
        <f ca="1">IFERROR(__xludf.DUMMYFUNCTION("""COMPUTED_VALUE"""),"Ивелина Проданова")</f>
        <v>Ивелина Проданова</v>
      </c>
      <c r="H5541" s="10"/>
      <c r="I5541" s="10"/>
      <c r="J5541" s="10"/>
      <c r="K5541" s="10"/>
      <c r="L5541" s="10"/>
      <c r="M5541" s="10"/>
      <c r="N5541" s="10"/>
      <c r="O5541" s="10"/>
      <c r="P5541" s="10"/>
      <c r="Q5541" s="10"/>
      <c r="R5541" s="10"/>
      <c r="S5541" s="10"/>
      <c r="T5541" s="10"/>
      <c r="U5541" s="10"/>
      <c r="V5541" s="10"/>
      <c r="W5541" s="10"/>
      <c r="X5541" s="10"/>
      <c r="Y5541" s="10"/>
      <c r="Z5541" s="10"/>
    </row>
    <row r="5542" spans="1:26" ht="12.75">
      <c r="A5542" s="10" t="str">
        <f ca="1">IFERROR(__xludf.DUMMYFUNCTION("""COMPUTED_VALUE"""),"Мария Нейкова Кънева")</f>
        <v>Мария Нейкова Кънева</v>
      </c>
      <c r="B5542" s="10" t="str">
        <f ca="1">IFERROR(__xludf.DUMMYFUNCTION("""COMPUTED_VALUE"""),"Статия в списания и поредици")</f>
        <v>Статия в списания и поредици</v>
      </c>
      <c r="C5542" s="10" t="str">
        <f ca="1">IFERROR(__xludf.DUMMYFUNCTION("""COMPUTED_VALUE"""),"Опазване паметниците на културата и историята от терористични деяния или необходимостта от промяна на Хагската конвенция за защита на културните ценности в случай на въоръжен конфликт")</f>
        <v>Опазване паметниците на културата и историята от терористични деяния или необходимостта от промяна на Хагската конвенция за защита на културните ценности в случай на въоръжен конфликт</v>
      </c>
      <c r="D5542" s="10">
        <f ca="1">IFERROR(__xludf.DUMMYFUNCTION("""COMPUTED_VALUE"""),2015)</f>
        <v>2015</v>
      </c>
      <c r="E5542" s="10" t="str">
        <f ca="1">IFERROR(__xludf.DUMMYFUNCTION("""COMPUTED_VALUE"""),"Юридически сборник т. 22; ISSN: 1311-3771")</f>
        <v>Юридически сборник т. 22; ISSN: 1311-3771</v>
      </c>
      <c r="F5542" s="10"/>
      <c r="G5542" s="10"/>
      <c r="H5542" s="10"/>
      <c r="I5542" s="10"/>
      <c r="J5542" s="10"/>
      <c r="K5542" s="10"/>
      <c r="L5542" s="10"/>
      <c r="M5542" s="10"/>
      <c r="N5542" s="10"/>
      <c r="O5542" s="10"/>
      <c r="P5542" s="10"/>
      <c r="Q5542" s="10"/>
      <c r="R5542" s="10"/>
      <c r="S5542" s="10"/>
      <c r="T5542" s="10"/>
      <c r="U5542" s="10"/>
      <c r="V5542" s="10"/>
      <c r="W5542" s="10"/>
      <c r="X5542" s="10"/>
      <c r="Y5542" s="10"/>
      <c r="Z5542" s="10"/>
    </row>
    <row r="5543" spans="1:26" ht="12.75">
      <c r="A5543" s="10" t="str">
        <f ca="1">IFERROR(__xludf.DUMMYFUNCTION("""COMPUTED_VALUE"""),"Мария Нейкова Кънева")</f>
        <v>Мария Нейкова Кънева</v>
      </c>
      <c r="B5543" s="10" t="str">
        <f ca="1">IFERROR(__xludf.DUMMYFUNCTION("""COMPUTED_VALUE"""),"Учебно пособие")</f>
        <v>Учебно пособие</v>
      </c>
      <c r="C5543" s="10" t="str">
        <f ca="1">IFERROR(__xludf.DUMMYFUNCTION("""COMPUTED_VALUE"""),"Повишаване на компетентността за участие в демокрацията на местно ниво")</f>
        <v>Повишаване на компетентността за участие в демокрацията на местно ниво</v>
      </c>
      <c r="D5543" s="10">
        <f ca="1">IFERROR(__xludf.DUMMYFUNCTION("""COMPUTED_VALUE"""),2014)</f>
        <v>2014</v>
      </c>
      <c r="E5543" s="10" t="str">
        <f ca="1">IFERROR(__xludf.DUMMYFUNCTION("""COMPUTED_VALUE"""),"съавт., наръчник по проект ИПП - CCI №2007СВ16IP0008-2011-2")</f>
        <v>съавт., наръчник по проект ИПП - CCI №2007СВ16IP0008-2011-2</v>
      </c>
      <c r="F5543" s="10"/>
      <c r="G5543" s="10"/>
      <c r="H5543" s="10"/>
      <c r="I5543" s="10"/>
      <c r="J5543" s="10"/>
      <c r="K5543" s="10"/>
      <c r="L5543" s="10"/>
      <c r="M5543" s="10"/>
      <c r="N5543" s="10"/>
      <c r="O5543" s="10"/>
      <c r="P5543" s="10"/>
      <c r="Q5543" s="10"/>
      <c r="R5543" s="10"/>
      <c r="S5543" s="10"/>
      <c r="T5543" s="10"/>
      <c r="U5543" s="10"/>
      <c r="V5543" s="10"/>
      <c r="W5543" s="10"/>
      <c r="X5543" s="10"/>
      <c r="Y5543" s="10"/>
      <c r="Z5543" s="10"/>
    </row>
    <row r="5544" spans="1:26" ht="12.75">
      <c r="A5544" s="10" t="str">
        <f ca="1">IFERROR(__xludf.DUMMYFUNCTION("""COMPUTED_VALUE"""),"Мария Нейкова Кънева")</f>
        <v>Мария Нейкова Кънева</v>
      </c>
      <c r="B5544" s="10" t="str">
        <f ca="1">IFERROR(__xludf.DUMMYFUNCTION("""COMPUTED_VALUE"""),"Доклад от конференция")</f>
        <v>Доклад от конференция</v>
      </c>
      <c r="C5544" s="10" t="str">
        <f ca="1">IFERROR(__xludf.DUMMYFUNCTION("""COMPUTED_VALUE"""),"Комплексното административно обслужване и новите стандарти за качество на административното обслужване")</f>
        <v>Комплексното административно обслужване и новите стандарти за качество на административното обслужване</v>
      </c>
      <c r="D5544" s="10">
        <f ca="1">IFERROR(__xludf.DUMMYFUNCTION("""COMPUTED_VALUE"""),2014)</f>
        <v>2014</v>
      </c>
      <c r="E5544" s="10" t="str">
        <f ca="1">IFERROR(__xludf.DUMMYFUNCTION("""COMPUTED_VALUE"""),"конференция - ИПА, София")</f>
        <v>конференция - ИПА, София</v>
      </c>
      <c r="F5544" s="10"/>
      <c r="G5544" s="10"/>
      <c r="H5544" s="10"/>
      <c r="I5544" s="10"/>
      <c r="J5544" s="10"/>
      <c r="K5544" s="10"/>
      <c r="L5544" s="10"/>
      <c r="M5544" s="10"/>
      <c r="N5544" s="10"/>
      <c r="O5544" s="10"/>
      <c r="P5544" s="10"/>
      <c r="Q5544" s="10"/>
      <c r="R5544" s="10"/>
      <c r="S5544" s="10"/>
      <c r="T5544" s="10"/>
      <c r="U5544" s="10"/>
      <c r="V5544" s="10"/>
      <c r="W5544" s="10"/>
      <c r="X5544" s="10"/>
      <c r="Y5544" s="10"/>
      <c r="Z5544" s="10"/>
    </row>
    <row r="5545" spans="1:26" ht="12.75">
      <c r="A5545" s="10" t="str">
        <f ca="1">IFERROR(__xludf.DUMMYFUNCTION("""COMPUTED_VALUE"""),"Мария Нейкова Кънева")</f>
        <v>Мария Нейкова Кънева</v>
      </c>
      <c r="B5545" s="10" t="str">
        <f ca="1">IFERROR(__xludf.DUMMYFUNCTION("""COMPUTED_VALUE"""),"Статия в списания и поредици")</f>
        <v>Статия в списания и поредици</v>
      </c>
      <c r="C5545" s="10" t="str">
        <f ca="1">IFERROR(__xludf.DUMMYFUNCTION("""COMPUTED_VALUE"""),"Кризата на лидерство - заплаха за националната сигурност")</f>
        <v>Кризата на лидерство - заплаха за националната сигурност</v>
      </c>
      <c r="D5545" s="10">
        <f ca="1">IFERROR(__xludf.DUMMYFUNCTION("""COMPUTED_VALUE"""),2014)</f>
        <v>2014</v>
      </c>
      <c r="E5545" s="10" t="str">
        <f ca="1">IFERROR(__xludf.DUMMYFUNCTION("""COMPUTED_VALUE"""),"сп. Сигурност; ISSN: 2367-6833")</f>
        <v>сп. Сигурност; ISSN: 2367-6833</v>
      </c>
      <c r="F5545" s="10"/>
      <c r="G5545" s="10" t="str">
        <f ca="1">IFERROR(__xludf.DUMMYFUNCTION("""COMPUTED_VALUE"""),"Емине Мехмед")</f>
        <v>Емине Мехмед</v>
      </c>
      <c r="H5545" s="10"/>
      <c r="I5545" s="10"/>
      <c r="J5545" s="10"/>
      <c r="K5545" s="10"/>
      <c r="L5545" s="10"/>
      <c r="M5545" s="10"/>
      <c r="N5545" s="10"/>
      <c r="O5545" s="10"/>
      <c r="P5545" s="10"/>
      <c r="Q5545" s="10"/>
      <c r="R5545" s="10"/>
      <c r="S5545" s="10"/>
      <c r="T5545" s="10"/>
      <c r="U5545" s="10"/>
      <c r="V5545" s="10"/>
      <c r="W5545" s="10"/>
      <c r="X5545" s="10"/>
      <c r="Y5545" s="10"/>
      <c r="Z5545" s="10"/>
    </row>
    <row r="5546" spans="1:26" ht="12.75">
      <c r="A5546" s="10" t="str">
        <f ca="1">IFERROR(__xludf.DUMMYFUNCTION("""COMPUTED_VALUE"""),"Мария Нейкова Кънева")</f>
        <v>Мария Нейкова Кънева</v>
      </c>
      <c r="B5546" s="10" t="str">
        <f ca="1">IFERROR(__xludf.DUMMYFUNCTION("""COMPUTED_VALUE"""),"Статия в списания и поредици")</f>
        <v>Статия в списания и поредици</v>
      </c>
      <c r="C5546" s="10" t="str">
        <f ca="1">IFERROR(__xludf.DUMMYFUNCTION("""COMPUTED_VALUE"""),"Културните ценности като базов фактор за социална регулация в системата на сигурността")</f>
        <v>Културните ценности като базов фактор за социална регулация в системата на сигурността</v>
      </c>
      <c r="D5546" s="10">
        <f ca="1">IFERROR(__xludf.DUMMYFUNCTION("""COMPUTED_VALUE"""),2014)</f>
        <v>2014</v>
      </c>
      <c r="E5546" s="10" t="str">
        <f ca="1">IFERROR(__xludf.DUMMYFUNCTION("""COMPUTED_VALUE"""),"сп. Сигурност; ISSN: 2367-6833")</f>
        <v>сп. Сигурност; ISSN: 2367-6833</v>
      </c>
      <c r="F5546" s="10"/>
      <c r="G5546" s="10"/>
      <c r="H5546" s="10"/>
      <c r="I5546" s="10"/>
      <c r="J5546" s="10"/>
      <c r="K5546" s="10"/>
      <c r="L5546" s="10"/>
      <c r="M5546" s="10"/>
      <c r="N5546" s="10"/>
      <c r="O5546" s="10"/>
      <c r="P5546" s="10"/>
      <c r="Q5546" s="10"/>
      <c r="R5546" s="10"/>
      <c r="S5546" s="10"/>
      <c r="T5546" s="10"/>
      <c r="U5546" s="10"/>
      <c r="V5546" s="10"/>
      <c r="W5546" s="10"/>
      <c r="X5546" s="10"/>
      <c r="Y5546" s="10"/>
      <c r="Z5546" s="10"/>
    </row>
    <row r="5547" spans="1:26" ht="12.75">
      <c r="A5547" s="10" t="str">
        <f ca="1">IFERROR(__xludf.DUMMYFUNCTION("""COMPUTED_VALUE"""),"Мария Нейкова Кънева")</f>
        <v>Мария Нейкова Кънева</v>
      </c>
      <c r="B5547" s="10" t="str">
        <f ca="1">IFERROR(__xludf.DUMMYFUNCTION("""COMPUTED_VALUE"""),"Статия в списания и поредици")</f>
        <v>Статия в списания и поредици</v>
      </c>
      <c r="C5547" s="10" t="str">
        <f ca="1">IFERROR(__xludf.DUMMYFUNCTION("""COMPUTED_VALUE"""),"Отговаря ли администрацията на изискванията на европейското административно пространство?")</f>
        <v>Отговаря ли администрацията на изискванията на европейското административно пространство?</v>
      </c>
      <c r="D5547" s="10">
        <f ca="1">IFERROR(__xludf.DUMMYFUNCTION("""COMPUTED_VALUE"""),2014)</f>
        <v>2014</v>
      </c>
      <c r="E5547" s="10" t="str">
        <f ca="1">IFERROR(__xludf.DUMMYFUNCTION("""COMPUTED_VALUE"""),"Юбилеен сборник - София; ISBN: 978-954-07-3747-8")</f>
        <v>Юбилеен сборник - София; ISBN: 978-954-07-3747-8</v>
      </c>
      <c r="F5547" s="10"/>
      <c r="G5547" s="10"/>
      <c r="H5547" s="10"/>
      <c r="I5547" s="10"/>
      <c r="J5547" s="10"/>
      <c r="K5547" s="10"/>
      <c r="L5547" s="10"/>
      <c r="M5547" s="10"/>
      <c r="N5547" s="10"/>
      <c r="O5547" s="10"/>
      <c r="P5547" s="10"/>
      <c r="Q5547" s="10"/>
      <c r="R5547" s="10"/>
      <c r="S5547" s="10"/>
      <c r="T5547" s="10"/>
      <c r="U5547" s="10"/>
      <c r="V5547" s="10"/>
      <c r="W5547" s="10"/>
      <c r="X5547" s="10"/>
      <c r="Y5547" s="10"/>
      <c r="Z5547" s="10"/>
    </row>
    <row r="5548" spans="1:26" ht="12.75">
      <c r="A5548" s="10" t="str">
        <f ca="1">IFERROR(__xludf.DUMMYFUNCTION("""COMPUTED_VALUE"""),"Мария Нейкова Кънева")</f>
        <v>Мария Нейкова Кънева</v>
      </c>
      <c r="B5548" s="10" t="str">
        <f ca="1">IFERROR(__xludf.DUMMYFUNCTION("""COMPUTED_VALUE"""),"Статия в списания и поредици")</f>
        <v>Статия в списания и поредици</v>
      </c>
      <c r="C5548" s="10" t="str">
        <f ca="1">IFERROR(__xludf.DUMMYFUNCTION("""COMPUTED_VALUE"""),"Основни демократични принципи на държавното управление")</f>
        <v>Основни демократични принципи на държавното управление</v>
      </c>
      <c r="D5548" s="10">
        <f ca="1">IFERROR(__xludf.DUMMYFUNCTION("""COMPUTED_VALUE"""),2014)</f>
        <v>2014</v>
      </c>
      <c r="E5548" s="10" t="str">
        <f ca="1">IFERROR(__xludf.DUMMYFUNCTION("""COMPUTED_VALUE"""),"Бургас")</f>
        <v>Бургас</v>
      </c>
      <c r="F5548" s="10"/>
      <c r="G5548" s="10"/>
      <c r="H5548" s="10"/>
      <c r="I5548" s="10"/>
      <c r="J5548" s="10"/>
      <c r="K5548" s="10"/>
      <c r="L5548" s="10"/>
      <c r="M5548" s="10"/>
      <c r="N5548" s="10"/>
      <c r="O5548" s="10"/>
      <c r="P5548" s="10"/>
      <c r="Q5548" s="10"/>
      <c r="R5548" s="10"/>
      <c r="S5548" s="10"/>
      <c r="T5548" s="10"/>
      <c r="U5548" s="10"/>
      <c r="V5548" s="10"/>
      <c r="W5548" s="10"/>
      <c r="X5548" s="10"/>
      <c r="Y5548" s="10"/>
      <c r="Z5548" s="10"/>
    </row>
    <row r="5549" spans="1:26" ht="12.75">
      <c r="A5549" s="10" t="str">
        <f ca="1">IFERROR(__xludf.DUMMYFUNCTION("""COMPUTED_VALUE"""),"Мария Нейкова Кънева")</f>
        <v>Мария Нейкова Кънева</v>
      </c>
      <c r="B5549" s="10" t="str">
        <f ca="1">IFERROR(__xludf.DUMMYFUNCTION("""COMPUTED_VALUE"""),"Доклад от конференция")</f>
        <v>Доклад от конференция</v>
      </c>
      <c r="C5549" s="10" t="str">
        <f ca="1">IFERROR(__xludf.DUMMYFUNCTION("""COMPUTED_VALUE"""),"Основни насоки на сътрудничество между компетентните органи в РБ по отношение на незаконния трафик на културни ценности")</f>
        <v>Основни насоки на сътрудничество между компетентните органи в РБ по отношение на незаконния трафик на културни ценности</v>
      </c>
      <c r="D5549" s="10">
        <f ca="1">IFERROR(__xludf.DUMMYFUNCTION("""COMPUTED_VALUE"""),2014)</f>
        <v>2014</v>
      </c>
      <c r="E5549" s="10" t="str">
        <f ca="1">IFERROR(__xludf.DUMMYFUNCTION("""COMPUTED_VALUE"""),"УНИБИТ - София")</f>
        <v>УНИБИТ - София</v>
      </c>
      <c r="F5549" s="10"/>
      <c r="G5549" s="10"/>
      <c r="H5549" s="10"/>
      <c r="I5549" s="10"/>
      <c r="J5549" s="10"/>
      <c r="K5549" s="10"/>
      <c r="L5549" s="10"/>
      <c r="M5549" s="10"/>
      <c r="N5549" s="10"/>
      <c r="O5549" s="10"/>
      <c r="P5549" s="10"/>
      <c r="Q5549" s="10"/>
      <c r="R5549" s="10"/>
      <c r="S5549" s="10"/>
      <c r="T5549" s="10"/>
      <c r="U5549" s="10"/>
      <c r="V5549" s="10"/>
      <c r="W5549" s="10"/>
      <c r="X5549" s="10"/>
      <c r="Y5549" s="10"/>
      <c r="Z5549" s="10"/>
    </row>
    <row r="5550" spans="1:26" ht="12.75">
      <c r="A5550" s="10" t="str">
        <f ca="1">IFERROR(__xludf.DUMMYFUNCTION("""COMPUTED_VALUE"""),"Мария Нейкова Кънева")</f>
        <v>Мария Нейкова Кънева</v>
      </c>
      <c r="B5550" s="10" t="str">
        <f ca="1">IFERROR(__xludf.DUMMYFUNCTION("""COMPUTED_VALUE"""),"Доклад от конференция")</f>
        <v>Доклад от конференция</v>
      </c>
      <c r="C5550" s="10" t="str">
        <f ca="1">IFERROR(__xludf.DUMMYFUNCTION("""COMPUTED_VALUE"""),"Промените в АПК и КАО")</f>
        <v>Промените в АПК и КАО</v>
      </c>
      <c r="D5550" s="10">
        <f ca="1">IFERROR(__xludf.DUMMYFUNCTION("""COMPUTED_VALUE"""),2014)</f>
        <v>2014</v>
      </c>
      <c r="E5550" s="10" t="str">
        <f ca="1">IFERROR(__xludf.DUMMYFUNCTION("""COMPUTED_VALUE"""),"ИПА - София")</f>
        <v>ИПА - София</v>
      </c>
      <c r="F5550" s="10"/>
      <c r="G5550" s="10"/>
      <c r="H5550" s="10"/>
      <c r="I5550" s="10"/>
      <c r="J5550" s="10"/>
      <c r="K5550" s="10"/>
      <c r="L5550" s="10"/>
      <c r="M5550" s="10"/>
      <c r="N5550" s="10"/>
      <c r="O5550" s="10"/>
      <c r="P5550" s="10"/>
      <c r="Q5550" s="10"/>
      <c r="R5550" s="10"/>
      <c r="S5550" s="10"/>
      <c r="T5550" s="10"/>
      <c r="U5550" s="10"/>
      <c r="V5550" s="10"/>
      <c r="W5550" s="10"/>
      <c r="X5550" s="10"/>
      <c r="Y5550" s="10"/>
      <c r="Z5550" s="10"/>
    </row>
    <row r="5551" spans="1:26" ht="12.75">
      <c r="A5551" s="10" t="str">
        <f ca="1">IFERROR(__xludf.DUMMYFUNCTION("""COMPUTED_VALUE"""),"Мария Нейкова Кънева")</f>
        <v>Мария Нейкова Кънева</v>
      </c>
      <c r="B5551" s="10" t="str">
        <f ca="1">IFERROR(__xludf.DUMMYFUNCTION("""COMPUTED_VALUE"""),"Учебно пособие")</f>
        <v>Учебно пособие</v>
      </c>
      <c r="C5551" s="10" t="str">
        <f ca="1">IFERROR(__xludf.DUMMYFUNCTION("""COMPUTED_VALUE"""),"Актуални промени в Закона за устройство на територията")</f>
        <v>Актуални промени в Закона за устройство на територията</v>
      </c>
      <c r="D5551" s="10">
        <f ca="1">IFERROR(__xludf.DUMMYFUNCTION("""COMPUTED_VALUE"""),2014)</f>
        <v>2014</v>
      </c>
      <c r="E5551" s="10" t="str">
        <f ca="1">IFERROR(__xludf.DUMMYFUNCTION("""COMPUTED_VALUE"""),"по проект (ЦА12-22-8) ОП АК ЕСФ")</f>
        <v>по проект (ЦА12-22-8) ОП АК ЕСФ</v>
      </c>
      <c r="F5551" s="10"/>
      <c r="G5551" s="10"/>
      <c r="H5551" s="10"/>
      <c r="I5551" s="10"/>
      <c r="J5551" s="10"/>
      <c r="K5551" s="10"/>
      <c r="L5551" s="10"/>
      <c r="M5551" s="10"/>
      <c r="N5551" s="10"/>
      <c r="O5551" s="10"/>
      <c r="P5551" s="10"/>
      <c r="Q5551" s="10"/>
      <c r="R5551" s="10"/>
      <c r="S5551" s="10"/>
      <c r="T5551" s="10"/>
      <c r="U5551" s="10"/>
      <c r="V5551" s="10"/>
      <c r="W5551" s="10"/>
      <c r="X5551" s="10"/>
      <c r="Y5551" s="10"/>
      <c r="Z5551" s="10"/>
    </row>
    <row r="5552" spans="1:26" ht="12.75">
      <c r="A5552" s="10" t="str">
        <f ca="1">IFERROR(__xludf.DUMMYFUNCTION("""COMPUTED_VALUE"""),"Мария Нейкова Кънева")</f>
        <v>Мария Нейкова Кънева</v>
      </c>
      <c r="B5552" s="10" t="str">
        <f ca="1">IFERROR(__xludf.DUMMYFUNCTION("""COMPUTED_VALUE"""),"Доклад от конференция")</f>
        <v>Доклад от конференция</v>
      </c>
      <c r="C5552" s="10" t="str">
        <f ca="1">IFERROR(__xludf.DUMMYFUNCTION("""COMPUTED_VALUE"""),"Приложение на управлението на риска при опазване на културно-историческите ценности - в съавторство")</f>
        <v>Приложение на управлението на риска при опазване на културно-историческите ценности - в съавторство</v>
      </c>
      <c r="D5552" s="10">
        <f ca="1">IFERROR(__xludf.DUMMYFUNCTION("""COMPUTED_VALUE"""),2013)</f>
        <v>2013</v>
      </c>
      <c r="E5552" s="10" t="str">
        <f ca="1">IFERROR(__xludf.DUMMYFUNCTION("""COMPUTED_VALUE"""),"МК, София")</f>
        <v>МК, София</v>
      </c>
      <c r="F5552" s="10"/>
      <c r="G5552" s="10"/>
      <c r="H5552" s="10"/>
      <c r="I5552" s="10"/>
      <c r="J5552" s="10"/>
      <c r="K5552" s="10"/>
      <c r="L5552" s="10"/>
      <c r="M5552" s="10"/>
      <c r="N5552" s="10"/>
      <c r="O5552" s="10"/>
      <c r="P5552" s="10"/>
      <c r="Q5552" s="10"/>
      <c r="R5552" s="10"/>
      <c r="S5552" s="10"/>
      <c r="T5552" s="10"/>
      <c r="U5552" s="10"/>
      <c r="V5552" s="10"/>
      <c r="W5552" s="10"/>
      <c r="X5552" s="10"/>
      <c r="Y5552" s="10"/>
      <c r="Z5552" s="10"/>
    </row>
    <row r="5553" spans="1:26" ht="12.75">
      <c r="A5553" s="10" t="str">
        <f ca="1">IFERROR(__xludf.DUMMYFUNCTION("""COMPUTED_VALUE"""),"Мария Нейкова Кънева")</f>
        <v>Мария Нейкова Кънева</v>
      </c>
      <c r="B5553" s="10" t="str">
        <f ca="1">IFERROR(__xludf.DUMMYFUNCTION("""COMPUTED_VALUE"""),"Доклад от конференция")</f>
        <v>Доклад от конференция</v>
      </c>
      <c r="C5553" s="10" t="str">
        <f ca="1">IFERROR(__xludf.DUMMYFUNCTION("""COMPUTED_VALUE"""),"Иновации и добро управление на местно ниво")</f>
        <v>Иновации и добро управление на местно ниво</v>
      </c>
      <c r="D5553" s="10">
        <f ca="1">IFERROR(__xludf.DUMMYFUNCTION("""COMPUTED_VALUE"""),2013)</f>
        <v>2013</v>
      </c>
      <c r="E5553" s="10" t="str">
        <f ca="1">IFERROR(__xludf.DUMMYFUNCTION("""COMPUTED_VALUE"""),"Международна научна конференция БСУ; ISBN:978-954-9370-96-6")</f>
        <v>Международна научна конференция БСУ; ISBN:978-954-9370-96-6</v>
      </c>
      <c r="F5553" s="10"/>
      <c r="G5553" s="10"/>
      <c r="H5553" s="10"/>
      <c r="I5553" s="10"/>
      <c r="J5553" s="10"/>
      <c r="K5553" s="10"/>
      <c r="L5553" s="10"/>
      <c r="M5553" s="10"/>
      <c r="N5553" s="10"/>
      <c r="O5553" s="10"/>
      <c r="P5553" s="10"/>
      <c r="Q5553" s="10"/>
      <c r="R5553" s="10"/>
      <c r="S5553" s="10"/>
      <c r="T5553" s="10"/>
      <c r="U5553" s="10"/>
      <c r="V5553" s="10"/>
      <c r="W5553" s="10"/>
      <c r="X5553" s="10"/>
      <c r="Y5553" s="10"/>
      <c r="Z5553" s="10"/>
    </row>
    <row r="5554" spans="1:26" ht="12.75">
      <c r="A5554" s="10" t="str">
        <f ca="1">IFERROR(__xludf.DUMMYFUNCTION("""COMPUTED_VALUE"""),"Мария Нейкова Кънева")</f>
        <v>Мария Нейкова Кънева</v>
      </c>
      <c r="B5554" s="10" t="str">
        <f ca="1">IFERROR(__xludf.DUMMYFUNCTION("""COMPUTED_VALUE"""),"Статия в списания и поредици")</f>
        <v>Статия в списания и поредици</v>
      </c>
      <c r="C5554" s="10" t="str">
        <f ca="1">IFERROR(__xludf.DUMMYFUNCTION("""COMPUTED_VALUE"""),"THE INFLUENCE OF REGIONALISATION ON LOCAL SELF-GOVERNMENT")</f>
        <v>THE INFLUENCE OF REGIONALISATION ON LOCAL SELF-GOVERNMENT</v>
      </c>
      <c r="D5554" s="10">
        <f ca="1">IFERROR(__xludf.DUMMYFUNCTION("""COMPUTED_VALUE"""),2013)</f>
        <v>2013</v>
      </c>
      <c r="E5554" s="10" t="str">
        <f ca="1">IFERROR(__xludf.DUMMYFUNCTION("""COMPUTED_VALUE"""),"TRAKIA JOURNAL OF SCIENCES; ISSN:1313-7069")</f>
        <v>TRAKIA JOURNAL OF SCIENCES; ISSN:1313-7069</v>
      </c>
      <c r="F5554" s="10"/>
      <c r="G5554" s="10"/>
      <c r="H5554" s="10"/>
      <c r="I5554" s="10"/>
      <c r="J5554" s="10"/>
      <c r="K5554" s="10"/>
      <c r="L5554" s="10"/>
      <c r="M5554" s="10"/>
      <c r="N5554" s="10"/>
      <c r="O5554" s="10"/>
      <c r="P5554" s="10"/>
      <c r="Q5554" s="10"/>
      <c r="R5554" s="10"/>
      <c r="S5554" s="10"/>
      <c r="T5554" s="10"/>
      <c r="U5554" s="10"/>
      <c r="V5554" s="10"/>
      <c r="W5554" s="10"/>
      <c r="X5554" s="10"/>
      <c r="Y5554" s="10"/>
      <c r="Z5554" s="10"/>
    </row>
    <row r="5555" spans="1:26" ht="12.75">
      <c r="A5555" s="10" t="str">
        <f ca="1">IFERROR(__xludf.DUMMYFUNCTION("""COMPUTED_VALUE"""),"Мария Нейкова Кънева")</f>
        <v>Мария Нейкова Кънева</v>
      </c>
      <c r="B5555" s="10" t="str">
        <f ca="1">IFERROR(__xludf.DUMMYFUNCTION("""COMPUTED_VALUE"""),"Студия")</f>
        <v>Студия</v>
      </c>
      <c r="C5555" s="10" t="str">
        <f ca="1">IFERROR(__xludf.DUMMYFUNCTION("""COMPUTED_VALUE"""),"Децентрализацията на общините към кметствата - скъсяване дистанцията между гражданите и властта")</f>
        <v>Децентрализацията на общините към кметствата - скъсяване дистанцията между гражданите и властта</v>
      </c>
      <c r="D5555" s="10">
        <f ca="1">IFERROR(__xludf.DUMMYFUNCTION("""COMPUTED_VALUE"""),2013)</f>
        <v>2013</v>
      </c>
      <c r="E5555" s="10" t="str">
        <f ca="1">IFERROR(__xludf.DUMMYFUNCTION("""COMPUTED_VALUE"""),"Юридически сборник, т. 20; ISSN: 1311-3771")</f>
        <v>Юридически сборник, т. 20; ISSN: 1311-3771</v>
      </c>
      <c r="F5555" s="10"/>
      <c r="G5555" s="10"/>
      <c r="H5555" s="10"/>
      <c r="I5555" s="10"/>
      <c r="J5555" s="10"/>
      <c r="K5555" s="10"/>
      <c r="L5555" s="10"/>
      <c r="M5555" s="10"/>
      <c r="N5555" s="10"/>
      <c r="O5555" s="10"/>
      <c r="P5555" s="10"/>
      <c r="Q5555" s="10"/>
      <c r="R5555" s="10"/>
      <c r="S5555" s="10"/>
      <c r="T5555" s="10"/>
      <c r="U5555" s="10"/>
      <c r="V5555" s="10"/>
      <c r="W5555" s="10"/>
      <c r="X5555" s="10"/>
      <c r="Y5555" s="10"/>
      <c r="Z5555" s="10"/>
    </row>
    <row r="5556" spans="1:26" ht="12.75">
      <c r="A5556" s="10" t="str">
        <f ca="1">IFERROR(__xludf.DUMMYFUNCTION("""COMPUTED_VALUE"""),"Мария Нейкова Кънева")</f>
        <v>Мария Нейкова Кънева</v>
      </c>
      <c r="B5556" s="10" t="str">
        <f ca="1">IFERROR(__xludf.DUMMYFUNCTION("""COMPUTED_VALUE"""),"Статия в списания и поредици")</f>
        <v>Статия в списания и поредици</v>
      </c>
      <c r="C5556" s="10" t="str">
        <f ca="1">IFERROR(__xludf.DUMMYFUNCTION("""COMPUTED_VALUE"""),"Принципът на субсидиарност - основен инструмент за регионализация и децентрализация")</f>
        <v>Принципът на субсидиарност - основен инструмент за регионализация и децентрализация</v>
      </c>
      <c r="D5556" s="10">
        <f ca="1">IFERROR(__xludf.DUMMYFUNCTION("""COMPUTED_VALUE"""),2013)</f>
        <v>2013</v>
      </c>
      <c r="E5556" s="10" t="str">
        <f ca="1">IFERROR(__xludf.DUMMYFUNCTION("""COMPUTED_VALUE"""),"Юридически сборник, т. 20; ISSN: 1311-3771")</f>
        <v>Юридически сборник, т. 20; ISSN: 1311-3771</v>
      </c>
      <c r="F5556" s="10"/>
      <c r="G5556" s="10"/>
      <c r="H5556" s="10"/>
      <c r="I5556" s="10"/>
      <c r="J5556" s="10"/>
      <c r="K5556" s="10"/>
      <c r="L5556" s="10"/>
      <c r="M5556" s="10"/>
      <c r="N5556" s="10"/>
      <c r="O5556" s="10"/>
      <c r="P5556" s="10"/>
      <c r="Q5556" s="10"/>
      <c r="R5556" s="10"/>
      <c r="S5556" s="10"/>
      <c r="T5556" s="10"/>
      <c r="U5556" s="10"/>
      <c r="V5556" s="10"/>
      <c r="W5556" s="10"/>
      <c r="X5556" s="10"/>
      <c r="Y5556" s="10"/>
      <c r="Z5556" s="10"/>
    </row>
    <row r="5557" spans="1:26" ht="12.75">
      <c r="A5557" s="10" t="str">
        <f ca="1">IFERROR(__xludf.DUMMYFUNCTION("""COMPUTED_VALUE"""),"Мария Нейкова Кънева")</f>
        <v>Мария Нейкова Кънева</v>
      </c>
      <c r="B5557" s="10" t="str">
        <f ca="1">IFERROR(__xludf.DUMMYFUNCTION("""COMPUTED_VALUE"""),"Монография")</f>
        <v>Монография</v>
      </c>
      <c r="C5557" s="10" t="str">
        <f ca="1">IFERROR(__xludf.DUMMYFUNCTION("""COMPUTED_VALUE"""),"Децентрализацията - основен фактор за повишаване на ефективността на управлението")</f>
        <v>Децентрализацията - основен фактор за повишаване на ефективността на управлението</v>
      </c>
      <c r="D5557" s="10">
        <f ca="1">IFERROR(__xludf.DUMMYFUNCTION("""COMPUTED_VALUE"""),2013)</f>
        <v>2013</v>
      </c>
      <c r="E5557" s="10" t="str">
        <f ca="1">IFERROR(__xludf.DUMMYFUNCTION("""COMPUTED_VALUE"""),"""Новата цивилизация"" ЕООД; ISBN: 978-954-8365-74-1")</f>
        <v>"Новата цивилизация" ЕООД; ISBN: 978-954-8365-74-1</v>
      </c>
      <c r="F5557" s="10"/>
      <c r="G5557" s="10"/>
      <c r="H5557" s="10"/>
      <c r="I5557" s="10"/>
      <c r="J5557" s="10"/>
      <c r="K5557" s="10"/>
      <c r="L5557" s="10"/>
      <c r="M5557" s="10"/>
      <c r="N5557" s="10"/>
      <c r="O5557" s="10"/>
      <c r="P5557" s="10"/>
      <c r="Q5557" s="10"/>
      <c r="R5557" s="10"/>
      <c r="S5557" s="10"/>
      <c r="T5557" s="10"/>
      <c r="U5557" s="10"/>
      <c r="V5557" s="10"/>
      <c r="W5557" s="10"/>
      <c r="X5557" s="10"/>
      <c r="Y5557" s="10"/>
      <c r="Z5557" s="10"/>
    </row>
    <row r="5558" spans="1:26" ht="12.75">
      <c r="A5558" s="10" t="str">
        <f ca="1">IFERROR(__xludf.DUMMYFUNCTION("""COMPUTED_VALUE"""),"Мария Нейкова Кънева")</f>
        <v>Мария Нейкова Кънева</v>
      </c>
      <c r="B5558" s="10" t="str">
        <f ca="1">IFERROR(__xludf.DUMMYFUNCTION("""COMPUTED_VALUE"""),"Доклад от конференция")</f>
        <v>Доклад от конференция</v>
      </c>
      <c r="C5558" s="10" t="str">
        <f ca="1">IFERROR(__xludf.DUMMYFUNCTION("""COMPUTED_VALUE"""),"THE CONTRUBUTION OF THE PROCESS OF REGIONALISATION FOR BUILDING STRONGER LOCAL GOVERNMENT - TRADITIONS AND TRENDS")</f>
        <v>THE CONTRUBUTION OF THE PROCESS OF REGIONALISATION FOR BUILDING STRONGER LOCAL GOVERNMENT - TRADITIONS AND TRENDS</v>
      </c>
      <c r="D5558" s="10">
        <f ca="1">IFERROR(__xludf.DUMMYFUNCTION("""COMPUTED_VALUE"""),2013)</f>
        <v>2013</v>
      </c>
      <c r="E5558" s="10" t="str">
        <f ca="1">IFERROR(__xludf.DUMMYFUNCTION("""COMPUTED_VALUE"""),"TRAKIA JOURNAL OF SCIENCES; ISSN:1313-7069")</f>
        <v>TRAKIA JOURNAL OF SCIENCES; ISSN:1313-7069</v>
      </c>
      <c r="F5558" s="10"/>
      <c r="G5558" s="10"/>
      <c r="H5558" s="10"/>
      <c r="I5558" s="10"/>
      <c r="J5558" s="10"/>
      <c r="K5558" s="10"/>
      <c r="L5558" s="10"/>
      <c r="M5558" s="10"/>
      <c r="N5558" s="10"/>
      <c r="O5558" s="10"/>
      <c r="P5558" s="10"/>
      <c r="Q5558" s="10"/>
      <c r="R5558" s="10"/>
      <c r="S5558" s="10"/>
      <c r="T5558" s="10"/>
      <c r="U5558" s="10"/>
      <c r="V5558" s="10"/>
      <c r="W5558" s="10"/>
      <c r="X5558" s="10"/>
      <c r="Y5558" s="10"/>
      <c r="Z5558" s="10"/>
    </row>
    <row r="5559" spans="1:26" ht="12.75">
      <c r="A5559" s="10" t="str">
        <f ca="1">IFERROR(__xludf.DUMMYFUNCTION("""COMPUTED_VALUE"""),"Мария Нейкова Кънева")</f>
        <v>Мария Нейкова Кънева</v>
      </c>
      <c r="B5559" s="10" t="str">
        <f ca="1">IFERROR(__xludf.DUMMYFUNCTION("""COMPUTED_VALUE"""),"Глава от колективна монография")</f>
        <v>Глава от колективна монография</v>
      </c>
      <c r="C5559" s="10" t="str">
        <f ca="1">IFERROR(__xludf.DUMMYFUNCTION("""COMPUTED_VALUE"""),"Актуални проблеми на организацията и управлението на културноисторическото наследство - автор на 1-ва част, Раздел 2.1 от 2-ра част, Речник-Справочник")</f>
        <v>Актуални проблеми на организацията и управлението на културноисторическото наследство - автор на 1-ва част, Раздел 2.1 от 2-ра част, Речник-Справочник</v>
      </c>
      <c r="D5559" s="10">
        <f ca="1">IFERROR(__xludf.DUMMYFUNCTION("""COMPUTED_VALUE"""),2012)</f>
        <v>2012</v>
      </c>
      <c r="E5559" s="10" t="str">
        <f ca="1">IFERROR(__xludf.DUMMYFUNCTION("""COMPUTED_VALUE"""),"ИК ""Новата цивилизация"" ЕООД; ISBN:978-954-8365-635; Автор на 1-ва част, Раздел 2.1 от 2-ра част и Речник-Справочник")</f>
        <v>ИК "Новата цивилизация" ЕООД; ISBN:978-954-8365-635; Автор на 1-ва част, Раздел 2.1 от 2-ра част и Речник-Справочник</v>
      </c>
      <c r="F5559" s="10"/>
      <c r="G5559" s="10"/>
      <c r="H5559" s="10"/>
      <c r="I5559" s="10"/>
      <c r="J5559" s="10"/>
      <c r="K5559" s="10"/>
      <c r="L5559" s="10"/>
      <c r="M5559" s="10"/>
      <c r="N5559" s="10"/>
      <c r="O5559" s="10"/>
      <c r="P5559" s="10"/>
      <c r="Q5559" s="10"/>
      <c r="R5559" s="10"/>
      <c r="S5559" s="10"/>
      <c r="T5559" s="10"/>
      <c r="U5559" s="10"/>
      <c r="V5559" s="10"/>
      <c r="W5559" s="10"/>
      <c r="X5559" s="10"/>
      <c r="Y5559" s="10"/>
      <c r="Z5559" s="10"/>
    </row>
    <row r="5560" spans="1:26" ht="12.75">
      <c r="A5560" s="10" t="str">
        <f ca="1">IFERROR(__xludf.DUMMYFUNCTION("""COMPUTED_VALUE"""),"Мария Нейкова Кънева")</f>
        <v>Мария Нейкова Кънева</v>
      </c>
      <c r="B5560" s="10" t="str">
        <f ca="1">IFERROR(__xludf.DUMMYFUNCTION("""COMPUTED_VALUE"""),"Статия в списания и поредици")</f>
        <v>Статия в списания и поредици</v>
      </c>
      <c r="C5560" s="10" t="str">
        <f ca="1">IFERROR(__xludf.DUMMYFUNCTION("""COMPUTED_VALUE"""),"Въвеждането на второ ниво на местно самоуправление - основна антикризисна мярка")</f>
        <v>Въвеждането на второ ниво на местно самоуправление - основна антикризисна мярка</v>
      </c>
      <c r="D5560" s="10">
        <f ca="1">IFERROR(__xludf.DUMMYFUNCTION("""COMPUTED_VALUE"""),2012)</f>
        <v>2012</v>
      </c>
      <c r="E5560" s="10" t="str">
        <f ca="1">IFERROR(__xludf.DUMMYFUNCTION("""COMPUTED_VALUE"""),"Годишник на БСУ, 2012 г.; ISSN: 1311-221-Х")</f>
        <v>Годишник на БСУ, 2012 г.; ISSN: 1311-221-Х</v>
      </c>
      <c r="F5560" s="10"/>
      <c r="G5560" s="10"/>
      <c r="H5560" s="10"/>
      <c r="I5560" s="10"/>
      <c r="J5560" s="10"/>
      <c r="K5560" s="10"/>
      <c r="L5560" s="10"/>
      <c r="M5560" s="10"/>
      <c r="N5560" s="10"/>
      <c r="O5560" s="10"/>
      <c r="P5560" s="10"/>
      <c r="Q5560" s="10"/>
      <c r="R5560" s="10"/>
      <c r="S5560" s="10"/>
      <c r="T5560" s="10"/>
      <c r="U5560" s="10"/>
      <c r="V5560" s="10"/>
      <c r="W5560" s="10"/>
      <c r="X5560" s="10"/>
      <c r="Y5560" s="10"/>
      <c r="Z5560" s="10"/>
    </row>
    <row r="5561" spans="1:26" ht="12.75">
      <c r="A5561" s="10" t="str">
        <f ca="1">IFERROR(__xludf.DUMMYFUNCTION("""COMPUTED_VALUE"""),"Мария Нейкова Кънева")</f>
        <v>Мария Нейкова Кънева</v>
      </c>
      <c r="B5561" s="10" t="str">
        <f ca="1">IFERROR(__xludf.DUMMYFUNCTION("""COMPUTED_VALUE"""),"Статия в списания и поредици")</f>
        <v>Статия в списания и поредици</v>
      </c>
      <c r="C5561" s="10" t="str">
        <f ca="1">IFERROR(__xludf.DUMMYFUNCTION("""COMPUTED_VALUE"""),"Реформата на областно ниво на управление - устойчиво регионално и местно развитие")</f>
        <v>Реформата на областно ниво на управление - устойчиво регионално и местно развитие</v>
      </c>
      <c r="D5561" s="10">
        <f ca="1">IFERROR(__xludf.DUMMYFUNCTION("""COMPUTED_VALUE"""),2012)</f>
        <v>2012</v>
      </c>
      <c r="E5561" s="10" t="str">
        <f ca="1">IFERROR(__xludf.DUMMYFUNCTION("""COMPUTED_VALUE"""),"Юридически сборник н БСУ, том 19, 2012 г., ISSN: 1311-3771")</f>
        <v>Юридически сборник н БСУ, том 19, 2012 г., ISSN: 1311-3771</v>
      </c>
      <c r="F5561" s="10"/>
      <c r="G5561" s="10"/>
      <c r="H5561" s="10"/>
      <c r="I5561" s="10"/>
      <c r="J5561" s="10"/>
      <c r="K5561" s="10"/>
      <c r="L5561" s="10"/>
      <c r="M5561" s="10"/>
      <c r="N5561" s="10"/>
      <c r="O5561" s="10"/>
      <c r="P5561" s="10"/>
      <c r="Q5561" s="10"/>
      <c r="R5561" s="10"/>
      <c r="S5561" s="10"/>
      <c r="T5561" s="10"/>
      <c r="U5561" s="10"/>
      <c r="V5561" s="10"/>
      <c r="W5561" s="10"/>
      <c r="X5561" s="10"/>
      <c r="Y5561" s="10"/>
      <c r="Z5561" s="10"/>
    </row>
    <row r="5562" spans="1:26" ht="12.75">
      <c r="A5562" s="10" t="str">
        <f ca="1">IFERROR(__xludf.DUMMYFUNCTION("""COMPUTED_VALUE"""),"Мария Нейкова Кънева")</f>
        <v>Мария Нейкова Кънева</v>
      </c>
      <c r="B5562" s="10" t="str">
        <f ca="1">IFERROR(__xludf.DUMMYFUNCTION("""COMPUTED_VALUE"""),"Статия в списания и поредици")</f>
        <v>Статия в списания и поредици</v>
      </c>
      <c r="C5562" s="10" t="str">
        <f ca="1">IFERROR(__xludf.DUMMYFUNCTION("""COMPUTED_VALUE"""),"Процесът на децентрализация на Република България")</f>
        <v>Процесът на децентрализация на Република България</v>
      </c>
      <c r="D5562" s="10">
        <f ca="1">IFERROR(__xludf.DUMMYFUNCTION("""COMPUTED_VALUE"""),2011)</f>
        <v>2011</v>
      </c>
      <c r="E5562" s="10" t="str">
        <f ca="1">IFERROR(__xludf.DUMMYFUNCTION("""COMPUTED_VALUE"""),"Годишник на БСУ; ISSN: 1311-221-X")</f>
        <v>Годишник на БСУ; ISSN: 1311-221-X</v>
      </c>
      <c r="F5562" s="10"/>
      <c r="G5562" s="10"/>
      <c r="H5562" s="10"/>
      <c r="I5562" s="10"/>
      <c r="J5562" s="10"/>
      <c r="K5562" s="10"/>
      <c r="L5562" s="10"/>
      <c r="M5562" s="10"/>
      <c r="N5562" s="10"/>
      <c r="O5562" s="10"/>
      <c r="P5562" s="10"/>
      <c r="Q5562" s="10"/>
      <c r="R5562" s="10"/>
      <c r="S5562" s="10"/>
      <c r="T5562" s="10"/>
      <c r="U5562" s="10"/>
      <c r="V5562" s="10"/>
      <c r="W5562" s="10"/>
      <c r="X5562" s="10"/>
      <c r="Y5562" s="10"/>
      <c r="Z5562" s="10"/>
    </row>
    <row r="5563" spans="1:26" ht="12.75">
      <c r="A5563" s="10" t="str">
        <f ca="1">IFERROR(__xludf.DUMMYFUNCTION("""COMPUTED_VALUE"""),"Мария Нейкова Кънева")</f>
        <v>Мария Нейкова Кънева</v>
      </c>
      <c r="B5563" s="10" t="str">
        <f ca="1">IFERROR(__xludf.DUMMYFUNCTION("""COMPUTED_VALUE"""),"Книга")</f>
        <v>Книга</v>
      </c>
      <c r="C5563" s="10" t="str">
        <f ca="1">IFERROR(__xludf.DUMMYFUNCTION("""COMPUTED_VALUE"""),"Защита на паметниците на културата в Република Българияпри военнополитическа криза и при въоръжен конфликт")</f>
        <v>Защита на паметниците на културата в Република Българияпри военнополитическа криза и при въоръжен конфликт</v>
      </c>
      <c r="D5563" s="10">
        <f ca="1">IFERROR(__xludf.DUMMYFUNCTION("""COMPUTED_VALUE"""),2008)</f>
        <v>2008</v>
      </c>
      <c r="E5563" s="10" t="str">
        <f ca="1">IFERROR(__xludf.DUMMYFUNCTION("""COMPUTED_VALUE"""),"""За буквите - О писменехъ""; ISBN: 978-954-8887-44-1")</f>
        <v>"За буквите - О писменехъ"; ISBN: 978-954-8887-44-1</v>
      </c>
      <c r="F5563" s="10"/>
      <c r="G5563" s="10"/>
      <c r="H5563" s="10"/>
      <c r="I5563" s="10"/>
      <c r="J5563" s="10"/>
      <c r="K5563" s="10"/>
      <c r="L5563" s="10"/>
      <c r="M5563" s="10"/>
      <c r="N5563" s="10"/>
      <c r="O5563" s="10"/>
      <c r="P5563" s="10"/>
      <c r="Q5563" s="10"/>
      <c r="R5563" s="10"/>
      <c r="S5563" s="10"/>
      <c r="T5563" s="10"/>
      <c r="U5563" s="10"/>
      <c r="V5563" s="10"/>
      <c r="W5563" s="10"/>
      <c r="X5563" s="10"/>
      <c r="Y5563" s="10"/>
      <c r="Z5563" s="10"/>
    </row>
    <row r="5564" spans="1:26" ht="12.75">
      <c r="A5564" s="10" t="str">
        <f ca="1">IFERROR(__xludf.DUMMYFUNCTION("""COMPUTED_VALUE"""),"Мария Стефанова Николова")</f>
        <v>Мария Стефанова Николова</v>
      </c>
      <c r="B5564" s="10" t="str">
        <f ca="1">IFERROR(__xludf.DUMMYFUNCTION("""COMPUTED_VALUE"""),"Доклад от конференция")</f>
        <v>Доклад от конференция</v>
      </c>
      <c r="C5564" s="10" t="str">
        <f ca="1">IFERROR(__xludf.DUMMYFUNCTION("""COMPUTED_VALUE"""),"WIDENING THE PROFESSIONAL COMPETENCES OF STUDENTS BY INCLUDING THEM IN ACADEMIC RESEARCH PROJECTS")</f>
        <v>WIDENING THE PROFESSIONAL COMPETENCES OF STUDENTS BY INCLUDING THEM IN ACADEMIC RESEARCH PROJECTS</v>
      </c>
      <c r="D5564" s="10">
        <f ca="1">IFERROR(__xludf.DUMMYFUNCTION("""COMPUTED_VALUE"""),2018)</f>
        <v>2018</v>
      </c>
      <c r="E5564" s="10" t="str">
        <f ca="1">IFERROR(__xludf.DUMMYFUNCTION("""COMPUTED_VALUE"""),"ICERI2018 Proceedings (browse) Pages: 1757-1760 Publication year: 2018 ISBN: 978-84-09-05948-5 ISSN: 2340-1095 doi: 10.21125/iceri.2018.1391")</f>
        <v>ICERI2018 Proceedings (browse) Pages: 1757-1760 Publication year: 2018 ISBN: 978-84-09-05948-5 ISSN: 2340-1095 doi: 10.21125/iceri.2018.1391</v>
      </c>
      <c r="F5564" s="10" t="str">
        <f ca="1">IFERROR(__xludf.DUMMYFUNCTION("""COMPUTED_VALUE"""),"WEB OF SCIENCE")</f>
        <v>WEB OF SCIENCE</v>
      </c>
      <c r="G5564" s="10" t="str">
        <f ca="1">IFERROR(__xludf.DUMMYFUNCTION("""COMPUTED_VALUE"""),"S. Denchev, V. Nikolova, S. Vasileva")</f>
        <v>S. Denchev, V. Nikolova, S. Vasileva</v>
      </c>
      <c r="H5564" s="10"/>
      <c r="I5564" s="10"/>
      <c r="J5564" s="10"/>
      <c r="K5564" s="10"/>
      <c r="L5564" s="10"/>
      <c r="M5564" s="10"/>
      <c r="N5564" s="10"/>
      <c r="O5564" s="10"/>
      <c r="P5564" s="10"/>
      <c r="Q5564" s="10"/>
      <c r="R5564" s="10"/>
      <c r="S5564" s="10"/>
      <c r="T5564" s="10"/>
      <c r="U5564" s="10"/>
      <c r="V5564" s="10"/>
      <c r="W5564" s="10"/>
      <c r="X5564" s="10"/>
      <c r="Y5564" s="10"/>
      <c r="Z5564" s="10"/>
    </row>
    <row r="5565" spans="1:26" ht="12.75">
      <c r="A5565" s="10" t="str">
        <f ca="1">IFERROR(__xludf.DUMMYFUNCTION("""COMPUTED_VALUE"""),"Мария Стефанова Николова")</f>
        <v>Мария Стефанова Николова</v>
      </c>
      <c r="B5565" s="10" t="str">
        <f ca="1">IFERROR(__xludf.DUMMYFUNCTION("""COMPUTED_VALUE"""),"Доклад от конференция")</f>
        <v>Доклад от конференция</v>
      </c>
      <c r="C5565" s="10" t="str">
        <f ca="1">IFERROR(__xludf.DUMMYFUNCTION("""COMPUTED_VALUE"""),"Актуальные практики сохранения христианских памятников и религиозных традиций в Болгарии.")</f>
        <v>Актуальные практики сохранения христианских памятников и религиозных традиций в Болгарии.</v>
      </c>
      <c r="D5565" s="10">
        <f ca="1">IFERROR(__xludf.DUMMYFUNCTION("""COMPUTED_VALUE"""),2018)</f>
        <v>2018</v>
      </c>
      <c r="E5565" s="10" t="str">
        <f ca="1">IFERROR(__xludf.DUMMYFUNCTION("""COMPUTED_VALUE"""),"ЮНЕСКО 2018 «ОСНОВНЫЕ НАПРАВЛЕНИЯ РЕАЛИЗАЦИИ ПРОГРАММЫ ДЕЙСТВИЙ ПО МЕЖДУНАРОДНОМУ ДЕСЯТИЛЕТИЮ СБЛИЖЕНИЯ КУЛЬТУР» Материалы Международной научно-практической конференции, посвященные празднованию 90-летия образования Казахского национального педагогическог"&amp;"о университета имени Абая – т. 1, Алматы, 2018, с.216-218, ISBN 978-601-298-727-0")</f>
        <v>ЮНЕСКО 2018 «ОСНОВНЫЕ НАПРАВЛЕНИЯ РЕАЛИЗАЦИИ ПРОГРАММЫ ДЕЙСТВИЙ ПО МЕЖДУНАРОДНОМУ ДЕСЯТИЛЕТИЮ СБЛИЖЕНИЯ КУЛЬТУР» Материалы Международной научно-практической конференции, посвященные празднованию 90-летия образования Казахского национального педагогического университета имени Абая – т. 1, Алматы, 2018, с.216-218, ISBN 978-601-298-727-0</v>
      </c>
      <c r="F5565" s="10"/>
      <c r="G5565" s="10" t="str">
        <f ca="1">IFERROR(__xludf.DUMMYFUNCTION("""COMPUTED_VALUE"""),"Вяра В. Николова")</f>
        <v>Вяра В. Николова</v>
      </c>
      <c r="H5565" s="10"/>
      <c r="I5565" s="10"/>
      <c r="J5565" s="10"/>
      <c r="K5565" s="10"/>
      <c r="L5565" s="10"/>
      <c r="M5565" s="10"/>
      <c r="N5565" s="10"/>
      <c r="O5565" s="10"/>
      <c r="P5565" s="10"/>
      <c r="Q5565" s="10"/>
      <c r="R5565" s="10"/>
      <c r="S5565" s="10"/>
      <c r="T5565" s="10"/>
      <c r="U5565" s="10"/>
      <c r="V5565" s="10"/>
      <c r="W5565" s="10"/>
      <c r="X5565" s="10"/>
      <c r="Y5565" s="10"/>
      <c r="Z5565" s="10"/>
    </row>
    <row r="5566" spans="1:26" ht="12.75">
      <c r="A5566" s="10" t="str">
        <f ca="1">IFERROR(__xludf.DUMMYFUNCTION("""COMPUTED_VALUE"""),"Мария Стефанова Николова")</f>
        <v>Мария Стефанова Николова</v>
      </c>
      <c r="B5566" s="10" t="str">
        <f ca="1">IFERROR(__xludf.DUMMYFUNCTION("""COMPUTED_VALUE"""),"Доклад от конференция")</f>
        <v>Доклад от конференция</v>
      </c>
      <c r="C5566" s="10" t="str">
        <f ca="1">IFERROR(__xludf.DUMMYFUNCTION("""COMPUTED_VALUE"""),"STUDYING CULTURAL HERITAGE AS A CONTEMPORARY FORM OF UNIVERSITY EDUCATION")</f>
        <v>STUDYING CULTURAL HERITAGE AS A CONTEMPORARY FORM OF UNIVERSITY EDUCATION</v>
      </c>
      <c r="D5566" s="10">
        <f ca="1">IFERROR(__xludf.DUMMYFUNCTION("""COMPUTED_VALUE"""),2018)</f>
        <v>2018</v>
      </c>
      <c r="E5566" s="10" t="str">
        <f ca="1">IFERROR(__xludf.DUMMYFUNCTION("""COMPUTED_VALUE"""),"Proceedings of EDULEARN18 Conference 2nd-4th July 2018, Palma, Mallorca, Spain, ISBN: 978-84-09-02709-5")</f>
        <v>Proceedings of EDULEARN18 Conference 2nd-4th July 2018, Palma, Mallorca, Spain, ISBN: 978-84-09-02709-5</v>
      </c>
      <c r="F5566" s="10" t="str">
        <f ca="1">IFERROR(__xludf.DUMMYFUNCTION("""COMPUTED_VALUE"""),"Web of science
 Crossref")</f>
        <v>Web of science
 Crossref</v>
      </c>
      <c r="G5566" s="10" t="str">
        <f ca="1">IFERROR(__xludf.DUMMYFUNCTION("""COMPUTED_VALUE"""),"Stoyan Dentchev, Ivanka Yankova, Silvia Stancheva")</f>
        <v>Stoyan Dentchev, Ivanka Yankova, Silvia Stancheva</v>
      </c>
      <c r="H5566" s="10"/>
      <c r="I5566" s="10"/>
      <c r="J5566" s="10"/>
      <c r="K5566" s="10"/>
      <c r="L5566" s="10"/>
      <c r="M5566" s="10"/>
      <c r="N5566" s="10"/>
      <c r="O5566" s="10"/>
      <c r="P5566" s="10"/>
      <c r="Q5566" s="10"/>
      <c r="R5566" s="10"/>
      <c r="S5566" s="10"/>
      <c r="T5566" s="10"/>
      <c r="U5566" s="10"/>
      <c r="V5566" s="10"/>
      <c r="W5566" s="10"/>
      <c r="X5566" s="10"/>
      <c r="Y5566" s="10"/>
      <c r="Z5566" s="10"/>
    </row>
    <row r="5567" spans="1:26" ht="12.75">
      <c r="A5567" s="10" t="str">
        <f ca="1">IFERROR(__xludf.DUMMYFUNCTION("""COMPUTED_VALUE"""),"Мария Стефанова Николова")</f>
        <v>Мария Стефанова Николова</v>
      </c>
      <c r="B5567" s="10" t="str">
        <f ca="1">IFERROR(__xludf.DUMMYFUNCTION("""COMPUTED_VALUE"""),"Доклад от конференция")</f>
        <v>Доклад от конференция</v>
      </c>
      <c r="C5567" s="10" t="str">
        <f ca="1">IFERROR(__xludf.DUMMYFUNCTION("""COMPUTED_VALUE"""),"Букварите на Павел Калянджи (1861), Сава Радулов (1866) и Мария Доброплодна (1866), отпечатани в печатницата на болградската гимназия и техния принос за началното ограмотяване на децата на бесарабските българи.")</f>
        <v>Букварите на Павел Калянджи (1861), Сава Радулов (1866) и Мария Доброплодна (1866), отпечатани в печатницата на болградската гимназия и техния принос за началното ограмотяване на децата на бесарабските българи.</v>
      </c>
      <c r="D5567" s="10">
        <f ca="1">IFERROR(__xludf.DUMMYFUNCTION("""COMPUTED_VALUE"""),2017)</f>
        <v>2017</v>
      </c>
      <c r="E5567" s="10" t="str">
        <f ca="1">IFERROR(__xludf.DUMMYFUNCTION("""COMPUTED_VALUE"""),"Общество на знанието и хуманизмът на XXI век. Национална научна конференция с международно участие. София, 1 ноември 2016 г. София, 2017 с.111-119. ISSN 1314-7099")</f>
        <v>Общество на знанието и хуманизмът на XXI век. Национална научна конференция с международно участие. София, 1 ноември 2016 г. София, 2017 с.111-119. ISSN 1314-7099</v>
      </c>
      <c r="F5567" s="10"/>
      <c r="G5567" s="10" t="str">
        <f ca="1">IFERROR(__xludf.DUMMYFUNCTION("""COMPUTED_VALUE"""),"Караиванова, Татяна")</f>
        <v>Караиванова, Татяна</v>
      </c>
      <c r="H5567" s="10"/>
      <c r="I5567" s="10"/>
      <c r="J5567" s="10"/>
      <c r="K5567" s="10"/>
      <c r="L5567" s="10"/>
      <c r="M5567" s="10"/>
      <c r="N5567" s="10"/>
      <c r="O5567" s="10"/>
      <c r="P5567" s="10"/>
      <c r="Q5567" s="10"/>
      <c r="R5567" s="10"/>
      <c r="S5567" s="10"/>
      <c r="T5567" s="10"/>
      <c r="U5567" s="10"/>
      <c r="V5567" s="10"/>
      <c r="W5567" s="10"/>
      <c r="X5567" s="10"/>
      <c r="Y5567" s="10"/>
      <c r="Z5567" s="10"/>
    </row>
    <row r="5568" spans="1:26" ht="12.75">
      <c r="A5568" s="10" t="str">
        <f ca="1">IFERROR(__xludf.DUMMYFUNCTION("""COMPUTED_VALUE"""),"Мария Стефанова Николова")</f>
        <v>Мария Стефанова Николова</v>
      </c>
      <c r="B5568" s="10" t="str">
        <f ca="1">IFERROR(__xludf.DUMMYFUNCTION("""COMPUTED_VALUE"""),"Книга")</f>
        <v>Книга</v>
      </c>
      <c r="C5568" s="10" t="str">
        <f ca="1">IFERROR(__xludf.DUMMYFUNCTION("""COMPUTED_VALUE"""),"Първата българска гимназия в Болград и нейните две библиотеки.")</f>
        <v>Първата българска гимназия в Болград и нейните две библиотеки.</v>
      </c>
      <c r="D5568" s="10">
        <f ca="1">IFERROR(__xludf.DUMMYFUNCTION("""COMPUTED_VALUE"""),2016)</f>
        <v>2016</v>
      </c>
      <c r="E5568" s="10" t="str">
        <f ca="1">IFERROR(__xludf.DUMMYFUNCTION("""COMPUTED_VALUE"""),"София: За буквите – О писменехь, 2016, 78 с. ISBN 978-619-185-208-6.")</f>
        <v>София: За буквите – О писменехь, 2016, 78 с. ISBN 978-619-185-208-6.</v>
      </c>
      <c r="F5568" s="10"/>
      <c r="G5568" s="10" t="str">
        <f ca="1">IFERROR(__xludf.DUMMYFUNCTION("""COMPUTED_VALUE"""),"Караиванова, Т.")</f>
        <v>Караиванова, Т.</v>
      </c>
      <c r="H5568" s="10"/>
      <c r="I5568" s="10"/>
      <c r="J5568" s="10"/>
      <c r="K5568" s="10"/>
      <c r="L5568" s="10"/>
      <c r="M5568" s="10"/>
      <c r="N5568" s="10"/>
      <c r="O5568" s="10"/>
      <c r="P5568" s="10"/>
      <c r="Q5568" s="10"/>
      <c r="R5568" s="10"/>
      <c r="S5568" s="10"/>
      <c r="T5568" s="10"/>
      <c r="U5568" s="10"/>
      <c r="V5568" s="10"/>
      <c r="W5568" s="10"/>
      <c r="X5568" s="10"/>
      <c r="Y5568" s="10"/>
      <c r="Z5568" s="10"/>
    </row>
    <row r="5569" spans="1:26" ht="12.75">
      <c r="A5569" s="10" t="str">
        <f ca="1">IFERROR(__xludf.DUMMYFUNCTION("""COMPUTED_VALUE"""),"Мария Стефанова Николова")</f>
        <v>Мария Стефанова Николова</v>
      </c>
      <c r="B5569" s="10" t="str">
        <f ca="1">IFERROR(__xludf.DUMMYFUNCTION("""COMPUTED_VALUE"""),"Доклад от конференция")</f>
        <v>Доклад от конференция</v>
      </c>
      <c r="C5569" s="10" t="str">
        <f ca="1">IFERROR(__xludf.DUMMYFUNCTION("""COMPUTED_VALUE"""),"Роль болгарских журналов для детей „Детска радост” и „Светулка” в развитии национальной детской литературы.")</f>
        <v>Роль болгарских журналов для детей „Детска радост” и „Светулка” в развитии национальной детской литературы.</v>
      </c>
      <c r="D5569" s="10">
        <f ca="1">IFERROR(__xludf.DUMMYFUNCTION("""COMPUTED_VALUE"""),2016)</f>
        <v>2016</v>
      </c>
      <c r="E5569" s="10" t="str">
        <f ca="1">IFERROR(__xludf.DUMMYFUNCTION("""COMPUTED_VALUE"""),"В: Академическая наука – проблемы и достижения. 15-16.02.2016. Материалы VIII Международной научно-практической конференции. Т. 3. – North Charleston, 2016, с. 152-159. ISBN: 978-1514186220")</f>
        <v>В: Академическая наука – проблемы и достижения. 15-16.02.2016. Материалы VIII Международной научно-практической конференции. Т. 3. – North Charleston, 2016, с. 152-159. ISBN: 978-1514186220</v>
      </c>
      <c r="F5569" s="10" t="str">
        <f ca="1">IFERROR(__xludf.DUMMYFUNCTION("""COMPUTED_VALUE"""),"РИНЦ")</f>
        <v>РИНЦ</v>
      </c>
      <c r="G5569" s="10"/>
      <c r="H5569" s="10"/>
      <c r="I5569" s="10"/>
      <c r="J5569" s="10"/>
      <c r="K5569" s="10"/>
      <c r="L5569" s="10"/>
      <c r="M5569" s="10"/>
      <c r="N5569" s="10"/>
      <c r="O5569" s="10"/>
      <c r="P5569" s="10"/>
      <c r="Q5569" s="10"/>
      <c r="R5569" s="10"/>
      <c r="S5569" s="10"/>
      <c r="T5569" s="10"/>
      <c r="U5569" s="10"/>
      <c r="V5569" s="10"/>
      <c r="W5569" s="10"/>
      <c r="X5569" s="10"/>
      <c r="Y5569" s="10"/>
      <c r="Z5569" s="10"/>
    </row>
    <row r="5570" spans="1:26" ht="12.75">
      <c r="A5570" s="10" t="str">
        <f ca="1">IFERROR(__xludf.DUMMYFUNCTION("""COMPUTED_VALUE"""),"Мария Стефанова Николова")</f>
        <v>Мария Стефанова Николова</v>
      </c>
      <c r="B5570" s="10" t="str">
        <f ca="1">IFERROR(__xludf.DUMMYFUNCTION("""COMPUTED_VALUE"""),"Книга")</f>
        <v>Книга</v>
      </c>
      <c r="C5570" s="10" t="str">
        <f ca="1">IFERROR(__xludf.DUMMYFUNCTION("""COMPUTED_VALUE"""),"Учебно помагало по българска литература за деца от Възраждането до края на Втората световна война. Част І.")</f>
        <v>Учебно помагало по българска литература за деца от Възраждането до края на Втората световна война. Част І.</v>
      </c>
      <c r="D5570" s="10">
        <f ca="1">IFERROR(__xludf.DUMMYFUNCTION("""COMPUTED_VALUE"""),2016)</f>
        <v>2016</v>
      </c>
      <c r="E5570" s="10" t="str">
        <f ca="1">IFERROR(__xludf.DUMMYFUNCTION("""COMPUTED_VALUE"""),"Николова, Мария, Ефтимова, Събина.Учебно помагало по българска литература за деца от Възраждането до края на Втората световна в")</f>
        <v>Николова, Мария, Ефтимова, Събина.Учебно помагало по българска литература за деца от Възраждането до края на Втората световна в</v>
      </c>
      <c r="F5570" s="10"/>
      <c r="G5570" s="10" t="str">
        <f ca="1">IFERROR(__xludf.DUMMYFUNCTION("""COMPUTED_VALUE"""),"Събина Ефтимова")</f>
        <v>Събина Ефтимова</v>
      </c>
      <c r="H5570" s="10"/>
      <c r="I5570" s="10"/>
      <c r="J5570" s="10"/>
      <c r="K5570" s="10"/>
      <c r="L5570" s="10"/>
      <c r="M5570" s="10"/>
      <c r="N5570" s="10"/>
      <c r="O5570" s="10"/>
      <c r="P5570" s="10"/>
      <c r="Q5570" s="10"/>
      <c r="R5570" s="10"/>
      <c r="S5570" s="10"/>
      <c r="T5570" s="10"/>
      <c r="U5570" s="10"/>
      <c r="V5570" s="10"/>
      <c r="W5570" s="10"/>
      <c r="X5570" s="10"/>
      <c r="Y5570" s="10"/>
      <c r="Z5570" s="10"/>
    </row>
    <row r="5571" spans="1:26" ht="12.75">
      <c r="A5571" s="10" t="str">
        <f ca="1">IFERROR(__xludf.DUMMYFUNCTION("""COMPUTED_VALUE"""),"Мария Стефанова Николова")</f>
        <v>Мария Стефанова Николова</v>
      </c>
      <c r="B5571" s="10" t="str">
        <f ca="1">IFERROR(__xludf.DUMMYFUNCTION("""COMPUTED_VALUE"""),"Монография")</f>
        <v>Монография</v>
      </c>
      <c r="C5571" s="10" t="str">
        <f ca="1">IFERROR(__xludf.DUMMYFUNCTION("""COMPUTED_VALUE"""),"Издателски мрежи в българската детска литература. Кръгът „Детска радост“.")</f>
        <v>Издателски мрежи в българската детска литература. Кръгът „Детска радост“.</v>
      </c>
      <c r="D5571" s="10">
        <f ca="1">IFERROR(__xludf.DUMMYFUNCTION("""COMPUTED_VALUE"""),2016)</f>
        <v>2016</v>
      </c>
      <c r="E5571" s="10" t="str">
        <f ca="1">IFERROR(__xludf.DUMMYFUNCTION("""COMPUTED_VALUE"""),"За буквите – О писменехь, 2016, 278 с. ISBN 978-619-185-238-3.")</f>
        <v>За буквите – О писменехь, 2016, 278 с. ISBN 978-619-185-238-3.</v>
      </c>
      <c r="F5571" s="10"/>
      <c r="G5571" s="10"/>
      <c r="H5571" s="10"/>
      <c r="I5571" s="10"/>
      <c r="J5571" s="10"/>
      <c r="K5571" s="10"/>
      <c r="L5571" s="10"/>
      <c r="M5571" s="10"/>
      <c r="N5571" s="10"/>
      <c r="O5571" s="10"/>
      <c r="P5571" s="10"/>
      <c r="Q5571" s="10"/>
      <c r="R5571" s="10"/>
      <c r="S5571" s="10"/>
      <c r="T5571" s="10"/>
      <c r="U5571" s="10"/>
      <c r="V5571" s="10"/>
      <c r="W5571" s="10"/>
      <c r="X5571" s="10"/>
      <c r="Y5571" s="10"/>
      <c r="Z5571" s="10"/>
    </row>
    <row r="5572" spans="1:26" ht="12.75">
      <c r="A5572" s="10" t="str">
        <f ca="1">IFERROR(__xludf.DUMMYFUNCTION("""COMPUTED_VALUE"""),"Мария Стефанова Николова")</f>
        <v>Мария Стефанова Николова</v>
      </c>
      <c r="B5572" s="10" t="str">
        <f ca="1">IFERROR(__xludf.DUMMYFUNCTION("""COMPUTED_VALUE"""),"Учебно пособие")</f>
        <v>Учебно пособие</v>
      </c>
      <c r="C5572" s="10" t="str">
        <f ca="1">IFERROR(__xludf.DUMMYFUNCTION("""COMPUTED_VALUE"""),"Българска литература за деца от Възраждането до края на Втората световна война. Част І.")</f>
        <v>Българска литература за деца от Възраждането до края на Втората световна война. Част І.</v>
      </c>
      <c r="D5572" s="10">
        <f ca="1">IFERROR(__xludf.DUMMYFUNCTION("""COMPUTED_VALUE"""),2016)</f>
        <v>2016</v>
      </c>
      <c r="E5572" s="10" t="str">
        <f ca="1">IFERROR(__xludf.DUMMYFUNCTION("""COMPUTED_VALUE"""),"София: За буквите – О писменехь, 2016, 128 с. ISBN 978-619-185-236-9.")</f>
        <v>София: За буквите – О писменехь, 2016, 128 с. ISBN 978-619-185-236-9.</v>
      </c>
      <c r="F5572" s="10"/>
      <c r="G5572" s="10" t="str">
        <f ca="1">IFERROR(__xludf.DUMMYFUNCTION("""COMPUTED_VALUE"""),"Събина Ефтимова")</f>
        <v>Събина Ефтимова</v>
      </c>
      <c r="H5572" s="10"/>
      <c r="I5572" s="10"/>
      <c r="J5572" s="10"/>
      <c r="K5572" s="10"/>
      <c r="L5572" s="10"/>
      <c r="M5572" s="10"/>
      <c r="N5572" s="10"/>
      <c r="O5572" s="10"/>
      <c r="P5572" s="10"/>
      <c r="Q5572" s="10"/>
      <c r="R5572" s="10"/>
      <c r="S5572" s="10"/>
      <c r="T5572" s="10"/>
      <c r="U5572" s="10"/>
      <c r="V5572" s="10"/>
      <c r="W5572" s="10"/>
      <c r="X5572" s="10"/>
      <c r="Y5572" s="10"/>
      <c r="Z5572" s="10"/>
    </row>
    <row r="5573" spans="1:26" ht="12.75">
      <c r="A5573" s="10" t="str">
        <f ca="1">IFERROR(__xludf.DUMMYFUNCTION("""COMPUTED_VALUE"""),"Мария Стефанова Николова")</f>
        <v>Мария Стефанова Николова</v>
      </c>
      <c r="B5573" s="10" t="str">
        <f ca="1">IFERROR(__xludf.DUMMYFUNCTION("""COMPUTED_VALUE"""),"Доклад от конференция")</f>
        <v>Доклад от конференция</v>
      </c>
      <c r="C5573" s="10" t="str">
        <f ca="1">IFERROR(__xludf.DUMMYFUNCTION("""COMPUTED_VALUE"""),"Творчеството на Дора Габе на страниците на списание „Детска радост”.")</f>
        <v>Творчеството на Дора Габе на страниците на списание „Детска радост”.</v>
      </c>
      <c r="D5573" s="10">
        <f ca="1">IFERROR(__xludf.DUMMYFUNCTION("""COMPUTED_VALUE"""),2015)</f>
        <v>2015</v>
      </c>
      <c r="E5573" s="10" t="str">
        <f ca="1">IFERROR(__xludf.DUMMYFUNCTION("""COMPUTED_VALUE"""),"В: Съвременни измерения на европейското образователно и научно пространство. Сб. с доклади VII, VIII, IX Международен пътуващ семинар на УниБИТ, VIII. „Съвременни измерения на европейското образователно и научно пространство. Българо-албански културни общ"&amp;"увания” България – Албания, 22-28 юни 2014 г. IX. „Съвременни измерения на европейското образователно и научно пространство. Българо-малтийски културни общувания” България – Малта, 1-6 юни 2015 г. – София, 2015, с. 353-356. ISSN 2367-7988")</f>
        <v>В: Съвременни измерения на европейското образователно и научно пространство. Сб. с доклади VII, VIII, IX Международен пътуващ семинар на УниБИТ, VIII. „Съвременни измерения на европейското образователно и научно пространство. Българо-албански културни общувания” България – Албания, 22-28 юни 2014 г. IX. „Съвременни измерения на европейското образователно и научно пространство. Българо-малтийски културни общувания” България – Малта, 1-6 юни 2015 г. – София, 2015, с. 353-356. ISSN 2367-7988</v>
      </c>
      <c r="F5573" s="10"/>
      <c r="G5573" s="10"/>
      <c r="H5573" s="10"/>
      <c r="I5573" s="10"/>
      <c r="J5573" s="10"/>
      <c r="K5573" s="10"/>
      <c r="L5573" s="10"/>
      <c r="M5573" s="10"/>
      <c r="N5573" s="10"/>
      <c r="O5573" s="10"/>
      <c r="P5573" s="10"/>
      <c r="Q5573" s="10"/>
      <c r="R5573" s="10"/>
      <c r="S5573" s="10"/>
      <c r="T5573" s="10"/>
      <c r="U5573" s="10"/>
      <c r="V5573" s="10"/>
      <c r="W5573" s="10"/>
      <c r="X5573" s="10"/>
      <c r="Y5573" s="10"/>
      <c r="Z5573" s="10"/>
    </row>
    <row r="5574" spans="1:26" ht="12.75">
      <c r="A5574" s="10" t="str">
        <f ca="1">IFERROR(__xludf.DUMMYFUNCTION("""COMPUTED_VALUE"""),"Мария Стефанова Николова")</f>
        <v>Мария Стефанова Николова</v>
      </c>
      <c r="B5574" s="10" t="str">
        <f ca="1">IFERROR(__xludf.DUMMYFUNCTION("""COMPUTED_VALUE"""),"Доклад от конференция")</f>
        <v>Доклад от конференция</v>
      </c>
      <c r="C5574" s="10" t="str">
        <f ca="1">IFERROR(__xludf.DUMMYFUNCTION("""COMPUTED_VALUE"""),"Малко познатата в България Божена Немцова.")</f>
        <v>Малко познатата в България Божена Немцова.</v>
      </c>
      <c r="D5574" s="10">
        <f ca="1">IFERROR(__xludf.DUMMYFUNCTION("""COMPUTED_VALUE"""),2015)</f>
        <v>2015</v>
      </c>
      <c r="E5574" s="10" t="str">
        <f ca="1">IFERROR(__xludf.DUMMYFUNCTION("""COMPUTED_VALUE"""),"В: Съвременни измерения на европейското образователно и научно пространство. Сб. с доклади IV, V, VI Международен пътуващ семинар на УниБИТ. VI „Съвременни измерения на европейското образователно и научно пространство. Българо-чешки културно общувания”. Б"&amp;"ългария – Чехия, 17-22 април 2012. – София, 2015, с. 288-290. ISSN 2367-7988")</f>
        <v>В: Съвременни измерения на европейското образователно и научно пространство. Сб. с доклади IV, V, VI Международен пътуващ семинар на УниБИТ. VI „Съвременни измерения на европейското образователно и научно пространство. Българо-чешки културно общувания”. България – Чехия, 17-22 април 2012. – София, 2015, с. 288-290. ISSN 2367-7988</v>
      </c>
      <c r="F5574" s="10"/>
      <c r="G5574" s="10"/>
      <c r="H5574" s="10"/>
      <c r="I5574" s="10"/>
      <c r="J5574" s="10"/>
      <c r="K5574" s="10"/>
      <c r="L5574" s="10"/>
      <c r="M5574" s="10"/>
      <c r="N5574" s="10"/>
      <c r="O5574" s="10"/>
      <c r="P5574" s="10"/>
      <c r="Q5574" s="10"/>
      <c r="R5574" s="10"/>
      <c r="S5574" s="10"/>
      <c r="T5574" s="10"/>
      <c r="U5574" s="10"/>
      <c r="V5574" s="10"/>
      <c r="W5574" s="10"/>
      <c r="X5574" s="10"/>
      <c r="Y5574" s="10"/>
      <c r="Z5574" s="10"/>
    </row>
    <row r="5575" spans="1:26" ht="12.75">
      <c r="A5575" s="10" t="str">
        <f ca="1">IFERROR(__xludf.DUMMYFUNCTION("""COMPUTED_VALUE"""),"Мария Стефанова Николова")</f>
        <v>Мария Стефанова Николова</v>
      </c>
      <c r="B5575" s="10" t="str">
        <f ca="1">IFERROR(__xludf.DUMMYFUNCTION("""COMPUTED_VALUE"""),"Доклад от конференция")</f>
        <v>Доклад от конференция</v>
      </c>
      <c r="C5575" s="10" t="str">
        <f ca="1">IFERROR(__xludf.DUMMYFUNCTION("""COMPUTED_VALUE"""),"Фламенко – визитната картичка на испанската култура.")</f>
        <v>Фламенко – визитната картичка на испанската култура.</v>
      </c>
      <c r="D5575" s="10">
        <f ca="1">IFERROR(__xludf.DUMMYFUNCTION("""COMPUTED_VALUE"""),2015)</f>
        <v>2015</v>
      </c>
      <c r="E5575" s="10" t="str">
        <f ca="1">IFERROR(__xludf.DUMMYFUNCTION("""COMPUTED_VALUE"""),"В: Съвременни измерения на европейското образователно и научно пространство. Сб. с доклади IV, V, VI Международен пътуващ семинар на УниБИТ. IV „Съвременни измерения на европейското образователно и научно пространство. Българо-испански културни общувания”"&amp;". България – Испания, 10-17 април 2010. – София, 2015, с. 102-105. ISSN 2367-7988")</f>
        <v>В: Съвременни измерения на европейското образователно и научно пространство. Сб. с доклади IV, V, VI Международен пътуващ семинар на УниБИТ. IV „Съвременни измерения на европейското образователно и научно пространство. Българо-испански културни общувания”. България – Испания, 10-17 април 2010. – София, 2015, с. 102-105. ISSN 2367-7988</v>
      </c>
      <c r="F5575" s="10"/>
      <c r="G5575" s="10"/>
      <c r="H5575" s="10"/>
      <c r="I5575" s="10"/>
      <c r="J5575" s="10"/>
      <c r="K5575" s="10"/>
      <c r="L5575" s="10"/>
      <c r="M5575" s="10"/>
      <c r="N5575" s="10"/>
      <c r="O5575" s="10"/>
      <c r="P5575" s="10"/>
      <c r="Q5575" s="10"/>
      <c r="R5575" s="10"/>
      <c r="S5575" s="10"/>
      <c r="T5575" s="10"/>
      <c r="U5575" s="10"/>
      <c r="V5575" s="10"/>
      <c r="W5575" s="10"/>
      <c r="X5575" s="10"/>
      <c r="Y5575" s="10"/>
      <c r="Z5575" s="10"/>
    </row>
    <row r="5576" spans="1:26" ht="12.75">
      <c r="A5576" s="10" t="str">
        <f ca="1">IFERROR(__xludf.DUMMYFUNCTION("""COMPUTED_VALUE"""),"Мария Стефанова Николова")</f>
        <v>Мария Стефанова Николова</v>
      </c>
      <c r="B5576" s="10" t="str">
        <f ca="1">IFERROR(__xludf.DUMMYFUNCTION("""COMPUTED_VALUE"""),"Доклад от конференция")</f>
        <v>Доклад от конференция</v>
      </c>
      <c r="C5576" s="10" t="str">
        <f ca="1">IFERROR(__xludf.DUMMYFUNCTION("""COMPUTED_VALUE"""),"Интердисциплинарный подход в преподавании иностранной литературы студентам-нефилологам (на примере преподавания русской литературы XX в. студентам Государственного университета библиотековедения и информационных технологий – София, Р. Болгария)")</f>
        <v>Интердисциплинарный подход в преподавании иностранной литературы студентам-нефилологам (на примере преподавания русской литературы XX в. студентам Государственного университета библиотековедения и информационных технологий – София, Р. Болгария)</v>
      </c>
      <c r="D5576" s="10">
        <f ca="1">IFERROR(__xludf.DUMMYFUNCTION("""COMPUTED_VALUE"""),2015)</f>
        <v>2015</v>
      </c>
      <c r="E5576" s="10" t="str">
        <f ca="1">IFERROR(__xludf.DUMMYFUNCTION("""COMPUTED_VALUE"""),"В: „Русский язык и литература в пространстве мировой культуры” 13-20 сентября 2015 г., материалы XIII Конгресса МАПРЯЛ. Т. 15, Направление 14, Методика преподавания русской литературы русской литературы: теория и практика. - Санкт-Петербург, 2015, с. 89-9"&amp;"3. ISBN 978-5-9906635-0-3")</f>
        <v>В: „Русский язык и литература в пространстве мировой культуры” 13-20 сентября 2015 г., материалы XIII Конгресса МАПРЯЛ. Т. 15, Направление 14, Методика преподавания русской литературы русской литературы: теория и практика. - Санкт-Петербург, 2015, с. 89-93. ISBN 978-5-9906635-0-3</v>
      </c>
      <c r="F5576" s="10" t="str">
        <f ca="1">IFERROR(__xludf.DUMMYFUNCTION("""COMPUTED_VALUE"""),"РИНЦ")</f>
        <v>РИНЦ</v>
      </c>
      <c r="G5576" s="10"/>
      <c r="H5576" s="10"/>
      <c r="I5576" s="10"/>
      <c r="J5576" s="10"/>
      <c r="K5576" s="10"/>
      <c r="L5576" s="10"/>
      <c r="M5576" s="10"/>
      <c r="N5576" s="10"/>
      <c r="O5576" s="10"/>
      <c r="P5576" s="10"/>
      <c r="Q5576" s="10"/>
      <c r="R5576" s="10"/>
      <c r="S5576" s="10"/>
      <c r="T5576" s="10"/>
      <c r="U5576" s="10"/>
      <c r="V5576" s="10"/>
      <c r="W5576" s="10"/>
      <c r="X5576" s="10"/>
      <c r="Y5576" s="10"/>
      <c r="Z5576" s="10"/>
    </row>
    <row r="5577" spans="1:26" ht="12.75">
      <c r="A5577" s="10" t="str">
        <f ca="1">IFERROR(__xludf.DUMMYFUNCTION("""COMPUTED_VALUE"""),"Мария Стефанова Николова")</f>
        <v>Мария Стефанова Николова</v>
      </c>
      <c r="B5577" s="10" t="str">
        <f ca="1">IFERROR(__xludf.DUMMYFUNCTION("""COMPUTED_VALUE"""),"Книга")</f>
        <v>Книга</v>
      </c>
      <c r="C5577" s="10" t="str">
        <f ca="1">IFERROR(__xludf.DUMMYFUNCTION("""COMPUTED_VALUE"""),"Читалищният музей в село Павелско – пазител на културно-историческото наследство.")</f>
        <v>Читалищният музей в село Павелско – пазител на културно-историческото наследство.</v>
      </c>
      <c r="D5577" s="10">
        <f ca="1">IFERROR(__xludf.DUMMYFUNCTION("""COMPUTED_VALUE"""),2015)</f>
        <v>2015</v>
      </c>
      <c r="E5577" s="10" t="str">
        <f ca="1">IFERROR(__xludf.DUMMYFUNCTION("""COMPUTED_VALUE"""),"София: За буквите – О писменехь, 2015, 53 с. ISBN 978-619-185-207-9.")</f>
        <v>София: За буквите – О писменехь, 2015, 53 с. ISBN 978-619-185-207-9.</v>
      </c>
      <c r="F5577" s="10"/>
      <c r="G5577" s="10" t="str">
        <f ca="1">IFERROR(__xludf.DUMMYFUNCTION("""COMPUTED_VALUE"""),"Николова, В.")</f>
        <v>Николова, В.</v>
      </c>
      <c r="H5577" s="10"/>
      <c r="I5577" s="10"/>
      <c r="J5577" s="10"/>
      <c r="K5577" s="10"/>
      <c r="L5577" s="10"/>
      <c r="M5577" s="10"/>
      <c r="N5577" s="10"/>
      <c r="O5577" s="10"/>
      <c r="P5577" s="10"/>
      <c r="Q5577" s="10"/>
      <c r="R5577" s="10"/>
      <c r="S5577" s="10"/>
      <c r="T5577" s="10"/>
      <c r="U5577" s="10"/>
      <c r="V5577" s="10"/>
      <c r="W5577" s="10"/>
      <c r="X5577" s="10"/>
      <c r="Y5577" s="10"/>
      <c r="Z5577" s="10"/>
    </row>
    <row r="5578" spans="1:26" ht="12.75">
      <c r="A5578" s="10" t="str">
        <f ca="1">IFERROR(__xludf.DUMMYFUNCTION("""COMPUTED_VALUE"""),"Мария Стефанова Николова")</f>
        <v>Мария Стефанова Николова</v>
      </c>
      <c r="B5578" s="10" t="str">
        <f ca="1">IFERROR(__xludf.DUMMYFUNCTION("""COMPUTED_VALUE"""),"Доклад от конференция")</f>
        <v>Доклад от конференция</v>
      </c>
      <c r="C5578" s="10" t="str">
        <f ca="1">IFERROR(__xludf.DUMMYFUNCTION("""COMPUTED_VALUE"""),"Приносите на Георги Раковски за основаването и развитието на болградската гимназия 1858-1864 г.")</f>
        <v>Приносите на Георги Раковски за основаването и развитието на болградската гимназия 1858-1864 г.</v>
      </c>
      <c r="D5578" s="10">
        <f ca="1">IFERROR(__xludf.DUMMYFUNCTION("""COMPUTED_VALUE"""),2015)</f>
        <v>2015</v>
      </c>
      <c r="E5578" s="10" t="str">
        <f ca="1">IFERROR(__xludf.DUMMYFUNCTION("""COMPUTED_VALUE"""),"В: Общество на знанието и хуманизмът на XXI век. XII национална научна конференция с международно участие София, 1 ноември 2014 г. – София, 2015, с. 125-136. ISSN 1314-7099")</f>
        <v>В: Общество на знанието и хуманизмът на XXI век. XII национална научна конференция с международно участие София, 1 ноември 2014 г. – София, 2015, с. 125-136. ISSN 1314-7099</v>
      </c>
      <c r="F5578" s="10"/>
      <c r="G5578" s="10"/>
      <c r="H5578" s="10"/>
      <c r="I5578" s="10"/>
      <c r="J5578" s="10"/>
      <c r="K5578" s="10"/>
      <c r="L5578" s="10"/>
      <c r="M5578" s="10"/>
      <c r="N5578" s="10"/>
      <c r="O5578" s="10"/>
      <c r="P5578" s="10"/>
      <c r="Q5578" s="10"/>
      <c r="R5578" s="10"/>
      <c r="S5578" s="10"/>
      <c r="T5578" s="10"/>
      <c r="U5578" s="10"/>
      <c r="V5578" s="10"/>
      <c r="W5578" s="10"/>
      <c r="X5578" s="10"/>
      <c r="Y5578" s="10"/>
      <c r="Z5578" s="10"/>
    </row>
    <row r="5579" spans="1:26" ht="12.75">
      <c r="A5579" s="10" t="str">
        <f ca="1">IFERROR(__xludf.DUMMYFUNCTION("""COMPUTED_VALUE"""),"Мария Стефанова Николова")</f>
        <v>Мария Стефанова Николова</v>
      </c>
      <c r="B5579" s="10" t="str">
        <f ca="1">IFERROR(__xludf.DUMMYFUNCTION("""COMPUTED_VALUE"""),"Учебник")</f>
        <v>Учебник</v>
      </c>
      <c r="C5579" s="10" t="str">
        <f ca="1">IFERROR(__xludf.DUMMYFUNCTION("""COMPUTED_VALUE"""),"За екскурзовода – с любов и уважение. Технология на екскурзоводската дейност.")</f>
        <v>За екскурзовода – с любов и уважение. Технология на екскурзоводската дейност.</v>
      </c>
      <c r="D5579" s="10">
        <f ca="1">IFERROR(__xludf.DUMMYFUNCTION("""COMPUTED_VALUE"""),2015)</f>
        <v>2015</v>
      </c>
      <c r="E5579" s="10" t="str">
        <f ca="1">IFERROR(__xludf.DUMMYFUNCTION("""COMPUTED_VALUE"""),"София: За буквите – О писменехь, 2015, 103 с. ISBN 978-619-185-210-9")</f>
        <v>София: За буквите – О писменехь, 2015, 103 с. ISBN 978-619-185-210-9</v>
      </c>
      <c r="F5579" s="10"/>
      <c r="G5579" s="10"/>
      <c r="H5579" s="10"/>
      <c r="I5579" s="10"/>
      <c r="J5579" s="10"/>
      <c r="K5579" s="10"/>
      <c r="L5579" s="10"/>
      <c r="M5579" s="10"/>
      <c r="N5579" s="10"/>
      <c r="O5579" s="10"/>
      <c r="P5579" s="10"/>
      <c r="Q5579" s="10"/>
      <c r="R5579" s="10"/>
      <c r="S5579" s="10"/>
      <c r="T5579" s="10"/>
      <c r="U5579" s="10"/>
      <c r="V5579" s="10"/>
      <c r="W5579" s="10"/>
      <c r="X5579" s="10"/>
      <c r="Y5579" s="10"/>
      <c r="Z5579" s="10"/>
    </row>
    <row r="5580" spans="1:26" ht="12.75">
      <c r="A5580" s="10" t="str">
        <f ca="1">IFERROR(__xludf.DUMMYFUNCTION("""COMPUTED_VALUE"""),"Мария Стефанова Николова")</f>
        <v>Мария Стефанова Николова</v>
      </c>
      <c r="B5580" s="10" t="str">
        <f ca="1">IFERROR(__xludf.DUMMYFUNCTION("""COMPUTED_VALUE"""),"Доклад от конференция")</f>
        <v>Доклад от конференция</v>
      </c>
      <c r="C5580" s="10" t="str">
        <f ca="1">IFERROR(__xludf.DUMMYFUNCTION("""COMPUTED_VALUE"""),"Самостоятелната работа на студентите като предпоставка за ефективно обучение по дисциплината руска литература на XX в.")</f>
        <v>Самостоятелната работа на студентите като предпоставка за ефективно обучение по дисциплината руска литература на XX в.</v>
      </c>
      <c r="D5580" s="10">
        <f ca="1">IFERROR(__xludf.DUMMYFUNCTION("""COMPUTED_VALUE"""),2015)</f>
        <v>2015</v>
      </c>
      <c r="E5580" s="10" t="str">
        <f ca="1">IFERROR(__xludf.DUMMYFUNCTION("""COMPUTED_VALUE"""),"В: Нови информационни технологии в образователния процес. Доклади и съобщения от Десетия научен семинар на УниБИТ проведен в Истанбул на 4-8 април 2015 г. – София, 2015, с. 29-33. ISSN 2367-7988")</f>
        <v>В: Нови информационни технологии в образователния процес. Доклади и съобщения от Десетия научен семинар на УниБИТ проведен в Истанбул на 4-8 април 2015 г. – София, 2015, с. 29-33. ISSN 2367-7988</v>
      </c>
      <c r="F5580" s="10"/>
      <c r="G5580" s="10"/>
      <c r="H5580" s="10"/>
      <c r="I5580" s="10"/>
      <c r="J5580" s="10"/>
      <c r="K5580" s="10"/>
      <c r="L5580" s="10"/>
      <c r="M5580" s="10"/>
      <c r="N5580" s="10"/>
      <c r="O5580" s="10"/>
      <c r="P5580" s="10"/>
      <c r="Q5580" s="10"/>
      <c r="R5580" s="10"/>
      <c r="S5580" s="10"/>
      <c r="T5580" s="10"/>
      <c r="U5580" s="10"/>
      <c r="V5580" s="10"/>
      <c r="W5580" s="10"/>
      <c r="X5580" s="10"/>
      <c r="Y5580" s="10"/>
      <c r="Z5580" s="10"/>
    </row>
    <row r="5581" spans="1:26" ht="12.75">
      <c r="A5581" s="10" t="str">
        <f ca="1">IFERROR(__xludf.DUMMYFUNCTION("""COMPUTED_VALUE"""),"Мария Стефанова Николова")</f>
        <v>Мария Стефанова Николова</v>
      </c>
      <c r="B5581" s="10" t="str">
        <f ca="1">IFERROR(__xludf.DUMMYFUNCTION("""COMPUTED_VALUE"""),"Доклад от конференция")</f>
        <v>Доклад от конференция</v>
      </c>
      <c r="C5581" s="10" t="str">
        <f ca="1">IFERROR(__xludf.DUMMYFUNCTION("""COMPUTED_VALUE"""),"Предизвикателството „Шекспир” (на сцената на Народния театър „Иван Вазов” и на Кралската Шекспирова компания).")</f>
        <v>Предизвикателството „Шекспир” (на сцената на Народния театър „Иван Вазов” и на Кралската Шекспирова компания).</v>
      </c>
      <c r="D5581" s="10">
        <f ca="1">IFERROR(__xludf.DUMMYFUNCTION("""COMPUTED_VALUE"""),2015)</f>
        <v>2015</v>
      </c>
      <c r="E5581" s="10" t="str">
        <f ca="1">IFERROR(__xludf.DUMMYFUNCTION("""COMPUTED_VALUE"""),"В: Съвременни измерения на европейското образователно и научно пространство. Сборник с доклади VII, VIII, IX Международен пътуващ семинар на УниБИТ, VII. „Съвременни измерения на европейското образователно и научно пространство. Българо-английски културни"&amp;" общувания” България – Великобритания, 25-31 май 2013 г. – София, 2015. с. 99-107. ISSN 2367-7988")</f>
        <v>В: Съвременни измерения на европейското образователно и научно пространство. Сборник с доклади VII, VIII, IX Международен пътуващ семинар на УниБИТ, VII. „Съвременни измерения на европейското образователно и научно пространство. Българо-английски културни общувания” България – Великобритания, 25-31 май 2013 г. – София, 2015. с. 99-107. ISSN 2367-7988</v>
      </c>
      <c r="F5581" s="10"/>
      <c r="G5581" s="10" t="str">
        <f ca="1">IFERROR(__xludf.DUMMYFUNCTION("""COMPUTED_VALUE"""),"Нина Дебрюне")</f>
        <v>Нина Дебрюне</v>
      </c>
      <c r="H5581" s="10"/>
      <c r="I5581" s="10"/>
      <c r="J5581" s="10"/>
      <c r="K5581" s="10"/>
      <c r="L5581" s="10"/>
      <c r="M5581" s="10"/>
      <c r="N5581" s="10"/>
      <c r="O5581" s="10"/>
      <c r="P5581" s="10"/>
      <c r="Q5581" s="10"/>
      <c r="R5581" s="10"/>
      <c r="S5581" s="10"/>
      <c r="T5581" s="10"/>
      <c r="U5581" s="10"/>
      <c r="V5581" s="10"/>
      <c r="W5581" s="10"/>
      <c r="X5581" s="10"/>
      <c r="Y5581" s="10"/>
      <c r="Z5581" s="10"/>
    </row>
    <row r="5582" spans="1:26" ht="12.75">
      <c r="A5582" s="10" t="str">
        <f ca="1">IFERROR(__xludf.DUMMYFUNCTION("""COMPUTED_VALUE"""),"Мария Стефанова Николова")</f>
        <v>Мария Стефанова Николова</v>
      </c>
      <c r="B5582" s="10" t="str">
        <f ca="1">IFERROR(__xludf.DUMMYFUNCTION("""COMPUTED_VALUE"""),"Доклад от конференция")</f>
        <v>Доклад от конференция</v>
      </c>
      <c r="C5582" s="10" t="str">
        <f ca="1">IFERROR(__xludf.DUMMYFUNCTION("""COMPUTED_VALUE"""),"Болгарские реалии быта в документах русско-турецкой войны 1877-1878 гг.")</f>
        <v>Болгарские реалии быта в документах русско-турецкой войны 1877-1878 гг.</v>
      </c>
      <c r="D5582" s="10">
        <f ca="1">IFERROR(__xludf.DUMMYFUNCTION("""COMPUTED_VALUE"""),2015)</f>
        <v>2015</v>
      </c>
      <c r="E5582" s="10" t="str">
        <f ca="1">IFERROR(__xludf.DUMMYFUNCTION("""COMPUTED_VALUE"""),"В: Славянская культура в Европе (история, настоящее и будущее). Сборник материалов Международной научно-практической конференции. – София-Москва. – 2015, с. 164-168.ISBN 978-5-902899-12-9; ISBN 978-619-185-158-4")</f>
        <v>В: Славянская культура в Европе (история, настоящее и будущее). Сборник материалов Международной научно-практической конференции. – София-Москва. – 2015, с. 164-168.ISBN 978-5-902899-12-9; ISBN 978-619-185-158-4</v>
      </c>
      <c r="F5582" s="10"/>
      <c r="G5582" s="10"/>
      <c r="H5582" s="10"/>
      <c r="I5582" s="10"/>
      <c r="J5582" s="10"/>
      <c r="K5582" s="10"/>
      <c r="L5582" s="10"/>
      <c r="M5582" s="10"/>
      <c r="N5582" s="10"/>
      <c r="O5582" s="10"/>
      <c r="P5582" s="10"/>
      <c r="Q5582" s="10"/>
      <c r="R5582" s="10"/>
      <c r="S5582" s="10"/>
      <c r="T5582" s="10"/>
      <c r="U5582" s="10"/>
      <c r="V5582" s="10"/>
      <c r="W5582" s="10"/>
      <c r="X5582" s="10"/>
      <c r="Y5582" s="10"/>
      <c r="Z5582" s="10"/>
    </row>
    <row r="5583" spans="1:26" ht="12.75">
      <c r="A5583" s="10" t="str">
        <f ca="1">IFERROR(__xludf.DUMMYFUNCTION("""COMPUTED_VALUE"""),"Мария Стефанова Николова")</f>
        <v>Мария Стефанова Николова</v>
      </c>
      <c r="B5583" s="10" t="str">
        <f ca="1">IFERROR(__xludf.DUMMYFUNCTION("""COMPUTED_VALUE"""),"Доклад от конференция")</f>
        <v>Доклад от конференция</v>
      </c>
      <c r="C5583" s="10" t="str">
        <f ca="1">IFERROR(__xludf.DUMMYFUNCTION("""COMPUTED_VALUE"""),"Ран Босилек за ролята на приказката (страници от архива на писателя).")</f>
        <v>Ран Босилек за ролята на приказката (страници от архива на писателя).</v>
      </c>
      <c r="D5583" s="10">
        <f ca="1">IFERROR(__xludf.DUMMYFUNCTION("""COMPUTED_VALUE"""),2015)</f>
        <v>2015</v>
      </c>
      <c r="E5583" s="10" t="str">
        <f ca="1">IFERROR(__xludf.DUMMYFUNCTION("""COMPUTED_VALUE"""),"В: Нови информационни технологии в образователния процес. Доклади и съобщения от Деветия научен семинар на УниБИТ, проведен в Камчия на 26-30 май 2014 г. – София, 2015, с. 205-212. ISSN 1313-22768")</f>
        <v>В: Нови информационни технологии в образователния процес. Доклади и съобщения от Деветия научен семинар на УниБИТ, проведен в Камчия на 26-30 май 2014 г. – София, 2015, с. 205-212. ISSN 1313-22768</v>
      </c>
      <c r="F5583" s="10"/>
      <c r="G5583" s="10"/>
      <c r="H5583" s="10"/>
      <c r="I5583" s="10"/>
      <c r="J5583" s="10"/>
      <c r="K5583" s="10"/>
      <c r="L5583" s="10"/>
      <c r="M5583" s="10"/>
      <c r="N5583" s="10"/>
      <c r="O5583" s="10"/>
      <c r="P5583" s="10"/>
      <c r="Q5583" s="10"/>
      <c r="R5583" s="10"/>
      <c r="S5583" s="10"/>
      <c r="T5583" s="10"/>
      <c r="U5583" s="10"/>
      <c r="V5583" s="10"/>
      <c r="W5583" s="10"/>
      <c r="X5583" s="10"/>
      <c r="Y5583" s="10"/>
      <c r="Z5583" s="10"/>
    </row>
    <row r="5584" spans="1:26" ht="12.75">
      <c r="A5584" s="10" t="str">
        <f ca="1">IFERROR(__xludf.DUMMYFUNCTION("""COMPUTED_VALUE"""),"Мария Стефанова Николова")</f>
        <v>Мария Стефанова Николова</v>
      </c>
      <c r="B5584" s="10" t="str">
        <f ca="1">IFERROR(__xludf.DUMMYFUNCTION("""COMPUTED_VALUE"""),"Доклад от конференция")</f>
        <v>Доклад от конференция</v>
      </c>
      <c r="C5584" s="10" t="str">
        <f ca="1">IFERROR(__xludf.DUMMYFUNCTION("""COMPUTED_VALUE"""),"От Чирпан до Париж и обратно")</f>
        <v>От Чирпан до Париж и обратно</v>
      </c>
      <c r="D5584" s="10">
        <f ca="1">IFERROR(__xludf.DUMMYFUNCTION("""COMPUTED_VALUE"""),2015)</f>
        <v>2015</v>
      </c>
      <c r="E5584" s="10" t="str">
        <f ca="1">IFERROR(__xludf.DUMMYFUNCTION("""COMPUTED_VALUE"""),"В: Съвременни измерения на европейското образователно и научно пространство. Сб. с доклади IV, V, VI Международен пътуващ семинар на УниБИТ. V „Съвременни измерения на европейското образователно и научно пространство. Българо-френски културни общувания”. "&amp;"България – Франция, 30 април – 8 май 2011. – София, 2015, с. 182-184. ISSN 2367-7988")</f>
        <v>В: Съвременни измерения на европейското образователно и научно пространство. Сб. с доклади IV, V, VI Международен пътуващ семинар на УниБИТ. V „Съвременни измерения на европейското образователно и научно пространство. Българо-френски културни общувания”. България – Франция, 30 април – 8 май 2011. – София, 2015, с. 182-184. ISSN 2367-7988</v>
      </c>
      <c r="F5584" s="10"/>
      <c r="G5584" s="10"/>
      <c r="H5584" s="10"/>
      <c r="I5584" s="10"/>
      <c r="J5584" s="10"/>
      <c r="K5584" s="10"/>
      <c r="L5584" s="10"/>
      <c r="M5584" s="10"/>
      <c r="N5584" s="10"/>
      <c r="O5584" s="10"/>
      <c r="P5584" s="10"/>
      <c r="Q5584" s="10"/>
      <c r="R5584" s="10"/>
      <c r="S5584" s="10"/>
      <c r="T5584" s="10"/>
      <c r="U5584" s="10"/>
      <c r="V5584" s="10"/>
      <c r="W5584" s="10"/>
      <c r="X5584" s="10"/>
      <c r="Y5584" s="10"/>
      <c r="Z5584" s="10"/>
    </row>
    <row r="5585" spans="1:26" ht="12.75">
      <c r="A5585" s="10" t="str">
        <f ca="1">IFERROR(__xludf.DUMMYFUNCTION("""COMPUTED_VALUE"""),"Мария Стефанова Николова")</f>
        <v>Мария Стефанова Николова</v>
      </c>
      <c r="B5585" s="10" t="str">
        <f ca="1">IFERROR(__xludf.DUMMYFUNCTION("""COMPUTED_VALUE"""),"Доклад от конференция")</f>
        <v>Доклад от конференция</v>
      </c>
      <c r="C5585" s="10" t="str">
        <f ca="1">IFERROR(__xludf.DUMMYFUNCTION("""COMPUTED_VALUE"""),"Сказка на страницах болгарского журнала „Детска радост” 1910-1922 гг.")</f>
        <v>Сказка на страницах болгарского журнала „Детска радост” 1910-1922 гг.</v>
      </c>
      <c r="D5585" s="10">
        <f ca="1">IFERROR(__xludf.DUMMYFUNCTION("""COMPUTED_VALUE"""),2015)</f>
        <v>2015</v>
      </c>
      <c r="E5585" s="10" t="str">
        <f ca="1">IFERROR(__xludf.DUMMYFUNCTION("""COMPUTED_VALUE"""),"В: Язык, культура, текст: контрастивный анализ. Материалы IV Международной научно-практической конференции. – Славянск-на-Кубани, 2015, с. 177-185. ISBN: 978-5-90363-043-1")</f>
        <v>В: Язык, культура, текст: контрастивный анализ. Материалы IV Международной научно-практической конференции. – Славянск-на-Кубани, 2015, с. 177-185. ISBN: 978-5-90363-043-1</v>
      </c>
      <c r="F5585" s="10" t="str">
        <f ca="1">IFERROR(__xludf.DUMMYFUNCTION("""COMPUTED_VALUE"""),"РИНЦ")</f>
        <v>РИНЦ</v>
      </c>
      <c r="G5585" s="10"/>
      <c r="H5585" s="10"/>
      <c r="I5585" s="10"/>
      <c r="J5585" s="10"/>
      <c r="K5585" s="10"/>
      <c r="L5585" s="10"/>
      <c r="M5585" s="10"/>
      <c r="N5585" s="10"/>
      <c r="O5585" s="10"/>
      <c r="P5585" s="10"/>
      <c r="Q5585" s="10"/>
      <c r="R5585" s="10"/>
      <c r="S5585" s="10"/>
      <c r="T5585" s="10"/>
      <c r="U5585" s="10"/>
      <c r="V5585" s="10"/>
      <c r="W5585" s="10"/>
      <c r="X5585" s="10"/>
      <c r="Y5585" s="10"/>
      <c r="Z5585" s="10"/>
    </row>
    <row r="5586" spans="1:26" ht="12.75">
      <c r="A5586" s="10" t="str">
        <f ca="1">IFERROR(__xludf.DUMMYFUNCTION("""COMPUTED_VALUE"""),"Мария Стефанова Николова")</f>
        <v>Мария Стефанова Николова</v>
      </c>
      <c r="B5586" s="10" t="str">
        <f ca="1">IFERROR(__xludf.DUMMYFUNCTION("""COMPUTED_VALUE"""),"Доклад от конференция")</f>
        <v>Доклад от конференция</v>
      </c>
      <c r="C5586" s="10" t="str">
        <f ca="1">IFERROR(__xludf.DUMMYFUNCTION("""COMPUTED_VALUE"""),"Приносите на Георги Раковски за основаването и развитието на болградската гимназия 1858-1864 г.")</f>
        <v>Приносите на Георги Раковски за основаването и развитието на болградската гимназия 1858-1864 г.</v>
      </c>
      <c r="D5586" s="10">
        <f ca="1">IFERROR(__xludf.DUMMYFUNCTION("""COMPUTED_VALUE"""),2015)</f>
        <v>2015</v>
      </c>
      <c r="E5586" s="10" t="str">
        <f ca="1">IFERROR(__xludf.DUMMYFUNCTION("""COMPUTED_VALUE"""),"Общество на знанието и хуманизмът на XXI век. XII национална научна конференция с международно участие София, 1 ноември 2014 г.")</f>
        <v>Общество на знанието и хуманизмът на XXI век. XII национална научна конференция с международно участие София, 1 ноември 2014 г.</v>
      </c>
      <c r="F5586" s="10"/>
      <c r="G5586" s="10"/>
      <c r="H5586" s="10"/>
      <c r="I5586" s="10"/>
      <c r="J5586" s="10"/>
      <c r="K5586" s="10"/>
      <c r="L5586" s="10"/>
      <c r="M5586" s="10"/>
      <c r="N5586" s="10"/>
      <c r="O5586" s="10"/>
      <c r="P5586" s="10"/>
      <c r="Q5586" s="10"/>
      <c r="R5586" s="10"/>
      <c r="S5586" s="10"/>
      <c r="T5586" s="10"/>
      <c r="U5586" s="10"/>
      <c r="V5586" s="10"/>
      <c r="W5586" s="10"/>
      <c r="X5586" s="10"/>
      <c r="Y5586" s="10"/>
      <c r="Z5586" s="10"/>
    </row>
    <row r="5587" spans="1:26" ht="12.75">
      <c r="A5587" s="10" t="str">
        <f ca="1">IFERROR(__xludf.DUMMYFUNCTION("""COMPUTED_VALUE"""),"Мария Стефанова Николова")</f>
        <v>Мария Стефанова Николова</v>
      </c>
      <c r="B5587" s="10" t="str">
        <f ca="1">IFERROR(__xludf.DUMMYFUNCTION("""COMPUTED_VALUE"""),"Доклад от конференция")</f>
        <v>Доклад от конференция</v>
      </c>
      <c r="C5587" s="10" t="str">
        <f ca="1">IFERROR(__xludf.DUMMYFUNCTION("""COMPUTED_VALUE"""),"За Болонския университет и неговата библиотека")</f>
        <v>За Болонския университет и неговата библиотека</v>
      </c>
      <c r="D5587" s="10">
        <f ca="1">IFERROR(__xludf.DUMMYFUNCTION("""COMPUTED_VALUE"""),2015)</f>
        <v>2015</v>
      </c>
      <c r="E5587" s="10" t="str">
        <f ca="1">IFERROR(__xludf.DUMMYFUNCTION("""COMPUTED_VALUE"""),"В: Съвременни измерения на европейското образователно и научно пространство. Сб. с доклади от I, II, III Международен пътуващ семинар на УниБИТ, II „Съвременни измерения на европейското културно пространство. История и настояще на книжовните културни инст"&amp;"итуции в Италия”. България – Италия, 28 април – 6 май 2008 г. – София, 2015, с. 146-148. ISSN 2367-7988")</f>
        <v>В: Съвременни измерения на европейското образователно и научно пространство. Сб. с доклади от I, II, III Международен пътуващ семинар на УниБИТ, II „Съвременни измерения на европейското културно пространство. История и настояще на книжовните културни институции в Италия”. България – Италия, 28 април – 6 май 2008 г. – София, 2015, с. 146-148. ISSN 2367-7988</v>
      </c>
      <c r="F5587" s="10"/>
      <c r="G5587" s="10"/>
      <c r="H5587" s="10"/>
      <c r="I5587" s="10"/>
      <c r="J5587" s="10"/>
      <c r="K5587" s="10"/>
      <c r="L5587" s="10"/>
      <c r="M5587" s="10"/>
      <c r="N5587" s="10"/>
      <c r="O5587" s="10"/>
      <c r="P5587" s="10"/>
      <c r="Q5587" s="10"/>
      <c r="R5587" s="10"/>
      <c r="S5587" s="10"/>
      <c r="T5587" s="10"/>
      <c r="U5587" s="10"/>
      <c r="V5587" s="10"/>
      <c r="W5587" s="10"/>
      <c r="X5587" s="10"/>
      <c r="Y5587" s="10"/>
      <c r="Z5587" s="10"/>
    </row>
    <row r="5588" spans="1:26" ht="12.75">
      <c r="A5588" s="10" t="str">
        <f ca="1">IFERROR(__xludf.DUMMYFUNCTION("""COMPUTED_VALUE"""),"Мария Стефанова Николова")</f>
        <v>Мария Стефанова Николова</v>
      </c>
      <c r="B5588" s="10" t="str">
        <f ca="1">IFERROR(__xludf.DUMMYFUNCTION("""COMPUTED_VALUE"""),"Учебно пособие")</f>
        <v>Учебно пособие</v>
      </c>
      <c r="C5588" s="10" t="str">
        <f ca="1">IFERROR(__xludf.DUMMYFUNCTION("""COMPUTED_VALUE"""),"Руско-български литературни общувания")</f>
        <v>Руско-български литературни общувания</v>
      </c>
      <c r="D5588" s="10">
        <f ca="1">IFERROR(__xludf.DUMMYFUNCTION("""COMPUTED_VALUE"""),2014)</f>
        <v>2014</v>
      </c>
      <c r="E5588" s="10" t="str">
        <f ca="1">IFERROR(__xludf.DUMMYFUNCTION("""COMPUTED_VALUE"""),"София: За буквите – О писменехь, 2014, 84 с. ISBN 978-619-185-111-9.")</f>
        <v>София: За буквите – О писменехь, 2014, 84 с. ISBN 978-619-185-111-9.</v>
      </c>
      <c r="F5588" s="10"/>
      <c r="G5588" s="10"/>
      <c r="H5588" s="10"/>
      <c r="I5588" s="10"/>
      <c r="J5588" s="10"/>
      <c r="K5588" s="10"/>
      <c r="L5588" s="10"/>
      <c r="M5588" s="10"/>
      <c r="N5588" s="10"/>
      <c r="O5588" s="10"/>
      <c r="P5588" s="10"/>
      <c r="Q5588" s="10"/>
      <c r="R5588" s="10"/>
      <c r="S5588" s="10"/>
      <c r="T5588" s="10"/>
      <c r="U5588" s="10"/>
      <c r="V5588" s="10"/>
      <c r="W5588" s="10"/>
      <c r="X5588" s="10"/>
      <c r="Y5588" s="10"/>
      <c r="Z5588" s="10"/>
    </row>
    <row r="5589" spans="1:26" ht="12.75">
      <c r="A5589" s="10" t="str">
        <f ca="1">IFERROR(__xludf.DUMMYFUNCTION("""COMPUTED_VALUE"""),"Мария Стефанова Николова")</f>
        <v>Мария Стефанова Николова</v>
      </c>
      <c r="B5589" s="10" t="str">
        <f ca="1">IFERROR(__xludf.DUMMYFUNCTION("""COMPUTED_VALUE"""),"Доклад от конференция")</f>
        <v>Доклад от конференция</v>
      </c>
      <c r="C5589" s="10" t="str">
        <f ca="1">IFERROR(__xludf.DUMMYFUNCTION("""COMPUTED_VALUE"""),"Фолклорната памет като фактор за запазване на националната идентичност на българите в с. Паркан, Република Молдова")</f>
        <v>Фолклорната памет като фактор за запазване на националната идентичност на българите в с. Паркан, Република Молдова</v>
      </c>
      <c r="D5589" s="10">
        <f ca="1">IFERROR(__xludf.DUMMYFUNCTION("""COMPUTED_VALUE"""),2014)</f>
        <v>2014</v>
      </c>
      <c r="E5589" s="10" t="str">
        <f ca="1">IFERROR(__xludf.DUMMYFUNCTION("""COMPUTED_VALUE"""),"Публично-частотното партньорство и устойчивото развитие на културното наследство. Трета научна конференция по организация, управ")</f>
        <v>Публично-частотното партньорство и устойчивото развитие на културното наследство. Трета научна конференция по организация, управ</v>
      </c>
      <c r="F5589" s="10"/>
      <c r="G5589" s="10"/>
      <c r="H5589" s="10"/>
      <c r="I5589" s="10"/>
      <c r="J5589" s="10"/>
      <c r="K5589" s="10"/>
      <c r="L5589" s="10"/>
      <c r="M5589" s="10"/>
      <c r="N5589" s="10"/>
      <c r="O5589" s="10"/>
      <c r="P5589" s="10"/>
      <c r="Q5589" s="10"/>
      <c r="R5589" s="10"/>
      <c r="S5589" s="10"/>
      <c r="T5589" s="10"/>
      <c r="U5589" s="10"/>
      <c r="V5589" s="10"/>
      <c r="W5589" s="10"/>
      <c r="X5589" s="10"/>
      <c r="Y5589" s="10"/>
      <c r="Z5589" s="10"/>
    </row>
    <row r="5590" spans="1:26" ht="12.75">
      <c r="A5590" s="10" t="str">
        <f ca="1">IFERROR(__xludf.DUMMYFUNCTION("""COMPUTED_VALUE"""),"Мария Стефанова Николова")</f>
        <v>Мария Стефанова Николова</v>
      </c>
      <c r="B5590" s="10" t="str">
        <f ca="1">IFERROR(__xludf.DUMMYFUNCTION("""COMPUTED_VALUE"""),"Доклад от конференция")</f>
        <v>Доклад от конференция</v>
      </c>
      <c r="C5590" s="10" t="str">
        <f ca="1">IFERROR(__xludf.DUMMYFUNCTION("""COMPUTED_VALUE"""),"Фолклорната памет като фактор за запазване на националната идентичност на българите в с. Паркан, Република Молдова.")</f>
        <v>Фолклорната памет като фактор за запазване на националната идентичност на българите в с. Паркан, Република Молдова.</v>
      </c>
      <c r="D5590" s="10">
        <f ca="1">IFERROR(__xludf.DUMMYFUNCTION("""COMPUTED_VALUE"""),2014)</f>
        <v>2014</v>
      </c>
      <c r="E5590" s="10" t="str">
        <f ca="1">IFERROR(__xludf.DUMMYFUNCTION("""COMPUTED_VALUE"""),"В: Публично-частотното партньорство и устойчивото развитие на културното наследство. Трета научна конференция по организация, управление и защита на културно-историческото наследство. – София, 31 януари 2013 г. – София, 2014, с. 167-172. ISSN 1312-1715")</f>
        <v>В: Публично-частотното партньорство и устойчивото развитие на културното наследство. Трета научна конференция по организация, управление и защита на културно-историческото наследство. – София, 31 януари 2013 г. – София, 2014, с. 167-172. ISSN 1312-1715</v>
      </c>
      <c r="F5590" s="10"/>
      <c r="G5590" s="10"/>
      <c r="H5590" s="10"/>
      <c r="I5590" s="10"/>
      <c r="J5590" s="10"/>
      <c r="K5590" s="10"/>
      <c r="L5590" s="10"/>
      <c r="M5590" s="10"/>
      <c r="N5590" s="10"/>
      <c r="O5590" s="10"/>
      <c r="P5590" s="10"/>
      <c r="Q5590" s="10"/>
      <c r="R5590" s="10"/>
      <c r="S5590" s="10"/>
      <c r="T5590" s="10"/>
      <c r="U5590" s="10"/>
      <c r="V5590" s="10"/>
      <c r="W5590" s="10"/>
      <c r="X5590" s="10"/>
      <c r="Y5590" s="10"/>
      <c r="Z5590" s="10"/>
    </row>
    <row r="5591" spans="1:26" ht="12.75">
      <c r="A5591" s="10" t="str">
        <f ca="1">IFERROR(__xludf.DUMMYFUNCTION("""COMPUTED_VALUE"""),"Мария Стефанова Николова")</f>
        <v>Мария Стефанова Николова</v>
      </c>
      <c r="B5591" s="10" t="str">
        <f ca="1">IFERROR(__xludf.DUMMYFUNCTION("""COMPUTED_VALUE"""),"Доклад от конференция")</f>
        <v>Доклад от конференция</v>
      </c>
      <c r="C5591" s="10" t="str">
        <f ca="1">IFERROR(__xludf.DUMMYFUNCTION("""COMPUTED_VALUE"""),"Българската следа в разказите на Георги Каюров.")</f>
        <v>Българската следа в разказите на Георги Каюров.</v>
      </c>
      <c r="D5591" s="10">
        <f ca="1">IFERROR(__xludf.DUMMYFUNCTION("""COMPUTED_VALUE"""),2014)</f>
        <v>2014</v>
      </c>
      <c r="E5591" s="10" t="str">
        <f ca="1">IFERROR(__xludf.DUMMYFUNCTION("""COMPUTED_VALUE"""),"В: Общество на знанието и хуманизмът на XXI век. XI национална научна конференция с международно участие. София, 1 ноември 2013 г. – София, 2014, с. 117-121. ISSN 1314-7099")</f>
        <v>В: Общество на знанието и хуманизмът на XXI век. XI национална научна конференция с международно участие. София, 1 ноември 2013 г. – София, 2014, с. 117-121. ISSN 1314-7099</v>
      </c>
      <c r="F5591" s="10"/>
      <c r="G5591" s="10"/>
      <c r="H5591" s="10"/>
      <c r="I5591" s="10"/>
      <c r="J5591" s="10"/>
      <c r="K5591" s="10"/>
      <c r="L5591" s="10"/>
      <c r="M5591" s="10"/>
      <c r="N5591" s="10"/>
      <c r="O5591" s="10"/>
      <c r="P5591" s="10"/>
      <c r="Q5591" s="10"/>
      <c r="R5591" s="10"/>
      <c r="S5591" s="10"/>
      <c r="T5591" s="10"/>
      <c r="U5591" s="10"/>
      <c r="V5591" s="10"/>
      <c r="W5591" s="10"/>
      <c r="X5591" s="10"/>
      <c r="Y5591" s="10"/>
      <c r="Z5591" s="10"/>
    </row>
    <row r="5592" spans="1:26" ht="12.75">
      <c r="A5592" s="10" t="str">
        <f ca="1">IFERROR(__xludf.DUMMYFUNCTION("""COMPUTED_VALUE"""),"Мария Стефанова Николова")</f>
        <v>Мария Стефанова Николова</v>
      </c>
      <c r="B5592" s="10" t="str">
        <f ca="1">IFERROR(__xludf.DUMMYFUNCTION("""COMPUTED_VALUE"""),"Статия в списания и поредици")</f>
        <v>Статия в списания и поредици</v>
      </c>
      <c r="C5592" s="10" t="str">
        <f ca="1">IFERROR(__xludf.DUMMYFUNCTION("""COMPUTED_VALUE"""),"Редакторската концепция на Ран Босилек за списание „Детска радост” (1923-1947).")</f>
        <v>Редакторската концепция на Ран Босилек за списание „Детска радост” (1923-1947).</v>
      </c>
      <c r="D5592" s="10">
        <f ca="1">IFERROR(__xludf.DUMMYFUNCTION("""COMPUTED_VALUE"""),2014)</f>
        <v>2014</v>
      </c>
      <c r="E5592" s="10" t="str">
        <f ca="1">IFERROR(__xludf.DUMMYFUNCTION("""COMPUTED_VALUE"""),"В: Научни трудове на УниБИТ. Т. 12, 2014. – София, 2015, с. 381-390. ISSN1314-2623")</f>
        <v>В: Научни трудове на УниБИТ. Т. 12, 2014. – София, 2015, с. 381-390. ISSN1314-2623</v>
      </c>
      <c r="F5592" s="10"/>
      <c r="G5592" s="10"/>
      <c r="H5592" s="10"/>
      <c r="I5592" s="10"/>
      <c r="J5592" s="10"/>
      <c r="K5592" s="10"/>
      <c r="L5592" s="10"/>
      <c r="M5592" s="10"/>
      <c r="N5592" s="10"/>
      <c r="O5592" s="10"/>
      <c r="P5592" s="10"/>
      <c r="Q5592" s="10"/>
      <c r="R5592" s="10"/>
      <c r="S5592" s="10"/>
      <c r="T5592" s="10"/>
      <c r="U5592" s="10"/>
      <c r="V5592" s="10"/>
      <c r="W5592" s="10"/>
      <c r="X5592" s="10"/>
      <c r="Y5592" s="10"/>
      <c r="Z5592" s="10"/>
    </row>
    <row r="5593" spans="1:26" ht="12.75">
      <c r="A5593" s="10" t="str">
        <f ca="1">IFERROR(__xludf.DUMMYFUNCTION("""COMPUTED_VALUE"""),"Мария Стефанова Николова")</f>
        <v>Мария Стефанова Николова</v>
      </c>
      <c r="B5593" s="10" t="str">
        <f ca="1">IFERROR(__xludf.DUMMYFUNCTION("""COMPUTED_VALUE"""),"Статия в списания и поредици")</f>
        <v>Статия в списания и поредици</v>
      </c>
      <c r="C5593" s="10" t="str">
        <f ca="1">IFERROR(__xludf.DUMMYFUNCTION("""COMPUTED_VALUE"""),"Метаморфози на таланта в условията на политическата конюнктура (неизвестни ръкописи в личния архив на Ран Босилек)")</f>
        <v>Метаморфози на таланта в условията на политическата конюнктура (неизвестни ръкописи в личния архив на Ран Босилек)</v>
      </c>
      <c r="D5593" s="10">
        <f ca="1">IFERROR(__xludf.DUMMYFUNCTION("""COMPUTED_VALUE"""),2014)</f>
        <v>2014</v>
      </c>
      <c r="E5593" s="10" t="str">
        <f ca="1">IFERROR(__xludf.DUMMYFUNCTION("""COMPUTED_VALUE"""),"Научни трудове на УниБИТ, Т. 11, 2013. – София, 2014, с. 311-321. ISSN1314-2623")</f>
        <v>Научни трудове на УниБИТ, Т. 11, 2013. – София, 2014, с. 311-321. ISSN1314-2623</v>
      </c>
      <c r="F5593" s="10"/>
      <c r="G5593" s="10"/>
      <c r="H5593" s="10"/>
      <c r="I5593" s="10"/>
      <c r="J5593" s="10"/>
      <c r="K5593" s="10"/>
      <c r="L5593" s="10"/>
      <c r="M5593" s="10"/>
      <c r="N5593" s="10"/>
      <c r="O5593" s="10"/>
      <c r="P5593" s="10"/>
      <c r="Q5593" s="10"/>
      <c r="R5593" s="10"/>
      <c r="S5593" s="10"/>
      <c r="T5593" s="10"/>
      <c r="U5593" s="10"/>
      <c r="V5593" s="10"/>
      <c r="W5593" s="10"/>
      <c r="X5593" s="10"/>
      <c r="Y5593" s="10"/>
      <c r="Z5593" s="10"/>
    </row>
    <row r="5594" spans="1:26" ht="12.75">
      <c r="A5594" s="10" t="str">
        <f ca="1">IFERROR(__xludf.DUMMYFUNCTION("""COMPUTED_VALUE"""),"Мария Стефанова Николова")</f>
        <v>Мария Стефанова Николова</v>
      </c>
      <c r="B5594" s="10" t="str">
        <f ca="1">IFERROR(__xludf.DUMMYFUNCTION("""COMPUTED_VALUE"""),"Доклад от конференция")</f>
        <v>Доклад от конференция</v>
      </c>
      <c r="C5594" s="10" t="str">
        <f ca="1">IFERROR(__xludf.DUMMYFUNCTION("""COMPUTED_VALUE"""),"Болградската гимназия (1858-1878) – български възрожденски културен център за българската емиграция")</f>
        <v>Болградската гимназия (1858-1878) – български възрожденски културен център за българската емиграция</v>
      </c>
      <c r="D5594" s="10">
        <f ca="1">IFERROR(__xludf.DUMMYFUNCTION("""COMPUTED_VALUE"""),2014)</f>
        <v>2014</v>
      </c>
      <c r="E5594" s="10" t="str">
        <f ca="1">IFERROR(__xludf.DUMMYFUNCTION("""COMPUTED_VALUE"""),"В: Науката за културно-историческото наследство – Scientia “Ingognita”. Сб. с доклади от Юбилейната научна конференция по повод 10-годишнината от създаването на Катедра „Културно-историческо наследство” при УниБИТ, София, 10.10.2014. – София, 2014, с. 343"&amp;"-357. ISBN 978-619-185-150-8")</f>
        <v>В: Науката за културно-историческото наследство – Scientia “Ingognita”. Сб. с доклади от Юбилейната научна конференция по повод 10-годишнината от създаването на Катедра „Културно-историческо наследство” при УниБИТ, София, 10.10.2014. – София, 2014, с. 343-357. ISBN 978-619-185-150-8</v>
      </c>
      <c r="F5594" s="10"/>
      <c r="G5594" s="10" t="str">
        <f ca="1">IFERROR(__xludf.DUMMYFUNCTION("""COMPUTED_VALUE"""),"Татяна Караиванова")</f>
        <v>Татяна Караиванова</v>
      </c>
      <c r="H5594" s="10"/>
      <c r="I5594" s="10"/>
      <c r="J5594" s="10"/>
      <c r="K5594" s="10"/>
      <c r="L5594" s="10"/>
      <c r="M5594" s="10"/>
      <c r="N5594" s="10"/>
      <c r="O5594" s="10"/>
      <c r="P5594" s="10"/>
      <c r="Q5594" s="10"/>
      <c r="R5594" s="10"/>
      <c r="S5594" s="10"/>
      <c r="T5594" s="10"/>
      <c r="U5594" s="10"/>
      <c r="V5594" s="10"/>
      <c r="W5594" s="10"/>
      <c r="X5594" s="10"/>
      <c r="Y5594" s="10"/>
      <c r="Z5594" s="10"/>
    </row>
    <row r="5595" spans="1:26" ht="12.75">
      <c r="A5595" s="10" t="str">
        <f ca="1">IFERROR(__xludf.DUMMYFUNCTION("""COMPUTED_VALUE"""),"Мария Стефанова Николова")</f>
        <v>Мария Стефанова Николова</v>
      </c>
      <c r="B5595" s="10" t="str">
        <f ca="1">IFERROR(__xludf.DUMMYFUNCTION("""COMPUTED_VALUE"""),"Доклад от конференция")</f>
        <v>Доклад от конференция</v>
      </c>
      <c r="C5595" s="10" t="str">
        <f ca="1">IFERROR(__xludf.DUMMYFUNCTION("""COMPUTED_VALUE"""),"Успешная издательская политика болгарского типографа Харитона Генадиева")</f>
        <v>Успешная издательская политика болгарского типографа Харитона Генадиева</v>
      </c>
      <c r="D5595" s="10">
        <f ca="1">IFERROR(__xludf.DUMMYFUNCTION("""COMPUTED_VALUE"""),2013)</f>
        <v>2013</v>
      </c>
      <c r="E5595" s="10" t="str">
        <f ca="1">IFERROR(__xludf.DUMMYFUNCTION("""COMPUTED_VALUE"""),"Научно-технический журнал Проблемы полиграфии и издательского дела. № 1 январь-февраль. – Москва, 2013, с. 88-91.")</f>
        <v>Научно-технический журнал Проблемы полиграфии и издательского дела. № 1 январь-февраль. – Москва, 2013, с. 88-91.</v>
      </c>
      <c r="F5595" s="10"/>
      <c r="G5595" s="10"/>
      <c r="H5595" s="10"/>
      <c r="I5595" s="10"/>
      <c r="J5595" s="10"/>
      <c r="K5595" s="10"/>
      <c r="L5595" s="10"/>
      <c r="M5595" s="10"/>
      <c r="N5595" s="10"/>
      <c r="O5595" s="10"/>
      <c r="P5595" s="10"/>
      <c r="Q5595" s="10"/>
      <c r="R5595" s="10"/>
      <c r="S5595" s="10"/>
      <c r="T5595" s="10"/>
      <c r="U5595" s="10"/>
      <c r="V5595" s="10"/>
      <c r="W5595" s="10"/>
      <c r="X5595" s="10"/>
      <c r="Y5595" s="10"/>
      <c r="Z5595" s="10"/>
    </row>
    <row r="5596" spans="1:26" ht="12.75">
      <c r="A5596" s="10" t="str">
        <f ca="1">IFERROR(__xludf.DUMMYFUNCTION("""COMPUTED_VALUE"""),"Мария Стефанова Николова")</f>
        <v>Мария Стефанова Николова</v>
      </c>
      <c r="B5596" s="10" t="str">
        <f ca="1">IFERROR(__xludf.DUMMYFUNCTION("""COMPUTED_VALUE"""),"Статия в списания и поредици")</f>
        <v>Статия в списания и поредици</v>
      </c>
      <c r="C5596" s="10" t="str">
        <f ca="1">IFERROR(__xludf.DUMMYFUNCTION("""COMPUTED_VALUE"""),"Успешная издательская политика болгарского типографа Харитона Генадиева.")</f>
        <v>Успешная издательская политика болгарского типографа Харитона Генадиева.</v>
      </c>
      <c r="D5596" s="10">
        <f ca="1">IFERROR(__xludf.DUMMYFUNCTION("""COMPUTED_VALUE"""),2013)</f>
        <v>2013</v>
      </c>
      <c r="E5596" s="10" t="str">
        <f ca="1">IFERROR(__xludf.DUMMYFUNCTION("""COMPUTED_VALUE"""),"В: Научно-технический журнал Проблемы полиграфии и издательского дела. № 1 январь-февраль. – Москва, 2013, с. 88-91. ISSN 2072-6775")</f>
        <v>В: Научно-технический журнал Проблемы полиграфии и издательского дела. № 1 январь-февраль. – Москва, 2013, с. 88-91. ISSN 2072-6775</v>
      </c>
      <c r="F5596" s="10" t="str">
        <f ca="1">IFERROR(__xludf.DUMMYFUNCTION("""COMPUTED_VALUE"""),"РИНЦ")</f>
        <v>РИНЦ</v>
      </c>
      <c r="G5596" s="10"/>
      <c r="H5596" s="10"/>
      <c r="I5596" s="10"/>
      <c r="J5596" s="10"/>
      <c r="K5596" s="10"/>
      <c r="L5596" s="10"/>
      <c r="M5596" s="10"/>
      <c r="N5596" s="10"/>
      <c r="O5596" s="10"/>
      <c r="P5596" s="10"/>
      <c r="Q5596" s="10"/>
      <c r="R5596" s="10"/>
      <c r="S5596" s="10"/>
      <c r="T5596" s="10"/>
      <c r="U5596" s="10"/>
      <c r="V5596" s="10"/>
      <c r="W5596" s="10"/>
      <c r="X5596" s="10"/>
      <c r="Y5596" s="10"/>
      <c r="Z5596" s="10"/>
    </row>
    <row r="5597" spans="1:26" ht="12.75">
      <c r="A5597" s="10" t="str">
        <f ca="1">IFERROR(__xludf.DUMMYFUNCTION("""COMPUTED_VALUE"""),"Мария Стефанова Николова")</f>
        <v>Мария Стефанова Николова</v>
      </c>
      <c r="B5597" s="10" t="str">
        <f ca="1">IFERROR(__xludf.DUMMYFUNCTION("""COMPUTED_VALUE"""),"Доклад от конференция")</f>
        <v>Доклад от конференция</v>
      </c>
      <c r="C5597" s="10" t="str">
        <f ca="1">IFERROR(__xludf.DUMMYFUNCTION("""COMPUTED_VALUE"""),"Культура болгар в Приднестровье: история и современность.")</f>
        <v>Культура болгар в Приднестровье: история и современность.</v>
      </c>
      <c r="D5597" s="10">
        <f ca="1">IFERROR(__xludf.DUMMYFUNCTION("""COMPUTED_VALUE"""),2013)</f>
        <v>2013</v>
      </c>
      <c r="E5597" s="10" t="str">
        <f ca="1">IFERROR(__xludf.DUMMYFUNCTION("""COMPUTED_VALUE"""),"В: „Международен диалог: Изток-Запад” (култура, славянство и икономика). Четвърта международна научна конференция. – Свети Николе – Тамбов, 2013, с. 104-107. ISBN 978-608-4689-04-1 COBIC.MK-ID 93694474")</f>
        <v>В: „Международен диалог: Изток-Запад” (култура, славянство и икономика). Четвърта международна научна конференция. – Свети Николе – Тамбов, 2013, с. 104-107. ISBN 978-608-4689-04-1 COBIC.MK-ID 93694474</v>
      </c>
      <c r="F5597" s="10" t="str">
        <f ca="1">IFERROR(__xludf.DUMMYFUNCTION("""COMPUTED_VALUE"""),"COBIC.MK-ID 93694474")</f>
        <v>COBIC.MK-ID 93694474</v>
      </c>
      <c r="G5597" s="10"/>
      <c r="H5597" s="10"/>
      <c r="I5597" s="10"/>
      <c r="J5597" s="10"/>
      <c r="K5597" s="10"/>
      <c r="L5597" s="10"/>
      <c r="M5597" s="10"/>
      <c r="N5597" s="10"/>
      <c r="O5597" s="10"/>
      <c r="P5597" s="10"/>
      <c r="Q5597" s="10"/>
      <c r="R5597" s="10"/>
      <c r="S5597" s="10"/>
      <c r="T5597" s="10"/>
      <c r="U5597" s="10"/>
      <c r="V5597" s="10"/>
      <c r="W5597" s="10"/>
      <c r="X5597" s="10"/>
      <c r="Y5597" s="10"/>
      <c r="Z5597" s="10"/>
    </row>
    <row r="5598" spans="1:26" ht="12.75">
      <c r="A5598" s="10" t="str">
        <f ca="1">IFERROR(__xludf.DUMMYFUNCTION("""COMPUTED_VALUE"""),"Мария Стефанова Николова")</f>
        <v>Мария Стефанова Николова</v>
      </c>
      <c r="B5598" s="10" t="str">
        <f ca="1">IFERROR(__xludf.DUMMYFUNCTION("""COMPUTED_VALUE"""),"Доклад от конференция")</f>
        <v>Доклад от конференция</v>
      </c>
      <c r="C5598" s="10" t="str">
        <f ca="1">IFERROR(__xludf.DUMMYFUNCTION("""COMPUTED_VALUE"""),"България в архивите на списание National Geographic Культура болгар в приднестровье: история и современность")</f>
        <v>България в архивите на списание National Geographic Культура болгар в приднестровье: история и современность</v>
      </c>
      <c r="D5598" s="10">
        <f ca="1">IFERROR(__xludf.DUMMYFUNCTION("""COMPUTED_VALUE"""),2013)</f>
        <v>2013</v>
      </c>
      <c r="E5598" s="10" t="str">
        <f ca="1">IFERROR(__xludf.DUMMYFUNCTION("""COMPUTED_VALUE"""),"Общество на знанието и хуманизмът на XXI век. Десета юбилекна национална конференция с международно участие. София, 1 ноември 2012 г. – София, 2013, с. 293-303. ISSN 1314-7099")</f>
        <v>Общество на знанието и хуманизмът на XXI век. Десета юбилекна национална конференция с международно участие. София, 1 ноември 2012 г. – София, 2013, с. 293-303. ISSN 1314-7099</v>
      </c>
      <c r="F5598" s="10"/>
      <c r="G5598" s="10" t="str">
        <f ca="1">IFERROR(__xludf.DUMMYFUNCTION("""COMPUTED_VALUE"""),"Мартин Христов")</f>
        <v>Мартин Христов</v>
      </c>
      <c r="H5598" s="10"/>
      <c r="I5598" s="10"/>
      <c r="J5598" s="10"/>
      <c r="K5598" s="10"/>
      <c r="L5598" s="10"/>
      <c r="M5598" s="10"/>
      <c r="N5598" s="10"/>
      <c r="O5598" s="10"/>
      <c r="P5598" s="10"/>
      <c r="Q5598" s="10"/>
      <c r="R5598" s="10"/>
      <c r="S5598" s="10"/>
      <c r="T5598" s="10"/>
      <c r="U5598" s="10"/>
      <c r="V5598" s="10"/>
      <c r="W5598" s="10"/>
      <c r="X5598" s="10"/>
      <c r="Y5598" s="10"/>
      <c r="Z5598" s="10"/>
    </row>
    <row r="5599" spans="1:26" ht="12.75">
      <c r="A5599" s="10" t="str">
        <f ca="1">IFERROR(__xludf.DUMMYFUNCTION("""COMPUTED_VALUE"""),"Мария Стефанова Николова")</f>
        <v>Мария Стефанова Николова</v>
      </c>
      <c r="B5599" s="10" t="str">
        <f ca="1">IFERROR(__xludf.DUMMYFUNCTION("""COMPUTED_VALUE"""),"Доклад от конференция")</f>
        <v>Доклад от конференция</v>
      </c>
      <c r="C5599" s="10" t="str">
        <f ca="1">IFERROR(__xludf.DUMMYFUNCTION("""COMPUTED_VALUE"""),"Эффективный метод преподавания русской литературы XX в. нефилологам.")</f>
        <v>Эффективный метод преподавания русской литературы XX в. нефилологам.</v>
      </c>
      <c r="D5599" s="10">
        <f ca="1">IFERROR(__xludf.DUMMYFUNCTION("""COMPUTED_VALUE"""),2013)</f>
        <v>2013</v>
      </c>
      <c r="E5599" s="10" t="str">
        <f ca="1">IFERROR(__xludf.DUMMYFUNCTION("""COMPUTED_VALUE"""),"В: „Актуальные вопросы русской филологии в поликультурном пространстве” (11-13 ноября 2013 г.), Ататюрский университет. Отделение русского языка и литературы. 1-ая Международная научно-практическая конференция. – Эрзурум, 2013, с. 164-166. ISBN: 978-605-8"&amp;"5594-0-0")</f>
        <v>В: „Актуальные вопросы русской филологии в поликультурном пространстве” (11-13 ноября 2013 г.), Ататюрский университет. Отделение русского языка и литературы. 1-ая Международная научно-практическая конференция. – Эрзурум, 2013, с. 164-166. ISBN: 978-605-85594-0-0</v>
      </c>
      <c r="F5599" s="10"/>
      <c r="G5599" s="10"/>
      <c r="H5599" s="10"/>
      <c r="I5599" s="10"/>
      <c r="J5599" s="10"/>
      <c r="K5599" s="10"/>
      <c r="L5599" s="10"/>
      <c r="M5599" s="10"/>
      <c r="N5599" s="10"/>
      <c r="O5599" s="10"/>
      <c r="P5599" s="10"/>
      <c r="Q5599" s="10"/>
      <c r="R5599" s="10"/>
      <c r="S5599" s="10"/>
      <c r="T5599" s="10"/>
      <c r="U5599" s="10"/>
      <c r="V5599" s="10"/>
      <c r="W5599" s="10"/>
      <c r="X5599" s="10"/>
      <c r="Y5599" s="10"/>
      <c r="Z5599" s="10"/>
    </row>
    <row r="5600" spans="1:26" ht="12.75">
      <c r="A5600" s="10" t="str">
        <f ca="1">IFERROR(__xludf.DUMMYFUNCTION("""COMPUTED_VALUE"""),"Мария Стефанова Николова")</f>
        <v>Мария Стефанова Николова</v>
      </c>
      <c r="B5600" s="10" t="str">
        <f ca="1">IFERROR(__xludf.DUMMYFUNCTION("""COMPUTED_VALUE"""),"Статия в списания и поредици")</f>
        <v>Статия в списания и поредици</v>
      </c>
      <c r="C5600" s="10" t="str">
        <f ca="1">IFERROR(__xludf.DUMMYFUNCTION("""COMPUTED_VALUE"""),"Эффективный метод преподавания русской литературы XX в. нефилологам")</f>
        <v>Эффективный метод преподавания русской литературы XX в. нефилологам</v>
      </c>
      <c r="D5600" s="10">
        <f ca="1">IFERROR(__xludf.DUMMYFUNCTION("""COMPUTED_VALUE"""),2013)</f>
        <v>2013</v>
      </c>
      <c r="E5600" s="10" t="str">
        <f ca="1">IFERROR(__xludf.DUMMYFUNCTION("""COMPUTED_VALUE"""),"1-ая Международная научно-практическая конференция. – Эрзурум, 2013, с. 164-166.")</f>
        <v>1-ая Международная научно-практическая конференция. – Эрзурум, 2013, с. 164-166.</v>
      </c>
      <c r="F5600" s="10"/>
      <c r="G5600" s="10"/>
      <c r="H5600" s="10"/>
      <c r="I5600" s="10"/>
      <c r="J5600" s="10"/>
      <c r="K5600" s="10"/>
      <c r="L5600" s="10"/>
      <c r="M5600" s="10"/>
      <c r="N5600" s="10"/>
      <c r="O5600" s="10"/>
      <c r="P5600" s="10"/>
      <c r="Q5600" s="10"/>
      <c r="R5600" s="10"/>
      <c r="S5600" s="10"/>
      <c r="T5600" s="10"/>
      <c r="U5600" s="10"/>
      <c r="V5600" s="10"/>
      <c r="W5600" s="10"/>
      <c r="X5600" s="10"/>
      <c r="Y5600" s="10"/>
      <c r="Z5600" s="10"/>
    </row>
    <row r="5601" spans="1:26" ht="12.75">
      <c r="A5601" s="10" t="str">
        <f ca="1">IFERROR(__xludf.DUMMYFUNCTION("""COMPUTED_VALUE"""),"Мария Стефанова Николова")</f>
        <v>Мария Стефанова Николова</v>
      </c>
      <c r="B5601" s="10" t="str">
        <f ca="1">IFERROR(__xludf.DUMMYFUNCTION("""COMPUTED_VALUE"""),"Доклад от конференция")</f>
        <v>Доклад от конференция</v>
      </c>
      <c r="C5601" s="10" t="str">
        <f ca="1">IFERROR(__xludf.DUMMYFUNCTION("""COMPUTED_VALUE"""),"Ролята на историческите факти в преподаването на руската литература на XX в.")</f>
        <v>Ролята на историческите факти в преподаването на руската литература на XX в.</v>
      </c>
      <c r="D5601" s="10">
        <f ca="1">IFERROR(__xludf.DUMMYFUNCTION("""COMPUTED_VALUE"""),2012)</f>
        <v>2012</v>
      </c>
      <c r="E5601" s="10" t="str">
        <f ca="1">IFERROR(__xludf.DUMMYFUNCTION("""COMPUTED_VALUE"""),"В: Нови информационни технологии в образователния процес. Доклади и съобщения от Шестия научен семинар на УниБИТ, проведен в Костенец на 24-26 март 2011 г. – София, 2012, с. 237-241. ISSN 1313-2768")</f>
        <v>В: Нови информационни технологии в образователния процес. Доклади и съобщения от Шестия научен семинар на УниБИТ, проведен в Костенец на 24-26 март 2011 г. – София, 2012, с. 237-241. ISSN 1313-2768</v>
      </c>
      <c r="F5601" s="10"/>
      <c r="G5601" s="10"/>
      <c r="H5601" s="10"/>
      <c r="I5601" s="10"/>
      <c r="J5601" s="10"/>
      <c r="K5601" s="10"/>
      <c r="L5601" s="10"/>
      <c r="M5601" s="10"/>
      <c r="N5601" s="10"/>
      <c r="O5601" s="10"/>
      <c r="P5601" s="10"/>
      <c r="Q5601" s="10"/>
      <c r="R5601" s="10"/>
      <c r="S5601" s="10"/>
      <c r="T5601" s="10"/>
      <c r="U5601" s="10"/>
      <c r="V5601" s="10"/>
      <c r="W5601" s="10"/>
      <c r="X5601" s="10"/>
      <c r="Y5601" s="10"/>
      <c r="Z5601" s="10"/>
    </row>
    <row r="5602" spans="1:26" ht="12.75">
      <c r="A5602" s="10" t="str">
        <f ca="1">IFERROR(__xludf.DUMMYFUNCTION("""COMPUTED_VALUE"""),"Мария Стефанова Николова")</f>
        <v>Мария Стефанова Николова</v>
      </c>
      <c r="B5602" s="10" t="str">
        <f ca="1">IFERROR(__xludf.DUMMYFUNCTION("""COMPUTED_VALUE"""),"Статия в списания и поредици")</f>
        <v>Статия в списания и поредици</v>
      </c>
      <c r="C5602" s="10" t="str">
        <f ca="1">IFERROR(__xludf.DUMMYFUNCTION("""COMPUTED_VALUE"""),"Произведенията на А.П. Чехов в България (в края на XIX и началото на XX в.)")</f>
        <v>Произведенията на А.П. Чехов в България (в края на XIX и началото на XX в.)</v>
      </c>
      <c r="D5602" s="10">
        <f ca="1">IFERROR(__xludf.DUMMYFUNCTION("""COMPUTED_VALUE"""),2012)</f>
        <v>2012</v>
      </c>
      <c r="E5602" s="10" t="str">
        <f ca="1">IFERROR(__xludf.DUMMYFUNCTION("""COMPUTED_VALUE"""),"В: Научни трудове на УниБИТ. Т. 10, 2012. – София, 2012, с. 325-331. ISSN1314-2623")</f>
        <v>В: Научни трудове на УниБИТ. Т. 10, 2012. – София, 2012, с. 325-331. ISSN1314-2623</v>
      </c>
      <c r="F5602" s="10"/>
      <c r="G5602" s="10"/>
      <c r="H5602" s="10"/>
      <c r="I5602" s="10"/>
      <c r="J5602" s="10"/>
      <c r="K5602" s="10"/>
      <c r="L5602" s="10"/>
      <c r="M5602" s="10"/>
      <c r="N5602" s="10"/>
      <c r="O5602" s="10"/>
      <c r="P5602" s="10"/>
      <c r="Q5602" s="10"/>
      <c r="R5602" s="10"/>
      <c r="S5602" s="10"/>
      <c r="T5602" s="10"/>
      <c r="U5602" s="10"/>
      <c r="V5602" s="10"/>
      <c r="W5602" s="10"/>
      <c r="X5602" s="10"/>
      <c r="Y5602" s="10"/>
      <c r="Z5602" s="10"/>
    </row>
    <row r="5603" spans="1:26" ht="12.75">
      <c r="A5603" s="10" t="str">
        <f ca="1">IFERROR(__xludf.DUMMYFUNCTION("""COMPUTED_VALUE"""),"Мария Стефанова Николова")</f>
        <v>Мария Стефанова Николова</v>
      </c>
      <c r="B5603" s="10" t="str">
        <f ca="1">IFERROR(__xludf.DUMMYFUNCTION("""COMPUTED_VALUE"""),"Доклад от конференция")</f>
        <v>Доклад от конференция</v>
      </c>
      <c r="C5603" s="10" t="str">
        <f ca="1">IFERROR(__xludf.DUMMYFUNCTION("""COMPUTED_VALUE"""),"Ролята на сп. „Детска радост” в развитието на българската детска литература")</f>
        <v>Ролята на сп. „Детска радост” в развитието на българската детска литература</v>
      </c>
      <c r="D5603" s="10">
        <f ca="1">IFERROR(__xludf.DUMMYFUNCTION("""COMPUTED_VALUE"""),2012)</f>
        <v>2012</v>
      </c>
      <c r="E5603" s="10" t="str">
        <f ca="1">IFERROR(__xludf.DUMMYFUNCTION("""COMPUTED_VALUE"""),"В: Обществото на знанието и хуманизмът на XXI век. Девета национална научна конференция с международно участие. София, 1 ноември 2011 г. – София, 2012, с. 141-145. ISSN 1314-7099")</f>
        <v>В: Обществото на знанието и хуманизмът на XXI век. Девета национална научна конференция с международно участие. София, 1 ноември 2011 г. – София, 2012, с. 141-145. ISSN 1314-7099</v>
      </c>
      <c r="F5603" s="10"/>
      <c r="G5603" s="10"/>
      <c r="H5603" s="10"/>
      <c r="I5603" s="10"/>
      <c r="J5603" s="10"/>
      <c r="K5603" s="10"/>
      <c r="L5603" s="10"/>
      <c r="M5603" s="10"/>
      <c r="N5603" s="10"/>
      <c r="O5603" s="10"/>
      <c r="P5603" s="10"/>
      <c r="Q5603" s="10"/>
      <c r="R5603" s="10"/>
      <c r="S5603" s="10"/>
      <c r="T5603" s="10"/>
      <c r="U5603" s="10"/>
      <c r="V5603" s="10"/>
      <c r="W5603" s="10"/>
      <c r="X5603" s="10"/>
      <c r="Y5603" s="10"/>
      <c r="Z5603" s="10"/>
    </row>
    <row r="5604" spans="1:26" ht="12.75">
      <c r="A5604" s="10" t="str">
        <f ca="1">IFERROR(__xludf.DUMMYFUNCTION("""COMPUTED_VALUE"""),"Мария Стефанова Николова")</f>
        <v>Мария Стефанова Николова</v>
      </c>
      <c r="B5604" s="10" t="str">
        <f ca="1">IFERROR(__xludf.DUMMYFUNCTION("""COMPUTED_VALUE"""),"Доклад от конференция")</f>
        <v>Доклад от конференция</v>
      </c>
      <c r="C5604" s="10" t="str">
        <f ca="1">IFERROR(__xludf.DUMMYFUNCTION("""COMPUTED_VALUE"""),"Тургенев или Бодлер?")</f>
        <v>Тургенев или Бодлер?</v>
      </c>
      <c r="D5604" s="10">
        <f ca="1">IFERROR(__xludf.DUMMYFUNCTION("""COMPUTED_VALUE"""),2011)</f>
        <v>2011</v>
      </c>
      <c r="E5604" s="10" t="str">
        <f ca="1">IFERROR(__xludf.DUMMYFUNCTION("""COMPUTED_VALUE"""),"В: Тургеневские чтения. – Москва, 2011, с. 247-255. ISBN 978-5-903081-20-2")</f>
        <v>В: Тургеневские чтения. – Москва, 2011, с. 247-255. ISBN 978-5-903081-20-2</v>
      </c>
      <c r="F5604" s="10" t="str">
        <f ca="1">IFERROR(__xludf.DUMMYFUNCTION("""COMPUTED_VALUE"""),"РИНЦ")</f>
        <v>РИНЦ</v>
      </c>
      <c r="G5604" s="10"/>
      <c r="H5604" s="10"/>
      <c r="I5604" s="10"/>
      <c r="J5604" s="10"/>
      <c r="K5604" s="10"/>
      <c r="L5604" s="10"/>
      <c r="M5604" s="10"/>
      <c r="N5604" s="10"/>
      <c r="O5604" s="10"/>
      <c r="P5604" s="10"/>
      <c r="Q5604" s="10"/>
      <c r="R5604" s="10"/>
      <c r="S5604" s="10"/>
      <c r="T5604" s="10"/>
      <c r="U5604" s="10"/>
      <c r="V5604" s="10"/>
      <c r="W5604" s="10"/>
      <c r="X5604" s="10"/>
      <c r="Y5604" s="10"/>
      <c r="Z5604" s="10"/>
    </row>
    <row r="5605" spans="1:26" ht="12.75">
      <c r="A5605" s="10" t="str">
        <f ca="1">IFERROR(__xludf.DUMMYFUNCTION("""COMPUTED_VALUE"""),"Мария Стефанова Николова")</f>
        <v>Мария Стефанова Николова</v>
      </c>
      <c r="B5605" s="10" t="str">
        <f ca="1">IFERROR(__xludf.DUMMYFUNCTION("""COMPUTED_VALUE"""),"Монография")</f>
        <v>Монография</v>
      </c>
      <c r="C5605" s="10" t="str">
        <f ca="1">IFERROR(__xludf.DUMMYFUNCTION("""COMPUTED_VALUE"""),"Русская книга в Болгарии")</f>
        <v>Русская книга в Болгарии</v>
      </c>
      <c r="D5605" s="10">
        <f ca="1">IFERROR(__xludf.DUMMYFUNCTION("""COMPUTED_VALUE"""),2010)</f>
        <v>2010</v>
      </c>
      <c r="E5605" s="10" t="str">
        <f ca="1">IFERROR(__xludf.DUMMYFUNCTION("""COMPUTED_VALUE"""),"Москва: Пашков дом, 2010, 160 с. ISBN 978-5-7510-0498-9.")</f>
        <v>Москва: Пашков дом, 2010, 160 с. ISBN 978-5-7510-0498-9.</v>
      </c>
      <c r="F5605" s="10" t="str">
        <f ca="1">IFERROR(__xludf.DUMMYFUNCTION("""COMPUTED_VALUE"""),"РИНЦ")</f>
        <v>РИНЦ</v>
      </c>
      <c r="G5605" s="10"/>
      <c r="H5605" s="10"/>
      <c r="I5605" s="10"/>
      <c r="J5605" s="10"/>
      <c r="K5605" s="10"/>
      <c r="L5605" s="10"/>
      <c r="M5605" s="10"/>
      <c r="N5605" s="10"/>
      <c r="O5605" s="10"/>
      <c r="P5605" s="10"/>
      <c r="Q5605" s="10"/>
      <c r="R5605" s="10"/>
      <c r="S5605" s="10"/>
      <c r="T5605" s="10"/>
      <c r="U5605" s="10"/>
      <c r="V5605" s="10"/>
      <c r="W5605" s="10"/>
      <c r="X5605" s="10"/>
      <c r="Y5605" s="10"/>
      <c r="Z5605" s="10"/>
    </row>
    <row r="5606" spans="1:26" ht="12.75">
      <c r="A5606" s="10" t="str">
        <f ca="1">IFERROR(__xludf.DUMMYFUNCTION("""COMPUTED_VALUE"""),"Мария Стефанова Николова")</f>
        <v>Мария Стефанова Николова</v>
      </c>
      <c r="B5606" s="10" t="str">
        <f ca="1">IFERROR(__xludf.DUMMYFUNCTION("""COMPUTED_VALUE"""),"Статия в списания и поредици")</f>
        <v>Статия в списания и поредици</v>
      </c>
      <c r="C5606" s="10" t="str">
        <f ca="1">IFERROR(__xludf.DUMMYFUNCTION("""COMPUTED_VALUE"""),"Первое издание произведений В.А. Жуковского на болгарском языке.")</f>
        <v>Первое издание произведений В.А. Жуковского на болгарском языке.</v>
      </c>
      <c r="D5606" s="10">
        <f ca="1">IFERROR(__xludf.DUMMYFUNCTION("""COMPUTED_VALUE"""),2010)</f>
        <v>2010</v>
      </c>
      <c r="E5606" s="10" t="str">
        <f ca="1">IFERROR(__xludf.DUMMYFUNCTION("""COMPUTED_VALUE"""),"В: Жуковский. Исследования и материалы. Выпуск 1. – Томск, 2010, с. 171-178. ISBN978-5-7511-1944-7")</f>
        <v>В: Жуковский. Исследования и материалы. Выпуск 1. – Томск, 2010, с. 171-178. ISBN978-5-7511-1944-7</v>
      </c>
      <c r="F5606" s="10" t="str">
        <f ca="1">IFERROR(__xludf.DUMMYFUNCTION("""COMPUTED_VALUE"""),"РИНЦ")</f>
        <v>РИНЦ</v>
      </c>
      <c r="G5606" s="10"/>
      <c r="H5606" s="10"/>
      <c r="I5606" s="10"/>
      <c r="J5606" s="10"/>
      <c r="K5606" s="10"/>
      <c r="L5606" s="10"/>
      <c r="M5606" s="10"/>
      <c r="N5606" s="10"/>
      <c r="O5606" s="10"/>
      <c r="P5606" s="10"/>
      <c r="Q5606" s="10"/>
      <c r="R5606" s="10"/>
      <c r="S5606" s="10"/>
      <c r="T5606" s="10"/>
      <c r="U5606" s="10"/>
      <c r="V5606" s="10"/>
      <c r="W5606" s="10"/>
      <c r="X5606" s="10"/>
      <c r="Y5606" s="10"/>
      <c r="Z5606" s="10"/>
    </row>
    <row r="5607" spans="1:26" ht="12.75">
      <c r="A5607" s="10" t="str">
        <f ca="1">IFERROR(__xludf.DUMMYFUNCTION("""COMPUTED_VALUE"""),"Мария Стефанова Николова")</f>
        <v>Мария Стефанова Николова</v>
      </c>
      <c r="B5607" s="10" t="str">
        <f ca="1">IFERROR(__xludf.DUMMYFUNCTION("""COMPUTED_VALUE"""),"Доклад от конференция")</f>
        <v>Доклад от конференция</v>
      </c>
      <c r="C5607" s="10" t="str">
        <f ca="1">IFERROR(__xludf.DUMMYFUNCTION("""COMPUTED_VALUE"""),"На земята човек сам си отваря или затваря вратата към рая.")</f>
        <v>На земята човек сам си отваря или затваря вратата към рая.</v>
      </c>
      <c r="D5607" s="10">
        <f ca="1">IFERROR(__xludf.DUMMYFUNCTION("""COMPUTED_VALUE"""),2010)</f>
        <v>2010</v>
      </c>
      <c r="E5607" s="10" t="str">
        <f ca="1">IFERROR(__xludf.DUMMYFUNCTION("""COMPUTED_VALUE"""),"В: Обществото на знанието и хуманизмът на XXI век. Осма национална научна конференция с международно участие. 1 ноември 2010 г. – София, 2011, с. 252-257. ISSN 1314-7099")</f>
        <v>В: Обществото на знанието и хуманизмът на XXI век. Осма национална научна конференция с международно участие. 1 ноември 2010 г. – София, 2011, с. 252-257. ISSN 1314-7099</v>
      </c>
      <c r="F5607" s="10"/>
      <c r="G5607" s="10"/>
      <c r="H5607" s="10"/>
      <c r="I5607" s="10"/>
      <c r="J5607" s="10"/>
      <c r="K5607" s="10"/>
      <c r="L5607" s="10"/>
      <c r="M5607" s="10"/>
      <c r="N5607" s="10"/>
      <c r="O5607" s="10"/>
      <c r="P5607" s="10"/>
      <c r="Q5607" s="10"/>
      <c r="R5607" s="10"/>
      <c r="S5607" s="10"/>
      <c r="T5607" s="10"/>
      <c r="U5607" s="10"/>
      <c r="V5607" s="10"/>
      <c r="W5607" s="10"/>
      <c r="X5607" s="10"/>
      <c r="Y5607" s="10"/>
      <c r="Z5607" s="10"/>
    </row>
    <row r="5608" spans="1:26" ht="12.75">
      <c r="A5608" s="10" t="str">
        <f ca="1">IFERROR(__xludf.DUMMYFUNCTION("""COMPUTED_VALUE"""),"Мария Стефанова Николова")</f>
        <v>Мария Стефанова Николова</v>
      </c>
      <c r="B5608" s="10" t="str">
        <f ca="1">IFERROR(__xludf.DUMMYFUNCTION("""COMPUTED_VALUE"""),"Монография")</f>
        <v>Монография</v>
      </c>
      <c r="C5608" s="10" t="str">
        <f ca="1">IFERROR(__xludf.DUMMYFUNCTION("""COMPUTED_VALUE"""),"Рецепция на руската литературна класика в България 1878-1912. Автори-Издатели- Читатели.")</f>
        <v>Рецепция на руската литературна класика в България 1878-1912. Автори-Издатели- Читатели.</v>
      </c>
      <c r="D5608" s="10">
        <f ca="1">IFERROR(__xludf.DUMMYFUNCTION("""COMPUTED_VALUE"""),2009)</f>
        <v>2009</v>
      </c>
      <c r="E5608" s="10" t="str">
        <f ca="1">IFERROR(__xludf.DUMMYFUNCTION("""COMPUTED_VALUE"""),"Пловдив, НБИВ, 2009, 215 с. ISBN 978-9546-45-3")</f>
        <v>Пловдив, НБИВ, 2009, 215 с. ISBN 978-9546-45-3</v>
      </c>
      <c r="F5608" s="10"/>
      <c r="G5608" s="10"/>
      <c r="H5608" s="10"/>
      <c r="I5608" s="10"/>
      <c r="J5608" s="10"/>
      <c r="K5608" s="10"/>
      <c r="L5608" s="10"/>
      <c r="M5608" s="10"/>
      <c r="N5608" s="10"/>
      <c r="O5608" s="10"/>
      <c r="P5608" s="10"/>
      <c r="Q5608" s="10"/>
      <c r="R5608" s="10"/>
      <c r="S5608" s="10"/>
      <c r="T5608" s="10"/>
      <c r="U5608" s="10"/>
      <c r="V5608" s="10"/>
      <c r="W5608" s="10"/>
      <c r="X5608" s="10"/>
      <c r="Y5608" s="10"/>
      <c r="Z5608" s="10"/>
    </row>
    <row r="5609" spans="1:26" ht="12.75">
      <c r="A5609" s="10" t="str">
        <f ca="1">IFERROR(__xludf.DUMMYFUNCTION("""COMPUTED_VALUE"""),"Мария Стефанова Николова")</f>
        <v>Мария Стефанова Николова</v>
      </c>
      <c r="B5609" s="10" t="str">
        <f ca="1">IFERROR(__xludf.DUMMYFUNCTION("""COMPUTED_VALUE"""),"Доклад от конференция")</f>
        <v>Доклад от конференция</v>
      </c>
      <c r="C5609" s="10" t="str">
        <f ca="1">IFERROR(__xludf.DUMMYFUNCTION("""COMPUTED_VALUE"""),"Литература – кино - информираност")</f>
        <v>Литература – кино - информираност</v>
      </c>
      <c r="D5609" s="10">
        <f ca="1">IFERROR(__xludf.DUMMYFUNCTION("""COMPUTED_VALUE"""),2009)</f>
        <v>2009</v>
      </c>
      <c r="E5609" s="10" t="str">
        <f ca="1">IFERROR(__xludf.DUMMYFUNCTION("""COMPUTED_VALUE"""),"Нови информационни технологии в образователния процес. Доклади и съобщения от Четвъртия научен семинар на СВУБИТ, проведен в Хисаря на 27-29 март 2009 г. – София, 2010, с. 273-278. ISSN 1313-22768")</f>
        <v>Нови информационни технологии в образователния процес. Доклади и съобщения от Четвъртия научен семинар на СВУБИТ, проведен в Хисаря на 27-29 март 2009 г. – София, 2010, с. 273-278. ISSN 1313-22768</v>
      </c>
      <c r="F5609" s="10"/>
      <c r="G5609" s="10"/>
      <c r="H5609" s="10"/>
      <c r="I5609" s="10"/>
      <c r="J5609" s="10"/>
      <c r="K5609" s="10"/>
      <c r="L5609" s="10"/>
      <c r="M5609" s="10"/>
      <c r="N5609" s="10"/>
      <c r="O5609" s="10"/>
      <c r="P5609" s="10"/>
      <c r="Q5609" s="10"/>
      <c r="R5609" s="10"/>
      <c r="S5609" s="10"/>
      <c r="T5609" s="10"/>
      <c r="U5609" s="10"/>
      <c r="V5609" s="10"/>
      <c r="W5609" s="10"/>
      <c r="X5609" s="10"/>
      <c r="Y5609" s="10"/>
      <c r="Z5609" s="10"/>
    </row>
    <row r="5610" spans="1:26" ht="12.75">
      <c r="A5610" s="10" t="str">
        <f ca="1">IFERROR(__xludf.DUMMYFUNCTION("""COMPUTED_VALUE"""),"Мария Стефанова Николова")</f>
        <v>Мария Стефанова Николова</v>
      </c>
      <c r="B5610" s="10" t="str">
        <f ca="1">IFERROR(__xludf.DUMMYFUNCTION("""COMPUTED_VALUE"""),"Доклад от конференция")</f>
        <v>Доклад от конференция</v>
      </c>
      <c r="C5610" s="10" t="str">
        <f ca="1">IFERROR(__xludf.DUMMYFUNCTION("""COMPUTED_VALUE"""),"Руската книга в българските книготърговски каталози")</f>
        <v>Руската книга в българските книготърговски каталози</v>
      </c>
      <c r="D5610" s="10">
        <f ca="1">IFERROR(__xludf.DUMMYFUNCTION("""COMPUTED_VALUE"""),2008)</f>
        <v>2008</v>
      </c>
      <c r="E5610" s="10" t="str">
        <f ca="1">IFERROR(__xludf.DUMMYFUNCTION("""COMPUTED_VALUE"""),"Кирилицата в духовността на европейската информационна цивилизация. Пета научна конференция с международно участие, 1.11.2007, София, за буквите-О писменехь, 2008, с.274-278. ISBN 978-95-4888-74-24")</f>
        <v>Кирилицата в духовността на европейската информационна цивилизация. Пета научна конференция с международно участие, 1.11.2007, София, за буквите-О писменехь, 2008, с.274-278. ISBN 978-95-4888-74-24</v>
      </c>
      <c r="F5610" s="10"/>
      <c r="G5610" s="10"/>
      <c r="H5610" s="10"/>
      <c r="I5610" s="10"/>
      <c r="J5610" s="10"/>
      <c r="K5610" s="10"/>
      <c r="L5610" s="10"/>
      <c r="M5610" s="10"/>
      <c r="N5610" s="10"/>
      <c r="O5610" s="10"/>
      <c r="P5610" s="10"/>
      <c r="Q5610" s="10"/>
      <c r="R5610" s="10"/>
      <c r="S5610" s="10"/>
      <c r="T5610" s="10"/>
      <c r="U5610" s="10"/>
      <c r="V5610" s="10"/>
      <c r="W5610" s="10"/>
      <c r="X5610" s="10"/>
      <c r="Y5610" s="10"/>
      <c r="Z5610" s="10"/>
    </row>
    <row r="5611" spans="1:26" ht="12.75">
      <c r="A5611" s="10" t="str">
        <f ca="1">IFERROR(__xludf.DUMMYFUNCTION("""COMPUTED_VALUE"""),"Мария Стефанова Николова")</f>
        <v>Мария Стефанова Николова</v>
      </c>
      <c r="B5611" s="10" t="str">
        <f ca="1">IFERROR(__xludf.DUMMYFUNCTION("""COMPUTED_VALUE"""),"Статия в списания и поредици")</f>
        <v>Статия в списания и поредици</v>
      </c>
      <c r="C5611" s="10" t="str">
        <f ca="1">IFERROR(__xludf.DUMMYFUNCTION("""COMPUTED_VALUE"""),"И.С.Тургенев и болгарский читатель")</f>
        <v>И.С.Тургенев и болгарский читатель</v>
      </c>
      <c r="D5611" s="10">
        <f ca="1">IFERROR(__xludf.DUMMYFUNCTION("""COMPUTED_VALUE"""),2008)</f>
        <v>2008</v>
      </c>
      <c r="E5611" s="10" t="str">
        <f ca="1">IFERROR(__xludf.DUMMYFUNCTION("""COMPUTED_VALUE"""),"И.С.Тургенев:вчера, сегодня, завтра. Классическое наследие в изменяющейся России. Орел, Изд. Орловского государственного университета, 2008, с. 47-50. ISBN 978-5-9708-0147-5")</f>
        <v>И.С.Тургенев:вчера, сегодня, завтра. Классическое наследие в изменяющейся России. Орел, Изд. Орловского государственного университета, 2008, с. 47-50. ISBN 978-5-9708-0147-5</v>
      </c>
      <c r="F5611" s="10"/>
      <c r="G5611" s="10"/>
      <c r="H5611" s="10"/>
      <c r="I5611" s="10"/>
      <c r="J5611" s="10"/>
      <c r="K5611" s="10"/>
      <c r="L5611" s="10"/>
      <c r="M5611" s="10"/>
      <c r="N5611" s="10"/>
      <c r="O5611" s="10"/>
      <c r="P5611" s="10"/>
      <c r="Q5611" s="10"/>
      <c r="R5611" s="10"/>
      <c r="S5611" s="10"/>
      <c r="T5611" s="10"/>
      <c r="U5611" s="10"/>
      <c r="V5611" s="10"/>
      <c r="W5611" s="10"/>
      <c r="X5611" s="10"/>
      <c r="Y5611" s="10"/>
      <c r="Z5611" s="10"/>
    </row>
    <row r="5612" spans="1:26" ht="12.75">
      <c r="A5612" s="10" t="str">
        <f ca="1">IFERROR(__xludf.DUMMYFUNCTION("""COMPUTED_VALUE"""),"Мария Стефанова Николова")</f>
        <v>Мария Стефанова Николова</v>
      </c>
      <c r="B5612" s="10" t="str">
        <f ca="1">IFERROR(__xludf.DUMMYFUNCTION("""COMPUTED_VALUE"""),"Статия в списания и поредици")</f>
        <v>Статия в списания и поредици</v>
      </c>
      <c r="C5612" s="10" t="str">
        <f ca="1">IFERROR(__xludf.DUMMYFUNCTION("""COMPUTED_VALUE"""),"Преводната руска художествена литература в репертоара на софийските издатели (1878-1912).")</f>
        <v>Преводната руска художествена литература в репертоара на софийските издатели (1878-1912).</v>
      </c>
      <c r="D5612" s="10">
        <f ca="1">IFERROR(__xludf.DUMMYFUNCTION("""COMPUTED_VALUE"""),2008)</f>
        <v>2008</v>
      </c>
      <c r="E5612" s="10" t="str">
        <f ca="1">IFERROR(__xludf.DUMMYFUNCTION("""COMPUTED_VALUE"""),"Трудове на СВУБИТ. Т. 7. С., 2008, с. 445-450. ISSN 1312-5834.")</f>
        <v>Трудове на СВУБИТ. Т. 7. С., 2008, с. 445-450. ISSN 1312-5834.</v>
      </c>
      <c r="F5612" s="10"/>
      <c r="G5612" s="10"/>
      <c r="H5612" s="10"/>
      <c r="I5612" s="10"/>
      <c r="J5612" s="10"/>
      <c r="K5612" s="10"/>
      <c r="L5612" s="10"/>
      <c r="M5612" s="10"/>
      <c r="N5612" s="10"/>
      <c r="O5612" s="10"/>
      <c r="P5612" s="10"/>
      <c r="Q5612" s="10"/>
      <c r="R5612" s="10"/>
      <c r="S5612" s="10"/>
      <c r="T5612" s="10"/>
      <c r="U5612" s="10"/>
      <c r="V5612" s="10"/>
      <c r="W5612" s="10"/>
      <c r="X5612" s="10"/>
      <c r="Y5612" s="10"/>
      <c r="Z5612" s="10"/>
    </row>
    <row r="5613" spans="1:26" ht="12.75">
      <c r="A5613" s="10" t="str">
        <f ca="1">IFERROR(__xludf.DUMMYFUNCTION("""COMPUTED_VALUE"""),"Мария Стефанова Николова")</f>
        <v>Мария Стефанова Николова</v>
      </c>
      <c r="B5613" s="10" t="str">
        <f ca="1">IFERROR(__xludf.DUMMYFUNCTION("""COMPUTED_VALUE"""),"Статия в списания и поредици")</f>
        <v>Статия в списания и поредици</v>
      </c>
      <c r="C5613" s="10" t="str">
        <f ca="1">IFERROR(__xludf.DUMMYFUNCTION("""COMPUTED_VALUE"""),"Русская книга в статьях болгарских критиков")</f>
        <v>Русская книга в статьях болгарских критиков</v>
      </c>
      <c r="D5613" s="10">
        <f ca="1">IFERROR(__xludf.DUMMYFUNCTION("""COMPUTED_VALUE"""),2007)</f>
        <v>2007</v>
      </c>
      <c r="E5613" s="10" t="str">
        <f ca="1">IFERROR(__xludf.DUMMYFUNCTION("""COMPUTED_VALUE"""),"Мир библиографии. Москва, 2007, №51, с. 31-35. ISSN 1560-7968")</f>
        <v>Мир библиографии. Москва, 2007, №51, с. 31-35. ISSN 1560-7968</v>
      </c>
      <c r="F5613" s="10"/>
      <c r="G5613" s="10"/>
      <c r="H5613" s="10"/>
      <c r="I5613" s="10"/>
      <c r="J5613" s="10"/>
      <c r="K5613" s="10"/>
      <c r="L5613" s="10"/>
      <c r="M5613" s="10"/>
      <c r="N5613" s="10"/>
      <c r="O5613" s="10"/>
      <c r="P5613" s="10"/>
      <c r="Q5613" s="10"/>
      <c r="R5613" s="10"/>
      <c r="S5613" s="10"/>
      <c r="T5613" s="10"/>
      <c r="U5613" s="10"/>
      <c r="V5613" s="10"/>
      <c r="W5613" s="10"/>
      <c r="X5613" s="10"/>
      <c r="Y5613" s="10"/>
      <c r="Z5613" s="10"/>
    </row>
    <row r="5614" spans="1:26" ht="12.75">
      <c r="A5614" s="10" t="str">
        <f ca="1">IFERROR(__xludf.DUMMYFUNCTION("""COMPUTED_VALUE"""),"Мария Стефанова Николова")</f>
        <v>Мария Стефанова Николова</v>
      </c>
      <c r="B5614" s="10" t="str">
        <f ca="1">IFERROR(__xludf.DUMMYFUNCTION("""COMPUTED_VALUE"""),"Статия в списания и поредици")</f>
        <v>Статия в списания и поредици</v>
      </c>
      <c r="C5614" s="10" t="str">
        <f ca="1">IFERROR(__xludf.DUMMYFUNCTION("""COMPUTED_VALUE"""),"Реклама русской переводной книги в Болгарии (1878-1912)")</f>
        <v>Реклама русской переводной книги в Болгарии (1878-1912)</v>
      </c>
      <c r="D5614" s="10">
        <f ca="1">IFERROR(__xludf.DUMMYFUNCTION("""COMPUTED_VALUE"""),2007)</f>
        <v>2007</v>
      </c>
      <c r="E5614" s="10" t="str">
        <f ca="1">IFERROR(__xludf.DUMMYFUNCTION("""COMPUTED_VALUE"""),"Проблемы полиграфии и издательского дела. - №2, Москва, с. 83-86. ISSN 2072-6775")</f>
        <v>Проблемы полиграфии и издательского дела. - №2, Москва, с. 83-86. ISSN 2072-6775</v>
      </c>
      <c r="F5614" s="10" t="str">
        <f ca="1">IFERROR(__xludf.DUMMYFUNCTION("""COMPUTED_VALUE"""),"РИНЦ")</f>
        <v>РИНЦ</v>
      </c>
      <c r="G5614" s="10"/>
      <c r="H5614" s="10"/>
      <c r="I5614" s="10"/>
      <c r="J5614" s="10"/>
      <c r="K5614" s="10"/>
      <c r="L5614" s="10"/>
      <c r="M5614" s="10"/>
      <c r="N5614" s="10"/>
      <c r="O5614" s="10"/>
      <c r="P5614" s="10"/>
      <c r="Q5614" s="10"/>
      <c r="R5614" s="10"/>
      <c r="S5614" s="10"/>
      <c r="T5614" s="10"/>
      <c r="U5614" s="10"/>
      <c r="V5614" s="10"/>
      <c r="W5614" s="10"/>
      <c r="X5614" s="10"/>
      <c r="Y5614" s="10"/>
      <c r="Z5614" s="10"/>
    </row>
    <row r="5615" spans="1:26" ht="12.75">
      <c r="A5615" s="10" t="str">
        <f ca="1">IFERROR(__xludf.DUMMYFUNCTION("""COMPUTED_VALUE"""),"Мария Стефанова Николова")</f>
        <v>Мария Стефанова Николова</v>
      </c>
      <c r="B5615" s="10" t="str">
        <f ca="1">IFERROR(__xludf.DUMMYFUNCTION("""COMPUTED_VALUE"""),"Статия в списания и поредици")</f>
        <v>Статия в списания и поредици</v>
      </c>
      <c r="C5615" s="10" t="str">
        <f ca="1">IFERROR(__xludf.DUMMYFUNCTION("""COMPUTED_VALUE"""),"Българският читател насаме с руската книга")</f>
        <v>Българският читател насаме с руската книга</v>
      </c>
      <c r="D5615" s="10">
        <f ca="1">IFERROR(__xludf.DUMMYFUNCTION("""COMPUTED_VALUE"""),2007)</f>
        <v>2007</v>
      </c>
      <c r="E5615" s="10" t="str">
        <f ca="1">IFERROR(__xludf.DUMMYFUNCTION("""COMPUTED_VALUE"""),"Трудове СВУБИТ, 6, 2007, с. 235-241. ISSN 1312-5834")</f>
        <v>Трудове СВУБИТ, 6, 2007, с. 235-241. ISSN 1312-5834</v>
      </c>
      <c r="F5615" s="10"/>
      <c r="G5615" s="10"/>
      <c r="H5615" s="10"/>
      <c r="I5615" s="10"/>
      <c r="J5615" s="10"/>
      <c r="K5615" s="10"/>
      <c r="L5615" s="10"/>
      <c r="M5615" s="10"/>
      <c r="N5615" s="10"/>
      <c r="O5615" s="10"/>
      <c r="P5615" s="10"/>
      <c r="Q5615" s="10"/>
      <c r="R5615" s="10"/>
      <c r="S5615" s="10"/>
      <c r="T5615" s="10"/>
      <c r="U5615" s="10"/>
      <c r="V5615" s="10"/>
      <c r="W5615" s="10"/>
      <c r="X5615" s="10"/>
      <c r="Y5615" s="10"/>
      <c r="Z5615" s="10"/>
    </row>
    <row r="5616" spans="1:26" ht="12.75">
      <c r="A5616" s="10" t="str">
        <f ca="1">IFERROR(__xludf.DUMMYFUNCTION("""COMPUTED_VALUE"""),"Мария Стефанова Николова")</f>
        <v>Мария Стефанова Николова</v>
      </c>
      <c r="B5616" s="10" t="str">
        <f ca="1">IFERROR(__xludf.DUMMYFUNCTION("""COMPUTED_VALUE"""),"Доклад от конференция")</f>
        <v>Доклад от конференция</v>
      </c>
      <c r="C5616" s="10" t="str">
        <f ca="1">IFERROR(__xludf.DUMMYFUNCTION("""COMPUTED_VALUE"""),"Едно любопитно издание на „Анна Каренина“")</f>
        <v>Едно любопитно издание на „Анна Каренина“</v>
      </c>
      <c r="D5616" s="10">
        <f ca="1">IFERROR(__xludf.DUMMYFUNCTION("""COMPUTED_VALUE"""),2007)</f>
        <v>2007</v>
      </c>
      <c r="E5616" s="10" t="str">
        <f ca="1">IFERROR(__xludf.DUMMYFUNCTION("""COMPUTED_VALUE"""),"Държавата на духа. Четвърта нац. конф. с международно участие. София,, За буквите-О писменехь, 2007, с. 318-321. ISBN 978-954-8887-29-8")</f>
        <v>Държавата на духа. Четвърта нац. конф. с международно участие. София,, За буквите-О писменехь, 2007, с. 318-321. ISBN 978-954-8887-29-8</v>
      </c>
      <c r="F5616" s="10"/>
      <c r="G5616" s="10"/>
      <c r="H5616" s="10"/>
      <c r="I5616" s="10"/>
      <c r="J5616" s="10"/>
      <c r="K5616" s="10"/>
      <c r="L5616" s="10"/>
      <c r="M5616" s="10"/>
      <c r="N5616" s="10"/>
      <c r="O5616" s="10"/>
      <c r="P5616" s="10"/>
      <c r="Q5616" s="10"/>
      <c r="R5616" s="10"/>
      <c r="S5616" s="10"/>
      <c r="T5616" s="10"/>
      <c r="U5616" s="10"/>
      <c r="V5616" s="10"/>
      <c r="W5616" s="10"/>
      <c r="X5616" s="10"/>
      <c r="Y5616" s="10"/>
      <c r="Z5616" s="10"/>
    </row>
    <row r="5617" spans="1:26" ht="12.75">
      <c r="A5617" s="10" t="str">
        <f ca="1">IFERROR(__xludf.DUMMYFUNCTION("""COMPUTED_VALUE"""),"Мария Стефанова Николова")</f>
        <v>Мария Стефанова Николова</v>
      </c>
      <c r="B5617" s="10" t="str">
        <f ca="1">IFERROR(__xludf.DUMMYFUNCTION("""COMPUTED_VALUE"""),"Статия в списания и поредици")</f>
        <v>Статия в списания и поредици</v>
      </c>
      <c r="C5617" s="10" t="str">
        <f ca="1">IFERROR(__xludf.DUMMYFUNCTION("""COMPUTED_VALUE"""),"Пловдивските издатели на руска художествена литература.")</f>
        <v>Пловдивските издатели на руска художествена литература.</v>
      </c>
      <c r="D5617" s="10">
        <f ca="1">IFERROR(__xludf.DUMMYFUNCTION("""COMPUTED_VALUE"""),2006)</f>
        <v>2006</v>
      </c>
      <c r="E5617" s="10" t="str">
        <f ca="1">IFERROR(__xludf.DUMMYFUNCTION("""COMPUTED_VALUE"""),"Трудове СВУБИТ, 5, 2006, с. 307-313. ISSN 1312-5834")</f>
        <v>Трудове СВУБИТ, 5, 2006, с. 307-313. ISSN 1312-5834</v>
      </c>
      <c r="F5617" s="10"/>
      <c r="G5617" s="10"/>
      <c r="H5617" s="10"/>
      <c r="I5617" s="10"/>
      <c r="J5617" s="10"/>
      <c r="K5617" s="10"/>
      <c r="L5617" s="10"/>
      <c r="M5617" s="10"/>
      <c r="N5617" s="10"/>
      <c r="O5617" s="10"/>
      <c r="P5617" s="10"/>
      <c r="Q5617" s="10"/>
      <c r="R5617" s="10"/>
      <c r="S5617" s="10"/>
      <c r="T5617" s="10"/>
      <c r="U5617" s="10"/>
      <c r="V5617" s="10"/>
      <c r="W5617" s="10"/>
      <c r="X5617" s="10"/>
      <c r="Y5617" s="10"/>
      <c r="Z5617" s="10"/>
    </row>
    <row r="5618" spans="1:26" ht="12.75">
      <c r="A5618" s="10" t="str">
        <f ca="1">IFERROR(__xludf.DUMMYFUNCTION("""COMPUTED_VALUE"""),"Мария Стефанова Николова")</f>
        <v>Мария Стефанова Николова</v>
      </c>
      <c r="B5618" s="10" t="str">
        <f ca="1">IFERROR(__xludf.DUMMYFUNCTION("""COMPUTED_VALUE"""),"Статия в списания и поредици")</f>
        <v>Статия в списания и поредици</v>
      </c>
      <c r="C5618" s="10" t="str">
        <f ca="1">IFERROR(__xludf.DUMMYFUNCTION("""COMPUTED_VALUE"""),"Издание русской художественной литературы в Болгарии в 1878-1900 годах")</f>
        <v>Издание русской художественной литературы в Болгарии в 1878-1900 годах</v>
      </c>
      <c r="D5618" s="10">
        <f ca="1">IFERROR(__xludf.DUMMYFUNCTION("""COMPUTED_VALUE"""),2005)</f>
        <v>2005</v>
      </c>
      <c r="E5618" s="10" t="str">
        <f ca="1">IFERROR(__xludf.DUMMYFUNCTION("""COMPUTED_VALUE"""),"Роль книгоиздания в развитии международных научных и культурных контактов. – Москва, 2005, . ISBN 5-02-033933-4, с. 195-197")</f>
        <v>Роль книгоиздания в развитии международных научных и культурных контактов. – Москва, 2005, . ISBN 5-02-033933-4, с. 195-197</v>
      </c>
      <c r="F5618" s="10" t="str">
        <f ca="1">IFERROR(__xludf.DUMMYFUNCTION("""COMPUTED_VALUE"""),"РИНЦ")</f>
        <v>РИНЦ</v>
      </c>
      <c r="G5618" s="10"/>
      <c r="H5618" s="10"/>
      <c r="I5618" s="10"/>
      <c r="J5618" s="10"/>
      <c r="K5618" s="10"/>
      <c r="L5618" s="10"/>
      <c r="M5618" s="10"/>
      <c r="N5618" s="10"/>
      <c r="O5618" s="10"/>
      <c r="P5618" s="10"/>
      <c r="Q5618" s="10"/>
      <c r="R5618" s="10"/>
      <c r="S5618" s="10"/>
      <c r="T5618" s="10"/>
      <c r="U5618" s="10"/>
      <c r="V5618" s="10"/>
      <c r="W5618" s="10"/>
      <c r="X5618" s="10"/>
      <c r="Y5618" s="10"/>
      <c r="Z5618" s="10"/>
    </row>
    <row r="5619" spans="1:26" ht="12.75">
      <c r="A5619" s="10" t="str">
        <f ca="1">IFERROR(__xludf.DUMMYFUNCTION("""COMPUTED_VALUE"""),"Мария Стефанова Николова")</f>
        <v>Мария Стефанова Николова</v>
      </c>
      <c r="B5619" s="10" t="str">
        <f ca="1">IFERROR(__xludf.DUMMYFUNCTION("""COMPUTED_VALUE"""),"Доклад от конференция")</f>
        <v>Доклад от конференция</v>
      </c>
      <c r="C5619" s="10" t="str">
        <f ca="1">IFERROR(__xludf.DUMMYFUNCTION("""COMPUTED_VALUE"""),"Изданията на руска художествена литература в България 1878-1912 и зависимостта на тяхната ритмичност от политическата конюнктура")</f>
        <v>Изданията на руска художествена литература в България 1878-1912 и зависимостта на тяхната ритмичност от политическата конюнктура</v>
      </c>
      <c r="D5619" s="10">
        <f ca="1">IFERROR(__xludf.DUMMYFUNCTION("""COMPUTED_VALUE"""),2005)</f>
        <v>2005</v>
      </c>
      <c r="E5619" s="10" t="str">
        <f ca="1">IFERROR(__xludf.DUMMYFUNCTION("""COMPUTED_VALUE"""),"Книгата и „безкнижната цивилизация“. –София, 2005, ISBN 10: 954-8887-19-3; ISBN 13: 978-954-8887-19-9, с. 187-192")</f>
        <v>Книгата и „безкнижната цивилизация“. –София, 2005, ISBN 10: 954-8887-19-3; ISBN 13: 978-954-8887-19-9, с. 187-192</v>
      </c>
      <c r="F5619" s="10"/>
      <c r="G5619" s="10"/>
      <c r="H5619" s="10"/>
      <c r="I5619" s="10"/>
      <c r="J5619" s="10"/>
      <c r="K5619" s="10"/>
      <c r="L5619" s="10"/>
      <c r="M5619" s="10"/>
      <c r="N5619" s="10"/>
      <c r="O5619" s="10"/>
      <c r="P5619" s="10"/>
      <c r="Q5619" s="10"/>
      <c r="R5619" s="10"/>
      <c r="S5619" s="10"/>
      <c r="T5619" s="10"/>
      <c r="U5619" s="10"/>
      <c r="V5619" s="10"/>
      <c r="W5619" s="10"/>
      <c r="X5619" s="10"/>
      <c r="Y5619" s="10"/>
      <c r="Z5619" s="10"/>
    </row>
    <row r="5620" spans="1:26" ht="12.75">
      <c r="A5620" s="10" t="str">
        <f ca="1">IFERROR(__xludf.DUMMYFUNCTION("""COMPUTED_VALUE"""),"Мария Стефанова Николова")</f>
        <v>Мария Стефанова Николова</v>
      </c>
      <c r="B5620" s="10" t="str">
        <f ca="1">IFERROR(__xludf.DUMMYFUNCTION("""COMPUTED_VALUE"""),"Доклад от конференция")</f>
        <v>Доклад от конференция</v>
      </c>
      <c r="C5620" s="10" t="str">
        <f ca="1">IFERROR(__xludf.DUMMYFUNCTION("""COMPUTED_VALUE"""),"Руската преводна художествена литература в „Литературно научно списание на Казанлъшкото учителско дружество“")</f>
        <v>Руската преводна художествена литература в „Литературно научно списание на Казанлъшкото учителско дружество“</v>
      </c>
      <c r="D5620" s="10">
        <f ca="1">IFERROR(__xludf.DUMMYFUNCTION("""COMPUTED_VALUE"""),2004)</f>
        <v>2004</v>
      </c>
      <c r="E5620" s="10" t="str">
        <f ca="1">IFERROR(__xludf.DUMMYFUNCTION("""COMPUTED_VALUE"""),"Книгата и националната идентичност.София, 2004, ISBN 954-8887-10-Х, с- 344-351.")</f>
        <v>Книгата и националната идентичност.София, 2004, ISBN 954-8887-10-Х, с- 344-351.</v>
      </c>
      <c r="F5620" s="10"/>
      <c r="G5620" s="10"/>
      <c r="H5620" s="10"/>
      <c r="I5620" s="10"/>
      <c r="J5620" s="10"/>
      <c r="K5620" s="10"/>
      <c r="L5620" s="10"/>
      <c r="M5620" s="10"/>
      <c r="N5620" s="10"/>
      <c r="O5620" s="10"/>
      <c r="P5620" s="10"/>
      <c r="Q5620" s="10"/>
      <c r="R5620" s="10"/>
      <c r="S5620" s="10"/>
      <c r="T5620" s="10"/>
      <c r="U5620" s="10"/>
      <c r="V5620" s="10"/>
      <c r="W5620" s="10"/>
      <c r="X5620" s="10"/>
      <c r="Y5620" s="10"/>
      <c r="Z5620" s="10"/>
    </row>
    <row r="5621" spans="1:26" ht="12.75">
      <c r="A5621" s="10" t="str">
        <f ca="1">IFERROR(__xludf.DUMMYFUNCTION("""COMPUTED_VALUE"""),"Мария Стефанова Николова")</f>
        <v>Мария Стефанова Николова</v>
      </c>
      <c r="B5621" s="10" t="str">
        <f ca="1">IFERROR(__xludf.DUMMYFUNCTION("""COMPUTED_VALUE"""),"Доклад от конференция")</f>
        <v>Доклад от конференция</v>
      </c>
      <c r="C5621" s="10" t="str">
        <f ca="1">IFERROR(__xludf.DUMMYFUNCTION("""COMPUTED_VALUE"""),"Руската преводна художествена литература в списанията на младия д-р Кръстев")</f>
        <v>Руската преводна художествена литература в списанията на младия д-р Кръстев</v>
      </c>
      <c r="D5621" s="10">
        <f ca="1">IFERROR(__xludf.DUMMYFUNCTION("""COMPUTED_VALUE"""),2004)</f>
        <v>2004</v>
      </c>
      <c r="E5621" s="10" t="str">
        <f ca="1">IFERROR(__xludf.DUMMYFUNCTION("""COMPUTED_VALUE"""),"Библиотеки-четене-комуникации. – Велико Търново, 2004, ISBN 954-524-478-Х, с. 208-214")</f>
        <v>Библиотеки-четене-комуникации. – Велико Търново, 2004, ISBN 954-524-478-Х, с. 208-214</v>
      </c>
      <c r="F5621" s="10"/>
      <c r="G5621" s="10"/>
      <c r="H5621" s="10"/>
      <c r="I5621" s="10"/>
      <c r="J5621" s="10"/>
      <c r="K5621" s="10"/>
      <c r="L5621" s="10"/>
      <c r="M5621" s="10"/>
      <c r="N5621" s="10"/>
      <c r="O5621" s="10"/>
      <c r="P5621" s="10"/>
      <c r="Q5621" s="10"/>
      <c r="R5621" s="10"/>
      <c r="S5621" s="10"/>
      <c r="T5621" s="10"/>
      <c r="U5621" s="10"/>
      <c r="V5621" s="10"/>
      <c r="W5621" s="10"/>
      <c r="X5621" s="10"/>
      <c r="Y5621" s="10"/>
      <c r="Z5621" s="10"/>
    </row>
    <row r="5622" spans="1:26" ht="12.75">
      <c r="A5622" s="10" t="str">
        <f ca="1">IFERROR(__xludf.DUMMYFUNCTION("""COMPUTED_VALUE"""),"Мария Стефанова Николова")</f>
        <v>Мария Стефанова Николова</v>
      </c>
      <c r="B5622" s="10" t="str">
        <f ca="1">IFERROR(__xludf.DUMMYFUNCTION("""COMPUTED_VALUE"""),"Статия в списания и поредици")</f>
        <v>Статия в списания и поредици</v>
      </c>
      <c r="C5622" s="10" t="str">
        <f ca="1">IFERROR(__xludf.DUMMYFUNCTION("""COMPUTED_VALUE"""),"От Белая Церковь до Росица 6")</f>
        <v>От Белая Церковь до Росица 6</v>
      </c>
      <c r="D5622" s="10">
        <f ca="1">IFERROR(__xludf.DUMMYFUNCTION("""COMPUTED_VALUE"""),2004)</f>
        <v>2004</v>
      </c>
      <c r="E5622" s="10" t="str">
        <f ca="1">IFERROR(__xludf.DUMMYFUNCTION("""COMPUTED_VALUE"""),"Бъдеще време в миналото. София: За буквите – О писменехъ. 2004. с. 122-131 ISBN 954-07-2053-2")</f>
        <v>Бъдеще време в миналото. София: За буквите – О писменехъ. 2004. с. 122-131 ISBN 954-07-2053-2</v>
      </c>
      <c r="F5622" s="10"/>
      <c r="G5622" s="10"/>
      <c r="H5622" s="10"/>
      <c r="I5622" s="10"/>
      <c r="J5622" s="10"/>
      <c r="K5622" s="10"/>
      <c r="L5622" s="10"/>
      <c r="M5622" s="10"/>
      <c r="N5622" s="10"/>
      <c r="O5622" s="10"/>
      <c r="P5622" s="10"/>
      <c r="Q5622" s="10"/>
      <c r="R5622" s="10"/>
      <c r="S5622" s="10"/>
      <c r="T5622" s="10"/>
      <c r="U5622" s="10"/>
      <c r="V5622" s="10"/>
      <c r="W5622" s="10"/>
      <c r="X5622" s="10"/>
      <c r="Y5622" s="10"/>
      <c r="Z5622" s="10"/>
    </row>
    <row r="5623" spans="1:26" ht="12.75">
      <c r="A5623" s="10" t="str">
        <f ca="1">IFERROR(__xludf.DUMMYFUNCTION("""COMPUTED_VALUE"""),"Мария Стефанова Николова")</f>
        <v>Мария Стефанова Николова</v>
      </c>
      <c r="B5623" s="10" t="str">
        <f ca="1">IFERROR(__xludf.DUMMYFUNCTION("""COMPUTED_VALUE"""),"Статия в списания и поредици")</f>
        <v>Статия в списания и поредици</v>
      </c>
      <c r="C5623" s="10" t="str">
        <f ca="1">IFERROR(__xludf.DUMMYFUNCTION("""COMPUTED_VALUE"""),"Отражение переводной русской художественной литературы в Болгарии в период 1890-1891 г.")</f>
        <v>Отражение переводной русской художественной литературы в Болгарии в период 1890-1891 г.</v>
      </c>
      <c r="D5623" s="10">
        <f ca="1">IFERROR(__xludf.DUMMYFUNCTION("""COMPUTED_VALUE"""),2004)</f>
        <v>2004</v>
      </c>
      <c r="E5623" s="10" t="str">
        <f ca="1">IFERROR(__xludf.DUMMYFUNCTION("""COMPUTED_VALUE"""),"Научная книга, Москва, 3-4, Свид. о регистр. 017289/06.03.1998, с. 46-52")</f>
        <v>Научная книга, Москва, 3-4, Свид. о регистр. 017289/06.03.1998, с. 46-52</v>
      </c>
      <c r="F5623" s="10" t="str">
        <f ca="1">IFERROR(__xludf.DUMMYFUNCTION("""COMPUTED_VALUE"""),"РИНЦ")</f>
        <v>РИНЦ</v>
      </c>
      <c r="G5623" s="10"/>
      <c r="H5623" s="10"/>
      <c r="I5623" s="10"/>
      <c r="J5623" s="10"/>
      <c r="K5623" s="10"/>
      <c r="L5623" s="10"/>
      <c r="M5623" s="10"/>
      <c r="N5623" s="10"/>
      <c r="O5623" s="10"/>
      <c r="P5623" s="10"/>
      <c r="Q5623" s="10"/>
      <c r="R5623" s="10"/>
      <c r="S5623" s="10"/>
      <c r="T5623" s="10"/>
      <c r="U5623" s="10"/>
      <c r="V5623" s="10"/>
      <c r="W5623" s="10"/>
      <c r="X5623" s="10"/>
      <c r="Y5623" s="10"/>
      <c r="Z5623" s="10"/>
    </row>
    <row r="5624" spans="1:26" ht="12.75">
      <c r="A5624" s="10" t="str">
        <f ca="1">IFERROR(__xludf.DUMMYFUNCTION("""COMPUTED_VALUE"""),"Мария Стефанова Николова")</f>
        <v>Мария Стефанова Николова</v>
      </c>
      <c r="B5624" s="10" t="str">
        <f ca="1">IFERROR(__xludf.DUMMYFUNCTION("""COMPUTED_VALUE"""),"Статия в списания и поредици")</f>
        <v>Статия в списания и поредици</v>
      </c>
      <c r="C5624" s="10" t="str">
        <f ca="1">IFERROR(__xludf.DUMMYFUNCTION("""COMPUTED_VALUE"""),"Темата за Руско-турската война 1877-1878 г. в преводната руска художествена литература от Освобождението до Балканската война")</f>
        <v>Темата за Руско-турската война 1877-1878 г. в преводната руска художествена литература от Освобождението до Балканската война</v>
      </c>
      <c r="D5624" s="10">
        <f ca="1">IFERROR(__xludf.DUMMYFUNCTION("""COMPUTED_VALUE"""),2004)</f>
        <v>2004</v>
      </c>
      <c r="E5624" s="10" t="str">
        <f ca="1">IFERROR(__xludf.DUMMYFUNCTION("""COMPUTED_VALUE"""),"Трудове на специализирано висше училище по библиотекознание и информационни технологии. – София, 2004, ISBN 1312-5834, с. 227-233")</f>
        <v>Трудове на специализирано висше училище по библиотекознание и информационни технологии. – София, 2004, ISBN 1312-5834, с. 227-233</v>
      </c>
      <c r="F5624" s="10"/>
      <c r="G5624" s="10"/>
      <c r="H5624" s="10"/>
      <c r="I5624" s="10"/>
      <c r="J5624" s="10"/>
      <c r="K5624" s="10"/>
      <c r="L5624" s="10"/>
      <c r="M5624" s="10"/>
      <c r="N5624" s="10"/>
      <c r="O5624" s="10"/>
      <c r="P5624" s="10"/>
      <c r="Q5624" s="10"/>
      <c r="R5624" s="10"/>
      <c r="S5624" s="10"/>
      <c r="T5624" s="10"/>
      <c r="U5624" s="10"/>
      <c r="V5624" s="10"/>
      <c r="W5624" s="10"/>
      <c r="X5624" s="10"/>
      <c r="Y5624" s="10"/>
      <c r="Z5624" s="10"/>
    </row>
    <row r="5625" spans="1:26" ht="12.75">
      <c r="A5625" s="10" t="str">
        <f ca="1">IFERROR(__xludf.DUMMYFUNCTION("""COMPUTED_VALUE"""),"Мария Стефанова Николова")</f>
        <v>Мария Стефанова Николова</v>
      </c>
      <c r="B5625" s="10" t="str">
        <f ca="1">IFERROR(__xludf.DUMMYFUNCTION("""COMPUTED_VALUE"""),"Статия в списания и поредици")</f>
        <v>Статия в списания и поредици</v>
      </c>
      <c r="C5625" s="10" t="str">
        <f ca="1">IFERROR(__xludf.DUMMYFUNCTION("""COMPUTED_VALUE"""),"Илюстраторът Вадим Лазаркевич")</f>
        <v>Илюстраторът Вадим Лазаркевич</v>
      </c>
      <c r="D5625" s="10">
        <f ca="1">IFERROR(__xludf.DUMMYFUNCTION("""COMPUTED_VALUE"""),2003)</f>
        <v>2003</v>
      </c>
      <c r="E5625" s="10" t="str">
        <f ca="1">IFERROR(__xludf.DUMMYFUNCTION("""COMPUTED_VALUE"""),"Трудове СВУБИТ, 2, 2003, с. 79-85. ISSN 1312-4013")</f>
        <v>Трудове СВУБИТ, 2, 2003, с. 79-85. ISSN 1312-4013</v>
      </c>
      <c r="F5625" s="10"/>
      <c r="G5625" s="10"/>
      <c r="H5625" s="10"/>
      <c r="I5625" s="10"/>
      <c r="J5625" s="10"/>
      <c r="K5625" s="10"/>
      <c r="L5625" s="10"/>
      <c r="M5625" s="10"/>
      <c r="N5625" s="10"/>
      <c r="O5625" s="10"/>
      <c r="P5625" s="10"/>
      <c r="Q5625" s="10"/>
      <c r="R5625" s="10"/>
      <c r="S5625" s="10"/>
      <c r="T5625" s="10"/>
      <c r="U5625" s="10"/>
      <c r="V5625" s="10"/>
      <c r="W5625" s="10"/>
      <c r="X5625" s="10"/>
      <c r="Y5625" s="10"/>
      <c r="Z5625" s="10"/>
    </row>
    <row r="5626" spans="1:26" ht="12.75">
      <c r="A5626" s="10" t="str">
        <f ca="1">IFERROR(__xludf.DUMMYFUNCTION("""COMPUTED_VALUE"""),"Марчела Михайлова Борисова")</f>
        <v>Марчела Михайлова Борисова</v>
      </c>
      <c r="B5626" s="10" t="str">
        <f ca="1">IFERROR(__xludf.DUMMYFUNCTION("""COMPUTED_VALUE"""),"Статия в списания и поредици")</f>
        <v>Статия в списания и поредици</v>
      </c>
      <c r="C5626" s="10" t="str">
        <f ca="1">IFERROR(__xludf.DUMMYFUNCTION("""COMPUTED_VALUE"""),"Европейска седмица на програмирането 2019 в Столична библиотека")</f>
        <v>Европейска седмица на програмирането 2019 в Столична библиотека</v>
      </c>
      <c r="D5626" s="10">
        <f ca="1">IFERROR(__xludf.DUMMYFUNCTION("""COMPUTED_VALUE"""),2020)</f>
        <v>2020</v>
      </c>
      <c r="E5626" s="10" t="str">
        <f ca="1">IFERROR(__xludf.DUMMYFUNCTION("""COMPUTED_VALUE"""),"""Научни трудове на Университета по библиотекознание и информационни технологии Том 18, ISSN: 1314-2623, 2020,")</f>
        <v>"Научни трудове на Университета по библиотекознание и информационни технологии Том 18, ISSN: 1314-2623, 2020,</v>
      </c>
      <c r="F5626" s="10" t="str">
        <f ca="1">IFERROR(__xludf.DUMMYFUNCTION("""COMPUTED_VALUE"""),"под печат:")</f>
        <v>под печат:</v>
      </c>
      <c r="G5626" s="10" t="str">
        <f ca="1">IFERROR(__xludf.DUMMYFUNCTION("""COMPUTED_VALUE"""),"Пламена Златкова, Марчела Борисова")</f>
        <v>Пламена Златкова, Марчела Борисова</v>
      </c>
      <c r="H5626" s="10"/>
      <c r="I5626" s="10"/>
      <c r="J5626" s="10"/>
      <c r="K5626" s="10"/>
      <c r="L5626" s="10"/>
      <c r="M5626" s="10"/>
      <c r="N5626" s="10"/>
      <c r="O5626" s="10"/>
      <c r="P5626" s="10"/>
      <c r="Q5626" s="10"/>
      <c r="R5626" s="10"/>
      <c r="S5626" s="10"/>
      <c r="T5626" s="10"/>
      <c r="U5626" s="10"/>
      <c r="V5626" s="10"/>
      <c r="W5626" s="10"/>
      <c r="X5626" s="10"/>
      <c r="Y5626" s="10"/>
      <c r="Z5626" s="10"/>
    </row>
    <row r="5627" spans="1:26" ht="12.75">
      <c r="A5627" s="10" t="str">
        <f ca="1">IFERROR(__xludf.DUMMYFUNCTION("""COMPUTED_VALUE"""),"Марчела Михайлова Борисова")</f>
        <v>Марчела Михайлова Борисова</v>
      </c>
      <c r="B5627" s="10" t="str">
        <f ca="1">IFERROR(__xludf.DUMMYFUNCTION("""COMPUTED_VALUE"""),"Доклад от конференция")</f>
        <v>Доклад от конференция</v>
      </c>
      <c r="C5627" s="10" t="str">
        <f ca="1">IFERROR(__xludf.DUMMYFUNCTION("""COMPUTED_VALUE"""),"APPLICATION OF EDUCATIONAL GAMES IN THE WORK OF BULGARIAN LIBRARIES")</f>
        <v>APPLICATION OF EDUCATIONAL GAMES IN THE WORK OF BULGARIAN LIBRARIES</v>
      </c>
      <c r="D5627" s="10">
        <f ca="1">IFERROR(__xludf.DUMMYFUNCTION("""COMPUTED_VALUE"""),2020)</f>
        <v>2020</v>
      </c>
      <c r="E5627" s="10" t="str">
        <f ca="1">IFERROR(__xludf.DUMMYFUNCTION("""COMPUTED_VALUE"""),"INTED2020 Proceedings, Pages: 3193-3196, ISBN: 978-84-09-17939-8;ISSN: 2340-1079; doi: 10.21125/inted.2020.0920")</f>
        <v>INTED2020 Proceedings, Pages: 3193-3196, ISBN: 978-84-09-17939-8;ISSN: 2340-1079; doi: 10.21125/inted.2020.0920</v>
      </c>
      <c r="F5627" s="10" t="str">
        <f ca="1">IFERROR(__xludf.DUMMYFUNCTION("""COMPUTED_VALUE"""),"Web of Science
 https://library.iated.org/view/ZLATKOVA2020APP")</f>
        <v>Web of Science
 https://library.iated.org/view/ZLATKOVA2020APP</v>
      </c>
      <c r="G5627" s="10" t="str">
        <f ca="1">IFERROR(__xludf.DUMMYFUNCTION("""COMPUTED_VALUE"""),"P. Zlatkova, M. Borisova")</f>
        <v>P. Zlatkova, M. Borisova</v>
      </c>
      <c r="H5627" s="10"/>
      <c r="I5627" s="10"/>
      <c r="J5627" s="10"/>
      <c r="K5627" s="10"/>
      <c r="L5627" s="10"/>
      <c r="M5627" s="10"/>
      <c r="N5627" s="10"/>
      <c r="O5627" s="10"/>
      <c r="P5627" s="10"/>
      <c r="Q5627" s="10"/>
      <c r="R5627" s="10"/>
      <c r="S5627" s="10"/>
      <c r="T5627" s="10"/>
      <c r="U5627" s="10"/>
      <c r="V5627" s="10"/>
      <c r="W5627" s="10"/>
      <c r="X5627" s="10"/>
      <c r="Y5627" s="10"/>
      <c r="Z5627" s="10"/>
    </row>
    <row r="5628" spans="1:26" ht="12.75">
      <c r="A5628" s="10" t="str">
        <f ca="1">IFERROR(__xludf.DUMMYFUNCTION("""COMPUTED_VALUE"""),"Марчела Михайлова Борисова")</f>
        <v>Марчела Михайлова Борисова</v>
      </c>
      <c r="B5628" s="10" t="str">
        <f ca="1">IFERROR(__xludf.DUMMYFUNCTION("""COMPUTED_VALUE"""),"Статия в списания и поредици")</f>
        <v>Статия в списания и поредици</v>
      </c>
      <c r="C5628" s="10" t="str">
        <f ca="1">IFERROR(__xludf.DUMMYFUNCTION("""COMPUTED_VALUE"""),"New Forms of Literacy and Transformation of Reading Practices in Bulgaria")</f>
        <v>New Forms of Literacy and Transformation of Reading Practices in Bulgaria</v>
      </c>
      <c r="D5628" s="10">
        <f ca="1">IFERROR(__xludf.DUMMYFUNCTION("""COMPUTED_VALUE"""),2019)</f>
        <v>2019</v>
      </c>
      <c r="E5628" s="10" t="str">
        <f ca="1">IFERROR(__xludf.DUMMYFUNCTION("""COMPUTED_VALUE"""),"International Information &amp; Library Review, Vol. 51, Issue 3, 2019, pp. 275-283, DOI: 10.1080/10572317.2019.1629746")</f>
        <v>International Information &amp; Library Review, Vol. 51, Issue 3, 2019, pp. 275-283, DOI: 10.1080/10572317.2019.1629746</v>
      </c>
      <c r="F5628" s="10" t="str">
        <f ca="1">IFERROR(__xludf.DUMMYFUNCTION("""COMPUTED_VALUE"""),"Web of Science")</f>
        <v>Web of Science</v>
      </c>
      <c r="G5628" s="10" t="str">
        <f ca="1">IFERROR(__xludf.DUMMYFUNCTION("""COMPUTED_VALUE"""),"М. Енчева, П. Муканова, С. Найденова")</f>
        <v>М. Енчева, П. Муканова, С. Найденова</v>
      </c>
      <c r="H5628" s="10"/>
      <c r="I5628" s="10"/>
      <c r="J5628" s="10"/>
      <c r="K5628" s="10"/>
      <c r="L5628" s="10"/>
      <c r="M5628" s="10"/>
      <c r="N5628" s="10"/>
      <c r="O5628" s="10"/>
      <c r="P5628" s="10"/>
      <c r="Q5628" s="10"/>
      <c r="R5628" s="10"/>
      <c r="S5628" s="10"/>
      <c r="T5628" s="10"/>
      <c r="U5628" s="10"/>
      <c r="V5628" s="10"/>
      <c r="W5628" s="10"/>
      <c r="X5628" s="10"/>
      <c r="Y5628" s="10"/>
      <c r="Z5628" s="10"/>
    </row>
    <row r="5629" spans="1:26" ht="12.75">
      <c r="A5629" s="10" t="str">
        <f ca="1">IFERROR(__xludf.DUMMYFUNCTION("""COMPUTED_VALUE"""),"Марчела Михайлова Борисова")</f>
        <v>Марчела Михайлова Борисова</v>
      </c>
      <c r="B5629" s="10" t="str">
        <f ca="1">IFERROR(__xludf.DUMMYFUNCTION("""COMPUTED_VALUE"""),"Статия в списания и поредици")</f>
        <v>Статия в списания и поредици</v>
      </c>
      <c r="C5629" s="10" t="str">
        <f ca="1">IFERROR(__xludf.DUMMYFUNCTION("""COMPUTED_VALUE"""),"„Поход книг“ и Столичная библиотека – библиотечная инициатива по поощрению чтения")</f>
        <v>„Поход книг“ и Столичная библиотека – библиотечная инициатива по поощрению чтения</v>
      </c>
      <c r="D5629" s="10">
        <f ca="1">IFERROR(__xludf.DUMMYFUNCTION("""COMPUTED_VALUE"""),2019)</f>
        <v>2019</v>
      </c>
      <c r="E5629" s="10" t="str">
        <f ca="1">IFERROR(__xludf.DUMMYFUNCTION("""COMPUTED_VALUE"""),"В: Школьная библиотека: сегодня и завтра, № 7, 2019, с. 59-64. ISSN 2308-8273")</f>
        <v>В: Школьная библиотека: сегодня и завтра, № 7, 2019, с. 59-64. ISSN 2308-8273</v>
      </c>
      <c r="F5629" s="10" t="str">
        <f ca="1">IFERROR(__xludf.DUMMYFUNCTION("""COMPUTED_VALUE"""),"Научна електронна библиотека ""Library.ru""
 https://elibrary.ru/title_about.asp?id=63517")</f>
        <v>Научна електронна библиотека "Library.ru"
 https://elibrary.ru/title_about.asp?id=63517</v>
      </c>
      <c r="G5629" s="10" t="str">
        <f ca="1">IFERROR(__xludf.DUMMYFUNCTION("""COMPUTED_VALUE"""),"Златкова, П.")</f>
        <v>Златкова, П.</v>
      </c>
      <c r="H5629" s="10"/>
      <c r="I5629" s="10"/>
      <c r="J5629" s="10"/>
      <c r="K5629" s="10"/>
      <c r="L5629" s="10"/>
      <c r="M5629" s="10"/>
      <c r="N5629" s="10"/>
      <c r="O5629" s="10"/>
      <c r="P5629" s="10"/>
      <c r="Q5629" s="10"/>
      <c r="R5629" s="10"/>
      <c r="S5629" s="10"/>
      <c r="T5629" s="10"/>
      <c r="U5629" s="10"/>
      <c r="V5629" s="10"/>
      <c r="W5629" s="10"/>
      <c r="X5629" s="10"/>
      <c r="Y5629" s="10"/>
      <c r="Z5629" s="10"/>
    </row>
    <row r="5630" spans="1:26" ht="12.75">
      <c r="A5630" s="10" t="str">
        <f ca="1">IFERROR(__xludf.DUMMYFUNCTION("""COMPUTED_VALUE"""),"Марчела Михайлова Борисова")</f>
        <v>Марчела Михайлова Борисова</v>
      </c>
      <c r="B5630" s="10" t="str">
        <f ca="1">IFERROR(__xludf.DUMMYFUNCTION("""COMPUTED_VALUE"""),"Доклад от конференция")</f>
        <v>Доклад от конференция</v>
      </c>
      <c r="C5630" s="10" t="str">
        <f ca="1">IFERROR(__xludf.DUMMYFUNCTION("""COMPUTED_VALUE"""),"Использование потенциала библиотек впроцессе развития болгарских детей, лишенных родительского попечения: итоги исследования.")</f>
        <v>Использование потенциала библиотек впроцессе развития болгарских детей, лишенных родительского попечения: итоги исследования.</v>
      </c>
      <c r="D5630" s="10">
        <f ca="1">IFERROR(__xludf.DUMMYFUNCTION("""COMPUTED_VALUE"""),2017)</f>
        <v>2017</v>
      </c>
      <c r="E5630" s="10" t="str">
        <f ca="1">IFERROR(__xludf.DUMMYFUNCTION("""COMPUTED_VALUE"""),"VIIIмеждународные музейные чтения: Коммуникативные возможности современных музеев, библиотека и архивов (к 45-летию ОГИК) Орел, Русия, 16-17 март 2017, г. – Орел, 2017")</f>
        <v>VIIIмеждународные музейные чтения: Коммуникативные возможности современных музеев, библиотека и архивов (к 45-летию ОГИК) Орел, Русия, 16-17 март 2017, г. – Орел, 2017</v>
      </c>
      <c r="F5630" s="10" t="str">
        <f ca="1">IFERROR(__xludf.DUMMYFUNCTION("""COMPUTED_VALUE"""),"РИНЦ
 e-library.ru")</f>
        <v>РИНЦ
 e-library.ru</v>
      </c>
      <c r="G5630" s="10"/>
      <c r="H5630" s="10"/>
      <c r="I5630" s="10"/>
      <c r="J5630" s="10"/>
      <c r="K5630" s="10"/>
      <c r="L5630" s="10"/>
      <c r="M5630" s="10"/>
      <c r="N5630" s="10"/>
      <c r="O5630" s="10"/>
      <c r="P5630" s="10"/>
      <c r="Q5630" s="10"/>
      <c r="R5630" s="10"/>
      <c r="S5630" s="10"/>
      <c r="T5630" s="10"/>
      <c r="U5630" s="10"/>
      <c r="V5630" s="10"/>
      <c r="W5630" s="10"/>
      <c r="X5630" s="10"/>
      <c r="Y5630" s="10"/>
      <c r="Z5630" s="10"/>
    </row>
    <row r="5631" spans="1:26" ht="12.75">
      <c r="A5631" s="10" t="str">
        <f ca="1">IFERROR(__xludf.DUMMYFUNCTION("""COMPUTED_VALUE"""),"Марчела Михайлова Борисова")</f>
        <v>Марчела Михайлова Борисова</v>
      </c>
      <c r="B5631" s="10" t="str">
        <f ca="1">IFERROR(__xludf.DUMMYFUNCTION("""COMPUTED_VALUE"""),"Доклад от конференция")</f>
        <v>Доклад от конференция</v>
      </c>
      <c r="C5631" s="10" t="str">
        <f ca="1">IFERROR(__xludf.DUMMYFUNCTION("""COMPUTED_VALUE"""),"New Forms of Literacy and Transformation of the Reading Practices in Bulgaria.")</f>
        <v>New Forms of Literacy and Transformation of the Reading Practices in Bulgaria.</v>
      </c>
      <c r="D5631" s="10">
        <f ca="1">IFERROR(__xludf.DUMMYFUNCTION("""COMPUTED_VALUE"""),2017)</f>
        <v>2017</v>
      </c>
      <c r="E5631" s="10" t="str">
        <f ca="1">IFERROR(__xludf.DUMMYFUNCTION("""COMPUTED_VALUE"""),"Books and Screens and the Reading Brain : International Scientific Conference, September 27-29, 2017, Vilnius, Lithuania")</f>
        <v>Books and Screens and the Reading Brain : International Scientific Conference, September 27-29, 2017, Vilnius, Lithuania</v>
      </c>
      <c r="F5631" s="10"/>
      <c r="G5631" s="10" t="str">
        <f ca="1">IFERROR(__xludf.DUMMYFUNCTION("""COMPUTED_VALUE"""),"Mukanova,Polly; Encheva, Marina")</f>
        <v>Mukanova,Polly; Encheva, Marina</v>
      </c>
      <c r="H5631" s="10"/>
      <c r="I5631" s="10"/>
      <c r="J5631" s="10"/>
      <c r="K5631" s="10"/>
      <c r="L5631" s="10"/>
      <c r="M5631" s="10"/>
      <c r="N5631" s="10"/>
      <c r="O5631" s="10"/>
      <c r="P5631" s="10"/>
      <c r="Q5631" s="10"/>
      <c r="R5631" s="10"/>
      <c r="S5631" s="10"/>
      <c r="T5631" s="10"/>
      <c r="U5631" s="10"/>
      <c r="V5631" s="10"/>
      <c r="W5631" s="10"/>
      <c r="X5631" s="10"/>
      <c r="Y5631" s="10"/>
      <c r="Z5631" s="10"/>
    </row>
    <row r="5632" spans="1:26" ht="12.75">
      <c r="A5632" s="10" t="str">
        <f ca="1">IFERROR(__xludf.DUMMYFUNCTION("""COMPUTED_VALUE"""),"Марчела Михайлова Борисова")</f>
        <v>Марчела Михайлова Борисова</v>
      </c>
      <c r="B5632" s="10" t="str">
        <f ca="1">IFERROR(__xludf.DUMMYFUNCTION("""COMPUTED_VALUE"""),"Статия в списания и поредици")</f>
        <v>Статия в списания и поредици</v>
      </c>
      <c r="C5632" s="10" t="str">
        <f ca="1">IFERROR(__xludf.DUMMYFUNCTION("""COMPUTED_VALUE"""),"Ролята на библиотеките във Великобритания при формирането на читателска култура на деца и ученици.")</f>
        <v>Ролята на библиотеките във Великобритания при формирането на читателска култура на деца и ученици.</v>
      </c>
      <c r="D5632" s="10">
        <f ca="1">IFERROR(__xludf.DUMMYFUNCTION("""COMPUTED_VALUE"""),2017)</f>
        <v>2017</v>
      </c>
      <c r="E5632" s="10" t="str">
        <f ca="1">IFERROR(__xludf.DUMMYFUNCTION("""COMPUTED_VALUE"""),"Библиотека, 2017, №2, с. 43-54.; ISSN 0861-847X")</f>
        <v>Библиотека, 2017, №2, с. 43-54.; ISSN 0861-847X</v>
      </c>
      <c r="F5632" s="10"/>
      <c r="G5632" s="10"/>
      <c r="H5632" s="10"/>
      <c r="I5632" s="10"/>
      <c r="J5632" s="10"/>
      <c r="K5632" s="10"/>
      <c r="L5632" s="10"/>
      <c r="M5632" s="10"/>
      <c r="N5632" s="10"/>
      <c r="O5632" s="10"/>
      <c r="P5632" s="10"/>
      <c r="Q5632" s="10"/>
      <c r="R5632" s="10"/>
      <c r="S5632" s="10"/>
      <c r="T5632" s="10"/>
      <c r="U5632" s="10"/>
      <c r="V5632" s="10"/>
      <c r="W5632" s="10"/>
      <c r="X5632" s="10"/>
      <c r="Y5632" s="10"/>
      <c r="Z5632" s="10"/>
    </row>
    <row r="5633" spans="1:26" ht="12.75">
      <c r="A5633" s="10" t="str">
        <f ca="1">IFERROR(__xludf.DUMMYFUNCTION("""COMPUTED_VALUE"""),"Марчела Михайлова Борисова")</f>
        <v>Марчела Михайлова Борисова</v>
      </c>
      <c r="B5633" s="10" t="str">
        <f ca="1">IFERROR(__xludf.DUMMYFUNCTION("""COMPUTED_VALUE"""),"Статия в списания и поредици")</f>
        <v>Статия в списания и поредици</v>
      </c>
      <c r="C5633" s="10" t="str">
        <f ca="1">IFERROR(__xludf.DUMMYFUNCTION("""COMPUTED_VALUE"""),"Златна христоматия на България: Кн. І. Оратория – универсален историографски модел на българската изящна словесност")</f>
        <v>Златна христоматия на България: Кн. І. Оратория – универсален историографски модел на българската изящна словесност</v>
      </c>
      <c r="D5633" s="10">
        <f ca="1">IFERROR(__xludf.DUMMYFUNCTION("""COMPUTED_VALUE"""),2016)</f>
        <v>2016</v>
      </c>
      <c r="E5633" s="10" t="str">
        <f ca="1">IFERROR(__xludf.DUMMYFUNCTION("""COMPUTED_VALUE"""),"Трудове на Студентското научно общество при УниБИТ, 11, 2016, с. 325-327.")</f>
        <v>Трудове на Студентското научно общество при УниБИТ, 11, 2016, с. 325-327.</v>
      </c>
      <c r="F5633" s="10"/>
      <c r="G5633" s="10"/>
      <c r="H5633" s="10"/>
      <c r="I5633" s="10"/>
      <c r="J5633" s="10"/>
      <c r="K5633" s="10"/>
      <c r="L5633" s="10"/>
      <c r="M5633" s="10"/>
      <c r="N5633" s="10"/>
      <c r="O5633" s="10"/>
      <c r="P5633" s="10"/>
      <c r="Q5633" s="10"/>
      <c r="R5633" s="10"/>
      <c r="S5633" s="10"/>
      <c r="T5633" s="10"/>
      <c r="U5633" s="10"/>
      <c r="V5633" s="10"/>
      <c r="W5633" s="10"/>
      <c r="X5633" s="10"/>
      <c r="Y5633" s="10"/>
      <c r="Z5633" s="10"/>
    </row>
    <row r="5634" spans="1:26" ht="12.75">
      <c r="A5634" s="10" t="str">
        <f ca="1">IFERROR(__xludf.DUMMYFUNCTION("""COMPUTED_VALUE"""),"Марчела Михайлова Борисова")</f>
        <v>Марчела Михайлова Борисова</v>
      </c>
      <c r="B5634" s="10" t="str">
        <f ca="1">IFERROR(__xludf.DUMMYFUNCTION("""COMPUTED_VALUE"""),"Доклад от конференция")</f>
        <v>Доклад от конференция</v>
      </c>
      <c r="C5634" s="10" t="str">
        <f ca="1">IFERROR(__xludf.DUMMYFUNCTION("""COMPUTED_VALUE"""),"Проблемы реализации национальной стратегии поддержки детского чтения в Болгарии")</f>
        <v>Проблемы реализации национальной стратегии поддержки детского чтения в Болгарии</v>
      </c>
      <c r="D5634" s="10">
        <f ca="1">IFERROR(__xludf.DUMMYFUNCTION("""COMPUTED_VALUE"""),2015)</f>
        <v>2015</v>
      </c>
      <c r="E5634" s="10" t="str">
        <f ca="1">IFERROR(__xludf.DUMMYFUNCTION("""COMPUTED_VALUE"""),"Развитие системы высшего образования сфере культуры [е-ресурс]: Научный и образовательный опыт: Материалы международной научно-практической конференции, Орел, 26-27 марта 2015 г.")</f>
        <v>Развитие системы высшего образования сфере культуры [е-ресурс]: Научный и образовательный опыт: Материалы международной научно-практической конференции, Орел, 26-27 марта 2015 г.</v>
      </c>
      <c r="F5634" s="10" t="str">
        <f ca="1">IFERROR(__xludf.DUMMYFUNCTION("""COMPUTED_VALUE"""),"РИНЦ
 e-library.ru")</f>
        <v>РИНЦ
 e-library.ru</v>
      </c>
      <c r="G5634" s="10" t="str">
        <f ca="1">IFERROR(__xludf.DUMMYFUNCTION("""COMPUTED_VALUE"""),"Златкова, Пламена")</f>
        <v>Златкова, Пламена</v>
      </c>
      <c r="H5634" s="10"/>
      <c r="I5634" s="10"/>
      <c r="J5634" s="10"/>
      <c r="K5634" s="10"/>
      <c r="L5634" s="10"/>
      <c r="M5634" s="10"/>
      <c r="N5634" s="10"/>
      <c r="O5634" s="10"/>
      <c r="P5634" s="10"/>
      <c r="Q5634" s="10"/>
      <c r="R5634" s="10"/>
      <c r="S5634" s="10"/>
      <c r="T5634" s="10"/>
      <c r="U5634" s="10"/>
      <c r="V5634" s="10"/>
      <c r="W5634" s="10"/>
      <c r="X5634" s="10"/>
      <c r="Y5634" s="10"/>
      <c r="Z5634" s="10"/>
    </row>
    <row r="5635" spans="1:26" ht="12.75">
      <c r="A5635" s="10" t="str">
        <f ca="1">IFERROR(__xludf.DUMMYFUNCTION("""COMPUTED_VALUE"""),"Марчела Михайлова Борисова")</f>
        <v>Марчела Михайлова Борисова</v>
      </c>
      <c r="B5635" s="10" t="str">
        <f ca="1">IFERROR(__xludf.DUMMYFUNCTION("""COMPUTED_VALUE"""),"Доклад от конференция")</f>
        <v>Доклад от конференция</v>
      </c>
      <c r="C5635" s="10" t="str">
        <f ca="1">IFERROR(__xludf.DUMMYFUNCTION("""COMPUTED_VALUE"""),"Jавне библиотеке у синхронизациjи са захтевима савременим тинеjџери")</f>
        <v>Jавне библиотеке у синхронизациjи са захтевима савременим тинеjџери</v>
      </c>
      <c r="D5635" s="10">
        <f ca="1">IFERROR(__xludf.DUMMYFUNCTION("""COMPUTED_VALUE"""),2015)</f>
        <v>2015</v>
      </c>
      <c r="E5635" s="10" t="str">
        <f ca="1">IFERROR(__xludf.DUMMYFUNCTION("""COMPUTED_VALUE"""),"Тинеjџери – захтевни корисници и библиотеке за нове генерациjе: Зборник радова са мећународног сручног скупа, Лазаревац, 15-16 септ. 2015. – Лазаревац, 2015, с. 140-144; ISBN 978-86-81335-45-1 (broš.).")</f>
        <v>Тинеjџери – захтевни корисници и библиотеке за нове генерациjе: Зборник радова са мећународног сручног скупа, Лазаревац, 15-16 септ. 2015. – Лазаревац, 2015, с. 140-144; ISBN 978-86-81335-45-1 (broš.).</v>
      </c>
      <c r="F5635" s="10"/>
      <c r="G5635" s="10"/>
      <c r="H5635" s="10"/>
      <c r="I5635" s="10"/>
      <c r="J5635" s="10"/>
      <c r="K5635" s="10"/>
      <c r="L5635" s="10"/>
      <c r="M5635" s="10"/>
      <c r="N5635" s="10"/>
      <c r="O5635" s="10"/>
      <c r="P5635" s="10"/>
      <c r="Q5635" s="10"/>
      <c r="R5635" s="10"/>
      <c r="S5635" s="10"/>
      <c r="T5635" s="10"/>
      <c r="U5635" s="10"/>
      <c r="V5635" s="10"/>
      <c r="W5635" s="10"/>
      <c r="X5635" s="10"/>
      <c r="Y5635" s="10"/>
      <c r="Z5635" s="10"/>
    </row>
    <row r="5636" spans="1:26" ht="12.75">
      <c r="A5636" s="10" t="str">
        <f ca="1">IFERROR(__xludf.DUMMYFUNCTION("""COMPUTED_VALUE"""),"Мая Стоянова Горчева")</f>
        <v>Мая Стоянова Горчева</v>
      </c>
      <c r="B5636" s="10" t="str">
        <f ca="1">IFERROR(__xludf.DUMMYFUNCTION("""COMPUTED_VALUE"""),"Доклад от конференция")</f>
        <v>Доклад от конференция</v>
      </c>
      <c r="C5636" s="10" t="str">
        <f ca="1">IFERROR(__xludf.DUMMYFUNCTION("""COMPUTED_VALUE"""),"Към въпроса за българската рецепция на световната класика: „Пътешествията на Гъливер“ на български")</f>
        <v>Към въпроса за българската рецепция на световната класика: „Пътешествията на Гъливер“ на български</v>
      </c>
      <c r="D5636" s="10">
        <f ca="1">IFERROR(__xludf.DUMMYFUNCTION("""COMPUTED_VALUE"""),2020)</f>
        <v>2020</v>
      </c>
      <c r="E5636" s="10" t="str">
        <f ca="1">IFERROR(__xludf.DUMMYFUNCTION("""COMPUTED_VALUE"""),"Обществото на знанието и хуманизмът на XXI век. Сборник с доклади от XVIII национална научна конференция с международно участие, 1–2 ноември 2020. Съст. Любомира Парижкова. София: За буквите – о писменехь, 2020, с. 130–138.ISSN 2683-0094")</f>
        <v>Обществото на знанието и хуманизмът на XXI век. Сборник с доклади от XVIII национална научна конференция с международно участие, 1–2 ноември 2020. Съст. Любомира Парижкова. София: За буквите – о писменехь, 2020, с. 130–138.ISSN 2683-0094</v>
      </c>
      <c r="F5636" s="10"/>
      <c r="G5636" s="10"/>
      <c r="H5636" s="10"/>
      <c r="I5636" s="10"/>
      <c r="J5636" s="10"/>
      <c r="K5636" s="10"/>
      <c r="L5636" s="10"/>
      <c r="M5636" s="10"/>
      <c r="N5636" s="10"/>
      <c r="O5636" s="10"/>
      <c r="P5636" s="10"/>
      <c r="Q5636" s="10"/>
      <c r="R5636" s="10"/>
      <c r="S5636" s="10"/>
      <c r="T5636" s="10"/>
      <c r="U5636" s="10"/>
      <c r="V5636" s="10"/>
      <c r="W5636" s="10"/>
      <c r="X5636" s="10"/>
      <c r="Y5636" s="10"/>
      <c r="Z5636" s="10"/>
    </row>
    <row r="5637" spans="1:26" ht="12.75">
      <c r="A5637" s="10" t="str">
        <f ca="1">IFERROR(__xludf.DUMMYFUNCTION("""COMPUTED_VALUE"""),"Мая Стоянова Горчева")</f>
        <v>Мая Стоянова Горчева</v>
      </c>
      <c r="B5637" s="10" t="str">
        <f ca="1">IFERROR(__xludf.DUMMYFUNCTION("""COMPUTED_VALUE"""),"Статия в списания и поредици")</f>
        <v>Статия в списания и поредици</v>
      </c>
      <c r="C5637" s="10" t="str">
        <f ca="1">IFERROR(__xludf.DUMMYFUNCTION("""COMPUTED_VALUE"""),"От другата страна на браздата: първите срещи на беглеца в новата държава")</f>
        <v>От другата страна на браздата: първите срещи на беглеца в новата държава</v>
      </c>
      <c r="D5637" s="10">
        <f ca="1">IFERROR(__xludf.DUMMYFUNCTION("""COMPUTED_VALUE"""),2020)</f>
        <v>2020</v>
      </c>
      <c r="E5637" s="10" t="str">
        <f ca="1">IFERROR(__xludf.DUMMYFUNCTION("""COMPUTED_VALUE"""),"Литературен Алманах Бургас. Издание на Община Бургас и списание „Море“. Ред. Росен Друмев, Иван Сухиванов. Бургас, 2020, с. 193–204. ISSN 0205 3296")</f>
        <v>Литературен Алманах Бургас. Издание на Община Бургас и списание „Море“. Ред. Росен Друмев, Иван Сухиванов. Бургас, 2020, с. 193–204. ISSN 0205 3296</v>
      </c>
      <c r="F5637" s="10"/>
      <c r="G5637" s="10"/>
      <c r="H5637" s="10"/>
      <c r="I5637" s="10"/>
      <c r="J5637" s="10"/>
      <c r="K5637" s="10"/>
      <c r="L5637" s="10"/>
      <c r="M5637" s="10"/>
      <c r="N5637" s="10"/>
      <c r="O5637" s="10"/>
      <c r="P5637" s="10"/>
      <c r="Q5637" s="10"/>
      <c r="R5637" s="10"/>
      <c r="S5637" s="10"/>
      <c r="T5637" s="10"/>
      <c r="U5637" s="10"/>
      <c r="V5637" s="10"/>
      <c r="W5637" s="10"/>
      <c r="X5637" s="10"/>
      <c r="Y5637" s="10"/>
      <c r="Z5637" s="10"/>
    </row>
    <row r="5638" spans="1:26" ht="12.75">
      <c r="A5638" s="10" t="str">
        <f ca="1">IFERROR(__xludf.DUMMYFUNCTION("""COMPUTED_VALUE"""),"Мая Стоянова Горчева")</f>
        <v>Мая Стоянова Горчева</v>
      </c>
      <c r="B5638" s="10" t="str">
        <f ca="1">IFERROR(__xludf.DUMMYFUNCTION("""COMPUTED_VALUE"""),"Статия в списания и поредици")</f>
        <v>Статия в списания и поредици</v>
      </c>
      <c r="C5638" s="10" t="str">
        <f ca="1">IFERROR(__xludf.DUMMYFUNCTION("""COMPUTED_VALUE"""),"Подражания по световни книги в българската проза през втората половина на ХХ век")</f>
        <v>Подражания по световни книги в българската проза през втората половина на ХХ век</v>
      </c>
      <c r="D5638" s="10">
        <f ca="1">IFERROR(__xludf.DUMMYFUNCTION("""COMPUTED_VALUE"""),2020)</f>
        <v>2020</v>
      </c>
      <c r="E5638" s="10" t="str">
        <f ca="1">IFERROR(__xludf.DUMMYFUNCTION("""COMPUTED_VALUE"""),"Кръстовища на литературата. Годишник на АКСЛИТ. Т. 9. Българската литература като световна. Световната литература като българска &lt; https://calic.balkansbg.eu/conferens/bulgarian-literature-as-world/135-imitations-of-world-books-in-bulgarian-prose-in-the-s"&amp;"econd-half-of-the-20th-century.html&gt;. ISSN 2603-5332")</f>
        <v>Кръстовища на литературата. Годишник на АКСЛИТ. Т. 9. Българската литература като световна. Световната литература като българска &lt; https://calic.balkansbg.eu/conferens/bulgarian-literature-as-world/135-imitations-of-world-books-in-bulgarian-prose-in-the-second-half-of-the-20th-century.html&gt;. ISSN 2603-5332</v>
      </c>
      <c r="F5638" s="10"/>
      <c r="G5638" s="10"/>
      <c r="H5638" s="10"/>
      <c r="I5638" s="10"/>
      <c r="J5638" s="10"/>
      <c r="K5638" s="10"/>
      <c r="L5638" s="10"/>
      <c r="M5638" s="10"/>
      <c r="N5638" s="10"/>
      <c r="O5638" s="10"/>
      <c r="P5638" s="10"/>
      <c r="Q5638" s="10"/>
      <c r="R5638" s="10"/>
      <c r="S5638" s="10"/>
      <c r="T5638" s="10"/>
      <c r="U5638" s="10"/>
      <c r="V5638" s="10"/>
      <c r="W5638" s="10"/>
      <c r="X5638" s="10"/>
      <c r="Y5638" s="10"/>
      <c r="Z5638" s="10"/>
    </row>
    <row r="5639" spans="1:26" ht="12.75">
      <c r="A5639" s="10" t="str">
        <f ca="1">IFERROR(__xludf.DUMMYFUNCTION("""COMPUTED_VALUE"""),"Мая Стоянова Горчева")</f>
        <v>Мая Стоянова Горчева</v>
      </c>
      <c r="B5639" s="10" t="str">
        <f ca="1">IFERROR(__xludf.DUMMYFUNCTION("""COMPUTED_VALUE"""),"Статия в списания и поредици")</f>
        <v>Статия в списания и поредици</v>
      </c>
      <c r="C5639" s="10" t="str">
        <f ca="1">IFERROR(__xludf.DUMMYFUNCTION("""COMPUTED_VALUE"""),"Andante mostruoso. Един унгарски роман и българският му прочит (Дежьо Костолани. „Златното хвърчило“)")</f>
        <v>Andante mostruoso. Един унгарски роман и българският му прочит (Дежьо Костолани. „Златното хвърчило“)</v>
      </c>
      <c r="D5639" s="10">
        <f ca="1">IFERROR(__xludf.DUMMYFUNCTION("""COMPUTED_VALUE"""),2019)</f>
        <v>2019</v>
      </c>
      <c r="E5639" s="10" t="str">
        <f ca="1">IFERROR(__xludf.DUMMYFUNCTION("""COMPUTED_VALUE"""),"Литературен вестник, бр. 36, 6-12. 11. 2019. Редактор на броя:Николай Бойков.
 ISSN 1310-9561.
 &amp;lt; http://www.bsph.org/members/files/pub_pdf_1659.pdf")</f>
        <v>Литературен вестник, бр. 36, 6-12. 11. 2019. Редактор на броя:Николай Бойков.
 ISSN 1310-9561.
 &amp;lt; http://www.bsph.org/members/files/pub_pdf_1659.pdf</v>
      </c>
      <c r="F5639" s="10"/>
      <c r="G5639" s="10"/>
      <c r="H5639" s="10"/>
      <c r="I5639" s="10"/>
      <c r="J5639" s="10"/>
      <c r="K5639" s="10"/>
      <c r="L5639" s="10"/>
      <c r="M5639" s="10"/>
      <c r="N5639" s="10"/>
      <c r="O5639" s="10"/>
      <c r="P5639" s="10"/>
      <c r="Q5639" s="10"/>
      <c r="R5639" s="10"/>
      <c r="S5639" s="10"/>
      <c r="T5639" s="10"/>
      <c r="U5639" s="10"/>
      <c r="V5639" s="10"/>
      <c r="W5639" s="10"/>
      <c r="X5639" s="10"/>
      <c r="Y5639" s="10"/>
      <c r="Z5639" s="10"/>
    </row>
    <row r="5640" spans="1:26" ht="12.75">
      <c r="A5640" s="10" t="str">
        <f ca="1">IFERROR(__xludf.DUMMYFUNCTION("""COMPUTED_VALUE"""),"Мая Стоянова Горчева")</f>
        <v>Мая Стоянова Горчева</v>
      </c>
      <c r="B5640" s="10" t="str">
        <f ca="1">IFERROR(__xludf.DUMMYFUNCTION("""COMPUTED_VALUE"""),"Доклад от конференция")</f>
        <v>Доклад от конференция</v>
      </c>
      <c r="C5640" s="10" t="str">
        <f ca="1">IFERROR(__xludf.DUMMYFUNCTION("""COMPUTED_VALUE"""),"The Modernist Gheo Milev’s Conception of Modern Psycho-lyric Poetry")</f>
        <v>The Modernist Gheo Milev’s Conception of Modern Psycho-lyric Poetry</v>
      </c>
      <c r="D5640" s="10">
        <f ca="1">IFERROR(__xludf.DUMMYFUNCTION("""COMPUTED_VALUE"""),2019)</f>
        <v>2019</v>
      </c>
      <c r="E5640" s="10" t="str">
        <f ca="1">IFERROR(__xludf.DUMMYFUNCTION("""COMPUTED_VALUE"""),"За Душата. Зборник на текстови од Меѓународната научна конференциjа одржана на 1 – 3 jуни 2016 година во организацита на Здружението за компаративна книжевност на Македониjа ЗККМ Скопjе, Сдружението на класични филолози „Антика“ и Филозофското друштво на "&amp;"Македониja. Скопje: Академски печат, 2019, 323-331. ISBN 978-9989-2616-7-1 (Здружение за компаративна книжевност на Македониjа ЗККМ Скопjе); ISBN 978-608-66255-1-1 (Сдружение на класични филолози „Антика“); ISBN 978-608-4849-01-8 (Филозофско друштво на Ма"&amp;"кедониja)")</f>
        <v>За Душата. Зборник на текстови од Меѓународната научна конференциjа одржана на 1 – 3 jуни 2016 година во организацита на Здружението за компаративна книжевност на Македониjа ЗККМ Скопjе, Сдружението на класични филолози „Антика“ и Филозофското друштво на Македониja. Скопje: Академски печат, 2019, 323-331. ISBN 978-9989-2616-7-1 (Здружение за компаративна книжевност на Македониjа ЗККМ Скопjе); ISBN 978-608-66255-1-1 (Сдружение на класични филолози „Антика“); ISBN 978-608-4849-01-8 (Филозофско друштво на Македониja)</v>
      </c>
      <c r="F5640" s="10"/>
      <c r="G5640" s="10"/>
      <c r="H5640" s="10"/>
      <c r="I5640" s="10"/>
      <c r="J5640" s="10"/>
      <c r="K5640" s="10"/>
      <c r="L5640" s="10"/>
      <c r="M5640" s="10"/>
      <c r="N5640" s="10"/>
      <c r="O5640" s="10"/>
      <c r="P5640" s="10"/>
      <c r="Q5640" s="10"/>
      <c r="R5640" s="10"/>
      <c r="S5640" s="10"/>
      <c r="T5640" s="10"/>
      <c r="U5640" s="10"/>
      <c r="V5640" s="10"/>
      <c r="W5640" s="10"/>
      <c r="X5640" s="10"/>
      <c r="Y5640" s="10"/>
      <c r="Z5640" s="10"/>
    </row>
    <row r="5641" spans="1:26" ht="12.75">
      <c r="A5641" s="10" t="str">
        <f ca="1">IFERROR(__xludf.DUMMYFUNCTION("""COMPUTED_VALUE"""),"Мая Стоянова Горчева")</f>
        <v>Мая Стоянова Горчева</v>
      </c>
      <c r="B5641" s="10" t="str">
        <f ca="1">IFERROR(__xludf.DUMMYFUNCTION("""COMPUTED_VALUE"""),"Доклад от конференция")</f>
        <v>Доклад от конференция</v>
      </c>
      <c r="C5641" s="10" t="str">
        <f ca="1">IFERROR(__xludf.DUMMYFUNCTION("""COMPUTED_VALUE"""),"За стихотворението „Идилия“ – във и извън контекста на Яворовите „Безсъници“.")</f>
        <v>За стихотворението „Идилия“ – във и извън контекста на Яворовите „Безсъници“.</v>
      </c>
      <c r="D5641" s="10">
        <f ca="1">IFERROR(__xludf.DUMMYFUNCTION("""COMPUTED_VALUE"""),2019)</f>
        <v>2019</v>
      </c>
      <c r="E5641" s="10" t="str">
        <f ca="1">IFERROR(__xludf.DUMMYFUNCTION("""COMPUTED_VALUE"""),"Яворов. 140 години от рождението на поета. Нови изследвания. Велико Търново: ДАР-РХ, 2019. ISBN 978-954-9489-65-1")</f>
        <v>Яворов. 140 години от рождението на поета. Нови изследвания. Велико Търново: ДАР-РХ, 2019. ISBN 978-954-9489-65-1</v>
      </c>
      <c r="F5641" s="10"/>
      <c r="G5641" s="10"/>
      <c r="H5641" s="10"/>
      <c r="I5641" s="10"/>
      <c r="J5641" s="10"/>
      <c r="K5641" s="10"/>
      <c r="L5641" s="10"/>
      <c r="M5641" s="10"/>
      <c r="N5641" s="10"/>
      <c r="O5641" s="10"/>
      <c r="P5641" s="10"/>
      <c r="Q5641" s="10"/>
      <c r="R5641" s="10"/>
      <c r="S5641" s="10"/>
      <c r="T5641" s="10"/>
      <c r="U5641" s="10"/>
      <c r="V5641" s="10"/>
      <c r="W5641" s="10"/>
      <c r="X5641" s="10"/>
      <c r="Y5641" s="10"/>
      <c r="Z5641" s="10"/>
    </row>
    <row r="5642" spans="1:26" ht="12.75">
      <c r="A5642" s="10" t="str">
        <f ca="1">IFERROR(__xludf.DUMMYFUNCTION("""COMPUTED_VALUE"""),"Мая Стоянова Горчева")</f>
        <v>Мая Стоянова Горчева</v>
      </c>
      <c r="B5642" s="10" t="str">
        <f ca="1">IFERROR(__xludf.DUMMYFUNCTION("""COMPUTED_VALUE"""),"Статия в списания и поредици")</f>
        <v>Статия в списания и поредици</v>
      </c>
      <c r="C5642" s="10" t="str">
        <f ca="1">IFERROR(__xludf.DUMMYFUNCTION("""COMPUTED_VALUE"""),"„Вселената е крайна и все пак няма граници“: Ранният опит на физиката от „книгите на Поликаров“ и литературното творчество на късния Цветан Марангозов.")</f>
        <v>„Вселената е крайна и все пак няма граници“: Ранният опит на физиката от „книгите на Поликаров“ и литературното творчество на късния Цветан Марангозов.</v>
      </c>
      <c r="D5642" s="10">
        <f ca="1">IFERROR(__xludf.DUMMYFUNCTION("""COMPUTED_VALUE"""),2019)</f>
        <v>2019</v>
      </c>
      <c r="E5642" s="10" t="str">
        <f ca="1">IFERROR(__xludf.DUMMYFUNCTION("""COMPUTED_VALUE"""),"Littera et Lingua. Series Dissertationes 12. Ред. Д. Григоров, А. Бояджиев. Факултет по славянски филологии, СУ „Св. Климент Охридски“. 2019. ISSN 1314-3352 &amp;lt;https://naum.slav.uni-sofia.bg/sites/default/files/liliseries/liliseries12_m_gorcheva.pdf&amp;gt;")</f>
        <v>Littera et Lingua. Series Dissertationes 12. Ред. Д. Григоров, А. Бояджиев. Факултет по славянски филологии, СУ „Св. Климент Охридски“. 2019. ISSN 1314-3352 &amp;lt;https://naum.slav.uni-sofia.bg/sites/default/files/liliseries/liliseries12_m_gorcheva.pdf&amp;gt;</v>
      </c>
      <c r="F5642" s="10"/>
      <c r="G5642" s="10"/>
      <c r="H5642" s="10"/>
      <c r="I5642" s="10"/>
      <c r="J5642" s="10"/>
      <c r="K5642" s="10"/>
      <c r="L5642" s="10"/>
      <c r="M5642" s="10"/>
      <c r="N5642" s="10"/>
      <c r="O5642" s="10"/>
      <c r="P5642" s="10"/>
      <c r="Q5642" s="10"/>
      <c r="R5642" s="10"/>
      <c r="S5642" s="10"/>
      <c r="T5642" s="10"/>
      <c r="U5642" s="10"/>
      <c r="V5642" s="10"/>
      <c r="W5642" s="10"/>
      <c r="X5642" s="10"/>
      <c r="Y5642" s="10"/>
      <c r="Z5642" s="10"/>
    </row>
    <row r="5643" spans="1:26" ht="12.75">
      <c r="A5643" s="10" t="str">
        <f ca="1">IFERROR(__xludf.DUMMYFUNCTION("""COMPUTED_VALUE"""),"Мая Стоянова Горчева")</f>
        <v>Мая Стоянова Горчева</v>
      </c>
      <c r="B5643" s="10" t="str">
        <f ca="1">IFERROR(__xludf.DUMMYFUNCTION("""COMPUTED_VALUE"""),"Статия в списания и поредици")</f>
        <v>Статия в списания и поредици</v>
      </c>
      <c r="C5643" s="10" t="str">
        <f ca="1">IFERROR(__xludf.DUMMYFUNCTION("""COMPUTED_VALUE"""),"Мотивът за предачките в две стихотворения на Елисавета Багряна и Атанас Далчев")</f>
        <v>Мотивът за предачките в две стихотворения на Елисавета Багряна и Атанас Далчев</v>
      </c>
      <c r="D5643" s="10">
        <f ca="1">IFERROR(__xludf.DUMMYFUNCTION("""COMPUTED_VALUE"""),2019)</f>
        <v>2019</v>
      </c>
      <c r="E5643" s="10" t="str">
        <f ca="1">IFERROR(__xludf.DUMMYFUNCTION("""COMPUTED_VALUE"""),"Елисавета Багряна. 125 години от рождението ѝ. Съставителство и научна редакция Людмила Хр. Малинова, Кристина Йорданова, Маринели Димитрова. София: Парадигма, 2019, с. 77-86.
 ISBN 978-954-326-410-0")</f>
        <v>Елисавета Багряна. 125 години от рождението ѝ. Съставителство и научна редакция Людмила Хр. Малинова, Кристина Йорданова, Маринели Димитрова. София: Парадигма, 2019, с. 77-86.
 ISBN 978-954-326-410-0</v>
      </c>
      <c r="F5643" s="10"/>
      <c r="G5643" s="10"/>
      <c r="H5643" s="10"/>
      <c r="I5643" s="10"/>
      <c r="J5643" s="10"/>
      <c r="K5643" s="10"/>
      <c r="L5643" s="10"/>
      <c r="M5643" s="10"/>
      <c r="N5643" s="10"/>
      <c r="O5643" s="10"/>
      <c r="P5643" s="10"/>
      <c r="Q5643" s="10"/>
      <c r="R5643" s="10"/>
      <c r="S5643" s="10"/>
      <c r="T5643" s="10"/>
      <c r="U5643" s="10"/>
      <c r="V5643" s="10"/>
      <c r="W5643" s="10"/>
      <c r="X5643" s="10"/>
      <c r="Y5643" s="10"/>
      <c r="Z5643" s="10"/>
    </row>
    <row r="5644" spans="1:26" ht="12.75">
      <c r="A5644" s="10" t="str">
        <f ca="1">IFERROR(__xludf.DUMMYFUNCTION("""COMPUTED_VALUE"""),"Мая Стоянова Горчева")</f>
        <v>Мая Стоянова Горчева</v>
      </c>
      <c r="B5644" s="10" t="str">
        <f ca="1">IFERROR(__xludf.DUMMYFUNCTION("""COMPUTED_VALUE"""),"Книга")</f>
        <v>Книга</v>
      </c>
      <c r="C5644" s="10" t="str">
        <f ca="1">IFERROR(__xludf.DUMMYFUNCTION("""COMPUTED_VALUE"""),"„Вселената е крайна и все пак няма граници“: физика и поезия. Есета.")</f>
        <v>„Вселената е крайна и все пак няма граници“: физика и поезия. Есета.</v>
      </c>
      <c r="D5644" s="10">
        <f ca="1">IFERROR(__xludf.DUMMYFUNCTION("""COMPUTED_VALUE"""),2019)</f>
        <v>2019</v>
      </c>
      <c r="E5644" s="10" t="str">
        <f ca="1">IFERROR(__xludf.DUMMYFUNCTION("""COMPUTED_VALUE"""),"София: Small Stations Press, 2019, с. 228.
 ISBN 978-954-384-102-8")</f>
        <v>София: Small Stations Press, 2019, с. 228.
 ISBN 978-954-384-102-8</v>
      </c>
      <c r="F5644" s="10"/>
      <c r="G5644" s="10"/>
      <c r="H5644" s="10"/>
      <c r="I5644" s="10"/>
      <c r="J5644" s="10"/>
      <c r="K5644" s="10"/>
      <c r="L5644" s="10"/>
      <c r="M5644" s="10"/>
      <c r="N5644" s="10"/>
      <c r="O5644" s="10"/>
      <c r="P5644" s="10"/>
      <c r="Q5644" s="10"/>
      <c r="R5644" s="10"/>
      <c r="S5644" s="10"/>
      <c r="T5644" s="10"/>
      <c r="U5644" s="10"/>
      <c r="V5644" s="10"/>
      <c r="W5644" s="10"/>
      <c r="X5644" s="10"/>
      <c r="Y5644" s="10"/>
      <c r="Z5644" s="10"/>
    </row>
    <row r="5645" spans="1:26" ht="12.75">
      <c r="A5645" s="10" t="str">
        <f ca="1">IFERROR(__xludf.DUMMYFUNCTION("""COMPUTED_VALUE"""),"Мая Стоянова Горчева")</f>
        <v>Мая Стоянова Горчева</v>
      </c>
      <c r="B5645" s="10" t="str">
        <f ca="1">IFERROR(__xludf.DUMMYFUNCTION("""COMPUTED_VALUE"""),"Статия в списания и поредици")</f>
        <v>Статия в списания и поредици</v>
      </c>
      <c r="C5645" s="10" t="str">
        <f ca="1">IFERROR(__xludf.DUMMYFUNCTION("""COMPUTED_VALUE"""),"Ранното творчество на Цветан Марангозов от 1950-те: във и извън догмата")</f>
        <v>Ранното творчество на Цветан Марангозов от 1950-те: във и извън догмата</v>
      </c>
      <c r="D5645" s="10">
        <f ca="1">IFERROR(__xludf.DUMMYFUNCTION("""COMPUTED_VALUE"""),2019)</f>
        <v>2019</v>
      </c>
      <c r="E5645" s="10" t="str">
        <f ca="1">IFERROR(__xludf.DUMMYFUNCTION("""COMPUTED_VALUE"""),"Дзяло, бр. 15, 2019. http://www.abcdar.com/magazine/XV/13_Maya%20Gorcheva.pdf&amp;gt; ISSN 1314-9067")</f>
        <v>Дзяло, бр. 15, 2019. http://www.abcdar.com/magazine/XV/13_Maya%20Gorcheva.pdf&amp;gt; ISSN 1314-9067</v>
      </c>
      <c r="F5645" s="10"/>
      <c r="G5645" s="10"/>
      <c r="H5645" s="10"/>
      <c r="I5645" s="10"/>
      <c r="J5645" s="10"/>
      <c r="K5645" s="10"/>
      <c r="L5645" s="10"/>
      <c r="M5645" s="10"/>
      <c r="N5645" s="10"/>
      <c r="O5645" s="10"/>
      <c r="P5645" s="10"/>
      <c r="Q5645" s="10"/>
      <c r="R5645" s="10"/>
      <c r="S5645" s="10"/>
      <c r="T5645" s="10"/>
      <c r="U5645" s="10"/>
      <c r="V5645" s="10"/>
      <c r="W5645" s="10"/>
      <c r="X5645" s="10"/>
      <c r="Y5645" s="10"/>
      <c r="Z5645" s="10"/>
    </row>
    <row r="5646" spans="1:26" ht="12.75">
      <c r="A5646" s="10" t="str">
        <f ca="1">IFERROR(__xludf.DUMMYFUNCTION("""COMPUTED_VALUE"""),"Мая Стоянова Горчева")</f>
        <v>Мая Стоянова Горчева</v>
      </c>
      <c r="B5646" s="10" t="str">
        <f ca="1">IFERROR(__xludf.DUMMYFUNCTION("""COMPUTED_VALUE"""),"Статия в списания и поредици")</f>
        <v>Статия в списания и поредици</v>
      </c>
      <c r="C5646" s="10" t="str">
        <f ca="1">IFERROR(__xludf.DUMMYFUNCTION("""COMPUTED_VALUE"""),"Новата класика на „Двойник“ на Ф. М. Достоевски: Машини, поети и насекоми")</f>
        <v>Новата класика на „Двойник“ на Ф. М. Достоевски: Машини, поети и насекоми</v>
      </c>
      <c r="D5646" s="10">
        <f ca="1">IFERROR(__xludf.DUMMYFUNCTION("""COMPUTED_VALUE"""),2019)</f>
        <v>2019</v>
      </c>
      <c r="E5646" s="10" t="str">
        <f ca="1">IFERROR(__xludf.DUMMYFUNCTION("""COMPUTED_VALUE"""),"Образи и контексти. Юбилеен сборник, посветен на 60-
 годишнината на професор Цветан Ракьовски. Велико Търново: Фабер, 2019, 441-452. Print-ISBN-13: 978-619-00-1066-1")</f>
        <v>Образи и контексти. Юбилеен сборник, посветен на 60-
 годишнината на професор Цветан Ракьовски. Велико Търново: Фабер, 2019, 441-452. Print-ISBN-13: 978-619-00-1066-1</v>
      </c>
      <c r="F5646" s="10" t="str">
        <f ca="1">IFERROR(__xludf.DUMMYFUNCTION("""COMPUTED_VALUE"""),"CEEOL")</f>
        <v>CEEOL</v>
      </c>
      <c r="G5646" s="10"/>
      <c r="H5646" s="10"/>
      <c r="I5646" s="10"/>
      <c r="J5646" s="10"/>
      <c r="K5646" s="10"/>
      <c r="L5646" s="10"/>
      <c r="M5646" s="10"/>
      <c r="N5646" s="10"/>
      <c r="O5646" s="10"/>
      <c r="P5646" s="10"/>
      <c r="Q5646" s="10"/>
      <c r="R5646" s="10"/>
      <c r="S5646" s="10"/>
      <c r="T5646" s="10"/>
      <c r="U5646" s="10"/>
      <c r="V5646" s="10"/>
      <c r="W5646" s="10"/>
      <c r="X5646" s="10"/>
      <c r="Y5646" s="10"/>
      <c r="Z5646" s="10"/>
    </row>
    <row r="5647" spans="1:26" ht="12.75">
      <c r="A5647" s="10" t="str">
        <f ca="1">IFERROR(__xludf.DUMMYFUNCTION("""COMPUTED_VALUE"""),"Мая Стоянова Горчева")</f>
        <v>Мая Стоянова Горчева</v>
      </c>
      <c r="B5647" s="10" t="str">
        <f ca="1">IFERROR(__xludf.DUMMYFUNCTION("""COMPUTED_VALUE"""),"Студия")</f>
        <v>Студия</v>
      </c>
      <c r="C5647" s="10" t="str">
        <f ca="1">IFERROR(__xludf.DUMMYFUNCTION("""COMPUTED_VALUE"""),"Български образи на преврата / революцията от 7 ноември 1917 т.: 1920-те и началото на 1930-те години.")</f>
        <v>Български образи на преврата / революцията от 7 ноември 1917 т.: 1920-те и началото на 1930-те години.</v>
      </c>
      <c r="D5647" s="10">
        <f ca="1">IFERROR(__xludf.DUMMYFUNCTION("""COMPUTED_VALUE"""),2019)</f>
        <v>2019</v>
      </c>
      <c r="E5647" s="10" t="str">
        <f ca="1">IFERROR(__xludf.DUMMYFUNCTION("""COMPUTED_VALUE"""),"Библиотека, кн. 3, 2019, с. 101-132. ISSN 0861-847X")</f>
        <v>Библиотека, кн. 3, 2019, с. 101-132. ISSN 0861-847X</v>
      </c>
      <c r="F5647" s="10" t="str">
        <f ca="1">IFERROR(__xludf.DUMMYFUNCTION("""COMPUTED_VALUE"""),"CEEOL")</f>
        <v>CEEOL</v>
      </c>
      <c r="G5647" s="10"/>
      <c r="H5647" s="10"/>
      <c r="I5647" s="10"/>
      <c r="J5647" s="10"/>
      <c r="K5647" s="10"/>
      <c r="L5647" s="10"/>
      <c r="M5647" s="10"/>
      <c r="N5647" s="10"/>
      <c r="O5647" s="10"/>
      <c r="P5647" s="10"/>
      <c r="Q5647" s="10"/>
      <c r="R5647" s="10"/>
      <c r="S5647" s="10"/>
      <c r="T5647" s="10"/>
      <c r="U5647" s="10"/>
      <c r="V5647" s="10"/>
      <c r="W5647" s="10"/>
      <c r="X5647" s="10"/>
      <c r="Y5647" s="10"/>
      <c r="Z5647" s="10"/>
    </row>
    <row r="5648" spans="1:26" ht="12.75">
      <c r="A5648" s="10" t="str">
        <f ca="1">IFERROR(__xludf.DUMMYFUNCTION("""COMPUTED_VALUE"""),"Мая Стоянова Горчева")</f>
        <v>Мая Стоянова Горчева</v>
      </c>
      <c r="B5648" s="10" t="str">
        <f ca="1">IFERROR(__xludf.DUMMYFUNCTION("""COMPUTED_VALUE"""),"Статия в списания и поредици")</f>
        <v>Статия в списания и поредици</v>
      </c>
      <c r="C5648" s="10" t="str">
        <f ca="1">IFERROR(__xludf.DUMMYFUNCTION("""COMPUTED_VALUE"""),"Яни Милчаков – дипломация, социология, стихознание")</f>
        <v>Яни Милчаков – дипломация, социология, стихознание</v>
      </c>
      <c r="D5648" s="10">
        <f ca="1">IFERROR(__xludf.DUMMYFUNCTION("""COMPUTED_VALUE"""),2019)</f>
        <v>2019</v>
      </c>
      <c r="E5648" s="10" t="str">
        <f ca="1">IFERROR(__xludf.DUMMYFUNCTION("""COMPUTED_VALUE"""),"Библиотека, кн. 3, 2019, с. 76-78. ISSN 0861-847X")</f>
        <v>Библиотека, кн. 3, 2019, с. 76-78. ISSN 0861-847X</v>
      </c>
      <c r="F5648" s="10" t="str">
        <f ca="1">IFERROR(__xludf.DUMMYFUNCTION("""COMPUTED_VALUE"""),"CEEOL")</f>
        <v>CEEOL</v>
      </c>
      <c r="G5648" s="10" t="str">
        <f ca="1">IFERROR(__xludf.DUMMYFUNCTION("""COMPUTED_VALUE"""),"Пламен Шуликов")</f>
        <v>Пламен Шуликов</v>
      </c>
      <c r="H5648" s="10"/>
      <c r="I5648" s="10"/>
      <c r="J5648" s="10"/>
      <c r="K5648" s="10"/>
      <c r="L5648" s="10"/>
      <c r="M5648" s="10"/>
      <c r="N5648" s="10"/>
      <c r="O5648" s="10"/>
      <c r="P5648" s="10"/>
      <c r="Q5648" s="10"/>
      <c r="R5648" s="10"/>
      <c r="S5648" s="10"/>
      <c r="T5648" s="10"/>
      <c r="U5648" s="10"/>
      <c r="V5648" s="10"/>
      <c r="W5648" s="10"/>
      <c r="X5648" s="10"/>
      <c r="Y5648" s="10"/>
      <c r="Z5648" s="10"/>
    </row>
    <row r="5649" spans="1:26" ht="12.75">
      <c r="A5649" s="10" t="str">
        <f ca="1">IFERROR(__xludf.DUMMYFUNCTION("""COMPUTED_VALUE"""),"Мая Стоянова Горчева")</f>
        <v>Мая Стоянова Горчева</v>
      </c>
      <c r="B5649" s="10" t="str">
        <f ca="1">IFERROR(__xludf.DUMMYFUNCTION("""COMPUTED_VALUE"""),"Статия в списания и поредици")</f>
        <v>Статия в списания и поредици</v>
      </c>
      <c r="C5649" s="10" t="str">
        <f ca="1">IFERROR(__xludf.DUMMYFUNCTION("""COMPUTED_VALUE"""),"Днешните изследователски подстъпи към душата („За душата. Зборник на текстови. Здружение за компаративна книжевност на Македониja. Скопjе, 2018")</f>
        <v>Днешните изследователски подстъпи към душата („За душата. Зборник на текстови. Здружение за компаративна книжевност на Македониja. Скопjе, 2018</v>
      </c>
      <c r="D5649" s="10">
        <f ca="1">IFERROR(__xludf.DUMMYFUNCTION("""COMPUTED_VALUE"""),2019)</f>
        <v>2019</v>
      </c>
      <c r="E5649" s="10" t="str">
        <f ca="1">IFERROR(__xludf.DUMMYFUNCTION("""COMPUTED_VALUE"""),"Литературна мисъл, кн. 2, 121–124.ISSN (print) 0324-0495; ISSN (online) 1314-9237")</f>
        <v>Литературна мисъл, кн. 2, 121–124.ISSN (print) 0324-0495; ISSN (online) 1314-9237</v>
      </c>
      <c r="F5649" s="10" t="str">
        <f ca="1">IFERROR(__xludf.DUMMYFUNCTION("""COMPUTED_VALUE"""),"ESF Standing Committee for the Humanities (SCH), РИНЦ")</f>
        <v>ESF Standing Committee for the Humanities (SCH), РИНЦ</v>
      </c>
      <c r="G5649" s="10"/>
      <c r="H5649" s="10"/>
      <c r="I5649" s="10"/>
      <c r="J5649" s="10"/>
      <c r="K5649" s="10"/>
      <c r="L5649" s="10"/>
      <c r="M5649" s="10"/>
      <c r="N5649" s="10"/>
      <c r="O5649" s="10"/>
      <c r="P5649" s="10"/>
      <c r="Q5649" s="10"/>
      <c r="R5649" s="10"/>
      <c r="S5649" s="10"/>
      <c r="T5649" s="10"/>
      <c r="U5649" s="10"/>
      <c r="V5649" s="10"/>
      <c r="W5649" s="10"/>
      <c r="X5649" s="10"/>
      <c r="Y5649" s="10"/>
      <c r="Z5649" s="10"/>
    </row>
    <row r="5650" spans="1:26" ht="12.75">
      <c r="A5650" s="10" t="str">
        <f ca="1">IFERROR(__xludf.DUMMYFUNCTION("""COMPUTED_VALUE"""),"Мая Стоянова Горчева")</f>
        <v>Мая Стоянова Горчева</v>
      </c>
      <c r="B5650" s="10" t="str">
        <f ca="1">IFERROR(__xludf.DUMMYFUNCTION("""COMPUTED_VALUE"""),"Доклад от конференция")</f>
        <v>Доклад от конференция</v>
      </c>
      <c r="C5650" s="10" t="str">
        <f ca="1">IFERROR(__xludf.DUMMYFUNCTION("""COMPUTED_VALUE"""),"Литературно-критическото наследство на проф. Яни Милчаков в сборник на издателство „За буквите – О писменехъ“")</f>
        <v>Литературно-критическото наследство на проф. Яни Милчаков в сборник на издателство „За буквите – О писменехъ“</v>
      </c>
      <c r="D5650" s="10">
        <f ca="1">IFERROR(__xludf.DUMMYFUNCTION("""COMPUTED_VALUE"""),2018)</f>
        <v>2018</v>
      </c>
      <c r="E5650" s="10" t="str">
        <f ca="1">IFERROR(__xludf.DUMMYFUNCTION("""COMPUTED_VALUE"""),"ХVІ Национална научна конференция с международно участие „Обществото на знанието и хуманизмът на ХХІ век“, 1 ноември 2018. ISSN 1314-7099")</f>
        <v>ХVІ Национална научна конференция с международно участие „Обществото на знанието и хуманизмът на ХХІ век“, 1 ноември 2018. ISSN 1314-7099</v>
      </c>
      <c r="F5650" s="10"/>
      <c r="G5650" s="10"/>
      <c r="H5650" s="10"/>
      <c r="I5650" s="10"/>
      <c r="J5650" s="10"/>
      <c r="K5650" s="10"/>
      <c r="L5650" s="10"/>
      <c r="M5650" s="10"/>
      <c r="N5650" s="10"/>
      <c r="O5650" s="10"/>
      <c r="P5650" s="10"/>
      <c r="Q5650" s="10"/>
      <c r="R5650" s="10"/>
      <c r="S5650" s="10"/>
      <c r="T5650" s="10"/>
      <c r="U5650" s="10"/>
      <c r="V5650" s="10"/>
      <c r="W5650" s="10"/>
      <c r="X5650" s="10"/>
      <c r="Y5650" s="10"/>
      <c r="Z5650" s="10"/>
    </row>
    <row r="5651" spans="1:26" ht="12.75">
      <c r="A5651" s="10" t="str">
        <f ca="1">IFERROR(__xludf.DUMMYFUNCTION("""COMPUTED_VALUE"""),"Мая Стоянова Горчева")</f>
        <v>Мая Стоянова Горчева</v>
      </c>
      <c r="B5651" s="10" t="str">
        <f ca="1">IFERROR(__xludf.DUMMYFUNCTION("""COMPUTED_VALUE"""),"Доклад от конференция")</f>
        <v>Доклад от конференция</v>
      </c>
      <c r="C5651" s="10" t="str">
        <f ca="1">IFERROR(__xludf.DUMMYFUNCTION("""COMPUTED_VALUE"""),"Записки за подземието на Крокодила. Комично-абсурдисткият сюжет като въображаема ситуация и „мисловен експеримент“.")</f>
        <v>Записки за подземието на Крокодила. Комично-абсурдисткият сюжет като въображаема ситуация и „мисловен експеримент“.</v>
      </c>
      <c r="D5651" s="10">
        <f ca="1">IFERROR(__xludf.DUMMYFUNCTION("""COMPUTED_VALUE"""),2018)</f>
        <v>2018</v>
      </c>
      <c r="E5651" s="10" t="str">
        <f ca="1">IFERROR(__xludf.DUMMYFUNCTION("""COMPUTED_VALUE"""),"Международный симпозиум „Антропология Достоевского“ София, 23 – 26 октября 2018, София.")</f>
        <v>Международный симпозиум „Антропология Достоевского“ София, 23 – 26 октября 2018, София.</v>
      </c>
      <c r="F5651" s="10"/>
      <c r="G5651" s="10"/>
      <c r="H5651" s="10"/>
      <c r="I5651" s="10"/>
      <c r="J5651" s="10"/>
      <c r="K5651" s="10"/>
      <c r="L5651" s="10"/>
      <c r="M5651" s="10"/>
      <c r="N5651" s="10"/>
      <c r="O5651" s="10"/>
      <c r="P5651" s="10"/>
      <c r="Q5651" s="10"/>
      <c r="R5651" s="10"/>
      <c r="S5651" s="10"/>
      <c r="T5651" s="10"/>
      <c r="U5651" s="10"/>
      <c r="V5651" s="10"/>
      <c r="W5651" s="10"/>
      <c r="X5651" s="10"/>
      <c r="Y5651" s="10"/>
      <c r="Z5651" s="10"/>
    </row>
    <row r="5652" spans="1:26" ht="12.75">
      <c r="A5652" s="10" t="str">
        <f ca="1">IFERROR(__xludf.DUMMYFUNCTION("""COMPUTED_VALUE"""),"Мая Стоянова Горчева")</f>
        <v>Мая Стоянова Горчева</v>
      </c>
      <c r="B5652" s="10" t="str">
        <f ca="1">IFERROR(__xludf.DUMMYFUNCTION("""COMPUTED_VALUE"""),"Доклад от конференция")</f>
        <v>Доклад от конференция</v>
      </c>
      <c r="C5652" s="10" t="str">
        <f ca="1">IFERROR(__xludf.DUMMYFUNCTION("""COMPUTED_VALUE"""),"Пътят на творбите на Смирненски към книгата")</f>
        <v>Пътят на творбите на Смирненски към книгата</v>
      </c>
      <c r="D5652" s="10">
        <f ca="1">IFERROR(__xludf.DUMMYFUNCTION("""COMPUTED_VALUE"""),2018)</f>
        <v>2018</v>
      </c>
      <c r="E5652" s="10" t="str">
        <f ca="1">IFERROR(__xludf.DUMMYFUNCTION("""COMPUTED_VALUE"""),"Национална научна конференция „Светове и утопии“, посветена на 120-годишнината от рождението на Христо Смирненски. 13-14 ноември 2018. Институт за литература. Национален литературен музей. СУ Св. „Климент Охридски“.")</f>
        <v>Национална научна конференция „Светове и утопии“, посветена на 120-годишнината от рождението на Христо Смирненски. 13-14 ноември 2018. Институт за литература. Национален литературен музей. СУ Св. „Климент Охридски“.</v>
      </c>
      <c r="F5652" s="10"/>
      <c r="G5652" s="10"/>
      <c r="H5652" s="10"/>
      <c r="I5652" s="10"/>
      <c r="J5652" s="10"/>
      <c r="K5652" s="10"/>
      <c r="L5652" s="10"/>
      <c r="M5652" s="10"/>
      <c r="N5652" s="10"/>
      <c r="O5652" s="10"/>
      <c r="P5652" s="10"/>
      <c r="Q5652" s="10"/>
      <c r="R5652" s="10"/>
      <c r="S5652" s="10"/>
      <c r="T5652" s="10"/>
      <c r="U5652" s="10"/>
      <c r="V5652" s="10"/>
      <c r="W5652" s="10"/>
      <c r="X5652" s="10"/>
      <c r="Y5652" s="10"/>
      <c r="Z5652" s="10"/>
    </row>
    <row r="5653" spans="1:26" ht="12.75">
      <c r="A5653" s="10" t="str">
        <f ca="1">IFERROR(__xludf.DUMMYFUNCTION("""COMPUTED_VALUE"""),"Мая Стоянова Горчева")</f>
        <v>Мая Стоянова Горчева</v>
      </c>
      <c r="B5653" s="10" t="str">
        <f ca="1">IFERROR(__xludf.DUMMYFUNCTION("""COMPUTED_VALUE"""),"Доклад от конференция")</f>
        <v>Доклад от конференция</v>
      </c>
      <c r="C5653" s="10" t="str">
        <f ca="1">IFERROR(__xludf.DUMMYFUNCTION("""COMPUTED_VALUE"""),"Мотивът за предачките в две стихотворения на Елисавета Багряна и Атанас Далчев")</f>
        <v>Мотивът за предачките в две стихотворения на Елисавета Багряна и Атанас Далчев</v>
      </c>
      <c r="D5653" s="10">
        <f ca="1">IFERROR(__xludf.DUMMYFUNCTION("""COMPUTED_VALUE"""),2018)</f>
        <v>2018</v>
      </c>
      <c r="E5653" s="10" t="str">
        <f ca="1">IFERROR(__xludf.DUMMYFUNCTION("""COMPUTED_VALUE"""),"Кръгла маса, посветена на 125-годишнината от рождението на Елисавета Багряна. 12 – 13 ноември. Институт за литература. Столична библиотека")</f>
        <v>Кръгла маса, посветена на 125-годишнината от рождението на Елисавета Багряна. 12 – 13 ноември. Институт за литература. Столична библиотека</v>
      </c>
      <c r="F5653" s="10"/>
      <c r="G5653" s="10"/>
      <c r="H5653" s="10"/>
      <c r="I5653" s="10"/>
      <c r="J5653" s="10"/>
      <c r="K5653" s="10"/>
      <c r="L5653" s="10"/>
      <c r="M5653" s="10"/>
      <c r="N5653" s="10"/>
      <c r="O5653" s="10"/>
      <c r="P5653" s="10"/>
      <c r="Q5653" s="10"/>
      <c r="R5653" s="10"/>
      <c r="S5653" s="10"/>
      <c r="T5653" s="10"/>
      <c r="U5653" s="10"/>
      <c r="V5653" s="10"/>
      <c r="W5653" s="10"/>
      <c r="X5653" s="10"/>
      <c r="Y5653" s="10"/>
      <c r="Z5653" s="10"/>
    </row>
    <row r="5654" spans="1:26" ht="12.75">
      <c r="A5654" s="10" t="str">
        <f ca="1">IFERROR(__xludf.DUMMYFUNCTION("""COMPUTED_VALUE"""),"Мая Стоянова Горчева")</f>
        <v>Мая Стоянова Горчева</v>
      </c>
      <c r="B5654" s="10" t="str">
        <f ca="1">IFERROR(__xludf.DUMMYFUNCTION("""COMPUTED_VALUE"""),"Доклад от конференция")</f>
        <v>Доклад от конференция</v>
      </c>
      <c r="C5654" s="10" t="str">
        <f ca="1">IFERROR(__xludf.DUMMYFUNCTION("""COMPUTED_VALUE"""),"Образът на родното в междувоенната литература: пародия или удостоверяване на земята – рай")</f>
        <v>Образът на родното в междувоенната литература: пародия или удостоверяване на земята – рай</v>
      </c>
      <c r="D5654" s="10">
        <f ca="1">IFERROR(__xludf.DUMMYFUNCTION("""COMPUTED_VALUE"""),2018)</f>
        <v>2018</v>
      </c>
      <c r="E5654" s="10" t="str">
        <f ca="1">IFERROR(__xludf.DUMMYFUNCTION("""COMPUTED_VALUE"""),"Чудомир, другите, годините… Ред. Колегия: Н. Георгиев, П. Шуликов, М. Георгиева, Д. Матова, Е. Борисова. Велико Търново: Абагар, 2018, 41-52. ISBN 978-619-168-195-2")</f>
        <v>Чудомир, другите, годините… Ред. Колегия: Н. Георгиев, П. Шуликов, М. Георгиева, Д. Матова, Е. Борисова. Велико Търново: Абагар, 2018, 41-52. ISBN 978-619-168-195-2</v>
      </c>
      <c r="F5654" s="10"/>
      <c r="G5654" s="10"/>
      <c r="H5654" s="10"/>
      <c r="I5654" s="10"/>
      <c r="J5654" s="10"/>
      <c r="K5654" s="10"/>
      <c r="L5654" s="10"/>
      <c r="M5654" s="10"/>
      <c r="N5654" s="10"/>
      <c r="O5654" s="10"/>
      <c r="P5654" s="10"/>
      <c r="Q5654" s="10"/>
      <c r="R5654" s="10"/>
      <c r="S5654" s="10"/>
      <c r="T5654" s="10"/>
      <c r="U5654" s="10"/>
      <c r="V5654" s="10"/>
      <c r="W5654" s="10"/>
      <c r="X5654" s="10"/>
      <c r="Y5654" s="10"/>
      <c r="Z5654" s="10"/>
    </row>
    <row r="5655" spans="1:26" ht="12.75">
      <c r="A5655" s="10" t="str">
        <f ca="1">IFERROR(__xludf.DUMMYFUNCTION("""COMPUTED_VALUE"""),"Мая Стоянова Горчева")</f>
        <v>Мая Стоянова Горчева</v>
      </c>
      <c r="B5655" s="10" t="str">
        <f ca="1">IFERROR(__xludf.DUMMYFUNCTION("""COMPUTED_VALUE"""),"Доклад от конференция")</f>
        <v>Доклад от конференция</v>
      </c>
      <c r="C5655" s="10" t="str">
        <f ca="1">IFERROR(__xludf.DUMMYFUNCTION("""COMPUTED_VALUE"""),"Поетичен мит и литературен канон: Култът към поета П. К. Яворов и Гео- Милевият мит за раждането на модерната поезия.")</f>
        <v>Поетичен мит и литературен канон: Култът към поета П. К. Яворов и Гео- Милевият мит за раждането на модерната поезия.</v>
      </c>
      <c r="D5655" s="10">
        <f ca="1">IFERROR(__xludf.DUMMYFUNCTION("""COMPUTED_VALUE"""),2018)</f>
        <v>2018</v>
      </c>
      <c r="E5655" s="10" t="str">
        <f ca="1">IFERROR(__xludf.DUMMYFUNCTION("""COMPUTED_VALUE"""),"Юбилейна научна конференция Pejo Javorov und die Wege des bulgarischen Modernismus. Philologisch-kulturwissenschaftliche Fakultät Universität Wien, 3-4 май 2018. – Страница, кн. 3, 2018, с. 242-257. ISSN 1310- 9081")</f>
        <v>Юбилейна научна конференция Pejo Javorov und die Wege des bulgarischen Modernismus. Philologisch-kulturwissenschaftliche Fakultät Universität Wien, 3-4 май 2018. – Страница, кн. 3, 2018, с. 242-257. ISSN 1310- 9081</v>
      </c>
      <c r="F5655" s="10"/>
      <c r="G5655" s="10"/>
      <c r="H5655" s="10"/>
      <c r="I5655" s="10"/>
      <c r="J5655" s="10"/>
      <c r="K5655" s="10"/>
      <c r="L5655" s="10"/>
      <c r="M5655" s="10"/>
      <c r="N5655" s="10"/>
      <c r="O5655" s="10"/>
      <c r="P5655" s="10"/>
      <c r="Q5655" s="10"/>
      <c r="R5655" s="10"/>
      <c r="S5655" s="10"/>
      <c r="T5655" s="10"/>
      <c r="U5655" s="10"/>
      <c r="V5655" s="10"/>
      <c r="W5655" s="10"/>
      <c r="X5655" s="10"/>
      <c r="Y5655" s="10"/>
      <c r="Z5655" s="10"/>
    </row>
    <row r="5656" spans="1:26" ht="12.75">
      <c r="A5656" s="10" t="str">
        <f ca="1">IFERROR(__xludf.DUMMYFUNCTION("""COMPUTED_VALUE"""),"Мая Стоянова Горчева")</f>
        <v>Мая Стоянова Горчева</v>
      </c>
      <c r="B5656" s="10" t="str">
        <f ca="1">IFERROR(__xludf.DUMMYFUNCTION("""COMPUTED_VALUE"""),"Статия в списания и поредици")</f>
        <v>Статия в списания и поредици</v>
      </c>
      <c r="C5656" s="10" t="str">
        <f ca="1">IFERROR(__xludf.DUMMYFUNCTION("""COMPUTED_VALUE"""),"Гласът на една дама в разговора между философията и поезията: щрихи към интелектуалния портрет на Жана Николова-Гълъбова")</f>
        <v>Гласът на една дама в разговора между философията и поезията: щрихи към интелектуалния портрет на Жана Николова-Гълъбова</v>
      </c>
      <c r="D5656" s="10">
        <f ca="1">IFERROR(__xludf.DUMMYFUNCTION("""COMPUTED_VALUE"""),2018)</f>
        <v>2018</v>
      </c>
      <c r="E5656" s="10" t="str">
        <f ca="1">IFERROR(__xludf.DUMMYFUNCTION("""COMPUTED_VALUE"""),"Жените в българската литература и култура. Съставителство и научна редакция Людмила Хр. Малинова, Кристина Йорданова, Маринели Димитрова. София: Унив. Изд. „Св. Климент Охридски“, 2018, с. 346-358.")</f>
        <v>Жените в българската литература и култура. Съставителство и научна редакция Людмила Хр. Малинова, Кристина Йорданова, Маринели Димитрова. София: Унив. Изд. „Св. Климент Охридски“, 2018, с. 346-358.</v>
      </c>
      <c r="F5656" s="10"/>
      <c r="G5656" s="10"/>
      <c r="H5656" s="10"/>
      <c r="I5656" s="10"/>
      <c r="J5656" s="10"/>
      <c r="K5656" s="10"/>
      <c r="L5656" s="10"/>
      <c r="M5656" s="10"/>
      <c r="N5656" s="10"/>
      <c r="O5656" s="10"/>
      <c r="P5656" s="10"/>
      <c r="Q5656" s="10"/>
      <c r="R5656" s="10"/>
      <c r="S5656" s="10"/>
      <c r="T5656" s="10"/>
      <c r="U5656" s="10"/>
      <c r="V5656" s="10"/>
      <c r="W5656" s="10"/>
      <c r="X5656" s="10"/>
      <c r="Y5656" s="10"/>
      <c r="Z5656" s="10"/>
    </row>
    <row r="5657" spans="1:26" ht="12.75">
      <c r="A5657" s="10" t="str">
        <f ca="1">IFERROR(__xludf.DUMMYFUNCTION("""COMPUTED_VALUE"""),"Мая Стоянова Горчева")</f>
        <v>Мая Стоянова Горчева</v>
      </c>
      <c r="B5657" s="10" t="str">
        <f ca="1">IFERROR(__xludf.DUMMYFUNCTION("""COMPUTED_VALUE"""),"Доклад от конференция")</f>
        <v>Доклад от конференция</v>
      </c>
      <c r="C5657" s="10" t="str">
        <f ca="1">IFERROR(__xludf.DUMMYFUNCTION("""COMPUTED_VALUE"""),"Култът към поета П. К. Яворов и Гео-Милевият мит за раждането на модерната поезия")</f>
        <v>Култът към поета П. К. Яворов и Гео-Милевият мит за раждането на модерната поезия</v>
      </c>
      <c r="D5657" s="10">
        <f ca="1">IFERROR(__xludf.DUMMYFUNCTION("""COMPUTED_VALUE"""),2018)</f>
        <v>2018</v>
      </c>
      <c r="E5657" s="10" t="str">
        <f ca="1">IFERROR(__xludf.DUMMYFUNCTION("""COMPUTED_VALUE"""),"Юбилейна научна конференция Pejo Javorov und die Wege des bulgarischen Modernismus. Philologisch-kulturwissenschaftliche Fakultät Universität Wien, 3-4 май 2018.")</f>
        <v>Юбилейна научна конференция Pejo Javorov und die Wege des bulgarischen Modernismus. Philologisch-kulturwissenschaftliche Fakultät Universität Wien, 3-4 май 2018.</v>
      </c>
      <c r="F5657" s="10"/>
      <c r="G5657" s="10"/>
      <c r="H5657" s="10"/>
      <c r="I5657" s="10"/>
      <c r="J5657" s="10"/>
      <c r="K5657" s="10"/>
      <c r="L5657" s="10"/>
      <c r="M5657" s="10"/>
      <c r="N5657" s="10"/>
      <c r="O5657" s="10"/>
      <c r="P5657" s="10"/>
      <c r="Q5657" s="10"/>
      <c r="R5657" s="10"/>
      <c r="S5657" s="10"/>
      <c r="T5657" s="10"/>
      <c r="U5657" s="10"/>
      <c r="V5657" s="10"/>
      <c r="W5657" s="10"/>
      <c r="X5657" s="10"/>
      <c r="Y5657" s="10"/>
      <c r="Z5657" s="10"/>
    </row>
    <row r="5658" spans="1:26" ht="12.75">
      <c r="A5658" s="10" t="str">
        <f ca="1">IFERROR(__xludf.DUMMYFUNCTION("""COMPUTED_VALUE"""),"Мая Стоянова Горчева")</f>
        <v>Мая Стоянова Горчева</v>
      </c>
      <c r="B5658" s="10" t="str">
        <f ca="1">IFERROR(__xludf.DUMMYFUNCTION("""COMPUTED_VALUE"""),"Статия в списания и поредици")</f>
        <v>Статия в списания и поредици</v>
      </c>
      <c r="C5658" s="10" t="str">
        <f ca="1">IFERROR(__xludf.DUMMYFUNCTION("""COMPUTED_VALUE"""),"„Марсианците са вече тук“: версии за срещите с извънземния разум според илюстрованата преса и според „Марсиански хроники“ на Рей Бредбъри")</f>
        <v>„Марсианците са вече тук“: версии за срещите с извънземния разум според илюстрованата преса и според „Марсиански хроники“ на Рей Бредбъри</v>
      </c>
      <c r="D5658" s="10">
        <f ca="1">IFERROR(__xludf.DUMMYFUNCTION("""COMPUTED_VALUE"""),2018)</f>
        <v>2018</v>
      </c>
      <c r="E5658" s="10" t="str">
        <f ca="1">IFERROR(__xludf.DUMMYFUNCTION("""COMPUTED_VALUE"""),"АКСЛИТ (Академичен кръг по сравнително литературознание). Научна конференция „Представи и миражи: „Чуждото“ в „своята“ литература, 12-13 април 2018, СУ. &lt;https://calic.balkansbg.eu/conferens/images-and-mirages/102-marsiantzite-sa-veche-tuk.html&gt; (5. 06. 2"&amp;"018), ISSN 2603-5332")</f>
        <v>АКСЛИТ (Академичен кръг по сравнително литературознание). Научна конференция „Представи и миражи: „Чуждото“ в „своята“ литература, 12-13 април 2018, СУ. &lt;https://calic.balkansbg.eu/conferens/images-and-mirages/102-marsiantzite-sa-veche-tuk.html&gt; (5. 06. 2018), ISSN 2603-5332</v>
      </c>
      <c r="F5658" s="10"/>
      <c r="G5658" s="10" t="str">
        <f ca="1">IFERROR(__xludf.DUMMYFUNCTION("""COMPUTED_VALUE"""),"Стефанка Митева")</f>
        <v>Стефанка Митева</v>
      </c>
      <c r="H5658" s="10"/>
      <c r="I5658" s="10"/>
      <c r="J5658" s="10"/>
      <c r="K5658" s="10"/>
      <c r="L5658" s="10"/>
      <c r="M5658" s="10"/>
      <c r="N5658" s="10"/>
      <c r="O5658" s="10"/>
      <c r="P5658" s="10"/>
      <c r="Q5658" s="10"/>
      <c r="R5658" s="10"/>
      <c r="S5658" s="10"/>
      <c r="T5658" s="10"/>
      <c r="U5658" s="10"/>
      <c r="V5658" s="10"/>
      <c r="W5658" s="10"/>
      <c r="X5658" s="10"/>
      <c r="Y5658" s="10"/>
      <c r="Z5658" s="10"/>
    </row>
    <row r="5659" spans="1:26" ht="12.75">
      <c r="A5659" s="10" t="str">
        <f ca="1">IFERROR(__xludf.DUMMYFUNCTION("""COMPUTED_VALUE"""),"Мая Стоянова Горчева")</f>
        <v>Мая Стоянова Горчева</v>
      </c>
      <c r="B5659" s="10" t="str">
        <f ca="1">IFERROR(__xludf.DUMMYFUNCTION("""COMPUTED_VALUE"""),"Доклад от конференция")</f>
        <v>Доклад от конференция</v>
      </c>
      <c r="C5659" s="10" t="str">
        <f ca="1">IFERROR(__xludf.DUMMYFUNCTION("""COMPUTED_VALUE"""),"Българските научно-популярни книги от 1930-те и 1940-те, техните автори, издатели и читатели.")</f>
        <v>Българските научно-популярни книги от 1930-те и 1940-те, техните автори, издатели и читатели.</v>
      </c>
      <c r="D5659" s="10">
        <f ca="1">IFERROR(__xludf.DUMMYFUNCTION("""COMPUTED_VALUE"""),2018)</f>
        <v>2018</v>
      </c>
      <c r="E5659" s="10" t="str">
        <f ca="1">IFERROR(__xludf.DUMMYFUNCTION("""COMPUTED_VALUE"""),"„Литература и техника. Сборник с доклади от научна конференция, проведена в СУ „Св. Климент Охридски“, 9-11. март 2018 г. София: УИ „Св. Климент Охридски“, 2018, 74-81. ISBN 978-954-07-4486-5 Разширен вариант &amp;lt;https://bglitertech.com/bulgarian-general-"&amp;"science-books-maya- gorcheva/&amp;gt;")</f>
        <v>„Литература и техника. Сборник с доклади от научна конференция, проведена в СУ „Св. Климент Охридски“, 9-11. март 2018 г. София: УИ „Св. Климент Охридски“, 2018, 74-81. ISBN 978-954-07-4486-5 Разширен вариант &amp;lt;https://bglitertech.com/bulgarian-general-science-books-maya- gorcheva/&amp;gt;</v>
      </c>
      <c r="F5659" s="10"/>
      <c r="G5659" s="10"/>
      <c r="H5659" s="10"/>
      <c r="I5659" s="10"/>
      <c r="J5659" s="10"/>
      <c r="K5659" s="10"/>
      <c r="L5659" s="10"/>
      <c r="M5659" s="10"/>
      <c r="N5659" s="10"/>
      <c r="O5659" s="10"/>
      <c r="P5659" s="10"/>
      <c r="Q5659" s="10"/>
      <c r="R5659" s="10"/>
      <c r="S5659" s="10"/>
      <c r="T5659" s="10"/>
      <c r="U5659" s="10"/>
      <c r="V5659" s="10"/>
      <c r="W5659" s="10"/>
      <c r="X5659" s="10"/>
      <c r="Y5659" s="10"/>
      <c r="Z5659" s="10"/>
    </row>
    <row r="5660" spans="1:26" ht="12.75">
      <c r="A5660" s="10" t="str">
        <f ca="1">IFERROR(__xludf.DUMMYFUNCTION("""COMPUTED_VALUE"""),"Мая Стоянова Горчева")</f>
        <v>Мая Стоянова Горчева</v>
      </c>
      <c r="B5660" s="10" t="str">
        <f ca="1">IFERROR(__xludf.DUMMYFUNCTION("""COMPUTED_VALUE"""),"Доклад от конференция")</f>
        <v>Доклад от конференция</v>
      </c>
      <c r="C5660" s="10" t="str">
        <f ca="1">IFERROR(__xludf.DUMMYFUNCTION("""COMPUTED_VALUE"""),"За стихотворението „Идилия“ – във и извън контекста на Яворовите „Безсъници“")</f>
        <v>За стихотворението „Идилия“ – във и извън контекста на Яворовите „Безсъници“</v>
      </c>
      <c r="D5660" s="10">
        <f ca="1">IFERROR(__xludf.DUMMYFUNCTION("""COMPUTED_VALUE"""),2018)</f>
        <v>2018</v>
      </c>
      <c r="E5660" s="10" t="str">
        <f ca="1">IFERROR(__xludf.DUMMYFUNCTION("""COMPUTED_VALUE"""),"Национална научна конференция 140 години от рождението на П. К. Яворов, 14 януари 2018 г., къща музей „П. К. Яворов“, гр. Чирпан.")</f>
        <v>Национална научна конференция 140 години от рождението на П. К. Яворов, 14 януари 2018 г., къща музей „П. К. Яворов“, гр. Чирпан.</v>
      </c>
      <c r="F5660" s="10"/>
      <c r="G5660" s="10"/>
      <c r="H5660" s="10"/>
      <c r="I5660" s="10"/>
      <c r="J5660" s="10"/>
      <c r="K5660" s="10"/>
      <c r="L5660" s="10"/>
      <c r="M5660" s="10"/>
      <c r="N5660" s="10"/>
      <c r="O5660" s="10"/>
      <c r="P5660" s="10"/>
      <c r="Q5660" s="10"/>
      <c r="R5660" s="10"/>
      <c r="S5660" s="10"/>
      <c r="T5660" s="10"/>
      <c r="U5660" s="10"/>
      <c r="V5660" s="10"/>
      <c r="W5660" s="10"/>
      <c r="X5660" s="10"/>
      <c r="Y5660" s="10"/>
      <c r="Z5660" s="10"/>
    </row>
    <row r="5661" spans="1:26" ht="12.75">
      <c r="A5661" s="10" t="str">
        <f ca="1">IFERROR(__xludf.DUMMYFUNCTION("""COMPUTED_VALUE"""),"Мая Стоянова Горчева")</f>
        <v>Мая Стоянова Горчева</v>
      </c>
      <c r="B5661" s="10" t="str">
        <f ca="1">IFERROR(__xludf.DUMMYFUNCTION("""COMPUTED_VALUE"""),"Доклад от конференция")</f>
        <v>Доклад от конференция</v>
      </c>
      <c r="C5661" s="10" t="str">
        <f ca="1">IFERROR(__xludf.DUMMYFUNCTION("""COMPUTED_VALUE"""),"Гласът на една дама в разговора между философията и поезията: щрихи към интелектуалния портрет на Жана Николова-Гълъбова")</f>
        <v>Гласът на една дама в разговора между философията и поезията: щрихи към интелектуалния портрет на Жана Николова-Гълъбова</v>
      </c>
      <c r="D5661" s="10">
        <f ca="1">IFERROR(__xludf.DUMMYFUNCTION("""COMPUTED_VALUE"""),2018)</f>
        <v>2018</v>
      </c>
      <c r="E5661" s="10" t="str">
        <f ca="1">IFERROR(__xludf.DUMMYFUNCTION("""COMPUTED_VALUE"""),"Жените в българската литература и култура. Съставителство и научна редакция Людмила Хр. Малинова, Кристина Йорданова, Маринели Димитрова. София: Унив. Изд. „Св. Климент Охридски“, 2018, с. 346-358. ISBN 978-954-07-4363-9")</f>
        <v>Жените в българската литература и култура. Съставителство и научна редакция Людмила Хр. Малинова, Кристина Йорданова, Маринели Димитрова. София: Унив. Изд. „Св. Климент Охридски“, 2018, с. 346-358. ISBN 978-954-07-4363-9</v>
      </c>
      <c r="F5661" s="10"/>
      <c r="G5661" s="10"/>
      <c r="H5661" s="10"/>
      <c r="I5661" s="10"/>
      <c r="J5661" s="10"/>
      <c r="K5661" s="10"/>
      <c r="L5661" s="10"/>
      <c r="M5661" s="10"/>
      <c r="N5661" s="10"/>
      <c r="O5661" s="10"/>
      <c r="P5661" s="10"/>
      <c r="Q5661" s="10"/>
      <c r="R5661" s="10"/>
      <c r="S5661" s="10"/>
      <c r="T5661" s="10"/>
      <c r="U5661" s="10"/>
      <c r="V5661" s="10"/>
      <c r="W5661" s="10"/>
      <c r="X5661" s="10"/>
      <c r="Y5661" s="10"/>
      <c r="Z5661" s="10"/>
    </row>
    <row r="5662" spans="1:26" ht="12.75">
      <c r="A5662" s="10" t="str">
        <f ca="1">IFERROR(__xludf.DUMMYFUNCTION("""COMPUTED_VALUE"""),"Мая Стоянова Горчева")</f>
        <v>Мая Стоянова Горчева</v>
      </c>
      <c r="B5662" s="10" t="str">
        <f ca="1">IFERROR(__xludf.DUMMYFUNCTION("""COMPUTED_VALUE"""),"Доклад от конференция")</f>
        <v>Доклад от конференция</v>
      </c>
      <c r="C5662" s="10" t="str">
        <f ca="1">IFERROR(__xludf.DUMMYFUNCTION("""COMPUTED_VALUE"""),"Литературното наследство на Борис Априлов (1921-1995), представено от Джина Василева.")</f>
        <v>Литературното наследство на Борис Априлов (1921-1995), представено от Джина Василева.</v>
      </c>
      <c r="D5662" s="10">
        <f ca="1">IFERROR(__xludf.DUMMYFUNCTION("""COMPUTED_VALUE"""),2018)</f>
        <v>2018</v>
      </c>
      <c r="E5662" s="10" t="str">
        <f ca="1">IFERROR(__xludf.DUMMYFUNCTION("""COMPUTED_VALUE"""),"ХV национална научна конференция с международно участие „Обществото на знанието и хуманизмът на ХХІ век“, 1 ноември 2017 г. ISSN 1314-7099")</f>
        <v>ХV национална научна конференция с международно участие „Обществото на знанието и хуманизмът на ХХІ век“, 1 ноември 2017 г. ISSN 1314-7099</v>
      </c>
      <c r="F5662" s="10"/>
      <c r="G5662" s="10"/>
      <c r="H5662" s="10"/>
      <c r="I5662" s="10"/>
      <c r="J5662" s="10"/>
      <c r="K5662" s="10"/>
      <c r="L5662" s="10"/>
      <c r="M5662" s="10"/>
      <c r="N5662" s="10"/>
      <c r="O5662" s="10"/>
      <c r="P5662" s="10"/>
      <c r="Q5662" s="10"/>
      <c r="R5662" s="10"/>
      <c r="S5662" s="10"/>
      <c r="T5662" s="10"/>
      <c r="U5662" s="10"/>
      <c r="V5662" s="10"/>
      <c r="W5662" s="10"/>
      <c r="X5662" s="10"/>
      <c r="Y5662" s="10"/>
      <c r="Z5662" s="10"/>
    </row>
    <row r="5663" spans="1:26" ht="12.75">
      <c r="A5663" s="10" t="str">
        <f ca="1">IFERROR(__xludf.DUMMYFUNCTION("""COMPUTED_VALUE"""),"Мая Стоянова Горчева")</f>
        <v>Мая Стоянова Горчева</v>
      </c>
      <c r="B5663" s="10" t="str">
        <f ca="1">IFERROR(__xludf.DUMMYFUNCTION("""COMPUTED_VALUE"""),"Статия в списания и поредици")</f>
        <v>Статия в списания и поредици</v>
      </c>
      <c r="C5663" s="10" t="str">
        <f ca="1">IFERROR(__xludf.DUMMYFUNCTION("""COMPUTED_VALUE"""),"Отровата на искреността. Мотивът за двойника в романа „Безразличният“ на Цветан Марангозов между литературна реконструкция, биографично свидетелство и разсекретени досиета")</f>
        <v>Отровата на искреността. Мотивът за двойника в романа „Безразличният“ на Цветан Марангозов между литературна реконструкция, биографично свидетелство и разсекретени досиета</v>
      </c>
      <c r="D5663" s="10">
        <f ca="1">IFERROR(__xludf.DUMMYFUNCTION("""COMPUTED_VALUE"""),2018)</f>
        <v>2018</v>
      </c>
      <c r="E5663" s="10" t="str">
        <f ca="1">IFERROR(__xludf.DUMMYFUNCTION("""COMPUTED_VALUE"""),"Литературна мисъл, 2018, бр. 3, 37-57. ISSN (print) 0324-0495; ISSN (online) 1314-9237")</f>
        <v>Литературна мисъл, 2018, бр. 3, 37-57. ISSN (print) 0324-0495; ISSN (online) 1314-9237</v>
      </c>
      <c r="F5663" s="10" t="str">
        <f ca="1">IFERROR(__xludf.DUMMYFUNCTION("""COMPUTED_VALUE"""),"ЕRIH PLUS (European Reference Index for the Humanities)
 ESF Standing Committee for the Humanities (SCH)
 Списание ""Литературна мисъл"" е индексирано в РИНЦ (elibrary.ru).
 публикува се изцяло в Central and Eastern European Online Library")</f>
        <v>ЕRIH PLUS (European Reference Index for the Humanities)
 ESF Standing Committee for the Humanities (SCH)
 Списание "Литературна мисъл" е индексирано в РИНЦ (elibrary.ru).
 публикува се изцяло в Central and Eastern European Online Library</v>
      </c>
      <c r="G5663" s="10"/>
      <c r="H5663" s="10"/>
      <c r="I5663" s="10"/>
      <c r="J5663" s="10"/>
      <c r="K5663" s="10"/>
      <c r="L5663" s="10"/>
      <c r="M5663" s="10"/>
      <c r="N5663" s="10"/>
      <c r="O5663" s="10"/>
      <c r="P5663" s="10"/>
      <c r="Q5663" s="10"/>
      <c r="R5663" s="10"/>
      <c r="S5663" s="10"/>
      <c r="T5663" s="10"/>
      <c r="U5663" s="10"/>
      <c r="V5663" s="10"/>
      <c r="W5663" s="10"/>
      <c r="X5663" s="10"/>
      <c r="Y5663" s="10"/>
      <c r="Z5663" s="10"/>
    </row>
    <row r="5664" spans="1:26" ht="12.75">
      <c r="A5664" s="10" t="str">
        <f ca="1">IFERROR(__xludf.DUMMYFUNCTION("""COMPUTED_VALUE"""),"Мая Стоянова Горчева")</f>
        <v>Мая Стоянова Горчева</v>
      </c>
      <c r="B5664" s="10" t="str">
        <f ca="1">IFERROR(__xludf.DUMMYFUNCTION("""COMPUTED_VALUE"""),"Доклад от конференция")</f>
        <v>Доклад от конференция</v>
      </c>
      <c r="C5664" s="10" t="str">
        <f ca="1">IFERROR(__xludf.DUMMYFUNCTION("""COMPUTED_VALUE"""),"Болгарские образы переворота / революции 7 ноября 1917 г. (1920-ые – начало 1930-ых гг.)")</f>
        <v>Болгарские образы переворота / революции 7 ноября 1917 г. (1920-ые – начало 1930-ых гг.)</v>
      </c>
      <c r="D5664" s="10">
        <f ca="1">IFERROR(__xludf.DUMMYFUNCTION("""COMPUTED_VALUE"""),2017)</f>
        <v>2017</v>
      </c>
      <c r="E5664" s="10" t="str">
        <f ca="1">IFERROR(__xludf.DUMMYFUNCTION("""COMPUTED_VALUE"""),"Конференция „1917 год: Литератор и литературовед: инженер, свидетель, жертва исторического рубежа / социального слома“. Институт литературы БАН, Иститут филологии и журналистики Тюменского государственного университета, Департамент гуманитарных наук униве"&amp;"рситета Салерно, 11-14 мая 2017 г., София.")</f>
        <v>Конференция „1917 год: Литератор и литературовед: инженер, свидетель, жертва исторического рубежа / социального слома“. Институт литературы БАН, Иститут филологии и журналистики Тюменского государственного университета, Департамент гуманитарных наук университета Салерно, 11-14 мая 2017 г., София.</v>
      </c>
      <c r="F5664" s="10"/>
      <c r="G5664" s="10"/>
      <c r="H5664" s="10"/>
      <c r="I5664" s="10"/>
      <c r="J5664" s="10"/>
      <c r="K5664" s="10"/>
      <c r="L5664" s="10"/>
      <c r="M5664" s="10"/>
      <c r="N5664" s="10"/>
      <c r="O5664" s="10"/>
      <c r="P5664" s="10"/>
      <c r="Q5664" s="10"/>
      <c r="R5664" s="10"/>
      <c r="S5664" s="10"/>
      <c r="T5664" s="10"/>
      <c r="U5664" s="10"/>
      <c r="V5664" s="10"/>
      <c r="W5664" s="10"/>
      <c r="X5664" s="10"/>
      <c r="Y5664" s="10"/>
      <c r="Z5664" s="10"/>
    </row>
    <row r="5665" spans="1:26" ht="12.75">
      <c r="A5665" s="10" t="str">
        <f ca="1">IFERROR(__xludf.DUMMYFUNCTION("""COMPUTED_VALUE"""),"Мая Стоянова Горчева")</f>
        <v>Мая Стоянова Горчева</v>
      </c>
      <c r="B5665" s="10" t="str">
        <f ca="1">IFERROR(__xludf.DUMMYFUNCTION("""COMPUTED_VALUE"""),"Доклад от конференция")</f>
        <v>Доклад от конференция</v>
      </c>
      <c r="C5665" s="10" t="str">
        <f ca="1">IFERROR(__xludf.DUMMYFUNCTION("""COMPUTED_VALUE"""),"Разкази за електрическите стълбове на булевард „Цар Освободител“ и българският литературен модернизъм")</f>
        <v>Разкази за електрическите стълбове на булевард „Цар Освободител“ и българският литературен модернизъм</v>
      </c>
      <c r="D5665" s="10">
        <f ca="1">IFERROR(__xludf.DUMMYFUNCTION("""COMPUTED_VALUE"""),2017)</f>
        <v>2017</v>
      </c>
      <c r="E5665" s="10" t="str">
        <f ca="1">IFERROR(__xludf.DUMMYFUNCTION("""COMPUTED_VALUE"""),"Модернизъм и постмодернизъм: мистика и мистификация. Научна конференция 17-18 март 2017. – Литературна история, бр. 2, 2018. ISSN 0204-7756 (под печат) Разширен вариант: Библиотека, кн. 4, 2018, с. 55-78. ISSN 0861-847X")</f>
        <v>Модернизъм и постмодернизъм: мистика и мистификация. Научна конференция 17-18 март 2017. – Литературна история, бр. 2, 2018. ISSN 0204-7756 (под печат) Разширен вариант: Библиотека, кн. 4, 2018, с. 55-78. ISSN 0861-847X</v>
      </c>
      <c r="F5665" s="10"/>
      <c r="G5665" s="10"/>
      <c r="H5665" s="10"/>
      <c r="I5665" s="10"/>
      <c r="J5665" s="10"/>
      <c r="K5665" s="10"/>
      <c r="L5665" s="10"/>
      <c r="M5665" s="10"/>
      <c r="N5665" s="10"/>
      <c r="O5665" s="10"/>
      <c r="P5665" s="10"/>
      <c r="Q5665" s="10"/>
      <c r="R5665" s="10"/>
      <c r="S5665" s="10"/>
      <c r="T5665" s="10"/>
      <c r="U5665" s="10"/>
      <c r="V5665" s="10"/>
      <c r="W5665" s="10"/>
      <c r="X5665" s="10"/>
      <c r="Y5665" s="10"/>
      <c r="Z5665" s="10"/>
    </row>
    <row r="5666" spans="1:26" ht="12.75">
      <c r="A5666" s="10" t="str">
        <f ca="1">IFERROR(__xludf.DUMMYFUNCTION("""COMPUTED_VALUE"""),"Мая Стоянова Горчева")</f>
        <v>Мая Стоянова Горчева</v>
      </c>
      <c r="B5666" s="10" t="str">
        <f ca="1">IFERROR(__xludf.DUMMYFUNCTION("""COMPUTED_VALUE"""),"Доклад от конференция")</f>
        <v>Доклад от конференция</v>
      </c>
      <c r="C5666" s="10" t="str">
        <f ca="1">IFERROR(__xludf.DUMMYFUNCTION("""COMPUTED_VALUE"""),"„Модерно“ и „безсмъртие“ в антологията мистификация „На Острова на блажените“, или Другият бряг на бъдещето.")</f>
        <v>„Модерно“ и „безсмъртие“ в антологията мистификация „На Острова на блажените“, или Другият бряг на бъдещето.</v>
      </c>
      <c r="D5666" s="10">
        <f ca="1">IFERROR(__xludf.DUMMYFUNCTION("""COMPUTED_VALUE"""),2017)</f>
        <v>2017</v>
      </c>
      <c r="E5666" s="10" t="str">
        <f ca="1">IFERROR(__xludf.DUMMYFUNCTION("""COMPUTED_VALUE"""),"Международна научна конференция „150 години от рождението на Пенчо Славейков“, 16-18 май, 2016. – Пенчо Славейков. 150 години от рождението му. Сборник с научни изследвания. Състав. А. Антонова, Е. Трайкова, М. Янакиева, П. Ватова, А. Германова. София: из"&amp;"д. център „Боян Пенев“, 2017, с. 191-208. ISBN 978-619-7372-02-1")</f>
        <v>Международна научна конференция „150 години от рождението на Пенчо Славейков“, 16-18 май, 2016. – Пенчо Славейков. 150 години от рождението му. Сборник с научни изследвания. Състав. А. Антонова, Е. Трайкова, М. Янакиева, П. Ватова, А. Германова. София: изд. център „Боян Пенев“, 2017, с. 191-208. ISBN 978-619-7372-02-1</v>
      </c>
      <c r="F5666" s="10"/>
      <c r="G5666" s="10"/>
      <c r="H5666" s="10"/>
      <c r="I5666" s="10"/>
      <c r="J5666" s="10"/>
      <c r="K5666" s="10"/>
      <c r="L5666" s="10"/>
      <c r="M5666" s="10"/>
      <c r="N5666" s="10"/>
      <c r="O5666" s="10"/>
      <c r="P5666" s="10"/>
      <c r="Q5666" s="10"/>
      <c r="R5666" s="10"/>
      <c r="S5666" s="10"/>
      <c r="T5666" s="10"/>
      <c r="U5666" s="10"/>
      <c r="V5666" s="10"/>
      <c r="W5666" s="10"/>
      <c r="X5666" s="10"/>
      <c r="Y5666" s="10"/>
      <c r="Z5666" s="10"/>
    </row>
    <row r="5667" spans="1:26" ht="12.75">
      <c r="A5667" s="10" t="str">
        <f ca="1">IFERROR(__xludf.DUMMYFUNCTION("""COMPUTED_VALUE"""),"Мая Стоянова Горчева")</f>
        <v>Мая Стоянова Горчева</v>
      </c>
      <c r="B5667" s="10" t="str">
        <f ca="1">IFERROR(__xludf.DUMMYFUNCTION("""COMPUTED_VALUE"""),"Статия в списания и поредици")</f>
        <v>Статия в списания и поредици</v>
      </c>
      <c r="C5667" s="10" t="str">
        <f ca="1">IFERROR(__xludf.DUMMYFUNCTION("""COMPUTED_VALUE"""),"Вселената е крайна и няма граници: опитът на физиката и литературното творчество на Цветан Марангозов.")</f>
        <v>Вселената е крайна и няма граници: опитът на физиката и литературното творчество на Цветан Марангозов.</v>
      </c>
      <c r="D5667" s="10">
        <f ca="1">IFERROR(__xludf.DUMMYFUNCTION("""COMPUTED_VALUE"""),2017)</f>
        <v>2017</v>
      </c>
      <c r="E5667" s="10" t="str">
        <f ca="1">IFERROR(__xludf.DUMMYFUNCTION("""COMPUTED_VALUE"""),"Море, кн. 3, 2017, 109-139. ISSN 0205-3296")</f>
        <v>Море, кн. 3, 2017, 109-139. ISSN 0205-3296</v>
      </c>
      <c r="F5667" s="10"/>
      <c r="G5667" s="10"/>
      <c r="H5667" s="10"/>
      <c r="I5667" s="10"/>
      <c r="J5667" s="10"/>
      <c r="K5667" s="10"/>
      <c r="L5667" s="10"/>
      <c r="M5667" s="10"/>
      <c r="N5667" s="10"/>
      <c r="O5667" s="10"/>
      <c r="P5667" s="10"/>
      <c r="Q5667" s="10"/>
      <c r="R5667" s="10"/>
      <c r="S5667" s="10"/>
      <c r="T5667" s="10"/>
      <c r="U5667" s="10"/>
      <c r="V5667" s="10"/>
      <c r="W5667" s="10"/>
      <c r="X5667" s="10"/>
      <c r="Y5667" s="10"/>
      <c r="Z5667" s="10"/>
    </row>
    <row r="5668" spans="1:26" ht="12.75">
      <c r="A5668" s="10" t="str">
        <f ca="1">IFERROR(__xludf.DUMMYFUNCTION("""COMPUTED_VALUE"""),"Мая Стоянова Горчева")</f>
        <v>Мая Стоянова Горчева</v>
      </c>
      <c r="B5668" s="10" t="str">
        <f ca="1">IFERROR(__xludf.DUMMYFUNCTION("""COMPUTED_VALUE"""),"Доклад от конференция")</f>
        <v>Доклад от конференция</v>
      </c>
      <c r="C5668" s="10" t="str">
        <f ca="1">IFERROR(__xludf.DUMMYFUNCTION("""COMPUTED_VALUE"""),"Веселите разкази на Чудомир и сериозният университетски курс по история на новата българска литература")</f>
        <v>Веселите разкази на Чудомир и сериозният университетски курс по история на новата българска литература</v>
      </c>
      <c r="D5668" s="10">
        <f ca="1">IFERROR(__xludf.DUMMYFUNCTION("""COMPUTED_VALUE"""),2017)</f>
        <v>2017</v>
      </c>
      <c r="E5668" s="10" t="str">
        <f ca="1">IFERROR(__xludf.DUMMYFUNCTION("""COMPUTED_VALUE"""),"Научна конференция „Чудомир, другите, годините…“ с научен ръководител проф. Яни Милчаков. 31 март 2017, ЛХМ „Чудомир“, Чудомирови празници 2017.")</f>
        <v>Научна конференция „Чудомир, другите, годините…“ с научен ръководител проф. Яни Милчаков. 31 март 2017, ЛХМ „Чудомир“, Чудомирови празници 2017.</v>
      </c>
      <c r="F5668" s="10"/>
      <c r="G5668" s="10"/>
      <c r="H5668" s="10"/>
      <c r="I5668" s="10"/>
      <c r="J5668" s="10"/>
      <c r="K5668" s="10"/>
      <c r="L5668" s="10"/>
      <c r="M5668" s="10"/>
      <c r="N5668" s="10"/>
      <c r="O5668" s="10"/>
      <c r="P5668" s="10"/>
      <c r="Q5668" s="10"/>
      <c r="R5668" s="10"/>
      <c r="S5668" s="10"/>
      <c r="T5668" s="10"/>
      <c r="U5668" s="10"/>
      <c r="V5668" s="10"/>
      <c r="W5668" s="10"/>
      <c r="X5668" s="10"/>
      <c r="Y5668" s="10"/>
      <c r="Z5668" s="10"/>
    </row>
    <row r="5669" spans="1:26" ht="12.75">
      <c r="A5669" s="10" t="str">
        <f ca="1">IFERROR(__xludf.DUMMYFUNCTION("""COMPUTED_VALUE"""),"Мая Стоянова Горчева")</f>
        <v>Мая Стоянова Горчева</v>
      </c>
      <c r="B5669" s="10" t="str">
        <f ca="1">IFERROR(__xludf.DUMMYFUNCTION("""COMPUTED_VALUE"""),"Статия в списания и поредици")</f>
        <v>Статия в списания и поредици</v>
      </c>
      <c r="C5669" s="10" t="str">
        <f ca="1">IFERROR(__xludf.DUMMYFUNCTION("""COMPUTED_VALUE"""),"Между две книги и две култури, между съвременно и универсално, между литературна критика и литературно образование (Марина Владева. Българската литература на ХХ век. Диалози, (пре)прочити, размишления. Бургас, Университет „Проф.д-р Асен Златаров“, 2016).")</f>
        <v>Между две книги и две култури, между съвременно и универсално, между литературна критика и литературно образование (Марина Владева. Българската литература на ХХ век. Диалози, (пре)прочити, размишления. Бургас, Университет „Проф.д-р Асен Златаров“, 2016).</v>
      </c>
      <c r="D5669" s="10">
        <f ca="1">IFERROR(__xludf.DUMMYFUNCTION("""COMPUTED_VALUE"""),2016)</f>
        <v>2016</v>
      </c>
      <c r="E5669" s="10" t="str">
        <f ca="1">IFERROR(__xludf.DUMMYFUNCTION("""COMPUTED_VALUE"""),"Български език и литература, кн. 2, 2016, с. 204-209. ISSN 1314–8516 (Online); ISSN 0323–9519 (Print)")</f>
        <v>Български език и литература, кн. 2, 2016, с. 204-209. ISSN 1314–8516 (Online); ISSN 0323–9519 (Print)</v>
      </c>
      <c r="F5669" s="10"/>
      <c r="G5669" s="10"/>
      <c r="H5669" s="10"/>
      <c r="I5669" s="10"/>
      <c r="J5669" s="10"/>
      <c r="K5669" s="10"/>
      <c r="L5669" s="10"/>
      <c r="M5669" s="10"/>
      <c r="N5669" s="10"/>
      <c r="O5669" s="10"/>
      <c r="P5669" s="10"/>
      <c r="Q5669" s="10"/>
      <c r="R5669" s="10"/>
      <c r="S5669" s="10"/>
      <c r="T5669" s="10"/>
      <c r="U5669" s="10"/>
      <c r="V5669" s="10"/>
      <c r="W5669" s="10"/>
      <c r="X5669" s="10"/>
      <c r="Y5669" s="10"/>
      <c r="Z5669" s="10"/>
    </row>
    <row r="5670" spans="1:26" ht="12.75">
      <c r="A5670" s="10" t="str">
        <f ca="1">IFERROR(__xludf.DUMMYFUNCTION("""COMPUTED_VALUE"""),"Мая Стоянова Горчева")</f>
        <v>Мая Стоянова Горчева</v>
      </c>
      <c r="B5670" s="10" t="str">
        <f ca="1">IFERROR(__xludf.DUMMYFUNCTION("""COMPUTED_VALUE"""),"Статия в списания и поредици")</f>
        <v>Статия в списания и поредици</v>
      </c>
      <c r="C5670" s="10" t="str">
        <f ca="1">IFERROR(__xludf.DUMMYFUNCTION("""COMPUTED_VALUE"""),"Йовков и историята. Разказът за Предвъзраждането и Възраждането според епиграфите в „Старопланински легенди“.")</f>
        <v>Йовков и историята. Разказът за Предвъзраждането и Възраждането според епиграфите в „Старопланински легенди“.</v>
      </c>
      <c r="D5670" s="10">
        <f ca="1">IFERROR(__xludf.DUMMYFUNCTION("""COMPUTED_VALUE"""),2016)</f>
        <v>2016</v>
      </c>
      <c r="E5670" s="10" t="str">
        <f ca="1">IFERROR(__xludf.DUMMYFUNCTION("""COMPUTED_VALUE"""),"Сборник „Добруджа“. Регионален исторически музей – Добрич. Регионален исторически музей – Силистра. Кн. 31 / 2016, с. 145-160. ISSN 0205-2210")</f>
        <v>Сборник „Добруджа“. Регионален исторически музей – Добрич. Регионален исторически музей – Силистра. Кн. 31 / 2016, с. 145-160. ISSN 0205-2210</v>
      </c>
      <c r="F5670" s="10"/>
      <c r="G5670" s="10"/>
      <c r="H5670" s="10"/>
      <c r="I5670" s="10"/>
      <c r="J5670" s="10"/>
      <c r="K5670" s="10"/>
      <c r="L5670" s="10"/>
      <c r="M5670" s="10"/>
      <c r="N5670" s="10"/>
      <c r="O5670" s="10"/>
      <c r="P5670" s="10"/>
      <c r="Q5670" s="10"/>
      <c r="R5670" s="10"/>
      <c r="S5670" s="10"/>
      <c r="T5670" s="10"/>
      <c r="U5670" s="10"/>
      <c r="V5670" s="10"/>
      <c r="W5670" s="10"/>
      <c r="X5670" s="10"/>
      <c r="Y5670" s="10"/>
      <c r="Z5670" s="10"/>
    </row>
    <row r="5671" spans="1:26" ht="12.75">
      <c r="A5671" s="10" t="str">
        <f ca="1">IFERROR(__xludf.DUMMYFUNCTION("""COMPUTED_VALUE"""),"Мая Стоянова Горчева")</f>
        <v>Мая Стоянова Горчева</v>
      </c>
      <c r="B5671" s="10" t="str">
        <f ca="1">IFERROR(__xludf.DUMMYFUNCTION("""COMPUTED_VALUE"""),"Доклад от конференция")</f>
        <v>Доклад от конференция</v>
      </c>
      <c r="C5671" s="10" t="str">
        <f ca="1">IFERROR(__xludf.DUMMYFUNCTION("""COMPUTED_VALUE"""),"Преводима ли е Пенчо-Славейковата „преводна“ антология „На острова на блажените“?")</f>
        <v>Преводима ли е Пенчо-Славейковата „преводна“ антология „На острова на блажените“?</v>
      </c>
      <c r="D5671" s="10">
        <f ca="1">IFERROR(__xludf.DUMMYFUNCTION("""COMPUTED_VALUE"""),2016)</f>
        <v>2016</v>
      </c>
      <c r="E5671" s="10" t="str">
        <f ca="1">IFERROR(__xludf.DUMMYFUNCTION("""COMPUTED_VALUE"""),"Академичен кръг по сравнително литературознание. Конференция „Писателят като преводач. Преводачът като писател“. 8 април 2016. ISSN 2603-5332 &amp;lt;http://calic.balkansbg.eu/conferens/the-author-as-translator-the-translator-as-author/157-is- pencho-slaveyko"&amp;"v-s-translated-anthology-on-the-island-of-the-blessed-translatable.html&amp;gt;")</f>
        <v>Академичен кръг по сравнително литературознание. Конференция „Писателят като преводач. Преводачът като писател“. 8 април 2016. ISSN 2603-5332 &amp;lt;http://calic.balkansbg.eu/conferens/the-author-as-translator-the-translator-as-author/157-is- pencho-slaveykov-s-translated-anthology-on-the-island-of-the-blessed-translatable.html&amp;gt;</v>
      </c>
      <c r="F5671" s="10"/>
      <c r="G5671" s="10"/>
      <c r="H5671" s="10"/>
      <c r="I5671" s="10"/>
      <c r="J5671" s="10"/>
      <c r="K5671" s="10"/>
      <c r="L5671" s="10"/>
      <c r="M5671" s="10"/>
      <c r="N5671" s="10"/>
      <c r="O5671" s="10"/>
      <c r="P5671" s="10"/>
      <c r="Q5671" s="10"/>
      <c r="R5671" s="10"/>
      <c r="S5671" s="10"/>
      <c r="T5671" s="10"/>
      <c r="U5671" s="10"/>
      <c r="V5671" s="10"/>
      <c r="W5671" s="10"/>
      <c r="X5671" s="10"/>
      <c r="Y5671" s="10"/>
      <c r="Z5671" s="10"/>
    </row>
    <row r="5672" spans="1:26" ht="12.75">
      <c r="A5672" s="10" t="str">
        <f ca="1">IFERROR(__xludf.DUMMYFUNCTION("""COMPUTED_VALUE"""),"Мая Стоянова Горчева")</f>
        <v>Мая Стоянова Горчева</v>
      </c>
      <c r="B5672" s="10" t="str">
        <f ca="1">IFERROR(__xludf.DUMMYFUNCTION("""COMPUTED_VALUE"""),"Доклад от конференция")</f>
        <v>Доклад от конференция</v>
      </c>
      <c r="C5672" s="10" t="str">
        <f ca="1">IFERROR(__xludf.DUMMYFUNCTION("""COMPUTED_VALUE"""),"La Gaya Scienza за литературата и езика на Вазовите „Чичовци“.")</f>
        <v>La Gaya Scienza за литературата и езика на Вазовите „Чичовци“.</v>
      </c>
      <c r="D5672" s="10">
        <f ca="1">IFERROR(__xludf.DUMMYFUNCTION("""COMPUTED_VALUE"""),2016)</f>
        <v>2016</v>
      </c>
      <c r="E5672" s="10" t="str">
        <f ca="1">IFERROR(__xludf.DUMMYFUNCTION("""COMPUTED_VALUE"""),"Конференция „Вазов и Величков – във и отвъд Христоматията“. Институт за литература, 17 декември 2015. Публикация: Академично списание “Управление и образование“, университет „Проф. д-р Асен Златаров“, гр. Бургас, кн. 4, том 12, vol. № 4, 65-72, 2016. ISBN"&amp;" 13126121")</f>
        <v>Конференция „Вазов и Величков – във и отвъд Христоматията“. Институт за литература, 17 декември 2015. Публикация: Академично списание “Управление и образование“, университет „Проф. д-р Асен Златаров“, гр. Бургас, кн. 4, том 12, vol. № 4, 65-72, 2016. ISBN 13126121</v>
      </c>
      <c r="F5672" s="10"/>
      <c r="G5672" s="10"/>
      <c r="H5672" s="10"/>
      <c r="I5672" s="10"/>
      <c r="J5672" s="10"/>
      <c r="K5672" s="10"/>
      <c r="L5672" s="10"/>
      <c r="M5672" s="10"/>
      <c r="N5672" s="10"/>
      <c r="O5672" s="10"/>
      <c r="P5672" s="10"/>
      <c r="Q5672" s="10"/>
      <c r="R5672" s="10"/>
      <c r="S5672" s="10"/>
      <c r="T5672" s="10"/>
      <c r="U5672" s="10"/>
      <c r="V5672" s="10"/>
      <c r="W5672" s="10"/>
      <c r="X5672" s="10"/>
      <c r="Y5672" s="10"/>
      <c r="Z5672" s="10"/>
    </row>
    <row r="5673" spans="1:26" ht="12.75">
      <c r="A5673" s="10" t="str">
        <f ca="1">IFERROR(__xludf.DUMMYFUNCTION("""COMPUTED_VALUE"""),"Мая Стоянова Горчева")</f>
        <v>Мая Стоянова Горчева</v>
      </c>
      <c r="B5673" s="10" t="str">
        <f ca="1">IFERROR(__xludf.DUMMYFUNCTION("""COMPUTED_VALUE"""),"Доклад от конференция")</f>
        <v>Доклад от конференция</v>
      </c>
      <c r="C5673" s="10" t="str">
        <f ca="1">IFERROR(__xludf.DUMMYFUNCTION("""COMPUTED_VALUE"""),"Между „Звено“ (1928) и „Звено“ (1914): Поезията на Николай Лилиев и Емануил Попдимитров и литературните проекти на Гео Милев, или за отчуждаването на поетите и залезът на поезията.")</f>
        <v>Между „Звено“ (1928) и „Звено“ (1914): Поезията на Николай Лилиев и Емануил Попдимитров и литературните проекти на Гео Милев, или за отчуждаването на поетите и залезът на поезията.</v>
      </c>
      <c r="D5673" s="10">
        <f ca="1">IFERROR(__xludf.DUMMYFUNCTION("""COMPUTED_VALUE"""),2016)</f>
        <v>2016</v>
      </c>
      <c r="E5673" s="10" t="str">
        <f ca="1">IFERROR(__xludf.DUMMYFUNCTION("""COMPUTED_VALUE"""),"Научна конференция „Николай Лилиев, Емануил Попдимитров и Гео Милев – синхронии на модернизма“. Институт за литература, 1. ХІІ. 2015. Публикация: Сп. Библиотека, бр. 3, 2016, 32-45. ISSN 0861-847X")</f>
        <v>Научна конференция „Николай Лилиев, Емануил Попдимитров и Гео Милев – синхронии на модернизма“. Институт за литература, 1. ХІІ. 2015. Публикация: Сп. Библиотека, бр. 3, 2016, 32-45. ISSN 0861-847X</v>
      </c>
      <c r="F5673" s="10"/>
      <c r="G5673" s="10"/>
      <c r="H5673" s="10"/>
      <c r="I5673" s="10"/>
      <c r="J5673" s="10"/>
      <c r="K5673" s="10"/>
      <c r="L5673" s="10"/>
      <c r="M5673" s="10"/>
      <c r="N5673" s="10"/>
      <c r="O5673" s="10"/>
      <c r="P5673" s="10"/>
      <c r="Q5673" s="10"/>
      <c r="R5673" s="10"/>
      <c r="S5673" s="10"/>
      <c r="T5673" s="10"/>
      <c r="U5673" s="10"/>
      <c r="V5673" s="10"/>
      <c r="W5673" s="10"/>
      <c r="X5673" s="10"/>
      <c r="Y5673" s="10"/>
      <c r="Z5673" s="10"/>
    </row>
    <row r="5674" spans="1:26" ht="12.75">
      <c r="A5674" s="10" t="str">
        <f ca="1">IFERROR(__xludf.DUMMYFUNCTION("""COMPUTED_VALUE"""),"Мая Стоянова Горчева")</f>
        <v>Мая Стоянова Горчева</v>
      </c>
      <c r="B5674" s="10" t="str">
        <f ca="1">IFERROR(__xludf.DUMMYFUNCTION("""COMPUTED_VALUE"""),"Доклад от конференция")</f>
        <v>Доклад от конференция</v>
      </c>
      <c r="C5674" s="10" t="str">
        <f ca="1">IFERROR(__xludf.DUMMYFUNCTION("""COMPUTED_VALUE"""),"The Modernist Gheo Milev’s Conception of Modern Psycho-lyric Poetry.")</f>
        <v>The Modernist Gheo Milev’s Conception of Modern Psycho-lyric Poetry.</v>
      </c>
      <c r="D5674" s="10">
        <f ca="1">IFERROR(__xludf.DUMMYFUNCTION("""COMPUTED_VALUE"""),2016)</f>
        <v>2016</v>
      </c>
      <c r="E5674" s="10" t="str">
        <f ca="1">IFERROR(__xludf.DUMMYFUNCTION("""COMPUTED_VALUE"""),"Conference „Оn the Soul”. Association of Comparative Literature of Macedonia; Association of classical philologists Äntika; Philosophical society of Macedonia. Second International conference. Skopje, June, 1-3, 2016.")</f>
        <v>Conference „Оn the Soul”. Association of Comparative Literature of Macedonia; Association of classical philologists Äntika; Philosophical society of Macedonia. Second International conference. Skopje, June, 1-3, 2016.</v>
      </c>
      <c r="F5674" s="10"/>
      <c r="G5674" s="10"/>
      <c r="H5674" s="10"/>
      <c r="I5674" s="10"/>
      <c r="J5674" s="10"/>
      <c r="K5674" s="10"/>
      <c r="L5674" s="10"/>
      <c r="M5674" s="10"/>
      <c r="N5674" s="10"/>
      <c r="O5674" s="10"/>
      <c r="P5674" s="10"/>
      <c r="Q5674" s="10"/>
      <c r="R5674" s="10"/>
      <c r="S5674" s="10"/>
      <c r="T5674" s="10"/>
      <c r="U5674" s="10"/>
      <c r="V5674" s="10"/>
      <c r="W5674" s="10"/>
      <c r="X5674" s="10"/>
      <c r="Y5674" s="10"/>
      <c r="Z5674" s="10"/>
    </row>
    <row r="5675" spans="1:26" ht="12.75">
      <c r="A5675" s="10" t="str">
        <f ca="1">IFERROR(__xludf.DUMMYFUNCTION("""COMPUTED_VALUE"""),"Мая Стоянова Горчева")</f>
        <v>Мая Стоянова Горчева</v>
      </c>
      <c r="B5675" s="10" t="str">
        <f ca="1">IFERROR(__xludf.DUMMYFUNCTION("""COMPUTED_VALUE"""),"Статия в списания и поредици")</f>
        <v>Статия в списания и поредици</v>
      </c>
      <c r="C5675" s="10" t="str">
        <f ca="1">IFERROR(__xludf.DUMMYFUNCTION("""COMPUTED_VALUE"""),"„Новите Испании“ и генеалогията на ранномодерното в най-новата българска литература.")</f>
        <v>„Новите Испании“ и генеалогията на ранномодерното в най-новата българска литература.</v>
      </c>
      <c r="D5675" s="10">
        <f ca="1">IFERROR(__xludf.DUMMYFUNCTION("""COMPUTED_VALUE"""),2015)</f>
        <v>2015</v>
      </c>
      <c r="E5675" s="10" t="str">
        <f ca="1">IFERROR(__xludf.DUMMYFUNCTION("""COMPUTED_VALUE"""),"Сборник „Америките ни 1: Южна Америка и българската литература, български следи в Латинска Америка“. Ред. Пламен Антов, Румен Стоянов. София: изд. център Боян Пенев, 2015, 226-236. ISBN 978-954-8712-95-8")</f>
        <v>Сборник „Америките ни 1: Южна Америка и българската литература, български следи в Латинска Америка“. Ред. Пламен Антов, Румен Стоянов. София: изд. център Боян Пенев, 2015, 226-236. ISBN 978-954-8712-95-8</v>
      </c>
      <c r="F5675" s="10"/>
      <c r="G5675" s="10"/>
      <c r="H5675" s="10"/>
      <c r="I5675" s="10"/>
      <c r="J5675" s="10"/>
      <c r="K5675" s="10"/>
      <c r="L5675" s="10"/>
      <c r="M5675" s="10"/>
      <c r="N5675" s="10"/>
      <c r="O5675" s="10"/>
      <c r="P5675" s="10"/>
      <c r="Q5675" s="10"/>
      <c r="R5675" s="10"/>
      <c r="S5675" s="10"/>
      <c r="T5675" s="10"/>
      <c r="U5675" s="10"/>
      <c r="V5675" s="10"/>
      <c r="W5675" s="10"/>
      <c r="X5675" s="10"/>
      <c r="Y5675" s="10"/>
      <c r="Z5675" s="10"/>
    </row>
    <row r="5676" spans="1:26" ht="12.75">
      <c r="A5676" s="10" t="str">
        <f ca="1">IFERROR(__xludf.DUMMYFUNCTION("""COMPUTED_VALUE"""),"Мая Стоянова Горчева")</f>
        <v>Мая Стоянова Горчева</v>
      </c>
      <c r="B5676" s="10" t="str">
        <f ca="1">IFERROR(__xludf.DUMMYFUNCTION("""COMPUTED_VALUE"""),"Статия в списания и поредици")</f>
        <v>Статия в списания и поредици</v>
      </c>
      <c r="C5676" s="10" t="str">
        <f ca="1">IFERROR(__xludf.DUMMYFUNCTION("""COMPUTED_VALUE"""),"Аритмии и аритметики на сърцето. Боян Дановски. „Сърцето на шута“ (1926). Светослав Минков / Константин Константинов, „Сърцето в картонената кутия“ (1933).")</f>
        <v>Аритмии и аритметики на сърцето. Боян Дановски. „Сърцето на шута“ (1926). Светослав Минков / Константин Константинов, „Сърцето в картонената кутия“ (1933).</v>
      </c>
      <c r="D5676" s="10">
        <f ca="1">IFERROR(__xludf.DUMMYFUNCTION("""COMPUTED_VALUE"""),2015)</f>
        <v>2015</v>
      </c>
      <c r="E5676" s="10" t="str">
        <f ca="1">IFERROR(__xludf.DUMMYFUNCTION("""COMPUTED_VALUE"""),"Море, бр. 1, 2015, 207-212. ISSN 0205-3296")</f>
        <v>Море, бр. 1, 2015, 207-212. ISSN 0205-3296</v>
      </c>
      <c r="F5676" s="10"/>
      <c r="G5676" s="10"/>
      <c r="H5676" s="10"/>
      <c r="I5676" s="10"/>
      <c r="J5676" s="10"/>
      <c r="K5676" s="10"/>
      <c r="L5676" s="10"/>
      <c r="M5676" s="10"/>
      <c r="N5676" s="10"/>
      <c r="O5676" s="10"/>
      <c r="P5676" s="10"/>
      <c r="Q5676" s="10"/>
      <c r="R5676" s="10"/>
      <c r="S5676" s="10"/>
      <c r="T5676" s="10"/>
      <c r="U5676" s="10"/>
      <c r="V5676" s="10"/>
      <c r="W5676" s="10"/>
      <c r="X5676" s="10"/>
      <c r="Y5676" s="10"/>
      <c r="Z5676" s="10"/>
    </row>
    <row r="5677" spans="1:26" ht="12.75">
      <c r="A5677" s="10" t="str">
        <f ca="1">IFERROR(__xludf.DUMMYFUNCTION("""COMPUTED_VALUE"""),"Мая Стоянова Горчева")</f>
        <v>Мая Стоянова Горчева</v>
      </c>
      <c r="B5677" s="10" t="str">
        <f ca="1">IFERROR(__xludf.DUMMYFUNCTION("""COMPUTED_VALUE"""),"Доклад от конференция")</f>
        <v>Доклад от конференция</v>
      </c>
      <c r="C5677" s="10" t="str">
        <f ca="1">IFERROR(__xludf.DUMMYFUNCTION("""COMPUTED_VALUE"""),"Как разказва авангардистът Гео Милев за началата на модерната поезия („Модерната поезия“, „Иконите спят“)")</f>
        <v>Как разказва авангардистът Гео Милев за началата на модерната поезия („Модерната поезия“, „Иконите спят“)</v>
      </c>
      <c r="D5677" s="10">
        <f ca="1">IFERROR(__xludf.DUMMYFUNCTION("""COMPUTED_VALUE"""),2015)</f>
        <v>2015</v>
      </c>
      <c r="E5677" s="10" t="str">
        <f ca="1">IFERROR(__xludf.DUMMYFUNCTION("""COMPUTED_VALUE"""),"Академичен кръг по сравнително литературознание. Научна конференция „Българската литература: Сравнимо и несравнимо“. 24 април 2015. ISSN 2603-5332 &amp;lt;http://calic.balkansbg.eu/conferens/bulgarian-literature-the-comparable-and-the- incomparable/140-how-th"&amp;"e-avant-garde-author-geo-milev-tells-about-the-beginnings-of- modern-poetry.html&amp;gt;")</f>
        <v>Академичен кръг по сравнително литературознание. Научна конференция „Българската литература: Сравнимо и несравнимо“. 24 април 2015. ISSN 2603-5332 &amp;lt;http://calic.balkansbg.eu/conferens/bulgarian-literature-the-comparable-and-the- incomparable/140-how-the-avant-garde-author-geo-milev-tells-about-the-beginnings-of- modern-poetry.html&amp;gt;</v>
      </c>
      <c r="F5677" s="10"/>
      <c r="G5677" s="10"/>
      <c r="H5677" s="10"/>
      <c r="I5677" s="10"/>
      <c r="J5677" s="10"/>
      <c r="K5677" s="10"/>
      <c r="L5677" s="10"/>
      <c r="M5677" s="10"/>
      <c r="N5677" s="10"/>
      <c r="O5677" s="10"/>
      <c r="P5677" s="10"/>
      <c r="Q5677" s="10"/>
      <c r="R5677" s="10"/>
      <c r="S5677" s="10"/>
      <c r="T5677" s="10"/>
      <c r="U5677" s="10"/>
      <c r="V5677" s="10"/>
      <c r="W5677" s="10"/>
      <c r="X5677" s="10"/>
      <c r="Y5677" s="10"/>
      <c r="Z5677" s="10"/>
    </row>
    <row r="5678" spans="1:26" ht="12.75">
      <c r="A5678" s="10" t="str">
        <f ca="1">IFERROR(__xludf.DUMMYFUNCTION("""COMPUTED_VALUE"""),"Мая Стоянова Горчева")</f>
        <v>Мая Стоянова Горчева</v>
      </c>
      <c r="B5678" s="10" t="str">
        <f ca="1">IFERROR(__xludf.DUMMYFUNCTION("""COMPUTED_VALUE"""),"Доклад от конференция")</f>
        <v>Доклад от конференция</v>
      </c>
      <c r="C5678" s="10" t="str">
        <f ca="1">IFERROR(__xludf.DUMMYFUNCTION("""COMPUTED_VALUE"""),"Как разказва авангардистът Гео Милев за началата на модерната поезия („Модерната поезия“, „Иконите спят“).")</f>
        <v>Как разказва авангардистът Гео Милев за началата на модерната поезия („Модерната поезия“, „Иконите спят“).</v>
      </c>
      <c r="D5678" s="10">
        <f ca="1">IFERROR(__xludf.DUMMYFUNCTION("""COMPUTED_VALUE"""),2015)</f>
        <v>2015</v>
      </c>
      <c r="E5678" s="10" t="str">
        <f ca="1">IFERROR(__xludf.DUMMYFUNCTION("""COMPUTED_VALUE"""),"Академичен кръг по сравнително литературознание. Научна конференция „Българската литература: Сравнимо и несравнимо“. 24 април 2015. Публикация: http://calic.balkansbg.eu/conferens/bulgarian-literature-the-comparable-and-the-incomparable/140-how-the-avant-"&amp;"garde-author-geo-milev-tells-about-the-beginnings-of-modern-poetry.html")</f>
        <v>Академичен кръг по сравнително литературознание. Научна конференция „Българската литература: Сравнимо и несравнимо“. 24 април 2015. Публикация: http://calic.balkansbg.eu/conferens/bulgarian-literature-the-comparable-and-the-incomparable/140-how-the-avant-garde-author-geo-milev-tells-about-the-beginnings-of-modern-poetry.html</v>
      </c>
      <c r="F5678" s="10"/>
      <c r="G5678" s="10"/>
      <c r="H5678" s="10"/>
      <c r="I5678" s="10"/>
      <c r="J5678" s="10"/>
      <c r="K5678" s="10"/>
      <c r="L5678" s="10"/>
      <c r="M5678" s="10"/>
      <c r="N5678" s="10"/>
      <c r="O5678" s="10"/>
      <c r="P5678" s="10"/>
      <c r="Q5678" s="10"/>
      <c r="R5678" s="10"/>
      <c r="S5678" s="10"/>
      <c r="T5678" s="10"/>
      <c r="U5678" s="10"/>
      <c r="V5678" s="10"/>
      <c r="W5678" s="10"/>
      <c r="X5678" s="10"/>
      <c r="Y5678" s="10"/>
      <c r="Z5678" s="10"/>
    </row>
    <row r="5679" spans="1:26" ht="12.75">
      <c r="A5679" s="10" t="str">
        <f ca="1">IFERROR(__xludf.DUMMYFUNCTION("""COMPUTED_VALUE"""),"Мая Стоянова Горчева")</f>
        <v>Мая Стоянова Горчева</v>
      </c>
      <c r="B5679" s="10" t="str">
        <f ca="1">IFERROR(__xludf.DUMMYFUNCTION("""COMPUTED_VALUE"""),"Доклад от конференция")</f>
        <v>Доклад от конференция</v>
      </c>
      <c r="C5679" s="10" t="str">
        <f ca="1">IFERROR(__xludf.DUMMYFUNCTION("""COMPUTED_VALUE"""),"Жана Николова: своеобразие на критическия подход.")</f>
        <v>Жана Николова: своеобразие на критическия подход.</v>
      </c>
      <c r="D5679" s="10">
        <f ca="1">IFERROR(__xludf.DUMMYFUNCTION("""COMPUTED_VALUE"""),2015)</f>
        <v>2015</v>
      </c>
      <c r="E5679" s="10" t="str">
        <f ca="1">IFERROR(__xludf.DUMMYFUNCTION("""COMPUTED_VALUE"""),"Конференция „Ракурси към женското: „Вестник на жената“ (1921-1944). Институт за литература, 27. 11. 2014. Публикация 1: Библиотека, бр. 1, 2015, 121-132.")</f>
        <v>Конференция „Ракурси към женското: „Вестник на жената“ (1921-1944). Институт за литература, 27. 11. 2014. Публикация 1: Библиотека, бр. 1, 2015, 121-132.</v>
      </c>
      <c r="F5679" s="10"/>
      <c r="G5679" s="10"/>
      <c r="H5679" s="10"/>
      <c r="I5679" s="10"/>
      <c r="J5679" s="10"/>
      <c r="K5679" s="10"/>
      <c r="L5679" s="10"/>
      <c r="M5679" s="10"/>
      <c r="N5679" s="10"/>
      <c r="O5679" s="10"/>
      <c r="P5679" s="10"/>
      <c r="Q5679" s="10"/>
      <c r="R5679" s="10"/>
      <c r="S5679" s="10"/>
      <c r="T5679" s="10"/>
      <c r="U5679" s="10"/>
      <c r="V5679" s="10"/>
      <c r="W5679" s="10"/>
      <c r="X5679" s="10"/>
      <c r="Y5679" s="10"/>
      <c r="Z5679" s="10"/>
    </row>
    <row r="5680" spans="1:26" ht="12.75">
      <c r="A5680" s="10" t="str">
        <f ca="1">IFERROR(__xludf.DUMMYFUNCTION("""COMPUTED_VALUE"""),"Мая Стоянова Горчева")</f>
        <v>Мая Стоянова Горчева</v>
      </c>
      <c r="B5680" s="10" t="str">
        <f ca="1">IFERROR(__xludf.DUMMYFUNCTION("""COMPUTED_VALUE"""),"Статия в списания и поредици")</f>
        <v>Статия в списания и поредици</v>
      </c>
      <c r="C5680" s="10" t="str">
        <f ca="1">IFERROR(__xludf.DUMMYFUNCTION("""COMPUTED_VALUE"""),"Езиците на българската поезия в емиграция след 1944 г.")</f>
        <v>Езиците на българската поезия в емиграция след 1944 г.</v>
      </c>
      <c r="D5680" s="10">
        <f ca="1">IFERROR(__xludf.DUMMYFUNCTION("""COMPUTED_VALUE"""),2015)</f>
        <v>2015</v>
      </c>
      <c r="E5680" s="10" t="str">
        <f ca="1">IFERROR(__xludf.DUMMYFUNCTION("""COMPUTED_VALUE"""),"Литературна мисъл, кн. 2, 2015, с. 13-34.ISSN (print) 0324-0495; ISSN (online) 1314-9237")</f>
        <v>Литературна мисъл, кн. 2, 2015, с. 13-34.ISSN (print) 0324-0495; ISSN (online) 1314-9237</v>
      </c>
      <c r="F5680" s="10"/>
      <c r="G5680" s="10"/>
      <c r="H5680" s="10"/>
      <c r="I5680" s="10"/>
      <c r="J5680" s="10"/>
      <c r="K5680" s="10"/>
      <c r="L5680" s="10"/>
      <c r="M5680" s="10"/>
      <c r="N5680" s="10"/>
      <c r="O5680" s="10"/>
      <c r="P5680" s="10"/>
      <c r="Q5680" s="10"/>
      <c r="R5680" s="10"/>
      <c r="S5680" s="10"/>
      <c r="T5680" s="10"/>
      <c r="U5680" s="10"/>
      <c r="V5680" s="10"/>
      <c r="W5680" s="10"/>
      <c r="X5680" s="10"/>
      <c r="Y5680" s="10"/>
      <c r="Z5680" s="10"/>
    </row>
    <row r="5681" spans="1:26" ht="12.75">
      <c r="A5681" s="10" t="str">
        <f ca="1">IFERROR(__xludf.DUMMYFUNCTION("""COMPUTED_VALUE"""),"Мая Стоянова Горчева")</f>
        <v>Мая Стоянова Горчева</v>
      </c>
      <c r="B5681" s="10" t="str">
        <f ca="1">IFERROR(__xludf.DUMMYFUNCTION("""COMPUTED_VALUE"""),"Статия в списания и поредици")</f>
        <v>Статия в списания и поредици</v>
      </c>
      <c r="C5681" s="10" t="str">
        <f ca="1">IFERROR(__xludf.DUMMYFUNCTION("""COMPUTED_VALUE"""),"Новите български книги: Успехът на обитаването.")</f>
        <v>Новите български книги: Успехът на обитаването.</v>
      </c>
      <c r="D5681" s="10">
        <f ca="1">IFERROR(__xludf.DUMMYFUNCTION("""COMPUTED_VALUE"""),2014)</f>
        <v>2014</v>
      </c>
      <c r="E5681" s="10" t="str">
        <f ca="1">IFERROR(__xludf.DUMMYFUNCTION("""COMPUTED_VALUE"""),"София: Гея-Либрис, 2014. ISBN 978-954-300-142-2")</f>
        <v>София: Гея-Либрис, 2014. ISBN 978-954-300-142-2</v>
      </c>
      <c r="F5681" s="10"/>
      <c r="G5681" s="10"/>
      <c r="H5681" s="10"/>
      <c r="I5681" s="10"/>
      <c r="J5681" s="10"/>
      <c r="K5681" s="10"/>
      <c r="L5681" s="10"/>
      <c r="M5681" s="10"/>
      <c r="N5681" s="10"/>
      <c r="O5681" s="10"/>
      <c r="P5681" s="10"/>
      <c r="Q5681" s="10"/>
      <c r="R5681" s="10"/>
      <c r="S5681" s="10"/>
      <c r="T5681" s="10"/>
      <c r="U5681" s="10"/>
      <c r="V5681" s="10"/>
      <c r="W5681" s="10"/>
      <c r="X5681" s="10"/>
      <c r="Y5681" s="10"/>
      <c r="Z5681" s="10"/>
    </row>
    <row r="5682" spans="1:26" ht="12.75">
      <c r="A5682" s="10" t="str">
        <f ca="1">IFERROR(__xludf.DUMMYFUNCTION("""COMPUTED_VALUE"""),"Мая Стоянова Горчева")</f>
        <v>Мая Стоянова Горчева</v>
      </c>
      <c r="B5682" s="10" t="str">
        <f ca="1">IFERROR(__xludf.DUMMYFUNCTION("""COMPUTED_VALUE"""),"Доклад от конференция")</f>
        <v>Доклад от конференция</v>
      </c>
      <c r="C5682" s="10" t="str">
        <f ca="1">IFERROR(__xludf.DUMMYFUNCTION("""COMPUTED_VALUE"""),"Asymetries in Translation. Studi Slavistici XI,")</f>
        <v>Asymetries in Translation. Studi Slavistici XI,</v>
      </c>
      <c r="D5682" s="10">
        <f ca="1">IFERROR(__xludf.DUMMYFUNCTION("""COMPUTED_VALUE"""),2014)</f>
        <v>2014</v>
      </c>
      <c r="E5682" s="10" t="str">
        <f ca="1">IFERROR(__xludf.DUMMYFUNCTION("""COMPUTED_VALUE"""),"Forum Small Literatures, Big Literatures and the Global Market. Ed. Jordan Ljuzkanov. ISSN 1824-761X (print); ISSN 1824-7601 (online) &amp;lt;http://www.fupress.net/index.php/ss/article/view/15358&amp;gt; 2014")</f>
        <v>Forum Small Literatures, Big Literatures and the Global Market. Ed. Jordan Ljuzkanov. ISSN 1824-761X (print); ISSN 1824-7601 (online) &amp;lt;http://www.fupress.net/index.php/ss/article/view/15358&amp;gt; 2014</v>
      </c>
      <c r="F5682" s="10"/>
      <c r="G5682" s="10"/>
      <c r="H5682" s="10"/>
      <c r="I5682" s="10"/>
      <c r="J5682" s="10"/>
      <c r="K5682" s="10"/>
      <c r="L5682" s="10"/>
      <c r="M5682" s="10"/>
      <c r="N5682" s="10"/>
      <c r="O5682" s="10"/>
      <c r="P5682" s="10"/>
      <c r="Q5682" s="10"/>
      <c r="R5682" s="10"/>
      <c r="S5682" s="10"/>
      <c r="T5682" s="10"/>
      <c r="U5682" s="10"/>
      <c r="V5682" s="10"/>
      <c r="W5682" s="10"/>
      <c r="X5682" s="10"/>
      <c r="Y5682" s="10"/>
      <c r="Z5682" s="10"/>
    </row>
    <row r="5683" spans="1:26" ht="12.75">
      <c r="A5683" s="10" t="str">
        <f ca="1">IFERROR(__xludf.DUMMYFUNCTION("""COMPUTED_VALUE"""),"Мая Стоянова Горчева")</f>
        <v>Мая Стоянова Горчева</v>
      </c>
      <c r="B5683" s="10" t="str">
        <f ca="1">IFERROR(__xludf.DUMMYFUNCTION("""COMPUTED_VALUE"""),"Доклад от конференция")</f>
        <v>Доклад от конференция</v>
      </c>
      <c r="C5683" s="10" t="str">
        <f ca="1">IFERROR(__xludf.DUMMYFUNCTION("""COMPUTED_VALUE"""),"Прозата на Ивайло Петров и опитомяването на „страха от плебса”.")</f>
        <v>Прозата на Ивайло Петров и опитомяването на „страха от плебса”.</v>
      </c>
      <c r="D5683" s="10">
        <f ca="1">IFERROR(__xludf.DUMMYFUNCTION("""COMPUTED_VALUE"""),2014)</f>
        <v>2014</v>
      </c>
      <c r="E5683" s="10" t="str">
        <f ca="1">IFERROR(__xludf.DUMMYFUNCTION("""COMPUTED_VALUE"""),"Национален научен форум по случай 90 години от рождението на Ивайло Петров. Институт за литература, БАН, Департамент „Нова българистика”, НБУ, 22. 11. 2013. Публикация: Литературна мисъл, бр. 1, 2014, 22-32. ISSN (print) 0324-0495; ISSN (online) 1314-9237")</f>
        <v>Национален научен форум по случай 90 години от рождението на Ивайло Петров. Институт за литература, БАН, Департамент „Нова българистика”, НБУ, 22. 11. 2013. Публикация: Литературна мисъл, бр. 1, 2014, 22-32. ISSN (print) 0324-0495; ISSN (online) 1314-9237</v>
      </c>
      <c r="F5683" s="10"/>
      <c r="G5683" s="10"/>
      <c r="H5683" s="10"/>
      <c r="I5683" s="10"/>
      <c r="J5683" s="10"/>
      <c r="K5683" s="10"/>
      <c r="L5683" s="10"/>
      <c r="M5683" s="10"/>
      <c r="N5683" s="10"/>
      <c r="O5683" s="10"/>
      <c r="P5683" s="10"/>
      <c r="Q5683" s="10"/>
      <c r="R5683" s="10"/>
      <c r="S5683" s="10"/>
      <c r="T5683" s="10"/>
      <c r="U5683" s="10"/>
      <c r="V5683" s="10"/>
      <c r="W5683" s="10"/>
      <c r="X5683" s="10"/>
      <c r="Y5683" s="10"/>
      <c r="Z5683" s="10"/>
    </row>
    <row r="5684" spans="1:26" ht="12.75">
      <c r="A5684" s="10" t="str">
        <f ca="1">IFERROR(__xludf.DUMMYFUNCTION("""COMPUTED_VALUE"""),"Мая Стоянова Горчева")</f>
        <v>Мая Стоянова Горчева</v>
      </c>
      <c r="B5684" s="10" t="str">
        <f ca="1">IFERROR(__xludf.DUMMYFUNCTION("""COMPUTED_VALUE"""),"Статия в списания и поредици")</f>
        <v>Статия в списания и поредици</v>
      </c>
      <c r="C5684" s="10" t="str">
        <f ca="1">IFERROR(__xludf.DUMMYFUNCTION("""COMPUTED_VALUE"""),"Знаци на далечното: приказките на други народи в учебния час.")</f>
        <v>Знаци на далечното: приказките на други народи в учебния час.</v>
      </c>
      <c r="D5684" s="10">
        <f ca="1">IFERROR(__xludf.DUMMYFUNCTION("""COMPUTED_VALUE"""),2014)</f>
        <v>2014</v>
      </c>
      <c r="E5684" s="10" t="str">
        <f ca="1">IFERROR(__xludf.DUMMYFUNCTION("""COMPUTED_VALUE"""),"Библиотека, бр. 3-4, 2014, 132-137.ISSN 0861-847X")</f>
        <v>Библиотека, бр. 3-4, 2014, 132-137.ISSN 0861-847X</v>
      </c>
      <c r="F5684" s="10"/>
      <c r="G5684" s="10" t="str">
        <f ca="1">IFERROR(__xludf.DUMMYFUNCTION("""COMPUTED_VALUE"""),"Айлин Тасим")</f>
        <v>Айлин Тасим</v>
      </c>
      <c r="H5684" s="10"/>
      <c r="I5684" s="10"/>
      <c r="J5684" s="10"/>
      <c r="K5684" s="10"/>
      <c r="L5684" s="10"/>
      <c r="M5684" s="10"/>
      <c r="N5684" s="10"/>
      <c r="O5684" s="10"/>
      <c r="P5684" s="10"/>
      <c r="Q5684" s="10"/>
      <c r="R5684" s="10"/>
      <c r="S5684" s="10"/>
      <c r="T5684" s="10"/>
      <c r="U5684" s="10"/>
      <c r="V5684" s="10"/>
      <c r="W5684" s="10"/>
      <c r="X5684" s="10"/>
      <c r="Y5684" s="10"/>
      <c r="Z5684" s="10"/>
    </row>
    <row r="5685" spans="1:26" ht="12.75">
      <c r="A5685" s="10" t="str">
        <f ca="1">IFERROR(__xludf.DUMMYFUNCTION("""COMPUTED_VALUE"""),"Мая Стоянова Горчева")</f>
        <v>Мая Стоянова Горчева</v>
      </c>
      <c r="B5685" s="10" t="str">
        <f ca="1">IFERROR(__xludf.DUMMYFUNCTION("""COMPUTED_VALUE"""),"Статия в списания и поредици")</f>
        <v>Статия в списания и поредици</v>
      </c>
      <c r="C5685" s="10" t="str">
        <f ca="1">IFERROR(__xludf.DUMMYFUNCTION("""COMPUTED_VALUE"""),"Maja Gorčeva. Asymetries in Translation.")</f>
        <v>Maja Gorčeva. Asymetries in Translation.</v>
      </c>
      <c r="D5685" s="10">
        <f ca="1">IFERROR(__xludf.DUMMYFUNCTION("""COMPUTED_VALUE"""),2014)</f>
        <v>2014</v>
      </c>
      <c r="E5685" s="10" t="str">
        <f ca="1">IFERROR(__xludf.DUMMYFUNCTION("""COMPUTED_VALUE"""),"Studi Slaviatici XI, 2014. Forum Small Literatures, Big Literatures and the Global Market. Ed. Jordan Ljuzkanov. &lt; http://www.fupress.net/index.php/ss/article/view/15358 &gt;")</f>
        <v>Studi Slaviatici XI, 2014. Forum Small Literatures, Big Literatures and the Global Market. Ed. Jordan Ljuzkanov. &lt; http://www.fupress.net/index.php/ss/article/view/15358 &gt;</v>
      </c>
      <c r="F5685" s="10"/>
      <c r="G5685" s="10"/>
      <c r="H5685" s="10"/>
      <c r="I5685" s="10"/>
      <c r="J5685" s="10"/>
      <c r="K5685" s="10"/>
      <c r="L5685" s="10"/>
      <c r="M5685" s="10"/>
      <c r="N5685" s="10"/>
      <c r="O5685" s="10"/>
      <c r="P5685" s="10"/>
      <c r="Q5685" s="10"/>
      <c r="R5685" s="10"/>
      <c r="S5685" s="10"/>
      <c r="T5685" s="10"/>
      <c r="U5685" s="10"/>
      <c r="V5685" s="10"/>
      <c r="W5685" s="10"/>
      <c r="X5685" s="10"/>
      <c r="Y5685" s="10"/>
      <c r="Z5685" s="10"/>
    </row>
    <row r="5686" spans="1:26" ht="12.75">
      <c r="A5686" s="10" t="str">
        <f ca="1">IFERROR(__xludf.DUMMYFUNCTION("""COMPUTED_VALUE"""),"Мая Стоянова Горчева")</f>
        <v>Мая Стоянова Горчева</v>
      </c>
      <c r="B5686" s="10" t="str">
        <f ca="1">IFERROR(__xludf.DUMMYFUNCTION("""COMPUTED_VALUE"""),"Доклад от конференция")</f>
        <v>Доклад от конференция</v>
      </c>
      <c r="C5686" s="10" t="str">
        <f ca="1">IFERROR(__xludf.DUMMYFUNCTION("""COMPUTED_VALUE"""),"Homeland In Exile: the Ethical in the Writing of Bulgarian “Non- Returners” of the 1970’s")</f>
        <v>Homeland In Exile: the Ethical in the Writing of Bulgarian “Non- Returners” of the 1970’s</v>
      </c>
      <c r="D5686" s="10">
        <f ca="1">IFERROR(__xludf.DUMMYFUNCTION("""COMPUTED_VALUE"""),2013)</f>
        <v>2013</v>
      </c>
      <c r="E5686" s="10" t="str">
        <f ca="1">IFERROR(__xludf.DUMMYFUNCTION("""COMPUTED_VALUE"""),"The 7th International Symposium. Literature in Exile. Emigrants’ Fiction (20 th century experience). Shota Rustaveli Institute of Georgian Literature. Iv. Javakhishvili Tbilisi State University. Georgian Comparative Literature Association (GCLA). 25-26-27"&amp;" September, 2013. Tbilisi, Georgia.")</f>
        <v>The 7th International Symposium. Literature in Exile. Emigrants’ Fiction (20 th century experience). Shota Rustaveli Institute of Georgian Literature. Iv. Javakhishvili Tbilisi State University. Georgian Comparative Literature Association (GCLA). 25-26-27 September, 2013. Tbilisi, Georgia.</v>
      </c>
      <c r="F5686" s="10"/>
      <c r="G5686" s="10"/>
      <c r="H5686" s="10"/>
      <c r="I5686" s="10"/>
      <c r="J5686" s="10"/>
      <c r="K5686" s="10"/>
      <c r="L5686" s="10"/>
      <c r="M5686" s="10"/>
      <c r="N5686" s="10"/>
      <c r="O5686" s="10"/>
      <c r="P5686" s="10"/>
      <c r="Q5686" s="10"/>
      <c r="R5686" s="10"/>
      <c r="S5686" s="10"/>
      <c r="T5686" s="10"/>
      <c r="U5686" s="10"/>
      <c r="V5686" s="10"/>
      <c r="W5686" s="10"/>
      <c r="X5686" s="10"/>
      <c r="Y5686" s="10"/>
      <c r="Z5686" s="10"/>
    </row>
    <row r="5687" spans="1:26" ht="12.75">
      <c r="A5687" s="10" t="str">
        <f ca="1">IFERROR(__xludf.DUMMYFUNCTION("""COMPUTED_VALUE"""),"Мая Стоянова Горчева")</f>
        <v>Мая Стоянова Горчева</v>
      </c>
      <c r="B5687" s="10" t="str">
        <f ca="1">IFERROR(__xludf.DUMMYFUNCTION("""COMPUTED_VALUE"""),"Статия в списания и поредици")</f>
        <v>Статия в списания и поредици</v>
      </c>
      <c r="C5687" s="10" t="str">
        <f ca="1">IFERROR(__xludf.DUMMYFUNCTION("""COMPUTED_VALUE"""),"Деликатните настроения на Борис Априлов")</f>
        <v>Деликатните настроения на Борис Априлов</v>
      </c>
      <c r="D5687" s="10">
        <f ca="1">IFERROR(__xludf.DUMMYFUNCTION("""COMPUTED_VALUE"""),2013)</f>
        <v>2013</v>
      </c>
      <c r="E5687" s="10" t="str">
        <f ca="1">IFERROR(__xludf.DUMMYFUNCTION("""COMPUTED_VALUE"""),"София: Фабер, 2013. ISBN 978-954- 400-838-3 Електронна публикация: &amp;lt;http://borisaprilov.wordpress.com/2012/09/&amp;gt;")</f>
        <v>София: Фабер, 2013. ISBN 978-954- 400-838-3 Електронна публикация: &amp;lt;http://borisaprilov.wordpress.com/2012/09/&amp;gt;</v>
      </c>
      <c r="F5687" s="10"/>
      <c r="G5687" s="10"/>
      <c r="H5687" s="10"/>
      <c r="I5687" s="10"/>
      <c r="J5687" s="10"/>
      <c r="K5687" s="10"/>
      <c r="L5687" s="10"/>
      <c r="M5687" s="10"/>
      <c r="N5687" s="10"/>
      <c r="O5687" s="10"/>
      <c r="P5687" s="10"/>
      <c r="Q5687" s="10"/>
      <c r="R5687" s="10"/>
      <c r="S5687" s="10"/>
      <c r="T5687" s="10"/>
      <c r="U5687" s="10"/>
      <c r="V5687" s="10"/>
      <c r="W5687" s="10"/>
      <c r="X5687" s="10"/>
      <c r="Y5687" s="10"/>
      <c r="Z5687" s="10"/>
    </row>
    <row r="5688" spans="1:26" ht="12.75">
      <c r="A5688" s="10" t="str">
        <f ca="1">IFERROR(__xludf.DUMMYFUNCTION("""COMPUTED_VALUE"""),"Мая Стоянова Горчева")</f>
        <v>Мая Стоянова Горчева</v>
      </c>
      <c r="B5688" s="10" t="str">
        <f ca="1">IFERROR(__xludf.DUMMYFUNCTION("""COMPUTED_VALUE"""),"Статия в списания и поредици")</f>
        <v>Статия в списания и поредици</v>
      </c>
      <c r="C5688" s="10" t="str">
        <f ca="1">IFERROR(__xludf.DUMMYFUNCTION("""COMPUTED_VALUE"""),"По стародавни мотиви. Следите на народната песен в модерната българска литература.")</f>
        <v>По стародавни мотиви. Следите на народната песен в модерната българска литература.</v>
      </c>
      <c r="D5688" s="10">
        <f ca="1">IFERROR(__xludf.DUMMYFUNCTION("""COMPUTED_VALUE"""),2013)</f>
        <v>2013</v>
      </c>
      <c r="E5688" s="10" t="str">
        <f ca="1">IFERROR(__xludf.DUMMYFUNCTION("""COMPUTED_VALUE"""),"София: Карина М, 2013. ISBN 978-954-315-076-2")</f>
        <v>София: Карина М, 2013. ISBN 978-954-315-076-2</v>
      </c>
      <c r="F5688" s="10"/>
      <c r="G5688" s="10"/>
      <c r="H5688" s="10"/>
      <c r="I5688" s="10"/>
      <c r="J5688" s="10"/>
      <c r="K5688" s="10"/>
      <c r="L5688" s="10"/>
      <c r="M5688" s="10"/>
      <c r="N5688" s="10"/>
      <c r="O5688" s="10"/>
      <c r="P5688" s="10"/>
      <c r="Q5688" s="10"/>
      <c r="R5688" s="10"/>
      <c r="S5688" s="10"/>
      <c r="T5688" s="10"/>
      <c r="U5688" s="10"/>
      <c r="V5688" s="10"/>
      <c r="W5688" s="10"/>
      <c r="X5688" s="10"/>
      <c r="Y5688" s="10"/>
      <c r="Z5688" s="10"/>
    </row>
    <row r="5689" spans="1:26" ht="12.75">
      <c r="A5689" s="10" t="str">
        <f ca="1">IFERROR(__xludf.DUMMYFUNCTION("""COMPUTED_VALUE"""),"Мая Стоянова Горчева")</f>
        <v>Мая Стоянова Горчева</v>
      </c>
      <c r="B5689" s="10" t="str">
        <f ca="1">IFERROR(__xludf.DUMMYFUNCTION("""COMPUTED_VALUE"""),"Доклад от конференция")</f>
        <v>Доклад от конференция</v>
      </c>
      <c r="C5689" s="10" t="str">
        <f ca="1">IFERROR(__xludf.DUMMYFUNCTION("""COMPUTED_VALUE"""),"Как се прави авангард? Литературните проекти на Гео Милев от „Лира“ / „Изкуство“ до „Везни“.")</f>
        <v>Как се прави авангард? Литературните проекти на Гео Милев от „Лира“ / „Изкуство“ до „Везни“.</v>
      </c>
      <c r="D5689" s="10">
        <f ca="1">IFERROR(__xludf.DUMMYFUNCTION("""COMPUTED_VALUE"""),2008)</f>
        <v>2008</v>
      </c>
      <c r="E5689" s="10" t="str">
        <f ca="1">IFERROR(__xludf.DUMMYFUNCTION("""COMPUTED_VALUE"""),"Варна: Електронно издателство „Литернет“, 2008. ISBN 978-954-304-322-4 Електронна публикация: &amp;lt;http://liternet.bg/publish16/m_gorcheva/g_milev/index.html&amp;gt;")</f>
        <v>Варна: Електронно издателство „Литернет“, 2008. ISBN 978-954-304-322-4 Електронна публикация: &amp;lt;http://liternet.bg/publish16/m_gorcheva/g_milev/index.html&amp;gt;</v>
      </c>
      <c r="F5689" s="10"/>
      <c r="G5689" s="10"/>
      <c r="H5689" s="10"/>
      <c r="I5689" s="10"/>
      <c r="J5689" s="10"/>
      <c r="K5689" s="10"/>
      <c r="L5689" s="10"/>
      <c r="M5689" s="10"/>
      <c r="N5689" s="10"/>
      <c r="O5689" s="10"/>
      <c r="P5689" s="10"/>
      <c r="Q5689" s="10"/>
      <c r="R5689" s="10"/>
      <c r="S5689" s="10"/>
      <c r="T5689" s="10"/>
      <c r="U5689" s="10"/>
      <c r="V5689" s="10"/>
      <c r="W5689" s="10"/>
      <c r="X5689" s="10"/>
      <c r="Y5689" s="10"/>
      <c r="Z5689" s="10"/>
    </row>
    <row r="5690" spans="1:26" ht="12.75">
      <c r="A5690" s="10" t="str">
        <f ca="1">IFERROR(__xludf.DUMMYFUNCTION("""COMPUTED_VALUE"""),"Мая Стоянова Горчева")</f>
        <v>Мая Стоянова Горчева</v>
      </c>
      <c r="B5690" s="10" t="str">
        <f ca="1">IFERROR(__xludf.DUMMYFUNCTION("""COMPUTED_VALUE"""),"Статия в списания и поредици")</f>
        <v>Статия в списания и поредици</v>
      </c>
      <c r="C5690" s="10" t="str">
        <f ca="1">IFERROR(__xludf.DUMMYFUNCTION("""COMPUTED_VALUE"""),"„Иконите спят“ от Гео Милев: превъплъщенията на модерната душа.")</f>
        <v>„Иконите спят“ от Гео Милев: превъплъщенията на модерната душа.</v>
      </c>
      <c r="D5690" s="10">
        <f ca="1">IFERROR(__xludf.DUMMYFUNCTION("""COMPUTED_VALUE"""),2006)</f>
        <v>2006</v>
      </c>
      <c r="E5690" s="10" t="str">
        <f ca="1">IFERROR(__xludf.DUMMYFUNCTION("""COMPUTED_VALUE"""),"София: „Фабер“, 2006. ISBN 978-954-775-688-5")</f>
        <v>София: „Фабер“, 2006. ISBN 978-954-775-688-5</v>
      </c>
      <c r="F5690" s="10"/>
      <c r="G5690" s="10"/>
      <c r="H5690" s="10"/>
      <c r="I5690" s="10"/>
      <c r="J5690" s="10"/>
      <c r="K5690" s="10"/>
      <c r="L5690" s="10"/>
      <c r="M5690" s="10"/>
      <c r="N5690" s="10"/>
      <c r="O5690" s="10"/>
      <c r="P5690" s="10"/>
      <c r="Q5690" s="10"/>
      <c r="R5690" s="10"/>
      <c r="S5690" s="10"/>
      <c r="T5690" s="10"/>
      <c r="U5690" s="10"/>
      <c r="V5690" s="10"/>
      <c r="W5690" s="10"/>
      <c r="X5690" s="10"/>
      <c r="Y5690" s="10"/>
      <c r="Z5690" s="10"/>
    </row>
    <row r="5691" spans="1:26" ht="12.75">
      <c r="A5691" s="10" t="str">
        <f ca="1">IFERROR(__xludf.DUMMYFUNCTION("""COMPUTED_VALUE"""),"Мая Стоянова Горчева")</f>
        <v>Мая Стоянова Горчева</v>
      </c>
      <c r="B5691" s="10" t="str">
        <f ca="1">IFERROR(__xludf.DUMMYFUNCTION("""COMPUTED_VALUE"""),"Статия в списания и поредици")</f>
        <v>Статия в списания и поредици</v>
      </c>
      <c r="C5691" s="10" t="str">
        <f ca="1">IFERROR(__xludf.DUMMYFUNCTION("""COMPUTED_VALUE"""),"За българската проза от 30-те години на ХХ век")</f>
        <v>За българската проза от 30-те години на ХХ век</v>
      </c>
      <c r="D5691" s="10">
        <f ca="1">IFERROR(__xludf.DUMMYFUNCTION("""COMPUTED_VALUE"""),2005)</f>
        <v>2005</v>
      </c>
      <c r="E5691" s="10" t="str">
        <f ca="1">IFERROR(__xludf.DUMMYFUNCTION("""COMPUTED_VALUE"""),"София: „Авангард Прима“, 2005. ISBN 954-323-083-8")</f>
        <v>София: „Авангард Прима“, 2005. ISBN 954-323-083-8</v>
      </c>
      <c r="F5691" s="10"/>
      <c r="G5691" s="10"/>
      <c r="H5691" s="10"/>
      <c r="I5691" s="10"/>
      <c r="J5691" s="10"/>
      <c r="K5691" s="10"/>
      <c r="L5691" s="10"/>
      <c r="M5691" s="10"/>
      <c r="N5691" s="10"/>
      <c r="O5691" s="10"/>
      <c r="P5691" s="10"/>
      <c r="Q5691" s="10"/>
      <c r="R5691" s="10"/>
      <c r="S5691" s="10"/>
      <c r="T5691" s="10"/>
      <c r="U5691" s="10"/>
      <c r="V5691" s="10"/>
      <c r="W5691" s="10"/>
      <c r="X5691" s="10"/>
      <c r="Y5691" s="10"/>
      <c r="Z5691" s="10"/>
    </row>
    <row r="5692" spans="1:26" ht="12.75">
      <c r="A5692" s="10" t="str">
        <f ca="1">IFERROR(__xludf.DUMMYFUNCTION("""COMPUTED_VALUE"""),"Мая Стоянова Горчева")</f>
        <v>Мая Стоянова Горчева</v>
      </c>
      <c r="B5692" s="10" t="str">
        <f ca="1">IFERROR(__xludf.DUMMYFUNCTION("""COMPUTED_VALUE"""),"Доклад от конференция")</f>
        <v>Доклад от конференция</v>
      </c>
      <c r="C5692" s="10" t="str">
        <f ca="1">IFERROR(__xludf.DUMMYFUNCTION("""COMPUTED_VALUE"""),"Между текста и цитата")</f>
        <v>Между текста и цитата</v>
      </c>
      <c r="D5692" s="10">
        <f ca="1">IFERROR(__xludf.DUMMYFUNCTION("""COMPUTED_VALUE"""),2004)</f>
        <v>2004</v>
      </c>
      <c r="E5692" s="10" t="str">
        <f ca="1">IFERROR(__xludf.DUMMYFUNCTION("""COMPUTED_VALUE"""),"София: Сема РШ, 2004. Поредица Verba Magistri. 954- 8021-29-3")</f>
        <v>София: Сема РШ, 2004. Поредица Verba Magistri. 954- 8021-29-3</v>
      </c>
      <c r="F5692" s="10"/>
      <c r="G5692" s="10"/>
      <c r="H5692" s="10"/>
      <c r="I5692" s="10"/>
      <c r="J5692" s="10"/>
      <c r="K5692" s="10"/>
      <c r="L5692" s="10"/>
      <c r="M5692" s="10"/>
      <c r="N5692" s="10"/>
      <c r="O5692" s="10"/>
      <c r="P5692" s="10"/>
      <c r="Q5692" s="10"/>
      <c r="R5692" s="10"/>
      <c r="S5692" s="10"/>
      <c r="T5692" s="10"/>
      <c r="U5692" s="10"/>
      <c r="V5692" s="10"/>
      <c r="W5692" s="10"/>
      <c r="X5692" s="10"/>
      <c r="Y5692" s="10"/>
      <c r="Z5692" s="10"/>
    </row>
    <row r="5693" spans="1:26" ht="12.75">
      <c r="A5693" s="10" t="str">
        <f ca="1">IFERROR(__xludf.DUMMYFUNCTION("""COMPUTED_VALUE"""),"Мюмюн Мюмюнов Тахиров")</f>
        <v>Мюмюн Мюмюнов Тахиров</v>
      </c>
      <c r="B5693" s="10" t="str">
        <f ca="1">IFERROR(__xludf.DUMMYFUNCTION("""COMPUTED_VALUE"""),"Статия в списания и поредици")</f>
        <v>Статия в списания и поредици</v>
      </c>
      <c r="C5693" s="10" t="str">
        <f ca="1">IFERROR(__xludf.DUMMYFUNCTION("""COMPUTED_VALUE"""),"Критична теория на културата или културата като процес на хуманизация")</f>
        <v>Критична теория на културата или културата като процес на хуманизация</v>
      </c>
      <c r="D5693" s="10">
        <f ca="1">IFERROR(__xludf.DUMMYFUNCTION("""COMPUTED_VALUE"""),2020)</f>
        <v>2020</v>
      </c>
      <c r="E5693" s="10" t="str">
        <f ca="1">IFERROR(__xludf.DUMMYFUNCTION("""COMPUTED_VALUE"""),"в: Съвременни измерения на европейското образователно и научно пространство. София: За буквите – О писменехь, Том. 8, 2020. ISSN 2367-7988 (под печат)")</f>
        <v>в: Съвременни измерения на европейското образователно и научно пространство. София: За буквите – О писменехь, Том. 8, 2020. ISSN 2367-7988 (под печат)</v>
      </c>
      <c r="F5693" s="10"/>
      <c r="G5693" s="10" t="str">
        <f ca="1">IFERROR(__xludf.DUMMYFUNCTION("""COMPUTED_VALUE"""),"Христина Богова")</f>
        <v>Христина Богова</v>
      </c>
      <c r="H5693" s="10"/>
      <c r="I5693" s="10"/>
      <c r="J5693" s="10"/>
      <c r="K5693" s="10"/>
      <c r="L5693" s="10"/>
      <c r="M5693" s="10"/>
      <c r="N5693" s="10"/>
      <c r="O5693" s="10"/>
      <c r="P5693" s="10"/>
      <c r="Q5693" s="10"/>
      <c r="R5693" s="10"/>
      <c r="S5693" s="10"/>
      <c r="T5693" s="10"/>
      <c r="U5693" s="10"/>
      <c r="V5693" s="10"/>
      <c r="W5693" s="10"/>
      <c r="X5693" s="10"/>
      <c r="Y5693" s="10"/>
      <c r="Z5693" s="10"/>
    </row>
    <row r="5694" spans="1:26" ht="12.75">
      <c r="A5694" s="10" t="str">
        <f ca="1">IFERROR(__xludf.DUMMYFUNCTION("""COMPUTED_VALUE"""),"Мюмюн Мюмюнов Тахиров")</f>
        <v>Мюмюн Мюмюнов Тахиров</v>
      </c>
      <c r="B5694" s="10" t="str">
        <f ca="1">IFERROR(__xludf.DUMMYFUNCTION("""COMPUTED_VALUE"""),"Статия в списания и поредици")</f>
        <v>Статия в списания и поредици</v>
      </c>
      <c r="C5694" s="10" t="str">
        <f ca="1">IFERROR(__xludf.DUMMYFUNCTION("""COMPUTED_VALUE"""),"Какво ще спаси света: красотата или изкуственият интелект?")</f>
        <v>Какво ще спаси света: красотата или изкуственият интелект?</v>
      </c>
      <c r="D5694" s="10">
        <f ca="1">IFERROR(__xludf.DUMMYFUNCTION("""COMPUTED_VALUE"""),2019)</f>
        <v>2019</v>
      </c>
      <c r="E5694" s="10" t="str">
        <f ca="1">IFERROR(__xludf.DUMMYFUNCTION("""COMPUTED_VALUE"""),"електронно списание ""Литературен свят"", брой 115 март 2019. ISSN 13-14-2046 https://literaturensviat.com/?p=156447")</f>
        <v>електронно списание "Литературен свят", брой 115 март 2019. ISSN 13-14-2046 https://literaturensviat.com/?p=156447</v>
      </c>
      <c r="F5694" s="10"/>
      <c r="G5694" s="10"/>
      <c r="H5694" s="10"/>
      <c r="I5694" s="10"/>
      <c r="J5694" s="10"/>
      <c r="K5694" s="10"/>
      <c r="L5694" s="10"/>
      <c r="M5694" s="10"/>
      <c r="N5694" s="10"/>
      <c r="O5694" s="10"/>
      <c r="P5694" s="10"/>
      <c r="Q5694" s="10"/>
      <c r="R5694" s="10"/>
      <c r="S5694" s="10"/>
      <c r="T5694" s="10"/>
      <c r="U5694" s="10"/>
      <c r="V5694" s="10"/>
      <c r="W5694" s="10"/>
      <c r="X5694" s="10"/>
      <c r="Y5694" s="10"/>
      <c r="Z5694" s="10"/>
    </row>
    <row r="5695" spans="1:26" ht="12.75">
      <c r="A5695" s="10" t="str">
        <f ca="1">IFERROR(__xludf.DUMMYFUNCTION("""COMPUTED_VALUE"""),"Мюмюн Мюмюнов Тахиров")</f>
        <v>Мюмюн Мюмюнов Тахиров</v>
      </c>
      <c r="B5695" s="10" t="str">
        <f ca="1">IFERROR(__xludf.DUMMYFUNCTION("""COMPUTED_VALUE"""),"Доклад от конференция")</f>
        <v>Доклад от конференция</v>
      </c>
      <c r="C5695" s="10" t="str">
        <f ca="1">IFERROR(__xludf.DUMMYFUNCTION("""COMPUTED_VALUE"""),"Единство между хуманитарните и естествените науки")</f>
        <v>Единство между хуманитарните и естествените науки</v>
      </c>
      <c r="D5695" s="10">
        <f ca="1">IFERROR(__xludf.DUMMYFUNCTION("""COMPUTED_VALUE"""),2019)</f>
        <v>2019</v>
      </c>
      <c r="E5695" s="10" t="str">
        <f ca="1">IFERROR(__xludf.DUMMYFUNCTION("""COMPUTED_VALUE"""),"В: Обществото на знанието и хуманизмът на XXI век. София: За буквите – О писменехь, том 17, 2019, с. 60 – 68 ISSN 2683-0094")</f>
        <v>В: Обществото на знанието и хуманизмът на XXI век. София: За буквите – О писменехь, том 17, 2019, с. 60 – 68 ISSN 2683-0094</v>
      </c>
      <c r="F5695" s="10"/>
      <c r="G5695" s="10" t="str">
        <f ca="1">IFERROR(__xludf.DUMMYFUNCTION("""COMPUTED_VALUE"""),"Христина Богова")</f>
        <v>Христина Богова</v>
      </c>
      <c r="H5695" s="10"/>
      <c r="I5695" s="10"/>
      <c r="J5695" s="10"/>
      <c r="K5695" s="10"/>
      <c r="L5695" s="10"/>
      <c r="M5695" s="10"/>
      <c r="N5695" s="10"/>
      <c r="O5695" s="10"/>
      <c r="P5695" s="10"/>
      <c r="Q5695" s="10"/>
      <c r="R5695" s="10"/>
      <c r="S5695" s="10"/>
      <c r="T5695" s="10"/>
      <c r="U5695" s="10"/>
      <c r="V5695" s="10"/>
      <c r="W5695" s="10"/>
      <c r="X5695" s="10"/>
      <c r="Y5695" s="10"/>
      <c r="Z5695" s="10"/>
    </row>
    <row r="5696" spans="1:26" ht="12.75">
      <c r="A5696" s="10" t="str">
        <f ca="1">IFERROR(__xludf.DUMMYFUNCTION("""COMPUTED_VALUE"""),"Мюмюн Мюмюнов Тахиров")</f>
        <v>Мюмюн Мюмюнов Тахиров</v>
      </c>
      <c r="B5696" s="10" t="str">
        <f ca="1">IFERROR(__xludf.DUMMYFUNCTION("""COMPUTED_VALUE"""),"Монография")</f>
        <v>Монография</v>
      </c>
      <c r="C5696" s="10" t="str">
        <f ca="1">IFERROR(__xludf.DUMMYFUNCTION("""COMPUTED_VALUE"""),"Въведение във философията на изкуството")</f>
        <v>Въведение във философията на изкуството</v>
      </c>
      <c r="D5696" s="10">
        <f ca="1">IFERROR(__xludf.DUMMYFUNCTION("""COMPUTED_VALUE"""),2019)</f>
        <v>2019</v>
      </c>
      <c r="E5696" s="10" t="str">
        <f ca="1">IFERROR(__xludf.DUMMYFUNCTION("""COMPUTED_VALUE"""),"Изд. О писменехъ- За буквите. София, 2019 г. ISBN 978-619-185-361-8 ; ISBN 978-619-185-362-5 (e-book, pdf, CD)")</f>
        <v>Изд. О писменехъ- За буквите. София, 2019 г. ISBN 978-619-185-361-8 ; ISBN 978-619-185-362-5 (e-book, pdf, CD)</v>
      </c>
      <c r="F5696" s="10"/>
      <c r="G5696" s="10"/>
      <c r="H5696" s="10"/>
      <c r="I5696" s="10"/>
      <c r="J5696" s="10"/>
      <c r="K5696" s="10"/>
      <c r="L5696" s="10"/>
      <c r="M5696" s="10"/>
      <c r="N5696" s="10"/>
      <c r="O5696" s="10"/>
      <c r="P5696" s="10"/>
      <c r="Q5696" s="10"/>
      <c r="R5696" s="10"/>
      <c r="S5696" s="10"/>
      <c r="T5696" s="10"/>
      <c r="U5696" s="10"/>
      <c r="V5696" s="10"/>
      <c r="W5696" s="10"/>
      <c r="X5696" s="10"/>
      <c r="Y5696" s="10"/>
      <c r="Z5696" s="10"/>
    </row>
    <row r="5697" spans="1:26" ht="12.75">
      <c r="A5697" s="10" t="str">
        <f ca="1">IFERROR(__xludf.DUMMYFUNCTION("""COMPUTED_VALUE"""),"Мюмюн Мюмюнов Тахиров")</f>
        <v>Мюмюн Мюмюнов Тахиров</v>
      </c>
      <c r="B5697" s="10" t="str">
        <f ca="1">IFERROR(__xludf.DUMMYFUNCTION("""COMPUTED_VALUE"""),"Доклад от конференция")</f>
        <v>Доклад от конференция</v>
      </c>
      <c r="C5697" s="10" t="str">
        <f ca="1">IFERROR(__xludf.DUMMYFUNCTION("""COMPUTED_VALUE"""),"Общуваното като духовен лек срещу отчуждението")</f>
        <v>Общуваното като духовен лек срещу отчуждението</v>
      </c>
      <c r="D5697" s="10">
        <f ca="1">IFERROR(__xludf.DUMMYFUNCTION("""COMPUTED_VALUE"""),2019)</f>
        <v>2019</v>
      </c>
      <c r="E5697" s="10" t="str">
        <f ca="1">IFERROR(__xludf.DUMMYFUNCTION("""COMPUTED_VALUE"""),"Проблеми на общесвената комуникация. С., 2019 г. с., 25-40. ISSN 2534-9430")</f>
        <v>Проблеми на общесвената комуникация. С., 2019 г. с., 25-40. ISSN 2534-9430</v>
      </c>
      <c r="F5697" s="10"/>
      <c r="G5697" s="10"/>
      <c r="H5697" s="10"/>
      <c r="I5697" s="10"/>
      <c r="J5697" s="10"/>
      <c r="K5697" s="10"/>
      <c r="L5697" s="10"/>
      <c r="M5697" s="10"/>
      <c r="N5697" s="10"/>
      <c r="O5697" s="10"/>
      <c r="P5697" s="10"/>
      <c r="Q5697" s="10"/>
      <c r="R5697" s="10"/>
      <c r="S5697" s="10"/>
      <c r="T5697" s="10"/>
      <c r="U5697" s="10"/>
      <c r="V5697" s="10"/>
      <c r="W5697" s="10"/>
      <c r="X5697" s="10"/>
      <c r="Y5697" s="10"/>
      <c r="Z5697" s="10"/>
    </row>
    <row r="5698" spans="1:26" ht="12.75">
      <c r="A5698" s="10" t="str">
        <f ca="1">IFERROR(__xludf.DUMMYFUNCTION("""COMPUTED_VALUE"""),"Мюмюн Мюмюнов Тахиров")</f>
        <v>Мюмюн Мюмюнов Тахиров</v>
      </c>
      <c r="B5698" s="10" t="str">
        <f ca="1">IFERROR(__xludf.DUMMYFUNCTION("""COMPUTED_VALUE"""),"Доклад от конференция")</f>
        <v>Доклад от конференция</v>
      </c>
      <c r="C5698" s="10" t="str">
        <f ca="1">IFERROR(__xludf.DUMMYFUNCTION("""COMPUTED_VALUE"""),"Свободата като необходимост при стратегическо управление в университетска информационнна среда. Формиране на имидж и стратегическо управление в университетска информационна среда")</f>
        <v>Свободата като необходимост при стратегическо управление в университетска информационнна среда. Формиране на имидж и стратегическо управление в университетска информационна среда</v>
      </c>
      <c r="D5698" s="10">
        <f ca="1">IFERROR(__xludf.DUMMYFUNCTION("""COMPUTED_VALUE"""),2019)</f>
        <v>2019</v>
      </c>
      <c r="E5698" s="10" t="str">
        <f ca="1">IFERROR(__xludf.DUMMYFUNCTION("""COMPUTED_VALUE"""),"Сб. доклади от науч. конф., 19 април 2019 г., София, УниБИТ. Състав. Мирияна Павлова, Диана Стоянова, Кристина Босакова. София, 2019. с. 59 – 72.
 ISBN 978-619-185-373-1")</f>
        <v>Сб. доклади от науч. конф., 19 април 2019 г., София, УниБИТ. Състав. Мирияна Павлова, Диана Стоянова, Кристина Босакова. София, 2019. с. 59 – 72.
 ISBN 978-619-185-373-1</v>
      </c>
      <c r="F5698" s="10"/>
      <c r="G5698" s="10"/>
      <c r="H5698" s="10"/>
      <c r="I5698" s="10"/>
      <c r="J5698" s="10"/>
      <c r="K5698" s="10"/>
      <c r="L5698" s="10"/>
      <c r="M5698" s="10"/>
      <c r="N5698" s="10"/>
      <c r="O5698" s="10"/>
      <c r="P5698" s="10"/>
      <c r="Q5698" s="10"/>
      <c r="R5698" s="10"/>
      <c r="S5698" s="10"/>
      <c r="T5698" s="10"/>
      <c r="U5698" s="10"/>
      <c r="V5698" s="10"/>
      <c r="W5698" s="10"/>
      <c r="X5698" s="10"/>
      <c r="Y5698" s="10"/>
      <c r="Z5698" s="10"/>
    </row>
    <row r="5699" spans="1:26" ht="12.75">
      <c r="A5699" s="10" t="str">
        <f ca="1">IFERROR(__xludf.DUMMYFUNCTION("""COMPUTED_VALUE"""),"Мюмюн Мюмюнов Тахиров")</f>
        <v>Мюмюн Мюмюнов Тахиров</v>
      </c>
      <c r="B5699" s="10" t="str">
        <f ca="1">IFERROR(__xludf.DUMMYFUNCTION("""COMPUTED_VALUE"""),"Статия в списания и поредици")</f>
        <v>Статия в списания и поредици</v>
      </c>
      <c r="C5699" s="10" t="str">
        <f ca="1">IFERROR(__xludf.DUMMYFUNCTION("""COMPUTED_VALUE"""),"Традиционни и съвременни устойчиви политики за културна интеграция през целия живот")</f>
        <v>Традиционни и съвременни устойчиви политики за културна интеграция през целия живот</v>
      </c>
      <c r="D5699" s="10">
        <f ca="1">IFERROR(__xludf.DUMMYFUNCTION("""COMPUTED_VALUE"""),2018)</f>
        <v>2018</v>
      </c>
      <c r="E5699" s="10" t="str">
        <f ca="1">IFERROR(__xludf.DUMMYFUNCTION("""COMPUTED_VALUE"""),"Политики и практики в образованието по изкуство и култура. С., 2018, с. 90-108. ISBN 978-619-185-213-0")</f>
        <v>Политики и практики в образованието по изкуство и култура. С., 2018, с. 90-108. ISBN 978-619-185-213-0</v>
      </c>
      <c r="F5699" s="10"/>
      <c r="G5699" s="10"/>
      <c r="H5699" s="10"/>
      <c r="I5699" s="10"/>
      <c r="J5699" s="10"/>
      <c r="K5699" s="10"/>
      <c r="L5699" s="10"/>
      <c r="M5699" s="10"/>
      <c r="N5699" s="10"/>
      <c r="O5699" s="10"/>
      <c r="P5699" s="10"/>
      <c r="Q5699" s="10"/>
      <c r="R5699" s="10"/>
      <c r="S5699" s="10"/>
      <c r="T5699" s="10"/>
      <c r="U5699" s="10"/>
      <c r="V5699" s="10"/>
      <c r="W5699" s="10"/>
      <c r="X5699" s="10"/>
      <c r="Y5699" s="10"/>
      <c r="Z5699" s="10"/>
    </row>
    <row r="5700" spans="1:26" ht="12.75">
      <c r="A5700" s="10" t="str">
        <f ca="1">IFERROR(__xludf.DUMMYFUNCTION("""COMPUTED_VALUE"""),"Мюмюн Мюмюнов Тахиров")</f>
        <v>Мюмюн Мюмюнов Тахиров</v>
      </c>
      <c r="B5700" s="10" t="str">
        <f ca="1">IFERROR(__xludf.DUMMYFUNCTION("""COMPUTED_VALUE"""),"Статия в списания и поредици")</f>
        <v>Статия в списания и поредици</v>
      </c>
      <c r="C5700" s="10" t="str">
        <f ca="1">IFERROR(__xludf.DUMMYFUNCTION("""COMPUTED_VALUE"""),"Умберто Еко и Комунистическия манифест")</f>
        <v>Умберто Еко и Комунистическия манифест</v>
      </c>
      <c r="D5700" s="10">
        <f ca="1">IFERROR(__xludf.DUMMYFUNCTION("""COMPUTED_VALUE"""),2018)</f>
        <v>2018</v>
      </c>
      <c r="E5700" s="10" t="str">
        <f ca="1">IFERROR(__xludf.DUMMYFUNCTION("""COMPUTED_VALUE"""),"Политически хоризонти, бр. 4, август 2018. ISSN:2534 – 966X.")</f>
        <v>Политически хоризонти, бр. 4, август 2018. ISSN:2534 – 966X.</v>
      </c>
      <c r="F5700" s="10"/>
      <c r="G5700" s="10"/>
      <c r="H5700" s="10"/>
      <c r="I5700" s="10"/>
      <c r="J5700" s="10"/>
      <c r="K5700" s="10"/>
      <c r="L5700" s="10"/>
      <c r="M5700" s="10"/>
      <c r="N5700" s="10"/>
      <c r="O5700" s="10"/>
      <c r="P5700" s="10"/>
      <c r="Q5700" s="10"/>
      <c r="R5700" s="10"/>
      <c r="S5700" s="10"/>
      <c r="T5700" s="10"/>
      <c r="U5700" s="10"/>
      <c r="V5700" s="10"/>
      <c r="W5700" s="10"/>
      <c r="X5700" s="10"/>
      <c r="Y5700" s="10"/>
      <c r="Z5700" s="10"/>
    </row>
    <row r="5701" spans="1:26" ht="12.75">
      <c r="A5701" s="10" t="str">
        <f ca="1">IFERROR(__xludf.DUMMYFUNCTION("""COMPUTED_VALUE"""),"Мюмюн Мюмюнов Тахиров")</f>
        <v>Мюмюн Мюмюнов Тахиров</v>
      </c>
      <c r="B5701" s="10" t="str">
        <f ca="1">IFERROR(__xludf.DUMMYFUNCTION("""COMPUTED_VALUE"""),"Доклад от конференция")</f>
        <v>Доклад от конференция</v>
      </c>
      <c r="C5701" s="10" t="str">
        <f ca="1">IFERROR(__xludf.DUMMYFUNCTION("""COMPUTED_VALUE"""),"Взаимното възприемане като фундамент за евроинтеграцията на балканските страни (Мястото на България в балканската палитра)")</f>
        <v>Взаимното възприемане като фундамент за евроинтеграцията на балканските страни (Мястото на България в балканската палитра)</v>
      </c>
      <c r="D5701" s="10">
        <f ca="1">IFERROR(__xludf.DUMMYFUNCTION("""COMPUTED_VALUE"""),2018)</f>
        <v>2018</v>
      </c>
      <c r="E5701" s="10" t="str">
        <f ca="1">IFERROR(__xludf.DUMMYFUNCTION("""COMPUTED_VALUE"""),"Хармония в различията. С., 2018, с. 2102-19. ISSN2367-7899")</f>
        <v>Хармония в различията. С., 2018, с. 2102-19. ISSN2367-7899</v>
      </c>
      <c r="F5701" s="10"/>
      <c r="G5701" s="10"/>
      <c r="H5701" s="10"/>
      <c r="I5701" s="10"/>
      <c r="J5701" s="10"/>
      <c r="K5701" s="10"/>
      <c r="L5701" s="10"/>
      <c r="M5701" s="10"/>
      <c r="N5701" s="10"/>
      <c r="O5701" s="10"/>
      <c r="P5701" s="10"/>
      <c r="Q5701" s="10"/>
      <c r="R5701" s="10"/>
      <c r="S5701" s="10"/>
      <c r="T5701" s="10"/>
      <c r="U5701" s="10"/>
      <c r="V5701" s="10"/>
      <c r="W5701" s="10"/>
      <c r="X5701" s="10"/>
      <c r="Y5701" s="10"/>
      <c r="Z5701" s="10"/>
    </row>
    <row r="5702" spans="1:26" ht="12.75">
      <c r="A5702" s="10" t="str">
        <f ca="1">IFERROR(__xludf.DUMMYFUNCTION("""COMPUTED_VALUE"""),"Мюмюн Мюмюнов Тахиров")</f>
        <v>Мюмюн Мюмюнов Тахиров</v>
      </c>
      <c r="B5702" s="10" t="str">
        <f ca="1">IFERROR(__xludf.DUMMYFUNCTION("""COMPUTED_VALUE"""),"Статия в списания и поредици")</f>
        <v>Статия в списания и поредици</v>
      </c>
      <c r="C5702" s="10" t="str">
        <f ca="1">IFERROR(__xludf.DUMMYFUNCTION("""COMPUTED_VALUE"""),"Общуването като семиотичен процес и пълноценна взаимност")</f>
        <v>Общуването като семиотичен процес и пълноценна взаимност</v>
      </c>
      <c r="D5702" s="10">
        <f ca="1">IFERROR(__xludf.DUMMYFUNCTION("""COMPUTED_VALUE"""),2018)</f>
        <v>2018</v>
      </c>
      <c r="E5702" s="10" t="str">
        <f ca="1">IFERROR(__xludf.DUMMYFUNCTION("""COMPUTED_VALUE"""),"Политики и практики в образованието по изкуства и култура, УниБИТ, ISBN 978-619-185-213-0")</f>
        <v>Политики и практики в образованието по изкуства и култура, УниБИТ, ISBN 978-619-185-213-0</v>
      </c>
      <c r="F5702" s="10"/>
      <c r="G5702" s="10"/>
      <c r="H5702" s="10"/>
      <c r="I5702" s="10"/>
      <c r="J5702" s="10"/>
      <c r="K5702" s="10"/>
      <c r="L5702" s="10"/>
      <c r="M5702" s="10"/>
      <c r="N5702" s="10"/>
      <c r="O5702" s="10"/>
      <c r="P5702" s="10"/>
      <c r="Q5702" s="10"/>
      <c r="R5702" s="10"/>
      <c r="S5702" s="10"/>
      <c r="T5702" s="10"/>
      <c r="U5702" s="10"/>
      <c r="V5702" s="10"/>
      <c r="W5702" s="10"/>
      <c r="X5702" s="10"/>
      <c r="Y5702" s="10"/>
      <c r="Z5702" s="10"/>
    </row>
    <row r="5703" spans="1:26" ht="12.75">
      <c r="A5703" s="10" t="str">
        <f ca="1">IFERROR(__xludf.DUMMYFUNCTION("""COMPUTED_VALUE"""),"Мюмюн Мюмюнов Тахиров")</f>
        <v>Мюмюн Мюмюнов Тахиров</v>
      </c>
      <c r="B5703" s="10" t="str">
        <f ca="1">IFERROR(__xludf.DUMMYFUNCTION("""COMPUTED_VALUE"""),"Доклад от конференция")</f>
        <v>Доклад от конференция</v>
      </c>
      <c r="C5703" s="10" t="str">
        <f ca="1">IFERROR(__xludf.DUMMYFUNCTION("""COMPUTED_VALUE"""),"Бъдещето на Европа и Европа на бъдещето")</f>
        <v>Бъдещето на Европа и Европа на бъдещето</v>
      </c>
      <c r="D5703" s="10">
        <f ca="1">IFERROR(__xludf.DUMMYFUNCTION("""COMPUTED_VALUE"""),2018)</f>
        <v>2018</v>
      </c>
      <c r="E5703" s="10" t="str">
        <f ca="1">IFERROR(__xludf.DUMMYFUNCTION("""COMPUTED_VALUE"""),"Обществото на знанието и хуманизмът на ХХІ век. С., 2018, с. 144-158. ISSN1314-7099")</f>
        <v>Обществото на знанието и хуманизмът на ХХІ век. С., 2018, с. 144-158. ISSN1314-7099</v>
      </c>
      <c r="F5703" s="10"/>
      <c r="G5703" s="10"/>
      <c r="H5703" s="10"/>
      <c r="I5703" s="10"/>
      <c r="J5703" s="10"/>
      <c r="K5703" s="10"/>
      <c r="L5703" s="10"/>
      <c r="M5703" s="10"/>
      <c r="N5703" s="10"/>
      <c r="O5703" s="10"/>
      <c r="P5703" s="10"/>
      <c r="Q5703" s="10"/>
      <c r="R5703" s="10"/>
      <c r="S5703" s="10"/>
      <c r="T5703" s="10"/>
      <c r="U5703" s="10"/>
      <c r="V5703" s="10"/>
      <c r="W5703" s="10"/>
      <c r="X5703" s="10"/>
      <c r="Y5703" s="10"/>
      <c r="Z5703" s="10"/>
    </row>
    <row r="5704" spans="1:26" ht="12.75">
      <c r="A5704" s="10" t="str">
        <f ca="1">IFERROR(__xludf.DUMMYFUNCTION("""COMPUTED_VALUE"""),"Мюмюн Мюмюнов Тахиров")</f>
        <v>Мюмюн Мюмюнов Тахиров</v>
      </c>
      <c r="B5704" s="10" t="str">
        <f ca="1">IFERROR(__xludf.DUMMYFUNCTION("""COMPUTED_VALUE"""),"Доклад от конференция")</f>
        <v>Доклад от конференция</v>
      </c>
      <c r="C5704" s="10" t="str">
        <f ca="1">IFERROR(__xludf.DUMMYFUNCTION("""COMPUTED_VALUE"""),"Saray Kültürü ve Osmanlı’nın Başkenti Edirne’de Saray")</f>
        <v>Saray Kültürü ve Osmanlı’nın Başkenti Edirne’de Saray</v>
      </c>
      <c r="D5704" s="10">
        <f ca="1">IFERROR(__xludf.DUMMYFUNCTION("""COMPUTED_VALUE"""),2018)</f>
        <v>2018</v>
      </c>
      <c r="E5704" s="10" t="str">
        <f ca="1">IFERROR(__xludf.DUMMYFUNCTION("""COMPUTED_VALUE"""),"SARAYLAR. I. Uluslararası Osmanlı İzleri sempozyumu Bildiri Kitabı 01-02 Kasım 2018, Edirne, Türkiye. ISBN 978-975-374-227-6")</f>
        <v>SARAYLAR. I. Uluslararası Osmanlı İzleri sempozyumu Bildiri Kitabı 01-02 Kasım 2018, Edirne, Türkiye. ISBN 978-975-374-227-6</v>
      </c>
      <c r="F5704" s="10"/>
      <c r="G5704" s="10"/>
      <c r="H5704" s="10"/>
      <c r="I5704" s="10"/>
      <c r="J5704" s="10"/>
      <c r="K5704" s="10"/>
      <c r="L5704" s="10"/>
      <c r="M5704" s="10"/>
      <c r="N5704" s="10"/>
      <c r="O5704" s="10"/>
      <c r="P5704" s="10"/>
      <c r="Q5704" s="10"/>
      <c r="R5704" s="10"/>
      <c r="S5704" s="10"/>
      <c r="T5704" s="10"/>
      <c r="U5704" s="10"/>
      <c r="V5704" s="10"/>
      <c r="W5704" s="10"/>
      <c r="X5704" s="10"/>
      <c r="Y5704" s="10"/>
      <c r="Z5704" s="10"/>
    </row>
    <row r="5705" spans="1:26" ht="12.75">
      <c r="A5705" s="10" t="str">
        <f ca="1">IFERROR(__xludf.DUMMYFUNCTION("""COMPUTED_VALUE"""),"Мюмюн Мюмюнов Тахиров")</f>
        <v>Мюмюн Мюмюнов Тахиров</v>
      </c>
      <c r="B5705" s="10" t="str">
        <f ca="1">IFERROR(__xludf.DUMMYFUNCTION("""COMPUTED_VALUE"""),"Статия в списания и поредици")</f>
        <v>Статия в списания и поредици</v>
      </c>
      <c r="C5705" s="10" t="str">
        <f ca="1">IFERROR(__xludf.DUMMYFUNCTION("""COMPUTED_VALUE"""),"Разумът срещу отчуждения дух")</f>
        <v>Разумът срещу отчуждения дух</v>
      </c>
      <c r="D5705" s="10">
        <f ca="1">IFERROR(__xludf.DUMMYFUNCTION("""COMPUTED_VALUE"""),2018)</f>
        <v>2018</v>
      </c>
      <c r="E5705" s="10" t="str">
        <f ca="1">IFERROR(__xludf.DUMMYFUNCTION("""COMPUTED_VALUE"""),"// сб. Отчуждението в съвременното българско общество. С., 2018, с. 178-190, ISBN 978-619-239-151-5")</f>
        <v>// сб. Отчуждението в съвременното българско общество. С., 2018, с. 178-190, ISBN 978-619-239-151-5</v>
      </c>
      <c r="F5705" s="10"/>
      <c r="G5705" s="10"/>
      <c r="H5705" s="10"/>
      <c r="I5705" s="10"/>
      <c r="J5705" s="10"/>
      <c r="K5705" s="10"/>
      <c r="L5705" s="10"/>
      <c r="M5705" s="10"/>
      <c r="N5705" s="10"/>
      <c r="O5705" s="10"/>
      <c r="P5705" s="10"/>
      <c r="Q5705" s="10"/>
      <c r="R5705" s="10"/>
      <c r="S5705" s="10"/>
      <c r="T5705" s="10"/>
      <c r="U5705" s="10"/>
      <c r="V5705" s="10"/>
      <c r="W5705" s="10"/>
      <c r="X5705" s="10"/>
      <c r="Y5705" s="10"/>
      <c r="Z5705" s="10"/>
    </row>
    <row r="5706" spans="1:26" ht="12.75">
      <c r="A5706" s="10" t="str">
        <f ca="1">IFERROR(__xludf.DUMMYFUNCTION("""COMPUTED_VALUE"""),"Мюмюн Мюмюнов Тахиров")</f>
        <v>Мюмюн Мюмюнов Тахиров</v>
      </c>
      <c r="B5706" s="10" t="str">
        <f ca="1">IFERROR(__xludf.DUMMYFUNCTION("""COMPUTED_VALUE"""),"Монография")</f>
        <v>Монография</v>
      </c>
      <c r="C5706" s="10" t="str">
        <f ca="1">IFERROR(__xludf.DUMMYFUNCTION("""COMPUTED_VALUE"""),"От дъното на живота към висините на духа")</f>
        <v>От дъното на живота към висините на духа</v>
      </c>
      <c r="D5706" s="10">
        <f ca="1">IFERROR(__xludf.DUMMYFUNCTION("""COMPUTED_VALUE"""),2018)</f>
        <v>2018</v>
      </c>
      <c r="E5706" s="10" t="str">
        <f ca="1">IFERROR(__xludf.DUMMYFUNCTION("""COMPUTED_VALUE"""),"Изд. Академия за европейска култара „Орфеева лира“. С, 2018 г. ISBN 978-954-2931-42-3")</f>
        <v>Изд. Академия за европейска култара „Орфеева лира“. С, 2018 г. ISBN 978-954-2931-42-3</v>
      </c>
      <c r="F5706" s="10"/>
      <c r="G5706" s="10"/>
      <c r="H5706" s="10"/>
      <c r="I5706" s="10"/>
      <c r="J5706" s="10"/>
      <c r="K5706" s="10"/>
      <c r="L5706" s="10"/>
      <c r="M5706" s="10"/>
      <c r="N5706" s="10"/>
      <c r="O5706" s="10"/>
      <c r="P5706" s="10"/>
      <c r="Q5706" s="10"/>
      <c r="R5706" s="10"/>
      <c r="S5706" s="10"/>
      <c r="T5706" s="10"/>
      <c r="U5706" s="10"/>
      <c r="V5706" s="10"/>
      <c r="W5706" s="10"/>
      <c r="X5706" s="10"/>
      <c r="Y5706" s="10"/>
      <c r="Z5706" s="10"/>
    </row>
    <row r="5707" spans="1:26" ht="12.75">
      <c r="A5707" s="10" t="str">
        <f ca="1">IFERROR(__xludf.DUMMYFUNCTION("""COMPUTED_VALUE"""),"Мюмюн Мюмюнов Тахиров")</f>
        <v>Мюмюн Мюмюнов Тахиров</v>
      </c>
      <c r="B5707" s="10" t="str">
        <f ca="1">IFERROR(__xludf.DUMMYFUNCTION("""COMPUTED_VALUE"""),"Статия в списания и поредици")</f>
        <v>Статия в списания и поредици</v>
      </c>
      <c r="C5707" s="10" t="str">
        <f ca="1">IFERROR(__xludf.DUMMYFUNCTION("""COMPUTED_VALUE"""),"Комуникация, нация, културна интеграция")</f>
        <v>Комуникация, нация, културна интеграция</v>
      </c>
      <c r="D5707" s="10">
        <f ca="1">IFERROR(__xludf.DUMMYFUNCTION("""COMPUTED_VALUE"""),2018)</f>
        <v>2018</v>
      </c>
      <c r="E5707" s="10" t="str">
        <f ca="1">IFERROR(__xludf.DUMMYFUNCTION("""COMPUTED_VALUE"""),"Комуникации и политики. С., 2018. с. 59-73 ISBN 978-619-185-391-5")</f>
        <v>Комуникации и политики. С., 2018. с. 59-73 ISBN 978-619-185-391-5</v>
      </c>
      <c r="F5707" s="10"/>
      <c r="G5707" s="10"/>
      <c r="H5707" s="10"/>
      <c r="I5707" s="10"/>
      <c r="J5707" s="10"/>
      <c r="K5707" s="10"/>
      <c r="L5707" s="10"/>
      <c r="M5707" s="10"/>
      <c r="N5707" s="10"/>
      <c r="O5707" s="10"/>
      <c r="P5707" s="10"/>
      <c r="Q5707" s="10"/>
      <c r="R5707" s="10"/>
      <c r="S5707" s="10"/>
      <c r="T5707" s="10"/>
      <c r="U5707" s="10"/>
      <c r="V5707" s="10"/>
      <c r="W5707" s="10"/>
      <c r="X5707" s="10"/>
      <c r="Y5707" s="10"/>
      <c r="Z5707" s="10"/>
    </row>
    <row r="5708" spans="1:26" ht="12.75">
      <c r="A5708" s="10" t="str">
        <f ca="1">IFERROR(__xludf.DUMMYFUNCTION("""COMPUTED_VALUE"""),"Мюмюн Мюмюнов Тахиров")</f>
        <v>Мюмюн Мюмюнов Тахиров</v>
      </c>
      <c r="B5708" s="10" t="str">
        <f ca="1">IFERROR(__xludf.DUMMYFUNCTION("""COMPUTED_VALUE"""),"Статия в списания и поредици")</f>
        <v>Статия в списания и поредици</v>
      </c>
      <c r="C5708" s="10" t="str">
        <f ca="1">IFERROR(__xludf.DUMMYFUNCTION("""COMPUTED_VALUE"""),"Културна комуникация и национална консолидация")</f>
        <v>Културна комуникация и национална консолидация</v>
      </c>
      <c r="D5708" s="10">
        <f ca="1">IFERROR(__xludf.DUMMYFUNCTION("""COMPUTED_VALUE"""),2018)</f>
        <v>2018</v>
      </c>
      <c r="E5708" s="10" t="str">
        <f ca="1">IFERROR(__xludf.DUMMYFUNCTION("""COMPUTED_VALUE"""),"Сп. Стратегии за научната и образователната политика, бр. 6/2018, с. 604-614. ISSN 1314–8575")</f>
        <v>Сп. Стратегии за научната и образователната политика, бр. 6/2018, с. 604-614. ISSN 1314–8575</v>
      </c>
      <c r="F5708" s="10" t="str">
        <f ca="1">IFERROR(__xludf.DUMMYFUNCTION("""COMPUTED_VALUE"""),"Web of Science: Emerging Sources Citation Index; The Philosopher's Index; European Reference Index for the Humanities and the Social Sciences (ERIH PLUS);Central and Eastern European Online Library (CEEOL); EBSCOhost Research Databases; Google Scholar, Pr"&amp;"imo (Ex Libris), Summon (ProQuest)")</f>
        <v>Web of Science: Emerging Sources Citation Index; The Philosopher's Index; European Reference Index for the Humanities and the Social Sciences (ERIH PLUS);Central and Eastern European Online Library (CEEOL); EBSCOhost Research Databases; Google Scholar, Primo (Ex Libris), Summon (ProQuest)</v>
      </c>
      <c r="G5708" s="10"/>
      <c r="H5708" s="10"/>
      <c r="I5708" s="10"/>
      <c r="J5708" s="10"/>
      <c r="K5708" s="10"/>
      <c r="L5708" s="10"/>
      <c r="M5708" s="10"/>
      <c r="N5708" s="10"/>
      <c r="O5708" s="10"/>
      <c r="P5708" s="10"/>
      <c r="Q5708" s="10"/>
      <c r="R5708" s="10"/>
      <c r="S5708" s="10"/>
      <c r="T5708" s="10"/>
      <c r="U5708" s="10"/>
      <c r="V5708" s="10"/>
      <c r="W5708" s="10"/>
      <c r="X5708" s="10"/>
      <c r="Y5708" s="10"/>
      <c r="Z5708" s="10"/>
    </row>
    <row r="5709" spans="1:26" ht="12.75">
      <c r="A5709" s="10" t="str">
        <f ca="1">IFERROR(__xludf.DUMMYFUNCTION("""COMPUTED_VALUE"""),"Мюмюн Мюмюнов Тахиров")</f>
        <v>Мюмюн Мюмюнов Тахиров</v>
      </c>
      <c r="B5709" s="10" t="str">
        <f ca="1">IFERROR(__xludf.DUMMYFUNCTION("""COMPUTED_VALUE"""),"Статия в списания и поредици")</f>
        <v>Статия в списания и поредици</v>
      </c>
      <c r="C5709" s="10" t="str">
        <f ca="1">IFERROR(__xludf.DUMMYFUNCTION("""COMPUTED_VALUE"""),"Глобализация и/или деглобализация и алтерглобализация")</f>
        <v>Глобализация и/или деглобализация и алтерглобализация</v>
      </c>
      <c r="D5709" s="10">
        <f ca="1">IFERROR(__xludf.DUMMYFUNCTION("""COMPUTED_VALUE"""),2018)</f>
        <v>2018</v>
      </c>
      <c r="E5709" s="10" t="str">
        <f ca="1">IFERROR(__xludf.DUMMYFUNCTION("""COMPUTED_VALUE"""),"Политики и практики в образованието по изкуства и култура, УниБИТ, ISBN 978-619-185-213-0")</f>
        <v>Политики и практики в образованието по изкуства и култура, УниБИТ, ISBN 978-619-185-213-0</v>
      </c>
      <c r="F5709" s="10"/>
      <c r="G5709" s="10"/>
      <c r="H5709" s="10"/>
      <c r="I5709" s="10"/>
      <c r="J5709" s="10"/>
      <c r="K5709" s="10"/>
      <c r="L5709" s="10"/>
      <c r="M5709" s="10"/>
      <c r="N5709" s="10"/>
      <c r="O5709" s="10"/>
      <c r="P5709" s="10"/>
      <c r="Q5709" s="10"/>
      <c r="R5709" s="10"/>
      <c r="S5709" s="10"/>
      <c r="T5709" s="10"/>
      <c r="U5709" s="10"/>
      <c r="V5709" s="10"/>
      <c r="W5709" s="10"/>
      <c r="X5709" s="10"/>
      <c r="Y5709" s="10"/>
      <c r="Z5709" s="10"/>
    </row>
    <row r="5710" spans="1:26" ht="12.75">
      <c r="A5710" s="10" t="str">
        <f ca="1">IFERROR(__xludf.DUMMYFUNCTION("""COMPUTED_VALUE"""),"Мюмюн Мюмюнов Тахиров")</f>
        <v>Мюмюн Мюмюнов Тахиров</v>
      </c>
      <c r="B5710" s="10" t="str">
        <f ca="1">IFERROR(__xludf.DUMMYFUNCTION("""COMPUTED_VALUE"""),"Статия в списания и поредици")</f>
        <v>Статия в списания и поредици</v>
      </c>
      <c r="C5710" s="10" t="str">
        <f ca="1">IFERROR(__xludf.DUMMYFUNCTION("""COMPUTED_VALUE"""),"Intangible cultural heritage – accessible, maintained and safeguarded")</f>
        <v>Intangible cultural heritage – accessible, maintained and safeguarded</v>
      </c>
      <c r="D5710" s="10">
        <f ca="1">IFERROR(__xludf.DUMMYFUNCTION("""COMPUTED_VALUE"""),2017)</f>
        <v>2017</v>
      </c>
      <c r="E5710" s="10" t="str">
        <f ca="1">IFERROR(__xludf.DUMMYFUNCTION("""COMPUTED_VALUE"""),"//Sharing knowledge on the intangible cultural heritage of southeastern Europe. Valume 1. p. 14 – 25.ISSN 2534-9775")</f>
        <v>//Sharing knowledge on the intangible cultural heritage of southeastern Europe. Valume 1. p. 14 – 25.ISSN 2534-9775</v>
      </c>
      <c r="F5710" s="10"/>
      <c r="G5710" s="10"/>
      <c r="H5710" s="10"/>
      <c r="I5710" s="10"/>
      <c r="J5710" s="10"/>
      <c r="K5710" s="10"/>
      <c r="L5710" s="10"/>
      <c r="M5710" s="10"/>
      <c r="N5710" s="10"/>
      <c r="O5710" s="10"/>
      <c r="P5710" s="10"/>
      <c r="Q5710" s="10"/>
      <c r="R5710" s="10"/>
      <c r="S5710" s="10"/>
      <c r="T5710" s="10"/>
      <c r="U5710" s="10"/>
      <c r="V5710" s="10"/>
      <c r="W5710" s="10"/>
      <c r="X5710" s="10"/>
      <c r="Y5710" s="10"/>
      <c r="Z5710" s="10"/>
    </row>
    <row r="5711" spans="1:26" ht="12.75">
      <c r="A5711" s="10" t="str">
        <f ca="1">IFERROR(__xludf.DUMMYFUNCTION("""COMPUTED_VALUE"""),"Мюмюн Мюмюнов Тахиров")</f>
        <v>Мюмюн Мюмюнов Тахиров</v>
      </c>
      <c r="B5711" s="10" t="str">
        <f ca="1">IFERROR(__xludf.DUMMYFUNCTION("""COMPUTED_VALUE"""),"Монография")</f>
        <v>Монография</v>
      </c>
      <c r="C5711" s="10" t="str">
        <f ca="1">IFERROR(__xludf.DUMMYFUNCTION("""COMPUTED_VALUE"""),"Неолиберално общество и междукултурно общуване")</f>
        <v>Неолиберално общество и междукултурно общуване</v>
      </c>
      <c r="D5711" s="10">
        <f ca="1">IFERROR(__xludf.DUMMYFUNCTION("""COMPUTED_VALUE"""),2017)</f>
        <v>2017</v>
      </c>
      <c r="E5711" s="10" t="str">
        <f ca="1">IFERROR(__xludf.DUMMYFUNCTION("""COMPUTED_VALUE"""),"Изд. „За буквите-О писменехъ“, ISBN 978-619-185-280-2")</f>
        <v>Изд. „За буквите-О писменехъ“, ISBN 978-619-185-280-2</v>
      </c>
      <c r="F5711" s="10"/>
      <c r="G5711" s="10"/>
      <c r="H5711" s="10"/>
      <c r="I5711" s="10"/>
      <c r="J5711" s="10"/>
      <c r="K5711" s="10"/>
      <c r="L5711" s="10"/>
      <c r="M5711" s="10"/>
      <c r="N5711" s="10"/>
      <c r="O5711" s="10"/>
      <c r="P5711" s="10"/>
      <c r="Q5711" s="10"/>
      <c r="R5711" s="10"/>
      <c r="S5711" s="10"/>
      <c r="T5711" s="10"/>
      <c r="U5711" s="10"/>
      <c r="V5711" s="10"/>
      <c r="W5711" s="10"/>
      <c r="X5711" s="10"/>
      <c r="Y5711" s="10"/>
      <c r="Z5711" s="10"/>
    </row>
    <row r="5712" spans="1:26" ht="12.75">
      <c r="A5712" s="10" t="str">
        <f ca="1">IFERROR(__xludf.DUMMYFUNCTION("""COMPUTED_VALUE"""),"Мюмюн Мюмюнов Тахиров")</f>
        <v>Мюмюн Мюмюнов Тахиров</v>
      </c>
      <c r="B5712" s="10" t="str">
        <f ca="1">IFERROR(__xludf.DUMMYFUNCTION("""COMPUTED_VALUE"""),"Статия в списания и поредици")</f>
        <v>Статия в списания и поредици</v>
      </c>
      <c r="C5712" s="10" t="str">
        <f ca="1">IFERROR(__xludf.DUMMYFUNCTION("""COMPUTED_VALUE"""),"Some aspect cultural heritage management and promotion/.")</f>
        <v>Some aspect cultural heritage management and promotion/.</v>
      </c>
      <c r="D5712" s="10">
        <f ca="1">IFERROR(__xludf.DUMMYFUNCTION("""COMPUTED_VALUE"""),2017)</f>
        <v>2017</v>
      </c>
      <c r="E5712" s="10" t="str">
        <f ca="1">IFERROR(__xludf.DUMMYFUNCTION("""COMPUTED_VALUE"""),"Sharing knowledge on the intangible cultural heritage of southeastern Europe. Valume 2. 2017. p. 84 – 100, ISSN 2534-9775")</f>
        <v>Sharing knowledge on the intangible cultural heritage of southeastern Europe. Valume 2. 2017. p. 84 – 100, ISSN 2534-9775</v>
      </c>
      <c r="F5712" s="10"/>
      <c r="G5712" s="10"/>
      <c r="H5712" s="10"/>
      <c r="I5712" s="10"/>
      <c r="J5712" s="10"/>
      <c r="K5712" s="10"/>
      <c r="L5712" s="10"/>
      <c r="M5712" s="10"/>
      <c r="N5712" s="10"/>
      <c r="O5712" s="10"/>
      <c r="P5712" s="10"/>
      <c r="Q5712" s="10"/>
      <c r="R5712" s="10"/>
      <c r="S5712" s="10"/>
      <c r="T5712" s="10"/>
      <c r="U5712" s="10"/>
      <c r="V5712" s="10"/>
      <c r="W5712" s="10"/>
      <c r="X5712" s="10"/>
      <c r="Y5712" s="10"/>
      <c r="Z5712" s="10"/>
    </row>
    <row r="5713" spans="1:26" ht="12.75">
      <c r="A5713" s="10" t="str">
        <f ca="1">IFERROR(__xludf.DUMMYFUNCTION("""COMPUTED_VALUE"""),"Мюмюн Мюмюнов Тахиров")</f>
        <v>Мюмюн Мюмюнов Тахиров</v>
      </c>
      <c r="B5713" s="10" t="str">
        <f ca="1">IFERROR(__xludf.DUMMYFUNCTION("""COMPUTED_VALUE"""),"Статия в списания и поредици")</f>
        <v>Статия в списания и поредици</v>
      </c>
      <c r="C5713" s="10" t="str">
        <f ca="1">IFERROR(__xludf.DUMMYFUNCTION("""COMPUTED_VALUE"""),"Механизмы популяризации нематериального культурного наследия. Научный и образовательный опыт в процессе обучения на протяжении всей жизни.")</f>
        <v>Механизмы популяризации нематериального культурного наследия. Научный и образовательный опыт в процессе обучения на протяжении всей жизни.</v>
      </c>
      <c r="D5713" s="10">
        <f ca="1">IFERROR(__xludf.DUMMYFUNCTION("""COMPUTED_VALUE"""),2017)</f>
        <v>2017</v>
      </c>
      <c r="E5713" s="10" t="str">
        <f ca="1">IFERROR(__xludf.DUMMYFUNCTION("""COMPUTED_VALUE"""),"Орловский государственный институт культуры как фундаментальный центр сохранения и развития отечественной культуры. г. Орел, 2 марта 2017 г., с. 275-280.")</f>
        <v>Орловский государственный институт культуры как фундаментальный центр сохранения и развития отечественной культуры. г. Орел, 2 марта 2017 г., с. 275-280.</v>
      </c>
      <c r="F5713" s="10" t="str">
        <f ca="1">IFERROR(__xludf.DUMMYFUNCTION("""COMPUTED_VALUE"""),"Science Index")</f>
        <v>Science Index</v>
      </c>
      <c r="G5713" s="10" t="str">
        <f ca="1">IFERROR(__xludf.DUMMYFUNCTION("""COMPUTED_VALUE"""),"Иванка Янкова, Ирена Петева")</f>
        <v>Иванка Янкова, Ирена Петева</v>
      </c>
      <c r="H5713" s="10"/>
      <c r="I5713" s="10"/>
      <c r="J5713" s="10"/>
      <c r="K5713" s="10"/>
      <c r="L5713" s="10"/>
      <c r="M5713" s="10"/>
      <c r="N5713" s="10"/>
      <c r="O5713" s="10"/>
      <c r="P5713" s="10"/>
      <c r="Q5713" s="10"/>
      <c r="R5713" s="10"/>
      <c r="S5713" s="10"/>
      <c r="T5713" s="10"/>
      <c r="U5713" s="10"/>
      <c r="V5713" s="10"/>
      <c r="W5713" s="10"/>
      <c r="X5713" s="10"/>
      <c r="Y5713" s="10"/>
      <c r="Z5713" s="10"/>
    </row>
    <row r="5714" spans="1:26" ht="12.75">
      <c r="A5714" s="10" t="str">
        <f ca="1">IFERROR(__xludf.DUMMYFUNCTION("""COMPUTED_VALUE"""),"Мюмюн Мюмюнов Тахиров")</f>
        <v>Мюмюн Мюмюнов Тахиров</v>
      </c>
      <c r="B5714" s="10" t="str">
        <f ca="1">IFERROR(__xludf.DUMMYFUNCTION("""COMPUTED_VALUE"""),"Доклад от конференция")</f>
        <v>Доклад от конференция</v>
      </c>
      <c r="C5714" s="10" t="str">
        <f ca="1">IFERROR(__xludf.DUMMYFUNCTION("""COMPUTED_VALUE"""),"Механизмы популяризации нематериального культурного наследия. Научный и образовательный опыт в процессе обучения на протяжении всей жизни")</f>
        <v>Механизмы популяризации нематериального культурного наследия. Научный и образовательный опыт в процессе обучения на протяжении всей жизни</v>
      </c>
      <c r="D5714" s="10">
        <f ca="1">IFERROR(__xludf.DUMMYFUNCTION("""COMPUTED_VALUE"""),2017)</f>
        <v>2017</v>
      </c>
      <c r="E5714" s="10" t="str">
        <f ca="1">IFERROR(__xludf.DUMMYFUNCTION("""COMPUTED_VALUE"""),"Орловский государственный институт культуры как фундаментальный центр сохранения и развития отечественной культуры. г. Орел, 2 марта 2017 г., с. 275-280, УДК 378.1, ББК 74.4")</f>
        <v>Орловский государственный институт культуры как фундаментальный центр сохранения и развития отечественной культуры. г. Орел, 2 марта 2017 г., с. 275-280, УДК 378.1, ББК 74.4</v>
      </c>
      <c r="F5714" s="10"/>
      <c r="G5714" s="10" t="str">
        <f ca="1">IFERROR(__xludf.DUMMYFUNCTION("""COMPUTED_VALUE"""),"И. Петева, Ив. Янкова")</f>
        <v>И. Петева, Ив. Янкова</v>
      </c>
      <c r="H5714" s="10"/>
      <c r="I5714" s="10"/>
      <c r="J5714" s="10"/>
      <c r="K5714" s="10"/>
      <c r="L5714" s="10"/>
      <c r="M5714" s="10"/>
      <c r="N5714" s="10"/>
      <c r="O5714" s="10"/>
      <c r="P5714" s="10"/>
      <c r="Q5714" s="10"/>
      <c r="R5714" s="10"/>
      <c r="S5714" s="10"/>
      <c r="T5714" s="10"/>
      <c r="U5714" s="10"/>
      <c r="V5714" s="10"/>
      <c r="W5714" s="10"/>
      <c r="X5714" s="10"/>
      <c r="Y5714" s="10"/>
      <c r="Z5714" s="10"/>
    </row>
    <row r="5715" spans="1:26" ht="12.75">
      <c r="A5715" s="10" t="str">
        <f ca="1">IFERROR(__xludf.DUMMYFUNCTION("""COMPUTED_VALUE"""),"Мюмюн Мюмюнов Тахиров")</f>
        <v>Мюмюн Мюмюнов Тахиров</v>
      </c>
      <c r="B5715" s="10" t="str">
        <f ca="1">IFERROR(__xludf.DUMMYFUNCTION("""COMPUTED_VALUE"""),"Статия в списания и поредици")</f>
        <v>Статия в списания и поредици</v>
      </c>
      <c r="C5715" s="10" t="str">
        <f ca="1">IFERROR(__xludf.DUMMYFUNCTION("""COMPUTED_VALUE"""),"Социално психични и семиотични аспекти на общуването")</f>
        <v>Социално психични и семиотични аспекти на общуването</v>
      </c>
      <c r="D5715" s="10">
        <f ca="1">IFERROR(__xludf.DUMMYFUNCTION("""COMPUTED_VALUE"""),2017)</f>
        <v>2017</v>
      </c>
      <c r="E5715" s="10" t="str">
        <f ca="1">IFERROR(__xludf.DUMMYFUNCTION("""COMPUTED_VALUE"""),"сб. Комуникации и политики. С., 2017, с. 64-80. ISBN 978-619-185-304-5.")</f>
        <v>сб. Комуникации и политики. С., 2017, с. 64-80. ISBN 978-619-185-304-5.</v>
      </c>
      <c r="F5715" s="10"/>
      <c r="G5715" s="10"/>
      <c r="H5715" s="10"/>
      <c r="I5715" s="10"/>
      <c r="J5715" s="10"/>
      <c r="K5715" s="10"/>
      <c r="L5715" s="10"/>
      <c r="M5715" s="10"/>
      <c r="N5715" s="10"/>
      <c r="O5715" s="10"/>
      <c r="P5715" s="10"/>
      <c r="Q5715" s="10"/>
      <c r="R5715" s="10"/>
      <c r="S5715" s="10"/>
      <c r="T5715" s="10"/>
      <c r="U5715" s="10"/>
      <c r="V5715" s="10"/>
      <c r="W5715" s="10"/>
      <c r="X5715" s="10"/>
      <c r="Y5715" s="10"/>
      <c r="Z5715" s="10"/>
    </row>
    <row r="5716" spans="1:26" ht="12.75">
      <c r="A5716" s="10" t="str">
        <f ca="1">IFERROR(__xludf.DUMMYFUNCTION("""COMPUTED_VALUE"""),"Мюмюн Мюмюнов Тахиров")</f>
        <v>Мюмюн Мюмюнов Тахиров</v>
      </c>
      <c r="B5716" s="10" t="str">
        <f ca="1">IFERROR(__xludf.DUMMYFUNCTION("""COMPUTED_VALUE"""),"Статия в списания и поредици")</f>
        <v>Статия в списания и поредици</v>
      </c>
      <c r="C5716" s="10" t="str">
        <f ca="1">IFERROR(__xludf.DUMMYFUNCTION("""COMPUTED_VALUE"""),"Ренегатството като морална и политическа мобилност")</f>
        <v>Ренегатството като морална и политическа мобилност</v>
      </c>
      <c r="D5716" s="10">
        <f ca="1">IFERROR(__xludf.DUMMYFUNCTION("""COMPUTED_VALUE"""),2017)</f>
        <v>2017</v>
      </c>
      <c r="E5716" s="10" t="str">
        <f ca="1">IFERROR(__xludf.DUMMYFUNCTION("""COMPUTED_VALUE"""),"Мобилност на елитите на прехода (1989-2017), с. 111-118. ISBN 1313-8782.")</f>
        <v>Мобилност на елитите на прехода (1989-2017), с. 111-118. ISBN 1313-8782.</v>
      </c>
      <c r="F5716" s="10"/>
      <c r="G5716" s="10"/>
      <c r="H5716" s="10"/>
      <c r="I5716" s="10"/>
      <c r="J5716" s="10"/>
      <c r="K5716" s="10"/>
      <c r="L5716" s="10"/>
      <c r="M5716" s="10"/>
      <c r="N5716" s="10"/>
      <c r="O5716" s="10"/>
      <c r="P5716" s="10"/>
      <c r="Q5716" s="10"/>
      <c r="R5716" s="10"/>
      <c r="S5716" s="10"/>
      <c r="T5716" s="10"/>
      <c r="U5716" s="10"/>
      <c r="V5716" s="10"/>
      <c r="W5716" s="10"/>
      <c r="X5716" s="10"/>
      <c r="Y5716" s="10"/>
      <c r="Z5716" s="10"/>
    </row>
    <row r="5717" spans="1:26" ht="12.75">
      <c r="A5717" s="10" t="str">
        <f ca="1">IFERROR(__xludf.DUMMYFUNCTION("""COMPUTED_VALUE"""),"Мюмюн Мюмюнов Тахиров")</f>
        <v>Мюмюн Мюмюнов Тахиров</v>
      </c>
      <c r="B5717" s="10" t="str">
        <f ca="1">IFERROR(__xludf.DUMMYFUNCTION("""COMPUTED_VALUE"""),"Доклад от конференция")</f>
        <v>Доклад от конференция</v>
      </c>
      <c r="C5717" s="10" t="str">
        <f ca="1">IFERROR(__xludf.DUMMYFUNCTION("""COMPUTED_VALUE"""),"Екология на духа и невербална комуникация")</f>
        <v>Екология на духа и невербална комуникация</v>
      </c>
      <c r="D5717" s="10">
        <f ca="1">IFERROR(__xludf.DUMMYFUNCTION("""COMPUTED_VALUE"""),2017)</f>
        <v>2017</v>
      </c>
      <c r="E5717" s="10" t="str">
        <f ca="1">IFERROR(__xludf.DUMMYFUNCTION("""COMPUTED_VALUE"""),"Обществото на знанието и хуманизмът на ХХІ век. С., 2017, с. 188-193. ISSN 1314-7099")</f>
        <v>Обществото на знанието и хуманизмът на ХХІ век. С., 2017, с. 188-193. ISSN 1314-7099</v>
      </c>
      <c r="F5717" s="10"/>
      <c r="G5717" s="10" t="str">
        <f ca="1">IFERROR(__xludf.DUMMYFUNCTION("""COMPUTED_VALUE"""),"Христина Богова")</f>
        <v>Христина Богова</v>
      </c>
      <c r="H5717" s="10"/>
      <c r="I5717" s="10"/>
      <c r="J5717" s="10"/>
      <c r="K5717" s="10"/>
      <c r="L5717" s="10"/>
      <c r="M5717" s="10"/>
      <c r="N5717" s="10"/>
      <c r="O5717" s="10"/>
      <c r="P5717" s="10"/>
      <c r="Q5717" s="10"/>
      <c r="R5717" s="10"/>
      <c r="S5717" s="10"/>
      <c r="T5717" s="10"/>
      <c r="U5717" s="10"/>
      <c r="V5717" s="10"/>
      <c r="W5717" s="10"/>
      <c r="X5717" s="10"/>
      <c r="Y5717" s="10"/>
      <c r="Z5717" s="10"/>
    </row>
    <row r="5718" spans="1:26" ht="12.75">
      <c r="A5718" s="10" t="str">
        <f ca="1">IFERROR(__xludf.DUMMYFUNCTION("""COMPUTED_VALUE"""),"Мюмюн Мюмюнов Тахиров")</f>
        <v>Мюмюн Мюмюнов Тахиров</v>
      </c>
      <c r="B5718" s="10" t="str">
        <f ca="1">IFERROR(__xludf.DUMMYFUNCTION("""COMPUTED_VALUE"""),"Статия в списания и поредици")</f>
        <v>Статия в списания и поредици</v>
      </c>
      <c r="C5718" s="10" t="str">
        <f ca="1">IFERROR(__xludf.DUMMYFUNCTION("""COMPUTED_VALUE"""),"Асиметрия и междукултурно общуване")</f>
        <v>Асиметрия и междукултурно общуване</v>
      </c>
      <c r="D5718" s="10">
        <f ca="1">IFERROR(__xludf.DUMMYFUNCTION("""COMPUTED_VALUE"""),2017)</f>
        <v>2017</v>
      </c>
      <c r="E5718" s="10" t="str">
        <f ca="1">IFERROR(__xludf.DUMMYFUNCTION("""COMPUTED_VALUE"""),"сп. Сигурност, бр. 3/4, 2017, с 44 -48. ISSN 2367-6833.")</f>
        <v>сп. Сигурност, бр. 3/4, 2017, с 44 -48. ISSN 2367-6833.</v>
      </c>
      <c r="F5718" s="10"/>
      <c r="G5718" s="10"/>
      <c r="H5718" s="10"/>
      <c r="I5718" s="10"/>
      <c r="J5718" s="10"/>
      <c r="K5718" s="10"/>
      <c r="L5718" s="10"/>
      <c r="M5718" s="10"/>
      <c r="N5718" s="10"/>
      <c r="O5718" s="10"/>
      <c r="P5718" s="10"/>
      <c r="Q5718" s="10"/>
      <c r="R5718" s="10"/>
      <c r="S5718" s="10"/>
      <c r="T5718" s="10"/>
      <c r="U5718" s="10"/>
      <c r="V5718" s="10"/>
      <c r="W5718" s="10"/>
      <c r="X5718" s="10"/>
      <c r="Y5718" s="10"/>
      <c r="Z5718" s="10"/>
    </row>
    <row r="5719" spans="1:26" ht="12.75">
      <c r="A5719" s="10" t="str">
        <f ca="1">IFERROR(__xludf.DUMMYFUNCTION("""COMPUTED_VALUE"""),"Мюмюн Мюмюнов Тахиров")</f>
        <v>Мюмюн Мюмюнов Тахиров</v>
      </c>
      <c r="B5719" s="10" t="str">
        <f ca="1">IFERROR(__xludf.DUMMYFUNCTION("""COMPUTED_VALUE"""),"Статия в списания и поредици")</f>
        <v>Статия в списания и поредици</v>
      </c>
      <c r="C5719" s="10" t="str">
        <f ca="1">IFERROR(__xludf.DUMMYFUNCTION("""COMPUTED_VALUE"""),"Българските национални ценности на Европейски фон")</f>
        <v>Българските национални ценности на Европейски фон</v>
      </c>
      <c r="D5719" s="10">
        <f ca="1">IFERROR(__xludf.DUMMYFUNCTION("""COMPUTED_VALUE"""),2017)</f>
        <v>2017</v>
      </c>
      <c r="E5719" s="10" t="str">
        <f ca="1">IFERROR(__xludf.DUMMYFUNCTION("""COMPUTED_VALUE"""),"Комуникации и политики. С., 2017, с.134-153. ISBN 978-619-185-304-5.")</f>
        <v>Комуникации и политики. С., 2017, с.134-153. ISBN 978-619-185-304-5.</v>
      </c>
      <c r="F5719" s="10"/>
      <c r="G5719" s="10" t="str">
        <f ca="1">IFERROR(__xludf.DUMMYFUNCTION("""COMPUTED_VALUE"""),"М. Гарванова")</f>
        <v>М. Гарванова</v>
      </c>
      <c r="H5719" s="10"/>
      <c r="I5719" s="10"/>
      <c r="J5719" s="10"/>
      <c r="K5719" s="10"/>
      <c r="L5719" s="10"/>
      <c r="M5719" s="10"/>
      <c r="N5719" s="10"/>
      <c r="O5719" s="10"/>
      <c r="P5719" s="10"/>
      <c r="Q5719" s="10"/>
      <c r="R5719" s="10"/>
      <c r="S5719" s="10"/>
      <c r="T5719" s="10"/>
      <c r="U5719" s="10"/>
      <c r="V5719" s="10"/>
      <c r="W5719" s="10"/>
      <c r="X5719" s="10"/>
      <c r="Y5719" s="10"/>
      <c r="Z5719" s="10"/>
    </row>
    <row r="5720" spans="1:26" ht="12.75">
      <c r="A5720" s="10" t="str">
        <f ca="1">IFERROR(__xludf.DUMMYFUNCTION("""COMPUTED_VALUE"""),"Мюмюн Мюмюнов Тахиров")</f>
        <v>Мюмюн Мюмюнов Тахиров</v>
      </c>
      <c r="B5720" s="10" t="str">
        <f ca="1">IFERROR(__xludf.DUMMYFUNCTION("""COMPUTED_VALUE"""),"Статия в списания и поредици")</f>
        <v>Статия в списания и поредици</v>
      </c>
      <c r="C5720" s="10" t="str">
        <f ca="1">IFERROR(__xludf.DUMMYFUNCTION("""COMPUTED_VALUE"""),"Междукултурното общуване – философия или бифуркация")</f>
        <v>Междукултурното общуване – философия или бифуркация</v>
      </c>
      <c r="D5720" s="10">
        <f ca="1">IFERROR(__xludf.DUMMYFUNCTION("""COMPUTED_VALUE"""),2017)</f>
        <v>2017</v>
      </c>
      <c r="E5720" s="10" t="str">
        <f ca="1">IFERROR(__xludf.DUMMYFUNCTION("""COMPUTED_VALUE"""),"Проблеми на обществената комуникация. С., 2017. с. 230-244.ISSN 2534-9430")</f>
        <v>Проблеми на обществената комуникация. С., 2017. с. 230-244.ISSN 2534-9430</v>
      </c>
      <c r="F5720" s="10"/>
      <c r="G5720" s="10" t="str">
        <f ca="1">IFERROR(__xludf.DUMMYFUNCTION("""COMPUTED_VALUE"""),"Д. Андреевич")</f>
        <v>Д. Андреевич</v>
      </c>
      <c r="H5720" s="10"/>
      <c r="I5720" s="10"/>
      <c r="J5720" s="10"/>
      <c r="K5720" s="10"/>
      <c r="L5720" s="10"/>
      <c r="M5720" s="10"/>
      <c r="N5720" s="10"/>
      <c r="O5720" s="10"/>
      <c r="P5720" s="10"/>
      <c r="Q5720" s="10"/>
      <c r="R5720" s="10"/>
      <c r="S5720" s="10"/>
      <c r="T5720" s="10"/>
      <c r="U5720" s="10"/>
      <c r="V5720" s="10"/>
      <c r="W5720" s="10"/>
      <c r="X5720" s="10"/>
      <c r="Y5720" s="10"/>
      <c r="Z5720" s="10"/>
    </row>
    <row r="5721" spans="1:26" ht="12.75">
      <c r="A5721" s="10" t="str">
        <f ca="1">IFERROR(__xludf.DUMMYFUNCTION("""COMPUTED_VALUE"""),"Мюмюн Мюмюнов Тахиров")</f>
        <v>Мюмюн Мюмюнов Тахиров</v>
      </c>
      <c r="B5721" s="10" t="str">
        <f ca="1">IFERROR(__xludf.DUMMYFUNCTION("""COMPUTED_VALUE"""),"Статия в списания и поредици")</f>
        <v>Статия в списания и поредици</v>
      </c>
      <c r="C5721" s="10" t="str">
        <f ca="1">IFERROR(__xludf.DUMMYFUNCTION("""COMPUTED_VALUE"""),"Щрихи от живота на Мустафа Кемал Ататюрк в София")</f>
        <v>Щрихи от живота на Мустафа Кемал Ататюрк в София</v>
      </c>
      <c r="D5721" s="10">
        <f ca="1">IFERROR(__xludf.DUMMYFUNCTION("""COMPUTED_VALUE"""),2017)</f>
        <v>2017</v>
      </c>
      <c r="E5721" s="10" t="str">
        <f ca="1">IFERROR(__xludf.DUMMYFUNCTION("""COMPUTED_VALUE"""),"Научни трудове на УНиБИТ, т.14. С., 2016. С. 217-226. 
 ISSN 1314-2623")</f>
        <v>Научни трудове на УНиБИТ, т.14. С., 2016. С. 217-226. 
 ISSN 1314-2623</v>
      </c>
      <c r="F5721" s="10"/>
      <c r="G5721" s="10"/>
      <c r="H5721" s="10"/>
      <c r="I5721" s="10"/>
      <c r="J5721" s="10"/>
      <c r="K5721" s="10"/>
      <c r="L5721" s="10"/>
      <c r="M5721" s="10"/>
      <c r="N5721" s="10"/>
      <c r="O5721" s="10"/>
      <c r="P5721" s="10"/>
      <c r="Q5721" s="10"/>
      <c r="R5721" s="10"/>
      <c r="S5721" s="10"/>
      <c r="T5721" s="10"/>
      <c r="U5721" s="10"/>
      <c r="V5721" s="10"/>
      <c r="W5721" s="10"/>
      <c r="X5721" s="10"/>
      <c r="Y5721" s="10"/>
      <c r="Z5721" s="10"/>
    </row>
    <row r="5722" spans="1:26" ht="12.75">
      <c r="A5722" s="10" t="str">
        <f ca="1">IFERROR(__xludf.DUMMYFUNCTION("""COMPUTED_VALUE"""),"Мюмюн Мюмюнов Тахиров")</f>
        <v>Мюмюн Мюмюнов Тахиров</v>
      </c>
      <c r="B5722" s="10" t="str">
        <f ca="1">IFERROR(__xludf.DUMMYFUNCTION("""COMPUTED_VALUE"""),"Доклад от конференция")</f>
        <v>Доклад от конференция</v>
      </c>
      <c r="C5722" s="10" t="str">
        <f ca="1">IFERROR(__xludf.DUMMYFUNCTION("""COMPUTED_VALUE"""),"Поемата на поета")</f>
        <v>Поемата на поета</v>
      </c>
      <c r="D5722" s="10">
        <f ca="1">IFERROR(__xludf.DUMMYFUNCTION("""COMPUTED_VALUE"""),2017)</f>
        <v>2017</v>
      </c>
      <c r="E5722" s="10" t="str">
        <f ca="1">IFERROR(__xludf.DUMMYFUNCTION("""COMPUTED_VALUE"""),"Хармония в различията. С., 2017. ISSN2367-7899")</f>
        <v>Хармония в различията. С., 2017. ISSN2367-7899</v>
      </c>
      <c r="F5722" s="10"/>
      <c r="G5722" s="10"/>
      <c r="H5722" s="10"/>
      <c r="I5722" s="10"/>
      <c r="J5722" s="10"/>
      <c r="K5722" s="10"/>
      <c r="L5722" s="10"/>
      <c r="M5722" s="10"/>
      <c r="N5722" s="10"/>
      <c r="O5722" s="10"/>
      <c r="P5722" s="10"/>
      <c r="Q5722" s="10"/>
      <c r="R5722" s="10"/>
      <c r="S5722" s="10"/>
      <c r="T5722" s="10"/>
      <c r="U5722" s="10"/>
      <c r="V5722" s="10"/>
      <c r="W5722" s="10"/>
      <c r="X5722" s="10"/>
      <c r="Y5722" s="10"/>
      <c r="Z5722" s="10"/>
    </row>
    <row r="5723" spans="1:26" ht="12.75">
      <c r="A5723" s="10" t="str">
        <f ca="1">IFERROR(__xludf.DUMMYFUNCTION("""COMPUTED_VALUE"""),"Мюмюн Мюмюнов Тахиров")</f>
        <v>Мюмюн Мюмюнов Тахиров</v>
      </c>
      <c r="B5723" s="10" t="str">
        <f ca="1">IFERROR(__xludf.DUMMYFUNCTION("""COMPUTED_VALUE"""),"Статия в списания и поредици")</f>
        <v>Статия в списания и поредици</v>
      </c>
      <c r="C5723" s="10" t="str">
        <f ca="1">IFERROR(__xludf.DUMMYFUNCTION("""COMPUTED_VALUE"""),"Лидерството в асиметричното общество")</f>
        <v>Лидерството в асиметричното общество</v>
      </c>
      <c r="D5723" s="10">
        <f ca="1">IFERROR(__xludf.DUMMYFUNCTION("""COMPUTED_VALUE"""),2017)</f>
        <v>2017</v>
      </c>
      <c r="E5723" s="10" t="str">
        <f ca="1">IFERROR(__xludf.DUMMYFUNCTION("""COMPUTED_VALUE"""),"Лидерството през ХХІ в. - перспективи и тенденции, 30. 01. 2017 г. ., ISSN 1313-8782.")</f>
        <v>Лидерството през ХХІ в. - перспективи и тенденции, 30. 01. 2017 г. ., ISSN 1313-8782.</v>
      </c>
      <c r="F5723" s="10"/>
      <c r="G5723" s="10"/>
      <c r="H5723" s="10"/>
      <c r="I5723" s="10"/>
      <c r="J5723" s="10"/>
      <c r="K5723" s="10"/>
      <c r="L5723" s="10"/>
      <c r="M5723" s="10"/>
      <c r="N5723" s="10"/>
      <c r="O5723" s="10"/>
      <c r="P5723" s="10"/>
      <c r="Q5723" s="10"/>
      <c r="R5723" s="10"/>
      <c r="S5723" s="10"/>
      <c r="T5723" s="10"/>
      <c r="U5723" s="10"/>
      <c r="V5723" s="10"/>
      <c r="W5723" s="10"/>
      <c r="X5723" s="10"/>
      <c r="Y5723" s="10"/>
      <c r="Z5723" s="10"/>
    </row>
    <row r="5724" spans="1:26" ht="12.75">
      <c r="A5724" s="10" t="str">
        <f ca="1">IFERROR(__xludf.DUMMYFUNCTION("""COMPUTED_VALUE"""),"Мюмюн Мюмюнов Тахиров")</f>
        <v>Мюмюн Мюмюнов Тахиров</v>
      </c>
      <c r="B5724" s="10" t="str">
        <f ca="1">IFERROR(__xludf.DUMMYFUNCTION("""COMPUTED_VALUE"""),"Статия в списания и поредици")</f>
        <v>Статия в списания и поредици</v>
      </c>
      <c r="C5724" s="10" t="str">
        <f ca="1">IFERROR(__xludf.DUMMYFUNCTION("""COMPUTED_VALUE"""),"Лидерството – обучение по духовност и сигурност")</f>
        <v>Лидерството – обучение по духовност и сигурност</v>
      </c>
      <c r="D5724" s="10">
        <f ca="1">IFERROR(__xludf.DUMMYFUNCTION("""COMPUTED_VALUE"""),2016)</f>
        <v>2016</v>
      </c>
      <c r="E5724" s="10" t="str">
        <f ca="1">IFERROR(__xludf.DUMMYFUNCTION("""COMPUTED_VALUE"""),"Качества на личността и лидерски практики. С., 2016. с. 77 – 87. с. 77 – 87. ISSN 1313-8782.")</f>
        <v>Качества на личността и лидерски практики. С., 2016. с. 77 – 87. с. 77 – 87. ISSN 1313-8782.</v>
      </c>
      <c r="F5724" s="10"/>
      <c r="G5724" s="10"/>
      <c r="H5724" s="10"/>
      <c r="I5724" s="10"/>
      <c r="J5724" s="10"/>
      <c r="K5724" s="10"/>
      <c r="L5724" s="10"/>
      <c r="M5724" s="10"/>
      <c r="N5724" s="10"/>
      <c r="O5724" s="10"/>
      <c r="P5724" s="10"/>
      <c r="Q5724" s="10"/>
      <c r="R5724" s="10"/>
      <c r="S5724" s="10"/>
      <c r="T5724" s="10"/>
      <c r="U5724" s="10"/>
      <c r="V5724" s="10"/>
      <c r="W5724" s="10"/>
      <c r="X5724" s="10"/>
      <c r="Y5724" s="10"/>
      <c r="Z5724" s="10"/>
    </row>
    <row r="5725" spans="1:26" ht="12.75">
      <c r="A5725" s="10" t="str">
        <f ca="1">IFERROR(__xludf.DUMMYFUNCTION("""COMPUTED_VALUE"""),"Мюмюн Мюмюнов Тахиров")</f>
        <v>Мюмюн Мюмюнов Тахиров</v>
      </c>
      <c r="B5725" s="10" t="str">
        <f ca="1">IFERROR(__xludf.DUMMYFUNCTION("""COMPUTED_VALUE"""),"Доклад от конференция")</f>
        <v>Доклад от конференция</v>
      </c>
      <c r="C5725" s="10" t="str">
        <f ca="1">IFERROR(__xludf.DUMMYFUNCTION("""COMPUTED_VALUE"""),"Бъдещето на Европа и Европа на бъдещето")</f>
        <v>Бъдещето на Европа и Европа на бъдещето</v>
      </c>
      <c r="D5725" s="10">
        <f ca="1">IFERROR(__xludf.DUMMYFUNCTION("""COMPUTED_VALUE"""),2016)</f>
        <v>2016</v>
      </c>
      <c r="E5725" s="10" t="str">
        <f ca="1">IFERROR(__xludf.DUMMYFUNCTION("""COMPUTED_VALUE"""),"Обществото на знанието и хуманизмът на ХХІ век. С., 2016. с. 144-158. ISSN 1314-7099.")</f>
        <v>Обществото на знанието и хуманизмът на ХХІ век. С., 2016. с. 144-158. ISSN 1314-7099.</v>
      </c>
      <c r="F5725" s="10"/>
      <c r="G5725" s="10"/>
      <c r="H5725" s="10"/>
      <c r="I5725" s="10"/>
      <c r="J5725" s="10"/>
      <c r="K5725" s="10"/>
      <c r="L5725" s="10"/>
      <c r="M5725" s="10"/>
      <c r="N5725" s="10"/>
      <c r="O5725" s="10"/>
      <c r="P5725" s="10"/>
      <c r="Q5725" s="10"/>
      <c r="R5725" s="10"/>
      <c r="S5725" s="10"/>
      <c r="T5725" s="10"/>
      <c r="U5725" s="10"/>
      <c r="V5725" s="10"/>
      <c r="W5725" s="10"/>
      <c r="X5725" s="10"/>
      <c r="Y5725" s="10"/>
      <c r="Z5725" s="10"/>
    </row>
    <row r="5726" spans="1:26" ht="12.75">
      <c r="A5726" s="10" t="str">
        <f ca="1">IFERROR(__xludf.DUMMYFUNCTION("""COMPUTED_VALUE"""),"Мюмюн Мюмюнов Тахиров")</f>
        <v>Мюмюн Мюмюнов Тахиров</v>
      </c>
      <c r="B5726" s="10" t="str">
        <f ca="1">IFERROR(__xludf.DUMMYFUNCTION("""COMPUTED_VALUE"""),"Доклад от конференция")</f>
        <v>Доклад от конференция</v>
      </c>
      <c r="C5726" s="10" t="str">
        <f ca="1">IFERROR(__xludf.DUMMYFUNCTION("""COMPUTED_VALUE"""),"Някои аспекти на взаимодействието между религия и наука")</f>
        <v>Някои аспекти на взаимодействието между религия и наука</v>
      </c>
      <c r="D5726" s="10">
        <f ca="1">IFERROR(__xludf.DUMMYFUNCTION("""COMPUTED_VALUE"""),2016)</f>
        <v>2016</v>
      </c>
      <c r="E5726" s="10" t="str">
        <f ca="1">IFERROR(__xludf.DUMMYFUNCTION("""COMPUTED_VALUE"""),"Хармония в различията. С., 2016. с. 72- 80. ISSN 2367-7899")</f>
        <v>Хармония в различията. С., 2016. с. 72- 80. ISSN 2367-7899</v>
      </c>
      <c r="F5726" s="10"/>
      <c r="G5726" s="10"/>
      <c r="H5726" s="10"/>
      <c r="I5726" s="10"/>
      <c r="J5726" s="10"/>
      <c r="K5726" s="10"/>
      <c r="L5726" s="10"/>
      <c r="M5726" s="10"/>
      <c r="N5726" s="10"/>
      <c r="O5726" s="10"/>
      <c r="P5726" s="10"/>
      <c r="Q5726" s="10"/>
      <c r="R5726" s="10"/>
      <c r="S5726" s="10"/>
      <c r="T5726" s="10"/>
      <c r="U5726" s="10"/>
      <c r="V5726" s="10"/>
      <c r="W5726" s="10"/>
      <c r="X5726" s="10"/>
      <c r="Y5726" s="10"/>
      <c r="Z5726" s="10"/>
    </row>
    <row r="5727" spans="1:26" ht="12.75">
      <c r="A5727" s="10" t="str">
        <f ca="1">IFERROR(__xludf.DUMMYFUNCTION("""COMPUTED_VALUE"""),"Мюмюн Мюмюнов Тахиров")</f>
        <v>Мюмюн Мюмюнов Тахиров</v>
      </c>
      <c r="B5727" s="10" t="str">
        <f ca="1">IFERROR(__xludf.DUMMYFUNCTION("""COMPUTED_VALUE"""),"Статия в списания и поредици")</f>
        <v>Статия в списания и поредици</v>
      </c>
      <c r="C5727" s="10" t="str">
        <f ca="1">IFERROR(__xludf.DUMMYFUNCTION("""COMPUTED_VALUE"""),"Аспекти на единството и противоречията между свободата и сигурността")</f>
        <v>Аспекти на единството и противоречията между свободата и сигурността</v>
      </c>
      <c r="D5727" s="10">
        <f ca="1">IFERROR(__xludf.DUMMYFUNCTION("""COMPUTED_VALUE"""),2016)</f>
        <v>2016</v>
      </c>
      <c r="E5727" s="10" t="str">
        <f ca="1">IFERROR(__xludf.DUMMYFUNCTION("""COMPUTED_VALUE"""),"Научни трудове на УниБИТ, 2016. ISSN 1314-2623")</f>
        <v>Научни трудове на УниБИТ, 2016. ISSN 1314-2623</v>
      </c>
      <c r="F5727" s="10"/>
      <c r="G5727" s="10"/>
      <c r="H5727" s="10"/>
      <c r="I5727" s="10"/>
      <c r="J5727" s="10"/>
      <c r="K5727" s="10"/>
      <c r="L5727" s="10"/>
      <c r="M5727" s="10"/>
      <c r="N5727" s="10"/>
      <c r="O5727" s="10"/>
      <c r="P5727" s="10"/>
      <c r="Q5727" s="10"/>
      <c r="R5727" s="10"/>
      <c r="S5727" s="10"/>
      <c r="T5727" s="10"/>
      <c r="U5727" s="10"/>
      <c r="V5727" s="10"/>
      <c r="W5727" s="10"/>
      <c r="X5727" s="10"/>
      <c r="Y5727" s="10"/>
      <c r="Z5727" s="10"/>
    </row>
    <row r="5728" spans="1:26" ht="12.75">
      <c r="A5728" s="10" t="str">
        <f ca="1">IFERROR(__xludf.DUMMYFUNCTION("""COMPUTED_VALUE"""),"Мюмюн Мюмюнов Тахиров")</f>
        <v>Мюмюн Мюмюнов Тахиров</v>
      </c>
      <c r="B5728" s="10" t="str">
        <f ca="1">IFERROR(__xludf.DUMMYFUNCTION("""COMPUTED_VALUE"""),"Статия в списания и поредици")</f>
        <v>Статия в списания и поредици</v>
      </c>
      <c r="C5728" s="10" t="str">
        <f ca="1">IFERROR(__xludf.DUMMYFUNCTION("""COMPUTED_VALUE"""),"Силата на аргументацията")</f>
        <v>Силата на аргументацията</v>
      </c>
      <c r="D5728" s="10">
        <f ca="1">IFERROR(__xludf.DUMMYFUNCTION("""COMPUTED_VALUE"""),2016)</f>
        <v>2016</v>
      </c>
      <c r="E5728" s="10" t="str">
        <f ca="1">IFERROR(__xludf.DUMMYFUNCTION("""COMPUTED_VALUE"""),"Глобализация, икономическа и социокултурна интеграция. С., 2016. 3–6.")</f>
        <v>Глобализация, икономическа и социокултурна интеграция. С., 2016. 3–6.</v>
      </c>
      <c r="F5728" s="10"/>
      <c r="G5728" s="10" t="str">
        <f ca="1">IFERROR(__xludf.DUMMYFUNCTION("""COMPUTED_VALUE"""),"Динич, Горан")</f>
        <v>Динич, Горан</v>
      </c>
      <c r="H5728" s="10"/>
      <c r="I5728" s="10"/>
      <c r="J5728" s="10"/>
      <c r="K5728" s="10"/>
      <c r="L5728" s="10"/>
      <c r="M5728" s="10"/>
      <c r="N5728" s="10"/>
      <c r="O5728" s="10"/>
      <c r="P5728" s="10"/>
      <c r="Q5728" s="10"/>
      <c r="R5728" s="10"/>
      <c r="S5728" s="10"/>
      <c r="T5728" s="10"/>
      <c r="U5728" s="10"/>
      <c r="V5728" s="10"/>
      <c r="W5728" s="10"/>
      <c r="X5728" s="10"/>
      <c r="Y5728" s="10"/>
      <c r="Z5728" s="10"/>
    </row>
    <row r="5729" spans="1:26" ht="12.75">
      <c r="A5729" s="10" t="str">
        <f ca="1">IFERROR(__xludf.DUMMYFUNCTION("""COMPUTED_VALUE"""),"Мюмюн Мюмюнов Тахиров")</f>
        <v>Мюмюн Мюмюнов Тахиров</v>
      </c>
      <c r="B5729" s="10" t="str">
        <f ca="1">IFERROR(__xludf.DUMMYFUNCTION("""COMPUTED_VALUE"""),"Статия в списания и поредици")</f>
        <v>Статия в списания и поредици</v>
      </c>
      <c r="C5729" s="10" t="str">
        <f ca="1">IFERROR(__xludf.DUMMYFUNCTION("""COMPUTED_VALUE"""),"Няколко предварителни бележки или методика на обучението по устна и писмена комуникации")</f>
        <v>Няколко предварителни бележки или методика на обучението по устна и писмена комуникации</v>
      </c>
      <c r="D5729" s="10">
        <f ca="1">IFERROR(__xludf.DUMMYFUNCTION("""COMPUTED_VALUE"""),2016)</f>
        <v>2016</v>
      </c>
      <c r="E5729" s="10" t="str">
        <f ca="1">IFERROR(__xludf.DUMMYFUNCTION("""COMPUTED_VALUE"""),"Управление на бизнес комуникацията . С., 2016. с. 4-15. ISBN 978-954-2931-24-9")</f>
        <v>Управление на бизнес комуникацията . С., 2016. с. 4-15. ISBN 978-954-2931-24-9</v>
      </c>
      <c r="F5729" s="10"/>
      <c r="G5729" s="10" t="str">
        <f ca="1">IFERROR(__xludf.DUMMYFUNCTION("""COMPUTED_VALUE"""),"Бойков, В., Я. Тоцева")</f>
        <v>Бойков, В., Я. Тоцева</v>
      </c>
      <c r="H5729" s="10"/>
      <c r="I5729" s="10"/>
      <c r="J5729" s="10"/>
      <c r="K5729" s="10"/>
      <c r="L5729" s="10"/>
      <c r="M5729" s="10"/>
      <c r="N5729" s="10"/>
      <c r="O5729" s="10"/>
      <c r="P5729" s="10"/>
      <c r="Q5729" s="10"/>
      <c r="R5729" s="10"/>
      <c r="S5729" s="10"/>
      <c r="T5729" s="10"/>
      <c r="U5729" s="10"/>
      <c r="V5729" s="10"/>
      <c r="W5729" s="10"/>
      <c r="X5729" s="10"/>
      <c r="Y5729" s="10"/>
      <c r="Z5729" s="10"/>
    </row>
    <row r="5730" spans="1:26" ht="12.75">
      <c r="A5730" s="10" t="str">
        <f ca="1">IFERROR(__xludf.DUMMYFUNCTION("""COMPUTED_VALUE"""),"Мюмюн Мюмюнов Тахиров")</f>
        <v>Мюмюн Мюмюнов Тахиров</v>
      </c>
      <c r="B5730" s="10" t="str">
        <f ca="1">IFERROR(__xludf.DUMMYFUNCTION("""COMPUTED_VALUE"""),"Статия в списания и поредици")</f>
        <v>Статия в списания и поредици</v>
      </c>
      <c r="C5730" s="10" t="str">
        <f ca="1">IFERROR(__xludf.DUMMYFUNCTION("""COMPUTED_VALUE"""),"Конвергенцията и интеграцията – повеля на времето")</f>
        <v>Конвергенцията и интеграцията – повеля на времето</v>
      </c>
      <c r="D5730" s="10">
        <f ca="1">IFERROR(__xludf.DUMMYFUNCTION("""COMPUTED_VALUE"""),2016)</f>
        <v>2016</v>
      </c>
      <c r="E5730" s="10" t="str">
        <f ca="1">IFERROR(__xludf.DUMMYFUNCTION("""COMPUTED_VALUE"""),"сп. Либерален преглед, 08.11.2016 г. /http://www.librev.com/index.php/discussion-europe-publisher/3104-konvergentziyata-i-integratziyata-povelya-na-vremeto.")</f>
        <v>сп. Либерален преглед, 08.11.2016 г. /http://www.librev.com/index.php/discussion-europe-publisher/3104-konvergentziyata-i-integratziyata-povelya-na-vremeto.</v>
      </c>
      <c r="F5730" s="10"/>
      <c r="G5730" s="10"/>
      <c r="H5730" s="10"/>
      <c r="I5730" s="10"/>
      <c r="J5730" s="10"/>
      <c r="K5730" s="10"/>
      <c r="L5730" s="10"/>
      <c r="M5730" s="10"/>
      <c r="N5730" s="10"/>
      <c r="O5730" s="10"/>
      <c r="P5730" s="10"/>
      <c r="Q5730" s="10"/>
      <c r="R5730" s="10"/>
      <c r="S5730" s="10"/>
      <c r="T5730" s="10"/>
      <c r="U5730" s="10"/>
      <c r="V5730" s="10"/>
      <c r="W5730" s="10"/>
      <c r="X5730" s="10"/>
      <c r="Y5730" s="10"/>
      <c r="Z5730" s="10"/>
    </row>
    <row r="5731" spans="1:26" ht="12.75">
      <c r="A5731" s="10" t="str">
        <f ca="1">IFERROR(__xludf.DUMMYFUNCTION("""COMPUTED_VALUE"""),"Мюмюн Мюмюнов Тахиров")</f>
        <v>Мюмюн Мюмюнов Тахиров</v>
      </c>
      <c r="B5731" s="10" t="str">
        <f ca="1">IFERROR(__xludf.DUMMYFUNCTION("""COMPUTED_VALUE"""),"Статия в списания и поредици")</f>
        <v>Статия в списания и поредици</v>
      </c>
      <c r="C5731" s="10" t="str">
        <f ca="1">IFERROR(__xludf.DUMMYFUNCTION("""COMPUTED_VALUE"""),"Мултикултурализъм – конвергенция и/или дивергенция")</f>
        <v>Мултикултурализъм – конвергенция и/или дивергенция</v>
      </c>
      <c r="D5731" s="10">
        <f ca="1">IFERROR(__xludf.DUMMYFUNCTION("""COMPUTED_VALUE"""),2016)</f>
        <v>2016</v>
      </c>
      <c r="E5731" s="10" t="str">
        <f ca="1">IFERROR(__xludf.DUMMYFUNCTION("""COMPUTED_VALUE"""),"Либерален преглед, 09.04.2016./ http://www.librev.com/index.php/discussion-culture-publisher/2960-2016-04-09-13-19-30")</f>
        <v>Либерален преглед, 09.04.2016./ http://www.librev.com/index.php/discussion-culture-publisher/2960-2016-04-09-13-19-30</v>
      </c>
      <c r="F5731" s="10"/>
      <c r="G5731" s="10"/>
      <c r="H5731" s="10"/>
      <c r="I5731" s="10"/>
      <c r="J5731" s="10"/>
      <c r="K5731" s="10"/>
      <c r="L5731" s="10"/>
      <c r="M5731" s="10"/>
      <c r="N5731" s="10"/>
      <c r="O5731" s="10"/>
      <c r="P5731" s="10"/>
      <c r="Q5731" s="10"/>
      <c r="R5731" s="10"/>
      <c r="S5731" s="10"/>
      <c r="T5731" s="10"/>
      <c r="U5731" s="10"/>
      <c r="V5731" s="10"/>
      <c r="W5731" s="10"/>
      <c r="X5731" s="10"/>
      <c r="Y5731" s="10"/>
      <c r="Z5731" s="10"/>
    </row>
    <row r="5732" spans="1:26" ht="12.75">
      <c r="A5732" s="10" t="str">
        <f ca="1">IFERROR(__xludf.DUMMYFUNCTION("""COMPUTED_VALUE"""),"Мюмюн Мюмюнов Тахиров")</f>
        <v>Мюмюн Мюмюнов Тахиров</v>
      </c>
      <c r="B5732" s="10" t="str">
        <f ca="1">IFERROR(__xludf.DUMMYFUNCTION("""COMPUTED_VALUE"""),"Статия в списания и поредици")</f>
        <v>Статия в списания и поредици</v>
      </c>
      <c r="C5732" s="10" t="str">
        <f ca="1">IFERROR(__xludf.DUMMYFUNCTION("""COMPUTED_VALUE"""),"Творчеството като опредметен образ на духа")</f>
        <v>Творчеството като опредметен образ на духа</v>
      </c>
      <c r="D5732" s="10">
        <f ca="1">IFERROR(__xludf.DUMMYFUNCTION("""COMPUTED_VALUE"""),2016)</f>
        <v>2016</v>
      </c>
      <c r="E5732" s="10" t="str">
        <f ca="1">IFERROR(__xludf.DUMMYFUNCTION("""COMPUTED_VALUE"""),"Gloria Bibliospherae (Нишката на Ариадна). С., 2016, с. 926-935. ISBN 978-619-185-211-6, online ISBN 978-619-185-212-3")</f>
        <v>Gloria Bibliospherae (Нишката на Ариадна). С., 2016, с. 926-935. ISBN 978-619-185-211-6, online ISBN 978-619-185-212-3</v>
      </c>
      <c r="F5732" s="10"/>
      <c r="G5732" s="10"/>
      <c r="H5732" s="10"/>
      <c r="I5732" s="10"/>
      <c r="J5732" s="10"/>
      <c r="K5732" s="10"/>
      <c r="L5732" s="10"/>
      <c r="M5732" s="10"/>
      <c r="N5732" s="10"/>
      <c r="O5732" s="10"/>
      <c r="P5732" s="10"/>
      <c r="Q5732" s="10"/>
      <c r="R5732" s="10"/>
      <c r="S5732" s="10"/>
      <c r="T5732" s="10"/>
      <c r="U5732" s="10"/>
      <c r="V5732" s="10"/>
      <c r="W5732" s="10"/>
      <c r="X5732" s="10"/>
      <c r="Y5732" s="10"/>
      <c r="Z5732" s="10"/>
    </row>
    <row r="5733" spans="1:26" ht="12.75">
      <c r="A5733" s="10" t="str">
        <f ca="1">IFERROR(__xludf.DUMMYFUNCTION("""COMPUTED_VALUE"""),"Мюмюн Мюмюнов Тахиров")</f>
        <v>Мюмюн Мюмюнов Тахиров</v>
      </c>
      <c r="B5733" s="10" t="str">
        <f ca="1">IFERROR(__xludf.DUMMYFUNCTION("""COMPUTED_VALUE"""),"Доклад от конференция")</f>
        <v>Доклад от конференция</v>
      </c>
      <c r="C5733" s="10" t="str">
        <f ca="1">IFERROR(__xludf.DUMMYFUNCTION("""COMPUTED_VALUE"""),"Българо-турски културни общувания: Мустафа Кемал Ататюрк и България")</f>
        <v>Българо-турски културни общувания: Мустафа Кемал Ататюрк и България</v>
      </c>
      <c r="D5733" s="10">
        <f ca="1">IFERROR(__xludf.DUMMYFUNCTION("""COMPUTED_VALUE"""),2016)</f>
        <v>2016</v>
      </c>
      <c r="E5733" s="10" t="str">
        <f ca="1">IFERROR(__xludf.DUMMYFUNCTION("""COMPUTED_VALUE"""),"Научни комуникации в Югоизточна Европа. Българо-турски културни общувания. С., 2016")</f>
        <v>Научни комуникации в Югоизточна Европа. Българо-турски културни общувания. С., 2016</v>
      </c>
      <c r="F5733" s="10"/>
      <c r="G5733" s="10"/>
      <c r="H5733" s="10"/>
      <c r="I5733" s="10"/>
      <c r="J5733" s="10"/>
      <c r="K5733" s="10"/>
      <c r="L5733" s="10"/>
      <c r="M5733" s="10"/>
      <c r="N5733" s="10"/>
      <c r="O5733" s="10"/>
      <c r="P5733" s="10"/>
      <c r="Q5733" s="10"/>
      <c r="R5733" s="10"/>
      <c r="S5733" s="10"/>
      <c r="T5733" s="10"/>
      <c r="U5733" s="10"/>
      <c r="V5733" s="10"/>
      <c r="W5733" s="10"/>
      <c r="X5733" s="10"/>
      <c r="Y5733" s="10"/>
      <c r="Z5733" s="10"/>
    </row>
    <row r="5734" spans="1:26" ht="12.75">
      <c r="A5734" s="10" t="str">
        <f ca="1">IFERROR(__xludf.DUMMYFUNCTION("""COMPUTED_VALUE"""),"Мюмюн Мюмюнов Тахиров")</f>
        <v>Мюмюн Мюмюнов Тахиров</v>
      </c>
      <c r="B5734" s="10" t="str">
        <f ca="1">IFERROR(__xludf.DUMMYFUNCTION("""COMPUTED_VALUE"""),"Статия в списания и поредици")</f>
        <v>Статия в списания и поредици</v>
      </c>
      <c r="C5734" s="10" t="str">
        <f ca="1">IFERROR(__xludf.DUMMYFUNCTION("""COMPUTED_VALUE"""),"Двете измерения на свободата (Ценност или фактор за живота")</f>
        <v>Двете измерения на свободата (Ценност или фактор за живота</v>
      </c>
      <c r="D5734" s="10">
        <f ca="1">IFERROR(__xludf.DUMMYFUNCTION("""COMPUTED_VALUE"""),2016)</f>
        <v>2016</v>
      </c>
      <c r="E5734" s="10" t="str">
        <f ca="1">IFERROR(__xludf.DUMMYFUNCTION("""COMPUTED_VALUE"""),"сп. Сигурност, 8 февруари 2016 г. ISSN- 2367-6833")</f>
        <v>сп. Сигурност, 8 февруари 2016 г. ISSN- 2367-6833</v>
      </c>
      <c r="F5734" s="10"/>
      <c r="G5734" s="10"/>
      <c r="H5734" s="10"/>
      <c r="I5734" s="10"/>
      <c r="J5734" s="10"/>
      <c r="K5734" s="10"/>
      <c r="L5734" s="10"/>
      <c r="M5734" s="10"/>
      <c r="N5734" s="10"/>
      <c r="O5734" s="10"/>
      <c r="P5734" s="10"/>
      <c r="Q5734" s="10"/>
      <c r="R5734" s="10"/>
      <c r="S5734" s="10"/>
      <c r="T5734" s="10"/>
      <c r="U5734" s="10"/>
      <c r="V5734" s="10"/>
      <c r="W5734" s="10"/>
      <c r="X5734" s="10"/>
      <c r="Y5734" s="10"/>
      <c r="Z5734" s="10"/>
    </row>
    <row r="5735" spans="1:26" ht="12.75">
      <c r="A5735" s="10" t="str">
        <f ca="1">IFERROR(__xludf.DUMMYFUNCTION("""COMPUTED_VALUE"""),"Мюмюн Мюмюнов Тахиров")</f>
        <v>Мюмюн Мюмюнов Тахиров</v>
      </c>
      <c r="B5735" s="10" t="str">
        <f ca="1">IFERROR(__xludf.DUMMYFUNCTION("""COMPUTED_VALUE"""),"Статия в списания и поредици")</f>
        <v>Статия в списания и поредици</v>
      </c>
      <c r="C5735" s="10" t="str">
        <f ca="1">IFERROR(__xludf.DUMMYFUNCTION("""COMPUTED_VALUE"""),"Опит за информационно-ситуационен анализ на делтаобществото")</f>
        <v>Опит за информационно-ситуационен анализ на делтаобществото</v>
      </c>
      <c r="D5735" s="10">
        <f ca="1">IFERROR(__xludf.DUMMYFUNCTION("""COMPUTED_VALUE"""),2016)</f>
        <v>2016</v>
      </c>
      <c r="E5735" s="10" t="str">
        <f ca="1">IFERROR(__xludf.DUMMYFUNCTION("""COMPUTED_VALUE"""),"Глобалните проблеми и съдбата на България през 21 век. С., 2016. с. 173-185. ISBN 978-619-90757-0-8")</f>
        <v>Глобалните проблеми и съдбата на България през 21 век. С., 2016. с. 173-185. ISBN 978-619-90757-0-8</v>
      </c>
      <c r="F5735" s="10"/>
      <c r="G5735" s="10"/>
      <c r="H5735" s="10"/>
      <c r="I5735" s="10"/>
      <c r="J5735" s="10"/>
      <c r="K5735" s="10"/>
      <c r="L5735" s="10"/>
      <c r="M5735" s="10"/>
      <c r="N5735" s="10"/>
      <c r="O5735" s="10"/>
      <c r="P5735" s="10"/>
      <c r="Q5735" s="10"/>
      <c r="R5735" s="10"/>
      <c r="S5735" s="10"/>
      <c r="T5735" s="10"/>
      <c r="U5735" s="10"/>
      <c r="V5735" s="10"/>
      <c r="W5735" s="10"/>
      <c r="X5735" s="10"/>
      <c r="Y5735" s="10"/>
      <c r="Z5735" s="10"/>
    </row>
    <row r="5736" spans="1:26" ht="12.75">
      <c r="A5736" s="10" t="str">
        <f ca="1">IFERROR(__xludf.DUMMYFUNCTION("""COMPUTED_VALUE"""),"Мюмюн Мюмюнов Тахиров")</f>
        <v>Мюмюн Мюмюнов Тахиров</v>
      </c>
      <c r="B5736" s="10"/>
      <c r="C5736" s="10" t="str">
        <f ca="1">IFERROR(__xludf.DUMMYFUNCTION("""COMPUTED_VALUE"""),"Challenges for Education of Arts and Culture in Terms of Multilingualizm and the Diversy of Cultural Expressions")</f>
        <v>Challenges for Education of Arts and Culture in Terms of Multilingualizm and the Diversy of Cultural Expressions</v>
      </c>
      <c r="D5736" s="10">
        <f ca="1">IFERROR(__xludf.DUMMYFUNCTION("""COMPUTED_VALUE"""),2016)</f>
        <v>2016</v>
      </c>
      <c r="E5736" s="10" t="str">
        <f ca="1">IFERROR(__xludf.DUMMYFUNCTION("""COMPUTED_VALUE"""),"Conferans Proceedings the Education. Edited by Pixel. 30 yune-1yule 2016, Florenz, Italia. p. 16-20")</f>
        <v>Conferans Proceedings the Education. Edited by Pixel. 30 yune-1yule 2016, Florenz, Italia. p. 16-20</v>
      </c>
      <c r="F5736" s="10"/>
      <c r="G5736" s="10" t="str">
        <f ca="1">IFERROR(__xludf.DUMMYFUNCTION("""COMPUTED_VALUE"""),"Е. Велев")</f>
        <v>Е. Велев</v>
      </c>
      <c r="H5736" s="10"/>
      <c r="I5736" s="10"/>
      <c r="J5736" s="10"/>
      <c r="K5736" s="10"/>
      <c r="L5736" s="10"/>
      <c r="M5736" s="10"/>
      <c r="N5736" s="10"/>
      <c r="O5736" s="10"/>
      <c r="P5736" s="10"/>
      <c r="Q5736" s="10"/>
      <c r="R5736" s="10"/>
      <c r="S5736" s="10"/>
      <c r="T5736" s="10"/>
      <c r="U5736" s="10"/>
      <c r="V5736" s="10"/>
      <c r="W5736" s="10"/>
      <c r="X5736" s="10"/>
      <c r="Y5736" s="10"/>
      <c r="Z5736" s="10"/>
    </row>
    <row r="5737" spans="1:26" ht="12.75">
      <c r="A5737" s="10" t="str">
        <f ca="1">IFERROR(__xludf.DUMMYFUNCTION("""COMPUTED_VALUE"""),"Мюмюн Мюмюнов Тахиров")</f>
        <v>Мюмюн Мюмюнов Тахиров</v>
      </c>
      <c r="B5737" s="10" t="str">
        <f ca="1">IFERROR(__xludf.DUMMYFUNCTION("""COMPUTED_VALUE"""),"Статия в списания и поредици")</f>
        <v>Статия в списания и поредици</v>
      </c>
      <c r="C5737" s="10" t="str">
        <f ca="1">IFERROR(__xludf.DUMMYFUNCTION("""COMPUTED_VALUE"""),"За единството и конфликтите между хуманитарните и естествените науки")</f>
        <v>За единството и конфликтите между хуманитарните и естествените науки</v>
      </c>
      <c r="D5737" s="10">
        <f ca="1">IFERROR(__xludf.DUMMYFUNCTION("""COMPUTED_VALUE"""),2016)</f>
        <v>2016</v>
      </c>
      <c r="E5737" s="10" t="str">
        <f ca="1">IFERROR(__xludf.DUMMYFUNCTION("""COMPUTED_VALUE"""),"Научни трудове на УниБИТ, 2016. с. 169-181. ISBN-1314-2623")</f>
        <v>Научни трудове на УниБИТ, 2016. с. 169-181. ISBN-1314-2623</v>
      </c>
      <c r="F5737" s="10"/>
      <c r="G5737" s="10" t="str">
        <f ca="1">IFERROR(__xludf.DUMMYFUNCTION("""COMPUTED_VALUE"""),"Ж. Тютюнков")</f>
        <v>Ж. Тютюнков</v>
      </c>
      <c r="H5737" s="10"/>
      <c r="I5737" s="10"/>
      <c r="J5737" s="10"/>
      <c r="K5737" s="10"/>
      <c r="L5737" s="10"/>
      <c r="M5737" s="10"/>
      <c r="N5737" s="10"/>
      <c r="O5737" s="10"/>
      <c r="P5737" s="10"/>
      <c r="Q5737" s="10"/>
      <c r="R5737" s="10"/>
      <c r="S5737" s="10"/>
      <c r="T5737" s="10"/>
      <c r="U5737" s="10"/>
      <c r="V5737" s="10"/>
      <c r="W5737" s="10"/>
      <c r="X5737" s="10"/>
      <c r="Y5737" s="10"/>
      <c r="Z5737" s="10"/>
    </row>
    <row r="5738" spans="1:26" ht="12.75">
      <c r="A5738" s="10" t="str">
        <f ca="1">IFERROR(__xludf.DUMMYFUNCTION("""COMPUTED_VALUE"""),"Мюмюн Мюмюнов Тахиров")</f>
        <v>Мюмюн Мюмюнов Тахиров</v>
      </c>
      <c r="B5738" s="10" t="str">
        <f ca="1">IFERROR(__xludf.DUMMYFUNCTION("""COMPUTED_VALUE"""),"Доклад от конференция")</f>
        <v>Доклад от конференция</v>
      </c>
      <c r="C5738" s="10" t="str">
        <f ca="1">IFERROR(__xludf.DUMMYFUNCTION("""COMPUTED_VALUE"""),"Междукултурна комуникация и интеграция чрез изкуство")</f>
        <v>Междукултурна комуникация и интеграция чрез изкуство</v>
      </c>
      <c r="D5738" s="10">
        <f ca="1">IFERROR(__xludf.DUMMYFUNCTION("""COMPUTED_VALUE"""),2016)</f>
        <v>2016</v>
      </c>
      <c r="E5738" s="10" t="str">
        <f ca="1">IFERROR(__xludf.DUMMYFUNCTION("""COMPUTED_VALUE"""),"Проблеми пред обществената комуникация. С. , 2015. с. 66-80 ISSN 2534-9430")</f>
        <v>Проблеми пред обществената комуникация. С. , 2015. с. 66-80 ISSN 2534-9430</v>
      </c>
      <c r="F5738" s="10"/>
      <c r="G5738" s="10"/>
      <c r="H5738" s="10"/>
      <c r="I5738" s="10"/>
      <c r="J5738" s="10"/>
      <c r="K5738" s="10"/>
      <c r="L5738" s="10"/>
      <c r="M5738" s="10"/>
      <c r="N5738" s="10"/>
      <c r="O5738" s="10"/>
      <c r="P5738" s="10"/>
      <c r="Q5738" s="10"/>
      <c r="R5738" s="10"/>
      <c r="S5738" s="10"/>
      <c r="T5738" s="10"/>
      <c r="U5738" s="10"/>
      <c r="V5738" s="10"/>
      <c r="W5738" s="10"/>
      <c r="X5738" s="10"/>
      <c r="Y5738" s="10"/>
      <c r="Z5738" s="10"/>
    </row>
    <row r="5739" spans="1:26" ht="12.75">
      <c r="A5739" s="10" t="str">
        <f ca="1">IFERROR(__xludf.DUMMYFUNCTION("""COMPUTED_VALUE"""),"Мюмюн Мюмюнов Тахиров")</f>
        <v>Мюмюн Мюмюнов Тахиров</v>
      </c>
      <c r="B5739" s="10" t="str">
        <f ca="1">IFERROR(__xludf.DUMMYFUNCTION("""COMPUTED_VALUE"""),"Статия в списания и поредици")</f>
        <v>Статия в списания и поредици</v>
      </c>
      <c r="C5739" s="10" t="str">
        <f ca="1">IFERROR(__xludf.DUMMYFUNCTION("""COMPUTED_VALUE"""),"Комуникация, идентичность, признанаие")</f>
        <v>Комуникация, идентичность, признанаие</v>
      </c>
      <c r="D5739" s="10">
        <f ca="1">IFERROR(__xludf.DUMMYFUNCTION("""COMPUTED_VALUE"""),2016)</f>
        <v>2016</v>
      </c>
      <c r="E5739" s="10" t="str">
        <f ca="1">IFERROR(__xludf.DUMMYFUNCTION("""COMPUTED_VALUE"""),"сп. Коммуникация - № 3, т.4. Москва, 4 юли 2016. С. 139-149.")</f>
        <v>сп. Коммуникация - № 3, т.4. Москва, 4 юли 2016. С. 139-149.</v>
      </c>
      <c r="F5739" s="10" t="str">
        <f ca="1">IFERROR(__xludf.DUMMYFUNCTION("""COMPUTED_VALUE"""),"Science Index")</f>
        <v>Science Index</v>
      </c>
      <c r="G5739" s="10"/>
      <c r="H5739" s="10"/>
      <c r="I5739" s="10"/>
      <c r="J5739" s="10"/>
      <c r="K5739" s="10"/>
      <c r="L5739" s="10"/>
      <c r="M5739" s="10"/>
      <c r="N5739" s="10"/>
      <c r="O5739" s="10"/>
      <c r="P5739" s="10"/>
      <c r="Q5739" s="10"/>
      <c r="R5739" s="10"/>
      <c r="S5739" s="10"/>
      <c r="T5739" s="10"/>
      <c r="U5739" s="10"/>
      <c r="V5739" s="10"/>
      <c r="W5739" s="10"/>
      <c r="X5739" s="10"/>
      <c r="Y5739" s="10"/>
      <c r="Z5739" s="10"/>
    </row>
    <row r="5740" spans="1:26" ht="12.75">
      <c r="A5740" s="10" t="str">
        <f ca="1">IFERROR(__xludf.DUMMYFUNCTION("""COMPUTED_VALUE"""),"Мюмюн Мюмюнов Тахиров")</f>
        <v>Мюмюн Мюмюнов Тахиров</v>
      </c>
      <c r="B5740" s="10" t="str">
        <f ca="1">IFERROR(__xludf.DUMMYFUNCTION("""COMPUTED_VALUE"""),"Доклад от конференция")</f>
        <v>Доклад от конференция</v>
      </c>
      <c r="C5740" s="10" t="str">
        <f ca="1">IFERROR(__xludf.DUMMYFUNCTION("""COMPUTED_VALUE"""),"Междукултурни общувания в делта общество")</f>
        <v>Междукултурни общувания в делта общество</v>
      </c>
      <c r="D5740" s="10">
        <f ca="1">IFERROR(__xludf.DUMMYFUNCTION("""COMPUTED_VALUE"""),2016)</f>
        <v>2016</v>
      </c>
      <c r="E5740" s="10" t="str">
        <f ca="1">IFERROR(__xludf.DUMMYFUNCTION("""COMPUTED_VALUE"""),"Кръгла маса „Научни комуникации в Югоизточна Европа. Българо-турски общувания")</f>
        <v>Кръгла маса „Научни комуникации в Югоизточна Европа. Българо-турски общувания</v>
      </c>
      <c r="F5740" s="10"/>
      <c r="G5740" s="10"/>
      <c r="H5740" s="10"/>
      <c r="I5740" s="10"/>
      <c r="J5740" s="10"/>
      <c r="K5740" s="10"/>
      <c r="L5740" s="10"/>
      <c r="M5740" s="10"/>
      <c r="N5740" s="10"/>
      <c r="O5740" s="10"/>
      <c r="P5740" s="10"/>
      <c r="Q5740" s="10"/>
      <c r="R5740" s="10"/>
      <c r="S5740" s="10"/>
      <c r="T5740" s="10"/>
      <c r="U5740" s="10"/>
      <c r="V5740" s="10"/>
      <c r="W5740" s="10"/>
      <c r="X5740" s="10"/>
      <c r="Y5740" s="10"/>
      <c r="Z5740" s="10"/>
    </row>
    <row r="5741" spans="1:26" ht="12.75">
      <c r="A5741" s="10" t="str">
        <f ca="1">IFERROR(__xludf.DUMMYFUNCTION("""COMPUTED_VALUE"""),"Мюмюн Мюмюнов Тахиров")</f>
        <v>Мюмюн Мюмюнов Тахиров</v>
      </c>
      <c r="B5741" s="10" t="str">
        <f ca="1">IFERROR(__xludf.DUMMYFUNCTION("""COMPUTED_VALUE"""),"Учебник")</f>
        <v>Учебник</v>
      </c>
      <c r="C5741" s="10" t="str">
        <f ca="1">IFERROR(__xludf.DUMMYFUNCTION("""COMPUTED_VALUE"""),"Етнодемография и култура на сигурността")</f>
        <v>Етнодемография и култура на сигурността</v>
      </c>
      <c r="D5741" s="10">
        <f ca="1">IFERROR(__xludf.DUMMYFUNCTION("""COMPUTED_VALUE"""),2016)</f>
        <v>2016</v>
      </c>
      <c r="E5741" s="10" t="str">
        <f ca="1">IFERROR(__xludf.DUMMYFUNCTION("""COMPUTED_VALUE"""),"Изд. „За буквите-О писменехъ“, ISBN 978-619-185-230-7")</f>
        <v>Изд. „За буквите-О писменехъ“, ISBN 978-619-185-230-7</v>
      </c>
      <c r="F5741" s="10"/>
      <c r="G5741" s="10"/>
      <c r="H5741" s="10"/>
      <c r="I5741" s="10"/>
      <c r="J5741" s="10"/>
      <c r="K5741" s="10"/>
      <c r="L5741" s="10"/>
      <c r="M5741" s="10"/>
      <c r="N5741" s="10"/>
      <c r="O5741" s="10"/>
      <c r="P5741" s="10"/>
      <c r="Q5741" s="10"/>
      <c r="R5741" s="10"/>
      <c r="S5741" s="10"/>
      <c r="T5741" s="10"/>
      <c r="U5741" s="10"/>
      <c r="V5741" s="10"/>
      <c r="W5741" s="10"/>
      <c r="X5741" s="10"/>
      <c r="Y5741" s="10"/>
      <c r="Z5741" s="10"/>
    </row>
    <row r="5742" spans="1:26" ht="12.75">
      <c r="A5742" s="10" t="str">
        <f ca="1">IFERROR(__xludf.DUMMYFUNCTION("""COMPUTED_VALUE"""),"Мюмюн Мюмюнов Тахиров")</f>
        <v>Мюмюн Мюмюнов Тахиров</v>
      </c>
      <c r="B5742" s="10" t="str">
        <f ca="1">IFERROR(__xludf.DUMMYFUNCTION("""COMPUTED_VALUE"""),"Статия в списания и поредици")</f>
        <v>Статия в списания и поредици</v>
      </c>
      <c r="C5742" s="10" t="str">
        <f ca="1">IFERROR(__xludf.DUMMYFUNCTION("""COMPUTED_VALUE"""),"Challenges for Education of Arts and Culture in Terms of Multilingualism and the Diversity of Cultural Expressions.")</f>
        <v>Challenges for Education of Arts and Culture in Terms of Multilingualism and the Diversity of Cultural Expressions.</v>
      </c>
      <c r="D5742" s="10">
        <f ca="1">IFERROR(__xludf.DUMMYFUNCTION("""COMPUTED_VALUE"""),2016)</f>
        <v>2016</v>
      </c>
      <c r="E5742" s="10" t="str">
        <f ca="1">IFERROR(__xludf.DUMMYFUNCTION("""COMPUTED_VALUE"""),"Conference Proceedings the Education. Edited by Pixel. 30 yune-1yule 2016, Florenz, Italia. p. 16 - 20.")</f>
        <v>Conference Proceedings the Education. Edited by Pixel. 30 yune-1yule 2016, Florenz, Italia. p. 16 - 20.</v>
      </c>
      <c r="F5742" s="10" t="str">
        <f ca="1">IFERROR(__xludf.DUMMYFUNCTION("""COMPUTED_VALUE"""),"Scopus")</f>
        <v>Scopus</v>
      </c>
      <c r="G5742" s="10" t="str">
        <f ca="1">IFERROR(__xludf.DUMMYFUNCTION("""COMPUTED_VALUE"""),"St. Denchev, E. Velev")</f>
        <v>St. Denchev, E. Velev</v>
      </c>
      <c r="H5742" s="10"/>
      <c r="I5742" s="10"/>
      <c r="J5742" s="10"/>
      <c r="K5742" s="10"/>
      <c r="L5742" s="10"/>
      <c r="M5742" s="10"/>
      <c r="N5742" s="10"/>
      <c r="O5742" s="10"/>
      <c r="P5742" s="10"/>
      <c r="Q5742" s="10"/>
      <c r="R5742" s="10"/>
      <c r="S5742" s="10"/>
      <c r="T5742" s="10"/>
      <c r="U5742" s="10"/>
      <c r="V5742" s="10"/>
      <c r="W5742" s="10"/>
      <c r="X5742" s="10"/>
      <c r="Y5742" s="10"/>
      <c r="Z5742" s="10"/>
    </row>
    <row r="5743" spans="1:26" ht="12.75">
      <c r="A5743" s="10" t="str">
        <f ca="1">IFERROR(__xludf.DUMMYFUNCTION("""COMPUTED_VALUE"""),"Мюмюн Мюмюнов Тахиров")</f>
        <v>Мюмюн Мюмюнов Тахиров</v>
      </c>
      <c r="B5743" s="10" t="str">
        <f ca="1">IFERROR(__xludf.DUMMYFUNCTION("""COMPUTED_VALUE"""),"Статия в списания и поредици")</f>
        <v>Статия в списания и поредици</v>
      </c>
      <c r="C5743" s="10" t="str">
        <f ca="1">IFERROR(__xludf.DUMMYFUNCTION("""COMPUTED_VALUE"""),"Криза на идентичността в асиметричното общество")</f>
        <v>Криза на идентичността в асиметричното общество</v>
      </c>
      <c r="D5743" s="10">
        <f ca="1">IFERROR(__xludf.DUMMYFUNCTION("""COMPUTED_VALUE"""),2015)</f>
        <v>2015</v>
      </c>
      <c r="E5743" s="10" t="str">
        <f ca="1">IFERROR(__xludf.DUMMYFUNCTION("""COMPUTED_VALUE"""),"Нови информационнни технологии в образователния процес. С., 2015 г. с. 158-169. ISSN 1313-2768.")</f>
        <v>Нови информационнни технологии в образователния процес. С., 2015 г. с. 158-169. ISSN 1313-2768.</v>
      </c>
      <c r="F5743" s="10"/>
      <c r="G5743" s="10"/>
      <c r="H5743" s="10"/>
      <c r="I5743" s="10"/>
      <c r="J5743" s="10"/>
      <c r="K5743" s="10"/>
      <c r="L5743" s="10"/>
      <c r="M5743" s="10"/>
      <c r="N5743" s="10"/>
      <c r="O5743" s="10"/>
      <c r="P5743" s="10"/>
      <c r="Q5743" s="10"/>
      <c r="R5743" s="10"/>
      <c r="S5743" s="10"/>
      <c r="T5743" s="10"/>
      <c r="U5743" s="10"/>
      <c r="V5743" s="10"/>
      <c r="W5743" s="10"/>
      <c r="X5743" s="10"/>
      <c r="Y5743" s="10"/>
      <c r="Z5743" s="10"/>
    </row>
    <row r="5744" spans="1:26" ht="12.75">
      <c r="A5744" s="10" t="str">
        <f ca="1">IFERROR(__xludf.DUMMYFUNCTION("""COMPUTED_VALUE"""),"Мюмюн Мюмюнов Тахиров")</f>
        <v>Мюмюн Мюмюнов Тахиров</v>
      </c>
      <c r="B5744" s="10" t="str">
        <f ca="1">IFERROR(__xludf.DUMMYFUNCTION("""COMPUTED_VALUE"""),"Книга")</f>
        <v>Книга</v>
      </c>
      <c r="C5744" s="10" t="str">
        <f ca="1">IFERROR(__xludf.DUMMYFUNCTION("""COMPUTED_VALUE"""),"Политико-философскии речник")</f>
        <v>Политико-философскии речник</v>
      </c>
      <c r="D5744" s="10">
        <f ca="1">IFERROR(__xludf.DUMMYFUNCTION("""COMPUTED_VALUE"""),2015)</f>
        <v>2015</v>
      </c>
      <c r="E5744" s="10" t="str">
        <f ca="1">IFERROR(__xludf.DUMMYFUNCTION("""COMPUTED_VALUE"""),"Изд. „За буквите-О писменехъ“, ISBN 978-619-185-156-0")</f>
        <v>Изд. „За буквите-О писменехъ“, ISBN 978-619-185-156-0</v>
      </c>
      <c r="F5744" s="10"/>
      <c r="G5744" s="10" t="str">
        <f ca="1">IFERROR(__xludf.DUMMYFUNCTION("""COMPUTED_VALUE"""),"Орлин Загоров")</f>
        <v>Орлин Загоров</v>
      </c>
      <c r="H5744" s="10"/>
      <c r="I5744" s="10"/>
      <c r="J5744" s="10"/>
      <c r="K5744" s="10"/>
      <c r="L5744" s="10"/>
      <c r="M5744" s="10"/>
      <c r="N5744" s="10"/>
      <c r="O5744" s="10"/>
      <c r="P5744" s="10"/>
      <c r="Q5744" s="10"/>
      <c r="R5744" s="10"/>
      <c r="S5744" s="10"/>
      <c r="T5744" s="10"/>
      <c r="U5744" s="10"/>
      <c r="V5744" s="10"/>
      <c r="W5744" s="10"/>
      <c r="X5744" s="10"/>
      <c r="Y5744" s="10"/>
      <c r="Z5744" s="10"/>
    </row>
    <row r="5745" spans="1:26" ht="12.75">
      <c r="A5745" s="10" t="str">
        <f ca="1">IFERROR(__xludf.DUMMYFUNCTION("""COMPUTED_VALUE"""),"Мюмюн Мюмюнов Тахиров")</f>
        <v>Мюмюн Мюмюнов Тахиров</v>
      </c>
      <c r="B5745" s="10" t="str">
        <f ca="1">IFERROR(__xludf.DUMMYFUNCTION("""COMPUTED_VALUE"""),"Книга")</f>
        <v>Книга</v>
      </c>
      <c r="C5745" s="10" t="str">
        <f ca="1">IFERROR(__xludf.DUMMYFUNCTION("""COMPUTED_VALUE"""),"Аксиология и сигурност")</f>
        <v>Аксиология и сигурност</v>
      </c>
      <c r="D5745" s="10">
        <f ca="1">IFERROR(__xludf.DUMMYFUNCTION("""COMPUTED_VALUE"""),2015)</f>
        <v>2015</v>
      </c>
      <c r="E5745" s="10" t="str">
        <f ca="1">IFERROR(__xludf.DUMMYFUNCTION("""COMPUTED_VALUE"""),"Изд. „За буквите-О писменехъ“, ISBN 978-619-185-186-7")</f>
        <v>Изд. „За буквите-О писменехъ“, ISBN 978-619-185-186-7</v>
      </c>
      <c r="F5745" s="10"/>
      <c r="G5745" s="10"/>
      <c r="H5745" s="10"/>
      <c r="I5745" s="10"/>
      <c r="J5745" s="10"/>
      <c r="K5745" s="10"/>
      <c r="L5745" s="10"/>
      <c r="M5745" s="10"/>
      <c r="N5745" s="10"/>
      <c r="O5745" s="10"/>
      <c r="P5745" s="10"/>
      <c r="Q5745" s="10"/>
      <c r="R5745" s="10"/>
      <c r="S5745" s="10"/>
      <c r="T5745" s="10"/>
      <c r="U5745" s="10"/>
      <c r="V5745" s="10"/>
      <c r="W5745" s="10"/>
      <c r="X5745" s="10"/>
      <c r="Y5745" s="10"/>
      <c r="Z5745" s="10"/>
    </row>
    <row r="5746" spans="1:26" ht="12.75">
      <c r="A5746" s="10" t="str">
        <f ca="1">IFERROR(__xludf.DUMMYFUNCTION("""COMPUTED_VALUE"""),"Мюмюн Мюмюнов Тахиров")</f>
        <v>Мюмюн Мюмюнов Тахиров</v>
      </c>
      <c r="B5746" s="10" t="str">
        <f ca="1">IFERROR(__xludf.DUMMYFUNCTION("""COMPUTED_VALUE"""),"Доклад от конференция")</f>
        <v>Доклад от конференция</v>
      </c>
      <c r="C5746" s="10" t="str">
        <f ca="1">IFERROR(__xludf.DUMMYFUNCTION("""COMPUTED_VALUE"""),"Преходността на времето и идеалите в непреходността на лидерството като духовно наследство")</f>
        <v>Преходността на времето и идеалите в непреходността на лидерството като духовно наследство</v>
      </c>
      <c r="D5746" s="10">
        <f ca="1">IFERROR(__xludf.DUMMYFUNCTION("""COMPUTED_VALUE"""),2015)</f>
        <v>2015</v>
      </c>
      <c r="E5746" s="10" t="str">
        <f ca="1">IFERROR(__xludf.DUMMYFUNCTION("""COMPUTED_VALUE"""),"IX Научна конференция Лидерството в демократична България: изучаване, преподаване, възпитание. С., 2015 г. с. 88-97. ISBN 1313-8782.")</f>
        <v>IX Научна конференция Лидерството в демократична България: изучаване, преподаване, възпитание. С., 2015 г. с. 88-97. ISBN 1313-8782.</v>
      </c>
      <c r="F5746" s="10"/>
      <c r="G5746" s="10" t="str">
        <f ca="1">IFERROR(__xludf.DUMMYFUNCTION("""COMPUTED_VALUE"""),"Р. Йотова")</f>
        <v>Р. Йотова</v>
      </c>
      <c r="H5746" s="10"/>
      <c r="I5746" s="10"/>
      <c r="J5746" s="10"/>
      <c r="K5746" s="10"/>
      <c r="L5746" s="10"/>
      <c r="M5746" s="10"/>
      <c r="N5746" s="10"/>
      <c r="O5746" s="10"/>
      <c r="P5746" s="10"/>
      <c r="Q5746" s="10"/>
      <c r="R5746" s="10"/>
      <c r="S5746" s="10"/>
      <c r="T5746" s="10"/>
      <c r="U5746" s="10"/>
      <c r="V5746" s="10"/>
      <c r="W5746" s="10"/>
      <c r="X5746" s="10"/>
      <c r="Y5746" s="10"/>
      <c r="Z5746" s="10"/>
    </row>
    <row r="5747" spans="1:26" ht="12.75">
      <c r="A5747" s="10" t="str">
        <f ca="1">IFERROR(__xludf.DUMMYFUNCTION("""COMPUTED_VALUE"""),"Мюмюн Мюмюнов Тахиров")</f>
        <v>Мюмюн Мюмюнов Тахиров</v>
      </c>
      <c r="B5747" s="10" t="str">
        <f ca="1">IFERROR(__xludf.DUMMYFUNCTION("""COMPUTED_VALUE"""),"Доклад от конференция")</f>
        <v>Доклад от конференция</v>
      </c>
      <c r="C5747" s="10" t="str">
        <f ca="1">IFERROR(__xludf.DUMMYFUNCTION("""COMPUTED_VALUE"""),"Образование в области културного мениджмента и интенсификация процесса културной интеграции")</f>
        <v>Образование в области културного мениджмента и интенсификация процесса културной интеграции</v>
      </c>
      <c r="D5747" s="10">
        <f ca="1">IFERROR(__xludf.DUMMYFUNCTION("""COMPUTED_VALUE"""),2015)</f>
        <v>2015</v>
      </c>
      <c r="E5747" s="10" t="str">
        <f ca="1">IFERROR(__xludf.DUMMYFUNCTION("""COMPUTED_VALUE"""),"Развитие системы высшего образования в сфере культуры: научный и образовательный опыт. г. Орел, Русия, 2015 г. с. 63-67. УДК 378.1, ББК 74.4.")</f>
        <v>Развитие системы высшего образования в сфере культуры: научный и образовательный опыт. г. Орел, Русия, 2015 г. с. 63-67. УДК 378.1, ББК 74.4.</v>
      </c>
      <c r="F5747" s="10"/>
      <c r="G5747" s="10"/>
      <c r="H5747" s="10"/>
      <c r="I5747" s="10"/>
      <c r="J5747" s="10"/>
      <c r="K5747" s="10"/>
      <c r="L5747" s="10"/>
      <c r="M5747" s="10"/>
      <c r="N5747" s="10"/>
      <c r="O5747" s="10"/>
      <c r="P5747" s="10"/>
      <c r="Q5747" s="10"/>
      <c r="R5747" s="10"/>
      <c r="S5747" s="10"/>
      <c r="T5747" s="10"/>
      <c r="U5747" s="10"/>
      <c r="V5747" s="10"/>
      <c r="W5747" s="10"/>
      <c r="X5747" s="10"/>
      <c r="Y5747" s="10"/>
      <c r="Z5747" s="10"/>
    </row>
    <row r="5748" spans="1:26" ht="12.75">
      <c r="A5748" s="10" t="str">
        <f ca="1">IFERROR(__xludf.DUMMYFUNCTION("""COMPUTED_VALUE"""),"Мюмюн Мюмюнов Тахиров")</f>
        <v>Мюмюн Мюмюнов Тахиров</v>
      </c>
      <c r="B5748" s="10" t="str">
        <f ca="1">IFERROR(__xludf.DUMMYFUNCTION("""COMPUTED_VALUE"""),"Статия в списания и поредици")</f>
        <v>Статия в списания и поредици</v>
      </c>
      <c r="C5748" s="10" t="str">
        <f ca="1">IFERROR(__xludf.DUMMYFUNCTION("""COMPUTED_VALUE"""),"Измеренията на свободата и правата на човека")</f>
        <v>Измеренията на свободата и правата на човека</v>
      </c>
      <c r="D5748" s="10">
        <f ca="1">IFERROR(__xludf.DUMMYFUNCTION("""COMPUTED_VALUE"""),2015)</f>
        <v>2015</v>
      </c>
      <c r="E5748" s="10" t="str">
        <f ca="1">IFERROR(__xludf.DUMMYFUNCTION("""COMPUTED_VALUE"""),"Хармония в различията. С., 2015, с. 145-155. ISSN 2367-7899")</f>
        <v>Хармония в различията. С., 2015, с. 145-155. ISSN 2367-7899</v>
      </c>
      <c r="F5748" s="10"/>
      <c r="G5748" s="10"/>
      <c r="H5748" s="10"/>
      <c r="I5748" s="10"/>
      <c r="J5748" s="10"/>
      <c r="K5748" s="10"/>
      <c r="L5748" s="10"/>
      <c r="M5748" s="10"/>
      <c r="N5748" s="10"/>
      <c r="O5748" s="10"/>
      <c r="P5748" s="10"/>
      <c r="Q5748" s="10"/>
      <c r="R5748" s="10"/>
      <c r="S5748" s="10"/>
      <c r="T5748" s="10"/>
      <c r="U5748" s="10"/>
      <c r="V5748" s="10"/>
      <c r="W5748" s="10"/>
      <c r="X5748" s="10"/>
      <c r="Y5748" s="10"/>
      <c r="Z5748" s="10"/>
    </row>
    <row r="5749" spans="1:26" ht="12.75">
      <c r="A5749" s="10" t="str">
        <f ca="1">IFERROR(__xludf.DUMMYFUNCTION("""COMPUTED_VALUE"""),"Мюмюн Мюмюнов Тахиров")</f>
        <v>Мюмюн Мюмюнов Тахиров</v>
      </c>
      <c r="B5749" s="10" t="str">
        <f ca="1">IFERROR(__xludf.DUMMYFUNCTION("""COMPUTED_VALUE"""),"Статия в списания и поредици")</f>
        <v>Статия в списания и поредици</v>
      </c>
      <c r="C5749" s="10" t="str">
        <f ca="1">IFERROR(__xludf.DUMMYFUNCTION("""COMPUTED_VALUE"""),"Еврпоейският съюз, България и миграцията")</f>
        <v>Еврпоейският съюз, България и миграцията</v>
      </c>
      <c r="D5749" s="10">
        <f ca="1">IFERROR(__xludf.DUMMYFUNCTION("""COMPUTED_VALUE"""),2015)</f>
        <v>2015</v>
      </c>
      <c r="E5749" s="10" t="str">
        <f ca="1">IFERROR(__xludf.DUMMYFUNCTION("""COMPUTED_VALUE"""),"Съвременни измерения на европейското образователно и научно пространство. Т. 3, С., 2015 с. 346-353.. ISSN 2367-7988")</f>
        <v>Съвременни измерения на европейското образователно и научно пространство. Т. 3, С., 2015 с. 346-353.. ISSN 2367-7988</v>
      </c>
      <c r="F5749" s="10"/>
      <c r="G5749" s="10" t="str">
        <f ca="1">IFERROR(__xludf.DUMMYFUNCTION("""COMPUTED_VALUE"""),"Ив. Янкова")</f>
        <v>Ив. Янкова</v>
      </c>
      <c r="H5749" s="10"/>
      <c r="I5749" s="10"/>
      <c r="J5749" s="10"/>
      <c r="K5749" s="10"/>
      <c r="L5749" s="10"/>
      <c r="M5749" s="10"/>
      <c r="N5749" s="10"/>
      <c r="O5749" s="10"/>
      <c r="P5749" s="10"/>
      <c r="Q5749" s="10"/>
      <c r="R5749" s="10"/>
      <c r="S5749" s="10"/>
      <c r="T5749" s="10"/>
      <c r="U5749" s="10"/>
      <c r="V5749" s="10"/>
      <c r="W5749" s="10"/>
      <c r="X5749" s="10"/>
      <c r="Y5749" s="10"/>
      <c r="Z5749" s="10"/>
    </row>
    <row r="5750" spans="1:26" ht="12.75">
      <c r="A5750" s="10" t="str">
        <f ca="1">IFERROR(__xludf.DUMMYFUNCTION("""COMPUTED_VALUE"""),"Мюмюн Мюмюнов Тахиров")</f>
        <v>Мюмюн Мюмюнов Тахиров</v>
      </c>
      <c r="B5750" s="10" t="str">
        <f ca="1">IFERROR(__xludf.DUMMYFUNCTION("""COMPUTED_VALUE"""),"Статия в списания и поредици")</f>
        <v>Статия в списания и поредици</v>
      </c>
      <c r="C5750" s="10" t="str">
        <f ca="1">IFERROR(__xludf.DUMMYFUNCTION("""COMPUTED_VALUE"""),"Аксиологическата криза в условията на глобалната криза")</f>
        <v>Аксиологическата криза в условията на глобалната криза</v>
      </c>
      <c r="D5750" s="10">
        <f ca="1">IFERROR(__xludf.DUMMYFUNCTION("""COMPUTED_VALUE"""),2015)</f>
        <v>2015</v>
      </c>
      <c r="E5750" s="10" t="str">
        <f ca="1">IFERROR(__xludf.DUMMYFUNCTION("""COMPUTED_VALUE"""),"Нови информационни технологии в образователния процес. С., 2015. с. 228-234. ISSN 1313-2768.")</f>
        <v>Нови информационни технологии в образователния процес. С., 2015. с. 228-234. ISSN 1313-2768.</v>
      </c>
      <c r="F5750" s="10"/>
      <c r="G5750" s="10"/>
      <c r="H5750" s="10"/>
      <c r="I5750" s="10"/>
      <c r="J5750" s="10"/>
      <c r="K5750" s="10"/>
      <c r="L5750" s="10"/>
      <c r="M5750" s="10"/>
      <c r="N5750" s="10"/>
      <c r="O5750" s="10"/>
      <c r="P5750" s="10"/>
      <c r="Q5750" s="10"/>
      <c r="R5750" s="10"/>
      <c r="S5750" s="10"/>
      <c r="T5750" s="10"/>
      <c r="U5750" s="10"/>
      <c r="V5750" s="10"/>
      <c r="W5750" s="10"/>
      <c r="X5750" s="10"/>
      <c r="Y5750" s="10"/>
      <c r="Z5750" s="10"/>
    </row>
    <row r="5751" spans="1:26" ht="12.75">
      <c r="A5751" s="10" t="str">
        <f ca="1">IFERROR(__xludf.DUMMYFUNCTION("""COMPUTED_VALUE"""),"Мюмюн Мюмюнов Тахиров")</f>
        <v>Мюмюн Мюмюнов Тахиров</v>
      </c>
      <c r="B5751" s="10" t="str">
        <f ca="1">IFERROR(__xludf.DUMMYFUNCTION("""COMPUTED_VALUE"""),"Доклад от конференция")</f>
        <v>Доклад от конференция</v>
      </c>
      <c r="C5751" s="10" t="str">
        <f ca="1">IFERROR(__xludf.DUMMYFUNCTION("""COMPUTED_VALUE"""),"Универсалният език на изкуството и междукултурното общуване")</f>
        <v>Универсалният език на изкуството и междукултурното общуване</v>
      </c>
      <c r="D5751" s="10">
        <f ca="1">IFERROR(__xludf.DUMMYFUNCTION("""COMPUTED_VALUE"""),2015)</f>
        <v>2015</v>
      </c>
      <c r="E5751" s="10" t="str">
        <f ca="1">IFERROR(__xludf.DUMMYFUNCTION("""COMPUTED_VALUE"""),"Хармония в различията, С. 2015, с.356-365. ISSN 2367-7899")</f>
        <v>Хармония в различията, С. 2015, с.356-365. ISSN 2367-7899</v>
      </c>
      <c r="F5751" s="10"/>
      <c r="G5751" s="10"/>
      <c r="H5751" s="10"/>
      <c r="I5751" s="10"/>
      <c r="J5751" s="10"/>
      <c r="K5751" s="10"/>
      <c r="L5751" s="10"/>
      <c r="M5751" s="10"/>
      <c r="N5751" s="10"/>
      <c r="O5751" s="10"/>
      <c r="P5751" s="10"/>
      <c r="Q5751" s="10"/>
      <c r="R5751" s="10"/>
      <c r="S5751" s="10"/>
      <c r="T5751" s="10"/>
      <c r="U5751" s="10"/>
      <c r="V5751" s="10"/>
      <c r="W5751" s="10"/>
      <c r="X5751" s="10"/>
      <c r="Y5751" s="10"/>
      <c r="Z5751" s="10"/>
    </row>
    <row r="5752" spans="1:26" ht="12.75">
      <c r="A5752" s="10" t="str">
        <f ca="1">IFERROR(__xludf.DUMMYFUNCTION("""COMPUTED_VALUE"""),"Мюмюн Мюмюнов Тахиров")</f>
        <v>Мюмюн Мюмюнов Тахиров</v>
      </c>
      <c r="B5752" s="10" t="str">
        <f ca="1">IFERROR(__xludf.DUMMYFUNCTION("""COMPUTED_VALUE"""),"Доклад от конференция")</f>
        <v>Доклад от конференция</v>
      </c>
      <c r="C5752" s="10" t="str">
        <f ca="1">IFERROR(__xludf.DUMMYFUNCTION("""COMPUTED_VALUE"""),"Развитие на системата на висшето образование в областта на културата: научен и образователен опит")</f>
        <v>Развитие на системата на висшето образование в областта на културата: научен и образователен опит</v>
      </c>
      <c r="D5752" s="10">
        <f ca="1">IFERROR(__xludf.DUMMYFUNCTION("""COMPUTED_VALUE"""),2015)</f>
        <v>2015</v>
      </c>
      <c r="E5752" s="10"/>
      <c r="F5752" s="10"/>
      <c r="G5752" s="10"/>
      <c r="H5752" s="10"/>
      <c r="I5752" s="10"/>
      <c r="J5752" s="10"/>
      <c r="K5752" s="10"/>
      <c r="L5752" s="10"/>
      <c r="M5752" s="10"/>
      <c r="N5752" s="10"/>
      <c r="O5752" s="10"/>
      <c r="P5752" s="10"/>
      <c r="Q5752" s="10"/>
      <c r="R5752" s="10"/>
      <c r="S5752" s="10"/>
      <c r="T5752" s="10"/>
      <c r="U5752" s="10"/>
      <c r="V5752" s="10"/>
      <c r="W5752" s="10"/>
      <c r="X5752" s="10"/>
      <c r="Y5752" s="10"/>
      <c r="Z5752" s="10"/>
    </row>
    <row r="5753" spans="1:26" ht="12.75">
      <c r="A5753" s="10" t="str">
        <f ca="1">IFERROR(__xludf.DUMMYFUNCTION("""COMPUTED_VALUE"""),"Мюмюн Мюмюнов Тахиров")</f>
        <v>Мюмюн Мюмюнов Тахиров</v>
      </c>
      <c r="B5753" s="10" t="str">
        <f ca="1">IFERROR(__xludf.DUMMYFUNCTION("""COMPUTED_VALUE"""),"Доклад от конференция")</f>
        <v>Доклад от конференция</v>
      </c>
      <c r="C5753" s="10" t="str">
        <f ca="1">IFERROR(__xludf.DUMMYFUNCTION("""COMPUTED_VALUE"""),"Съвременни измерения на междукултурните общувания в славянски контекст")</f>
        <v>Съвременни измерения на междукултурните общувания в славянски контекст</v>
      </c>
      <c r="D5753" s="10">
        <f ca="1">IFERROR(__xludf.DUMMYFUNCTION("""COMPUTED_VALUE"""),2015)</f>
        <v>2015</v>
      </c>
      <c r="E5753" s="10" t="str">
        <f ca="1">IFERROR(__xludf.DUMMYFUNCTION("""COMPUTED_VALUE"""),"Славянская культура в Европе: история, настоящее и будущее. София-Москва, 2015. с.74-77. ISBN 978-5-902899-12-9, ISBN 978-619-185-158-4.")</f>
        <v>Славянская культура в Европе: история, настоящее и будущее. София-Москва, 2015. с.74-77. ISBN 978-5-902899-12-9, ISBN 978-619-185-158-4.</v>
      </c>
      <c r="F5753" s="10"/>
      <c r="G5753" s="10" t="str">
        <f ca="1">IFERROR(__xludf.DUMMYFUNCTION("""COMPUTED_VALUE"""),"Е. Велев")</f>
        <v>Е. Велев</v>
      </c>
      <c r="H5753" s="10"/>
      <c r="I5753" s="10"/>
      <c r="J5753" s="10"/>
      <c r="K5753" s="10"/>
      <c r="L5753" s="10"/>
      <c r="M5753" s="10"/>
      <c r="N5753" s="10"/>
      <c r="O5753" s="10"/>
      <c r="P5753" s="10"/>
      <c r="Q5753" s="10"/>
      <c r="R5753" s="10"/>
      <c r="S5753" s="10"/>
      <c r="T5753" s="10"/>
      <c r="U5753" s="10"/>
      <c r="V5753" s="10"/>
      <c r="W5753" s="10"/>
      <c r="X5753" s="10"/>
      <c r="Y5753" s="10"/>
      <c r="Z5753" s="10"/>
    </row>
    <row r="5754" spans="1:26" ht="12.75">
      <c r="A5754" s="10" t="str">
        <f ca="1">IFERROR(__xludf.DUMMYFUNCTION("""COMPUTED_VALUE"""),"Мюмюн Мюмюнов Тахиров")</f>
        <v>Мюмюн Мюмюнов Тахиров</v>
      </c>
      <c r="B5754" s="10" t="str">
        <f ca="1">IFERROR(__xludf.DUMMYFUNCTION("""COMPUTED_VALUE"""),"Доклад от конференция")</f>
        <v>Доклад от конференция</v>
      </c>
      <c r="C5754" s="10" t="str">
        <f ca="1">IFERROR(__xludf.DUMMYFUNCTION("""COMPUTED_VALUE"""),"Формиране на цивилизационна идентичност в условията на информационното общество")</f>
        <v>Формиране на цивилизационна идентичност в условията на информационното общество</v>
      </c>
      <c r="D5754" s="10">
        <f ca="1">IFERROR(__xludf.DUMMYFUNCTION("""COMPUTED_VALUE"""),2015)</f>
        <v>2015</v>
      </c>
      <c r="E5754" s="10" t="str">
        <f ca="1">IFERROR(__xludf.DUMMYFUNCTION("""COMPUTED_VALUE"""),"Научна конференция на тема „Нови информационни технологии в образователния процес")</f>
        <v>Научна конференция на тема „Нови информационни технологии в образователния процес</v>
      </c>
      <c r="F5754" s="10"/>
      <c r="G5754" s="10"/>
      <c r="H5754" s="10"/>
      <c r="I5754" s="10"/>
      <c r="J5754" s="10"/>
      <c r="K5754" s="10"/>
      <c r="L5754" s="10"/>
      <c r="M5754" s="10"/>
      <c r="N5754" s="10"/>
      <c r="O5754" s="10"/>
      <c r="P5754" s="10"/>
      <c r="Q5754" s="10"/>
      <c r="R5754" s="10"/>
      <c r="S5754" s="10"/>
      <c r="T5754" s="10"/>
      <c r="U5754" s="10"/>
      <c r="V5754" s="10"/>
      <c r="W5754" s="10"/>
      <c r="X5754" s="10"/>
      <c r="Y5754" s="10"/>
      <c r="Z5754" s="10"/>
    </row>
    <row r="5755" spans="1:26" ht="12.75">
      <c r="A5755" s="10" t="str">
        <f ca="1">IFERROR(__xludf.DUMMYFUNCTION("""COMPUTED_VALUE"""),"Мюмюн Мюмюнов Тахиров")</f>
        <v>Мюмюн Мюмюнов Тахиров</v>
      </c>
      <c r="B5755" s="10" t="str">
        <f ca="1">IFERROR(__xludf.DUMMYFUNCTION("""COMPUTED_VALUE"""),"Доклад от конференция")</f>
        <v>Доклад от конференция</v>
      </c>
      <c r="C5755" s="10" t="str">
        <f ca="1">IFERROR(__xludf.DUMMYFUNCTION("""COMPUTED_VALUE"""),"Toleranza e integrazione culturale")</f>
        <v>Toleranza e integrazione culturale</v>
      </c>
      <c r="D5755" s="10">
        <f ca="1">IFERROR(__xludf.DUMMYFUNCTION("""COMPUTED_VALUE"""),2015)</f>
        <v>2015</v>
      </c>
      <c r="E5755" s="10" t="str">
        <f ca="1">IFERROR(__xludf.DUMMYFUNCTION("""COMPUTED_VALUE"""),"L`UNITA nella diversita: la tradizione nel passato, presente e future.Torino, Italia, 2015. p. 33- 38")</f>
        <v>L`UNITA nella diversita: la tradizione nel passato, presente e future.Torino, Italia, 2015. p. 33- 38</v>
      </c>
      <c r="F5755" s="10"/>
      <c r="G5755" s="10" t="str">
        <f ca="1">IFERROR(__xludf.DUMMYFUNCTION("""COMPUTED_VALUE"""),"Т. Трифонов")</f>
        <v>Т. Трифонов</v>
      </c>
      <c r="H5755" s="10"/>
      <c r="I5755" s="10"/>
      <c r="J5755" s="10"/>
      <c r="K5755" s="10"/>
      <c r="L5755" s="10"/>
      <c r="M5755" s="10"/>
      <c r="N5755" s="10"/>
      <c r="O5755" s="10"/>
      <c r="P5755" s="10"/>
      <c r="Q5755" s="10"/>
      <c r="R5755" s="10"/>
      <c r="S5755" s="10"/>
      <c r="T5755" s="10"/>
      <c r="U5755" s="10"/>
      <c r="V5755" s="10"/>
      <c r="W5755" s="10"/>
      <c r="X5755" s="10"/>
      <c r="Y5755" s="10"/>
      <c r="Z5755" s="10"/>
    </row>
    <row r="5756" spans="1:26" ht="12.75">
      <c r="A5756" s="10" t="str">
        <f ca="1">IFERROR(__xludf.DUMMYFUNCTION("""COMPUTED_VALUE"""),"Мюмюн Мюмюнов Тахиров")</f>
        <v>Мюмюн Мюмюнов Тахиров</v>
      </c>
      <c r="B5756" s="10" t="str">
        <f ca="1">IFERROR(__xludf.DUMMYFUNCTION("""COMPUTED_VALUE"""),"Доклад от конференция")</f>
        <v>Доклад от конференция</v>
      </c>
      <c r="C5756" s="10" t="str">
        <f ca="1">IFERROR(__xludf.DUMMYFUNCTION("""COMPUTED_VALUE"""),"Иновационнные подходые эффективная практика развития культурного менеджмента в контексте культурно-образовательных процессов")</f>
        <v>Иновационнные подходые эффективная практика развития культурного менеджмента в контексте культурно-образовательных процессов</v>
      </c>
      <c r="D5756" s="10">
        <f ca="1">IFERROR(__xludf.DUMMYFUNCTION("""COMPUTED_VALUE"""),2015)</f>
        <v>2015</v>
      </c>
      <c r="E5756" s="10" t="str">
        <f ca="1">IFERROR(__xludf.DUMMYFUNCTION("""COMPUTED_VALUE"""),"Развитие системы вышего образования в сфере культуры: научный и образовательный опыт. Март 2015, гр. Орел, Русия. с. 29-31")</f>
        <v>Развитие системы вышего образования в сфере культуры: научный и образовательный опыт. Март 2015, гр. Орел, Русия. с. 29-31</v>
      </c>
      <c r="F5756" s="10"/>
      <c r="G5756" s="10" t="str">
        <f ca="1">IFERROR(__xludf.DUMMYFUNCTION("""COMPUTED_VALUE"""),"Ст. Денчев, И. Петева, Е. Велев")</f>
        <v>Ст. Денчев, И. Петева, Е. Велев</v>
      </c>
      <c r="H5756" s="10"/>
      <c r="I5756" s="10"/>
      <c r="J5756" s="10"/>
      <c r="K5756" s="10"/>
      <c r="L5756" s="10"/>
      <c r="M5756" s="10"/>
      <c r="N5756" s="10"/>
      <c r="O5756" s="10"/>
      <c r="P5756" s="10"/>
      <c r="Q5756" s="10"/>
      <c r="R5756" s="10"/>
      <c r="S5756" s="10"/>
      <c r="T5756" s="10"/>
      <c r="U5756" s="10"/>
      <c r="V5756" s="10"/>
      <c r="W5756" s="10"/>
      <c r="X5756" s="10"/>
      <c r="Y5756" s="10"/>
      <c r="Z5756" s="10"/>
    </row>
    <row r="5757" spans="1:26" ht="12.75">
      <c r="A5757" s="10" t="str">
        <f ca="1">IFERROR(__xludf.DUMMYFUNCTION("""COMPUTED_VALUE"""),"Мюмюн Мюмюнов Тахиров")</f>
        <v>Мюмюн Мюмюнов Тахиров</v>
      </c>
      <c r="B5757" s="10" t="str">
        <f ca="1">IFERROR(__xludf.DUMMYFUNCTION("""COMPUTED_VALUE"""),"Доклад от конференция")</f>
        <v>Доклад от конференция</v>
      </c>
      <c r="C5757" s="10" t="str">
        <f ca="1">IFERROR(__xludf.DUMMYFUNCTION("""COMPUTED_VALUE"""),"Културата като цивилизация и цивилизацията като култура")</f>
        <v>Културата като цивилизация и цивилизацията като култура</v>
      </c>
      <c r="D5757" s="10">
        <f ca="1">IFERROR(__xludf.DUMMYFUNCTION("""COMPUTED_VALUE"""),2015)</f>
        <v>2015</v>
      </c>
      <c r="E5757" s="10" t="str">
        <f ca="1">IFERROR(__xludf.DUMMYFUNCTION("""COMPUTED_VALUE"""),"Общество на знанието и хуманизмът на XXI в. С., 2015. с. 514-524. ISSN 1314-7099")</f>
        <v>Общество на знанието и хуманизмът на XXI в. С., 2015. с. 514-524. ISSN 1314-7099</v>
      </c>
      <c r="F5757" s="10"/>
      <c r="G5757" s="10"/>
      <c r="H5757" s="10"/>
      <c r="I5757" s="10"/>
      <c r="J5757" s="10"/>
      <c r="K5757" s="10"/>
      <c r="L5757" s="10"/>
      <c r="M5757" s="10"/>
      <c r="N5757" s="10"/>
      <c r="O5757" s="10"/>
      <c r="P5757" s="10"/>
      <c r="Q5757" s="10"/>
      <c r="R5757" s="10"/>
      <c r="S5757" s="10"/>
      <c r="T5757" s="10"/>
      <c r="U5757" s="10"/>
      <c r="V5757" s="10"/>
      <c r="W5757" s="10"/>
      <c r="X5757" s="10"/>
      <c r="Y5757" s="10"/>
      <c r="Z5757" s="10"/>
    </row>
    <row r="5758" spans="1:26" ht="12.75">
      <c r="A5758" s="10" t="str">
        <f ca="1">IFERROR(__xludf.DUMMYFUNCTION("""COMPUTED_VALUE"""),"Мюмюн Мюмюнов Тахиров")</f>
        <v>Мюмюн Мюмюнов Тахиров</v>
      </c>
      <c r="B5758" s="10" t="str">
        <f ca="1">IFERROR(__xludf.DUMMYFUNCTION("""COMPUTED_VALUE"""),"Доклад от конференция")</f>
        <v>Доклад от конференция</v>
      </c>
      <c r="C5758" s="10" t="str">
        <f ca="1">IFERROR(__xludf.DUMMYFUNCTION("""COMPUTED_VALUE"""),"Образование по културен мениджмънт и интензификация на процеса на културна интеграция")</f>
        <v>Образование по културен мениджмънт и интензификация на процеса на културна интеграция</v>
      </c>
      <c r="D5758" s="10">
        <f ca="1">IFERROR(__xludf.DUMMYFUNCTION("""COMPUTED_VALUE"""),2015)</f>
        <v>2015</v>
      </c>
      <c r="E5758" s="10"/>
      <c r="F5758" s="10"/>
      <c r="G5758" s="10"/>
      <c r="H5758" s="10"/>
      <c r="I5758" s="10"/>
      <c r="J5758" s="10"/>
      <c r="K5758" s="10"/>
      <c r="L5758" s="10"/>
      <c r="M5758" s="10"/>
      <c r="N5758" s="10"/>
      <c r="O5758" s="10"/>
      <c r="P5758" s="10"/>
      <c r="Q5758" s="10"/>
      <c r="R5758" s="10"/>
      <c r="S5758" s="10"/>
      <c r="T5758" s="10"/>
      <c r="U5758" s="10"/>
      <c r="V5758" s="10"/>
      <c r="W5758" s="10"/>
      <c r="X5758" s="10"/>
      <c r="Y5758" s="10"/>
      <c r="Z5758" s="10"/>
    </row>
    <row r="5759" spans="1:26" ht="12.75">
      <c r="A5759" s="10" t="str">
        <f ca="1">IFERROR(__xludf.DUMMYFUNCTION("""COMPUTED_VALUE"""),"Мюмюн Мюмюнов Тахиров")</f>
        <v>Мюмюн Мюмюнов Тахиров</v>
      </c>
      <c r="B5759" s="10" t="str">
        <f ca="1">IFERROR(__xludf.DUMMYFUNCTION("""COMPUTED_VALUE"""),"Статия в списания и поредици")</f>
        <v>Статия в списания и поредици</v>
      </c>
      <c r="C5759" s="10" t="str">
        <f ca="1">IFERROR(__xludf.DUMMYFUNCTION("""COMPUTED_VALUE"""),"Етнодемографските аспекти на демографската криза")</f>
        <v>Етнодемографските аспекти на демографската криза</v>
      </c>
      <c r="D5759" s="10">
        <f ca="1">IFERROR(__xludf.DUMMYFUNCTION("""COMPUTED_VALUE"""),2014)</f>
        <v>2014</v>
      </c>
      <c r="E5759" s="10" t="str">
        <f ca="1">IFERROR(__xludf.DUMMYFUNCTION("""COMPUTED_VALUE"""),"Поглед Инфо, 05.03.2014./ http://pogled.info/")</f>
        <v>Поглед Инфо, 05.03.2014./ http://pogled.info/</v>
      </c>
      <c r="F5759" s="10"/>
      <c r="G5759" s="10"/>
      <c r="H5759" s="10"/>
      <c r="I5759" s="10"/>
      <c r="J5759" s="10"/>
      <c r="K5759" s="10"/>
      <c r="L5759" s="10"/>
      <c r="M5759" s="10"/>
      <c r="N5759" s="10"/>
      <c r="O5759" s="10"/>
      <c r="P5759" s="10"/>
      <c r="Q5759" s="10"/>
      <c r="R5759" s="10"/>
      <c r="S5759" s="10"/>
      <c r="T5759" s="10"/>
      <c r="U5759" s="10"/>
      <c r="V5759" s="10"/>
      <c r="W5759" s="10"/>
      <c r="X5759" s="10"/>
      <c r="Y5759" s="10"/>
      <c r="Z5759" s="10"/>
    </row>
    <row r="5760" spans="1:26" ht="12.75">
      <c r="A5760" s="10" t="str">
        <f ca="1">IFERROR(__xludf.DUMMYFUNCTION("""COMPUTED_VALUE"""),"Мюмюн Мюмюнов Тахиров")</f>
        <v>Мюмюн Мюмюнов Тахиров</v>
      </c>
      <c r="B5760" s="10" t="str">
        <f ca="1">IFERROR(__xludf.DUMMYFUNCTION("""COMPUTED_VALUE"""),"Статия в списания и поредици")</f>
        <v>Статия в списания и поредици</v>
      </c>
      <c r="C5760" s="10" t="str">
        <f ca="1">IFERROR(__xludf.DUMMYFUNCTION("""COMPUTED_VALUE"""),"Омразата като болестно състояние на духа")</f>
        <v>Омразата като болестно състояние на духа</v>
      </c>
      <c r="D5760" s="10">
        <f ca="1">IFERROR(__xludf.DUMMYFUNCTION("""COMPUTED_VALUE"""),2014)</f>
        <v>2014</v>
      </c>
      <c r="E5760" s="10" t="str">
        <f ca="1">IFERROR(__xludf.DUMMYFUNCTION("""COMPUTED_VALUE"""),"сп. Либерален преглед-https://librev.com, 09.01.2014")</f>
        <v>сп. Либерален преглед-https://librev.com, 09.01.2014</v>
      </c>
      <c r="F5760" s="10"/>
      <c r="G5760" s="10"/>
      <c r="H5760" s="10"/>
      <c r="I5760" s="10"/>
      <c r="J5760" s="10"/>
      <c r="K5760" s="10"/>
      <c r="L5760" s="10"/>
      <c r="M5760" s="10"/>
      <c r="N5760" s="10"/>
      <c r="O5760" s="10"/>
      <c r="P5760" s="10"/>
      <c r="Q5760" s="10"/>
      <c r="R5760" s="10"/>
      <c r="S5760" s="10"/>
      <c r="T5760" s="10"/>
      <c r="U5760" s="10"/>
      <c r="V5760" s="10"/>
      <c r="W5760" s="10"/>
      <c r="X5760" s="10"/>
      <c r="Y5760" s="10"/>
      <c r="Z5760" s="10"/>
    </row>
    <row r="5761" spans="1:26" ht="12.75">
      <c r="A5761" s="10" t="str">
        <f ca="1">IFERROR(__xludf.DUMMYFUNCTION("""COMPUTED_VALUE"""),"Мюмюн Мюмюнов Тахиров")</f>
        <v>Мюмюн Мюмюнов Тахиров</v>
      </c>
      <c r="B5761" s="10" t="str">
        <f ca="1">IFERROR(__xludf.DUMMYFUNCTION("""COMPUTED_VALUE"""),"Статия в списания и поредици")</f>
        <v>Статия в списания и поредици</v>
      </c>
      <c r="C5761" s="10" t="str">
        <f ca="1">IFERROR(__xludf.DUMMYFUNCTION("""COMPUTED_VALUE"""),"Слобода као вредност или слобода као фактор за смисао живота")</f>
        <v>Слобода као вредност или слобода као фактор за смисао живота</v>
      </c>
      <c r="D5761" s="10">
        <f ca="1">IFERROR(__xludf.DUMMYFUNCTION("""COMPUTED_VALUE"""),2014)</f>
        <v>2014</v>
      </c>
      <c r="E5761" s="10" t="str">
        <f ca="1">IFERROR(__xludf.DUMMYFUNCTION("""COMPUTED_VALUE"""),"Международно научно списание ПОГЛЕДИ № 3, Нова Наша реч, Лесковац – Сърбия, ISSN 2217-737X, 2014")</f>
        <v>Международно научно списание ПОГЛЕДИ № 3, Нова Наша реч, Лесковац – Сърбия, ISSN 2217-737X, 2014</v>
      </c>
      <c r="F5761" s="10"/>
      <c r="G5761" s="10"/>
      <c r="H5761" s="10"/>
      <c r="I5761" s="10"/>
      <c r="J5761" s="10"/>
      <c r="K5761" s="10"/>
      <c r="L5761" s="10"/>
      <c r="M5761" s="10"/>
      <c r="N5761" s="10"/>
      <c r="O5761" s="10"/>
      <c r="P5761" s="10"/>
      <c r="Q5761" s="10"/>
      <c r="R5761" s="10"/>
      <c r="S5761" s="10"/>
      <c r="T5761" s="10"/>
      <c r="U5761" s="10"/>
      <c r="V5761" s="10"/>
      <c r="W5761" s="10"/>
      <c r="X5761" s="10"/>
      <c r="Y5761" s="10"/>
      <c r="Z5761" s="10"/>
    </row>
    <row r="5762" spans="1:26" ht="12.75">
      <c r="A5762" s="10" t="str">
        <f ca="1">IFERROR(__xludf.DUMMYFUNCTION("""COMPUTED_VALUE"""),"Мюмюн Мюмюнов Тахиров")</f>
        <v>Мюмюн Мюмюнов Тахиров</v>
      </c>
      <c r="B5762" s="10" t="str">
        <f ca="1">IFERROR(__xludf.DUMMYFUNCTION("""COMPUTED_VALUE"""),"Монография")</f>
        <v>Монография</v>
      </c>
      <c r="C5762" s="10" t="str">
        <f ca="1">IFERROR(__xludf.DUMMYFUNCTION("""COMPUTED_VALUE"""),"Времена и културно общуване")</f>
        <v>Времена и културно общуване</v>
      </c>
      <c r="D5762" s="10">
        <f ca="1">IFERROR(__xludf.DUMMYFUNCTION("""COMPUTED_VALUE"""),2014)</f>
        <v>2014</v>
      </c>
      <c r="E5762" s="10" t="str">
        <f ca="1">IFERROR(__xludf.DUMMYFUNCTION("""COMPUTED_VALUE"""),"София, университетско издателство „За буквите- О писменехь“, ISBN 978-619-185-013-6")</f>
        <v>София, университетско издателство „За буквите- О писменехь“, ISBN 978-619-185-013-6</v>
      </c>
      <c r="F5762" s="10"/>
      <c r="G5762" s="10"/>
      <c r="H5762" s="10"/>
      <c r="I5762" s="10"/>
      <c r="J5762" s="10"/>
      <c r="K5762" s="10"/>
      <c r="L5762" s="10"/>
      <c r="M5762" s="10"/>
      <c r="N5762" s="10"/>
      <c r="O5762" s="10"/>
      <c r="P5762" s="10"/>
      <c r="Q5762" s="10"/>
      <c r="R5762" s="10"/>
      <c r="S5762" s="10"/>
      <c r="T5762" s="10"/>
      <c r="U5762" s="10"/>
      <c r="V5762" s="10"/>
      <c r="W5762" s="10"/>
      <c r="X5762" s="10"/>
      <c r="Y5762" s="10"/>
      <c r="Z5762" s="10"/>
    </row>
    <row r="5763" spans="1:26" ht="12.75">
      <c r="A5763" s="10" t="str">
        <f ca="1">IFERROR(__xludf.DUMMYFUNCTION("""COMPUTED_VALUE"""),"Мюмюн Мюмюнов Тахиров")</f>
        <v>Мюмюн Мюмюнов Тахиров</v>
      </c>
      <c r="B5763" s="10" t="str">
        <f ca="1">IFERROR(__xludf.DUMMYFUNCTION("""COMPUTED_VALUE"""),"Статия в списания и поредици")</f>
        <v>Статия в списания и поредици</v>
      </c>
      <c r="C5763" s="10" t="str">
        <f ca="1">IFERROR(__xludf.DUMMYFUNCTION("""COMPUTED_VALUE"""),"Директна или индиректна демократија")</f>
        <v>Директна или индиректна демократија</v>
      </c>
      <c r="D5763" s="10">
        <f ca="1">IFERROR(__xludf.DUMMYFUNCTION("""COMPUTED_VALUE"""),2014)</f>
        <v>2014</v>
      </c>
      <c r="E5763" s="10" t="str">
        <f ca="1">IFERROR(__xludf.DUMMYFUNCTION("""COMPUTED_VALUE"""),"Международно научно списание ПОГЛЕДИ № 3, Нова Наша реч, Лесковац - Сърбия, ISSN 2217-737X, 2014")</f>
        <v>Международно научно списание ПОГЛЕДИ № 3, Нова Наша реч, Лесковац - Сърбия, ISSN 2217-737X, 2014</v>
      </c>
      <c r="F5763" s="10"/>
      <c r="G5763" s="10"/>
      <c r="H5763" s="10"/>
      <c r="I5763" s="10"/>
      <c r="J5763" s="10"/>
      <c r="K5763" s="10"/>
      <c r="L5763" s="10"/>
      <c r="M5763" s="10"/>
      <c r="N5763" s="10"/>
      <c r="O5763" s="10"/>
      <c r="P5763" s="10"/>
      <c r="Q5763" s="10"/>
      <c r="R5763" s="10"/>
      <c r="S5763" s="10"/>
      <c r="T5763" s="10"/>
      <c r="U5763" s="10"/>
      <c r="V5763" s="10"/>
      <c r="W5763" s="10"/>
      <c r="X5763" s="10"/>
      <c r="Y5763" s="10"/>
      <c r="Z5763" s="10"/>
    </row>
    <row r="5764" spans="1:26" ht="12.75">
      <c r="A5764" s="10" t="str">
        <f ca="1">IFERROR(__xludf.DUMMYFUNCTION("""COMPUTED_VALUE"""),"Мюмюн Мюмюнов Тахиров")</f>
        <v>Мюмюн Мюмюнов Тахиров</v>
      </c>
      <c r="B5764" s="10" t="str">
        <f ca="1">IFERROR(__xludf.DUMMYFUNCTION("""COMPUTED_VALUE"""),"Статия в списания и поредици")</f>
        <v>Статия в списания и поредици</v>
      </c>
      <c r="C5764" s="10" t="str">
        <f ca="1">IFERROR(__xludf.DUMMYFUNCTION("""COMPUTED_VALUE"""),"Екологическа криза и екологическа валентност")</f>
        <v>Екологическа криза и екологическа валентност</v>
      </c>
      <c r="D5764" s="10">
        <f ca="1">IFERROR(__xludf.DUMMYFUNCTION("""COMPUTED_VALUE"""),2014)</f>
        <v>2014</v>
      </c>
      <c r="E5764" s="10" t="str">
        <f ca="1">IFERROR(__xludf.DUMMYFUNCTION("""COMPUTED_VALUE"""),"Екологическа етика. Природа и устойчиво развитие в България. С. 2014 г")</f>
        <v>Екологическа етика. Природа и устойчиво развитие в България. С. 2014 г</v>
      </c>
      <c r="F5764" s="10"/>
      <c r="G5764" s="10"/>
      <c r="H5764" s="10"/>
      <c r="I5764" s="10"/>
      <c r="J5764" s="10"/>
      <c r="K5764" s="10"/>
      <c r="L5764" s="10"/>
      <c r="M5764" s="10"/>
      <c r="N5764" s="10"/>
      <c r="O5764" s="10"/>
      <c r="P5764" s="10"/>
      <c r="Q5764" s="10"/>
      <c r="R5764" s="10"/>
      <c r="S5764" s="10"/>
      <c r="T5764" s="10"/>
      <c r="U5764" s="10"/>
      <c r="V5764" s="10"/>
      <c r="W5764" s="10"/>
      <c r="X5764" s="10"/>
      <c r="Y5764" s="10"/>
      <c r="Z5764" s="10"/>
    </row>
    <row r="5765" spans="1:26" ht="12.75">
      <c r="A5765" s="10" t="str">
        <f ca="1">IFERROR(__xludf.DUMMYFUNCTION("""COMPUTED_VALUE"""),"Мюмюн Мюмюнов Тахиров")</f>
        <v>Мюмюн Мюмюнов Тахиров</v>
      </c>
      <c r="B5765" s="10" t="str">
        <f ca="1">IFERROR(__xludf.DUMMYFUNCTION("""COMPUTED_VALUE"""),"Статия в списания и поредици")</f>
        <v>Статия в списания и поредици</v>
      </c>
      <c r="C5765" s="10" t="str">
        <f ca="1">IFERROR(__xludf.DUMMYFUNCTION("""COMPUTED_VALUE"""),"Аксиологически аспекти на справедливостта и равенството в контекста на образователна и културна среда")</f>
        <v>Аксиологически аспекти на справедливостта и равенството в контекста на образователна и културна среда</v>
      </c>
      <c r="D5765" s="10">
        <f ca="1">IFERROR(__xludf.DUMMYFUNCTION("""COMPUTED_VALUE"""),2014)</f>
        <v>2014</v>
      </c>
      <c r="E5765" s="10" t="str">
        <f ca="1">IFERROR(__xludf.DUMMYFUNCTION("""COMPUTED_VALUE"""),"Научни трудове на УниБИТ. С. 2014 г., т. 12. с. 291-303 ISSN 1314-2623.")</f>
        <v>Научни трудове на УниБИТ. С. 2014 г., т. 12. с. 291-303 ISSN 1314-2623.</v>
      </c>
      <c r="F5765" s="10"/>
      <c r="G5765" s="10"/>
      <c r="H5765" s="10"/>
      <c r="I5765" s="10"/>
      <c r="J5765" s="10"/>
      <c r="K5765" s="10"/>
      <c r="L5765" s="10"/>
      <c r="M5765" s="10"/>
      <c r="N5765" s="10"/>
      <c r="O5765" s="10"/>
      <c r="P5765" s="10"/>
      <c r="Q5765" s="10"/>
      <c r="R5765" s="10"/>
      <c r="S5765" s="10"/>
      <c r="T5765" s="10"/>
      <c r="U5765" s="10"/>
      <c r="V5765" s="10"/>
      <c r="W5765" s="10"/>
      <c r="X5765" s="10"/>
      <c r="Y5765" s="10"/>
      <c r="Z5765" s="10"/>
    </row>
    <row r="5766" spans="1:26" ht="12.75">
      <c r="A5766" s="10" t="str">
        <f ca="1">IFERROR(__xludf.DUMMYFUNCTION("""COMPUTED_VALUE"""),"Мюмюн Мюмюнов Тахиров")</f>
        <v>Мюмюн Мюмюнов Тахиров</v>
      </c>
      <c r="B5766" s="10" t="str">
        <f ca="1">IFERROR(__xludf.DUMMYFUNCTION("""COMPUTED_VALUE"""),"Статия в списания и поредици")</f>
        <v>Статия в списания и поредици</v>
      </c>
      <c r="C5766" s="10" t="str">
        <f ca="1">IFERROR(__xludf.DUMMYFUNCTION("""COMPUTED_VALUE"""),"Балканската интеграция като фактор за утрешна единна Европа")</f>
        <v>Балканската интеграция като фактор за утрешна единна Европа</v>
      </c>
      <c r="D5766" s="10">
        <f ca="1">IFERROR(__xludf.DUMMYFUNCTION("""COMPUTED_VALUE"""),2014)</f>
        <v>2014</v>
      </c>
      <c r="E5766" s="10" t="str">
        <f ca="1">IFERROR(__xludf.DUMMYFUNCTION("""COMPUTED_VALUE"""),"Съвременни измерения на европейското образователно и културно пространство. С., 2014, с. 187-197. ISSN 2367-7988")</f>
        <v>Съвременни измерения на европейското образователно и културно пространство. С., 2014, с. 187-197. ISSN 2367-7988</v>
      </c>
      <c r="F5766" s="10"/>
      <c r="G5766" s="10"/>
      <c r="H5766" s="10"/>
      <c r="I5766" s="10"/>
      <c r="J5766" s="10"/>
      <c r="K5766" s="10"/>
      <c r="L5766" s="10"/>
      <c r="M5766" s="10"/>
      <c r="N5766" s="10"/>
      <c r="O5766" s="10"/>
      <c r="P5766" s="10"/>
      <c r="Q5766" s="10"/>
      <c r="R5766" s="10"/>
      <c r="S5766" s="10"/>
      <c r="T5766" s="10"/>
      <c r="U5766" s="10"/>
      <c r="V5766" s="10"/>
      <c r="W5766" s="10"/>
      <c r="X5766" s="10"/>
      <c r="Y5766" s="10"/>
      <c r="Z5766" s="10"/>
    </row>
    <row r="5767" spans="1:26" ht="12.75">
      <c r="A5767" s="10" t="str">
        <f ca="1">IFERROR(__xludf.DUMMYFUNCTION("""COMPUTED_VALUE"""),"Мюмюн Мюмюнов Тахиров")</f>
        <v>Мюмюн Мюмюнов Тахиров</v>
      </c>
      <c r="B5767" s="10" t="str">
        <f ca="1">IFERROR(__xludf.DUMMYFUNCTION("""COMPUTED_VALUE"""),"Статия в списания и поредици")</f>
        <v>Статия в списания и поредици</v>
      </c>
      <c r="C5767" s="10" t="str">
        <f ca="1">IFERROR(__xludf.DUMMYFUNCTION("""COMPUTED_VALUE"""),"Национализъм и идентичност")</f>
        <v>Национализъм и идентичност</v>
      </c>
      <c r="D5767" s="10">
        <f ca="1">IFERROR(__xludf.DUMMYFUNCTION("""COMPUTED_VALUE"""),2014)</f>
        <v>2014</v>
      </c>
      <c r="E5767" s="10" t="str">
        <f ca="1">IFERROR(__xludf.DUMMYFUNCTION("""COMPUTED_VALUE"""),"сп. Либерален преглед - https://librev.com, 22.04.2014.")</f>
        <v>сп. Либерален преглед - https://librev.com, 22.04.2014.</v>
      </c>
      <c r="F5767" s="10"/>
      <c r="G5767" s="10"/>
      <c r="H5767" s="10"/>
      <c r="I5767" s="10"/>
      <c r="J5767" s="10"/>
      <c r="K5767" s="10"/>
      <c r="L5767" s="10"/>
      <c r="M5767" s="10"/>
      <c r="N5767" s="10"/>
      <c r="O5767" s="10"/>
      <c r="P5767" s="10"/>
      <c r="Q5767" s="10"/>
      <c r="R5767" s="10"/>
      <c r="S5767" s="10"/>
      <c r="T5767" s="10"/>
      <c r="U5767" s="10"/>
      <c r="V5767" s="10"/>
      <c r="W5767" s="10"/>
      <c r="X5767" s="10"/>
      <c r="Y5767" s="10"/>
      <c r="Z5767" s="10"/>
    </row>
    <row r="5768" spans="1:26" ht="12.75">
      <c r="A5768" s="10" t="str">
        <f ca="1">IFERROR(__xludf.DUMMYFUNCTION("""COMPUTED_VALUE"""),"Мюмюн Мюмюнов Тахиров")</f>
        <v>Мюмюн Мюмюнов Тахиров</v>
      </c>
      <c r="B5768" s="10" t="str">
        <f ca="1">IFERROR(__xludf.DUMMYFUNCTION("""COMPUTED_VALUE"""),"Статия в списания и поредици")</f>
        <v>Статия в списания и поредици</v>
      </c>
      <c r="C5768" s="10" t="str">
        <f ca="1">IFERROR(__xludf.DUMMYFUNCTION("""COMPUTED_VALUE"""),"Свободата като ценност или свободата като фактор за смисъла на живота")</f>
        <v>Свободата като ценност или свободата като фактор за смисъла на живота</v>
      </c>
      <c r="D5768" s="10">
        <f ca="1">IFERROR(__xludf.DUMMYFUNCTION("""COMPUTED_VALUE"""),2014)</f>
        <v>2014</v>
      </c>
      <c r="E5768" s="10" t="str">
        <f ca="1">IFERROR(__xludf.DUMMYFUNCTION("""COMPUTED_VALUE"""),"сп. Сигурност, бр.1-2/2014. ISSN 2367-6833")</f>
        <v>сп. Сигурност, бр.1-2/2014. ISSN 2367-6833</v>
      </c>
      <c r="F5768" s="10"/>
      <c r="G5768" s="10"/>
      <c r="H5768" s="10"/>
      <c r="I5768" s="10"/>
      <c r="J5768" s="10"/>
      <c r="K5768" s="10"/>
      <c r="L5768" s="10"/>
      <c r="M5768" s="10"/>
      <c r="N5768" s="10"/>
      <c r="O5768" s="10"/>
      <c r="P5768" s="10"/>
      <c r="Q5768" s="10"/>
      <c r="R5768" s="10"/>
      <c r="S5768" s="10"/>
      <c r="T5768" s="10"/>
      <c r="U5768" s="10"/>
      <c r="V5768" s="10"/>
      <c r="W5768" s="10"/>
      <c r="X5768" s="10"/>
      <c r="Y5768" s="10"/>
      <c r="Z5768" s="10"/>
    </row>
    <row r="5769" spans="1:26" ht="12.75">
      <c r="A5769" s="10" t="str">
        <f ca="1">IFERROR(__xludf.DUMMYFUNCTION("""COMPUTED_VALUE"""),"Мюмюн Мюмюнов Тахиров")</f>
        <v>Мюмюн Мюмюнов Тахиров</v>
      </c>
      <c r="B5769" s="10" t="str">
        <f ca="1">IFERROR(__xludf.DUMMYFUNCTION("""COMPUTED_VALUE"""),"Статия в списания и поредици")</f>
        <v>Статия в списания и поредици</v>
      </c>
      <c r="C5769" s="10" t="str">
        <f ca="1">IFERROR(__xludf.DUMMYFUNCTION("""COMPUTED_VALUE"""),"Фундаментализмът – заплаха за сигурността")</f>
        <v>Фундаментализмът – заплаха за сигурността</v>
      </c>
      <c r="D5769" s="10">
        <f ca="1">IFERROR(__xludf.DUMMYFUNCTION("""COMPUTED_VALUE"""),2013)</f>
        <v>2013</v>
      </c>
      <c r="E5769" s="10" t="str">
        <f ca="1">IFERROR(__xludf.DUMMYFUNCTION("""COMPUTED_VALUE"""),"Нови информационни технологии в образователния процес. С., 2013 г., с. 379- 398. ISSN 1313-2768")</f>
        <v>Нови информационни технологии в образователния процес. С., 2013 г., с. 379- 398. ISSN 1313-2768</v>
      </c>
      <c r="F5769" s="10"/>
      <c r="G5769" s="10"/>
      <c r="H5769" s="10"/>
      <c r="I5769" s="10"/>
      <c r="J5769" s="10"/>
      <c r="K5769" s="10"/>
      <c r="L5769" s="10"/>
      <c r="M5769" s="10"/>
      <c r="N5769" s="10"/>
      <c r="O5769" s="10"/>
      <c r="P5769" s="10"/>
      <c r="Q5769" s="10"/>
      <c r="R5769" s="10"/>
      <c r="S5769" s="10"/>
      <c r="T5769" s="10"/>
      <c r="U5769" s="10"/>
      <c r="V5769" s="10"/>
      <c r="W5769" s="10"/>
      <c r="X5769" s="10"/>
      <c r="Y5769" s="10"/>
      <c r="Z5769" s="10"/>
    </row>
    <row r="5770" spans="1:26" ht="12.75">
      <c r="A5770" s="10" t="str">
        <f ca="1">IFERROR(__xludf.DUMMYFUNCTION("""COMPUTED_VALUE"""),"Мюмюн Мюмюнов Тахиров")</f>
        <v>Мюмюн Мюмюнов Тахиров</v>
      </c>
      <c r="B5770" s="10" t="str">
        <f ca="1">IFERROR(__xludf.DUMMYFUNCTION("""COMPUTED_VALUE"""),"Статия в списания и поредици")</f>
        <v>Статия в списания и поредици</v>
      </c>
      <c r="C5770" s="10" t="str">
        <f ca="1">IFERROR(__xludf.DUMMYFUNCTION("""COMPUTED_VALUE"""),"Културно-интеграционната сигурност – елемент на националната сигурност")</f>
        <v>Културно-интеграционната сигурност – елемент на националната сигурност</v>
      </c>
      <c r="D5770" s="10">
        <f ca="1">IFERROR(__xludf.DUMMYFUNCTION("""COMPUTED_VALUE"""),2013)</f>
        <v>2013</v>
      </c>
      <c r="E5770" s="10" t="str">
        <f ca="1">IFERROR(__xludf.DUMMYFUNCTION("""COMPUTED_VALUE"""),"Национална сигурност: духовност и лидерство, №7. 2013, с. 31-40. ISBN 1313-8782")</f>
        <v>Национална сигурност: духовност и лидерство, №7. 2013, с. 31-40. ISBN 1313-8782</v>
      </c>
      <c r="F5770" s="10"/>
      <c r="G5770" s="10"/>
      <c r="H5770" s="10"/>
      <c r="I5770" s="10"/>
      <c r="J5770" s="10"/>
      <c r="K5770" s="10"/>
      <c r="L5770" s="10"/>
      <c r="M5770" s="10"/>
      <c r="N5770" s="10"/>
      <c r="O5770" s="10"/>
      <c r="P5770" s="10"/>
      <c r="Q5770" s="10"/>
      <c r="R5770" s="10"/>
      <c r="S5770" s="10"/>
      <c r="T5770" s="10"/>
      <c r="U5770" s="10"/>
      <c r="V5770" s="10"/>
      <c r="W5770" s="10"/>
      <c r="X5770" s="10"/>
      <c r="Y5770" s="10"/>
      <c r="Z5770" s="10"/>
    </row>
    <row r="5771" spans="1:26" ht="12.75">
      <c r="A5771" s="10" t="str">
        <f ca="1">IFERROR(__xludf.DUMMYFUNCTION("""COMPUTED_VALUE"""),"Мюмюн Мюмюнов Тахиров")</f>
        <v>Мюмюн Мюмюнов Тахиров</v>
      </c>
      <c r="B5771" s="10" t="str">
        <f ca="1">IFERROR(__xludf.DUMMYFUNCTION("""COMPUTED_VALUE"""),"Статия в списания и поредици")</f>
        <v>Статия в списания и поредици</v>
      </c>
      <c r="C5771" s="10" t="str">
        <f ca="1">IFERROR(__xludf.DUMMYFUNCTION("""COMPUTED_VALUE"""),"Културна интеграция и етническа толерантност")</f>
        <v>Културна интеграция и етническа толерантност</v>
      </c>
      <c r="D5771" s="10">
        <f ca="1">IFERROR(__xludf.DUMMYFUNCTION("""COMPUTED_VALUE"""),2013)</f>
        <v>2013</v>
      </c>
      <c r="E5771" s="10" t="str">
        <f ca="1">IFERROR(__xludf.DUMMYFUNCTION("""COMPUTED_VALUE"""),"Моята девиза беше… Изд. на ПЕПС „Проф. д-р Иван Шишманов”, 2013 г., с.126-134.")</f>
        <v>Моята девиза беше… Изд. на ПЕПС „Проф. д-р Иван Шишманов”, 2013 г., с.126-134.</v>
      </c>
      <c r="F5771" s="10"/>
      <c r="G5771" s="10"/>
      <c r="H5771" s="10"/>
      <c r="I5771" s="10"/>
      <c r="J5771" s="10"/>
      <c r="K5771" s="10"/>
      <c r="L5771" s="10"/>
      <c r="M5771" s="10"/>
      <c r="N5771" s="10"/>
      <c r="O5771" s="10"/>
      <c r="P5771" s="10"/>
      <c r="Q5771" s="10"/>
      <c r="R5771" s="10"/>
      <c r="S5771" s="10"/>
      <c r="T5771" s="10"/>
      <c r="U5771" s="10"/>
      <c r="V5771" s="10"/>
      <c r="W5771" s="10"/>
      <c r="X5771" s="10"/>
      <c r="Y5771" s="10"/>
      <c r="Z5771" s="10"/>
    </row>
    <row r="5772" spans="1:26" ht="12.75">
      <c r="A5772" s="10" t="str">
        <f ca="1">IFERROR(__xludf.DUMMYFUNCTION("""COMPUTED_VALUE"""),"Мюмюн Мюмюнов Тахиров")</f>
        <v>Мюмюн Мюмюнов Тахиров</v>
      </c>
      <c r="B5772" s="10" t="str">
        <f ca="1">IFERROR(__xludf.DUMMYFUNCTION("""COMPUTED_VALUE"""),"Статия в списания и поредици")</f>
        <v>Статия в списания и поредици</v>
      </c>
      <c r="C5772" s="10" t="str">
        <f ca="1">IFERROR(__xludf.DUMMYFUNCTION("""COMPUTED_VALUE"""),"Дългият път към село – едно дълго завръщане")</f>
        <v>Дългият път към село – едно дълго завръщане</v>
      </c>
      <c r="D5772" s="10">
        <f ca="1">IFERROR(__xludf.DUMMYFUNCTION("""COMPUTED_VALUE"""),2013)</f>
        <v>2013</v>
      </c>
      <c r="E5772" s="10" t="str">
        <f ca="1">IFERROR(__xludf.DUMMYFUNCTION("""COMPUTED_VALUE"""),"Дългото пътуване към селото. Bulgaria Rusticana. S., 2013 г. с. 49-56. ISBN 978-954-8465-78-6")</f>
        <v>Дългото пътуване към селото. Bulgaria Rusticana. S., 2013 г. с. 49-56. ISBN 978-954-8465-78-6</v>
      </c>
      <c r="F5772" s="10"/>
      <c r="G5772" s="10" t="str">
        <f ca="1">IFERROR(__xludf.DUMMYFUNCTION("""COMPUTED_VALUE"""),"Богдана Тодорова")</f>
        <v>Богдана Тодорова</v>
      </c>
      <c r="H5772" s="10"/>
      <c r="I5772" s="10"/>
      <c r="J5772" s="10"/>
      <c r="K5772" s="10"/>
      <c r="L5772" s="10"/>
      <c r="M5772" s="10"/>
      <c r="N5772" s="10"/>
      <c r="O5772" s="10"/>
      <c r="P5772" s="10"/>
      <c r="Q5772" s="10"/>
      <c r="R5772" s="10"/>
      <c r="S5772" s="10"/>
      <c r="T5772" s="10"/>
      <c r="U5772" s="10"/>
      <c r="V5772" s="10"/>
      <c r="W5772" s="10"/>
      <c r="X5772" s="10"/>
      <c r="Y5772" s="10"/>
      <c r="Z5772" s="10"/>
    </row>
    <row r="5773" spans="1:26" ht="12.75">
      <c r="A5773" s="10" t="str">
        <f ca="1">IFERROR(__xludf.DUMMYFUNCTION("""COMPUTED_VALUE"""),"Мюмюн Мюмюнов Тахиров")</f>
        <v>Мюмюн Мюмюнов Тахиров</v>
      </c>
      <c r="B5773" s="10" t="str">
        <f ca="1">IFERROR(__xludf.DUMMYFUNCTION("""COMPUTED_VALUE"""),"Статия в списания и поредици")</f>
        <v>Статия в списания и поредици</v>
      </c>
      <c r="C5773" s="10" t="str">
        <f ca="1">IFERROR(__xludf.DUMMYFUNCTION("""COMPUTED_VALUE"""),"Множествена времевост и междукултурни общувания")</f>
        <v>Множествена времевост и междукултурни общувания</v>
      </c>
      <c r="D5773" s="10">
        <f ca="1">IFERROR(__xludf.DUMMYFUNCTION("""COMPUTED_VALUE"""),2013)</f>
        <v>2013</v>
      </c>
      <c r="E5773" s="10" t="str">
        <f ca="1">IFERROR(__xludf.DUMMYFUNCTION("""COMPUTED_VALUE"""),"Управленски и маркетингови проблеми на арторганизации. Пд. 2013, с.98-106")</f>
        <v>Управленски и маркетингови проблеми на арторганизации. Пд. 2013, с.98-106</v>
      </c>
      <c r="F5773" s="10"/>
      <c r="G5773" s="10"/>
      <c r="H5773" s="10"/>
      <c r="I5773" s="10"/>
      <c r="J5773" s="10"/>
      <c r="K5773" s="10"/>
      <c r="L5773" s="10"/>
      <c r="M5773" s="10"/>
      <c r="N5773" s="10"/>
      <c r="O5773" s="10"/>
      <c r="P5773" s="10"/>
      <c r="Q5773" s="10"/>
      <c r="R5773" s="10"/>
      <c r="S5773" s="10"/>
      <c r="T5773" s="10"/>
      <c r="U5773" s="10"/>
      <c r="V5773" s="10"/>
      <c r="W5773" s="10"/>
      <c r="X5773" s="10"/>
      <c r="Y5773" s="10"/>
      <c r="Z5773" s="10"/>
    </row>
    <row r="5774" spans="1:26" ht="12.75">
      <c r="A5774" s="10" t="str">
        <f ca="1">IFERROR(__xludf.DUMMYFUNCTION("""COMPUTED_VALUE"""),"Мюмюн Мюмюнов Тахиров")</f>
        <v>Мюмюн Мюмюнов Тахиров</v>
      </c>
      <c r="B5774" s="10" t="str">
        <f ca="1">IFERROR(__xludf.DUMMYFUNCTION("""COMPUTED_VALUE"""),"Статия в списания и поредици")</f>
        <v>Статия в списания и поредици</v>
      </c>
      <c r="C5774" s="10" t="str">
        <f ca="1">IFERROR(__xludf.DUMMYFUNCTION("""COMPUTED_VALUE"""),"Времена и културно общуване")</f>
        <v>Времена и културно общуване</v>
      </c>
      <c r="D5774" s="10">
        <f ca="1">IFERROR(__xludf.DUMMYFUNCTION("""COMPUTED_VALUE"""),2013)</f>
        <v>2013</v>
      </c>
      <c r="E5774" s="10" t="str">
        <f ca="1">IFERROR(__xludf.DUMMYFUNCTION("""COMPUTED_VALUE"""),"www.kircaalihaber, 2013")</f>
        <v>www.kircaalihaber, 2013</v>
      </c>
      <c r="F5774" s="10"/>
      <c r="G5774" s="10"/>
      <c r="H5774" s="10"/>
      <c r="I5774" s="10"/>
      <c r="J5774" s="10"/>
      <c r="K5774" s="10"/>
      <c r="L5774" s="10"/>
      <c r="M5774" s="10"/>
      <c r="N5774" s="10"/>
      <c r="O5774" s="10"/>
      <c r="P5774" s="10"/>
      <c r="Q5774" s="10"/>
      <c r="R5774" s="10"/>
      <c r="S5774" s="10"/>
      <c r="T5774" s="10"/>
      <c r="U5774" s="10"/>
      <c r="V5774" s="10"/>
      <c r="W5774" s="10"/>
      <c r="X5774" s="10"/>
      <c r="Y5774" s="10"/>
      <c r="Z5774" s="10"/>
    </row>
    <row r="5775" spans="1:26" ht="12.75">
      <c r="A5775" s="10" t="str">
        <f ca="1">IFERROR(__xludf.DUMMYFUNCTION("""COMPUTED_VALUE"""),"Мюмюн Мюмюнов Тахиров")</f>
        <v>Мюмюн Мюмюнов Тахиров</v>
      </c>
      <c r="B5775" s="10" t="str">
        <f ca="1">IFERROR(__xludf.DUMMYFUNCTION("""COMPUTED_VALUE"""),"Статия в списания и поредици")</f>
        <v>Статия в списания и поредици</v>
      </c>
      <c r="C5775" s="10" t="str">
        <f ca="1">IFERROR(__xludf.DUMMYFUNCTION("""COMPUTED_VALUE"""),"Лидерът – идея и реалност")</f>
        <v>Лидерът – идея и реалност</v>
      </c>
      <c r="D5775" s="10">
        <f ca="1">IFERROR(__xludf.DUMMYFUNCTION("""COMPUTED_VALUE"""),2012)</f>
        <v>2012</v>
      </c>
      <c r="E5775" s="10" t="str">
        <f ca="1">IFERROR(__xludf.DUMMYFUNCTION("""COMPUTED_VALUE"""),"Лидерството в криза или криза в лидерството. С. 2012 г., с. 100-109. ISBN 1313-8782")</f>
        <v>Лидерството в криза или криза в лидерството. С. 2012 г., с. 100-109. ISBN 1313-8782</v>
      </c>
      <c r="F5775" s="10"/>
      <c r="G5775" s="10"/>
      <c r="H5775" s="10"/>
      <c r="I5775" s="10"/>
      <c r="J5775" s="10"/>
      <c r="K5775" s="10"/>
      <c r="L5775" s="10"/>
      <c r="M5775" s="10"/>
      <c r="N5775" s="10"/>
      <c r="O5775" s="10"/>
      <c r="P5775" s="10"/>
      <c r="Q5775" s="10"/>
      <c r="R5775" s="10"/>
      <c r="S5775" s="10"/>
      <c r="T5775" s="10"/>
      <c r="U5775" s="10"/>
      <c r="V5775" s="10"/>
      <c r="W5775" s="10"/>
      <c r="X5775" s="10"/>
      <c r="Y5775" s="10"/>
      <c r="Z5775" s="10"/>
    </row>
    <row r="5776" spans="1:26" ht="12.75">
      <c r="A5776" s="10" t="str">
        <f ca="1">IFERROR(__xludf.DUMMYFUNCTION("""COMPUTED_VALUE"""),"Мюмюн Мюмюнов Тахиров")</f>
        <v>Мюмюн Мюмюнов Тахиров</v>
      </c>
      <c r="B5776" s="10" t="str">
        <f ca="1">IFERROR(__xludf.DUMMYFUNCTION("""COMPUTED_VALUE"""),"Статия в списания и поредици")</f>
        <v>Статия в списания и поредици</v>
      </c>
      <c r="C5776" s="10" t="str">
        <f ca="1">IFERROR(__xludf.DUMMYFUNCTION("""COMPUTED_VALUE"""),"Постмодерни измерения на мултикултурната дезинтеграция и интегриращата идентичност")</f>
        <v>Постмодерни измерения на мултикултурната дезинтеграция и интегриращата идентичност</v>
      </c>
      <c r="D5776" s="10">
        <f ca="1">IFERROR(__xludf.DUMMYFUNCTION("""COMPUTED_VALUE"""),2012)</f>
        <v>2012</v>
      </c>
      <c r="E5776" s="10" t="str">
        <f ca="1">IFERROR(__xludf.DUMMYFUNCTION("""COMPUTED_VALUE"""),"Научни трудове, т. І. Изд. на Фондация „Национална и международна сигурност”, 2012 г., с. 207-222. ISSN 1314-2623")</f>
        <v>Научни трудове, т. І. Изд. на Фондация „Национална и международна сигурност”, 2012 г., с. 207-222. ISSN 1314-2623</v>
      </c>
      <c r="F5776" s="10"/>
      <c r="G5776" s="10"/>
      <c r="H5776" s="10"/>
      <c r="I5776" s="10"/>
      <c r="J5776" s="10"/>
      <c r="K5776" s="10"/>
      <c r="L5776" s="10"/>
      <c r="M5776" s="10"/>
      <c r="N5776" s="10"/>
      <c r="O5776" s="10"/>
      <c r="P5776" s="10"/>
      <c r="Q5776" s="10"/>
      <c r="R5776" s="10"/>
      <c r="S5776" s="10"/>
      <c r="T5776" s="10"/>
      <c r="U5776" s="10"/>
      <c r="V5776" s="10"/>
      <c r="W5776" s="10"/>
      <c r="X5776" s="10"/>
      <c r="Y5776" s="10"/>
      <c r="Z5776" s="10"/>
    </row>
    <row r="5777" spans="1:26" ht="12.75">
      <c r="A5777" s="10" t="str">
        <f ca="1">IFERROR(__xludf.DUMMYFUNCTION("""COMPUTED_VALUE"""),"Мюмюн Мюмюнов Тахиров")</f>
        <v>Мюмюн Мюмюнов Тахиров</v>
      </c>
      <c r="B5777" s="10" t="str">
        <f ca="1">IFERROR(__xludf.DUMMYFUNCTION("""COMPUTED_VALUE"""),"Статия в списания и поредици")</f>
        <v>Статия в списания и поредици</v>
      </c>
      <c r="C5777" s="10" t="str">
        <f ca="1">IFERROR(__xludf.DUMMYFUNCTION("""COMPUTED_VALUE"""),"Перестройка, преход, постсоциализъм")</f>
        <v>Перестройка, преход, постсоциализъм</v>
      </c>
      <c r="D5777" s="10">
        <f ca="1">IFERROR(__xludf.DUMMYFUNCTION("""COMPUTED_VALUE"""),2012)</f>
        <v>2012</v>
      </c>
      <c r="E5777" s="10" t="str">
        <f ca="1">IFERROR(__xludf.DUMMYFUNCTION("""COMPUTED_VALUE"""),"- сп. Понеделник, бр.11-12/2012, с. 39-42")</f>
        <v>- сп. Понеделник, бр.11-12/2012, с. 39-42</v>
      </c>
      <c r="F5777" s="10"/>
      <c r="G5777" s="10"/>
      <c r="H5777" s="10"/>
      <c r="I5777" s="10"/>
      <c r="J5777" s="10"/>
      <c r="K5777" s="10"/>
      <c r="L5777" s="10"/>
      <c r="M5777" s="10"/>
      <c r="N5777" s="10"/>
      <c r="O5777" s="10"/>
      <c r="P5777" s="10"/>
      <c r="Q5777" s="10"/>
      <c r="R5777" s="10"/>
      <c r="S5777" s="10"/>
      <c r="T5777" s="10"/>
      <c r="U5777" s="10"/>
      <c r="V5777" s="10"/>
      <c r="W5777" s="10"/>
      <c r="X5777" s="10"/>
      <c r="Y5777" s="10"/>
      <c r="Z5777" s="10"/>
    </row>
    <row r="5778" spans="1:26" ht="12.75">
      <c r="A5778" s="10" t="str">
        <f ca="1">IFERROR(__xludf.DUMMYFUNCTION("""COMPUTED_VALUE"""),"Мюмюн Мюмюнов Тахиров")</f>
        <v>Мюмюн Мюмюнов Тахиров</v>
      </c>
      <c r="B5778" s="10" t="str">
        <f ca="1">IFERROR(__xludf.DUMMYFUNCTION("""COMPUTED_VALUE"""),"Статия в списания и поредици")</f>
        <v>Статия в списания и поредици</v>
      </c>
      <c r="C5778" s="10" t="str">
        <f ca="1">IFERROR(__xludf.DUMMYFUNCTION("""COMPUTED_VALUE"""),"Училището – фактор за интензификация на процесите на културна интеграция в района на Източните Родопи")</f>
        <v>Училището – фактор за интензификация на процесите на културна интеграция в района на Източните Родопи</v>
      </c>
      <c r="D5778" s="10">
        <f ca="1">IFERROR(__xludf.DUMMYFUNCTION("""COMPUTED_VALUE"""),2012)</f>
        <v>2012</v>
      </c>
      <c r="E5778" s="10" t="str">
        <f ca="1">IFERROR(__xludf.DUMMYFUNCTION("""COMPUTED_VALUE"""),"В:- Образователни въпросителни през българското село. Т., 2012 г., с. 233-241. ISBN 978-954-8465-78-6")</f>
        <v>В:- Образователни въпросителни през българското село. Т., 2012 г., с. 233-241. ISBN 978-954-8465-78-6</v>
      </c>
      <c r="F5778" s="10"/>
      <c r="G5778" s="10" t="str">
        <f ca="1">IFERROR(__xludf.DUMMYFUNCTION("""COMPUTED_VALUE"""),"Богдана Тодорова")</f>
        <v>Богдана Тодорова</v>
      </c>
      <c r="H5778" s="10"/>
      <c r="I5778" s="10"/>
      <c r="J5778" s="10"/>
      <c r="K5778" s="10"/>
      <c r="L5778" s="10"/>
      <c r="M5778" s="10"/>
      <c r="N5778" s="10"/>
      <c r="O5778" s="10"/>
      <c r="P5778" s="10"/>
      <c r="Q5778" s="10"/>
      <c r="R5778" s="10"/>
      <c r="S5778" s="10"/>
      <c r="T5778" s="10"/>
      <c r="U5778" s="10"/>
      <c r="V5778" s="10"/>
      <c r="W5778" s="10"/>
      <c r="X5778" s="10"/>
      <c r="Y5778" s="10"/>
      <c r="Z5778" s="10"/>
    </row>
    <row r="5779" spans="1:26" ht="12.75">
      <c r="A5779" s="10" t="str">
        <f ca="1">IFERROR(__xludf.DUMMYFUNCTION("""COMPUTED_VALUE"""),"Мюмюн Мюмюнов Тахиров")</f>
        <v>Мюмюн Мюмюнов Тахиров</v>
      </c>
      <c r="B5779" s="10" t="str">
        <f ca="1">IFERROR(__xludf.DUMMYFUNCTION("""COMPUTED_VALUE"""),"Статия в списания и поредици")</f>
        <v>Статия в списания и поредици</v>
      </c>
      <c r="C5779" s="10" t="str">
        <f ca="1">IFERROR(__xludf.DUMMYFUNCTION("""COMPUTED_VALUE"""),"Неравенство, равенство, интеграция")</f>
        <v>Неравенство, равенство, интеграция</v>
      </c>
      <c r="D5779" s="10">
        <f ca="1">IFERROR(__xludf.DUMMYFUNCTION("""COMPUTED_VALUE"""),2012)</f>
        <v>2012</v>
      </c>
      <c r="E5779" s="10" t="str">
        <f ca="1">IFERROR(__xludf.DUMMYFUNCTION("""COMPUTED_VALUE"""),"сп. Везни, бр.4/2012, с.74-80.")</f>
        <v>сп. Везни, бр.4/2012, с.74-80.</v>
      </c>
      <c r="F5779" s="10"/>
      <c r="G5779" s="10"/>
      <c r="H5779" s="10"/>
      <c r="I5779" s="10"/>
      <c r="J5779" s="10"/>
      <c r="K5779" s="10"/>
      <c r="L5779" s="10"/>
      <c r="M5779" s="10"/>
      <c r="N5779" s="10"/>
      <c r="O5779" s="10"/>
      <c r="P5779" s="10"/>
      <c r="Q5779" s="10"/>
      <c r="R5779" s="10"/>
      <c r="S5779" s="10"/>
      <c r="T5779" s="10"/>
      <c r="U5779" s="10"/>
      <c r="V5779" s="10"/>
      <c r="W5779" s="10"/>
      <c r="X5779" s="10"/>
      <c r="Y5779" s="10"/>
      <c r="Z5779" s="10"/>
    </row>
    <row r="5780" spans="1:26" ht="12.75">
      <c r="A5780" s="10" t="str">
        <f ca="1">IFERROR(__xludf.DUMMYFUNCTION("""COMPUTED_VALUE"""),"Мюмюн Мюмюнов Тахиров")</f>
        <v>Мюмюн Мюмюнов Тахиров</v>
      </c>
      <c r="B5780" s="10" t="str">
        <f ca="1">IFERROR(__xludf.DUMMYFUNCTION("""COMPUTED_VALUE"""),"Статия в списания и поредици")</f>
        <v>Статия в списания и поредици</v>
      </c>
      <c r="C5780" s="10" t="str">
        <f ca="1">IFERROR(__xludf.DUMMYFUNCTION("""COMPUTED_VALUE"""),"Обединена Европа и българските културни ценности")</f>
        <v>Обединена Европа и българските културни ценности</v>
      </c>
      <c r="D5780" s="10">
        <f ca="1">IFERROR(__xludf.DUMMYFUNCTION("""COMPUTED_VALUE"""),2012)</f>
        <v>2012</v>
      </c>
      <c r="E5780" s="10" t="str">
        <f ca="1">IFERROR(__xludf.DUMMYFUNCTION("""COMPUTED_VALUE"""),"Български национални ценности. Статика и динамика в евроинтеграционния процес. С. 2012. ISBN 978-954-8765-13-8.")</f>
        <v>Български национални ценности. Статика и динамика в евроинтеграционния процес. С. 2012. ISBN 978-954-8765-13-8.</v>
      </c>
      <c r="F5780" s="10"/>
      <c r="G5780" s="10"/>
      <c r="H5780" s="10"/>
      <c r="I5780" s="10"/>
      <c r="J5780" s="10"/>
      <c r="K5780" s="10"/>
      <c r="L5780" s="10"/>
      <c r="M5780" s="10"/>
      <c r="N5780" s="10"/>
      <c r="O5780" s="10"/>
      <c r="P5780" s="10"/>
      <c r="Q5780" s="10"/>
      <c r="R5780" s="10"/>
      <c r="S5780" s="10"/>
      <c r="T5780" s="10"/>
      <c r="U5780" s="10"/>
      <c r="V5780" s="10"/>
      <c r="W5780" s="10"/>
      <c r="X5780" s="10"/>
      <c r="Y5780" s="10"/>
      <c r="Z5780" s="10"/>
    </row>
    <row r="5781" spans="1:26" ht="12.75">
      <c r="A5781" s="10" t="str">
        <f ca="1">IFERROR(__xludf.DUMMYFUNCTION("""COMPUTED_VALUE"""),"Мюмюн Мюмюнов Тахиров")</f>
        <v>Мюмюн Мюмюнов Тахиров</v>
      </c>
      <c r="B5781" s="10" t="str">
        <f ca="1">IFERROR(__xludf.DUMMYFUNCTION("""COMPUTED_VALUE"""),"Статия в списания и поредици")</f>
        <v>Статия в списания и поредици</v>
      </c>
      <c r="C5781" s="10" t="str">
        <f ca="1">IFERROR(__xludf.DUMMYFUNCTION("""COMPUTED_VALUE"""),"Жажда за съвместност, единение и взаимност")</f>
        <v>Жажда за съвместност, единение и взаимност</v>
      </c>
      <c r="D5781" s="10">
        <f ca="1">IFERROR(__xludf.DUMMYFUNCTION("""COMPUTED_VALUE"""),2011)</f>
        <v>2011</v>
      </c>
      <c r="E5781" s="10" t="str">
        <f ca="1">IFERROR(__xludf.DUMMYFUNCTION("""COMPUTED_VALUE"""),"www.kircaalihaber, 2011")</f>
        <v>www.kircaalihaber, 2011</v>
      </c>
      <c r="F5781" s="10"/>
      <c r="G5781" s="10"/>
      <c r="H5781" s="10"/>
      <c r="I5781" s="10"/>
      <c r="J5781" s="10"/>
      <c r="K5781" s="10"/>
      <c r="L5781" s="10"/>
      <c r="M5781" s="10"/>
      <c r="N5781" s="10"/>
      <c r="O5781" s="10"/>
      <c r="P5781" s="10"/>
      <c r="Q5781" s="10"/>
      <c r="R5781" s="10"/>
      <c r="S5781" s="10"/>
      <c r="T5781" s="10"/>
      <c r="U5781" s="10"/>
      <c r="V5781" s="10"/>
      <c r="W5781" s="10"/>
      <c r="X5781" s="10"/>
      <c r="Y5781" s="10"/>
      <c r="Z5781" s="10"/>
    </row>
    <row r="5782" spans="1:26" ht="12.75">
      <c r="A5782" s="10" t="str">
        <f ca="1">IFERROR(__xludf.DUMMYFUNCTION("""COMPUTED_VALUE"""),"Мюмюн Мюмюнов Тахиров")</f>
        <v>Мюмюн Мюмюнов Тахиров</v>
      </c>
      <c r="B5782" s="10" t="str">
        <f ca="1">IFERROR(__xludf.DUMMYFUNCTION("""COMPUTED_VALUE"""),"Статия в списания и поредици")</f>
        <v>Статия в списания и поредици</v>
      </c>
      <c r="C5782" s="10" t="str">
        <f ca="1">IFERROR(__xludf.DUMMYFUNCTION("""COMPUTED_VALUE"""),"Българският модел на междуетнически отношения като философия на съвременното общество")</f>
        <v>Българският модел на междуетнически отношения като философия на съвременното общество</v>
      </c>
      <c r="D5782" s="10">
        <f ca="1">IFERROR(__xludf.DUMMYFUNCTION("""COMPUTED_VALUE"""),2011)</f>
        <v>2011</v>
      </c>
      <c r="E5782" s="10" t="str">
        <f ca="1">IFERROR(__xludf.DUMMYFUNCTION("""COMPUTED_VALUE"""),"Българският етнически модел. Политическа митология или проблемна реалност. С., 2011 г., с. 142-163.")</f>
        <v>Българският етнически модел. Политическа митология или проблемна реалност. С., 2011 г., с. 142-163.</v>
      </c>
      <c r="F5782" s="10"/>
      <c r="G5782" s="10"/>
      <c r="H5782" s="10"/>
      <c r="I5782" s="10"/>
      <c r="J5782" s="10"/>
      <c r="K5782" s="10"/>
      <c r="L5782" s="10"/>
      <c r="M5782" s="10"/>
      <c r="N5782" s="10"/>
      <c r="O5782" s="10"/>
      <c r="P5782" s="10"/>
      <c r="Q5782" s="10"/>
      <c r="R5782" s="10"/>
      <c r="S5782" s="10"/>
      <c r="T5782" s="10"/>
      <c r="U5782" s="10"/>
      <c r="V5782" s="10"/>
      <c r="W5782" s="10"/>
      <c r="X5782" s="10"/>
      <c r="Y5782" s="10"/>
      <c r="Z5782" s="10"/>
    </row>
    <row r="5783" spans="1:26" ht="12.75">
      <c r="A5783" s="10" t="str">
        <f ca="1">IFERROR(__xludf.DUMMYFUNCTION("""COMPUTED_VALUE"""),"Мюмюн Мюмюнов Тахиров")</f>
        <v>Мюмюн Мюмюнов Тахиров</v>
      </c>
      <c r="B5783" s="10" t="str">
        <f ca="1">IFERROR(__xludf.DUMMYFUNCTION("""COMPUTED_VALUE"""),"Монография")</f>
        <v>Монография</v>
      </c>
      <c r="C5783" s="10" t="str">
        <f ca="1">IFERROR(__xludf.DUMMYFUNCTION("""COMPUTED_VALUE"""),"Към интегрираща идентичност")</f>
        <v>Към интегрираща идентичност</v>
      </c>
      <c r="D5783" s="10">
        <f ca="1">IFERROR(__xludf.DUMMYFUNCTION("""COMPUTED_VALUE"""),2011)</f>
        <v>2011</v>
      </c>
      <c r="E5783" s="10" t="str">
        <f ca="1">IFERROR(__xludf.DUMMYFUNCTION("""COMPUTED_VALUE"""),"Академия за европейска култура „Орфеева лира”, С., 2011. ISBN 978-954-2931-04-01.")</f>
        <v>Академия за европейска култура „Орфеева лира”, С., 2011. ISBN 978-954-2931-04-01.</v>
      </c>
      <c r="F5783" s="10"/>
      <c r="G5783" s="10"/>
      <c r="H5783" s="10"/>
      <c r="I5783" s="10"/>
      <c r="J5783" s="10"/>
      <c r="K5783" s="10"/>
      <c r="L5783" s="10"/>
      <c r="M5783" s="10"/>
      <c r="N5783" s="10"/>
      <c r="O5783" s="10"/>
      <c r="P5783" s="10"/>
      <c r="Q5783" s="10"/>
      <c r="R5783" s="10"/>
      <c r="S5783" s="10"/>
      <c r="T5783" s="10"/>
      <c r="U5783" s="10"/>
      <c r="V5783" s="10"/>
      <c r="W5783" s="10"/>
      <c r="X5783" s="10"/>
      <c r="Y5783" s="10"/>
      <c r="Z5783" s="10"/>
    </row>
    <row r="5784" spans="1:26" ht="12.75">
      <c r="A5784" s="10" t="str">
        <f ca="1">IFERROR(__xludf.DUMMYFUNCTION("""COMPUTED_VALUE"""),"Мюмюн Мюмюнов Тахиров")</f>
        <v>Мюмюн Мюмюнов Тахиров</v>
      </c>
      <c r="B5784" s="10" t="str">
        <f ca="1">IFERROR(__xludf.DUMMYFUNCTION("""COMPUTED_VALUE"""),"Статия в списания и поредици")</f>
        <v>Статия в списания и поредици</v>
      </c>
      <c r="C5784" s="10" t="str">
        <f ca="1">IFERROR(__xludf.DUMMYFUNCTION("""COMPUTED_VALUE"""),"Публични политики и интеркултурно възпитание")</f>
        <v>Публични политики и интеркултурно възпитание</v>
      </c>
      <c r="D5784" s="10">
        <f ca="1">IFERROR(__xludf.DUMMYFUNCTION("""COMPUTED_VALUE"""),2010)</f>
        <v>2010</v>
      </c>
      <c r="E5784" s="10" t="str">
        <f ca="1">IFERROR(__xludf.DUMMYFUNCTION("""COMPUTED_VALUE"""),"„Словото днес”, бр.8/7.10.2010 г.")</f>
        <v>„Словото днес”, бр.8/7.10.2010 г.</v>
      </c>
      <c r="F5784" s="10"/>
      <c r="G5784" s="10"/>
      <c r="H5784" s="10"/>
      <c r="I5784" s="10"/>
      <c r="J5784" s="10"/>
      <c r="K5784" s="10"/>
      <c r="L5784" s="10"/>
      <c r="M5784" s="10"/>
      <c r="N5784" s="10"/>
      <c r="O5784" s="10"/>
      <c r="P5784" s="10"/>
      <c r="Q5784" s="10"/>
      <c r="R5784" s="10"/>
      <c r="S5784" s="10"/>
      <c r="T5784" s="10"/>
      <c r="U5784" s="10"/>
      <c r="V5784" s="10"/>
      <c r="W5784" s="10"/>
      <c r="X5784" s="10"/>
      <c r="Y5784" s="10"/>
      <c r="Z5784" s="10"/>
    </row>
    <row r="5785" spans="1:26" ht="12.75">
      <c r="A5785" s="10" t="str">
        <f ca="1">IFERROR(__xludf.DUMMYFUNCTION("""COMPUTED_VALUE"""),"Мюмюн Мюмюнов Тахиров")</f>
        <v>Мюмюн Мюмюнов Тахиров</v>
      </c>
      <c r="B5785" s="10" t="str">
        <f ca="1">IFERROR(__xludf.DUMMYFUNCTION("""COMPUTED_VALUE"""),"Статия в списания и поредици")</f>
        <v>Статия в списания и поредици</v>
      </c>
      <c r="C5785" s="10" t="str">
        <f ca="1">IFERROR(__xludf.DUMMYFUNCTION("""COMPUTED_VALUE"""),"Лавината на светлината (За ролята на твореца през двете десетилетия на прехода)")</f>
        <v>Лавината на светлината (За ролята на твореца през двете десетилетия на прехода)</v>
      </c>
      <c r="D5785" s="10">
        <f ca="1">IFERROR(__xludf.DUMMYFUNCTION("""COMPUTED_VALUE"""),2010)</f>
        <v>2010</v>
      </c>
      <c r="E5785" s="10" t="str">
        <f ca="1">IFERROR(__xludf.DUMMYFUNCTION("""COMPUTED_VALUE"""),"Словото днес, бр.2/21.01.2010")</f>
        <v>Словото днес, бр.2/21.01.2010</v>
      </c>
      <c r="F5785" s="10"/>
      <c r="G5785" s="10"/>
      <c r="H5785" s="10"/>
      <c r="I5785" s="10"/>
      <c r="J5785" s="10"/>
      <c r="K5785" s="10"/>
      <c r="L5785" s="10"/>
      <c r="M5785" s="10"/>
      <c r="N5785" s="10"/>
      <c r="O5785" s="10"/>
      <c r="P5785" s="10"/>
      <c r="Q5785" s="10"/>
      <c r="R5785" s="10"/>
      <c r="S5785" s="10"/>
      <c r="T5785" s="10"/>
      <c r="U5785" s="10"/>
      <c r="V5785" s="10"/>
      <c r="W5785" s="10"/>
      <c r="X5785" s="10"/>
      <c r="Y5785" s="10"/>
      <c r="Z5785" s="10"/>
    </row>
    <row r="5786" spans="1:26" ht="12.75">
      <c r="A5786" s="10" t="str">
        <f ca="1">IFERROR(__xludf.DUMMYFUNCTION("""COMPUTED_VALUE"""),"Мюмюн Мюмюнов Тахиров")</f>
        <v>Мюмюн Мюмюнов Тахиров</v>
      </c>
      <c r="B5786" s="10" t="str">
        <f ca="1">IFERROR(__xludf.DUMMYFUNCTION("""COMPUTED_VALUE"""),"Статия в списания и поредици")</f>
        <v>Статия в списания и поредици</v>
      </c>
      <c r="C5786" s="10" t="str">
        <f ca="1">IFERROR(__xludf.DUMMYFUNCTION("""COMPUTED_VALUE"""),"Духът и неговите творческия превъплъщения")</f>
        <v>Духът и неговите творческия превъплъщения</v>
      </c>
      <c r="D5786" s="10">
        <f ca="1">IFERROR(__xludf.DUMMYFUNCTION("""COMPUTED_VALUE"""),2010)</f>
        <v>2010</v>
      </c>
      <c r="E5786" s="10" t="str">
        <f ca="1">IFERROR(__xludf.DUMMYFUNCTION("""COMPUTED_VALUE"""),"сп. Понеделник, бр.9-10/2010, с. 48-55.")</f>
        <v>сп. Понеделник, бр.9-10/2010, с. 48-55.</v>
      </c>
      <c r="F5786" s="10"/>
      <c r="G5786" s="10"/>
      <c r="H5786" s="10"/>
      <c r="I5786" s="10"/>
      <c r="J5786" s="10"/>
      <c r="K5786" s="10"/>
      <c r="L5786" s="10"/>
      <c r="M5786" s="10"/>
      <c r="N5786" s="10"/>
      <c r="O5786" s="10"/>
      <c r="P5786" s="10"/>
      <c r="Q5786" s="10"/>
      <c r="R5786" s="10"/>
      <c r="S5786" s="10"/>
      <c r="T5786" s="10"/>
      <c r="U5786" s="10"/>
      <c r="V5786" s="10"/>
      <c r="W5786" s="10"/>
      <c r="X5786" s="10"/>
      <c r="Y5786" s="10"/>
      <c r="Z5786" s="10"/>
    </row>
    <row r="5787" spans="1:26" ht="12.75">
      <c r="A5787" s="10" t="str">
        <f ca="1">IFERROR(__xludf.DUMMYFUNCTION("""COMPUTED_VALUE"""),"Мюмюн Мюмюнов Тахиров")</f>
        <v>Мюмюн Мюмюнов Тахиров</v>
      </c>
      <c r="B5787" s="10" t="str">
        <f ca="1">IFERROR(__xludf.DUMMYFUNCTION("""COMPUTED_VALUE"""),"Статия в списания и поредици")</f>
        <v>Статия в списания и поредици</v>
      </c>
      <c r="C5787" s="10" t="str">
        <f ca="1">IFERROR(__xludf.DUMMYFUNCTION("""COMPUTED_VALUE"""),"Основни маркери на етнокултурната идентичност")</f>
        <v>Основни маркери на етнокултурната идентичност</v>
      </c>
      <c r="D5787" s="10">
        <f ca="1">IFERROR(__xludf.DUMMYFUNCTION("""COMPUTED_VALUE"""),2010)</f>
        <v>2010</v>
      </c>
      <c r="E5787" s="10" t="str">
        <f ca="1">IFERROR(__xludf.DUMMYFUNCTION("""COMPUTED_VALUE"""),"www.kircaalihaber, 2010")</f>
        <v>www.kircaalihaber, 2010</v>
      </c>
      <c r="F5787" s="10"/>
      <c r="G5787" s="10"/>
      <c r="H5787" s="10"/>
      <c r="I5787" s="10"/>
      <c r="J5787" s="10"/>
      <c r="K5787" s="10"/>
      <c r="L5787" s="10"/>
      <c r="M5787" s="10"/>
      <c r="N5787" s="10"/>
      <c r="O5787" s="10"/>
      <c r="P5787" s="10"/>
      <c r="Q5787" s="10"/>
      <c r="R5787" s="10"/>
      <c r="S5787" s="10"/>
      <c r="T5787" s="10"/>
      <c r="U5787" s="10"/>
      <c r="V5787" s="10"/>
      <c r="W5787" s="10"/>
      <c r="X5787" s="10"/>
      <c r="Y5787" s="10"/>
      <c r="Z5787" s="10"/>
    </row>
    <row r="5788" spans="1:26" ht="12.75">
      <c r="A5788" s="10" t="str">
        <f ca="1">IFERROR(__xludf.DUMMYFUNCTION("""COMPUTED_VALUE"""),"Мюмюн Мюмюнов Тахиров")</f>
        <v>Мюмюн Мюмюнов Тахиров</v>
      </c>
      <c r="B5788" s="10" t="str">
        <f ca="1">IFERROR(__xludf.DUMMYFUNCTION("""COMPUTED_VALUE"""),"Статия в списания и поредици")</f>
        <v>Статия в списания и поредици</v>
      </c>
      <c r="C5788" s="10" t="str">
        <f ca="1">IFERROR(__xludf.DUMMYFUNCTION("""COMPUTED_VALUE"""),"Икономическа криза: конвергенция и дивергенция на ценности")</f>
        <v>Икономическа криза: конвергенция и дивергенция на ценности</v>
      </c>
      <c r="D5788" s="10">
        <f ca="1">IFERROR(__xludf.DUMMYFUNCTION("""COMPUTED_VALUE"""),2009)</f>
        <v>2009</v>
      </c>
      <c r="E5788" s="10" t="str">
        <f ca="1">IFERROR(__xludf.DUMMYFUNCTION("""COMPUTED_VALUE"""),"сп. „Ново време” бр. 12, 2009 г., с. 41-49")</f>
        <v>сп. „Ново време” бр. 12, 2009 г., с. 41-49</v>
      </c>
      <c r="F5788" s="10"/>
      <c r="G5788" s="10"/>
      <c r="H5788" s="10"/>
      <c r="I5788" s="10"/>
      <c r="J5788" s="10"/>
      <c r="K5788" s="10"/>
      <c r="L5788" s="10"/>
      <c r="M5788" s="10"/>
      <c r="N5788" s="10"/>
      <c r="O5788" s="10"/>
      <c r="P5788" s="10"/>
      <c r="Q5788" s="10"/>
      <c r="R5788" s="10"/>
      <c r="S5788" s="10"/>
      <c r="T5788" s="10"/>
      <c r="U5788" s="10"/>
      <c r="V5788" s="10"/>
      <c r="W5788" s="10"/>
      <c r="X5788" s="10"/>
      <c r="Y5788" s="10"/>
      <c r="Z5788" s="10"/>
    </row>
    <row r="5789" spans="1:26" ht="12.75">
      <c r="A5789" s="10" t="str">
        <f ca="1">IFERROR(__xludf.DUMMYFUNCTION("""COMPUTED_VALUE"""),"Мюмюн Мюмюнов Тахиров")</f>
        <v>Мюмюн Мюмюнов Тахиров</v>
      </c>
      <c r="B5789" s="10" t="str">
        <f ca="1">IFERROR(__xludf.DUMMYFUNCTION("""COMPUTED_VALUE"""),"Статия в списания и поредици")</f>
        <v>Статия в списания и поредици</v>
      </c>
      <c r="C5789" s="10" t="str">
        <f ca="1">IFERROR(__xludf.DUMMYFUNCTION("""COMPUTED_VALUE"""),"Културна интеграция и интегрираща идентичност")</f>
        <v>Културна интеграция и интегрираща идентичност</v>
      </c>
      <c r="D5789" s="10">
        <f ca="1">IFERROR(__xludf.DUMMYFUNCTION("""COMPUTED_VALUE"""),2009)</f>
        <v>2009</v>
      </c>
      <c r="E5789" s="10" t="str">
        <f ca="1">IFERROR(__xludf.DUMMYFUNCTION("""COMPUTED_VALUE"""),"сп. „Философски алтернативи”, бр. 1, 2009 г., с.159-170")</f>
        <v>сп. „Философски алтернативи”, бр. 1, 2009 г., с.159-170</v>
      </c>
      <c r="F5789" s="10"/>
      <c r="G5789" s="10"/>
      <c r="H5789" s="10"/>
      <c r="I5789" s="10"/>
      <c r="J5789" s="10"/>
      <c r="K5789" s="10"/>
      <c r="L5789" s="10"/>
      <c r="M5789" s="10"/>
      <c r="N5789" s="10"/>
      <c r="O5789" s="10"/>
      <c r="P5789" s="10"/>
      <c r="Q5789" s="10"/>
      <c r="R5789" s="10"/>
      <c r="S5789" s="10"/>
      <c r="T5789" s="10"/>
      <c r="U5789" s="10"/>
      <c r="V5789" s="10"/>
      <c r="W5789" s="10"/>
      <c r="X5789" s="10"/>
      <c r="Y5789" s="10"/>
      <c r="Z5789" s="10"/>
    </row>
    <row r="5790" spans="1:26" ht="12.75">
      <c r="A5790" s="10" t="str">
        <f ca="1">IFERROR(__xludf.DUMMYFUNCTION("""COMPUTED_VALUE"""),"Мюмюн Мюмюнов Тахиров")</f>
        <v>Мюмюн Мюмюнов Тахиров</v>
      </c>
      <c r="B5790" s="10" t="str">
        <f ca="1">IFERROR(__xludf.DUMMYFUNCTION("""COMPUTED_VALUE"""),"Статия в списания и поредици")</f>
        <v>Статия в списания и поредици</v>
      </c>
      <c r="C5790" s="10" t="str">
        <f ca="1">IFERROR(__xludf.DUMMYFUNCTION("""COMPUTED_VALUE"""),"Практически механизми на културната интеграция в контекста на евроинтеграцията")</f>
        <v>Практически механизми на културната интеграция в контекста на евроинтеграцията</v>
      </c>
      <c r="D5790" s="10">
        <f ca="1">IFERROR(__xludf.DUMMYFUNCTION("""COMPUTED_VALUE"""),2008)</f>
        <v>2008</v>
      </c>
      <c r="E5790" s="10" t="str">
        <f ca="1">IFERROR(__xludf.DUMMYFUNCTION("""COMPUTED_VALUE"""),"Сб. „Предизвикателства на членството на България в ЕС – политики и добри практики за ефективна интеграция на уязвими етнически общности”. С. 2008")</f>
        <v>Сб. „Предизвикателства на членството на България в ЕС – политики и добри практики за ефективна интеграция на уязвими етнически общности”. С. 2008</v>
      </c>
      <c r="F5790" s="10"/>
      <c r="G5790" s="10"/>
      <c r="H5790" s="10"/>
      <c r="I5790" s="10"/>
      <c r="J5790" s="10"/>
      <c r="K5790" s="10"/>
      <c r="L5790" s="10"/>
      <c r="M5790" s="10"/>
      <c r="N5790" s="10"/>
      <c r="O5790" s="10"/>
      <c r="P5790" s="10"/>
      <c r="Q5790" s="10"/>
      <c r="R5790" s="10"/>
      <c r="S5790" s="10"/>
      <c r="T5790" s="10"/>
      <c r="U5790" s="10"/>
      <c r="V5790" s="10"/>
      <c r="W5790" s="10"/>
      <c r="X5790" s="10"/>
      <c r="Y5790" s="10"/>
      <c r="Z5790" s="10"/>
    </row>
    <row r="5791" spans="1:26" ht="12.75">
      <c r="A5791" s="10" t="str">
        <f ca="1">IFERROR(__xludf.DUMMYFUNCTION("""COMPUTED_VALUE"""),"Мюмюн Мюмюнов Тахиров")</f>
        <v>Мюмюн Мюмюнов Тахиров</v>
      </c>
      <c r="B5791" s="10" t="str">
        <f ca="1">IFERROR(__xludf.DUMMYFUNCTION("""COMPUTED_VALUE"""),"Статия в списания и поредици")</f>
        <v>Статия в списания и поредици</v>
      </c>
      <c r="C5791" s="10" t="str">
        <f ca="1">IFERROR(__xludf.DUMMYFUNCTION("""COMPUTED_VALUE"""),"Извънучилищни възпитателни дейности на турската етническа общност в България")</f>
        <v>Извънучилищни възпитателни дейности на турската етническа общност в България</v>
      </c>
      <c r="D5791" s="10">
        <f ca="1">IFERROR(__xludf.DUMMYFUNCTION("""COMPUTED_VALUE"""),2008)</f>
        <v>2008</v>
      </c>
      <c r="E5791" s="10" t="str">
        <f ca="1">IFERROR(__xludf.DUMMYFUNCTION("""COMPUTED_VALUE"""),"Годишник на Софийския университет “Св. Климент Охридски”, С. 2008 г. с.279-302. ISSN 0861-8291")</f>
        <v>Годишник на Софийския университет “Св. Климент Охридски”, С. 2008 г. с.279-302. ISSN 0861-8291</v>
      </c>
      <c r="F5791" s="10"/>
      <c r="G5791" s="10"/>
      <c r="H5791" s="10"/>
      <c r="I5791" s="10"/>
      <c r="J5791" s="10"/>
      <c r="K5791" s="10"/>
      <c r="L5791" s="10"/>
      <c r="M5791" s="10"/>
      <c r="N5791" s="10"/>
      <c r="O5791" s="10"/>
      <c r="P5791" s="10"/>
      <c r="Q5791" s="10"/>
      <c r="R5791" s="10"/>
      <c r="S5791" s="10"/>
      <c r="T5791" s="10"/>
      <c r="U5791" s="10"/>
      <c r="V5791" s="10"/>
      <c r="W5791" s="10"/>
      <c r="X5791" s="10"/>
      <c r="Y5791" s="10"/>
      <c r="Z5791" s="10"/>
    </row>
    <row r="5792" spans="1:26" ht="12.75">
      <c r="A5792" s="10" t="str">
        <f ca="1">IFERROR(__xludf.DUMMYFUNCTION("""COMPUTED_VALUE"""),"Мюмюн Мюмюнов Тахиров")</f>
        <v>Мюмюн Мюмюнов Тахиров</v>
      </c>
      <c r="B5792" s="10" t="str">
        <f ca="1">IFERROR(__xludf.DUMMYFUNCTION("""COMPUTED_VALUE"""),"Статия в списания и поредици")</f>
        <v>Статия в списания и поредици</v>
      </c>
      <c r="C5792" s="10" t="str">
        <f ca="1">IFERROR(__xludf.DUMMYFUNCTION("""COMPUTED_VALUE"""),"Културната конвергенция в обединена Европа и българските културни традиции")</f>
        <v>Културната конвергенция в обединена Европа и българските културни традиции</v>
      </c>
      <c r="D5792" s="10">
        <f ca="1">IFERROR(__xludf.DUMMYFUNCTION("""COMPUTED_VALUE"""),2008)</f>
        <v>2008</v>
      </c>
      <c r="E5792" s="10" t="str">
        <f ca="1">IFERROR(__xludf.DUMMYFUNCTION("""COMPUTED_VALUE"""),"Сб. „Национално, балканско, европейско - конвергентност и дивергентност”, Институт за философски изследвания на БАН. С., 2008, с. 94-104")</f>
        <v>Сб. „Национално, балканско, европейско - конвергентност и дивергентност”, Институт за философски изследвания на БАН. С., 2008, с. 94-104</v>
      </c>
      <c r="F5792" s="10"/>
      <c r="G5792" s="10"/>
      <c r="H5792" s="10"/>
      <c r="I5792" s="10"/>
      <c r="J5792" s="10"/>
      <c r="K5792" s="10"/>
      <c r="L5792" s="10"/>
      <c r="M5792" s="10"/>
      <c r="N5792" s="10"/>
      <c r="O5792" s="10"/>
      <c r="P5792" s="10"/>
      <c r="Q5792" s="10"/>
      <c r="R5792" s="10"/>
      <c r="S5792" s="10"/>
      <c r="T5792" s="10"/>
      <c r="U5792" s="10"/>
      <c r="V5792" s="10"/>
      <c r="W5792" s="10"/>
      <c r="X5792" s="10"/>
      <c r="Y5792" s="10"/>
      <c r="Z5792" s="10"/>
    </row>
    <row r="5793" spans="1:26" ht="12.75">
      <c r="A5793" s="10" t="str">
        <f ca="1">IFERROR(__xludf.DUMMYFUNCTION("""COMPUTED_VALUE"""),"Мюмюн Мюмюнов Тахиров")</f>
        <v>Мюмюн Мюмюнов Тахиров</v>
      </c>
      <c r="B5793" s="10" t="str">
        <f ca="1">IFERROR(__xludf.DUMMYFUNCTION("""COMPUTED_VALUE"""),"Статия в списания и поредици")</f>
        <v>Статия в списания и поредици</v>
      </c>
      <c r="C5793" s="10" t="str">
        <f ca="1">IFERROR(__xludf.DUMMYFUNCTION("""COMPUTED_VALUE"""),"Неравенство и равенство")</f>
        <v>Неравенство и равенство</v>
      </c>
      <c r="D5793" s="10">
        <f ca="1">IFERROR(__xludf.DUMMYFUNCTION("""COMPUTED_VALUE"""),2008)</f>
        <v>2008</v>
      </c>
      <c r="E5793" s="10" t="str">
        <f ca="1">IFERROR(__xludf.DUMMYFUNCTION("""COMPUTED_VALUE"""),"Сб. „Национално, балканско, европейско – тенденции на равенство и неравенство”. Институт за философски изследвания на БАН. С., 2008, с. 35-41")</f>
        <v>Сб. „Национално, балканско, европейско – тенденции на равенство и неравенство”. Институт за философски изследвания на БАН. С., 2008, с. 35-41</v>
      </c>
      <c r="F5793" s="10"/>
      <c r="G5793" s="10"/>
      <c r="H5793" s="10"/>
      <c r="I5793" s="10"/>
      <c r="J5793" s="10"/>
      <c r="K5793" s="10"/>
      <c r="L5793" s="10"/>
      <c r="M5793" s="10"/>
      <c r="N5793" s="10"/>
      <c r="O5793" s="10"/>
      <c r="P5793" s="10"/>
      <c r="Q5793" s="10"/>
      <c r="R5793" s="10"/>
      <c r="S5793" s="10"/>
      <c r="T5793" s="10"/>
      <c r="U5793" s="10"/>
      <c r="V5793" s="10"/>
      <c r="W5793" s="10"/>
      <c r="X5793" s="10"/>
      <c r="Y5793" s="10"/>
      <c r="Z5793" s="10"/>
    </row>
    <row r="5794" spans="1:26" ht="12.75">
      <c r="A5794" s="10" t="str">
        <f ca="1">IFERROR(__xludf.DUMMYFUNCTION("""COMPUTED_VALUE"""),"Мюмюн Мюмюнов Тахиров")</f>
        <v>Мюмюн Мюмюнов Тахиров</v>
      </c>
      <c r="B5794" s="10" t="str">
        <f ca="1">IFERROR(__xludf.DUMMYFUNCTION("""COMPUTED_VALUE"""),"Книга")</f>
        <v>Книга</v>
      </c>
      <c r="C5794" s="10" t="str">
        <f ca="1">IFERROR(__xludf.DUMMYFUNCTION("""COMPUTED_VALUE"""),"Идентичност и толерантност. Философски и практически въпроси на културната интеграция")</f>
        <v>Идентичност и толерантност. Философски и практически въпроси на културната интеграция</v>
      </c>
      <c r="D5794" s="10">
        <f ca="1">IFERROR(__xludf.DUMMYFUNCTION("""COMPUTED_VALUE"""),2007)</f>
        <v>2007</v>
      </c>
      <c r="E5794" s="10" t="str">
        <f ca="1">IFERROR(__xludf.DUMMYFUNCTION("""COMPUTED_VALUE"""),"Академично издателство „Проф. Марин Дринов”, С., 2007. ISBN 978-954-322-319-3")</f>
        <v>Академично издателство „Проф. Марин Дринов”, С., 2007. ISBN 978-954-322-319-3</v>
      </c>
      <c r="F5794" s="10"/>
      <c r="G5794" s="10"/>
      <c r="H5794" s="10"/>
      <c r="I5794" s="10"/>
      <c r="J5794" s="10"/>
      <c r="K5794" s="10"/>
      <c r="L5794" s="10"/>
      <c r="M5794" s="10"/>
      <c r="N5794" s="10"/>
      <c r="O5794" s="10"/>
      <c r="P5794" s="10"/>
      <c r="Q5794" s="10"/>
      <c r="R5794" s="10"/>
      <c r="S5794" s="10"/>
      <c r="T5794" s="10"/>
      <c r="U5794" s="10"/>
      <c r="V5794" s="10"/>
      <c r="W5794" s="10"/>
      <c r="X5794" s="10"/>
      <c r="Y5794" s="10"/>
      <c r="Z5794" s="10"/>
    </row>
    <row r="5795" spans="1:26" ht="12.75">
      <c r="A5795" s="10" t="str">
        <f ca="1">IFERROR(__xludf.DUMMYFUNCTION("""COMPUTED_VALUE"""),"Мюмюн Мюмюнов Тахиров")</f>
        <v>Мюмюн Мюмюнов Тахиров</v>
      </c>
      <c r="B5795" s="10" t="str">
        <f ca="1">IFERROR(__xludf.DUMMYFUNCTION("""COMPUTED_VALUE"""),"Статия в списания и поредици")</f>
        <v>Статия в списания и поредици</v>
      </c>
      <c r="C5795" s="10" t="str">
        <f ca="1">IFERROR(__xludf.DUMMYFUNCTION("""COMPUTED_VALUE"""),"Култура и политика (Адорно за културата и администрацията)”")</f>
        <v>Култура и политика (Адорно за културата и администрацията)”</v>
      </c>
      <c r="D5795" s="10">
        <f ca="1">IFERROR(__xludf.DUMMYFUNCTION("""COMPUTED_VALUE"""),2007)</f>
        <v>2007</v>
      </c>
      <c r="E5795" s="10" t="str">
        <f ca="1">IFERROR(__xludf.DUMMYFUNCTION("""COMPUTED_VALUE"""),"Понеделник, бр. 7/8, С. 2007. с. 89-98.")</f>
        <v>Понеделник, бр. 7/8, С. 2007. с. 89-98.</v>
      </c>
      <c r="F5795" s="10"/>
      <c r="G5795" s="10"/>
      <c r="H5795" s="10"/>
      <c r="I5795" s="10"/>
      <c r="J5795" s="10"/>
      <c r="K5795" s="10"/>
      <c r="L5795" s="10"/>
      <c r="M5795" s="10"/>
      <c r="N5795" s="10"/>
      <c r="O5795" s="10"/>
      <c r="P5795" s="10"/>
      <c r="Q5795" s="10"/>
      <c r="R5795" s="10"/>
      <c r="S5795" s="10"/>
      <c r="T5795" s="10"/>
      <c r="U5795" s="10"/>
      <c r="V5795" s="10"/>
      <c r="W5795" s="10"/>
      <c r="X5795" s="10"/>
      <c r="Y5795" s="10"/>
      <c r="Z5795" s="10"/>
    </row>
    <row r="5796" spans="1:26" ht="12.75">
      <c r="A5796" s="10" t="str">
        <f ca="1">IFERROR(__xludf.DUMMYFUNCTION("""COMPUTED_VALUE"""),"Мюмюн Мюмюнов Тахиров")</f>
        <v>Мюмюн Мюмюнов Тахиров</v>
      </c>
      <c r="B5796" s="10" t="str">
        <f ca="1">IFERROR(__xludf.DUMMYFUNCTION("""COMPUTED_VALUE"""),"Статия в списания и поредици")</f>
        <v>Статия в списания и поредици</v>
      </c>
      <c r="C5796" s="10" t="str">
        <f ca="1">IFERROR(__xludf.DUMMYFUNCTION("""COMPUTED_VALUE"""),"Идентичността и културната интеграция в условията на догонващото развитие")</f>
        <v>Идентичността и културната интеграция в условията на догонващото развитие</v>
      </c>
      <c r="D5796" s="10">
        <f ca="1">IFERROR(__xludf.DUMMYFUNCTION("""COMPUTED_VALUE"""),2007)</f>
        <v>2007</v>
      </c>
      <c r="E5796" s="10" t="str">
        <f ca="1">IFERROR(__xludf.DUMMYFUNCTION("""COMPUTED_VALUE"""),"Сб. “Догонващото развитие в глобализираното общество”. Институт за философски изследвания на БАН. С., 2007, с. 172-189")</f>
        <v>Сб. “Догонващото развитие в глобализираното общество”. Институт за философски изследвания на БАН. С., 2007, с. 172-189</v>
      </c>
      <c r="F5796" s="10"/>
      <c r="G5796" s="10"/>
      <c r="H5796" s="10"/>
      <c r="I5796" s="10"/>
      <c r="J5796" s="10"/>
      <c r="K5796" s="10"/>
      <c r="L5796" s="10"/>
      <c r="M5796" s="10"/>
      <c r="N5796" s="10"/>
      <c r="O5796" s="10"/>
      <c r="P5796" s="10"/>
      <c r="Q5796" s="10"/>
      <c r="R5796" s="10"/>
      <c r="S5796" s="10"/>
      <c r="T5796" s="10"/>
      <c r="U5796" s="10"/>
      <c r="V5796" s="10"/>
      <c r="W5796" s="10"/>
      <c r="X5796" s="10"/>
      <c r="Y5796" s="10"/>
      <c r="Z5796" s="10"/>
    </row>
    <row r="5797" spans="1:26" ht="12.75">
      <c r="A5797" s="10" t="str">
        <f ca="1">IFERROR(__xludf.DUMMYFUNCTION("""COMPUTED_VALUE"""),"Мюмюн Мюмюнов Тахиров")</f>
        <v>Мюмюн Мюмюнов Тахиров</v>
      </c>
      <c r="B5797" s="10" t="str">
        <f ca="1">IFERROR(__xludf.DUMMYFUNCTION("""COMPUTED_VALUE"""),"Статия в списания и поредици")</f>
        <v>Статия в списания и поредици</v>
      </c>
      <c r="C5797" s="10" t="str">
        <f ca="1">IFERROR(__xludf.DUMMYFUNCTION("""COMPUTED_VALUE"""),"Културният туризъм и културното наследство между държавата и пазара")</f>
        <v>Културният туризъм и културното наследство между държавата и пазара</v>
      </c>
      <c r="D5797" s="10">
        <f ca="1">IFERROR(__xludf.DUMMYFUNCTION("""COMPUTED_VALUE"""),2007)</f>
        <v>2007</v>
      </c>
      <c r="E5797" s="10" t="str">
        <f ca="1">IFERROR(__xludf.DUMMYFUNCTION("""COMPUTED_VALUE"""),"Сб. Българската култура между държавата и пазара. Институт за философски изследвания на БАН. С., 2007, с. 205- 208.")</f>
        <v>Сб. Българската култура между държавата и пазара. Институт за философски изследвания на БАН. С., 2007, с. 205- 208.</v>
      </c>
      <c r="F5797" s="10"/>
      <c r="G5797" s="10"/>
      <c r="H5797" s="10"/>
      <c r="I5797" s="10"/>
      <c r="J5797" s="10"/>
      <c r="K5797" s="10"/>
      <c r="L5797" s="10"/>
      <c r="M5797" s="10"/>
      <c r="N5797" s="10"/>
      <c r="O5797" s="10"/>
      <c r="P5797" s="10"/>
      <c r="Q5797" s="10"/>
      <c r="R5797" s="10"/>
      <c r="S5797" s="10"/>
      <c r="T5797" s="10"/>
      <c r="U5797" s="10"/>
      <c r="V5797" s="10"/>
      <c r="W5797" s="10"/>
      <c r="X5797" s="10"/>
      <c r="Y5797" s="10"/>
      <c r="Z5797" s="10"/>
    </row>
    <row r="5798" spans="1:26" ht="12.75">
      <c r="A5798" s="10" t="str">
        <f ca="1">IFERROR(__xludf.DUMMYFUNCTION("""COMPUTED_VALUE"""),"Мюмюн Мюмюнов Тахиров")</f>
        <v>Мюмюн Мюмюнов Тахиров</v>
      </c>
      <c r="B5798" s="10" t="str">
        <f ca="1">IFERROR(__xludf.DUMMYFUNCTION("""COMPUTED_VALUE"""),"Статия в списания и поредици")</f>
        <v>Статия в списания и поредици</v>
      </c>
      <c r="C5798" s="10" t="str">
        <f ca="1">IFERROR(__xludf.DUMMYFUNCTION("""COMPUTED_VALUE"""),"Културната интеграция в контекста на евроинтеграцията")</f>
        <v>Културната интеграция в контекста на евроинтеграцията</v>
      </c>
      <c r="D5798" s="10">
        <f ca="1">IFERROR(__xludf.DUMMYFUNCTION("""COMPUTED_VALUE"""),2007)</f>
        <v>2007</v>
      </c>
      <c r="E5798" s="10" t="str">
        <f ca="1">IFERROR(__xludf.DUMMYFUNCTION("""COMPUTED_VALUE"""),"Сб. “Диалог и толерантност в политиката”. Център за исторически и политологически изследвания. С., 2007, с. 293-303")</f>
        <v>Сб. “Диалог и толерантност в политиката”. Център за исторически и политологически изследвания. С., 2007, с. 293-303</v>
      </c>
      <c r="F5798" s="10"/>
      <c r="G5798" s="10"/>
      <c r="H5798" s="10"/>
      <c r="I5798" s="10"/>
      <c r="J5798" s="10"/>
      <c r="K5798" s="10"/>
      <c r="L5798" s="10"/>
      <c r="M5798" s="10"/>
      <c r="N5798" s="10"/>
      <c r="O5798" s="10"/>
      <c r="P5798" s="10"/>
      <c r="Q5798" s="10"/>
      <c r="R5798" s="10"/>
      <c r="S5798" s="10"/>
      <c r="T5798" s="10"/>
      <c r="U5798" s="10"/>
      <c r="V5798" s="10"/>
      <c r="W5798" s="10"/>
      <c r="X5798" s="10"/>
      <c r="Y5798" s="10"/>
      <c r="Z5798" s="10"/>
    </row>
    <row r="5799" spans="1:26" ht="12.75">
      <c r="A5799" s="10" t="str">
        <f ca="1">IFERROR(__xludf.DUMMYFUNCTION("""COMPUTED_VALUE"""),"Мюмюн Мюмюнов Тахиров")</f>
        <v>Мюмюн Мюмюнов Тахиров</v>
      </c>
      <c r="B5799" s="10" t="str">
        <f ca="1">IFERROR(__xludf.DUMMYFUNCTION("""COMPUTED_VALUE"""),"Статия в списания и поредици")</f>
        <v>Статия в списания и поредици</v>
      </c>
      <c r="C5799" s="10" t="str">
        <f ca="1">IFERROR(__xludf.DUMMYFUNCTION("""COMPUTED_VALUE"""),"Философска свирепост")</f>
        <v>Философска свирепост</v>
      </c>
      <c r="D5799" s="10">
        <f ca="1">IFERROR(__xludf.DUMMYFUNCTION("""COMPUTED_VALUE"""),2007)</f>
        <v>2007</v>
      </c>
      <c r="E5799" s="10" t="str">
        <f ca="1">IFERROR(__xludf.DUMMYFUNCTION("""COMPUTED_VALUE"""),"сп. „Палитра”, бр. 30 – август-декември 2007")</f>
        <v>сп. „Палитра”, бр. 30 – август-декември 2007</v>
      </c>
      <c r="F5799" s="10"/>
      <c r="G5799" s="10"/>
      <c r="H5799" s="10"/>
      <c r="I5799" s="10"/>
      <c r="J5799" s="10"/>
      <c r="K5799" s="10"/>
      <c r="L5799" s="10"/>
      <c r="M5799" s="10"/>
      <c r="N5799" s="10"/>
      <c r="O5799" s="10"/>
      <c r="P5799" s="10"/>
      <c r="Q5799" s="10"/>
      <c r="R5799" s="10"/>
      <c r="S5799" s="10"/>
      <c r="T5799" s="10"/>
      <c r="U5799" s="10"/>
      <c r="V5799" s="10"/>
      <c r="W5799" s="10"/>
      <c r="X5799" s="10"/>
      <c r="Y5799" s="10"/>
      <c r="Z5799" s="10"/>
    </row>
    <row r="5800" spans="1:26" ht="12.75">
      <c r="A5800" s="10" t="str">
        <f ca="1">IFERROR(__xludf.DUMMYFUNCTION("""COMPUTED_VALUE"""),"Мюмюн Мюмюнов Тахиров")</f>
        <v>Мюмюн Мюмюнов Тахиров</v>
      </c>
      <c r="B5800" s="10" t="str">
        <f ca="1">IFERROR(__xludf.DUMMYFUNCTION("""COMPUTED_VALUE"""),"Статия в списания и поредици")</f>
        <v>Статия в списания и поредици</v>
      </c>
      <c r="C5800" s="10" t="str">
        <f ca="1">IFERROR(__xludf.DUMMYFUNCTION("""COMPUTED_VALUE"""),"Bulgar Basınında Atatürk ve Türk Halkının Kurtuluş Şavaşı.")</f>
        <v>Bulgar Basınında Atatürk ve Türk Halkının Kurtuluş Şavaşı.</v>
      </c>
      <c r="D5800" s="10">
        <f ca="1">IFERROR(__xludf.DUMMYFUNCTION("""COMPUTED_VALUE"""),2006)</f>
        <v>2006</v>
      </c>
      <c r="E5800" s="10" t="str">
        <f ca="1">IFERROR(__xludf.DUMMYFUNCTION("""COMPUTED_VALUE"""),"//Doğumundan 125. Yılında Mustafa Kemal Atatürk uıuslararası sempozıum bildilileri (15-18 mayıs 2006). Ankara, s. 909-924")</f>
        <v>//Doğumundan 125. Yılında Mustafa Kemal Atatürk uıuslararası sempozıum bildilileri (15-18 mayıs 2006). Ankara, s. 909-924</v>
      </c>
      <c r="F5800" s="10"/>
      <c r="G5800" s="10"/>
      <c r="H5800" s="10"/>
      <c r="I5800" s="10"/>
      <c r="J5800" s="10"/>
      <c r="K5800" s="10"/>
      <c r="L5800" s="10"/>
      <c r="M5800" s="10"/>
      <c r="N5800" s="10"/>
      <c r="O5800" s="10"/>
      <c r="P5800" s="10"/>
      <c r="Q5800" s="10"/>
      <c r="R5800" s="10"/>
      <c r="S5800" s="10"/>
      <c r="T5800" s="10"/>
      <c r="U5800" s="10"/>
      <c r="V5800" s="10"/>
      <c r="W5800" s="10"/>
      <c r="X5800" s="10"/>
      <c r="Y5800" s="10"/>
      <c r="Z5800" s="10"/>
    </row>
    <row r="5801" spans="1:26" ht="12.75">
      <c r="A5801" s="10" t="str">
        <f ca="1">IFERROR(__xludf.DUMMYFUNCTION("""COMPUTED_VALUE"""),"Мюмюн Мюмюнов Тахиров")</f>
        <v>Мюмюн Мюмюнов Тахиров</v>
      </c>
      <c r="B5801" s="10" t="str">
        <f ca="1">IFERROR(__xludf.DUMMYFUNCTION("""COMPUTED_VALUE"""),"Статия в списания и поредици")</f>
        <v>Статия в списания и поредици</v>
      </c>
      <c r="C5801" s="10" t="str">
        <f ca="1">IFERROR(__xludf.DUMMYFUNCTION("""COMPUTED_VALUE"""),"Специфично съдържание на историческото съзнание")</f>
        <v>Специфично съдържание на историческото съзнание</v>
      </c>
      <c r="D5801" s="10">
        <f ca="1">IFERROR(__xludf.DUMMYFUNCTION("""COMPUTED_VALUE"""),2006)</f>
        <v>2006</v>
      </c>
      <c r="E5801" s="10" t="str">
        <f ca="1">IFERROR(__xludf.DUMMYFUNCTION("""COMPUTED_VALUE"""),"сб. „Историческата наука в България. Състояние и перспективи”. Институт по история при БАН, С., 2006, с. 286-294")</f>
        <v>сб. „Историческата наука в България. Състояние и перспективи”. Институт по история при БАН, С., 2006, с. 286-294</v>
      </c>
      <c r="F5801" s="10"/>
      <c r="G5801" s="10"/>
      <c r="H5801" s="10"/>
      <c r="I5801" s="10"/>
      <c r="J5801" s="10"/>
      <c r="K5801" s="10"/>
      <c r="L5801" s="10"/>
      <c r="M5801" s="10"/>
      <c r="N5801" s="10"/>
      <c r="O5801" s="10"/>
      <c r="P5801" s="10"/>
      <c r="Q5801" s="10"/>
      <c r="R5801" s="10"/>
      <c r="S5801" s="10"/>
      <c r="T5801" s="10"/>
      <c r="U5801" s="10"/>
      <c r="V5801" s="10"/>
      <c r="W5801" s="10"/>
      <c r="X5801" s="10"/>
      <c r="Y5801" s="10"/>
      <c r="Z5801" s="10"/>
    </row>
    <row r="5802" spans="1:26" ht="12.75">
      <c r="A5802" s="10" t="str">
        <f ca="1">IFERROR(__xludf.DUMMYFUNCTION("""COMPUTED_VALUE"""),"Мюмюн Мюмюнов Тахиров")</f>
        <v>Мюмюн Мюмюнов Тахиров</v>
      </c>
      <c r="B5802" s="10" t="str">
        <f ca="1">IFERROR(__xludf.DUMMYFUNCTION("""COMPUTED_VALUE"""),"Книга")</f>
        <v>Книга</v>
      </c>
      <c r="C5802" s="10" t="str">
        <f ca="1">IFERROR(__xludf.DUMMYFUNCTION("""COMPUTED_VALUE"""),"Животът заедно")</f>
        <v>Животът заедно</v>
      </c>
      <c r="D5802" s="10">
        <f ca="1">IFERROR(__xludf.DUMMYFUNCTION("""COMPUTED_VALUE"""),2006)</f>
        <v>2006</v>
      </c>
      <c r="E5802" s="10" t="str">
        <f ca="1">IFERROR(__xludf.DUMMYFUNCTION("""COMPUTED_VALUE"""),"Изд. „Арго Пъблишиниг, С., 2006. ISBN – 954-328-040-1.")</f>
        <v>Изд. „Арго Пъблишиниг, С., 2006. ISBN – 954-328-040-1.</v>
      </c>
      <c r="F5802" s="10"/>
      <c r="G5802" s="10"/>
      <c r="H5802" s="10"/>
      <c r="I5802" s="10"/>
      <c r="J5802" s="10"/>
      <c r="K5802" s="10"/>
      <c r="L5802" s="10"/>
      <c r="M5802" s="10"/>
      <c r="N5802" s="10"/>
      <c r="O5802" s="10"/>
      <c r="P5802" s="10"/>
      <c r="Q5802" s="10"/>
      <c r="R5802" s="10"/>
      <c r="S5802" s="10"/>
      <c r="T5802" s="10"/>
      <c r="U5802" s="10"/>
      <c r="V5802" s="10"/>
      <c r="W5802" s="10"/>
      <c r="X5802" s="10"/>
      <c r="Y5802" s="10"/>
      <c r="Z5802" s="10"/>
    </row>
    <row r="5803" spans="1:26" ht="12.75">
      <c r="A5803" s="10" t="str">
        <f ca="1">IFERROR(__xludf.DUMMYFUNCTION("""COMPUTED_VALUE"""),"Мюмюн Мюмюнов Тахиров")</f>
        <v>Мюмюн Мюмюнов Тахиров</v>
      </c>
      <c r="B5803" s="10" t="str">
        <f ca="1">IFERROR(__xludf.DUMMYFUNCTION("""COMPUTED_VALUE"""),"Статия в списания и поредици")</f>
        <v>Статия в списания и поредици</v>
      </c>
      <c r="C5803" s="10" t="str">
        <f ca="1">IFERROR(__xludf.DUMMYFUNCTION("""COMPUTED_VALUE"""),"Оптимистична национална етика")</f>
        <v>Оптимистична национална етика</v>
      </c>
      <c r="D5803" s="10">
        <f ca="1">IFERROR(__xludf.DUMMYFUNCTION("""COMPUTED_VALUE"""),2006)</f>
        <v>2006</v>
      </c>
      <c r="E5803" s="10" t="str">
        <f ca="1">IFERROR(__xludf.DUMMYFUNCTION("""COMPUTED_VALUE"""),"Ще оцелее ли българският народ през ХХІ век. С., 2006, Захарий Стоянов, 2006 (София : Унив. изд. Св. Климент Охридски), ISBN 978-954-739-854-2")</f>
        <v>Ще оцелее ли българският народ през ХХІ век. С., 2006, Захарий Стоянов, 2006 (София : Унив. изд. Св. Климент Охридски), ISBN 978-954-739-854-2</v>
      </c>
      <c r="F5803" s="10"/>
      <c r="G5803" s="10"/>
      <c r="H5803" s="10"/>
      <c r="I5803" s="10"/>
      <c r="J5803" s="10"/>
      <c r="K5803" s="10"/>
      <c r="L5803" s="10"/>
      <c r="M5803" s="10"/>
      <c r="N5803" s="10"/>
      <c r="O5803" s="10"/>
      <c r="P5803" s="10"/>
      <c r="Q5803" s="10"/>
      <c r="R5803" s="10"/>
      <c r="S5803" s="10"/>
      <c r="T5803" s="10"/>
      <c r="U5803" s="10"/>
      <c r="V5803" s="10"/>
      <c r="W5803" s="10"/>
      <c r="X5803" s="10"/>
      <c r="Y5803" s="10"/>
      <c r="Z5803" s="10"/>
    </row>
    <row r="5804" spans="1:26" ht="12.75">
      <c r="A5804" s="10" t="str">
        <f ca="1">IFERROR(__xludf.DUMMYFUNCTION("""COMPUTED_VALUE"""),"Мюмюн Мюмюнов Тахиров")</f>
        <v>Мюмюн Мюмюнов Тахиров</v>
      </c>
      <c r="B5804" s="10" t="str">
        <f ca="1">IFERROR(__xludf.DUMMYFUNCTION("""COMPUTED_VALUE"""),"Статия в списания и поредици")</f>
        <v>Статия в списания и поредици</v>
      </c>
      <c r="C5804" s="10" t="str">
        <f ca="1">IFERROR(__xludf.DUMMYFUNCTION("""COMPUTED_VALUE"""),"Културният туризъм и възможностите за представяне на етнокултурното наследство")</f>
        <v>Културният туризъм и възможностите за представяне на етнокултурното наследство</v>
      </c>
      <c r="D5804" s="10">
        <f ca="1">IFERROR(__xludf.DUMMYFUNCTION("""COMPUTED_VALUE"""),2005)</f>
        <v>2005</v>
      </c>
      <c r="E5804" s="10" t="str">
        <f ca="1">IFERROR(__xludf.DUMMYFUNCTION("""COMPUTED_VALUE"""),"сп. “Паметници, реставрация, музеи”, бр. 2-3/април-юни 2005")</f>
        <v>сп. “Паметници, реставрация, музеи”, бр. 2-3/април-юни 2005</v>
      </c>
      <c r="F5804" s="10"/>
      <c r="G5804" s="10"/>
      <c r="H5804" s="10"/>
      <c r="I5804" s="10"/>
      <c r="J5804" s="10"/>
      <c r="K5804" s="10"/>
      <c r="L5804" s="10"/>
      <c r="M5804" s="10"/>
      <c r="N5804" s="10"/>
      <c r="O5804" s="10"/>
      <c r="P5804" s="10"/>
      <c r="Q5804" s="10"/>
      <c r="R5804" s="10"/>
      <c r="S5804" s="10"/>
      <c r="T5804" s="10"/>
      <c r="U5804" s="10"/>
      <c r="V5804" s="10"/>
      <c r="W5804" s="10"/>
      <c r="X5804" s="10"/>
      <c r="Y5804" s="10"/>
      <c r="Z5804" s="10"/>
    </row>
    <row r="5805" spans="1:26" ht="12.75">
      <c r="A5805" s="10" t="str">
        <f ca="1">IFERROR(__xludf.DUMMYFUNCTION("""COMPUTED_VALUE"""),"Мюмюн Мюмюнов Тахиров")</f>
        <v>Мюмюн Мюмюнов Тахиров</v>
      </c>
      <c r="B5805" s="10" t="str">
        <f ca="1">IFERROR(__xludf.DUMMYFUNCTION("""COMPUTED_VALUE"""),"Статия в списания и поредици")</f>
        <v>Статия в списания и поредици</v>
      </c>
      <c r="C5805" s="10" t="str">
        <f ca="1">IFERROR(__xludf.DUMMYFUNCTION("""COMPUTED_VALUE"""),"Нова национална психология")</f>
        <v>Нова национална психология</v>
      </c>
      <c r="D5805" s="10">
        <f ca="1">IFERROR(__xludf.DUMMYFUNCTION("""COMPUTED_VALUE"""),2005)</f>
        <v>2005</v>
      </c>
      <c r="E5805" s="10" t="str">
        <f ca="1">IFERROR(__xludf.DUMMYFUNCTION("""COMPUTED_VALUE"""),"Сб. Национални интереси, национална идентичност, европейска интеграция. Институт за философски изследвания на БАН. С. 2005. с. 204-209")</f>
        <v>Сб. Национални интереси, национална идентичност, европейска интеграция. Институт за философски изследвания на БАН. С. 2005. с. 204-209</v>
      </c>
      <c r="F5805" s="10"/>
      <c r="G5805" s="10"/>
      <c r="H5805" s="10"/>
      <c r="I5805" s="10"/>
      <c r="J5805" s="10"/>
      <c r="K5805" s="10"/>
      <c r="L5805" s="10"/>
      <c r="M5805" s="10"/>
      <c r="N5805" s="10"/>
      <c r="O5805" s="10"/>
      <c r="P5805" s="10"/>
      <c r="Q5805" s="10"/>
      <c r="R5805" s="10"/>
      <c r="S5805" s="10"/>
      <c r="T5805" s="10"/>
      <c r="U5805" s="10"/>
      <c r="V5805" s="10"/>
      <c r="W5805" s="10"/>
      <c r="X5805" s="10"/>
      <c r="Y5805" s="10"/>
      <c r="Z5805" s="10"/>
    </row>
    <row r="5806" spans="1:26" ht="12.75">
      <c r="A5806" s="10" t="str">
        <f ca="1">IFERROR(__xludf.DUMMYFUNCTION("""COMPUTED_VALUE"""),"Мюмюн Мюмюнов Тахиров")</f>
        <v>Мюмюн Мюмюнов Тахиров</v>
      </c>
      <c r="B5806" s="10" t="str">
        <f ca="1">IFERROR(__xludf.DUMMYFUNCTION("""COMPUTED_VALUE"""),"Статия в списания и поредици")</f>
        <v>Статия в списания и поредици</v>
      </c>
      <c r="C5806" s="10" t="str">
        <f ca="1">IFERROR(__xludf.DUMMYFUNCTION("""COMPUTED_VALUE"""),"Цивилизационен сблъсък. Религия. Тероризъм")</f>
        <v>Цивилизационен сблъсък. Религия. Тероризъм</v>
      </c>
      <c r="D5806" s="10">
        <f ca="1">IFERROR(__xludf.DUMMYFUNCTION("""COMPUTED_VALUE"""),2005)</f>
        <v>2005</v>
      </c>
      <c r="E5806" s="10" t="str">
        <f ca="1">IFERROR(__xludf.DUMMYFUNCTION("""COMPUTED_VALUE"""),"Сп. Ново време, бр. 2/февруари 2005, с. 99-107")</f>
        <v>Сп. Ново време, бр. 2/февруари 2005, с. 99-107</v>
      </c>
      <c r="F5806" s="10"/>
      <c r="G5806" s="10"/>
      <c r="H5806" s="10"/>
      <c r="I5806" s="10"/>
      <c r="J5806" s="10"/>
      <c r="K5806" s="10"/>
      <c r="L5806" s="10"/>
      <c r="M5806" s="10"/>
      <c r="N5806" s="10"/>
      <c r="O5806" s="10"/>
      <c r="P5806" s="10"/>
      <c r="Q5806" s="10"/>
      <c r="R5806" s="10"/>
      <c r="S5806" s="10"/>
      <c r="T5806" s="10"/>
      <c r="U5806" s="10"/>
      <c r="V5806" s="10"/>
      <c r="W5806" s="10"/>
      <c r="X5806" s="10"/>
      <c r="Y5806" s="10"/>
      <c r="Z5806" s="10"/>
    </row>
    <row r="5807" spans="1:26" ht="12.75">
      <c r="A5807" s="10" t="str">
        <f ca="1">IFERROR(__xludf.DUMMYFUNCTION("""COMPUTED_VALUE"""),"Мюмюн Мюмюнов Тахиров")</f>
        <v>Мюмюн Мюмюнов Тахиров</v>
      </c>
      <c r="B5807" s="10" t="str">
        <f ca="1">IFERROR(__xludf.DUMMYFUNCTION("""COMPUTED_VALUE"""),"Доклад от конференция")</f>
        <v>Доклад от конференция</v>
      </c>
      <c r="C5807" s="10" t="str">
        <f ca="1">IFERROR(__xludf.DUMMYFUNCTION("""COMPUTED_VALUE"""),"Интеграция, свобода и сигурност")</f>
        <v>Интеграция, свобода и сигурност</v>
      </c>
      <c r="D5807" s="10">
        <f ca="1">IFERROR(__xludf.DUMMYFUNCTION("""COMPUTED_VALUE"""),2005)</f>
        <v>2005</v>
      </c>
      <c r="E5807" s="10" t="str">
        <f ca="1">IFERROR(__xludf.DUMMYFUNCTION("""COMPUTED_VALUE"""),"Сб. Рискове за България от ислямски фундаментализъм и тероризъм. Институт за философски изследвания на БАН, С. 2005, с.218-224. ISBN 954.91351- 4-4")</f>
        <v>Сб. Рискове за България от ислямски фундаментализъм и тероризъм. Институт за философски изследвания на БАН, С. 2005, с.218-224. ISBN 954.91351- 4-4</v>
      </c>
      <c r="F5807" s="10"/>
      <c r="G5807" s="10"/>
      <c r="H5807" s="10"/>
      <c r="I5807" s="10"/>
      <c r="J5807" s="10"/>
      <c r="K5807" s="10"/>
      <c r="L5807" s="10"/>
      <c r="M5807" s="10"/>
      <c r="N5807" s="10"/>
      <c r="O5807" s="10"/>
      <c r="P5807" s="10"/>
      <c r="Q5807" s="10"/>
      <c r="R5807" s="10"/>
      <c r="S5807" s="10"/>
      <c r="T5807" s="10"/>
      <c r="U5807" s="10"/>
      <c r="V5807" s="10"/>
      <c r="W5807" s="10"/>
      <c r="X5807" s="10"/>
      <c r="Y5807" s="10"/>
      <c r="Z5807" s="10"/>
    </row>
    <row r="5808" spans="1:26" ht="12.75">
      <c r="A5808" s="10" t="str">
        <f ca="1">IFERROR(__xludf.DUMMYFUNCTION("""COMPUTED_VALUE"""),"Мюмюн Мюмюнов Тахиров")</f>
        <v>Мюмюн Мюмюнов Тахиров</v>
      </c>
      <c r="B5808" s="10" t="str">
        <f ca="1">IFERROR(__xludf.DUMMYFUNCTION("""COMPUTED_VALUE"""),"Статия в списания и поредици")</f>
        <v>Статия в списания и поредици</v>
      </c>
      <c r="C5808" s="10" t="str">
        <f ca="1">IFERROR(__xludf.DUMMYFUNCTION("""COMPUTED_VALUE"""),"Регионални културни политики и инструментариум")</f>
        <v>Регионални културни политики и инструментариум</v>
      </c>
      <c r="D5808" s="10">
        <f ca="1">IFERROR(__xludf.DUMMYFUNCTION("""COMPUTED_VALUE"""),2004)</f>
        <v>2004</v>
      </c>
      <c r="E5808" s="10" t="str">
        <f ca="1">IFERROR(__xludf.DUMMYFUNCTION("""COMPUTED_VALUE"""),"Годишник Т. ІІ „Изкуство, култура, съвременност, европейски аспекти”, ЮЗУ “Неофит Рилски” – Благоевград,2004, с. 173-178. ISBN 954-680-331-6.")</f>
        <v>Годишник Т. ІІ „Изкуство, култура, съвременност, европейски аспекти”, ЮЗУ “Неофит Рилски” – Благоевград,2004, с. 173-178. ISBN 954-680-331-6.</v>
      </c>
      <c r="F5808" s="10"/>
      <c r="G5808" s="10"/>
      <c r="H5808" s="10"/>
      <c r="I5808" s="10"/>
      <c r="J5808" s="10"/>
      <c r="K5808" s="10"/>
      <c r="L5808" s="10"/>
      <c r="M5808" s="10"/>
      <c r="N5808" s="10"/>
      <c r="O5808" s="10"/>
      <c r="P5808" s="10"/>
      <c r="Q5808" s="10"/>
      <c r="R5808" s="10"/>
      <c r="S5808" s="10"/>
      <c r="T5808" s="10"/>
      <c r="U5808" s="10"/>
      <c r="V5808" s="10"/>
      <c r="W5808" s="10"/>
      <c r="X5808" s="10"/>
      <c r="Y5808" s="10"/>
      <c r="Z5808" s="10"/>
    </row>
    <row r="5809" spans="1:26" ht="12.75">
      <c r="A5809" s="10" t="str">
        <f ca="1">IFERROR(__xludf.DUMMYFUNCTION("""COMPUTED_VALUE"""),"Мюмюн Мюмюнов Тахиров")</f>
        <v>Мюмюн Мюмюнов Тахиров</v>
      </c>
      <c r="B5809" s="10" t="str">
        <f ca="1">IFERROR(__xludf.DUMMYFUNCTION("""COMPUTED_VALUE"""),"Статия в списания и поредици")</f>
        <v>Статия в списания и поредици</v>
      </c>
      <c r="C5809" s="10" t="str">
        <f ca="1">IFERROR(__xludf.DUMMYFUNCTION("""COMPUTED_VALUE"""),"The Clash of civilization. Terrorism. Religion")</f>
        <v>The Clash of civilization. Terrorism. Religion</v>
      </c>
      <c r="D5809" s="10">
        <f ca="1">IFERROR(__xludf.DUMMYFUNCTION("""COMPUTED_VALUE"""),2004)</f>
        <v>2004</v>
      </c>
      <c r="E5809" s="10" t="str">
        <f ca="1">IFERROR(__xludf.DUMMYFUNCTION("""COMPUTED_VALUE"""),"“The Balkans AS reality”, IPhr –BAS, S. 2004")</f>
        <v>“The Balkans AS reality”, IPhr –BAS, S. 2004</v>
      </c>
      <c r="F5809" s="10"/>
      <c r="G5809" s="10"/>
      <c r="H5809" s="10"/>
      <c r="I5809" s="10"/>
      <c r="J5809" s="10"/>
      <c r="K5809" s="10"/>
      <c r="L5809" s="10"/>
      <c r="M5809" s="10"/>
      <c r="N5809" s="10"/>
      <c r="O5809" s="10"/>
      <c r="P5809" s="10"/>
      <c r="Q5809" s="10"/>
      <c r="R5809" s="10"/>
      <c r="S5809" s="10"/>
      <c r="T5809" s="10"/>
      <c r="U5809" s="10"/>
      <c r="V5809" s="10"/>
      <c r="W5809" s="10"/>
      <c r="X5809" s="10"/>
      <c r="Y5809" s="10"/>
      <c r="Z5809" s="10"/>
    </row>
    <row r="5810" spans="1:26" ht="12.75">
      <c r="A5810" s="10" t="str">
        <f ca="1">IFERROR(__xludf.DUMMYFUNCTION("""COMPUTED_VALUE"""),"Мюмюн Мюмюнов Тахиров")</f>
        <v>Мюмюн Мюмюнов Тахиров</v>
      </c>
      <c r="B5810" s="10" t="str">
        <f ca="1">IFERROR(__xludf.DUMMYFUNCTION("""COMPUTED_VALUE"""),"Статия в списания и поредици")</f>
        <v>Статия в списания и поредици</v>
      </c>
      <c r="C5810" s="10" t="str">
        <f ca="1">IFERROR(__xludf.DUMMYFUNCTION("""COMPUTED_VALUE"""),"Мултикултурализмът и спецификите на признаване в България")</f>
        <v>Мултикултурализмът и спецификите на признаване в България</v>
      </c>
      <c r="D5810" s="10">
        <f ca="1">IFERROR(__xludf.DUMMYFUNCTION("""COMPUTED_VALUE"""),2004)</f>
        <v>2004</v>
      </c>
      <c r="E5810" s="10" t="str">
        <f ca="1">IFERROR(__xludf.DUMMYFUNCTION("""COMPUTED_VALUE"""),"Годишник Т. ІІ „Изкуство, култура, съвременност, европейски аспекти”, ЮЗУ “Неофит Рилски” – Благоевград, 2004, с. 177-181. Т. 2. ISBN 954-680-331-6.")</f>
        <v>Годишник Т. ІІ „Изкуство, култура, съвременност, европейски аспекти”, ЮЗУ “Неофит Рилски” – Благоевград, 2004, с. 177-181. Т. 2. ISBN 954-680-331-6.</v>
      </c>
      <c r="F5810" s="10"/>
      <c r="G5810" s="10"/>
      <c r="H5810" s="10"/>
      <c r="I5810" s="10"/>
      <c r="J5810" s="10"/>
      <c r="K5810" s="10"/>
      <c r="L5810" s="10"/>
      <c r="M5810" s="10"/>
      <c r="N5810" s="10"/>
      <c r="O5810" s="10"/>
      <c r="P5810" s="10"/>
      <c r="Q5810" s="10"/>
      <c r="R5810" s="10"/>
      <c r="S5810" s="10"/>
      <c r="T5810" s="10"/>
      <c r="U5810" s="10"/>
      <c r="V5810" s="10"/>
      <c r="W5810" s="10"/>
      <c r="X5810" s="10"/>
      <c r="Y5810" s="10"/>
      <c r="Z5810" s="10"/>
    </row>
    <row r="5811" spans="1:26" ht="12.75">
      <c r="A5811" s="10" t="str">
        <f ca="1">IFERROR(__xludf.DUMMYFUNCTION("""COMPUTED_VALUE"""),"Мюмюн Мюмюнов Тахиров")</f>
        <v>Мюмюн Мюмюнов Тахиров</v>
      </c>
      <c r="B5811" s="10" t="str">
        <f ca="1">IFERROR(__xludf.DUMMYFUNCTION("""COMPUTED_VALUE"""),"Статия в списания и поредици")</f>
        <v>Статия в списания и поредици</v>
      </c>
      <c r="C5811" s="10" t="str">
        <f ca="1">IFERROR(__xludf.DUMMYFUNCTION("""COMPUTED_VALUE"""),"Интеркултурен диалог на Балканите. Нова Балканска етика")</f>
        <v>Интеркултурен диалог на Балканите. Нова Балканска етика</v>
      </c>
      <c r="D5811" s="10">
        <f ca="1">IFERROR(__xludf.DUMMYFUNCTION("""COMPUTED_VALUE"""),2003)</f>
        <v>2003</v>
      </c>
      <c r="E5811" s="10" t="str">
        <f ca="1">IFERROR(__xludf.DUMMYFUNCTION("""COMPUTED_VALUE"""),"В:- “Балкански идентичности”. Т. ІV. Институт за изследване на интеграцията, С., 2003, с.178-187.")</f>
        <v>В:- “Балкански идентичности”. Т. ІV. Институт за изследване на интеграцията, С., 2003, с.178-187.</v>
      </c>
      <c r="F5811" s="10"/>
      <c r="G5811" s="10"/>
      <c r="H5811" s="10"/>
      <c r="I5811" s="10"/>
      <c r="J5811" s="10"/>
      <c r="K5811" s="10"/>
      <c r="L5811" s="10"/>
      <c r="M5811" s="10"/>
      <c r="N5811" s="10"/>
      <c r="O5811" s="10"/>
      <c r="P5811" s="10"/>
      <c r="Q5811" s="10"/>
      <c r="R5811" s="10"/>
      <c r="S5811" s="10"/>
      <c r="T5811" s="10"/>
      <c r="U5811" s="10"/>
      <c r="V5811" s="10"/>
      <c r="W5811" s="10"/>
      <c r="X5811" s="10"/>
      <c r="Y5811" s="10"/>
      <c r="Z5811" s="10"/>
    </row>
    <row r="5812" spans="1:26" ht="12.75">
      <c r="A5812" s="10" t="str">
        <f ca="1">IFERROR(__xludf.DUMMYFUNCTION("""COMPUTED_VALUE"""),"Мюмюн Мюмюнов Тахиров")</f>
        <v>Мюмюн Мюмюнов Тахиров</v>
      </c>
      <c r="B5812" s="10" t="str">
        <f ca="1">IFERROR(__xludf.DUMMYFUNCTION("""COMPUTED_VALUE"""),"Книга")</f>
        <v>Книга</v>
      </c>
      <c r="C5812" s="10" t="str">
        <f ca="1">IFERROR(__xludf.DUMMYFUNCTION("""COMPUTED_VALUE"""),"Културна интеграция и междуетническо сътрудничество")</f>
        <v>Културна интеграция и междуетническо сътрудничество</v>
      </c>
      <c r="D5812" s="10">
        <f ca="1">IFERROR(__xludf.DUMMYFUNCTION("""COMPUTED_VALUE"""),2002)</f>
        <v>2002</v>
      </c>
      <c r="E5812" s="10" t="str">
        <f ca="1">IFERROR(__xludf.DUMMYFUNCTION("""COMPUTED_VALUE"""),"Изд. ИИИ. С., 2002.")</f>
        <v>Изд. ИИИ. С., 2002.</v>
      </c>
      <c r="F5812" s="10"/>
      <c r="G5812" s="10"/>
      <c r="H5812" s="10"/>
      <c r="I5812" s="10"/>
      <c r="J5812" s="10"/>
      <c r="K5812" s="10"/>
      <c r="L5812" s="10"/>
      <c r="M5812" s="10"/>
      <c r="N5812" s="10"/>
      <c r="O5812" s="10"/>
      <c r="P5812" s="10"/>
      <c r="Q5812" s="10"/>
      <c r="R5812" s="10"/>
      <c r="S5812" s="10"/>
      <c r="T5812" s="10"/>
      <c r="U5812" s="10"/>
      <c r="V5812" s="10"/>
      <c r="W5812" s="10"/>
      <c r="X5812" s="10"/>
      <c r="Y5812" s="10"/>
      <c r="Z5812" s="10"/>
    </row>
    <row r="5813" spans="1:26" ht="12.75">
      <c r="A5813" s="10" t="str">
        <f ca="1">IFERROR(__xludf.DUMMYFUNCTION("""COMPUTED_VALUE"""),"Надежда Емилова Томова")</f>
        <v>Надежда Емилова Томова</v>
      </c>
      <c r="B5813" s="10" t="str">
        <f ca="1">IFERROR(__xludf.DUMMYFUNCTION("""COMPUTED_VALUE"""),"Доклад от конференция")</f>
        <v>Доклад от конференция</v>
      </c>
      <c r="C5813" s="10" t="str">
        <f ca="1">IFERROR(__xludf.DUMMYFUNCTION("""COMPUTED_VALUE"""),"АГРЕСИЯТА В СЪВРЕМЕННОТО ОБЩЕСТВО")</f>
        <v>АГРЕСИЯТА В СЪВРЕМЕННОТО ОБЩЕСТВО</v>
      </c>
      <c r="D5813" s="10">
        <f ca="1">IFERROR(__xludf.DUMMYFUNCTION("""COMPUTED_VALUE"""),2020)</f>
        <v>2020</v>
      </c>
      <c r="E5813" s="10" t="str">
        <f ca="1">IFERROR(__xludf.DUMMYFUNCTION("""COMPUTED_VALUE"""),"""В: Трудове на Студентското научно общество при Университета по библиотекознание и информационни технологии = Proceedings of the Student Scientific Society of the State University of Library Studies and Information Technologies (до 30.09.2010: СВУБИТ) : "&amp;"Т. І- / Отг. Ред. С. Денчев ; Ред. Кол. А. Куманова – глав. Ред. … [и др.] ; Състав. А. Куманова, Н. Василев ; Науч. Ред. Н. Казански … [и др.] ; Ез. И граф. Ред. Н. Василев ; Техн. Ред. В. Велев. – София : За буквите – О писменехь, 2008- . Т. ХV. [Петнай"&amp;"ста] ХV Юбилейна Студентска научна конференция / Обща, ез., науч. И граф. Ред. Н. Василев ; Рец. И. Петева … [и др.]. – 2020. – 1062 с. : с ил., табл., сх. 
 ISSN 1314-2526 ISSN 1314-6793")</f>
        <v>"В: Трудове на Студентското научно общество при Университета по библиотекознание и информационни технологии = Proceedings of the Student Scientific Society of the State University of Library Studies and Information Technologies (до 30.09.2010: СВУБИТ) : Т. І- / Отг. Ред. С. Денчев ; Ред. Кол. А. Куманова – глав. Ред. … [и др.] ; Състав. А. Куманова, Н. Василев ; Науч. Ред. Н. Казански … [и др.] ; Ез. И граф. Ред. Н. Василев ; Техн. Ред. В. Велев. – София : За буквите – О писменехь, 2008- . Т. ХV. [Петнайста] ХV Юбилейна Студентска научна конференция / Обща, ез., науч. И граф. Ред. Н. Василев ; Рец. И. Петева … [и др.]. – 2020. – 1062 с. : с ил., табл., сх. 
 ISSN 1314-2526 ISSN 1314-6793</v>
      </c>
      <c r="F5813" s="10"/>
      <c r="G5813" s="10"/>
      <c r="H5813" s="10"/>
      <c r="I5813" s="10"/>
      <c r="J5813" s="10"/>
      <c r="K5813" s="10"/>
      <c r="L5813" s="10"/>
      <c r="M5813" s="10"/>
      <c r="N5813" s="10"/>
      <c r="O5813" s="10"/>
      <c r="P5813" s="10"/>
      <c r="Q5813" s="10"/>
      <c r="R5813" s="10"/>
      <c r="S5813" s="10"/>
      <c r="T5813" s="10"/>
      <c r="U5813" s="10"/>
      <c r="V5813" s="10"/>
      <c r="W5813" s="10"/>
      <c r="X5813" s="10"/>
      <c r="Y5813" s="10"/>
      <c r="Z5813" s="10"/>
    </row>
    <row r="5814" spans="1:26" ht="12.75">
      <c r="A5814" s="10" t="str">
        <f ca="1">IFERROR(__xludf.DUMMYFUNCTION("""COMPUTED_VALUE"""),"Надежда Емилова Томова")</f>
        <v>Надежда Емилова Томова</v>
      </c>
      <c r="B5814" s="10" t="str">
        <f ca="1">IFERROR(__xludf.DUMMYFUNCTION("""COMPUTED_VALUE"""),"Статия в списания и поредици")</f>
        <v>Статия в списания и поредици</v>
      </c>
      <c r="C5814" s="10" t="str">
        <f ca="1">IFERROR(__xludf.DUMMYFUNCTION("""COMPUTED_VALUE"""),"Съвременни политики на ЮНЕСКО за опазване на културното наследство в условията на регионални кризи и конфликти")</f>
        <v>Съвременни политики на ЮНЕСКО за опазване на културното наследство в условията на регионални кризи и конфликти</v>
      </c>
      <c r="D5814" s="10">
        <f ca="1">IFERROR(__xludf.DUMMYFUNCTION("""COMPUTED_VALUE"""),2020)</f>
        <v>2020</v>
      </c>
      <c r="E5814" s="10" t="str">
        <f ca="1">IFERROR(__xludf.DUMMYFUNCTION("""COMPUTED_VALUE"""),"В: Научни трудове на Университета по библиотекознание и информационни технологии, Том 18, 2020.ISSN 1314-2623 (под печат)")</f>
        <v>В: Научни трудове на Университета по библиотекознание и информационни технологии, Том 18, 2020.ISSN 1314-2623 (под печат)</v>
      </c>
      <c r="F5814" s="10"/>
      <c r="G5814" s="10"/>
      <c r="H5814" s="10"/>
      <c r="I5814" s="10"/>
      <c r="J5814" s="10"/>
      <c r="K5814" s="10"/>
      <c r="L5814" s="10"/>
      <c r="M5814" s="10"/>
      <c r="N5814" s="10"/>
      <c r="O5814" s="10"/>
      <c r="P5814" s="10"/>
      <c r="Q5814" s="10"/>
      <c r="R5814" s="10"/>
      <c r="S5814" s="10"/>
      <c r="T5814" s="10"/>
      <c r="U5814" s="10"/>
      <c r="V5814" s="10"/>
      <c r="W5814" s="10"/>
      <c r="X5814" s="10"/>
      <c r="Y5814" s="10"/>
      <c r="Z5814" s="10"/>
    </row>
    <row r="5815" spans="1:26" ht="12.75">
      <c r="A5815" s="10" t="str">
        <f ca="1">IFERROR(__xludf.DUMMYFUNCTION("""COMPUTED_VALUE"""),"Надежда Емилова Томова")</f>
        <v>Надежда Емилова Томова</v>
      </c>
      <c r="B5815" s="10" t="str">
        <f ca="1">IFERROR(__xludf.DUMMYFUNCTION("""COMPUTED_VALUE"""),"Доклад от конференция")</f>
        <v>Доклад от конференция</v>
      </c>
      <c r="C5815" s="10" t="str">
        <f ca="1">IFERROR(__xludf.DUMMYFUNCTION("""COMPUTED_VALUE"""),"ИНСТИТУЦИОНАЛНА ИНФРАСТРУКТУРА НА ДЕЙНОСТТА В СФЕРАТА НА КУЛТУРНО-ИСТОРИЧЕСКОТО НАСЛЕДСТВО")</f>
        <v>ИНСТИТУЦИОНАЛНА ИНФРАСТРУКТУРА НА ДЕЙНОСТТА В СФЕРАТА НА КУЛТУРНО-ИСТОРИЧЕСКОТО НАСЛЕДСТВО</v>
      </c>
      <c r="D5815" s="10">
        <f ca="1">IFERROR(__xludf.DUMMYFUNCTION("""COMPUTED_VALUE"""),2020)</f>
        <v>2020</v>
      </c>
      <c r="E5815" s="10" t="str">
        <f ca="1">IFERROR(__xludf.DUMMYFUNCTION("""COMPUTED_VALUE"""),"В:Първия конгрес на Университетите от Югоизточна Европа и Азия за „Образованието в глобалния свят на новите технологии 2020“, организиран със съдействието на Националния борд по туризъм.(под печат)")</f>
        <v>В:Първия конгрес на Университетите от Югоизточна Европа и Азия за „Образованието в глобалния свят на новите технологии 2020“, организиран със съдействието на Националния борд по туризъм.(под печат)</v>
      </c>
      <c r="F5815" s="10"/>
      <c r="G5815" s="10"/>
      <c r="H5815" s="10"/>
      <c r="I5815" s="10"/>
      <c r="J5815" s="10"/>
      <c r="K5815" s="10"/>
      <c r="L5815" s="10"/>
      <c r="M5815" s="10"/>
      <c r="N5815" s="10"/>
      <c r="O5815" s="10"/>
      <c r="P5815" s="10"/>
      <c r="Q5815" s="10"/>
      <c r="R5815" s="10"/>
      <c r="S5815" s="10"/>
      <c r="T5815" s="10"/>
      <c r="U5815" s="10"/>
      <c r="V5815" s="10"/>
      <c r="W5815" s="10"/>
      <c r="X5815" s="10"/>
      <c r="Y5815" s="10"/>
      <c r="Z5815" s="10"/>
    </row>
    <row r="5816" spans="1:26" ht="12.75">
      <c r="A5816" s="10" t="str">
        <f ca="1">IFERROR(__xludf.DUMMYFUNCTION("""COMPUTED_VALUE"""),"Надежда Емилова Томова")</f>
        <v>Надежда Емилова Томова</v>
      </c>
      <c r="B5816" s="10" t="str">
        <f ca="1">IFERROR(__xludf.DUMMYFUNCTION("""COMPUTED_VALUE"""),"Доклад от конференция")</f>
        <v>Доклад от конференция</v>
      </c>
      <c r="C5816" s="10" t="str">
        <f ca="1">IFERROR(__xludf.DUMMYFUNCTION("""COMPUTED_VALUE"""),"ПРОТИВОДЕЙСТВИЕ НА СЪВРЕМЕННИЯ ТЕРОРИЗЪМ (СОЦИОКУЛТУРНИ ПРОБЛЕМИ)")</f>
        <v>ПРОТИВОДЕЙСТВИЕ НА СЪВРЕМЕННИЯ ТЕРОРИЗЪМ (СОЦИОКУЛТУРНИ ПРОБЛЕМИ)</v>
      </c>
      <c r="D5816" s="10">
        <f ca="1">IFERROR(__xludf.DUMMYFUNCTION("""COMPUTED_VALUE"""),2020)</f>
        <v>2020</v>
      </c>
      <c r="E5816" s="10" t="str">
        <f ca="1">IFERROR(__xludf.DUMMYFUNCTION("""COMPUTED_VALUE"""),"""В: ОБЩЕСТВОТО НА ЗНАНИЕТО И ХУМАНИЗМЪТ НА ХХІ ВЕК ХVIII национална научна конференция с международно участие София, 1 – 2 ноември 2020 г. . За буквите О писменехь“ ,София, 2020. 327 с. ISSN 2683- 0094")</f>
        <v>"В: ОБЩЕСТВОТО НА ЗНАНИЕТО И ХУМАНИЗМЪТ НА ХХІ ВЕК ХVIII национална научна конференция с международно участие София, 1 – 2 ноември 2020 г. . За буквите О писменехь“ ,София, 2020. 327 с. ISSN 2683- 0094</v>
      </c>
      <c r="F5816" s="10"/>
      <c r="G5816" s="10"/>
      <c r="H5816" s="10"/>
      <c r="I5816" s="10"/>
      <c r="J5816" s="10"/>
      <c r="K5816" s="10"/>
      <c r="L5816" s="10"/>
      <c r="M5816" s="10"/>
      <c r="N5816" s="10"/>
      <c r="O5816" s="10"/>
      <c r="P5816" s="10"/>
      <c r="Q5816" s="10"/>
      <c r="R5816" s="10"/>
      <c r="S5816" s="10"/>
      <c r="T5816" s="10"/>
      <c r="U5816" s="10"/>
      <c r="V5816" s="10"/>
      <c r="W5816" s="10"/>
      <c r="X5816" s="10"/>
      <c r="Y5816" s="10"/>
      <c r="Z5816" s="10"/>
    </row>
    <row r="5817" spans="1:26" ht="12.75">
      <c r="A5817" s="10" t="str">
        <f ca="1">IFERROR(__xludf.DUMMYFUNCTION("""COMPUTED_VALUE"""),"Надежда Емилова Томова")</f>
        <v>Надежда Емилова Томова</v>
      </c>
      <c r="B5817" s="10" t="str">
        <f ca="1">IFERROR(__xludf.DUMMYFUNCTION("""COMPUTED_VALUE"""),"Доклад от конференция")</f>
        <v>Доклад от конференция</v>
      </c>
      <c r="C5817" s="10" t="str">
        <f ca="1">IFERROR(__xludf.DUMMYFUNCTION("""COMPUTED_VALUE"""),"БИБЛИОМЕТРИЧНИ И ХУМАНИТАРНИ ИЗМЕРЕНИЯ НА РИЗОМАТИЧНО СТРУКТУРИРАНИ ИНФОРМАЦИОННИ РЕСУРСИ ЗА УНИВЕРСИТЕТСКА ЕЛЕКТРОННА СРЕДА")</f>
        <v>БИБЛИОМЕТРИЧНИ И ХУМАНИТАРНИ ИЗМЕРЕНИЯ НА РИЗОМАТИЧНО СТРУКТУРИРАНИ ИНФОРМАЦИОННИ РЕСУРСИ ЗА УНИВЕРСИТЕТСКА ЕЛЕКТРОННА СРЕДА</v>
      </c>
      <c r="D5817" s="10">
        <f ca="1">IFERROR(__xludf.DUMMYFUNCTION("""COMPUTED_VALUE"""),2020)</f>
        <v>2020</v>
      </c>
      <c r="E5817" s="10" t="str">
        <f ca="1">IFERROR(__xludf.DUMMYFUNCTION("""COMPUTED_VALUE"""),"""В: ОБЩЕСТВОТО НА ЗНАНИЕТО И ХУМАНИЗМЪТ НА ХХІ ВЕК ХVIII национална научна конференция с международно участие София, 1 – 2 ноември 2020 г. 582 с.„За буквите О писменехь“ ,София, 2020. с. 582 
 ""ISSN 2683- 0094")</f>
        <v>"В: ОБЩЕСТВОТО НА ЗНАНИЕТО И ХУМАНИЗМЪТ НА ХХІ ВЕК ХVIII национална научна конференция с международно участие София, 1 – 2 ноември 2020 г. 582 с.„За буквите О писменехь“ ,София, 2020. с. 582 
 "ISSN 2683- 0094</v>
      </c>
      <c r="F5817" s="10"/>
      <c r="G5817" s="10" t="str">
        <f ca="1">IFERROR(__xludf.DUMMYFUNCTION("""COMPUTED_VALUE"""),"Василев, Н., Спасова, С.Томова, Н.")</f>
        <v>Василев, Н., Спасова, С.Томова, Н.</v>
      </c>
      <c r="H5817" s="10"/>
      <c r="I5817" s="10"/>
      <c r="J5817" s="10"/>
      <c r="K5817" s="10"/>
      <c r="L5817" s="10"/>
      <c r="M5817" s="10"/>
      <c r="N5817" s="10"/>
      <c r="O5817" s="10"/>
      <c r="P5817" s="10"/>
      <c r="Q5817" s="10"/>
      <c r="R5817" s="10"/>
      <c r="S5817" s="10"/>
      <c r="T5817" s="10"/>
      <c r="U5817" s="10"/>
      <c r="V5817" s="10"/>
      <c r="W5817" s="10"/>
      <c r="X5817" s="10"/>
      <c r="Y5817" s="10"/>
      <c r="Z5817" s="10"/>
    </row>
    <row r="5818" spans="1:26" ht="12.75">
      <c r="A5818" s="10" t="str">
        <f ca="1">IFERROR(__xludf.DUMMYFUNCTION("""COMPUTED_VALUE"""),"Надежда Емилова Томова")</f>
        <v>Надежда Емилова Томова</v>
      </c>
      <c r="B5818" s="10" t="str">
        <f ca="1">IFERROR(__xludf.DUMMYFUNCTION("""COMPUTED_VALUE"""),"Доклад от конференция")</f>
        <v>Доклад от конференция</v>
      </c>
      <c r="C5818" s="10" t="str">
        <f ca="1">IFERROR(__xludf.DUMMYFUNCTION("""COMPUTED_VALUE"""),"ФЕНОМЕНОЛОГИЧНО РЕЗЮМЕ НА НАУЧНИЯ СЕКРЕТАР: ИНФОРМАЦИОННА КАРТА НА СПОМЕНАТИТЕ 258 ПЕРСОНАЛИИ В СТЕНОГРАМАТА НА ФОРУМА (В абсолютни стойности по количество на лицата и в проценти. Системаничен семантичен ключ към изследвания масив)")</f>
        <v>ФЕНОМЕНОЛОГИЧНО РЕЗЮМЕ НА НАУЧНИЯ СЕКРЕТАР: ИНФОРМАЦИОННА КАРТА НА СПОМЕНАТИТЕ 258 ПЕРСОНАЛИИ В СТЕНОГРАМАТА НА ФОРУМА (В абсолютни стойности по количество на лицата и в проценти. Системаничен семантичен ключ към изследвания масив)</v>
      </c>
      <c r="D5818" s="10">
        <f ca="1">IFERROR(__xludf.DUMMYFUNCTION("""COMPUTED_VALUE"""),2020)</f>
        <v>2020</v>
      </c>
      <c r="E5818" s="10" t="str">
        <f ca="1">IFERROR(__xludf.DUMMYFUNCTION("""COMPUTED_VALUE"""),"""В: Куманова, Александра, Николай Василев. FAX ERUDITIO – ФАКЕЛ НА ЗНАНИЕТО : Пътеводител по информ. ресурси на Студентск. научно о-во при Унив. по библиотекознание и информ. технологии : Информ. бази (публ., библиогр. информ., отзиви и рец., премиери), "&amp;"именни показалци, анотации, ключови думи, табл. и граф. на: 16 е-библ. (ERUDITICA, ANTHOLOGICA, ARYANICA, AUTOBIOBIBLOGRAPHICA, COMMENTATORICA, ECOVIANA, ETYMOLOGICA, EVRISTIANA, GLORICA, GRATULATORICA, HUMANITARIANA, NESTINARIANA, PAISIADA, PATRIARCHICA,"&amp;" PSYCHOLOGICA, UNIVERSALICA), отразявани в: 16 тт. на „Тр. на СНО при УниБИТ” (2008- ); 30 тт. на сер. „Факлоносци” (2010- ) и TABULA GRATULATORUM (2005- ), 471с.""ISSN 1314-2526
 ""
 """)</f>
        <v>"В: Куманова, Александра, Николай Василев. FAX ERUDITIO – ФАКЕЛ НА ЗНАНИЕТО : Пътеводител по информ. ресурси на Студентск. научно о-во при Унив. по библиотекознание и информ. технологии : Информ. бази (публ., библиогр. информ., отзиви и рец., премиери), именни показалци, анотации, ключови думи, табл. и граф. на: 16 е-библ. (ERUDITICA, ANTHOLOGICA, ARYANICA, AUTOBIOBIBLOGRAPHICA, COMMENTATORICA, ECOVIANA, ETYMOLOGICA, EVRISTIANA, GLORICA, GRATULATORICA, HUMANITARIANA, NESTINARIANA, PAISIADA, PATRIARCHICA, PSYCHOLOGICA, UNIVERSALICA), отразявани в: 16 тт. на „Тр. на СНО при УниБИТ” (2008- ); 30 тт. на сер. „Факлоносци” (2010- ) и TABULA GRATULATORUM (2005- ), 471с."ISSN 1314-2526
 "
 "</v>
      </c>
      <c r="F5818" s="10"/>
      <c r="G5818" s="10"/>
      <c r="H5818" s="10"/>
      <c r="I5818" s="10"/>
      <c r="J5818" s="10"/>
      <c r="K5818" s="10"/>
      <c r="L5818" s="10"/>
      <c r="M5818" s="10"/>
      <c r="N5818" s="10"/>
      <c r="O5818" s="10"/>
      <c r="P5818" s="10"/>
      <c r="Q5818" s="10"/>
      <c r="R5818" s="10"/>
      <c r="S5818" s="10"/>
      <c r="T5818" s="10"/>
      <c r="U5818" s="10"/>
      <c r="V5818" s="10"/>
      <c r="W5818" s="10"/>
      <c r="X5818" s="10"/>
      <c r="Y5818" s="10"/>
      <c r="Z5818" s="10"/>
    </row>
    <row r="5819" spans="1:26" ht="12.75">
      <c r="A5819" s="10" t="str">
        <f ca="1">IFERROR(__xludf.DUMMYFUNCTION("""COMPUTED_VALUE"""),"Надежда Емилова Томова")</f>
        <v>Надежда Емилова Томова</v>
      </c>
      <c r="B5819" s="10" t="str">
        <f ca="1">IFERROR(__xludf.DUMMYFUNCTION("""COMPUTED_VALUE"""),"Книга")</f>
        <v>Книга</v>
      </c>
      <c r="C5819" s="10" t="str">
        <f ca="1">IFERROR(__xludf.DUMMYFUNCTION("""COMPUTED_VALUE"""),"СЛОВО И ПАМЕТ.БИБЛИОГРАФИЯ НА СВЕТИ ЕПИСКОП СОФРОНИЙ ВРАЧАНСКИ")</f>
        <v>СЛОВО И ПАМЕТ.БИБЛИОГРАФИЯ НА СВЕТИ ЕПИСКОП СОФРОНИЙ ВРАЧАНСКИ</v>
      </c>
      <c r="D5819" s="10">
        <f ca="1">IFERROR(__xludf.DUMMYFUNCTION("""COMPUTED_VALUE"""),2020)</f>
        <v>2020</v>
      </c>
      <c r="E5819" s="10" t="str">
        <f ca="1">IFERROR(__xludf.DUMMYFUNCTION("""COMPUTED_VALUE"""),"Академично издателство „За буквите – О писменехь“ София, 2020. ""ISBN 978-619-185-447-9")</f>
        <v>Академично издателство „За буквите – О писменехь“ София, 2020. "ISBN 978-619-185-447-9</v>
      </c>
      <c r="F5819" s="10"/>
      <c r="G5819" s="10"/>
      <c r="H5819" s="10"/>
      <c r="I5819" s="10"/>
      <c r="J5819" s="10"/>
      <c r="K5819" s="10"/>
      <c r="L5819" s="10"/>
      <c r="M5819" s="10"/>
      <c r="N5819" s="10"/>
      <c r="O5819" s="10"/>
      <c r="P5819" s="10"/>
      <c r="Q5819" s="10"/>
      <c r="R5819" s="10"/>
      <c r="S5819" s="10"/>
      <c r="T5819" s="10"/>
      <c r="U5819" s="10"/>
      <c r="V5819" s="10"/>
      <c r="W5819" s="10"/>
      <c r="X5819" s="10"/>
      <c r="Y5819" s="10"/>
      <c r="Z5819" s="10"/>
    </row>
    <row r="5820" spans="1:26" ht="12.75">
      <c r="A5820" s="10" t="str">
        <f ca="1">IFERROR(__xludf.DUMMYFUNCTION("""COMPUTED_VALUE"""),"Надежда Емилова Томова")</f>
        <v>Надежда Емилова Томова</v>
      </c>
      <c r="B5820" s="10" t="str">
        <f ca="1">IFERROR(__xludf.DUMMYFUNCTION("""COMPUTED_VALUE"""),"Доклад от конференция")</f>
        <v>Доклад от конференция</v>
      </c>
      <c r="C5820" s="10" t="str">
        <f ca="1">IFERROR(__xludf.DUMMYFUNCTION("""COMPUTED_VALUE"""),"Библиометрични измерения на дефинитивната функция на учебния и научно-изследователския процес в университета по библиотекознание и информационни технологии (Системно-структурен анализ на определенията на ключовите феномени на ежегодните студентски научни "&amp;"форуми)")</f>
        <v>Библиометрични измерения на дефинитивната функция на учебния и научно-изследователския процес в университета по библиотекознание и информационни технологии (Системно-структурен анализ на определенията на ключовите феномени на ежегодните студентски научни форуми)</v>
      </c>
      <c r="D5820" s="10">
        <f ca="1">IFERROR(__xludf.DUMMYFUNCTION("""COMPUTED_VALUE"""),2020)</f>
        <v>2020</v>
      </c>
      <c r="E5820" s="10" t="str">
        <f ca="1">IFERROR(__xludf.DUMMYFUNCTION("""COMPUTED_VALUE"""),"""В: Трудове на Студентското научно общество при Университета по библиотекознание и информационни технологии =Proceedings of the Student Scientific Society of the State University of Library Studies and Information Technologies (до 30.09.2010: СВУБИТ) : Т"&amp;". І- / Отг. ред. С. Денчев ; Ред. кол. А. Куманова – глав. ред. … [и др.] ; Състав. А. Куманова, Н. Василев ; Науч. ред. Н. Казански … [и др.] ; Ез. и граф. ред. Н. Василев ; Техн. Ред. В. Велев. – София : За буквите – О писменехь, 2008- .Т. ХV. [Петнайст"&amp;"а] ХV Юбилейна Студентска научна конференция / Обща, ез., науч. и граф. ред. Н. Василев ; Рец. И. Петева … [и др.]. – 2020. – 1060 с. : с ил., табл., сх."""" 
 ISSN 1314-2526
  ISSN 1314-6793""")</f>
        <v>"В: Трудове на Студентското научно общество при Университета по библиотекознание и информационни технологии =Proceedings of the Student Scientific Society of the State University of Library Studies and Information Technologies (до 30.09.2010: СВУБИТ) : Т. І- / Отг. ред. С. Денчев ; Ред. кол. А. Куманова – глав. ред. … [и др.] ; Състав. А. Куманова, Н. Василев ; Науч. ред. Н. Казански … [и др.] ; Ез. и граф. ред. Н. Василев ; Техн. Ред. В. Велев. – София : За буквите – О писменехь, 2008- .Т. ХV. [Петнайста] ХV Юбилейна Студентска научна конференция / Обща, ез., науч. и граф. ред. Н. Василев ; Рец. И. Петева … [и др.]. – 2020. – 1060 с. : с ил., табл., сх."" 
 ISSN 1314-2526
  ISSN 1314-6793"</v>
      </c>
      <c r="F5820" s="10"/>
      <c r="G5820" s="10" t="str">
        <f ca="1">IFERROR(__xludf.DUMMYFUNCTION("""COMPUTED_VALUE"""),"Ирена Илиева")</f>
        <v>Ирена Илиева</v>
      </c>
      <c r="H5820" s="10"/>
      <c r="I5820" s="10"/>
      <c r="J5820" s="10"/>
      <c r="K5820" s="10"/>
      <c r="L5820" s="10"/>
      <c r="M5820" s="10"/>
      <c r="N5820" s="10"/>
      <c r="O5820" s="10"/>
      <c r="P5820" s="10"/>
      <c r="Q5820" s="10"/>
      <c r="R5820" s="10"/>
      <c r="S5820" s="10"/>
      <c r="T5820" s="10"/>
      <c r="U5820" s="10"/>
      <c r="V5820" s="10"/>
      <c r="W5820" s="10"/>
      <c r="X5820" s="10"/>
      <c r="Y5820" s="10"/>
      <c r="Z5820" s="10"/>
    </row>
    <row r="5821" spans="1:26" ht="12.75">
      <c r="A5821" s="10" t="str">
        <f ca="1">IFERROR(__xludf.DUMMYFUNCTION("""COMPUTED_VALUE"""),"Надежда Емилова Томова")</f>
        <v>Надежда Емилова Томова</v>
      </c>
      <c r="B5821" s="10" t="str">
        <f ca="1">IFERROR(__xludf.DUMMYFUNCTION("""COMPUTED_VALUE"""),"Статия в списания и поредици")</f>
        <v>Статия в списания и поредици</v>
      </c>
      <c r="C5821" s="10" t="str">
        <f ca="1">IFERROR(__xludf.DUMMYFUNCTION("""COMPUTED_VALUE"""),"Предизвикателства при опазването и защитата на “Историческите градове” през XXI век. (Концепции и модели)")</f>
        <v>Предизвикателства при опазването и защитата на “Историческите градове” през XXI век. (Концепции и модели)</v>
      </c>
      <c r="D5821" s="10">
        <f ca="1">IFERROR(__xludf.DUMMYFUNCTION("""COMPUTED_VALUE"""),2019)</f>
        <v>2019</v>
      </c>
      <c r="E5821" s="10" t="str">
        <f ca="1">IFERROR(__xludf.DUMMYFUNCTION("""COMPUTED_VALUE"""),"В: Научни трудове на Университета по библиотекознание и информационни технологии. - Т.16 (2019).ISSN 1314-2623 (под печат)")</f>
        <v>В: Научни трудове на Университета по библиотекознание и информационни технологии. - Т.16 (2019).ISSN 1314-2623 (под печат)</v>
      </c>
      <c r="F5821" s="10"/>
      <c r="G5821" s="10"/>
      <c r="H5821" s="10"/>
      <c r="I5821" s="10"/>
      <c r="J5821" s="10"/>
      <c r="K5821" s="10"/>
      <c r="L5821" s="10"/>
      <c r="M5821" s="10"/>
      <c r="N5821" s="10"/>
      <c r="O5821" s="10"/>
      <c r="P5821" s="10"/>
      <c r="Q5821" s="10"/>
      <c r="R5821" s="10"/>
      <c r="S5821" s="10"/>
      <c r="T5821" s="10"/>
      <c r="U5821" s="10"/>
      <c r="V5821" s="10"/>
      <c r="W5821" s="10"/>
      <c r="X5821" s="10"/>
      <c r="Y5821" s="10"/>
      <c r="Z5821" s="10"/>
    </row>
    <row r="5822" spans="1:26" ht="12.75">
      <c r="A5822" s="10" t="str">
        <f ca="1">IFERROR(__xludf.DUMMYFUNCTION("""COMPUTED_VALUE"""),"Надежда Емилова Томова")</f>
        <v>Надежда Емилова Томова</v>
      </c>
      <c r="B5822" s="10" t="str">
        <f ca="1">IFERROR(__xludf.DUMMYFUNCTION("""COMPUTED_VALUE"""),"Доклад от конференция")</f>
        <v>Доклад от конференция</v>
      </c>
      <c r="C5822" s="10" t="str">
        <f ca="1">IFERROR(__xludf.DUMMYFUNCTION("""COMPUTED_VALUE"""),"Библиотеката и националното културно наследство")</f>
        <v>Библиотеката и националното културно наследство</v>
      </c>
      <c r="D5822" s="10">
        <f ca="1">IFERROR(__xludf.DUMMYFUNCTION("""COMPUTED_VALUE"""),2019)</f>
        <v>2019</v>
      </c>
      <c r="E5822" s="10" t="str">
        <f ca="1">IFERROR(__xludf.DUMMYFUNCTION("""COMPUTED_VALUE"""),"В: Библиотеката - проекции във времето : Сборник с доклади от Национална конференция с международно участие, 7-8 октомври 2019, Шумен : Регионална библиотека ""Стилиян Чилингиров"", 2019 ISBN - 978-954-2936-33-6")</f>
        <v>В: Библиотеката - проекции във времето : Сборник с доклади от Национална конференция с международно участие, 7-8 октомври 2019, Шумен : Регионална библиотека "Стилиян Чилингиров", 2019 ISBN - 978-954-2936-33-6</v>
      </c>
      <c r="F5822" s="10" t="str">
        <f ca="1">IFERROR(__xludf.DUMMYFUNCTION("""COMPUTED_VALUE"""),"Cobiss +")</f>
        <v>Cobiss +</v>
      </c>
      <c r="G5822" s="10"/>
      <c r="H5822" s="10"/>
      <c r="I5822" s="10"/>
      <c r="J5822" s="10"/>
      <c r="K5822" s="10"/>
      <c r="L5822" s="10"/>
      <c r="M5822" s="10"/>
      <c r="N5822" s="10"/>
      <c r="O5822" s="10"/>
      <c r="P5822" s="10"/>
      <c r="Q5822" s="10"/>
      <c r="R5822" s="10"/>
      <c r="S5822" s="10"/>
      <c r="T5822" s="10"/>
      <c r="U5822" s="10"/>
      <c r="V5822" s="10"/>
      <c r="W5822" s="10"/>
      <c r="X5822" s="10"/>
      <c r="Y5822" s="10"/>
      <c r="Z5822" s="10"/>
    </row>
    <row r="5823" spans="1:26" ht="12.75">
      <c r="A5823" s="10" t="str">
        <f ca="1">IFERROR(__xludf.DUMMYFUNCTION("""COMPUTED_VALUE"""),"Надежда Емилова Томова")</f>
        <v>Надежда Емилова Томова</v>
      </c>
      <c r="B5823" s="10" t="str">
        <f ca="1">IFERROR(__xludf.DUMMYFUNCTION("""COMPUTED_VALUE"""),"Доклад от конференция")</f>
        <v>Доклад от конференция</v>
      </c>
      <c r="C5823" s="10" t="str">
        <f ca="1">IFERROR(__xludf.DUMMYFUNCTION("""COMPUTED_VALUE"""),"Общобългарският комитет „Васил Левски” и Фондация „Васил Левски” и техните документите/Историческа справка/")</f>
        <v>Общобългарският комитет „Васил Левски” и Фондация „Васил Левски” и техните документите/Историческа справка/</v>
      </c>
      <c r="D5823" s="10">
        <f ca="1">IFERROR(__xludf.DUMMYFUNCTION("""COMPUTED_VALUE"""),2018)</f>
        <v>2018</v>
      </c>
      <c r="E5823" s="10" t="str">
        <f ca="1">IFERROR(__xludf.DUMMYFUNCTION("""COMPUTED_VALUE"""),"В: СТУДЕНТСКИ дигитален архив по НИП на тема: “Културна памет и национална идентичност. Документи, архивни и книжовно наследство“ [Електронен ресурс] / състав. В. Добрева.Е. Сачев, Н. Томова - София : Т. 1. – 2018. ISSN 978-6191-853076")</f>
        <v>В: СТУДЕНТСКИ дигитален архив по НИП на тема: “Културна памет и национална идентичност. Документи, архивни и книжовно наследство“ [Електронен ресурс] / състав. В. Добрева.Е. Сачев, Н. Томова - София : Т. 1. – 2018. ISSN 978-6191-853076</v>
      </c>
      <c r="F5823" s="10"/>
      <c r="G5823" s="10"/>
      <c r="H5823" s="10"/>
      <c r="I5823" s="10"/>
      <c r="J5823" s="10"/>
      <c r="K5823" s="10"/>
      <c r="L5823" s="10"/>
      <c r="M5823" s="10"/>
      <c r="N5823" s="10"/>
      <c r="O5823" s="10"/>
      <c r="P5823" s="10"/>
      <c r="Q5823" s="10"/>
      <c r="R5823" s="10"/>
      <c r="S5823" s="10"/>
      <c r="T5823" s="10"/>
      <c r="U5823" s="10"/>
      <c r="V5823" s="10"/>
      <c r="W5823" s="10"/>
      <c r="X5823" s="10"/>
      <c r="Y5823" s="10"/>
      <c r="Z5823" s="10"/>
    </row>
    <row r="5824" spans="1:26" ht="12.75">
      <c r="A5824" s="10" t="str">
        <f ca="1">IFERROR(__xludf.DUMMYFUNCTION("""COMPUTED_VALUE"""),"Надежда Емилова Томова")</f>
        <v>Надежда Емилова Томова</v>
      </c>
      <c r="B5824" s="10" t="str">
        <f ca="1">IFERROR(__xludf.DUMMYFUNCTION("""COMPUTED_VALUE"""),"Доклад от конференция")</f>
        <v>Доклад от конференция</v>
      </c>
      <c r="C5824" s="10" t="str">
        <f ca="1">IFERROR(__xludf.DUMMYFUNCTION("""COMPUTED_VALUE"""),"Културният тероризъм – същност, структура и функции.")</f>
        <v>Културният тероризъм – същност, структура и функции.</v>
      </c>
      <c r="D5824" s="10">
        <f ca="1">IFERROR(__xludf.DUMMYFUNCTION("""COMPUTED_VALUE"""),2018)</f>
        <v>2018</v>
      </c>
      <c r="E5824" s="10" t="str">
        <f ca="1">IFERROR(__xludf.DUMMYFUNCTION("""COMPUTED_VALUE"""),"В:Обществото на знанието и хуманизмът на ХХI век посветена на деня на Народните будители, 1 ноември 2018 г., София, Унибит : За буквите – О писменехь, 2018")</f>
        <v>В:Обществото на знанието и хуманизмът на ХХI век посветена на деня на Народните будители, 1 ноември 2018 г., София, Унибит : За буквите – О писменехь, 2018</v>
      </c>
      <c r="F5824" s="10"/>
      <c r="G5824" s="10"/>
      <c r="H5824" s="10"/>
      <c r="I5824" s="10"/>
      <c r="J5824" s="10"/>
      <c r="K5824" s="10"/>
      <c r="L5824" s="10"/>
      <c r="M5824" s="10"/>
      <c r="N5824" s="10"/>
      <c r="O5824" s="10"/>
      <c r="P5824" s="10"/>
      <c r="Q5824" s="10"/>
      <c r="R5824" s="10"/>
      <c r="S5824" s="10"/>
      <c r="T5824" s="10"/>
      <c r="U5824" s="10"/>
      <c r="V5824" s="10"/>
      <c r="W5824" s="10"/>
      <c r="X5824" s="10"/>
      <c r="Y5824" s="10"/>
      <c r="Z5824" s="10"/>
    </row>
    <row r="5825" spans="1:26" ht="12.75">
      <c r="A5825" s="10" t="str">
        <f ca="1">IFERROR(__xludf.DUMMYFUNCTION("""COMPUTED_VALUE"""),"Надежда Емилова Томова")</f>
        <v>Надежда Емилова Томова</v>
      </c>
      <c r="B5825" s="10" t="str">
        <f ca="1">IFERROR(__xludf.DUMMYFUNCTION("""COMPUTED_VALUE"""),"Доклад от конференция")</f>
        <v>Доклад от конференция</v>
      </c>
      <c r="C5825" s="10" t="str">
        <f ca="1">IFERROR(__xludf.DUMMYFUNCTION("""COMPUTED_VALUE"""),"Етническият стереотип – същност, структура и функции.")</f>
        <v>Етническият стереотип – същност, структура и функции.</v>
      </c>
      <c r="D5825" s="10">
        <f ca="1">IFERROR(__xludf.DUMMYFUNCTION("""COMPUTED_VALUE"""),2018)</f>
        <v>2018</v>
      </c>
      <c r="E5825" s="10" t="str">
        <f ca="1">IFERROR(__xludf.DUMMYFUNCTION("""COMPUTED_VALUE"""),"В:Обществото на знанието и хуманизмът на ХХI век посветена на деня на Народните будители, 1 ноември 2018 г., София, Унибит : За буквите – О писменехь, 2018")</f>
        <v>В:Обществото на знанието и хуманизмът на ХХI век посветена на деня на Народните будители, 1 ноември 2018 г., София, Унибит : За буквите – О писменехь, 2018</v>
      </c>
      <c r="F5825" s="10"/>
      <c r="G5825" s="10" t="str">
        <f ca="1">IFERROR(__xludf.DUMMYFUNCTION("""COMPUTED_VALUE"""),"Проф. д. ик. н. Евгений Сачев")</f>
        <v>Проф. д. ик. н. Евгений Сачев</v>
      </c>
      <c r="H5825" s="10"/>
      <c r="I5825" s="10"/>
      <c r="J5825" s="10"/>
      <c r="K5825" s="10"/>
      <c r="L5825" s="10"/>
      <c r="M5825" s="10"/>
      <c r="N5825" s="10"/>
      <c r="O5825" s="10"/>
      <c r="P5825" s="10"/>
      <c r="Q5825" s="10"/>
      <c r="R5825" s="10"/>
      <c r="S5825" s="10"/>
      <c r="T5825" s="10"/>
      <c r="U5825" s="10"/>
      <c r="V5825" s="10"/>
      <c r="W5825" s="10"/>
      <c r="X5825" s="10"/>
      <c r="Y5825" s="10"/>
      <c r="Z5825" s="10"/>
    </row>
    <row r="5826" spans="1:26" ht="12.75">
      <c r="A5826" s="10" t="str">
        <f ca="1">IFERROR(__xludf.DUMMYFUNCTION("""COMPUTED_VALUE"""),"Надежда Емилова Томова")</f>
        <v>Надежда Емилова Томова</v>
      </c>
      <c r="B5826" s="10" t="str">
        <f ca="1">IFERROR(__xludf.DUMMYFUNCTION("""COMPUTED_VALUE"""),"Доклад от конференция")</f>
        <v>Доклад от конференция</v>
      </c>
      <c r="C5826" s="10" t="str">
        <f ca="1">IFERROR(__xludf.DUMMYFUNCTION("""COMPUTED_VALUE"""),"Орелът като древнобългарски символ. Значимост и място в българската култура и история.")</f>
        <v>Орелът като древнобългарски символ. Значимост и място в българската култура и история.</v>
      </c>
      <c r="D5826" s="10">
        <f ca="1">IFERROR(__xludf.DUMMYFUNCTION("""COMPUTED_VALUE"""),2017)</f>
        <v>2017</v>
      </c>
      <c r="E5826" s="10" t="str">
        <f ca="1">IFERROR(__xludf.DUMMYFUNCTION("""COMPUTED_VALUE"""),"Квантов преход, XIII, 6(128), 2017-06-01, с. 2-3")</f>
        <v>Квантов преход, XIII, 6(128), 2017-06-01, с. 2-3</v>
      </c>
      <c r="F5826" s="10"/>
      <c r="G5826" s="10"/>
      <c r="H5826" s="10"/>
      <c r="I5826" s="10"/>
      <c r="J5826" s="10"/>
      <c r="K5826" s="10"/>
      <c r="L5826" s="10"/>
      <c r="M5826" s="10"/>
      <c r="N5826" s="10"/>
      <c r="O5826" s="10"/>
      <c r="P5826" s="10"/>
      <c r="Q5826" s="10"/>
      <c r="R5826" s="10"/>
      <c r="S5826" s="10"/>
      <c r="T5826" s="10"/>
      <c r="U5826" s="10"/>
      <c r="V5826" s="10"/>
      <c r="W5826" s="10"/>
      <c r="X5826" s="10"/>
      <c r="Y5826" s="10"/>
      <c r="Z5826" s="10"/>
    </row>
    <row r="5827" spans="1:26" ht="12.75">
      <c r="A5827" s="10" t="str">
        <f ca="1">IFERROR(__xludf.DUMMYFUNCTION("""COMPUTED_VALUE"""),"Надежда Емилова Томова")</f>
        <v>Надежда Емилова Томова</v>
      </c>
      <c r="B5827" s="10" t="str">
        <f ca="1">IFERROR(__xludf.DUMMYFUNCTION("""COMPUTED_VALUE"""),"Доклад от конференция")</f>
        <v>Доклад от конференция</v>
      </c>
      <c r="C5827" s="10" t="str">
        <f ca="1">IFERROR(__xludf.DUMMYFUNCTION("""COMPUTED_VALUE"""),"Знакът “IYI” - символът на свещеното учение на Бог Ра.")</f>
        <v>Знакът “IYI” - символът на свещеното учение на Бог Ра.</v>
      </c>
      <c r="D5827" s="10">
        <f ca="1">IFERROR(__xludf.DUMMYFUNCTION("""COMPUTED_VALUE"""),2017)</f>
        <v>2017</v>
      </c>
      <c r="E5827" s="10" t="str">
        <f ca="1">IFERROR(__xludf.DUMMYFUNCTION("""COMPUTED_VALUE"""),"Квантов преход, XIII, бр. 6(128) 5 юни. 2017, с. 1")</f>
        <v>Квантов преход, XIII, бр. 6(128) 5 юни. 2017, с. 1</v>
      </c>
      <c r="F5827" s="10"/>
      <c r="G5827" s="10"/>
      <c r="H5827" s="10"/>
      <c r="I5827" s="10"/>
      <c r="J5827" s="10"/>
      <c r="K5827" s="10"/>
      <c r="L5827" s="10"/>
      <c r="M5827" s="10"/>
      <c r="N5827" s="10"/>
      <c r="O5827" s="10"/>
      <c r="P5827" s="10"/>
      <c r="Q5827" s="10"/>
      <c r="R5827" s="10"/>
      <c r="S5827" s="10"/>
      <c r="T5827" s="10"/>
      <c r="U5827" s="10"/>
      <c r="V5827" s="10"/>
      <c r="W5827" s="10"/>
      <c r="X5827" s="10"/>
      <c r="Y5827" s="10"/>
      <c r="Z5827" s="10"/>
    </row>
    <row r="5828" spans="1:26" ht="12.75">
      <c r="A5828" s="10" t="str">
        <f ca="1">IFERROR(__xludf.DUMMYFUNCTION("""COMPUTED_VALUE"""),"Надежда Емилова Томова")</f>
        <v>Надежда Емилова Томова</v>
      </c>
      <c r="B5828" s="10" t="str">
        <f ca="1">IFERROR(__xludf.DUMMYFUNCTION("""COMPUTED_VALUE"""),"Статия в списания и поредици")</f>
        <v>Статия в списания и поредици</v>
      </c>
      <c r="C5828" s="10" t="str">
        <f ca="1">IFERROR(__xludf.DUMMYFUNCTION("""COMPUTED_VALUE"""),"Древнобългарският знак IYI: от тук - до Северните морета и Велика Скандинавия.")</f>
        <v>Древнобългарският знак IYI: от тук - до Северните морета и Велика Скандинавия.</v>
      </c>
      <c r="D5828" s="10">
        <f ca="1">IFERROR(__xludf.DUMMYFUNCTION("""COMPUTED_VALUE"""),2017)</f>
        <v>2017</v>
      </c>
      <c r="E5828" s="10" t="str">
        <f ca="1">IFERROR(__xludf.DUMMYFUNCTION("""COMPUTED_VALUE"""),"сб. Трета национална конференция ""Историческото наследство на Стара Загора, Тракия и Балканите"" 27-28 октомври 2017. ISBN 978-954-487-154-3")</f>
        <v>сб. Трета национална конференция "Историческото наследство на Стара Загора, Тракия и Балканите" 27-28 октомври 2017. ISBN 978-954-487-154-3</v>
      </c>
      <c r="F5828" s="10"/>
      <c r="G5828" s="10"/>
      <c r="H5828" s="10"/>
      <c r="I5828" s="10"/>
      <c r="J5828" s="10"/>
      <c r="K5828" s="10"/>
      <c r="L5828" s="10"/>
      <c r="M5828" s="10"/>
      <c r="N5828" s="10"/>
      <c r="O5828" s="10"/>
      <c r="P5828" s="10"/>
      <c r="Q5828" s="10"/>
      <c r="R5828" s="10"/>
      <c r="S5828" s="10"/>
      <c r="T5828" s="10"/>
      <c r="U5828" s="10"/>
      <c r="V5828" s="10"/>
      <c r="W5828" s="10"/>
      <c r="X5828" s="10"/>
      <c r="Y5828" s="10"/>
      <c r="Z5828" s="10"/>
    </row>
    <row r="5829" spans="1:26" ht="12.75">
      <c r="A5829" s="10" t="str">
        <f ca="1">IFERROR(__xludf.DUMMYFUNCTION("""COMPUTED_VALUE"""),"Надежда Емилова Томова")</f>
        <v>Надежда Емилова Томова</v>
      </c>
      <c r="B5829" s="10" t="str">
        <f ca="1">IFERROR(__xludf.DUMMYFUNCTION("""COMPUTED_VALUE"""),"Доклад от конференция")</f>
        <v>Доклад от конференция</v>
      </c>
      <c r="C5829" s="10" t="str">
        <f ca="1">IFERROR(__xludf.DUMMYFUNCTION("""COMPUTED_VALUE"""),"Културното богатство на Ловешка област, град Троян и Троянския манастир/обзорен преглед/")</f>
        <v>Културното богатство на Ловешка област, град Троян и Троянския манастир/обзорен преглед/</v>
      </c>
      <c r="D5829" s="10">
        <f ca="1">IFERROR(__xludf.DUMMYFUNCTION("""COMPUTED_VALUE"""),2017)</f>
        <v>2017</v>
      </c>
      <c r="E5829" s="10" t="str">
        <f ca="1">IFERROR(__xludf.DUMMYFUNCTION("""COMPUTED_VALUE"""),"В:Обществото на знанието и хуманизмът на ХХI век посветена на деня на Народните будители, 1 ноември 2017 г., София, Унибит : За буквите – О писменехь, 2017, ISSN 1314-7099")</f>
        <v>В:Обществото на знанието и хуманизмът на ХХI век посветена на деня на Народните будители, 1 ноември 2017 г., София, Унибит : За буквите – О писменехь, 2017, ISSN 1314-7099</v>
      </c>
      <c r="F5829" s="10"/>
      <c r="G5829" s="10"/>
      <c r="H5829" s="10"/>
      <c r="I5829" s="10"/>
      <c r="J5829" s="10"/>
      <c r="K5829" s="10"/>
      <c r="L5829" s="10"/>
      <c r="M5829" s="10"/>
      <c r="N5829" s="10"/>
      <c r="O5829" s="10"/>
      <c r="P5829" s="10"/>
      <c r="Q5829" s="10"/>
      <c r="R5829" s="10"/>
      <c r="S5829" s="10"/>
      <c r="T5829" s="10"/>
      <c r="U5829" s="10"/>
      <c r="V5829" s="10"/>
      <c r="W5829" s="10"/>
      <c r="X5829" s="10"/>
      <c r="Y5829" s="10"/>
      <c r="Z5829" s="10"/>
    </row>
    <row r="5830" spans="1:26" ht="12.75">
      <c r="A5830" s="10" t="str">
        <f ca="1">IFERROR(__xludf.DUMMYFUNCTION("""COMPUTED_VALUE"""),"Надежда Емилова Томова")</f>
        <v>Надежда Емилова Томова</v>
      </c>
      <c r="B5830" s="10" t="str">
        <f ca="1">IFERROR(__xludf.DUMMYFUNCTION("""COMPUTED_VALUE"""),"Доклад от конференция")</f>
        <v>Доклад от конференция</v>
      </c>
      <c r="C5830" s="10" t="str">
        <f ca="1">IFERROR(__xludf.DUMMYFUNCTION("""COMPUTED_VALUE"""),"Преглед на актуалното състояние на религиозния туризъм в България. Реалности и перспективи")</f>
        <v>Преглед на актуалното състояние на религиозния туризъм в България. Реалности и перспективи</v>
      </c>
      <c r="D5830" s="10">
        <f ca="1">IFERROR(__xludf.DUMMYFUNCTION("""COMPUTED_VALUE"""),2013)</f>
        <v>2013</v>
      </c>
      <c r="E5830" s="10" t="str">
        <f ca="1">IFERROR(__xludf.DUMMYFUNCTION("""COMPUTED_VALUE"""),"Студентски дигитален архив по религиозно културно-историческо наследство. София: За буквите-О писменехь, 2013 ISBN 978-954-2946-89-2")</f>
        <v>Студентски дигитален архив по религиозно културно-историческо наследство. София: За буквите-О писменехь, 2013 ISBN 978-954-2946-89-2</v>
      </c>
      <c r="F5830" s="10"/>
      <c r="G5830" s="10"/>
      <c r="H5830" s="10"/>
      <c r="I5830" s="10"/>
      <c r="J5830" s="10"/>
      <c r="K5830" s="10"/>
      <c r="L5830" s="10"/>
      <c r="M5830" s="10"/>
      <c r="N5830" s="10"/>
      <c r="O5830" s="10"/>
      <c r="P5830" s="10"/>
      <c r="Q5830" s="10"/>
      <c r="R5830" s="10"/>
      <c r="S5830" s="10"/>
      <c r="T5830" s="10"/>
      <c r="U5830" s="10"/>
      <c r="V5830" s="10"/>
      <c r="W5830" s="10"/>
      <c r="X5830" s="10"/>
      <c r="Y5830" s="10"/>
      <c r="Z5830" s="10"/>
    </row>
    <row r="5831" spans="1:26" ht="12.75">
      <c r="A5831" s="10" t="str">
        <f ca="1">IFERROR(__xludf.DUMMYFUNCTION("""COMPUTED_VALUE"""),"Надежда Емилова Томова")</f>
        <v>Надежда Емилова Томова</v>
      </c>
      <c r="B5831" s="10" t="str">
        <f ca="1">IFERROR(__xludf.DUMMYFUNCTION("""COMPUTED_VALUE"""),"Статия в списания и поредици")</f>
        <v>Статия в списания и поредици</v>
      </c>
      <c r="C5831" s="10" t="str">
        <f ca="1">IFERROR(__xludf.DUMMYFUNCTION("""COMPUTED_VALUE"""),"Дебелянови вечери – поезия, любов и още нещо. Възможност за насърчаване на четенето")</f>
        <v>Дебелянови вечери – поезия, любов и още нещо. Възможност за насърчаване на четенето</v>
      </c>
      <c r="D5831" s="10">
        <f ca="1">IFERROR(__xludf.DUMMYFUNCTION("""COMPUTED_VALUE"""),2012)</f>
        <v>2012</v>
      </c>
      <c r="E5831" s="10" t="str">
        <f ca="1">IFERROR(__xludf.DUMMYFUNCTION("""COMPUTED_VALUE"""),"/ В: КНИГАТА - нашето по-смислено настояще / състав., [предг.] Любомира Парижкова. - София : За буквите - О писменехь, 2012 (София : Симелпрес). - 256 с. : с цв. ил., табл., диагр. ; ISSN 1314-7323")</f>
        <v>/ В: КНИГАТА - нашето по-смислено настояще / състав., [предг.] Любомира Парижкова. - София : За буквите - О писменехь, 2012 (София : Симелпрес). - 256 с. : с цв. ил., табл., диагр. ; ISSN 1314-7323</v>
      </c>
      <c r="F5831" s="10"/>
      <c r="G5831" s="10"/>
      <c r="H5831" s="10"/>
      <c r="I5831" s="10"/>
      <c r="J5831" s="10"/>
      <c r="K5831" s="10"/>
      <c r="L5831" s="10"/>
      <c r="M5831" s="10"/>
      <c r="N5831" s="10"/>
      <c r="O5831" s="10"/>
      <c r="P5831" s="10"/>
      <c r="Q5831" s="10"/>
      <c r="R5831" s="10"/>
      <c r="S5831" s="10"/>
      <c r="T5831" s="10"/>
      <c r="U5831" s="10"/>
      <c r="V5831" s="10"/>
      <c r="W5831" s="10"/>
      <c r="X5831" s="10"/>
      <c r="Y5831" s="10"/>
      <c r="Z5831" s="10"/>
    </row>
    <row r="5832" spans="1:26" ht="12.75">
      <c r="A5832" s="10" t="str">
        <f ca="1">IFERROR(__xludf.DUMMYFUNCTION("""COMPUTED_VALUE"""),"Надежда Емилова Томова")</f>
        <v>Надежда Емилова Томова</v>
      </c>
      <c r="B5832" s="10" t="str">
        <f ca="1">IFERROR(__xludf.DUMMYFUNCTION("""COMPUTED_VALUE"""),"Статия в списания и поредици")</f>
        <v>Статия в списания и поредици</v>
      </c>
      <c r="C5832" s="10" t="str">
        <f ca="1">IFERROR(__xludf.DUMMYFUNCTION("""COMPUTED_VALUE"""),"Книгата е прозорец към света, отворете го заедно с нас!")</f>
        <v>Книгата е прозорец към света, отворете го заедно с нас!</v>
      </c>
      <c r="D5832" s="10">
        <f ca="1">IFERROR(__xludf.DUMMYFUNCTION("""COMPUTED_VALUE"""),2011)</f>
        <v>2011</v>
      </c>
      <c r="E5832" s="10" t="str">
        <f ca="1">IFERROR(__xludf.DUMMYFUNCTION("""COMPUTED_VALUE"""),"КНИГАТА - нашето по-смислено настояще / състав., [предг.] Любомира Парижкова. - София : За буквите - О писменехь, 2011 (София : Симелпрес). - 256 с. : с цв. ил., табл., диагр. ; 23 см ISBN 978-954-2946-11-3")</f>
        <v>КНИГАТА - нашето по-смислено настояще / състав., [предг.] Любомира Парижкова. - София : За буквите - О писменехь, 2011 (София : Симелпрес). - 256 с. : с цв. ил., табл., диагр. ; 23 см ISBN 978-954-2946-11-3</v>
      </c>
      <c r="F5832" s="10"/>
      <c r="G5832" s="10"/>
      <c r="H5832" s="10"/>
      <c r="I5832" s="10"/>
      <c r="J5832" s="10"/>
      <c r="K5832" s="10"/>
      <c r="L5832" s="10"/>
      <c r="M5832" s="10"/>
      <c r="N5832" s="10"/>
      <c r="O5832" s="10"/>
      <c r="P5832" s="10"/>
      <c r="Q5832" s="10"/>
      <c r="R5832" s="10"/>
      <c r="S5832" s="10"/>
      <c r="T5832" s="10"/>
      <c r="U5832" s="10"/>
      <c r="V5832" s="10"/>
      <c r="W5832" s="10"/>
      <c r="X5832" s="10"/>
      <c r="Y5832" s="10"/>
      <c r="Z5832" s="10"/>
    </row>
    <row r="5833" spans="1:26" ht="12.75">
      <c r="A5833" s="10" t="str">
        <f ca="1">IFERROR(__xludf.DUMMYFUNCTION("""COMPUTED_VALUE"""),"Нарцис Цветанов Торбов")</f>
        <v>Нарцис Цветанов Торбов</v>
      </c>
      <c r="B5833" s="10" t="str">
        <f ca="1">IFERROR(__xludf.DUMMYFUNCTION("""COMPUTED_VALUE"""),"Монография")</f>
        <v>Монография</v>
      </c>
      <c r="C5833" s="10" t="str">
        <f ca="1">IFERROR(__xludf.DUMMYFUNCTION("""COMPUTED_VALUE"""),"Ножът - ΜΑΧΑΙΡΑ или SICA (II в. пр. Хр. – нач. на II в.) като част от културно-историческото наследство на Балканите")</f>
        <v>Ножът - ΜΑΧΑΙΡΑ или SICA (II в. пр. Хр. – нач. на II в.) като част от културно-историческото наследство на Балканите</v>
      </c>
      <c r="D5833" s="10">
        <f ca="1">IFERROR(__xludf.DUMMYFUNCTION("""COMPUTED_VALUE"""),2020)</f>
        <v>2020</v>
      </c>
      <c r="E5833" s="10" t="str">
        <f ca="1">IFERROR(__xludf.DUMMYFUNCTION("""COMPUTED_VALUE"""),"София, ProVias, 397 страници .
 ISBN 978-619-91588-0-7")</f>
        <v>София, ProVias, 397 страници .
 ISBN 978-619-91588-0-7</v>
      </c>
      <c r="F5833" s="10"/>
      <c r="G5833" s="10"/>
      <c r="H5833" s="10"/>
      <c r="I5833" s="10"/>
      <c r="J5833" s="10"/>
      <c r="K5833" s="10"/>
      <c r="L5833" s="10"/>
      <c r="M5833" s="10"/>
      <c r="N5833" s="10"/>
      <c r="O5833" s="10"/>
      <c r="P5833" s="10"/>
      <c r="Q5833" s="10"/>
      <c r="R5833" s="10"/>
      <c r="S5833" s="10"/>
      <c r="T5833" s="10"/>
      <c r="U5833" s="10"/>
      <c r="V5833" s="10"/>
      <c r="W5833" s="10"/>
      <c r="X5833" s="10"/>
      <c r="Y5833" s="10"/>
      <c r="Z5833" s="10"/>
    </row>
    <row r="5834" spans="1:26" ht="12.75">
      <c r="A5834" s="10" t="str">
        <f ca="1">IFERROR(__xludf.DUMMYFUNCTION("""COMPUTED_VALUE"""),"Нарцис Цветанов Торбов")</f>
        <v>Нарцис Цветанов Торбов</v>
      </c>
      <c r="B5834" s="10" t="str">
        <f ca="1">IFERROR(__xludf.DUMMYFUNCTION("""COMPUTED_VALUE"""),"Монография")</f>
        <v>Монография</v>
      </c>
      <c r="C5834" s="10" t="str">
        <f ca="1">IFERROR(__xludf.DUMMYFUNCTION("""COMPUTED_VALUE"""),"Антични мечове от България. LA TÈNE C – LA TÈNE D.")</f>
        <v>Антични мечове от България. LA TÈNE C – LA TÈNE D.</v>
      </c>
      <c r="D5834" s="10">
        <f ca="1">IFERROR(__xludf.DUMMYFUNCTION("""COMPUTED_VALUE"""),2020)</f>
        <v>2020</v>
      </c>
      <c r="E5834" s="10" t="str">
        <f ca="1">IFERROR(__xludf.DUMMYFUNCTION("""COMPUTED_VALUE"""),"София. ProVias Sofia, 290 страници
 ISBN 978-619-90823-9-3")</f>
        <v>София. ProVias Sofia, 290 страници
 ISBN 978-619-90823-9-3</v>
      </c>
      <c r="F5834" s="10"/>
      <c r="G5834" s="10"/>
      <c r="H5834" s="10"/>
      <c r="I5834" s="10"/>
      <c r="J5834" s="10"/>
      <c r="K5834" s="10"/>
      <c r="L5834" s="10"/>
      <c r="M5834" s="10"/>
      <c r="N5834" s="10"/>
      <c r="O5834" s="10"/>
      <c r="P5834" s="10"/>
      <c r="Q5834" s="10"/>
      <c r="R5834" s="10"/>
      <c r="S5834" s="10"/>
      <c r="T5834" s="10"/>
      <c r="U5834" s="10"/>
      <c r="V5834" s="10"/>
      <c r="W5834" s="10"/>
      <c r="X5834" s="10"/>
      <c r="Y5834" s="10"/>
      <c r="Z5834" s="10"/>
    </row>
    <row r="5835" spans="1:26" ht="12.75">
      <c r="A5835" s="10" t="str">
        <f ca="1">IFERROR(__xludf.DUMMYFUNCTION("""COMPUTED_VALUE"""),"Нарцис Цветанов Торбов")</f>
        <v>Нарцис Цветанов Торбов</v>
      </c>
      <c r="B5835" s="10" t="str">
        <f ca="1">IFERROR(__xludf.DUMMYFUNCTION("""COMPUTED_VALUE"""),"Монография")</f>
        <v>Монография</v>
      </c>
      <c r="C5835" s="10" t="str">
        <f ca="1">IFERROR(__xludf.DUMMYFUNCTION("""COMPUTED_VALUE"""),"Ножът - μαχαιρα или sica, оръжие от II в. пр. Хр. – началото на II в.")</f>
        <v>Ножът - μαχαιρα или sica, оръжие от II в. пр. Хр. – началото на II в.</v>
      </c>
      <c r="D5835" s="10">
        <f ca="1">IFERROR(__xludf.DUMMYFUNCTION("""COMPUTED_VALUE"""),2018)</f>
        <v>2018</v>
      </c>
      <c r="E5835" s="10" t="str">
        <f ca="1">IFERROR(__xludf.DUMMYFUNCTION("""COMPUTED_VALUE"""),"ProVias, Sofia, 2018, 353 стр.
 ISBN 978-619-90823-2-4")</f>
        <v>ProVias, Sofia, 2018, 353 стр.
 ISBN 978-619-90823-2-4</v>
      </c>
      <c r="F5835" s="10"/>
      <c r="G5835" s="10"/>
      <c r="H5835" s="10"/>
      <c r="I5835" s="10"/>
      <c r="J5835" s="10"/>
      <c r="K5835" s="10"/>
      <c r="L5835" s="10"/>
      <c r="M5835" s="10"/>
      <c r="N5835" s="10"/>
      <c r="O5835" s="10"/>
      <c r="P5835" s="10"/>
      <c r="Q5835" s="10"/>
      <c r="R5835" s="10"/>
      <c r="S5835" s="10"/>
      <c r="T5835" s="10"/>
      <c r="U5835" s="10"/>
      <c r="V5835" s="10"/>
      <c r="W5835" s="10"/>
      <c r="X5835" s="10"/>
      <c r="Y5835" s="10"/>
      <c r="Z5835" s="10"/>
    </row>
    <row r="5836" spans="1:26" ht="12.75">
      <c r="A5836" s="10" t="str">
        <f ca="1">IFERROR(__xludf.DUMMYFUNCTION("""COMPUTED_VALUE"""),"Нарцис Цветанов Торбов")</f>
        <v>Нарцис Цветанов Торбов</v>
      </c>
      <c r="B5836" s="10" t="str">
        <f ca="1">IFERROR(__xludf.DUMMYFUNCTION("""COMPUTED_VALUE"""),"Книга")</f>
        <v>Книга</v>
      </c>
      <c r="C5836" s="10" t="str">
        <f ca="1">IFERROR(__xludf.DUMMYFUNCTION("""COMPUTED_VALUE"""),"Спасени съкровища на България. Национален археологически институт с музей при Българската академия на науките. София., Национален археологически институт с музей при Българската академия на науките")</f>
        <v>Спасени съкровища на България. Национален археологически институт с музей при Българската академия на науките. София., Национален археологически институт с музей при Българската академия на науките</v>
      </c>
      <c r="D5836" s="10">
        <f ca="1">IFERROR(__xludf.DUMMYFUNCTION("""COMPUTED_VALUE"""),2018)</f>
        <v>2018</v>
      </c>
      <c r="E5836" s="10" t="str">
        <f ca="1">IFERROR(__xludf.DUMMYFUNCTION("""COMPUTED_VALUE"""),"кат. № 144, 199, 201, 214, 216, 227, 228, 229, 230, 231. (Каталог на спасени съкровища от иманярски посегателства).
 ISBN 978-954-9472-65-3")</f>
        <v>кат. № 144, 199, 201, 214, 216, 227, 228, 229, 230, 231. (Каталог на спасени съкровища от иманярски посегателства).
 ISBN 978-954-9472-65-3</v>
      </c>
      <c r="F5836" s="10"/>
      <c r="G5836" s="10"/>
      <c r="H5836" s="10"/>
      <c r="I5836" s="10"/>
      <c r="J5836" s="10"/>
      <c r="K5836" s="10"/>
      <c r="L5836" s="10"/>
      <c r="M5836" s="10"/>
      <c r="N5836" s="10"/>
      <c r="O5836" s="10"/>
      <c r="P5836" s="10"/>
      <c r="Q5836" s="10"/>
      <c r="R5836" s="10"/>
      <c r="S5836" s="10"/>
      <c r="T5836" s="10"/>
      <c r="U5836" s="10"/>
      <c r="V5836" s="10"/>
      <c r="W5836" s="10"/>
      <c r="X5836" s="10"/>
      <c r="Y5836" s="10"/>
      <c r="Z5836" s="10"/>
    </row>
    <row r="5837" spans="1:26" ht="12.75">
      <c r="A5837" s="10" t="str">
        <f ca="1">IFERROR(__xludf.DUMMYFUNCTION("""COMPUTED_VALUE"""),"Нарцис Цветанов Торбов")</f>
        <v>Нарцис Цветанов Торбов</v>
      </c>
      <c r="B5837" s="10" t="str">
        <f ca="1">IFERROR(__xludf.DUMMYFUNCTION("""COMPUTED_VALUE"""),"Статия в списания и поредици")</f>
        <v>Статия в списания и поредици</v>
      </c>
      <c r="C5837" s="10" t="str">
        <f ca="1">IFERROR(__xludf.DUMMYFUNCTION("""COMPUTED_VALUE"""),"Inscribed lead sling bullets with the name of Alexander the Great and with other names and symbols found in Thrace.")</f>
        <v>Inscribed lead sling bullets with the name of Alexander the Great and with other names and symbols found in Thrace.</v>
      </c>
      <c r="D5837" s="10">
        <f ca="1">IFERROR(__xludf.DUMMYFUNCTION("""COMPUTED_VALUE"""),2016)</f>
        <v>2016</v>
      </c>
      <c r="E5837" s="10" t="str">
        <f ca="1">IFERROR(__xludf.DUMMYFUNCTION("""COMPUTED_VALUE"""),"Archaeologia Bulgarica 20, 2, 29-43.
 ISSN 1310-9537")</f>
        <v>Archaeologia Bulgarica 20, 2, 29-43.
 ISSN 1310-9537</v>
      </c>
      <c r="F5837" s="10" t="str">
        <f ca="1">IFERROR(__xludf.DUMMYFUNCTION("""COMPUTED_VALUE"""),"Scopus")</f>
        <v>Scopus</v>
      </c>
      <c r="G5837" s="10" t="str">
        <f ca="1">IFERROR(__xludf.DUMMYFUNCTION("""COMPUTED_VALUE"""),"Manov, М.")</f>
        <v>Manov, М.</v>
      </c>
      <c r="H5837" s="10"/>
      <c r="I5837" s="10"/>
      <c r="J5837" s="10"/>
      <c r="K5837" s="10"/>
      <c r="L5837" s="10"/>
      <c r="M5837" s="10"/>
      <c r="N5837" s="10"/>
      <c r="O5837" s="10"/>
      <c r="P5837" s="10"/>
      <c r="Q5837" s="10"/>
      <c r="R5837" s="10"/>
      <c r="S5837" s="10"/>
      <c r="T5837" s="10"/>
      <c r="U5837" s="10"/>
      <c r="V5837" s="10"/>
      <c r="W5837" s="10"/>
      <c r="X5837" s="10"/>
      <c r="Y5837" s="10"/>
      <c r="Z5837" s="10"/>
    </row>
    <row r="5838" spans="1:26" ht="12.75">
      <c r="A5838" s="10" t="str">
        <f ca="1">IFERROR(__xludf.DUMMYFUNCTION("""COMPUTED_VALUE"""),"Нарцис Цветанов Торбов")</f>
        <v>Нарцис Цветанов Торбов</v>
      </c>
      <c r="B5838" s="10" t="str">
        <f ca="1">IFERROR(__xludf.DUMMYFUNCTION("""COMPUTED_VALUE"""),"Монография")</f>
        <v>Монография</v>
      </c>
      <c r="C5838" s="10" t="str">
        <f ca="1">IFERROR(__xludf.DUMMYFUNCTION("""COMPUTED_VALUE"""),"Антично въоръжение (XI в. пр. Хр.-V в.). От камъка до барута. Сбирка „Ватеви“.")</f>
        <v>Антично въоръжение (XI в. пр. Хр.-V в.). От камъка до барута. Сбирка „Ватеви“.</v>
      </c>
      <c r="D5838" s="10">
        <f ca="1">IFERROR(__xludf.DUMMYFUNCTION("""COMPUTED_VALUE"""),2016)</f>
        <v>2016</v>
      </c>
      <c r="E5838" s="10" t="str">
        <f ca="1">IFERROR(__xludf.DUMMYFUNCTION("""COMPUTED_VALUE"""),"София, ТОН, 287 с. ISBN: 9786199062203")</f>
        <v>София, ТОН, 287 с. ISBN: 9786199062203</v>
      </c>
      <c r="F5838" s="10"/>
      <c r="G5838" s="10"/>
      <c r="H5838" s="10"/>
      <c r="I5838" s="10"/>
      <c r="J5838" s="10"/>
      <c r="K5838" s="10"/>
      <c r="L5838" s="10"/>
      <c r="M5838" s="10"/>
      <c r="N5838" s="10"/>
      <c r="O5838" s="10"/>
      <c r="P5838" s="10"/>
      <c r="Q5838" s="10"/>
      <c r="R5838" s="10"/>
      <c r="S5838" s="10"/>
      <c r="T5838" s="10"/>
      <c r="U5838" s="10"/>
      <c r="V5838" s="10"/>
      <c r="W5838" s="10"/>
      <c r="X5838" s="10"/>
      <c r="Y5838" s="10"/>
      <c r="Z5838" s="10"/>
    </row>
    <row r="5839" spans="1:26" ht="12.75">
      <c r="A5839" s="10" t="str">
        <f ca="1">IFERROR(__xludf.DUMMYFUNCTION("""COMPUTED_VALUE"""),"Нарцис Цветанов Торбов")</f>
        <v>Нарцис Цветанов Торбов</v>
      </c>
      <c r="B5839" s="10" t="str">
        <f ca="1">IFERROR(__xludf.DUMMYFUNCTION("""COMPUTED_VALUE"""),"Доклад от конференция")</f>
        <v>Доклад от конференция</v>
      </c>
      <c r="C5839" s="10" t="str">
        <f ca="1">IFERROR(__xludf.DUMMYFUNCTION("""COMPUTED_VALUE"""),"Проучване на късноантична църква в м. Градище, западно от град Враца през 2015 г.")</f>
        <v>Проучване на късноантична църква в м. Градище, западно от град Враца през 2015 г.</v>
      </c>
      <c r="D5839" s="10">
        <f ca="1">IFERROR(__xludf.DUMMYFUNCTION("""COMPUTED_VALUE"""),2016)</f>
        <v>2016</v>
      </c>
      <c r="E5839" s="10" t="str">
        <f ca="1">IFERROR(__xludf.DUMMYFUNCTION("""COMPUTED_VALUE"""),"№ 50. - В: Археологически открития и разкопки през .2015 г., с. 466- 469. София: БАН, 2016.
 COBISS.BG-ID - 1280018404
 ISSN: 1313 0889
 ISSN - 2535-065X")</f>
        <v>№ 50. - В: Археологически открития и разкопки през .2015 г., с. 466- 469. София: БАН, 2016.
 COBISS.BG-ID - 1280018404
 ISSN: 1313 0889
 ISSN - 2535-065X</v>
      </c>
      <c r="F5839" s="10"/>
      <c r="G5839" s="10" t="str">
        <f ca="1">IFERROR(__xludf.DUMMYFUNCTION("""COMPUTED_VALUE"""),"А.Петрова")</f>
        <v>А.Петрова</v>
      </c>
      <c r="H5839" s="10"/>
      <c r="I5839" s="10"/>
      <c r="J5839" s="10"/>
      <c r="K5839" s="10"/>
      <c r="L5839" s="10"/>
      <c r="M5839" s="10"/>
      <c r="N5839" s="10"/>
      <c r="O5839" s="10"/>
      <c r="P5839" s="10"/>
      <c r="Q5839" s="10"/>
      <c r="R5839" s="10"/>
      <c r="S5839" s="10"/>
      <c r="T5839" s="10"/>
      <c r="U5839" s="10"/>
      <c r="V5839" s="10"/>
      <c r="W5839" s="10"/>
      <c r="X5839" s="10"/>
      <c r="Y5839" s="10"/>
      <c r="Z5839" s="10"/>
    </row>
    <row r="5840" spans="1:26" ht="12.75">
      <c r="A5840" s="10" t="str">
        <f ca="1">IFERROR(__xludf.DUMMYFUNCTION("""COMPUTED_VALUE"""),"Нарцис Цветанов Торбов")</f>
        <v>Нарцис Цветанов Торбов</v>
      </c>
      <c r="B5840" s="10" t="str">
        <f ca="1">IFERROR(__xludf.DUMMYFUNCTION("""COMPUTED_VALUE"""),"Доклад от конференция")</f>
        <v>Доклад от конференция</v>
      </c>
      <c r="C5840" s="10" t="str">
        <f ca="1">IFERROR(__xludf.DUMMYFUNCTION("""COMPUTED_VALUE"""),"Археологическо проучване на късноантична църква в м. Градище, западно от гр. Враца.")</f>
        <v>Археологическо проучване на късноантична църква в м. Градище, западно от гр. Враца.</v>
      </c>
      <c r="D5840" s="10">
        <f ca="1">IFERROR(__xludf.DUMMYFUNCTION("""COMPUTED_VALUE"""),2015)</f>
        <v>2015</v>
      </c>
      <c r="E5840" s="10" t="str">
        <f ca="1">IFERROR(__xludf.DUMMYFUNCTION("""COMPUTED_VALUE"""),"No 65. – В: Археологически открития и разкопки през 2014 г. с. 426-429. София: БАН, 2015.
 COBISS.BG-ID - 1269545700
 ISSN: 1313-0889")</f>
        <v>No 65. – В: Археологически открития и разкопки през 2014 г. с. 426-429. София: БАН, 2015.
 COBISS.BG-ID - 1269545700
 ISSN: 1313-0889</v>
      </c>
      <c r="F5840" s="10"/>
      <c r="G5840" s="10" t="str">
        <f ca="1">IFERROR(__xludf.DUMMYFUNCTION("""COMPUTED_VALUE"""),"А.Петрова")</f>
        <v>А.Петрова</v>
      </c>
      <c r="H5840" s="10"/>
      <c r="I5840" s="10"/>
      <c r="J5840" s="10"/>
      <c r="K5840" s="10"/>
      <c r="L5840" s="10"/>
      <c r="M5840" s="10"/>
      <c r="N5840" s="10"/>
      <c r="O5840" s="10"/>
      <c r="P5840" s="10"/>
      <c r="Q5840" s="10"/>
      <c r="R5840" s="10"/>
      <c r="S5840" s="10"/>
      <c r="T5840" s="10"/>
      <c r="U5840" s="10"/>
      <c r="V5840" s="10"/>
      <c r="W5840" s="10"/>
      <c r="X5840" s="10"/>
      <c r="Y5840" s="10"/>
      <c r="Z5840" s="10"/>
    </row>
    <row r="5841" spans="1:26" ht="12.75">
      <c r="A5841" s="10" t="str">
        <f ca="1">IFERROR(__xludf.DUMMYFUNCTION("""COMPUTED_VALUE"""),"Нарцис Цветанов Торбов")</f>
        <v>Нарцис Цветанов Торбов</v>
      </c>
      <c r="B5841" s="10" t="str">
        <f ca="1">IFERROR(__xludf.DUMMYFUNCTION("""COMPUTED_VALUE"""),"Книга")</f>
        <v>Книга</v>
      </c>
      <c r="C5841" s="10" t="str">
        <f ca="1">IFERROR(__xludf.DUMMYFUNCTION("""COMPUTED_VALUE"""),"Le tumulus Mogilanska mogila. Le trésor de Rogozen. – In: L’Épopée des rois thraces. Des guerres médiques aux invasios celtes 479-278 av.j.-c. Découvertes archéen Bulgarie.")</f>
        <v>Le tumulus Mogilanska mogila. Le trésor de Rogozen. – In: L’Épopée des rois thraces. Des guerres médiques aux invasios celtes 479-278 av.j.-c. Découvertes archéen Bulgarie.</v>
      </c>
      <c r="D5841" s="10">
        <f ca="1">IFERROR(__xludf.DUMMYFUNCTION("""COMPUTED_VALUE"""),2015)</f>
        <v>2015</v>
      </c>
      <c r="E5841" s="10" t="str">
        <f ca="1">IFERROR(__xludf.DUMMYFUNCTION("""COMPUTED_VALUE"""),"Paris., Musée du Louvre, 186-187, 267-269, 271-279, 282-287, 338-341, 351-355, cat. № 148-151, 227-251, 285-287, 310-314. (Каталог на международна изложба на тракийските съкровища във Франция).
 ISBN 978-2-35031-498-3")</f>
        <v>Paris., Musée du Louvre, 186-187, 267-269, 271-279, 282-287, 338-341, 351-355, cat. № 148-151, 227-251, 285-287, 310-314. (Каталог на международна изложба на тракийските съкровища във Франция).
 ISBN 978-2-35031-498-3</v>
      </c>
      <c r="F5841" s="10"/>
      <c r="G5841" s="10"/>
      <c r="H5841" s="10"/>
      <c r="I5841" s="10"/>
      <c r="J5841" s="10"/>
      <c r="K5841" s="10"/>
      <c r="L5841" s="10"/>
      <c r="M5841" s="10"/>
      <c r="N5841" s="10"/>
      <c r="O5841" s="10"/>
      <c r="P5841" s="10"/>
      <c r="Q5841" s="10"/>
      <c r="R5841" s="10"/>
      <c r="S5841" s="10"/>
      <c r="T5841" s="10"/>
      <c r="U5841" s="10"/>
      <c r="V5841" s="10"/>
      <c r="W5841" s="10"/>
      <c r="X5841" s="10"/>
      <c r="Y5841" s="10"/>
      <c r="Z5841" s="10"/>
    </row>
    <row r="5842" spans="1:26" ht="12.75">
      <c r="A5842" s="10" t="str">
        <f ca="1">IFERROR(__xludf.DUMMYFUNCTION("""COMPUTED_VALUE"""),"Нарцис Цветанов Торбов")</f>
        <v>Нарцис Цветанов Торбов</v>
      </c>
      <c r="B5842" s="10" t="str">
        <f ca="1">IFERROR(__xludf.DUMMYFUNCTION("""COMPUTED_VALUE"""),"Монография")</f>
        <v>Монография</v>
      </c>
      <c r="C5842" s="10" t="str">
        <f ca="1">IFERROR(__xludf.DUMMYFUNCTION("""COMPUTED_VALUE"""),"Антични лампи от Северозападна България")</f>
        <v>Антични лампи от Северозападна България</v>
      </c>
      <c r="D5842" s="10">
        <f ca="1">IFERROR(__xludf.DUMMYFUNCTION("""COMPUTED_VALUE"""),2014)</f>
        <v>2014</v>
      </c>
      <c r="E5842" s="10" t="str">
        <f ca="1">IFERROR(__xludf.DUMMYFUNCTION("""COMPUTED_VALUE"""),"Враца: БИБЛИОТЕКА БЪЛГАРСКИ СЕВЕРОЗАПАД към „Известия на музеите в Северозападна България“ № 37, серия „Научни изследвания“ № 23, 200 с. ISBN 0204-4013
 COBISS.BG-ID 1268655332")</f>
        <v>Враца: БИБЛИОТЕКА БЪЛГАРСКИ СЕВЕРОЗАПАД към „Известия на музеите в Северозападна България“ № 37, серия „Научни изследвания“ № 23, 200 с. ISBN 0204-4013
 COBISS.BG-ID 1268655332</v>
      </c>
      <c r="F5842" s="10"/>
      <c r="G5842" s="10"/>
      <c r="H5842" s="10"/>
      <c r="I5842" s="10"/>
      <c r="J5842" s="10"/>
      <c r="K5842" s="10"/>
      <c r="L5842" s="10"/>
      <c r="M5842" s="10"/>
      <c r="N5842" s="10"/>
      <c r="O5842" s="10"/>
      <c r="P5842" s="10"/>
      <c r="Q5842" s="10"/>
      <c r="R5842" s="10"/>
      <c r="S5842" s="10"/>
      <c r="T5842" s="10"/>
      <c r="U5842" s="10"/>
      <c r="V5842" s="10"/>
      <c r="W5842" s="10"/>
      <c r="X5842" s="10"/>
      <c r="Y5842" s="10"/>
      <c r="Z5842" s="10"/>
    </row>
    <row r="5843" spans="1:26" ht="12.75">
      <c r="A5843" s="10" t="str">
        <f ca="1">IFERROR(__xludf.DUMMYFUNCTION("""COMPUTED_VALUE"""),"Нарцис Цветанов Торбов")</f>
        <v>Нарцис Цветанов Торбов</v>
      </c>
      <c r="B5843" s="10" t="str">
        <f ca="1">IFERROR(__xludf.DUMMYFUNCTION("""COMPUTED_VALUE"""),"Статия в списания и поредици")</f>
        <v>Статия в списания и поредици</v>
      </c>
      <c r="C5843" s="10" t="str">
        <f ca="1">IFERROR(__xludf.DUMMYFUNCTION("""COMPUTED_VALUE"""),"Проучване на късноантична църква в местността Градище, западно от град Враца. No54,")</f>
        <v>Проучване на късноантична църква в местността Градище, западно от град Враца. No54,</v>
      </c>
      <c r="D5843" s="10">
        <f ca="1">IFERROR(__xludf.DUMMYFUNCTION("""COMPUTED_VALUE"""),2014)</f>
        <v>2014</v>
      </c>
      <c r="E5843" s="10" t="str">
        <f ca="1">IFERROR(__xludf.DUMMYFUNCTION("""COMPUTED_VALUE"""),"В: Археологически открития и разкопки през 2013 г. с. 336-338.
 София: БАН, 2014
 COBISS.BG-ID - 1263025636
 ISSN: 1313-0889")</f>
        <v>В: Археологически открития и разкопки през 2013 г. с. 336-338.
 София: БАН, 2014
 COBISS.BG-ID - 1263025636
 ISSN: 1313-0889</v>
      </c>
      <c r="F5843" s="10"/>
      <c r="G5843" s="10" t="str">
        <f ca="1">IFERROR(__xludf.DUMMYFUNCTION("""COMPUTED_VALUE"""),"А.Петрова")</f>
        <v>А.Петрова</v>
      </c>
      <c r="H5843" s="10"/>
      <c r="I5843" s="10"/>
      <c r="J5843" s="10"/>
      <c r="K5843" s="10"/>
      <c r="L5843" s="10"/>
      <c r="M5843" s="10"/>
      <c r="N5843" s="10"/>
      <c r="O5843" s="10"/>
      <c r="P5843" s="10"/>
      <c r="Q5843" s="10"/>
      <c r="R5843" s="10"/>
      <c r="S5843" s="10"/>
      <c r="T5843" s="10"/>
      <c r="U5843" s="10"/>
      <c r="V5843" s="10"/>
      <c r="W5843" s="10"/>
      <c r="X5843" s="10"/>
      <c r="Y5843" s="10"/>
      <c r="Z5843" s="10"/>
    </row>
    <row r="5844" spans="1:26" ht="12.75">
      <c r="A5844" s="10" t="str">
        <f ca="1">IFERROR(__xludf.DUMMYFUNCTION("""COMPUTED_VALUE"""),"Нарцис Цветанов Торбов")</f>
        <v>Нарцис Цветанов Торбов</v>
      </c>
      <c r="B5844" s="10" t="str">
        <f ca="1">IFERROR(__xludf.DUMMYFUNCTION("""COMPUTED_VALUE"""),"Статия в списания и поредици")</f>
        <v>Статия в списания и поредици</v>
      </c>
      <c r="C5844" s="10" t="str">
        <f ca="1">IFERROR(__xludf.DUMMYFUNCTION("""COMPUTED_VALUE"""),"Антични лампи от колекциите на Регионален исторически музей - Монтана и Исторически музеи-Лом.")</f>
        <v>Антични лампи от колекциите на Регионален исторически музей - Монтана и Исторически музеи-Лом.</v>
      </c>
      <c r="D5844" s="10">
        <f ca="1">IFERROR(__xludf.DUMMYFUNCTION("""COMPUTED_VALUE"""),2013)</f>
        <v>2013</v>
      </c>
      <c r="E5844" s="10" t="str">
        <f ca="1">IFERROR(__xludf.DUMMYFUNCTION("""COMPUTED_VALUE"""),"Годишник на Регионален исторически музей – Монтана. Том първи. Монтана., 119-142. ISBN 0204-4013")</f>
        <v>Годишник на Регионален исторически музей – Монтана. Том първи. Монтана., 119-142. ISBN 0204-4013</v>
      </c>
      <c r="F5844" s="10"/>
      <c r="G5844" s="10" t="str">
        <f ca="1">IFERROR(__xludf.DUMMYFUNCTION("""COMPUTED_VALUE"""),"М. Марков")</f>
        <v>М. Марков</v>
      </c>
      <c r="H5844" s="10"/>
      <c r="I5844" s="10"/>
      <c r="J5844" s="10"/>
      <c r="K5844" s="10"/>
      <c r="L5844" s="10"/>
      <c r="M5844" s="10"/>
      <c r="N5844" s="10"/>
      <c r="O5844" s="10"/>
      <c r="P5844" s="10"/>
      <c r="Q5844" s="10"/>
      <c r="R5844" s="10"/>
      <c r="S5844" s="10"/>
      <c r="T5844" s="10"/>
      <c r="U5844" s="10"/>
      <c r="V5844" s="10"/>
      <c r="W5844" s="10"/>
      <c r="X5844" s="10"/>
      <c r="Y5844" s="10"/>
      <c r="Z5844" s="10"/>
    </row>
    <row r="5845" spans="1:26" ht="12.75">
      <c r="A5845" s="10" t="str">
        <f ca="1">IFERROR(__xludf.DUMMYFUNCTION("""COMPUTED_VALUE"""),"Нарцис Цветанов Торбов")</f>
        <v>Нарцис Цветанов Торбов</v>
      </c>
      <c r="B5845" s="10" t="str">
        <f ca="1">IFERROR(__xludf.DUMMYFUNCTION("""COMPUTED_VALUE"""),"Статия в списания и поредици")</f>
        <v>Статия в списания и поредици</v>
      </c>
      <c r="C5845" s="10" t="str">
        <f ca="1">IFERROR(__xludf.DUMMYFUNCTION("""COMPUTED_VALUE"""),"Проучване на късноантична църква в местността Градище, западно от гр. Враца. № 28")</f>
        <v>Проучване на късноантична църква в местността Градище, западно от гр. Враца. № 28</v>
      </c>
      <c r="D5845" s="10">
        <f ca="1">IFERROR(__xludf.DUMMYFUNCTION("""COMPUTED_VALUE"""),2013)</f>
        <v>2013</v>
      </c>
      <c r="E5845" s="10" t="str">
        <f ca="1">IFERROR(__xludf.DUMMYFUNCTION("""COMPUTED_VALUE"""),"В: Археологически открития и разкопки през 2012 г., с. 255-257
 София: БАН, 2013
 COBISS.BG-ID - 1250174948
 ISSN: 1313-0889")</f>
        <v>В: Археологически открития и разкопки през 2012 г., с. 255-257
 София: БАН, 2013
 COBISS.BG-ID - 1250174948
 ISSN: 1313-0889</v>
      </c>
      <c r="F5845" s="10"/>
      <c r="G5845" s="10" t="str">
        <f ca="1">IFERROR(__xludf.DUMMYFUNCTION("""COMPUTED_VALUE"""),"А.Петрова")</f>
        <v>А.Петрова</v>
      </c>
      <c r="H5845" s="10"/>
      <c r="I5845" s="10"/>
      <c r="J5845" s="10"/>
      <c r="K5845" s="10"/>
      <c r="L5845" s="10"/>
      <c r="M5845" s="10"/>
      <c r="N5845" s="10"/>
      <c r="O5845" s="10"/>
      <c r="P5845" s="10"/>
      <c r="Q5845" s="10"/>
      <c r="R5845" s="10"/>
      <c r="S5845" s="10"/>
      <c r="T5845" s="10"/>
      <c r="U5845" s="10"/>
      <c r="V5845" s="10"/>
      <c r="W5845" s="10"/>
      <c r="X5845" s="10"/>
      <c r="Y5845" s="10"/>
      <c r="Z5845" s="10"/>
    </row>
    <row r="5846" spans="1:26" ht="12.75">
      <c r="A5846" s="10" t="str">
        <f ca="1">IFERROR(__xludf.DUMMYFUNCTION("""COMPUTED_VALUE"""),"Нарцис Цветанов Торбов")</f>
        <v>Нарцис Цветанов Торбов</v>
      </c>
      <c r="B5846" s="10" t="str">
        <f ca="1">IFERROR(__xludf.DUMMYFUNCTION("""COMPUTED_VALUE"""),"Доклад от конференция")</f>
        <v>Доклад от конференция</v>
      </c>
      <c r="C5846" s="10" t="str">
        <f ca="1">IFERROR(__xludf.DUMMYFUNCTION("""COMPUTED_VALUE"""),"Римски лампи от група “FIRMALAMPEN”, съхранявани в Регионален исторически музей – Враца.")</f>
        <v>Римски лампи от група “FIRMALAMPEN”, съхранявани в Регионален исторически музей – Враца.</v>
      </c>
      <c r="D5846" s="10">
        <f ca="1">IFERROR(__xludf.DUMMYFUNCTION("""COMPUTED_VALUE"""),2013)</f>
        <v>2013</v>
      </c>
      <c r="E5846" s="10" t="str">
        <f ca="1">IFERROR(__xludf.DUMMYFUNCTION("""COMPUTED_VALUE"""),"В: Тракийската култура – неделима част от Европейската цивилизация. Сборник посветен на 90-годишнината от рождението на проф. Александър Фол. Враца., Издателство „БГ Принт“ ООД, 99-105, 120-123. ISBN 978-619-7102-10-9")</f>
        <v>В: Тракийската култура – неделима част от Европейската цивилизация. Сборник посветен на 90-годишнината от рождението на проф. Александър Фол. Враца., Издателство „БГ Принт“ ООД, 99-105, 120-123. ISBN 978-619-7102-10-9</v>
      </c>
      <c r="F5846" s="10"/>
      <c r="G5846" s="10"/>
      <c r="H5846" s="10"/>
      <c r="I5846" s="10"/>
      <c r="J5846" s="10"/>
      <c r="K5846" s="10"/>
      <c r="L5846" s="10"/>
      <c r="M5846" s="10"/>
      <c r="N5846" s="10"/>
      <c r="O5846" s="10"/>
      <c r="P5846" s="10"/>
      <c r="Q5846" s="10"/>
      <c r="R5846" s="10"/>
      <c r="S5846" s="10"/>
      <c r="T5846" s="10"/>
      <c r="U5846" s="10"/>
      <c r="V5846" s="10"/>
      <c r="W5846" s="10"/>
      <c r="X5846" s="10"/>
      <c r="Y5846" s="10"/>
      <c r="Z5846" s="10"/>
    </row>
    <row r="5847" spans="1:26" ht="12.75">
      <c r="A5847" s="10" t="str">
        <f ca="1">IFERROR(__xludf.DUMMYFUNCTION("""COMPUTED_VALUE"""),"Нарцис Цветанов Торбов")</f>
        <v>Нарцис Цветанов Торбов</v>
      </c>
      <c r="B5847" s="10" t="str">
        <f ca="1">IFERROR(__xludf.DUMMYFUNCTION("""COMPUTED_VALUE"""),"Доклад от конференция")</f>
        <v>Доклад от конференция</v>
      </c>
      <c r="C5847" s="10" t="str">
        <f ca="1">IFERROR(__xludf.DUMMYFUNCTION("""COMPUTED_VALUE"""),"Съкровището от Галиче в Северозападна България.")</f>
        <v>Съкровището от Галиче в Северозападна България.</v>
      </c>
      <c r="D5847" s="10">
        <f ca="1">IFERROR(__xludf.DUMMYFUNCTION("""COMPUTED_VALUE"""),2012)</f>
        <v>2012</v>
      </c>
      <c r="E5847" s="10" t="str">
        <f ca="1">IFERROR(__xludf.DUMMYFUNCTION("""COMPUTED_VALUE"""),"В: Изкуство &amp; идеология. София., Университетско издателство „Св. Климент Охридски“, 725-736. ISBN 978-954-07-3388-3")</f>
        <v>В: Изкуство &amp; идеология. София., Университетско издателство „Св. Климент Охридски“, 725-736. ISBN 978-954-07-3388-3</v>
      </c>
      <c r="F5847" s="10"/>
      <c r="G5847" s="10"/>
      <c r="H5847" s="10"/>
      <c r="I5847" s="10"/>
      <c r="J5847" s="10"/>
      <c r="K5847" s="10"/>
      <c r="L5847" s="10"/>
      <c r="M5847" s="10"/>
      <c r="N5847" s="10"/>
      <c r="O5847" s="10"/>
      <c r="P5847" s="10"/>
      <c r="Q5847" s="10"/>
      <c r="R5847" s="10"/>
      <c r="S5847" s="10"/>
      <c r="T5847" s="10"/>
      <c r="U5847" s="10"/>
      <c r="V5847" s="10"/>
      <c r="W5847" s="10"/>
      <c r="X5847" s="10"/>
      <c r="Y5847" s="10"/>
      <c r="Z5847" s="10"/>
    </row>
    <row r="5848" spans="1:26" ht="12.75">
      <c r="A5848" s="10" t="str">
        <f ca="1">IFERROR(__xludf.DUMMYFUNCTION("""COMPUTED_VALUE"""),"Нарцис Цветанов Торбов")</f>
        <v>Нарцис Цветанов Торбов</v>
      </c>
      <c r="B5848" s="10" t="str">
        <f ca="1">IFERROR(__xludf.DUMMYFUNCTION("""COMPUTED_VALUE"""),"Статия в списания и поредици")</f>
        <v>Статия в списания и поредици</v>
      </c>
      <c r="C5848" s="10" t="str">
        <f ca="1">IFERROR(__xludf.DUMMYFUNCTION("""COMPUTED_VALUE"""),"Тракийското въоръжение в български частни колекции. Кратка енциклопедия.")</f>
        <v>Тракийското въоръжение в български частни колекции. Кратка енциклопедия.</v>
      </c>
      <c r="D5848" s="10">
        <f ca="1">IFERROR(__xludf.DUMMYFUNCTION("""COMPUTED_VALUE"""),2012)</f>
        <v>2012</v>
      </c>
      <c r="E5848" s="10" t="str">
        <f ca="1">IFERROR(__xludf.DUMMYFUNCTION("""COMPUTED_VALUE"""),"София., Издателство „Фабер“, 78-85, 98-99, 108-115.
 ISBN 978-954-400-778-2")</f>
        <v>София., Издателство „Фабер“, 78-85, 98-99, 108-115.
 ISBN 978-954-400-778-2</v>
      </c>
      <c r="F5848" s="10"/>
      <c r="G5848" s="10"/>
      <c r="H5848" s="10"/>
      <c r="I5848" s="10"/>
      <c r="J5848" s="10"/>
      <c r="K5848" s="10"/>
      <c r="L5848" s="10"/>
      <c r="M5848" s="10"/>
      <c r="N5848" s="10"/>
      <c r="O5848" s="10"/>
      <c r="P5848" s="10"/>
      <c r="Q5848" s="10"/>
      <c r="R5848" s="10"/>
      <c r="S5848" s="10"/>
      <c r="T5848" s="10"/>
      <c r="U5848" s="10"/>
      <c r="V5848" s="10"/>
      <c r="W5848" s="10"/>
      <c r="X5848" s="10"/>
      <c r="Y5848" s="10"/>
      <c r="Z5848" s="10"/>
    </row>
    <row r="5849" spans="1:26" ht="12.75">
      <c r="A5849" s="10" t="str">
        <f ca="1">IFERROR(__xludf.DUMMYFUNCTION("""COMPUTED_VALUE"""),"Нарцис Цветанов Торбов")</f>
        <v>Нарцис Цветанов Торбов</v>
      </c>
      <c r="B5849" s="10" t="str">
        <f ca="1">IFERROR(__xludf.DUMMYFUNCTION("""COMPUTED_VALUE"""),"Статия в списания и поредици")</f>
        <v>Статия в списания и поредици</v>
      </c>
      <c r="C5849" s="10" t="str">
        <f ca="1">IFERROR(__xludf.DUMMYFUNCTION("""COMPUTED_VALUE"""),"Проучване на антична и средновековна крепост в местността Градище, край прохода Ватцата. № 30.")</f>
        <v>Проучване на антична и средновековна крепост в местността Градище, край прохода Ватцата. № 30.</v>
      </c>
      <c r="D5849" s="10">
        <f ca="1">IFERROR(__xludf.DUMMYFUNCTION("""COMPUTED_VALUE"""),2012)</f>
        <v>2012</v>
      </c>
      <c r="E5849" s="10" t="str">
        <f ca="1">IFERROR(__xludf.DUMMYFUNCTION("""COMPUTED_VALUE"""),"В: Археологически открития и разкопки през 2011 г., с.440-442. София: БАН, 2012
 COBISS.BG-ID - 1246535396
 ISSN: 1313-0889")</f>
        <v>В: Археологически открития и разкопки през 2011 г., с.440-442. София: БАН, 2012
 COBISS.BG-ID - 1246535396
 ISSN: 1313-0889</v>
      </c>
      <c r="F5849" s="10"/>
      <c r="G5849" s="10" t="str">
        <f ca="1">IFERROR(__xludf.DUMMYFUNCTION("""COMPUTED_VALUE"""),"А.Петрова")</f>
        <v>А.Петрова</v>
      </c>
      <c r="H5849" s="10"/>
      <c r="I5849" s="10"/>
      <c r="J5849" s="10"/>
      <c r="K5849" s="10"/>
      <c r="L5849" s="10"/>
      <c r="M5849" s="10"/>
      <c r="N5849" s="10"/>
      <c r="O5849" s="10"/>
      <c r="P5849" s="10"/>
      <c r="Q5849" s="10"/>
      <c r="R5849" s="10"/>
      <c r="S5849" s="10"/>
      <c r="T5849" s="10"/>
      <c r="U5849" s="10"/>
      <c r="V5849" s="10"/>
      <c r="W5849" s="10"/>
      <c r="X5849" s="10"/>
      <c r="Y5849" s="10"/>
      <c r="Z5849" s="10"/>
    </row>
    <row r="5850" spans="1:26" ht="12.75">
      <c r="A5850" s="10" t="str">
        <f ca="1">IFERROR(__xludf.DUMMYFUNCTION("""COMPUTED_VALUE"""),"Нарцис Цветанов Торбов")</f>
        <v>Нарцис Цветанов Торбов</v>
      </c>
      <c r="B5850" s="10" t="str">
        <f ca="1">IFERROR(__xludf.DUMMYFUNCTION("""COMPUTED_VALUE"""),"Доклад от конференция")</f>
        <v>Доклад от конференция</v>
      </c>
      <c r="C5850" s="10" t="str">
        <f ca="1">IFERROR(__xludf.DUMMYFUNCTION("""COMPUTED_VALUE"""),"Римски и късноантични лампи от колекцията на Регионалния исторически музей в Плевен.")</f>
        <v>Римски и късноантични лампи от колекцията на Регионалния исторически музей в Плевен.</v>
      </c>
      <c r="D5850" s="10">
        <f ca="1">IFERROR(__xludf.DUMMYFUNCTION("""COMPUTED_VALUE"""),2012)</f>
        <v>2012</v>
      </c>
      <c r="E5850" s="10" t="str">
        <f ca="1">IFERROR(__xludf.DUMMYFUNCTION("""COMPUTED_VALUE"""),"ΗΡΑΚΛΕΟΥΣ ΣΩΤΗΡΟΣ ΘΑΣΙΩΝ. Изследвания в чест на Иля Прокопов от приятелите и учениците му по случай неговата 60-годишнина. Велико Търново., Издателство „Фабер“, 769-790. ISBN 978-954-400-717-1")</f>
        <v>ΗΡΑΚΛΕΟΥΣ ΣΩΤΗΡΟΣ ΘΑΣΙΩΝ. Изследвания в чест на Иля Прокопов от приятелите и учениците му по случай неговата 60-годишнина. Велико Търново., Издателство „Фабер“, 769-790. ISBN 978-954-400-717-1</v>
      </c>
      <c r="F5850" s="10"/>
      <c r="G5850" s="10" t="str">
        <f ca="1">IFERROR(__xludf.DUMMYFUNCTION("""COMPUTED_VALUE"""),"В. Найденов")</f>
        <v>В. Найденов</v>
      </c>
      <c r="H5850" s="10"/>
      <c r="I5850" s="10"/>
      <c r="J5850" s="10"/>
      <c r="K5850" s="10"/>
      <c r="L5850" s="10"/>
      <c r="M5850" s="10"/>
      <c r="N5850" s="10"/>
      <c r="O5850" s="10"/>
      <c r="P5850" s="10"/>
      <c r="Q5850" s="10"/>
      <c r="R5850" s="10"/>
      <c r="S5850" s="10"/>
      <c r="T5850" s="10"/>
      <c r="U5850" s="10"/>
      <c r="V5850" s="10"/>
      <c r="W5850" s="10"/>
      <c r="X5850" s="10"/>
      <c r="Y5850" s="10"/>
      <c r="Z5850" s="10"/>
    </row>
    <row r="5851" spans="1:26" ht="12.75">
      <c r="A5851" s="10" t="str">
        <f ca="1">IFERROR(__xludf.DUMMYFUNCTION("""COMPUTED_VALUE"""),"Нарцис Цветанов Торбов")</f>
        <v>Нарцис Цветанов Торбов</v>
      </c>
      <c r="B5851" s="10" t="str">
        <f ca="1">IFERROR(__xludf.DUMMYFUNCTION("""COMPUTED_VALUE"""),"Доклад от конференция")</f>
        <v>Доклад от конференция</v>
      </c>
      <c r="C5851" s="10" t="str">
        <f ca="1">IFERROR(__xludf.DUMMYFUNCTION("""COMPUTED_VALUE"""),"Римски лампи от колекцията на Регионален исторически музей-Враца и Исторически музей-Оряхово, Северозападна България.")</f>
        <v>Римски лампи от колекцията на Регионален исторически музей-Враца и Исторически музей-Оряхово, Северозападна България.</v>
      </c>
      <c r="D5851" s="10">
        <f ca="1">IFERROR(__xludf.DUMMYFUNCTION("""COMPUTED_VALUE"""),2010)</f>
        <v>2010</v>
      </c>
      <c r="E5851" s="10" t="str">
        <f ca="1">IFERROR(__xludf.DUMMYFUNCTION("""COMPUTED_VALUE"""),"В: Великотърновският университет „Св. св. Кирил и Методий” и Българската археология 1. Велико Търново., Университетско издателство „Св. св. Кирил и Методий“, 231-239. ISBN 978-954-524-743-9")</f>
        <v>В: Великотърновският университет „Св. св. Кирил и Методий” и Българската археология 1. Велико Търново., Университетско издателство „Св. св. Кирил и Методий“, 231-239. ISBN 978-954-524-743-9</v>
      </c>
      <c r="F5851" s="10"/>
      <c r="G5851" s="10"/>
      <c r="H5851" s="10"/>
      <c r="I5851" s="10"/>
      <c r="J5851" s="10"/>
      <c r="K5851" s="10"/>
      <c r="L5851" s="10"/>
      <c r="M5851" s="10"/>
      <c r="N5851" s="10"/>
      <c r="O5851" s="10"/>
      <c r="P5851" s="10"/>
      <c r="Q5851" s="10"/>
      <c r="R5851" s="10"/>
      <c r="S5851" s="10"/>
      <c r="T5851" s="10"/>
      <c r="U5851" s="10"/>
      <c r="V5851" s="10"/>
      <c r="W5851" s="10"/>
      <c r="X5851" s="10"/>
      <c r="Y5851" s="10"/>
      <c r="Z5851" s="10"/>
    </row>
    <row r="5852" spans="1:26" ht="12.75">
      <c r="A5852" s="10" t="str">
        <f ca="1">IFERROR(__xludf.DUMMYFUNCTION("""COMPUTED_VALUE"""),"Нарцис Цветанов Торбов")</f>
        <v>Нарцис Цветанов Торбов</v>
      </c>
      <c r="B5852" s="10" t="str">
        <f ca="1">IFERROR(__xludf.DUMMYFUNCTION("""COMPUTED_VALUE"""),"Доклад от конференция")</f>
        <v>Доклад от конференция</v>
      </c>
      <c r="C5852" s="10" t="str">
        <f ca="1">IFERROR(__xludf.DUMMYFUNCTION("""COMPUTED_VALUE"""),"Археологическо проучване на антично и средновековно укрепление в местността Градище“ до Враца")</f>
        <v>Археологическо проучване на антично и средновековно укрепление в местността Градище“ до Враца</v>
      </c>
      <c r="D5852" s="10">
        <f ca="1">IFERROR(__xludf.DUMMYFUNCTION("""COMPUTED_VALUE"""),2009)</f>
        <v>2009</v>
      </c>
      <c r="E5852" s="10" t="str">
        <f ca="1">IFERROR(__xludf.DUMMYFUNCTION("""COMPUTED_VALUE"""),"№32. – В: Археологически открития и разкопки през 2008 г., XLVIIІ Национална археологическа конференция, Кюстендил., с 636-638. София: БАН, 2009.
 COBISS.BG-ID - 1282950628
 ISSN: 1313-0889")</f>
        <v>№32. – В: Археологически открития и разкопки през 2008 г., XLVIIІ Национална археологическа конференция, Кюстендил., с 636-638. София: БАН, 2009.
 COBISS.BG-ID - 1282950628
 ISSN: 1313-0889</v>
      </c>
      <c r="F5852" s="10"/>
      <c r="G5852" s="10"/>
      <c r="H5852" s="10"/>
      <c r="I5852" s="10"/>
      <c r="J5852" s="10"/>
      <c r="K5852" s="10"/>
      <c r="L5852" s="10"/>
      <c r="M5852" s="10"/>
      <c r="N5852" s="10"/>
      <c r="O5852" s="10"/>
      <c r="P5852" s="10"/>
      <c r="Q5852" s="10"/>
      <c r="R5852" s="10"/>
      <c r="S5852" s="10"/>
      <c r="T5852" s="10"/>
      <c r="U5852" s="10"/>
      <c r="V5852" s="10"/>
      <c r="W5852" s="10"/>
      <c r="X5852" s="10"/>
      <c r="Y5852" s="10"/>
      <c r="Z5852" s="10"/>
    </row>
    <row r="5853" spans="1:26" ht="12.75">
      <c r="A5853" s="10" t="str">
        <f ca="1">IFERROR(__xludf.DUMMYFUNCTION("""COMPUTED_VALUE"""),"Нарцис Цветанов Торбов")</f>
        <v>Нарцис Цветанов Торбов</v>
      </c>
      <c r="B5853" s="10" t="str">
        <f ca="1">IFERROR(__xludf.DUMMYFUNCTION("""COMPUTED_VALUE"""),"Статия в списания и поредици")</f>
        <v>Статия в списания и поредици</v>
      </c>
      <c r="C5853" s="10" t="str">
        <f ca="1">IFERROR(__xludf.DUMMYFUNCTION("""COMPUTED_VALUE"""),"Silver antique adornments from Northwest Bulgaria (I C BC- I C AD).")</f>
        <v>Silver antique adornments from Northwest Bulgaria (I C BC- I C AD).</v>
      </c>
      <c r="D5853" s="10">
        <f ca="1">IFERROR(__xludf.DUMMYFUNCTION("""COMPUTED_VALUE"""),2008)</f>
        <v>2008</v>
      </c>
      <c r="E5853" s="10" t="str">
        <f ca="1">IFERROR(__xludf.DUMMYFUNCTION("""COMPUTED_VALUE"""),"Archaeologia Bulgarica 12, 3, 57-67. ISSN 1310-9537")</f>
        <v>Archaeologia Bulgarica 12, 3, 57-67. ISSN 1310-9537</v>
      </c>
      <c r="F5853" s="10" t="str">
        <f ca="1">IFERROR(__xludf.DUMMYFUNCTION("""COMPUTED_VALUE"""),"Scopus")</f>
        <v>Scopus</v>
      </c>
      <c r="G5853" s="10"/>
      <c r="H5853" s="10"/>
      <c r="I5853" s="10"/>
      <c r="J5853" s="10"/>
      <c r="K5853" s="10"/>
      <c r="L5853" s="10"/>
      <c r="M5853" s="10"/>
      <c r="N5853" s="10"/>
      <c r="O5853" s="10"/>
      <c r="P5853" s="10"/>
      <c r="Q5853" s="10"/>
      <c r="R5853" s="10"/>
      <c r="S5853" s="10"/>
      <c r="T5853" s="10"/>
      <c r="U5853" s="10"/>
      <c r="V5853" s="10"/>
      <c r="W5853" s="10"/>
      <c r="X5853" s="10"/>
      <c r="Y5853" s="10"/>
      <c r="Z5853" s="10"/>
    </row>
    <row r="5854" spans="1:26" ht="12.75">
      <c r="A5854" s="10" t="str">
        <f ca="1">IFERROR(__xludf.DUMMYFUNCTION("""COMPUTED_VALUE"""),"Нарцис Цветанов Торбов")</f>
        <v>Нарцис Цветанов Торбов</v>
      </c>
      <c r="B5854" s="10" t="str">
        <f ca="1">IFERROR(__xludf.DUMMYFUNCTION("""COMPUTED_VALUE"""),"Статия в списания и поредици")</f>
        <v>Статия в списания и поредици</v>
      </c>
      <c r="C5854" s="10" t="str">
        <f ca="1">IFERROR(__xludf.DUMMYFUNCTION("""COMPUTED_VALUE"""),"Four-wheel chariot from Mogilanskata Tumulus in Vratsa.")</f>
        <v>Four-wheel chariot from Mogilanskata Tumulus in Vratsa.</v>
      </c>
      <c r="D5854" s="10">
        <f ca="1">IFERROR(__xludf.DUMMYFUNCTION("""COMPUTED_VALUE"""),2007)</f>
        <v>2007</v>
      </c>
      <c r="E5854" s="10" t="str">
        <f ca="1">IFERROR(__xludf.DUMMYFUNCTION("""COMPUTED_VALUE"""),"In: Vagalinski, L. (ed.). The Lower Danube in Antiquity. Sofia., National Institute of Archaeology and Museum, BG Sofia, NOUS Publishers LTD., 45-54.
 ISBN 978-954-90387-8-1")</f>
        <v>In: Vagalinski, L. (ed.). The Lower Danube in Antiquity. Sofia., National Institute of Archaeology and Museum, BG Sofia, NOUS Publishers LTD., 45-54.
 ISBN 978-954-90387-8-1</v>
      </c>
      <c r="F5854" s="10"/>
      <c r="G5854" s="10"/>
      <c r="H5854" s="10"/>
      <c r="I5854" s="10"/>
      <c r="J5854" s="10"/>
      <c r="K5854" s="10"/>
      <c r="L5854" s="10"/>
      <c r="M5854" s="10"/>
      <c r="N5854" s="10"/>
      <c r="O5854" s="10"/>
      <c r="P5854" s="10"/>
      <c r="Q5854" s="10"/>
      <c r="R5854" s="10"/>
      <c r="S5854" s="10"/>
      <c r="T5854" s="10"/>
      <c r="U5854" s="10"/>
      <c r="V5854" s="10"/>
      <c r="W5854" s="10"/>
      <c r="X5854" s="10"/>
      <c r="Y5854" s="10"/>
      <c r="Z5854" s="10"/>
    </row>
    <row r="5855" spans="1:26" ht="12.75">
      <c r="A5855" s="10" t="str">
        <f ca="1">IFERROR(__xludf.DUMMYFUNCTION("""COMPUTED_VALUE"""),"Нарцис Цветанов Торбов")</f>
        <v>Нарцис Цветанов Торбов</v>
      </c>
      <c r="B5855" s="10" t="str">
        <f ca="1">IFERROR(__xludf.DUMMYFUNCTION("""COMPUTED_VALUE"""),"Статия в списания и поредици")</f>
        <v>Статия в списания и поредици</v>
      </c>
      <c r="C5855" s="10" t="str">
        <f ca="1">IFERROR(__xludf.DUMMYFUNCTION("""COMPUTED_VALUE"""),"Aus dem Schatzfund von Rogozen. Funde aus dem Mogilanska-Hügel.")</f>
        <v>Aus dem Schatzfund von Rogozen. Funde aus dem Mogilanska-Hügel.</v>
      </c>
      <c r="D5855" s="10">
        <f ca="1">IFERROR(__xludf.DUMMYFUNCTION("""COMPUTED_VALUE"""),2007)</f>
        <v>2007</v>
      </c>
      <c r="E5855" s="10" t="str">
        <f ca="1">IFERROR(__xludf.DUMMYFUNCTION("""COMPUTED_VALUE"""),"In: Die alten Zivilisationen Bulgariens. Das Gold der Thraker. 15 März – 1 Juli 2007. Antikenmuseum Basel und Sammlung Ludwig. Basel., Katalog Koordination: Ella van der Meijden. Übers. aus dem Bulg.: Roxola (German) Perfect Paperback – 1 Jan. 2007, 164-1"&amp;"70, cat. # 120-120a-l, 121-121a-g. ISBN 9783905057232")</f>
        <v>In: Die alten Zivilisationen Bulgariens. Das Gold der Thraker. 15 März – 1 Juli 2007. Antikenmuseum Basel und Sammlung Ludwig. Basel., Katalog Koordination: Ella van der Meijden. Übers. aus dem Bulg.: Roxola (German) Perfect Paperback – 1 Jan. 2007, 164-170, cat. # 120-120a-l, 121-121a-g. ISBN 9783905057232</v>
      </c>
      <c r="F5855" s="10"/>
      <c r="G5855" s="10"/>
      <c r="H5855" s="10"/>
      <c r="I5855" s="10"/>
      <c r="J5855" s="10"/>
      <c r="K5855" s="10"/>
      <c r="L5855" s="10"/>
      <c r="M5855" s="10"/>
      <c r="N5855" s="10"/>
      <c r="O5855" s="10"/>
      <c r="P5855" s="10"/>
      <c r="Q5855" s="10"/>
      <c r="R5855" s="10"/>
      <c r="S5855" s="10"/>
      <c r="T5855" s="10"/>
      <c r="U5855" s="10"/>
      <c r="V5855" s="10"/>
      <c r="W5855" s="10"/>
      <c r="X5855" s="10"/>
      <c r="Y5855" s="10"/>
      <c r="Z5855" s="10"/>
    </row>
    <row r="5856" spans="1:26" ht="12.75">
      <c r="A5856" s="10" t="str">
        <f ca="1">IFERROR(__xludf.DUMMYFUNCTION("""COMPUTED_VALUE"""),"Нарцис Цветанов Торбов")</f>
        <v>Нарцис Цветанов Торбов</v>
      </c>
      <c r="B5856" s="10" t="str">
        <f ca="1">IFERROR(__xludf.DUMMYFUNCTION("""COMPUTED_VALUE"""),"Статия в списания и поредици")</f>
        <v>Статия в списания и поредици</v>
      </c>
      <c r="C5856" s="10" t="str">
        <f ca="1">IFERROR(__xludf.DUMMYFUNCTION("""COMPUTED_VALUE"""),"N. L’Or des Thraces. Trésors de Bulgarie. Musée Jacquemart-André.")</f>
        <v>N. L’Or des Thraces. Trésors de Bulgarie. Musée Jacquemart-André.</v>
      </c>
      <c r="D5856" s="10">
        <f ca="1">IFERROR(__xludf.DUMMYFUNCTION("""COMPUTED_VALUE"""),2007)</f>
        <v>2007</v>
      </c>
      <c r="E5856" s="10" t="str">
        <f ca="1">IFERROR(__xludf.DUMMYFUNCTION("""COMPUTED_VALUE"""),"Institut de Franse, 2007, Éditions Snoeck, Gand, cat. # 11, 22. ISBN 90-5349-622-Х")</f>
        <v>Institut de Franse, 2007, Éditions Snoeck, Gand, cat. # 11, 22. ISBN 90-5349-622-Х</v>
      </c>
      <c r="F5856" s="10"/>
      <c r="G5856" s="10"/>
      <c r="H5856" s="10"/>
      <c r="I5856" s="10"/>
      <c r="J5856" s="10"/>
      <c r="K5856" s="10"/>
      <c r="L5856" s="10"/>
      <c r="M5856" s="10"/>
      <c r="N5856" s="10"/>
      <c r="O5856" s="10"/>
      <c r="P5856" s="10"/>
      <c r="Q5856" s="10"/>
      <c r="R5856" s="10"/>
      <c r="S5856" s="10"/>
      <c r="T5856" s="10"/>
      <c r="U5856" s="10"/>
      <c r="V5856" s="10"/>
      <c r="W5856" s="10"/>
      <c r="X5856" s="10"/>
      <c r="Y5856" s="10"/>
      <c r="Z5856" s="10"/>
    </row>
    <row r="5857" spans="1:26" ht="12.75">
      <c r="A5857" s="10" t="str">
        <f ca="1">IFERROR(__xludf.DUMMYFUNCTION("""COMPUTED_VALUE"""),"Нарцис Цветанов Торбов")</f>
        <v>Нарцис Цветанов Торбов</v>
      </c>
      <c r="B5857" s="10" t="str">
        <f ca="1">IFERROR(__xludf.DUMMYFUNCTION("""COMPUTED_VALUE"""),"Статия в списания и поредици")</f>
        <v>Статия в списания и поредици</v>
      </c>
      <c r="C5857" s="10" t="str">
        <f ca="1">IFERROR(__xludf.DUMMYFUNCTION("""COMPUTED_VALUE"""),"Four-wheel chariot from Mogilanskata Tumulus in Vratsa.")</f>
        <v>Four-wheel chariot from Mogilanskata Tumulus in Vratsa.</v>
      </c>
      <c r="D5857" s="10">
        <f ca="1">IFERROR(__xludf.DUMMYFUNCTION("""COMPUTED_VALUE"""),2007)</f>
        <v>2007</v>
      </c>
      <c r="E5857" s="10" t="str">
        <f ca="1">IFERROR(__xludf.DUMMYFUNCTION("""COMPUTED_VALUE"""),"In: Vagalinski, L. (ed.). The Lower Danube in Antiquity. Sofia., National Institute of Archaeology and Museum, BG Sofia, NOUS Publishers LTD., 45-54.
 ISBN 978-954-90387-8-1")</f>
        <v>In: Vagalinski, L. (ed.). The Lower Danube in Antiquity. Sofia., National Institute of Archaeology and Museum, BG Sofia, NOUS Publishers LTD., 45-54.
 ISBN 978-954-90387-8-1</v>
      </c>
      <c r="F5857" s="10"/>
      <c r="G5857" s="10"/>
      <c r="H5857" s="10"/>
      <c r="I5857" s="10"/>
      <c r="J5857" s="10"/>
      <c r="K5857" s="10"/>
      <c r="L5857" s="10"/>
      <c r="M5857" s="10"/>
      <c r="N5857" s="10"/>
      <c r="O5857" s="10"/>
      <c r="P5857" s="10"/>
      <c r="Q5857" s="10"/>
      <c r="R5857" s="10"/>
      <c r="S5857" s="10"/>
      <c r="T5857" s="10"/>
      <c r="U5857" s="10"/>
      <c r="V5857" s="10"/>
      <c r="W5857" s="10"/>
      <c r="X5857" s="10"/>
      <c r="Y5857" s="10"/>
      <c r="Z5857" s="10"/>
    </row>
    <row r="5858" spans="1:26" ht="12.75">
      <c r="A5858" s="10" t="str">
        <f ca="1">IFERROR(__xludf.DUMMYFUNCTION("""COMPUTED_VALUE"""),"Нарцис Цветанов Торбов")</f>
        <v>Нарцис Цветанов Торбов</v>
      </c>
      <c r="B5858" s="10" t="str">
        <f ca="1">IFERROR(__xludf.DUMMYFUNCTION("""COMPUTED_VALUE"""),"Статия в списания и поредици")</f>
        <v>Статия в списания и поредици</v>
      </c>
      <c r="C5858" s="10" t="str">
        <f ca="1">IFERROR(__xludf.DUMMYFUNCTION("""COMPUTED_VALUE"""),"Сребърно съкровище от с. Рогозен, Врачанско.")</f>
        <v>Сребърно съкровище от с. Рогозен, Врачанско.</v>
      </c>
      <c r="D5858" s="10">
        <f ca="1">IFERROR(__xludf.DUMMYFUNCTION("""COMPUTED_VALUE"""),2006)</f>
        <v>2006</v>
      </c>
      <c r="E5858" s="10" t="str">
        <f ca="1">IFERROR(__xludf.DUMMYFUNCTION("""COMPUTED_VALUE"""),"В: Съкровищата на траките. Археологически музей-Варна 20 май – 20 септември. Варна., Археологически музей-Варна, 104-129. ISBN 9545795506")</f>
        <v>В: Съкровищата на траките. Археологически музей-Варна 20 май – 20 септември. Варна., Археологически музей-Варна, 104-129. ISBN 9545795506</v>
      </c>
      <c r="F5858" s="10"/>
      <c r="G5858" s="10"/>
      <c r="H5858" s="10"/>
      <c r="I5858" s="10"/>
      <c r="J5858" s="10"/>
      <c r="K5858" s="10"/>
      <c r="L5858" s="10"/>
      <c r="M5858" s="10"/>
      <c r="N5858" s="10"/>
      <c r="O5858" s="10"/>
      <c r="P5858" s="10"/>
      <c r="Q5858" s="10"/>
      <c r="R5858" s="10"/>
      <c r="S5858" s="10"/>
      <c r="T5858" s="10"/>
      <c r="U5858" s="10"/>
      <c r="V5858" s="10"/>
      <c r="W5858" s="10"/>
      <c r="X5858" s="10"/>
      <c r="Y5858" s="10"/>
      <c r="Z5858" s="10"/>
    </row>
    <row r="5859" spans="1:26" ht="12.75">
      <c r="A5859" s="10" t="str">
        <f ca="1">IFERROR(__xludf.DUMMYFUNCTION("""COMPUTED_VALUE"""),"Нарцис Цветанов Торбов")</f>
        <v>Нарцис Цветанов Торбов</v>
      </c>
      <c r="B5859" s="10" t="str">
        <f ca="1">IFERROR(__xludf.DUMMYFUNCTION("""COMPUTED_VALUE"""),"Доклад от конференция")</f>
        <v>Доклад от конференция</v>
      </c>
      <c r="C5859" s="10" t="str">
        <f ca="1">IFERROR(__xludf.DUMMYFUNCTION("""COMPUTED_VALUE"""),"Структури от желязната епоха.")</f>
        <v>Структури от желязната епоха.</v>
      </c>
      <c r="D5859" s="10">
        <f ca="1">IFERROR(__xludf.DUMMYFUNCTION("""COMPUTED_VALUE"""),2006)</f>
        <v>2006</v>
      </c>
      <c r="E5859" s="10" t="str">
        <f ca="1">IFERROR(__xludf.DUMMYFUNCTION("""COMPUTED_VALUE"""),"В: Алтимир-Бреста култов комплекс и селище. Враца., Исторически музей-Враца, 89-93.
 ISBN 0204-4013")</f>
        <v>В: Алтимир-Бреста култов комплекс и селище. Враца., Исторически музей-Враца, 89-93.
 ISBN 0204-4013</v>
      </c>
      <c r="F5859" s="10"/>
      <c r="G5859" s="10"/>
      <c r="H5859" s="10"/>
      <c r="I5859" s="10"/>
      <c r="J5859" s="10"/>
      <c r="K5859" s="10"/>
      <c r="L5859" s="10"/>
      <c r="M5859" s="10"/>
      <c r="N5859" s="10"/>
      <c r="O5859" s="10"/>
      <c r="P5859" s="10"/>
      <c r="Q5859" s="10"/>
      <c r="R5859" s="10"/>
      <c r="S5859" s="10"/>
      <c r="T5859" s="10"/>
      <c r="U5859" s="10"/>
      <c r="V5859" s="10"/>
      <c r="W5859" s="10"/>
      <c r="X5859" s="10"/>
      <c r="Y5859" s="10"/>
      <c r="Z5859" s="10"/>
    </row>
    <row r="5860" spans="1:26" ht="12.75">
      <c r="A5860" s="10" t="str">
        <f ca="1">IFERROR(__xludf.DUMMYFUNCTION("""COMPUTED_VALUE"""),"Нарцис Цветанов Торбов")</f>
        <v>Нарцис Цветанов Торбов</v>
      </c>
      <c r="B5860" s="10" t="str">
        <f ca="1">IFERROR(__xludf.DUMMYFUNCTION("""COMPUTED_VALUE"""),"Статия в списания и поредици")</f>
        <v>Статия в списания и поредици</v>
      </c>
      <c r="C5860" s="10" t="str">
        <f ca="1">IFERROR(__xludf.DUMMYFUNCTION("""COMPUTED_VALUE"""),"Los tracios. Tesoros enigmáticos de Bulgaria")</f>
        <v>Los tracios. Tesoros enigmáticos de Bulgaria</v>
      </c>
      <c r="D5860" s="10">
        <f ca="1">IFERROR(__xludf.DUMMYFUNCTION("""COMPUTED_VALUE"""),2005)</f>
        <v>2005</v>
      </c>
      <c r="E5860" s="10" t="str">
        <f ca="1">IFERROR(__xludf.DUMMYFUNCTION("""COMPUTED_VALUE"""),"2005. Barcelona., De la edición, Fundación „La Caixa“, cat. 134, 143, 214-220. 
 ISBN 10:847664759X")</f>
        <v>2005. Barcelona., De la edición, Fundación „La Caixa“, cat. 134, 143, 214-220. 
 ISBN 10:847664759X</v>
      </c>
      <c r="F5860" s="10"/>
      <c r="G5860" s="10"/>
      <c r="H5860" s="10"/>
      <c r="I5860" s="10"/>
      <c r="J5860" s="10"/>
      <c r="K5860" s="10"/>
      <c r="L5860" s="10"/>
      <c r="M5860" s="10"/>
      <c r="N5860" s="10"/>
      <c r="O5860" s="10"/>
      <c r="P5860" s="10"/>
      <c r="Q5860" s="10"/>
      <c r="R5860" s="10"/>
      <c r="S5860" s="10"/>
      <c r="T5860" s="10"/>
      <c r="U5860" s="10"/>
      <c r="V5860" s="10"/>
      <c r="W5860" s="10"/>
      <c r="X5860" s="10"/>
      <c r="Y5860" s="10"/>
      <c r="Z5860" s="10"/>
    </row>
    <row r="5861" spans="1:26" ht="12.75">
      <c r="A5861" s="10" t="str">
        <f ca="1">IFERROR(__xludf.DUMMYFUNCTION("""COMPUTED_VALUE"""),"Нарцис Цветанов Торбов")</f>
        <v>Нарцис Цветанов Торбов</v>
      </c>
      <c r="B5861" s="10" t="str">
        <f ca="1">IFERROR(__xludf.DUMMYFUNCTION("""COMPUTED_VALUE"""),"Статия в списания и поредици")</f>
        <v>Статия в списания и поредици</v>
      </c>
      <c r="C5861" s="10" t="str">
        <f ca="1">IFERROR(__xludf.DUMMYFUNCTION("""COMPUTED_VALUE"""),"Украса на тракийското въоръжение и снаряжение, открито в Северозападна България (III-I в. пр. Хр.)")</f>
        <v>Украса на тракийското въоръжение и снаряжение, открито в Северозападна България (III-I в. пр. Хр.)</v>
      </c>
      <c r="D5861" s="10">
        <f ca="1">IFERROR(__xludf.DUMMYFUNCTION("""COMPUTED_VALUE"""),2005)</f>
        <v>2005</v>
      </c>
      <c r="E5861" s="10" t="str">
        <f ca="1">IFERROR(__xludf.DUMMYFUNCTION("""COMPUTED_VALUE"""),"В: Stephanos Archaeologicos in honorem Professoris Ludmili Getov. Studia Archaeologica Universitatis Serdicensis. Supl. IV. София., Издателство на Софийски университет „Св. Климент Охридски“, Исторически факултет, 693-700.
 ISSN 1312-7284")</f>
        <v>В: Stephanos Archaeologicos in honorem Professoris Ludmili Getov. Studia Archaeologica Universitatis Serdicensis. Supl. IV. София., Издателство на Софийски университет „Св. Климент Охридски“, Исторически факултет, 693-700.
 ISSN 1312-7284</v>
      </c>
      <c r="F5861" s="10"/>
      <c r="G5861" s="10"/>
      <c r="H5861" s="10"/>
      <c r="I5861" s="10"/>
      <c r="J5861" s="10"/>
      <c r="K5861" s="10"/>
      <c r="L5861" s="10"/>
      <c r="M5861" s="10"/>
      <c r="N5861" s="10"/>
      <c r="O5861" s="10"/>
      <c r="P5861" s="10"/>
      <c r="Q5861" s="10"/>
      <c r="R5861" s="10"/>
      <c r="S5861" s="10"/>
      <c r="T5861" s="10"/>
      <c r="U5861" s="10"/>
      <c r="V5861" s="10"/>
      <c r="W5861" s="10"/>
      <c r="X5861" s="10"/>
      <c r="Y5861" s="10"/>
      <c r="Z5861" s="10"/>
    </row>
    <row r="5862" spans="1:26" ht="12.75">
      <c r="A5862" s="10" t="str">
        <f ca="1">IFERROR(__xludf.DUMMYFUNCTION("""COMPUTED_VALUE"""),"Нарцис Цветанов Торбов")</f>
        <v>Нарцис Цветанов Торбов</v>
      </c>
      <c r="B5862" s="10" t="str">
        <f ca="1">IFERROR(__xludf.DUMMYFUNCTION("""COMPUTED_VALUE"""),"Монография")</f>
        <v>Монография</v>
      </c>
      <c r="C5862" s="10" t="str">
        <f ca="1">IFERROR(__xludf.DUMMYFUNCTION("""COMPUTED_VALUE"""),"Могиланската могила във Враца")</f>
        <v>Могиланската могила във Враца</v>
      </c>
      <c r="D5862" s="10">
        <f ca="1">IFERROR(__xludf.DUMMYFUNCTION("""COMPUTED_VALUE"""),2005)</f>
        <v>2005</v>
      </c>
      <c r="E5862" s="10" t="str">
        <f ca="1">IFERROR(__xludf.DUMMYFUNCTION("""COMPUTED_VALUE"""),"Враца, Майобо, 200 с.
 ISBN 954-9627-18-7")</f>
        <v>Враца, Майобо, 200 с.
 ISBN 954-9627-18-7</v>
      </c>
      <c r="F5862" s="10"/>
      <c r="G5862" s="10"/>
      <c r="H5862" s="10"/>
      <c r="I5862" s="10"/>
      <c r="J5862" s="10"/>
      <c r="K5862" s="10"/>
      <c r="L5862" s="10"/>
      <c r="M5862" s="10"/>
      <c r="N5862" s="10"/>
      <c r="O5862" s="10"/>
      <c r="P5862" s="10"/>
      <c r="Q5862" s="10"/>
      <c r="R5862" s="10"/>
      <c r="S5862" s="10"/>
      <c r="T5862" s="10"/>
      <c r="U5862" s="10"/>
      <c r="V5862" s="10"/>
      <c r="W5862" s="10"/>
      <c r="X5862" s="10"/>
      <c r="Y5862" s="10"/>
      <c r="Z5862" s="10"/>
    </row>
    <row r="5863" spans="1:26" ht="12.75">
      <c r="A5863" s="10" t="str">
        <f ca="1">IFERROR(__xludf.DUMMYFUNCTION("""COMPUTED_VALUE"""),"Нарцис Цветанов Торбов")</f>
        <v>Нарцис Цветанов Торбов</v>
      </c>
      <c r="B5863" s="10" t="str">
        <f ca="1">IFERROR(__xludf.DUMMYFUNCTION("""COMPUTED_VALUE"""),"Статия в списания и поредици")</f>
        <v>Статия в списания и поредици</v>
      </c>
      <c r="C5863" s="10" t="str">
        <f ca="1">IFERROR(__xludf.DUMMYFUNCTION("""COMPUTED_VALUE"""),"Криви тракийски ножове от Северозападна България (разпространение, датировка и произход).")</f>
        <v>Криви тракийски ножове от Северозападна България (разпространение, датировка и произход).</v>
      </c>
      <c r="D5863" s="10">
        <f ca="1">IFERROR(__xludf.DUMMYFUNCTION("""COMPUTED_VALUE"""),2005)</f>
        <v>2005</v>
      </c>
      <c r="E5863" s="10" t="str">
        <f ca="1">IFERROR(__xludf.DUMMYFUNCTION("""COMPUTED_VALUE"""),"В: Heros hephaistos. Studia in honorem Liubae Ognenova-Marinova. София., Издателство на Софийски университет „Св. Климент Охридски“, Исторически факултет., 358-367.
 ISBN 954-775-531-5")</f>
        <v>В: Heros hephaistos. Studia in honorem Liubae Ognenova-Marinova. София., Издателство на Софийски университет „Св. Климент Охридски“, Исторически факултет., 358-367.
 ISBN 954-775-531-5</v>
      </c>
      <c r="F5863" s="10"/>
      <c r="G5863" s="10"/>
      <c r="H5863" s="10"/>
      <c r="I5863" s="10"/>
      <c r="J5863" s="10"/>
      <c r="K5863" s="10"/>
      <c r="L5863" s="10"/>
      <c r="M5863" s="10"/>
      <c r="N5863" s="10"/>
      <c r="O5863" s="10"/>
      <c r="P5863" s="10"/>
      <c r="Q5863" s="10"/>
      <c r="R5863" s="10"/>
      <c r="S5863" s="10"/>
      <c r="T5863" s="10"/>
      <c r="U5863" s="10"/>
      <c r="V5863" s="10"/>
      <c r="W5863" s="10"/>
      <c r="X5863" s="10"/>
      <c r="Y5863" s="10"/>
      <c r="Z5863" s="10"/>
    </row>
    <row r="5864" spans="1:26" ht="12.75">
      <c r="A5864" s="10" t="str">
        <f ca="1">IFERROR(__xludf.DUMMYFUNCTION("""COMPUTED_VALUE"""),"Нарцис Цветанов Торбов")</f>
        <v>Нарцис Цветанов Торбов</v>
      </c>
      <c r="B5864" s="10" t="str">
        <f ca="1">IFERROR(__xludf.DUMMYFUNCTION("""COMPUTED_VALUE"""),"Доклад от конференция")</f>
        <v>Доклад от конференция</v>
      </c>
      <c r="C5864" s="10" t="str">
        <f ca="1">IFERROR(__xludf.DUMMYFUNCTION("""COMPUTED_VALUE"""),"Токи от колан и колани-верижки, открити на територията, заключена между реките Тимок и Искър.")</f>
        <v>Токи от колан и колани-верижки, открити на територията, заключена между реките Тимок и Искър.</v>
      </c>
      <c r="D5864" s="10">
        <f ca="1">IFERROR(__xludf.DUMMYFUNCTION("""COMPUTED_VALUE"""),2005)</f>
        <v>2005</v>
      </c>
      <c r="E5864" s="10" t="str">
        <f ca="1">IFERROR(__xludf.DUMMYFUNCTION("""COMPUTED_VALUE"""),"В: Национална научна конференция “Земите на България – люлка на тракийската култура”. Том II. Археологически институт с музей – Българска академия на науките. Траколожка експедиция за могилни проучвания. София., Издателство на Софийски университет „Св. Кл"&amp;"имент Охридски“, 208-214.
 ISBN 954-775-531-5")</f>
        <v>В: Национална научна конференция “Земите на България – люлка на тракийската култура”. Том II. Археологически институт с музей – Българска академия на науките. Траколожка експедиция за могилни проучвания. София., Издателство на Софийски университет „Св. Климент Охридски“, 208-214.
 ISBN 954-775-531-5</v>
      </c>
      <c r="F5864" s="10"/>
      <c r="G5864" s="10"/>
      <c r="H5864" s="10"/>
      <c r="I5864" s="10"/>
      <c r="J5864" s="10"/>
      <c r="K5864" s="10"/>
      <c r="L5864" s="10"/>
      <c r="M5864" s="10"/>
      <c r="N5864" s="10"/>
      <c r="O5864" s="10"/>
      <c r="P5864" s="10"/>
      <c r="Q5864" s="10"/>
      <c r="R5864" s="10"/>
      <c r="S5864" s="10"/>
      <c r="T5864" s="10"/>
      <c r="U5864" s="10"/>
      <c r="V5864" s="10"/>
      <c r="W5864" s="10"/>
      <c r="X5864" s="10"/>
      <c r="Y5864" s="10"/>
      <c r="Z5864" s="10"/>
    </row>
    <row r="5865" spans="1:26" ht="12.75">
      <c r="A5865" s="10" t="str">
        <f ca="1">IFERROR(__xludf.DUMMYFUNCTION("""COMPUTED_VALUE"""),"Нарцис Цветанов Торбов")</f>
        <v>Нарцис Цветанов Торбов</v>
      </c>
      <c r="B5865" s="10" t="str">
        <f ca="1">IFERROR(__xludf.DUMMYFUNCTION("""COMPUTED_VALUE"""),"Доклад от конференция")</f>
        <v>Доклад от конференция</v>
      </c>
      <c r="C5865" s="10" t="str">
        <f ca="1">IFERROR(__xludf.DUMMYFUNCTION("""COMPUTED_VALUE"""),"Мечове от III-I в. пр. Хр. и келтските влияния в Северозападна Тракия.")</f>
        <v>Мечове от III-I в. пр. Хр. и келтските влияния в Северозападна Тракия.</v>
      </c>
      <c r="D5865" s="10">
        <f ca="1">IFERROR(__xludf.DUMMYFUNCTION("""COMPUTED_VALUE"""),2005)</f>
        <v>2005</v>
      </c>
      <c r="E5865" s="10" t="str">
        <f ca="1">IFERROR(__xludf.DUMMYFUNCTION("""COMPUTED_VALUE"""),"В: Траките и околния свят. Научна конференция, Шумен 2004, МИФ 9. Издателство на Нов български университет, 263-276. 
 ISSN 1311-3550")</f>
        <v>В: Траките и околния свят. Научна конференция, Шумен 2004, МИФ 9. Издателство на Нов български университет, 263-276. 
 ISSN 1311-3550</v>
      </c>
      <c r="F5865" s="10"/>
      <c r="G5865" s="10"/>
      <c r="H5865" s="10"/>
      <c r="I5865" s="10"/>
      <c r="J5865" s="10"/>
      <c r="K5865" s="10"/>
      <c r="L5865" s="10"/>
      <c r="M5865" s="10"/>
      <c r="N5865" s="10"/>
      <c r="O5865" s="10"/>
      <c r="P5865" s="10"/>
      <c r="Q5865" s="10"/>
      <c r="R5865" s="10"/>
      <c r="S5865" s="10"/>
      <c r="T5865" s="10"/>
      <c r="U5865" s="10"/>
      <c r="V5865" s="10"/>
      <c r="W5865" s="10"/>
      <c r="X5865" s="10"/>
      <c r="Y5865" s="10"/>
      <c r="Z5865" s="10"/>
    </row>
    <row r="5866" spans="1:26" ht="12.75">
      <c r="A5866" s="10" t="str">
        <f ca="1">IFERROR(__xludf.DUMMYFUNCTION("""COMPUTED_VALUE"""),"Нарцис Цветанов Торбов")</f>
        <v>Нарцис Цветанов Торбов</v>
      </c>
      <c r="B5866" s="10" t="str">
        <f ca="1">IFERROR(__xludf.DUMMYFUNCTION("""COMPUTED_VALUE"""),"Статия в списания и поредици")</f>
        <v>Статия в списания и поредици</v>
      </c>
      <c r="C5866" s="10" t="str">
        <f ca="1">IFERROR(__xludf.DUMMYFUNCTION("""COMPUTED_VALUE"""),"Chain-mails from Northern Bulgaria (III-I c. BC).")</f>
        <v>Chain-mails from Northern Bulgaria (III-I c. BC).</v>
      </c>
      <c r="D5866" s="10">
        <f ca="1">IFERROR(__xludf.DUMMYFUNCTION("""COMPUTED_VALUE"""),2004)</f>
        <v>2004</v>
      </c>
      <c r="E5866" s="10" t="str">
        <f ca="1">IFERROR(__xludf.DUMMYFUNCTION("""COMPUTED_VALUE"""),"In Archaeologia Bulgarica 8, 2, 57-69. ISSN 1310-9537")</f>
        <v>In Archaeologia Bulgarica 8, 2, 57-69. ISSN 1310-9537</v>
      </c>
      <c r="F5866" s="10"/>
      <c r="G5866" s="10"/>
      <c r="H5866" s="10"/>
      <c r="I5866" s="10"/>
      <c r="J5866" s="10"/>
      <c r="K5866" s="10"/>
      <c r="L5866" s="10"/>
      <c r="M5866" s="10"/>
      <c r="N5866" s="10"/>
      <c r="O5866" s="10"/>
      <c r="P5866" s="10"/>
      <c r="Q5866" s="10"/>
      <c r="R5866" s="10"/>
      <c r="S5866" s="10"/>
      <c r="T5866" s="10"/>
      <c r="U5866" s="10"/>
      <c r="V5866" s="10"/>
      <c r="W5866" s="10"/>
      <c r="X5866" s="10"/>
      <c r="Y5866" s="10"/>
      <c r="Z5866" s="10"/>
    </row>
    <row r="5867" spans="1:26" ht="12.75">
      <c r="A5867" s="10" t="str">
        <f ca="1">IFERROR(__xludf.DUMMYFUNCTION("""COMPUTED_VALUE"""),"Нарцис Цветанов Торбов")</f>
        <v>Нарцис Цветанов Торбов</v>
      </c>
      <c r="B5867" s="10" t="str">
        <f ca="1">IFERROR(__xludf.DUMMYFUNCTION("""COMPUTED_VALUE"""),"Статия в списания и поредици")</f>
        <v>Статия в списания и поредици</v>
      </c>
      <c r="C5867" s="10" t="str">
        <f ca="1">IFERROR(__xludf.DUMMYFUNCTION("""COMPUTED_VALUE"""),"Die Thraker. Das goldene Reich, des Orpheus.")</f>
        <v>Die Thraker. Das goldene Reich, des Orpheus.</v>
      </c>
      <c r="D5867" s="10">
        <f ca="1">IFERROR(__xludf.DUMMYFUNCTION("""COMPUTED_VALUE"""),2004)</f>
        <v>2004</v>
      </c>
      <c r="E5867" s="10" t="str">
        <f ca="1">IFERROR(__xludf.DUMMYFUNCTION("""COMPUTED_VALUE"""),"2004., GmbH Bonn und Verlag Philipp von Zabern GmbH, Mainz, cat. рр. 186, 204. ISBN 3805-333-412")</f>
        <v>2004., GmbH Bonn und Verlag Philipp von Zabern GmbH, Mainz, cat. рр. 186, 204. ISBN 3805-333-412</v>
      </c>
      <c r="F5867" s="10"/>
      <c r="G5867" s="10"/>
      <c r="H5867" s="10"/>
      <c r="I5867" s="10"/>
      <c r="J5867" s="10"/>
      <c r="K5867" s="10"/>
      <c r="L5867" s="10"/>
      <c r="M5867" s="10"/>
      <c r="N5867" s="10"/>
      <c r="O5867" s="10"/>
      <c r="P5867" s="10"/>
      <c r="Q5867" s="10"/>
      <c r="R5867" s="10"/>
      <c r="S5867" s="10"/>
      <c r="T5867" s="10"/>
      <c r="U5867" s="10"/>
      <c r="V5867" s="10"/>
      <c r="W5867" s="10"/>
      <c r="X5867" s="10"/>
      <c r="Y5867" s="10"/>
      <c r="Z5867" s="10"/>
    </row>
    <row r="5868" spans="1:26" ht="12.75">
      <c r="A5868" s="10" t="str">
        <f ca="1">IFERROR(__xludf.DUMMYFUNCTION("""COMPUTED_VALUE"""),"Нарцис Цветанов Торбов")</f>
        <v>Нарцис Цветанов Торбов</v>
      </c>
      <c r="B5868" s="10" t="str">
        <f ca="1">IFERROR(__xludf.DUMMYFUNCTION("""COMPUTED_VALUE"""),"Статия в списания и поредици")</f>
        <v>Статия в списания и поредици</v>
      </c>
      <c r="C5868" s="10" t="str">
        <f ca="1">IFERROR(__xludf.DUMMYFUNCTION("""COMPUTED_VALUE"""),"Върхове и накрайници за копия от Северозападна България (III-I в. пр. Хр.).")</f>
        <v>Върхове и накрайници за копия от Северозападна България (III-I в. пр. Хр.).</v>
      </c>
      <c r="D5868" s="10">
        <f ca="1">IFERROR(__xludf.DUMMYFUNCTION("""COMPUTED_VALUE"""),2003)</f>
        <v>2003</v>
      </c>
      <c r="E5868" s="10" t="str">
        <f ca="1">IFERROR(__xludf.DUMMYFUNCTION("""COMPUTED_VALUE"""),"Известия на музеите в Северозападна България 29, Исторически музей-Враца, 51-68. 
 ISBN 0204-4013")</f>
        <v>Известия на музеите в Северозападна България 29, Исторически музей-Враца, 51-68. 
 ISBN 0204-4013</v>
      </c>
      <c r="F5868" s="10"/>
      <c r="G5868" s="10"/>
      <c r="H5868" s="10"/>
      <c r="I5868" s="10"/>
      <c r="J5868" s="10"/>
      <c r="K5868" s="10"/>
      <c r="L5868" s="10"/>
      <c r="M5868" s="10"/>
      <c r="N5868" s="10"/>
      <c r="O5868" s="10"/>
      <c r="P5868" s="10"/>
      <c r="Q5868" s="10"/>
      <c r="R5868" s="10"/>
      <c r="S5868" s="10"/>
      <c r="T5868" s="10"/>
      <c r="U5868" s="10"/>
      <c r="V5868" s="10"/>
      <c r="W5868" s="10"/>
      <c r="X5868" s="10"/>
      <c r="Y5868" s="10"/>
      <c r="Z5868" s="10"/>
    </row>
    <row r="5869" spans="1:26" ht="12.75">
      <c r="A5869" s="10" t="str">
        <f ca="1">IFERROR(__xludf.DUMMYFUNCTION("""COMPUTED_VALUE"""),"Нарцис Цветанов Торбов")</f>
        <v>Нарцис Цветанов Торбов</v>
      </c>
      <c r="B5869" s="10" t="str">
        <f ca="1">IFERROR(__xludf.DUMMYFUNCTION("""COMPUTED_VALUE"""),"Доклад от конференция")</f>
        <v>Доклад от конференция</v>
      </c>
      <c r="C5869" s="10" t="str">
        <f ca="1">IFERROR(__xludf.DUMMYFUNCTION("""COMPUTED_VALUE"""),"Bronze tools with human effigies found in Northwestern Bulgaria")</f>
        <v>Bronze tools with human effigies found in Northwestern Bulgaria</v>
      </c>
      <c r="D5869" s="10">
        <f ca="1">IFERROR(__xludf.DUMMYFUNCTION("""COMPUTED_VALUE"""),2002)</f>
        <v>2002</v>
      </c>
      <c r="E5869" s="10" t="str">
        <f ca="1">IFERROR(__xludf.DUMMYFUNCTION("""COMPUTED_VALUE"""),"In: Gumlia-Maier, A. (ed.). I bronzi antichi: Produzione e tecnologia. Montagnas. (Atti del XV Congresso Internazionale sui Bronzi Antichi, Grado-Aquileia 2001)., 464-468. ISBN 2-907303-63-5")</f>
        <v>In: Gumlia-Maier, A. (ed.). I bronzi antichi: Produzione e tecnologia. Montagnas. (Atti del XV Congresso Internazionale sui Bronzi Antichi, Grado-Aquileia 2001)., 464-468. ISBN 2-907303-63-5</v>
      </c>
      <c r="F5869" s="10"/>
      <c r="G5869" s="10" t="str">
        <f ca="1">IFERROR(__xludf.DUMMYFUNCTION("""COMPUTED_VALUE"""),"Antonov, D.")</f>
        <v>Antonov, D.</v>
      </c>
      <c r="H5869" s="10"/>
      <c r="I5869" s="10"/>
      <c r="J5869" s="10"/>
      <c r="K5869" s="10"/>
      <c r="L5869" s="10"/>
      <c r="M5869" s="10"/>
      <c r="N5869" s="10"/>
      <c r="O5869" s="10"/>
      <c r="P5869" s="10"/>
      <c r="Q5869" s="10"/>
      <c r="R5869" s="10"/>
      <c r="S5869" s="10"/>
      <c r="T5869" s="10"/>
      <c r="U5869" s="10"/>
      <c r="V5869" s="10"/>
      <c r="W5869" s="10"/>
      <c r="X5869" s="10"/>
      <c r="Y5869" s="10"/>
      <c r="Z5869" s="10"/>
    </row>
    <row r="5870" spans="1:26" ht="12.75">
      <c r="A5870" s="10" t="str">
        <f ca="1">IFERROR(__xludf.DUMMYFUNCTION("""COMPUTED_VALUE"""),"Нарцис Цветанов Торбов")</f>
        <v>Нарцис Цветанов Торбов</v>
      </c>
      <c r="B5870" s="10" t="str">
        <f ca="1">IFERROR(__xludf.DUMMYFUNCTION("""COMPUTED_VALUE"""),"Статия в списания и поредици")</f>
        <v>Статия в списания и поредици</v>
      </c>
      <c r="C5870" s="10" t="str">
        <f ca="1">IFERROR(__xludf.DUMMYFUNCTION("""COMPUTED_VALUE"""),"Bronze tools from North-western Bulgaria (6th-1st centuries BC).")</f>
        <v>Bronze tools from North-western Bulgaria (6th-1st centuries BC).</v>
      </c>
      <c r="D5870" s="10">
        <f ca="1">IFERROR(__xludf.DUMMYFUNCTION("""COMPUTED_VALUE"""),2002)</f>
        <v>2002</v>
      </c>
      <c r="E5870" s="10" t="str">
        <f ca="1">IFERROR(__xludf.DUMMYFUNCTION("""COMPUTED_VALUE"""),"In: Archaeologia Bulgarica 6, 2, 37-53. ISSN 1310-9537")</f>
        <v>In: Archaeologia Bulgarica 6, 2, 37-53. ISSN 1310-9537</v>
      </c>
      <c r="F5870" s="10"/>
      <c r="G5870" s="10" t="str">
        <f ca="1">IFERROR(__xludf.DUMMYFUNCTION("""COMPUTED_VALUE"""),"D. Antonov")</f>
        <v>D. Antonov</v>
      </c>
      <c r="H5870" s="10"/>
      <c r="I5870" s="10"/>
      <c r="J5870" s="10"/>
      <c r="K5870" s="10"/>
      <c r="L5870" s="10"/>
      <c r="M5870" s="10"/>
      <c r="N5870" s="10"/>
      <c r="O5870" s="10"/>
      <c r="P5870" s="10"/>
      <c r="Q5870" s="10"/>
      <c r="R5870" s="10"/>
      <c r="S5870" s="10"/>
      <c r="T5870" s="10"/>
      <c r="U5870" s="10"/>
      <c r="V5870" s="10"/>
      <c r="W5870" s="10"/>
      <c r="X5870" s="10"/>
      <c r="Y5870" s="10"/>
      <c r="Z5870" s="10"/>
    </row>
    <row r="5871" spans="1:26" ht="12.75">
      <c r="A5871" s="10" t="str">
        <f ca="1">IFERROR(__xludf.DUMMYFUNCTION("""COMPUTED_VALUE"""),"Нарцис Цветанов Торбов")</f>
        <v>Нарцис Цветанов Торбов</v>
      </c>
      <c r="B5871" s="10" t="str">
        <f ca="1">IFERROR(__xludf.DUMMYFUNCTION("""COMPUTED_VALUE"""),"Статия в списания и поредици")</f>
        <v>Статия в списания и поредици</v>
      </c>
      <c r="C5871" s="10" t="str">
        <f ca="1">IFERROR(__xludf.DUMMYFUNCTION("""COMPUTED_VALUE"""),"Мечове от II в. пр. Хр. - I в., открити в Северозападна България.")</f>
        <v>Мечове от II в. пр. Хр. - I в., открити в Северозападна България.</v>
      </c>
      <c r="D5871" s="10">
        <f ca="1">IFERROR(__xludf.DUMMYFUNCTION("""COMPUTED_VALUE"""),2000)</f>
        <v>2000</v>
      </c>
      <c r="E5871" s="10" t="str">
        <f ca="1">IFERROR(__xludf.DUMMYFUNCTION("""COMPUTED_VALUE"""),"Известия на музеите в Северозападна България 28. Враца., Исторически музей-Враца, 11-34. ISBN 0204-4013")</f>
        <v>Известия на музеите в Северозападна България 28. Враца., Исторически музей-Враца, 11-34. ISBN 0204-4013</v>
      </c>
      <c r="F5871" s="10"/>
      <c r="G5871" s="10"/>
      <c r="H5871" s="10"/>
      <c r="I5871" s="10"/>
      <c r="J5871" s="10"/>
      <c r="K5871" s="10"/>
      <c r="L5871" s="10"/>
      <c r="M5871" s="10"/>
      <c r="N5871" s="10"/>
      <c r="O5871" s="10"/>
      <c r="P5871" s="10"/>
      <c r="Q5871" s="10"/>
      <c r="R5871" s="10"/>
      <c r="S5871" s="10"/>
      <c r="T5871" s="10"/>
      <c r="U5871" s="10"/>
      <c r="V5871" s="10"/>
      <c r="W5871" s="10"/>
      <c r="X5871" s="10"/>
      <c r="Y5871" s="10"/>
      <c r="Z5871" s="10"/>
    </row>
    <row r="5872" spans="1:26" ht="12.75">
      <c r="A5872" s="10" t="str">
        <f ca="1">IFERROR(__xludf.DUMMYFUNCTION("""COMPUTED_VALUE"""),"Нарцис Цветанов Торбов")</f>
        <v>Нарцис Цветанов Торбов</v>
      </c>
      <c r="B5872" s="10" t="str">
        <f ca="1">IFERROR(__xludf.DUMMYFUNCTION("""COMPUTED_VALUE"""),"Доклад от конференция")</f>
        <v>Доклад от конференция</v>
      </c>
      <c r="C5872" s="10" t="str">
        <f ca="1">IFERROR(__xludf.DUMMYFUNCTION("""COMPUTED_VALUE"""),"The Bronze Vessels from Tomb 2 in the Mogilanska Mogila Tumulus at Vratsa (NW Bulgaria).")</f>
        <v>The Bronze Vessels from Tomb 2 in the Mogilanska Mogila Tumulus at Vratsa (NW Bulgaria).</v>
      </c>
      <c r="D5872" s="10">
        <f ca="1">IFERROR(__xludf.DUMMYFUNCTION("""COMPUTED_VALUE"""),2000)</f>
        <v>2000</v>
      </c>
      <c r="E5872" s="10" t="str">
        <f ca="1">IFERROR(__xludf.DUMMYFUNCTION("""COMPUTED_VALUE"""),"In: From the Parts to the Whole: Acta of the 13th Intern. Bronze congress Cambridge, Massachusetts 1996, edited by C. Mattush, A. Brauer and S. Knudsen, 163-72. JRASuppl. Series 39, 163-172. ISBN-10: 1887829393")</f>
        <v>In: From the Parts to the Whole: Acta of the 13th Intern. Bronze congress Cambridge, Massachusetts 1996, edited by C. Mattush, A. Brauer and S. Knudsen, 163-72. JRASuppl. Series 39, 163-172. ISBN-10: 1887829393</v>
      </c>
      <c r="F5872" s="10"/>
      <c r="G5872" s="10" t="str">
        <f ca="1">IFERROR(__xludf.DUMMYFUNCTION("""COMPUTED_VALUE"""),"E. Paunov")</f>
        <v>E. Paunov</v>
      </c>
      <c r="H5872" s="10"/>
      <c r="I5872" s="10"/>
      <c r="J5872" s="10"/>
      <c r="K5872" s="10"/>
      <c r="L5872" s="10"/>
      <c r="M5872" s="10"/>
      <c r="N5872" s="10"/>
      <c r="O5872" s="10"/>
      <c r="P5872" s="10"/>
      <c r="Q5872" s="10"/>
      <c r="R5872" s="10"/>
      <c r="S5872" s="10"/>
      <c r="T5872" s="10"/>
      <c r="U5872" s="10"/>
      <c r="V5872" s="10"/>
      <c r="W5872" s="10"/>
      <c r="X5872" s="10"/>
      <c r="Y5872" s="10"/>
      <c r="Z5872" s="10"/>
    </row>
    <row r="5873" spans="1:26" ht="12.75">
      <c r="A5873" s="10" t="str">
        <f ca="1">IFERROR(__xludf.DUMMYFUNCTION("""COMPUTED_VALUE"""),"Нарцис Цветанов Торбов")</f>
        <v>Нарцис Цветанов Торбов</v>
      </c>
      <c r="B5873" s="10" t="str">
        <f ca="1">IFERROR(__xludf.DUMMYFUNCTION("""COMPUTED_VALUE"""),"Статия в списания и поредици")</f>
        <v>Статия в списания и поредици</v>
      </c>
      <c r="C5873" s="10" t="str">
        <f ca="1">IFERROR(__xludf.DUMMYFUNCTION("""COMPUTED_VALUE"""),"Spurs from the 2nd century BC - 1st century AD found in Northwestern Bulgaria")</f>
        <v>Spurs from the 2nd century BC - 1st century AD found in Northwestern Bulgaria</v>
      </c>
      <c r="D5873" s="10">
        <f ca="1">IFERROR(__xludf.DUMMYFUNCTION("""COMPUTED_VALUE"""),1998)</f>
        <v>1998</v>
      </c>
      <c r="E5873" s="10" t="str">
        <f ca="1">IFERROR(__xludf.DUMMYFUNCTION("""COMPUTED_VALUE"""),"Archaeologia Bulgarica 2, 1, 54-63. ISSN 1310-9537")</f>
        <v>Archaeologia Bulgarica 2, 1, 54-63. ISSN 1310-9537</v>
      </c>
      <c r="F5873" s="10"/>
      <c r="G5873" s="10"/>
      <c r="H5873" s="10"/>
      <c r="I5873" s="10"/>
      <c r="J5873" s="10"/>
      <c r="K5873" s="10"/>
      <c r="L5873" s="10"/>
      <c r="M5873" s="10"/>
      <c r="N5873" s="10"/>
      <c r="O5873" s="10"/>
      <c r="P5873" s="10"/>
      <c r="Q5873" s="10"/>
      <c r="R5873" s="10"/>
      <c r="S5873" s="10"/>
      <c r="T5873" s="10"/>
      <c r="U5873" s="10"/>
      <c r="V5873" s="10"/>
      <c r="W5873" s="10"/>
      <c r="X5873" s="10"/>
      <c r="Y5873" s="10"/>
      <c r="Z5873" s="10"/>
    </row>
    <row r="5874" spans="1:26" ht="12.75">
      <c r="A5874" s="10" t="str">
        <f ca="1">IFERROR(__xludf.DUMMYFUNCTION("""COMPUTED_VALUE"""),"Нарцис Цветанов Торбов")</f>
        <v>Нарцис Цветанов Торбов</v>
      </c>
      <c r="B5874" s="10" t="str">
        <f ca="1">IFERROR(__xludf.DUMMYFUNCTION("""COMPUTED_VALUE"""),"Статия в списания и поредици")</f>
        <v>Статия в списания и поредици</v>
      </c>
      <c r="C5874" s="10" t="str">
        <f ca="1">IFERROR(__xludf.DUMMYFUNCTION("""COMPUTED_VALUE"""),"Тракийски юзди от III в. пр. Хр. - I в., открити на територията на Северозападна България")</f>
        <v>Тракийски юзди от III в. пр. Хр. - I в., открити на територията на Северозападна България</v>
      </c>
      <c r="D5874" s="10">
        <f ca="1">IFERROR(__xludf.DUMMYFUNCTION("""COMPUTED_VALUE"""),1998)</f>
        <v>1998</v>
      </c>
      <c r="E5874" s="10" t="str">
        <f ca="1">IFERROR(__xludf.DUMMYFUNCTION("""COMPUTED_VALUE"""),"Известия на музеите в Северозападна България 26. Враца., Исторически музей-Враца, 11-43.
 ISBN 0204-4013")</f>
        <v>Известия на музеите в Северозападна България 26. Враца., Исторически музей-Враца, 11-43.
 ISBN 0204-4013</v>
      </c>
      <c r="F5874" s="10"/>
      <c r="G5874" s="10"/>
      <c r="H5874" s="10"/>
      <c r="I5874" s="10"/>
      <c r="J5874" s="10"/>
      <c r="K5874" s="10"/>
      <c r="L5874" s="10"/>
      <c r="M5874" s="10"/>
      <c r="N5874" s="10"/>
      <c r="O5874" s="10"/>
      <c r="P5874" s="10"/>
      <c r="Q5874" s="10"/>
      <c r="R5874" s="10"/>
      <c r="S5874" s="10"/>
      <c r="T5874" s="10"/>
      <c r="U5874" s="10"/>
      <c r="V5874" s="10"/>
      <c r="W5874" s="10"/>
      <c r="X5874" s="10"/>
      <c r="Y5874" s="10"/>
      <c r="Z5874" s="10"/>
    </row>
    <row r="5875" spans="1:26" ht="12.75">
      <c r="A5875" s="10" t="str">
        <f ca="1">IFERROR(__xludf.DUMMYFUNCTION("""COMPUTED_VALUE"""),"Нарцис Цветанов Торбов")</f>
        <v>Нарцис Цветанов Торбов</v>
      </c>
      <c r="B5875" s="10" t="str">
        <f ca="1">IFERROR(__xludf.DUMMYFUNCTION("""COMPUTED_VALUE"""),"Статия в списания и поредици")</f>
        <v>Статия в списания и поредици</v>
      </c>
      <c r="C5875" s="10" t="str">
        <f ca="1">IFERROR(__xludf.DUMMYFUNCTION("""COMPUTED_VALUE"""),"Криви тракийски ножове от III в. пр. Хр. - I в., открити в Северозападна България.")</f>
        <v>Криви тракийски ножове от III в. пр. Хр. - I в., открити в Северозападна България.</v>
      </c>
      <c r="D5875" s="10">
        <f ca="1">IFERROR(__xludf.DUMMYFUNCTION("""COMPUTED_VALUE"""),1997)</f>
        <v>1997</v>
      </c>
      <c r="E5875" s="10" t="str">
        <f ca="1">IFERROR(__xludf.DUMMYFUNCTION("""COMPUTED_VALUE"""),"Известия на музеите в Северозападна България 25. Враца., Исторически музей-Враца, 15-46. ISBN 0204-4013")</f>
        <v>Известия на музеите в Северозападна България 25. Враца., Исторически музей-Враца, 15-46. ISBN 0204-4013</v>
      </c>
      <c r="F5875" s="10"/>
      <c r="G5875" s="10"/>
      <c r="H5875" s="10"/>
      <c r="I5875" s="10"/>
      <c r="J5875" s="10"/>
      <c r="K5875" s="10"/>
      <c r="L5875" s="10"/>
      <c r="M5875" s="10"/>
      <c r="N5875" s="10"/>
      <c r="O5875" s="10"/>
      <c r="P5875" s="10"/>
      <c r="Q5875" s="10"/>
      <c r="R5875" s="10"/>
      <c r="S5875" s="10"/>
      <c r="T5875" s="10"/>
      <c r="U5875" s="10"/>
      <c r="V5875" s="10"/>
      <c r="W5875" s="10"/>
      <c r="X5875" s="10"/>
      <c r="Y5875" s="10"/>
      <c r="Z5875" s="10"/>
    </row>
    <row r="5876" spans="1:26" ht="12.75">
      <c r="A5876" s="10" t="str">
        <f ca="1">IFERROR(__xludf.DUMMYFUNCTION("""COMPUTED_VALUE"""),"Нарцис Цветанов Торбов")</f>
        <v>Нарцис Цветанов Торбов</v>
      </c>
      <c r="B5876" s="10" t="str">
        <f ca="1">IFERROR(__xludf.DUMMYFUNCTION("""COMPUTED_VALUE"""),"Статия в списания и поредици")</f>
        <v>Статия в списания и поредици</v>
      </c>
      <c r="C5876" s="10" t="str">
        <f ca="1">IFERROR(__xludf.DUMMYFUNCTION("""COMPUTED_VALUE"""),"Тракийски могили от късноелинистическата епоха при Търнава, Белослатинско")</f>
        <v>Тракийски могили от късноелинистическата епоха при Търнава, Белослатинско</v>
      </c>
      <c r="D5876" s="10">
        <f ca="1">IFERROR(__xludf.DUMMYFUNCTION("""COMPUTED_VALUE"""),1995)</f>
        <v>1995</v>
      </c>
      <c r="E5876" s="10" t="str">
        <f ca="1">IFERROR(__xludf.DUMMYFUNCTION("""COMPUTED_VALUE"""),"Известия на музеите в Северозападна България 23. Враца., Исторически музей-Враца, 11-58.
 ISBN 0204-4013")</f>
        <v>Известия на музеите в Северозападна България 23. Враца., Исторически музей-Враца, 11-58.
 ISBN 0204-4013</v>
      </c>
      <c r="F5876" s="10"/>
      <c r="G5876" s="10" t="str">
        <f ca="1">IFERROR(__xludf.DUMMYFUNCTION("""COMPUTED_VALUE"""),"Теодосиев, Н.")</f>
        <v>Теодосиев, Н.</v>
      </c>
      <c r="H5876" s="10"/>
      <c r="I5876" s="10"/>
      <c r="J5876" s="10"/>
      <c r="K5876" s="10"/>
      <c r="L5876" s="10"/>
      <c r="M5876" s="10"/>
      <c r="N5876" s="10"/>
      <c r="O5876" s="10"/>
      <c r="P5876" s="10"/>
      <c r="Q5876" s="10"/>
      <c r="R5876" s="10"/>
      <c r="S5876" s="10"/>
      <c r="T5876" s="10"/>
      <c r="U5876" s="10"/>
      <c r="V5876" s="10"/>
      <c r="W5876" s="10"/>
      <c r="X5876" s="10"/>
      <c r="Y5876" s="10"/>
      <c r="Z5876" s="10"/>
    </row>
    <row r="5877" spans="1:26" ht="12.75">
      <c r="A5877" s="10" t="str">
        <f ca="1">IFERROR(__xludf.DUMMYFUNCTION("""COMPUTED_VALUE"""),"Нарцис Цветанов Торбов")</f>
        <v>Нарцис Цветанов Торбов</v>
      </c>
      <c r="B5877" s="10" t="str">
        <f ca="1">IFERROR(__xludf.DUMMYFUNCTION("""COMPUTED_VALUE"""),"Статия в списания и поредици")</f>
        <v>Статия в списания и поредици</v>
      </c>
      <c r="C5877" s="10" t="str">
        <f ca="1">IFERROR(__xludf.DUMMYFUNCTION("""COMPUTED_VALUE"""),"Тракийски материали от околностите на Мездра.")</f>
        <v>Тракийски материали от околностите на Мездра.</v>
      </c>
      <c r="D5877" s="10">
        <f ca="1">IFERROR(__xludf.DUMMYFUNCTION("""COMPUTED_VALUE"""),1995)</f>
        <v>1995</v>
      </c>
      <c r="E5877" s="10" t="str">
        <f ca="1">IFERROR(__xludf.DUMMYFUNCTION("""COMPUTED_VALUE"""),"Анали 2, 3-4. София., ARNO&amp; ANALI Co Publishers, 46-53.
 ISBN 0861-3095")</f>
        <v>Анали 2, 3-4. София., ARNO&amp; ANALI Co Publishers, 46-53.
 ISBN 0861-3095</v>
      </c>
      <c r="F5877" s="10"/>
      <c r="G5877" s="10" t="str">
        <f ca="1">IFERROR(__xludf.DUMMYFUNCTION("""COMPUTED_VALUE"""),"Е.Паунов")</f>
        <v>Е.Паунов</v>
      </c>
      <c r="H5877" s="10"/>
      <c r="I5877" s="10"/>
      <c r="J5877" s="10"/>
      <c r="K5877" s="10"/>
      <c r="L5877" s="10"/>
      <c r="M5877" s="10"/>
      <c r="N5877" s="10"/>
      <c r="O5877" s="10"/>
      <c r="P5877" s="10"/>
      <c r="Q5877" s="10"/>
      <c r="R5877" s="10"/>
      <c r="S5877" s="10"/>
      <c r="T5877" s="10"/>
      <c r="U5877" s="10"/>
      <c r="V5877" s="10"/>
      <c r="W5877" s="10"/>
      <c r="X5877" s="10"/>
      <c r="Y5877" s="10"/>
      <c r="Z5877" s="10"/>
    </row>
    <row r="5878" spans="1:26" ht="12.75">
      <c r="A5878" s="10" t="str">
        <f ca="1">IFERROR(__xludf.DUMMYFUNCTION("""COMPUTED_VALUE"""),"Нарцис Цветанов Торбов")</f>
        <v>Нарцис Цветанов Торбов</v>
      </c>
      <c r="B5878" s="10" t="str">
        <f ca="1">IFERROR(__xludf.DUMMYFUNCTION("""COMPUTED_VALUE"""),"Статия в списания и поредици")</f>
        <v>Статия в списания и поредици</v>
      </c>
      <c r="C5878" s="10" t="str">
        <f ca="1">IFERROR(__xludf.DUMMYFUNCTION("""COMPUTED_VALUE"""),"Тракийски находки от Врачанско")</f>
        <v>Тракийски находки от Врачанско</v>
      </c>
      <c r="D5878" s="10">
        <f ca="1">IFERROR(__xludf.DUMMYFUNCTION("""COMPUTED_VALUE"""),1993)</f>
        <v>1993</v>
      </c>
      <c r="E5878" s="10" t="str">
        <f ca="1">IFERROR(__xludf.DUMMYFUNCTION("""COMPUTED_VALUE"""),"Известия на музеите в Северозападна България 21. Враца., Исторически музей-Враца, 27-45.
 ISBN 0204-4013")</f>
        <v>Известия на музеите в Северозападна България 21. Враца., Исторически музей-Враца, 27-45.
 ISBN 0204-4013</v>
      </c>
      <c r="F5878" s="10"/>
      <c r="G5878" s="10"/>
      <c r="H5878" s="10"/>
      <c r="I5878" s="10"/>
      <c r="J5878" s="10"/>
      <c r="K5878" s="10"/>
      <c r="L5878" s="10"/>
      <c r="M5878" s="10"/>
      <c r="N5878" s="10"/>
      <c r="O5878" s="10"/>
      <c r="P5878" s="10"/>
      <c r="Q5878" s="10"/>
      <c r="R5878" s="10"/>
      <c r="S5878" s="10"/>
      <c r="T5878" s="10"/>
      <c r="U5878" s="10"/>
      <c r="V5878" s="10"/>
      <c r="W5878" s="10"/>
      <c r="X5878" s="10"/>
      <c r="Y5878" s="10"/>
      <c r="Z5878" s="10"/>
    </row>
    <row r="5879" spans="1:26" ht="12.75">
      <c r="A5879" s="10" t="str">
        <f ca="1">IFERROR(__xludf.DUMMYFUNCTION("""COMPUTED_VALUE"""),"Нели Тодорова Костова")</f>
        <v>Нели Тодорова Костова</v>
      </c>
      <c r="B5879" s="10" t="str">
        <f ca="1">IFERROR(__xludf.DUMMYFUNCTION("""COMPUTED_VALUE"""),"Книга")</f>
        <v>Книга</v>
      </c>
      <c r="C5879" s="10" t="str">
        <f ca="1">IFERROR(__xludf.DUMMYFUNCTION("""COMPUTED_VALUE"""),"Димитър Иванов, Биобиблиография")</f>
        <v>Димитър Иванов, Биобиблиография</v>
      </c>
      <c r="D5879" s="10">
        <f ca="1">IFERROR(__xludf.DUMMYFUNCTION("""COMPUTED_VALUE"""),2016)</f>
        <v>2016</v>
      </c>
      <c r="E5879" s="10" t="str">
        <f ca="1">IFERROR(__xludf.DUMMYFUNCTION("""COMPUTED_VALUE"""),"София: За буквите-О писменехь,2014.-298 с., ISBN 978-619-185-229-1")</f>
        <v>София: За буквите-О писменехь,2014.-298 с., ISBN 978-619-185-229-1</v>
      </c>
      <c r="F5879" s="10"/>
      <c r="G5879" s="10"/>
      <c r="H5879" s="10"/>
      <c r="I5879" s="10"/>
      <c r="J5879" s="10"/>
      <c r="K5879" s="10"/>
      <c r="L5879" s="10"/>
      <c r="M5879" s="10"/>
      <c r="N5879" s="10"/>
      <c r="O5879" s="10"/>
      <c r="P5879" s="10"/>
      <c r="Q5879" s="10"/>
      <c r="R5879" s="10"/>
      <c r="S5879" s="10"/>
      <c r="T5879" s="10"/>
      <c r="U5879" s="10"/>
      <c r="V5879" s="10"/>
      <c r="W5879" s="10"/>
      <c r="X5879" s="10"/>
      <c r="Y5879" s="10"/>
      <c r="Z5879" s="10"/>
    </row>
    <row r="5880" spans="1:26" ht="12.75">
      <c r="A5880" s="10" t="str">
        <f ca="1">IFERROR(__xludf.DUMMYFUNCTION("""COMPUTED_VALUE"""),"Нели Тодорова Костова")</f>
        <v>Нели Тодорова Костова</v>
      </c>
      <c r="B5880" s="10" t="str">
        <f ca="1">IFERROR(__xludf.DUMMYFUNCTION("""COMPUTED_VALUE"""),"Статия в списания и поредици")</f>
        <v>Статия в списания и поредици</v>
      </c>
      <c r="C5880" s="10" t="str">
        <f ca="1">IFERROR(__xludf.DUMMYFUNCTION("""COMPUTED_VALUE"""),"Френските корени на документалистиката")</f>
        <v>Френските корени на документалистиката</v>
      </c>
      <c r="D5880" s="10">
        <f ca="1">IFERROR(__xludf.DUMMYFUNCTION("""COMPUTED_VALUE"""),2015)</f>
        <v>2015</v>
      </c>
      <c r="E5880" s="10" t="str">
        <f ca="1">IFERROR(__xludf.DUMMYFUNCTION("""COMPUTED_VALUE"""),"Съвременни измерения на европейското образователно и научно пространство. - ISSN 2367-7988. - Т. 2 (2015), с. 185-188.")</f>
        <v>Съвременни измерения на европейското образователно и научно пространство. - ISSN 2367-7988. - Т. 2 (2015), с. 185-188.</v>
      </c>
      <c r="F5880" s="10"/>
      <c r="G5880" s="10"/>
      <c r="H5880" s="10"/>
      <c r="I5880" s="10"/>
      <c r="J5880" s="10"/>
      <c r="K5880" s="10"/>
      <c r="L5880" s="10"/>
      <c r="M5880" s="10"/>
      <c r="N5880" s="10"/>
      <c r="O5880" s="10"/>
      <c r="P5880" s="10"/>
      <c r="Q5880" s="10"/>
      <c r="R5880" s="10"/>
      <c r="S5880" s="10"/>
      <c r="T5880" s="10"/>
      <c r="U5880" s="10"/>
      <c r="V5880" s="10"/>
      <c r="W5880" s="10"/>
      <c r="X5880" s="10"/>
      <c r="Y5880" s="10"/>
      <c r="Z5880" s="10"/>
    </row>
    <row r="5881" spans="1:26" ht="12.75">
      <c r="A5881" s="10" t="str">
        <f ca="1">IFERROR(__xludf.DUMMYFUNCTION("""COMPUTED_VALUE"""),"Нели Тодорова Костова")</f>
        <v>Нели Тодорова Костова</v>
      </c>
      <c r="B5881" s="10" t="str">
        <f ca="1">IFERROR(__xludf.DUMMYFUNCTION("""COMPUTED_VALUE"""),"Статия в списания и поредици")</f>
        <v>Статия в списания и поредици</v>
      </c>
      <c r="C5881" s="10" t="str">
        <f ca="1">IFERROR(__xludf.DUMMYFUNCTION("""COMPUTED_VALUE"""),"Библиотеката: еволюция на мисията й")</f>
        <v>Библиотеката: еволюция на мисията й</v>
      </c>
      <c r="D5881" s="10">
        <f ca="1">IFERROR(__xludf.DUMMYFUNCTION("""COMPUTED_VALUE"""),2015)</f>
        <v>2015</v>
      </c>
      <c r="E5881" s="10" t="str">
        <f ca="1">IFERROR(__xludf.DUMMYFUNCTION("""COMPUTED_VALUE"""),"Съвременни измерения на европейското образователно и научно пространство. - ISSN 2367-7988. - Т. 1 (2015), с. 45-50.")</f>
        <v>Съвременни измерения на европейското образователно и научно пространство. - ISSN 2367-7988. - Т. 1 (2015), с. 45-50.</v>
      </c>
      <c r="F5881" s="10"/>
      <c r="G5881" s="10"/>
      <c r="H5881" s="10"/>
      <c r="I5881" s="10"/>
      <c r="J5881" s="10"/>
      <c r="K5881" s="10"/>
      <c r="L5881" s="10"/>
      <c r="M5881" s="10"/>
      <c r="N5881" s="10"/>
      <c r="O5881" s="10"/>
      <c r="P5881" s="10"/>
      <c r="Q5881" s="10"/>
      <c r="R5881" s="10"/>
      <c r="S5881" s="10"/>
      <c r="T5881" s="10"/>
      <c r="U5881" s="10"/>
      <c r="V5881" s="10"/>
      <c r="W5881" s="10"/>
      <c r="X5881" s="10"/>
      <c r="Y5881" s="10"/>
      <c r="Z5881" s="10"/>
    </row>
    <row r="5882" spans="1:26" ht="12.75">
      <c r="A5882" s="10" t="str">
        <f ca="1">IFERROR(__xludf.DUMMYFUNCTION("""COMPUTED_VALUE"""),"Нели Тодорова Костова")</f>
        <v>Нели Тодорова Костова</v>
      </c>
      <c r="B5882" s="10" t="str">
        <f ca="1">IFERROR(__xludf.DUMMYFUNCTION("""COMPUTED_VALUE"""),"Статия в списания и поредици")</f>
        <v>Статия в списания и поредици</v>
      </c>
      <c r="C5882" s="10" t="str">
        <f ca="1">IFERROR(__xludf.DUMMYFUNCTION("""COMPUTED_VALUE"""),"Щрихи към имиджа на библиотекаря")</f>
        <v>Щрихи към имиджа на библиотекаря</v>
      </c>
      <c r="D5882" s="10">
        <f ca="1">IFERROR(__xludf.DUMMYFUNCTION("""COMPUTED_VALUE"""),2015)</f>
        <v>2015</v>
      </c>
      <c r="E5882" s="10" t="str">
        <f ca="1">IFERROR(__xludf.DUMMYFUNCTION("""COMPUTED_VALUE"""),"Съвременни измерения на европейското образователно и научно пространство. - ISSN 2367-7988. - Т. 3 (2015), с. 221-229. (Библиогр.: с. 228-229)")</f>
        <v>Съвременни измерения на европейското образователно и научно пространство. - ISSN 2367-7988. - Т. 3 (2015), с. 221-229. (Библиогр.: с. 228-229)</v>
      </c>
      <c r="F5882" s="10"/>
      <c r="G5882" s="10"/>
      <c r="H5882" s="10"/>
      <c r="I5882" s="10"/>
      <c r="J5882" s="10"/>
      <c r="K5882" s="10"/>
      <c r="L5882" s="10"/>
      <c r="M5882" s="10"/>
      <c r="N5882" s="10"/>
      <c r="O5882" s="10"/>
      <c r="P5882" s="10"/>
      <c r="Q5882" s="10"/>
      <c r="R5882" s="10"/>
      <c r="S5882" s="10"/>
      <c r="T5882" s="10"/>
      <c r="U5882" s="10"/>
      <c r="V5882" s="10"/>
      <c r="W5882" s="10"/>
      <c r="X5882" s="10"/>
      <c r="Y5882" s="10"/>
      <c r="Z5882" s="10"/>
    </row>
    <row r="5883" spans="1:26" ht="12.75">
      <c r="A5883" s="10" t="str">
        <f ca="1">IFERROR(__xludf.DUMMYFUNCTION("""COMPUTED_VALUE"""),"Нели Тодорова Костова")</f>
        <v>Нели Тодорова Костова</v>
      </c>
      <c r="B5883" s="10" t="str">
        <f ca="1">IFERROR(__xludf.DUMMYFUNCTION("""COMPUTED_VALUE"""),"Статия в списания и поредици")</f>
        <v>Статия в списания и поредици</v>
      </c>
      <c r="C5883" s="10" t="str">
        <f ca="1">IFERROR(__xludf.DUMMYFUNCTION("""COMPUTED_VALUE"""),"Библиографските изследвания и българската наука")</f>
        <v>Библиографските изследвания и българската наука</v>
      </c>
      <c r="D5883" s="10">
        <f ca="1">IFERROR(__xludf.DUMMYFUNCTION("""COMPUTED_VALUE"""),2015)</f>
        <v>2015</v>
      </c>
      <c r="E5883" s="10" t="str">
        <f ca="1">IFERROR(__xludf.DUMMYFUNCTION("""COMPUTED_VALUE"""),"Съвременни измерения на европейското образователно и научно пространство. - ISSN 2367-7988. - Т. 1 (2015), с. 306-309.")</f>
        <v>Съвременни измерения на европейското образователно и научно пространство. - ISSN 2367-7988. - Т. 1 (2015), с. 306-309.</v>
      </c>
      <c r="F5883" s="10"/>
      <c r="G5883" s="10"/>
      <c r="H5883" s="10"/>
      <c r="I5883" s="10"/>
      <c r="J5883" s="10"/>
      <c r="K5883" s="10"/>
      <c r="L5883" s="10"/>
      <c r="M5883" s="10"/>
      <c r="N5883" s="10"/>
      <c r="O5883" s="10"/>
      <c r="P5883" s="10"/>
      <c r="Q5883" s="10"/>
      <c r="R5883" s="10"/>
      <c r="S5883" s="10"/>
      <c r="T5883" s="10"/>
      <c r="U5883" s="10"/>
      <c r="V5883" s="10"/>
      <c r="W5883" s="10"/>
      <c r="X5883" s="10"/>
      <c r="Y5883" s="10"/>
      <c r="Z5883" s="10"/>
    </row>
    <row r="5884" spans="1:26" ht="12.75">
      <c r="A5884" s="10" t="str">
        <f ca="1">IFERROR(__xludf.DUMMYFUNCTION("""COMPUTED_VALUE"""),"Нели Тодорова Костова")</f>
        <v>Нели Тодорова Костова</v>
      </c>
      <c r="B5884" s="10" t="str">
        <f ca="1">IFERROR(__xludf.DUMMYFUNCTION("""COMPUTED_VALUE"""),"Монография")</f>
        <v>Монография</v>
      </c>
      <c r="C5884" s="10" t="str">
        <f ca="1">IFERROR(__xludf.DUMMYFUNCTION("""COMPUTED_VALUE"""),"Там, дето знаньето живей. Библиотеката като културен феномен")</f>
        <v>Там, дето знаньето живей. Библиотеката като културен феномен</v>
      </c>
      <c r="D5884" s="10">
        <f ca="1">IFERROR(__xludf.DUMMYFUNCTION("""COMPUTED_VALUE"""),2014)</f>
        <v>2014</v>
      </c>
      <c r="E5884" s="10" t="str">
        <f ca="1">IFERROR(__xludf.DUMMYFUNCTION("""COMPUTED_VALUE"""),"За буквите - О писменехь, 2014.- 285 с., ISBN 978-619-185-003-7")</f>
        <v>За буквите - О писменехь, 2014.- 285 с., ISBN 978-619-185-003-7</v>
      </c>
      <c r="F5884" s="10"/>
      <c r="G5884" s="10"/>
      <c r="H5884" s="10"/>
      <c r="I5884" s="10"/>
      <c r="J5884" s="10"/>
      <c r="K5884" s="10"/>
      <c r="L5884" s="10"/>
      <c r="M5884" s="10"/>
      <c r="N5884" s="10"/>
      <c r="O5884" s="10"/>
      <c r="P5884" s="10"/>
      <c r="Q5884" s="10"/>
      <c r="R5884" s="10"/>
      <c r="S5884" s="10"/>
      <c r="T5884" s="10"/>
      <c r="U5884" s="10"/>
      <c r="V5884" s="10"/>
      <c r="W5884" s="10"/>
      <c r="X5884" s="10"/>
      <c r="Y5884" s="10"/>
      <c r="Z5884" s="10"/>
    </row>
    <row r="5885" spans="1:26" ht="12.75">
      <c r="A5885" s="10" t="str">
        <f ca="1">IFERROR(__xludf.DUMMYFUNCTION("""COMPUTED_VALUE"""),"Нели Тодорова Костова")</f>
        <v>Нели Тодорова Костова</v>
      </c>
      <c r="B5885" s="10" t="str">
        <f ca="1">IFERROR(__xludf.DUMMYFUNCTION("""COMPUTED_VALUE"""),"Монография")</f>
        <v>Монография</v>
      </c>
      <c r="C5885" s="10" t="str">
        <f ca="1">IFERROR(__xludf.DUMMYFUNCTION("""COMPUTED_VALUE"""),"Управление на знанието в библиотеката")</f>
        <v>Управление на знанието в библиотеката</v>
      </c>
      <c r="D5885" s="10">
        <f ca="1">IFERROR(__xludf.DUMMYFUNCTION("""COMPUTED_VALUE"""),2014)</f>
        <v>2014</v>
      </c>
      <c r="E5885" s="10" t="str">
        <f ca="1">IFERROR(__xludf.DUMMYFUNCTION("""COMPUTED_VALUE"""),"София: За буквите - О писменехь, 2014, 288 с. ISBN 978-619-185-082-2")</f>
        <v>София: За буквите - О писменехь, 2014, 288 с. ISBN 978-619-185-082-2</v>
      </c>
      <c r="F5885" s="10"/>
      <c r="G5885" s="10"/>
      <c r="H5885" s="10"/>
      <c r="I5885" s="10"/>
      <c r="J5885" s="10"/>
      <c r="K5885" s="10"/>
      <c r="L5885" s="10"/>
      <c r="M5885" s="10"/>
      <c r="N5885" s="10"/>
      <c r="O5885" s="10"/>
      <c r="P5885" s="10"/>
      <c r="Q5885" s="10"/>
      <c r="R5885" s="10"/>
      <c r="S5885" s="10"/>
      <c r="T5885" s="10"/>
      <c r="U5885" s="10"/>
      <c r="V5885" s="10"/>
      <c r="W5885" s="10"/>
      <c r="X5885" s="10"/>
      <c r="Y5885" s="10"/>
      <c r="Z5885" s="10"/>
    </row>
    <row r="5886" spans="1:26" ht="12.75">
      <c r="A5886" s="10" t="str">
        <f ca="1">IFERROR(__xludf.DUMMYFUNCTION("""COMPUTED_VALUE"""),"Нели Тодорова Костова")</f>
        <v>Нели Тодорова Костова</v>
      </c>
      <c r="B5886" s="10" t="str">
        <f ca="1">IFERROR(__xludf.DUMMYFUNCTION("""COMPUTED_VALUE"""),"Статия в списания и поредици")</f>
        <v>Статия в списания и поредици</v>
      </c>
      <c r="C5886" s="10" t="str">
        <f ca="1">IFERROR(__xludf.DUMMYFUNCTION("""COMPUTED_VALUE"""),"Профессиональное обучение библиотечных специалистов Болгарии")</f>
        <v>Профессиональное обучение библиотечных специалистов Болгарии</v>
      </c>
      <c r="D5886" s="10">
        <f ca="1">IFERROR(__xludf.DUMMYFUNCTION("""COMPUTED_VALUE"""),2014)</f>
        <v>2014</v>
      </c>
      <c r="E5886" s="10" t="str">
        <f ca="1">IFERROR(__xludf.DUMMYFUNCTION("""COMPUTED_VALUE"""),"Динамика систем, механизмов и машин, 2014, № 5, с.53-55. ISSN 2310-9793")</f>
        <v>Динамика систем, механизмов и машин, 2014, № 5, с.53-55. ISSN 2310-9793</v>
      </c>
      <c r="F5886" s="28" t="str">
        <f ca="1">IFERROR(__xludf.DUMMYFUNCTION("""COMPUTED_VALUE"""),"http://dinamika.omgtu.ru/images/stories/content2/dinamika_tom5.pdf")</f>
        <v>http://dinamika.omgtu.ru/images/stories/content2/dinamika_tom5.pdf</v>
      </c>
      <c r="G5886" s="10" t="str">
        <f ca="1">IFERROR(__xludf.DUMMYFUNCTION("""COMPUTED_VALUE"""),"Валентина Славчева")</f>
        <v>Валентина Славчева</v>
      </c>
      <c r="H5886" s="10"/>
      <c r="I5886" s="10"/>
      <c r="J5886" s="10"/>
      <c r="K5886" s="10"/>
      <c r="L5886" s="10"/>
      <c r="M5886" s="10"/>
      <c r="N5886" s="10"/>
      <c r="O5886" s="10"/>
      <c r="P5886" s="10"/>
      <c r="Q5886" s="10"/>
      <c r="R5886" s="10"/>
      <c r="S5886" s="10"/>
      <c r="T5886" s="10"/>
      <c r="U5886" s="10"/>
      <c r="V5886" s="10"/>
      <c r="W5886" s="10"/>
      <c r="X5886" s="10"/>
      <c r="Y5886" s="10"/>
      <c r="Z5886" s="10"/>
    </row>
    <row r="5887" spans="1:26" ht="12.75">
      <c r="A5887" s="10" t="str">
        <f ca="1">IFERROR(__xludf.DUMMYFUNCTION("""COMPUTED_VALUE"""),"Нели Тодорова Костова")</f>
        <v>Нели Тодорова Костова</v>
      </c>
      <c r="B5887" s="10" t="str">
        <f ca="1">IFERROR(__xludf.DUMMYFUNCTION("""COMPUTED_VALUE"""),"Статия в списания и поредици")</f>
        <v>Статия в списания и поредици</v>
      </c>
      <c r="C5887" s="10" t="str">
        <f ca="1">IFERROR(__xludf.DUMMYFUNCTION("""COMPUTED_VALUE"""),"Преводи на произведенията на Николай Хайтов")</f>
        <v>Преводи на произведенията на Николай Хайтов</v>
      </c>
      <c r="D5887" s="10">
        <f ca="1">IFERROR(__xludf.DUMMYFUNCTION("""COMPUTED_VALUE"""),2013)</f>
        <v>2013</v>
      </c>
      <c r="E5887" s="10" t="str">
        <f ca="1">IFERROR(__xludf.DUMMYFUNCTION("""COMPUTED_VALUE"""),"Гражданската съвест на Николай Хайтов: Трета нац. конференция за творчеството на писателя 2012 г. – София:Зов комерс,2013. – с.124-129.")</f>
        <v>Гражданската съвест на Николай Хайтов: Трета нац. конференция за творчеството на писателя 2012 г. – София:Зов комерс,2013. – с.124-129.</v>
      </c>
      <c r="F5887" s="10"/>
      <c r="G5887" s="10"/>
      <c r="H5887" s="10"/>
      <c r="I5887" s="10"/>
      <c r="J5887" s="10"/>
      <c r="K5887" s="10"/>
      <c r="L5887" s="10"/>
      <c r="M5887" s="10"/>
      <c r="N5887" s="10"/>
      <c r="O5887" s="10"/>
      <c r="P5887" s="10"/>
      <c r="Q5887" s="10"/>
      <c r="R5887" s="10"/>
      <c r="S5887" s="10"/>
      <c r="T5887" s="10"/>
      <c r="U5887" s="10"/>
      <c r="V5887" s="10"/>
      <c r="W5887" s="10"/>
      <c r="X5887" s="10"/>
      <c r="Y5887" s="10"/>
      <c r="Z5887" s="10"/>
    </row>
    <row r="5888" spans="1:26" ht="12.75">
      <c r="A5888" s="10" t="str">
        <f ca="1">IFERROR(__xludf.DUMMYFUNCTION("""COMPUTED_VALUE"""),"Нели Тодорова Костова")</f>
        <v>Нели Тодорова Костова</v>
      </c>
      <c r="B5888" s="10" t="str">
        <f ca="1">IFERROR(__xludf.DUMMYFUNCTION("""COMPUTED_VALUE"""),"Статия в списания и поредици")</f>
        <v>Статия в списания и поредици</v>
      </c>
      <c r="C5888" s="10" t="str">
        <f ca="1">IFERROR(__xludf.DUMMYFUNCTION("""COMPUTED_VALUE"""),"Обучението по библиотечни науки в УниБИТ")</f>
        <v>Обучението по библиотечни науки в УниБИТ</v>
      </c>
      <c r="D5888" s="10">
        <f ca="1">IFERROR(__xludf.DUMMYFUNCTION("""COMPUTED_VALUE"""),2013)</f>
        <v>2013</v>
      </c>
      <c r="E5888" s="10" t="str">
        <f ca="1">IFERROR(__xludf.DUMMYFUNCTION("""COMPUTED_VALUE"""),"Нови информационни технологии в образователния процес. - ISSN 1313-2768. - 2013 (2014), с. 17-68.")</f>
        <v>Нови информационни технологии в образователния процес. - ISSN 1313-2768. - 2013 (2014), с. 17-68.</v>
      </c>
      <c r="F5888" s="10"/>
      <c r="G5888" s="10" t="str">
        <f ca="1">IFERROR(__xludf.DUMMYFUNCTION("""COMPUTED_VALUE"""),"Стоян Денчев")</f>
        <v>Стоян Денчев</v>
      </c>
      <c r="H5888" s="10"/>
      <c r="I5888" s="10"/>
      <c r="J5888" s="10"/>
      <c r="K5888" s="10"/>
      <c r="L5888" s="10"/>
      <c r="M5888" s="10"/>
      <c r="N5888" s="10"/>
      <c r="O5888" s="10"/>
      <c r="P5888" s="10"/>
      <c r="Q5888" s="10"/>
      <c r="R5888" s="10"/>
      <c r="S5888" s="10"/>
      <c r="T5888" s="10"/>
      <c r="U5888" s="10"/>
      <c r="V5888" s="10"/>
      <c r="W5888" s="10"/>
      <c r="X5888" s="10"/>
      <c r="Y5888" s="10"/>
      <c r="Z5888" s="10"/>
    </row>
    <row r="5889" spans="1:26" ht="12.75">
      <c r="A5889" s="10" t="str">
        <f ca="1">IFERROR(__xludf.DUMMYFUNCTION("""COMPUTED_VALUE"""),"Нели Тодорова Костова")</f>
        <v>Нели Тодорова Костова</v>
      </c>
      <c r="B5889" s="10" t="str">
        <f ca="1">IFERROR(__xludf.DUMMYFUNCTION("""COMPUTED_VALUE"""),"Книга")</f>
        <v>Книга</v>
      </c>
      <c r="C5889" s="10" t="str">
        <f ca="1">IFERROR(__xludf.DUMMYFUNCTION("""COMPUTED_VALUE"""),"Стоян Денчев // Председателите – родолюбци / Вера Бонева и др.")</f>
        <v>Стоян Денчев // Председателите – родолюбци / Вера Бонева и др.</v>
      </c>
      <c r="D5889" s="10">
        <f ca="1">IFERROR(__xludf.DUMMYFUNCTION("""COMPUTED_VALUE"""),2011)</f>
        <v>2011</v>
      </c>
      <c r="E5889" s="10" t="str">
        <f ca="1">IFERROR(__xludf.DUMMYFUNCTION("""COMPUTED_VALUE"""),"София: За буквите,2011. – с.208-226. ISBN 978-954-8887-88-5")</f>
        <v>София: За буквите,2011. – с.208-226. ISBN 978-954-8887-88-5</v>
      </c>
      <c r="F5889" s="10"/>
      <c r="G5889" s="10"/>
      <c r="H5889" s="10"/>
      <c r="I5889" s="10"/>
      <c r="J5889" s="10"/>
      <c r="K5889" s="10"/>
      <c r="L5889" s="10"/>
      <c r="M5889" s="10"/>
      <c r="N5889" s="10"/>
      <c r="O5889" s="10"/>
      <c r="P5889" s="10"/>
      <c r="Q5889" s="10"/>
      <c r="R5889" s="10"/>
      <c r="S5889" s="10"/>
      <c r="T5889" s="10"/>
      <c r="U5889" s="10"/>
      <c r="V5889" s="10"/>
      <c r="W5889" s="10"/>
      <c r="X5889" s="10"/>
      <c r="Y5889" s="10"/>
      <c r="Z5889" s="10"/>
    </row>
    <row r="5890" spans="1:26" ht="12.75">
      <c r="A5890" s="10" t="str">
        <f ca="1">IFERROR(__xludf.DUMMYFUNCTION("""COMPUTED_VALUE"""),"Нели Тодорова Костова")</f>
        <v>Нели Тодорова Костова</v>
      </c>
      <c r="B5890" s="10" t="str">
        <f ca="1">IFERROR(__xludf.DUMMYFUNCTION("""COMPUTED_VALUE"""),"Книга")</f>
        <v>Книга</v>
      </c>
      <c r="C5890" s="10" t="str">
        <f ca="1">IFERROR(__xludf.DUMMYFUNCTION("""COMPUTED_VALUE"""),"Найчо Анков // Председателите – родолюбци / Вера Бонева и др.")</f>
        <v>Найчо Анков // Председателите – родолюбци / Вера Бонева и др.</v>
      </c>
      <c r="D5890" s="10">
        <f ca="1">IFERROR(__xludf.DUMMYFUNCTION("""COMPUTED_VALUE"""),2011)</f>
        <v>2011</v>
      </c>
      <c r="E5890" s="10" t="str">
        <f ca="1">IFERROR(__xludf.DUMMYFUNCTION("""COMPUTED_VALUE"""),"София: За буквите,2011. – с.132-141. ISBN 978-954-8887-88-5")</f>
        <v>София: За буквите,2011. – с.132-141. ISBN 978-954-8887-88-5</v>
      </c>
      <c r="F5890" s="10"/>
      <c r="G5890" s="10"/>
      <c r="H5890" s="10"/>
      <c r="I5890" s="10"/>
      <c r="J5890" s="10"/>
      <c r="K5890" s="10"/>
      <c r="L5890" s="10"/>
      <c r="M5890" s="10"/>
      <c r="N5890" s="10"/>
      <c r="O5890" s="10"/>
      <c r="P5890" s="10"/>
      <c r="Q5890" s="10"/>
      <c r="R5890" s="10"/>
      <c r="S5890" s="10"/>
      <c r="T5890" s="10"/>
      <c r="U5890" s="10"/>
      <c r="V5890" s="10"/>
      <c r="W5890" s="10"/>
      <c r="X5890" s="10"/>
      <c r="Y5890" s="10"/>
      <c r="Z5890" s="10"/>
    </row>
    <row r="5891" spans="1:26" ht="12.75">
      <c r="A5891" s="10" t="str">
        <f ca="1">IFERROR(__xludf.DUMMYFUNCTION("""COMPUTED_VALUE"""),"Нели Тодорова Костова")</f>
        <v>Нели Тодорова Костова</v>
      </c>
      <c r="B5891" s="10" t="str">
        <f ca="1">IFERROR(__xludf.DUMMYFUNCTION("""COMPUTED_VALUE"""),"Учебник")</f>
        <v>Учебник</v>
      </c>
      <c r="C5891" s="10" t="str">
        <f ca="1">IFERROR(__xludf.DUMMYFUNCTION("""COMPUTED_VALUE"""),"Библиотеки и цензура : Учебник")</f>
        <v>Библиотеки и цензура : Учебник</v>
      </c>
      <c r="D5891" s="10">
        <f ca="1">IFERROR(__xludf.DUMMYFUNCTION("""COMPUTED_VALUE"""),2010)</f>
        <v>2010</v>
      </c>
      <c r="E5891" s="10" t="str">
        <f ca="1">IFERROR(__xludf.DUMMYFUNCTION("""COMPUTED_VALUE"""),"София: За буквите-О писменехь,2010. – 200 с. ISBN 978-954-8887-89-2")</f>
        <v>София: За буквите-О писменехь,2010. – 200 с. ISBN 978-954-8887-89-2</v>
      </c>
      <c r="F5891" s="10"/>
      <c r="G5891" s="10"/>
      <c r="H5891" s="10"/>
      <c r="I5891" s="10"/>
      <c r="J5891" s="10"/>
      <c r="K5891" s="10"/>
      <c r="L5891" s="10"/>
      <c r="M5891" s="10"/>
      <c r="N5891" s="10"/>
      <c r="O5891" s="10"/>
      <c r="P5891" s="10"/>
      <c r="Q5891" s="10"/>
      <c r="R5891" s="10"/>
      <c r="S5891" s="10"/>
      <c r="T5891" s="10"/>
      <c r="U5891" s="10"/>
      <c r="V5891" s="10"/>
      <c r="W5891" s="10"/>
      <c r="X5891" s="10"/>
      <c r="Y5891" s="10"/>
      <c r="Z5891" s="10"/>
    </row>
    <row r="5892" spans="1:26" ht="12.75">
      <c r="A5892" s="10" t="str">
        <f ca="1">IFERROR(__xludf.DUMMYFUNCTION("""COMPUTED_VALUE"""),"Нели Тодорова Костова")</f>
        <v>Нели Тодорова Костова</v>
      </c>
      <c r="B5892" s="10" t="str">
        <f ca="1">IFERROR(__xludf.DUMMYFUNCTION("""COMPUTED_VALUE"""),"Статия в списания и поредици")</f>
        <v>Статия в списания и поредици</v>
      </c>
      <c r="C5892" s="10" t="str">
        <f ca="1">IFERROR(__xludf.DUMMYFUNCTION("""COMPUTED_VALUE"""),"Указатели к книжным изданиям")</f>
        <v>Указатели к книжным изданиям</v>
      </c>
      <c r="D5892" s="10">
        <f ca="1">IFERROR(__xludf.DUMMYFUNCTION("""COMPUTED_VALUE"""),2010)</f>
        <v>2010</v>
      </c>
      <c r="E5892" s="10" t="str">
        <f ca="1">IFERROR(__xludf.DUMMYFUNCTION("""COMPUTED_VALUE"""),"Книжная культура: Опыт прошлого и проблемы современности: К 90-летию НИИ книговедения в Петрограде: Материалы международной научной конференции (Москва, 24-25 ноября 2010 г.) / отв. ред. В. И. Васильев; сост. В. И. Васильев, Д. Н. Бакун, М. А. Ермолаева, "&amp;"А. В. Николенко. – М.: Наука,2010. – 393 с. (с.180-186)")</f>
        <v>Книжная культура: Опыт прошлого и проблемы современности: К 90-летию НИИ книговедения в Петрограде: Материалы международной научной конференции (Москва, 24-25 ноября 2010 г.) / отв. ред. В. И. Васильев; сост. В. И. Васильев, Д. Н. Бакун, М. А. Ермолаева, А. В. Николенко. – М.: Наука,2010. – 393 с. (с.180-186)</v>
      </c>
      <c r="F5892" s="10"/>
      <c r="G5892" s="10"/>
      <c r="H5892" s="10"/>
      <c r="I5892" s="10"/>
      <c r="J5892" s="10"/>
      <c r="K5892" s="10"/>
      <c r="L5892" s="10"/>
      <c r="M5892" s="10"/>
      <c r="N5892" s="10"/>
      <c r="O5892" s="10"/>
      <c r="P5892" s="10"/>
      <c r="Q5892" s="10"/>
      <c r="R5892" s="10"/>
      <c r="S5892" s="10"/>
      <c r="T5892" s="10"/>
      <c r="U5892" s="10"/>
      <c r="V5892" s="10"/>
      <c r="W5892" s="10"/>
      <c r="X5892" s="10"/>
      <c r="Y5892" s="10"/>
      <c r="Z5892" s="10"/>
    </row>
    <row r="5893" spans="1:26" ht="12.75">
      <c r="A5893" s="10" t="str">
        <f ca="1">IFERROR(__xludf.DUMMYFUNCTION("""COMPUTED_VALUE"""),"Нели Тодорова Костова")</f>
        <v>Нели Тодорова Костова</v>
      </c>
      <c r="B5893" s="10" t="str">
        <f ca="1">IFERROR(__xludf.DUMMYFUNCTION("""COMPUTED_VALUE"""),"Книга")</f>
        <v>Книга</v>
      </c>
      <c r="C5893" s="10" t="str">
        <f ca="1">IFERROR(__xludf.DUMMYFUNCTION("""COMPUTED_VALUE"""),"Библиографията в структурата на науката: Изследване.")</f>
        <v>Библиографията в структурата на науката: Изследване.</v>
      </c>
      <c r="D5893" s="10">
        <f ca="1">IFERROR(__xludf.DUMMYFUNCTION("""COMPUTED_VALUE"""),2010)</f>
        <v>2010</v>
      </c>
      <c r="E5893" s="10" t="str">
        <f ca="1">IFERROR(__xludf.DUMMYFUNCTION("""COMPUTED_VALUE"""),"София: За буквите-О писменехь,2010. – 183 с. ISBN 978-954-8887-90-8")</f>
        <v>София: За буквите-О писменехь,2010. – 183 с. ISBN 978-954-8887-90-8</v>
      </c>
      <c r="F5893" s="10"/>
      <c r="G5893" s="10"/>
      <c r="H5893" s="10"/>
      <c r="I5893" s="10"/>
      <c r="J5893" s="10"/>
      <c r="K5893" s="10"/>
      <c r="L5893" s="10"/>
      <c r="M5893" s="10"/>
      <c r="N5893" s="10"/>
      <c r="O5893" s="10"/>
      <c r="P5893" s="10"/>
      <c r="Q5893" s="10"/>
      <c r="R5893" s="10"/>
      <c r="S5893" s="10"/>
      <c r="T5893" s="10"/>
      <c r="U5893" s="10"/>
      <c r="V5893" s="10"/>
      <c r="W5893" s="10"/>
      <c r="X5893" s="10"/>
      <c r="Y5893" s="10"/>
      <c r="Z5893" s="10"/>
    </row>
    <row r="5894" spans="1:26" ht="12.75">
      <c r="A5894" s="10" t="str">
        <f ca="1">IFERROR(__xludf.DUMMYFUNCTION("""COMPUTED_VALUE"""),"Нели Тодорова Костова")</f>
        <v>Нели Тодорова Костова</v>
      </c>
      <c r="B5894" s="10" t="str">
        <f ca="1">IFERROR(__xludf.DUMMYFUNCTION("""COMPUTED_VALUE"""),"Статия в списания и поредици")</f>
        <v>Статия в списания и поредици</v>
      </c>
      <c r="C5894" s="10" t="str">
        <f ca="1">IFERROR(__xludf.DUMMYFUNCTION("""COMPUTED_VALUE"""),"Йохан Волфганг Гьоте и промяната във взаимоотношенията между държавата, обществото и библиотеките")</f>
        <v>Йохан Волфганг Гьоте и промяната във взаимоотношенията между държавата, обществото и библиотеките</v>
      </c>
      <c r="D5894" s="10">
        <f ca="1">IFERROR(__xludf.DUMMYFUNCTION("""COMPUTED_VALUE"""),2010)</f>
        <v>2010</v>
      </c>
      <c r="E5894" s="10" t="str">
        <f ca="1">IFERROR(__xludf.DUMMYFUNCTION("""COMPUTED_VALUE"""),"Трудове на Специализираното висше училище по библиотекознание и информационни технологии. - ISSN 1312-5834. - Т. 8 (2010), с. 87-98. Наука, 2010, № 4, с. 51-56. ISSN 0861 3362 (печатно)")</f>
        <v>Трудове на Специализираното висше училище по библиотекознание и информационни технологии. - ISSN 1312-5834. - Т. 8 (2010), с. 87-98. Наука, 2010, № 4, с. 51-56. ISSN 0861 3362 (печатно)</v>
      </c>
      <c r="F5894" s="10"/>
      <c r="G5894" s="10"/>
      <c r="H5894" s="10"/>
      <c r="I5894" s="10"/>
      <c r="J5894" s="10"/>
      <c r="K5894" s="10"/>
      <c r="L5894" s="10"/>
      <c r="M5894" s="10"/>
      <c r="N5894" s="10"/>
      <c r="O5894" s="10"/>
      <c r="P5894" s="10"/>
      <c r="Q5894" s="10"/>
      <c r="R5894" s="10"/>
      <c r="S5894" s="10"/>
      <c r="T5894" s="10"/>
      <c r="U5894" s="10"/>
      <c r="V5894" s="10"/>
      <c r="W5894" s="10"/>
      <c r="X5894" s="10"/>
      <c r="Y5894" s="10"/>
      <c r="Z5894" s="10"/>
    </row>
    <row r="5895" spans="1:26" ht="12.75">
      <c r="A5895" s="10" t="str">
        <f ca="1">IFERROR(__xludf.DUMMYFUNCTION("""COMPUTED_VALUE"""),"Нели Тодорова Костова")</f>
        <v>Нели Тодорова Костова</v>
      </c>
      <c r="B5895" s="10" t="str">
        <f ca="1">IFERROR(__xludf.DUMMYFUNCTION("""COMPUTED_VALUE"""),"Учебник")</f>
        <v>Учебник</v>
      </c>
      <c r="C5895" s="10" t="str">
        <f ca="1">IFERROR(__xludf.DUMMYFUNCTION("""COMPUTED_VALUE"""),"Защита на културно-историческото наследство в Република България")</f>
        <v>Защита на културно-историческото наследство в Република България</v>
      </c>
      <c r="D5895" s="10">
        <f ca="1">IFERROR(__xludf.DUMMYFUNCTION("""COMPUTED_VALUE"""),2009)</f>
        <v>2009</v>
      </c>
      <c r="E5895" s="10" t="str">
        <f ca="1">IFERROR(__xludf.DUMMYFUNCTION("""COMPUTED_VALUE"""),"Дистанционно обучение : интегративна магистърска програма на СВУБИТ и Академията на МВР І семестър на учебната 2009/2010 година / [ред. Люба Василева, Светла Девкова]. - София : За буквите - О писменехь, 2009. - 342 с Имената на ред. отбелязани в изд. кар"&amp;"е. - Съдържа статии от: Александър Федотов, Стефан Симеонов, Иван Попов, Нели Костова, Александър Вълчев, Георги Петришки, Евгени Велев, Николай Палашев. - Пълното име на авт. Александър Вълчев е Александър Вълчев Георгиев. - Библиогр. след някои статии I"&amp;"SBN 978-954-8887-53-3")</f>
        <v>Дистанционно обучение : интегративна магистърска програма на СВУБИТ и Академията на МВР І семестър на учебната 2009/2010 година / [ред. Люба Василева, Светла Девкова]. - София : За буквите - О писменехь, 2009. - 342 с Имената на ред. отбелязани в изд. каре. - Съдържа статии от: Александър Федотов, Стефан Симеонов, Иван Попов, Нели Костова, Александър Вълчев, Георги Петришки, Евгени Велев, Николай Палашев. - Пълното име на авт. Александър Вълчев е Александър Вълчев Георгиев. - Библиогр. след някои статии ISBN 978-954-8887-53-3</v>
      </c>
      <c r="F5895" s="10"/>
      <c r="G5895" s="10"/>
      <c r="H5895" s="10"/>
      <c r="I5895" s="10"/>
      <c r="J5895" s="10"/>
      <c r="K5895" s="10"/>
      <c r="L5895" s="10"/>
      <c r="M5895" s="10"/>
      <c r="N5895" s="10"/>
      <c r="O5895" s="10"/>
      <c r="P5895" s="10"/>
      <c r="Q5895" s="10"/>
      <c r="R5895" s="10"/>
      <c r="S5895" s="10"/>
      <c r="T5895" s="10"/>
      <c r="U5895" s="10"/>
      <c r="V5895" s="10"/>
      <c r="W5895" s="10"/>
      <c r="X5895" s="10"/>
      <c r="Y5895" s="10"/>
      <c r="Z5895" s="10"/>
    </row>
    <row r="5896" spans="1:26" ht="12.75">
      <c r="A5896" s="10" t="str">
        <f ca="1">IFERROR(__xludf.DUMMYFUNCTION("""COMPUTED_VALUE"""),"Нели Тодорова Костова")</f>
        <v>Нели Тодорова Костова</v>
      </c>
      <c r="B5896" s="10" t="str">
        <f ca="1">IFERROR(__xludf.DUMMYFUNCTION("""COMPUTED_VALUE"""),"Статия в списания и поредици")</f>
        <v>Статия в списания и поредици</v>
      </c>
      <c r="C5896" s="10" t="str">
        <f ca="1">IFERROR(__xludf.DUMMYFUNCTION("""COMPUTED_VALUE"""),"Репутационен мениджмънт")</f>
        <v>Репутационен мениджмънт</v>
      </c>
      <c r="D5896" s="10">
        <f ca="1">IFERROR(__xludf.DUMMYFUNCTION("""COMPUTED_VALUE"""),2009)</f>
        <v>2009</v>
      </c>
      <c r="E5896" s="10" t="str">
        <f ca="1">IFERROR(__xludf.DUMMYFUNCTION("""COMPUTED_VALUE"""),"Връзки с обществеността и промоционални техники, София: Wini1837, 2009. – с. 57-62. ISBN 978-954-9437-07-2")</f>
        <v>Връзки с обществеността и промоционални техники, София: Wini1837, 2009. – с. 57-62. ISBN 978-954-9437-07-2</v>
      </c>
      <c r="F5896" s="10"/>
      <c r="G5896" s="10"/>
      <c r="H5896" s="10"/>
      <c r="I5896" s="10"/>
      <c r="J5896" s="10"/>
      <c r="K5896" s="10"/>
      <c r="L5896" s="10"/>
      <c r="M5896" s="10"/>
      <c r="N5896" s="10"/>
      <c r="O5896" s="10"/>
      <c r="P5896" s="10"/>
      <c r="Q5896" s="10"/>
      <c r="R5896" s="10"/>
      <c r="S5896" s="10"/>
      <c r="T5896" s="10"/>
      <c r="U5896" s="10"/>
      <c r="V5896" s="10"/>
      <c r="W5896" s="10"/>
      <c r="X5896" s="10"/>
      <c r="Y5896" s="10"/>
      <c r="Z5896" s="10"/>
    </row>
    <row r="5897" spans="1:26" ht="12.75">
      <c r="A5897" s="10" t="str">
        <f ca="1">IFERROR(__xludf.DUMMYFUNCTION("""COMPUTED_VALUE"""),"Нели Тодорова Костова")</f>
        <v>Нели Тодорова Костова</v>
      </c>
      <c r="B5897" s="10" t="str">
        <f ca="1">IFERROR(__xludf.DUMMYFUNCTION("""COMPUTED_VALUE"""),"Статия в списания и поредици")</f>
        <v>Статия в списания и поредици</v>
      </c>
      <c r="C5897" s="10" t="str">
        <f ca="1">IFERROR(__xludf.DUMMYFUNCTION("""COMPUTED_VALUE"""),"Универсалната десетична класификация : Малко известни факти от историята и бъдещето й")</f>
        <v>Универсалната десетична класификация : Малко известни факти от историята и бъдещето й</v>
      </c>
      <c r="D5897" s="10">
        <f ca="1">IFERROR(__xludf.DUMMYFUNCTION("""COMPUTED_VALUE"""),2007)</f>
        <v>2007</v>
      </c>
      <c r="E5897" s="10" t="str">
        <f ca="1">IFERROR(__xludf.DUMMYFUNCTION("""COMPUTED_VALUE"""),"Сборник от научни доклади и съобщения на СВУБИТ от научния семинар, проведен в Чифлика, Троянско, на 11-13 април 2007 г.- С.:За буквите-О писменехь,2007. – с.26-38. ISSN 1313-2768")</f>
        <v>Сборник от научни доклади и съобщения на СВУБИТ от научния семинар, проведен в Чифлика, Троянско, на 11-13 април 2007 г.- С.:За буквите-О писменехь,2007. – с.26-38. ISSN 1313-2768</v>
      </c>
      <c r="F5897" s="10"/>
      <c r="G5897" s="10"/>
      <c r="H5897" s="10"/>
      <c r="I5897" s="10"/>
      <c r="J5897" s="10"/>
      <c r="K5897" s="10"/>
      <c r="L5897" s="10"/>
      <c r="M5897" s="10"/>
      <c r="N5897" s="10"/>
      <c r="O5897" s="10"/>
      <c r="P5897" s="10"/>
      <c r="Q5897" s="10"/>
      <c r="R5897" s="10"/>
      <c r="S5897" s="10"/>
      <c r="T5897" s="10"/>
      <c r="U5897" s="10"/>
      <c r="V5897" s="10"/>
      <c r="W5897" s="10"/>
      <c r="X5897" s="10"/>
      <c r="Y5897" s="10"/>
      <c r="Z5897" s="10"/>
    </row>
    <row r="5898" spans="1:26" ht="12.75">
      <c r="A5898" s="10" t="str">
        <f ca="1">IFERROR(__xludf.DUMMYFUNCTION("""COMPUTED_VALUE"""),"Нели Тодорова Костова")</f>
        <v>Нели Тодорова Костова</v>
      </c>
      <c r="B5898" s="10" t="str">
        <f ca="1">IFERROR(__xludf.DUMMYFUNCTION("""COMPUTED_VALUE"""),"Статия в списания и поредици")</f>
        <v>Статия в списания и поредици</v>
      </c>
      <c r="C5898" s="10" t="str">
        <f ca="1">IFERROR(__xludf.DUMMYFUNCTION("""COMPUTED_VALUE"""),"Формирането на иновационна образователна система и възможностите на библиотеката")</f>
        <v>Формирането на иновационна образователна система и възможностите на библиотеката</v>
      </c>
      <c r="D5898" s="10">
        <f ca="1">IFERROR(__xludf.DUMMYFUNCTION("""COMPUTED_VALUE"""),2006)</f>
        <v>2006</v>
      </c>
      <c r="E5898" s="10" t="str">
        <f ca="1">IFERROR(__xludf.DUMMYFUNCTION("""COMPUTED_VALUE"""),"Нови информационни технологии в образователния процес: Сб. науч. докл.- София: За буквите-О писменехь,2006. – с. 40-48. ISBN 954-8887-21-5 ISBN 978-954-8887-21-2")</f>
        <v>Нови информационни технологии в образователния процес: Сб. науч. докл.- София: За буквите-О писменехь,2006. – с. 40-48. ISBN 954-8887-21-5 ISBN 978-954-8887-21-2</v>
      </c>
      <c r="F5898" s="10"/>
      <c r="G5898" s="10"/>
      <c r="H5898" s="10"/>
      <c r="I5898" s="10"/>
      <c r="J5898" s="10"/>
      <c r="K5898" s="10"/>
      <c r="L5898" s="10"/>
      <c r="M5898" s="10"/>
      <c r="N5898" s="10"/>
      <c r="O5898" s="10"/>
      <c r="P5898" s="10"/>
      <c r="Q5898" s="10"/>
      <c r="R5898" s="10"/>
      <c r="S5898" s="10"/>
      <c r="T5898" s="10"/>
      <c r="U5898" s="10"/>
      <c r="V5898" s="10"/>
      <c r="W5898" s="10"/>
      <c r="X5898" s="10"/>
      <c r="Y5898" s="10"/>
      <c r="Z5898" s="10"/>
    </row>
    <row r="5899" spans="1:26" ht="12.75">
      <c r="A5899" s="10" t="str">
        <f ca="1">IFERROR(__xludf.DUMMYFUNCTION("""COMPUTED_VALUE"""),"Нели Тодорова Костова")</f>
        <v>Нели Тодорова Костова</v>
      </c>
      <c r="B5899" s="10" t="str">
        <f ca="1">IFERROR(__xludf.DUMMYFUNCTION("""COMPUTED_VALUE"""),"Монография")</f>
        <v>Монография</v>
      </c>
      <c r="C5899" s="10" t="str">
        <f ca="1">IFERROR(__xludf.DUMMYFUNCTION("""COMPUTED_VALUE"""),"Концепция и политика за информационна сигурност: защита на класифицираната информация в компютърни системи за управление при бедствия, аварии и катастрофи: Изследване")</f>
        <v>Концепция и политика за информационна сигурност: защита на класифицираната информация в компютърни системи за управление при бедствия, аварии и катастрофи: Изследване</v>
      </c>
      <c r="D5899" s="10">
        <f ca="1">IFERROR(__xludf.DUMMYFUNCTION("""COMPUTED_VALUE"""),2006)</f>
        <v>2006</v>
      </c>
      <c r="E5899" s="10" t="str">
        <f ca="1">IFERROR(__xludf.DUMMYFUNCTION("""COMPUTED_VALUE"""),"София: За буквите-О писменехь,2006. – 263 с. ISBN 954-8887-21-5 (ч. 1) ISBN 978-954-8887-21-2")</f>
        <v>София: За буквите-О писменехь,2006. – 263 с. ISBN 954-8887-21-5 (ч. 1) ISBN 978-954-8887-21-2</v>
      </c>
      <c r="F5899" s="10"/>
      <c r="G5899" s="10" t="str">
        <f ca="1">IFERROR(__xludf.DUMMYFUNCTION("""COMPUTED_VALUE"""),"Стоян Денчев, Цветан Семерджиев, Иван Попов")</f>
        <v>Стоян Денчев, Цветан Семерджиев, Иван Попов</v>
      </c>
      <c r="H5899" s="10"/>
      <c r="I5899" s="10"/>
      <c r="J5899" s="10"/>
      <c r="K5899" s="10"/>
      <c r="L5899" s="10"/>
      <c r="M5899" s="10"/>
      <c r="N5899" s="10"/>
      <c r="O5899" s="10"/>
      <c r="P5899" s="10"/>
      <c r="Q5899" s="10"/>
      <c r="R5899" s="10"/>
      <c r="S5899" s="10"/>
      <c r="T5899" s="10"/>
      <c r="U5899" s="10"/>
      <c r="V5899" s="10"/>
      <c r="W5899" s="10"/>
      <c r="X5899" s="10"/>
      <c r="Y5899" s="10"/>
      <c r="Z5899" s="10"/>
    </row>
    <row r="5900" spans="1:26" ht="12.75">
      <c r="A5900" s="10" t="str">
        <f ca="1">IFERROR(__xludf.DUMMYFUNCTION("""COMPUTED_VALUE"""),"Нели Тодорова Костова")</f>
        <v>Нели Тодорова Костова</v>
      </c>
      <c r="B5900" s="10" t="str">
        <f ca="1">IFERROR(__xludf.DUMMYFUNCTION("""COMPUTED_VALUE"""),"Учебник")</f>
        <v>Учебник</v>
      </c>
      <c r="C5900" s="10" t="str">
        <f ca="1">IFERROR(__xludf.DUMMYFUNCTION("""COMPUTED_VALUE"""),"Чуждестранна библиография : Библиографията в античността и средновековието : Курс лекции")</f>
        <v>Чуждестранна библиография : Библиографията в античността и средновековието : Курс лекции</v>
      </c>
      <c r="D5900" s="10">
        <f ca="1">IFERROR(__xludf.DUMMYFUNCTION("""COMPUTED_VALUE"""),2005)</f>
        <v>2005</v>
      </c>
      <c r="E5900" s="10" t="str">
        <f ca="1">IFERROR(__xludf.DUMMYFUNCTION("""COMPUTED_VALUE"""),"София:Авангард,2005.- 152 с. ISBN 954-323-075-7 (ч. 1)")</f>
        <v>София:Авангард,2005.- 152 с. ISBN 954-323-075-7 (ч. 1)</v>
      </c>
      <c r="F5900" s="10"/>
      <c r="G5900" s="10"/>
      <c r="H5900" s="10"/>
      <c r="I5900" s="10"/>
      <c r="J5900" s="10"/>
      <c r="K5900" s="10"/>
      <c r="L5900" s="10"/>
      <c r="M5900" s="10"/>
      <c r="N5900" s="10"/>
      <c r="O5900" s="10"/>
      <c r="P5900" s="10"/>
      <c r="Q5900" s="10"/>
      <c r="R5900" s="10"/>
      <c r="S5900" s="10"/>
      <c r="T5900" s="10"/>
      <c r="U5900" s="10"/>
      <c r="V5900" s="10"/>
      <c r="W5900" s="10"/>
      <c r="X5900" s="10"/>
      <c r="Y5900" s="10"/>
      <c r="Z5900" s="10"/>
    </row>
    <row r="5901" spans="1:26" ht="12.75">
      <c r="A5901" s="10" t="str">
        <f ca="1">IFERROR(__xludf.DUMMYFUNCTION("""COMPUTED_VALUE"""),"Нели Тодорова Костова")</f>
        <v>Нели Тодорова Костова</v>
      </c>
      <c r="B5901" s="10" t="str">
        <f ca="1">IFERROR(__xludf.DUMMYFUNCTION("""COMPUTED_VALUE"""),"Статия в списания и поредици")</f>
        <v>Статия в списания и поредици</v>
      </c>
      <c r="C5901" s="10" t="str">
        <f ca="1">IFERROR(__xludf.DUMMYFUNCTION("""COMPUTED_VALUE"""),"Профессиональная инноватика – фактор развития современной библиотеки")</f>
        <v>Профессиональная инноватика – фактор развития современной библиотеки</v>
      </c>
      <c r="D5901" s="10">
        <f ca="1">IFERROR(__xludf.DUMMYFUNCTION("""COMPUTED_VALUE"""),2004)</f>
        <v>2004</v>
      </c>
      <c r="E5901" s="10" t="str">
        <f ca="1">IFERROR(__xludf.DUMMYFUNCTION("""COMPUTED_VALUE"""),"Книга и мировая цивилизация : Материалы одинадцатой международной научной конференции по проблемам книговедения.- Москва : Наука,2004.- с.90-93.")</f>
        <v>Книга и мировая цивилизация : Материалы одинадцатой международной научной конференции по проблемам книговедения.- Москва : Наука,2004.- с.90-93.</v>
      </c>
      <c r="F5901" s="10"/>
      <c r="G5901" s="10" t="str">
        <f ca="1">IFERROR(__xludf.DUMMYFUNCTION("""COMPUTED_VALUE"""),"Стоян Денчев")</f>
        <v>Стоян Денчев</v>
      </c>
      <c r="H5901" s="10"/>
      <c r="I5901" s="10"/>
      <c r="J5901" s="10"/>
      <c r="K5901" s="10"/>
      <c r="L5901" s="10"/>
      <c r="M5901" s="10"/>
      <c r="N5901" s="10"/>
      <c r="O5901" s="10"/>
      <c r="P5901" s="10"/>
      <c r="Q5901" s="10"/>
      <c r="R5901" s="10"/>
      <c r="S5901" s="10"/>
      <c r="T5901" s="10"/>
      <c r="U5901" s="10"/>
      <c r="V5901" s="10"/>
      <c r="W5901" s="10"/>
      <c r="X5901" s="10"/>
      <c r="Y5901" s="10"/>
      <c r="Z5901" s="10"/>
    </row>
    <row r="5902" spans="1:26" ht="12.75">
      <c r="A5902" s="10" t="str">
        <f ca="1">IFERROR(__xludf.DUMMYFUNCTION("""COMPUTED_VALUE"""),"Нели Тодорова Костова")</f>
        <v>Нели Тодорова Костова</v>
      </c>
      <c r="B5902" s="10" t="str">
        <f ca="1">IFERROR(__xludf.DUMMYFUNCTION("""COMPUTED_VALUE"""),"Статия в списания и поредици")</f>
        <v>Статия в списания и поредици</v>
      </c>
      <c r="C5902" s="10" t="str">
        <f ca="1">IFERROR(__xludf.DUMMYFUNCTION("""COMPUTED_VALUE"""),"Библиографията в изходната подсистема на науката")</f>
        <v>Библиографията в изходната подсистема на науката</v>
      </c>
      <c r="D5902" s="10">
        <f ca="1">IFERROR(__xludf.DUMMYFUNCTION("""COMPUTED_VALUE"""),2004)</f>
        <v>2004</v>
      </c>
      <c r="E5902" s="10" t="str">
        <f ca="1">IFERROR(__xludf.DUMMYFUNCTION("""COMPUTED_VALUE"""),"Живот сред книгите : Юбилеен сб. в чест на 85-годишнината на проф. Елена Савова. – РА”Очи”, 2004. – с. 138-150.")</f>
        <v>Живот сред книгите : Юбилеен сб. в чест на 85-годишнината на проф. Елена Савова. – РА”Очи”, 2004. – с. 138-150.</v>
      </c>
      <c r="F5902" s="10"/>
      <c r="G5902" s="10"/>
      <c r="H5902" s="10"/>
      <c r="I5902" s="10"/>
      <c r="J5902" s="10"/>
      <c r="K5902" s="10"/>
      <c r="L5902" s="10"/>
      <c r="M5902" s="10"/>
      <c r="N5902" s="10"/>
      <c r="O5902" s="10"/>
      <c r="P5902" s="10"/>
      <c r="Q5902" s="10"/>
      <c r="R5902" s="10"/>
      <c r="S5902" s="10"/>
      <c r="T5902" s="10"/>
      <c r="U5902" s="10"/>
      <c r="V5902" s="10"/>
      <c r="W5902" s="10"/>
      <c r="X5902" s="10"/>
      <c r="Y5902" s="10"/>
      <c r="Z5902" s="10"/>
    </row>
    <row r="5903" spans="1:26" ht="12.75">
      <c r="A5903" s="10" t="str">
        <f ca="1">IFERROR(__xludf.DUMMYFUNCTION("""COMPUTED_VALUE"""),"Нели Тодорова Костова")</f>
        <v>Нели Тодорова Костова</v>
      </c>
      <c r="B5903" s="10" t="str">
        <f ca="1">IFERROR(__xludf.DUMMYFUNCTION("""COMPUTED_VALUE"""),"Статия в списания и поредици")</f>
        <v>Статия в списания и поредици</v>
      </c>
      <c r="C5903" s="10" t="str">
        <f ca="1">IFERROR(__xludf.DUMMYFUNCTION("""COMPUTED_VALUE"""),"Генезис на родовите елементи, формиращи системата на описателната библиография")</f>
        <v>Генезис на родовите елементи, формиращи системата на описателната библиография</v>
      </c>
      <c r="D5903" s="10">
        <f ca="1">IFERROR(__xludf.DUMMYFUNCTION("""COMPUTED_VALUE"""),2003)</f>
        <v>2003</v>
      </c>
      <c r="E5903" s="10" t="str">
        <f ca="1">IFERROR(__xludf.DUMMYFUNCTION("""COMPUTED_VALUE"""),"Трудове на КБИТ, т. 2, 2003, с. 189-201. ISSN 1312-4013")</f>
        <v>Трудове на КБИТ, т. 2, 2003, с. 189-201. ISSN 1312-4013</v>
      </c>
      <c r="F5903" s="10"/>
      <c r="G5903" s="10"/>
      <c r="H5903" s="10"/>
      <c r="I5903" s="10"/>
      <c r="J5903" s="10"/>
      <c r="K5903" s="10"/>
      <c r="L5903" s="10"/>
      <c r="M5903" s="10"/>
      <c r="N5903" s="10"/>
      <c r="O5903" s="10"/>
      <c r="P5903" s="10"/>
      <c r="Q5903" s="10"/>
      <c r="R5903" s="10"/>
      <c r="S5903" s="10"/>
      <c r="T5903" s="10"/>
      <c r="U5903" s="10"/>
      <c r="V5903" s="10"/>
      <c r="W5903" s="10"/>
      <c r="X5903" s="10"/>
      <c r="Y5903" s="10"/>
      <c r="Z5903" s="10"/>
    </row>
    <row r="5904" spans="1:26" ht="12.75">
      <c r="A5904" s="10" t="str">
        <f ca="1">IFERROR(__xludf.DUMMYFUNCTION("""COMPUTED_VALUE"""),"Нели Тодорова Костова")</f>
        <v>Нели Тодорова Костова</v>
      </c>
      <c r="B5904" s="10" t="str">
        <f ca="1">IFERROR(__xludf.DUMMYFUNCTION("""COMPUTED_VALUE"""),"Статия в списания и поредици")</f>
        <v>Статия в списания и поредици</v>
      </c>
      <c r="C5904" s="10" t="str">
        <f ca="1">IFERROR(__xludf.DUMMYFUNCTION("""COMPUTED_VALUE"""),"Генезис и начални функционални взаимоотношения на релацията библиография-наука")</f>
        <v>Генезис и начални функционални взаимоотношения на релацията библиография-наука</v>
      </c>
      <c r="D5904" s="10">
        <f ca="1">IFERROR(__xludf.DUMMYFUNCTION("""COMPUTED_VALUE"""),2003)</f>
        <v>2003</v>
      </c>
      <c r="E5904" s="10" t="str">
        <f ca="1">IFERROR(__xludf.DUMMYFUNCTION("""COMPUTED_VALUE"""),"Библиотеки четене комуникации : Нац. научна конференция, Велико Търново – ноември 2002. – Унив. Изд. “Св. Св. Кирил и Методий”,2003. – с. 145-155. ISSN 1313-8138")</f>
        <v>Библиотеки четене комуникации : Нац. научна конференция, Велико Търново – ноември 2002. – Унив. Изд. “Св. Св. Кирил и Методий”,2003. – с. 145-155. ISSN 1313-8138</v>
      </c>
      <c r="F5904" s="10"/>
      <c r="G5904" s="10"/>
      <c r="H5904" s="10"/>
      <c r="I5904" s="10"/>
      <c r="J5904" s="10"/>
      <c r="K5904" s="10"/>
      <c r="L5904" s="10"/>
      <c r="M5904" s="10"/>
      <c r="N5904" s="10"/>
      <c r="O5904" s="10"/>
      <c r="P5904" s="10"/>
      <c r="Q5904" s="10"/>
      <c r="R5904" s="10"/>
      <c r="S5904" s="10"/>
      <c r="T5904" s="10"/>
      <c r="U5904" s="10"/>
      <c r="V5904" s="10"/>
      <c r="W5904" s="10"/>
      <c r="X5904" s="10"/>
      <c r="Y5904" s="10"/>
      <c r="Z5904" s="10"/>
    </row>
    <row r="5905" spans="1:26" ht="12.75">
      <c r="A5905" s="10" t="str">
        <f ca="1">IFERROR(__xludf.DUMMYFUNCTION("""COMPUTED_VALUE"""),"Нели Тодорова Костова")</f>
        <v>Нели Тодорова Костова</v>
      </c>
      <c r="B5905" s="10" t="str">
        <f ca="1">IFERROR(__xludf.DUMMYFUNCTION("""COMPUTED_VALUE"""),"Статия в списания и поредици")</f>
        <v>Статия в списания и поредици</v>
      </c>
      <c r="C5905" s="10" t="str">
        <f ca="1">IFERROR(__xludf.DUMMYFUNCTION("""COMPUTED_VALUE"""),"150 години българска библиография. А сега накъде?")</f>
        <v>150 години българска библиография. А сега накъде?</v>
      </c>
      <c r="D5905" s="10">
        <f ca="1">IFERROR(__xludf.DUMMYFUNCTION("""COMPUTED_VALUE"""),2002)</f>
        <v>2002</v>
      </c>
      <c r="E5905" s="10" t="str">
        <f ca="1">IFERROR(__xludf.DUMMYFUNCTION("""COMPUTED_VALUE"""),"Българска библиография. 1852-2002 : Юбилеен сборник.- Велико Търново,2002.- с. 26–31. ISBN 954-91193-2-7")</f>
        <v>Българска библиография. 1852-2002 : Юбилеен сборник.- Велико Търново,2002.- с. 26–31. ISBN 954-91193-2-7</v>
      </c>
      <c r="F5905" s="10"/>
      <c r="G5905" s="10"/>
      <c r="H5905" s="10"/>
      <c r="I5905" s="10"/>
      <c r="J5905" s="10"/>
      <c r="K5905" s="10"/>
      <c r="L5905" s="10"/>
      <c r="M5905" s="10"/>
      <c r="N5905" s="10"/>
      <c r="O5905" s="10"/>
      <c r="P5905" s="10"/>
      <c r="Q5905" s="10"/>
      <c r="R5905" s="10"/>
      <c r="S5905" s="10"/>
      <c r="T5905" s="10"/>
      <c r="U5905" s="10"/>
      <c r="V5905" s="10"/>
      <c r="W5905" s="10"/>
      <c r="X5905" s="10"/>
      <c r="Y5905" s="10"/>
      <c r="Z5905" s="10"/>
    </row>
    <row r="5906" spans="1:26" ht="12.75">
      <c r="A5906" s="10" t="str">
        <f ca="1">IFERROR(__xludf.DUMMYFUNCTION("""COMPUTED_VALUE"""),"Нели Тодорова Костова")</f>
        <v>Нели Тодорова Костова</v>
      </c>
      <c r="B5906" s="10" t="str">
        <f ca="1">IFERROR(__xludf.DUMMYFUNCTION("""COMPUTED_VALUE"""),"Статия в списания и поредици")</f>
        <v>Статия в списания и поредици</v>
      </c>
      <c r="C5906" s="10" t="str">
        <f ca="1">IFERROR(__xludf.DUMMYFUNCTION("""COMPUTED_VALUE"""),"Можем ли да превърнем образованието по библиография в стока?")</f>
        <v>Можем ли да превърнем образованието по библиография в стока?</v>
      </c>
      <c r="D5906" s="10">
        <f ca="1">IFERROR(__xludf.DUMMYFUNCTION("""COMPUTED_VALUE"""),2000)</f>
        <v>2000</v>
      </c>
      <c r="E5906" s="10" t="str">
        <f ca="1">IFERROR(__xludf.DUMMYFUNCTION("""COMPUTED_VALUE"""),"Библиотечната система в България : Доклади от Х Национална научна конференция. – София : СБИР, 2000. – с.46-49.")</f>
        <v>Библиотечната система в България : Доклади от Х Национална научна конференция. – София : СБИР, 2000. – с.46-49.</v>
      </c>
      <c r="F5906" s="10"/>
      <c r="G5906" s="10"/>
      <c r="H5906" s="10"/>
      <c r="I5906" s="10"/>
      <c r="J5906" s="10"/>
      <c r="K5906" s="10"/>
      <c r="L5906" s="10"/>
      <c r="M5906" s="10"/>
      <c r="N5906" s="10"/>
      <c r="O5906" s="10"/>
      <c r="P5906" s="10"/>
      <c r="Q5906" s="10"/>
      <c r="R5906" s="10"/>
      <c r="S5906" s="10"/>
      <c r="T5906" s="10"/>
      <c r="U5906" s="10"/>
      <c r="V5906" s="10"/>
      <c r="W5906" s="10"/>
      <c r="X5906" s="10"/>
      <c r="Y5906" s="10"/>
      <c r="Z5906" s="10"/>
    </row>
    <row r="5907" spans="1:26" ht="12.75">
      <c r="A5907" s="10" t="str">
        <f ca="1">IFERROR(__xludf.DUMMYFUNCTION("""COMPUTED_VALUE"""),"Нели Тодорова Костова")</f>
        <v>Нели Тодорова Костова</v>
      </c>
      <c r="B5907" s="10" t="str">
        <f ca="1">IFERROR(__xludf.DUMMYFUNCTION("""COMPUTED_VALUE"""),"Статия в списания и поредици")</f>
        <v>Статия в списания и поредици</v>
      </c>
      <c r="C5907" s="10" t="str">
        <f ca="1">IFERROR(__xludf.DUMMYFUNCTION("""COMPUTED_VALUE"""),"Показалците – форма за свободен и равен достъп до информация")</f>
        <v>Показалците – форма за свободен и равен достъп до информация</v>
      </c>
      <c r="D5907" s="10">
        <f ca="1">IFERROR(__xludf.DUMMYFUNCTION("""COMPUTED_VALUE"""),1999)</f>
        <v>1999</v>
      </c>
      <c r="E5907" s="10" t="str">
        <f ca="1">IFERROR(__xludf.DUMMYFUNCTION("""COMPUTED_VALUE"""),"В: Библиотеките през новото хилядолетие – свободен и равен достъп до информация : Докл. от IX нац. науч. конф. с междунар. участие 1- 3. VI. 1999 г. С., СБИР,1999.- с. 61-65.")</f>
        <v>В: Библиотеките през новото хилядолетие – свободен и равен достъп до информация : Докл. от IX нац. науч. конф. с междунар. участие 1- 3. VI. 1999 г. С., СБИР,1999.- с. 61-65.</v>
      </c>
      <c r="F5907" s="10"/>
      <c r="G5907" s="10"/>
      <c r="H5907" s="10"/>
      <c r="I5907" s="10"/>
      <c r="J5907" s="10"/>
      <c r="K5907" s="10"/>
      <c r="L5907" s="10"/>
      <c r="M5907" s="10"/>
      <c r="N5907" s="10"/>
      <c r="O5907" s="10"/>
      <c r="P5907" s="10"/>
      <c r="Q5907" s="10"/>
      <c r="R5907" s="10"/>
      <c r="S5907" s="10"/>
      <c r="T5907" s="10"/>
      <c r="U5907" s="10"/>
      <c r="V5907" s="10"/>
      <c r="W5907" s="10"/>
      <c r="X5907" s="10"/>
      <c r="Y5907" s="10"/>
      <c r="Z5907" s="10"/>
    </row>
    <row r="5908" spans="1:26" ht="12.75">
      <c r="A5908" s="10" t="str">
        <f ca="1">IFERROR(__xludf.DUMMYFUNCTION("""COMPUTED_VALUE"""),"Нели Тодорова Костова")</f>
        <v>Нели Тодорова Костова</v>
      </c>
      <c r="B5908" s="10" t="str">
        <f ca="1">IFERROR(__xludf.DUMMYFUNCTION("""COMPUTED_VALUE"""),"Учебно пособие")</f>
        <v>Учебно пособие</v>
      </c>
      <c r="C5908" s="10" t="str">
        <f ca="1">IFERROR(__xludf.DUMMYFUNCTION("""COMPUTED_VALUE"""),"Системи за библиографска информация в областта на природните науки")</f>
        <v>Системи за библиографска информация в областта на природните науки</v>
      </c>
      <c r="D5908" s="10">
        <f ca="1">IFERROR(__xludf.DUMMYFUNCTION("""COMPUTED_VALUE"""),1995)</f>
        <v>1995</v>
      </c>
      <c r="E5908" s="10" t="str">
        <f ca="1">IFERROR(__xludf.DUMMYFUNCTION("""COMPUTED_VALUE"""),"София : [Изд. авт.], 1995.- 60 с.")</f>
        <v>София : [Изд. авт.], 1995.- 60 с.</v>
      </c>
      <c r="F5908" s="10"/>
      <c r="G5908" s="10"/>
      <c r="H5908" s="10"/>
      <c r="I5908" s="10"/>
      <c r="J5908" s="10"/>
      <c r="K5908" s="10"/>
      <c r="L5908" s="10"/>
      <c r="M5908" s="10"/>
      <c r="N5908" s="10"/>
      <c r="O5908" s="10"/>
      <c r="P5908" s="10"/>
      <c r="Q5908" s="10"/>
      <c r="R5908" s="10"/>
      <c r="S5908" s="10"/>
      <c r="T5908" s="10"/>
      <c r="U5908" s="10"/>
      <c r="V5908" s="10"/>
      <c r="W5908" s="10"/>
      <c r="X5908" s="10"/>
      <c r="Y5908" s="10"/>
      <c r="Z5908" s="10"/>
    </row>
    <row r="5909" spans="1:26" ht="12.75">
      <c r="A5909" s="10" t="str">
        <f ca="1">IFERROR(__xludf.DUMMYFUNCTION("""COMPUTED_VALUE"""),"Николай Атанасов Митев")</f>
        <v>Николай Атанасов Митев</v>
      </c>
      <c r="B5909" s="10" t="str">
        <f ca="1">IFERROR(__xludf.DUMMYFUNCTION("""COMPUTED_VALUE"""),"Учебно пособие")</f>
        <v>Учебно пособие</v>
      </c>
      <c r="C5909" s="10" t="str">
        <f ca="1">IFERROR(__xludf.DUMMYFUNCTION("""COMPUTED_VALUE"""),"Управление и защита на интелектуалните активи в кибер пространството")</f>
        <v>Управление и защита на интелектуалните активи в кибер пространството</v>
      </c>
      <c r="D5909" s="10">
        <f ca="1">IFERROR(__xludf.DUMMYFUNCTION("""COMPUTED_VALUE"""),2019)</f>
        <v>2019</v>
      </c>
      <c r="E5909" s="10" t="str">
        <f ca="1">IFERROR(__xludf.DUMMYFUNCTION("""COMPUTED_VALUE"""),"София, изд. Софттрейд, стр. 205, ISBN 978-954-334-218-1")</f>
        <v>София, изд. Софттрейд, стр. 205, ISBN 978-954-334-218-1</v>
      </c>
      <c r="F5909" s="10"/>
      <c r="G5909" s="10" t="str">
        <f ca="1">IFERROR(__xludf.DUMMYFUNCTION("""COMPUTED_VALUE"""),"Николай Митев, Росица Митева")</f>
        <v>Николай Митев, Росица Митева</v>
      </c>
      <c r="H5909" s="10"/>
      <c r="I5909" s="10"/>
      <c r="J5909" s="10"/>
      <c r="K5909" s="10"/>
      <c r="L5909" s="10"/>
      <c r="M5909" s="10"/>
      <c r="N5909" s="10"/>
      <c r="O5909" s="10"/>
      <c r="P5909" s="10"/>
      <c r="Q5909" s="10"/>
      <c r="R5909" s="10"/>
      <c r="S5909" s="10"/>
      <c r="T5909" s="10"/>
      <c r="U5909" s="10"/>
      <c r="V5909" s="10"/>
      <c r="W5909" s="10"/>
      <c r="X5909" s="10"/>
      <c r="Y5909" s="10"/>
      <c r="Z5909" s="10"/>
    </row>
    <row r="5910" spans="1:26" ht="12.75">
      <c r="A5910" s="10" t="str">
        <f ca="1">IFERROR(__xludf.DUMMYFUNCTION("""COMPUTED_VALUE"""),"Николай Атанасов Митев")</f>
        <v>Николай Атанасов Митев</v>
      </c>
      <c r="B5910" s="10" t="str">
        <f ca="1">IFERROR(__xludf.DUMMYFUNCTION("""COMPUTED_VALUE"""),"Доклад от конференция")</f>
        <v>Доклад от конференция</v>
      </c>
      <c r="C5910" s="10" t="str">
        <f ca="1">IFERROR(__xludf.DUMMYFUNCTION("""COMPUTED_VALUE"""),"Contemporary advanced cyber threats for the national security")</f>
        <v>Contemporary advanced cyber threats for the national security</v>
      </c>
      <c r="D5910" s="10">
        <f ca="1">IFERROR(__xludf.DUMMYFUNCTION("""COMPUTED_VALUE"""),2019)</f>
        <v>2019</v>
      </c>
      <c r="E5910" s="10" t="str">
        <f ca="1">IFERROR(__xludf.DUMMYFUNCTION("""COMPUTED_VALUE"""),"International Scientific Journal “Globalization, the State and the Individual“, Conference Edition 2019, pp 51 – 56, Free University of Varna „Chernorizets Hrabar“, ISSN 2367-4555")</f>
        <v>International Scientific Journal “Globalization, the State and the Individual“, Conference Edition 2019, pp 51 – 56, Free University of Varna „Chernorizets Hrabar“, ISSN 2367-4555</v>
      </c>
      <c r="F5910" s="10"/>
      <c r="G5910" s="10" t="str">
        <f ca="1">IFERROR(__xludf.DUMMYFUNCTION("""COMPUTED_VALUE"""),"Николай Митев")</f>
        <v>Николай Митев</v>
      </c>
      <c r="H5910" s="10"/>
      <c r="I5910" s="10"/>
      <c r="J5910" s="10"/>
      <c r="K5910" s="10"/>
      <c r="L5910" s="10"/>
      <c r="M5910" s="10"/>
      <c r="N5910" s="10"/>
      <c r="O5910" s="10"/>
      <c r="P5910" s="10"/>
      <c r="Q5910" s="10"/>
      <c r="R5910" s="10"/>
      <c r="S5910" s="10"/>
      <c r="T5910" s="10"/>
      <c r="U5910" s="10"/>
      <c r="V5910" s="10"/>
      <c r="W5910" s="10"/>
      <c r="X5910" s="10"/>
      <c r="Y5910" s="10"/>
      <c r="Z5910" s="10"/>
    </row>
    <row r="5911" spans="1:26" ht="12.75">
      <c r="A5911" s="10" t="str">
        <f ca="1">IFERROR(__xludf.DUMMYFUNCTION("""COMPUTED_VALUE"""),"Николай Атанасов Митев")</f>
        <v>Николай Атанасов Митев</v>
      </c>
      <c r="B5911" s="10" t="str">
        <f ca="1">IFERROR(__xludf.DUMMYFUNCTION("""COMPUTED_VALUE"""),"Доклад от конференция")</f>
        <v>Доклад от конференция</v>
      </c>
      <c r="C5911" s="10" t="str">
        <f ca="1">IFERROR(__xludf.DUMMYFUNCTION("""COMPUTED_VALUE"""),"Класифицирането и контролът на достъпа до информация – основен инструмент за защита на националната сигурност")</f>
        <v>Класифицирането и контролът на достъпа до информация – основен инструмент за защита на националната сигурност</v>
      </c>
      <c r="D5911" s="10">
        <f ca="1">IFERROR(__xludf.DUMMYFUNCTION("""COMPUTED_VALUE"""),2019)</f>
        <v>2019</v>
      </c>
      <c r="E5911" s="10" t="str">
        <f ca="1">IFERROR(__xludf.DUMMYFUNCTION("""COMPUTED_VALUE"""),"Седемнадесета национална научна конференция с международно участие ""Обществото на знанието и хуманизмът на ХХІ век"", сборник доклади, стр. 615 – 624, изд. За буквите – О писменехь; ISSN 2683-0094")</f>
        <v>Седемнадесета национална научна конференция с международно участие "Обществото на знанието и хуманизмът на ХХІ век", сборник доклади, стр. 615 – 624, изд. За буквите – О писменехь; ISSN 2683-0094</v>
      </c>
      <c r="F5911" s="10"/>
      <c r="G5911" s="10"/>
      <c r="H5911" s="10"/>
      <c r="I5911" s="10"/>
      <c r="J5911" s="10"/>
      <c r="K5911" s="10"/>
      <c r="L5911" s="10"/>
      <c r="M5911" s="10"/>
      <c r="N5911" s="10"/>
      <c r="O5911" s="10"/>
      <c r="P5911" s="10"/>
      <c r="Q5911" s="10"/>
      <c r="R5911" s="10"/>
      <c r="S5911" s="10"/>
      <c r="T5911" s="10"/>
      <c r="U5911" s="10"/>
      <c r="V5911" s="10"/>
      <c r="W5911" s="10"/>
      <c r="X5911" s="10"/>
      <c r="Y5911" s="10"/>
      <c r="Z5911" s="10"/>
    </row>
    <row r="5912" spans="1:26" ht="12.75">
      <c r="A5912" s="10" t="str">
        <f ca="1">IFERROR(__xludf.DUMMYFUNCTION("""COMPUTED_VALUE"""),"Николай Атанасов Митев")</f>
        <v>Николай Атанасов Митев</v>
      </c>
      <c r="B5912" s="10" t="str">
        <f ca="1">IFERROR(__xludf.DUMMYFUNCTION("""COMPUTED_VALUE"""),"Учебно пособие")</f>
        <v>Учебно пособие</v>
      </c>
      <c r="C5912" s="10" t="str">
        <f ca="1">IFERROR(__xludf.DUMMYFUNCTION("""COMPUTED_VALUE"""),"Сигурност на облачните услуги")</f>
        <v>Сигурност на облачните услуги</v>
      </c>
      <c r="D5912" s="10">
        <f ca="1">IFERROR(__xludf.DUMMYFUNCTION("""COMPUTED_VALUE"""),2017)</f>
        <v>2017</v>
      </c>
      <c r="E5912" s="10" t="str">
        <f ca="1">IFERROR(__xludf.DUMMYFUNCTION("""COMPUTED_VALUE"""),"Изд. ""Софттрейд"" София, ISBN 978-954-334-191-7")</f>
        <v>Изд. "Софттрейд" София, ISBN 978-954-334-191-7</v>
      </c>
      <c r="F5912" s="10"/>
      <c r="G5912" s="10" t="str">
        <f ca="1">IFERROR(__xludf.DUMMYFUNCTION("""COMPUTED_VALUE"""),"Росица Митева")</f>
        <v>Росица Митева</v>
      </c>
      <c r="H5912" s="10"/>
      <c r="I5912" s="10"/>
      <c r="J5912" s="10"/>
      <c r="K5912" s="10"/>
      <c r="L5912" s="10"/>
      <c r="M5912" s="10"/>
      <c r="N5912" s="10"/>
      <c r="O5912" s="10"/>
      <c r="P5912" s="10"/>
      <c r="Q5912" s="10"/>
      <c r="R5912" s="10"/>
      <c r="S5912" s="10"/>
      <c r="T5912" s="10"/>
      <c r="U5912" s="10"/>
      <c r="V5912" s="10"/>
      <c r="W5912" s="10"/>
      <c r="X5912" s="10"/>
      <c r="Y5912" s="10"/>
      <c r="Z5912" s="10"/>
    </row>
    <row r="5913" spans="1:26" ht="12.75">
      <c r="A5913" s="10" t="str">
        <f ca="1">IFERROR(__xludf.DUMMYFUNCTION("""COMPUTED_VALUE"""),"Николай Атанасов Митев")</f>
        <v>Николай Атанасов Митев</v>
      </c>
      <c r="B5913" s="10" t="str">
        <f ca="1">IFERROR(__xludf.DUMMYFUNCTION("""COMPUTED_VALUE"""),"Учебно пособие")</f>
        <v>Учебно пособие</v>
      </c>
      <c r="C5913" s="10" t="str">
        <f ca="1">IFERROR(__xludf.DUMMYFUNCTION("""COMPUTED_VALUE"""),"Норми и стандарти за кибер сигурност")</f>
        <v>Норми и стандарти за кибер сигурност</v>
      </c>
      <c r="D5913" s="10">
        <f ca="1">IFERROR(__xludf.DUMMYFUNCTION("""COMPUTED_VALUE"""),2016)</f>
        <v>2016</v>
      </c>
      <c r="E5913" s="10" t="str">
        <f ca="1">IFERROR(__xludf.DUMMYFUNCTION("""COMPUTED_VALUE"""),"Изд. ""Софттрейд"" София, ISBN 978-954-334-179-5")</f>
        <v>Изд. "Софттрейд" София, ISBN 978-954-334-179-5</v>
      </c>
      <c r="F5913" s="10"/>
      <c r="G5913" s="10" t="str">
        <f ca="1">IFERROR(__xludf.DUMMYFUNCTION("""COMPUTED_VALUE"""),"Росица Митева")</f>
        <v>Росица Митева</v>
      </c>
      <c r="H5913" s="10"/>
      <c r="I5913" s="10"/>
      <c r="J5913" s="10"/>
      <c r="K5913" s="10"/>
      <c r="L5913" s="10"/>
      <c r="M5913" s="10"/>
      <c r="N5913" s="10"/>
      <c r="O5913" s="10"/>
      <c r="P5913" s="10"/>
      <c r="Q5913" s="10"/>
      <c r="R5913" s="10"/>
      <c r="S5913" s="10"/>
      <c r="T5913" s="10"/>
      <c r="U5913" s="10"/>
      <c r="V5913" s="10"/>
      <c r="W5913" s="10"/>
      <c r="X5913" s="10"/>
      <c r="Y5913" s="10"/>
      <c r="Z5913" s="10"/>
    </row>
    <row r="5914" spans="1:26" ht="12.75">
      <c r="A5914" s="10" t="str">
        <f ca="1">IFERROR(__xludf.DUMMYFUNCTION("""COMPUTED_VALUE"""),"Николай Атанасов Митев")</f>
        <v>Николай Атанасов Митев</v>
      </c>
      <c r="B5914" s="10" t="str">
        <f ca="1">IFERROR(__xludf.DUMMYFUNCTION("""COMPUTED_VALUE"""),"Учебник")</f>
        <v>Учебник</v>
      </c>
      <c r="C5914" s="10" t="str">
        <f ca="1">IFERROR(__xludf.DUMMYFUNCTION("""COMPUTED_VALUE"""),"Информационна сигурност")</f>
        <v>Информационна сигурност</v>
      </c>
      <c r="D5914" s="10">
        <f ca="1">IFERROR(__xludf.DUMMYFUNCTION("""COMPUTED_VALUE"""),2015)</f>
        <v>2015</v>
      </c>
      <c r="E5914" s="10" t="str">
        <f ca="1">IFERROR(__xludf.DUMMYFUNCTION("""COMPUTED_VALUE"""),"Изд. ""Софттрейд"" София, ISBN 978-954-334-173-3")</f>
        <v>Изд. "Софттрейд" София, ISBN 978-954-334-173-3</v>
      </c>
      <c r="F5914" s="10"/>
      <c r="G5914" s="10" t="str">
        <f ca="1">IFERROR(__xludf.DUMMYFUNCTION("""COMPUTED_VALUE"""),"Цветан Семерджиев")</f>
        <v>Цветан Семерджиев</v>
      </c>
      <c r="H5914" s="10"/>
      <c r="I5914" s="10"/>
      <c r="J5914" s="10"/>
      <c r="K5914" s="10"/>
      <c r="L5914" s="10"/>
      <c r="M5914" s="10"/>
      <c r="N5914" s="10"/>
      <c r="O5914" s="10"/>
      <c r="P5914" s="10"/>
      <c r="Q5914" s="10"/>
      <c r="R5914" s="10"/>
      <c r="S5914" s="10"/>
      <c r="T5914" s="10"/>
      <c r="U5914" s="10"/>
      <c r="V5914" s="10"/>
      <c r="W5914" s="10"/>
      <c r="X5914" s="10"/>
      <c r="Y5914" s="10"/>
      <c r="Z5914" s="10"/>
    </row>
    <row r="5915" spans="1:26" ht="12.75">
      <c r="A5915" s="10" t="str">
        <f ca="1">IFERROR(__xludf.DUMMYFUNCTION("""COMPUTED_VALUE"""),"Николай Атанасов Митев")</f>
        <v>Николай Атанасов Митев</v>
      </c>
      <c r="B5915" s="10" t="str">
        <f ca="1">IFERROR(__xludf.DUMMYFUNCTION("""COMPUTED_VALUE"""),"Книга")</f>
        <v>Книга</v>
      </c>
      <c r="C5915" s="10" t="str">
        <f ca="1">IFERROR(__xludf.DUMMYFUNCTION("""COMPUTED_VALUE"""),"Норми и стандарти за информационна сигурност")</f>
        <v>Норми и стандарти за информационна сигурност</v>
      </c>
      <c r="D5915" s="10">
        <f ca="1">IFERROR(__xludf.DUMMYFUNCTION("""COMPUTED_VALUE"""),2014)</f>
        <v>2014</v>
      </c>
      <c r="E5915" s="10" t="str">
        <f ca="1">IFERROR(__xludf.DUMMYFUNCTION("""COMPUTED_VALUE"""),"Софттрейд")</f>
        <v>Софттрейд</v>
      </c>
      <c r="F5915" s="10"/>
      <c r="G5915" s="10" t="str">
        <f ca="1">IFERROR(__xludf.DUMMYFUNCTION("""COMPUTED_VALUE"""),"Цветан Семерджиев")</f>
        <v>Цветан Семерджиев</v>
      </c>
      <c r="H5915" s="10"/>
      <c r="I5915" s="10"/>
      <c r="J5915" s="10"/>
      <c r="K5915" s="10"/>
      <c r="L5915" s="10"/>
      <c r="M5915" s="10"/>
      <c r="N5915" s="10"/>
      <c r="O5915" s="10"/>
      <c r="P5915" s="10"/>
      <c r="Q5915" s="10"/>
      <c r="R5915" s="10"/>
      <c r="S5915" s="10"/>
      <c r="T5915" s="10"/>
      <c r="U5915" s="10"/>
      <c r="V5915" s="10"/>
      <c r="W5915" s="10"/>
      <c r="X5915" s="10"/>
      <c r="Y5915" s="10"/>
      <c r="Z5915" s="10"/>
    </row>
    <row r="5916" spans="1:26" ht="12.75">
      <c r="A5916" s="10" t="str">
        <f ca="1">IFERROR(__xludf.DUMMYFUNCTION("""COMPUTED_VALUE"""),"Николай Атанасов Митев")</f>
        <v>Николай Атанасов Митев</v>
      </c>
      <c r="B5916" s="10" t="str">
        <f ca="1">IFERROR(__xludf.DUMMYFUNCTION("""COMPUTED_VALUE"""),"Учебник")</f>
        <v>Учебник</v>
      </c>
      <c r="C5916" s="10" t="str">
        <f ca="1">IFERROR(__xludf.DUMMYFUNCTION("""COMPUTED_VALUE"""),"Норми и стандарти за управление на информационните системи")</f>
        <v>Норми и стандарти за управление на информационните системи</v>
      </c>
      <c r="D5916" s="10">
        <f ca="1">IFERROR(__xludf.DUMMYFUNCTION("""COMPUTED_VALUE"""),2014)</f>
        <v>2014</v>
      </c>
      <c r="E5916" s="10" t="str">
        <f ca="1">IFERROR(__xludf.DUMMYFUNCTION("""COMPUTED_VALUE"""),"Изд. ""Софттрейд"" София, ISBN 978-954-334-162-7")</f>
        <v>Изд. "Софттрейд" София, ISBN 978-954-334-162-7</v>
      </c>
      <c r="F5916" s="10"/>
      <c r="G5916" s="10" t="str">
        <f ca="1">IFERROR(__xludf.DUMMYFUNCTION("""COMPUTED_VALUE"""),"Цветан Семерджиев")</f>
        <v>Цветан Семерджиев</v>
      </c>
      <c r="H5916" s="10"/>
      <c r="I5916" s="10"/>
      <c r="J5916" s="10"/>
      <c r="K5916" s="10"/>
      <c r="L5916" s="10"/>
      <c r="M5916" s="10"/>
      <c r="N5916" s="10"/>
      <c r="O5916" s="10"/>
      <c r="P5916" s="10"/>
      <c r="Q5916" s="10"/>
      <c r="R5916" s="10"/>
      <c r="S5916" s="10"/>
      <c r="T5916" s="10"/>
      <c r="U5916" s="10"/>
      <c r="V5916" s="10"/>
      <c r="W5916" s="10"/>
      <c r="X5916" s="10"/>
      <c r="Y5916" s="10"/>
      <c r="Z5916" s="10"/>
    </row>
    <row r="5917" spans="1:26" ht="12.75">
      <c r="A5917" s="10" t="str">
        <f ca="1">IFERROR(__xludf.DUMMYFUNCTION("""COMPUTED_VALUE"""),"Николай Атанасов Митев")</f>
        <v>Николай Атанасов Митев</v>
      </c>
      <c r="B5917" s="10" t="str">
        <f ca="1">IFERROR(__xludf.DUMMYFUNCTION("""COMPUTED_VALUE"""),"Студия")</f>
        <v>Студия</v>
      </c>
      <c r="C5917" s="10" t="str">
        <f ca="1">IFERROR(__xludf.DUMMYFUNCTION("""COMPUTED_VALUE"""),"Създаване и развитие на докторантски училища в световни университетски структури")</f>
        <v>Създаване и развитие на докторантски училища в световни университетски структури</v>
      </c>
      <c r="D5917" s="10">
        <f ca="1">IFERROR(__xludf.DUMMYFUNCTION("""COMPUTED_VALUE"""),2013)</f>
        <v>2013</v>
      </c>
      <c r="E5917" s="10" t="str">
        <f ca="1">IFERROR(__xludf.DUMMYFUNCTION("""COMPUTED_VALUE"""),"Изд. ""Софттрейд"" София, ISBN 978-954-334-152-8")</f>
        <v>Изд. "Софттрейд" София, ISBN 978-954-334-152-8</v>
      </c>
      <c r="F5917" s="10"/>
      <c r="G5917" s="10" t="str">
        <f ca="1">IFERROR(__xludf.DUMMYFUNCTION("""COMPUTED_VALUE"""),"Стоян Денчев, Ирена Петева, Цветан Семерджиев")</f>
        <v>Стоян Денчев, Ирена Петева, Цветан Семерджиев</v>
      </c>
      <c r="H5917" s="10"/>
      <c r="I5917" s="10"/>
      <c r="J5917" s="10"/>
      <c r="K5917" s="10"/>
      <c r="L5917" s="10"/>
      <c r="M5917" s="10"/>
      <c r="N5917" s="10"/>
      <c r="O5917" s="10"/>
      <c r="P5917" s="10"/>
      <c r="Q5917" s="10"/>
      <c r="R5917" s="10"/>
      <c r="S5917" s="10"/>
      <c r="T5917" s="10"/>
      <c r="U5917" s="10"/>
      <c r="V5917" s="10"/>
      <c r="W5917" s="10"/>
      <c r="X5917" s="10"/>
      <c r="Y5917" s="10"/>
      <c r="Z5917" s="10"/>
    </row>
    <row r="5918" spans="1:26" ht="12.75">
      <c r="A5918" s="10" t="str">
        <f ca="1">IFERROR(__xludf.DUMMYFUNCTION("""COMPUTED_VALUE"""),"Николай Атанасов Митев")</f>
        <v>Николай Атанасов Митев</v>
      </c>
      <c r="B5918" s="10" t="str">
        <f ca="1">IFERROR(__xludf.DUMMYFUNCTION("""COMPUTED_VALUE"""),"Книга")</f>
        <v>Книга</v>
      </c>
      <c r="C5918" s="10" t="str">
        <f ca="1">IFERROR(__xludf.DUMMYFUNCTION("""COMPUTED_VALUE"""),"Методи за оценка на интелектуалните активи на организацията")</f>
        <v>Методи за оценка на интелектуалните активи на организацията</v>
      </c>
      <c r="D5918" s="10">
        <f ca="1">IFERROR(__xludf.DUMMYFUNCTION("""COMPUTED_VALUE"""),2013)</f>
        <v>2013</v>
      </c>
      <c r="E5918" s="10" t="str">
        <f ca="1">IFERROR(__xludf.DUMMYFUNCTION("""COMPUTED_VALUE"""),"Изд. ""Софттрейд"" София, ISBN 978-954-334-144-3")</f>
        <v>Изд. "Софттрейд" София, ISBN 978-954-334-144-3</v>
      </c>
      <c r="F5918" s="10"/>
      <c r="G5918" s="10"/>
      <c r="H5918" s="10"/>
      <c r="I5918" s="10"/>
      <c r="J5918" s="10"/>
      <c r="K5918" s="10"/>
      <c r="L5918" s="10"/>
      <c r="M5918" s="10"/>
      <c r="N5918" s="10"/>
      <c r="O5918" s="10"/>
      <c r="P5918" s="10"/>
      <c r="Q5918" s="10"/>
      <c r="R5918" s="10"/>
      <c r="S5918" s="10"/>
      <c r="T5918" s="10"/>
      <c r="U5918" s="10"/>
      <c r="V5918" s="10"/>
      <c r="W5918" s="10"/>
      <c r="X5918" s="10"/>
      <c r="Y5918" s="10"/>
      <c r="Z5918" s="10"/>
    </row>
    <row r="5919" spans="1:26" ht="12.75">
      <c r="A5919" s="10" t="str">
        <f ca="1">IFERROR(__xludf.DUMMYFUNCTION("""COMPUTED_VALUE"""),"Николай Георгиев Палашев")</f>
        <v>Николай Георгиев Палашев</v>
      </c>
      <c r="B5919" s="10" t="str">
        <f ca="1">IFERROR(__xludf.DUMMYFUNCTION("""COMPUTED_VALUE"""),"Доклад от конференция")</f>
        <v>Доклад от конференция</v>
      </c>
      <c r="C5919" s="10" t="str">
        <f ca="1">IFERROR(__xludf.DUMMYFUNCTION("""COMPUTED_VALUE"""),"Трансцеденталност и обществена комуникация")</f>
        <v>Трансцеденталност и обществена комуникация</v>
      </c>
      <c r="D5919" s="10">
        <f ca="1">IFERROR(__xludf.DUMMYFUNCTION("""COMPUTED_VALUE"""),2020)</f>
        <v>2020</v>
      </c>
      <c r="E5919" s="10" t="str">
        <f ca="1">IFERROR(__xludf.DUMMYFUNCTION("""COMPUTED_VALUE"""),"„Обществото на знанието и хуманизмът на XXI век“ – Сборник с научни доклади от ХVIII национална научна конференция с международно участие, София, 1 – 2 ноември, 2020 г. / Състав. Л. Парижкова. - София : За буквите-О писменехь, 2020, с. 217-224. ISSN 2683-"&amp;"0094")</f>
        <v>„Обществото на знанието и хуманизмът на XXI век“ – Сборник с научни доклади от ХVIII национална научна конференция с международно участие, София, 1 – 2 ноември, 2020 г. / Състав. Л. Парижкова. - София : За буквите-О писменехь, 2020, с. 217-224. ISSN 2683-0094</v>
      </c>
      <c r="F5919" s="10"/>
      <c r="G5919" s="10"/>
      <c r="H5919" s="10"/>
      <c r="I5919" s="10"/>
      <c r="J5919" s="10"/>
      <c r="K5919" s="10"/>
      <c r="L5919" s="10"/>
      <c r="M5919" s="10"/>
      <c r="N5919" s="10"/>
      <c r="O5919" s="10"/>
      <c r="P5919" s="10"/>
      <c r="Q5919" s="10"/>
      <c r="R5919" s="10"/>
      <c r="S5919" s="10"/>
      <c r="T5919" s="10"/>
      <c r="U5919" s="10"/>
      <c r="V5919" s="10"/>
      <c r="W5919" s="10"/>
      <c r="X5919" s="10"/>
      <c r="Y5919" s="10"/>
      <c r="Z5919" s="10"/>
    </row>
    <row r="5920" spans="1:26" ht="12.75">
      <c r="A5920" s="10" t="str">
        <f ca="1">IFERROR(__xludf.DUMMYFUNCTION("""COMPUTED_VALUE"""),"Николай Георгиев Палашев")</f>
        <v>Николай Георгиев Палашев</v>
      </c>
      <c r="B5920" s="10" t="str">
        <f ca="1">IFERROR(__xludf.DUMMYFUNCTION("""COMPUTED_VALUE"""),"Статия в списания и поредици")</f>
        <v>Статия в списания и поредици</v>
      </c>
      <c r="C5920" s="10" t="str">
        <f ca="1">IFERROR(__xludf.DUMMYFUNCTION("""COMPUTED_VALUE"""),"КОМУНИКАЦИОННАТА МИСТИФИКАЦИЯ И ЦЕННОСТНИТЕ УСТОИ НА ОБЩЕСТВЕНИЯ РЕД")</f>
        <v>КОМУНИКАЦИОННАТА МИСТИФИКАЦИЯ И ЦЕННОСТНИТЕ УСТОИ НА ОБЩЕСТВЕНИЯ РЕД</v>
      </c>
      <c r="D5920" s="10">
        <f ca="1">IFERROR(__xludf.DUMMYFUNCTION("""COMPUTED_VALUE"""),2020)</f>
        <v>2020</v>
      </c>
      <c r="E5920" s="10" t="str">
        <f ca="1">IFERROR(__xludf.DUMMYFUNCTION("""COMPUTED_VALUE"""),"В: Научни трудове на УниБИТ. София: За буквите – О писменехь, том 18, 2020. ISSN 1314-2623 (под печат)")</f>
        <v>В: Научни трудове на УниБИТ. София: За буквите – О писменехь, том 18, 2020. ISSN 1314-2623 (под печат)</v>
      </c>
      <c r="F5920" s="10"/>
      <c r="G5920" s="10"/>
      <c r="H5920" s="10"/>
      <c r="I5920" s="10"/>
      <c r="J5920" s="10"/>
      <c r="K5920" s="10"/>
      <c r="L5920" s="10"/>
      <c r="M5920" s="10"/>
      <c r="N5920" s="10"/>
      <c r="O5920" s="10"/>
      <c r="P5920" s="10"/>
      <c r="Q5920" s="10"/>
      <c r="R5920" s="10"/>
      <c r="S5920" s="10"/>
      <c r="T5920" s="10"/>
      <c r="U5920" s="10"/>
      <c r="V5920" s="10"/>
      <c r="W5920" s="10"/>
      <c r="X5920" s="10"/>
      <c r="Y5920" s="10"/>
      <c r="Z5920" s="10"/>
    </row>
    <row r="5921" spans="1:26" ht="12.75">
      <c r="A5921" s="10" t="str">
        <f ca="1">IFERROR(__xludf.DUMMYFUNCTION("""COMPUTED_VALUE"""),"Николай Георгиев Палашев")</f>
        <v>Николай Георгиев Палашев</v>
      </c>
      <c r="B5921" s="10" t="str">
        <f ca="1">IFERROR(__xludf.DUMMYFUNCTION("""COMPUTED_VALUE"""),"Статия в списания и поредици")</f>
        <v>Статия в списания и поредици</v>
      </c>
      <c r="C5921" s="10" t="str">
        <f ca="1">IFERROR(__xludf.DUMMYFUNCTION("""COMPUTED_VALUE"""),"Същност и характер на комуникационната сигурност")</f>
        <v>Същност и характер на комуникационната сигурност</v>
      </c>
      <c r="D5921" s="10">
        <f ca="1">IFERROR(__xludf.DUMMYFUNCTION("""COMPUTED_VALUE"""),2019)</f>
        <v>2019</v>
      </c>
      <c r="E5921" s="10" t="str">
        <f ca="1">IFERROR(__xludf.DUMMYFUNCTION("""COMPUTED_VALUE"""),"Комуникации и политики. Учебно пособие 3.– С., За буквите – О писменехь, 2019.; с.13-22. 
 ISBN 978-619-185-391-5")</f>
        <v>Комуникации и политики. Учебно пособие 3.– С., За буквите – О писменехь, 2019.; с.13-22. 
 ISBN 978-619-185-391-5</v>
      </c>
      <c r="F5921" s="10"/>
      <c r="G5921" s="10"/>
      <c r="H5921" s="10"/>
      <c r="I5921" s="10"/>
      <c r="J5921" s="10"/>
      <c r="K5921" s="10"/>
      <c r="L5921" s="10"/>
      <c r="M5921" s="10"/>
      <c r="N5921" s="10"/>
      <c r="O5921" s="10"/>
      <c r="P5921" s="10"/>
      <c r="Q5921" s="10"/>
      <c r="R5921" s="10"/>
      <c r="S5921" s="10"/>
      <c r="T5921" s="10"/>
      <c r="U5921" s="10"/>
      <c r="V5921" s="10"/>
      <c r="W5921" s="10"/>
      <c r="X5921" s="10"/>
      <c r="Y5921" s="10"/>
      <c r="Z5921" s="10"/>
    </row>
    <row r="5922" spans="1:26" ht="12.75">
      <c r="A5922" s="10" t="str">
        <f ca="1">IFERROR(__xludf.DUMMYFUNCTION("""COMPUTED_VALUE"""),"Николай Георгиев Палашев")</f>
        <v>Николай Георгиев Палашев</v>
      </c>
      <c r="B5922" s="10" t="str">
        <f ca="1">IFERROR(__xludf.DUMMYFUNCTION("""COMPUTED_VALUE"""),"Статия в списания и поредици")</f>
        <v>Статия в списания и поредици</v>
      </c>
      <c r="C5922" s="10" t="str">
        <f ca="1">IFERROR(__xludf.DUMMYFUNCTION("""COMPUTED_VALUE"""),"КОМУНИКАЦИОННА МИСТИФИКАЦИЯ И ИДЕОЛОГЕМНИТЕ ИНТЕРПРЕТАЦИИ")</f>
        <v>КОМУНИКАЦИОННА МИСТИФИКАЦИЯ И ИДЕОЛОГЕМНИТЕ ИНТЕРПРЕТАЦИИ</v>
      </c>
      <c r="D5922" s="10">
        <f ca="1">IFERROR(__xludf.DUMMYFUNCTION("""COMPUTED_VALUE"""),2019)</f>
        <v>2019</v>
      </c>
      <c r="E5922" s="10" t="str">
        <f ca="1">IFERROR(__xludf.DUMMYFUNCTION("""COMPUTED_VALUE"""),"Комуникации и политики. Учебно пособие 3.– С., За буквите – О писменехь, 2019.; ISSN 2683-0094")</f>
        <v>Комуникации и политики. Учебно пособие 3.– С., За буквите – О писменехь, 2019.; ISSN 2683-0094</v>
      </c>
      <c r="F5922" s="10"/>
      <c r="G5922" s="10" t="str">
        <f ca="1">IFERROR(__xludf.DUMMYFUNCTION("""COMPUTED_VALUE"""),"Стоян Денчев")</f>
        <v>Стоян Денчев</v>
      </c>
      <c r="H5922" s="10"/>
      <c r="I5922" s="10"/>
      <c r="J5922" s="10"/>
      <c r="K5922" s="10"/>
      <c r="L5922" s="10"/>
      <c r="M5922" s="10"/>
      <c r="N5922" s="10"/>
      <c r="O5922" s="10"/>
      <c r="P5922" s="10"/>
      <c r="Q5922" s="10"/>
      <c r="R5922" s="10"/>
      <c r="S5922" s="10"/>
      <c r="T5922" s="10"/>
      <c r="U5922" s="10"/>
      <c r="V5922" s="10"/>
      <c r="W5922" s="10"/>
      <c r="X5922" s="10"/>
      <c r="Y5922" s="10"/>
      <c r="Z5922" s="10"/>
    </row>
    <row r="5923" spans="1:26" ht="12.75">
      <c r="A5923" s="10" t="str">
        <f ca="1">IFERROR(__xludf.DUMMYFUNCTION("""COMPUTED_VALUE"""),"Николай Георгиев Палашев")</f>
        <v>Николай Георгиев Палашев</v>
      </c>
      <c r="B5923" s="10" t="str">
        <f ca="1">IFERROR(__xludf.DUMMYFUNCTION("""COMPUTED_VALUE"""),"Доклад от конференция")</f>
        <v>Доклад от конференция</v>
      </c>
      <c r="C5923" s="10" t="str">
        <f ca="1">IFERROR(__xludf.DUMMYFUNCTION("""COMPUTED_VALUE"""),"ЗНАКЪТ, СИМВОЛЪТ И ОБРАЗЪТ, КАТО МАТЕРИАЛИЗАЦИЯ НА ДУХОВНИТЕ УСТОИ НА ЦИВИЛИЗАЦИОННОТО РАЗВИТИЕ")</f>
        <v>ЗНАКЪТ, СИМВОЛЪТ И ОБРАЗЪТ, КАТО МАТЕРИАЛИЗАЦИЯ НА ДУХОВНИТЕ УСТОИ НА ЦИВИЛИЗАЦИОННОТО РАЗВИТИЕ</v>
      </c>
      <c r="D5923" s="10">
        <f ca="1">IFERROR(__xludf.DUMMYFUNCTION("""COMPUTED_VALUE"""),2019)</f>
        <v>2019</v>
      </c>
      <c r="E5923" s="10" t="str">
        <f ca="1">IFERROR(__xludf.DUMMYFUNCTION("""COMPUTED_VALUE"""),"В: Обществото на знанието и хуманизмът на XXI век. София: За буквите – О писменехь, том 17, 2019,
 ISSN 2683-0094")</f>
        <v>В: Обществото на знанието и хуманизмът на XXI век. София: За буквите – О писменехь, том 17, 2019,
 ISSN 2683-0094</v>
      </c>
      <c r="F5923" s="10"/>
      <c r="G5923" s="10"/>
      <c r="H5923" s="10"/>
      <c r="I5923" s="10"/>
      <c r="J5923" s="10"/>
      <c r="K5923" s="10"/>
      <c r="L5923" s="10"/>
      <c r="M5923" s="10"/>
      <c r="N5923" s="10"/>
      <c r="O5923" s="10"/>
      <c r="P5923" s="10"/>
      <c r="Q5923" s="10"/>
      <c r="R5923" s="10"/>
      <c r="S5923" s="10"/>
      <c r="T5923" s="10"/>
      <c r="U5923" s="10"/>
      <c r="V5923" s="10"/>
      <c r="W5923" s="10"/>
      <c r="X5923" s="10"/>
      <c r="Y5923" s="10"/>
      <c r="Z5923" s="10"/>
    </row>
    <row r="5924" spans="1:26" ht="12.75">
      <c r="A5924" s="10" t="str">
        <f ca="1">IFERROR(__xludf.DUMMYFUNCTION("""COMPUTED_VALUE"""),"Николай Георгиев Палашев")</f>
        <v>Николай Георгиев Палашев</v>
      </c>
      <c r="B5924" s="10" t="str">
        <f ca="1">IFERROR(__xludf.DUMMYFUNCTION("""COMPUTED_VALUE"""),"Статия в списания и поредици")</f>
        <v>Статия в списания и поредици</v>
      </c>
      <c r="C5924" s="10" t="str">
        <f ca="1">IFERROR(__xludf.DUMMYFUNCTION("""COMPUTED_VALUE"""),"Комуникационната война на неолиберализма")</f>
        <v>Комуникационната война на неолиберализма</v>
      </c>
      <c r="D5924" s="10">
        <f ca="1">IFERROR(__xludf.DUMMYFUNCTION("""COMPUTED_VALUE"""),2018)</f>
        <v>2018</v>
      </c>
      <c r="E5924" s="10" t="str">
        <f ca="1">IFERROR(__xludf.DUMMYFUNCTION("""COMPUTED_VALUE"""),"Сб. ""Проблеми на обществената комуникация"". За буквите – О писменехь. с. 23-32
 ISSN2534-9430")</f>
        <v>Сб. "Проблеми на обществената комуникация". За буквите – О писменехь. с. 23-32
 ISSN2534-9430</v>
      </c>
      <c r="F5924" s="10"/>
      <c r="G5924" s="10"/>
      <c r="H5924" s="10"/>
      <c r="I5924" s="10"/>
      <c r="J5924" s="10"/>
      <c r="K5924" s="10"/>
      <c r="L5924" s="10"/>
      <c r="M5924" s="10"/>
      <c r="N5924" s="10"/>
      <c r="O5924" s="10"/>
      <c r="P5924" s="10"/>
      <c r="Q5924" s="10"/>
      <c r="R5924" s="10"/>
      <c r="S5924" s="10"/>
      <c r="T5924" s="10"/>
      <c r="U5924" s="10"/>
      <c r="V5924" s="10"/>
      <c r="W5924" s="10"/>
      <c r="X5924" s="10"/>
      <c r="Y5924" s="10"/>
      <c r="Z5924" s="10"/>
    </row>
    <row r="5925" spans="1:26" ht="12.75">
      <c r="A5925" s="10" t="str">
        <f ca="1">IFERROR(__xludf.DUMMYFUNCTION("""COMPUTED_VALUE"""),"Николай Георгиев Палашев")</f>
        <v>Николай Георгиев Палашев</v>
      </c>
      <c r="B5925" s="10" t="str">
        <f ca="1">IFERROR(__xludf.DUMMYFUNCTION("""COMPUTED_VALUE"""),"Доклад от конференция")</f>
        <v>Доклад от конференция</v>
      </c>
      <c r="C5925" s="10" t="str">
        <f ca="1">IFERROR(__xludf.DUMMYFUNCTION("""COMPUTED_VALUE"""),"ИНДОКТРИНИРАНЕТ О, КАТО ОСНОВЕН ПОДХОД В КОМУНИКАЦИОНН АТА ВОЙНА НА НЕОЛИБЕРАЛИЗМА СРЕЩУ НАЦИОНАЛНИТЕ ОБЩЕСТВА")</f>
        <v>ИНДОКТРИНИРАНЕТ О, КАТО ОСНОВЕН ПОДХОД В КОМУНИКАЦИОНН АТА ВОЙНА НА НЕОЛИБЕРАЛИЗМА СРЕЩУ НАЦИОНАЛНИТЕ ОБЩЕСТВА</v>
      </c>
      <c r="D5925" s="10">
        <f ca="1">IFERROR(__xludf.DUMMYFUNCTION("""COMPUTED_VALUE"""),2018)</f>
        <v>2018</v>
      </c>
      <c r="E5925" s="10" t="str">
        <f ca="1">IFERROR(__xludf.DUMMYFUNCTION("""COMPUTED_VALUE"""),"сб. с доклади от 16-та Национална научна конференция ""Общество на знанието и хуманизмът на XXI век"" , София, ""За буквите - О писменехь"", 2018 ISSN:1314-7099")</f>
        <v>сб. с доклади от 16-та Национална научна конференция "Общество на знанието и хуманизмът на XXI век" , София, "За буквите - О писменехь", 2018 ISSN:1314-7099</v>
      </c>
      <c r="F5925" s="10"/>
      <c r="G5925" s="10"/>
      <c r="H5925" s="10"/>
      <c r="I5925" s="10"/>
      <c r="J5925" s="10"/>
      <c r="K5925" s="10"/>
      <c r="L5925" s="10"/>
      <c r="M5925" s="10"/>
      <c r="N5925" s="10"/>
      <c r="O5925" s="10"/>
      <c r="P5925" s="10"/>
      <c r="Q5925" s="10"/>
      <c r="R5925" s="10"/>
      <c r="S5925" s="10"/>
      <c r="T5925" s="10"/>
      <c r="U5925" s="10"/>
      <c r="V5925" s="10"/>
      <c r="W5925" s="10"/>
      <c r="X5925" s="10"/>
      <c r="Y5925" s="10"/>
      <c r="Z5925" s="10"/>
    </row>
    <row r="5926" spans="1:26" ht="12.75">
      <c r="A5926" s="10" t="str">
        <f ca="1">IFERROR(__xludf.DUMMYFUNCTION("""COMPUTED_VALUE"""),"Николай Георгиев Палашев")</f>
        <v>Николай Георгиев Палашев</v>
      </c>
      <c r="B5926" s="10" t="str">
        <f ca="1">IFERROR(__xludf.DUMMYFUNCTION("""COMPUTED_VALUE"""),"Статия в списания и поредици")</f>
        <v>Статия в списания и поредици</v>
      </c>
      <c r="C5926" s="10" t="str">
        <f ca="1">IFERROR(__xludf.DUMMYFUNCTION("""COMPUTED_VALUE"""),"Механизми на комуникационната сигурност при трансцеденталната комуникация")</f>
        <v>Механизми на комуникационната сигурност при трансцеденталната комуникация</v>
      </c>
      <c r="D5926" s="10">
        <f ca="1">IFERROR(__xludf.DUMMYFUNCTION("""COMPUTED_VALUE"""),2018)</f>
        <v>2018</v>
      </c>
      <c r="E5926" s="10" t="str">
        <f ca="1">IFERROR(__xludf.DUMMYFUNCTION("""COMPUTED_VALUE"""),"Комуникации и политики. Учебно пособие 3.– С., За буквите – О писменехь, 2019.; с.13-22. ISBN 978-619-185-391-5")</f>
        <v>Комуникации и политики. Учебно пособие 3.– С., За буквите – О писменехь, 2019.; с.13-22. ISBN 978-619-185-391-5</v>
      </c>
      <c r="F5926" s="10"/>
      <c r="G5926" s="10"/>
      <c r="H5926" s="10"/>
      <c r="I5926" s="10"/>
      <c r="J5926" s="10"/>
      <c r="K5926" s="10"/>
      <c r="L5926" s="10"/>
      <c r="M5926" s="10"/>
      <c r="N5926" s="10"/>
      <c r="O5926" s="10"/>
      <c r="P5926" s="10"/>
      <c r="Q5926" s="10"/>
      <c r="R5926" s="10"/>
      <c r="S5926" s="10"/>
      <c r="T5926" s="10"/>
      <c r="U5926" s="10"/>
      <c r="V5926" s="10"/>
      <c r="W5926" s="10"/>
      <c r="X5926" s="10"/>
      <c r="Y5926" s="10"/>
      <c r="Z5926" s="10"/>
    </row>
    <row r="5927" spans="1:26" ht="12.75">
      <c r="A5927" s="10" t="str">
        <f ca="1">IFERROR(__xludf.DUMMYFUNCTION("""COMPUTED_VALUE"""),"Николай Георгиев Палашев")</f>
        <v>Николай Георгиев Палашев</v>
      </c>
      <c r="B5927" s="10" t="str">
        <f ca="1">IFERROR(__xludf.DUMMYFUNCTION("""COMPUTED_VALUE"""),"Статия в списания и поредици")</f>
        <v>Статия в списания и поредици</v>
      </c>
      <c r="C5927" s="10" t="str">
        <f ca="1">IFERROR(__xludf.DUMMYFUNCTION("""COMPUTED_VALUE"""),"Комуникации и подмяна на ценности: Хибридната война на неолиберализма")</f>
        <v>Комуникации и подмяна на ценности: Хибридната война на неолиберализма</v>
      </c>
      <c r="D5927" s="10">
        <f ca="1">IFERROR(__xludf.DUMMYFUNCTION("""COMPUTED_VALUE"""),2018)</f>
        <v>2018</v>
      </c>
      <c r="E5927" s="10" t="str">
        <f ca="1">IFERROR(__xludf.DUMMYFUNCTION("""COMPUTED_VALUE"""),"сб. „Общество на знанието и хуманизма на ХХI век“")</f>
        <v>сб. „Общество на знанието и хуманизма на ХХI век“</v>
      </c>
      <c r="F5927" s="10"/>
      <c r="G5927" s="10" t="str">
        <f ca="1">IFERROR(__xludf.DUMMYFUNCTION("""COMPUTED_VALUE"""),"Стоян Денчев")</f>
        <v>Стоян Денчев</v>
      </c>
      <c r="H5927" s="10"/>
      <c r="I5927" s="10"/>
      <c r="J5927" s="10"/>
      <c r="K5927" s="10"/>
      <c r="L5927" s="10"/>
      <c r="M5927" s="10"/>
      <c r="N5927" s="10"/>
      <c r="O5927" s="10"/>
      <c r="P5927" s="10"/>
      <c r="Q5927" s="10"/>
      <c r="R5927" s="10"/>
      <c r="S5927" s="10"/>
      <c r="T5927" s="10"/>
      <c r="U5927" s="10"/>
      <c r="V5927" s="10"/>
      <c r="W5927" s="10"/>
      <c r="X5927" s="10"/>
      <c r="Y5927" s="10"/>
      <c r="Z5927" s="10"/>
    </row>
    <row r="5928" spans="1:26" ht="12.75">
      <c r="A5928" s="10" t="str">
        <f ca="1">IFERROR(__xludf.DUMMYFUNCTION("""COMPUTED_VALUE"""),"Николай Георгиев Палашев")</f>
        <v>Николай Георгиев Палашев</v>
      </c>
      <c r="B5928" s="10" t="str">
        <f ca="1">IFERROR(__xludf.DUMMYFUNCTION("""COMPUTED_VALUE"""),"Статия в списания и поредици")</f>
        <v>Статия в списания и поредици</v>
      </c>
      <c r="C5928" s="10" t="str">
        <f ca="1">IFERROR(__xludf.DUMMYFUNCTION("""COMPUTED_VALUE"""),"Неолибералната стилистика – манипулативно въздействие при обществената информация")</f>
        <v>Неолибералната стилистика – манипулативно въздействие при обществената информация</v>
      </c>
      <c r="D5928" s="10">
        <f ca="1">IFERROR(__xludf.DUMMYFUNCTION("""COMPUTED_VALUE"""),2018)</f>
        <v>2018</v>
      </c>
      <c r="E5928" s="10" t="str">
        <f ca="1">IFERROR(__xludf.DUMMYFUNCTION("""COMPUTED_VALUE"""),"Сп. Геополитически журнал, Русия")</f>
        <v>Сп. Геополитически журнал, Русия</v>
      </c>
      <c r="F5928" s="10"/>
      <c r="G5928" s="10" t="str">
        <f ca="1">IFERROR(__xludf.DUMMYFUNCTION("""COMPUTED_VALUE"""),"Стоян Денчев, Марияна Атанасова")</f>
        <v>Стоян Денчев, Марияна Атанасова</v>
      </c>
      <c r="H5928" s="10"/>
      <c r="I5928" s="10"/>
      <c r="J5928" s="10"/>
      <c r="K5928" s="10"/>
      <c r="L5928" s="10"/>
      <c r="M5928" s="10"/>
      <c r="N5928" s="10"/>
      <c r="O5928" s="10"/>
      <c r="P5928" s="10"/>
      <c r="Q5928" s="10"/>
      <c r="R5928" s="10"/>
      <c r="S5928" s="10"/>
      <c r="T5928" s="10"/>
      <c r="U5928" s="10"/>
      <c r="V5928" s="10"/>
      <c r="W5928" s="10"/>
      <c r="X5928" s="10"/>
      <c r="Y5928" s="10"/>
      <c r="Z5928" s="10"/>
    </row>
    <row r="5929" spans="1:26" ht="12.75">
      <c r="A5929" s="10" t="str">
        <f ca="1">IFERROR(__xludf.DUMMYFUNCTION("""COMPUTED_VALUE"""),"Николай Георгиев Палашев")</f>
        <v>Николай Георгиев Палашев</v>
      </c>
      <c r="B5929" s="10" t="str">
        <f ca="1">IFERROR(__xludf.DUMMYFUNCTION("""COMPUTED_VALUE"""),"Доклад от конференция")</f>
        <v>Доклад от конференция</v>
      </c>
      <c r="C5929" s="10" t="str">
        <f ca="1">IFERROR(__xludf.DUMMYFUNCTION("""COMPUTED_VALUE"""),"Фалшиви ли са новините в България")</f>
        <v>Фалшиви ли са новините в България</v>
      </c>
      <c r="D5929" s="10">
        <f ca="1">IFERROR(__xludf.DUMMYFUNCTION("""COMPUTED_VALUE"""),2018)</f>
        <v>2018</v>
      </c>
      <c r="E5929" s="10" t="str">
        <f ca="1">IFERROR(__xludf.DUMMYFUNCTION("""COMPUTED_VALUE"""),"Сб. „Медийна среда, публична и стратегическа комуникация“, изд. ИК-УНСС,с.55-64. ISBN 978-619-232-086-7.")</f>
        <v>Сб. „Медийна среда, публична и стратегическа комуникация“, изд. ИК-УНСС,с.55-64. ISBN 978-619-232-086-7.</v>
      </c>
      <c r="F5929" s="10"/>
      <c r="G5929" s="10" t="str">
        <f ca="1">IFERROR(__xludf.DUMMYFUNCTION("""COMPUTED_VALUE"""),"Христина Богова")</f>
        <v>Христина Богова</v>
      </c>
      <c r="H5929" s="10"/>
      <c r="I5929" s="10"/>
      <c r="J5929" s="10"/>
      <c r="K5929" s="10"/>
      <c r="L5929" s="10"/>
      <c r="M5929" s="10"/>
      <c r="N5929" s="10"/>
      <c r="O5929" s="10"/>
      <c r="P5929" s="10"/>
      <c r="Q5929" s="10"/>
      <c r="R5929" s="10"/>
      <c r="S5929" s="10"/>
      <c r="T5929" s="10"/>
      <c r="U5929" s="10"/>
      <c r="V5929" s="10"/>
      <c r="W5929" s="10"/>
      <c r="X5929" s="10"/>
      <c r="Y5929" s="10"/>
      <c r="Z5929" s="10"/>
    </row>
    <row r="5930" spans="1:26" ht="12.75">
      <c r="A5930" s="10" t="str">
        <f ca="1">IFERROR(__xludf.DUMMYFUNCTION("""COMPUTED_VALUE"""),"Николай Георгиев Палашев")</f>
        <v>Николай Георгиев Палашев</v>
      </c>
      <c r="B5930" s="10" t="str">
        <f ca="1">IFERROR(__xludf.DUMMYFUNCTION("""COMPUTED_VALUE"""),"Доклад от конференция")</f>
        <v>Доклад от конференция</v>
      </c>
      <c r="C5930" s="10" t="str">
        <f ca="1">IFERROR(__xludf.DUMMYFUNCTION("""COMPUTED_VALUE"""),"Понятие, същност и функционалност на комуникационната сигурност")</f>
        <v>Понятие, същност и функционалност на комуникационната сигурност</v>
      </c>
      <c r="D5930" s="10">
        <f ca="1">IFERROR(__xludf.DUMMYFUNCTION("""COMPUTED_VALUE"""),2017)</f>
        <v>2017</v>
      </c>
      <c r="E5930" s="10" t="str">
        <f ca="1">IFERROR(__xludf.DUMMYFUNCTION("""COMPUTED_VALUE"""),"сб. „Комуникации и политика“, изд. „За буквите – О писменах“, С., 2017")</f>
        <v>сб. „Комуникации и политика“, изд. „За буквите – О писменах“, С., 2017</v>
      </c>
      <c r="F5930" s="10"/>
      <c r="G5930" s="10"/>
      <c r="H5930" s="10"/>
      <c r="I5930" s="10"/>
      <c r="J5930" s="10"/>
      <c r="K5930" s="10"/>
      <c r="L5930" s="10"/>
      <c r="M5930" s="10"/>
      <c r="N5930" s="10"/>
      <c r="O5930" s="10"/>
      <c r="P5930" s="10"/>
      <c r="Q5930" s="10"/>
      <c r="R5930" s="10"/>
      <c r="S5930" s="10"/>
      <c r="T5930" s="10"/>
      <c r="U5930" s="10"/>
      <c r="V5930" s="10"/>
      <c r="W5930" s="10"/>
      <c r="X5930" s="10"/>
      <c r="Y5930" s="10"/>
      <c r="Z5930" s="10"/>
    </row>
    <row r="5931" spans="1:26" ht="12.75">
      <c r="A5931" s="10" t="str">
        <f ca="1">IFERROR(__xludf.DUMMYFUNCTION("""COMPUTED_VALUE"""),"Николай Георгиев Палашев")</f>
        <v>Николай Георгиев Палашев</v>
      </c>
      <c r="B5931" s="10" t="str">
        <f ca="1">IFERROR(__xludf.DUMMYFUNCTION("""COMPUTED_VALUE"""),"Статия в списания и поредици")</f>
        <v>Статия в списания и поредици</v>
      </c>
      <c r="C5931" s="10" t="str">
        <f ca="1">IFERROR(__xludf.DUMMYFUNCTION("""COMPUTED_VALUE"""),"Мултикултурализмът – голямата комуникационна мистификация на неолиберализма")</f>
        <v>Мултикултурализмът – голямата комуникационна мистификация на неолиберализма</v>
      </c>
      <c r="D5931" s="10">
        <f ca="1">IFERROR(__xludf.DUMMYFUNCTION("""COMPUTED_VALUE"""),2017)</f>
        <v>2017</v>
      </c>
      <c r="E5931" s="10" t="str">
        <f ca="1">IFERROR(__xludf.DUMMYFUNCTION("""COMPUTED_VALUE"""),"сп.“Геополитически журнал“, Русия")</f>
        <v>сп.“Геополитически журнал“, Русия</v>
      </c>
      <c r="F5931" s="10"/>
      <c r="G5931" s="10" t="str">
        <f ca="1">IFERROR(__xludf.DUMMYFUNCTION("""COMPUTED_VALUE"""),"Стоян Денчев")</f>
        <v>Стоян Денчев</v>
      </c>
      <c r="H5931" s="10"/>
      <c r="I5931" s="10"/>
      <c r="J5931" s="10"/>
      <c r="K5931" s="10"/>
      <c r="L5931" s="10"/>
      <c r="M5931" s="10"/>
      <c r="N5931" s="10"/>
      <c r="O5931" s="10"/>
      <c r="P5931" s="10"/>
      <c r="Q5931" s="10"/>
      <c r="R5931" s="10"/>
      <c r="S5931" s="10"/>
      <c r="T5931" s="10"/>
      <c r="U5931" s="10"/>
      <c r="V5931" s="10"/>
      <c r="W5931" s="10"/>
      <c r="X5931" s="10"/>
      <c r="Y5931" s="10"/>
      <c r="Z5931" s="10"/>
    </row>
    <row r="5932" spans="1:26" ht="12.75">
      <c r="A5932" s="10" t="str">
        <f ca="1">IFERROR(__xludf.DUMMYFUNCTION("""COMPUTED_VALUE"""),"Николай Георгиев Палашев")</f>
        <v>Николай Георгиев Палашев</v>
      </c>
      <c r="B5932" s="10" t="str">
        <f ca="1">IFERROR(__xludf.DUMMYFUNCTION("""COMPUTED_VALUE"""),"Статия в списания и поредици")</f>
        <v>Статия в списания и поредици</v>
      </c>
      <c r="C5932" s="10" t="str">
        <f ca="1">IFERROR(__xludf.DUMMYFUNCTION("""COMPUTED_VALUE"""),"Проекции на политическото лидерство в условията на съвременния неолиберализъм")</f>
        <v>Проекции на политическото лидерство в условията на съвременния неолиберализъм</v>
      </c>
      <c r="D5932" s="10">
        <f ca="1">IFERROR(__xludf.DUMMYFUNCTION("""COMPUTED_VALUE"""),2017)</f>
        <v>2017</v>
      </c>
      <c r="E5932" s="10" t="str">
        <f ca="1">IFERROR(__xludf.DUMMYFUNCTION("""COMPUTED_VALUE"""),"„Комуникации и политика“, сборник - учебно помагало, издз. „За буквите – О писменехь“, УНИБИТ")</f>
        <v>„Комуникации и политика“, сборник - учебно помагало, издз. „За буквите – О писменехь“, УНИБИТ</v>
      </c>
      <c r="F5932" s="10"/>
      <c r="G5932" s="10" t="str">
        <f ca="1">IFERROR(__xludf.DUMMYFUNCTION("""COMPUTED_VALUE"""),"Стоян Денчев")</f>
        <v>Стоян Денчев</v>
      </c>
      <c r="H5932" s="10"/>
      <c r="I5932" s="10"/>
      <c r="J5932" s="10"/>
      <c r="K5932" s="10"/>
      <c r="L5932" s="10"/>
      <c r="M5932" s="10"/>
      <c r="N5932" s="10"/>
      <c r="O5932" s="10"/>
      <c r="P5932" s="10"/>
      <c r="Q5932" s="10"/>
      <c r="R5932" s="10"/>
      <c r="S5932" s="10"/>
      <c r="T5932" s="10"/>
      <c r="U5932" s="10"/>
      <c r="V5932" s="10"/>
      <c r="W5932" s="10"/>
      <c r="X5932" s="10"/>
      <c r="Y5932" s="10"/>
      <c r="Z5932" s="10"/>
    </row>
    <row r="5933" spans="1:26" ht="12.75">
      <c r="A5933" s="10" t="str">
        <f ca="1">IFERROR(__xludf.DUMMYFUNCTION("""COMPUTED_VALUE"""),"Николай Георгиев Палашев")</f>
        <v>Николай Георгиев Палашев</v>
      </c>
      <c r="B5933" s="10" t="str">
        <f ca="1">IFERROR(__xludf.DUMMYFUNCTION("""COMPUTED_VALUE"""),"Статия в списания и поредици")</f>
        <v>Статия в списания и поредици</v>
      </c>
      <c r="C5933" s="10" t="str">
        <f ca="1">IFERROR(__xludf.DUMMYFUNCTION("""COMPUTED_VALUE"""),"Проектът „Макрон")</f>
        <v>Проектът „Макрон</v>
      </c>
      <c r="D5933" s="10">
        <f ca="1">IFERROR(__xludf.DUMMYFUNCTION("""COMPUTED_VALUE"""),2017)</f>
        <v>2017</v>
      </c>
      <c r="E5933" s="10" t="str">
        <f ca="1">IFERROR(__xludf.DUMMYFUNCTION("""COMPUTED_VALUE"""),"сп. „Геополитически журнал“, Русия")</f>
        <v>сп. „Геополитически журнал“, Русия</v>
      </c>
      <c r="F5933" s="10"/>
      <c r="G5933" s="10"/>
      <c r="H5933" s="10"/>
      <c r="I5933" s="10"/>
      <c r="J5933" s="10"/>
      <c r="K5933" s="10"/>
      <c r="L5933" s="10"/>
      <c r="M5933" s="10"/>
      <c r="N5933" s="10"/>
      <c r="O5933" s="10"/>
      <c r="P5933" s="10"/>
      <c r="Q5933" s="10"/>
      <c r="R5933" s="10"/>
      <c r="S5933" s="10"/>
      <c r="T5933" s="10"/>
      <c r="U5933" s="10"/>
      <c r="V5933" s="10"/>
      <c r="W5933" s="10"/>
      <c r="X5933" s="10"/>
      <c r="Y5933" s="10"/>
      <c r="Z5933" s="10"/>
    </row>
    <row r="5934" spans="1:26" ht="12.75">
      <c r="A5934" s="10" t="str">
        <f ca="1">IFERROR(__xludf.DUMMYFUNCTION("""COMPUTED_VALUE"""),"Николай Георгиев Палашев")</f>
        <v>Николай Георгиев Палашев</v>
      </c>
      <c r="B5934" s="10" t="str">
        <f ca="1">IFERROR(__xludf.DUMMYFUNCTION("""COMPUTED_VALUE"""),"Доклад от конференция")</f>
        <v>Доклад от конференция</v>
      </c>
      <c r="C5934" s="10" t="str">
        <f ca="1">IFERROR(__xludf.DUMMYFUNCTION("""COMPUTED_VALUE"""),"Комуникационни аспекти на сблъсъка между неолибералния политически модел и политическия модел на националната държава")</f>
        <v>Комуникационни аспекти на сблъсъка между неолибералния политически модел и политическия модел на националната държава</v>
      </c>
      <c r="D5934" s="10">
        <f ca="1">IFERROR(__xludf.DUMMYFUNCTION("""COMPUTED_VALUE"""),2017)</f>
        <v>2017</v>
      </c>
      <c r="E5934" s="10" t="str">
        <f ca="1">IFERROR(__xludf.DUMMYFUNCTION("""COMPUTED_VALUE"""),"сб. доклади, Научна конференция „Проблеми на обществената комуникация“")</f>
        <v>сб. доклади, Научна конференция „Проблеми на обществената комуникация“</v>
      </c>
      <c r="F5934" s="10"/>
      <c r="G5934" s="10" t="str">
        <f ca="1">IFERROR(__xludf.DUMMYFUNCTION("""COMPUTED_VALUE"""),"Стоян Денчев")</f>
        <v>Стоян Денчев</v>
      </c>
      <c r="H5934" s="10"/>
      <c r="I5934" s="10"/>
      <c r="J5934" s="10"/>
      <c r="K5934" s="10"/>
      <c r="L5934" s="10"/>
      <c r="M5934" s="10"/>
      <c r="N5934" s="10"/>
      <c r="O5934" s="10"/>
      <c r="P5934" s="10"/>
      <c r="Q5934" s="10"/>
      <c r="R5934" s="10"/>
      <c r="S5934" s="10"/>
      <c r="T5934" s="10"/>
      <c r="U5934" s="10"/>
      <c r="V5934" s="10"/>
      <c r="W5934" s="10"/>
      <c r="X5934" s="10"/>
      <c r="Y5934" s="10"/>
      <c r="Z5934" s="10"/>
    </row>
    <row r="5935" spans="1:26" ht="12.75">
      <c r="A5935" s="10" t="str">
        <f ca="1">IFERROR(__xludf.DUMMYFUNCTION("""COMPUTED_VALUE"""),"Николай Георгиев Палашев")</f>
        <v>Николай Георгиев Палашев</v>
      </c>
      <c r="B5935" s="10" t="str">
        <f ca="1">IFERROR(__xludf.DUMMYFUNCTION("""COMPUTED_VALUE"""),"Доклад от конференция")</f>
        <v>Доклад от конференция</v>
      </c>
      <c r="C5935" s="10" t="str">
        <f ca="1">IFERROR(__xludf.DUMMYFUNCTION("""COMPUTED_VALUE"""),"Политическото лидерство в условията на неолиберализма")</f>
        <v>Политическото лидерство в условията на неолиберализма</v>
      </c>
      <c r="D5935" s="10">
        <f ca="1">IFERROR(__xludf.DUMMYFUNCTION("""COMPUTED_VALUE"""),2017)</f>
        <v>2017</v>
      </c>
      <c r="E5935" s="10" t="str">
        <f ca="1">IFERROR(__xludf.DUMMYFUNCTION("""COMPUTED_VALUE"""),"сб. доклади, Научна конференция „Проблеми на лидерството“ – УНИБИТ")</f>
        <v>сб. доклади, Научна конференция „Проблеми на лидерството“ – УНИБИТ</v>
      </c>
      <c r="F5935" s="10"/>
      <c r="G5935" s="10"/>
      <c r="H5935" s="10"/>
      <c r="I5935" s="10"/>
      <c r="J5935" s="10"/>
      <c r="K5935" s="10"/>
      <c r="L5935" s="10"/>
      <c r="M5935" s="10"/>
      <c r="N5935" s="10"/>
      <c r="O5935" s="10"/>
      <c r="P5935" s="10"/>
      <c r="Q5935" s="10"/>
      <c r="R5935" s="10"/>
      <c r="S5935" s="10"/>
      <c r="T5935" s="10"/>
      <c r="U5935" s="10"/>
      <c r="V5935" s="10"/>
      <c r="W5935" s="10"/>
      <c r="X5935" s="10"/>
      <c r="Y5935" s="10"/>
      <c r="Z5935" s="10"/>
    </row>
    <row r="5936" spans="1:26" ht="12.75">
      <c r="A5936" s="10" t="str">
        <f ca="1">IFERROR(__xludf.DUMMYFUNCTION("""COMPUTED_VALUE"""),"Николай Георгиев Палашев")</f>
        <v>Николай Георгиев Палашев</v>
      </c>
      <c r="B5936" s="10" t="str">
        <f ca="1">IFERROR(__xludf.DUMMYFUNCTION("""COMPUTED_VALUE"""),"Доклад от конференция")</f>
        <v>Доклад от конференция</v>
      </c>
      <c r="C5936" s="10" t="str">
        <f ca="1">IFERROR(__xludf.DUMMYFUNCTION("""COMPUTED_VALUE"""),"Проявления и влияния на съвременните медии")</f>
        <v>Проявления и влияния на съвременните медии</v>
      </c>
      <c r="D5936" s="10">
        <f ca="1">IFERROR(__xludf.DUMMYFUNCTION("""COMPUTED_VALUE"""),2017)</f>
        <v>2017</v>
      </c>
      <c r="E5936" s="10" t="str">
        <f ca="1">IFERROR(__xludf.DUMMYFUNCTION("""COMPUTED_VALUE"""),"сб. доклади, Научна конференция – Ниш, Сърбия")</f>
        <v>сб. доклади, Научна конференция – Ниш, Сърбия</v>
      </c>
      <c r="F5936" s="10"/>
      <c r="G5936" s="10" t="str">
        <f ca="1">IFERROR(__xludf.DUMMYFUNCTION("""COMPUTED_VALUE"""),"Ванче Бойков")</f>
        <v>Ванче Бойков</v>
      </c>
      <c r="H5936" s="10"/>
      <c r="I5936" s="10"/>
      <c r="J5936" s="10"/>
      <c r="K5936" s="10"/>
      <c r="L5936" s="10"/>
      <c r="M5936" s="10"/>
      <c r="N5936" s="10"/>
      <c r="O5936" s="10"/>
      <c r="P5936" s="10"/>
      <c r="Q5936" s="10"/>
      <c r="R5936" s="10"/>
      <c r="S5936" s="10"/>
      <c r="T5936" s="10"/>
      <c r="U5936" s="10"/>
      <c r="V5936" s="10"/>
      <c r="W5936" s="10"/>
      <c r="X5936" s="10"/>
      <c r="Y5936" s="10"/>
      <c r="Z5936" s="10"/>
    </row>
    <row r="5937" spans="1:26" ht="12.75">
      <c r="A5937" s="10" t="str">
        <f ca="1">IFERROR(__xludf.DUMMYFUNCTION("""COMPUTED_VALUE"""),"Николай Георгиев Палашев")</f>
        <v>Николай Георгиев Палашев</v>
      </c>
      <c r="B5937" s="10" t="str">
        <f ca="1">IFERROR(__xludf.DUMMYFUNCTION("""COMPUTED_VALUE"""),"Статия в списания и поредици")</f>
        <v>Статия в списания и поредици</v>
      </c>
      <c r="C5937" s="10" t="str">
        <f ca="1">IFERROR(__xludf.DUMMYFUNCTION("""COMPUTED_VALUE"""),"Емануел Макрон – човекът, който „заслужи“ да управлява Франция")</f>
        <v>Емануел Макрон – човекът, който „заслужи“ да управлява Франция</v>
      </c>
      <c r="D5937" s="10">
        <f ca="1">IFERROR(__xludf.DUMMYFUNCTION("""COMPUTED_VALUE"""),2017)</f>
        <v>2017</v>
      </c>
      <c r="E5937" s="10" t="str">
        <f ca="1">IFERROR(__xludf.DUMMYFUNCTION("""COMPUTED_VALUE"""),"Сп. Геополитически журнал, Русия")</f>
        <v>Сп. Геополитически журнал, Русия</v>
      </c>
      <c r="F5937" s="10"/>
      <c r="G5937" s="10" t="str">
        <f ca="1">IFERROR(__xludf.DUMMYFUNCTION("""COMPUTED_VALUE"""),"Стоян Денчев")</f>
        <v>Стоян Денчев</v>
      </c>
      <c r="H5937" s="10"/>
      <c r="I5937" s="10"/>
      <c r="J5937" s="10"/>
      <c r="K5937" s="10"/>
      <c r="L5937" s="10"/>
      <c r="M5937" s="10"/>
      <c r="N5937" s="10"/>
      <c r="O5937" s="10"/>
      <c r="P5937" s="10"/>
      <c r="Q5937" s="10"/>
      <c r="R5937" s="10"/>
      <c r="S5937" s="10"/>
      <c r="T5937" s="10"/>
      <c r="U5937" s="10"/>
      <c r="V5937" s="10"/>
      <c r="W5937" s="10"/>
      <c r="X5937" s="10"/>
      <c r="Y5937" s="10"/>
      <c r="Z5937" s="10"/>
    </row>
    <row r="5938" spans="1:26" ht="12.75">
      <c r="A5938" s="10" t="str">
        <f ca="1">IFERROR(__xludf.DUMMYFUNCTION("""COMPUTED_VALUE"""),"Николай Георгиев Палашев")</f>
        <v>Николай Георгиев Палашев</v>
      </c>
      <c r="B5938" s="10" t="str">
        <f ca="1">IFERROR(__xludf.DUMMYFUNCTION("""COMPUTED_VALUE"""),"Доклад от конференция")</f>
        <v>Доклад от конференция</v>
      </c>
      <c r="C5938" s="10" t="str">
        <f ca="1">IFERROR(__xludf.DUMMYFUNCTION("""COMPUTED_VALUE"""),"Комуникационната мистификация в контекста на общественото развитие")</f>
        <v>Комуникационната мистификация в контекста на общественото развитие</v>
      </c>
      <c r="D5938" s="10">
        <f ca="1">IFERROR(__xludf.DUMMYFUNCTION("""COMPUTED_VALUE"""),2016)</f>
        <v>2016</v>
      </c>
      <c r="E5938" s="10" t="str">
        <f ca="1">IFERROR(__xludf.DUMMYFUNCTION("""COMPUTED_VALUE"""),"сб. доклади, Научна конференция – УНИБИТ")</f>
        <v>сб. доклади, Научна конференция – УНИБИТ</v>
      </c>
      <c r="F5938" s="10"/>
      <c r="G5938" s="10"/>
      <c r="H5938" s="10"/>
      <c r="I5938" s="10"/>
      <c r="J5938" s="10"/>
      <c r="K5938" s="10"/>
      <c r="L5938" s="10"/>
      <c r="M5938" s="10"/>
      <c r="N5938" s="10"/>
      <c r="O5938" s="10"/>
      <c r="P5938" s="10"/>
      <c r="Q5938" s="10"/>
      <c r="R5938" s="10"/>
      <c r="S5938" s="10"/>
      <c r="T5938" s="10"/>
      <c r="U5938" s="10"/>
      <c r="V5938" s="10"/>
      <c r="W5938" s="10"/>
      <c r="X5938" s="10"/>
      <c r="Y5938" s="10"/>
      <c r="Z5938" s="10"/>
    </row>
    <row r="5939" spans="1:26" ht="12.75">
      <c r="A5939" s="10" t="str">
        <f ca="1">IFERROR(__xludf.DUMMYFUNCTION("""COMPUTED_VALUE"""),"Николай Георгиев Палашев")</f>
        <v>Николай Георгиев Палашев</v>
      </c>
      <c r="B5939" s="10" t="str">
        <f ca="1">IFERROR(__xludf.DUMMYFUNCTION("""COMPUTED_VALUE"""),"Доклад от конференция")</f>
        <v>Доклад от конференция</v>
      </c>
      <c r="C5939" s="10" t="str">
        <f ca="1">IFERROR(__xludf.DUMMYFUNCTION("""COMPUTED_VALUE"""),"Мултикултурализмът – голямата комуникационна мистификация на неолиберализма")</f>
        <v>Мултикултурализмът – голямата комуникационна мистификация на неолиберализма</v>
      </c>
      <c r="D5939" s="10">
        <f ca="1">IFERROR(__xludf.DUMMYFUNCTION("""COMPUTED_VALUE"""),2016)</f>
        <v>2016</v>
      </c>
      <c r="E5939" s="10" t="str">
        <f ca="1">IFERROR(__xludf.DUMMYFUNCTION("""COMPUTED_VALUE"""),"За буквите – О писменехь")</f>
        <v>За буквите – О писменехь</v>
      </c>
      <c r="F5939" s="10"/>
      <c r="G5939" s="10"/>
      <c r="H5939" s="10"/>
      <c r="I5939" s="10"/>
      <c r="J5939" s="10"/>
      <c r="K5939" s="10"/>
      <c r="L5939" s="10"/>
      <c r="M5939" s="10"/>
      <c r="N5939" s="10"/>
      <c r="O5939" s="10"/>
      <c r="P5939" s="10"/>
      <c r="Q5939" s="10"/>
      <c r="R5939" s="10"/>
      <c r="S5939" s="10"/>
      <c r="T5939" s="10"/>
      <c r="U5939" s="10"/>
      <c r="V5939" s="10"/>
      <c r="W5939" s="10"/>
      <c r="X5939" s="10"/>
      <c r="Y5939" s="10"/>
      <c r="Z5939" s="10"/>
    </row>
    <row r="5940" spans="1:26" ht="12.75">
      <c r="A5940" s="10" t="str">
        <f ca="1">IFERROR(__xludf.DUMMYFUNCTION("""COMPUTED_VALUE"""),"Николай Георгиев Палашев")</f>
        <v>Николай Георгиев Палашев</v>
      </c>
      <c r="B5940" s="10" t="str">
        <f ca="1">IFERROR(__xludf.DUMMYFUNCTION("""COMPUTED_VALUE"""),"Статия в списания и поредици")</f>
        <v>Статия в списания и поредици</v>
      </c>
      <c r="C5940" s="10" t="str">
        <f ca="1">IFERROR(__xludf.DUMMYFUNCTION("""COMPUTED_VALUE"""),"Генезисен синергетизъм при обществената комуникация")</f>
        <v>Генезисен синергетизъм при обществената комуникация</v>
      </c>
      <c r="D5940" s="10">
        <f ca="1">IFERROR(__xludf.DUMMYFUNCTION("""COMPUTED_VALUE"""),2016)</f>
        <v>2016</v>
      </c>
      <c r="E5940" s="10" t="str">
        <f ca="1">IFERROR(__xludf.DUMMYFUNCTION("""COMPUTED_VALUE"""),"Трудове на УНИБИТ")</f>
        <v>Трудове на УНИБИТ</v>
      </c>
      <c r="F5940" s="10"/>
      <c r="G5940" s="10"/>
      <c r="H5940" s="10"/>
      <c r="I5940" s="10"/>
      <c r="J5940" s="10"/>
      <c r="K5940" s="10"/>
      <c r="L5940" s="10"/>
      <c r="M5940" s="10"/>
      <c r="N5940" s="10"/>
      <c r="O5940" s="10"/>
      <c r="P5940" s="10"/>
      <c r="Q5940" s="10"/>
      <c r="R5940" s="10"/>
      <c r="S5940" s="10"/>
      <c r="T5940" s="10"/>
      <c r="U5940" s="10"/>
      <c r="V5940" s="10"/>
      <c r="W5940" s="10"/>
      <c r="X5940" s="10"/>
      <c r="Y5940" s="10"/>
      <c r="Z5940" s="10"/>
    </row>
    <row r="5941" spans="1:26" ht="12.75">
      <c r="A5941" s="10" t="str">
        <f ca="1">IFERROR(__xludf.DUMMYFUNCTION("""COMPUTED_VALUE"""),"Николай Георгиев Палашев")</f>
        <v>Николай Георгиев Палашев</v>
      </c>
      <c r="B5941" s="10" t="str">
        <f ca="1">IFERROR(__xludf.DUMMYFUNCTION("""COMPUTED_VALUE"""),"Доклад от конференция")</f>
        <v>Доклад от конференция</v>
      </c>
      <c r="C5941" s="10" t="str">
        <f ca="1">IFERROR(__xludf.DUMMYFUNCTION("""COMPUTED_VALUE"""),"Трансцеденталност и комуникация")</f>
        <v>Трансцеденталност и комуникация</v>
      </c>
      <c r="D5941" s="10">
        <f ca="1">IFERROR(__xludf.DUMMYFUNCTION("""COMPUTED_VALUE"""),2016)</f>
        <v>2016</v>
      </c>
      <c r="E5941" s="10" t="str">
        <f ca="1">IFERROR(__xludf.DUMMYFUNCTION("""COMPUTED_VALUE"""),"сб. доклади, Научна конференция – Белград, Сърбия")</f>
        <v>сб. доклади, Научна конференция – Белград, Сърбия</v>
      </c>
      <c r="F5941" s="10"/>
      <c r="G5941" s="10"/>
      <c r="H5941" s="10"/>
      <c r="I5941" s="10"/>
      <c r="J5941" s="10"/>
      <c r="K5941" s="10"/>
      <c r="L5941" s="10"/>
      <c r="M5941" s="10"/>
      <c r="N5941" s="10"/>
      <c r="O5941" s="10"/>
      <c r="P5941" s="10"/>
      <c r="Q5941" s="10"/>
      <c r="R5941" s="10"/>
      <c r="S5941" s="10"/>
      <c r="T5941" s="10"/>
      <c r="U5941" s="10"/>
      <c r="V5941" s="10"/>
      <c r="W5941" s="10"/>
      <c r="X5941" s="10"/>
      <c r="Y5941" s="10"/>
      <c r="Z5941" s="10"/>
    </row>
    <row r="5942" spans="1:26" ht="12.75">
      <c r="A5942" s="10" t="str">
        <f ca="1">IFERROR(__xludf.DUMMYFUNCTION("""COMPUTED_VALUE"""),"Николай Георгиев Палашев")</f>
        <v>Николай Георгиев Палашев</v>
      </c>
      <c r="B5942" s="10" t="str">
        <f ca="1">IFERROR(__xludf.DUMMYFUNCTION("""COMPUTED_VALUE"""),"Доклад от конференция")</f>
        <v>Доклад от конференция</v>
      </c>
      <c r="C5942" s="10" t="str">
        <f ca="1">IFERROR(__xludf.DUMMYFUNCTION("""COMPUTED_VALUE"""),"Комуникационни деструкции при мултикултурализма")</f>
        <v>Комуникационни деструкции при мултикултурализма</v>
      </c>
      <c r="D5942" s="10">
        <f ca="1">IFERROR(__xludf.DUMMYFUNCTION("""COMPUTED_VALUE"""),2016)</f>
        <v>2016</v>
      </c>
      <c r="E5942" s="10" t="str">
        <f ca="1">IFERROR(__xludf.DUMMYFUNCTION("""COMPUTED_VALUE"""),"Сб „Проблеми на обществената комуникация“, Втора кръгла маса по проблемите на обществената комуникация, УНИБИТ, София : За буквите - О писменехь, ISSN 2534-9430")</f>
        <v>Сб „Проблеми на обществената комуникация“, Втора кръгла маса по проблемите на обществената комуникация, УНИБИТ, София : За буквите - О писменехь, ISSN 2534-9430</v>
      </c>
      <c r="F5942" s="10"/>
      <c r="G5942" s="10"/>
      <c r="H5942" s="10"/>
      <c r="I5942" s="10"/>
      <c r="J5942" s="10"/>
      <c r="K5942" s="10"/>
      <c r="L5942" s="10"/>
      <c r="M5942" s="10"/>
      <c r="N5942" s="10"/>
      <c r="O5942" s="10"/>
      <c r="P5942" s="10"/>
      <c r="Q5942" s="10"/>
      <c r="R5942" s="10"/>
      <c r="S5942" s="10"/>
      <c r="T5942" s="10"/>
      <c r="U5942" s="10"/>
      <c r="V5942" s="10"/>
      <c r="W5942" s="10"/>
      <c r="X5942" s="10"/>
      <c r="Y5942" s="10"/>
      <c r="Z5942" s="10"/>
    </row>
    <row r="5943" spans="1:26" ht="12.75">
      <c r="A5943" s="10" t="str">
        <f ca="1">IFERROR(__xludf.DUMMYFUNCTION("""COMPUTED_VALUE"""),"Николай Георгиев Палашев")</f>
        <v>Николай Георгиев Палашев</v>
      </c>
      <c r="B5943" s="10" t="str">
        <f ca="1">IFERROR(__xludf.DUMMYFUNCTION("""COMPUTED_VALUE"""),"Доклад от конференция")</f>
        <v>Доклад от конференция</v>
      </c>
      <c r="C5943" s="10" t="str">
        <f ca="1">IFERROR(__xludf.DUMMYFUNCTION("""COMPUTED_VALUE"""),"Умения, трансцеденталност и комуникация")</f>
        <v>Умения, трансцеденталност и комуникация</v>
      </c>
      <c r="D5943" s="10">
        <f ca="1">IFERROR(__xludf.DUMMYFUNCTION("""COMPUTED_VALUE"""),2015)</f>
        <v>2015</v>
      </c>
      <c r="E5943" s="10" t="str">
        <f ca="1">IFERROR(__xludf.DUMMYFUNCTION("""COMPUTED_VALUE"""),"Варшац, Сърбия")</f>
        <v>Варшац, Сърбия</v>
      </c>
      <c r="F5943" s="10"/>
      <c r="G5943" s="10"/>
      <c r="H5943" s="10"/>
      <c r="I5943" s="10"/>
      <c r="J5943" s="10"/>
      <c r="K5943" s="10"/>
      <c r="L5943" s="10"/>
      <c r="M5943" s="10"/>
      <c r="N5943" s="10"/>
      <c r="O5943" s="10"/>
      <c r="P5943" s="10"/>
      <c r="Q5943" s="10"/>
      <c r="R5943" s="10"/>
      <c r="S5943" s="10"/>
      <c r="T5943" s="10"/>
      <c r="U5943" s="10"/>
      <c r="V5943" s="10"/>
      <c r="W5943" s="10"/>
      <c r="X5943" s="10"/>
      <c r="Y5943" s="10"/>
      <c r="Z5943" s="10"/>
    </row>
    <row r="5944" spans="1:26" ht="12.75">
      <c r="A5944" s="10" t="str">
        <f ca="1">IFERROR(__xludf.DUMMYFUNCTION("""COMPUTED_VALUE"""),"Николай Георгиев Палашев")</f>
        <v>Николай Георгиев Палашев</v>
      </c>
      <c r="B5944" s="10" t="str">
        <f ca="1">IFERROR(__xludf.DUMMYFUNCTION("""COMPUTED_VALUE"""),"Доклад от конференция")</f>
        <v>Доклад от конференция</v>
      </c>
      <c r="C5944" s="10" t="str">
        <f ca="1">IFERROR(__xludf.DUMMYFUNCTION("""COMPUTED_VALUE"""),"Политически трансформации и комуникационни деструкции")</f>
        <v>Политически трансформации и комуникационни деструкции</v>
      </c>
      <c r="D5944" s="10">
        <f ca="1">IFERROR(__xludf.DUMMYFUNCTION("""COMPUTED_VALUE"""),2015)</f>
        <v>2015</v>
      </c>
      <c r="E5944" s="10" t="str">
        <f ca="1">IFERROR(__xludf.DUMMYFUNCTION("""COMPUTED_VALUE"""),"УНСС")</f>
        <v>УНСС</v>
      </c>
      <c r="F5944" s="10"/>
      <c r="G5944" s="10"/>
      <c r="H5944" s="10"/>
      <c r="I5944" s="10"/>
      <c r="J5944" s="10"/>
      <c r="K5944" s="10"/>
      <c r="L5944" s="10"/>
      <c r="M5944" s="10"/>
      <c r="N5944" s="10"/>
      <c r="O5944" s="10"/>
      <c r="P5944" s="10"/>
      <c r="Q5944" s="10"/>
      <c r="R5944" s="10"/>
      <c r="S5944" s="10"/>
      <c r="T5944" s="10"/>
      <c r="U5944" s="10"/>
      <c r="V5944" s="10"/>
      <c r="W5944" s="10"/>
      <c r="X5944" s="10"/>
      <c r="Y5944" s="10"/>
      <c r="Z5944" s="10"/>
    </row>
    <row r="5945" spans="1:26" ht="12.75">
      <c r="A5945" s="10" t="str">
        <f ca="1">IFERROR(__xludf.DUMMYFUNCTION("""COMPUTED_VALUE"""),"Николай Георгиев Палашев")</f>
        <v>Николай Георгиев Палашев</v>
      </c>
      <c r="B5945" s="10" t="str">
        <f ca="1">IFERROR(__xludf.DUMMYFUNCTION("""COMPUTED_VALUE"""),"Доклад от конференция")</f>
        <v>Доклад от конференция</v>
      </c>
      <c r="C5945" s="10" t="str">
        <f ca="1">IFERROR(__xludf.DUMMYFUNCTION("""COMPUTED_VALUE"""),"Аспекти на комуникационната мистификация")</f>
        <v>Аспекти на комуникационната мистификация</v>
      </c>
      <c r="D5945" s="10">
        <f ca="1">IFERROR(__xludf.DUMMYFUNCTION("""COMPUTED_VALUE"""),2015)</f>
        <v>2015</v>
      </c>
      <c r="E5945" s="10" t="str">
        <f ca="1">IFERROR(__xludf.DUMMYFUNCTION("""COMPUTED_VALUE"""),"сб. Нови информационни технологии в образователния процес, За буквите – о писменехь, Истанбул, Турция, ISSN 1313-2768, с. 254-262")</f>
        <v>сб. Нови информационни технологии в образователния процес, За буквите – о писменехь, Истанбул, Турция, ISSN 1313-2768, с. 254-262</v>
      </c>
      <c r="F5945" s="10"/>
      <c r="G5945" s="10"/>
      <c r="H5945" s="10"/>
      <c r="I5945" s="10"/>
      <c r="J5945" s="10"/>
      <c r="K5945" s="10"/>
      <c r="L5945" s="10"/>
      <c r="M5945" s="10"/>
      <c r="N5945" s="10"/>
      <c r="O5945" s="10"/>
      <c r="P5945" s="10"/>
      <c r="Q5945" s="10"/>
      <c r="R5945" s="10"/>
      <c r="S5945" s="10"/>
      <c r="T5945" s="10"/>
      <c r="U5945" s="10"/>
      <c r="V5945" s="10"/>
      <c r="W5945" s="10"/>
      <c r="X5945" s="10"/>
      <c r="Y5945" s="10"/>
      <c r="Z5945" s="10"/>
    </row>
    <row r="5946" spans="1:26" ht="12.75">
      <c r="A5946" s="10" t="str">
        <f ca="1">IFERROR(__xludf.DUMMYFUNCTION("""COMPUTED_VALUE"""),"Николай Георгиев Палашев")</f>
        <v>Николай Георгиев Палашев</v>
      </c>
      <c r="B5946" s="10" t="str">
        <f ca="1">IFERROR(__xludf.DUMMYFUNCTION("""COMPUTED_VALUE"""),"Доклад от конференция")</f>
        <v>Доклад от конференция</v>
      </c>
      <c r="C5946" s="10" t="str">
        <f ca="1">IFERROR(__xludf.DUMMYFUNCTION("""COMPUTED_VALUE"""),"Лидерство – политически трансформации и комуникационни деструкции")</f>
        <v>Лидерство – политически трансформации и комуникационни деструкции</v>
      </c>
      <c r="D5946" s="10">
        <f ca="1">IFERROR(__xludf.DUMMYFUNCTION("""COMPUTED_VALUE"""),2015)</f>
        <v>2015</v>
      </c>
      <c r="E5946" s="10" t="str">
        <f ca="1">IFERROR(__xludf.DUMMYFUNCTION("""COMPUTED_VALUE"""),"За буквите-О писменехь")</f>
        <v>За буквите-О писменехь</v>
      </c>
      <c r="F5946" s="10"/>
      <c r="G5946" s="10"/>
      <c r="H5946" s="10"/>
      <c r="I5946" s="10"/>
      <c r="J5946" s="10"/>
      <c r="K5946" s="10"/>
      <c r="L5946" s="10"/>
      <c r="M5946" s="10"/>
      <c r="N5946" s="10"/>
      <c r="O5946" s="10"/>
      <c r="P5946" s="10"/>
      <c r="Q5946" s="10"/>
      <c r="R5946" s="10"/>
      <c r="S5946" s="10"/>
      <c r="T5946" s="10"/>
      <c r="U5946" s="10"/>
      <c r="V5946" s="10"/>
      <c r="W5946" s="10"/>
      <c r="X5946" s="10"/>
      <c r="Y5946" s="10"/>
      <c r="Z5946" s="10"/>
    </row>
    <row r="5947" spans="1:26" ht="12.75">
      <c r="A5947" s="10" t="str">
        <f ca="1">IFERROR(__xludf.DUMMYFUNCTION("""COMPUTED_VALUE"""),"Николай Георгиев Палашев")</f>
        <v>Николай Георгиев Палашев</v>
      </c>
      <c r="B5947" s="10" t="str">
        <f ca="1">IFERROR(__xludf.DUMMYFUNCTION("""COMPUTED_VALUE"""),"Доклад от конференция")</f>
        <v>Доклад от конференция</v>
      </c>
      <c r="C5947" s="10" t="str">
        <f ca="1">IFERROR(__xludf.DUMMYFUNCTION("""COMPUTED_VALUE"""),"Аспекти на информирането в контекста на комуникационната сигурност")</f>
        <v>Аспекти на информирането в контекста на комуникационната сигурност</v>
      </c>
      <c r="D5947" s="10">
        <f ca="1">IFERROR(__xludf.DUMMYFUNCTION("""COMPUTED_VALUE"""),2015)</f>
        <v>2015</v>
      </c>
      <c r="E5947" s="10" t="str">
        <f ca="1">IFERROR(__xludf.DUMMYFUNCTION("""COMPUTED_VALUE"""),"За буквите-О писменехь")</f>
        <v>За буквите-О писменехь</v>
      </c>
      <c r="F5947" s="10"/>
      <c r="G5947" s="10"/>
      <c r="H5947" s="10"/>
      <c r="I5947" s="10"/>
      <c r="J5947" s="10"/>
      <c r="K5947" s="10"/>
      <c r="L5947" s="10"/>
      <c r="M5947" s="10"/>
      <c r="N5947" s="10"/>
      <c r="O5947" s="10"/>
      <c r="P5947" s="10"/>
      <c r="Q5947" s="10"/>
      <c r="R5947" s="10"/>
      <c r="S5947" s="10"/>
      <c r="T5947" s="10"/>
      <c r="U5947" s="10"/>
      <c r="V5947" s="10"/>
      <c r="W5947" s="10"/>
      <c r="X5947" s="10"/>
      <c r="Y5947" s="10"/>
      <c r="Z5947" s="10"/>
    </row>
    <row r="5948" spans="1:26" ht="12.75">
      <c r="A5948" s="10" t="str">
        <f ca="1">IFERROR(__xludf.DUMMYFUNCTION("""COMPUTED_VALUE"""),"Николай Георгиев Палашев")</f>
        <v>Николай Георгиев Палашев</v>
      </c>
      <c r="B5948" s="10" t="str">
        <f ca="1">IFERROR(__xludf.DUMMYFUNCTION("""COMPUTED_VALUE"""),"Доклад от конференция")</f>
        <v>Доклад от конференция</v>
      </c>
      <c r="C5948" s="10" t="str">
        <f ca="1">IFERROR(__xludf.DUMMYFUNCTION("""COMPUTED_VALUE"""),"Комуникационна сигурност и начин на мислене")</f>
        <v>Комуникационна сигурност и начин на мислене</v>
      </c>
      <c r="D5948" s="10">
        <f ca="1">IFERROR(__xludf.DUMMYFUNCTION("""COMPUTED_VALUE"""),2015)</f>
        <v>2015</v>
      </c>
      <c r="E5948" s="10" t="str">
        <f ca="1">IFERROR(__xludf.DUMMYFUNCTION("""COMPUTED_VALUE"""),"ФБ, Охрид, Македония")</f>
        <v>ФБ, Охрид, Македония</v>
      </c>
      <c r="F5948" s="10"/>
      <c r="G5948" s="10"/>
      <c r="H5948" s="10"/>
      <c r="I5948" s="10"/>
      <c r="J5948" s="10"/>
      <c r="K5948" s="10"/>
      <c r="L5948" s="10"/>
      <c r="M5948" s="10"/>
      <c r="N5948" s="10"/>
      <c r="O5948" s="10"/>
      <c r="P5948" s="10"/>
      <c r="Q5948" s="10"/>
      <c r="R5948" s="10"/>
      <c r="S5948" s="10"/>
      <c r="T5948" s="10"/>
      <c r="U5948" s="10"/>
      <c r="V5948" s="10"/>
      <c r="W5948" s="10"/>
      <c r="X5948" s="10"/>
      <c r="Y5948" s="10"/>
      <c r="Z5948" s="10"/>
    </row>
    <row r="5949" spans="1:26" ht="12.75">
      <c r="A5949" s="10" t="str">
        <f ca="1">IFERROR(__xludf.DUMMYFUNCTION("""COMPUTED_VALUE"""),"Николай Георгиев Палашев")</f>
        <v>Николай Георгиев Палашев</v>
      </c>
      <c r="B5949" s="10" t="str">
        <f ca="1">IFERROR(__xludf.DUMMYFUNCTION("""COMPUTED_VALUE"""),"Доклад от конференция")</f>
        <v>Доклад от конференция</v>
      </c>
      <c r="C5949" s="10" t="str">
        <f ca="1">IFERROR(__xludf.DUMMYFUNCTION("""COMPUTED_VALUE"""),"Деградация на идеологемите")</f>
        <v>Деградация на идеологемите</v>
      </c>
      <c r="D5949" s="10">
        <f ca="1">IFERROR(__xludf.DUMMYFUNCTION("""COMPUTED_VALUE"""),2015)</f>
        <v>2015</v>
      </c>
      <c r="E5949" s="10" t="str">
        <f ca="1">IFERROR(__xludf.DUMMYFUNCTION("""COMPUTED_VALUE"""),"Научни доклади от Първа кръгла маса ""Проблеми на обществената комуникация"" 2015 , За буквите-О писменехь,ISBN 978-619-185-166-9, с. 19-25")</f>
        <v>Научни доклади от Първа кръгла маса "Проблеми на обществената комуникация" 2015 , За буквите-О писменехь,ISBN 978-619-185-166-9, с. 19-25</v>
      </c>
      <c r="F5949" s="10"/>
      <c r="G5949" s="10"/>
      <c r="H5949" s="10"/>
      <c r="I5949" s="10"/>
      <c r="J5949" s="10"/>
      <c r="K5949" s="10"/>
      <c r="L5949" s="10"/>
      <c r="M5949" s="10"/>
      <c r="N5949" s="10"/>
      <c r="O5949" s="10"/>
      <c r="P5949" s="10"/>
      <c r="Q5949" s="10"/>
      <c r="R5949" s="10"/>
      <c r="S5949" s="10"/>
      <c r="T5949" s="10"/>
      <c r="U5949" s="10"/>
      <c r="V5949" s="10"/>
      <c r="W5949" s="10"/>
      <c r="X5949" s="10"/>
      <c r="Y5949" s="10"/>
      <c r="Z5949" s="10"/>
    </row>
    <row r="5950" spans="1:26" ht="12.75">
      <c r="A5950" s="10" t="str">
        <f ca="1">IFERROR(__xludf.DUMMYFUNCTION("""COMPUTED_VALUE"""),"Николай Георгиев Палашев")</f>
        <v>Николай Георгиев Палашев</v>
      </c>
      <c r="B5950" s="10" t="str">
        <f ca="1">IFERROR(__xludf.DUMMYFUNCTION("""COMPUTED_VALUE"""),"Доклад от конференция")</f>
        <v>Доклад от конференция</v>
      </c>
      <c r="C5950" s="10" t="str">
        <f ca="1">IFERROR(__xludf.DUMMYFUNCTION("""COMPUTED_VALUE"""),"Понятие и същност на комуникационната сигурност")</f>
        <v>Понятие и същност на комуникационната сигурност</v>
      </c>
      <c r="D5950" s="10">
        <f ca="1">IFERROR(__xludf.DUMMYFUNCTION("""COMPUTED_VALUE"""),2014)</f>
        <v>2014</v>
      </c>
      <c r="E5950" s="10" t="str">
        <f ca="1">IFERROR(__xludf.DUMMYFUNCTION("""COMPUTED_VALUE"""),"Обществото на знанието и хуманизмът на XXI век : национална научна конференция с международно участие, За буквите – О писменехь, ISSN 1314-7099, с. 309-317")</f>
        <v>Обществото на знанието и хуманизмът на XXI век : национална научна конференция с международно участие, За буквите – О писменехь, ISSN 1314-7099, с. 309-317</v>
      </c>
      <c r="F5950" s="10"/>
      <c r="G5950" s="10"/>
      <c r="H5950" s="10"/>
      <c r="I5950" s="10"/>
      <c r="J5950" s="10"/>
      <c r="K5950" s="10"/>
      <c r="L5950" s="10"/>
      <c r="M5950" s="10"/>
      <c r="N5950" s="10"/>
      <c r="O5950" s="10"/>
      <c r="P5950" s="10"/>
      <c r="Q5950" s="10"/>
      <c r="R5950" s="10"/>
      <c r="S5950" s="10"/>
      <c r="T5950" s="10"/>
      <c r="U5950" s="10"/>
      <c r="V5950" s="10"/>
      <c r="W5950" s="10"/>
      <c r="X5950" s="10"/>
      <c r="Y5950" s="10"/>
      <c r="Z5950" s="10"/>
    </row>
    <row r="5951" spans="1:26" ht="12.75">
      <c r="A5951" s="10" t="str">
        <f ca="1">IFERROR(__xludf.DUMMYFUNCTION("""COMPUTED_VALUE"""),"Николай Георгиев Палашев")</f>
        <v>Николай Георгиев Палашев</v>
      </c>
      <c r="B5951" s="10" t="str">
        <f ca="1">IFERROR(__xludf.DUMMYFUNCTION("""COMPUTED_VALUE"""),"Доклад от конференция")</f>
        <v>Доклад от конференция</v>
      </c>
      <c r="C5951" s="10" t="str">
        <f ca="1">IFERROR(__xludf.DUMMYFUNCTION("""COMPUTED_VALUE"""),"Трансцеденталност и комуникация")</f>
        <v>Трансцеденталност и комуникация</v>
      </c>
      <c r="D5951" s="10">
        <f ca="1">IFERROR(__xludf.DUMMYFUNCTION("""COMPUTED_VALUE"""),2014)</f>
        <v>2014</v>
      </c>
      <c r="E5951" s="10" t="str">
        <f ca="1">IFERROR(__xludf.DUMMYFUNCTION("""COMPUTED_VALUE"""),"Белград, Сърбия")</f>
        <v>Белград, Сърбия</v>
      </c>
      <c r="F5951" s="10"/>
      <c r="G5951" s="10"/>
      <c r="H5951" s="10"/>
      <c r="I5951" s="10"/>
      <c r="J5951" s="10"/>
      <c r="K5951" s="10"/>
      <c r="L5951" s="10"/>
      <c r="M5951" s="10"/>
      <c r="N5951" s="10"/>
      <c r="O5951" s="10"/>
      <c r="P5951" s="10"/>
      <c r="Q5951" s="10"/>
      <c r="R5951" s="10"/>
      <c r="S5951" s="10"/>
      <c r="T5951" s="10"/>
      <c r="U5951" s="10"/>
      <c r="V5951" s="10"/>
      <c r="W5951" s="10"/>
      <c r="X5951" s="10"/>
      <c r="Y5951" s="10"/>
      <c r="Z5951" s="10"/>
    </row>
    <row r="5952" spans="1:26" ht="12.75">
      <c r="A5952" s="10" t="str">
        <f ca="1">IFERROR(__xludf.DUMMYFUNCTION("""COMPUTED_VALUE"""),"Николай Георгиев Палашев")</f>
        <v>Николай Георгиев Палашев</v>
      </c>
      <c r="B5952" s="10" t="str">
        <f ca="1">IFERROR(__xludf.DUMMYFUNCTION("""COMPUTED_VALUE"""),"Статия в списания и поредици")</f>
        <v>Статия в списания и поредици</v>
      </c>
      <c r="C5952" s="10" t="str">
        <f ca="1">IFERROR(__xludf.DUMMYFUNCTION("""COMPUTED_VALUE"""),"Проблеми и комуникационни аспекти на развитието на националната културна политика на България")</f>
        <v>Проблеми и комуникационни аспекти на развитието на националната културна политика на България</v>
      </c>
      <c r="D5952" s="10">
        <f ca="1">IFERROR(__xludf.DUMMYFUNCTION("""COMPUTED_VALUE"""),2014)</f>
        <v>2014</v>
      </c>
      <c r="E5952" s="10" t="str">
        <f ca="1">IFERROR(__xludf.DUMMYFUNCTION("""COMPUTED_VALUE"""),"сборник с доклади „Общество на знанието и хуманизма на ХХI век“; ISSN 1314-7099")</f>
        <v>сборник с доклади „Общество на знанието и хуманизма на ХХI век“; ISSN 1314-7099</v>
      </c>
      <c r="F5952" s="10"/>
      <c r="G5952" s="10"/>
      <c r="H5952" s="10"/>
      <c r="I5952" s="10"/>
      <c r="J5952" s="10"/>
      <c r="K5952" s="10"/>
      <c r="L5952" s="10"/>
      <c r="M5952" s="10"/>
      <c r="N5952" s="10"/>
      <c r="O5952" s="10"/>
      <c r="P5952" s="10"/>
      <c r="Q5952" s="10"/>
      <c r="R5952" s="10"/>
      <c r="S5952" s="10"/>
      <c r="T5952" s="10"/>
      <c r="U5952" s="10"/>
      <c r="V5952" s="10"/>
      <c r="W5952" s="10"/>
      <c r="X5952" s="10"/>
      <c r="Y5952" s="10"/>
      <c r="Z5952" s="10"/>
    </row>
    <row r="5953" spans="1:26" ht="12.75">
      <c r="A5953" s="10" t="str">
        <f ca="1">IFERROR(__xludf.DUMMYFUNCTION("""COMPUTED_VALUE"""),"Николай Георгиев Палашев")</f>
        <v>Николай Георгиев Палашев</v>
      </c>
      <c r="B5953" s="10" t="str">
        <f ca="1">IFERROR(__xludf.DUMMYFUNCTION("""COMPUTED_VALUE"""),"Доклад от конференция")</f>
        <v>Доклад от конференция</v>
      </c>
      <c r="C5953" s="10" t="str">
        <f ca="1">IFERROR(__xludf.DUMMYFUNCTION("""COMPUTED_VALUE"""),"Аспекти на комуникационната сигурност")</f>
        <v>Аспекти на комуникационната сигурност</v>
      </c>
      <c r="D5953" s="10">
        <f ca="1">IFERROR(__xludf.DUMMYFUNCTION("""COMPUTED_VALUE"""),2014)</f>
        <v>2014</v>
      </c>
      <c r="E5953" s="10" t="str">
        <f ca="1">IFERROR(__xludf.DUMMYFUNCTION("""COMPUTED_VALUE"""),"ФБ, Охрид, Македония")</f>
        <v>ФБ, Охрид, Македония</v>
      </c>
      <c r="F5953" s="10"/>
      <c r="G5953" s="10"/>
      <c r="H5953" s="10"/>
      <c r="I5953" s="10"/>
      <c r="J5953" s="10"/>
      <c r="K5953" s="10"/>
      <c r="L5953" s="10"/>
      <c r="M5953" s="10"/>
      <c r="N5953" s="10"/>
      <c r="O5953" s="10"/>
      <c r="P5953" s="10"/>
      <c r="Q5953" s="10"/>
      <c r="R5953" s="10"/>
      <c r="S5953" s="10"/>
      <c r="T5953" s="10"/>
      <c r="U5953" s="10"/>
      <c r="V5953" s="10"/>
      <c r="W5953" s="10"/>
      <c r="X5953" s="10"/>
      <c r="Y5953" s="10"/>
      <c r="Z5953" s="10"/>
    </row>
    <row r="5954" spans="1:26" ht="12.75">
      <c r="A5954" s="10" t="str">
        <f ca="1">IFERROR(__xludf.DUMMYFUNCTION("""COMPUTED_VALUE"""),"Николай Георгиев Палашев")</f>
        <v>Николай Георгиев Палашев</v>
      </c>
      <c r="B5954" s="10" t="str">
        <f ca="1">IFERROR(__xludf.DUMMYFUNCTION("""COMPUTED_VALUE"""),"Книга")</f>
        <v>Книга</v>
      </c>
      <c r="C5954" s="10" t="str">
        <f ca="1">IFERROR(__xludf.DUMMYFUNCTION("""COMPUTED_VALUE"""),"Основи на обществената комуникация")</f>
        <v>Основи на обществената комуникация</v>
      </c>
      <c r="D5954" s="10">
        <f ca="1">IFERROR(__xludf.DUMMYFUNCTION("""COMPUTED_VALUE"""),2014)</f>
        <v>2014</v>
      </c>
      <c r="E5954" s="10"/>
      <c r="F5954" s="10"/>
      <c r="G5954" s="10"/>
      <c r="H5954" s="10"/>
      <c r="I5954" s="10"/>
      <c r="J5954" s="10"/>
      <c r="K5954" s="10"/>
      <c r="L5954" s="10"/>
      <c r="M5954" s="10"/>
      <c r="N5954" s="10"/>
      <c r="O5954" s="10"/>
      <c r="P5954" s="10"/>
      <c r="Q5954" s="10"/>
      <c r="R5954" s="10"/>
      <c r="S5954" s="10"/>
      <c r="T5954" s="10"/>
      <c r="U5954" s="10"/>
      <c r="V5954" s="10"/>
      <c r="W5954" s="10"/>
      <c r="X5954" s="10"/>
      <c r="Y5954" s="10"/>
      <c r="Z5954" s="10"/>
    </row>
    <row r="5955" spans="1:26" ht="12.75">
      <c r="A5955" s="10" t="str">
        <f ca="1">IFERROR(__xludf.DUMMYFUNCTION("""COMPUTED_VALUE"""),"Николай Георгиев Палашев")</f>
        <v>Николай Георгиев Палашев</v>
      </c>
      <c r="B5955" s="10" t="str">
        <f ca="1">IFERROR(__xludf.DUMMYFUNCTION("""COMPUTED_VALUE"""),"Доклад от конференция")</f>
        <v>Доклад от конференция</v>
      </c>
      <c r="C5955" s="10" t="str">
        <f ca="1">IFERROR(__xludf.DUMMYFUNCTION("""COMPUTED_VALUE"""),"Аспекти на сигурността при обществената комуникация")</f>
        <v>Аспекти на сигурността при обществената комуникация</v>
      </c>
      <c r="D5955" s="10">
        <f ca="1">IFERROR(__xludf.DUMMYFUNCTION("""COMPUTED_VALUE"""),2014)</f>
        <v>2014</v>
      </c>
      <c r="E5955" s="10" t="str">
        <f ca="1">IFERROR(__xludf.DUMMYFUNCTION("""COMPUTED_VALUE"""),"НУ, Ниш, Сърбия")</f>
        <v>НУ, Ниш, Сърбия</v>
      </c>
      <c r="F5955" s="10"/>
      <c r="G5955" s="10"/>
      <c r="H5955" s="10"/>
      <c r="I5955" s="10"/>
      <c r="J5955" s="10"/>
      <c r="K5955" s="10"/>
      <c r="L5955" s="10"/>
      <c r="M5955" s="10"/>
      <c r="N5955" s="10"/>
      <c r="O5955" s="10"/>
      <c r="P5955" s="10"/>
      <c r="Q5955" s="10"/>
      <c r="R5955" s="10"/>
      <c r="S5955" s="10"/>
      <c r="T5955" s="10"/>
      <c r="U5955" s="10"/>
      <c r="V5955" s="10"/>
      <c r="W5955" s="10"/>
      <c r="X5955" s="10"/>
      <c r="Y5955" s="10"/>
      <c r="Z5955" s="10"/>
    </row>
    <row r="5956" spans="1:26" ht="12.75">
      <c r="A5956" s="10" t="str">
        <f ca="1">IFERROR(__xludf.DUMMYFUNCTION("""COMPUTED_VALUE"""),"Николай Георгиев Палашев")</f>
        <v>Николай Георгиев Палашев</v>
      </c>
      <c r="B5956" s="10" t="str">
        <f ca="1">IFERROR(__xludf.DUMMYFUNCTION("""COMPUTED_VALUE"""),"Доклад от конференция")</f>
        <v>Доклад от конференция</v>
      </c>
      <c r="C5956" s="10" t="str">
        <f ca="1">IFERROR(__xludf.DUMMYFUNCTION("""COMPUTED_VALUE"""),"Комуникационни проблеми пред мултикултурните общества")</f>
        <v>Комуникационни проблеми пред мултикултурните общества</v>
      </c>
      <c r="D5956" s="10">
        <f ca="1">IFERROR(__xludf.DUMMYFUNCTION("""COMPUTED_VALUE"""),2013)</f>
        <v>2013</v>
      </c>
      <c r="E5956" s="10" t="str">
        <f ca="1">IFERROR(__xludf.DUMMYFUNCTION("""COMPUTED_VALUE"""),"сб. „Проблеми на мултикултурата“")</f>
        <v>сб. „Проблеми на мултикултурата“</v>
      </c>
      <c r="F5956" s="10"/>
      <c r="G5956" s="10"/>
      <c r="H5956" s="10"/>
      <c r="I5956" s="10"/>
      <c r="J5956" s="10"/>
      <c r="K5956" s="10"/>
      <c r="L5956" s="10"/>
      <c r="M5956" s="10"/>
      <c r="N5956" s="10"/>
      <c r="O5956" s="10"/>
      <c r="P5956" s="10"/>
      <c r="Q5956" s="10"/>
      <c r="R5956" s="10"/>
      <c r="S5956" s="10"/>
      <c r="T5956" s="10"/>
      <c r="U5956" s="10"/>
      <c r="V5956" s="10"/>
      <c r="W5956" s="10"/>
      <c r="X5956" s="10"/>
      <c r="Y5956" s="10"/>
      <c r="Z5956" s="10"/>
    </row>
    <row r="5957" spans="1:26" ht="12.75">
      <c r="A5957" s="10" t="str">
        <f ca="1">IFERROR(__xludf.DUMMYFUNCTION("""COMPUTED_VALUE"""),"Николай Георгиев Палашев")</f>
        <v>Николай Георгиев Палашев</v>
      </c>
      <c r="B5957" s="10" t="str">
        <f ca="1">IFERROR(__xludf.DUMMYFUNCTION("""COMPUTED_VALUE"""),"Книга")</f>
        <v>Книга</v>
      </c>
      <c r="C5957" s="10" t="str">
        <f ca="1">IFERROR(__xludf.DUMMYFUNCTION("""COMPUTED_VALUE"""),"Комуникационна сигурност")</f>
        <v>Комуникационна сигурност</v>
      </c>
      <c r="D5957" s="10">
        <f ca="1">IFERROR(__xludf.DUMMYFUNCTION("""COMPUTED_VALUE"""),2013)</f>
        <v>2013</v>
      </c>
      <c r="E5957" s="10" t="str">
        <f ca="1">IFERROR(__xludf.DUMMYFUNCTION("""COMPUTED_VALUE"""),"София : За буквите - О писменехь, 2013 -")</f>
        <v>София : За буквите - О писменехь, 2013 -</v>
      </c>
      <c r="F5957" s="10"/>
      <c r="G5957" s="10"/>
      <c r="H5957" s="10"/>
      <c r="I5957" s="10"/>
      <c r="J5957" s="10"/>
      <c r="K5957" s="10"/>
      <c r="L5957" s="10"/>
      <c r="M5957" s="10"/>
      <c r="N5957" s="10"/>
      <c r="O5957" s="10"/>
      <c r="P5957" s="10"/>
      <c r="Q5957" s="10"/>
      <c r="R5957" s="10"/>
      <c r="S5957" s="10"/>
      <c r="T5957" s="10"/>
      <c r="U5957" s="10"/>
      <c r="V5957" s="10"/>
      <c r="W5957" s="10"/>
      <c r="X5957" s="10"/>
      <c r="Y5957" s="10"/>
      <c r="Z5957" s="10"/>
    </row>
    <row r="5958" spans="1:26" ht="12.75">
      <c r="A5958" s="10" t="str">
        <f ca="1">IFERROR(__xludf.DUMMYFUNCTION("""COMPUTED_VALUE"""),"Николай Георгиев Палашев")</f>
        <v>Николай Георгиев Палашев</v>
      </c>
      <c r="B5958" s="10" t="str">
        <f ca="1">IFERROR(__xludf.DUMMYFUNCTION("""COMPUTED_VALUE"""),"Доклад от конференция")</f>
        <v>Доклад от конференция</v>
      </c>
      <c r="C5958" s="10" t="str">
        <f ca="1">IFERROR(__xludf.DUMMYFUNCTION("""COMPUTED_VALUE"""),"Аспекти на същността и характера на сигурността при обществената комуникация")</f>
        <v>Аспекти на същността и характера на сигурността при обществената комуникация</v>
      </c>
      <c r="D5958" s="10">
        <f ca="1">IFERROR(__xludf.DUMMYFUNCTION("""COMPUTED_VALUE"""),2013)</f>
        <v>2013</v>
      </c>
      <c r="E5958" s="10" t="str">
        <f ca="1">IFERROR(__xludf.DUMMYFUNCTION("""COMPUTED_VALUE"""),"сб.Съвременни измерения на европейското образователно и научно пространство, ISSN 2367-7988, с. 126-130")</f>
        <v>сб.Съвременни измерения на европейското образователно и научно пространство, ISSN 2367-7988, с. 126-130</v>
      </c>
      <c r="F5958" s="10"/>
      <c r="G5958" s="10"/>
      <c r="H5958" s="10"/>
      <c r="I5958" s="10"/>
      <c r="J5958" s="10"/>
      <c r="K5958" s="10"/>
      <c r="L5958" s="10"/>
      <c r="M5958" s="10"/>
      <c r="N5958" s="10"/>
      <c r="O5958" s="10"/>
      <c r="P5958" s="10"/>
      <c r="Q5958" s="10"/>
      <c r="R5958" s="10"/>
      <c r="S5958" s="10"/>
      <c r="T5958" s="10"/>
      <c r="U5958" s="10"/>
      <c r="V5958" s="10"/>
      <c r="W5958" s="10"/>
      <c r="X5958" s="10"/>
      <c r="Y5958" s="10"/>
      <c r="Z5958" s="10"/>
    </row>
    <row r="5959" spans="1:26" ht="12.75">
      <c r="A5959" s="10" t="str">
        <f ca="1">IFERROR(__xludf.DUMMYFUNCTION("""COMPUTED_VALUE"""),"Николай Георгиев Палашев")</f>
        <v>Николай Георгиев Палашев</v>
      </c>
      <c r="B5959" s="10" t="str">
        <f ca="1">IFERROR(__xludf.DUMMYFUNCTION("""COMPUTED_VALUE"""),"Статия в списания и поредици")</f>
        <v>Статия в списания и поредици</v>
      </c>
      <c r="C5959" s="10" t="str">
        <f ca="1">IFERROR(__xludf.DUMMYFUNCTION("""COMPUTED_VALUE"""),"Аспекти на сигурността при комуникационното моделиране")</f>
        <v>Аспекти на сигурността при комуникационното моделиране</v>
      </c>
      <c r="D5959" s="10">
        <f ca="1">IFERROR(__xludf.DUMMYFUNCTION("""COMPUTED_VALUE"""),2013)</f>
        <v>2013</v>
      </c>
      <c r="E5959" s="10" t="str">
        <f ca="1">IFERROR(__xludf.DUMMYFUNCTION("""COMPUTED_VALUE"""),"сб. „Матице српскоj”")</f>
        <v>сб. „Матице српскоj”</v>
      </c>
      <c r="F5959" s="10"/>
      <c r="G5959" s="10"/>
      <c r="H5959" s="10"/>
      <c r="I5959" s="10"/>
      <c r="J5959" s="10"/>
      <c r="K5959" s="10"/>
      <c r="L5959" s="10"/>
      <c r="M5959" s="10"/>
      <c r="N5959" s="10"/>
      <c r="O5959" s="10"/>
      <c r="P5959" s="10"/>
      <c r="Q5959" s="10"/>
      <c r="R5959" s="10"/>
      <c r="S5959" s="10"/>
      <c r="T5959" s="10"/>
      <c r="U5959" s="10"/>
      <c r="V5959" s="10"/>
      <c r="W5959" s="10"/>
      <c r="X5959" s="10"/>
      <c r="Y5959" s="10"/>
      <c r="Z5959" s="10"/>
    </row>
    <row r="5960" spans="1:26" ht="12.75">
      <c r="A5960" s="10" t="str">
        <f ca="1">IFERROR(__xludf.DUMMYFUNCTION("""COMPUTED_VALUE"""),"Николай Георгиев Палашев")</f>
        <v>Николай Георгиев Палашев</v>
      </c>
      <c r="B5960" s="10" t="str">
        <f ca="1">IFERROR(__xludf.DUMMYFUNCTION("""COMPUTED_VALUE"""),"Статия в списания и поредици")</f>
        <v>Статия в списания и поредици</v>
      </c>
      <c r="C5960" s="10" t="str">
        <f ca="1">IFERROR(__xludf.DUMMYFUNCTION("""COMPUTED_VALUE"""),"Комуникационни особености на поведенческите модели при тероризма")</f>
        <v>Комуникационни особености на поведенческите модели при тероризма</v>
      </c>
      <c r="D5960" s="10">
        <f ca="1">IFERROR(__xludf.DUMMYFUNCTION("""COMPUTED_VALUE"""),2012)</f>
        <v>2012</v>
      </c>
      <c r="E5960" s="10" t="str">
        <f ca="1">IFERROR(__xludf.DUMMYFUNCTION("""COMPUTED_VALUE"""),"сб. „Проблеми на тероризма“,")</f>
        <v>сб. „Проблеми на тероризма“,</v>
      </c>
      <c r="F5960" s="10"/>
      <c r="G5960" s="10"/>
      <c r="H5960" s="10"/>
      <c r="I5960" s="10"/>
      <c r="J5960" s="10"/>
      <c r="K5960" s="10"/>
      <c r="L5960" s="10"/>
      <c r="M5960" s="10"/>
      <c r="N5960" s="10"/>
      <c r="O5960" s="10"/>
      <c r="P5960" s="10"/>
      <c r="Q5960" s="10"/>
      <c r="R5960" s="10"/>
      <c r="S5960" s="10"/>
      <c r="T5960" s="10"/>
      <c r="U5960" s="10"/>
      <c r="V5960" s="10"/>
      <c r="W5960" s="10"/>
      <c r="X5960" s="10"/>
      <c r="Y5960" s="10"/>
      <c r="Z5960" s="10"/>
    </row>
    <row r="5961" spans="1:26" ht="12.75">
      <c r="A5961" s="10" t="str">
        <f ca="1">IFERROR(__xludf.DUMMYFUNCTION("""COMPUTED_VALUE"""),"Николай Георгиев Палашев")</f>
        <v>Николай Георгиев Палашев</v>
      </c>
      <c r="B5961" s="10" t="str">
        <f ca="1">IFERROR(__xludf.DUMMYFUNCTION("""COMPUTED_VALUE"""),"Статия в списания и поредици")</f>
        <v>Статия в списания и поредици</v>
      </c>
      <c r="C5961" s="10" t="str">
        <f ca="1">IFERROR(__xludf.DUMMYFUNCTION("""COMPUTED_VALUE"""),"Комуникационни деструкции")</f>
        <v>Комуникационни деструкции</v>
      </c>
      <c r="D5961" s="10">
        <f ca="1">IFERROR(__xludf.DUMMYFUNCTION("""COMPUTED_VALUE"""),2012)</f>
        <v>2012</v>
      </c>
      <c r="E5961" s="10" t="str">
        <f ca="1">IFERROR(__xludf.DUMMYFUNCTION("""COMPUTED_VALUE"""),"Научни трудове на Университета по библиотекознание и информационни технологии, София : За буквите - О писменехь, ISSN 1314-2623, с. 305-315")</f>
        <v>Научни трудове на Университета по библиотекознание и информационни технологии, София : За буквите - О писменехь, ISSN 1314-2623, с. 305-315</v>
      </c>
      <c r="F5961" s="10"/>
      <c r="G5961" s="10"/>
      <c r="H5961" s="10"/>
      <c r="I5961" s="10"/>
      <c r="J5961" s="10"/>
      <c r="K5961" s="10"/>
      <c r="L5961" s="10"/>
      <c r="M5961" s="10"/>
      <c r="N5961" s="10"/>
      <c r="O5961" s="10"/>
      <c r="P5961" s="10"/>
      <c r="Q5961" s="10"/>
      <c r="R5961" s="10"/>
      <c r="S5961" s="10"/>
      <c r="T5961" s="10"/>
      <c r="U5961" s="10"/>
      <c r="V5961" s="10"/>
      <c r="W5961" s="10"/>
      <c r="X5961" s="10"/>
      <c r="Y5961" s="10"/>
      <c r="Z5961" s="10"/>
    </row>
    <row r="5962" spans="1:26" ht="12.75">
      <c r="A5962" s="10" t="str">
        <f ca="1">IFERROR(__xludf.DUMMYFUNCTION("""COMPUTED_VALUE"""),"Николай Георгиев Палашев")</f>
        <v>Николай Георгиев Палашев</v>
      </c>
      <c r="B5962" s="10" t="str">
        <f ca="1">IFERROR(__xludf.DUMMYFUNCTION("""COMPUTED_VALUE"""),"Статия в списания и поредици")</f>
        <v>Статия в списания и поредици</v>
      </c>
      <c r="C5962" s="10" t="str">
        <f ca="1">IFERROR(__xludf.DUMMYFUNCTION("""COMPUTED_VALUE"""),"Комуникационни проблеми пред влиянието на лидера")</f>
        <v>Комуникационни проблеми пред влиянието на лидера</v>
      </c>
      <c r="D5962" s="10">
        <f ca="1">IFERROR(__xludf.DUMMYFUNCTION("""COMPUTED_VALUE"""),2012)</f>
        <v>2012</v>
      </c>
      <c r="E5962" s="10" t="str">
        <f ca="1">IFERROR(__xludf.DUMMYFUNCTION("""COMPUTED_VALUE"""),"сб. „Проблеми на лидерството“")</f>
        <v>сб. „Проблеми на лидерството“</v>
      </c>
      <c r="F5962" s="10"/>
      <c r="G5962" s="10"/>
      <c r="H5962" s="10"/>
      <c r="I5962" s="10"/>
      <c r="J5962" s="10"/>
      <c r="K5962" s="10"/>
      <c r="L5962" s="10"/>
      <c r="M5962" s="10"/>
      <c r="N5962" s="10"/>
      <c r="O5962" s="10"/>
      <c r="P5962" s="10"/>
      <c r="Q5962" s="10"/>
      <c r="R5962" s="10"/>
      <c r="S5962" s="10"/>
      <c r="T5962" s="10"/>
      <c r="U5962" s="10"/>
      <c r="V5962" s="10"/>
      <c r="W5962" s="10"/>
      <c r="X5962" s="10"/>
      <c r="Y5962" s="10"/>
      <c r="Z5962" s="10"/>
    </row>
    <row r="5963" spans="1:26" ht="12.75">
      <c r="A5963" s="10" t="str">
        <f ca="1">IFERROR(__xludf.DUMMYFUNCTION("""COMPUTED_VALUE"""),"Николай Георгиев Палашев")</f>
        <v>Николай Георгиев Палашев</v>
      </c>
      <c r="B5963" s="10" t="str">
        <f ca="1">IFERROR(__xludf.DUMMYFUNCTION("""COMPUTED_VALUE"""),"Учебник")</f>
        <v>Учебник</v>
      </c>
      <c r="C5963" s="10" t="str">
        <f ca="1">IFERROR(__xludf.DUMMYFUNCTION("""COMPUTED_VALUE"""),"Въведение в корпоративните комуникации")</f>
        <v>Въведение в корпоративните комуникации</v>
      </c>
      <c r="D5963" s="10">
        <f ca="1">IFERROR(__xludf.DUMMYFUNCTION("""COMPUTED_VALUE"""),2012)</f>
        <v>2012</v>
      </c>
      <c r="E5963" s="10" t="str">
        <f ca="1">IFERROR(__xludf.DUMMYFUNCTION("""COMPUTED_VALUE"""),"„За буквите – О писменехь“,София : ISBN 978-954-2946-35-9")</f>
        <v>„За буквите – О писменехь“,София : ISBN 978-954-2946-35-9</v>
      </c>
      <c r="F5963" s="10"/>
      <c r="G5963" s="10"/>
      <c r="H5963" s="10"/>
      <c r="I5963" s="10"/>
      <c r="J5963" s="10"/>
      <c r="K5963" s="10"/>
      <c r="L5963" s="10"/>
      <c r="M5963" s="10"/>
      <c r="N5963" s="10"/>
      <c r="O5963" s="10"/>
      <c r="P5963" s="10"/>
      <c r="Q5963" s="10"/>
      <c r="R5963" s="10"/>
      <c r="S5963" s="10"/>
      <c r="T5963" s="10"/>
      <c r="U5963" s="10"/>
      <c r="V5963" s="10"/>
      <c r="W5963" s="10"/>
      <c r="X5963" s="10"/>
      <c r="Y5963" s="10"/>
      <c r="Z5963" s="10"/>
    </row>
    <row r="5964" spans="1:26" ht="12.75">
      <c r="A5964" s="10" t="str">
        <f ca="1">IFERROR(__xludf.DUMMYFUNCTION("""COMPUTED_VALUE"""),"Николай Георгиев Палашев")</f>
        <v>Николай Георгиев Палашев</v>
      </c>
      <c r="B5964" s="10" t="str">
        <f ca="1">IFERROR(__xludf.DUMMYFUNCTION("""COMPUTED_VALUE"""),"Доклад от конференция")</f>
        <v>Доклад от конференция</v>
      </c>
      <c r="C5964" s="10" t="str">
        <f ca="1">IFERROR(__xludf.DUMMYFUNCTION("""COMPUTED_VALUE"""),"Комуникационни деструкции в контекста на образователния процес")</f>
        <v>Комуникационни деструкции в контекста на образователния процес</v>
      </c>
      <c r="D5964" s="10">
        <f ca="1">IFERROR(__xludf.DUMMYFUNCTION("""COMPUTED_VALUE"""),2012)</f>
        <v>2012</v>
      </c>
      <c r="E5964" s="10" t="str">
        <f ca="1">IFERROR(__xludf.DUMMYFUNCTION("""COMPUTED_VALUE"""),"сб. „Нови информационни технологии в образователния процес“")</f>
        <v>сб. „Нови информационни технологии в образователния процес“</v>
      </c>
      <c r="F5964" s="10"/>
      <c r="G5964" s="10"/>
      <c r="H5964" s="10"/>
      <c r="I5964" s="10"/>
      <c r="J5964" s="10"/>
      <c r="K5964" s="10"/>
      <c r="L5964" s="10"/>
      <c r="M5964" s="10"/>
      <c r="N5964" s="10"/>
      <c r="O5964" s="10"/>
      <c r="P5964" s="10"/>
      <c r="Q5964" s="10"/>
      <c r="R5964" s="10"/>
      <c r="S5964" s="10"/>
      <c r="T5964" s="10"/>
      <c r="U5964" s="10"/>
      <c r="V5964" s="10"/>
      <c r="W5964" s="10"/>
      <c r="X5964" s="10"/>
      <c r="Y5964" s="10"/>
      <c r="Z5964" s="10"/>
    </row>
    <row r="5965" spans="1:26" ht="12.75">
      <c r="A5965" s="10" t="str">
        <f ca="1">IFERROR(__xludf.DUMMYFUNCTION("""COMPUTED_VALUE"""),"Николай Георгиев Палашев")</f>
        <v>Николай Георгиев Палашев</v>
      </c>
      <c r="B5965" s="10" t="str">
        <f ca="1">IFERROR(__xludf.DUMMYFUNCTION("""COMPUTED_VALUE"""),"Доклад от конференция")</f>
        <v>Доклад от конференция</v>
      </c>
      <c r="C5965" s="10" t="str">
        <f ca="1">IFERROR(__xludf.DUMMYFUNCTION("""COMPUTED_VALUE"""),"Комуникационна сигурност в контекста на информационното общество")</f>
        <v>Комуникационна сигурност в контекста на информационното общество</v>
      </c>
      <c r="D5965" s="10">
        <f ca="1">IFERROR(__xludf.DUMMYFUNCTION("""COMPUTED_VALUE"""),2012)</f>
        <v>2012</v>
      </c>
      <c r="E5965" s="10" t="str">
        <f ca="1">IFERROR(__xludf.DUMMYFUNCTION("""COMPUTED_VALUE"""),"сборник с доклади ""Общество на знанието и хуманизма на ХХI век“, София : За буквите - О писменехь, ISSN 1314-7099 с. 354-360")</f>
        <v>сборник с доклади "Общество на знанието и хуманизма на ХХI век“, София : За буквите - О писменехь, ISSN 1314-7099 с. 354-360</v>
      </c>
      <c r="F5965" s="10"/>
      <c r="G5965" s="10"/>
      <c r="H5965" s="10"/>
      <c r="I5965" s="10"/>
      <c r="J5965" s="10"/>
      <c r="K5965" s="10"/>
      <c r="L5965" s="10"/>
      <c r="M5965" s="10"/>
      <c r="N5965" s="10"/>
      <c r="O5965" s="10"/>
      <c r="P5965" s="10"/>
      <c r="Q5965" s="10"/>
      <c r="R5965" s="10"/>
      <c r="S5965" s="10"/>
      <c r="T5965" s="10"/>
      <c r="U5965" s="10"/>
      <c r="V5965" s="10"/>
      <c r="W5965" s="10"/>
      <c r="X5965" s="10"/>
      <c r="Y5965" s="10"/>
      <c r="Z5965" s="10"/>
    </row>
    <row r="5966" spans="1:26" ht="12.75">
      <c r="A5966" s="10" t="str">
        <f ca="1">IFERROR(__xludf.DUMMYFUNCTION("""COMPUTED_VALUE"""),"Николай Георгиев Палашев")</f>
        <v>Николай Георгиев Палашев</v>
      </c>
      <c r="B5966" s="10" t="str">
        <f ca="1">IFERROR(__xludf.DUMMYFUNCTION("""COMPUTED_VALUE"""),"Книга")</f>
        <v>Книга</v>
      </c>
      <c r="C5966" s="10" t="str">
        <f ca="1">IFERROR(__xludf.DUMMYFUNCTION("""COMPUTED_VALUE"""),"Делимична теориjа комуникациjе")</f>
        <v>Делимична теориjа комуникациjе</v>
      </c>
      <c r="D5966" s="10">
        <f ca="1">IFERROR(__xludf.DUMMYFUNCTION("""COMPUTED_VALUE"""),2012)</f>
        <v>2012</v>
      </c>
      <c r="E5966" s="10" t="str">
        <f ca="1">IFERROR(__xludf.DUMMYFUNCTION("""COMPUTED_VALUE"""),"JУГпрес, Р Сърбия")</f>
        <v>JУГпрес, Р Сърбия</v>
      </c>
      <c r="F5966" s="10"/>
      <c r="G5966" s="10"/>
      <c r="H5966" s="10"/>
      <c r="I5966" s="10"/>
      <c r="J5966" s="10"/>
      <c r="K5966" s="10"/>
      <c r="L5966" s="10"/>
      <c r="M5966" s="10"/>
      <c r="N5966" s="10"/>
      <c r="O5966" s="10"/>
      <c r="P5966" s="10"/>
      <c r="Q5966" s="10"/>
      <c r="R5966" s="10"/>
      <c r="S5966" s="10"/>
      <c r="T5966" s="10"/>
      <c r="U5966" s="10"/>
      <c r="V5966" s="10"/>
      <c r="W5966" s="10"/>
      <c r="X5966" s="10"/>
      <c r="Y5966" s="10"/>
      <c r="Z5966" s="10"/>
    </row>
    <row r="5967" spans="1:26" ht="12.75">
      <c r="A5967" s="10" t="str">
        <f ca="1">IFERROR(__xludf.DUMMYFUNCTION("""COMPUTED_VALUE"""),"Николай Георгиев Палашев")</f>
        <v>Николай Георгиев Палашев</v>
      </c>
      <c r="B5967" s="10" t="str">
        <f ca="1">IFERROR(__xludf.DUMMYFUNCTION("""COMPUTED_VALUE"""),"Статия в списания и поредици")</f>
        <v>Статия в списания и поредици</v>
      </c>
      <c r="C5967" s="10" t="str">
        <f ca="1">IFERROR(__xludf.DUMMYFUNCTION("""COMPUTED_VALUE"""),"Ценности и комуникация")</f>
        <v>Ценности и комуникация</v>
      </c>
      <c r="D5967" s="10">
        <f ca="1">IFERROR(__xludf.DUMMYFUNCTION("""COMPUTED_VALUE"""),2011)</f>
        <v>2011</v>
      </c>
      <c r="E5967" s="10" t="str">
        <f ca="1">IFERROR(__xludf.DUMMYFUNCTION("""COMPUTED_VALUE"""),"сб. „Глобализъм и сигурност“")</f>
        <v>сб. „Глобализъм и сигурност“</v>
      </c>
      <c r="F5967" s="10"/>
      <c r="G5967" s="10"/>
      <c r="H5967" s="10"/>
      <c r="I5967" s="10"/>
      <c r="J5967" s="10"/>
      <c r="K5967" s="10"/>
      <c r="L5967" s="10"/>
      <c r="M5967" s="10"/>
      <c r="N5967" s="10"/>
      <c r="O5967" s="10"/>
      <c r="P5967" s="10"/>
      <c r="Q5967" s="10"/>
      <c r="R5967" s="10"/>
      <c r="S5967" s="10"/>
      <c r="T5967" s="10"/>
      <c r="U5967" s="10"/>
      <c r="V5967" s="10"/>
      <c r="W5967" s="10"/>
      <c r="X5967" s="10"/>
      <c r="Y5967" s="10"/>
      <c r="Z5967" s="10"/>
    </row>
    <row r="5968" spans="1:26" ht="12.75">
      <c r="A5968" s="10" t="str">
        <f ca="1">IFERROR(__xludf.DUMMYFUNCTION("""COMPUTED_VALUE"""),"Николай Георгиев Палашев")</f>
        <v>Николай Георгиев Палашев</v>
      </c>
      <c r="B5968" s="10" t="str">
        <f ca="1">IFERROR(__xludf.DUMMYFUNCTION("""COMPUTED_VALUE"""),"Статия в списания и поредици")</f>
        <v>Статия в списания и поредици</v>
      </c>
      <c r="C5968" s="10" t="str">
        <f ca="1">IFERROR(__xludf.DUMMYFUNCTION("""COMPUTED_VALUE"""),"Аспекти на комуникационната сигурност при тероризма")</f>
        <v>Аспекти на комуникационната сигурност при тероризма</v>
      </c>
      <c r="D5968" s="10">
        <f ca="1">IFERROR(__xludf.DUMMYFUNCTION("""COMPUTED_VALUE"""),2011)</f>
        <v>2011</v>
      </c>
      <c r="E5968" s="10" t="str">
        <f ca="1">IFERROR(__xludf.DUMMYFUNCTION("""COMPUTED_VALUE"""),"сб. „Проблеми на тероризма“,")</f>
        <v>сб. „Проблеми на тероризма“,</v>
      </c>
      <c r="F5968" s="10"/>
      <c r="G5968" s="10"/>
      <c r="H5968" s="10"/>
      <c r="I5968" s="10"/>
      <c r="J5968" s="10"/>
      <c r="K5968" s="10"/>
      <c r="L5968" s="10"/>
      <c r="M5968" s="10"/>
      <c r="N5968" s="10"/>
      <c r="O5968" s="10"/>
      <c r="P5968" s="10"/>
      <c r="Q5968" s="10"/>
      <c r="R5968" s="10"/>
      <c r="S5968" s="10"/>
      <c r="T5968" s="10"/>
      <c r="U5968" s="10"/>
      <c r="V5968" s="10"/>
      <c r="W5968" s="10"/>
      <c r="X5968" s="10"/>
      <c r="Y5968" s="10"/>
      <c r="Z5968" s="10"/>
    </row>
    <row r="5969" spans="1:26" ht="12.75">
      <c r="A5969" s="10" t="str">
        <f ca="1">IFERROR(__xludf.DUMMYFUNCTION("""COMPUTED_VALUE"""),"Николай Георгиев Палашев")</f>
        <v>Николай Георгиев Палашев</v>
      </c>
      <c r="B5969" s="10" t="str">
        <f ca="1">IFERROR(__xludf.DUMMYFUNCTION("""COMPUTED_VALUE"""),"Статия в списания и поредици")</f>
        <v>Статия в списания и поредици</v>
      </c>
      <c r="C5969" s="10" t="str">
        <f ca="1">IFERROR(__xludf.DUMMYFUNCTION("""COMPUTED_VALUE"""),"Организация и управление на комуникационни тактики")</f>
        <v>Организация и управление на комуникационни тактики</v>
      </c>
      <c r="D5969" s="10">
        <f ca="1">IFERROR(__xludf.DUMMYFUNCTION("""COMPUTED_VALUE"""),2011)</f>
        <v>2011</v>
      </c>
      <c r="E5969" s="10" t="str">
        <f ca="1">IFERROR(__xludf.DUMMYFUNCTION("""COMPUTED_VALUE"""),"сп. „Българска наука“")</f>
        <v>сп. „Българска наука“</v>
      </c>
      <c r="F5969" s="10"/>
      <c r="G5969" s="10"/>
      <c r="H5969" s="10"/>
      <c r="I5969" s="10"/>
      <c r="J5969" s="10"/>
      <c r="K5969" s="10"/>
      <c r="L5969" s="10"/>
      <c r="M5969" s="10"/>
      <c r="N5969" s="10"/>
      <c r="O5969" s="10"/>
      <c r="P5969" s="10"/>
      <c r="Q5969" s="10"/>
      <c r="R5969" s="10"/>
      <c r="S5969" s="10"/>
      <c r="T5969" s="10"/>
      <c r="U5969" s="10"/>
      <c r="V5969" s="10"/>
      <c r="W5969" s="10"/>
      <c r="X5969" s="10"/>
      <c r="Y5969" s="10"/>
      <c r="Z5969" s="10"/>
    </row>
    <row r="5970" spans="1:26" ht="12.75">
      <c r="A5970" s="10" t="str">
        <f ca="1">IFERROR(__xludf.DUMMYFUNCTION("""COMPUTED_VALUE"""),"Николай Георгиев Палашев")</f>
        <v>Николай Георгиев Палашев</v>
      </c>
      <c r="B5970" s="10" t="str">
        <f ca="1">IFERROR(__xludf.DUMMYFUNCTION("""COMPUTED_VALUE"""),"Статия в списания и поредици")</f>
        <v>Статия в списания и поредици</v>
      </c>
      <c r="C5970" s="10" t="str">
        <f ca="1">IFERROR(__xludf.DUMMYFUNCTION("""COMPUTED_VALUE"""),"Комуникационна сигурност при трансцеденталната информация")</f>
        <v>Комуникационна сигурност при трансцеденталната информация</v>
      </c>
      <c r="D5970" s="10">
        <f ca="1">IFERROR(__xludf.DUMMYFUNCTION("""COMPUTED_VALUE"""),2011)</f>
        <v>2011</v>
      </c>
      <c r="E5970" s="10" t="str">
        <f ca="1">IFERROR(__xludf.DUMMYFUNCTION("""COMPUTED_VALUE"""),"Обществото на знанието и хуманизмът на XXI век : национална научна конференция с международно участие, София : За буквите - О писменехь, ISSN 1314-7099, с. 336-346")</f>
        <v>Обществото на знанието и хуманизмът на XXI век : национална научна конференция с международно участие, София : За буквите - О писменехь, ISSN 1314-7099, с. 336-346</v>
      </c>
      <c r="F5970" s="10"/>
      <c r="G5970" s="10"/>
      <c r="H5970" s="10"/>
      <c r="I5970" s="10"/>
      <c r="J5970" s="10"/>
      <c r="K5970" s="10"/>
      <c r="L5970" s="10"/>
      <c r="M5970" s="10"/>
      <c r="N5970" s="10"/>
      <c r="O5970" s="10"/>
      <c r="P5970" s="10"/>
      <c r="Q5970" s="10"/>
      <c r="R5970" s="10"/>
      <c r="S5970" s="10"/>
      <c r="T5970" s="10"/>
      <c r="U5970" s="10"/>
      <c r="V5970" s="10"/>
      <c r="W5970" s="10"/>
      <c r="X5970" s="10"/>
      <c r="Y5970" s="10"/>
      <c r="Z5970" s="10"/>
    </row>
    <row r="5971" spans="1:26" ht="12.75">
      <c r="A5971" s="10" t="str">
        <f ca="1">IFERROR(__xludf.DUMMYFUNCTION("""COMPUTED_VALUE"""),"Николай Георгиев Палашев")</f>
        <v>Николай Георгиев Палашев</v>
      </c>
      <c r="B5971" s="10" t="str">
        <f ca="1">IFERROR(__xludf.DUMMYFUNCTION("""COMPUTED_VALUE"""),"Статия в списания и поредици")</f>
        <v>Статия в списания и поредици</v>
      </c>
      <c r="C5971" s="10" t="str">
        <f ca="1">IFERROR(__xludf.DUMMYFUNCTION("""COMPUTED_VALUE"""),"Комуникационно третиране на културно-историческото наследство чрез тематично обвързаните образно-символни системи")</f>
        <v>Комуникационно третиране на културно-историческото наследство чрез тематично обвързаните образно-символни системи</v>
      </c>
      <c r="D5971" s="10">
        <f ca="1">IFERROR(__xludf.DUMMYFUNCTION("""COMPUTED_VALUE"""),2011)</f>
        <v>2011</v>
      </c>
      <c r="E5971" s="10" t="str">
        <f ca="1">IFERROR(__xludf.DUMMYFUNCTION("""COMPUTED_VALUE"""),"Изкуствоведски четения : тематично годишно рецензирано издание за изкуствознание / Институт за изкуствознание БАН, София, ISSN 1313-2342, с. 13-20")</f>
        <v>Изкуствоведски четения : тематично годишно рецензирано издание за изкуствознание / Институт за изкуствознание БАН, София, ISSN 1313-2342, с. 13-20</v>
      </c>
      <c r="F5971" s="10"/>
      <c r="G5971" s="10"/>
      <c r="H5971" s="10"/>
      <c r="I5971" s="10"/>
      <c r="J5971" s="10"/>
      <c r="K5971" s="10"/>
      <c r="L5971" s="10"/>
      <c r="M5971" s="10"/>
      <c r="N5971" s="10"/>
      <c r="O5971" s="10"/>
      <c r="P5971" s="10"/>
      <c r="Q5971" s="10"/>
      <c r="R5971" s="10"/>
      <c r="S5971" s="10"/>
      <c r="T5971" s="10"/>
      <c r="U5971" s="10"/>
      <c r="V5971" s="10"/>
      <c r="W5971" s="10"/>
      <c r="X5971" s="10"/>
      <c r="Y5971" s="10"/>
      <c r="Z5971" s="10"/>
    </row>
    <row r="5972" spans="1:26" ht="12.75">
      <c r="A5972" s="10" t="str">
        <f ca="1">IFERROR(__xludf.DUMMYFUNCTION("""COMPUTED_VALUE"""),"Николай Георгиев Палашев")</f>
        <v>Николай Георгиев Палашев</v>
      </c>
      <c r="B5972" s="10" t="str">
        <f ca="1">IFERROR(__xludf.DUMMYFUNCTION("""COMPUTED_VALUE"""),"Статия в списания и поредици")</f>
        <v>Статия в списания и поредици</v>
      </c>
      <c r="C5972" s="10" t="str">
        <f ca="1">IFERROR(__xludf.DUMMYFUNCTION("""COMPUTED_VALUE"""),"Материализация на информацията чрез знака, символа, образа и езика")</f>
        <v>Материализация на информацията чрез знака, символа, образа и езика</v>
      </c>
      <c r="D5972" s="10">
        <f ca="1">IFERROR(__xludf.DUMMYFUNCTION("""COMPUTED_VALUE"""),2011)</f>
        <v>2011</v>
      </c>
      <c r="E5972" s="10" t="str">
        <f ca="1">IFERROR(__xludf.DUMMYFUNCTION("""COMPUTED_VALUE"""),"сп. „Издател“, Велико Търново : Великотърновски университет ""Св. Св. Кирил и Методий"", ISSN 1310-4624, God. 13, br. 1-2,с. 14-18")</f>
        <v>сп. „Издател“, Велико Търново : Великотърновски университет "Св. Св. Кирил и Методий", ISSN 1310-4624, God. 13, br. 1-2,с. 14-18</v>
      </c>
      <c r="F5972" s="10"/>
      <c r="G5972" s="10"/>
      <c r="H5972" s="10"/>
      <c r="I5972" s="10"/>
      <c r="J5972" s="10"/>
      <c r="K5972" s="10"/>
      <c r="L5972" s="10"/>
      <c r="M5972" s="10"/>
      <c r="N5972" s="10"/>
      <c r="O5972" s="10"/>
      <c r="P5972" s="10"/>
      <c r="Q5972" s="10"/>
      <c r="R5972" s="10"/>
      <c r="S5972" s="10"/>
      <c r="T5972" s="10"/>
      <c r="U5972" s="10"/>
      <c r="V5972" s="10"/>
      <c r="W5972" s="10"/>
      <c r="X5972" s="10"/>
      <c r="Y5972" s="10"/>
      <c r="Z5972" s="10"/>
    </row>
    <row r="5973" spans="1:26" ht="12.75">
      <c r="A5973" s="10" t="str">
        <f ca="1">IFERROR(__xludf.DUMMYFUNCTION("""COMPUTED_VALUE"""),"Николай Георгиев Палашев")</f>
        <v>Николай Георгиев Палашев</v>
      </c>
      <c r="B5973" s="10" t="str">
        <f ca="1">IFERROR(__xludf.DUMMYFUNCTION("""COMPUTED_VALUE"""),"Статия в списания и поредици")</f>
        <v>Статия в списания и поредици</v>
      </c>
      <c r="C5973" s="10" t="str">
        <f ca="1">IFERROR(__xludf.DUMMYFUNCTION("""COMPUTED_VALUE"""),"Рискове пред комуникационната сигурност")</f>
        <v>Рискове пред комуникационната сигурност</v>
      </c>
      <c r="D5973" s="10">
        <f ca="1">IFERROR(__xludf.DUMMYFUNCTION("""COMPUTED_VALUE"""),2011)</f>
        <v>2011</v>
      </c>
      <c r="E5973" s="10" t="str">
        <f ca="1">IFERROR(__xludf.DUMMYFUNCTION("""COMPUTED_VALUE"""),"сборник „Сигурността на Западния Балкан“, Р Македония")</f>
        <v>сборник „Сигурността на Западния Балкан“, Р Македония</v>
      </c>
      <c r="F5973" s="10"/>
      <c r="G5973" s="10"/>
      <c r="H5973" s="10"/>
      <c r="I5973" s="10"/>
      <c r="J5973" s="10"/>
      <c r="K5973" s="10"/>
      <c r="L5973" s="10"/>
      <c r="M5973" s="10"/>
      <c r="N5973" s="10"/>
      <c r="O5973" s="10"/>
      <c r="P5973" s="10"/>
      <c r="Q5973" s="10"/>
      <c r="R5973" s="10"/>
      <c r="S5973" s="10"/>
      <c r="T5973" s="10"/>
      <c r="U5973" s="10"/>
      <c r="V5973" s="10"/>
      <c r="W5973" s="10"/>
      <c r="X5973" s="10"/>
      <c r="Y5973" s="10"/>
      <c r="Z5973" s="10"/>
    </row>
    <row r="5974" spans="1:26" ht="12.75">
      <c r="A5974" s="10" t="str">
        <f ca="1">IFERROR(__xludf.DUMMYFUNCTION("""COMPUTED_VALUE"""),"Николай Георгиев Палашев")</f>
        <v>Николай Георгиев Палашев</v>
      </c>
      <c r="B5974" s="10" t="str">
        <f ca="1">IFERROR(__xludf.DUMMYFUNCTION("""COMPUTED_VALUE"""),"Доклад от конференция")</f>
        <v>Доклад от конференция</v>
      </c>
      <c r="C5974" s="10" t="str">
        <f ca="1">IFERROR(__xludf.DUMMYFUNCTION("""COMPUTED_VALUE"""),"Проблеми на комуникационната сигурност в контекста на етническите стериотипи и социалните дистанции")</f>
        <v>Проблеми на комуникационната сигурност в контекста на етническите стериотипи и социалните дистанции</v>
      </c>
      <c r="D5974" s="10">
        <f ca="1">IFERROR(__xludf.DUMMYFUNCTION("""COMPUTED_VALUE"""),2010)</f>
        <v>2010</v>
      </c>
      <c r="E5974" s="10" t="str">
        <f ca="1">IFERROR(__xludf.DUMMYFUNCTION("""COMPUTED_VALUE"""),"сб. „Етническа и религиозна толерантност""")</f>
        <v>сб. „Етническа и религиозна толерантност"</v>
      </c>
      <c r="F5974" s="10"/>
      <c r="G5974" s="10"/>
      <c r="H5974" s="10"/>
      <c r="I5974" s="10"/>
      <c r="J5974" s="10"/>
      <c r="K5974" s="10"/>
      <c r="L5974" s="10"/>
      <c r="M5974" s="10"/>
      <c r="N5974" s="10"/>
      <c r="O5974" s="10"/>
      <c r="P5974" s="10"/>
      <c r="Q5974" s="10"/>
      <c r="R5974" s="10"/>
      <c r="S5974" s="10"/>
      <c r="T5974" s="10"/>
      <c r="U5974" s="10"/>
      <c r="V5974" s="10"/>
      <c r="W5974" s="10"/>
      <c r="X5974" s="10"/>
      <c r="Y5974" s="10"/>
      <c r="Z5974" s="10"/>
    </row>
    <row r="5975" spans="1:26" ht="12.75">
      <c r="A5975" s="10" t="str">
        <f ca="1">IFERROR(__xludf.DUMMYFUNCTION("""COMPUTED_VALUE"""),"Николай Георгиев Палашев")</f>
        <v>Николай Георгиев Палашев</v>
      </c>
      <c r="B5975" s="10" t="str">
        <f ca="1">IFERROR(__xludf.DUMMYFUNCTION("""COMPUTED_VALUE"""),"Монография")</f>
        <v>Монография</v>
      </c>
      <c r="C5975" s="10" t="str">
        <f ca="1">IFERROR(__xludf.DUMMYFUNCTION("""COMPUTED_VALUE"""),"Обществена комуникация /Частна теория за комуникацията")</f>
        <v>Обществена комуникация /Частна теория за комуникацията</v>
      </c>
      <c r="D5975" s="10">
        <f ca="1">IFERROR(__xludf.DUMMYFUNCTION("""COMPUTED_VALUE"""),2010)</f>
        <v>2010</v>
      </c>
      <c r="E5975" s="10" t="str">
        <f ca="1">IFERROR(__xludf.DUMMYFUNCTION("""COMPUTED_VALUE"""),"София : За буквите - О писменехь, 2010, ISBN 978-954-8887-94-6, с.328")</f>
        <v>София : За буквите - О писменехь, 2010, ISBN 978-954-8887-94-6, с.328</v>
      </c>
      <c r="F5975" s="10"/>
      <c r="G5975" s="10"/>
      <c r="H5975" s="10"/>
      <c r="I5975" s="10"/>
      <c r="J5975" s="10"/>
      <c r="K5975" s="10"/>
      <c r="L5975" s="10"/>
      <c r="M5975" s="10"/>
      <c r="N5975" s="10"/>
      <c r="O5975" s="10"/>
      <c r="P5975" s="10"/>
      <c r="Q5975" s="10"/>
      <c r="R5975" s="10"/>
      <c r="S5975" s="10"/>
      <c r="T5975" s="10"/>
      <c r="U5975" s="10"/>
      <c r="V5975" s="10"/>
      <c r="W5975" s="10"/>
      <c r="X5975" s="10"/>
      <c r="Y5975" s="10"/>
      <c r="Z5975" s="10"/>
    </row>
    <row r="5976" spans="1:26" ht="12.75">
      <c r="A5976" s="10" t="str">
        <f ca="1">IFERROR(__xludf.DUMMYFUNCTION("""COMPUTED_VALUE"""),"Николай Георгиев Палашев")</f>
        <v>Николай Георгиев Палашев</v>
      </c>
      <c r="B5976" s="10" t="str">
        <f ca="1">IFERROR(__xludf.DUMMYFUNCTION("""COMPUTED_VALUE"""),"Статия в списания и поредици")</f>
        <v>Статия в списания и поредици</v>
      </c>
      <c r="C5976" s="10" t="str">
        <f ca="1">IFERROR(__xludf.DUMMYFUNCTION("""COMPUTED_VALUE"""),"„Културологична прагматика на знака, символа, образа и словото при обществената комуникация“")</f>
        <v>„Културологична прагматика на знака, символа, образа и словото при обществената комуникация“</v>
      </c>
      <c r="D5976" s="10">
        <f ca="1">IFERROR(__xludf.DUMMYFUNCTION("""COMPUTED_VALUE"""),2010)</f>
        <v>2010</v>
      </c>
      <c r="E5976" s="10" t="str">
        <f ca="1">IFERROR(__xludf.DUMMYFUNCTION("""COMPUTED_VALUE"""),"сборник с доклади от научна конференция „Общество на знанието и хуманизма на ХХI век“ , За буквите - О писменехь, 2010, 978-954-2946-09-0")</f>
        <v>сборник с доклади от научна конференция „Общество на знанието и хуманизма на ХХI век“ , За буквите - О писменехь, 2010, 978-954-2946-09-0</v>
      </c>
      <c r="F5976" s="10"/>
      <c r="G5976" s="10"/>
      <c r="H5976" s="10"/>
      <c r="I5976" s="10"/>
      <c r="J5976" s="10"/>
      <c r="K5976" s="10"/>
      <c r="L5976" s="10"/>
      <c r="M5976" s="10"/>
      <c r="N5976" s="10"/>
      <c r="O5976" s="10"/>
      <c r="P5976" s="10"/>
      <c r="Q5976" s="10"/>
      <c r="R5976" s="10"/>
      <c r="S5976" s="10"/>
      <c r="T5976" s="10"/>
      <c r="U5976" s="10"/>
      <c r="V5976" s="10"/>
      <c r="W5976" s="10"/>
      <c r="X5976" s="10"/>
      <c r="Y5976" s="10"/>
      <c r="Z5976" s="10"/>
    </row>
    <row r="5977" spans="1:26" ht="12.75">
      <c r="A5977" s="10" t="str">
        <f ca="1">IFERROR(__xludf.DUMMYFUNCTION("""COMPUTED_VALUE"""),"Николай Георгиев Палашев")</f>
        <v>Николай Георгиев Палашев</v>
      </c>
      <c r="B5977" s="10" t="str">
        <f ca="1">IFERROR(__xludf.DUMMYFUNCTION("""COMPUTED_VALUE"""),"Доклад от конференция")</f>
        <v>Доклад от конференция</v>
      </c>
      <c r="C5977" s="10" t="str">
        <f ca="1">IFERROR(__xludf.DUMMYFUNCTION("""COMPUTED_VALUE"""),"Специфика и същност на алфакомуникацията в контекста на комуникационния процес")</f>
        <v>Специфика и същност на алфакомуникацията в контекста на комуникационния процес</v>
      </c>
      <c r="D5977" s="10">
        <f ca="1">IFERROR(__xludf.DUMMYFUNCTION("""COMPUTED_VALUE"""),2010)</f>
        <v>2010</v>
      </c>
      <c r="E5977" s="10" t="str">
        <f ca="1">IFERROR(__xludf.DUMMYFUNCTION("""COMPUTED_VALUE"""),"сб. „Нови информационни технологии в образователния процес")</f>
        <v>сб. „Нови информационни технологии в образователния процес</v>
      </c>
      <c r="F5977" s="10"/>
      <c r="G5977" s="10"/>
      <c r="H5977" s="10"/>
      <c r="I5977" s="10"/>
      <c r="J5977" s="10"/>
      <c r="K5977" s="10"/>
      <c r="L5977" s="10"/>
      <c r="M5977" s="10"/>
      <c r="N5977" s="10"/>
      <c r="O5977" s="10"/>
      <c r="P5977" s="10"/>
      <c r="Q5977" s="10"/>
      <c r="R5977" s="10"/>
      <c r="S5977" s="10"/>
      <c r="T5977" s="10"/>
      <c r="U5977" s="10"/>
      <c r="V5977" s="10"/>
      <c r="W5977" s="10"/>
      <c r="X5977" s="10"/>
      <c r="Y5977" s="10"/>
      <c r="Z5977" s="10"/>
    </row>
    <row r="5978" spans="1:26" ht="12.75">
      <c r="A5978" s="10" t="str">
        <f ca="1">IFERROR(__xludf.DUMMYFUNCTION("""COMPUTED_VALUE"""),"Николай Георгиев Палашев")</f>
        <v>Николай Георгиев Палашев</v>
      </c>
      <c r="B5978" s="10" t="str">
        <f ca="1">IFERROR(__xludf.DUMMYFUNCTION("""COMPUTED_VALUE"""),"Статия в списания и поредици")</f>
        <v>Статия в списания и поредици</v>
      </c>
      <c r="C5978" s="10" t="str">
        <f ca="1">IFERROR(__xludf.DUMMYFUNCTION("""COMPUTED_VALUE"""),"Корпоративността – доктринална основа за обществените комуникации в условията на глобализация")</f>
        <v>Корпоративността – доктринална основа за обществените комуникации в условията на глобализация</v>
      </c>
      <c r="D5978" s="10">
        <f ca="1">IFERROR(__xludf.DUMMYFUNCTION("""COMPUTED_VALUE"""),2008)</f>
        <v>2008</v>
      </c>
      <c r="E5978" s="10" t="str">
        <f ca="1">IFERROR(__xludf.DUMMYFUNCTION("""COMPUTED_VALUE"""),"Сп. „Международни отношения”, 2008, ISSN 0324-1092, с. 109-120")</f>
        <v>Сп. „Международни отношения”, 2008, ISSN 0324-1092, с. 109-120</v>
      </c>
      <c r="F5978" s="10"/>
      <c r="G5978" s="10"/>
      <c r="H5978" s="10"/>
      <c r="I5978" s="10"/>
      <c r="J5978" s="10"/>
      <c r="K5978" s="10"/>
      <c r="L5978" s="10"/>
      <c r="M5978" s="10"/>
      <c r="N5978" s="10"/>
      <c r="O5978" s="10"/>
      <c r="P5978" s="10"/>
      <c r="Q5978" s="10"/>
      <c r="R5978" s="10"/>
      <c r="S5978" s="10"/>
      <c r="T5978" s="10"/>
      <c r="U5978" s="10"/>
      <c r="V5978" s="10"/>
      <c r="W5978" s="10"/>
      <c r="X5978" s="10"/>
      <c r="Y5978" s="10"/>
      <c r="Z5978" s="10"/>
    </row>
    <row r="5979" spans="1:26" ht="12.75">
      <c r="A5979" s="10" t="str">
        <f ca="1">IFERROR(__xludf.DUMMYFUNCTION("""COMPUTED_VALUE"""),"Николай Георгиев Палашев")</f>
        <v>Николай Георгиев Палашев</v>
      </c>
      <c r="B5979" s="10" t="str">
        <f ca="1">IFERROR(__xludf.DUMMYFUNCTION("""COMPUTED_VALUE"""),"Статия в списания и поредици")</f>
        <v>Статия в списания и поредици</v>
      </c>
      <c r="C5979" s="10" t="str">
        <f ca="1">IFERROR(__xludf.DUMMYFUNCTION("""COMPUTED_VALUE"""),"Организация и управление на комуникационни тактики")</f>
        <v>Организация и управление на комуникационни тактики</v>
      </c>
      <c r="D5979" s="10">
        <f ca="1">IFERROR(__xludf.DUMMYFUNCTION("""COMPUTED_VALUE"""),2007)</f>
        <v>2007</v>
      </c>
      <c r="E5979" s="10" t="str">
        <f ca="1">IFERROR(__xludf.DUMMYFUNCTION("""COMPUTED_VALUE"""),"Сп. „Българска наука”")</f>
        <v>Сп. „Българска наука”</v>
      </c>
      <c r="F5979" s="10"/>
      <c r="G5979" s="10"/>
      <c r="H5979" s="10"/>
      <c r="I5979" s="10"/>
      <c r="J5979" s="10"/>
      <c r="K5979" s="10"/>
      <c r="L5979" s="10"/>
      <c r="M5979" s="10"/>
      <c r="N5979" s="10"/>
      <c r="O5979" s="10"/>
      <c r="P5979" s="10"/>
      <c r="Q5979" s="10"/>
      <c r="R5979" s="10"/>
      <c r="S5979" s="10"/>
      <c r="T5979" s="10"/>
      <c r="U5979" s="10"/>
      <c r="V5979" s="10"/>
      <c r="W5979" s="10"/>
      <c r="X5979" s="10"/>
      <c r="Y5979" s="10"/>
      <c r="Z5979" s="10"/>
    </row>
    <row r="5980" spans="1:26" ht="12.75">
      <c r="A5980" s="10" t="str">
        <f ca="1">IFERROR(__xludf.DUMMYFUNCTION("""COMPUTED_VALUE"""),"Николай Георгиев Палашев")</f>
        <v>Николай Георгиев Палашев</v>
      </c>
      <c r="B5980" s="10" t="str">
        <f ca="1">IFERROR(__xludf.DUMMYFUNCTION("""COMPUTED_VALUE"""),"Статия в списания и поредици")</f>
        <v>Статия в списания и поредици</v>
      </c>
      <c r="C5980" s="10" t="str">
        <f ca="1">IFERROR(__xludf.DUMMYFUNCTION("""COMPUTED_VALUE"""),"Информационна ефективност на комуникационните канали")</f>
        <v>Информационна ефективност на комуникационните канали</v>
      </c>
      <c r="D5980" s="10">
        <f ca="1">IFERROR(__xludf.DUMMYFUNCTION("""COMPUTED_VALUE"""),2007)</f>
        <v>2007</v>
      </c>
      <c r="E5980" s="10" t="str">
        <f ca="1">IFERROR(__xludf.DUMMYFUNCTION("""COMPUTED_VALUE"""),"Сп. „Бизнес посоки”, ISSN 1312-6016-III,2, с. 46-49")</f>
        <v>Сп. „Бизнес посоки”, ISSN 1312-6016-III,2, с. 46-49</v>
      </c>
      <c r="F5980" s="10"/>
      <c r="G5980" s="10"/>
      <c r="H5980" s="10"/>
      <c r="I5980" s="10"/>
      <c r="J5980" s="10"/>
      <c r="K5980" s="10"/>
      <c r="L5980" s="10"/>
      <c r="M5980" s="10"/>
      <c r="N5980" s="10"/>
      <c r="O5980" s="10"/>
      <c r="P5980" s="10"/>
      <c r="Q5980" s="10"/>
      <c r="R5980" s="10"/>
      <c r="S5980" s="10"/>
      <c r="T5980" s="10"/>
      <c r="U5980" s="10"/>
      <c r="V5980" s="10"/>
      <c r="W5980" s="10"/>
      <c r="X5980" s="10"/>
      <c r="Y5980" s="10"/>
      <c r="Z5980" s="10"/>
    </row>
    <row r="5981" spans="1:26" ht="12.75">
      <c r="A5981" s="10" t="str">
        <f ca="1">IFERROR(__xludf.DUMMYFUNCTION("""COMPUTED_VALUE"""),"Николай Георгиев Палашев")</f>
        <v>Николай Георгиев Палашев</v>
      </c>
      <c r="B5981" s="10" t="str">
        <f ca="1">IFERROR(__xludf.DUMMYFUNCTION("""COMPUTED_VALUE"""),"Статия в списания и поредици")</f>
        <v>Статия в списания и поредици</v>
      </c>
      <c r="C5981" s="10" t="str">
        <f ca="1">IFERROR(__xludf.DUMMYFUNCTION("""COMPUTED_VALUE"""),"Аспекти на организацията и управлението на корпоративните комуникации")</f>
        <v>Аспекти на организацията и управлението на корпоративните комуникации</v>
      </c>
      <c r="D5981" s="10">
        <f ca="1">IFERROR(__xludf.DUMMYFUNCTION("""COMPUTED_VALUE"""),2007)</f>
        <v>2007</v>
      </c>
      <c r="E5981" s="10" t="str">
        <f ca="1">IFERROR(__xludf.DUMMYFUNCTION("""COMPUTED_VALUE"""),"сп. Военен журнал, София, 2007 : Св. Георги Победоносец - МО, ISSN 0861-7392 - CXIV, 3, с. 115-121")</f>
        <v>сп. Военен журнал, София, 2007 : Св. Георги Победоносец - МО, ISSN 0861-7392 - CXIV, 3, с. 115-121</v>
      </c>
      <c r="F5981" s="10"/>
      <c r="G5981" s="10"/>
      <c r="H5981" s="10"/>
      <c r="I5981" s="10"/>
      <c r="J5981" s="10"/>
      <c r="K5981" s="10"/>
      <c r="L5981" s="10"/>
      <c r="M5981" s="10"/>
      <c r="N5981" s="10"/>
      <c r="O5981" s="10"/>
      <c r="P5981" s="10"/>
      <c r="Q5981" s="10"/>
      <c r="R5981" s="10"/>
      <c r="S5981" s="10"/>
      <c r="T5981" s="10"/>
      <c r="U5981" s="10"/>
      <c r="V5981" s="10"/>
      <c r="W5981" s="10"/>
      <c r="X5981" s="10"/>
      <c r="Y5981" s="10"/>
      <c r="Z5981" s="10"/>
    </row>
    <row r="5982" spans="1:26" ht="12.75">
      <c r="A5982" s="10" t="str">
        <f ca="1">IFERROR(__xludf.DUMMYFUNCTION("""COMPUTED_VALUE"""),"Николай Георгиев Палашев")</f>
        <v>Николай Георгиев Палашев</v>
      </c>
      <c r="B5982" s="10" t="str">
        <f ca="1">IFERROR(__xludf.DUMMYFUNCTION("""COMPUTED_VALUE"""),"Статия в списания и поредици")</f>
        <v>Статия в списания и поредици</v>
      </c>
      <c r="C5982" s="10" t="str">
        <f ca="1">IFERROR(__xludf.DUMMYFUNCTION("""COMPUTED_VALUE"""),"Езикови особености при модерните корпоративни комуникации")</f>
        <v>Езикови особености при модерните корпоративни комуникации</v>
      </c>
      <c r="D5982" s="10">
        <f ca="1">IFERROR(__xludf.DUMMYFUNCTION("""COMPUTED_VALUE"""),2007)</f>
        <v>2007</v>
      </c>
      <c r="E5982" s="10" t="str">
        <f ca="1">IFERROR(__xludf.DUMMYFUNCTION("""COMPUTED_VALUE"""),"Годишник на Софийския университет Св.Климент Охридски. Факултет по журналистика и масова комуникация,София : Университетско издателство Св.Климент Охридски,2007, ISSN 1311-4883-14, с. 211-220")</f>
        <v>Годишник на Софийския университет Св.Климент Охридски. Факултет по журналистика и масова комуникация,София : Университетско издателство Св.Климент Охридски,2007, ISSN 1311-4883-14, с. 211-220</v>
      </c>
      <c r="F5982" s="10"/>
      <c r="G5982" s="10"/>
      <c r="H5982" s="10"/>
      <c r="I5982" s="10"/>
      <c r="J5982" s="10"/>
      <c r="K5982" s="10"/>
      <c r="L5982" s="10"/>
      <c r="M5982" s="10"/>
      <c r="N5982" s="10"/>
      <c r="O5982" s="10"/>
      <c r="P5982" s="10"/>
      <c r="Q5982" s="10"/>
      <c r="R5982" s="10"/>
      <c r="S5982" s="10"/>
      <c r="T5982" s="10"/>
      <c r="U5982" s="10"/>
      <c r="V5982" s="10"/>
      <c r="W5982" s="10"/>
      <c r="X5982" s="10"/>
      <c r="Y5982" s="10"/>
      <c r="Z5982" s="10"/>
    </row>
    <row r="5983" spans="1:26" ht="12.75">
      <c r="A5983" s="10" t="str">
        <f ca="1">IFERROR(__xludf.DUMMYFUNCTION("""COMPUTED_VALUE"""),"Николай Георгиев Палашев")</f>
        <v>Николай Георгиев Палашев</v>
      </c>
      <c r="B5983" s="10" t="str">
        <f ca="1">IFERROR(__xludf.DUMMYFUNCTION("""COMPUTED_VALUE"""),"Статия в списания и поредици")</f>
        <v>Статия в списания и поредици</v>
      </c>
      <c r="C5983" s="10" t="str">
        <f ca="1">IFERROR(__xludf.DUMMYFUNCTION("""COMPUTED_VALUE"""),"Функционално движение на информацията при корпоративните комуникации")</f>
        <v>Функционално движение на информацията при корпоративните комуникации</v>
      </c>
      <c r="D5983" s="10">
        <f ca="1">IFERROR(__xludf.DUMMYFUNCTION("""COMPUTED_VALUE"""),2007)</f>
        <v>2007</v>
      </c>
      <c r="E5983" s="10" t="str">
        <f ca="1">IFERROR(__xludf.DUMMYFUNCTION("""COMPUTED_VALUE"""),"Сп. „Издател”, ISSN 1310-4624,с. 24-28")</f>
        <v>Сп. „Издател”, ISSN 1310-4624,с. 24-28</v>
      </c>
      <c r="F5983" s="10"/>
      <c r="G5983" s="10"/>
      <c r="H5983" s="10"/>
      <c r="I5983" s="10"/>
      <c r="J5983" s="10"/>
      <c r="K5983" s="10"/>
      <c r="L5983" s="10"/>
      <c r="M5983" s="10"/>
      <c r="N5983" s="10"/>
      <c r="O5983" s="10"/>
      <c r="P5983" s="10"/>
      <c r="Q5983" s="10"/>
      <c r="R5983" s="10"/>
      <c r="S5983" s="10"/>
      <c r="T5983" s="10"/>
      <c r="U5983" s="10"/>
      <c r="V5983" s="10"/>
      <c r="W5983" s="10"/>
      <c r="X5983" s="10"/>
      <c r="Y5983" s="10"/>
      <c r="Z5983" s="10"/>
    </row>
    <row r="5984" spans="1:26" ht="12.75">
      <c r="A5984" s="10" t="str">
        <f ca="1">IFERROR(__xludf.DUMMYFUNCTION("""COMPUTED_VALUE"""),"Николай Георгиев Палашев")</f>
        <v>Николай Георгиев Палашев</v>
      </c>
      <c r="B5984" s="10" t="str">
        <f ca="1">IFERROR(__xludf.DUMMYFUNCTION("""COMPUTED_VALUE"""),"Статия в списания и поредици")</f>
        <v>Статия в списания и поредици</v>
      </c>
      <c r="C5984" s="10" t="str">
        <f ca="1">IFERROR(__xludf.DUMMYFUNCTION("""COMPUTED_VALUE"""),"Деструктивни влияния при управлението на информацията в ток-шоу публицистичните телевизионни предаваниястатия")</f>
        <v>Деструктивни влияния при управлението на информацията в ток-шоу публицистичните телевизионни предаваниястатия</v>
      </c>
      <c r="D5984" s="10">
        <f ca="1">IFERROR(__xludf.DUMMYFUNCTION("""COMPUTED_VALUE"""),2007)</f>
        <v>2007</v>
      </c>
      <c r="E5984" s="10" t="str">
        <f ca="1">IFERROR(__xludf.DUMMYFUNCTION("""COMPUTED_VALUE"""),"Изкуствоведски четения : тематично годишно рецензирано издание за изкуствознание / Институт за изкуствознание БАН, София, ISSN 1313-2342, с. 338-344")</f>
        <v>Изкуствоведски четения : тематично годишно рецензирано издание за изкуствознание / Институт за изкуствознание БАН, София, ISSN 1313-2342, с. 338-344</v>
      </c>
      <c r="F5984" s="10"/>
      <c r="G5984" s="10"/>
      <c r="H5984" s="10"/>
      <c r="I5984" s="10"/>
      <c r="J5984" s="10"/>
      <c r="K5984" s="10"/>
      <c r="L5984" s="10"/>
      <c r="M5984" s="10"/>
      <c r="N5984" s="10"/>
      <c r="O5984" s="10"/>
      <c r="P5984" s="10"/>
      <c r="Q5984" s="10"/>
      <c r="R5984" s="10"/>
      <c r="S5984" s="10"/>
      <c r="T5984" s="10"/>
      <c r="U5984" s="10"/>
      <c r="V5984" s="10"/>
      <c r="W5984" s="10"/>
      <c r="X5984" s="10"/>
      <c r="Y5984" s="10"/>
      <c r="Z5984" s="10"/>
    </row>
    <row r="5985" spans="1:26" ht="12.75">
      <c r="A5985" s="10" t="str">
        <f ca="1">IFERROR(__xludf.DUMMYFUNCTION("""COMPUTED_VALUE"""),"Николай Георгиев Палашев")</f>
        <v>Николай Георгиев Палашев</v>
      </c>
      <c r="B5985" s="10" t="str">
        <f ca="1">IFERROR(__xludf.DUMMYFUNCTION("""COMPUTED_VALUE"""),"Статия в списания и поредици")</f>
        <v>Статия в списания и поредици</v>
      </c>
      <c r="C5985" s="10" t="str">
        <f ca="1">IFERROR(__xludf.DUMMYFUNCTION("""COMPUTED_VALUE"""),"Аспекти на организацията и управлението на корпоративните комуникации")</f>
        <v>Аспекти на организацията и управлението на корпоративните комуникации</v>
      </c>
      <c r="D5985" s="10">
        <f ca="1">IFERROR(__xludf.DUMMYFUNCTION("""COMPUTED_VALUE"""),2007)</f>
        <v>2007</v>
      </c>
      <c r="E5985" s="10" t="str">
        <f ca="1">IFERROR(__xludf.DUMMYFUNCTION("""COMPUTED_VALUE"""),"Сп. „Военен журнал”, ISSN 0861-7392-CXIV,3 2007, с. 115-121")</f>
        <v>Сп. „Военен журнал”, ISSN 0861-7392-CXIV,3 2007, с. 115-121</v>
      </c>
      <c r="F5985" s="10"/>
      <c r="G5985" s="10"/>
      <c r="H5985" s="10"/>
      <c r="I5985" s="10"/>
      <c r="J5985" s="10"/>
      <c r="K5985" s="10"/>
      <c r="L5985" s="10"/>
      <c r="M5985" s="10"/>
      <c r="N5985" s="10"/>
      <c r="O5985" s="10"/>
      <c r="P5985" s="10"/>
      <c r="Q5985" s="10"/>
      <c r="R5985" s="10"/>
      <c r="S5985" s="10"/>
      <c r="T5985" s="10"/>
      <c r="U5985" s="10"/>
      <c r="V5985" s="10"/>
      <c r="W5985" s="10"/>
      <c r="X5985" s="10"/>
      <c r="Y5985" s="10"/>
      <c r="Z5985" s="10"/>
    </row>
    <row r="5986" spans="1:26" ht="12.75">
      <c r="A5986" s="10" t="str">
        <f ca="1">IFERROR(__xludf.DUMMYFUNCTION("""COMPUTED_VALUE"""),"Николай Георгиев Палашев")</f>
        <v>Николай Георгиев Палашев</v>
      </c>
      <c r="B5986" s="10" t="str">
        <f ca="1">IFERROR(__xludf.DUMMYFUNCTION("""COMPUTED_VALUE"""),"Статия в списания и поредици")</f>
        <v>Статия в списания и поредици</v>
      </c>
      <c r="C5986" s="10" t="str">
        <f ca="1">IFERROR(__xludf.DUMMYFUNCTION("""COMPUTED_VALUE"""),"Управление на комуникацията при изграждане на публичната визия на обществената личност, елитите и корпоративните субекти")</f>
        <v>Управление на комуникацията при изграждане на публичната визия на обществената личност, елитите и корпоративните субекти</v>
      </c>
      <c r="D5986" s="10">
        <f ca="1">IFERROR(__xludf.DUMMYFUNCTION("""COMPUTED_VALUE"""),2007)</f>
        <v>2007</v>
      </c>
      <c r="E5986" s="10" t="str">
        <f ca="1">IFERROR(__xludf.DUMMYFUNCTION("""COMPUTED_VALUE"""),"Сб. „Нови информационни технологии в образователния процес”, 2007, ISSN 1313-2768, с. 157-166")</f>
        <v>Сб. „Нови информационни технологии в образователния процес”, 2007, ISSN 1313-2768, с. 157-166</v>
      </c>
      <c r="F5986" s="10"/>
      <c r="G5986" s="10"/>
      <c r="H5986" s="10"/>
      <c r="I5986" s="10"/>
      <c r="J5986" s="10"/>
      <c r="K5986" s="10"/>
      <c r="L5986" s="10"/>
      <c r="M5986" s="10"/>
      <c r="N5986" s="10"/>
      <c r="O5986" s="10"/>
      <c r="P5986" s="10"/>
      <c r="Q5986" s="10"/>
      <c r="R5986" s="10"/>
      <c r="S5986" s="10"/>
      <c r="T5986" s="10"/>
      <c r="U5986" s="10"/>
      <c r="V5986" s="10"/>
      <c r="W5986" s="10"/>
      <c r="X5986" s="10"/>
      <c r="Y5986" s="10"/>
      <c r="Z5986" s="10"/>
    </row>
    <row r="5987" spans="1:26" ht="12.75">
      <c r="A5987" s="10" t="str">
        <f ca="1">IFERROR(__xludf.DUMMYFUNCTION("""COMPUTED_VALUE"""),"Николай Георгиев Палашев")</f>
        <v>Николай Георгиев Палашев</v>
      </c>
      <c r="B5987" s="10" t="str">
        <f ca="1">IFERROR(__xludf.DUMMYFUNCTION("""COMPUTED_VALUE"""),"Книга")</f>
        <v>Книга</v>
      </c>
      <c r="C5987" s="10" t="str">
        <f ca="1">IFERROR(__xludf.DUMMYFUNCTION("""COMPUTED_VALUE"""),"Да създаваш реалности")</f>
        <v>Да създаваш реалности</v>
      </c>
      <c r="D5987" s="10">
        <f ca="1">IFERROR(__xludf.DUMMYFUNCTION("""COMPUTED_VALUE"""),2007)</f>
        <v>2007</v>
      </c>
      <c r="E5987" s="10" t="str">
        <f ca="1">IFERROR(__xludf.DUMMYFUNCTION("""COMPUTED_VALUE"""),"монография, София, „За буквите – О писменехь“2007, ISBN 978-954-8887-31-1")</f>
        <v>монография, София, „За буквите – О писменехь“2007, ISBN 978-954-8887-31-1</v>
      </c>
      <c r="F5987" s="10"/>
      <c r="G5987" s="10"/>
      <c r="H5987" s="10"/>
      <c r="I5987" s="10"/>
      <c r="J5987" s="10"/>
      <c r="K5987" s="10"/>
      <c r="L5987" s="10"/>
      <c r="M5987" s="10"/>
      <c r="N5987" s="10"/>
      <c r="O5987" s="10"/>
      <c r="P5987" s="10"/>
      <c r="Q5987" s="10"/>
      <c r="R5987" s="10"/>
      <c r="S5987" s="10"/>
      <c r="T5987" s="10"/>
      <c r="U5987" s="10"/>
      <c r="V5987" s="10"/>
      <c r="W5987" s="10"/>
      <c r="X5987" s="10"/>
      <c r="Y5987" s="10"/>
      <c r="Z5987" s="10"/>
    </row>
    <row r="5988" spans="1:26" ht="12.75">
      <c r="A5988" s="10" t="str">
        <f ca="1">IFERROR(__xludf.DUMMYFUNCTION("""COMPUTED_VALUE"""),"Николай Георгиев Палашев")</f>
        <v>Николай Георгиев Палашев</v>
      </c>
      <c r="B5988" s="10" t="str">
        <f ca="1">IFERROR(__xludf.DUMMYFUNCTION("""COMPUTED_VALUE"""),"Статия в списания и поредици")</f>
        <v>Статия в списания и поредици</v>
      </c>
      <c r="C5988" s="10" t="str">
        <f ca="1">IFERROR(__xludf.DUMMYFUNCTION("""COMPUTED_VALUE"""),"Организация и управление на комуникационни модели")</f>
        <v>Организация и управление на комуникационни модели</v>
      </c>
      <c r="D5988" s="10">
        <f ca="1">IFERROR(__xludf.DUMMYFUNCTION("""COMPUTED_VALUE"""),2007)</f>
        <v>2007</v>
      </c>
      <c r="E5988" s="10" t="str">
        <f ca="1">IFERROR(__xludf.DUMMYFUNCTION("""COMPUTED_VALUE"""),"Сп. „Българска наука”, София, 2007, 1314-1031")</f>
        <v>Сп. „Българска наука”, София, 2007, 1314-1031</v>
      </c>
      <c r="F5988" s="10"/>
      <c r="G5988" s="10"/>
      <c r="H5988" s="10"/>
      <c r="I5988" s="10"/>
      <c r="J5988" s="10"/>
      <c r="K5988" s="10"/>
      <c r="L5988" s="10"/>
      <c r="M5988" s="10"/>
      <c r="N5988" s="10"/>
      <c r="O5988" s="10"/>
      <c r="P5988" s="10"/>
      <c r="Q5988" s="10"/>
      <c r="R5988" s="10"/>
      <c r="S5988" s="10"/>
      <c r="T5988" s="10"/>
      <c r="U5988" s="10"/>
      <c r="V5988" s="10"/>
      <c r="W5988" s="10"/>
      <c r="X5988" s="10"/>
      <c r="Y5988" s="10"/>
      <c r="Z5988" s="10"/>
    </row>
    <row r="5989" spans="1:26" ht="12.75">
      <c r="A5989" s="10" t="str">
        <f ca="1">IFERROR(__xludf.DUMMYFUNCTION("""COMPUTED_VALUE"""),"Николай Георгиев Палашев")</f>
        <v>Николай Георгиев Палашев</v>
      </c>
      <c r="B5989" s="10" t="str">
        <f ca="1">IFERROR(__xludf.DUMMYFUNCTION("""COMPUTED_VALUE"""),"Статия в списания и поредици")</f>
        <v>Статия в списания и поредици</v>
      </c>
      <c r="C5989" s="10" t="str">
        <f ca="1">IFERROR(__xludf.DUMMYFUNCTION("""COMPUTED_VALUE"""),"Психологични аспекти при работата с медиите")</f>
        <v>Психологични аспекти при работата с медиите</v>
      </c>
      <c r="D5989" s="10">
        <f ca="1">IFERROR(__xludf.DUMMYFUNCTION("""COMPUTED_VALUE"""),2006)</f>
        <v>2006</v>
      </c>
      <c r="E5989" s="10" t="str">
        <f ca="1">IFERROR(__xludf.DUMMYFUNCTION("""COMPUTED_VALUE"""),"Сп. „Психологични изследвания"", София, 2006, ISSN 1311-4700; с. с. 147-154")</f>
        <v>Сп. „Психологични изследвания", София, 2006, ISSN 1311-4700; с. с. 147-154</v>
      </c>
      <c r="F5989" s="10"/>
      <c r="G5989" s="10"/>
      <c r="H5989" s="10"/>
      <c r="I5989" s="10"/>
      <c r="J5989" s="10"/>
      <c r="K5989" s="10"/>
      <c r="L5989" s="10"/>
      <c r="M5989" s="10"/>
      <c r="N5989" s="10"/>
      <c r="O5989" s="10"/>
      <c r="P5989" s="10"/>
      <c r="Q5989" s="10"/>
      <c r="R5989" s="10"/>
      <c r="S5989" s="10"/>
      <c r="T5989" s="10"/>
      <c r="U5989" s="10"/>
      <c r="V5989" s="10"/>
      <c r="W5989" s="10"/>
      <c r="X5989" s="10"/>
      <c r="Y5989" s="10"/>
      <c r="Z5989" s="10"/>
    </row>
    <row r="5990" spans="1:26" ht="12.75">
      <c r="A5990" s="10" t="str">
        <f ca="1">IFERROR(__xludf.DUMMYFUNCTION("""COMPUTED_VALUE"""),"Николай Георгиев Палашев")</f>
        <v>Николай Георгиев Палашев</v>
      </c>
      <c r="B5990" s="10" t="str">
        <f ca="1">IFERROR(__xludf.DUMMYFUNCTION("""COMPUTED_VALUE"""),"Статия в списания и поредици")</f>
        <v>Статия в списания и поредици</v>
      </c>
      <c r="C5990" s="10" t="str">
        <f ca="1">IFERROR(__xludf.DUMMYFUNCTION("""COMPUTED_VALUE"""),"Влияния на комуникационно-информационните синдроми")</f>
        <v>Влияния на комуникационно-информационните синдроми</v>
      </c>
      <c r="D5990" s="10">
        <f ca="1">IFERROR(__xludf.DUMMYFUNCTION("""COMPUTED_VALUE"""),2006)</f>
        <v>2006</v>
      </c>
      <c r="E5990" s="10" t="str">
        <f ca="1">IFERROR(__xludf.DUMMYFUNCTION("""COMPUTED_VALUE"""),"Сб. „Трудове на СВУБИТ”, София : За буквите - О писменехь,2006; ISSN 1312-5834-5; с. 85-93")</f>
        <v>Сб. „Трудове на СВУБИТ”, София : За буквите - О писменехь,2006; ISSN 1312-5834-5; с. 85-93</v>
      </c>
      <c r="F5990" s="10"/>
      <c r="G5990" s="10"/>
      <c r="H5990" s="10"/>
      <c r="I5990" s="10"/>
      <c r="J5990" s="10"/>
      <c r="K5990" s="10"/>
      <c r="L5990" s="10"/>
      <c r="M5990" s="10"/>
      <c r="N5990" s="10"/>
      <c r="O5990" s="10"/>
      <c r="P5990" s="10"/>
      <c r="Q5990" s="10"/>
      <c r="R5990" s="10"/>
      <c r="S5990" s="10"/>
      <c r="T5990" s="10"/>
      <c r="U5990" s="10"/>
      <c r="V5990" s="10"/>
      <c r="W5990" s="10"/>
      <c r="X5990" s="10"/>
      <c r="Y5990" s="10"/>
      <c r="Z5990" s="10"/>
    </row>
    <row r="5991" spans="1:26" ht="12.75">
      <c r="A5991" s="10" t="str">
        <f ca="1">IFERROR(__xludf.DUMMYFUNCTION("""COMPUTED_VALUE"""),"Николай Георгиев Палашев")</f>
        <v>Николай Георгиев Палашев</v>
      </c>
      <c r="B5991" s="10" t="str">
        <f ca="1">IFERROR(__xludf.DUMMYFUNCTION("""COMPUTED_VALUE"""),"Книга")</f>
        <v>Книга</v>
      </c>
      <c r="C5991" s="10" t="str">
        <f ca="1">IFERROR(__xludf.DUMMYFUNCTION("""COMPUTED_VALUE"""),"Корпоративни комуникации")</f>
        <v>Корпоративни комуникации</v>
      </c>
      <c r="D5991" s="10">
        <f ca="1">IFERROR(__xludf.DUMMYFUNCTION("""COMPUTED_VALUE"""),2006)</f>
        <v>2006</v>
      </c>
      <c r="E5991" s="10" t="str">
        <f ca="1">IFERROR(__xludf.DUMMYFUNCTION("""COMPUTED_VALUE"""),"монография, София : За буквите - О писменехь : Факел, 2006, ISBN 954-8887-17-7")</f>
        <v>монография, София : За буквите - О писменехь : Факел, 2006, ISBN 954-8887-17-7</v>
      </c>
      <c r="F5991" s="10"/>
      <c r="G5991" s="10"/>
      <c r="H5991" s="10"/>
      <c r="I5991" s="10"/>
      <c r="J5991" s="10"/>
      <c r="K5991" s="10"/>
      <c r="L5991" s="10"/>
      <c r="M5991" s="10"/>
      <c r="N5991" s="10"/>
      <c r="O5991" s="10"/>
      <c r="P5991" s="10"/>
      <c r="Q5991" s="10"/>
      <c r="R5991" s="10"/>
      <c r="S5991" s="10"/>
      <c r="T5991" s="10"/>
      <c r="U5991" s="10"/>
      <c r="V5991" s="10"/>
      <c r="W5991" s="10"/>
      <c r="X5991" s="10"/>
      <c r="Y5991" s="10"/>
      <c r="Z5991" s="10"/>
    </row>
    <row r="5992" spans="1:26" ht="12.75">
      <c r="A5992" s="10" t="str">
        <f ca="1">IFERROR(__xludf.DUMMYFUNCTION("""COMPUTED_VALUE"""),"Николай Георгиев Палашев")</f>
        <v>Николай Георгиев Палашев</v>
      </c>
      <c r="B5992" s="10" t="str">
        <f ca="1">IFERROR(__xludf.DUMMYFUNCTION("""COMPUTED_VALUE"""),"Статия в списания и поредици")</f>
        <v>Статия в списания и поредици</v>
      </c>
      <c r="C5992" s="10" t="str">
        <f ca="1">IFERROR(__xludf.DUMMYFUNCTION("""COMPUTED_VALUE"""),"Комуникационно-информационни конструкции и културно-историческо наследство")</f>
        <v>Комуникационно-информационни конструкции и културно-историческо наследство</v>
      </c>
      <c r="D5992" s="10">
        <f ca="1">IFERROR(__xludf.DUMMYFUNCTION("""COMPUTED_VALUE"""),2006)</f>
        <v>2006</v>
      </c>
      <c r="E5992" s="10" t="str">
        <f ca="1">IFERROR(__xludf.DUMMYFUNCTION("""COMPUTED_VALUE"""),"Сп. „Паметници, реставрация, музеи”, ISSN 1312-3327-1-2, с. 31-35")</f>
        <v>Сп. „Паметници, реставрация, музеи”, ISSN 1312-3327-1-2, с. 31-35</v>
      </c>
      <c r="F5992" s="10"/>
      <c r="G5992" s="10"/>
      <c r="H5992" s="10"/>
      <c r="I5992" s="10"/>
      <c r="J5992" s="10"/>
      <c r="K5992" s="10"/>
      <c r="L5992" s="10"/>
      <c r="M5992" s="10"/>
      <c r="N5992" s="10"/>
      <c r="O5992" s="10"/>
      <c r="P5992" s="10"/>
      <c r="Q5992" s="10"/>
      <c r="R5992" s="10"/>
      <c r="S5992" s="10"/>
      <c r="T5992" s="10"/>
      <c r="U5992" s="10"/>
      <c r="V5992" s="10"/>
      <c r="W5992" s="10"/>
      <c r="X5992" s="10"/>
      <c r="Y5992" s="10"/>
      <c r="Z5992" s="10"/>
    </row>
    <row r="5993" spans="1:26" ht="12.75">
      <c r="A5993" s="10" t="str">
        <f ca="1">IFERROR(__xludf.DUMMYFUNCTION("""COMPUTED_VALUE"""),"Николай Георгиев Палашев")</f>
        <v>Николай Георгиев Палашев</v>
      </c>
      <c r="B5993" s="10" t="str">
        <f ca="1">IFERROR(__xludf.DUMMYFUNCTION("""COMPUTED_VALUE"""),"Статия в списания и поредици")</f>
        <v>Статия в списания и поредици</v>
      </c>
      <c r="C5993" s="10" t="str">
        <f ca="1">IFERROR(__xludf.DUMMYFUNCTION("""COMPUTED_VALUE"""),"Корпоративността като доктринална основа за модерната обществена комуникация")</f>
        <v>Корпоративността като доктринална основа за модерната обществена комуникация</v>
      </c>
      <c r="D5993" s="10">
        <f ca="1">IFERROR(__xludf.DUMMYFUNCTION("""COMPUTED_VALUE"""),2006)</f>
        <v>2006</v>
      </c>
      <c r="E5993" s="10" t="str">
        <f ca="1">IFERROR(__xludf.DUMMYFUNCTION("""COMPUTED_VALUE"""),"Сб. „Държава на духа”")</f>
        <v>Сб. „Държава на духа”</v>
      </c>
      <c r="F5993" s="10"/>
      <c r="G5993" s="10"/>
      <c r="H5993" s="10"/>
      <c r="I5993" s="10"/>
      <c r="J5993" s="10"/>
      <c r="K5993" s="10"/>
      <c r="L5993" s="10"/>
      <c r="M5993" s="10"/>
      <c r="N5993" s="10"/>
      <c r="O5993" s="10"/>
      <c r="P5993" s="10"/>
      <c r="Q5993" s="10"/>
      <c r="R5993" s="10"/>
      <c r="S5993" s="10"/>
      <c r="T5993" s="10"/>
      <c r="U5993" s="10"/>
      <c r="V5993" s="10"/>
      <c r="W5993" s="10"/>
      <c r="X5993" s="10"/>
      <c r="Y5993" s="10"/>
      <c r="Z5993" s="10"/>
    </row>
    <row r="5994" spans="1:26" ht="12.75">
      <c r="A5994" s="10" t="str">
        <f ca="1">IFERROR(__xludf.DUMMYFUNCTION("""COMPUTED_VALUE"""),"Николай Георгиев Палашев")</f>
        <v>Николай Георгиев Палашев</v>
      </c>
      <c r="B5994" s="10" t="str">
        <f ca="1">IFERROR(__xludf.DUMMYFUNCTION("""COMPUTED_VALUE"""),"Статия в списания и поредици")</f>
        <v>Статия в списания и поредици</v>
      </c>
      <c r="C5994" s="10" t="str">
        <f ca="1">IFERROR(__xludf.DUMMYFUNCTION("""COMPUTED_VALUE"""),"Информационни конструкции при безкнижната комуникация")</f>
        <v>Информационни конструкции при безкнижната комуникация</v>
      </c>
      <c r="D5994" s="10">
        <f ca="1">IFERROR(__xludf.DUMMYFUNCTION("""COMPUTED_VALUE"""),2005)</f>
        <v>2005</v>
      </c>
      <c r="E5994" s="10" t="str">
        <f ca="1">IFERROR(__xludf.DUMMYFUNCTION("""COMPUTED_VALUE"""),"Сб. „Книгата и „безкнижната” цивилизация”")</f>
        <v>Сб. „Книгата и „безкнижната” цивилизация”</v>
      </c>
      <c r="F5994" s="10"/>
      <c r="G5994" s="10"/>
      <c r="H5994" s="10"/>
      <c r="I5994" s="10"/>
      <c r="J5994" s="10"/>
      <c r="K5994" s="10"/>
      <c r="L5994" s="10"/>
      <c r="M5994" s="10"/>
      <c r="N5994" s="10"/>
      <c r="O5994" s="10"/>
      <c r="P5994" s="10"/>
      <c r="Q5994" s="10"/>
      <c r="R5994" s="10"/>
      <c r="S5994" s="10"/>
      <c r="T5994" s="10"/>
      <c r="U5994" s="10"/>
      <c r="V5994" s="10"/>
      <c r="W5994" s="10"/>
      <c r="X5994" s="10"/>
      <c r="Y5994" s="10"/>
      <c r="Z5994" s="10"/>
    </row>
    <row r="5995" spans="1:26" ht="12.75">
      <c r="A5995" s="10" t="str">
        <f ca="1">IFERROR(__xludf.DUMMYFUNCTION("""COMPUTED_VALUE"""),"Николай Иванов Янев")</f>
        <v>Николай Иванов Янев</v>
      </c>
      <c r="B5995" s="10" t="str">
        <f ca="1">IFERROR(__xludf.DUMMYFUNCTION("""COMPUTED_VALUE"""),"Доклад от конференция")</f>
        <v>Доклад от конференция</v>
      </c>
      <c r="C5995" s="10" t="str">
        <f ca="1">IFERROR(__xludf.DUMMYFUNCTION("""COMPUTED_VALUE"""),"Service oriented application for rendering reports on the training workload at the University of Mining and Geology “St. Ivan Rilski“")</f>
        <v>Service oriented application for rendering reports on the training workload at the University of Mining and Geology “St. Ivan Rilski“</v>
      </c>
      <c r="D5995" s="10">
        <f ca="1">IFERROR(__xludf.DUMMYFUNCTION("""COMPUTED_VALUE"""),2019)</f>
        <v>2019</v>
      </c>
      <c r="E5995" s="10" t="str">
        <f ca="1">IFERROR(__xludf.DUMMYFUNCTION("""COMPUTED_VALUE"""),"Journal of Mining and Geological Sciences, ISSN 2682-9525 (print) ISSN 2683-0027 (online)")</f>
        <v>Journal of Mining and Geological Sciences, ISSN 2682-9525 (print) ISSN 2683-0027 (online)</v>
      </c>
      <c r="F5995" s="10" t="str">
        <f ca="1">IFERROR(__xludf.DUMMYFUNCTION("""COMPUTED_VALUE"""),"Web of science")</f>
        <v>Web of science</v>
      </c>
      <c r="G5995" s="10" t="str">
        <f ca="1">IFERROR(__xludf.DUMMYFUNCTION("""COMPUTED_VALUE"""),"Lubomir Meshekov")</f>
        <v>Lubomir Meshekov</v>
      </c>
      <c r="H5995" s="10"/>
      <c r="I5995" s="10"/>
      <c r="J5995" s="10"/>
      <c r="K5995" s="10"/>
      <c r="L5995" s="10"/>
      <c r="M5995" s="10"/>
      <c r="N5995" s="10"/>
      <c r="O5995" s="10"/>
      <c r="P5995" s="10"/>
      <c r="Q5995" s="10"/>
      <c r="R5995" s="10"/>
      <c r="S5995" s="10"/>
      <c r="T5995" s="10"/>
      <c r="U5995" s="10"/>
      <c r="V5995" s="10"/>
      <c r="W5995" s="10"/>
      <c r="X5995" s="10"/>
      <c r="Y5995" s="10"/>
      <c r="Z5995" s="10"/>
    </row>
    <row r="5996" spans="1:26" ht="12.75">
      <c r="A5996" s="10" t="str">
        <f ca="1">IFERROR(__xludf.DUMMYFUNCTION("""COMPUTED_VALUE"""),"Николай Иванов Янев")</f>
        <v>Николай Иванов Янев</v>
      </c>
      <c r="B5996" s="10" t="str">
        <f ca="1">IFERROR(__xludf.DUMMYFUNCTION("""COMPUTED_VALUE"""),"Статия в списания и поредици")</f>
        <v>Статия в списания и поредици</v>
      </c>
      <c r="C5996" s="10" t="str">
        <f ca="1">IFERROR(__xludf.DUMMYFUNCTION("""COMPUTED_VALUE"""),"Contemporary approaches in storage and data processing")</f>
        <v>Contemporary approaches in storage and data processing</v>
      </c>
      <c r="D5996" s="10">
        <f ca="1">IFERROR(__xludf.DUMMYFUNCTION("""COMPUTED_VALUE"""),2019)</f>
        <v>2019</v>
      </c>
      <c r="E5996" s="10" t="str">
        <f ca="1">IFERROR(__xludf.DUMMYFUNCTION("""COMPUTED_VALUE"""),"Journal of Mining and Geological Sciences, ISSN 2682-9525 (print), Vol. 62, ISSN 2683-0027 (online) n. 4, p. 96-99, 2019")</f>
        <v>Journal of Mining and Geological Sciences, ISSN 2682-9525 (print), Vol. 62, ISSN 2683-0027 (online) n. 4, p. 96-99, 2019</v>
      </c>
      <c r="F5996" s="10" t="str">
        <f ca="1">IFERROR(__xludf.DUMMYFUNCTION("""COMPUTED_VALUE"""),"Web of Science")</f>
        <v>Web of Science</v>
      </c>
      <c r="G5996" s="10"/>
      <c r="H5996" s="10"/>
      <c r="I5996" s="10"/>
      <c r="J5996" s="10"/>
      <c r="K5996" s="10"/>
      <c r="L5996" s="10"/>
      <c r="M5996" s="10"/>
      <c r="N5996" s="10"/>
      <c r="O5996" s="10"/>
      <c r="P5996" s="10"/>
      <c r="Q5996" s="10"/>
      <c r="R5996" s="10"/>
      <c r="S5996" s="10"/>
      <c r="T5996" s="10"/>
      <c r="U5996" s="10"/>
      <c r="V5996" s="10"/>
      <c r="W5996" s="10"/>
      <c r="X5996" s="10"/>
      <c r="Y5996" s="10"/>
      <c r="Z5996" s="10"/>
    </row>
    <row r="5997" spans="1:26" ht="12.75">
      <c r="A5997" s="10" t="str">
        <f ca="1">IFERROR(__xludf.DUMMYFUNCTION("""COMPUTED_VALUE"""),"Николай Иванов Янев")</f>
        <v>Николай Иванов Янев</v>
      </c>
      <c r="B5997" s="10" t="str">
        <f ca="1">IFERROR(__xludf.DUMMYFUNCTION("""COMPUTED_VALUE"""),"Доклад от конференция")</f>
        <v>Доклад от конференция</v>
      </c>
      <c r="C5997" s="10" t="str">
        <f ca="1">IFERROR(__xludf.DUMMYFUNCTION("""COMPUTED_VALUE"""),"RESPONSIVE DESIGN OF THE WEBSITE OF THE UNIVERSITY OF MINING AND GEOLOGY ""ST. IVAN RILSKI""")</f>
        <v>RESPONSIVE DESIGN OF THE WEBSITE OF THE UNIVERSITY OF MINING AND GEOLOGY "ST. IVAN RILSKI"</v>
      </c>
      <c r="D5997" s="10">
        <f ca="1">IFERROR(__xludf.DUMMYFUNCTION("""COMPUTED_VALUE"""),2018)</f>
        <v>2018</v>
      </c>
      <c r="E5997" s="10" t="str">
        <f ca="1">IFERROR(__xludf.DUMMYFUNCTION("""COMPUTED_VALUE"""),"Proceedings Eighth International Scientific Conference COMPUTER SCIENCE’ 2018, Kavala, ISBN 978-619-167-177-9, p. 2018")</f>
        <v>Proceedings Eighth International Scientific Conference COMPUTER SCIENCE’ 2018, Kavala, ISBN 978-619-167-177-9, p. 2018</v>
      </c>
      <c r="F5997" s="10"/>
      <c r="G5997" s="10" t="str">
        <f ca="1">IFERROR(__xludf.DUMMYFUNCTION("""COMPUTED_VALUE"""),"D. Deliyska")</f>
        <v>D. Deliyska</v>
      </c>
      <c r="H5997" s="10"/>
      <c r="I5997" s="10"/>
      <c r="J5997" s="10"/>
      <c r="K5997" s="10"/>
      <c r="L5997" s="10"/>
      <c r="M5997" s="10"/>
      <c r="N5997" s="10"/>
      <c r="O5997" s="10"/>
      <c r="P5997" s="10"/>
      <c r="Q5997" s="10"/>
      <c r="R5997" s="10"/>
      <c r="S5997" s="10"/>
      <c r="T5997" s="10"/>
      <c r="U5997" s="10"/>
      <c r="V5997" s="10"/>
      <c r="W5997" s="10"/>
      <c r="X5997" s="10"/>
      <c r="Y5997" s="10"/>
      <c r="Z5997" s="10"/>
    </row>
    <row r="5998" spans="1:26" ht="12.75">
      <c r="A5998" s="10" t="str">
        <f ca="1">IFERROR(__xludf.DUMMYFUNCTION("""COMPUTED_VALUE"""),"Николай Иванов Янев")</f>
        <v>Николай Иванов Янев</v>
      </c>
      <c r="B5998" s="10" t="str">
        <f ca="1">IFERROR(__xludf.DUMMYFUNCTION("""COMPUTED_VALUE"""),"Доклад от конференция")</f>
        <v>Доклад от конференция</v>
      </c>
      <c r="C5998" s="10" t="str">
        <f ca="1">IFERROR(__xludf.DUMMYFUNCTION("""COMPUTED_VALUE"""),"IMPROVING DETECTABILITY AND VISUALISATION OF THE WEBSITE OF THE UNIVERSITY OF MINING AND GEOLOGY ""ST. IVAN RILSKI""")</f>
        <v>IMPROVING DETECTABILITY AND VISUALISATION OF THE WEBSITE OF THE UNIVERSITY OF MINING AND GEOLOGY "ST. IVAN RILSKI"</v>
      </c>
      <c r="D5998" s="10">
        <f ca="1">IFERROR(__xludf.DUMMYFUNCTION("""COMPUTED_VALUE"""),2018)</f>
        <v>2018</v>
      </c>
      <c r="E5998" s="10" t="str">
        <f ca="1">IFERROR(__xludf.DUMMYFUNCTION("""COMPUTED_VALUE"""),"Journal of Mining and Geological Sciences, Vol.61, Part IV, Humanitarian sciences and Economics, ISSN 2535-1206, p.45-50, 2018.")</f>
        <v>Journal of Mining and Geological Sciences, Vol.61, Part IV, Humanitarian sciences and Economics, ISSN 2535-1206, p.45-50, 2018.</v>
      </c>
      <c r="F5998" s="10" t="str">
        <f ca="1">IFERROR(__xludf.DUMMYFUNCTION("""COMPUTED_VALUE"""),"Web of Science")</f>
        <v>Web of Science</v>
      </c>
      <c r="G5998" s="10" t="str">
        <f ca="1">IFERROR(__xludf.DUMMYFUNCTION("""COMPUTED_VALUE"""),"Deliyska D")</f>
        <v>Deliyska D</v>
      </c>
      <c r="H5998" s="10"/>
      <c r="I5998" s="10"/>
      <c r="J5998" s="10"/>
      <c r="K5998" s="10"/>
      <c r="L5998" s="10"/>
      <c r="M5998" s="10"/>
      <c r="N5998" s="10"/>
      <c r="O5998" s="10"/>
      <c r="P5998" s="10"/>
      <c r="Q5998" s="10"/>
      <c r="R5998" s="10"/>
      <c r="S5998" s="10"/>
      <c r="T5998" s="10"/>
      <c r="U5998" s="10"/>
      <c r="V5998" s="10"/>
      <c r="W5998" s="10"/>
      <c r="X5998" s="10"/>
      <c r="Y5998" s="10"/>
      <c r="Z5998" s="10"/>
    </row>
    <row r="5999" spans="1:26" ht="12.75">
      <c r="A5999" s="10" t="str">
        <f ca="1">IFERROR(__xludf.DUMMYFUNCTION("""COMPUTED_VALUE"""),"Николай Иванов Янев")</f>
        <v>Николай Иванов Янев</v>
      </c>
      <c r="B5999" s="10" t="str">
        <f ca="1">IFERROR(__xludf.DUMMYFUNCTION("""COMPUTED_VALUE"""),"Доклад от конференция")</f>
        <v>Доклад от конференция</v>
      </c>
      <c r="C5999" s="10" t="str">
        <f ca="1">IFERROR(__xludf.DUMMYFUNCTION("""COMPUTED_VALUE"""),"Software tools for Business Intelligence")</f>
        <v>Software tools for Business Intelligence</v>
      </c>
      <c r="D5999" s="10">
        <f ca="1">IFERROR(__xludf.DUMMYFUNCTION("""COMPUTED_VALUE"""),2017)</f>
        <v>2017</v>
      </c>
      <c r="E5999" s="10" t="str">
        <f ca="1">IFERROR(__xludf.DUMMYFUNCTION("""COMPUTED_VALUE"""),"Journal of Mining and Geological Sciences, Vol. 60, part. IV Humanitarian Sciences and Economics, p.40-45, 2017, ISSN 2535-1206")</f>
        <v>Journal of Mining and Geological Sciences, Vol. 60, part. IV Humanitarian Sciences and Economics, p.40-45, 2017, ISSN 2535-1206</v>
      </c>
      <c r="F5999" s="10" t="str">
        <f ca="1">IFERROR(__xludf.DUMMYFUNCTION("""COMPUTED_VALUE"""),"Реферативный журнал, Российской академия науки")</f>
        <v>Реферативный журнал, Российской академия науки</v>
      </c>
      <c r="G5999" s="10" t="str">
        <f ca="1">IFERROR(__xludf.DUMMYFUNCTION("""COMPUTED_VALUE"""),"Vecherkov, I. Yo. Anastasova")</f>
        <v>Vecherkov, I. Yo. Anastasova</v>
      </c>
      <c r="H5999" s="10"/>
      <c r="I5999" s="10"/>
      <c r="J5999" s="10"/>
      <c r="K5999" s="10"/>
      <c r="L5999" s="10"/>
      <c r="M5999" s="10"/>
      <c r="N5999" s="10"/>
      <c r="O5999" s="10"/>
      <c r="P5999" s="10"/>
      <c r="Q5999" s="10"/>
      <c r="R5999" s="10"/>
      <c r="S5999" s="10"/>
      <c r="T5999" s="10"/>
      <c r="U5999" s="10"/>
      <c r="V5999" s="10"/>
      <c r="W5999" s="10"/>
      <c r="X5999" s="10"/>
      <c r="Y5999" s="10"/>
      <c r="Z5999" s="10"/>
    </row>
    <row r="6000" spans="1:26" ht="12.75">
      <c r="A6000" s="10" t="str">
        <f ca="1">IFERROR(__xludf.DUMMYFUNCTION("""COMPUTED_VALUE"""),"Николай Иванов Янев")</f>
        <v>Николай Иванов Янев</v>
      </c>
      <c r="B6000" s="10" t="str">
        <f ca="1">IFERROR(__xludf.DUMMYFUNCTION("""COMPUTED_VALUE"""),"Доклад от конференция")</f>
        <v>Доклад от конференция</v>
      </c>
      <c r="C6000" s="10" t="str">
        <f ca="1">IFERROR(__xludf.DUMMYFUNCTION("""COMPUTED_VALUE"""),"‘Possible application of Business Intelligence in the Mining Industry")</f>
        <v>‘Possible application of Business Intelligence in the Mining Industry</v>
      </c>
      <c r="D6000" s="10">
        <f ca="1">IFERROR(__xludf.DUMMYFUNCTION("""COMPUTED_VALUE"""),2017)</f>
        <v>2017</v>
      </c>
      <c r="E6000" s="10" t="str">
        <f ca="1">IFERROR(__xludf.DUMMYFUNCTION("""COMPUTED_VALUE"""),"7th Balkan Mining Congress BALKANMINE 2017, ISSN 2566-3313")</f>
        <v>7th Balkan Mining Congress BALKANMINE 2017, ISSN 2566-3313</v>
      </c>
      <c r="F6000" s="10"/>
      <c r="G6000" s="10" t="str">
        <f ca="1">IFERROR(__xludf.DUMMYFUNCTION("""COMPUTED_VALUE"""),"Anastasova, Yo., I. Vecherkov")</f>
        <v>Anastasova, Yo., I. Vecherkov</v>
      </c>
      <c r="H6000" s="10"/>
      <c r="I6000" s="10"/>
      <c r="J6000" s="10"/>
      <c r="K6000" s="10"/>
      <c r="L6000" s="10"/>
      <c r="M6000" s="10"/>
      <c r="N6000" s="10"/>
      <c r="O6000" s="10"/>
      <c r="P6000" s="10"/>
      <c r="Q6000" s="10"/>
      <c r="R6000" s="10"/>
      <c r="S6000" s="10"/>
      <c r="T6000" s="10"/>
      <c r="U6000" s="10"/>
      <c r="V6000" s="10"/>
      <c r="W6000" s="10"/>
      <c r="X6000" s="10"/>
      <c r="Y6000" s="10"/>
      <c r="Z6000" s="10"/>
    </row>
    <row r="6001" spans="1:26" ht="12.75">
      <c r="A6001" s="10" t="str">
        <f ca="1">IFERROR(__xludf.DUMMYFUNCTION("""COMPUTED_VALUE"""),"Николай Иванов Янев")</f>
        <v>Николай Иванов Янев</v>
      </c>
      <c r="B6001" s="10" t="str">
        <f ca="1">IFERROR(__xludf.DUMMYFUNCTION("""COMPUTED_VALUE"""),"Доклад от конференция")</f>
        <v>Доклад от конференция</v>
      </c>
      <c r="C6001" s="10" t="str">
        <f ca="1">IFERROR(__xludf.DUMMYFUNCTION("""COMPUTED_VALUE"""),"Developing an internet application for the Publishing house ""St. Ivan Rilski")</f>
        <v>Developing an internet application for the Publishing house "St. Ivan Rilski</v>
      </c>
      <c r="D6001" s="10">
        <f ca="1">IFERROR(__xludf.DUMMYFUNCTION("""COMPUTED_VALUE"""),2017)</f>
        <v>2017</v>
      </c>
      <c r="E6001" s="10" t="str">
        <f ca="1">IFERROR(__xludf.DUMMYFUNCTION("""COMPUTED_VALUE"""),"Journal of Mining and Geological Sciences, Vol. 60, part. IV, Humanitarian sciences and Economics, Sofia 2017, ISSN 2535-1206")</f>
        <v>Journal of Mining and Geological Sciences, Vol. 60, part. IV, Humanitarian sciences and Economics, Sofia 2017, ISSN 2535-1206</v>
      </c>
      <c r="F6001" s="10" t="str">
        <f ca="1">IFERROR(__xludf.DUMMYFUNCTION("""COMPUTED_VALUE"""),"Реферативный журнал, Российской академия науки")</f>
        <v>Реферативный журнал, Российской академия науки</v>
      </c>
      <c r="G6001" s="10" t="str">
        <f ca="1">IFERROR(__xludf.DUMMYFUNCTION("""COMPUTED_VALUE"""),"Drankov I. ,D. Simeonova, S. Dimitrov, L. Meshekov")</f>
        <v>Drankov I. ,D. Simeonova, S. Dimitrov, L. Meshekov</v>
      </c>
      <c r="H6001" s="10"/>
      <c r="I6001" s="10"/>
      <c r="J6001" s="10"/>
      <c r="K6001" s="10"/>
      <c r="L6001" s="10"/>
      <c r="M6001" s="10"/>
      <c r="N6001" s="10"/>
      <c r="O6001" s="10"/>
      <c r="P6001" s="10"/>
      <c r="Q6001" s="10"/>
      <c r="R6001" s="10"/>
      <c r="S6001" s="10"/>
      <c r="T6001" s="10"/>
      <c r="U6001" s="10"/>
      <c r="V6001" s="10"/>
      <c r="W6001" s="10"/>
      <c r="X6001" s="10"/>
      <c r="Y6001" s="10"/>
      <c r="Z6001" s="10"/>
    </row>
    <row r="6002" spans="1:26" ht="12.75">
      <c r="A6002" s="10" t="str">
        <f ca="1">IFERROR(__xludf.DUMMYFUNCTION("""COMPUTED_VALUE"""),"Николай Иванов Янев")</f>
        <v>Николай Иванов Янев</v>
      </c>
      <c r="B6002" s="10" t="str">
        <f ca="1">IFERROR(__xludf.DUMMYFUNCTION("""COMPUTED_VALUE"""),"Доклад от конференция")</f>
        <v>Доклад от конференция</v>
      </c>
      <c r="C6002" s="10" t="str">
        <f ca="1">IFERROR(__xludf.DUMMYFUNCTION("""COMPUTED_VALUE"""),"INTERNET. Бизнес. Общество")</f>
        <v>INTERNET. Бизнес. Общество</v>
      </c>
      <c r="D6002" s="10">
        <f ca="1">IFERROR(__xludf.DUMMYFUNCTION("""COMPUTED_VALUE"""),2016)</f>
        <v>2016</v>
      </c>
      <c r="E6002" s="10" t="str">
        <f ca="1">IFERROR(__xludf.DUMMYFUNCTION("""COMPUTED_VALUE"""),"Международната научна конференция „ВИСОКИ ТЕХНОЛОГИИ. БИЗНЕС. ОБЩЕСТВО 2016, ISSN 1310-3946")</f>
        <v>Международната научна конференция „ВИСОКИ ТЕХНОЛОГИИ. БИЗНЕС. ОБЩЕСТВО 2016, ISSN 1310-3946</v>
      </c>
      <c r="F6002" s="10"/>
      <c r="G6002" s="10"/>
      <c r="H6002" s="10"/>
      <c r="I6002" s="10"/>
      <c r="J6002" s="10"/>
      <c r="K6002" s="10"/>
      <c r="L6002" s="10"/>
      <c r="M6002" s="10"/>
      <c r="N6002" s="10"/>
      <c r="O6002" s="10"/>
      <c r="P6002" s="10"/>
      <c r="Q6002" s="10"/>
      <c r="R6002" s="10"/>
      <c r="S6002" s="10"/>
      <c r="T6002" s="10"/>
      <c r="U6002" s="10"/>
      <c r="V6002" s="10"/>
      <c r="W6002" s="10"/>
      <c r="X6002" s="10"/>
      <c r="Y6002" s="10"/>
      <c r="Z6002" s="10"/>
    </row>
    <row r="6003" spans="1:26" ht="12.75">
      <c r="A6003" s="10" t="str">
        <f ca="1">IFERROR(__xludf.DUMMYFUNCTION("""COMPUTED_VALUE"""),"Николай Иванов Янев")</f>
        <v>Николай Иванов Янев</v>
      </c>
      <c r="B6003" s="10" t="str">
        <f ca="1">IFERROR(__xludf.DUMMYFUNCTION("""COMPUTED_VALUE"""),"Доклад от конференция")</f>
        <v>Доклад от конференция</v>
      </c>
      <c r="C6003" s="10" t="str">
        <f ca="1">IFERROR(__xludf.DUMMYFUNCTION("""COMPUTED_VALUE"""),"Въздействие на информационните технологии върху образователната система")</f>
        <v>Въздействие на информационните технологии върху образователната система</v>
      </c>
      <c r="D6003" s="10">
        <f ca="1">IFERROR(__xludf.DUMMYFUNCTION("""COMPUTED_VALUE"""),2016)</f>
        <v>2016</v>
      </c>
      <c r="E6003" s="10" t="str">
        <f ca="1">IFERROR(__xludf.DUMMYFUNCTION("""COMPUTED_VALUE"""),"VI-та Национална Конференция по Електронно Обучение, Китен 2016, ISBN 978-954-07-4114-7")</f>
        <v>VI-та Национална Конференция по Електронно Обучение, Китен 2016, ISBN 978-954-07-4114-7</v>
      </c>
      <c r="F6003" s="10"/>
      <c r="G6003" s="10" t="str">
        <f ca="1">IFERROR(__xludf.DUMMYFUNCTION("""COMPUTED_VALUE"""),"Кънчо Иванов")</f>
        <v>Кънчо Иванов</v>
      </c>
      <c r="H6003" s="10"/>
      <c r="I6003" s="10"/>
      <c r="J6003" s="10"/>
      <c r="K6003" s="10"/>
      <c r="L6003" s="10"/>
      <c r="M6003" s="10"/>
      <c r="N6003" s="10"/>
      <c r="O6003" s="10"/>
      <c r="P6003" s="10"/>
      <c r="Q6003" s="10"/>
      <c r="R6003" s="10"/>
      <c r="S6003" s="10"/>
      <c r="T6003" s="10"/>
      <c r="U6003" s="10"/>
      <c r="V6003" s="10"/>
      <c r="W6003" s="10"/>
      <c r="X6003" s="10"/>
      <c r="Y6003" s="10"/>
      <c r="Z6003" s="10"/>
    </row>
    <row r="6004" spans="1:26" ht="12.75">
      <c r="A6004" s="10" t="str">
        <f ca="1">IFERROR(__xludf.DUMMYFUNCTION("""COMPUTED_VALUE"""),"Николай Иванов Янев")</f>
        <v>Николай Иванов Янев</v>
      </c>
      <c r="B6004" s="10" t="str">
        <f ca="1">IFERROR(__xludf.DUMMYFUNCTION("""COMPUTED_VALUE"""),"Доклад от конференция")</f>
        <v>Доклад от конференция</v>
      </c>
      <c r="C6004" s="10" t="str">
        <f ca="1">IFERROR(__xludf.DUMMYFUNCTION("""COMPUTED_VALUE"""),"Possible application of Internet of Things in the mining industry")</f>
        <v>Possible application of Internet of Things in the mining industry</v>
      </c>
      <c r="D6004" s="10">
        <f ca="1">IFERROR(__xludf.DUMMYFUNCTION("""COMPUTED_VALUE"""),2015)</f>
        <v>2015</v>
      </c>
      <c r="E6004" s="10" t="str">
        <f ca="1">IFERROR(__xludf.DUMMYFUNCTION("""COMPUTED_VALUE"""),"6th Balkan Mining Congress BALKANMINE 2015, ISBN 978-973-741-435-9")</f>
        <v>6th Balkan Mining Congress BALKANMINE 2015, ISBN 978-973-741-435-9</v>
      </c>
      <c r="F6004" s="10"/>
      <c r="G6004" s="10" t="str">
        <f ca="1">IFERROR(__xludf.DUMMYFUNCTION("""COMPUTED_VALUE"""),"Yordanka Anastasova")</f>
        <v>Yordanka Anastasova</v>
      </c>
      <c r="H6004" s="10"/>
      <c r="I6004" s="10"/>
      <c r="J6004" s="10"/>
      <c r="K6004" s="10"/>
      <c r="L6004" s="10"/>
      <c r="M6004" s="10"/>
      <c r="N6004" s="10"/>
      <c r="O6004" s="10"/>
      <c r="P6004" s="10"/>
      <c r="Q6004" s="10"/>
      <c r="R6004" s="10"/>
      <c r="S6004" s="10"/>
      <c r="T6004" s="10"/>
      <c r="U6004" s="10"/>
      <c r="V6004" s="10"/>
      <c r="W6004" s="10"/>
      <c r="X6004" s="10"/>
      <c r="Y6004" s="10"/>
      <c r="Z6004" s="10"/>
    </row>
    <row r="6005" spans="1:26" ht="12.75">
      <c r="A6005" s="10" t="str">
        <f ca="1">IFERROR(__xludf.DUMMYFUNCTION("""COMPUTED_VALUE"""),"Николай Иванов Янев")</f>
        <v>Николай Иванов Янев</v>
      </c>
      <c r="B6005" s="10" t="str">
        <f ca="1">IFERROR(__xludf.DUMMYFUNCTION("""COMPUTED_VALUE"""),"Доклад от конференция")</f>
        <v>Доклад от конференция</v>
      </c>
      <c r="C6005" s="10" t="str">
        <f ca="1">IFERROR(__xludf.DUMMYFUNCTION("""COMPUTED_VALUE"""),"ИНТЕЛИГЕНТНИ ИНФОРМАЦИОННИ ТЕХНОЛОГИИ, ПРИЛОЖИМИ В МИННИЯ БРАНШ")</f>
        <v>ИНТЕЛИГЕНТНИ ИНФОРМАЦИОННИ ТЕХНОЛОГИИ, ПРИЛОЖИМИ В МИННИЯ БРАНШ</v>
      </c>
      <c r="D6005" s="10">
        <f ca="1">IFERROR(__xludf.DUMMYFUNCTION("""COMPUTED_VALUE"""),2015)</f>
        <v>2015</v>
      </c>
      <c r="E6005" s="10" t="str">
        <f ca="1">IFERROR(__xludf.DUMMYFUNCTION("""COMPUTED_VALUE"""),"ГОДИШНИК НА МИННО-ГЕОЛОЖКИЯ УНИВЕРСИТЕТ “СВ. ИВАН РИЛСКИ”, Том 58, Св. IV, Хуманитарни и стопански науки, ISSN 1312-1820")</f>
        <v>ГОДИШНИК НА МИННО-ГЕОЛОЖКИЯ УНИВЕРСИТЕТ “СВ. ИВАН РИЛСКИ”, Том 58, Св. IV, Хуманитарни и стопански науки, ISSN 1312-1820</v>
      </c>
      <c r="F6005" s="10"/>
      <c r="G6005" s="10" t="str">
        <f ca="1">IFERROR(__xludf.DUMMYFUNCTION("""COMPUTED_VALUE"""),"Йорданка Анастасова, Кънчо Иванов")</f>
        <v>Йорданка Анастасова, Кънчо Иванов</v>
      </c>
      <c r="H6005" s="10"/>
      <c r="I6005" s="10"/>
      <c r="J6005" s="10"/>
      <c r="K6005" s="10"/>
      <c r="L6005" s="10"/>
      <c r="M6005" s="10"/>
      <c r="N6005" s="10"/>
      <c r="O6005" s="10"/>
      <c r="P6005" s="10"/>
      <c r="Q6005" s="10"/>
      <c r="R6005" s="10"/>
      <c r="S6005" s="10"/>
      <c r="T6005" s="10"/>
      <c r="U6005" s="10"/>
      <c r="V6005" s="10"/>
      <c r="W6005" s="10"/>
      <c r="X6005" s="10"/>
      <c r="Y6005" s="10"/>
      <c r="Z6005" s="10"/>
    </row>
    <row r="6006" spans="1:26" ht="12.75">
      <c r="A6006" s="10" t="str">
        <f ca="1">IFERROR(__xludf.DUMMYFUNCTION("""COMPUTED_VALUE"""),"Николай Иванов Янев")</f>
        <v>Николай Иванов Янев</v>
      </c>
      <c r="B6006" s="10" t="str">
        <f ca="1">IFERROR(__xludf.DUMMYFUNCTION("""COMPUTED_VALUE"""),"Монография")</f>
        <v>Монография</v>
      </c>
      <c r="C6006" s="10" t="str">
        <f ca="1">IFERROR(__xludf.DUMMYFUNCTION("""COMPUTED_VALUE"""),"Методологии и технологии за разработване на информационни системи")</f>
        <v>Методологии и технологии за разработване на информационни системи</v>
      </c>
      <c r="D6006" s="10">
        <f ca="1">IFERROR(__xludf.DUMMYFUNCTION("""COMPUTED_VALUE"""),2013)</f>
        <v>2013</v>
      </c>
      <c r="E6006" s="10" t="str">
        <f ca="1">IFERROR(__xludf.DUMMYFUNCTION("""COMPUTED_VALUE"""),"- София : МГУ. ИК ""Св. Иван Рилски"", 2013, ISBN - 978-954-353-212-4")</f>
        <v>- София : МГУ. ИК "Св. Иван Рилски", 2013, ISBN - 978-954-353-212-4</v>
      </c>
      <c r="F6006" s="10"/>
      <c r="G6006" s="10"/>
      <c r="H6006" s="10"/>
      <c r="I6006" s="10"/>
      <c r="J6006" s="10"/>
      <c r="K6006" s="10"/>
      <c r="L6006" s="10"/>
      <c r="M6006" s="10"/>
      <c r="N6006" s="10"/>
      <c r="O6006" s="10"/>
      <c r="P6006" s="10"/>
      <c r="Q6006" s="10"/>
      <c r="R6006" s="10"/>
      <c r="S6006" s="10"/>
      <c r="T6006" s="10"/>
      <c r="U6006" s="10"/>
      <c r="V6006" s="10"/>
      <c r="W6006" s="10"/>
      <c r="X6006" s="10"/>
      <c r="Y6006" s="10"/>
      <c r="Z6006" s="10"/>
    </row>
    <row r="6007" spans="1:26" ht="12.75">
      <c r="A6007" s="10" t="str">
        <f ca="1">IFERROR(__xludf.DUMMYFUNCTION("""COMPUTED_VALUE"""),"Николай Иванов Янев")</f>
        <v>Николай Иванов Янев</v>
      </c>
      <c r="B6007" s="10" t="str">
        <f ca="1">IFERROR(__xludf.DUMMYFUNCTION("""COMPUTED_VALUE"""),"Доклад от конференция")</f>
        <v>Доклад от конференция</v>
      </c>
      <c r="C6007" s="10" t="str">
        <f ca="1">IFERROR(__xludf.DUMMYFUNCTION("""COMPUTED_VALUE"""),"Applications of MS Project for creation and management schedules of mining activities")</f>
        <v>Applications of MS Project for creation and management schedules of mining activities</v>
      </c>
      <c r="D6007" s="10">
        <f ca="1">IFERROR(__xludf.DUMMYFUNCTION("""COMPUTED_VALUE"""),2013)</f>
        <v>2013</v>
      </c>
      <c r="E6007" s="10" t="str">
        <f ca="1">IFERROR(__xludf.DUMMYFUNCTION("""COMPUTED_VALUE"""),"5th BALKAN MINING CONGRESS, Macedonia, ISBN 978-608-65530-2-9")</f>
        <v>5th BALKAN MINING CONGRESS, Macedonia, ISBN 978-608-65530-2-9</v>
      </c>
      <c r="F6007" s="10"/>
      <c r="G6007" s="10" t="str">
        <f ca="1">IFERROR(__xludf.DUMMYFUNCTION("""COMPUTED_VALUE"""),"Yordanka Anastasova Kancho Ivanov")</f>
        <v>Yordanka Anastasova Kancho Ivanov</v>
      </c>
      <c r="H6007" s="10"/>
      <c r="I6007" s="10"/>
      <c r="J6007" s="10"/>
      <c r="K6007" s="10"/>
      <c r="L6007" s="10"/>
      <c r="M6007" s="10"/>
      <c r="N6007" s="10"/>
      <c r="O6007" s="10"/>
      <c r="P6007" s="10"/>
      <c r="Q6007" s="10"/>
      <c r="R6007" s="10"/>
      <c r="S6007" s="10"/>
      <c r="T6007" s="10"/>
      <c r="U6007" s="10"/>
      <c r="V6007" s="10"/>
      <c r="W6007" s="10"/>
      <c r="X6007" s="10"/>
      <c r="Y6007" s="10"/>
      <c r="Z6007" s="10"/>
    </row>
    <row r="6008" spans="1:26" ht="12.75">
      <c r="A6008" s="10" t="str">
        <f ca="1">IFERROR(__xludf.DUMMYFUNCTION("""COMPUTED_VALUE"""),"Николай Иванов Янев")</f>
        <v>Николай Иванов Янев</v>
      </c>
      <c r="B6008" s="10" t="str">
        <f ca="1">IFERROR(__xludf.DUMMYFUNCTION("""COMPUTED_VALUE"""),"Статия в списания и поредици")</f>
        <v>Статия в списания и поредици</v>
      </c>
      <c r="C6008" s="10" t="str">
        <f ca="1">IFERROR(__xludf.DUMMYFUNCTION("""COMPUTED_VALUE"""),"Средства за описване на данни за приложение в минното дело и геологията")</f>
        <v>Средства за описване на данни за приложение в минното дело и геологията</v>
      </c>
      <c r="D6008" s="10">
        <f ca="1">IFERROR(__xludf.DUMMYFUNCTION("""COMPUTED_VALUE"""),2013)</f>
        <v>2013</v>
      </c>
      <c r="E6008" s="10" t="str">
        <f ca="1">IFERROR(__xludf.DUMMYFUNCTION("""COMPUTED_VALUE"""),"Минно дело и геология, 2013, №7-8, ISSN 0861-5713")</f>
        <v>Минно дело и геология, 2013, №7-8, ISSN 0861-5713</v>
      </c>
      <c r="F6008" s="10"/>
      <c r="G6008" s="10" t="str">
        <f ca="1">IFERROR(__xludf.DUMMYFUNCTION("""COMPUTED_VALUE"""),"Й. Анастасова")</f>
        <v>Й. Анастасова</v>
      </c>
      <c r="H6008" s="10"/>
      <c r="I6008" s="10"/>
      <c r="J6008" s="10"/>
      <c r="K6008" s="10"/>
      <c r="L6008" s="10"/>
      <c r="M6008" s="10"/>
      <c r="N6008" s="10"/>
      <c r="O6008" s="10"/>
      <c r="P6008" s="10"/>
      <c r="Q6008" s="10"/>
      <c r="R6008" s="10"/>
      <c r="S6008" s="10"/>
      <c r="T6008" s="10"/>
      <c r="U6008" s="10"/>
      <c r="V6008" s="10"/>
      <c r="W6008" s="10"/>
      <c r="X6008" s="10"/>
      <c r="Y6008" s="10"/>
      <c r="Z6008" s="10"/>
    </row>
    <row r="6009" spans="1:26" ht="12.75">
      <c r="A6009" s="10" t="str">
        <f ca="1">IFERROR(__xludf.DUMMYFUNCTION("""COMPUTED_VALUE"""),"Николай Иванов Янев")</f>
        <v>Николай Иванов Янев</v>
      </c>
      <c r="B6009" s="10" t="str">
        <f ca="1">IFERROR(__xludf.DUMMYFUNCTION("""COMPUTED_VALUE"""),"Доклад от конференция")</f>
        <v>Доклад от конференция</v>
      </c>
      <c r="C6009" s="10" t="str">
        <f ca="1">IFERROR(__xludf.DUMMYFUNCTION("""COMPUTED_VALUE"""),"Възможности за използване на MS PROJECT при управление на проекти в областта на минното дело и подземното строителство")</f>
        <v>Възможности за използване на MS PROJECT при управление на проекти в областта на минното дело и подземното строителство</v>
      </c>
      <c r="D6009" s="10">
        <f ca="1">IFERROR(__xludf.DUMMYFUNCTION("""COMPUTED_VALUE"""),2012)</f>
        <v>2012</v>
      </c>
      <c r="E6009" s="10" t="str">
        <f ca="1">IFERROR(__xludf.DUMMYFUNCTION("""COMPUTED_VALUE"""),"Третата национална научно-техническа конференция с международно участие ""Технологии и практики при подземен добив и минно строителство"", ISSN 1314-7056")</f>
        <v>Третата национална научно-техническа конференция с международно участие "Технологии и практики при подземен добив и минно строителство", ISSN 1314-7056</v>
      </c>
      <c r="F6009" s="10"/>
      <c r="G6009" s="10" t="str">
        <f ca="1">IFERROR(__xludf.DUMMYFUNCTION("""COMPUTED_VALUE"""),"Йорданка Анастасова Кънчо Иванов")</f>
        <v>Йорданка Анастасова Кънчо Иванов</v>
      </c>
      <c r="H6009" s="10"/>
      <c r="I6009" s="10"/>
      <c r="J6009" s="10"/>
      <c r="K6009" s="10"/>
      <c r="L6009" s="10"/>
      <c r="M6009" s="10"/>
      <c r="N6009" s="10"/>
      <c r="O6009" s="10"/>
      <c r="P6009" s="10"/>
      <c r="Q6009" s="10"/>
      <c r="R6009" s="10"/>
      <c r="S6009" s="10"/>
      <c r="T6009" s="10"/>
      <c r="U6009" s="10"/>
      <c r="V6009" s="10"/>
      <c r="W6009" s="10"/>
      <c r="X6009" s="10"/>
      <c r="Y6009" s="10"/>
      <c r="Z6009" s="10"/>
    </row>
    <row r="6010" spans="1:26" ht="12.75">
      <c r="A6010" s="10" t="str">
        <f ca="1">IFERROR(__xludf.DUMMYFUNCTION("""COMPUTED_VALUE"""),"Николай Иванов Янев")</f>
        <v>Николай Иванов Янев</v>
      </c>
      <c r="B6010" s="10" t="str">
        <f ca="1">IFERROR(__xludf.DUMMYFUNCTION("""COMPUTED_VALUE"""),"Доклад от конференция")</f>
        <v>Доклад от конференция</v>
      </c>
      <c r="C6010" s="10" t="str">
        <f ca="1">IFERROR(__xludf.DUMMYFUNCTION("""COMPUTED_VALUE"""),"Графично представяне на данни чрез инструменти с отворен код")</f>
        <v>Графично представяне на данни чрез инструменти с отворен код</v>
      </c>
      <c r="D6010" s="10">
        <f ca="1">IFERROR(__xludf.DUMMYFUNCTION("""COMPUTED_VALUE"""),2012)</f>
        <v>2012</v>
      </c>
      <c r="E6010" s="10" t="str">
        <f ca="1">IFERROR(__xludf.DUMMYFUNCTION("""COMPUTED_VALUE"""),"Годишник на МГУ ""Св. Иван Рилски"", ISSN 1312-1820")</f>
        <v>Годишник на МГУ "Св. Иван Рилски", ISSN 1312-1820</v>
      </c>
      <c r="F6010" s="10"/>
      <c r="G6010" s="10" t="str">
        <f ca="1">IFERROR(__xludf.DUMMYFUNCTION("""COMPUTED_VALUE"""),"Иван Казанджиев Кънчо Иванов")</f>
        <v>Иван Казанджиев Кънчо Иванов</v>
      </c>
      <c r="H6010" s="10"/>
      <c r="I6010" s="10"/>
      <c r="J6010" s="10"/>
      <c r="K6010" s="10"/>
      <c r="L6010" s="10"/>
      <c r="M6010" s="10"/>
      <c r="N6010" s="10"/>
      <c r="O6010" s="10"/>
      <c r="P6010" s="10"/>
      <c r="Q6010" s="10"/>
      <c r="R6010" s="10"/>
      <c r="S6010" s="10"/>
      <c r="T6010" s="10"/>
      <c r="U6010" s="10"/>
      <c r="V6010" s="10"/>
      <c r="W6010" s="10"/>
      <c r="X6010" s="10"/>
      <c r="Y6010" s="10"/>
      <c r="Z6010" s="10"/>
    </row>
    <row r="6011" spans="1:26" ht="12.75">
      <c r="A6011" s="10" t="str">
        <f ca="1">IFERROR(__xludf.DUMMYFUNCTION("""COMPUTED_VALUE"""),"Николай Иванов Янев")</f>
        <v>Николай Иванов Янев</v>
      </c>
      <c r="B6011" s="10" t="str">
        <f ca="1">IFERROR(__xludf.DUMMYFUNCTION("""COMPUTED_VALUE"""),"Доклад от конференция")</f>
        <v>Доклад от конференция</v>
      </c>
      <c r="C6011" s="10" t="str">
        <f ca="1">IFERROR(__xludf.DUMMYFUNCTION("""COMPUTED_VALUE"""),"Оценяване на студентите от МГУ „Св. Иван Рилски” чрез използване на компютърна техника в духа на изискванията на Европейското образователно пространство")</f>
        <v>Оценяване на студентите от МГУ „Св. Иван Рилски” чрез използване на компютърна техника в духа на изискванията на Европейското образователно пространство</v>
      </c>
      <c r="D6011" s="10">
        <f ca="1">IFERROR(__xludf.DUMMYFUNCTION("""COMPUTED_VALUE"""),2012)</f>
        <v>2012</v>
      </c>
      <c r="E6011" s="10" t="str">
        <f ca="1">IFERROR(__xludf.DUMMYFUNCTION("""COMPUTED_VALUE"""),"Годишник на МГУ ""Св. Иван Рилски"", ISSN 1312-1820")</f>
        <v>Годишник на МГУ "Св. Иван Рилски", ISSN 1312-1820</v>
      </c>
      <c r="F6011" s="10"/>
      <c r="G6011" s="10" t="str">
        <f ca="1">IFERROR(__xludf.DUMMYFUNCTION("""COMPUTED_VALUE"""),"Йорданка Анастасова Кънчо Иванов")</f>
        <v>Йорданка Анастасова Кънчо Иванов</v>
      </c>
      <c r="H6011" s="10"/>
      <c r="I6011" s="10"/>
      <c r="J6011" s="10"/>
      <c r="K6011" s="10"/>
      <c r="L6011" s="10"/>
      <c r="M6011" s="10"/>
      <c r="N6011" s="10"/>
      <c r="O6011" s="10"/>
      <c r="P6011" s="10"/>
      <c r="Q6011" s="10"/>
      <c r="R6011" s="10"/>
      <c r="S6011" s="10"/>
      <c r="T6011" s="10"/>
      <c r="U6011" s="10"/>
      <c r="V6011" s="10"/>
      <c r="W6011" s="10"/>
      <c r="X6011" s="10"/>
      <c r="Y6011" s="10"/>
      <c r="Z6011" s="10"/>
    </row>
    <row r="6012" spans="1:26" ht="12.75">
      <c r="A6012" s="10" t="str">
        <f ca="1">IFERROR(__xludf.DUMMYFUNCTION("""COMPUTED_VALUE"""),"Николай Иванов Янев")</f>
        <v>Николай Иванов Янев</v>
      </c>
      <c r="B6012" s="10" t="str">
        <f ca="1">IFERROR(__xludf.DUMMYFUNCTION("""COMPUTED_VALUE"""),"Доклад от конференция")</f>
        <v>Доклад от конференция</v>
      </c>
      <c r="C6012" s="10" t="str">
        <f ca="1">IFERROR(__xludf.DUMMYFUNCTION("""COMPUTED_VALUE"""),"Описателни езици с приложение в минната промишленост")</f>
        <v>Описателни езици с приложение в минната промишленост</v>
      </c>
      <c r="D6012" s="10">
        <f ca="1">IFERROR(__xludf.DUMMYFUNCTION("""COMPUTED_VALUE"""),2012)</f>
        <v>2012</v>
      </c>
      <c r="E6012" s="10" t="str">
        <f ca="1">IFERROR(__xludf.DUMMYFUNCTION("""COMPUTED_VALUE"""),"Трета нац. науч.-техн. конф. с междунар. участие Технологии и практики при подземен добив и минно строителство ISSN 1314-7056")</f>
        <v>Трета нац. науч.-техн. конф. с междунар. участие Технологии и практики при подземен добив и минно строителство ISSN 1314-7056</v>
      </c>
      <c r="F6012" s="10"/>
      <c r="G6012" s="10"/>
      <c r="H6012" s="10"/>
      <c r="I6012" s="10"/>
      <c r="J6012" s="10"/>
      <c r="K6012" s="10"/>
      <c r="L6012" s="10"/>
      <c r="M6012" s="10"/>
      <c r="N6012" s="10"/>
      <c r="O6012" s="10"/>
      <c r="P6012" s="10"/>
      <c r="Q6012" s="10"/>
      <c r="R6012" s="10"/>
      <c r="S6012" s="10"/>
      <c r="T6012" s="10"/>
      <c r="U6012" s="10"/>
      <c r="V6012" s="10"/>
      <c r="W6012" s="10"/>
      <c r="X6012" s="10"/>
      <c r="Y6012" s="10"/>
      <c r="Z6012" s="10"/>
    </row>
    <row r="6013" spans="1:26" ht="12.75">
      <c r="A6013" s="10" t="str">
        <f ca="1">IFERROR(__xludf.DUMMYFUNCTION("""COMPUTED_VALUE"""),"Николай Иванов Янев")</f>
        <v>Николай Иванов Янев</v>
      </c>
      <c r="B6013" s="10" t="str">
        <f ca="1">IFERROR(__xludf.DUMMYFUNCTION("""COMPUTED_VALUE"""),"Доклад от конференция")</f>
        <v>Доклад от конференция</v>
      </c>
      <c r="C6013" s="10" t="str">
        <f ca="1">IFERROR(__xludf.DUMMYFUNCTION("""COMPUTED_VALUE"""),"ВЪЗМОЖНОСТИ ЗА ПРИЛОЖЕНИЕ НА СЪВРЕМЕННИ XML БАЗИРАНИ ТЕХНОЛОГИИ В МИННАТА ПРОМИШЛЕНОСТ")</f>
        <v>ВЪЗМОЖНОСТИ ЗА ПРИЛОЖЕНИЕ НА СЪВРЕМЕННИ XML БАЗИРАНИ ТЕХНОЛОГИИ В МИННАТА ПРОМИШЛЕНОСТ</v>
      </c>
      <c r="D6013" s="10">
        <f ca="1">IFERROR(__xludf.DUMMYFUNCTION("""COMPUTED_VALUE"""),2011)</f>
        <v>2011</v>
      </c>
      <c r="E6013" s="10" t="str">
        <f ca="1">IFERROR(__xludf.DUMMYFUNCTION("""COMPUTED_VALUE"""),"Годишник на МГУ ""Св. Иван Рилски"", ISSN 1312-1820")</f>
        <v>Годишник на МГУ "Св. Иван Рилски", ISSN 1312-1820</v>
      </c>
      <c r="F6013" s="10"/>
      <c r="G6013" s="10"/>
      <c r="H6013" s="10"/>
      <c r="I6013" s="10"/>
      <c r="J6013" s="10"/>
      <c r="K6013" s="10"/>
      <c r="L6013" s="10"/>
      <c r="M6013" s="10"/>
      <c r="N6013" s="10"/>
      <c r="O6013" s="10"/>
      <c r="P6013" s="10"/>
      <c r="Q6013" s="10"/>
      <c r="R6013" s="10"/>
      <c r="S6013" s="10"/>
      <c r="T6013" s="10"/>
      <c r="U6013" s="10"/>
      <c r="V6013" s="10"/>
      <c r="W6013" s="10"/>
      <c r="X6013" s="10"/>
      <c r="Y6013" s="10"/>
      <c r="Z6013" s="10"/>
    </row>
    <row r="6014" spans="1:26" ht="12.75">
      <c r="A6014" s="10" t="str">
        <f ca="1">IFERROR(__xludf.DUMMYFUNCTION("""COMPUTED_VALUE"""),"Николай Иванов Янев")</f>
        <v>Николай Иванов Янев</v>
      </c>
      <c r="B6014" s="10" t="str">
        <f ca="1">IFERROR(__xludf.DUMMYFUNCTION("""COMPUTED_VALUE"""),"Доклад от конференция")</f>
        <v>Доклад от конференция</v>
      </c>
      <c r="C6014" s="10" t="str">
        <f ca="1">IFERROR(__xludf.DUMMYFUNCTION("""COMPUTED_VALUE"""),"РАЗРАБОТВАНЕ НА МОДУЛ „МАГИСТЪРСКИ ТЕЗИ” КЪМ САЙТА НА МГУ „СВ. ИВАН РИЛСКИ”")</f>
        <v>РАЗРАБОТВАНЕ НА МОДУЛ „МАГИСТЪРСКИ ТЕЗИ” КЪМ САЙТА НА МГУ „СВ. ИВАН РИЛСКИ”</v>
      </c>
      <c r="D6014" s="10">
        <f ca="1">IFERROR(__xludf.DUMMYFUNCTION("""COMPUTED_VALUE"""),2011)</f>
        <v>2011</v>
      </c>
      <c r="E6014" s="10" t="str">
        <f ca="1">IFERROR(__xludf.DUMMYFUNCTION("""COMPUTED_VALUE"""),"Годишник на МГУ ""Св. Иван Рилски"", ISSN 1312-1820")</f>
        <v>Годишник на МГУ "Св. Иван Рилски", ISSN 1312-1820</v>
      </c>
      <c r="F6014" s="10"/>
      <c r="G6014" s="10" t="str">
        <f ca="1">IFERROR(__xludf.DUMMYFUNCTION("""COMPUTED_VALUE"""),"В. Харитонова")</f>
        <v>В. Харитонова</v>
      </c>
      <c r="H6014" s="10"/>
      <c r="I6014" s="10"/>
      <c r="J6014" s="10"/>
      <c r="K6014" s="10"/>
      <c r="L6014" s="10"/>
      <c r="M6014" s="10"/>
      <c r="N6014" s="10"/>
      <c r="O6014" s="10"/>
      <c r="P6014" s="10"/>
      <c r="Q6014" s="10"/>
      <c r="R6014" s="10"/>
      <c r="S6014" s="10"/>
      <c r="T6014" s="10"/>
      <c r="U6014" s="10"/>
      <c r="V6014" s="10"/>
      <c r="W6014" s="10"/>
      <c r="X6014" s="10"/>
      <c r="Y6014" s="10"/>
      <c r="Z6014" s="10"/>
    </row>
    <row r="6015" spans="1:26" ht="12.75">
      <c r="A6015" s="10" t="str">
        <f ca="1">IFERROR(__xludf.DUMMYFUNCTION("""COMPUTED_VALUE"""),"Николай Иванов Янев")</f>
        <v>Николай Иванов Янев</v>
      </c>
      <c r="B6015" s="10" t="str">
        <f ca="1">IFERROR(__xludf.DUMMYFUNCTION("""COMPUTED_VALUE"""),"Доклад от конференция")</f>
        <v>Доклад от конференция</v>
      </c>
      <c r="C6015" s="10" t="str">
        <f ca="1">IFERROR(__xludf.DUMMYFUNCTION("""COMPUTED_VALUE"""),"ПОВИШАВАНЕ КАЧЕСТВОТО НА ДАННИТЕ ЧРЕЗ ПРИЛАГАНЕ НА СИСТЕМАТА VEZNA")</f>
        <v>ПОВИШАВАНЕ КАЧЕСТВОТО НА ДАННИТЕ ЧРЕЗ ПРИЛАГАНЕ НА СИСТЕМАТА VEZNA</v>
      </c>
      <c r="D6015" s="10">
        <f ca="1">IFERROR(__xludf.DUMMYFUNCTION("""COMPUTED_VALUE"""),2010)</f>
        <v>2010</v>
      </c>
      <c r="E6015" s="10" t="str">
        <f ca="1">IFERROR(__xludf.DUMMYFUNCTION("""COMPUTED_VALUE"""),"Годишник на МГУ ""Св. Иван Рилски"", ISSN 1312-1820")</f>
        <v>Годишник на МГУ "Св. Иван Рилски", ISSN 1312-1820</v>
      </c>
      <c r="F6015" s="10"/>
      <c r="G6015" s="10" t="str">
        <f ca="1">IFERROR(__xludf.DUMMYFUNCTION("""COMPUTED_VALUE"""),"К. Иванов, И. Казанджиев, Н. Халачев, Г. Георгиев, П. Костова")</f>
        <v>К. Иванов, И. Казанджиев, Н. Халачев, Г. Георгиев, П. Костова</v>
      </c>
      <c r="H6015" s="10"/>
      <c r="I6015" s="10"/>
      <c r="J6015" s="10"/>
      <c r="K6015" s="10"/>
      <c r="L6015" s="10"/>
      <c r="M6015" s="10"/>
      <c r="N6015" s="10"/>
      <c r="O6015" s="10"/>
      <c r="P6015" s="10"/>
      <c r="Q6015" s="10"/>
      <c r="R6015" s="10"/>
      <c r="S6015" s="10"/>
      <c r="T6015" s="10"/>
      <c r="U6015" s="10"/>
      <c r="V6015" s="10"/>
      <c r="W6015" s="10"/>
      <c r="X6015" s="10"/>
      <c r="Y6015" s="10"/>
      <c r="Z6015" s="10"/>
    </row>
    <row r="6016" spans="1:26" ht="12.75">
      <c r="A6016" s="10" t="str">
        <f ca="1">IFERROR(__xludf.DUMMYFUNCTION("""COMPUTED_VALUE"""),"Николай Иванов Янев")</f>
        <v>Николай Иванов Янев</v>
      </c>
      <c r="B6016" s="10" t="str">
        <f ca="1">IFERROR(__xludf.DUMMYFUNCTION("""COMPUTED_VALUE"""),"Доклад от конференция")</f>
        <v>Доклад от конференция</v>
      </c>
      <c r="C6016" s="10" t="str">
        <f ca="1">IFERROR(__xludf.DUMMYFUNCTION("""COMPUTED_VALUE"""),"Information System for Quality Monitoring and Management during Coal Mining")</f>
        <v>Information System for Quality Monitoring and Management during Coal Mining</v>
      </c>
      <c r="D6016" s="10">
        <f ca="1">IFERROR(__xludf.DUMMYFUNCTION("""COMPUTED_VALUE"""),2009)</f>
        <v>2009</v>
      </c>
      <c r="E6016" s="10" t="str">
        <f ca="1">IFERROR(__xludf.DUMMYFUNCTION("""COMPUTED_VALUE"""),"3rd Balkan Mining Congress BALKANMINE 2009")</f>
        <v>3rd Balkan Mining Congress BALKANMINE 2009</v>
      </c>
      <c r="F6016" s="10"/>
      <c r="G6016" s="10"/>
      <c r="H6016" s="10"/>
      <c r="I6016" s="10"/>
      <c r="J6016" s="10"/>
      <c r="K6016" s="10"/>
      <c r="L6016" s="10"/>
      <c r="M6016" s="10"/>
      <c r="N6016" s="10"/>
      <c r="O6016" s="10"/>
      <c r="P6016" s="10"/>
      <c r="Q6016" s="10"/>
      <c r="R6016" s="10"/>
      <c r="S6016" s="10"/>
      <c r="T6016" s="10"/>
      <c r="U6016" s="10"/>
      <c r="V6016" s="10"/>
      <c r="W6016" s="10"/>
      <c r="X6016" s="10"/>
      <c r="Y6016" s="10"/>
      <c r="Z6016" s="10"/>
    </row>
    <row r="6017" spans="1:26" ht="12.75">
      <c r="A6017" s="10" t="str">
        <f ca="1">IFERROR(__xludf.DUMMYFUNCTION("""COMPUTED_VALUE"""),"Николай Иванов Янев")</f>
        <v>Николай Иванов Янев</v>
      </c>
      <c r="B6017" s="10" t="str">
        <f ca="1">IFERROR(__xludf.DUMMYFUNCTION("""COMPUTED_VALUE"""),"Доклад от конференция")</f>
        <v>Доклад от конференция</v>
      </c>
      <c r="C6017" s="10" t="str">
        <f ca="1">IFERROR(__xludf.DUMMYFUNCTION("""COMPUTED_VALUE"""),"Management Of Students' Dormitories In University Of Mining And Geology “St. Ivan Rilski” Through Framework And Open Source Technologies")</f>
        <v>Management Of Students' Dormitories In University Of Mining And Geology “St. Ivan Rilski” Through Framework And Open Source Technologies</v>
      </c>
      <c r="D6017" s="10">
        <f ca="1">IFERROR(__xludf.DUMMYFUNCTION("""COMPUTED_VALUE"""),2008)</f>
        <v>2008</v>
      </c>
      <c r="E6017" s="10" t="str">
        <f ca="1">IFERROR(__xludf.DUMMYFUNCTION("""COMPUTED_VALUE"""),"4nt International Bulgarian-Greek Conference Computer Science, Kavala, ISBN 978-954-580-256-0")</f>
        <v>4nt International Bulgarian-Greek Conference Computer Science, Kavala, ISBN 978-954-580-256-0</v>
      </c>
      <c r="F6017" s="10"/>
      <c r="G6017" s="10" t="str">
        <f ca="1">IFERROR(__xludf.DUMMYFUNCTION("""COMPUTED_VALUE"""),"Iskra Shtarbanova, Dinko Beltchevski, Yordanka Anastasova, Kancho Ivanov")</f>
        <v>Iskra Shtarbanova, Dinko Beltchevski, Yordanka Anastasova, Kancho Ivanov</v>
      </c>
      <c r="H6017" s="10"/>
      <c r="I6017" s="10"/>
      <c r="J6017" s="10"/>
      <c r="K6017" s="10"/>
      <c r="L6017" s="10"/>
      <c r="M6017" s="10"/>
      <c r="N6017" s="10"/>
      <c r="O6017" s="10"/>
      <c r="P6017" s="10"/>
      <c r="Q6017" s="10"/>
      <c r="R6017" s="10"/>
      <c r="S6017" s="10"/>
      <c r="T6017" s="10"/>
      <c r="U6017" s="10"/>
      <c r="V6017" s="10"/>
      <c r="W6017" s="10"/>
      <c r="X6017" s="10"/>
      <c r="Y6017" s="10"/>
      <c r="Z6017" s="10"/>
    </row>
    <row r="6018" spans="1:26" ht="12.75">
      <c r="A6018" s="10" t="str">
        <f ca="1">IFERROR(__xludf.DUMMYFUNCTION("""COMPUTED_VALUE"""),"Николай Иванов Янев")</f>
        <v>Николай Иванов Янев</v>
      </c>
      <c r="B6018" s="10" t="str">
        <f ca="1">IFERROR(__xludf.DUMMYFUNCTION("""COMPUTED_VALUE"""),"Доклад от конференция")</f>
        <v>Доклад от конференция</v>
      </c>
      <c r="C6018" s="10" t="str">
        <f ca="1">IFERROR(__xludf.DUMMYFUNCTION("""COMPUTED_VALUE"""),"Application of Information Systems and Technologies for the Purpose of Managment and Monitoring during the Coal Mining and Initial Dressing Process")</f>
        <v>Application of Information Systems and Technologies for the Purpose of Managment and Monitoring during the Coal Mining and Initial Dressing Process</v>
      </c>
      <c r="D6018" s="10">
        <f ca="1">IFERROR(__xludf.DUMMYFUNCTION("""COMPUTED_VALUE"""),2008)</f>
        <v>2008</v>
      </c>
      <c r="E6018" s="10" t="str">
        <f ca="1">IFERROR(__xludf.DUMMYFUNCTION("""COMPUTED_VALUE"""),"4nt International Bulgarian-Greek Conference Computer Science, Kavala, ISBN 978-954-580-256-0")</f>
        <v>4nt International Bulgarian-Greek Conference Computer Science, Kavala, ISBN 978-954-580-256-0</v>
      </c>
      <c r="F6018" s="10"/>
      <c r="G6018" s="10" t="str">
        <f ca="1">IFERROR(__xludf.DUMMYFUNCTION("""COMPUTED_VALUE"""),"Yordanka Anastasova Dimitar Anastasov, Kancho Ivanov")</f>
        <v>Yordanka Anastasova Dimitar Anastasov, Kancho Ivanov</v>
      </c>
      <c r="H6018" s="10"/>
      <c r="I6018" s="10"/>
      <c r="J6018" s="10"/>
      <c r="K6018" s="10"/>
      <c r="L6018" s="10"/>
      <c r="M6018" s="10"/>
      <c r="N6018" s="10"/>
      <c r="O6018" s="10"/>
      <c r="P6018" s="10"/>
      <c r="Q6018" s="10"/>
      <c r="R6018" s="10"/>
      <c r="S6018" s="10"/>
      <c r="T6018" s="10"/>
      <c r="U6018" s="10"/>
      <c r="V6018" s="10"/>
      <c r="W6018" s="10"/>
      <c r="X6018" s="10"/>
      <c r="Y6018" s="10"/>
      <c r="Z6018" s="10"/>
    </row>
    <row r="6019" spans="1:26" ht="12.75">
      <c r="A6019" s="10" t="str">
        <f ca="1">IFERROR(__xludf.DUMMYFUNCTION("""COMPUTED_VALUE"""),"Николай Иванов Янев")</f>
        <v>Николай Иванов Янев</v>
      </c>
      <c r="B6019" s="10" t="str">
        <f ca="1">IFERROR(__xludf.DUMMYFUNCTION("""COMPUTED_VALUE"""),"Доклад от конференция")</f>
        <v>Доклад от конференция</v>
      </c>
      <c r="C6019" s="10" t="str">
        <f ca="1">IFERROR(__xludf.DUMMYFUNCTION("""COMPUTED_VALUE"""),"Информационна система Управление на студентски общежития")</f>
        <v>Информационна система Управление на студентски общежития</v>
      </c>
      <c r="D6019" s="10">
        <f ca="1">IFERROR(__xludf.DUMMYFUNCTION("""COMPUTED_VALUE"""),2007)</f>
        <v>2007</v>
      </c>
      <c r="E6019" s="10" t="str">
        <f ca="1">IFERROR(__xludf.DUMMYFUNCTION("""COMPUTED_VALUE"""),"Годишник на МГУ “Св. Иван Рилски”, ISSN 1312-1820")</f>
        <v>Годишник на МГУ “Св. Иван Рилски”, ISSN 1312-1820</v>
      </c>
      <c r="F6019" s="10"/>
      <c r="G6019" s="10" t="str">
        <f ca="1">IFERROR(__xludf.DUMMYFUNCTION("""COMPUTED_VALUE"""),"Динко Тилев Белчевски Искра Щърбанова, Йорданка Анастасова, Кънчо Иванов")</f>
        <v>Динко Тилев Белчевски Искра Щърбанова, Йорданка Анастасова, Кънчо Иванов</v>
      </c>
      <c r="H6019" s="10"/>
      <c r="I6019" s="10"/>
      <c r="J6019" s="10"/>
      <c r="K6019" s="10"/>
      <c r="L6019" s="10"/>
      <c r="M6019" s="10"/>
      <c r="N6019" s="10"/>
      <c r="O6019" s="10"/>
      <c r="P6019" s="10"/>
      <c r="Q6019" s="10"/>
      <c r="R6019" s="10"/>
      <c r="S6019" s="10"/>
      <c r="T6019" s="10"/>
      <c r="U6019" s="10"/>
      <c r="V6019" s="10"/>
      <c r="W6019" s="10"/>
      <c r="X6019" s="10"/>
      <c r="Y6019" s="10"/>
      <c r="Z6019" s="10"/>
    </row>
    <row r="6020" spans="1:26" ht="12.75">
      <c r="A6020" s="10" t="str">
        <f ca="1">IFERROR(__xludf.DUMMYFUNCTION("""COMPUTED_VALUE"""),"Николай Иванов Янев")</f>
        <v>Николай Иванов Янев</v>
      </c>
      <c r="B6020" s="10" t="str">
        <f ca="1">IFERROR(__xludf.DUMMYFUNCTION("""COMPUTED_VALUE"""),"Доклад от конференция")</f>
        <v>Доклад от конференция</v>
      </c>
      <c r="C6020" s="10" t="str">
        <f ca="1">IFERROR(__xludf.DUMMYFUNCTION("""COMPUTED_VALUE"""),"Possibilities about application information systems for quality management during extraction raw minerals")</f>
        <v>Possibilities about application information systems for quality management during extraction raw minerals</v>
      </c>
      <c r="D6020" s="10">
        <f ca="1">IFERROR(__xludf.DUMMYFUNCTION("""COMPUTED_VALUE"""),2007)</f>
        <v>2007</v>
      </c>
      <c r="E6020" s="10" t="str">
        <f ca="1">IFERROR(__xludf.DUMMYFUNCTION("""COMPUTED_VALUE"""),"2nd Balkan Mining Congress BALKANMINE, ISBN 978-86-87035-00-3")</f>
        <v>2nd Balkan Mining Congress BALKANMINE, ISBN 978-86-87035-00-3</v>
      </c>
      <c r="F6020" s="10"/>
      <c r="G6020" s="10" t="str">
        <f ca="1">IFERROR(__xludf.DUMMYFUNCTION("""COMPUTED_VALUE"""),"Yordanka Anastasova Kancho Ivanov")</f>
        <v>Yordanka Anastasova Kancho Ivanov</v>
      </c>
      <c r="H6020" s="10"/>
      <c r="I6020" s="10"/>
      <c r="J6020" s="10"/>
      <c r="K6020" s="10"/>
      <c r="L6020" s="10"/>
      <c r="M6020" s="10"/>
      <c r="N6020" s="10"/>
      <c r="O6020" s="10"/>
      <c r="P6020" s="10"/>
      <c r="Q6020" s="10"/>
      <c r="R6020" s="10"/>
      <c r="S6020" s="10"/>
      <c r="T6020" s="10"/>
      <c r="U6020" s="10"/>
      <c r="V6020" s="10"/>
      <c r="W6020" s="10"/>
      <c r="X6020" s="10"/>
      <c r="Y6020" s="10"/>
      <c r="Z6020" s="10"/>
    </row>
    <row r="6021" spans="1:26" ht="12.75">
      <c r="A6021" s="10" t="str">
        <f ca="1">IFERROR(__xludf.DUMMYFUNCTION("""COMPUTED_VALUE"""),"Николай Иванов Янев")</f>
        <v>Николай Иванов Янев</v>
      </c>
      <c r="B6021" s="10" t="str">
        <f ca="1">IFERROR(__xludf.DUMMYFUNCTION("""COMPUTED_VALUE"""),"Статия в списания и поредици")</f>
        <v>Статия в списания и поредици</v>
      </c>
      <c r="C6021" s="10" t="str">
        <f ca="1">IFERROR(__xludf.DUMMYFUNCTION("""COMPUTED_VALUE"""),"Система за избор на техническо решение базирана на съвременни информационни технологии")</f>
        <v>Система за избор на техническо решение базирана на съвременни информационни технологии</v>
      </c>
      <c r="D6021" s="10">
        <f ca="1">IFERROR(__xludf.DUMMYFUNCTION("""COMPUTED_VALUE"""),2006)</f>
        <v>2006</v>
      </c>
      <c r="E6021" s="10" t="str">
        <f ca="1">IFERROR(__xludf.DUMMYFUNCTION("""COMPUTED_VALUE"""),"Списание ""Минно дело и геология"" бр. 8/2006, ISSN 0861-5713")</f>
        <v>Списание "Минно дело и геология" бр. 8/2006, ISSN 0861-5713</v>
      </c>
      <c r="F6021" s="10"/>
      <c r="G6021" s="10" t="str">
        <f ca="1">IFERROR(__xludf.DUMMYFUNCTION("""COMPUTED_VALUE"""),"Кънчо Иванов")</f>
        <v>Кънчо Иванов</v>
      </c>
      <c r="H6021" s="10"/>
      <c r="I6021" s="10"/>
      <c r="J6021" s="10"/>
      <c r="K6021" s="10"/>
      <c r="L6021" s="10"/>
      <c r="M6021" s="10"/>
      <c r="N6021" s="10"/>
      <c r="O6021" s="10"/>
      <c r="P6021" s="10"/>
      <c r="Q6021" s="10"/>
      <c r="R6021" s="10"/>
      <c r="S6021" s="10"/>
      <c r="T6021" s="10"/>
      <c r="U6021" s="10"/>
      <c r="V6021" s="10"/>
      <c r="W6021" s="10"/>
      <c r="X6021" s="10"/>
      <c r="Y6021" s="10"/>
      <c r="Z6021" s="10"/>
    </row>
    <row r="6022" spans="1:26" ht="12.75">
      <c r="A6022" s="10" t="str">
        <f ca="1">IFERROR(__xludf.DUMMYFUNCTION("""COMPUTED_VALUE"""),"Николай Иванов Янев")</f>
        <v>Николай Иванов Янев</v>
      </c>
      <c r="B6022" s="10" t="str">
        <f ca="1">IFERROR(__xludf.DUMMYFUNCTION("""COMPUTED_VALUE"""),"Доклад от конференция")</f>
        <v>Доклад от конференция</v>
      </c>
      <c r="C6022" s="10" t="str">
        <f ca="1">IFERROR(__xludf.DUMMYFUNCTION("""COMPUTED_VALUE"""),"Компютъризирана система за комплексна оценка на техническо решение")</f>
        <v>Компютъризирана система за комплексна оценка на техническо решение</v>
      </c>
      <c r="D6022" s="10">
        <f ca="1">IFERROR(__xludf.DUMMYFUNCTION("""COMPUTED_VALUE"""),2006)</f>
        <v>2006</v>
      </c>
      <c r="E6022" s="10" t="str">
        <f ca="1">IFERROR(__xludf.DUMMYFUNCTION("""COMPUTED_VALUE"""),"Годишник на МГУ „Св. Иван Рилски”, ISSN 1312-1820")</f>
        <v>Годишник на МГУ „Св. Иван Рилски”, ISSN 1312-1820</v>
      </c>
      <c r="F6022" s="10"/>
      <c r="G6022" s="10" t="str">
        <f ca="1">IFERROR(__xludf.DUMMYFUNCTION("""COMPUTED_VALUE"""),"Кънчо Иванов")</f>
        <v>Кънчо Иванов</v>
      </c>
      <c r="H6022" s="10"/>
      <c r="I6022" s="10"/>
      <c r="J6022" s="10"/>
      <c r="K6022" s="10"/>
      <c r="L6022" s="10"/>
      <c r="M6022" s="10"/>
      <c r="N6022" s="10"/>
      <c r="O6022" s="10"/>
      <c r="P6022" s="10"/>
      <c r="Q6022" s="10"/>
      <c r="R6022" s="10"/>
      <c r="S6022" s="10"/>
      <c r="T6022" s="10"/>
      <c r="U6022" s="10"/>
      <c r="V6022" s="10"/>
      <c r="W6022" s="10"/>
      <c r="X6022" s="10"/>
      <c r="Y6022" s="10"/>
      <c r="Z6022" s="10"/>
    </row>
    <row r="6023" spans="1:26" ht="12.75">
      <c r="A6023" s="10" t="str">
        <f ca="1">IFERROR(__xludf.DUMMYFUNCTION("""COMPUTED_VALUE"""),"Николай Иванов Янев")</f>
        <v>Николай Иванов Янев</v>
      </c>
      <c r="B6023" s="10" t="str">
        <f ca="1">IFERROR(__xludf.DUMMYFUNCTION("""COMPUTED_VALUE"""),"Статия в списания и поредици")</f>
        <v>Статия в списания и поредици</v>
      </c>
      <c r="C6023" s="10" t="str">
        <f ca="1">IFERROR(__xludf.DUMMYFUNCTION("""COMPUTED_VALUE"""),"За чисти технологии на Балканите. Проект „ТРАК“ от програма „Леонардо да Винчи“")</f>
        <v>За чисти технологии на Балканите. Проект „ТРАК“ от програма „Леонардо да Винчи“</v>
      </c>
      <c r="D6023" s="10">
        <f ca="1">IFERROR(__xludf.DUMMYFUNCTION("""COMPUTED_VALUE"""),2006)</f>
        <v>2006</v>
      </c>
      <c r="E6023" s="10" t="str">
        <f ca="1">IFERROR(__xludf.DUMMYFUNCTION("""COMPUTED_VALUE"""),"Списание ""Минно дело и геология"" бр. 6/2006, ISSN 0861-5713")</f>
        <v>Списание "Минно дело и геология" бр. 6/2006, ISSN 0861-5713</v>
      </c>
      <c r="F6023" s="10"/>
      <c r="G6023" s="10" t="str">
        <f ca="1">IFERROR(__xludf.DUMMYFUNCTION("""COMPUTED_VALUE"""),"Ганчев Ганчев Кънчо Иванов, П. Кузев, Динко Белчевски, Румен Исталианов, Тодор Върбев")</f>
        <v>Ганчев Ганчев Кънчо Иванов, П. Кузев, Динко Белчевски, Румен Исталианов, Тодор Върбев</v>
      </c>
      <c r="H6023" s="10"/>
      <c r="I6023" s="10"/>
      <c r="J6023" s="10"/>
      <c r="K6023" s="10"/>
      <c r="L6023" s="10"/>
      <c r="M6023" s="10"/>
      <c r="N6023" s="10"/>
      <c r="O6023" s="10"/>
      <c r="P6023" s="10"/>
      <c r="Q6023" s="10"/>
      <c r="R6023" s="10"/>
      <c r="S6023" s="10"/>
      <c r="T6023" s="10"/>
      <c r="U6023" s="10"/>
      <c r="V6023" s="10"/>
      <c r="W6023" s="10"/>
      <c r="X6023" s="10"/>
      <c r="Y6023" s="10"/>
      <c r="Z6023" s="10"/>
    </row>
    <row r="6024" spans="1:26" ht="12.75">
      <c r="A6024" s="10" t="str">
        <f ca="1">IFERROR(__xludf.DUMMYFUNCTION("""COMPUTED_VALUE"""),"Николай Иванов Янев")</f>
        <v>Николай Иванов Янев</v>
      </c>
      <c r="B6024" s="10" t="str">
        <f ca="1">IFERROR(__xludf.DUMMYFUNCTION("""COMPUTED_VALUE"""),"Доклад от конференция")</f>
        <v>Доклад от конференция</v>
      </c>
      <c r="C6024" s="10" t="str">
        <f ca="1">IFERROR(__xludf.DUMMYFUNCTION("""COMPUTED_VALUE"""),"Приложимост на системи с използване на знание при комплексно оценяване на техническо решение")</f>
        <v>Приложимост на системи с използване на знание при комплексно оценяване на техническо решение</v>
      </c>
      <c r="D6024" s="10">
        <f ca="1">IFERROR(__xludf.DUMMYFUNCTION("""COMPUTED_VALUE"""),2006)</f>
        <v>2006</v>
      </c>
      <c r="E6024" s="10" t="str">
        <f ca="1">IFERROR(__xludf.DUMMYFUNCTION("""COMPUTED_VALUE"""),"Национална научно-техническа конференция по автоматика с международно участие „Автоматизация на добива и преработката на енергийни, рудни и нерудни суровини – BULICAMC'06“, ISBN-10 954 91547 4 2")</f>
        <v>Национална научно-техническа конференция по автоматика с международно участие „Автоматизация на добива и преработката на енергийни, рудни и нерудни суровини – BULICAMC'06“, ISBN-10 954 91547 4 2</v>
      </c>
      <c r="F6024" s="10"/>
      <c r="G6024" s="10"/>
      <c r="H6024" s="10"/>
      <c r="I6024" s="10"/>
      <c r="J6024" s="10"/>
      <c r="K6024" s="10"/>
      <c r="L6024" s="10"/>
      <c r="M6024" s="10"/>
      <c r="N6024" s="10"/>
      <c r="O6024" s="10"/>
      <c r="P6024" s="10"/>
      <c r="Q6024" s="10"/>
      <c r="R6024" s="10"/>
      <c r="S6024" s="10"/>
      <c r="T6024" s="10"/>
      <c r="U6024" s="10"/>
      <c r="V6024" s="10"/>
      <c r="W6024" s="10"/>
      <c r="X6024" s="10"/>
      <c r="Y6024" s="10"/>
      <c r="Z6024" s="10"/>
    </row>
    <row r="6025" spans="1:26" ht="12.75">
      <c r="A6025" s="10" t="str">
        <f ca="1">IFERROR(__xludf.DUMMYFUNCTION("""COMPUTED_VALUE"""),"Николай Иванов Янев")</f>
        <v>Николай Иванов Янев</v>
      </c>
      <c r="B6025" s="10" t="str">
        <f ca="1">IFERROR(__xludf.DUMMYFUNCTION("""COMPUTED_VALUE"""),"Доклад от конференция")</f>
        <v>Доклад от конференция</v>
      </c>
      <c r="C6025" s="10" t="str">
        <f ca="1">IFERROR(__xludf.DUMMYFUNCTION("""COMPUTED_VALUE"""),"Електронно обучение по прилагане на чисти технологии на Балканите – проект ТRAC по програма Леонардо да Винчи")</f>
        <v>Електронно обучение по прилагане на чисти технологии на Балканите – проект ТRAC по програма Леонардо да Винчи</v>
      </c>
      <c r="D6025" s="10">
        <f ca="1">IFERROR(__xludf.DUMMYFUNCTION("""COMPUTED_VALUE"""),2005)</f>
        <v>2005</v>
      </c>
      <c r="E6025" s="10" t="str">
        <f ca="1">IFERROR(__xludf.DUMMYFUNCTION("""COMPUTED_VALUE"""),"ЕНЕРГИЕН ФОРУМ 2005 ""Предизвикателства към енергетиката в условията на либерализиране на енергийния пазар"", ISBN 2367-6728")</f>
        <v>ЕНЕРГИЕН ФОРУМ 2005 "Предизвикателства към енергетиката в условията на либерализиране на енергийния пазар", ISBN 2367-6728</v>
      </c>
      <c r="F6025" s="10"/>
      <c r="G6025" s="10" t="str">
        <f ca="1">IFERROR(__xludf.DUMMYFUNCTION("""COMPUTED_VALUE"""),"Ганчо Ганчев Кънчо Иванов, Динко Белчевски")</f>
        <v>Ганчо Ганчев Кънчо Иванов, Динко Белчевски</v>
      </c>
      <c r="H6025" s="10"/>
      <c r="I6025" s="10"/>
      <c r="J6025" s="10"/>
      <c r="K6025" s="10"/>
      <c r="L6025" s="10"/>
      <c r="M6025" s="10"/>
      <c r="N6025" s="10"/>
      <c r="O6025" s="10"/>
      <c r="P6025" s="10"/>
      <c r="Q6025" s="10"/>
      <c r="R6025" s="10"/>
      <c r="S6025" s="10"/>
      <c r="T6025" s="10"/>
      <c r="U6025" s="10"/>
      <c r="V6025" s="10"/>
      <c r="W6025" s="10"/>
      <c r="X6025" s="10"/>
      <c r="Y6025" s="10"/>
      <c r="Z6025" s="10"/>
    </row>
    <row r="6026" spans="1:26" ht="12.75">
      <c r="A6026" s="10" t="str">
        <f ca="1">IFERROR(__xludf.DUMMYFUNCTION("""COMPUTED_VALUE"""),"Николай Иванов Янев")</f>
        <v>Николай Иванов Янев</v>
      </c>
      <c r="B6026" s="10" t="str">
        <f ca="1">IFERROR(__xludf.DUMMYFUNCTION("""COMPUTED_VALUE"""),"Доклад от конференция")</f>
        <v>Доклад от конференция</v>
      </c>
      <c r="C6026" s="10" t="str">
        <f ca="1">IFERROR(__xludf.DUMMYFUNCTION("""COMPUTED_VALUE"""),"Продължаващо обучение по прилагане на чисти технологии на балканите - проект ТРАК от програма 'Леонардо да Винчи'")</f>
        <v>Продължаващо обучение по прилагане на чисти технологии на балканите - проект ТРАК от програма 'Леонардо да Винчи'</v>
      </c>
      <c r="D6026" s="10">
        <f ca="1">IFERROR(__xludf.DUMMYFUNCTION("""COMPUTED_VALUE"""),2005)</f>
        <v>2005</v>
      </c>
      <c r="E6026" s="10" t="str">
        <f ca="1">IFERROR(__xludf.DUMMYFUNCTION("""COMPUTED_VALUE"""),"14-ти МЕЖДУНАРОДЕН СИМПОЗИУМ ЕКОЛОГИЯ, ISBN 954-9368-16-5")</f>
        <v>14-ти МЕЖДУНАРОДЕН СИМПОЗИУМ ЕКОЛОГИЯ, ISBN 954-9368-16-5</v>
      </c>
      <c r="F6026" s="10"/>
      <c r="G6026" s="10" t="str">
        <f ca="1">IFERROR(__xludf.DUMMYFUNCTION("""COMPUTED_VALUE"""),"Ганчо Ганчев Кънчо Иванов, Динко Белчевски")</f>
        <v>Ганчо Ганчев Кънчо Иванов, Динко Белчевски</v>
      </c>
      <c r="H6026" s="10"/>
      <c r="I6026" s="10"/>
      <c r="J6026" s="10"/>
      <c r="K6026" s="10"/>
      <c r="L6026" s="10"/>
      <c r="M6026" s="10"/>
      <c r="N6026" s="10"/>
      <c r="O6026" s="10"/>
      <c r="P6026" s="10"/>
      <c r="Q6026" s="10"/>
      <c r="R6026" s="10"/>
      <c r="S6026" s="10"/>
      <c r="T6026" s="10"/>
      <c r="U6026" s="10"/>
      <c r="V6026" s="10"/>
      <c r="W6026" s="10"/>
      <c r="X6026" s="10"/>
      <c r="Y6026" s="10"/>
      <c r="Z6026" s="10"/>
    </row>
    <row r="6027" spans="1:26" ht="12.75">
      <c r="A6027" s="10" t="str">
        <f ca="1">IFERROR(__xludf.DUMMYFUNCTION("""COMPUTED_VALUE"""),"Николай Иванов Янев")</f>
        <v>Николай Иванов Янев</v>
      </c>
      <c r="B6027" s="10" t="str">
        <f ca="1">IFERROR(__xludf.DUMMYFUNCTION("""COMPUTED_VALUE"""),"Статия в списания и поредици")</f>
        <v>Статия в списания и поредици</v>
      </c>
      <c r="C6027" s="10" t="str">
        <f ca="1">IFERROR(__xludf.DUMMYFUNCTION("""COMPUTED_VALUE"""),"Приложение на експертни системи в минни предприятия")</f>
        <v>Приложение на експертни системи в минни предприятия</v>
      </c>
      <c r="D6027" s="10">
        <f ca="1">IFERROR(__xludf.DUMMYFUNCTION("""COMPUTED_VALUE"""),2005)</f>
        <v>2005</v>
      </c>
      <c r="E6027" s="10" t="str">
        <f ca="1">IFERROR(__xludf.DUMMYFUNCTION("""COMPUTED_VALUE"""),"Списание ""Минно дело и геология"" бр. 2/2005, ISSN 0861-5713")</f>
        <v>Списание "Минно дело и геология" бр. 2/2005, ISSN 0861-5713</v>
      </c>
      <c r="F6027" s="10"/>
      <c r="G6027" s="10" t="str">
        <f ca="1">IFERROR(__xludf.DUMMYFUNCTION("""COMPUTED_VALUE"""),"Искра Щърбанова, Кънчо Иванов")</f>
        <v>Искра Щърбанова, Кънчо Иванов</v>
      </c>
      <c r="H6027" s="10"/>
      <c r="I6027" s="10"/>
      <c r="J6027" s="10"/>
      <c r="K6027" s="10"/>
      <c r="L6027" s="10"/>
      <c r="M6027" s="10"/>
      <c r="N6027" s="10"/>
      <c r="O6027" s="10"/>
      <c r="P6027" s="10"/>
      <c r="Q6027" s="10"/>
      <c r="R6027" s="10"/>
      <c r="S6027" s="10"/>
      <c r="T6027" s="10"/>
      <c r="U6027" s="10"/>
      <c r="V6027" s="10"/>
      <c r="W6027" s="10"/>
      <c r="X6027" s="10"/>
      <c r="Y6027" s="10"/>
      <c r="Z6027" s="10"/>
    </row>
    <row r="6028" spans="1:26" ht="12.75">
      <c r="A6028" s="10" t="str">
        <f ca="1">IFERROR(__xludf.DUMMYFUNCTION("""COMPUTED_VALUE"""),"Николай Иванов Янев")</f>
        <v>Николай Иванов Янев</v>
      </c>
      <c r="B6028" s="10" t="str">
        <f ca="1">IFERROR(__xludf.DUMMYFUNCTION("""COMPUTED_VALUE"""),"Доклад от конференция")</f>
        <v>Доклад от конференция</v>
      </c>
      <c r="C6028" s="10" t="str">
        <f ca="1">IFERROR(__xludf.DUMMYFUNCTION("""COMPUTED_VALUE"""),"Многоетапна схема за създаване на база данни при мултинационална структура на доставчиците на данни")</f>
        <v>Многоетапна схема за създаване на база данни при мултинационална структура на доставчиците на данни</v>
      </c>
      <c r="D6028" s="10">
        <f ca="1">IFERROR(__xludf.DUMMYFUNCTION("""COMPUTED_VALUE"""),2004)</f>
        <v>2004</v>
      </c>
      <c r="E6028" s="10" t="str">
        <f ca="1">IFERROR(__xludf.DUMMYFUNCTION("""COMPUTED_VALUE"""),"Шести международен симпозиум ТЕХНОМАТ &amp; ИНФОТЕЛ, ISBN 954 9368 05")</f>
        <v>Шести международен симпозиум ТЕХНОМАТ &amp; ИНФОТЕЛ, ISBN 954 9368 05</v>
      </c>
      <c r="F6028" s="10"/>
      <c r="G6028" s="10" t="str">
        <f ca="1">IFERROR(__xludf.DUMMYFUNCTION("""COMPUTED_VALUE"""),"Кънчо Иванов, Искра Щърбанова")</f>
        <v>Кънчо Иванов, Искра Щърбанова</v>
      </c>
      <c r="H6028" s="10"/>
      <c r="I6028" s="10"/>
      <c r="J6028" s="10"/>
      <c r="K6028" s="10"/>
      <c r="L6028" s="10"/>
      <c r="M6028" s="10"/>
      <c r="N6028" s="10"/>
      <c r="O6028" s="10"/>
      <c r="P6028" s="10"/>
      <c r="Q6028" s="10"/>
      <c r="R6028" s="10"/>
      <c r="S6028" s="10"/>
      <c r="T6028" s="10"/>
      <c r="U6028" s="10"/>
      <c r="V6028" s="10"/>
      <c r="W6028" s="10"/>
      <c r="X6028" s="10"/>
      <c r="Y6028" s="10"/>
      <c r="Z6028" s="10"/>
    </row>
    <row r="6029" spans="1:26" ht="12.75">
      <c r="A6029" s="10" t="str">
        <f ca="1">IFERROR(__xludf.DUMMYFUNCTION("""COMPUTED_VALUE"""),"Николай Иванов Янев")</f>
        <v>Николай Иванов Янев</v>
      </c>
      <c r="B6029" s="10" t="str">
        <f ca="1">IFERROR(__xludf.DUMMYFUNCTION("""COMPUTED_VALUE"""),"Учебник")</f>
        <v>Учебник</v>
      </c>
      <c r="C6029" s="10" t="str">
        <f ca="1">IFERROR(__xludf.DUMMYFUNCTION("""COMPUTED_VALUE"""),"Системи за управление на бази от данни")</f>
        <v>Системи за управление на бази от данни</v>
      </c>
      <c r="D6029" s="10">
        <f ca="1">IFERROR(__xludf.DUMMYFUNCTION("""COMPUTED_VALUE"""),2004)</f>
        <v>2004</v>
      </c>
      <c r="E6029" s="10" t="str">
        <f ca="1">IFERROR(__xludf.DUMMYFUNCTION("""COMPUTED_VALUE"""),"Издателска къща МГУ „Св. Иван Рилски“, ISBN 954-9748-61-8")</f>
        <v>Издателска къща МГУ „Св. Иван Рилски“, ISBN 954-9748-61-8</v>
      </c>
      <c r="F6029" s="10"/>
      <c r="G6029" s="10" t="str">
        <f ca="1">IFERROR(__xludf.DUMMYFUNCTION("""COMPUTED_VALUE"""),"Кънчо Иванов Искра Щърбанова")</f>
        <v>Кънчо Иванов Искра Щърбанова</v>
      </c>
      <c r="H6029" s="10"/>
      <c r="I6029" s="10"/>
      <c r="J6029" s="10"/>
      <c r="K6029" s="10"/>
      <c r="L6029" s="10"/>
      <c r="M6029" s="10"/>
      <c r="N6029" s="10"/>
      <c r="O6029" s="10"/>
      <c r="P6029" s="10"/>
      <c r="Q6029" s="10"/>
      <c r="R6029" s="10"/>
      <c r="S6029" s="10"/>
      <c r="T6029" s="10"/>
      <c r="U6029" s="10"/>
      <c r="V6029" s="10"/>
      <c r="W6029" s="10"/>
      <c r="X6029" s="10"/>
      <c r="Y6029" s="10"/>
      <c r="Z6029" s="10"/>
    </row>
    <row r="6030" spans="1:26" ht="12.75">
      <c r="A6030" s="10" t="str">
        <f ca="1">IFERROR(__xludf.DUMMYFUNCTION("""COMPUTED_VALUE"""),"Николай Иванов Янев")</f>
        <v>Николай Иванов Янев</v>
      </c>
      <c r="B6030" s="10" t="str">
        <f ca="1">IFERROR(__xludf.DUMMYFUNCTION("""COMPUTED_VALUE"""),"Доклад от конференция")</f>
        <v>Доклад от конференция</v>
      </c>
      <c r="C6030" s="10" t="str">
        <f ca="1">IFERROR(__xludf.DUMMYFUNCTION("""COMPUTED_VALUE"""),"Разработка на интернет приложение с помощта на програми с отворен код")</f>
        <v>Разработка на интернет приложение с помощта на програми с отворен код</v>
      </c>
      <c r="D6030" s="10">
        <f ca="1">IFERROR(__xludf.DUMMYFUNCTION("""COMPUTED_VALUE"""),2004)</f>
        <v>2004</v>
      </c>
      <c r="E6030" s="10" t="str">
        <f ca="1">IFERROR(__xludf.DUMMYFUNCTION("""COMPUTED_VALUE"""),"Шести международен симпозиум ТЕХНОМАТ &amp; ИНФОТЕЛ, ISBN 954 9368 05")</f>
        <v>Шести международен симпозиум ТЕХНОМАТ &amp; ИНФОТЕЛ, ISBN 954 9368 05</v>
      </c>
      <c r="F6030" s="10"/>
      <c r="G6030" s="10" t="str">
        <f ca="1">IFERROR(__xludf.DUMMYFUNCTION("""COMPUTED_VALUE"""),"Динко Тилев Белчевски Кънчо Иванво")</f>
        <v>Динко Тилев Белчевски Кънчо Иванво</v>
      </c>
      <c r="H6030" s="10"/>
      <c r="I6030" s="10"/>
      <c r="J6030" s="10"/>
      <c r="K6030" s="10"/>
      <c r="L6030" s="10"/>
      <c r="M6030" s="10"/>
      <c r="N6030" s="10"/>
      <c r="O6030" s="10"/>
      <c r="P6030" s="10"/>
      <c r="Q6030" s="10"/>
      <c r="R6030" s="10"/>
      <c r="S6030" s="10"/>
      <c r="T6030" s="10"/>
      <c r="U6030" s="10"/>
      <c r="V6030" s="10"/>
      <c r="W6030" s="10"/>
      <c r="X6030" s="10"/>
      <c r="Y6030" s="10"/>
      <c r="Z6030" s="10"/>
    </row>
    <row r="6031" spans="1:26" ht="12.75">
      <c r="A6031" s="10" t="str">
        <f ca="1">IFERROR(__xludf.DUMMYFUNCTION("""COMPUTED_VALUE"""),"Николай Иванов Янев")</f>
        <v>Николай Иванов Янев</v>
      </c>
      <c r="B6031" s="10" t="str">
        <f ca="1">IFERROR(__xludf.DUMMYFUNCTION("""COMPUTED_VALUE"""),"Доклад от конференция")</f>
        <v>Доклад от конференция</v>
      </c>
      <c r="C6031" s="10" t="str">
        <f ca="1">IFERROR(__xludf.DUMMYFUNCTION("""COMPUTED_VALUE"""),"Възможности за приложение на невронни мрежи в минната промишленост")</f>
        <v>Възможности за приложение на невронни мрежи в минната промишленост</v>
      </c>
      <c r="D6031" s="10">
        <f ca="1">IFERROR(__xludf.DUMMYFUNCTION("""COMPUTED_VALUE"""),2004)</f>
        <v>2004</v>
      </c>
      <c r="E6031" s="10" t="str">
        <f ca="1">IFERROR(__xludf.DUMMYFUNCTION("""COMPUTED_VALUE"""),"Годишник на МГУ “Св. Иван Рилски”, ISSN 1312-1820")</f>
        <v>Годишник на МГУ “Св. Иван Рилски”, ISSN 1312-1820</v>
      </c>
      <c r="F6031" s="10"/>
      <c r="G6031" s="10"/>
      <c r="H6031" s="10"/>
      <c r="I6031" s="10"/>
      <c r="J6031" s="10"/>
      <c r="K6031" s="10"/>
      <c r="L6031" s="10"/>
      <c r="M6031" s="10"/>
      <c r="N6031" s="10"/>
      <c r="O6031" s="10"/>
      <c r="P6031" s="10"/>
      <c r="Q6031" s="10"/>
      <c r="R6031" s="10"/>
      <c r="S6031" s="10"/>
      <c r="T6031" s="10"/>
      <c r="U6031" s="10"/>
      <c r="V6031" s="10"/>
      <c r="W6031" s="10"/>
      <c r="X6031" s="10"/>
      <c r="Y6031" s="10"/>
      <c r="Z6031" s="10"/>
    </row>
    <row r="6032" spans="1:26" ht="12.75">
      <c r="A6032" s="10" t="str">
        <f ca="1">IFERROR(__xludf.DUMMYFUNCTION("""COMPUTED_VALUE"""),"Николай Иванов Янев")</f>
        <v>Николай Иванов Янев</v>
      </c>
      <c r="B6032" s="10" t="str">
        <f ca="1">IFERROR(__xludf.DUMMYFUNCTION("""COMPUTED_VALUE"""),"Доклад от конференция")</f>
        <v>Доклад от конференция</v>
      </c>
      <c r="C6032" s="10" t="str">
        <f ca="1">IFERROR(__xludf.DUMMYFUNCTION("""COMPUTED_VALUE"""),"Възможности за приложение на Web интерфейс при работа с база данни за минното производство")</f>
        <v>Възможности за приложение на Web интерфейс при работа с база данни за минното производство</v>
      </c>
      <c r="D6032" s="10">
        <f ca="1">IFERROR(__xludf.DUMMYFUNCTION("""COMPUTED_VALUE"""),2003)</f>
        <v>2003</v>
      </c>
      <c r="E6032" s="10" t="str">
        <f ca="1">IFERROR(__xludf.DUMMYFUNCTION("""COMPUTED_VALUE"""),"Годишник на МГУ „Св. Иван Рилски”, ISSN 1312-1820")</f>
        <v>Годишник на МГУ „Св. Иван Рилски”, ISSN 1312-1820</v>
      </c>
      <c r="F6032" s="10"/>
      <c r="G6032" s="10" t="str">
        <f ca="1">IFERROR(__xludf.DUMMYFUNCTION("""COMPUTED_VALUE"""),"Кънчо Иванов, Волин Карагьозов, Искра Щърбанова, Йорданка Анастасова")</f>
        <v>Кънчо Иванов, Волин Карагьозов, Искра Щърбанова, Йорданка Анастасова</v>
      </c>
      <c r="H6032" s="10"/>
      <c r="I6032" s="10"/>
      <c r="J6032" s="10"/>
      <c r="K6032" s="10"/>
      <c r="L6032" s="10"/>
      <c r="M6032" s="10"/>
      <c r="N6032" s="10"/>
      <c r="O6032" s="10"/>
      <c r="P6032" s="10"/>
      <c r="Q6032" s="10"/>
      <c r="R6032" s="10"/>
      <c r="S6032" s="10"/>
      <c r="T6032" s="10"/>
      <c r="U6032" s="10"/>
      <c r="V6032" s="10"/>
      <c r="W6032" s="10"/>
      <c r="X6032" s="10"/>
      <c r="Y6032" s="10"/>
      <c r="Z6032" s="10"/>
    </row>
    <row r="6033" spans="1:26" ht="12.75">
      <c r="A6033" s="10" t="str">
        <f ca="1">IFERROR(__xludf.DUMMYFUNCTION("""COMPUTED_VALUE"""),"Николай Куртев Василев")</f>
        <v>Николай Куртев Василев</v>
      </c>
      <c r="B6033" s="10" t="str">
        <f ca="1">IFERROR(__xludf.DUMMYFUNCTION("""COMPUTED_VALUE"""),"Доклад от конференция")</f>
        <v>Доклад от конференция</v>
      </c>
      <c r="C6033"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(2005-2019 г.) (Към проблема за ризомно-ретикуларното структуриране на информацията : Метасинтез на емпир"&amp;"ични научноизследователски картини – хуманитарни измерения)")</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(2005-2019 г.) (Към проблема за ризомно-ретикуларното структуриране на информацията : Метасинтез на емпирични научноизследователски картини – хуманитарни измерения)</v>
      </c>
      <c r="D6033" s="10">
        <f ca="1">IFERROR(__xludf.DUMMYFUNCTION("""COMPUTED_VALUE"""),2020)</f>
        <v>2020</v>
      </c>
      <c r="E6033" s="10" t="str">
        <f ca="1">IFERROR(__xludf.DUMMYFUNCTION("""COMPUTED_VALUE"""),"Трудове на Студентското научно общество при Университет по библиотекознание и информационни технологии - София. – Т. 15, 2020, с. 253-287. ISSN 1314-2526")</f>
        <v>Трудове на Студентското научно общество при Университет по библиотекознание и информационни технологии - София. – Т. 15, 2020, с. 253-287. ISSN 1314-2526</v>
      </c>
      <c r="F6033" s="10" t="str">
        <f ca="1">IFERROR(__xludf.DUMMYFUNCTION("""COMPUTED_VALUE"""),"Рефериран списък на НАЦИД")</f>
        <v>Рефериран списък на НАЦИД</v>
      </c>
      <c r="G6033" s="10" t="str">
        <f ca="1">IFERROR(__xludf.DUMMYFUNCTION("""COMPUTED_VALUE"""),"Александра Куманова")</f>
        <v>Александра Куманова</v>
      </c>
      <c r="H6033" s="10"/>
      <c r="I6033" s="10"/>
      <c r="J6033" s="10"/>
      <c r="K6033" s="10"/>
      <c r="L6033" s="10"/>
      <c r="M6033" s="10"/>
      <c r="N6033" s="10"/>
      <c r="O6033" s="10"/>
      <c r="P6033" s="10"/>
      <c r="Q6033" s="10"/>
      <c r="R6033" s="10"/>
      <c r="S6033" s="10"/>
      <c r="T6033" s="10"/>
      <c r="U6033" s="10"/>
      <c r="V6033" s="10"/>
      <c r="W6033" s="10"/>
      <c r="X6033" s="10"/>
      <c r="Y6033" s="10"/>
      <c r="Z6033" s="10"/>
    </row>
    <row r="6034" spans="1:26" ht="12.75">
      <c r="A6034" s="10" t="str">
        <f ca="1">IFERROR(__xludf.DUMMYFUNCTION("""COMPUTED_VALUE"""),"Николай Куртев Василев")</f>
        <v>Николай Куртев Василев</v>
      </c>
      <c r="B6034" s="10" t="str">
        <f ca="1">IFERROR(__xludf.DUMMYFUNCTION("""COMPUTED_VALUE"""),"Доклад от конференция")</f>
        <v>Доклад от конференция</v>
      </c>
      <c r="C6034" s="10" t="str">
        <f ca="1">IFERROR(__xludf.DUMMYFUNCTION("""COMPUTED_VALUE"""),"Дискусия по информационния код на естествения език на конституциите на република България, Съединените Американски щати и Декларацията за правата на човека на Организацията на Обединените нации (Обобщено лексикално и морфологично хуманитарно измерение на "&amp;"библиометрична информационна картина)")</f>
        <v>Дискусия по информационния код на естествения език на конституциите на република България, Съединените Американски щати и Декларацията за правата на човека на Организацията на Обединените нации (Обобщено лексикално и морфологично хуманитарно измерение на библиометрична информационна картина)</v>
      </c>
      <c r="D6034" s="10">
        <f ca="1">IFERROR(__xludf.DUMMYFUNCTION("""COMPUTED_VALUE"""),2020)</f>
        <v>2020</v>
      </c>
      <c r="E6034" s="10" t="str">
        <f ca="1">IFERROR(__xludf.DUMMYFUNCTION("""COMPUTED_VALUE"""),"Трудове на Студентското научно общество при Университет по библиотекознание и информационни технологии. София Т. 15, 2020, с. 310-315. ISSN 1314-2526.")</f>
        <v>Трудове на Студентското научно общество при Университет по библиотекознание и информационни технологии. София Т. 15, 2020, с. 310-315. ISSN 1314-2526.</v>
      </c>
      <c r="F6034" s="10" t="str">
        <f ca="1">IFERROR(__xludf.DUMMYFUNCTION("""COMPUTED_VALUE"""),"Рефериран списък на НАЦИД")</f>
        <v>Рефериран списък на НАЦИД</v>
      </c>
      <c r="G6034" s="10" t="str">
        <f ca="1">IFERROR(__xludf.DUMMYFUNCTION("""COMPUTED_VALUE"""),"Александра Куманова")</f>
        <v>Александра Куманова</v>
      </c>
      <c r="H6034" s="10"/>
      <c r="I6034" s="10"/>
      <c r="J6034" s="10"/>
      <c r="K6034" s="10"/>
      <c r="L6034" s="10"/>
      <c r="M6034" s="10"/>
      <c r="N6034" s="10"/>
      <c r="O6034" s="10"/>
      <c r="P6034" s="10"/>
      <c r="Q6034" s="10"/>
      <c r="R6034" s="10"/>
      <c r="S6034" s="10"/>
      <c r="T6034" s="10"/>
      <c r="U6034" s="10"/>
      <c r="V6034" s="10"/>
      <c r="W6034" s="10"/>
      <c r="X6034" s="10"/>
      <c r="Y6034" s="10"/>
      <c r="Z6034" s="10"/>
    </row>
    <row r="6035" spans="1:26" ht="12.75">
      <c r="A6035" s="10" t="str">
        <f ca="1">IFERROR(__xludf.DUMMYFUNCTION("""COMPUTED_VALUE"""),"Николай Куртев Василев")</f>
        <v>Николай Куртев Василев</v>
      </c>
      <c r="B6035" s="10" t="str">
        <f ca="1">IFERROR(__xludf.DUMMYFUNCTION("""COMPUTED_VALUE"""),"Доклад от конференция")</f>
        <v>Доклад от конференция</v>
      </c>
      <c r="C6035" s="10" t="str">
        <f ca="1">IFERROR(__xludf.DUMMYFUNCTION("""COMPUTED_VALUE"""),"Феноменологично обобщение на форума – образованието – внимание към онтологичните свойства на почвата година на издаване")</f>
        <v>Феноменологично обобщение на форума – образованието – внимание към онтологичните свойства на почвата година на издаване</v>
      </c>
      <c r="D6035" s="10">
        <f ca="1">IFERROR(__xludf.DUMMYFUNCTION("""COMPUTED_VALUE"""),2020)</f>
        <v>2020</v>
      </c>
      <c r="E6035" s="10" t="str">
        <f ca="1">IFERROR(__xludf.DUMMYFUNCTION("""COMPUTED_VALUE"""),"Трудове на Студентското научно общество при Университет по библиотекознание и информационни технологии. София, Т. 15, 2020. с.288-290. ISSN 1314-2526.")</f>
        <v>Трудове на Студентското научно общество при Университет по библиотекознание и информационни технологии. София, Т. 15, 2020. с.288-290. ISSN 1314-2526.</v>
      </c>
      <c r="F6035" s="10"/>
      <c r="G6035" s="10" t="str">
        <f ca="1">IFERROR(__xludf.DUMMYFUNCTION("""COMPUTED_VALUE"""),"Александра Куманова")</f>
        <v>Александра Куманова</v>
      </c>
      <c r="H6035" s="10"/>
      <c r="I6035" s="10"/>
      <c r="J6035" s="10"/>
      <c r="K6035" s="10"/>
      <c r="L6035" s="10"/>
      <c r="M6035" s="10"/>
      <c r="N6035" s="10"/>
      <c r="O6035" s="10"/>
      <c r="P6035" s="10"/>
      <c r="Q6035" s="10"/>
      <c r="R6035" s="10"/>
      <c r="S6035" s="10"/>
      <c r="T6035" s="10"/>
      <c r="U6035" s="10"/>
      <c r="V6035" s="10"/>
      <c r="W6035" s="10"/>
      <c r="X6035" s="10"/>
      <c r="Y6035" s="10"/>
      <c r="Z6035" s="10"/>
    </row>
    <row r="6036" spans="1:26" ht="12.75">
      <c r="A6036" s="10" t="str">
        <f ca="1">IFERROR(__xludf.DUMMYFUNCTION("""COMPUTED_VALUE"""),"Николай Куртев Василев")</f>
        <v>Николай Куртев Василев</v>
      </c>
      <c r="B6036" s="10" t="str">
        <f ca="1">IFERROR(__xludf.DUMMYFUNCTION("""COMPUTED_VALUE"""),"Доклад от конференция")</f>
        <v>Доклад от конференция</v>
      </c>
      <c r="C6036" s="10" t="str">
        <f ca="1">IFERROR(__xludf.DUMMYFUNCTION("""COMPUTED_VALUE"""),"Tabula gratulatorum [ХV]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2005-2019 (NN 1-3006)")</f>
        <v>Tabula gratulatorum [ХV]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2005-2019 (NN 1-3006)</v>
      </c>
      <c r="D6036" s="10">
        <f ca="1">IFERROR(__xludf.DUMMYFUNCTION("""COMPUTED_VALUE"""),2020)</f>
        <v>2020</v>
      </c>
      <c r="E6036" s="10" t="str">
        <f ca="1">IFERROR(__xludf.DUMMYFUNCTION("""COMPUTED_VALUE"""),"Трудове на Студентското научно общество при Университет по библиотекознание и информационни технологии - София. Т. 15, 2020, с. 7-458. ISSN 1314-2526.")</f>
        <v>Трудове на Студентското научно общество при Университет по библиотекознание и информационни технологии - София. Т. 15, 2020, с. 7-458. ISSN 1314-2526.</v>
      </c>
      <c r="F6036" s="10"/>
      <c r="G6036" s="10" t="str">
        <f ca="1">IFERROR(__xludf.DUMMYFUNCTION("""COMPUTED_VALUE"""),"Александра Куманова, Илияна Камбурова, Мариана Матова")</f>
        <v>Александра Куманова, Илияна Камбурова, Мариана Матова</v>
      </c>
      <c r="H6036" s="10"/>
      <c r="I6036" s="10"/>
      <c r="J6036" s="10"/>
      <c r="K6036" s="10"/>
      <c r="L6036" s="10"/>
      <c r="M6036" s="10"/>
      <c r="N6036" s="10"/>
      <c r="O6036" s="10"/>
      <c r="P6036" s="10"/>
      <c r="Q6036" s="10"/>
      <c r="R6036" s="10"/>
      <c r="S6036" s="10"/>
      <c r="T6036" s="10"/>
      <c r="U6036" s="10"/>
      <c r="V6036" s="10"/>
      <c r="W6036" s="10"/>
      <c r="X6036" s="10"/>
      <c r="Y6036" s="10"/>
      <c r="Z6036" s="10"/>
    </row>
    <row r="6037" spans="1:26" ht="12.75">
      <c r="A6037" s="10" t="str">
        <f ca="1">IFERROR(__xludf.DUMMYFUNCTION("""COMPUTED_VALUE"""),"Николай Куртев Василев")</f>
        <v>Николай Куртев Василев</v>
      </c>
      <c r="B6037" s="10" t="str">
        <f ca="1">IFERROR(__xludf.DUMMYFUNCTION("""COMPUTED_VALUE"""),"Доклад от конференция")</f>
        <v>Доклад от конференция</v>
      </c>
      <c r="C6037" s="10" t="str">
        <f ca="1">IFERROR(__xludf.DUMMYFUNCTION("""COMPUTED_VALUE"""),"Културното наследство на световната универсална библиография (Райониране и картографиране на текущите хуманитарни вторично-документални форми в електронна библиотека UNIVERSALICA : Топонимия на „интелигентните градове” на планетата)")</f>
        <v>Културното наследство на световната универсална библиография (Райониране и картографиране на текущите хуманитарни вторично-документални форми в електронна библиотека UNIVERSALICA : Топонимия на „интелигентните градове” на планетата)</v>
      </c>
      <c r="D6037" s="10">
        <f ca="1">IFERROR(__xludf.DUMMYFUNCTION("""COMPUTED_VALUE"""),2020)</f>
        <v>2020</v>
      </c>
      <c r="E6037" s="10" t="str">
        <f ca="1">IFERROR(__xludf.DUMMYFUNCTION("""COMPUTED_VALUE"""),"Културно наследство и съвременни информационни технологии : – София, 2020. с. 69-76.
 ISBN 978-619-185-402-8 ; 
 E ISBN 978-619-185-403-5.")</f>
        <v>Културно наследство и съвременни информационни технологии : – София, 2020. с. 69-76.
 ISBN 978-619-185-402-8 ; 
 E ISBN 978-619-185-403-5.</v>
      </c>
      <c r="F6037" s="10" t="str">
        <f ca="1">IFERROR(__xludf.DUMMYFUNCTION("""COMPUTED_VALUE"""),"Рефериран списък на НАЦИД")</f>
        <v>Рефериран списък на НАЦИД</v>
      </c>
      <c r="G6037" s="10" t="str">
        <f ca="1">IFERROR(__xludf.DUMMYFUNCTION("""COMPUTED_VALUE"""),"Александра Куманова, Никола Казански")</f>
        <v>Александра Куманова, Никола Казански</v>
      </c>
      <c r="H6037" s="10"/>
      <c r="I6037" s="10"/>
      <c r="J6037" s="10"/>
      <c r="K6037" s="10"/>
      <c r="L6037" s="10"/>
      <c r="M6037" s="10"/>
      <c r="N6037" s="10"/>
      <c r="O6037" s="10"/>
      <c r="P6037" s="10"/>
      <c r="Q6037" s="10"/>
      <c r="R6037" s="10"/>
      <c r="S6037" s="10"/>
      <c r="T6037" s="10"/>
      <c r="U6037" s="10"/>
      <c r="V6037" s="10"/>
      <c r="W6037" s="10"/>
      <c r="X6037" s="10"/>
      <c r="Y6037" s="10"/>
      <c r="Z6037" s="10"/>
    </row>
    <row r="6038" spans="1:26" ht="12.75">
      <c r="A6038" s="10" t="str">
        <f ca="1">IFERROR(__xludf.DUMMYFUNCTION("""COMPUTED_VALUE"""),"Николай Куртев Василев")</f>
        <v>Николай Куртев Василев</v>
      </c>
      <c r="B6038" s="10" t="str">
        <f ca="1">IFERROR(__xludf.DUMMYFUNCTION("""COMPUTED_VALUE"""),"Доклад от конференция")</f>
        <v>Доклад от конференция</v>
      </c>
      <c r="C6038" s="10" t="str">
        <f ca="1">IFERROR(__xludf.DUMMYFUNCTION("""COMPUTED_VALUE"""),"Еволюционният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f>
        <v>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v>
      </c>
      <c r="D6038" s="10">
        <f ca="1">IFERROR(__xludf.DUMMYFUNCTION("""COMPUTED_VALUE"""),2019)</f>
        <v>2019</v>
      </c>
      <c r="E6038" s="10" t="str">
        <f ca="1">IFERROR(__xludf.DUMMYFUNCTION("""COMPUTED_VALUE"""),"Обществото на знанието и хуманизмът на ХХІ век : Сб. с науч. докл. от ХVІ Нац. науч. конф. с межд. участие – 1 ноември 2018, София. – ISSN 1314-7099. – 2019, с. 64-98 : с табл., ил. – Рез. на англ. ез.")</f>
        <v>Обществото на знанието и хуманизмът на ХХІ век : Сб. с науч. докл. от ХVІ Нац. науч. конф. с межд. участие – 1 ноември 2018, София. – ISSN 1314-7099. – 2019, с. 64-98 : с табл., ил. – Рез. на англ. ез.</v>
      </c>
      <c r="F6038" s="10"/>
      <c r="G6038" s="10" t="str">
        <f ca="1">IFERROR(__xludf.DUMMYFUNCTION("""COMPUTED_VALUE"""),"С. Денчев, А. Куманова")</f>
        <v>С. Денчев, А. Куманова</v>
      </c>
      <c r="H6038" s="10"/>
      <c r="I6038" s="10"/>
      <c r="J6038" s="10"/>
      <c r="K6038" s="10"/>
      <c r="L6038" s="10"/>
      <c r="M6038" s="10"/>
      <c r="N6038" s="10"/>
      <c r="O6038" s="10"/>
      <c r="P6038" s="10"/>
      <c r="Q6038" s="10"/>
      <c r="R6038" s="10"/>
      <c r="S6038" s="10"/>
      <c r="T6038" s="10"/>
      <c r="U6038" s="10"/>
      <c r="V6038" s="10"/>
      <c r="W6038" s="10"/>
      <c r="X6038" s="10"/>
      <c r="Y6038" s="10"/>
      <c r="Z6038" s="10"/>
    </row>
    <row r="6039" spans="1:26" ht="12.75">
      <c r="A6039" s="10" t="str">
        <f ca="1">IFERROR(__xludf.DUMMYFUNCTION("""COMPUTED_VALUE"""),"Николай Куртев Василев")</f>
        <v>Николай Куртев Василев</v>
      </c>
      <c r="B6039" s="10" t="str">
        <f ca="1">IFERROR(__xludf.DUMMYFUNCTION("""COMPUTED_VALUE"""),"Доклад от конференция")</f>
        <v>Доклад от конференция</v>
      </c>
      <c r="C6039" s="10" t="str">
        <f ca="1">IFERROR(__xludf.DUMMYFUNCTION("""COMPUTED_VALUE"""),"Тодор Боров за ситото на информацията (Демиургът на ризомно-ретикуларната феноменология на библиографията : когнитология, свързана с хронотопа на Библиотеката като елемент от библио-инфо-ноосферата)")</f>
        <v>Тодор Боров за ситото на информацията (Демиургът на ризомно-ретикуларната феноменология на библиографията : когнитология, свързана с хронотопа на Библиотеката като елемент от библио-инфо-ноосферата)</v>
      </c>
      <c r="D6039" s="10">
        <f ca="1">IFERROR(__xludf.DUMMYFUNCTION("""COMPUTED_VALUE"""),2019)</f>
        <v>2019</v>
      </c>
      <c r="E6039" s="10" t="str">
        <f ca="1">IFERROR(__xludf.DUMMYFUNCTION("""COMPUTED_VALUE"""),"Обществото на знанието и хуманизмът на ХХІ век : Сб. с науч. докл. от ХVІ Нац. науч. конф. с межд. участие – 1 ноември 2018, София. – ISSN 1314-7099. – 2019, с. 115-129 : с ил. – Рез. на англ. ез.")</f>
        <v>Обществото на знанието и хуманизмът на ХХІ век : Сб. с науч. докл. от ХVІ Нац. науч. конф. с межд. участие – 1 ноември 2018, София. – ISSN 1314-7099. – 2019, с. 115-129 : с ил. – Рез. на англ. ез.</v>
      </c>
      <c r="F6039" s="10"/>
      <c r="G6039" s="10" t="str">
        <f ca="1">IFERROR(__xludf.DUMMYFUNCTION("""COMPUTED_VALUE"""),"А. Куманова")</f>
        <v>А. Куманова</v>
      </c>
      <c r="H6039" s="10"/>
      <c r="I6039" s="10"/>
      <c r="J6039" s="10"/>
      <c r="K6039" s="10"/>
      <c r="L6039" s="10"/>
      <c r="M6039" s="10"/>
      <c r="N6039" s="10"/>
      <c r="O6039" s="10"/>
      <c r="P6039" s="10"/>
      <c r="Q6039" s="10"/>
      <c r="R6039" s="10"/>
      <c r="S6039" s="10"/>
      <c r="T6039" s="10"/>
      <c r="U6039" s="10"/>
      <c r="V6039" s="10"/>
      <c r="W6039" s="10"/>
      <c r="X6039" s="10"/>
      <c r="Y6039" s="10"/>
      <c r="Z6039" s="10"/>
    </row>
    <row r="6040" spans="1:26" ht="12.75">
      <c r="A6040" s="10" t="str">
        <f ca="1">IFERROR(__xludf.DUMMYFUNCTION("""COMPUTED_VALUE"""),"Николай Куртев Василев")</f>
        <v>Николай Куртев Василев</v>
      </c>
      <c r="B6040" s="10" t="str">
        <f ca="1">IFERROR(__xludf.DUMMYFUNCTION("""COMPUTED_VALUE"""),"Доклад от конференция")</f>
        <v>Доклад от конференция</v>
      </c>
      <c r="C6040" s="10" t="str">
        <f ca="1">IFERROR(__xludf.DUMMYFUNCTION("""COMPUTED_VALUE"""),"Серендипност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f>
        <v>Серендипност : етимология на феномена на откривателство, скрито в приказките (Към въпроса за холистичното съзнание на постмодерното съвремие и онтологията на четенето и разбирането: Боравене с дистинкция)</v>
      </c>
      <c r="D6040" s="10">
        <f ca="1">IFERROR(__xludf.DUMMYFUNCTION("""COMPUTED_VALUE"""),2019)</f>
        <v>2019</v>
      </c>
      <c r="E6040" s="10" t="str">
        <f ca="1">IFERROR(__xludf.DUMMYFUNCTION("""COMPUTED_VALUE"""),"ХАРМОНИЯ в различията – София: За буквите - О писменехь, 2019. с. 506-5172019. 
 ISSN 2367-7899.")</f>
        <v>ХАРМОНИЯ в различията – София: За буквите - О писменехь, 2019. с. 506-5172019. 
 ISSN 2367-7899.</v>
      </c>
      <c r="F6040" s="10" t="str">
        <f ca="1">IFERROR(__xludf.DUMMYFUNCTION("""COMPUTED_VALUE"""),"Рефериран списък на НАЦИД")</f>
        <v>Рефериран списък на НАЦИД</v>
      </c>
      <c r="G6040" s="10" t="str">
        <f ca="1">IFERROR(__xludf.DUMMYFUNCTION("""COMPUTED_VALUE"""),"Александра Куманова, Николай Казански")</f>
        <v>Александра Куманова, Николай Казански</v>
      </c>
      <c r="H6040" s="10"/>
      <c r="I6040" s="10"/>
      <c r="J6040" s="10"/>
      <c r="K6040" s="10"/>
      <c r="L6040" s="10"/>
      <c r="M6040" s="10"/>
      <c r="N6040" s="10"/>
      <c r="O6040" s="10"/>
      <c r="P6040" s="10"/>
      <c r="Q6040" s="10"/>
      <c r="R6040" s="10"/>
      <c r="S6040" s="10"/>
      <c r="T6040" s="10"/>
      <c r="U6040" s="10"/>
      <c r="V6040" s="10"/>
      <c r="W6040" s="10"/>
      <c r="X6040" s="10"/>
      <c r="Y6040" s="10"/>
      <c r="Z6040" s="10"/>
    </row>
    <row r="6041" spans="1:26" ht="12.75">
      <c r="A6041" s="10" t="str">
        <f ca="1">IFERROR(__xludf.DUMMYFUNCTION("""COMPUTED_VALUE"""),"Николай Куртев Василев")</f>
        <v>Николай Куртев Василев</v>
      </c>
      <c r="B6041" s="10" t="str">
        <f ca="1">IFERROR(__xludf.DUMMYFUNCTION("""COMPUTED_VALUE"""),"Доклад от конференция")</f>
        <v>Доклад от конференция</v>
      </c>
      <c r="C6041" s="10" t="str">
        <f ca="1">IFERROR(__xludf.DUMMYFUNCTION("""COMPUTED_VALUE"""),"Арабската световна универсална библиография „Ал-Фихрист” на Ибн ан-Надим 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f>
        <v>Арабската световна универсална библиография „Ал-Фихрист” на Ибн ан-Надим от 987 година (Магистрала на науката и информацията в контура на библиографската енциклопедична инфраструктура на планетата: Елинистичен Египет, Късна античност, Ранно средновековие)</v>
      </c>
      <c r="D6041" s="10">
        <f ca="1">IFERROR(__xludf.DUMMYFUNCTION("""COMPUTED_VALUE"""),2019)</f>
        <v>2019</v>
      </c>
      <c r="E6041" s="10" t="str">
        <f ca="1">IFERROR(__xludf.DUMMYFUNCTION("""COMPUTED_VALUE"""),"ОБЩЕСТВОТО на знанието и хуманизмът на XXI век – София: За буквите - О писменехь, 201с. 152-1619.
 ISSN 2683-0094")</f>
        <v>ОБЩЕСТВОТО на знанието и хуманизмът на XXI век – София: За буквите - О писменехь, 201с. 152-1619.
 ISSN 2683-0094</v>
      </c>
      <c r="F6041" s="10" t="str">
        <f ca="1">IFERROR(__xludf.DUMMYFUNCTION("""COMPUTED_VALUE"""),"Рефериран списък на НАЦИД")</f>
        <v>Рефериран списък на НАЦИД</v>
      </c>
      <c r="G6041" s="10" t="str">
        <f ca="1">IFERROR(__xludf.DUMMYFUNCTION("""COMPUTED_VALUE"""),"Александра Куманова")</f>
        <v>Александра Куманова</v>
      </c>
      <c r="H6041" s="10"/>
      <c r="I6041" s="10"/>
      <c r="J6041" s="10"/>
      <c r="K6041" s="10"/>
      <c r="L6041" s="10"/>
      <c r="M6041" s="10"/>
      <c r="N6041" s="10"/>
      <c r="O6041" s="10"/>
      <c r="P6041" s="10"/>
      <c r="Q6041" s="10"/>
      <c r="R6041" s="10"/>
      <c r="S6041" s="10"/>
      <c r="T6041" s="10"/>
      <c r="U6041" s="10"/>
      <c r="V6041" s="10"/>
      <c r="W6041" s="10"/>
      <c r="X6041" s="10"/>
      <c r="Y6041" s="10"/>
      <c r="Z6041" s="10"/>
    </row>
    <row r="6042" spans="1:26" ht="12.75">
      <c r="A6042" s="10" t="str">
        <f ca="1">IFERROR(__xludf.DUMMYFUNCTION("""COMPUTED_VALUE"""),"Николай Куртев Василев")</f>
        <v>Николай Куртев Василев</v>
      </c>
      <c r="B6042" s="10" t="str">
        <f ca="1">IFERROR(__xludf.DUMMYFUNCTION("""COMPUTED_VALUE"""),"Монография")</f>
        <v>Монография</v>
      </c>
      <c r="C6042" s="10" t="str">
        <f ca="1">IFERROR(__xludf.DUMMYFUNCTION("""COMPUTED_VALUE"""),"Game- и play-феноменология : двукнижие. Кн. 1, SOGDIANA. Стоян Денчев : game- и play- феноменология на информационната среда : юбилейна препоръчителна енциклопедична книга по информационно моделиране (вторично-документална информационна база на Студентско"&amp;"то научно общество при УниБИТ)")</f>
        <v>Game- и play-феноменология : двукнижие. Кн. 1, SOGDIANA. Стоян Денчев : game- и play- феноменология на информационната среда : юбилейна препоръчителна енциклопедична книга по информационно моделиране (вторично-документална информационна база на Студентското научно общество при УниБИТ)</v>
      </c>
      <c r="D6042" s="10">
        <f ca="1">IFERROR(__xludf.DUMMYFUNCTION("""COMPUTED_VALUE"""),2019)</f>
        <v>2019</v>
      </c>
      <c r="E6042" s="10" t="str">
        <f ca="1">IFERROR(__xludf.DUMMYFUNCTION("""COMPUTED_VALUE"""),"София : За буквите – О писменехь, 2019. – 754 с. : с 83 ил., 16 граф., 21 к., 1 сх. – (Факлоносци ; ХХVІ), ISBN 978-619-185-318-2 (мека подв.) ISBN 978-619-185-319-9 (твърда подв.) ISBN 978-619-185-320-5 online (e-book, pdf)")</f>
        <v>София : За буквите – О писменехь, 2019. – 754 с. : с 83 ил., 16 граф., 21 к., 1 сх. – (Факлоносци ; ХХVІ), ISBN 978-619-185-318-2 (мека подв.) ISBN 978-619-185-319-9 (твърда подв.) ISBN 978-619-185-320-5 online (e-book, pdf)</v>
      </c>
      <c r="F6042" s="10" t="str">
        <f ca="1">IFERROR(__xludf.DUMMYFUNCTION("""COMPUTED_VALUE"""),"Cobiss")</f>
        <v>Cobiss</v>
      </c>
      <c r="G6042" s="10" t="str">
        <f ca="1">IFERROR(__xludf.DUMMYFUNCTION("""COMPUTED_VALUE"""),"А. Куманова, Н. Казански, В. Велев, Р. Василева, Д. Бояджиев, Е. Цветкова, С. Спасова, С. Георгиева, И. Георгиев, Т. Стилиянов, А. Джерекаров, Б. Мадолев, И. Барзев")</f>
        <v>А. Куманова, Н. Казански, В. Велев, Р. Василева, Д. Бояджиев, Е. Цветкова, С. Спасова, С. Георгиева, И. Георгиев, Т. Стилиянов, А. Джерекаров, Б. Мадолев, И. Барзев</v>
      </c>
      <c r="H6042" s="10"/>
      <c r="I6042" s="10"/>
      <c r="J6042" s="10"/>
      <c r="K6042" s="10"/>
      <c r="L6042" s="10"/>
      <c r="M6042" s="10"/>
      <c r="N6042" s="10"/>
      <c r="O6042" s="10"/>
      <c r="P6042" s="10"/>
      <c r="Q6042" s="10"/>
      <c r="R6042" s="10"/>
      <c r="S6042" s="10"/>
      <c r="T6042" s="10"/>
      <c r="U6042" s="10"/>
      <c r="V6042" s="10"/>
      <c r="W6042" s="10"/>
      <c r="X6042" s="10"/>
      <c r="Y6042" s="10"/>
      <c r="Z6042" s="10"/>
    </row>
    <row r="6043" spans="1:26" ht="12.75">
      <c r="A6043" s="10" t="str">
        <f ca="1">IFERROR(__xludf.DUMMYFUNCTION("""COMPUTED_VALUE"""),"Николай Куртев Василев")</f>
        <v>Николай Куртев Василев</v>
      </c>
      <c r="B6043" s="10" t="str">
        <f ca="1">IFERROR(__xludf.DUMMYFUNCTION("""COMPUTED_VALUE"""),"Доклад от конференция")</f>
        <v>Доклад от конференция</v>
      </c>
      <c r="C6043" s="10" t="str">
        <f ca="1">IFERROR(__xludf.DUMMYFUNCTION("""COMPUTED_VALUE"""),"Изданието за световната универсална библиография (ІІІ в. пр. н.е. ХХІ в.) на международен колектив от автори, посветено на 140-годишния юбилей на Националната библиотека „Св. Св. Кирил и Методий” – принос на постмодерната научна култура – като дар на библ"&amp;"иотеките по света")</f>
        <v>Изданието за световната универсална библиография (ІІІ в. пр. н.е. ХХІ в.) на международен колектив от автори, посветено на 140-годишния юбилей на Националната библиотека „Св. Св. Кирил и Методий” – принос на постмодерната научна култура – като дар на библиотеките по света</v>
      </c>
      <c r="D6043" s="10">
        <f ca="1">IFERROR(__xludf.DUMMYFUNCTION("""COMPUTED_VALUE"""),2019)</f>
        <v>2019</v>
      </c>
      <c r="E6043" s="10" t="str">
        <f ca="1">IFERROR(__xludf.DUMMYFUNCTION("""COMPUTED_VALUE"""),"Благотворителност и култура на дарителството : Докл. на Междунар. науч. конф., посв. на 140 години от основаването на Националната библиотека „Св. Св. Кирил и Методий”, 10-11 дек. 2018 г., София = Donation and the culture of giving : Papers from the Int. "&amp;"Sci. Conf. Dedicated to the 140th Anniversary of the St. St. Cyril and Methodius National Library, Sofia, 10-11 December, 2018 / Състав. К. Александрова, А. Тотоманова. – София, 2019. – ISBN 978-954-523-165-0. – с. 28-52 : 4 сх., 6 табл., 3 к. – Библиогр."&amp;": 14 номерирани назв. – Рез. на англ. ез.")</f>
        <v>Благотворителност и култура на дарителството : Докл. на Междунар. науч. конф., посв. на 140 години от основаването на Националната библиотека „Св. Св. Кирил и Методий”, 10-11 дек. 2018 г., София = Donation and the culture of giving : Papers from the Int. Sci. Conf. Dedicated to the 140th Anniversary of the St. St. Cyril and Methodius National Library, Sofia, 10-11 December, 2018 / Състав. К. Александрова, А. Тотоманова. – София, 2019. – ISBN 978-954-523-165-0. – с. 28-52 : 4 сх., 6 табл., 3 к. – Библиогр.: 14 номерирани назв. – Рез. на англ. ез.</v>
      </c>
      <c r="F6043" s="10" t="str">
        <f ca="1">IFERROR(__xludf.DUMMYFUNCTION("""COMPUTED_VALUE"""),"Cobiss")</f>
        <v>Cobiss</v>
      </c>
      <c r="G6043" s="10" t="str">
        <f ca="1">IFERROR(__xludf.DUMMYFUNCTION("""COMPUTED_VALUE"""),"А. Куманова")</f>
        <v>А. Куманова</v>
      </c>
      <c r="H6043" s="10"/>
      <c r="I6043" s="10"/>
      <c r="J6043" s="10"/>
      <c r="K6043" s="10"/>
      <c r="L6043" s="10"/>
      <c r="M6043" s="10"/>
      <c r="N6043" s="10"/>
      <c r="O6043" s="10"/>
      <c r="P6043" s="10"/>
      <c r="Q6043" s="10"/>
      <c r="R6043" s="10"/>
      <c r="S6043" s="10"/>
      <c r="T6043" s="10"/>
      <c r="U6043" s="10"/>
      <c r="V6043" s="10"/>
      <c r="W6043" s="10"/>
      <c r="X6043" s="10"/>
      <c r="Y6043" s="10"/>
      <c r="Z6043" s="10"/>
    </row>
    <row r="6044" spans="1:26" ht="12.75">
      <c r="A6044" s="10" t="str">
        <f ca="1">IFERROR(__xludf.DUMMYFUNCTION("""COMPUTED_VALUE"""),"Николай Куртев Василев")</f>
        <v>Николай Куртев Василев</v>
      </c>
      <c r="B6044" s="10" t="str">
        <f ca="1">IFERROR(__xludf.DUMMYFUNCTION("""COMPUTED_VALUE"""),"Статия в списания и поредици")</f>
        <v>Статия в списания и поредици</v>
      </c>
      <c r="C6044" s="10" t="str">
        <f ca="1">IFERROR(__xludf.DUMMYFUNCTION("""COMPUTED_VALUE"""),"Tabula gratulatorum [ХІV]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2005-2018 (NN 1-2581)")</f>
        <v>Tabula gratulatorum [ХІV]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2005-2018 (NN 1-2581)</v>
      </c>
      <c r="D6044" s="10">
        <f ca="1">IFERROR(__xludf.DUMMYFUNCTION("""COMPUTED_VALUE"""),2019)</f>
        <v>2019</v>
      </c>
      <c r="E6044" s="10" t="str">
        <f ca="1">IFERROR(__xludf.DUMMYFUNCTION("""COMPUTED_VALUE"""),"Тр. на Студентското науч. о-во при Унив. по библиотекознание и информ. технолог. (София). – ISSN 1314-2526. – Т. 14, 2019, с. 7-458 : 2581 номерирани назв.")</f>
        <v>Тр. на Студентското науч. о-во при Унив. по библиотекознание и информ. технолог. (София). – ISSN 1314-2526. – Т. 14, 2019, с. 7-458 : 2581 номерирани назв.</v>
      </c>
      <c r="F6044" s="10"/>
      <c r="G6044" s="10" t="str">
        <f ca="1">IFERROR(__xludf.DUMMYFUNCTION("""COMPUTED_VALUE"""),"А. Куманова, И. Камбурова, М. Траянова, Е. Василева")</f>
        <v>А. Куманова, И. Камбурова, М. Траянова, Е. Василева</v>
      </c>
      <c r="H6044" s="10"/>
      <c r="I6044" s="10"/>
      <c r="J6044" s="10"/>
      <c r="K6044" s="10"/>
      <c r="L6044" s="10"/>
      <c r="M6044" s="10"/>
      <c r="N6044" s="10"/>
      <c r="O6044" s="10"/>
      <c r="P6044" s="10"/>
      <c r="Q6044" s="10"/>
      <c r="R6044" s="10"/>
      <c r="S6044" s="10"/>
      <c r="T6044" s="10"/>
      <c r="U6044" s="10"/>
      <c r="V6044" s="10"/>
      <c r="W6044" s="10"/>
      <c r="X6044" s="10"/>
      <c r="Y6044" s="10"/>
      <c r="Z6044" s="10"/>
    </row>
    <row r="6045" spans="1:26" ht="12.75">
      <c r="A6045" s="10" t="str">
        <f ca="1">IFERROR(__xludf.DUMMYFUNCTION("""COMPUTED_VALUE"""),"Николай Куртев Василев")</f>
        <v>Николай Куртев Василев</v>
      </c>
      <c r="B6045" s="10" t="str">
        <f ca="1">IFERROR(__xludf.DUMMYFUNCTION("""COMPUTED_VALUE"""),"Доклад от конференция")</f>
        <v>Доклад от конференция</v>
      </c>
      <c r="C6045" s="10" t="str">
        <f ca="1">IFERROR(__xludf.DUMMYFUNCTION("""COMPUTED_VALUE"""),"Когнитологичните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(2005-2018 г.) (Към проблема за ризомно-ретикуларното структуриране на информацията : Метасинтез на емпир"&amp;"ични научноизслед. кар. – хуманитарни измерения)")</f>
        <v>Когнитологичните компаративистични изследвания на Студентското научно общество при УниБИТ : Панорама. Статистика. Методология. Синопсис. Визуализация (2005-2018 г.) (Към проблема за ризомно-ретикуларното структуриране на информацията : Метасинтез на емпирични научноизслед. кар. – хуманитарни измерения)</v>
      </c>
      <c r="D6045" s="10">
        <f ca="1">IFERROR(__xludf.DUMMYFUNCTION("""COMPUTED_VALUE"""),2019)</f>
        <v>2019</v>
      </c>
      <c r="E6045" s="10" t="str">
        <f ca="1">IFERROR(__xludf.DUMMYFUNCTION("""COMPUTED_VALUE"""),"Тр. на Студентското науч. о-во при Унив. по библиотекознание и информ. технолог. (София). – ISSN 1314-2526. – Т. 14, 2019, с. 478-543 : ил., табл.")</f>
        <v>Тр. на Студентското науч. о-во при Унив. по библиотекознание и информ. технолог. (София). – ISSN 1314-2526. – Т. 14, 2019, с. 478-543 : ил., табл.</v>
      </c>
      <c r="F6045" s="10"/>
      <c r="G6045" s="10" t="str">
        <f ca="1">IFERROR(__xludf.DUMMYFUNCTION("""COMPUTED_VALUE"""),"А. Куманова")</f>
        <v>А. Куманова</v>
      </c>
      <c r="H6045" s="10"/>
      <c r="I6045" s="10"/>
      <c r="J6045" s="10"/>
      <c r="K6045" s="10"/>
      <c r="L6045" s="10"/>
      <c r="M6045" s="10"/>
      <c r="N6045" s="10"/>
      <c r="O6045" s="10"/>
      <c r="P6045" s="10"/>
      <c r="Q6045" s="10"/>
      <c r="R6045" s="10"/>
      <c r="S6045" s="10"/>
      <c r="T6045" s="10"/>
      <c r="U6045" s="10"/>
      <c r="V6045" s="10"/>
      <c r="W6045" s="10"/>
      <c r="X6045" s="10"/>
      <c r="Y6045" s="10"/>
      <c r="Z6045" s="10"/>
    </row>
    <row r="6046" spans="1:26" ht="12.75">
      <c r="A6046" s="10" t="str">
        <f ca="1">IFERROR(__xludf.DUMMYFUNCTION("""COMPUTED_VALUE"""),"Николай Куртев Василев")</f>
        <v>Николай Куртев Василев</v>
      </c>
      <c r="B6046" s="10" t="str">
        <f ca="1">IFERROR(__xludf.DUMMYFUNCTION("""COMPUTED_VALUE"""),"Статия в списания и поредици")</f>
        <v>Статия в списания и поредици</v>
      </c>
      <c r="C6046" s="10" t="str">
        <f ca="1">IFERROR(__xludf.DUMMYFUNCTION("""COMPUTED_VALUE"""),"Общуването (комуникацията) : Феноменологично обобщение на ХІV Студентска научна конференция на УниБИТ)")</f>
        <v>Общуването (комуникацията) : Феноменологично обобщение на ХІV Студентска научна конференция на УниБИТ)</v>
      </c>
      <c r="D6046" s="10">
        <f ca="1">IFERROR(__xludf.DUMMYFUNCTION("""COMPUTED_VALUE"""),2019)</f>
        <v>2019</v>
      </c>
      <c r="E6046" s="10" t="str">
        <f ca="1">IFERROR(__xludf.DUMMYFUNCTION("""COMPUTED_VALUE"""),"Тр. на Студентското науч. о-во при Унив. по библиотекознание и информ. технолог. (София). – ISSN 1314-2526. – Т. 14, 2019, с. 544-549 : ил. – Съавт. Н. Василев.")</f>
        <v>Тр. на Студентското науч. о-во при Унив. по библиотекознание и информ. технолог. (София). – ISSN 1314-2526. – Т. 14, 2019, с. 544-549 : ил. – Съавт. Н. Василев.</v>
      </c>
      <c r="F6046" s="10"/>
      <c r="G6046" s="10" t="str">
        <f ca="1">IFERROR(__xludf.DUMMYFUNCTION("""COMPUTED_VALUE"""),"А. Куманова")</f>
        <v>А. Куманова</v>
      </c>
      <c r="H6046" s="10"/>
      <c r="I6046" s="10"/>
      <c r="J6046" s="10"/>
      <c r="K6046" s="10"/>
      <c r="L6046" s="10"/>
      <c r="M6046" s="10"/>
      <c r="N6046" s="10"/>
      <c r="O6046" s="10"/>
      <c r="P6046" s="10"/>
      <c r="Q6046" s="10"/>
      <c r="R6046" s="10"/>
      <c r="S6046" s="10"/>
      <c r="T6046" s="10"/>
      <c r="U6046" s="10"/>
      <c r="V6046" s="10"/>
      <c r="W6046" s="10"/>
      <c r="X6046" s="10"/>
      <c r="Y6046" s="10"/>
      <c r="Z6046" s="10"/>
    </row>
    <row r="6047" spans="1:26" ht="12.75">
      <c r="A6047" s="10" t="str">
        <f ca="1">IFERROR(__xludf.DUMMYFUNCTION("""COMPUTED_VALUE"""),"Николай Куртев Василев")</f>
        <v>Николай Куртев Василев</v>
      </c>
      <c r="B6047" s="10" t="str">
        <f ca="1">IFERROR(__xludf.DUMMYFUNCTION("""COMPUTED_VALUE"""),"Доклад от конференция")</f>
        <v>Доклад от конференция</v>
      </c>
      <c r="C6047" s="10" t="str">
        <f ca="1">IFERROR(__xludf.DUMMYFUNCTION("""COMPUTED_VALUE"""),"Денчев, С. и др. 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ISBN 978-619-185-211-6"&amp;") и „Нишката на Ариадна” (София, 2017. – ISBN 978-619-185-285-7) (Библиографски и историографски черти на информационната ризома и академизма)")</f>
        <v>Денчев, С. и др. Специфика на структурирането и информационното моделиране на енциклопедичните международни когнитологични сборници на Университета по библиотекознание и информационни технологии „GLORIA BIBLOSPHERAE” (София, 2016. – ISBN 978-619-185-211-6) и „Нишката на Ариадна” (София, 2017. – ISBN 978-619-185-285-7) (Библиографски и историографски черти на информационната ризома и академизма)</v>
      </c>
      <c r="D6047" s="10">
        <f ca="1">IFERROR(__xludf.DUMMYFUNCTION("""COMPUTED_VALUE"""),2019)</f>
        <v>2019</v>
      </c>
      <c r="E6047" s="10" t="str">
        <f ca="1">IFERROR(__xludf.DUMMYFUNCTION("""COMPUTED_VALUE"""),"Тр. на Студентското науч. о-во при Унив. по библиотекознание и информ. технолог. (София). – ISSN 1314-2526. – Т. 14, 2019, с. 673-688.")</f>
        <v>Тр. на Студентското науч. о-во при Унив. по библиотекознание и информ. технолог. (София). – ISSN 1314-2526. – Т. 14, 2019, с. 673-688.</v>
      </c>
      <c r="F6047" s="10"/>
      <c r="G6047" s="10" t="str">
        <f ca="1">IFERROR(__xludf.DUMMYFUNCTION("""COMPUTED_VALUE"""),"С. Денчев, А. Куманова")</f>
        <v>С. Денчев, А. Куманова</v>
      </c>
      <c r="H6047" s="10"/>
      <c r="I6047" s="10"/>
      <c r="J6047" s="10"/>
      <c r="K6047" s="10"/>
      <c r="L6047" s="10"/>
      <c r="M6047" s="10"/>
      <c r="N6047" s="10"/>
      <c r="O6047" s="10"/>
      <c r="P6047" s="10"/>
      <c r="Q6047" s="10"/>
      <c r="R6047" s="10"/>
      <c r="S6047" s="10"/>
      <c r="T6047" s="10"/>
      <c r="U6047" s="10"/>
      <c r="V6047" s="10"/>
      <c r="W6047" s="10"/>
      <c r="X6047" s="10"/>
      <c r="Y6047" s="10"/>
      <c r="Z6047" s="10"/>
    </row>
    <row r="6048" spans="1:26" ht="12.75">
      <c r="A6048" s="10" t="str">
        <f ca="1">IFERROR(__xludf.DUMMYFUNCTION("""COMPUTED_VALUE"""),"Николай Куртев Василев")</f>
        <v>Николай Куртев Василев</v>
      </c>
      <c r="B6048" s="10" t="str">
        <f ca="1">IFERROR(__xludf.DUMMYFUNCTION("""COMPUTED_VALUE"""),"Доклад от конференция")</f>
        <v>Доклад от конференция</v>
      </c>
      <c r="C6048" s="10" t="str">
        <f ca="1">IFERROR(__xludf.DUMMYFUNCTION("""COMPUTED_VALUE"""),"Национално литературно мислене :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f>
        <v>Национално литературно мислене :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v>
      </c>
      <c r="D6048" s="10">
        <f ca="1">IFERROR(__xludf.DUMMYFUNCTION("""COMPUTED_VALUE"""),2019)</f>
        <v>2019</v>
      </c>
      <c r="E6048" s="10" t="str">
        <f ca="1">IFERROR(__xludf.DUMMYFUNCTION("""COMPUTED_VALUE"""),"Обществото на знанието и хуманизмът на ХХІ век : Сб. с науч. докл. от ХVІІ Нац. науч. конф. с межд. участие – 1 ноември 2019, София. – ISSN 2683-0094. – 2019, с. 51-59. – Рез. на англ. ез.")</f>
        <v>Обществото на знанието и хуманизмът на ХХІ век : Сб. с науч. докл. от ХVІІ Нац. науч. конф. с межд. участие – 1 ноември 2019, София. – ISSN 2683-0094. – 2019, с. 51-59. – Рез. на англ. ез.</v>
      </c>
      <c r="F6048" s="10"/>
      <c r="G6048" s="10" t="str">
        <f ca="1">IFERROR(__xludf.DUMMYFUNCTION("""COMPUTED_VALUE"""),"С. Денчев, А. Куманова")</f>
        <v>С. Денчев, А. Куманова</v>
      </c>
      <c r="H6048" s="10"/>
      <c r="I6048" s="10"/>
      <c r="J6048" s="10"/>
      <c r="K6048" s="10"/>
      <c r="L6048" s="10"/>
      <c r="M6048" s="10"/>
      <c r="N6048" s="10"/>
      <c r="O6048" s="10"/>
      <c r="P6048" s="10"/>
      <c r="Q6048" s="10"/>
      <c r="R6048" s="10"/>
      <c r="S6048" s="10"/>
      <c r="T6048" s="10"/>
      <c r="U6048" s="10"/>
      <c r="V6048" s="10"/>
      <c r="W6048" s="10"/>
      <c r="X6048" s="10"/>
      <c r="Y6048" s="10"/>
      <c r="Z6048" s="10"/>
    </row>
    <row r="6049" spans="1:26" ht="12.75">
      <c r="A6049" s="10" t="str">
        <f ca="1">IFERROR(__xludf.DUMMYFUNCTION("""COMPUTED_VALUE"""),"Николай Куртев Василев")</f>
        <v>Николай Куртев Василев</v>
      </c>
      <c r="B6049" s="10" t="str">
        <f ca="1">IFERROR(__xludf.DUMMYFUNCTION("""COMPUTED_VALUE"""),"Статия в списания и поредици")</f>
        <v>Статия в списания и поредици</v>
      </c>
      <c r="C6049" s="10" t="str">
        <f ca="1">IFERROR(__xludf.DUMMYFUNCTION("""COMPUTED_VALUE"""),"Историографски модел на коментарите към Електронната библиотека на УниБИТ „Антологика”, направени от Студентското научно общество при университета")</f>
        <v>Историографски модел на коментарите към Електронната библиотека на УниБИТ „Антологика”, направени от Студентското научно общество при университета</v>
      </c>
      <c r="D6049" s="10">
        <f ca="1">IFERROR(__xludf.DUMMYFUNCTION("""COMPUTED_VALUE"""),2018)</f>
        <v>2018</v>
      </c>
      <c r="E6049" s="10" t="str">
        <f ca="1">IFERROR(__xludf.DUMMYFUNCTION("""COMPUTED_VALUE"""),"Тр. на Студентското научно общество при УниБИТ (София). – ISSN 1314-2526. – Т. ХІІІ, 2018, с. 432-460.")</f>
        <v>Тр. на Студентското научно общество при УниБИТ (София). – ISSN 1314-2526. – Т. ХІІІ, 2018, с. 432-460.</v>
      </c>
      <c r="F6049" s="10"/>
      <c r="G6049" s="10" t="str">
        <f ca="1">IFERROR(__xludf.DUMMYFUNCTION("""COMPUTED_VALUE"""),"А. Куманова, П. Караиванова, Б. Борисова, Г. Ангелова, И. Камбурова, Б. Матева, Г. Станимирова, И. Атанасова-Стойчева, М. Страхилова, С. Русева, С. Тончева, Ц. Атанасова")</f>
        <v>А. Куманова, П. Караиванова, Б. Борисова, Г. Ангелова, И. Камбурова, Б. Матева, Г. Станимирова, И. Атанасова-Стойчева, М. Страхилова, С. Русева, С. Тончева, Ц. Атанасова</v>
      </c>
      <c r="H6049" s="10"/>
      <c r="I6049" s="10"/>
      <c r="J6049" s="10"/>
      <c r="K6049" s="10"/>
      <c r="L6049" s="10"/>
      <c r="M6049" s="10"/>
      <c r="N6049" s="10"/>
      <c r="O6049" s="10"/>
      <c r="P6049" s="10"/>
      <c r="Q6049" s="10"/>
      <c r="R6049" s="10"/>
      <c r="S6049" s="10"/>
      <c r="T6049" s="10"/>
      <c r="U6049" s="10"/>
      <c r="V6049" s="10"/>
      <c r="W6049" s="10"/>
      <c r="X6049" s="10"/>
      <c r="Y6049" s="10"/>
      <c r="Z6049" s="10"/>
    </row>
    <row r="6050" spans="1:26" ht="12.75">
      <c r="A6050" s="10" t="str">
        <f ca="1">IFERROR(__xludf.DUMMYFUNCTION("""COMPUTED_VALUE"""),"Николай Куртев Василев")</f>
        <v>Николай Куртев Василев</v>
      </c>
      <c r="B6050" s="10" t="str">
        <f ca="1">IFERROR(__xludf.DUMMYFUNCTION("""COMPUTED_VALUE"""),"Доклад от конференция")</f>
        <v>Доклад от конференция</v>
      </c>
      <c r="C6050" s="10" t="str">
        <f ca="1">IFERROR(__xludf.DUMMYFUNCTION("""COMPUTED_VALUE"""),"Историографски модел на коментарите към Електронната библиотека на УниБИТ „Антологика”, направени от Студентското научно общество при университета (N 2178)")</f>
        <v>Историографски модел на коментарите към Електронната библиотека на УниБИТ „Антологика”, направени от Студентското научно общество при университета (N 2178)</v>
      </c>
      <c r="D6050" s="10">
        <f ca="1">IFERROR(__xludf.DUMMYFUNCTION("""COMPUTED_VALUE"""),2018)</f>
        <v>2018</v>
      </c>
      <c r="E6050" s="10" t="str">
        <f ca="1">IFERROR(__xludf.DUMMYFUNCTION("""COMPUTED_VALUE"""),"Тр. на Студентското научно общество при УниБИТ (София). – ISSN 1314-2526. – Т. ХІІІ, 2018, с. 432-460.")</f>
        <v>Тр. на Студентското научно общество при УниБИТ (София). – ISSN 1314-2526. – Т. ХІІІ, 2018, с. 432-460.</v>
      </c>
      <c r="F6050" s="10" t="str">
        <f ca="1">IFERROR(__xludf.DUMMYFUNCTION("""COMPUTED_VALUE"""),"Публ. &lt;http://www.unibit.bg&gt;")</f>
        <v>Публ. &lt;http://www.unibit.bg&gt;</v>
      </c>
      <c r="G6050" s="10" t="str">
        <f ca="1">IFERROR(__xludf.DUMMYFUNCTION("""COMPUTED_VALUE"""),"А. Куманова, Н. Василев, П. Караиванова, Б. Борисова, Г. Ангелова, И. Камбурова, Б. Матева, Г. Станимирова, И. Атанасова-Стойчева, М. Страхилова, С. Русева, С. Тончева, Ц. Атанасова")</f>
        <v>А. Куманова, Н. Василев, П. Караиванова, Б. Борисова, Г. Ангелова, И. Камбурова, Б. Матева, Г. Станимирова, И. Атанасова-Стойчева, М. Страхилова, С. Русева, С. Тончева, Ц. Атанасова</v>
      </c>
      <c r="H6050" s="10"/>
      <c r="I6050" s="10"/>
      <c r="J6050" s="10"/>
      <c r="K6050" s="10"/>
      <c r="L6050" s="10"/>
      <c r="M6050" s="10"/>
      <c r="N6050" s="10"/>
      <c r="O6050" s="10"/>
      <c r="P6050" s="10"/>
      <c r="Q6050" s="10"/>
      <c r="R6050" s="10"/>
      <c r="S6050" s="10"/>
      <c r="T6050" s="10"/>
      <c r="U6050" s="10"/>
      <c r="V6050" s="10"/>
      <c r="W6050" s="10"/>
      <c r="X6050" s="10"/>
      <c r="Y6050" s="10"/>
      <c r="Z6050" s="10"/>
    </row>
    <row r="6051" spans="1:26" ht="12.75">
      <c r="A6051" s="10" t="str">
        <f ca="1">IFERROR(__xludf.DUMMYFUNCTION("""COMPUTED_VALUE"""),"Николай Куртев Василев")</f>
        <v>Николай Куртев Василев</v>
      </c>
      <c r="B6051" s="10" t="str">
        <f ca="1">IFERROR(__xludf.DUMMYFUNCTION("""COMPUTED_VALUE"""),"Доклад от конференция")</f>
        <v>Доклад от конференция</v>
      </c>
      <c r="C6051" s="10" t="str">
        <f ca="1">IFERROR(__xludf.DUMMYFUNCTION("""COMPUTED_VALUE"""),"Езикът на Васил Левски. Към въпроса за генома и универсалния информационен код на Българското национално възраждане от втората половина на ХІХ в. (1867-1872): синтактика, семантика прагматика : Плен. докл. на ХV Нац. науч. конф. с междунар. участие „О-вот"&amp;"о на знанието и хуманизмът на ХХІ в.”, 1.11.2017 г., София, УниБИТ, НБКМ")</f>
        <v>Езикът на Васил Левски. Към въпроса за генома и универсалния информационен код на Българското национално възраждане от втората половина на ХІХ в. (1867-1872): синтактика, семантика прагматика : Плен. докл. на ХV Нац. науч. конф. с междунар. участие „О-вото на знанието и хуманизмът на ХХІ в.”, 1.11.2017 г., София, УниБИТ, НБКМ</v>
      </c>
      <c r="D6051" s="10">
        <f ca="1">IFERROR(__xludf.DUMMYFUNCTION("""COMPUTED_VALUE"""),2018)</f>
        <v>2018</v>
      </c>
      <c r="E6051" s="10" t="str">
        <f ca="1">IFERROR(__xludf.DUMMYFUNCTION("""COMPUTED_VALUE"""),"Обществото на знанието и хуманизмът на ХХІ век (София). – ISSN 1314-7099. – 2018, с. 00-00 : с табл.")</f>
        <v>Обществото на знанието и хуманизмът на ХХІ век (София). – ISSN 1314-7099. – 2018, с. 00-00 : с табл.</v>
      </c>
      <c r="F6051" s="10" t="str">
        <f ca="1">IFERROR(__xludf.DUMMYFUNCTION("""COMPUTED_VALUE"""),"Публ. &lt;http://www.unibit.bg&gt;")</f>
        <v>Публ. &lt;http://www.unibit.bg&gt;</v>
      </c>
      <c r="G6051" s="10" t="str">
        <f ca="1">IFERROR(__xludf.DUMMYFUNCTION("""COMPUTED_VALUE"""),"С. Денчев, А. Куманова")</f>
        <v>С. Денчев, А. Куманова</v>
      </c>
      <c r="H6051" s="10"/>
      <c r="I6051" s="10"/>
      <c r="J6051" s="10"/>
      <c r="K6051" s="10"/>
      <c r="L6051" s="10"/>
      <c r="M6051" s="10"/>
      <c r="N6051" s="10"/>
      <c r="O6051" s="10"/>
      <c r="P6051" s="10"/>
      <c r="Q6051" s="10"/>
      <c r="R6051" s="10"/>
      <c r="S6051" s="10"/>
      <c r="T6051" s="10"/>
      <c r="U6051" s="10"/>
      <c r="V6051" s="10"/>
      <c r="W6051" s="10"/>
      <c r="X6051" s="10"/>
      <c r="Y6051" s="10"/>
      <c r="Z6051" s="10"/>
    </row>
    <row r="6052" spans="1:26" ht="12.75">
      <c r="A6052" s="10" t="str">
        <f ca="1">IFERROR(__xludf.DUMMYFUNCTION("""COMPUTED_VALUE"""),"Николай Куртев Василев")</f>
        <v>Николай Куртев Василев</v>
      </c>
      <c r="B6052" s="10" t="str">
        <f ca="1">IFERROR(__xludf.DUMMYFUNCTION("""COMPUTED_VALUE"""),"Книга")</f>
        <v>Книга</v>
      </c>
      <c r="C6052" s="10" t="str">
        <f ca="1">IFERROR(__xludf.DUMMYFUNCTION("""COMPUTED_VALUE"""),"GENERATIO SPONTANEA : Synoptic table of the World universal bibliography from 3RD c. BC to 21st c. : An atlas – electronic library „Universalica” (Model of the secondary-documental framework of the biblio-info-noosphere) : Textbook-compendium of General B"&amp;"ibliography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библиографов"&amp;"едению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библиог"&amp;"рафознание")</f>
        <v>GENERATIO SPONTANEA : Synoptic table of the World universal bibliography from 3RD c. BC to 21st c. : An atlas – electronic library „Universalica” (Model of the secondary-documental framework of the biblio-info-noosphere) : Textbook-compendium of General Bibliography = Синоптическая таблица мировой универсальной библиографии ІІІ в. до н.э. – ХХІ в. : Атлас – электронная библиотека „Universalica” (Модель вторично-документального контура библио-инфо-ноосферы планеты) : Учебник-справочник по общ. библиографоведению = Синоптична таблица на световната универсална библиография ІІІ в. пр. н.е. – ХХІ в. : Атлас – електронна библиотека „Universalica” (Модел на вторично-документалния контур на библио-инфо-ноосферата на планетата) : Учебник-справочник по общо библиографознание</v>
      </c>
      <c r="D6052" s="10">
        <f ca="1">IFERROR(__xludf.DUMMYFUNCTION("""COMPUTED_VALUE"""),2018)</f>
        <v>2018</v>
      </c>
      <c r="E6052" s="10" t="str">
        <f ca="1">IFERROR(__xludf.DUMMYFUNCTION("""COMPUTED_VALUE"""),"Comp., bibliogr., preface Alexandra Kumanova Sci. ed. Stoyan Denchev Gen. ed. Nikolay Vasilev Sofia : About letters – O pismeneh, 2018. – 232 p. : with ill. – (Torchbearers ; ХХV) ISBN 978-619-185-321-2 ISBN 978-619-185-322-9 Е ISBN 978-619-185-323-6")</f>
        <v>Comp., bibliogr., preface Alexandra Kumanova Sci. ed. Stoyan Denchev Gen. ed. Nikolay Vasilev Sofia : About letters – O pismeneh, 2018. – 232 p. : with ill. – (Torchbearers ; ХХV) ISBN 978-619-185-321-2 ISBN 978-619-185-322-9 Е ISBN 978-619-185-323-6</v>
      </c>
      <c r="F6052" s="10" t="str">
        <f ca="1">IFERROR(__xludf.DUMMYFUNCTION("""COMPUTED_VALUE"""),"Публ. &lt;http://www.sno.unibit.bg&gt;")</f>
        <v>Публ. &lt;http://www.sno.unibit.bg&gt;</v>
      </c>
      <c r="G6052" s="10" t="str">
        <f ca="1">IFERROR(__xludf.DUMMYFUNCTION("""COMPUTED_VALUE"""),"А. Куманова")</f>
        <v>А. Куманова</v>
      </c>
      <c r="H6052" s="10"/>
      <c r="I6052" s="10"/>
      <c r="J6052" s="10"/>
      <c r="K6052" s="10"/>
      <c r="L6052" s="10"/>
      <c r="M6052" s="10"/>
      <c r="N6052" s="10"/>
      <c r="O6052" s="10"/>
      <c r="P6052" s="10"/>
      <c r="Q6052" s="10"/>
      <c r="R6052" s="10"/>
      <c r="S6052" s="10"/>
      <c r="T6052" s="10"/>
      <c r="U6052" s="10"/>
      <c r="V6052" s="10"/>
      <c r="W6052" s="10"/>
      <c r="X6052" s="10"/>
      <c r="Y6052" s="10"/>
      <c r="Z6052" s="10"/>
    </row>
    <row r="6053" spans="1:26" ht="12.75">
      <c r="A6053" s="10" t="str">
        <f ca="1">IFERROR(__xludf.DUMMYFUNCTION("""COMPUTED_VALUE"""),"Николай Куртев Василев")</f>
        <v>Николай Куртев Василев</v>
      </c>
      <c r="B6053" s="10" t="str">
        <f ca="1">IFERROR(__xludf.DUMMYFUNCTION("""COMPUTED_VALUE"""),"Книга")</f>
        <v>Книга</v>
      </c>
      <c r="C6053" s="10" t="str">
        <f ca="1">IFERROR(__xludf.DUMMYFUNCTION("""COMPUTED_VALUE"""),"Златна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Божестве"&amp;"н флорилегиум – идил. триптих : [1-3]")</f>
        <v>Златна христоматия на България : Аналит.-синтет. архитектоника на бълг. изящно слово от ІХ до ХХІ в. (Универс. информ. модел). Кн. 1, Оратория : Уч. пособие по морфология на акад. текстописане : „Бяла светлина” (Lux alba) : Оратория за България : Божествен флорилегиум – идил. триптих : [1-3]</v>
      </c>
      <c r="D6053" s="10">
        <f ca="1">IFERROR(__xludf.DUMMYFUNCTION("""COMPUTED_VALUE"""),2018)</f>
        <v>2018</v>
      </c>
      <c r="E6053" s="10" t="str">
        <f ca="1">IFERROR(__xludf.DUMMYFUNCTION("""COMPUTED_VALUE"""),"София : За буквите – О писменехь, 2018. – 400 с. : с ил. – (Факлоносци ; ХХІІ) Е ISBN 978-619-185-312-0")</f>
        <v>София : За буквите – О писменехь, 2018. – 400 с. : с ил. – (Факлоносци ; ХХІІ) Е ISBN 978-619-185-312-0</v>
      </c>
      <c r="F6053" s="10" t="str">
        <f ca="1">IFERROR(__xludf.DUMMYFUNCTION("""COMPUTED_VALUE"""),"Публ. &lt;http://www.sno.unibit.bg&gt;")</f>
        <v>Публ. &lt;http://www.sno.unibit.bg&gt;</v>
      </c>
      <c r="G6053" s="10" t="str">
        <f ca="1">IFERROR(__xludf.DUMMYFUNCTION("""COMPUTED_VALUE"""),"А. Куманова")</f>
        <v>А. Куманова</v>
      </c>
      <c r="H6053" s="10"/>
      <c r="I6053" s="10"/>
      <c r="J6053" s="10"/>
      <c r="K6053" s="10"/>
      <c r="L6053" s="10"/>
      <c r="M6053" s="10"/>
      <c r="N6053" s="10"/>
      <c r="O6053" s="10"/>
      <c r="P6053" s="10"/>
      <c r="Q6053" s="10"/>
      <c r="R6053" s="10"/>
      <c r="S6053" s="10"/>
      <c r="T6053" s="10"/>
      <c r="U6053" s="10"/>
      <c r="V6053" s="10"/>
      <c r="W6053" s="10"/>
      <c r="X6053" s="10"/>
      <c r="Y6053" s="10"/>
      <c r="Z6053" s="10"/>
    </row>
    <row r="6054" spans="1:26" ht="12.75">
      <c r="A6054" s="10" t="str">
        <f ca="1">IFERROR(__xludf.DUMMYFUNCTION("""COMPUTED_VALUE"""),"Николай Куртев Василев")</f>
        <v>Николай Куртев Василев</v>
      </c>
      <c r="B6054" s="10" t="str">
        <f ca="1">IFERROR(__xludf.DUMMYFUNCTION("""COMPUTED_VALUE"""),"Доклад от конференция")</f>
        <v>Доклад от конференция</v>
      </c>
      <c r="C6054" s="10" t="str">
        <f ca="1">IFERROR(__xludf.DUMMYFUNCTION("""COMPUTED_VALUE"""),"Разработка на предметен пермутационен показалец на български, руски и английски език към публикациите на международния научен сборник „GLORIA BIBLIOSPHERAE” [: За кн.: GLORIA BIBLIOSPHERAE (Нишката на Ариадна) : Изследвания в чест на акад. проф. Александр"&amp;"а Куманова : Юбилеен сборник по случай 65 години от основаването на УниБИТ = GLORIA BIBLIOSPHERAE (Ariadne’s Thread) : Studia in honorem Acad. Prof. Alexandra Kumanova : A Festschrift for 65th Golden Jubilee of the University of Library Studies and Inform"&amp;"ation Technologies in Sofia / Науч. ред. Стоян Денчев ; Състав., предг. и интервю Николай Василев. – (Факлоносци ; ХVІ)]. Общи бележки към труда: Бояджиева, Марта. Разработка на предметен пермутационен показалец на български, руски и английски език към пу"&amp;"бликациите на международния научен сборник „GLORIA BIBLIOSPHERAE” : Дипломна работа / Унив. по библиотекознание и информ. технол. Катедра „Библиотечни науки” ; Науч. рък. Арександра Куманова. – София, 2017]")</f>
        <v>Разработка на предметен пермутационен показалец на български, руски и английски език към публикациите на международния научен сборник „GLORIA BIBLIOSPHERAE” [: За кн.: 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 A Festschrift for 65th Golden Jubilee of the University of Library Studies and Information Technologies in Sofia / Науч. ред. Стоян Денчев ; Състав., предг. и интервю Николай Василев. – (Факлоносци ; ХVІ)]. Общи бележки към труда: Бояджиева, Марта. Разработка на предметен пермутационен показалец на български, руски и английски език към публикациите на международния научен сборник „GLORIA BIBLIOSPHERAE” : Дипломна работа / Унив. по библиотекознание и информ. технол. Катедра „Библиотечни науки” ; Науч. рък. Арександра Куманова. – София, 2017]</v>
      </c>
      <c r="D6054" s="10">
        <f ca="1">IFERROR(__xludf.DUMMYFUNCTION("""COMPUTED_VALUE"""),2018)</f>
        <v>2018</v>
      </c>
      <c r="E6054" s="10" t="str">
        <f ca="1">IFERROR(__xludf.DUMMYFUNCTION("""COMPUTED_VALUE"""),"Тр. на Студентското научно общество при УниБИТ (София). – ISSN 1314-2526. – Т. ХІІІ, 2018, с. 521-567.")</f>
        <v>Тр. на Студентското научно общество при УниБИТ (София). – ISSN 1314-2526. – Т. ХІІІ, 2018, с. 521-567.</v>
      </c>
      <c r="F6054" s="10" t="str">
        <f ca="1">IFERROR(__xludf.DUMMYFUNCTION("""COMPUTED_VALUE"""),"Публ. &lt;http://www.unibit.bg&gt;")</f>
        <v>Публ. &lt;http://www.unibit.bg&gt;</v>
      </c>
      <c r="G6054" s="10" t="str">
        <f ca="1">IFERROR(__xludf.DUMMYFUNCTION("""COMPUTED_VALUE"""),"А. Куманова, Н. Василев, М. Бояджиева")</f>
        <v>А. Куманова, Н. Василев, М. Бояджиева</v>
      </c>
      <c r="H6054" s="10"/>
      <c r="I6054" s="10"/>
      <c r="J6054" s="10"/>
      <c r="K6054" s="10"/>
      <c r="L6054" s="10"/>
      <c r="M6054" s="10"/>
      <c r="N6054" s="10"/>
      <c r="O6054" s="10"/>
      <c r="P6054" s="10"/>
      <c r="Q6054" s="10"/>
      <c r="R6054" s="10"/>
      <c r="S6054" s="10"/>
      <c r="T6054" s="10"/>
      <c r="U6054" s="10"/>
      <c r="V6054" s="10"/>
      <c r="W6054" s="10"/>
      <c r="X6054" s="10"/>
      <c r="Y6054" s="10"/>
      <c r="Z6054" s="10"/>
    </row>
    <row r="6055" spans="1:26" ht="12.75">
      <c r="A6055" s="10" t="str">
        <f ca="1">IFERROR(__xludf.DUMMYFUNCTION("""COMPUTED_VALUE"""),"Николай Куртев Василев")</f>
        <v>Николай Куртев Василев</v>
      </c>
      <c r="B6055" s="10" t="str">
        <f ca="1">IFERROR(__xludf.DUMMYFUNCTION("""COMPUTED_VALUE"""),"Статия в списания и поредици")</f>
        <v>Статия в списания и поредици</v>
      </c>
      <c r="C6055" s="10" t="str">
        <f ca="1">IFERROR(__xludf.DUMMYFUNCTION("""COMPUTED_VALUE"""),"Tabula gratulatorum [ХІІІ]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2005-2017 (NN 1-2141)")</f>
        <v>Tabula gratulatorum [ХІІІ] : Систематизиран хронолог.-азб. библиогр. списък на публ. на чл. на Студентското науч. о-во на унив., осъществени под науч. рък. или рец. на проф. д.п.н. А. Куманова и под науч. ред. на ас. д-р Н. Василев : 2005-2017 (NN 1-2141)</v>
      </c>
      <c r="D6055" s="10">
        <f ca="1">IFERROR(__xludf.DUMMYFUNCTION("""COMPUTED_VALUE"""),2018)</f>
        <v>2018</v>
      </c>
      <c r="E6055" s="10" t="str">
        <f ca="1">IFERROR(__xludf.DUMMYFUNCTION("""COMPUTED_VALUE"""),"Тр. на Студентското науч. о-во при Унив. по библиотекознание и информ. технолог. (София). – ISSN 1314-2526. – Т. 13, 2018, с. 7-163 : 2141 номерирани назв.")</f>
        <v>Тр. на Студентското науч. о-во при Унив. по библиотекознание и информ. технолог. (София). – ISSN 1314-2526. – Т. 13, 2018, с. 7-163 : 2141 номерирани назв.</v>
      </c>
      <c r="F6055" s="10"/>
      <c r="G6055" s="10" t="str">
        <f ca="1">IFERROR(__xludf.DUMMYFUNCTION("""COMPUTED_VALUE"""),"А. Куманова, И. Камбурова")</f>
        <v>А. Куманова, И. Камбурова</v>
      </c>
      <c r="H6055" s="10"/>
      <c r="I6055" s="10"/>
      <c r="J6055" s="10"/>
      <c r="K6055" s="10"/>
      <c r="L6055" s="10"/>
      <c r="M6055" s="10"/>
      <c r="N6055" s="10"/>
      <c r="O6055" s="10"/>
      <c r="P6055" s="10"/>
      <c r="Q6055" s="10"/>
      <c r="R6055" s="10"/>
      <c r="S6055" s="10"/>
      <c r="T6055" s="10"/>
      <c r="U6055" s="10"/>
      <c r="V6055" s="10"/>
      <c r="W6055" s="10"/>
      <c r="X6055" s="10"/>
      <c r="Y6055" s="10"/>
      <c r="Z6055" s="10"/>
    </row>
    <row r="6056" spans="1:26" ht="12.75">
      <c r="A6056" s="10" t="str">
        <f ca="1">IFERROR(__xludf.DUMMYFUNCTION("""COMPUTED_VALUE"""),"Николай Куртев Василев")</f>
        <v>Николай Куртев Василев</v>
      </c>
      <c r="B6056" s="10" t="str">
        <f ca="1">IFERROR(__xludf.DUMMYFUNCTION("""COMPUTED_VALUE"""),"Доклад от конференция")</f>
        <v>Доклад от конференция</v>
      </c>
      <c r="C6056" s="10" t="str">
        <f ca="1">IFERROR(__xludf.DUMMYFUNCTION("""COMPUTED_VALUE"""),"Феноменологично обобщение на форума – избор (запис на диалога между ръководителите на Студентското научно общество при УниБИТ проф. д.п.н. Александра Куманова и ас. д-р Николай Василев, направен по време на обсъждане на даваните от студентите определения "&amp;"и проведен пред студентите на университета на 28.04.2017 г.)")</f>
        <v>Феноменологично обобщение на форума – избор (запис на диалога между ръководителите на Студентското научно общество при УниБИТ проф. д.п.н. Александра Куманова и ас. д-р Николай Василев, направен по време на обсъждане на даваните от студентите определения и проведен пред студентите на университета на 28.04.2017 г.)</v>
      </c>
      <c r="D6056" s="10">
        <f ca="1">IFERROR(__xludf.DUMMYFUNCTION("""COMPUTED_VALUE"""),2018)</f>
        <v>2018</v>
      </c>
      <c r="E6056" s="10" t="str">
        <f ca="1">IFERROR(__xludf.DUMMYFUNCTION("""COMPUTED_VALUE"""),"Тр. на Студентското науч. о-во при Унив. по библиотекознание и информ. технолог. (София). – ISSN 1314-2526. – Т. 13, 2018, с. 247-248.")</f>
        <v>Тр. на Студентското науч. о-во при Унив. по библиотекознание и информ. технолог. (София). – ISSN 1314-2526. – Т. 13, 2018, с. 247-248.</v>
      </c>
      <c r="F6056" s="10" t="str">
        <f ca="1">IFERROR(__xludf.DUMMYFUNCTION("""COMPUTED_VALUE"""),"Публ. &lt;http://www.unibit.bg&gt;")</f>
        <v>Публ. &lt;http://www.unibit.bg&gt;</v>
      </c>
      <c r="G6056" s="10" t="str">
        <f ca="1">IFERROR(__xludf.DUMMYFUNCTION("""COMPUTED_VALUE"""),". Куманова")</f>
        <v>. Куманова</v>
      </c>
      <c r="H6056" s="10"/>
      <c r="I6056" s="10"/>
      <c r="J6056" s="10"/>
      <c r="K6056" s="10"/>
      <c r="L6056" s="10"/>
      <c r="M6056" s="10"/>
      <c r="N6056" s="10"/>
      <c r="O6056" s="10"/>
      <c r="P6056" s="10"/>
      <c r="Q6056" s="10"/>
      <c r="R6056" s="10"/>
      <c r="S6056" s="10"/>
      <c r="T6056" s="10"/>
      <c r="U6056" s="10"/>
      <c r="V6056" s="10"/>
      <c r="W6056" s="10"/>
      <c r="X6056" s="10"/>
      <c r="Y6056" s="10"/>
      <c r="Z6056" s="10"/>
    </row>
    <row r="6057" spans="1:26" ht="12.75">
      <c r="A6057" s="10" t="str">
        <f ca="1">IFERROR(__xludf.DUMMYFUNCTION("""COMPUTED_VALUE"""),"Николай Куртев Василев")</f>
        <v>Николай Куртев Василев</v>
      </c>
      <c r="B6057" s="10" t="str">
        <f ca="1">IFERROR(__xludf.DUMMYFUNCTION("""COMPUTED_VALUE"""),"Учебно пособие")</f>
        <v>Учебно пособие</v>
      </c>
      <c r="C6057" s="10" t="str">
        <f ca="1">IFERROR(__xludf.DUMMYFUNCTION("""COMPUTED_VALUE"""),"Златна христоматия на България : Аналит.-синтет. архитектоника на бълг. изящно слово от ІХ до ХХІ в. (Универс. информ. модел). Кн. 2, Антология")</f>
        <v>Златна христоматия на България : Аналит.-синтет. архитектоника на бълг. изящно слово от ІХ до ХХІ в. (Универс. информ. модел). Кн. 2, Антология</v>
      </c>
      <c r="D6057" s="10">
        <f ca="1">IFERROR(__xludf.DUMMYFUNCTION("""COMPUTED_VALUE"""),2018)</f>
        <v>2018</v>
      </c>
      <c r="E6057" s="10" t="str">
        <f ca="1">IFERROR(__xludf.DUMMYFUNCTION("""COMPUTED_VALUE"""),"София : За буквите – О писменехь, 2018. – 840, CCXXVIII с. : с ил. – (Факлоносци ; ХХІІІ), Е ISBN 978-619-185-313-7")</f>
        <v>София : За буквите – О писменехь, 2018. – 840, CCXXVIII с. : с ил. – (Факлоносци ; ХХІІІ), Е ISBN 978-619-185-313-7</v>
      </c>
      <c r="F6057" s="10"/>
      <c r="G6057" s="10" t="str">
        <f ca="1">IFERROR(__xludf.DUMMYFUNCTION("""COMPUTED_VALUE"""),"А. Куманова")</f>
        <v>А. Куманова</v>
      </c>
      <c r="H6057" s="10"/>
      <c r="I6057" s="10"/>
      <c r="J6057" s="10"/>
      <c r="K6057" s="10"/>
      <c r="L6057" s="10"/>
      <c r="M6057" s="10"/>
      <c r="N6057" s="10"/>
      <c r="O6057" s="10"/>
      <c r="P6057" s="10"/>
      <c r="Q6057" s="10"/>
      <c r="R6057" s="10"/>
      <c r="S6057" s="10"/>
      <c r="T6057" s="10"/>
      <c r="U6057" s="10"/>
      <c r="V6057" s="10"/>
      <c r="W6057" s="10"/>
      <c r="X6057" s="10"/>
      <c r="Y6057" s="10"/>
      <c r="Z6057" s="10"/>
    </row>
    <row r="6058" spans="1:26" ht="12.75">
      <c r="A6058" s="10" t="str">
        <f ca="1">IFERROR(__xludf.DUMMYFUNCTION("""COMPUTED_VALUE"""),"Николай Куртев Василев")</f>
        <v>Николай Куртев Василев</v>
      </c>
      <c r="B6058" s="10" t="str">
        <f ca="1">IFERROR(__xludf.DUMMYFUNCTION("""COMPUTED_VALUE"""),"Статия в списания и поредици")</f>
        <v>Статия в списания и поредици</v>
      </c>
      <c r="C6058" s="10" t="str">
        <f ca="1">IFERROR(__xludf.DUMMYFUNCTION("""COMPUTED_VALUE"""),"К проблеме антологизма в болгарской литературе (1910-2018 гг.) : историографо-библиографический дискурс")</f>
        <v>К проблеме антологизма в болгарской литературе (1910-2018 гг.) : историографо-библиографический дискурс</v>
      </c>
      <c r="D6058" s="10">
        <f ca="1">IFERROR(__xludf.DUMMYFUNCTION("""COMPUTED_VALUE"""),2018)</f>
        <v>2018</v>
      </c>
      <c r="E6058" s="10" t="str">
        <f ca="1">IFERROR(__xludf.DUMMYFUNCTION("""COMPUTED_VALUE"""),"Музей – памятник – наследие : Междунар. науч. журнал / ICOM [Int. counc. of museums] (Москва). – ISSN 2523–5109 (online version). – 2018, N 2 (4), с. 112-126. – Библиогр.: 41 нум. ед. на болг. и рус. яз., которые даны и в англ. транслитерации. – Рез. на р"&amp;"ус. и англ. яз.")</f>
        <v>Музей – памятник – наследие : Междунар. науч. журнал / ICOM [Int. counc. of museums] (Москва). – ISSN 2523–5109 (online version). – 2018, N 2 (4), с. 112-126. – Библиогр.: 41 нум. ед. на болг. и рус. яз., которые даны и в англ. транслитерации. – Рез. на рус. и англ. яз.</v>
      </c>
      <c r="F6058" s="10" t="str">
        <f ca="1">IFERROR(__xludf.DUMMYFUNCTION("""COMPUTED_VALUE"""),"Google Scholar")</f>
        <v>Google Scholar</v>
      </c>
      <c r="G6058" s="10" t="str">
        <f ca="1">IFERROR(__xludf.DUMMYFUNCTION("""COMPUTED_VALUE"""),"А. Куманова, Н. Казански")</f>
        <v>А. Куманова, Н. Казански</v>
      </c>
      <c r="H6058" s="10"/>
      <c r="I6058" s="10"/>
      <c r="J6058" s="10"/>
      <c r="K6058" s="10"/>
      <c r="L6058" s="10"/>
      <c r="M6058" s="10"/>
      <c r="N6058" s="10"/>
      <c r="O6058" s="10"/>
      <c r="P6058" s="10"/>
      <c r="Q6058" s="10"/>
      <c r="R6058" s="10"/>
      <c r="S6058" s="10"/>
      <c r="T6058" s="10"/>
      <c r="U6058" s="10"/>
      <c r="V6058" s="10"/>
      <c r="W6058" s="10"/>
      <c r="X6058" s="10"/>
      <c r="Y6058" s="10"/>
      <c r="Z6058" s="10"/>
    </row>
    <row r="6059" spans="1:26" ht="12.75">
      <c r="A6059" s="10" t="str">
        <f ca="1">IFERROR(__xludf.DUMMYFUNCTION("""COMPUTED_VALUE"""),"Николай Куртев Василев")</f>
        <v>Николай Куртев Василев</v>
      </c>
      <c r="B6059" s="10" t="str">
        <f ca="1">IFERROR(__xludf.DUMMYFUNCTION("""COMPUTED_VALUE"""),"Доклад от конференция")</f>
        <v>Доклад от конференция</v>
      </c>
      <c r="C6059" s="10" t="str">
        <f ca="1">IFERROR(__xludf.DUMMYFUNCTION("""COMPUTED_VALUE"""),"Синоптична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f>
        <v>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v>
      </c>
      <c r="D6059" s="10">
        <f ca="1">IFERROR(__xludf.DUMMYFUNCTION("""COMPUTED_VALUE"""),2018)</f>
        <v>2018</v>
      </c>
      <c r="E6059" s="10" t="str">
        <f ca="1">IFERROR(__xludf.DUMMYFUNCTION("""COMPUTED_VALUE"""),"Обществото на знанието и хуманизмът на ХХІ век (София). – ISSN 1314-7099. – 2018, с. 109-122 : с табл. – Рез. на англ. ез.")</f>
        <v>Обществото на знанието и хуманизмът на ХХІ век (София). – ISSN 1314-7099. – 2018, с. 109-122 : с табл. – Рез. на англ. ез.</v>
      </c>
      <c r="F6059" s="10"/>
      <c r="G6059" s="10" t="str">
        <f ca="1">IFERROR(__xludf.DUMMYFUNCTION("""COMPUTED_VALUE"""),"А. Куманова")</f>
        <v>А. Куманова</v>
      </c>
      <c r="H6059" s="10"/>
      <c r="I6059" s="10"/>
      <c r="J6059" s="10"/>
      <c r="K6059" s="10"/>
      <c r="L6059" s="10"/>
      <c r="M6059" s="10"/>
      <c r="N6059" s="10"/>
      <c r="O6059" s="10"/>
      <c r="P6059" s="10"/>
      <c r="Q6059" s="10"/>
      <c r="R6059" s="10"/>
      <c r="S6059" s="10"/>
      <c r="T6059" s="10"/>
      <c r="U6059" s="10"/>
      <c r="V6059" s="10"/>
      <c r="W6059" s="10"/>
      <c r="X6059" s="10"/>
      <c r="Y6059" s="10"/>
      <c r="Z6059" s="10"/>
    </row>
    <row r="6060" spans="1:26" ht="12.75">
      <c r="A6060" s="10" t="str">
        <f ca="1">IFERROR(__xludf.DUMMYFUNCTION("""COMPUTED_VALUE"""),"Николай Куртев Василев")</f>
        <v>Николай Куртев Василев</v>
      </c>
      <c r="B6060" s="10" t="str">
        <f ca="1">IFERROR(__xludf.DUMMYFUNCTION("""COMPUTED_VALUE"""),"Доклад от конференция")</f>
        <v>Доклад от конференция</v>
      </c>
      <c r="C6060" s="10" t="str">
        <f ca="1">IFERROR(__xludf.DUMMYFUNCTION("""COMPUTED_VALUE"""),"Методология на информационната решетка (сито – Т. Боров; ретикула – А. Любишчев; ризома – Ж. Дельоз, Ф. Гуатари; фрейм – М. Мински; стълба – У. Еко) на дисциплините „Академично писане” и „Методика на научните изследвания”, преподавани в Университета по би"&amp;"блиотекознание и информационни технологии – интелектуална онтологична база на единственото в България Студентско научно общество (СНО) при университета")</f>
        <v>Методология на информационната решетка (сито – Т. Боров; ретикула – А. Любишчев; ризома – Ж. Дельоз, Ф. Гуатари; фрейм – М. Мински; стълба – У. Еко) на дисциплините „Академично писане” и „Методика на научните изследвания”, преподавани в Университета по библиотекознание и информационни технологии – интелектуална онтологична база на единственото в България Студентско научно общество (СНО) при университета</v>
      </c>
      <c r="D6060" s="10">
        <f ca="1">IFERROR(__xludf.DUMMYFUNCTION("""COMPUTED_VALUE"""),2018)</f>
        <v>2018</v>
      </c>
      <c r="E6060" s="10" t="str">
        <f ca="1">IFERROR(__xludf.DUMMYFUNCTION("""COMPUTED_VALUE"""),"Антиплагиатство и академизъм – проблеми и решения : Нац. форум с междунар. участие / Соф. унив. „Св. Климент Охридски” (Аула) – София, 6.11.2018. // &lt;https://goo.gl/forms/tazF6W0tj1AZ1wTZ2&gt; &lt;https://acadcloud.uni-sofia.bg/index.php/s/24P1fszmNw5jJvS&gt;. – 1"&amp;"5 с. – Рез. на англ. ез.")</f>
        <v>Антиплагиатство и академизъм – проблеми и решения : Нац. форум с междунар. участие / Соф. унив. „Св. Климент Охридски” (Аула) – София, 6.11.2018. // &lt;https://goo.gl/forms/tazF6W0tj1AZ1wTZ2&gt; &lt;https://acadcloud.uni-sofia.bg/index.php/s/24P1fszmNw5jJvS&gt;. – 15 с. – Рез. на англ. ез.</v>
      </c>
      <c r="F6060" s="10"/>
      <c r="G6060" s="10" t="str">
        <f ca="1">IFERROR(__xludf.DUMMYFUNCTION("""COMPUTED_VALUE"""),"А. Куманова")</f>
        <v>А. Куманова</v>
      </c>
      <c r="H6060" s="10"/>
      <c r="I6060" s="10"/>
      <c r="J6060" s="10"/>
      <c r="K6060" s="10"/>
      <c r="L6060" s="10"/>
      <c r="M6060" s="10"/>
      <c r="N6060" s="10"/>
      <c r="O6060" s="10"/>
      <c r="P6060" s="10"/>
      <c r="Q6060" s="10"/>
      <c r="R6060" s="10"/>
      <c r="S6060" s="10"/>
      <c r="T6060" s="10"/>
      <c r="U6060" s="10"/>
      <c r="V6060" s="10"/>
      <c r="W6060" s="10"/>
      <c r="X6060" s="10"/>
      <c r="Y6060" s="10"/>
      <c r="Z6060" s="10"/>
    </row>
    <row r="6061" spans="1:26" ht="12.75">
      <c r="A6061" s="10" t="str">
        <f ca="1">IFERROR(__xludf.DUMMYFUNCTION("""COMPUTED_VALUE"""),"Николай Куртев Василев")</f>
        <v>Николай Куртев Василев</v>
      </c>
      <c r="B6061" s="10" t="str">
        <f ca="1">IFERROR(__xludf.DUMMYFUNCTION("""COMPUTED_VALUE"""),"Доклад от конференция")</f>
        <v>Доклад от конференция</v>
      </c>
      <c r="C6061" s="10" t="str">
        <f ca="1">IFERROR(__xludf.DUMMYFUNCTION("""COMPUTED_VALUE"""),"Интердисциплинарно позициониране на практическата ориентация на симбиозата на педагогиката на учебния и научноизследователския процес на студенти с говорно-езикова патология и дисграфия (Към въпроса за решаването на проблемите)")</f>
        <v>Интердисциплинарно позициониране на практическата ориентация на симбиозата на педагогиката на учебния и научноизследователския процес на студенти с говорно-езикова патология и дисграфия (Към въпроса за решаването на проблемите)</v>
      </c>
      <c r="D6061" s="10">
        <f ca="1">IFERROR(__xludf.DUMMYFUNCTION("""COMPUTED_VALUE"""),2018)</f>
        <v>2018</v>
      </c>
      <c r="E6061" s="10" t="str">
        <f ca="1">IFERROR(__xludf.DUMMYFUNCTION("""COMPUTED_VALUE"""),"Хармония в различията : Сб. с докл. от [Пета] науч. конф. „Хармония в различията” (София, 10.12.2018 г.) / Състав. Ж. Назърска, С. Шапкалова. – София, 2018. – ISSN 2367-7899. – с. 433-439. – Рез. на англ. ез.")</f>
        <v>Хармония в различията : Сб. с докл. от [Пета] науч. конф. „Хармония в различията” (София, 10.12.2018 г.) / Състав. Ж. Назърска, С. Шапкалова. – София, 2018. – ISSN 2367-7899. – с. 433-439. – Рез. на англ. ез.</v>
      </c>
      <c r="F6061" s="10"/>
      <c r="G6061" s="10" t="str">
        <f ca="1">IFERROR(__xludf.DUMMYFUNCTION("""COMPUTED_VALUE"""),"А. Kуманова")</f>
        <v>А. Kуманова</v>
      </c>
      <c r="H6061" s="10"/>
      <c r="I6061" s="10"/>
      <c r="J6061" s="10"/>
      <c r="K6061" s="10"/>
      <c r="L6061" s="10"/>
      <c r="M6061" s="10"/>
      <c r="N6061" s="10"/>
      <c r="O6061" s="10"/>
      <c r="P6061" s="10"/>
      <c r="Q6061" s="10"/>
      <c r="R6061" s="10"/>
      <c r="S6061" s="10"/>
      <c r="T6061" s="10"/>
      <c r="U6061" s="10"/>
      <c r="V6061" s="10"/>
      <c r="W6061" s="10"/>
      <c r="X6061" s="10"/>
      <c r="Y6061" s="10"/>
      <c r="Z6061" s="10"/>
    </row>
    <row r="6062" spans="1:26" ht="12.75">
      <c r="A6062" s="10" t="str">
        <f ca="1">IFERROR(__xludf.DUMMYFUNCTION("""COMPUTED_VALUE"""),"Николай Куртев Василев")</f>
        <v>Николай Куртев Василев</v>
      </c>
      <c r="B6062" s="10" t="str">
        <f ca="1">IFERROR(__xludf.DUMMYFUNCTION("""COMPUTED_VALUE"""),"Учебно пособие")</f>
        <v>Учебно пособие</v>
      </c>
      <c r="C6062" s="10" t="str">
        <f ca="1">IFERROR(__xludf.DUMMYFUNCTION("""COMPUTED_VALUE"""),"Модел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Систематично-хроноло"&amp;"г.-азб. автобиобиблиогр. списък на тр. [4038 ном. назв.]")</f>
        <v>Модел за съставяне на персонални автобиобиблиографии – вторично-документална информационна база на Студентското научно общество при Университета по библиотекознание и информационни технологии : Акад. проф. д.п.н. Александра Куманова : Систематично-хронолог.-азб. автобиобиблиогр. списък на тр. [4038 ном. назв.]</v>
      </c>
      <c r="D6062" s="10">
        <f ca="1">IFERROR(__xludf.DUMMYFUNCTION("""COMPUTED_VALUE"""),2018)</f>
        <v>2018</v>
      </c>
      <c r="E6062" s="10" t="str">
        <f ca="1">IFERROR(__xludf.DUMMYFUNCTION("""COMPUTED_VALUE"""),"София : За буквите – О писменехь, 2018. – 1040 с. : портр, сх. – (Факлоносци ; ХХІV), Е ISBN 978-619-185-311-3")</f>
        <v>София : За буквите – О писменехь, 2018. – 1040 с. : портр, сх. – (Факлоносци ; ХХІV), Е ISBN 978-619-185-311-3</v>
      </c>
      <c r="F6062" s="10" t="str">
        <f ca="1">IFERROR(__xludf.DUMMYFUNCTION("""COMPUTED_VALUE"""),"Cobiss")</f>
        <v>Cobiss</v>
      </c>
      <c r="G6062" s="10" t="str">
        <f ca="1">IFERROR(__xludf.DUMMYFUNCTION("""COMPUTED_VALUE"""),"А. Куманова")</f>
        <v>А. Куманова</v>
      </c>
      <c r="H6062" s="10"/>
      <c r="I6062" s="10"/>
      <c r="J6062" s="10"/>
      <c r="K6062" s="10"/>
      <c r="L6062" s="10"/>
      <c r="M6062" s="10"/>
      <c r="N6062" s="10"/>
      <c r="O6062" s="10"/>
      <c r="P6062" s="10"/>
      <c r="Q6062" s="10"/>
      <c r="R6062" s="10"/>
      <c r="S6062" s="10"/>
      <c r="T6062" s="10"/>
      <c r="U6062" s="10"/>
      <c r="V6062" s="10"/>
      <c r="W6062" s="10"/>
      <c r="X6062" s="10"/>
      <c r="Y6062" s="10"/>
      <c r="Z6062" s="10"/>
    </row>
    <row r="6063" spans="1:26" ht="12.75">
      <c r="A6063" s="10" t="str">
        <f ca="1">IFERROR(__xludf.DUMMYFUNCTION("""COMPUTED_VALUE"""),"Николай Куртев Василев")</f>
        <v>Николай Куртев Василев</v>
      </c>
      <c r="B6063" s="10" t="str">
        <f ca="1">IFERROR(__xludf.DUMMYFUNCTION("""COMPUTED_VALUE"""),"Статия в списания и поредици")</f>
        <v>Статия в списания и поредици</v>
      </c>
      <c r="C6063" s="10" t="str">
        <f ca="1">IFERROR(__xludf.DUMMYFUNCTION("""COMPUTED_VALUE"""),"Разработка на предметен пермутационен показалец на български, руски и английски език към публикациите на международния научен сборник „GLORIA BIBLIOSPHERAE”")</f>
        <v>Разработка на предметен пермутационен показалец на български, руски и английски език към публикациите на международния научен сборник „GLORIA BIBLIOSPHERAE”</v>
      </c>
      <c r="D6063" s="10">
        <f ca="1">IFERROR(__xludf.DUMMYFUNCTION("""COMPUTED_VALUE"""),2018)</f>
        <v>2018</v>
      </c>
      <c r="E6063" s="10" t="str">
        <f ca="1">IFERROR(__xludf.DUMMYFUNCTION("""COMPUTED_VALUE"""),"Тр. на Студентското научно общество при УниБИТ (София). – ISSN 1314-2526. – Т. ХІІІ, 2018, с. 521-567.")</f>
        <v>Тр. на Студентското научно общество при УниБИТ (София). – ISSN 1314-2526. – Т. ХІІІ, 2018, с. 521-567.</v>
      </c>
      <c r="F6063" s="10"/>
      <c r="G6063" s="10" t="str">
        <f ca="1">IFERROR(__xludf.DUMMYFUNCTION("""COMPUTED_VALUE"""),"А. Куманова, М. Бояджиева")</f>
        <v>А. Куманова, М. Бояджиева</v>
      </c>
      <c r="H6063" s="10"/>
      <c r="I6063" s="10"/>
      <c r="J6063" s="10"/>
      <c r="K6063" s="10"/>
      <c r="L6063" s="10"/>
      <c r="M6063" s="10"/>
      <c r="N6063" s="10"/>
      <c r="O6063" s="10"/>
      <c r="P6063" s="10"/>
      <c r="Q6063" s="10"/>
      <c r="R6063" s="10"/>
      <c r="S6063" s="10"/>
      <c r="T6063" s="10"/>
      <c r="U6063" s="10"/>
      <c r="V6063" s="10"/>
      <c r="W6063" s="10"/>
      <c r="X6063" s="10"/>
      <c r="Y6063" s="10"/>
      <c r="Z6063" s="10"/>
    </row>
    <row r="6064" spans="1:26" ht="12.75">
      <c r="A6064" s="10" t="str">
        <f ca="1">IFERROR(__xludf.DUMMYFUNCTION("""COMPUTED_VALUE"""),"Николай Куртев Василев")</f>
        <v>Николай Куртев Василев</v>
      </c>
      <c r="B6064" s="10" t="str">
        <f ca="1">IFERROR(__xludf.DUMMYFUNCTION("""COMPUTED_VALUE"""),"Доклад от конференция")</f>
        <v>Доклад от конференция</v>
      </c>
      <c r="C6064" s="10" t="str">
        <f ca="1">IFERROR(__xludf.DUMMYFUNCTION("""COMPUTED_VALUE"""),"Синоптична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f>
        <v>Синоптична таблица на световната универсална библиография от ІІІ в. пр. н.е. до ХХІ в. : Атлас (Модел на вторичнодокументалния контур на библио-инфо-ноосферата на планетата : указатели)</v>
      </c>
      <c r="D6064" s="10">
        <f ca="1">IFERROR(__xludf.DUMMYFUNCTION("""COMPUTED_VALUE"""),2018)</f>
        <v>2018</v>
      </c>
      <c r="E6064" s="10" t="str">
        <f ca="1">IFERROR(__xludf.DUMMYFUNCTION("""COMPUTED_VALUE"""),"Обществото на знанието и хуманизмът на ХХІ век (София). – ISSN 1314-7099. – 2018, с. 109-122 : с табл.")</f>
        <v>Обществото на знанието и хуманизмът на ХХІ век (София). – ISSN 1314-7099. – 2018, с. 109-122 : с табл.</v>
      </c>
      <c r="F6064" s="10" t="str">
        <f ca="1">IFERROR(__xludf.DUMMYFUNCTION("""COMPUTED_VALUE"""),"Публ. &lt;http://www.unibit.bg&gt;")</f>
        <v>Публ. &lt;http://www.unibit.bg&gt;</v>
      </c>
      <c r="G6064" s="10" t="str">
        <f ca="1">IFERROR(__xludf.DUMMYFUNCTION("""COMPUTED_VALUE"""),"А. Куманова")</f>
        <v>А. Куманова</v>
      </c>
      <c r="H6064" s="10"/>
      <c r="I6064" s="10"/>
      <c r="J6064" s="10"/>
      <c r="K6064" s="10"/>
      <c r="L6064" s="10"/>
      <c r="M6064" s="10"/>
      <c r="N6064" s="10"/>
      <c r="O6064" s="10"/>
      <c r="P6064" s="10"/>
      <c r="Q6064" s="10"/>
      <c r="R6064" s="10"/>
      <c r="S6064" s="10"/>
      <c r="T6064" s="10"/>
      <c r="U6064" s="10"/>
      <c r="V6064" s="10"/>
      <c r="W6064" s="10"/>
      <c r="X6064" s="10"/>
      <c r="Y6064" s="10"/>
      <c r="Z6064" s="10"/>
    </row>
    <row r="6065" spans="1:26" ht="12.75">
      <c r="A6065" s="10" t="str">
        <f ca="1">IFERROR(__xludf.DUMMYFUNCTION("""COMPUTED_VALUE"""),"Николай Куртев Василев")</f>
        <v>Николай Куртев Василев</v>
      </c>
      <c r="B6065" s="10" t="str">
        <f ca="1">IFERROR(__xludf.DUMMYFUNCTION("""COMPUTED_VALUE"""),"Доклад от конференция")</f>
        <v>Доклад от конференция</v>
      </c>
      <c r="C6065" s="10" t="str">
        <f ca="1">IFERROR(__xludf.DUMMYFUNCTION("""COMPUTED_VALUE"""),"Езикът на Васил Левски. Към въпроса за генома и универсалния информационен код на Българското национално възраждане от втората половина на ХІХ в. (1867-1872) : синтактика, семантика прагматика")</f>
        <v>Езикът на Васил Левски. Към въпроса за генома и универсалния информационен код на Българското национално възраждане от втората половина на ХІХ в. (1867-1872) : синтактика, семантика прагматика</v>
      </c>
      <c r="D6065" s="10">
        <f ca="1">IFERROR(__xludf.DUMMYFUNCTION("""COMPUTED_VALUE"""),2018)</f>
        <v>2018</v>
      </c>
      <c r="E6065" s="10" t="str">
        <f ca="1">IFERROR(__xludf.DUMMYFUNCTION("""COMPUTED_VALUE"""),"Обществото на знанието и хуманизмът на ХХІ век (София). – ISSN 1314-7099. – 2018, с. 50-85 : с табл. – Рез. на англ. ез.")</f>
        <v>Обществото на знанието и хуманизмът на ХХІ век (София). – ISSN 1314-7099. – 2018, с. 50-85 : с табл. – Рез. на англ. ез.</v>
      </c>
      <c r="F6065" s="10"/>
      <c r="G6065" s="10" t="str">
        <f ca="1">IFERROR(__xludf.DUMMYFUNCTION("""COMPUTED_VALUE"""),"С. Денчев, А. Куманова")</f>
        <v>С. Денчев, А. Куманова</v>
      </c>
      <c r="H6065" s="10"/>
      <c r="I6065" s="10"/>
      <c r="J6065" s="10"/>
      <c r="K6065" s="10"/>
      <c r="L6065" s="10"/>
      <c r="M6065" s="10"/>
      <c r="N6065" s="10"/>
      <c r="O6065" s="10"/>
      <c r="P6065" s="10"/>
      <c r="Q6065" s="10"/>
      <c r="R6065" s="10"/>
      <c r="S6065" s="10"/>
      <c r="T6065" s="10"/>
      <c r="U6065" s="10"/>
      <c r="V6065" s="10"/>
      <c r="W6065" s="10"/>
      <c r="X6065" s="10"/>
      <c r="Y6065" s="10"/>
      <c r="Z6065" s="10"/>
    </row>
    <row r="6066" spans="1:26" ht="12.75">
      <c r="A6066" s="10" t="str">
        <f ca="1">IFERROR(__xludf.DUMMYFUNCTION("""COMPUTED_VALUE"""),"Николай Куртев Василев")</f>
        <v>Николай Куртев Василев</v>
      </c>
      <c r="B6066" s="10" t="str">
        <f ca="1">IFERROR(__xludf.DUMMYFUNCTION("""COMPUTED_VALUE"""),"Доклад от конференция")</f>
        <v>Доклад от конференция</v>
      </c>
      <c r="C6066" s="10" t="str">
        <f ca="1">IFERROR(__xludf.DUMMYFUNCTION("""COMPUTED_VALUE"""),"Expedition in Vottovaara – Karelia and Arkaim – the Urals : Centres of the Proto-European Civilization in Russia (Proto-Aryans and Proto-Slavs) (Cultural and phenomenological decoding of the mythological, historical and linguistic approach)")</f>
        <v>Expedition in Vottovaara – Karelia and Arkaim – the Urals : Centres of the Proto-European Civilization in Russia (Proto-Aryans and Proto-Slavs) (Cultural and phenomenological decoding of the mythological, historical and linguistic approach)</v>
      </c>
      <c r="D6066" s="10">
        <f ca="1">IFERROR(__xludf.DUMMYFUNCTION("""COMPUTED_VALUE"""),2017)</f>
        <v>2017</v>
      </c>
      <c r="E6066" s="10" t="str">
        <f ca="1">IFERROR(__xludf.DUMMYFUNCTION("""COMPUTED_VALUE"""),"Academic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176"&amp;"-198 : 33 Ill.")</f>
        <v>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176-198 : 33 Ill.</v>
      </c>
      <c r="F6066" s="10" t="str">
        <f ca="1">IFERROR(__xludf.DUMMYFUNCTION("""COMPUTED_VALUE"""),"&lt;http://science-publish.ru/node/2&gt;")</f>
        <v>&lt;http://science-publish.ru/node/2&gt;</v>
      </c>
      <c r="G6066" s="10" t="str">
        <f ca="1">IFERROR(__xludf.DUMMYFUNCTION("""COMPUTED_VALUE"""),".: S. G. Denchev, A. V. Kumanova, N. R. Kazanski")</f>
        <v>.: S. G. Denchev, A. V. Kumanova, N. R. Kazanski</v>
      </c>
      <c r="H6066" s="10"/>
      <c r="I6066" s="10"/>
      <c r="J6066" s="10"/>
      <c r="K6066" s="10"/>
      <c r="L6066" s="10"/>
      <c r="M6066" s="10"/>
      <c r="N6066" s="10"/>
      <c r="O6066" s="10"/>
      <c r="P6066" s="10"/>
      <c r="Q6066" s="10"/>
      <c r="R6066" s="10"/>
      <c r="S6066" s="10"/>
      <c r="T6066" s="10"/>
      <c r="U6066" s="10"/>
      <c r="V6066" s="10"/>
      <c r="W6066" s="10"/>
      <c r="X6066" s="10"/>
      <c r="Y6066" s="10"/>
      <c r="Z6066" s="10"/>
    </row>
    <row r="6067" spans="1:26" ht="12.75">
      <c r="A6067" s="10" t="str">
        <f ca="1">IFERROR(__xludf.DUMMYFUNCTION("""COMPUTED_VALUE"""),"Николай Куртев Василев")</f>
        <v>Николай Куртев Василев</v>
      </c>
      <c r="B6067" s="10" t="str">
        <f ca="1">IFERROR(__xludf.DUMMYFUNCTION("""COMPUTED_VALUE"""),"Доклад от конференция")</f>
        <v>Доклад от конференция</v>
      </c>
      <c r="C6067" s="10" t="str">
        <f ca="1">IFERROR(__xludf.DUMMYFUNCTION("""COMPUTED_VALUE"""),"Езикът на народните будители (Морфологични, лексикални и фонетични стойности) (Към въпроса за ценностния геном на българското изящно слово) : Плен. докл. на ХІV Нац. науч. конф. с междунар. участие „О-вото на знанието и хуманизмът на ХХІ в.”, 1.11.2016 г."&amp;", София, УниБИТ")</f>
        <v>Езикът на народните будители (Морфологични, лексикални и фонетични стойности) (Към въпроса за ценностния геном на българското изящно слово) : Плен. докл. на ХІV Нац. науч. конф. с междунар. участие „О-вото на знанието и хуманизмът на ХХІ в.”, 1.11.2016 г., София, УниБИТ</v>
      </c>
      <c r="D6067" s="10">
        <f ca="1">IFERROR(__xludf.DUMMYFUNCTION("""COMPUTED_VALUE"""),2017)</f>
        <v>2017</v>
      </c>
      <c r="E6067" s="10" t="str">
        <f ca="1">IFERROR(__xludf.DUMMYFUNCTION("""COMPUTED_VALUE"""),"Обществото на знанието и хуманизмът на ХХІ век (София). – ISSN 1314-7099. – 2017, с. 18-36 : с табл.")</f>
        <v>Обществото на знанието и хуманизмът на ХХІ век (София). – ISSN 1314-7099. – 2017, с. 18-36 : с табл.</v>
      </c>
      <c r="F6067" s="10" t="str">
        <f ca="1">IFERROR(__xludf.DUMMYFUNCTION("""COMPUTED_VALUE"""),"&lt;http://science-publish.ru/node/2")</f>
        <v>&lt;http://science-publish.ru/node/2</v>
      </c>
      <c r="G6067" s="10" t="str">
        <f ca="1">IFERROR(__xludf.DUMMYFUNCTION("""COMPUTED_VALUE"""),"С. Денчев, А. Куманова")</f>
        <v>С. Денчев, А. Куманова</v>
      </c>
      <c r="H6067" s="10"/>
      <c r="I6067" s="10"/>
      <c r="J6067" s="10"/>
      <c r="K6067" s="10"/>
      <c r="L6067" s="10"/>
      <c r="M6067" s="10"/>
      <c r="N6067" s="10"/>
      <c r="O6067" s="10"/>
      <c r="P6067" s="10"/>
      <c r="Q6067" s="10"/>
      <c r="R6067" s="10"/>
      <c r="S6067" s="10"/>
      <c r="T6067" s="10"/>
      <c r="U6067" s="10"/>
      <c r="V6067" s="10"/>
      <c r="W6067" s="10"/>
      <c r="X6067" s="10"/>
      <c r="Y6067" s="10"/>
      <c r="Z6067" s="10"/>
    </row>
    <row r="6068" spans="1:26" ht="12.75">
      <c r="A6068" s="10" t="str">
        <f ca="1">IFERROR(__xludf.DUMMYFUNCTION("""COMPUTED_VALUE"""),"Николай Куртев Василев")</f>
        <v>Николай Куртев Василев</v>
      </c>
      <c r="B6068" s="10" t="str">
        <f ca="1">IFERROR(__xludf.DUMMYFUNCTION("""COMPUTED_VALUE"""),"Книга")</f>
        <v>Книга</v>
      </c>
      <c r="C6068" s="10" t="str">
        <f ca="1">IFERROR(__xludf.DUMMYFUNCTION("""COMPUTED_VALUE"""),"[1] 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 [2] The Russian–Bulga"&amp;"rian–English dictionary of library and information terminology = Русско-болгаро-английский словарь по библиотечной и информационной деятельности = Руско-българо-английски речник по библиотечна и информационна дейност [3] The Bulgarian–English–Russian dict"&amp;"ionary of library and information terminology = Болгаро-англо-русский словарь по библиотечной и информационной деятельности = Българо-англо-руски речник по библиотечна и информационна дейност")</f>
        <v>[1] The English–Russian–Bulgarian dictionary of library and information terminology = Англо-русско-болгарский словарь по библиотечной и информационной деятельности = Англо-руско-български речник по библиотечна и информационна дейност [2] The Russian–Bulgarian–English dictionary of library and information terminology = Русско-болгаро-английский словарь по библиотечной и информационной деятельности = Руско-българо-английски речник по библиотечна и информационна дейност [3] The Bulgarian–English–Russian dictionary of library and information terminology = Болгаро-англо-русский словарь по библиотечной и информационной деятельности = Българо-англо-руски речник по библиотечна и информационна дейност</v>
      </c>
      <c r="D6068" s="10">
        <f ca="1">IFERROR(__xludf.DUMMYFUNCTION("""COMPUTED_VALUE"""),2017)</f>
        <v>2017</v>
      </c>
      <c r="E6068" s="10" t="str">
        <f ca="1">IFERROR(__xludf.DUMMYFUNCTION("""COMPUTED_VALUE"""),"Comp. J. V. Richardson ... [и др.] Managing ed. S. Denchev Ed.-in-chief A. Kumanova Ed. board R. Burger ... [и др.] Language еd. N. Vasilev ... [и др.] Сост. Э. Р. Сукиасян ... [и др.] Отв. ред. С. Денчев Глав. ред. А. Куманова Редкол. Р. Бургер ... [и др"&amp;".] Eз. ред. Н. Василев ... [и др.] Състав. А. Куманова ... [и др.] Отг. ред. С. Денчев Глав. ред. А. Куманова Ред. кол. Р. Бургер ... [и др.] Ез. ред. Н. Василев ... [и др.] Ново ел. изд. София : За буквите – О писменехь, 2017. – 818 с. – (Факлоносци ; ХV"&amp;"ІІІ) Юбилейно изд., посв. на 70-год. на ЮНЕСКО и 65-год. на Унив. по библиотекознание и информ. технолог. Е ISBN 978-619-185-276-5 Публ. и в: &lt;http://www.unibit.sno.bg&gt; &lt;https://www.researchgate.net/publication/316926648_THE_ENGLISH-RUSSIAN-BULGARIAN_DICT"&amp;"IONARY_OF_LIBRARY_AND_INFORMATION_TERMINOLOGY&gt; &lt;https://www.google.bg/search?q=%D0%95+ISBN+978-619-185-276-5&amp;ie=utf-8&amp;oe=utf-8&amp;client=firefox-b&amp;gfe_rd=cr&amp;ei=AilKWfSRE-jHXtPsnMAO&gt; &lt;http://lic.vumk.eu/Eng-Rus-Bulg-Dictionary-Library-Inform-Terminolog.pdf&gt; &lt;"&amp;"https://www.researchgate.net/profile/Alexandra_Kumanova&gt;")</f>
        <v>Comp. J. V. Richardson ... [и др.] Managing ed. S. Denchev Ed.-in-chief A. Kumanova Ed. board R. Burger ... [и др.] Language еd. N. Vasilev ... [и др.] Сост. Э. Р. Сукиасян ... [и др.] Отв. ред. С. Денчев Глав. ред. А. Куманова Редкол. Р. Бургер ... [и др.] Eз. ред. Н. Василев ... [и др.] Състав. А. Куманова ... [и др.] Отг. ред. С. Денчев Глав. ред. А. Куманова Ред. кол. Р. Бургер ... [и др.] Ез. ред. Н. Василев ... [и др.] Ново ел. изд. София : За буквите – О писменехь, 2017. – 818 с. – (Факлоносци ; ХVІІІ) Юбилейно изд., посв. на 70-год. на ЮНЕСКО и 65-год. на Унив. по библиотекознание и информ. технолог. Е ISBN 978-619-185-276-5 Публ. и в: &lt;http://www.unibit.sno.bg&gt; &lt;https://www.researchgate.net/publication/316926648_THE_ENGLISH-RUSSIAN-BULGARIAN_DICTIONARY_OF_LIBRARY_AND_INFORMATION_TERMINOLOGY&gt; &lt;https://www.google.bg/search?q=%D0%95+ISBN+978-619-185-276-5&amp;ie=utf-8&amp;oe=utf-8&amp;client=firefox-b&amp;gfe_rd=cr&amp;ei=AilKWfSRE-jHXtPsnMAO&gt; &lt;http://lic.vumk.eu/Eng-Rus-Bulg-Dictionary-Library-Inform-Terminolog.pdf&gt; &lt;https://www.researchgate.net/profile/Alexandra_Kumanova&gt;</v>
      </c>
      <c r="F6068" s="10" t="str">
        <f ca="1">IFERROR(__xludf.DUMMYFUNCTION("""COMPUTED_VALUE"""),"[Национален регистър] &lt;http://www.booksinprint.bg/Publication/Details/a1f853ed-dcea-4df4-a465-12aed51a384f&gt;
 COBIS.BG на НБКМ &lt;http://www.bg.cobiss.net/&gt;")</f>
        <v>[Национален регистър] &lt;http://www.booksinprint.bg/Publication/Details/a1f853ed-dcea-4df4-a465-12aed51a384f&gt;
 COBIS.BG на НБКМ &lt;http://www.bg.cobiss.net/&gt;</v>
      </c>
      <c r="G6068" s="10" t="str">
        <f ca="1">IFERROR(__xludf.DUMMYFUNCTION("""COMPUTED_VALUE"""),"А. Куманова")</f>
        <v>А. Куманова</v>
      </c>
      <c r="H6068" s="10"/>
      <c r="I6068" s="10"/>
      <c r="J6068" s="10"/>
      <c r="K6068" s="10"/>
      <c r="L6068" s="10"/>
      <c r="M6068" s="10"/>
      <c r="N6068" s="10"/>
      <c r="O6068" s="10"/>
      <c r="P6068" s="10"/>
      <c r="Q6068" s="10"/>
      <c r="R6068" s="10"/>
      <c r="S6068" s="10"/>
      <c r="T6068" s="10"/>
      <c r="U6068" s="10"/>
      <c r="V6068" s="10"/>
      <c r="W6068" s="10"/>
      <c r="X6068" s="10"/>
      <c r="Y6068" s="10"/>
      <c r="Z6068" s="10"/>
    </row>
    <row r="6069" spans="1:26" ht="12.75">
      <c r="A6069" s="10" t="str">
        <f ca="1">IFERROR(__xludf.DUMMYFUNCTION("""COMPUTED_VALUE"""),"Николай Куртев Василев")</f>
        <v>Николай Куртев Василев</v>
      </c>
      <c r="B6069" s="10" t="str">
        <f ca="1">IFERROR(__xludf.DUMMYFUNCTION("""COMPUTED_VALUE"""),"Книга")</f>
        <v>Книга</v>
      </c>
      <c r="C6069" s="10" t="str">
        <f ca="1">IFERROR(__xludf.DUMMYFUNCTION("""COMPUTED_VALUE"""),"Умберто Еко в България : Биобиблиогр. (Публ. на тр. му и лит. за него) [168 ном. назв.]")</f>
        <v>Умберто Еко в България : Биобиблиогр. (Публ. на тр. му и лит. за него) [168 ном. назв.]</v>
      </c>
      <c r="D6069" s="10">
        <f ca="1">IFERROR(__xludf.DUMMYFUNCTION("""COMPUTED_VALUE"""),2017)</f>
        <v>2017</v>
      </c>
      <c r="E6069" s="10" t="str">
        <f ca="1">IFERROR(__xludf.DUMMYFUNCTION("""COMPUTED_VALUE"""),"София : За буквите – О писменехь, 2017. – 122 с. : с портр. – (Факлоносци ; ХХІ) Публ. и в: &lt;http://www.sno.unibit.bg&gt; &lt;https://www.researchgate.net/publication/321586733_Umberto_Eko_v_Blgaria_biobibliografia&gt; &lt;https://www.academia.edu/35361392/&gt; &lt;https:/"&amp;"/www.researchgate.net/publication/321586733_Umberto_Eko_v_Blgaria_biobibliografia&gt; ISBN 978-619-185-300-7 ISBN 978-619-185-301-4 E ISBN 978-619-185-302-1")</f>
        <v>София : За буквите – О писменехь, 2017. – 122 с. : с портр. – (Факлоносци ; ХХІ) Публ. и в: &lt;http://www.sno.unibit.bg&gt; &lt;https://www.researchgate.net/publication/321586733_Umberto_Eko_v_Blgaria_biobibliografia&gt; &lt;https://www.academia.edu/35361392/&gt; &lt;https://www.researchgate.net/publication/321586733_Umberto_Eko_v_Blgaria_biobibliografia&gt; ISBN 978-619-185-300-7 ISBN 978-619-185-301-4 E ISBN 978-619-185-302-1</v>
      </c>
      <c r="F6069" s="10" t="str">
        <f ca="1">IFERROR(__xludf.DUMMYFUNCTION("""COMPUTED_VALUE"""),"Централна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&lt;http://primo.n"&amp;"alis.bg/&gt;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&lt;https://www.uni-s"&amp;"ofia.bg&gt;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В"&amp;"ашингтон, САЩ (The Library of Congress – Washington, USA) &lt;https://www.loc.gov&gt;
 Британска библиотека – Лондон, Великобритания (The British Library – London, UK) &lt;www.bl.uk&gt;")</f>
        <v>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v>
      </c>
      <c r="G6069" s="10" t="str">
        <f ca="1">IFERROR(__xludf.DUMMYFUNCTION("""COMPUTED_VALUE"""),"Куманова, А. и др.")</f>
        <v>Куманова, А. и др.</v>
      </c>
      <c r="H6069" s="10"/>
      <c r="I6069" s="10"/>
      <c r="J6069" s="10"/>
      <c r="K6069" s="10"/>
      <c r="L6069" s="10"/>
      <c r="M6069" s="10"/>
      <c r="N6069" s="10"/>
      <c r="O6069" s="10"/>
      <c r="P6069" s="10"/>
      <c r="Q6069" s="10"/>
      <c r="R6069" s="10"/>
      <c r="S6069" s="10"/>
      <c r="T6069" s="10"/>
      <c r="U6069" s="10"/>
      <c r="V6069" s="10"/>
      <c r="W6069" s="10"/>
      <c r="X6069" s="10"/>
      <c r="Y6069" s="10"/>
      <c r="Z6069" s="10"/>
    </row>
    <row r="6070" spans="1:26" ht="12.75">
      <c r="A6070" s="10" t="str">
        <f ca="1">IFERROR(__xludf.DUMMYFUNCTION("""COMPUTED_VALUE"""),"Николай Куртев Василев")</f>
        <v>Николай Куртев Василев</v>
      </c>
      <c r="B6070" s="10" t="str">
        <f ca="1">IFERROR(__xludf.DUMMYFUNCTION("""COMPUTED_VALUE"""),"Доклад от конференция")</f>
        <v>Доклад от конференция</v>
      </c>
      <c r="C6070" s="10" t="str">
        <f ca="1">IFERROR(__xludf.DUMMYFUNCTION("""COMPUTED_VALUE"""),"Вторично-документальный предметный контур гуманитарного знания библиосферы (Истоки современной международной универсальной библиографии)")</f>
        <v>Вторично-документальный предметный контур гуманитарного знания библиосферы (Истоки современной международной универсальной библиографии)</v>
      </c>
      <c r="D6070" s="10">
        <f ca="1">IFERROR(__xludf.DUMMYFUNCTION("""COMPUTED_VALUE"""),2017)</f>
        <v>2017</v>
      </c>
      <c r="E6070" s="10" t="str">
        <f ca="1">IFERROR(__xludf.DUMMYFUNCTION("""COMPUTED_VALUE"""),"Fundamental and applied sciences today X : Фундаментальные и прикладные науки. Философские науки : Vol. 1 : Proceedings of the Conference. – North Charleston, USA, 26-27.12.2016. – North Charleston, USA, 2017. – ISBN 978-1541337480. – с. 115-120.")</f>
        <v>Fundamental and applied sciences today X : Фундаментальные и прикладные науки. Философские науки : Vol. 1 : Proceedings of the Conference. – North Charleston, USA, 26-27.12.2016. – North Charleston, USA, 2017. – ISBN 978-1541337480. – с. 115-120.</v>
      </c>
      <c r="F6070" s="10" t="str">
        <f ca="1">IFERROR(__xludf.DUMMYFUNCTION("""COMPUTED_VALUE"""),"&lt;http://science-publish.ru/node/2&gt;")</f>
        <v>&lt;http://science-publish.ru/node/2&gt;</v>
      </c>
      <c r="G6070" s="10" t="str">
        <f ca="1">IFERROR(__xludf.DUMMYFUNCTION("""COMPUTED_VALUE"""),"S. G. Denchev, A. V. Kumanova")</f>
        <v>S. G. Denchev, A. V. Kumanova</v>
      </c>
      <c r="H6070" s="10"/>
      <c r="I6070" s="10"/>
      <c r="J6070" s="10"/>
      <c r="K6070" s="10"/>
      <c r="L6070" s="10"/>
      <c r="M6070" s="10"/>
      <c r="N6070" s="10"/>
      <c r="O6070" s="10"/>
      <c r="P6070" s="10"/>
      <c r="Q6070" s="10"/>
      <c r="R6070" s="10"/>
      <c r="S6070" s="10"/>
      <c r="T6070" s="10"/>
      <c r="U6070" s="10"/>
      <c r="V6070" s="10"/>
      <c r="W6070" s="10"/>
      <c r="X6070" s="10"/>
      <c r="Y6070" s="10"/>
      <c r="Z6070" s="10"/>
    </row>
    <row r="6071" spans="1:26" ht="12.75">
      <c r="A6071" s="10" t="str">
        <f ca="1">IFERROR(__xludf.DUMMYFUNCTION("""COMPUTED_VALUE"""),"Николай Куртев Василев")</f>
        <v>Николай Куртев Василев</v>
      </c>
      <c r="B6071" s="10" t="str">
        <f ca="1">IFERROR(__xludf.DUMMYFUNCTION("""COMPUTED_VALUE"""),"Доклад от конференция")</f>
        <v>Доклад от конференция</v>
      </c>
      <c r="C6071" s="10" t="str">
        <f ca="1">IFERROR(__xludf.DUMMYFUNCTION("""COMPUTED_VALUE"""),"The Study of Civilizations : The right way to the real Cultural Globalization (Life-giving tree of the historical and cultural development of the Humanity)")</f>
        <v>The Study of Civilizations : The right way to the real Cultural Globalization (Life-giving tree of the historical and cultural development of the Humanity)</v>
      </c>
      <c r="D6071" s="10">
        <f ca="1">IFERROR(__xludf.DUMMYFUNCTION("""COMPUTED_VALUE"""),2017)</f>
        <v>2017</v>
      </c>
      <c r="E6071" s="10"/>
      <c r="F6071" s="10" t="str">
        <f ca="1">IFERROR(__xludf.DUMMYFUNCTION("""COMPUTED_VALUE"""),"&lt;http://science-publish.ru/node/2&gt;")</f>
        <v>&lt;http://science-publish.ru/node/2&gt;</v>
      </c>
      <c r="G6071" s="10" t="str">
        <f ca="1">IFERROR(__xludf.DUMMYFUNCTION("""COMPUTED_VALUE"""),"S. G. Denchev, A. V. Kumanova, N. R. Kazanski")</f>
        <v>S. G. Denchev, A. V. Kumanova, N. R. Kazanski</v>
      </c>
      <c r="H6071" s="10"/>
      <c r="I6071" s="10"/>
      <c r="J6071" s="10"/>
      <c r="K6071" s="10"/>
      <c r="L6071" s="10"/>
      <c r="M6071" s="10"/>
      <c r="N6071" s="10"/>
      <c r="O6071" s="10"/>
      <c r="P6071" s="10"/>
      <c r="Q6071" s="10"/>
      <c r="R6071" s="10"/>
      <c r="S6071" s="10"/>
      <c r="T6071" s="10"/>
      <c r="U6071" s="10"/>
      <c r="V6071" s="10"/>
      <c r="W6071" s="10"/>
      <c r="X6071" s="10"/>
      <c r="Y6071" s="10"/>
      <c r="Z6071" s="10"/>
    </row>
    <row r="6072" spans="1:26" ht="12.75">
      <c r="A6072" s="10" t="str">
        <f ca="1">IFERROR(__xludf.DUMMYFUNCTION("""COMPUTED_VALUE"""),"Николай Куртев Василев")</f>
        <v>Николай Куртев Василев</v>
      </c>
      <c r="B6072" s="10" t="str">
        <f ca="1">IFERROR(__xludf.DUMMYFUNCTION("""COMPUTED_VALUE"""),"Книга")</f>
        <v>Книга</v>
      </c>
      <c r="C6072" s="10" t="str">
        <f ca="1">IFERROR(__xludf.DUMMYFUNCTION("""COMPUTED_VALUE"""),"Нишката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f>
        <v>Нишката на Ариадна (Gloria bibliospherae) : Когнитология на енциклопедичността на библиотечната и информационната дейност = Ariadne thread (Gloria bibliospherae) : Cognitology of encyclopedicity of the library and information activity</v>
      </c>
      <c r="D6072" s="10">
        <f ca="1">IFERROR(__xludf.DUMMYFUNCTION("""COMPUTED_VALUE"""),2017)</f>
        <v>2017</v>
      </c>
      <c r="E6072" s="10" t="str">
        <f ca="1">IFERROR(__xludf.DUMMYFUNCTION("""COMPUTED_VALUE"""),"Науч. ред. Стоян Денчев Състав., предг., библиогр. А. Куманова, Н. Василев София : За буквите – О писменехь, 2017. – 952 с. : с ил. – (Факлоносци ; ХІХ) Публ. и на ел. адрес http://www.unibit.sno.bg, със самостоятелен Е ISBN 978-619-185-286-4. ISBN 978-61"&amp;"9-185-285-7 Публ. и в: &lt;http://www.sno.unibit.bg&gt;; &lt;https://www.academia.edu/35361374&gt; &lt;https://www.academia.edu/35361374_GLORIA_BIBLIOSPHERAE&gt; &lt;https://nm40.abv.bg/Mail.html#message:fid/10:pid/0:mid/15598944520:tid/60:r/0&gt; &lt;https://www.researchgate.net/p"&amp;"ublication/321586389_Niskata_na_Ariadna_Gloria_bibliospherae&gt;")</f>
        <v>Науч. ред. Стоян Денчев Състав., предг., библиогр. А. Куманова, Н. Василев София : За буквите – О писменехь, 2017. – 952 с. : с ил. – (Факлоносци ; ХІХ) Публ. и на ел. адрес http://www.unibit.sno.bg, със самостоятелен Е ISBN 978-619-185-286-4. ISBN 978-619-185-285-7 Публ. и в: &lt;http://www.sno.unibit.bg&gt;; &lt;https://www.academia.edu/35361374&gt; &lt;https://www.academia.edu/35361374_GLORIA_BIBLIOSPHERAE&gt; &lt;https://nm40.abv.bg/Mail.html#message:fid/10:pid/0:mid/15598944520:tid/60:r/0&gt; &lt;https://www.researchgate.net/publication/321586389_Niskata_na_Ariadna_Gloria_bibliospherae&gt;</v>
      </c>
      <c r="F6072" s="10" t="str">
        <f ca="1">IFERROR(__xludf.DUMMYFUNCTION("""COMPUTED_VALUE"""),"Централна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&lt;http://primo.n"&amp;"alis.bg/&gt;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&lt;https://www.uni-s"&amp;"ofia.bg&gt;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В"&amp;"ашингтон, САЩ (The Library of Congress – Washington, USA) &lt;https://www.loc.gov&gt;
 Британска библиотека – Лондон, Великобритания (The British Library – London, UK) &lt;www.bl.uk&gt;")</f>
        <v>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 &lt;http://www.bg.cobiss.net/&gt;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v>
      </c>
      <c r="G6072" s="10" t="str">
        <f ca="1">IFERROR(__xludf.DUMMYFUNCTION("""COMPUTED_VALUE"""),"А. Куманова")</f>
        <v>А. Куманова</v>
      </c>
      <c r="H6072" s="10"/>
      <c r="I6072" s="10"/>
      <c r="J6072" s="10"/>
      <c r="K6072" s="10"/>
      <c r="L6072" s="10"/>
      <c r="M6072" s="10"/>
      <c r="N6072" s="10"/>
      <c r="O6072" s="10"/>
      <c r="P6072" s="10"/>
      <c r="Q6072" s="10"/>
      <c r="R6072" s="10"/>
      <c r="S6072" s="10"/>
      <c r="T6072" s="10"/>
      <c r="U6072" s="10"/>
      <c r="V6072" s="10"/>
      <c r="W6072" s="10"/>
      <c r="X6072" s="10"/>
      <c r="Y6072" s="10"/>
      <c r="Z6072" s="10"/>
    </row>
    <row r="6073" spans="1:26" ht="12.75">
      <c r="A6073" s="10" t="str">
        <f ca="1">IFERROR(__xludf.DUMMYFUNCTION("""COMPUTED_VALUE"""),"Николай Куртев Василев")</f>
        <v>Николай Куртев Василев</v>
      </c>
      <c r="B6073" s="10" t="str">
        <f ca="1">IFERROR(__xludf.DUMMYFUNCTION("""COMPUTED_VALUE"""),"Статия в списания и поредици")</f>
        <v>Статия в списания и поредици</v>
      </c>
      <c r="C6073" s="10" t="str">
        <f ca="1">IFERROR(__xludf.DUMMYFUNCTION("""COMPUTED_VALUE"""),"Трансмисия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 (1. Образи на слънцето, огъня"&amp;", ковача и вълка в българските народни приказки, идилиите на Петко Ю. Тодоров и авторските приказки на Николай Райнов и символика на Мадарския конник; 2. Национални носии по културния коридор „Мала Азия – Балкански полуостров” по птичето трасе „Via Pontic"&amp;"a”; 3. Светилища и храмове на огъня и принадлежащите им исторически комплекси в Северна Месопотамия – днешни: Иран, Централна и Източна Турция, и нестинарската феноменология в Странджа; 4. Свидетелство на „История славяноболгарская …” на Св. о. Паисий Хил"&amp;"ендарски)")</f>
        <v>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 (1. Образи на слънцето, огъня, ковача и вълка в българските народни приказки, идилиите на Петко Ю. Тодоров и авторските приказки на Николай Райнов и символика на Мадарския конник; 2. Национални носии по културния коридор „Мала Азия – Балкански полуостров” по птичето трасе „Via Pontica”; 3. Светилища и храмове на огъня и принадлежащите им исторически комплекси в Северна Месопотамия – днешни: Иран, Централна и Източна Турция, и нестинарската феноменология в Странджа; 4. Свидетелство на „История славяноболгарская …” на Св. о. Паисий Хилендарски)</v>
      </c>
      <c r="D6073" s="10">
        <f ca="1">IFERROR(__xludf.DUMMYFUNCTION("""COMPUTED_VALUE"""),2017)</f>
        <v>2017</v>
      </c>
      <c r="E6073" s="10" t="str">
        <f ca="1">IFERROR(__xludf.DUMMYFUNCTION("""COMPUTED_VALUE"""),"Издател (В. Търново). – ISSN 1310-4624. – 2017, N 2 (3-4), с. 67-94 : ил.")</f>
        <v>Издател (В. Търново). – ISSN 1310-4624. – 2017, N 2 (3-4), с. 67-94 : ил.</v>
      </c>
      <c r="F6073" s="10"/>
      <c r="G6073" s="10" t="str">
        <f ca="1">IFERROR(__xludf.DUMMYFUNCTION("""COMPUTED_VALUE"""),"С. Денчев, А. Куманова, Н. Казански")</f>
        <v>С. Денчев, А. Куманова, Н. Казански</v>
      </c>
      <c r="H6073" s="10"/>
      <c r="I6073" s="10"/>
      <c r="J6073" s="10"/>
      <c r="K6073" s="10"/>
      <c r="L6073" s="10"/>
      <c r="M6073" s="10"/>
      <c r="N6073" s="10"/>
      <c r="O6073" s="10"/>
      <c r="P6073" s="10"/>
      <c r="Q6073" s="10"/>
      <c r="R6073" s="10"/>
      <c r="S6073" s="10"/>
      <c r="T6073" s="10"/>
      <c r="U6073" s="10"/>
      <c r="V6073" s="10"/>
      <c r="W6073" s="10"/>
      <c r="X6073" s="10"/>
      <c r="Y6073" s="10"/>
      <c r="Z6073" s="10"/>
    </row>
    <row r="6074" spans="1:26" ht="12.75">
      <c r="A6074" s="10" t="str">
        <f ca="1">IFERROR(__xludf.DUMMYFUNCTION("""COMPUTED_VALUE"""),"Николай Куртев Василев")</f>
        <v>Николай Куртев Василев</v>
      </c>
      <c r="B6074" s="10" t="str">
        <f ca="1">IFERROR(__xludf.DUMMYFUNCTION("""COMPUTED_VALUE"""),"Статия в списания и поредици")</f>
        <v>Статия в списания и поредици</v>
      </c>
      <c r="C6074"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6074" s="10">
        <f ca="1">IFERROR(__xludf.DUMMYFUNCTION("""COMPUTED_VALUE"""),2017)</f>
        <v>2017</v>
      </c>
      <c r="E6074" s="10" t="str">
        <f ca="1">IFERROR(__xludf.DUMMYFUNCTION("""COMPUTED_VALUE"""),"За буквите – О писменехь : Кирило-Методиевски вестник (София). – ISSN 1312-3785. – N 49, март 2017, с. 7. – Редуц. публ.")</f>
        <v>За буквите – О писменехь : Кирило-Методиевски вестник (София). – ISSN 1312-3785. – N 49, март 2017, с. 7. – Редуц. публ.</v>
      </c>
      <c r="F6074" s="10" t="str">
        <f ca="1">IFERROR(__xludf.DUMMYFUNCTION("""COMPUTED_VALUE"""),"Публ. &lt;http://www.unibit.bg&gt;")</f>
        <v>Публ. &lt;http://www.unibit.bg&gt;</v>
      </c>
      <c r="G6074" s="10" t="str">
        <f ca="1">IFERROR(__xludf.DUMMYFUNCTION("""COMPUTED_VALUE"""),"С. Денчев, А. Куманова, Н. Казански")</f>
        <v>С. Денчев, А. Куманова, Н. Казански</v>
      </c>
      <c r="H6074" s="10"/>
      <c r="I6074" s="10"/>
      <c r="J6074" s="10"/>
      <c r="K6074" s="10"/>
      <c r="L6074" s="10"/>
      <c r="M6074" s="10"/>
      <c r="N6074" s="10"/>
      <c r="O6074" s="10"/>
      <c r="P6074" s="10"/>
      <c r="Q6074" s="10"/>
      <c r="R6074" s="10"/>
      <c r="S6074" s="10"/>
      <c r="T6074" s="10"/>
      <c r="U6074" s="10"/>
      <c r="V6074" s="10"/>
      <c r="W6074" s="10"/>
      <c r="X6074" s="10"/>
      <c r="Y6074" s="10"/>
      <c r="Z6074" s="10"/>
    </row>
    <row r="6075" spans="1:26" ht="12.75">
      <c r="A6075" s="10" t="str">
        <f ca="1">IFERROR(__xludf.DUMMYFUNCTION("""COMPUTED_VALUE"""),"Николай Куртев Василев")</f>
        <v>Николай Куртев Василев</v>
      </c>
      <c r="B6075" s="10" t="str">
        <f ca="1">IFERROR(__xludf.DUMMYFUNCTION("""COMPUTED_VALUE"""),"Книга")</f>
        <v>Книга</v>
      </c>
      <c r="C6075" s="10" t="str">
        <f ca="1">IFERROR(__xludf.DUMMYFUNCTION("""COMPUTED_VALUE"""),"Интеграл библиографии : Учебник-компендиум по общему библиографоведению")</f>
        <v>Интеграл библиографии : Учебник-компендиум по общему библиографоведению</v>
      </c>
      <c r="D6075" s="10">
        <f ca="1">IFERROR(__xludf.DUMMYFUNCTION("""COMPUTED_VALUE"""),2016)</f>
        <v>2016</v>
      </c>
      <c r="E6075" s="10" t="str">
        <f ca="1">IFERROR(__xludf.DUMMYFUNCTION("""COMPUTED_VALUE"""),"А. Куманова Общ. ред. Н. Василев Saarbrücken : LAP LAMBERT Academic Publishing, 2016. – 132 с. : с портр. ISBN 978-3-659-96247-9")</f>
        <v>А. Куманова Общ. ред. Н. Василев Saarbrücken : LAP LAMBERT Academic Publishing, 2016. – 132 с. : с портр. ISBN 978-3-659-96247-9</v>
      </c>
      <c r="F6075" s="10" t="str">
        <f ca="1">IFERROR(__xludf.DUMMYFUNCTION("""COMPUTED_VALUE"""),"Публ. и в: &lt;https://www.lap-publishing.com//registration/registerwithtoken/a3142ba5e26c4e4427c7b2977c01ba61?locale=ru&gt;; &lt;http://sno.unibit.bg&gt;; &lt;https://www.academia.edu/30043130/&gt;; &lt;https://www.researchgate.net/profile/Alexandra_Kumanova&gt;; &lt;https://www.r"&amp;"esearchgate.net/...Kumanova/&gt;
 Национална библиотека „Св. Св. Кирил и Методий” &lt;https://www.nationallibrary.bg&gt;
 Bibliogr. Inform. der Deutschen Nationalbibliothek &lt;https://dnb.d-nb.de&gt;
 [В каталог LAP:] &lt;https://www.lap-publishing.com/catalog/detai"&amp;"ls/store/ru/book/978-3-659-96247-9/search=978-3-659-96247-9&gt;
 [В каталозите за кн. на онлайн магазините:] &lt;https://www.ljubljuknigi.ru/store/gb/book/ /isbn/978-3-659-96247-9&gt; &lt;https://www.morebooks.de/store/gb/book/isbn/978-3-659-96247-9&gt;
 &lt;https://www."&amp;"knigozal.com/store/gb/book/isbn/978-3-659-96247-9&gt;
 &lt;https://www.amazon.com/E-Russian/dp/3659962473/ref=sr_1_1?ie=UTF8&amp;qid=1477385391&amp;sr=8-1&amp;keywords=9783659962479&gt;
 [В Немския книжен каталог на Немската нац. б-ка:] &lt;https://portal.dnb.de&gt;
 Integral b"&amp;"ibliografii : Kompendium po obshhemu bibliografovedeniju &lt;https://books.google.bg/books/about/Integral_bibliografii.html?id=7Tk_vgAACAAJ&amp;redir_esc=y&gt;
 Amazon.com &lt;https://www.amazon.com/x418-x43D-x442-x435-x433/dp/3659962473&gt;")</f>
        <v>Публ. и в: &lt;https://www.lap-publishing.com//registration/registerwithtoken/a3142ba5e26c4e4427c7b2977c01ba61?locale=ru&gt;; &lt;http://sno.unibit.bg&gt;; &lt;https://www.academia.edu/30043130/&gt;; &lt;https://www.researchgate.net/profile/Alexandra_Kumanova&gt;; &lt;https://www.researchgate.net/...Kumanova/&gt;
 Национална библиотека „Св. Св. Кирил и Методий” &lt;https://www.nationallibrary.bg&gt;
 Bibliogr. Inform. der Deutschen Nationalbibliothek &lt;https://dnb.d-nb.de&gt;
 [В каталог LAP:] &lt;https://www.lap-publishing.com/catalog/details/store/ru/book/978-3-659-96247-9/search=978-3-659-96247-9&gt;
 [В каталозите за кн. на онлайн магазините:] &lt;https://www.ljubljuknigi.ru/store/gb/book/ /isbn/978-3-659-96247-9&gt; &lt;https://www.morebooks.de/store/gb/book/isbn/978-3-659-96247-9&gt;
 &lt;https://www.knigozal.com/store/gb/book/isbn/978-3-659-96247-9&gt;
 &lt;https://www.amazon.com/E-Russian/dp/3659962473/ref=sr_1_1?ie=UTF8&amp;qid=1477385391&amp;sr=8-1&amp;keywords=9783659962479&gt;
 [В Немския книжен каталог на Немската нац. б-ка:] &lt;https://portal.dnb.de&gt;
 Integral bibliografii : Kompendium po obshhemu bibliografovedeniju &lt;https://books.google.bg/books/about/Integral_bibliografii.html?id=7Tk_vgAACAAJ&amp;redir_esc=y&gt;
 Amazon.com &lt;https://www.amazon.com/x418-x43D-x442-x435-x433/dp/3659962473&gt;</v>
      </c>
      <c r="G6075" s="10" t="str">
        <f ca="1">IFERROR(__xludf.DUMMYFUNCTION("""COMPUTED_VALUE"""),"А. Куманова")</f>
        <v>А. Куманова</v>
      </c>
      <c r="H6075" s="10"/>
      <c r="I6075" s="10"/>
      <c r="J6075" s="10"/>
      <c r="K6075" s="10"/>
      <c r="L6075" s="10"/>
      <c r="M6075" s="10"/>
      <c r="N6075" s="10"/>
      <c r="O6075" s="10"/>
      <c r="P6075" s="10"/>
      <c r="Q6075" s="10"/>
      <c r="R6075" s="10"/>
      <c r="S6075" s="10"/>
      <c r="T6075" s="10"/>
      <c r="U6075" s="10"/>
      <c r="V6075" s="10"/>
      <c r="W6075" s="10"/>
      <c r="X6075" s="10"/>
      <c r="Y6075" s="10"/>
      <c r="Z6075" s="10"/>
    </row>
    <row r="6076" spans="1:26" ht="12.75">
      <c r="A6076" s="10" t="str">
        <f ca="1">IFERROR(__xludf.DUMMYFUNCTION("""COMPUTED_VALUE"""),"Николай Куртев Василев")</f>
        <v>Николай Куртев Василев</v>
      </c>
      <c r="B6076" s="10" t="str">
        <f ca="1">IFERROR(__xludf.DUMMYFUNCTION("""COMPUTED_VALUE"""),"Статия в списания и поредици")</f>
        <v>Статия в списания и поредици</v>
      </c>
      <c r="C6076"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6076" s="10">
        <f ca="1">IFERROR(__xludf.DUMMYFUNCTION("""COMPUTED_VALUE"""),2016)</f>
        <v>2016</v>
      </c>
      <c r="E6076" s="10" t="str">
        <f ca="1">IFERROR(__xludf.DUMMYFUNCTION("""COMPUTED_VALUE"""),"Издател (В. Търново). – ISSN 1310-4624. – 2016, N 2 (3-4), с. 111-121 : с ил.")</f>
        <v>Издател (В. Търново). – ISSN 1310-4624. – 2016, N 2 (3-4), с. 111-121 : с ил.</v>
      </c>
      <c r="F6076" s="10" t="str">
        <f ca="1">IFERROR(__xludf.DUMMYFUNCTION("""COMPUTED_VALUE"""),"Публ.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f>
        <v>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v>
      </c>
      <c r="G6076" s="10" t="str">
        <f ca="1">IFERROR(__xludf.DUMMYFUNCTION("""COMPUTED_VALUE"""),"С. Денчев, А. Куманова, Н. Казански")</f>
        <v>С. Денчев, А. Куманова, Н. Казански</v>
      </c>
      <c r="H6076" s="10"/>
      <c r="I6076" s="10"/>
      <c r="J6076" s="10"/>
      <c r="K6076" s="10"/>
      <c r="L6076" s="10"/>
      <c r="M6076" s="10"/>
      <c r="N6076" s="10"/>
      <c r="O6076" s="10"/>
      <c r="P6076" s="10"/>
      <c r="Q6076" s="10"/>
      <c r="R6076" s="10"/>
      <c r="S6076" s="10"/>
      <c r="T6076" s="10"/>
      <c r="U6076" s="10"/>
      <c r="V6076" s="10"/>
      <c r="W6076" s="10"/>
      <c r="X6076" s="10"/>
      <c r="Y6076" s="10"/>
      <c r="Z6076" s="10"/>
    </row>
    <row r="6077" spans="1:26" ht="12.75">
      <c r="A6077" s="10" t="str">
        <f ca="1">IFERROR(__xludf.DUMMYFUNCTION("""COMPUTED_VALUE"""),"Николай Куртев Василев")</f>
        <v>Николай Куртев Василев</v>
      </c>
      <c r="B6077" s="10" t="str">
        <f ca="1">IFERROR(__xludf.DUMMYFUNCTION("""COMPUTED_VALUE"""),"Доклад от конференция")</f>
        <v>Доклад от конференция</v>
      </c>
      <c r="C6077" s="10" t="str">
        <f ca="1">IFERROR(__xludf.DUMMYFUNCTION("""COMPUTED_VALUE"""),"Към проблема за синтактиката на трансформационните процеси в съвременния български език – хипотаксични, паратаксични и интермодални модели (Трансмисия на езика на Св. Константин-Кирил Философ и архиепископ Методий във филологическия модел на славянските е"&amp;"зици) : Плен. докл. на ХІІІ Нац. науч. конф. с междунар. участие „О-вото на знанието и хуманизмът на ХХІ в.”, 1.11.2015 г., София, УниБИТ / Посв. на 1150-год. от Покръстването на българите")</f>
        <v>Към проблема за синтактиката на трансформационните процеси в съвременния български език – хипотаксични, паратаксични и интермодални модели (Трансмисия на езика на Св. Константин-Кирил Философ и архиепископ Методий във филологическия модел на славянските езици) : Плен. докл. на ХІІІ Нац. науч. конф. с междунар. участие „О-вото на знанието и хуманизмът на ХХІ в.”, 1.11.2015 г., София, УниБИТ / Посв. на 1150-год. от Покръстването на българите</v>
      </c>
      <c r="D6077" s="10">
        <f ca="1">IFERROR(__xludf.DUMMYFUNCTION("""COMPUTED_VALUE"""),2016)</f>
        <v>2016</v>
      </c>
      <c r="E6077" s="10" t="str">
        <f ca="1">IFERROR(__xludf.DUMMYFUNCTION("""COMPUTED_VALUE"""),"Обществото на знанието и хуманизмът на ХХІ век (София). – ISSN 1314-7099. – 2016, с. 79-106 : с табл.")</f>
        <v>Обществото на знанието и хуманизмът на ХХІ век (София). – ISSN 1314-7099. – 2016, с. 79-106 : с табл.</v>
      </c>
      <c r="F6077" s="10" t="str">
        <f ca="1">IFERROR(__xludf.DUMMYFUNCTION("""COMPUTED_VALUE"""),"Публ. &lt;http://www.unibit.bg&gt;")</f>
        <v>Публ. &lt;http://www.unibit.bg&gt;</v>
      </c>
      <c r="G6077" s="10" t="str">
        <f ca="1">IFERROR(__xludf.DUMMYFUNCTION("""COMPUTED_VALUE"""),"С. Денчев, А. Куманова")</f>
        <v>С. Денчев, А. Куманова</v>
      </c>
      <c r="H6077" s="10"/>
      <c r="I6077" s="10"/>
      <c r="J6077" s="10"/>
      <c r="K6077" s="10"/>
      <c r="L6077" s="10"/>
      <c r="M6077" s="10"/>
      <c r="N6077" s="10"/>
      <c r="O6077" s="10"/>
      <c r="P6077" s="10"/>
      <c r="Q6077" s="10"/>
      <c r="R6077" s="10"/>
      <c r="S6077" s="10"/>
      <c r="T6077" s="10"/>
      <c r="U6077" s="10"/>
      <c r="V6077" s="10"/>
      <c r="W6077" s="10"/>
      <c r="X6077" s="10"/>
      <c r="Y6077" s="10"/>
      <c r="Z6077" s="10"/>
    </row>
    <row r="6078" spans="1:26" ht="12.75">
      <c r="A6078" s="10" t="str">
        <f ca="1">IFERROR(__xludf.DUMMYFUNCTION("""COMPUTED_VALUE"""),"Николай Куртев Василев")</f>
        <v>Николай Куртев Василев</v>
      </c>
      <c r="B6078" s="10" t="str">
        <f ca="1">IFERROR(__xludf.DUMMYFUNCTION("""COMPUTED_VALUE"""),"Статия в списания и поредици")</f>
        <v>Статия в списания и поредици</v>
      </c>
      <c r="C6078" s="10" t="str">
        <f ca="1">IFERROR(__xludf.DUMMYFUNCTION("""COMPUTED_VALUE"""),"Експедиция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f>
        <v>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v>
      </c>
      <c r="D6078" s="10">
        <f ca="1">IFERROR(__xludf.DUMMYFUNCTION("""COMPUTED_VALUE"""),2016)</f>
        <v>2016</v>
      </c>
      <c r="E6078" s="10" t="str">
        <f ca="1">IFERROR(__xludf.DUMMYFUNCTION("""COMPUTED_VALUE"""),"Издател (В. Търново). – ISSN 1310-4624. – 2016, N 1 (1-2), с. 15-28 : с 29 ил.")</f>
        <v>Издател (В. Търново). – ISSN 1310-4624. – 2016, N 1 (1-2), с. 15-28 : с 29 ил.</v>
      </c>
      <c r="F6078" s="10" t="str">
        <f ca="1">IFERROR(__xludf.DUMMYFUNCTION("""COMPUTED_VALUE"""),"Публ. и в: &lt;http://journals.uni-vt.bg/izdatel/bul/&gt;")</f>
        <v>Публ. и в: &lt;http://journals.uni-vt.bg/izdatel/bul/&gt;</v>
      </c>
      <c r="G6078" s="10" t="str">
        <f ca="1">IFERROR(__xludf.DUMMYFUNCTION("""COMPUTED_VALUE"""),"С. Денчев, А. Куманова, Н. Казански")</f>
        <v>С. Денчев, А. Куманова, Н. Казански</v>
      </c>
      <c r="H6078" s="10"/>
      <c r="I6078" s="10"/>
      <c r="J6078" s="10"/>
      <c r="K6078" s="10"/>
      <c r="L6078" s="10"/>
      <c r="M6078" s="10"/>
      <c r="N6078" s="10"/>
      <c r="O6078" s="10"/>
      <c r="P6078" s="10"/>
      <c r="Q6078" s="10"/>
      <c r="R6078" s="10"/>
      <c r="S6078" s="10"/>
      <c r="T6078" s="10"/>
      <c r="U6078" s="10"/>
      <c r="V6078" s="10"/>
      <c r="W6078" s="10"/>
      <c r="X6078" s="10"/>
      <c r="Y6078" s="10"/>
      <c r="Z6078" s="10"/>
    </row>
    <row r="6079" spans="1:26" ht="12.75">
      <c r="A6079" s="10" t="str">
        <f ca="1">IFERROR(__xludf.DUMMYFUNCTION("""COMPUTED_VALUE"""),"Николай Куртев Василев")</f>
        <v>Николай Куртев Василев</v>
      </c>
      <c r="B6079" s="10" t="str">
        <f ca="1">IFERROR(__xludf.DUMMYFUNCTION("""COMPUTED_VALUE"""),"Книга")</f>
        <v>Книга</v>
      </c>
      <c r="C6079" s="10" t="str">
        <f ca="1">IFERROR(__xludf.DUMMYFUNCTION("""COMPUTED_VALUE"""),"Златна христоматия на България : Аналит.-синтет. архитектоника на бълг. изящно слово от ІХ до ХХІ в. (Универс. информ. модел). Кн. 3, Историография : Уч. пособие по синтактика, семантика и прагматика на акад. текстописане")</f>
        <v>Златна христоматия на България : Аналит.-синтет. архитектоника на бълг. изящно слово от ІХ до ХХІ в. (Универс. информ. модел). Кн. 3, Историография : Уч. пособие по синтактика, семантика и прагматика на акад. текстописане</v>
      </c>
      <c r="D6079" s="10">
        <f ca="1">IFERROR(__xludf.DUMMYFUNCTION("""COMPUTED_VALUE"""),2016)</f>
        <v>2016</v>
      </c>
      <c r="E6079" s="10" t="str">
        <f ca="1">IFERROR(__xludf.DUMMYFUNCTION("""COMPUTED_VALUE"""),"Ново ел. изд. София : За буквите – О писменехь, 2016. – 282 с. – (Факлоносци ; Х)")</f>
        <v>Ново ел. изд. София : За буквите – О писменехь, 2016. – 282 с. – (Факлоносци ; Х)</v>
      </c>
      <c r="F6079" s="10"/>
      <c r="G6079" s="10" t="str">
        <f ca="1">IFERROR(__xludf.DUMMYFUNCTION("""COMPUTED_VALUE"""),"Александра Куманова")</f>
        <v>Александра Куманова</v>
      </c>
      <c r="H6079" s="10"/>
      <c r="I6079" s="10"/>
      <c r="J6079" s="10"/>
      <c r="K6079" s="10"/>
      <c r="L6079" s="10"/>
      <c r="M6079" s="10"/>
      <c r="N6079" s="10"/>
      <c r="O6079" s="10"/>
      <c r="P6079" s="10"/>
      <c r="Q6079" s="10"/>
      <c r="R6079" s="10"/>
      <c r="S6079" s="10"/>
      <c r="T6079" s="10"/>
      <c r="U6079" s="10"/>
      <c r="V6079" s="10"/>
      <c r="W6079" s="10"/>
      <c r="X6079" s="10"/>
      <c r="Y6079" s="10"/>
      <c r="Z6079" s="10"/>
    </row>
    <row r="6080" spans="1:26" ht="12.75">
      <c r="A6080" s="10" t="str">
        <f ca="1">IFERROR(__xludf.DUMMYFUNCTION("""COMPUTED_VALUE"""),"Николай Куртев Василев")</f>
        <v>Николай Куртев Василев</v>
      </c>
      <c r="B6080" s="10" t="str">
        <f ca="1">IFERROR(__xludf.DUMMYFUNCTION("""COMPUTED_VALUE"""),"Книга")</f>
        <v>Книга</v>
      </c>
      <c r="C6080"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"&amp;": A Festschrift for 65th Golden Jubilee of the University of Library Studies and Information Technologies in Sofia")</f>
        <v>GLORIA BIBLIOSPHERAE (Нишката на Ариадна) : Изследвания в чест на акад. проф. Александра Куманова : Юбилеен сборник по случай 65 години от основаването на УниБИТ = GLORIA BIBLIOSPHERAE (Ariadne’s Thread) : Studia in honorem Acad. Prof. Alexandra Kumanova : A Festschrift for 65th Golden Jubilee of the University of Library Studies and Information Technologies in Sofia</v>
      </c>
      <c r="D6080" s="10">
        <f ca="1">IFERROR(__xludf.DUMMYFUNCTION("""COMPUTED_VALUE"""),2016)</f>
        <v>2016</v>
      </c>
      <c r="E6080" s="10" t="str">
        <f ca="1">IFERROR(__xludf.DUMMYFUNCTION("""COMPUTED_VALUE"""),"Състав., предг. и интервю Николай Василев София : За буквите – О писменехь, 2016. – 1774 с. : с ил. – (Факлоносци ; ХVІ) Публ. и на електронен адрес http://www.unibit.sno.bg, със самостоятелен Е ISBN 978-619-185-212-3. ISBN 978-619-185-211-6")</f>
        <v>Състав., предг. и интервю Николай Василев София : За буквите – О писменехь, 2016. – 1774 с. : с ил. – (Факлоносци ; ХVІ) Публ. и на електронен адрес http://www.unibit.sno.bg, със самостоятелен Е ISBN 978-619-185-212-3. ISBN 978-619-185-211-6</v>
      </c>
      <c r="F6080" s="10" t="str">
        <f ca="1">IFERROR(__xludf.DUMMYFUNCTION("""COMPUTED_VALUE"""),"Национален регистър на Националната библиотека „Св. Св. Кирил и Методий” &lt;http://booksinprint.bg/Publication/Details/b3a55106-5b07-4abb-a910-b7473e002473&gt;
 Санктпетербургский институт культуры &lt;http://elibrary.spbguki.ru/323261091/view#page=1&gt;
 &lt;http://"&amp;"elibrary.spbguki.ru/323261091/details&gt; &lt;http://elibrary.spbguki.ru/#/search?query=GLORIA+BIBLIOSPHERAE&amp;ShowSnippets=true&amp;sorting=&amp;&gt;
 Denchev, Stoyan : Selected Co-authors – Kumanova, Aleksandra – Gloria bibliospherae (Ariadne’s Thread) : The Virtual Int"&amp;"ernational Authority File – ID : 167234376 (Personal) &lt;https://viaf.org/viaf/167234376&gt;
 Национална библиотека „Св. Св. Кирил и Методий” &lt;https://www.nationallibrary.bg&gt;
 Централна библиотека на БАН &lt;http://www.cl.bas.bg&gt; 
 Университетска библиотека"&amp;"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"&amp;"
 Конгресна библиотека – Вашингтон, САЩ (The Library of Congress – Washington, USA) &lt;https://www.loc.gov&gt;
 Британска библиотека – Лондон, Великобритания (The British Library – London, UK) &lt;www.bl.uk&gt;
 Национална библиотека – Будапеща, Унгария (Nationa"&amp;"l Széchényi Library of Hungary – Budapest, Hungary)
 &lt;http://www.oszk.hu/en&gt;
 Some specific methods for knowledge distribution of intangible cultural heritage. // New perspective in science education : Int. conf. : 6th ed. : Conf. proceedings – Florence"&amp;", Italy, 16-17 March 2017. – Firence, 2017, p. 421. – Coaut.: S. Denchev, I. Peteva, D. Stoyanova, T. Varadinova. &lt;https://books.google.bg/books?id=rvc8DgAAQBAJ&amp;pg=PA421&amp;lpg=PA421&amp;dq&gt;
 OCLC – WorldCat &lt;http://worldcat.org/identities/lccn-no2013059149/&gt; "&amp;"
 COBIS.BG на НБКМ &lt;http://www.bg.cobiss.net/&gt;")</f>
        <v>Национален регистър на Националната библиотека „Св. Св. Кирил и Методий” &lt;http://booksinprint.bg/Publication/Details/b3a55106-5b07-4abb-a910-b7473e002473&gt;
 Санктпетербургский институт культуры &lt;http://elibrary.spbguki.ru/323261091/view#page=1&gt;
 &lt;http://elibrary.spbguki.ru/323261091/details&gt; &lt;http://elibrary.spbguki.ru/#/search?query=GLORIA+BIBLIOSPHERAE&amp;ShowSnippets=true&amp;sorting=&amp;&gt;
 Denchev, Stoyan : Selected Co-authors – Kumanova, Aleksandra – Gloria bibliospherae (Ariadne’s Thread) : The Virtual International Authority File – ID : 167234376 (Personal) &lt;https://viaf.org/viaf/167234376&gt;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 &lt;https://www.loc.gov&gt;
 Британска библиотека – Лондон, Великобритания (The British Library – London, UK) &lt;www.bl.uk&gt;
 Национална библиотека – Будапеща, Унгария (National Széchényi Library of Hungary – Budapest, Hungary)
 &lt;http://www.oszk.hu/en&gt;
 Some specific methods for knowledge distribution of intangible cultural heritage. // New perspective in science education : Int. conf. : 6th ed. : Conf. proceedings – Florence, Italy, 16-17 March 2017. – Firence, 2017, p. 421. – Coaut.: S. Denchev, I. Peteva, D. Stoyanova, T. Varadinova. &lt;https://books.google.bg/books?id=rvc8DgAAQBAJ&amp;pg=PA421&amp;lpg=PA421&amp;dq&gt;
 OCLC – WorldCat &lt;http://worldcat.org/identities/lccn-no2013059149/&gt; 
 COBIS.BG на НБКМ &lt;http://www.bg.cobiss.net/&gt;</v>
      </c>
      <c r="G6080" s="10"/>
      <c r="H6080" s="10"/>
      <c r="I6080" s="10"/>
      <c r="J6080" s="10"/>
      <c r="K6080" s="10"/>
      <c r="L6080" s="10"/>
      <c r="M6080" s="10"/>
      <c r="N6080" s="10"/>
      <c r="O6080" s="10"/>
      <c r="P6080" s="10"/>
      <c r="Q6080" s="10"/>
      <c r="R6080" s="10"/>
      <c r="S6080" s="10"/>
      <c r="T6080" s="10"/>
      <c r="U6080" s="10"/>
      <c r="V6080" s="10"/>
      <c r="W6080" s="10"/>
      <c r="X6080" s="10"/>
      <c r="Y6080" s="10"/>
      <c r="Z6080" s="10"/>
    </row>
    <row r="6081" spans="1:26" ht="12.75">
      <c r="A6081" s="10" t="str">
        <f ca="1">IFERROR(__xludf.DUMMYFUNCTION("""COMPUTED_VALUE"""),"Николай Куртев Василев")</f>
        <v>Николай Куртев Василев</v>
      </c>
      <c r="B6081" s="10" t="str">
        <f ca="1">IFERROR(__xludf.DUMMYFUNCTION("""COMPUTED_VALUE"""),"Книга")</f>
        <v>Книга</v>
      </c>
      <c r="C6081" s="10" t="str">
        <f ca="1">IFERROR(__xludf.DUMMYFUNCTION("""COMPUTED_VALUE"""),"Очите на Шари. Sub rosa : Страници от един забравен дневник [по науч. експедиции в Иран, Турция /Сев. Месопотамия/, Италия, Русия, България] = Shari`s eyes. Sub rosa : Pages of a forgotten diary [according to sci. missions in Iran, Turkey /North Mesopotam"&amp;"ia/, Italy, Russia, Bulgaria]")</f>
        <v>Очите на Шари. Sub rosa : Страници от един забравен дневник [по науч. експедиции в Иран, Турция /Сев. Месопотамия/, Италия, Русия, България] = Shari`s eyes. Sub rosa : Pages of a forgotten diary [according to sci. missions in Iran, Turkey /North Mesopotamia/, Italy, Russia, Bulgaria]</v>
      </c>
      <c r="D6081" s="10">
        <f ca="1">IFERROR(__xludf.DUMMYFUNCTION("""COMPUTED_VALUE"""),2016)</f>
        <v>2016</v>
      </c>
      <c r="E6081" s="10" t="str">
        <f ca="1">IFERROR(__xludf.DUMMYFUNCTION("""COMPUTED_VALUE"""),"А. Куманова Ред., бел. Н. Василев 3. доп. ел. изд. София : WINI 1837, 2016. – 422 с. : с ил. ISBN 978-954-9437-60-7")</f>
        <v>А. Куманова Ред., бел. Н. Василев 3. доп. ел. изд. София : WINI 1837, 2016. – 422 с. : с ил. ISBN 978-954-9437-60-7</v>
      </c>
      <c r="F6081" s="10" t="str">
        <f ca="1">IFERROR(__xludf.DUMMYFUNCTION("""COMPUTED_VALUE"""),"Публ. и в: &lt;http://www.sno.unibit.bg")</f>
        <v>Публ. и в: &lt;http://www.sno.unibit.bg</v>
      </c>
      <c r="G6081" s="10" t="str">
        <f ca="1">IFERROR(__xludf.DUMMYFUNCTION("""COMPUTED_VALUE"""),"А. Куманова")</f>
        <v>А. Куманова</v>
      </c>
      <c r="H6081" s="10"/>
      <c r="I6081" s="10"/>
      <c r="J6081" s="10"/>
      <c r="K6081" s="10"/>
      <c r="L6081" s="10"/>
      <c r="M6081" s="10"/>
      <c r="N6081" s="10"/>
      <c r="O6081" s="10"/>
      <c r="P6081" s="10"/>
      <c r="Q6081" s="10"/>
      <c r="R6081" s="10"/>
      <c r="S6081" s="10"/>
      <c r="T6081" s="10"/>
      <c r="U6081" s="10"/>
      <c r="V6081" s="10"/>
      <c r="W6081" s="10"/>
      <c r="X6081" s="10"/>
      <c r="Y6081" s="10"/>
      <c r="Z6081" s="10"/>
    </row>
    <row r="6082" spans="1:26" ht="12.75">
      <c r="A6082" s="10" t="str">
        <f ca="1">IFERROR(__xludf.DUMMYFUNCTION("""COMPUTED_VALUE"""),"Николай Куртев Василев")</f>
        <v>Николай Куртев Василев</v>
      </c>
      <c r="B6082" s="10" t="str">
        <f ca="1">IFERROR(__xludf.DUMMYFUNCTION("""COMPUTED_VALUE"""),"Книга")</f>
        <v>Книга</v>
      </c>
      <c r="C6082" s="10" t="str">
        <f ca="1">IFERROR(__xludf.DUMMYFUNCTION("""COMPUTED_VALUE"""),"Арианика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Инфор"&amp;"м. кодове на култ. наследство”")</f>
        <v>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Информ. кодове на култ. наследство”</v>
      </c>
      <c r="D6082" s="10">
        <f ca="1">IFERROR(__xludf.DUMMYFUNCTION("""COMPUTED_VALUE"""),2016)</f>
        <v>2016</v>
      </c>
      <c r="E6082" s="10" t="str">
        <f ca="1">IFERROR(__xludf.DUMMYFUNCTION("""COMPUTED_VALUE"""),"София : За буквите – О писменехь, 2016. – 208 с. : с ил. – (Факлоносци ; ХV) ISBN 978-619-185-192-8")</f>
        <v>София : За буквите – О писменехь, 2016. – 208 с. : с ил. – (Факлоносци ; ХV) ISBN 978-619-185-192-8</v>
      </c>
      <c r="F6082" s="10" t="str">
        <f ca="1">IFERROR(__xludf.DUMMYFUNCTION("""COMPUTED_VALUE"""),"Университет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Den"&amp;"chev,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&lt;www.cnshb.ru/mai/m"&amp;"ai.htm&gt;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Петерб"&amp;"ург,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USA"&amp;")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Librar"&amp;"y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Мюнхен,"&amp;" Германия (Universitätsbibliothek [University Library] – München [Munich]) &lt;https://www.en.uni-muenchen&gt;")</f>
        <v>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 Германия (Universitätsbibliothek [University Library] – München [Munich]) &lt;https://www.en.uni-muenchen&gt;</v>
      </c>
      <c r="G6082" s="10" t="str">
        <f ca="1">IFERROR(__xludf.DUMMYFUNCTION("""COMPUTED_VALUE"""),"А. Куманова, Н. Казански")</f>
        <v>А. Куманова, Н. Казански</v>
      </c>
      <c r="H6082" s="10"/>
      <c r="I6082" s="10"/>
      <c r="J6082" s="10"/>
      <c r="K6082" s="10"/>
      <c r="L6082" s="10"/>
      <c r="M6082" s="10"/>
      <c r="N6082" s="10"/>
      <c r="O6082" s="10"/>
      <c r="P6082" s="10"/>
      <c r="Q6082" s="10"/>
      <c r="R6082" s="10"/>
      <c r="S6082" s="10"/>
      <c r="T6082" s="10"/>
      <c r="U6082" s="10"/>
      <c r="V6082" s="10"/>
      <c r="W6082" s="10"/>
      <c r="X6082" s="10"/>
      <c r="Y6082" s="10"/>
      <c r="Z6082" s="10"/>
    </row>
    <row r="6083" spans="1:26" ht="12.75">
      <c r="A6083" s="10" t="str">
        <f ca="1">IFERROR(__xludf.DUMMYFUNCTION("""COMPUTED_VALUE"""),"Николай Маринов Николов")</f>
        <v>Николай Маринов Николов</v>
      </c>
      <c r="B6083" s="10" t="str">
        <f ca="1">IFERROR(__xludf.DUMMYFUNCTION("""COMPUTED_VALUE"""),"Статия в списания и поредици")</f>
        <v>Статия в списания и поредици</v>
      </c>
      <c r="C6083" s="10" t="str">
        <f ca="1">IFERROR(__xludf.DUMMYFUNCTION("""COMPUTED_VALUE"""),"Comparison of the Bergman kernel and the Caratheodory-Eisenman volume.")</f>
        <v>Comparison of the Bergman kernel and the Caratheodory-Eisenman volume.</v>
      </c>
      <c r="D6083" s="10">
        <f ca="1">IFERROR(__xludf.DUMMYFUNCTION("""COMPUTED_VALUE"""),2019)</f>
        <v>2019</v>
      </c>
      <c r="E6083" s="10" t="str">
        <f ca="1">IFERROR(__xludf.DUMMYFUNCTION("""COMPUTED_VALUE"""),"Proc. Amer. Math. Soc., 147, 11, 2019, ISSN:1088-6826(online) 0002-9939(print), DOI:10.1090/proc/14604, 4915-4919")</f>
        <v>Proc. Amer. Math. Soc., 147, 11, 2019, ISSN:1088-6826(online) 0002-9939(print), DOI:10.1090/proc/14604, 4915-4919</v>
      </c>
      <c r="F6083" s="10"/>
      <c r="G6083" s="10" t="str">
        <f ca="1">IFERROR(__xludf.DUMMYFUNCTION("""COMPUTED_VALUE"""),"Nikolov, N, Pascal J. Thomas.")</f>
        <v>Nikolov, N, Pascal J. Thomas.</v>
      </c>
      <c r="H6083" s="10"/>
      <c r="I6083" s="10"/>
      <c r="J6083" s="10"/>
      <c r="K6083" s="10"/>
      <c r="L6083" s="10"/>
      <c r="M6083" s="10"/>
      <c r="N6083" s="10"/>
      <c r="O6083" s="10"/>
      <c r="P6083" s="10"/>
      <c r="Q6083" s="10"/>
      <c r="R6083" s="10"/>
      <c r="S6083" s="10"/>
      <c r="T6083" s="10"/>
      <c r="U6083" s="10"/>
      <c r="V6083" s="10"/>
      <c r="W6083" s="10"/>
      <c r="X6083" s="10"/>
      <c r="Y6083" s="10"/>
      <c r="Z6083" s="10"/>
    </row>
    <row r="6084" spans="1:26" ht="12.75">
      <c r="A6084" s="10" t="str">
        <f ca="1">IFERROR(__xludf.DUMMYFUNCTION("""COMPUTED_VALUE"""),"Николай Маринов Николов")</f>
        <v>Николай Маринов Николов</v>
      </c>
      <c r="B6084" s="10" t="str">
        <f ca="1">IFERROR(__xludf.DUMMYFUNCTION("""COMPUTED_VALUE"""),"Статия в списания и поредици")</f>
        <v>Статия в списания и поредици</v>
      </c>
      <c r="C6084" s="10" t="str">
        <f ca="1">IFERROR(__xludf.DUMMYFUNCTION("""COMPUTED_VALUE"""),"Gromov hyperbolicity of the Kobayashi metric.")</f>
        <v>Gromov hyperbolicity of the Kobayashi metric.</v>
      </c>
      <c r="D6084" s="10">
        <f ca="1">IFERROR(__xludf.DUMMYFUNCTION("""COMPUTED_VALUE"""),2019)</f>
        <v>2019</v>
      </c>
      <c r="E6084" s="10" t="str">
        <f ca="1">IFERROR(__xludf.DUMMYFUNCTION("""COMPUTED_VALUE"""),"Pliska Stud. Math, 30, 2019, ISSN:0204-9805, 21-28")</f>
        <v>Pliska Stud. Math, 30, 2019, ISSN:0204-9805, 21-28</v>
      </c>
      <c r="F6084" s="10"/>
      <c r="G6084" s="10" t="str">
        <f ca="1">IFERROR(__xludf.DUMMYFUNCTION("""COMPUTED_VALUE"""),"Nikolov, N, L. Andreev, M. Trybula")</f>
        <v>Nikolov, N, L. Andreev, M. Trybula</v>
      </c>
      <c r="H6084" s="10"/>
      <c r="I6084" s="10"/>
      <c r="J6084" s="10"/>
      <c r="K6084" s="10"/>
      <c r="L6084" s="10"/>
      <c r="M6084" s="10"/>
      <c r="N6084" s="10"/>
      <c r="O6084" s="10"/>
      <c r="P6084" s="10"/>
      <c r="Q6084" s="10"/>
      <c r="R6084" s="10"/>
      <c r="S6084" s="10"/>
      <c r="T6084" s="10"/>
      <c r="U6084" s="10"/>
      <c r="V6084" s="10"/>
      <c r="W6084" s="10"/>
      <c r="X6084" s="10"/>
      <c r="Y6084" s="10"/>
      <c r="Z6084" s="10"/>
    </row>
    <row r="6085" spans="1:26" ht="12.75">
      <c r="A6085" s="10" t="str">
        <f ca="1">IFERROR(__xludf.DUMMYFUNCTION("""COMPUTED_VALUE"""),"Николай Маринов Николов")</f>
        <v>Николай Маринов Николов</v>
      </c>
      <c r="B6085" s="10" t="str">
        <f ca="1">IFERROR(__xludf.DUMMYFUNCTION("""COMPUTED_VALUE"""),"Статия в списания и поредици")</f>
        <v>Статия в списания и поредици</v>
      </c>
      <c r="C6085" s="10" t="str">
        <f ca="1">IFERROR(__xludf.DUMMYFUNCTION("""COMPUTED_VALUE"""),"Estimates for the squeezing function near strictly pseudoconvex boundary points with applications.")</f>
        <v>Estimates for the squeezing function near strictly pseudoconvex boundary points with applications.</v>
      </c>
      <c r="D6085" s="10">
        <f ca="1">IFERROR(__xludf.DUMMYFUNCTION("""COMPUTED_VALUE"""),2019)</f>
        <v>2019</v>
      </c>
      <c r="E6085" s="10" t="str">
        <f ca="1">IFERROR(__xludf.DUMMYFUNCTION("""COMPUTED_VALUE"""),"J. Geom. Anal., приета за печат: 2019")</f>
        <v>J. Geom. Anal., приета за печат: 2019</v>
      </c>
      <c r="F6085" s="10"/>
      <c r="G6085" s="10" t="str">
        <f ca="1">IFERROR(__xludf.DUMMYFUNCTION("""COMPUTED_VALUE"""),"Nikolov, N, M. Trybula")</f>
        <v>Nikolov, N, M. Trybula</v>
      </c>
      <c r="H6085" s="10"/>
      <c r="I6085" s="10"/>
      <c r="J6085" s="10"/>
      <c r="K6085" s="10"/>
      <c r="L6085" s="10"/>
      <c r="M6085" s="10"/>
      <c r="N6085" s="10"/>
      <c r="O6085" s="10"/>
      <c r="P6085" s="10"/>
      <c r="Q6085" s="10"/>
      <c r="R6085" s="10"/>
      <c r="S6085" s="10"/>
      <c r="T6085" s="10"/>
      <c r="U6085" s="10"/>
      <c r="V6085" s="10"/>
      <c r="W6085" s="10"/>
      <c r="X6085" s="10"/>
      <c r="Y6085" s="10"/>
      <c r="Z6085" s="10"/>
    </row>
    <row r="6086" spans="1:26" ht="12.75">
      <c r="A6086" s="10" t="str">
        <f ca="1">IFERROR(__xludf.DUMMYFUNCTION("""COMPUTED_VALUE"""),"Николай Маринов Николов")</f>
        <v>Николай Маринов Николов</v>
      </c>
      <c r="B6086" s="10" t="str">
        <f ca="1">IFERROR(__xludf.DUMMYFUNCTION("""COMPUTED_VALUE"""),"Статия в списания и поредици")</f>
        <v>Статия в списания и поредици</v>
      </c>
      <c r="C6086" s="10" t="str">
        <f ca="1">IFERROR(__xludf.DUMMYFUNCTION("""COMPUTED_VALUE"""),"On the squeezing function and Fridman invariants.")</f>
        <v>On the squeezing function and Fridman invariants.</v>
      </c>
      <c r="D6086" s="10">
        <f ca="1">IFERROR(__xludf.DUMMYFUNCTION("""COMPUTED_VALUE"""),2019)</f>
        <v>2019</v>
      </c>
      <c r="E6086" s="10" t="str">
        <f ca="1">IFERROR(__xludf.DUMMYFUNCTION("""COMPUTED_VALUE"""),"J. Geom. Anal., приета за печат: 2019, DOI:10.1007/s12220-019-00237-9")</f>
        <v>J. Geom. Anal., приета за печат: 2019, DOI:10.1007/s12220-019-00237-9</v>
      </c>
      <c r="F6086" s="10"/>
      <c r="G6086" s="10" t="str">
        <f ca="1">IFERROR(__xludf.DUMMYFUNCTION("""COMPUTED_VALUE"""),"Nikolov, N, K. Verma")</f>
        <v>Nikolov, N, K. Verma</v>
      </c>
      <c r="H6086" s="10"/>
      <c r="I6086" s="10"/>
      <c r="J6086" s="10"/>
      <c r="K6086" s="10"/>
      <c r="L6086" s="10"/>
      <c r="M6086" s="10"/>
      <c r="N6086" s="10"/>
      <c r="O6086" s="10"/>
      <c r="P6086" s="10"/>
      <c r="Q6086" s="10"/>
      <c r="R6086" s="10"/>
      <c r="S6086" s="10"/>
      <c r="T6086" s="10"/>
      <c r="U6086" s="10"/>
      <c r="V6086" s="10"/>
      <c r="W6086" s="10"/>
      <c r="X6086" s="10"/>
      <c r="Y6086" s="10"/>
      <c r="Z6086" s="10"/>
    </row>
    <row r="6087" spans="1:26" ht="12.75">
      <c r="A6087" s="10" t="str">
        <f ca="1">IFERROR(__xludf.DUMMYFUNCTION("""COMPUTED_VALUE"""),"Николай Маринов Николов")</f>
        <v>Николай Маринов Николов</v>
      </c>
      <c r="B6087" s="10" t="str">
        <f ca="1">IFERROR(__xludf.DUMMYFUNCTION("""COMPUTED_VALUE"""),"Статия в списания и поредици")</f>
        <v>Статия в списания и поредици</v>
      </c>
      <c r="C6087" s="10" t="str">
        <f ca="1">IFERROR(__xludf.DUMMYFUNCTION("""COMPUTED_VALUE"""),"Behavior of the squeezing function near h-extendible boundary points.")</f>
        <v>Behavior of the squeezing function near h-extendible boundary points.</v>
      </c>
      <c r="D6087" s="10">
        <f ca="1">IFERROR(__xludf.DUMMYFUNCTION("""COMPUTED_VALUE"""),2018)</f>
        <v>2018</v>
      </c>
      <c r="E6087" s="10" t="str">
        <f ca="1">IFERROR(__xludf.DUMMYFUNCTION("""COMPUTED_VALUE"""),"Proceedings of the American Mathematical Society, 146, 8, 2018, ISSN:0002-9939 (p) 1088-6826 (e), DOI:10.1090/proc/14049, 3455-3457")</f>
        <v>Proceedings of the American Mathematical Society, 146, 8, 2018, ISSN:0002-9939 (p) 1088-6826 (e), DOI:10.1090/proc/14049, 3455-3457</v>
      </c>
      <c r="F6087" s="10" t="str">
        <f ca="1">IFERROR(__xludf.DUMMYFUNCTION("""COMPUTED_VALUE"""),"Web of Science")</f>
        <v>Web of Science</v>
      </c>
      <c r="G6087" s="10"/>
      <c r="H6087" s="10"/>
      <c r="I6087" s="10"/>
      <c r="J6087" s="10"/>
      <c r="K6087" s="10"/>
      <c r="L6087" s="10"/>
      <c r="M6087" s="10"/>
      <c r="N6087" s="10"/>
      <c r="O6087" s="10"/>
      <c r="P6087" s="10"/>
      <c r="Q6087" s="10"/>
      <c r="R6087" s="10"/>
      <c r="S6087" s="10"/>
      <c r="T6087" s="10"/>
      <c r="U6087" s="10"/>
      <c r="V6087" s="10"/>
      <c r="W6087" s="10"/>
      <c r="X6087" s="10"/>
      <c r="Y6087" s="10"/>
      <c r="Z6087" s="10"/>
    </row>
    <row r="6088" spans="1:26" ht="12.75">
      <c r="A6088" s="10" t="str">
        <f ca="1">IFERROR(__xludf.DUMMYFUNCTION("""COMPUTED_VALUE"""),"Николай Маринов Николов")</f>
        <v>Николай Маринов Николов</v>
      </c>
      <c r="B6088" s="10" t="str">
        <f ca="1">IFERROR(__xludf.DUMMYFUNCTION("""COMPUTED_VALUE"""),"Статия в списания и поредици")</f>
        <v>Статия в списания и поредици</v>
      </c>
      <c r="C6088" s="10" t="str">
        <f ca="1">IFERROR(__xludf.DUMMYFUNCTION("""COMPUTED_VALUE"""),"Comparison of the real and the complex Green functions, and sharp estimates of the Kobayashi distance.")</f>
        <v>Comparison of the real and the complex Green functions, and sharp estimates of the Kobayashi distance.</v>
      </c>
      <c r="D6088" s="10">
        <f ca="1">IFERROR(__xludf.DUMMYFUNCTION("""COMPUTED_VALUE"""),2018)</f>
        <v>2018</v>
      </c>
      <c r="E6088" s="10" t="str">
        <f ca="1">IFERROR(__xludf.DUMMYFUNCTION("""COMPUTED_VALUE"""),"Annali Della Scuola Normale Superiore Di Pisa-Classe Di Scienze, (5), XVIII, 3, 2018, ISSN:0391-173X (p) 2036-2145 (e), DOI:10.2422/2036-2145.201608_027, 1125-1143")</f>
        <v>Annali Della Scuola Normale Superiore Di Pisa-Classe Di Scienze, (5), XVIII, 3, 2018, ISSN:0391-173X (p) 2036-2145 (e), DOI:10.2422/2036-2145.201608_027, 1125-1143</v>
      </c>
      <c r="F6088" s="10" t="str">
        <f ca="1">IFERROR(__xludf.DUMMYFUNCTION("""COMPUTED_VALUE"""),"Web of Science")</f>
        <v>Web of Science</v>
      </c>
      <c r="G6088" s="10" t="str">
        <f ca="1">IFERROR(__xludf.DUMMYFUNCTION("""COMPUTED_VALUE"""),"P. J. Thomas")</f>
        <v>P. J. Thomas</v>
      </c>
      <c r="H6088" s="10"/>
      <c r="I6088" s="10"/>
      <c r="J6088" s="10"/>
      <c r="K6088" s="10"/>
      <c r="L6088" s="10"/>
      <c r="M6088" s="10"/>
      <c r="N6088" s="10"/>
      <c r="O6088" s="10"/>
      <c r="P6088" s="10"/>
      <c r="Q6088" s="10"/>
      <c r="R6088" s="10"/>
      <c r="S6088" s="10"/>
      <c r="T6088" s="10"/>
      <c r="U6088" s="10"/>
      <c r="V6088" s="10"/>
      <c r="W6088" s="10"/>
      <c r="X6088" s="10"/>
      <c r="Y6088" s="10"/>
      <c r="Z6088" s="10"/>
    </row>
    <row r="6089" spans="1:26" ht="12.75">
      <c r="A6089" s="10" t="str">
        <f ca="1">IFERROR(__xludf.DUMMYFUNCTION("""COMPUTED_VALUE"""),"Николай Маринов Николов")</f>
        <v>Николай Маринов Николов</v>
      </c>
      <c r="B6089" s="10" t="str">
        <f ca="1">IFERROR(__xludf.DUMMYFUNCTION("""COMPUTED_VALUE"""),"Статия в списания и поредици")</f>
        <v>Статия в списания и поредици</v>
      </c>
      <c r="C6089" s="10" t="str">
        <f ca="1">IFERROR(__xludf.DUMMYFUNCTION("""COMPUTED_VALUE"""),"Gromov hyperbolicity of the Kobayashi metric on C-convex domains.")</f>
        <v>Gromov hyperbolicity of the Kobayashi metric on C-convex domains.</v>
      </c>
      <c r="D6089" s="10">
        <f ca="1">IFERROR(__xludf.DUMMYFUNCTION("""COMPUTED_VALUE"""),2018)</f>
        <v>2018</v>
      </c>
      <c r="E6089" s="10" t="str">
        <f ca="1">IFERROR(__xludf.DUMMYFUNCTION("""COMPUTED_VALUE"""),"Journal of Mathematical Analysis and Applications, 486, 2, 2018, ISSN:0022-247X, DOI:10.1016/j.jmaa.2018.09.005, 1164-1178")</f>
        <v>Journal of Mathematical Analysis and Applications, 486, 2, 2018, ISSN:0022-247X, DOI:10.1016/j.jmaa.2018.09.005, 1164-1178</v>
      </c>
      <c r="F6089" s="10" t="str">
        <f ca="1">IFERROR(__xludf.DUMMYFUNCTION("""COMPUTED_VALUE"""),"Web of Science")</f>
        <v>Web of Science</v>
      </c>
      <c r="G6089" s="10" t="str">
        <f ca="1">IFERROR(__xludf.DUMMYFUNCTION("""COMPUTED_VALUE"""),"M. Trybula")</f>
        <v>M. Trybula</v>
      </c>
      <c r="H6089" s="10"/>
      <c r="I6089" s="10"/>
      <c r="J6089" s="10"/>
      <c r="K6089" s="10"/>
      <c r="L6089" s="10"/>
      <c r="M6089" s="10"/>
      <c r="N6089" s="10"/>
      <c r="O6089" s="10"/>
      <c r="P6089" s="10"/>
      <c r="Q6089" s="10"/>
      <c r="R6089" s="10"/>
      <c r="S6089" s="10"/>
      <c r="T6089" s="10"/>
      <c r="U6089" s="10"/>
      <c r="V6089" s="10"/>
      <c r="W6089" s="10"/>
      <c r="X6089" s="10"/>
      <c r="Y6089" s="10"/>
      <c r="Z6089" s="10"/>
    </row>
    <row r="6090" spans="1:26" ht="12.75">
      <c r="A6090" s="10" t="str">
        <f ca="1">IFERROR(__xludf.DUMMYFUNCTION("""COMPUTED_VALUE"""),"Николай Маринов Николов")</f>
        <v>Николай Маринов Николов</v>
      </c>
      <c r="B6090" s="10" t="str">
        <f ca="1">IFERROR(__xludf.DUMMYFUNCTION("""COMPUTED_VALUE"""),"Статия в списания и поредици")</f>
        <v>Статия в списания и поредици</v>
      </c>
      <c r="C6090" s="10" t="str">
        <f ca="1">IFERROR(__xludf.DUMMYFUNCTION("""COMPUTED_VALUE"""),"Boundary behavior of the quasi-hyperbolic metric.")</f>
        <v>Boundary behavior of the quasi-hyperbolic metric.</v>
      </c>
      <c r="D6090" s="10">
        <f ca="1">IFERROR(__xludf.DUMMYFUNCTION("""COMPUTED_VALUE"""),2018)</f>
        <v>2018</v>
      </c>
      <c r="E6090" s="10" t="str">
        <f ca="1">IFERROR(__xludf.DUMMYFUNCTION("""COMPUTED_VALUE"""),"Annales Academiae Scientiarum Fennicae-Mathematica, 43, 1, 2018, ISSN:1239-629X (p) 1798-2383 (e), DOI:10.5186/aasfm.2018.4318, 381-389.")</f>
        <v>Annales Academiae Scientiarum Fennicae-Mathematica, 43, 1, 2018, ISSN:1239-629X (p) 1798-2383 (e), DOI:10.5186/aasfm.2018.4318, 381-389.</v>
      </c>
      <c r="F6090" s="10" t="str">
        <f ca="1">IFERROR(__xludf.DUMMYFUNCTION("""COMPUTED_VALUE"""),"Web of Science")</f>
        <v>Web of Science</v>
      </c>
      <c r="G6090" s="10" t="str">
        <f ca="1">IFERROR(__xludf.DUMMYFUNCTION("""COMPUTED_VALUE"""),"P. J. Thomas")</f>
        <v>P. J. Thomas</v>
      </c>
      <c r="H6090" s="10"/>
      <c r="I6090" s="10"/>
      <c r="J6090" s="10"/>
      <c r="K6090" s="10"/>
      <c r="L6090" s="10"/>
      <c r="M6090" s="10"/>
      <c r="N6090" s="10"/>
      <c r="O6090" s="10"/>
      <c r="P6090" s="10"/>
      <c r="Q6090" s="10"/>
      <c r="R6090" s="10"/>
      <c r="S6090" s="10"/>
      <c r="T6090" s="10"/>
      <c r="U6090" s="10"/>
      <c r="V6090" s="10"/>
      <c r="W6090" s="10"/>
      <c r="X6090" s="10"/>
      <c r="Y6090" s="10"/>
      <c r="Z6090" s="10"/>
    </row>
    <row r="6091" spans="1:26" ht="12.75">
      <c r="A6091" s="10" t="str">
        <f ca="1">IFERROR(__xludf.DUMMYFUNCTION("""COMPUTED_VALUE"""),"Николай Маринов Николов")</f>
        <v>Николай Маринов Николов</v>
      </c>
      <c r="B6091" s="10" t="str">
        <f ca="1">IFERROR(__xludf.DUMMYFUNCTION("""COMPUTED_VALUE"""),"Статия в списания и поредици")</f>
        <v>Статия в списания и поредици</v>
      </c>
      <c r="C6091" s="10" t="str">
        <f ca="1">IFERROR(__xludf.DUMMYFUNCTION("""COMPUTED_VALUE"""),"Boundary behavior of the squeezing functions of C-convex domains and plane domains")</f>
        <v>Boundary behavior of the squeezing functions of C-convex domains and plane domains</v>
      </c>
      <c r="D6091" s="10">
        <f ca="1">IFERROR(__xludf.DUMMYFUNCTION("""COMPUTED_VALUE"""),2017)</f>
        <v>2017</v>
      </c>
      <c r="E6091" s="10" t="str">
        <f ca="1">IFERROR(__xludf.DUMMYFUNCTION("""COMPUTED_VALUE"""),"International Journal of Mathematics. 28 (2017), No 5, Article ID: 1750031, p. 5. ISSN: 0129-167X")</f>
        <v>International Journal of Mathematics. 28 (2017), No 5, Article ID: 1750031, p. 5. ISSN: 0129-167X</v>
      </c>
      <c r="F6091" s="10" t="str">
        <f ca="1">IFERROR(__xludf.DUMMYFUNCTION("""COMPUTED_VALUE"""),"Web of Science")</f>
        <v>Web of Science</v>
      </c>
      <c r="G6091" s="10" t="str">
        <f ca="1">IFERROR(__xludf.DUMMYFUNCTION("""COMPUTED_VALUE"""),"L. Andreev")</f>
        <v>L. Andreev</v>
      </c>
      <c r="H6091" s="10"/>
      <c r="I6091" s="10"/>
      <c r="J6091" s="10"/>
      <c r="K6091" s="10"/>
      <c r="L6091" s="10"/>
      <c r="M6091" s="10"/>
      <c r="N6091" s="10"/>
      <c r="O6091" s="10"/>
      <c r="P6091" s="10"/>
      <c r="Q6091" s="10"/>
      <c r="R6091" s="10"/>
      <c r="S6091" s="10"/>
      <c r="T6091" s="10"/>
      <c r="U6091" s="10"/>
      <c r="V6091" s="10"/>
      <c r="W6091" s="10"/>
      <c r="X6091" s="10"/>
      <c r="Y6091" s="10"/>
      <c r="Z6091" s="10"/>
    </row>
    <row r="6092" spans="1:26" ht="12.75">
      <c r="A6092" s="10" t="str">
        <f ca="1">IFERROR(__xludf.DUMMYFUNCTION("""COMPUTED_VALUE"""),"Николай Маринов Николов")</f>
        <v>Николай Маринов Николов</v>
      </c>
      <c r="B6092" s="10" t="str">
        <f ca="1">IFERROR(__xludf.DUMMYFUNCTION("""COMPUTED_VALUE"""),"Статия в списания и поредици")</f>
        <v>Статия в списания и поредици</v>
      </c>
      <c r="C6092" s="10" t="str">
        <f ca="1">IFERROR(__xludf.DUMMYFUNCTION("""COMPUTED_VALUE"""),"Estimates of the Kobayashi and quasi-hyperbolic distances")</f>
        <v>Estimates of the Kobayashi and quasi-hyperbolic distances</v>
      </c>
      <c r="D6092" s="10">
        <f ca="1">IFERROR(__xludf.DUMMYFUNCTION("""COMPUTED_VALUE"""),2017)</f>
        <v>2017</v>
      </c>
      <c r="E6092" s="10" t="str">
        <f ca="1">IFERROR(__xludf.DUMMYFUNCTION("""COMPUTED_VALUE"""),"Annali Di Matematica Pura Ed Applicata, 196, 1, 2017, ISSN:0373-3114 (p) 1618-1891 (e), DOI:10.1007/s10231-016-0561-z, 43-50")</f>
        <v>Annali Di Matematica Pura Ed Applicata, 196, 1, 2017, ISSN:0373-3114 (p) 1618-1891 (e), DOI:10.1007/s10231-016-0561-z, 43-50</v>
      </c>
      <c r="F6092" s="10" t="str">
        <f ca="1">IFERROR(__xludf.DUMMYFUNCTION("""COMPUTED_VALUE"""),"Web of Science")</f>
        <v>Web of Science</v>
      </c>
      <c r="G6092" s="10" t="str">
        <f ca="1">IFERROR(__xludf.DUMMYFUNCTION("""COMPUTED_VALUE"""),"L. Andreev")</f>
        <v>L. Andreev</v>
      </c>
      <c r="H6092" s="10"/>
      <c r="I6092" s="10"/>
      <c r="J6092" s="10"/>
      <c r="K6092" s="10"/>
      <c r="L6092" s="10"/>
      <c r="M6092" s="10"/>
      <c r="N6092" s="10"/>
      <c r="O6092" s="10"/>
      <c r="P6092" s="10"/>
      <c r="Q6092" s="10"/>
      <c r="R6092" s="10"/>
      <c r="S6092" s="10"/>
      <c r="T6092" s="10"/>
      <c r="U6092" s="10"/>
      <c r="V6092" s="10"/>
      <c r="W6092" s="10"/>
      <c r="X6092" s="10"/>
      <c r="Y6092" s="10"/>
      <c r="Z6092" s="10"/>
    </row>
    <row r="6093" spans="1:26" ht="12.75">
      <c r="A6093" s="10" t="str">
        <f ca="1">IFERROR(__xludf.DUMMYFUNCTION("""COMPUTED_VALUE"""),"Николай Маринов Николов")</f>
        <v>Николай Маринов Николов</v>
      </c>
      <c r="B6093" s="10" t="str">
        <f ca="1">IFERROR(__xludf.DUMMYFUNCTION("""COMPUTED_VALUE"""),"Статия в списания и поредици")</f>
        <v>Статия в списания и поредици</v>
      </c>
      <c r="C6093" s="10" t="str">
        <f ca="1">IFERROR(__xludf.DUMMYFUNCTION("""COMPUTED_VALUE"""),"Estimates of the Bergman distance on Dini-smooth bounded planar domains")</f>
        <v>Estimates of the Bergman distance on Dini-smooth bounded planar domains</v>
      </c>
      <c r="D6093" s="10">
        <f ca="1">IFERROR(__xludf.DUMMYFUNCTION("""COMPUTED_VALUE"""),2016)</f>
        <v>2016</v>
      </c>
      <c r="E6093" s="10" t="str">
        <f ca="1">IFERROR(__xludf.DUMMYFUNCTION("""COMPUTED_VALUE"""),"Collectanea Mathematica, 67, 3, 2016, ISSN:0010-0757 (p) 2038-4815 (e), DOI:10.1007/s13348-015-0150-2, 407-414.")</f>
        <v>Collectanea Mathematica, 67, 3, 2016, ISSN:0010-0757 (p) 2038-4815 (e), DOI:10.1007/s13348-015-0150-2, 407-414.</v>
      </c>
      <c r="F6093" s="10" t="str">
        <f ca="1">IFERROR(__xludf.DUMMYFUNCTION("""COMPUTED_VALUE"""),"Web of Science")</f>
        <v>Web of Science</v>
      </c>
      <c r="G6093" s="10" t="str">
        <f ca="1">IFERROR(__xludf.DUMMYFUNCTION("""COMPUTED_VALUE"""),"M. Trybula")</f>
        <v>M. Trybula</v>
      </c>
      <c r="H6093" s="10"/>
      <c r="I6093" s="10"/>
      <c r="J6093" s="10"/>
      <c r="K6093" s="10"/>
      <c r="L6093" s="10"/>
      <c r="M6093" s="10"/>
      <c r="N6093" s="10"/>
      <c r="O6093" s="10"/>
      <c r="P6093" s="10"/>
      <c r="Q6093" s="10"/>
      <c r="R6093" s="10"/>
      <c r="S6093" s="10"/>
      <c r="T6093" s="10"/>
      <c r="U6093" s="10"/>
      <c r="V6093" s="10"/>
      <c r="W6093" s="10"/>
      <c r="X6093" s="10"/>
      <c r="Y6093" s="10"/>
      <c r="Z6093" s="10"/>
    </row>
    <row r="6094" spans="1:26" ht="12.75">
      <c r="A6094" s="10" t="str">
        <f ca="1">IFERROR(__xludf.DUMMYFUNCTION("""COMPUTED_VALUE"""),"Николай Маринов Николов")</f>
        <v>Николай Маринов Николов</v>
      </c>
      <c r="B6094" s="10" t="str">
        <f ca="1">IFERROR(__xludf.DUMMYFUNCTION("""COMPUTED_VALUE"""),"Статия в списания и поредици")</f>
        <v>Статия в списания и поредици</v>
      </c>
      <c r="C6094" s="10" t="str">
        <f ca="1">IFERROR(__xludf.DUMMYFUNCTION("""COMPUTED_VALUE"""),"Gromov (non)hyperbolicity of certain domains in C-n")</f>
        <v>Gromov (non)hyperbolicity of certain domains in C-n</v>
      </c>
      <c r="D6094" s="10">
        <f ca="1">IFERROR(__xludf.DUMMYFUNCTION("""COMPUTED_VALUE"""),2016)</f>
        <v>2016</v>
      </c>
      <c r="E6094" s="10" t="str">
        <f ca="1">IFERROR(__xludf.DUMMYFUNCTION("""COMPUTED_VALUE"""),"Forum Mathematicum, 28, 4, 2016, ISSN:1435-5337, DOI:10.1515/forum-2014-0113, 783-794.")</f>
        <v>Forum Mathematicum, 28, 4, 2016, ISSN:1435-5337, DOI:10.1515/forum-2014-0113, 783-794.</v>
      </c>
      <c r="F6094" s="10" t="str">
        <f ca="1">IFERROR(__xludf.DUMMYFUNCTION("""COMPUTED_VALUE"""),"Web of Science")</f>
        <v>Web of Science</v>
      </c>
      <c r="G6094" s="10" t="str">
        <f ca="1">IFERROR(__xludf.DUMMYFUNCTION("""COMPUTED_VALUE"""),"P. J. Thomas, M. Trybula")</f>
        <v>P. J. Thomas, M. Trybula</v>
      </c>
      <c r="H6094" s="10"/>
      <c r="I6094" s="10"/>
      <c r="J6094" s="10"/>
      <c r="K6094" s="10"/>
      <c r="L6094" s="10"/>
      <c r="M6094" s="10"/>
      <c r="N6094" s="10"/>
      <c r="O6094" s="10"/>
      <c r="P6094" s="10"/>
      <c r="Q6094" s="10"/>
      <c r="R6094" s="10"/>
      <c r="S6094" s="10"/>
      <c r="T6094" s="10"/>
      <c r="U6094" s="10"/>
      <c r="V6094" s="10"/>
      <c r="W6094" s="10"/>
      <c r="X6094" s="10"/>
      <c r="Y6094" s="10"/>
      <c r="Z6094" s="10"/>
    </row>
    <row r="6095" spans="1:26" ht="12.75">
      <c r="A6095" s="10" t="str">
        <f ca="1">IFERROR(__xludf.DUMMYFUNCTION("""COMPUTED_VALUE"""),"Николай Маринов Николов")</f>
        <v>Николай Маринов Николов</v>
      </c>
      <c r="B6095" s="10" t="str">
        <f ca="1">IFERROR(__xludf.DUMMYFUNCTION("""COMPUTED_VALUE"""),"Статия в списания и поредици")</f>
        <v>Статия в списания и поредици</v>
      </c>
      <c r="C6095" s="10" t="str">
        <f ca="1">IFERROR(__xludf.DUMMYFUNCTION("""COMPUTED_VALUE"""),"On a lower bound of the Kobayashi metric")</f>
        <v>On a lower bound of the Kobayashi metric</v>
      </c>
      <c r="D6095" s="10">
        <f ca="1">IFERROR(__xludf.DUMMYFUNCTION("""COMPUTED_VALUE"""),2016)</f>
        <v>2016</v>
      </c>
      <c r="E6095" s="10" t="str">
        <f ca="1">IFERROR(__xludf.DUMMYFUNCTION("""COMPUTED_VALUE"""),"Proceedings of the American Mathematical Society, 144, 10, 2016, ISSN:0002-9939 (p) 1088-6826 (e), DOI:10.1090/proc/13072, 4393-4394")</f>
        <v>Proceedings of the American Mathematical Society, 144, 10, 2016, ISSN:0002-9939 (p) 1088-6826 (e), DOI:10.1090/proc/13072, 4393-4394</v>
      </c>
      <c r="F6095" s="10" t="str">
        <f ca="1">IFERROR(__xludf.DUMMYFUNCTION("""COMPUTED_VALUE"""),"Web of Science")</f>
        <v>Web of Science</v>
      </c>
      <c r="G6095" s="10"/>
      <c r="H6095" s="10"/>
      <c r="I6095" s="10"/>
      <c r="J6095" s="10"/>
      <c r="K6095" s="10"/>
      <c r="L6095" s="10"/>
      <c r="M6095" s="10"/>
      <c r="N6095" s="10"/>
      <c r="O6095" s="10"/>
      <c r="P6095" s="10"/>
      <c r="Q6095" s="10"/>
      <c r="R6095" s="10"/>
      <c r="S6095" s="10"/>
      <c r="T6095" s="10"/>
      <c r="U6095" s="10"/>
      <c r="V6095" s="10"/>
      <c r="W6095" s="10"/>
      <c r="X6095" s="10"/>
      <c r="Y6095" s="10"/>
      <c r="Z6095" s="10"/>
    </row>
    <row r="6096" spans="1:26" ht="12.75">
      <c r="A6096" s="10" t="str">
        <f ca="1">IFERROR(__xludf.DUMMYFUNCTION("""COMPUTED_VALUE"""),"Николай Маринов Николов")</f>
        <v>Николай Маринов Николов</v>
      </c>
      <c r="B6096" s="10" t="str">
        <f ca="1">IFERROR(__xludf.DUMMYFUNCTION("""COMPUTED_VALUE"""),"Статия в списания и поредици")</f>
        <v>Статия в списания и поредици</v>
      </c>
      <c r="C6096" s="10" t="str">
        <f ca="1">IFERROR(__xludf.DUMMYFUNCTION("""COMPUTED_VALUE"""),"Estimates for invariant metrics on C-convex domains")</f>
        <v>Estimates for invariant metrics on C-convex domains</v>
      </c>
      <c r="D6096" s="10">
        <f ca="1">IFERROR(__xludf.DUMMYFUNCTION("""COMPUTED_VALUE"""),2011)</f>
        <v>2011</v>
      </c>
      <c r="E6096" s="10" t="str">
        <f ca="1">IFERROR(__xludf.DUMMYFUNCTION("""COMPUTED_VALUE"""),"Transactions of the American Mathematical Society. 363 (2011), No 12, 6245-6256, ISSN: 0002-9947")</f>
        <v>Transactions of the American Mathematical Society. 363 (2011), No 12, 6245-6256, ISSN: 0002-9947</v>
      </c>
      <c r="F6096" s="10" t="str">
        <f ca="1">IFERROR(__xludf.DUMMYFUNCTION("""COMPUTED_VALUE"""),"Web of Science")</f>
        <v>Web of Science</v>
      </c>
      <c r="G6096" s="10" t="str">
        <f ca="1">IFERROR(__xludf.DUMMYFUNCTION("""COMPUTED_VALUE"""),"P. Pflug, W. Zwonek")</f>
        <v>P. Pflug, W. Zwonek</v>
      </c>
      <c r="H6096" s="10"/>
      <c r="I6096" s="10"/>
      <c r="J6096" s="10"/>
      <c r="K6096" s="10"/>
      <c r="L6096" s="10"/>
      <c r="M6096" s="10"/>
      <c r="N6096" s="10"/>
      <c r="O6096" s="10"/>
      <c r="P6096" s="10"/>
      <c r="Q6096" s="10"/>
      <c r="R6096" s="10"/>
      <c r="S6096" s="10"/>
      <c r="T6096" s="10"/>
      <c r="U6096" s="10"/>
      <c r="V6096" s="10"/>
      <c r="W6096" s="10"/>
      <c r="X6096" s="10"/>
      <c r="Y6096" s="10"/>
      <c r="Z6096" s="10"/>
    </row>
    <row r="6097" spans="1:26" ht="12.75">
      <c r="A6097" s="10" t="str">
        <f ca="1">IFERROR(__xludf.DUMMYFUNCTION("""COMPUTED_VALUE"""),"Николай Маринов Николов")</f>
        <v>Николай Маринов Николов</v>
      </c>
      <c r="B6097" s="10" t="str">
        <f ca="1">IFERROR(__xludf.DUMMYFUNCTION("""COMPUTED_VALUE"""),"Статия в списания и поредици")</f>
        <v>Статия в списания и поредици</v>
      </c>
      <c r="C6097" s="10" t="str">
        <f ca="1">IFERROR(__xludf.DUMMYFUNCTION("""COMPUTED_VALUE"""),"An example of a bounded C-convex domain which is not biholomorphic to a convex domain")</f>
        <v>An example of a bounded C-convex domain which is not biholomorphic to a convex domain</v>
      </c>
      <c r="D6097" s="10">
        <f ca="1">IFERROR(__xludf.DUMMYFUNCTION("""COMPUTED_VALUE"""),2008)</f>
        <v>2008</v>
      </c>
      <c r="E6097" s="10" t="str">
        <f ca="1">IFERROR(__xludf.DUMMYFUNCTION("""COMPUTED_VALUE"""),"Mathematica Scandinavica, 102 (2008), No 1, 149-155. ISSN: 0025-5521, eISSN: 1903-1807")</f>
        <v>Mathematica Scandinavica, 102 (2008), No 1, 149-155. ISSN: 0025-5521, eISSN: 1903-1807</v>
      </c>
      <c r="F6097" s="10" t="str">
        <f ca="1">IFERROR(__xludf.DUMMYFUNCTION("""COMPUTED_VALUE"""),"Web of Science")</f>
        <v>Web of Science</v>
      </c>
      <c r="G6097" s="10" t="str">
        <f ca="1">IFERROR(__xludf.DUMMYFUNCTION("""COMPUTED_VALUE"""),"P. Pflug, W. Zwonek")</f>
        <v>P. Pflug, W. Zwonek</v>
      </c>
      <c r="H6097" s="10"/>
      <c r="I6097" s="10"/>
      <c r="J6097" s="10"/>
      <c r="K6097" s="10"/>
      <c r="L6097" s="10"/>
      <c r="M6097" s="10"/>
      <c r="N6097" s="10"/>
      <c r="O6097" s="10"/>
      <c r="P6097" s="10"/>
      <c r="Q6097" s="10"/>
      <c r="R6097" s="10"/>
      <c r="S6097" s="10"/>
      <c r="T6097" s="10"/>
      <c r="U6097" s="10"/>
      <c r="V6097" s="10"/>
      <c r="W6097" s="10"/>
      <c r="X6097" s="10"/>
      <c r="Y6097" s="10"/>
      <c r="Z6097" s="10"/>
    </row>
    <row r="6098" spans="1:26" ht="12.75">
      <c r="A6098" s="10" t="str">
        <f ca="1">IFERROR(__xludf.DUMMYFUNCTION("""COMPUTED_VALUE"""),"Николай Маринов Николов")</f>
        <v>Николай Маринов Николов</v>
      </c>
      <c r="B6098" s="10" t="str">
        <f ca="1">IFERROR(__xludf.DUMMYFUNCTION("""COMPUTED_VALUE"""),"Статия в списания и поредици")</f>
        <v>Статия в списания и поредици</v>
      </c>
      <c r="C6098" s="10" t="str">
        <f ca="1">IFERROR(__xludf.DUMMYFUNCTION("""COMPUTED_VALUE"""),"The Lempert function of the symmetrized polydisc in higher dimensions is not a distance")</f>
        <v>The Lempert function of the symmetrized polydisc in higher dimensions is not a distance</v>
      </c>
      <c r="D6098" s="10">
        <f ca="1">IFERROR(__xludf.DUMMYFUNCTION("""COMPUTED_VALUE"""),2007)</f>
        <v>2007</v>
      </c>
      <c r="E6098" s="10" t="str">
        <f ca="1">IFERROR(__xludf.DUMMYFUNCTION("""COMPUTED_VALUE"""),"Proceedings of the American Mathematical Society, 135 (2007), No 9, 2921-2928, ISSN: 0002-9939")</f>
        <v>Proceedings of the American Mathematical Society, 135 (2007), No 9, 2921-2928, ISSN: 0002-9939</v>
      </c>
      <c r="F6098" s="10" t="str">
        <f ca="1">IFERROR(__xludf.DUMMYFUNCTION("""COMPUTED_VALUE"""),"Web of Science")</f>
        <v>Web of Science</v>
      </c>
      <c r="G6098" s="10" t="str">
        <f ca="1">IFERROR(__xludf.DUMMYFUNCTION("""COMPUTED_VALUE"""),"P. Pflug, W. Zwonek")</f>
        <v>P. Pflug, W. Zwonek</v>
      </c>
      <c r="H6098" s="10"/>
      <c r="I6098" s="10"/>
      <c r="J6098" s="10"/>
      <c r="K6098" s="10"/>
      <c r="L6098" s="10"/>
      <c r="M6098" s="10"/>
      <c r="N6098" s="10"/>
      <c r="O6098" s="10"/>
      <c r="P6098" s="10"/>
      <c r="Q6098" s="10"/>
      <c r="R6098" s="10"/>
      <c r="S6098" s="10"/>
      <c r="T6098" s="10"/>
      <c r="U6098" s="10"/>
      <c r="V6098" s="10"/>
      <c r="W6098" s="10"/>
      <c r="X6098" s="10"/>
      <c r="Y6098" s="10"/>
      <c r="Z6098" s="10"/>
    </row>
    <row r="6099" spans="1:26" ht="12.75">
      <c r="A6099" s="10" t="str">
        <f ca="1">IFERROR(__xludf.DUMMYFUNCTION("""COMPUTED_VALUE"""),"Николай Маринов Николов")</f>
        <v>Николай Маринов Николов</v>
      </c>
      <c r="B6099" s="10" t="str">
        <f ca="1">IFERROR(__xludf.DUMMYFUNCTION("""COMPUTED_VALUE"""),"Статия в списания и поредици")</f>
        <v>Статия в списания и поредици</v>
      </c>
      <c r="C6099" s="10" t="str">
        <f ca="1">IFERROR(__xludf.DUMMYFUNCTION("""COMPUTED_VALUE"""),"The Bergman kernel of the symmetrized polydisc in higher dimensions has zeros")</f>
        <v>The Bergman kernel of the symmetrized polydisc in higher dimensions has zeros</v>
      </c>
      <c r="D6099" s="10">
        <f ca="1">IFERROR(__xludf.DUMMYFUNCTION("""COMPUTED_VALUE"""),2006)</f>
        <v>2006</v>
      </c>
      <c r="E6099" s="10" t="str">
        <f ca="1">IFERROR(__xludf.DUMMYFUNCTION("""COMPUTED_VALUE"""),"Archiv der Mathematik, 87 (2006), No 5, 412-416, ISSN: 0003-889X")</f>
        <v>Archiv der Mathematik, 87 (2006), No 5, 412-416, ISSN: 0003-889X</v>
      </c>
      <c r="F6099" s="10" t="str">
        <f ca="1">IFERROR(__xludf.DUMMYFUNCTION("""COMPUTED_VALUE"""),"Web of Science")</f>
        <v>Web of Science</v>
      </c>
      <c r="G6099" s="10" t="str">
        <f ca="1">IFERROR(__xludf.DUMMYFUNCTION("""COMPUTED_VALUE"""),"W. Zwonek")</f>
        <v>W. Zwonek</v>
      </c>
      <c r="H6099" s="10"/>
      <c r="I6099" s="10"/>
      <c r="J6099" s="10"/>
      <c r="K6099" s="10"/>
      <c r="L6099" s="10"/>
      <c r="M6099" s="10"/>
      <c r="N6099" s="10"/>
      <c r="O6099" s="10"/>
      <c r="P6099" s="10"/>
      <c r="Q6099" s="10"/>
      <c r="R6099" s="10"/>
      <c r="S6099" s="10"/>
      <c r="T6099" s="10"/>
      <c r="U6099" s="10"/>
      <c r="V6099" s="10"/>
      <c r="W6099" s="10"/>
      <c r="X6099" s="10"/>
      <c r="Y6099" s="10"/>
      <c r="Z6099" s="10"/>
    </row>
    <row r="6100" spans="1:26" ht="12.75">
      <c r="A6100" s="10" t="str">
        <f ca="1">IFERROR(__xludf.DUMMYFUNCTION("""COMPUTED_VALUE"""),"Николай Маринов Николов")</f>
        <v>Николай Маринов Николов</v>
      </c>
      <c r="B6100" s="10" t="str">
        <f ca="1">IFERROR(__xludf.DUMMYFUNCTION("""COMPUTED_VALUE"""),"Статия в списания и поредици")</f>
        <v>Статия в списания и поредици</v>
      </c>
      <c r="C6100" s="10" t="str">
        <f ca="1">IFERROR(__xludf.DUMMYFUNCTION("""COMPUTED_VALUE"""),"Localization of invariant metrics")</f>
        <v>Localization of invariant metrics</v>
      </c>
      <c r="D6100" s="10">
        <f ca="1">IFERROR(__xludf.DUMMYFUNCTION("""COMPUTED_VALUE"""),2002)</f>
        <v>2002</v>
      </c>
      <c r="E6100" s="10" t="str">
        <f ca="1">IFERROR(__xludf.DUMMYFUNCTION("""COMPUTED_VALUE"""),"Archiv der Mathematik, 79 (2002), No 1, 67-73. ISSN: 0003-889X")</f>
        <v>Archiv der Mathematik, 79 (2002), No 1, 67-73. ISSN: 0003-889X</v>
      </c>
      <c r="F6100" s="10" t="str">
        <f ca="1">IFERROR(__xludf.DUMMYFUNCTION("""COMPUTED_VALUE"""),"Web of Science")</f>
        <v>Web of Science</v>
      </c>
      <c r="G6100" s="10"/>
      <c r="H6100" s="10"/>
      <c r="I6100" s="10"/>
      <c r="J6100" s="10"/>
      <c r="K6100" s="10"/>
      <c r="L6100" s="10"/>
      <c r="M6100" s="10"/>
      <c r="N6100" s="10"/>
      <c r="O6100" s="10"/>
      <c r="P6100" s="10"/>
      <c r="Q6100" s="10"/>
      <c r="R6100" s="10"/>
      <c r="S6100" s="10"/>
      <c r="T6100" s="10"/>
      <c r="U6100" s="10"/>
      <c r="V6100" s="10"/>
      <c r="W6100" s="10"/>
      <c r="X6100" s="10"/>
      <c r="Y6100" s="10"/>
      <c r="Z6100" s="10"/>
    </row>
    <row r="6101" spans="1:26" ht="12.75">
      <c r="A6101" s="10" t="str">
        <f ca="1">IFERROR(__xludf.DUMMYFUNCTION("""COMPUTED_VALUE"""),"Олег Димитров Константинов")</f>
        <v>Олег Димитров Константинов</v>
      </c>
      <c r="B6101" s="10" t="str">
        <f ca="1">IFERROR(__xludf.DUMMYFUNCTION("""COMPUTED_VALUE"""),"Статия в списания и поредици")</f>
        <v>Статия в списания и поредици</v>
      </c>
      <c r="C6101" s="10" t="str">
        <f ca="1">IFERROR(__xludf.DUMMYFUNCTION("""COMPUTED_VALUE"""),"TOWARD OVERCOMING THE DISPROPORTION BETWEEN THE DEMAND FOR PROFESSIONALS AND THE PROVISION OF TRAINING IN CYBERSECURITY")</f>
        <v>TOWARD OVERCOMING THE DISPROPORTION BETWEEN THE DEMAND FOR PROFESSIONALS AND THE PROVISION OF TRAINING IN CYBERSECURITY</v>
      </c>
      <c r="D6101" s="10">
        <f ca="1">IFERROR(__xludf.DUMMYFUNCTION("""COMPUTED_VALUE"""),2019)</f>
        <v>2019</v>
      </c>
      <c r="E6101" s="10" t="str">
        <f ca="1">IFERROR(__xludf.DUMMYFUNCTION("""COMPUTED_VALUE"""),"EDULEARN19 Proceedings, editor/s:L. Gómez Chova, A. López Martínez, I. Candel Torres, Publisher:IATED, 2019, pages:1656-1664, ISSN (online):2340-1117, ISBN:978-84-09-12031-4, doi:10.21125/edulearn.2019.0485.")</f>
        <v>EDULEARN19 Proceedings, editor/s:L. Gómez Chova, A. López Martínez, I. Candel Torres, Publisher:IATED, 2019, pages:1656-1664, ISSN (online):2340-1117, ISBN:978-84-09-12031-4, doi:10.21125/edulearn.2019.0485.</v>
      </c>
      <c r="F6101" s="10"/>
      <c r="G6101" s="10" t="str">
        <f ca="1">IFERROR(__xludf.DUMMYFUNCTION("""COMPUTED_VALUE"""),"V. Dimitrov, K. Rasheva-Yordanova, O. Konstantinov, B. Bosakova, V. Angelova")</f>
        <v>V. Dimitrov, K. Rasheva-Yordanova, O. Konstantinov, B. Bosakova, V. Angelova</v>
      </c>
      <c r="H6101" s="10"/>
      <c r="I6101" s="10"/>
      <c r="J6101" s="10"/>
      <c r="K6101" s="10"/>
      <c r="L6101" s="10"/>
      <c r="M6101" s="10"/>
      <c r="N6101" s="10"/>
      <c r="O6101" s="10"/>
      <c r="P6101" s="10"/>
      <c r="Q6101" s="10"/>
      <c r="R6101" s="10"/>
      <c r="S6101" s="10"/>
      <c r="T6101" s="10"/>
      <c r="U6101" s="10"/>
      <c r="V6101" s="10"/>
      <c r="W6101" s="10"/>
      <c r="X6101" s="10"/>
      <c r="Y6101" s="10"/>
      <c r="Z6101" s="10"/>
    </row>
    <row r="6102" spans="1:26" ht="12.75">
      <c r="A6102" s="10" t="str">
        <f ca="1">IFERROR(__xludf.DUMMYFUNCTION("""COMPUTED_VALUE"""),"Олег Димитров Константинов")</f>
        <v>Олег Димитров Константинов</v>
      </c>
      <c r="B6102" s="10" t="str">
        <f ca="1">IFERROR(__xludf.DUMMYFUNCTION("""COMPUTED_VALUE"""),"Доклад от конференция")</f>
        <v>Доклад от конференция</v>
      </c>
      <c r="C6102" s="10" t="str">
        <f ca="1">IFERROR(__xludf.DUMMYFUNCTION("""COMPUTED_VALUE"""),"Design and Implementation of Virtual Models in Medical Biochemistry Learning")</f>
        <v>Design and Implementation of Virtual Models in Medical Biochemistry Learning</v>
      </c>
      <c r="D6102" s="10">
        <f ca="1">IFERROR(__xludf.DUMMYFUNCTION("""COMPUTED_VALUE"""),2018)</f>
        <v>2018</v>
      </c>
      <c r="E6102" s="10" t="str">
        <f ca="1">IFERROR(__xludf.DUMMYFUNCTION("""COMPUTED_VALUE"""),"AIP Conference Proceedings 2048, Publisher:American Institute of Physics, 2018, pages:20033-0, ISSN (print):0094-243X, ISSN (online):1551-7616, doi:10.1063/1.5082051, Ref SCOPUS, SJR (0.182 - 2018).")</f>
        <v>AIP Conference Proceedings 2048, Publisher:American Institute of Physics, 2018, pages:20033-0, ISSN (print):0094-243X, ISSN (online):1551-7616, doi:10.1063/1.5082051, Ref SCOPUS, SJR (0.182 - 2018).</v>
      </c>
      <c r="F6102" s="10" t="str">
        <f ca="1">IFERROR(__xludf.DUMMYFUNCTION("""COMPUTED_VALUE"""),"SCOPUS")</f>
        <v>SCOPUS</v>
      </c>
      <c r="G6102" s="10" t="str">
        <f ca="1">IFERROR(__xludf.DUMMYFUNCTION("""COMPUTED_VALUE"""),"Monova, T., Kalenderova, S., Tsakovski, S., Kossekova, G.")</f>
        <v>Monova, T., Kalenderova, S., Tsakovski, S., Kossekova, G.</v>
      </c>
      <c r="H6102" s="10"/>
      <c r="I6102" s="10"/>
      <c r="J6102" s="10"/>
      <c r="K6102" s="10"/>
      <c r="L6102" s="10"/>
      <c r="M6102" s="10"/>
      <c r="N6102" s="10"/>
      <c r="O6102" s="10"/>
      <c r="P6102" s="10"/>
      <c r="Q6102" s="10"/>
      <c r="R6102" s="10"/>
      <c r="S6102" s="10"/>
      <c r="T6102" s="10"/>
      <c r="U6102" s="10"/>
      <c r="V6102" s="10"/>
      <c r="W6102" s="10"/>
      <c r="X6102" s="10"/>
      <c r="Y6102" s="10"/>
      <c r="Z6102" s="10"/>
    </row>
    <row r="6103" spans="1:26" ht="12.75">
      <c r="A6103" s="10" t="str">
        <f ca="1">IFERROR(__xludf.DUMMYFUNCTION("""COMPUTED_VALUE"""),"Олег Димитров Константинов")</f>
        <v>Олег Димитров Константинов</v>
      </c>
      <c r="B6103" s="10" t="str">
        <f ca="1">IFERROR(__xludf.DUMMYFUNCTION("""COMPUTED_VALUE"""),"Учебник")</f>
        <v>Учебник</v>
      </c>
      <c r="C6103" s="10" t="str">
        <f ca="1">IFERROR(__xludf.DUMMYFUNCTION("""COMPUTED_VALUE"""),"Информационни технологии за 9. клас")</f>
        <v>Информационни технологии за 9. клас</v>
      </c>
      <c r="D6103" s="10">
        <f ca="1">IFERROR(__xludf.DUMMYFUNCTION("""COMPUTED_VALUE"""),2018)</f>
        <v>2018</v>
      </c>
      <c r="E6103" s="10" t="str">
        <f ca="1">IFERROR(__xludf.DUMMYFUNCTION("""COMPUTED_VALUE"""),"""Анубис“ ООД, ISBN 978-619-215-256-7, 2018.")</f>
        <v>"Анубис“ ООД, ISBN 978-619-215-256-7, 2018.</v>
      </c>
      <c r="F6103" s="10"/>
      <c r="G6103" s="10" t="str">
        <f ca="1">IFERROR(__xludf.DUMMYFUNCTION("""COMPUTED_VALUE"""),"Евгения Ковачева, Елена Димитрова, Георги Гачев, Олег Константинов")</f>
        <v>Евгения Ковачева, Елена Димитрова, Георги Гачев, Олег Константинов</v>
      </c>
      <c r="H6103" s="10"/>
      <c r="I6103" s="10"/>
      <c r="J6103" s="10"/>
      <c r="K6103" s="10"/>
      <c r="L6103" s="10"/>
      <c r="M6103" s="10"/>
      <c r="N6103" s="10"/>
      <c r="O6103" s="10"/>
      <c r="P6103" s="10"/>
      <c r="Q6103" s="10"/>
      <c r="R6103" s="10"/>
      <c r="S6103" s="10"/>
      <c r="T6103" s="10"/>
      <c r="U6103" s="10"/>
      <c r="V6103" s="10"/>
      <c r="W6103" s="10"/>
      <c r="X6103" s="10"/>
      <c r="Y6103" s="10"/>
      <c r="Z6103" s="10"/>
    </row>
    <row r="6104" spans="1:26" ht="12.75">
      <c r="A6104" s="10" t="str">
        <f ca="1">IFERROR(__xludf.DUMMYFUNCTION("""COMPUTED_VALUE"""),"Олег Димитров Константинов")</f>
        <v>Олег Димитров Константинов</v>
      </c>
      <c r="B6104" s="10" t="str">
        <f ca="1">IFERROR(__xludf.DUMMYFUNCTION("""COMPUTED_VALUE"""),"Учебник")</f>
        <v>Учебник</v>
      </c>
      <c r="C6104" s="10" t="str">
        <f ca="1">IFERROR(__xludf.DUMMYFUNCTION("""COMPUTED_VALUE"""),"Информационни технологии за 7. клас със CD")</f>
        <v>Информационни технологии за 7. клас със CD</v>
      </c>
      <c r="D6104" s="10">
        <f ca="1">IFERROR(__xludf.DUMMYFUNCTION("""COMPUTED_VALUE"""),2018)</f>
        <v>2018</v>
      </c>
      <c r="E6104" s="10" t="str">
        <f ca="1">IFERROR(__xludf.DUMMYFUNCTION("""COMPUTED_VALUE"""),"Просвета – София“ АД, ISBN: 978-954-01-3647-9, 2018.")</f>
        <v>Просвета – София“ АД, ISBN: 978-954-01-3647-9, 2018.</v>
      </c>
      <c r="F6104" s="10"/>
      <c r="G6104" s="10" t="str">
        <f ca="1">IFERROR(__xludf.DUMMYFUNCTION("""COMPUTED_VALUE"""),"Николина Николова, Елиза Стефанова, Мирослава Николова, Диана Петрова, Олег Константинов, Светла Бойчева")</f>
        <v>Николина Николова, Елиза Стефанова, Мирослава Николова, Диана Петрова, Олег Константинов, Светла Бойчева</v>
      </c>
      <c r="H6104" s="10"/>
      <c r="I6104" s="10"/>
      <c r="J6104" s="10"/>
      <c r="K6104" s="10"/>
      <c r="L6104" s="10"/>
      <c r="M6104" s="10"/>
      <c r="N6104" s="10"/>
      <c r="O6104" s="10"/>
      <c r="P6104" s="10"/>
      <c r="Q6104" s="10"/>
      <c r="R6104" s="10"/>
      <c r="S6104" s="10"/>
      <c r="T6104" s="10"/>
      <c r="U6104" s="10"/>
      <c r="V6104" s="10"/>
      <c r="W6104" s="10"/>
      <c r="X6104" s="10"/>
      <c r="Y6104" s="10"/>
      <c r="Z6104" s="10"/>
    </row>
    <row r="6105" spans="1:26" ht="12.75">
      <c r="A6105" s="10" t="str">
        <f ca="1">IFERROR(__xludf.DUMMYFUNCTION("""COMPUTED_VALUE"""),"Олег Димитров Константинов")</f>
        <v>Олег Димитров Константинов</v>
      </c>
      <c r="B6105" s="10" t="str">
        <f ca="1">IFERROR(__xludf.DUMMYFUNCTION("""COMPUTED_VALUE"""),"Учебно пособие")</f>
        <v>Учебно пособие</v>
      </c>
      <c r="C6105" s="10" t="str">
        <f ca="1">IFERROR(__xludf.DUMMYFUNCTION("""COMPUTED_VALUE"""),"Книга за учителя - Информационни технологии за 7. клас")</f>
        <v>Книга за учителя - Информационни технологии за 7. клас</v>
      </c>
      <c r="D6105" s="10">
        <f ca="1">IFERROR(__xludf.DUMMYFUNCTION("""COMPUTED_VALUE"""),2018)</f>
        <v>2018</v>
      </c>
      <c r="E6105" s="10" t="str">
        <f ca="1">IFERROR(__xludf.DUMMYFUNCTION("""COMPUTED_VALUE"""),"Просвета – София“ АД, ISBN 978–954–01–3714–8, 2018.")</f>
        <v>Просвета – София“ АД, ISBN 978–954–01–3714–8, 2018.</v>
      </c>
      <c r="F6105" s="10"/>
      <c r="G6105" s="10" t="str">
        <f ca="1">IFERROR(__xludf.DUMMYFUNCTION("""COMPUTED_VALUE"""),"Николина Николова, Елиза Стефанова, Мирослава Николова, Диана Петрова, Олег Константинов, Светла Бойчева")</f>
        <v>Николина Николова, Елиза Стефанова, Мирослава Николова, Диана Петрова, Олег Константинов, Светла Бойчева</v>
      </c>
      <c r="H6105" s="10"/>
      <c r="I6105" s="10"/>
      <c r="J6105" s="10"/>
      <c r="K6105" s="10"/>
      <c r="L6105" s="10"/>
      <c r="M6105" s="10"/>
      <c r="N6105" s="10"/>
      <c r="O6105" s="10"/>
      <c r="P6105" s="10"/>
      <c r="Q6105" s="10"/>
      <c r="R6105" s="10"/>
      <c r="S6105" s="10"/>
      <c r="T6105" s="10"/>
      <c r="U6105" s="10"/>
      <c r="V6105" s="10"/>
      <c r="W6105" s="10"/>
      <c r="X6105" s="10"/>
      <c r="Y6105" s="10"/>
      <c r="Z6105" s="10"/>
    </row>
    <row r="6106" spans="1:26" ht="12.75">
      <c r="A6106" s="10" t="str">
        <f ca="1">IFERROR(__xludf.DUMMYFUNCTION("""COMPUTED_VALUE"""),"Олег Димитров Константинов")</f>
        <v>Олег Димитров Константинов</v>
      </c>
      <c r="B6106" s="10" t="str">
        <f ca="1">IFERROR(__xludf.DUMMYFUNCTION("""COMPUTED_VALUE"""),"Учебно пособие")</f>
        <v>Учебно пособие</v>
      </c>
      <c r="C6106" s="10" t="str">
        <f ca="1">IFERROR(__xludf.DUMMYFUNCTION("""COMPUTED_VALUE"""),"Книга за учителя - Информационни технологии за 6. клас")</f>
        <v>Книга за учителя - Информационни технологии за 6. клас</v>
      </c>
      <c r="D6106" s="10">
        <f ca="1">IFERROR(__xludf.DUMMYFUNCTION("""COMPUTED_VALUE"""),2017)</f>
        <v>2017</v>
      </c>
      <c r="E6106" s="10" t="str">
        <f ca="1">IFERROR(__xludf.DUMMYFUNCTION("""COMPUTED_VALUE"""),"Просвета – София“ АД, ISBN 978–954–01–3498–7, 2017.")</f>
        <v>Просвета – София“ АД, ISBN 978–954–01–3498–7, 2017.</v>
      </c>
      <c r="F6106" s="10"/>
      <c r="G6106" s="10" t="str">
        <f ca="1">IFERROR(__xludf.DUMMYFUNCTION("""COMPUTED_VALUE"""),"Николина Николова, Елиза Стефанова, Мирослава Николова, Диана Петрова, Олег Константинов")</f>
        <v>Николина Николова, Елиза Стефанова, Мирослава Николова, Диана Петрова, Олег Константинов</v>
      </c>
      <c r="H6106" s="10"/>
      <c r="I6106" s="10"/>
      <c r="J6106" s="10"/>
      <c r="K6106" s="10"/>
      <c r="L6106" s="10"/>
      <c r="M6106" s="10"/>
      <c r="N6106" s="10"/>
      <c r="O6106" s="10"/>
      <c r="P6106" s="10"/>
      <c r="Q6106" s="10"/>
      <c r="R6106" s="10"/>
      <c r="S6106" s="10"/>
      <c r="T6106" s="10"/>
      <c r="U6106" s="10"/>
      <c r="V6106" s="10"/>
      <c r="W6106" s="10"/>
      <c r="X6106" s="10"/>
      <c r="Y6106" s="10"/>
      <c r="Z6106" s="10"/>
    </row>
    <row r="6107" spans="1:26" ht="12.75">
      <c r="A6107" s="10" t="str">
        <f ca="1">IFERROR(__xludf.DUMMYFUNCTION("""COMPUTED_VALUE"""),"Олег Димитров Константинов")</f>
        <v>Олег Димитров Константинов</v>
      </c>
      <c r="B6107" s="10" t="str">
        <f ca="1">IFERROR(__xludf.DUMMYFUNCTION("""COMPUTED_VALUE"""),"Учебник")</f>
        <v>Учебник</v>
      </c>
      <c r="C6107" s="10" t="str">
        <f ca="1">IFERROR(__xludf.DUMMYFUNCTION("""COMPUTED_VALUE"""),"Учебник по Информационни технологии за 6. клас")</f>
        <v>Учебник по Информационни технологии за 6. клас</v>
      </c>
      <c r="D6107" s="10">
        <f ca="1">IFERROR(__xludf.DUMMYFUNCTION("""COMPUTED_VALUE"""),2017)</f>
        <v>2017</v>
      </c>
      <c r="E6107" s="10" t="str">
        <f ca="1">IFERROR(__xludf.DUMMYFUNCTION("""COMPUTED_VALUE"""),"Просвета – София“ АД, ISBN 978-954-01-3407-9, със CD, 2017.")</f>
        <v>Просвета – София“ АД, ISBN 978-954-01-3407-9, със CD, 2017.</v>
      </c>
      <c r="F6107" s="10"/>
      <c r="G6107" s="10" t="str">
        <f ca="1">IFERROR(__xludf.DUMMYFUNCTION("""COMPUTED_VALUE"""),"Николина Николова, Елиза Стефанова, Диана Петрова, Олег Константинов")</f>
        <v>Николина Николова, Елиза Стефанова, Диана Петрова, Олег Константинов</v>
      </c>
      <c r="H6107" s="10"/>
      <c r="I6107" s="10"/>
      <c r="J6107" s="10"/>
      <c r="K6107" s="10"/>
      <c r="L6107" s="10"/>
      <c r="M6107" s="10"/>
      <c r="N6107" s="10"/>
      <c r="O6107" s="10"/>
      <c r="P6107" s="10"/>
      <c r="Q6107" s="10"/>
      <c r="R6107" s="10"/>
      <c r="S6107" s="10"/>
      <c r="T6107" s="10"/>
      <c r="U6107" s="10"/>
      <c r="V6107" s="10"/>
      <c r="W6107" s="10"/>
      <c r="X6107" s="10"/>
      <c r="Y6107" s="10"/>
      <c r="Z6107" s="10"/>
    </row>
    <row r="6108" spans="1:26" ht="12.75">
      <c r="A6108" s="10" t="str">
        <f ca="1">IFERROR(__xludf.DUMMYFUNCTION("""COMPUTED_VALUE"""),"Олег Димитров Константинов")</f>
        <v>Олег Димитров Константинов</v>
      </c>
      <c r="B6108" s="10" t="str">
        <f ca="1">IFERROR(__xludf.DUMMYFUNCTION("""COMPUTED_VALUE"""),"Учебник")</f>
        <v>Учебник</v>
      </c>
      <c r="C6108" s="10" t="str">
        <f ca="1">IFERROR(__xludf.DUMMYFUNCTION("""COMPUTED_VALUE"""),"Учебник по Информационни технологии за 5. клас")</f>
        <v>Учебник по Информационни технологии за 5. клас</v>
      </c>
      <c r="D6108" s="10">
        <f ca="1">IFERROR(__xludf.DUMMYFUNCTION("""COMPUTED_VALUE"""),2016)</f>
        <v>2016</v>
      </c>
      <c r="E6108" s="10" t="str">
        <f ca="1">IFERROR(__xludf.DUMMYFUNCTION("""COMPUTED_VALUE"""),"Просвета – София“ АД, ISBN 978-954-01-3206-8, със СD, 2016.")</f>
        <v>Просвета – София“ АД, ISBN 978-954-01-3206-8, със СD, 2016.</v>
      </c>
      <c r="F6108" s="10"/>
      <c r="G6108" s="10" t="str">
        <f ca="1">IFERROR(__xludf.DUMMYFUNCTION("""COMPUTED_VALUE"""),"Николина Николова, Елиза Стефанова, Мирослава Николова, Диана Петрова, Олег Константинов")</f>
        <v>Николина Николова, Елиза Стефанова, Мирослава Николова, Диана Петрова, Олег Константинов</v>
      </c>
      <c r="H6108" s="10"/>
      <c r="I6108" s="10"/>
      <c r="J6108" s="10"/>
      <c r="K6108" s="10"/>
      <c r="L6108" s="10"/>
      <c r="M6108" s="10"/>
      <c r="N6108" s="10"/>
      <c r="O6108" s="10"/>
      <c r="P6108" s="10"/>
      <c r="Q6108" s="10"/>
      <c r="R6108" s="10"/>
      <c r="S6108" s="10"/>
      <c r="T6108" s="10"/>
      <c r="U6108" s="10"/>
      <c r="V6108" s="10"/>
      <c r="W6108" s="10"/>
      <c r="X6108" s="10"/>
      <c r="Y6108" s="10"/>
      <c r="Z6108" s="10"/>
    </row>
    <row r="6109" spans="1:26" ht="12.75">
      <c r="A6109" s="10" t="str">
        <f ca="1">IFERROR(__xludf.DUMMYFUNCTION("""COMPUTED_VALUE"""),"Олег Димитров Константинов")</f>
        <v>Олег Димитров Константинов</v>
      </c>
      <c r="B6109" s="10" t="str">
        <f ca="1">IFERROR(__xludf.DUMMYFUNCTION("""COMPUTED_VALUE"""),"Учебно пособие")</f>
        <v>Учебно пособие</v>
      </c>
      <c r="C6109" s="10" t="str">
        <f ca="1">IFERROR(__xludf.DUMMYFUNCTION("""COMPUTED_VALUE"""),"Книга за учителя - Информационни технологии за 5. клас")</f>
        <v>Книга за учителя - Информационни технологии за 5. клас</v>
      </c>
      <c r="D6109" s="10">
        <f ca="1">IFERROR(__xludf.DUMMYFUNCTION("""COMPUTED_VALUE"""),2016)</f>
        <v>2016</v>
      </c>
      <c r="E6109" s="10" t="str">
        <f ca="1">IFERROR(__xludf.DUMMYFUNCTION("""COMPUTED_VALUE"""),"Просвета – София“ АД, ISBN 978–954–01–3234–1, 2016.")</f>
        <v>Просвета – София“ АД, ISBN 978–954–01–3234–1, 2016.</v>
      </c>
      <c r="F6109" s="10"/>
      <c r="G6109" s="10" t="str">
        <f ca="1">IFERROR(__xludf.DUMMYFUNCTION("""COMPUTED_VALUE"""),"Николина Николова, Елиза Стефанова, Мирослава Николова, Диана Петрова, Олег Константинов")</f>
        <v>Николина Николова, Елиза Стефанова, Мирослава Николова, Диана Петрова, Олег Константинов</v>
      </c>
      <c r="H6109" s="10"/>
      <c r="I6109" s="10"/>
      <c r="J6109" s="10"/>
      <c r="K6109" s="10"/>
      <c r="L6109" s="10"/>
      <c r="M6109" s="10"/>
      <c r="N6109" s="10"/>
      <c r="O6109" s="10"/>
      <c r="P6109" s="10"/>
      <c r="Q6109" s="10"/>
      <c r="R6109" s="10"/>
      <c r="S6109" s="10"/>
      <c r="T6109" s="10"/>
      <c r="U6109" s="10"/>
      <c r="V6109" s="10"/>
      <c r="W6109" s="10"/>
      <c r="X6109" s="10"/>
      <c r="Y6109" s="10"/>
      <c r="Z6109" s="10"/>
    </row>
    <row r="6110" spans="1:26" ht="12.75">
      <c r="A6110" s="10" t="str">
        <f ca="1">IFERROR(__xludf.DUMMYFUNCTION("""COMPUTED_VALUE"""),"Олег Димитров Константинов")</f>
        <v>Олег Димитров Константинов</v>
      </c>
      <c r="B6110" s="10" t="str">
        <f ca="1">IFERROR(__xludf.DUMMYFUNCTION("""COMPUTED_VALUE"""),"Статия в списания и поредици")</f>
        <v>Статия в списания и поредици</v>
      </c>
      <c r="C6110" s="10" t="str">
        <f ca="1">IFERROR(__xludf.DUMMYFUNCTION("""COMPUTED_VALUE"""),"Мултимедийнo представяне на културно-историческо наследство")</f>
        <v>Мултимедийнo представяне на културно-историческо наследство</v>
      </c>
      <c r="D6110" s="10">
        <f ca="1">IFERROR(__xludf.DUMMYFUNCTION("""COMPUTED_VALUE"""),2015)</f>
        <v>2015</v>
      </c>
      <c r="E6110" s="10" t="str">
        <f ca="1">IFERROR(__xludf.DUMMYFUNCTION("""COMPUTED_VALUE"""),"Сп. „Автоматика и информатика“, кн. 4/2014, София. (Броят е отпечатан през август 2015 г.).")</f>
        <v>Сп. „Автоматика и информатика“, кн. 4/2014, София. (Броят е отпечатан през август 2015 г.).</v>
      </c>
      <c r="F6110" s="10"/>
      <c r="G6110" s="10" t="str">
        <f ca="1">IFERROR(__xludf.DUMMYFUNCTION("""COMPUTED_VALUE"""),"Валерия Фол")</f>
        <v>Валерия Фол</v>
      </c>
      <c r="H6110" s="10"/>
      <c r="I6110" s="10"/>
      <c r="J6110" s="10"/>
      <c r="K6110" s="10"/>
      <c r="L6110" s="10"/>
      <c r="M6110" s="10"/>
      <c r="N6110" s="10"/>
      <c r="O6110" s="10"/>
      <c r="P6110" s="10"/>
      <c r="Q6110" s="10"/>
      <c r="R6110" s="10"/>
      <c r="S6110" s="10"/>
      <c r="T6110" s="10"/>
      <c r="U6110" s="10"/>
      <c r="V6110" s="10"/>
      <c r="W6110" s="10"/>
      <c r="X6110" s="10"/>
      <c r="Y6110" s="10"/>
      <c r="Z6110" s="10"/>
    </row>
    <row r="6111" spans="1:26" ht="12.75">
      <c r="A6111" s="10" t="str">
        <f ca="1">IFERROR(__xludf.DUMMYFUNCTION("""COMPUTED_VALUE"""),"Олег Димитров Константинов")</f>
        <v>Олег Димитров Константинов</v>
      </c>
      <c r="B6111" s="10" t="str">
        <f ca="1">IFERROR(__xludf.DUMMYFUNCTION("""COMPUTED_VALUE"""),"Доклад от конференция")</f>
        <v>Доклад от конференция</v>
      </c>
      <c r="C6111" s="10" t="str">
        <f ca="1">IFERROR(__xludf.DUMMYFUNCTION("""COMPUTED_VALUE"""),"Мултимедийни образователни продукти в обучението по дисциплини, свързани с културно-историческо наследство в УниБИТ")</f>
        <v>Мултимедийни образователни продукти в обучението по дисциплини, свързани с културно-историческо наследство в УниБИТ</v>
      </c>
      <c r="D6111" s="10">
        <f ca="1">IFERROR(__xludf.DUMMYFUNCTION("""COMPUTED_VALUE"""),2015)</f>
        <v>2015</v>
      </c>
      <c r="E6111" s="10" t="str">
        <f ca="1">IFERROR(__xludf.DUMMYFUNCTION("""COMPUTED_VALUE"""),"III Научна конференция с международно участие „Съвременни технологии в културно-историческото наследство“ (сборник с доклади).")</f>
        <v>III Научна конференция с международно участие „Съвременни технологии в културно-историческото наследство“ (сборник с доклади).</v>
      </c>
      <c r="F6111" s="10"/>
      <c r="G6111" s="10" t="str">
        <f ca="1">IFERROR(__xludf.DUMMYFUNCTION("""COMPUTED_VALUE"""),"Валерия Фол")</f>
        <v>Валерия Фол</v>
      </c>
      <c r="H6111" s="10"/>
      <c r="I6111" s="10"/>
      <c r="J6111" s="10"/>
      <c r="K6111" s="10"/>
      <c r="L6111" s="10"/>
      <c r="M6111" s="10"/>
      <c r="N6111" s="10"/>
      <c r="O6111" s="10"/>
      <c r="P6111" s="10"/>
      <c r="Q6111" s="10"/>
      <c r="R6111" s="10"/>
      <c r="S6111" s="10"/>
      <c r="T6111" s="10"/>
      <c r="U6111" s="10"/>
      <c r="V6111" s="10"/>
      <c r="W6111" s="10"/>
      <c r="X6111" s="10"/>
      <c r="Y6111" s="10"/>
      <c r="Z6111" s="10"/>
    </row>
    <row r="6112" spans="1:26" ht="12.75">
      <c r="A6112" s="10" t="str">
        <f ca="1">IFERROR(__xludf.DUMMYFUNCTION("""COMPUTED_VALUE"""),"Олег Димитров Константинов")</f>
        <v>Олег Димитров Константинов</v>
      </c>
      <c r="B6112" s="10" t="str">
        <f ca="1">IFERROR(__xludf.DUMMYFUNCTION("""COMPUTED_VALUE"""),"Статия в списания и поредици")</f>
        <v>Статия в списания и поредици</v>
      </c>
      <c r="C6112" s="10" t="str">
        <f ca="1">IFERROR(__xludf.DUMMYFUNCTION("""COMPUTED_VALUE"""),"Video lectures as a tool for modern distance education")</f>
        <v>Video lectures as a tool for modern distance education</v>
      </c>
      <c r="D6112" s="10">
        <f ca="1">IFERROR(__xludf.DUMMYFUNCTION("""COMPUTED_VALUE"""),2014)</f>
        <v>2014</v>
      </c>
      <c r="E6112" s="10" t="str">
        <f ca="1">IFERROR(__xludf.DUMMYFUNCTION("""COMPUTED_VALUE"""),"Challenges in Higher Education and Research in the 21st Century, issue:12, Publisher:Heron Press, 2014, ISBN:978-954-580-325-3.")</f>
        <v>Challenges in Higher Education and Research in the 21st Century, issue:12, Publisher:Heron Press, 2014, ISBN:978-954-580-325-3.</v>
      </c>
      <c r="F6112" s="10"/>
      <c r="G6112" s="10" t="str">
        <f ca="1">IFERROR(__xludf.DUMMYFUNCTION("""COMPUTED_VALUE"""),"Bontchev, B., Konstantinov, O., Vassileva, D.")</f>
        <v>Bontchev, B., Konstantinov, O., Vassileva, D.</v>
      </c>
      <c r="H6112" s="10"/>
      <c r="I6112" s="10"/>
      <c r="J6112" s="10"/>
      <c r="K6112" s="10"/>
      <c r="L6112" s="10"/>
      <c r="M6112" s="10"/>
      <c r="N6112" s="10"/>
      <c r="O6112" s="10"/>
      <c r="P6112" s="10"/>
      <c r="Q6112" s="10"/>
      <c r="R6112" s="10"/>
      <c r="S6112" s="10"/>
      <c r="T6112" s="10"/>
      <c r="U6112" s="10"/>
      <c r="V6112" s="10"/>
      <c r="W6112" s="10"/>
      <c r="X6112" s="10"/>
      <c r="Y6112" s="10"/>
      <c r="Z6112" s="10"/>
    </row>
    <row r="6113" spans="1:26" ht="12.75">
      <c r="A6113" s="10" t="str">
        <f ca="1">IFERROR(__xludf.DUMMYFUNCTION("""COMPUTED_VALUE"""),"Олег Димитров Константинов")</f>
        <v>Олег Димитров Константинов</v>
      </c>
      <c r="B6113" s="10" t="str">
        <f ca="1">IFERROR(__xludf.DUMMYFUNCTION("""COMPUTED_VALUE"""),"Доклад от конференция")</f>
        <v>Доклад от конференция</v>
      </c>
      <c r="C6113" s="10" t="str">
        <f ca="1">IFERROR(__xludf.DUMMYFUNCTION("""COMPUTED_VALUE"""),"The Odrysian Kingdom – a Concept of an Interactive Multimedia Application for Educational Purposes")</f>
        <v>The Odrysian Kingdom – a Concept of an Interactive Multimedia Application for Educational Purposes</v>
      </c>
      <c r="D6113" s="10">
        <f ca="1">IFERROR(__xludf.DUMMYFUNCTION("""COMPUTED_VALUE"""),2013)</f>
        <v>2013</v>
      </c>
      <c r="E6113" s="10" t="str">
        <f ca="1">IFERROR(__xludf.DUMMYFUNCTION("""COMPUTED_VALUE"""),"Pavlov, R, P. Stanchev (Eds.). Proceedings of Third International Conference Digital Presentation and Preservation of Cultural a")</f>
        <v>Pavlov, R, P. Stanchev (Eds.). Proceedings of Third International Conference Digital Presentation and Preservation of Cultural a</v>
      </c>
      <c r="F6113" s="10"/>
      <c r="G6113" s="10"/>
      <c r="H6113" s="10"/>
      <c r="I6113" s="10"/>
      <c r="J6113" s="10"/>
      <c r="K6113" s="10"/>
      <c r="L6113" s="10"/>
      <c r="M6113" s="10"/>
      <c r="N6113" s="10"/>
      <c r="O6113" s="10"/>
      <c r="P6113" s="10"/>
      <c r="Q6113" s="10"/>
      <c r="R6113" s="10"/>
      <c r="S6113" s="10"/>
      <c r="T6113" s="10"/>
      <c r="U6113" s="10"/>
      <c r="V6113" s="10"/>
      <c r="W6113" s="10"/>
      <c r="X6113" s="10"/>
      <c r="Y6113" s="10"/>
      <c r="Z6113" s="10"/>
    </row>
    <row r="6114" spans="1:26" ht="12.75">
      <c r="A6114" s="10" t="str">
        <f ca="1">IFERROR(__xludf.DUMMYFUNCTION("""COMPUTED_VALUE"""),"Олег Димитров Константинов")</f>
        <v>Олег Димитров Константинов</v>
      </c>
      <c r="B6114" s="10" t="str">
        <f ca="1">IFERROR(__xludf.DUMMYFUNCTION("""COMPUTED_VALUE"""),"Доклад от конференция")</f>
        <v>Доклад от конференция</v>
      </c>
      <c r="C6114" s="10" t="str">
        <f ca="1">IFERROR(__xludf.DUMMYFUNCTION("""COMPUTED_VALUE"""),"Producing and Publishing Video Lectures for Higher Education")</f>
        <v>Producing and Publishing Video Lectures for Higher Education</v>
      </c>
      <c r="D6114" s="10">
        <f ca="1">IFERROR(__xludf.DUMMYFUNCTION("""COMPUTED_VALUE"""),2013)</f>
        <v>2013</v>
      </c>
      <c r="E6114" s="10" t="str">
        <f ca="1">IFERROR(__xludf.DUMMYFUNCTION("""COMPUTED_VALUE"""),"Challenges in Higher Education and Research in the 21st Century, ISBN 978-954-580-325-3, Vol. 11, Publisher:Heron Press, 2013, pages:71-74.")</f>
        <v>Challenges in Higher Education and Research in the 21st Century, ISBN 978-954-580-325-3, Vol. 11, Publisher:Heron Press, 2013, pages:71-74.</v>
      </c>
      <c r="F6114" s="10"/>
      <c r="G6114" s="10" t="str">
        <f ca="1">IFERROR(__xludf.DUMMYFUNCTION("""COMPUTED_VALUE"""),"Bontchev, B., Konstantinov, O.")</f>
        <v>Bontchev, B., Konstantinov, O.</v>
      </c>
      <c r="H6114" s="10"/>
      <c r="I6114" s="10"/>
      <c r="J6114" s="10"/>
      <c r="K6114" s="10"/>
      <c r="L6114" s="10"/>
      <c r="M6114" s="10"/>
      <c r="N6114" s="10"/>
      <c r="O6114" s="10"/>
      <c r="P6114" s="10"/>
      <c r="Q6114" s="10"/>
      <c r="R6114" s="10"/>
      <c r="S6114" s="10"/>
      <c r="T6114" s="10"/>
      <c r="U6114" s="10"/>
      <c r="V6114" s="10"/>
      <c r="W6114" s="10"/>
      <c r="X6114" s="10"/>
      <c r="Y6114" s="10"/>
      <c r="Z6114" s="10"/>
    </row>
    <row r="6115" spans="1:26" ht="12.75">
      <c r="A6115" s="10" t="str">
        <f ca="1">IFERROR(__xludf.DUMMYFUNCTION("""COMPUTED_VALUE"""),"Олег Димитров Константинов")</f>
        <v>Олег Димитров Константинов</v>
      </c>
      <c r="B6115" s="10" t="str">
        <f ca="1">IFERROR(__xludf.DUMMYFUNCTION("""COMPUTED_VALUE"""),"Статия в списания и поредици")</f>
        <v>Статия в списания и поредици</v>
      </c>
      <c r="C6115" s="10" t="str">
        <f ca="1">IFERROR(__xludf.DUMMYFUNCTION("""COMPUTED_VALUE"""),"Перспективи за адаптация и интеграция на българската жестомимика в терапията на деца с атипично развитие")</f>
        <v>Перспективи за адаптация и интеграция на българската жестомимика в терапията на деца с атипично развитие</v>
      </c>
      <c r="D6115" s="10">
        <f ca="1">IFERROR(__xludf.DUMMYFUNCTION("""COMPUTED_VALUE"""),2011)</f>
        <v>2011</v>
      </c>
      <c r="E6115" s="10" t="str">
        <f ca="1">IFERROR(__xludf.DUMMYFUNCTION("""COMPUTED_VALUE"""),"Специална педагогика, брой:1, 2011, стр.:44-62, ISSN (print):1310-7003.")</f>
        <v>Специална педагогика, брой:1, 2011, стр.:44-62, ISSN (print):1310-7003.</v>
      </c>
      <c r="F6115" s="10"/>
      <c r="G6115" s="10" t="str">
        <f ca="1">IFERROR(__xludf.DUMMYFUNCTION("""COMPUTED_VALUE"""),"Попзлатева Ц., Трошева, А., Б.Алексова, И. Иванов, О. Константинов, Цв. Кунчев, П.Ангелкова, Н. Филипова")</f>
        <v>Попзлатева Ц., Трошева, А., Б.Алексова, И. Иванов, О. Константинов, Цв. Кунчев, П.Ангелкова, Н. Филипова</v>
      </c>
      <c r="H6115" s="10"/>
      <c r="I6115" s="10"/>
      <c r="J6115" s="10"/>
      <c r="K6115" s="10"/>
      <c r="L6115" s="10"/>
      <c r="M6115" s="10"/>
      <c r="N6115" s="10"/>
      <c r="O6115" s="10"/>
      <c r="P6115" s="10"/>
      <c r="Q6115" s="10"/>
      <c r="R6115" s="10"/>
      <c r="S6115" s="10"/>
      <c r="T6115" s="10"/>
      <c r="U6115" s="10"/>
      <c r="V6115" s="10"/>
      <c r="W6115" s="10"/>
      <c r="X6115" s="10"/>
      <c r="Y6115" s="10"/>
      <c r="Z6115" s="10"/>
    </row>
    <row r="6116" spans="1:26" ht="12.75">
      <c r="A6116" s="10" t="str">
        <f ca="1">IFERROR(__xludf.DUMMYFUNCTION("""COMPUTED_VALUE"""),"Пепа Владиславова Петрова")</f>
        <v>Пепа Владиславова Петрова</v>
      </c>
      <c r="B6116" s="10" t="str">
        <f ca="1">IFERROR(__xludf.DUMMYFUNCTION("""COMPUTED_VALUE"""),"Доклад от конференция")</f>
        <v>Доклад от конференция</v>
      </c>
      <c r="C6116" s="10" t="str">
        <f ca="1">IFERROR(__xludf.DUMMYFUNCTION("""COMPUTED_VALUE"""),"Design Thinking In Higher Education.")</f>
        <v>Design Thinking In Higher Education.</v>
      </c>
      <c r="D6116" s="10">
        <f ca="1">IFERROR(__xludf.DUMMYFUNCTION("""COMPUTED_VALUE"""),2019)</f>
        <v>2019</v>
      </c>
      <c r="E6116" s="10" t="str">
        <f ca="1">IFERROR(__xludf.DUMMYFUNCTION("""COMPUTED_VALUE"""),"In EDULEARN19 Proceedings, 11th International Conference on Education and New Learning Technologies Palma, Spain. 1-3 July, 2019. ISBN: 978-84-09-12031-4 / ISSN: 2340-1117, doi: 10.21125/edulearn.2019 , ISBN: 978-84-09-12031-4 / ISSN: 2340-1117")</f>
        <v>In EDULEARN19 Proceedings, 11th International Conference on Education and New Learning Technologies Palma, Spain. 1-3 July, 2019. ISBN: 978-84-09-12031-4 / ISSN: 2340-1117, doi: 10.21125/edulearn.2019 , ISBN: 978-84-09-12031-4 / ISSN: 2340-1117</v>
      </c>
      <c r="F6116" s="10"/>
      <c r="G6116" s="10" t="str">
        <f ca="1">IFERROR(__xludf.DUMMYFUNCTION("""COMPUTED_VALUE"""),"Kovatcheva, E, J.A. Campos, J.L. Del Val Roman, G.P. Dimitrov, P. Petrova")</f>
        <v>Kovatcheva, E, J.A. Campos, J.L. Del Val Roman, G.P. Dimitrov, P. Petrova</v>
      </c>
      <c r="H6116" s="10"/>
      <c r="I6116" s="10"/>
      <c r="J6116" s="10"/>
      <c r="K6116" s="10"/>
      <c r="L6116" s="10"/>
      <c r="M6116" s="10"/>
      <c r="N6116" s="10"/>
      <c r="O6116" s="10"/>
      <c r="P6116" s="10"/>
      <c r="Q6116" s="10"/>
      <c r="R6116" s="10"/>
      <c r="S6116" s="10"/>
      <c r="T6116" s="10"/>
      <c r="U6116" s="10"/>
      <c r="V6116" s="10"/>
      <c r="W6116" s="10"/>
      <c r="X6116" s="10"/>
      <c r="Y6116" s="10"/>
      <c r="Z6116" s="10"/>
    </row>
    <row r="6117" spans="1:26" ht="12.75">
      <c r="A6117" s="10" t="str">
        <f ca="1">IFERROR(__xludf.DUMMYFUNCTION("""COMPUTED_VALUE"""),"Пепа Владиславова Петрова")</f>
        <v>Пепа Владиславова Петрова</v>
      </c>
      <c r="B6117" s="10" t="str">
        <f ca="1">IFERROR(__xludf.DUMMYFUNCTION("""COMPUTED_VALUE"""),"Доклад от конференция")</f>
        <v>Доклад от конференция</v>
      </c>
      <c r="C6117" s="10" t="str">
        <f ca="1">IFERROR(__xludf.DUMMYFUNCTION("""COMPUTED_VALUE"""),"Using Mixed Linear Programming to Classify BCI Signals Submission")</f>
        <v>Using Mixed Linear Programming to Classify BCI Signals Submission</v>
      </c>
      <c r="D6117" s="10">
        <f ca="1">IFERROR(__xludf.DUMMYFUNCTION("""COMPUTED_VALUE"""),2019)</f>
        <v>2019</v>
      </c>
      <c r="E6117" s="10" t="str">
        <f ca="1">IFERROR(__xludf.DUMMYFUNCTION("""COMPUTED_VALUE"""),". In: 2019 IEEE 60th International Scientific Conference on Power and Electrical Engineering of Riga Technical University (RTUCON). October 2019")</f>
        <v>. In: 2019 IEEE 60th International Scientific Conference on Power and Electrical Engineering of Riga Technical University (RTUCON). October 2019</v>
      </c>
      <c r="F6117" s="10"/>
      <c r="G6117" s="10" t="str">
        <f ca="1">IFERROR(__xludf.DUMMYFUNCTION("""COMPUTED_VALUE"""),"Georgi P. Dimitrov, Galina Panayotova, Kristian V. Aleksiev, Iva S. Kostadinova, Pepa Petrova, Bychkov Oleksii, Viktor Shevchenko")</f>
        <v>Georgi P. Dimitrov, Galina Panayotova, Kristian V. Aleksiev, Iva S. Kostadinova, Pepa Petrova, Bychkov Oleksii, Viktor Shevchenko</v>
      </c>
      <c r="H6117" s="10"/>
      <c r="I6117" s="10"/>
      <c r="J6117" s="10"/>
      <c r="K6117" s="10"/>
      <c r="L6117" s="10"/>
      <c r="M6117" s="10"/>
      <c r="N6117" s="10"/>
      <c r="O6117" s="10"/>
      <c r="P6117" s="10"/>
      <c r="Q6117" s="10"/>
      <c r="R6117" s="10"/>
      <c r="S6117" s="10"/>
      <c r="T6117" s="10"/>
      <c r="U6117" s="10"/>
      <c r="V6117" s="10"/>
      <c r="W6117" s="10"/>
      <c r="X6117" s="10"/>
      <c r="Y6117" s="10"/>
      <c r="Z6117" s="10"/>
    </row>
    <row r="6118" spans="1:26" ht="12.75">
      <c r="A6118" s="10" t="str">
        <f ca="1">IFERROR(__xludf.DUMMYFUNCTION("""COMPUTED_VALUE"""),"Пепа Владиславова Петрова")</f>
        <v>Пепа Владиславова Петрова</v>
      </c>
      <c r="B6118" s="10" t="str">
        <f ca="1">IFERROR(__xludf.DUMMYFUNCTION("""COMPUTED_VALUE"""),"Доклад от конференция")</f>
        <v>Доклад от конференция</v>
      </c>
      <c r="C6118" s="10" t="str">
        <f ca="1">IFERROR(__xludf.DUMMYFUNCTION("""COMPUTED_VALUE"""),"FORMING OF DATA SCIENCE COMPETENCE FOR BRIDGING THE DIGITAL DIVIDE")</f>
        <v>FORMING OF DATA SCIENCE COMPETENCE FOR BRIDGING THE DIGITAL DIVIDE</v>
      </c>
      <c r="D6118" s="10">
        <f ca="1">IFERROR(__xludf.DUMMYFUNCTION("""COMPUTED_VALUE"""),2019)</f>
        <v>2019</v>
      </c>
      <c r="E6118" s="10" t="str">
        <f ca="1">IFERROR(__xludf.DUMMYFUNCTION("""COMPUTED_VALUE"""),"Proceeding of 9th International Conference The Future of Education, 2019. ISBN 978-88-85813-45-8, pp. 174-179, ISBN 978-88-85813-45-8")</f>
        <v>Proceeding of 9th International Conference The Future of Education, 2019. ISBN 978-88-85813-45-8, pp. 174-179, ISBN 978-88-85813-45-8</v>
      </c>
      <c r="F6118" s="10"/>
      <c r="G6118" s="10" t="str">
        <f ca="1">IFERROR(__xludf.DUMMYFUNCTION("""COMPUTED_VALUE"""),"Rasheva-Yordanova K., Chantov V., Kostadinova I., Iliev E., Petrova P., Nikolova B. , Nikolova B.")</f>
        <v>Rasheva-Yordanova K., Chantov V., Kostadinova I., Iliev E., Petrova P., Nikolova B. , Nikolova B.</v>
      </c>
      <c r="H6118" s="10"/>
      <c r="I6118" s="10"/>
      <c r="J6118" s="10"/>
      <c r="K6118" s="10"/>
      <c r="L6118" s="10"/>
      <c r="M6118" s="10"/>
      <c r="N6118" s="10"/>
      <c r="O6118" s="10"/>
      <c r="P6118" s="10"/>
      <c r="Q6118" s="10"/>
      <c r="R6118" s="10"/>
      <c r="S6118" s="10"/>
      <c r="T6118" s="10"/>
      <c r="U6118" s="10"/>
      <c r="V6118" s="10"/>
      <c r="W6118" s="10"/>
      <c r="X6118" s="10"/>
      <c r="Y6118" s="10"/>
      <c r="Z6118" s="10"/>
    </row>
    <row r="6119" spans="1:26" ht="12.75">
      <c r="A6119" s="10" t="str">
        <f ca="1">IFERROR(__xludf.DUMMYFUNCTION("""COMPUTED_VALUE"""),"Пепа Владиславова Петрова")</f>
        <v>Пепа Владиславова Петрова</v>
      </c>
      <c r="B6119" s="10" t="str">
        <f ca="1">IFERROR(__xludf.DUMMYFUNCTION("""COMPUTED_VALUE"""),"Доклад от конференция")</f>
        <v>Доклад от конференция</v>
      </c>
      <c r="C6119" s="10" t="str">
        <f ca="1">IFERROR(__xludf.DUMMYFUNCTION("""COMPUTED_VALUE"""),"ANALYSIS OF ONLINE COURSES TO ACQUIRE DATA SCIENCE LITERACY")</f>
        <v>ANALYSIS OF ONLINE COURSES TO ACQUIRE DATA SCIENCE LITERACY</v>
      </c>
      <c r="D6119" s="10">
        <f ca="1">IFERROR(__xludf.DUMMYFUNCTION("""COMPUTED_VALUE"""),2018)</f>
        <v>2018</v>
      </c>
      <c r="E6119" s="10" t="str">
        <f ca="1">IFERROR(__xludf.DUMMYFUNCTION("""COMPUTED_VALUE"""),"Proceedings of International Conference on Education and New Learning Technologies (EDULEARN 2018), 2-4 July 2018, Palma de Mallorca Spain, ISBN: 978-84-09-02709-5, ISSN: 2340-1117, doi: 10.21125/edulearn.2018.1031, pp. 4073-4080, 2018")</f>
        <v>Proceedings of International Conference on Education and New Learning Technologies (EDULEARN 2018), 2-4 July 2018, Palma de Mallorca Spain, ISBN: 978-84-09-02709-5, ISSN: 2340-1117, doi: 10.21125/edulearn.2018.1031, pp. 4073-4080, 2018</v>
      </c>
      <c r="F6119" s="10" t="str">
        <f ca="1">IFERROR(__xludf.DUMMYFUNCTION("""COMPUTED_VALUE"""),"Web of science")</f>
        <v>Web of science</v>
      </c>
      <c r="G6119" s="10" t="str">
        <f ca="1">IFERROR(__xludf.DUMMYFUNCTION("""COMPUTED_VALUE"""),"I. Kostadinova, V. Chantov")</f>
        <v>I. Kostadinova, V. Chantov</v>
      </c>
      <c r="H6119" s="10"/>
      <c r="I6119" s="10"/>
      <c r="J6119" s="10"/>
      <c r="K6119" s="10"/>
      <c r="L6119" s="10"/>
      <c r="M6119" s="10"/>
      <c r="N6119" s="10"/>
      <c r="O6119" s="10"/>
      <c r="P6119" s="10"/>
      <c r="Q6119" s="10"/>
      <c r="R6119" s="10"/>
      <c r="S6119" s="10"/>
      <c r="T6119" s="10"/>
      <c r="U6119" s="10"/>
      <c r="V6119" s="10"/>
      <c r="W6119" s="10"/>
      <c r="X6119" s="10"/>
      <c r="Y6119" s="10"/>
      <c r="Z6119" s="10"/>
    </row>
    <row r="6120" spans="1:26" ht="12.75">
      <c r="A6120" s="10" t="str">
        <f ca="1">IFERROR(__xludf.DUMMYFUNCTION("""COMPUTED_VALUE"""),"Пепа Владиславова Петрова")</f>
        <v>Пепа Владиславова Петрова</v>
      </c>
      <c r="B6120" s="10" t="str">
        <f ca="1">IFERROR(__xludf.DUMMYFUNCTION("""COMPUTED_VALUE"""),"Доклад от конференция")</f>
        <v>Доклад от конференция</v>
      </c>
      <c r="C6120" s="10" t="str">
        <f ca="1">IFERROR(__xludf.DUMMYFUNCTION("""COMPUTED_VALUE"""),"ANALYSIS OF DATA SCIENCE COURSES THROUGH THE PRISM OF THE DIGITAL DIVIDE")</f>
        <v>ANALYSIS OF DATA SCIENCE COURSES THROUGH THE PRISM OF THE DIGITAL DIVIDE</v>
      </c>
      <c r="D6120" s="10">
        <f ca="1">IFERROR(__xludf.DUMMYFUNCTION("""COMPUTED_VALUE"""),2018)</f>
        <v>2018</v>
      </c>
      <c r="E6120" s="10" t="str">
        <f ca="1">IFERROR(__xludf.DUMMYFUNCTION("""COMPUTED_VALUE"""),"Proceedings of International Conference on Education and New Learning Technologies (EDULEARN 2018), 2-4 July 2018, Palma de Mallorca, Spain, ISBN: 978-84-09-02709-5, ISSN: 2340-1117, pp. 3903-3911, 2018")</f>
        <v>Proceedings of International Conference on Education and New Learning Technologies (EDULEARN 2018), 2-4 July 2018, Palma de Mallorca, Spain, ISBN: 978-84-09-02709-5, ISSN: 2340-1117, pp. 3903-3911, 2018</v>
      </c>
      <c r="F6120" s="10" t="str">
        <f ca="1">IFERROR(__xludf.DUMMYFUNCTION("""COMPUTED_VALUE"""),"Web of science")</f>
        <v>Web of science</v>
      </c>
      <c r="G6120" s="10" t="str">
        <f ca="1">IFERROR(__xludf.DUMMYFUNCTION("""COMPUTED_VALUE"""),"Kostadinova, I. E. Iliev")</f>
        <v>Kostadinova, I. E. Iliev</v>
      </c>
      <c r="H6120" s="10"/>
      <c r="I6120" s="10"/>
      <c r="J6120" s="10"/>
      <c r="K6120" s="10"/>
      <c r="L6120" s="10"/>
      <c r="M6120" s="10"/>
      <c r="N6120" s="10"/>
      <c r="O6120" s="10"/>
      <c r="P6120" s="10"/>
      <c r="Q6120" s="10"/>
      <c r="R6120" s="10"/>
      <c r="S6120" s="10"/>
      <c r="T6120" s="10"/>
      <c r="U6120" s="10"/>
      <c r="V6120" s="10"/>
      <c r="W6120" s="10"/>
      <c r="X6120" s="10"/>
      <c r="Y6120" s="10"/>
      <c r="Z6120" s="10"/>
    </row>
    <row r="6121" spans="1:26" ht="12.75">
      <c r="A6121" s="10" t="str">
        <f ca="1">IFERROR(__xludf.DUMMYFUNCTION("""COMPUTED_VALUE"""),"Пепа Владиславова Петрова")</f>
        <v>Пепа Владиславова Петрова</v>
      </c>
      <c r="B6121" s="10" t="str">
        <f ca="1">IFERROR(__xludf.DUMMYFUNCTION("""COMPUTED_VALUE"""),"Доклад от конференция")</f>
        <v>Доклад от конференция</v>
      </c>
      <c r="C6121" s="10" t="str">
        <f ca="1">IFERROR(__xludf.DUMMYFUNCTION("""COMPUTED_VALUE"""),"ANALYSIS AND ADAPTATION OF NEW SKILLS IN MAINTAINING MANAGEMENT INFORMATION SYSTEMS")</f>
        <v>ANALYSIS AND ADAPTATION OF NEW SKILLS IN MAINTAINING MANAGEMENT INFORMATION SYSTEMS</v>
      </c>
      <c r="D6121" s="10">
        <f ca="1">IFERROR(__xludf.DUMMYFUNCTION("""COMPUTED_VALUE"""),2018)</f>
        <v>2018</v>
      </c>
      <c r="E6121" s="10" t="str">
        <f ca="1">IFERROR(__xludf.DUMMYFUNCTION("""COMPUTED_VALUE"""),"In: 11th International Conference of Education, Research and Innovation. 12th-14th November, 2018. Seville, SPAIN. ICERI2018 Proceedings, pp. 1193-1200, ISBN: 978-84-09-05948-5 ISSN: 2340-1095")</f>
        <v>In: 11th International Conference of Education, Research and Innovation. 12th-14th November, 2018. Seville, SPAIN. ICERI2018 Proceedings, pp. 1193-1200, ISBN: 978-84-09-05948-5 ISSN: 2340-1095</v>
      </c>
      <c r="F6121" s="10"/>
      <c r="G6121" s="10" t="str">
        <f ca="1">IFERROR(__xludf.DUMMYFUNCTION("""COMPUTED_VALUE"""),"P. Petrova, Z. Petrov")</f>
        <v>P. Petrova, Z. Petrov</v>
      </c>
      <c r="H6121" s="10"/>
      <c r="I6121" s="10"/>
      <c r="J6121" s="10"/>
      <c r="K6121" s="10"/>
      <c r="L6121" s="10"/>
      <c r="M6121" s="10"/>
      <c r="N6121" s="10"/>
      <c r="O6121" s="10"/>
      <c r="P6121" s="10"/>
      <c r="Q6121" s="10"/>
      <c r="R6121" s="10"/>
      <c r="S6121" s="10"/>
      <c r="T6121" s="10"/>
      <c r="U6121" s="10"/>
      <c r="V6121" s="10"/>
      <c r="W6121" s="10"/>
      <c r="X6121" s="10"/>
      <c r="Y6121" s="10"/>
      <c r="Z6121" s="10"/>
    </row>
    <row r="6122" spans="1:26" ht="12.75">
      <c r="A6122" s="10" t="str">
        <f ca="1">IFERROR(__xludf.DUMMYFUNCTION("""COMPUTED_VALUE"""),"Пепа Владиславова Петрова")</f>
        <v>Пепа Владиславова Петрова</v>
      </c>
      <c r="B6122" s="10" t="str">
        <f ca="1">IFERROR(__xludf.DUMMYFUNCTION("""COMPUTED_VALUE"""),"Статия в списания и поредици")</f>
        <v>Статия в списания и поредици</v>
      </c>
      <c r="C6122" s="10" t="str">
        <f ca="1">IFERROR(__xludf.DUMMYFUNCTION("""COMPUTED_VALUE"""),"Learning Through Constraint Applications")</f>
        <v>Learning Through Constraint Applications</v>
      </c>
      <c r="D6122" s="10">
        <f ca="1">IFERROR(__xludf.DUMMYFUNCTION("""COMPUTED_VALUE"""),2018)</f>
        <v>2018</v>
      </c>
      <c r="E6122" s="10" t="str">
        <f ca="1">IFERROR(__xludf.DUMMYFUNCTION("""COMPUTED_VALUE"""),"In: Learning Systems: From Theory to Practice. Studies in Computational Intelligence, vol 756. Publisher: Springer Verlag. Book series. ISSN: 1860949X. Print ISBN 978-3-319-75180-1. Online ISBN 978-3-319-75181-8 doi:10.1007/978-3-319-75181-8_8 , ISBN 978-"&amp;"3-319-75181-8 ISSN: 1860949X")</f>
        <v>In: Learning Systems: From Theory to Practice. Studies in Computational Intelligence, vol 756. Publisher: Springer Verlag. Book series. ISSN: 1860949X. Print ISBN 978-3-319-75180-1. Online ISBN 978-3-319-75181-8 doi:10.1007/978-3-319-75181-8_8 , ISBN 978-3-319-75181-8 ISSN: 1860949X</v>
      </c>
      <c r="F6122" s="10"/>
      <c r="G6122" s="10" t="str">
        <f ca="1">IFERROR(__xludf.DUMMYFUNCTION("""COMPUTED_VALUE"""),"Jotsov V., Petrova P., Iliev E")</f>
        <v>Jotsov V., Petrova P., Iliev E</v>
      </c>
      <c r="H6122" s="10"/>
      <c r="I6122" s="10"/>
      <c r="J6122" s="10"/>
      <c r="K6122" s="10"/>
      <c r="L6122" s="10"/>
      <c r="M6122" s="10"/>
      <c r="N6122" s="10"/>
      <c r="O6122" s="10"/>
      <c r="P6122" s="10"/>
      <c r="Q6122" s="10"/>
      <c r="R6122" s="10"/>
      <c r="S6122" s="10"/>
      <c r="T6122" s="10"/>
      <c r="U6122" s="10"/>
      <c r="V6122" s="10"/>
      <c r="W6122" s="10"/>
      <c r="X6122" s="10"/>
      <c r="Y6122" s="10"/>
      <c r="Z6122" s="10"/>
    </row>
    <row r="6123" spans="1:26" ht="12.75">
      <c r="A6123" s="10" t="str">
        <f ca="1">IFERROR(__xludf.DUMMYFUNCTION("""COMPUTED_VALUE"""),"Пепа Владиславова Петрова")</f>
        <v>Пепа Владиславова Петрова</v>
      </c>
      <c r="B6123" s="10" t="str">
        <f ca="1">IFERROR(__xludf.DUMMYFUNCTION("""COMPUTED_VALUE"""),"Доклад от конференция")</f>
        <v>Доклад от конференция</v>
      </c>
      <c r="C6123" s="10" t="str">
        <f ca="1">IFERROR(__xludf.DUMMYFUNCTION("""COMPUTED_VALUE"""),"Puzzle Methods for Automatic Selection of Data Cleansing Techniques")</f>
        <v>Puzzle Methods for Automatic Selection of Data Cleansing Techniques</v>
      </c>
      <c r="D6123" s="10">
        <f ca="1">IFERROR(__xludf.DUMMYFUNCTION("""COMPUTED_VALUE"""),2018)</f>
        <v>2018</v>
      </c>
      <c r="E6123" s="10" t="str">
        <f ca="1">IFERROR(__xludf.DUMMYFUNCTION("""COMPUTED_VALUE"""),"In: 9th International Conference on Intelligent Systems 2018: Theory, Research and Innovation in Applications, IS 2018 – Proceedings. 8710580, pp. 820-825. 2018., ISBN: 978-153867097-2")</f>
        <v>In: 9th International Conference on Intelligent Systems 2018: Theory, Research and Innovation in Applications, IS 2018 – Proceedings. 8710580, pp. 820-825. 2018., ISBN: 978-153867097-2</v>
      </c>
      <c r="F6123" s="10"/>
      <c r="G6123" s="10" t="str">
        <f ca="1">IFERROR(__xludf.DUMMYFUNCTION("""COMPUTED_VALUE"""),"Petrova, P., Jotsov, V., Sgurev, V")</f>
        <v>Petrova, P., Jotsov, V., Sgurev, V</v>
      </c>
      <c r="H6123" s="10"/>
      <c r="I6123" s="10"/>
      <c r="J6123" s="10"/>
      <c r="K6123" s="10"/>
      <c r="L6123" s="10"/>
      <c r="M6123" s="10"/>
      <c r="N6123" s="10"/>
      <c r="O6123" s="10"/>
      <c r="P6123" s="10"/>
      <c r="Q6123" s="10"/>
      <c r="R6123" s="10"/>
      <c r="S6123" s="10"/>
      <c r="T6123" s="10"/>
      <c r="U6123" s="10"/>
      <c r="V6123" s="10"/>
      <c r="W6123" s="10"/>
      <c r="X6123" s="10"/>
      <c r="Y6123" s="10"/>
      <c r="Z6123" s="10"/>
    </row>
    <row r="6124" spans="1:26" ht="12.75">
      <c r="A6124" s="10" t="str">
        <f ca="1">IFERROR(__xludf.DUMMYFUNCTION("""COMPUTED_VALUE"""),"Пепа Владиславова Петрова")</f>
        <v>Пепа Владиславова Петрова</v>
      </c>
      <c r="B6124" s="10" t="str">
        <f ca="1">IFERROR(__xludf.DUMMYFUNCTION("""COMPUTED_VALUE"""),"Доклад от конференция")</f>
        <v>Доклад от конференция</v>
      </c>
      <c r="C6124" s="10" t="str">
        <f ca="1">IFERROR(__xludf.DUMMYFUNCTION("""COMPUTED_VALUE"""),"Approach for transformation of streaming data to support decision making")</f>
        <v>Approach for transformation of streaming data to support decision making</v>
      </c>
      <c r="D6124" s="10">
        <f ca="1">IFERROR(__xludf.DUMMYFUNCTION("""COMPUTED_VALUE"""),2018)</f>
        <v>2018</v>
      </c>
      <c r="E6124" s="10" t="str">
        <f ca="1">IFERROR(__xludf.DUMMYFUNCTION("""COMPUTED_VALUE"""),"Sixteenth International Conference “Challenges in higher education and research in XXI century” May 29 – June 1, 2018, Sozopol, Bulgaria, in print")</f>
        <v>Sixteenth International Conference “Challenges in higher education and research in XXI century” May 29 – June 1, 2018, Sozopol, Bulgaria, in print</v>
      </c>
      <c r="F6124" s="10"/>
      <c r="G6124" s="10" t="str">
        <f ca="1">IFERROR(__xludf.DUMMYFUNCTION("""COMPUTED_VALUE"""),"Iliev E.")</f>
        <v>Iliev E.</v>
      </c>
      <c r="H6124" s="10"/>
      <c r="I6124" s="10"/>
      <c r="J6124" s="10"/>
      <c r="K6124" s="10"/>
      <c r="L6124" s="10"/>
      <c r="M6124" s="10"/>
      <c r="N6124" s="10"/>
      <c r="O6124" s="10"/>
      <c r="P6124" s="10"/>
      <c r="Q6124" s="10"/>
      <c r="R6124" s="10"/>
      <c r="S6124" s="10"/>
      <c r="T6124" s="10"/>
      <c r="U6124" s="10"/>
      <c r="V6124" s="10"/>
      <c r="W6124" s="10"/>
      <c r="X6124" s="10"/>
      <c r="Y6124" s="10"/>
      <c r="Z6124" s="10"/>
    </row>
    <row r="6125" spans="1:26" ht="12.75">
      <c r="A6125" s="10" t="str">
        <f ca="1">IFERROR(__xludf.DUMMYFUNCTION("""COMPUTED_VALUE"""),"Пепа Владиславова Петрова")</f>
        <v>Пепа Владиславова Петрова</v>
      </c>
      <c r="B6125" s="10" t="str">
        <f ca="1">IFERROR(__xludf.DUMMYFUNCTION("""COMPUTED_VALUE"""),"Доклад от конференция")</f>
        <v>Доклад от конференция</v>
      </c>
      <c r="C6125" s="10" t="str">
        <f ca="1">IFERROR(__xludf.DUMMYFUNCTION("""COMPUTED_VALUE"""),"Forming of Data Science Competence for Bridging the Digital Divide")</f>
        <v>Forming of Data Science Competence for Bridging the Digital Divide</v>
      </c>
      <c r="D6125" s="10">
        <f ca="1">IFERROR(__xludf.DUMMYFUNCTION("""COMPUTED_VALUE"""),2018)</f>
        <v>2018</v>
      </c>
      <c r="E6125" s="10" t="str">
        <f ca="1">IFERROR(__xludf.DUMMYFUNCTION("""COMPUTED_VALUE"""),"8th edition of the ""The Future of Education"" conference, PIXEL Publisher: libreriauniversitaria.it, June 2018, EAN: 9788833590202, ISBN: 8833590208, Pages: 688, Florence, 2018")</f>
        <v>8th edition of the "The Future of Education" conference, PIXEL Publisher: libreriauniversitaria.it, June 2018, EAN: 9788833590202, ISBN: 8833590208, Pages: 688, Florence, 2018</v>
      </c>
      <c r="F6125" s="10" t="str">
        <f ca="1">IFERROR(__xludf.DUMMYFUNCTION("""COMPUTED_VALUE"""),"Google Scholar")</f>
        <v>Google Scholar</v>
      </c>
      <c r="G6125" s="10" t="str">
        <f ca="1">IFERROR(__xludf.DUMMYFUNCTION("""COMPUTED_VALUE"""),"Rasheva-Yordanova, K., Chantov V., Kostadinova I., Iliev E., Nikolova B.")</f>
        <v>Rasheva-Yordanova, K., Chantov V., Kostadinova I., Iliev E., Nikolova B.</v>
      </c>
      <c r="H6125" s="10"/>
      <c r="I6125" s="10"/>
      <c r="J6125" s="10"/>
      <c r="K6125" s="10"/>
      <c r="L6125" s="10"/>
      <c r="M6125" s="10"/>
      <c r="N6125" s="10"/>
      <c r="O6125" s="10"/>
      <c r="P6125" s="10"/>
      <c r="Q6125" s="10"/>
      <c r="R6125" s="10"/>
      <c r="S6125" s="10"/>
      <c r="T6125" s="10"/>
      <c r="U6125" s="10"/>
      <c r="V6125" s="10"/>
      <c r="W6125" s="10"/>
      <c r="X6125" s="10"/>
      <c r="Y6125" s="10"/>
      <c r="Z6125" s="10"/>
    </row>
    <row r="6126" spans="1:26" ht="12.75">
      <c r="A6126" s="10" t="str">
        <f ca="1">IFERROR(__xludf.DUMMYFUNCTION("""COMPUTED_VALUE"""),"Пепа Владиславова Петрова")</f>
        <v>Пепа Владиславова Петрова</v>
      </c>
      <c r="B6126" s="10" t="str">
        <f ca="1">IFERROR(__xludf.DUMMYFUNCTION("""COMPUTED_VALUE"""),"Доклад от конференция")</f>
        <v>Доклад от конференция</v>
      </c>
      <c r="C6126" s="10" t="str">
        <f ca="1">IFERROR(__xludf.DUMMYFUNCTION("""COMPUTED_VALUE"""),"HIGHER EDUCATION IN THE ERA OF DIGITAL TRANSFORMATION")</f>
        <v>HIGHER EDUCATION IN THE ERA OF DIGITAL TRANSFORMATION</v>
      </c>
      <c r="D6126" s="10">
        <f ca="1">IFERROR(__xludf.DUMMYFUNCTION("""COMPUTED_VALUE"""),2017)</f>
        <v>2017</v>
      </c>
      <c r="E6126" s="10" t="str">
        <f ca="1">IFERROR(__xludf.DUMMYFUNCTION("""COMPUTED_VALUE"""),"IN: 9th International Conference on Education and New Learning Technologies. 3-5 July, 2017. Barcelona, Spain. EDULEARN17 Proceedings, pp. 2073-2077. ISBN: 978-84-697-3777-4 ISSN: 2340-1117 doi: 10.21125/edulearn.2017.1436, ISBN: 978-84-697-3777-4 ISSN: 2"&amp;"340-1117")</f>
        <v>IN: 9th International Conference on Education and New Learning Technologies. 3-5 July, 2017. Barcelona, Spain. EDULEARN17 Proceedings, pp. 2073-2077. ISBN: 978-84-697-3777-4 ISSN: 2340-1117 doi: 10.21125/edulearn.2017.1436, ISBN: 978-84-697-3777-4 ISSN: 2340-1117</v>
      </c>
      <c r="F6126" s="10"/>
      <c r="G6126" s="10" t="str">
        <f ca="1">IFERROR(__xludf.DUMMYFUNCTION("""COMPUTED_VALUE"""),"P. Petrova, I. Kostadinova")</f>
        <v>P. Petrova, I. Kostadinova</v>
      </c>
      <c r="H6126" s="10"/>
      <c r="I6126" s="10"/>
      <c r="J6126" s="10"/>
      <c r="K6126" s="10"/>
      <c r="L6126" s="10"/>
      <c r="M6126" s="10"/>
      <c r="N6126" s="10"/>
      <c r="O6126" s="10"/>
      <c r="P6126" s="10"/>
      <c r="Q6126" s="10"/>
      <c r="R6126" s="10"/>
      <c r="S6126" s="10"/>
      <c r="T6126" s="10"/>
      <c r="U6126" s="10"/>
      <c r="V6126" s="10"/>
      <c r="W6126" s="10"/>
      <c r="X6126" s="10"/>
      <c r="Y6126" s="10"/>
      <c r="Z6126" s="10"/>
    </row>
    <row r="6127" spans="1:26" ht="12.75">
      <c r="A6127" s="10" t="str">
        <f ca="1">IFERROR(__xludf.DUMMYFUNCTION("""COMPUTED_VALUE"""),"Пепа Владиславова Петрова")</f>
        <v>Пепа Владиславова Петрова</v>
      </c>
      <c r="B6127" s="10" t="str">
        <f ca="1">IFERROR(__xludf.DUMMYFUNCTION("""COMPUTED_VALUE"""),"Доклад от конференция")</f>
        <v>Доклад от конференция</v>
      </c>
      <c r="C6127" s="10" t="str">
        <f ca="1">IFERROR(__xludf.DUMMYFUNCTION("""COMPUTED_VALUE"""),"Automated system for generating and validation a learning tests")</f>
        <v>Automated system for generating and validation a learning tests</v>
      </c>
      <c r="D6127" s="10">
        <f ca="1">IFERROR(__xludf.DUMMYFUNCTION("""COMPUTED_VALUE"""),2017)</f>
        <v>2017</v>
      </c>
      <c r="E6127" s="10" t="str">
        <f ca="1">IFERROR(__xludf.DUMMYFUNCTION("""COMPUTED_VALUE"""),"Proceedings of International Conference of Education, Research and Innovation (ICERI2017) Conference 14th-16th November 2017, Seville, Spain. ISBN: 978-84-697-6957-7 , pp-0414 – 0424")</f>
        <v>Proceedings of International Conference of Education, Research and Innovation (ICERI2017) Conference 14th-16th November 2017, Seville, Spain. ISBN: 978-84-697-6957-7 , pp-0414 – 0424</v>
      </c>
      <c r="F6127" s="10" t="str">
        <f ca="1">IFERROR(__xludf.DUMMYFUNCTION("""COMPUTED_VALUE"""),"Web of science")</f>
        <v>Web of science</v>
      </c>
      <c r="G6127" s="10" t="str">
        <f ca="1">IFERROR(__xludf.DUMMYFUNCTION("""COMPUTED_VALUE"""),"Kostadinova, I., K.Rasheva-Yordanova, Ivan Ivanov")</f>
        <v>Kostadinova, I., K.Rasheva-Yordanova, Ivan Ivanov</v>
      </c>
      <c r="H6127" s="10"/>
      <c r="I6127" s="10"/>
      <c r="J6127" s="10"/>
      <c r="K6127" s="10"/>
      <c r="L6127" s="10"/>
      <c r="M6127" s="10"/>
      <c r="N6127" s="10"/>
      <c r="O6127" s="10"/>
      <c r="P6127" s="10"/>
      <c r="Q6127" s="10"/>
      <c r="R6127" s="10"/>
      <c r="S6127" s="10"/>
      <c r="T6127" s="10"/>
      <c r="U6127" s="10"/>
      <c r="V6127" s="10"/>
      <c r="W6127" s="10"/>
      <c r="X6127" s="10"/>
      <c r="Y6127" s="10"/>
      <c r="Z6127" s="10"/>
    </row>
    <row r="6128" spans="1:26" ht="12.75">
      <c r="A6128" s="10" t="str">
        <f ca="1">IFERROR(__xludf.DUMMYFUNCTION("""COMPUTED_VALUE"""),"Пепа Владиславова Петрова")</f>
        <v>Пепа Владиславова Петрова</v>
      </c>
      <c r="B6128" s="10" t="str">
        <f ca="1">IFERROR(__xludf.DUMMYFUNCTION("""COMPUTED_VALUE"""),"Доклад от конференция")</f>
        <v>Доклад от конференция</v>
      </c>
      <c r="C6128" s="10" t="str">
        <f ca="1">IFERROR(__xludf.DUMMYFUNCTION("""COMPUTED_VALUE"""),"Избор на инструмент за анализ на данни в процеса на създаване на специалисти по данни")</f>
        <v>Избор на инструмент за анализ на данни в процеса на създаване на специалисти по данни</v>
      </c>
      <c r="D6128" s="10">
        <f ca="1">IFERROR(__xludf.DUMMYFUNCTION("""COMPUTED_VALUE"""),2017)</f>
        <v>2017</v>
      </c>
      <c r="E6128" s="10" t="str">
        <f ca="1">IFERROR(__xludf.DUMMYFUNCTION("""COMPUTED_VALUE"""),"Кръгла маса на тема: „Предизвикателства и перспективи за развитие на ИКТ в съвременното информационно общество”, 04 Октомври 2017 г., УниБИТ, 2017, За буквите - О‘писменех, ISBN: 978-619-185299-4")</f>
        <v>Кръгла маса на тема: „Предизвикателства и перспективи за развитие на ИКТ в съвременното информационно общество”, 04 Октомври 2017 г., УниБИТ, 2017, За буквите - О‘писменех, ISBN: 978-619-185299-4</v>
      </c>
      <c r="F6128" s="10"/>
      <c r="G6128" s="10"/>
      <c r="H6128" s="10"/>
      <c r="I6128" s="10"/>
      <c r="J6128" s="10"/>
      <c r="K6128" s="10"/>
      <c r="L6128" s="10"/>
      <c r="M6128" s="10"/>
      <c r="N6128" s="10"/>
      <c r="O6128" s="10"/>
      <c r="P6128" s="10"/>
      <c r="Q6128" s="10"/>
      <c r="R6128" s="10"/>
      <c r="S6128" s="10"/>
      <c r="T6128" s="10"/>
      <c r="U6128" s="10"/>
      <c r="V6128" s="10"/>
      <c r="W6128" s="10"/>
      <c r="X6128" s="10"/>
      <c r="Y6128" s="10"/>
      <c r="Z6128" s="10"/>
    </row>
    <row r="6129" spans="1:26" ht="12.75">
      <c r="A6129" s="10" t="str">
        <f ca="1">IFERROR(__xludf.DUMMYFUNCTION("""COMPUTED_VALUE"""),"Пепа Владиславова Петрова")</f>
        <v>Пепа Владиславова Петрова</v>
      </c>
      <c r="B6129" s="10" t="str">
        <f ca="1">IFERROR(__xludf.DUMMYFUNCTION("""COMPUTED_VALUE"""),"Доклад от конференция")</f>
        <v>Доклад от конференция</v>
      </c>
      <c r="C6129" s="10" t="str">
        <f ca="1">IFERROR(__xludf.DUMMYFUNCTION("""COMPUTED_VALUE"""),"Higher education in the Era of digital transformation")</f>
        <v>Higher education in the Era of digital transformation</v>
      </c>
      <c r="D6129" s="10">
        <f ca="1">IFERROR(__xludf.DUMMYFUNCTION("""COMPUTED_VALUE"""),2017)</f>
        <v>2017</v>
      </c>
      <c r="E6129" s="10" t="str">
        <f ca="1">IFERROR(__xludf.DUMMYFUNCTION("""COMPUTED_VALUE"""),"9th annual International Conference on Education and New Learning Technologies, July 3th–5th, 2017, Barcelona, Spain, Publisher: IATED Academy, ISBN: 978-84-697-3777-4, ISSN: 2340-1117")</f>
        <v>9th annual International Conference on Education and New Learning Technologies, July 3th–5th, 2017, Barcelona, Spain, Publisher: IATED Academy, ISBN: 978-84-697-3777-4, ISSN: 2340-1117</v>
      </c>
      <c r="F6129" s="10" t="str">
        <f ca="1">IFERROR(__xludf.DUMMYFUNCTION("""COMPUTED_VALUE"""),"Web of science")</f>
        <v>Web of science</v>
      </c>
      <c r="G6129" s="10" t="str">
        <f ca="1">IFERROR(__xludf.DUMMYFUNCTION("""COMPUTED_VALUE"""),"Kostadinova I.")</f>
        <v>Kostadinova I.</v>
      </c>
      <c r="H6129" s="10"/>
      <c r="I6129" s="10"/>
      <c r="J6129" s="10"/>
      <c r="K6129" s="10"/>
      <c r="L6129" s="10"/>
      <c r="M6129" s="10"/>
      <c r="N6129" s="10"/>
      <c r="O6129" s="10"/>
      <c r="P6129" s="10"/>
      <c r="Q6129" s="10"/>
      <c r="R6129" s="10"/>
      <c r="S6129" s="10"/>
      <c r="T6129" s="10"/>
      <c r="U6129" s="10"/>
      <c r="V6129" s="10"/>
      <c r="W6129" s="10"/>
      <c r="X6129" s="10"/>
      <c r="Y6129" s="10"/>
      <c r="Z6129" s="10"/>
    </row>
    <row r="6130" spans="1:26" ht="12.75">
      <c r="A6130" s="10" t="str">
        <f ca="1">IFERROR(__xludf.DUMMYFUNCTION("""COMPUTED_VALUE"""),"Пепа Владиславова Петрова")</f>
        <v>Пепа Владиславова Петрова</v>
      </c>
      <c r="B6130" s="10" t="str">
        <f ca="1">IFERROR(__xludf.DUMMYFUNCTION("""COMPUTED_VALUE"""),"Доклад от конференция")</f>
        <v>Доклад от конференция</v>
      </c>
      <c r="C6130" s="10" t="str">
        <f ca="1">IFERROR(__xludf.DUMMYFUNCTION("""COMPUTED_VALUE"""),"Training young lecturers")</f>
        <v>Training young lecturers</v>
      </c>
      <c r="D6130" s="10">
        <f ca="1">IFERROR(__xludf.DUMMYFUNCTION("""COMPUTED_VALUE"""),2016)</f>
        <v>2016</v>
      </c>
      <c r="E6130" s="10" t="str">
        <f ca="1">IFERROR(__xludf.DUMMYFUNCTION("""COMPUTED_VALUE"""),"XIV-th International Conference ""Challenges in Higher Education and Research in the 21st Century"", May 31 - June 3, 2016, Sozopol, Bulgaria, ISBN: 978-954-580-356-9, Heron Press Ltd., Vol.14, 2016, p.23-26")</f>
        <v>XIV-th International Conference "Challenges in Higher Education and Research in the 21st Century", May 31 - June 3, 2016, Sozopol, Bulgaria, ISBN: 978-954-580-356-9, Heron Press Ltd., Vol.14, 2016, p.23-26</v>
      </c>
      <c r="F6130" s="10"/>
      <c r="G6130" s="10" t="str">
        <f ca="1">IFERROR(__xludf.DUMMYFUNCTION("""COMPUTED_VALUE"""),"Boyadzhiev D.")</f>
        <v>Boyadzhiev D.</v>
      </c>
      <c r="H6130" s="10"/>
      <c r="I6130" s="10"/>
      <c r="J6130" s="10"/>
      <c r="K6130" s="10"/>
      <c r="L6130" s="10"/>
      <c r="M6130" s="10"/>
      <c r="N6130" s="10"/>
      <c r="O6130" s="10"/>
      <c r="P6130" s="10"/>
      <c r="Q6130" s="10"/>
      <c r="R6130" s="10"/>
      <c r="S6130" s="10"/>
      <c r="T6130" s="10"/>
      <c r="U6130" s="10"/>
      <c r="V6130" s="10"/>
      <c r="W6130" s="10"/>
      <c r="X6130" s="10"/>
      <c r="Y6130" s="10"/>
      <c r="Z6130" s="10"/>
    </row>
    <row r="6131" spans="1:26" ht="12.75">
      <c r="A6131" s="10" t="str">
        <f ca="1">IFERROR(__xludf.DUMMYFUNCTION("""COMPUTED_VALUE"""),"Пепа Владиславова Петрова")</f>
        <v>Пепа Владиславова Петрова</v>
      </c>
      <c r="B6131" s="10" t="str">
        <f ca="1">IFERROR(__xludf.DUMMYFUNCTION("""COMPUTED_VALUE"""),"Доклад от конференция")</f>
        <v>Доклад от конференция</v>
      </c>
      <c r="C6131" s="10" t="str">
        <f ca="1">IFERROR(__xludf.DUMMYFUNCTION("""COMPUTED_VALUE"""),"New aspect of implementing network certification study program in public higher education programs")</f>
        <v>New aspect of implementing network certification study program in public higher education programs</v>
      </c>
      <c r="D6131" s="10">
        <f ca="1">IFERROR(__xludf.DUMMYFUNCTION("""COMPUTED_VALUE"""),2016)</f>
        <v>2016</v>
      </c>
      <c r="E6131" s="10" t="str">
        <f ca="1">IFERROR(__xludf.DUMMYFUNCTION("""COMPUTED_VALUE"""),"QED16, Technology Advanced Quality Learning for All, 13-15 June 2016, Sofia, Bulgaria – ISBN 978-619-185-261-1 - online, published on http://unesco.unibit.bg/, ISBN 978-619-185-260-4 – paper version, Publisher: Za Bukvite, O’Pismeneh, Sofia, 2016, Bulgari"&amp;"a")</f>
        <v>QED16, Technology Advanced Quality Learning for All, 13-15 June 2016, Sofia, Bulgaria – ISBN 978-619-185-261-1 - online, published on http://unesco.unibit.bg/, ISBN 978-619-185-260-4 – paper version, Publisher: Za Bukvite, O’Pismeneh, Sofia, 2016, Bulgaria</v>
      </c>
      <c r="F6131" s="10"/>
      <c r="G6131" s="10" t="str">
        <f ca="1">IFERROR(__xludf.DUMMYFUNCTION("""COMPUTED_VALUE"""),"Boyadzhiev D.")</f>
        <v>Boyadzhiev D.</v>
      </c>
      <c r="H6131" s="10"/>
      <c r="I6131" s="10"/>
      <c r="J6131" s="10"/>
      <c r="K6131" s="10"/>
      <c r="L6131" s="10"/>
      <c r="M6131" s="10"/>
      <c r="N6131" s="10"/>
      <c r="O6131" s="10"/>
      <c r="P6131" s="10"/>
      <c r="Q6131" s="10"/>
      <c r="R6131" s="10"/>
      <c r="S6131" s="10"/>
      <c r="T6131" s="10"/>
      <c r="U6131" s="10"/>
      <c r="V6131" s="10"/>
      <c r="W6131" s="10"/>
      <c r="X6131" s="10"/>
      <c r="Y6131" s="10"/>
      <c r="Z6131" s="10"/>
    </row>
    <row r="6132" spans="1:26" ht="12.75">
      <c r="A6132" s="10" t="str">
        <f ca="1">IFERROR(__xludf.DUMMYFUNCTION("""COMPUTED_VALUE"""),"Пепа Владиславова Петрова")</f>
        <v>Пепа Владиславова Петрова</v>
      </c>
      <c r="B6132" s="10" t="str">
        <f ca="1">IFERROR(__xludf.DUMMYFUNCTION("""COMPUTED_VALUE"""),"Доклад от конференция")</f>
        <v>Доклад от конференция</v>
      </c>
      <c r="C6132" s="10" t="str">
        <f ca="1">IFERROR(__xludf.DUMMYFUNCTION("""COMPUTED_VALUE"""),"Puzzle Methods for Data Science Applications")</f>
        <v>Puzzle Methods for Data Science Applications</v>
      </c>
      <c r="D6132" s="10">
        <f ca="1">IFERROR(__xludf.DUMMYFUNCTION("""COMPUTED_VALUE"""),2016)</f>
        <v>2016</v>
      </c>
      <c r="E6132" s="10" t="str">
        <f ca="1">IFERROR(__xludf.DUMMYFUNCTION("""COMPUTED_VALUE"""),"Proceedings of the 8th IEEE International Conference, Vol.1, 2016, p.322-332. SJR 0.826, Scopus. ISSN 15411672")</f>
        <v>Proceedings of the 8th IEEE International Conference, Vol.1, 2016, p.322-332. SJR 0.826, Scopus. ISSN 15411672</v>
      </c>
      <c r="F6132" s="10" t="str">
        <f ca="1">IFERROR(__xludf.DUMMYFUNCTION("""COMPUTED_VALUE"""),"Scopus")</f>
        <v>Scopus</v>
      </c>
      <c r="G6132" s="10" t="str">
        <f ca="1">IFERROR(__xludf.DUMMYFUNCTION("""COMPUTED_VALUE"""),"V. Jotsov, E. Iliev")</f>
        <v>V. Jotsov, E. Iliev</v>
      </c>
      <c r="H6132" s="10"/>
      <c r="I6132" s="10"/>
      <c r="J6132" s="10"/>
      <c r="K6132" s="10"/>
      <c r="L6132" s="10"/>
      <c r="M6132" s="10"/>
      <c r="N6132" s="10"/>
      <c r="O6132" s="10"/>
      <c r="P6132" s="10"/>
      <c r="Q6132" s="10"/>
      <c r="R6132" s="10"/>
      <c r="S6132" s="10"/>
      <c r="T6132" s="10"/>
      <c r="U6132" s="10"/>
      <c r="V6132" s="10"/>
      <c r="W6132" s="10"/>
      <c r="X6132" s="10"/>
      <c r="Y6132" s="10"/>
      <c r="Z6132" s="10"/>
    </row>
    <row r="6133" spans="1:26" ht="12.75">
      <c r="A6133" s="10" t="str">
        <f ca="1">IFERROR(__xludf.DUMMYFUNCTION("""COMPUTED_VALUE"""),"Пепа Владиславова Петрова")</f>
        <v>Пепа Владиславова Петрова</v>
      </c>
      <c r="B6133" s="10" t="str">
        <f ca="1">IFERROR(__xludf.DUMMYFUNCTION("""COMPUTED_VALUE"""),"Доклад от конференция")</f>
        <v>Доклад от конференция</v>
      </c>
      <c r="C6133" s="10" t="str">
        <f ca="1">IFERROR(__xludf.DUMMYFUNCTION("""COMPUTED_VALUE"""),"ЗАЩИТА НА РАЗПЛАЩАНИЯ В ЕЛЕКТРОННИ МАГАЗИНИ, ИЗВЪРШВАНИ В РЕАЛНО ВРЕМЕ")</f>
        <v>ЗАЩИТА НА РАЗПЛАЩАНИЯ В ЕЛЕКТРОННИ МАГАЗИНИ, ИЗВЪРШВАНИ В РЕАЛНО ВРЕМЕ</v>
      </c>
      <c r="D6133" s="10">
        <f ca="1">IFERROR(__xludf.DUMMYFUNCTION("""COMPUTED_VALUE"""),2016)</f>
        <v>2016</v>
      </c>
      <c r="E6133" s="10" t="str">
        <f ca="1">IFERROR(__xludf.DUMMYFUNCTION("""COMPUTED_VALUE"""),"За буквите-О писменехь с.618-622, ISSN 1314-7099")</f>
        <v>За буквите-О писменехь с.618-622, ISSN 1314-7099</v>
      </c>
      <c r="F6133" s="10"/>
      <c r="G6133" s="10"/>
      <c r="H6133" s="10"/>
      <c r="I6133" s="10"/>
      <c r="J6133" s="10"/>
      <c r="K6133" s="10"/>
      <c r="L6133" s="10"/>
      <c r="M6133" s="10"/>
      <c r="N6133" s="10"/>
      <c r="O6133" s="10"/>
      <c r="P6133" s="10"/>
      <c r="Q6133" s="10"/>
      <c r="R6133" s="10"/>
      <c r="S6133" s="10"/>
      <c r="T6133" s="10"/>
      <c r="U6133" s="10"/>
      <c r="V6133" s="10"/>
      <c r="W6133" s="10"/>
      <c r="X6133" s="10"/>
      <c r="Y6133" s="10"/>
      <c r="Z6133" s="10"/>
    </row>
    <row r="6134" spans="1:26" ht="12.75">
      <c r="A6134" s="10" t="str">
        <f ca="1">IFERROR(__xludf.DUMMYFUNCTION("""COMPUTED_VALUE"""),"Пепа Владиславова Петрова")</f>
        <v>Пепа Владиславова Петрова</v>
      </c>
      <c r="B6134" s="10" t="str">
        <f ca="1">IFERROR(__xludf.DUMMYFUNCTION("""COMPUTED_VALUE"""),"Доклад от конференция")</f>
        <v>Доклад от конференция</v>
      </c>
      <c r="C6134" s="10" t="str">
        <f ca="1">IFERROR(__xludf.DUMMYFUNCTION("""COMPUTED_VALUE"""),"Съвременните бизнес анализи и тяхното приложение")</f>
        <v>Съвременните бизнес анализи и тяхното приложение</v>
      </c>
      <c r="D6134" s="10">
        <f ca="1">IFERROR(__xludf.DUMMYFUNCTION("""COMPUTED_VALUE"""),2015)</f>
        <v>2015</v>
      </c>
      <c r="E6134" s="10" t="str">
        <f ca="1">IFERROR(__xludf.DUMMYFUNCTION("""COMPUTED_VALUE"""),"За буквите – О писменехь, с. 197-200, ISSN 23677988")</f>
        <v>За буквите – О писменехь, с. 197-200, ISSN 23677988</v>
      </c>
      <c r="F6134" s="10"/>
      <c r="G6134" s="10"/>
      <c r="H6134" s="10"/>
      <c r="I6134" s="10"/>
      <c r="J6134" s="10"/>
      <c r="K6134" s="10"/>
      <c r="L6134" s="10"/>
      <c r="M6134" s="10"/>
      <c r="N6134" s="10"/>
      <c r="O6134" s="10"/>
      <c r="P6134" s="10"/>
      <c r="Q6134" s="10"/>
      <c r="R6134" s="10"/>
      <c r="S6134" s="10"/>
      <c r="T6134" s="10"/>
      <c r="U6134" s="10"/>
      <c r="V6134" s="10"/>
      <c r="W6134" s="10"/>
      <c r="X6134" s="10"/>
      <c r="Y6134" s="10"/>
      <c r="Z6134" s="10"/>
    </row>
    <row r="6135" spans="1:26" ht="12.75">
      <c r="A6135" s="10" t="str">
        <f ca="1">IFERROR(__xludf.DUMMYFUNCTION("""COMPUTED_VALUE"""),"Пепа Владиславова Петрова")</f>
        <v>Пепа Владиславова Петрова</v>
      </c>
      <c r="B6135" s="10" t="str">
        <f ca="1">IFERROR(__xludf.DUMMYFUNCTION("""COMPUTED_VALUE"""),"Доклад от конференция")</f>
        <v>Доклад от конференция</v>
      </c>
      <c r="C6135" s="10" t="str">
        <f ca="1">IFERROR(__xludf.DUMMYFUNCTION("""COMPUTED_VALUE"""),"Приложението на статистически агенти за целите на информационната сигурност")</f>
        <v>Приложението на статистически агенти за целите на информационната сигурност</v>
      </c>
      <c r="D6135" s="10">
        <f ca="1">IFERROR(__xludf.DUMMYFUNCTION("""COMPUTED_VALUE"""),2013)</f>
        <v>2013</v>
      </c>
      <c r="E6135" s="10" t="str">
        <f ca="1">IFERROR(__xludf.DUMMYFUNCTION("""COMPUTED_VALUE"""),"За буквите – О писменехь, с.649-653, ISSN: 1314-7099")</f>
        <v>За буквите – О писменехь, с.649-653, ISSN: 1314-7099</v>
      </c>
      <c r="F6135" s="10"/>
      <c r="G6135" s="10"/>
      <c r="H6135" s="10"/>
      <c r="I6135" s="10"/>
      <c r="J6135" s="10"/>
      <c r="K6135" s="10"/>
      <c r="L6135" s="10"/>
      <c r="M6135" s="10"/>
      <c r="N6135" s="10"/>
      <c r="O6135" s="10"/>
      <c r="P6135" s="10"/>
      <c r="Q6135" s="10"/>
      <c r="R6135" s="10"/>
      <c r="S6135" s="10"/>
      <c r="T6135" s="10"/>
      <c r="U6135" s="10"/>
      <c r="V6135" s="10"/>
      <c r="W6135" s="10"/>
      <c r="X6135" s="10"/>
      <c r="Y6135" s="10"/>
      <c r="Z6135" s="10"/>
    </row>
    <row r="6136" spans="1:26" ht="12.75">
      <c r="A6136" s="10" t="str">
        <f ca="1">IFERROR(__xludf.DUMMYFUNCTION("""COMPUTED_VALUE"""),"Пепа Владиславова Петрова")</f>
        <v>Пепа Владиславова Петрова</v>
      </c>
      <c r="B6136" s="10" t="str">
        <f ca="1">IFERROR(__xludf.DUMMYFUNCTION("""COMPUTED_VALUE"""),"Доклад от конференция")</f>
        <v>Доклад от конференция</v>
      </c>
      <c r="C6136" s="10" t="str">
        <f ca="1">IFERROR(__xludf.DUMMYFUNCTION("""COMPUTED_VALUE"""),"Програмна реализация на многоагентни системи за информационна сигурност, чрез използване на JADE")</f>
        <v>Програмна реализация на многоагентни системи за информационна сигурност, чрез използване на JADE</v>
      </c>
      <c r="D6136" s="10">
        <f ca="1">IFERROR(__xludf.DUMMYFUNCTION("""COMPUTED_VALUE"""),2008)</f>
        <v>2008</v>
      </c>
      <c r="E6136" s="10" t="str">
        <f ca="1">IFERROR(__xludf.DUMMYFUNCTION("""COMPUTED_VALUE"""),"За буквите – О писменехь, с.239-252, ISSN: 1313-2768")</f>
        <v>За буквите – О писменехь, с.239-252, ISSN: 1313-2768</v>
      </c>
      <c r="F6136" s="10"/>
      <c r="G6136" s="10" t="str">
        <f ca="1">IFERROR(__xludf.DUMMYFUNCTION("""COMPUTED_VALUE"""),"Вл. Йоцов")</f>
        <v>Вл. Йоцов</v>
      </c>
      <c r="H6136" s="10"/>
      <c r="I6136" s="10"/>
      <c r="J6136" s="10"/>
      <c r="K6136" s="10"/>
      <c r="L6136" s="10"/>
      <c r="M6136" s="10"/>
      <c r="N6136" s="10"/>
      <c r="O6136" s="10"/>
      <c r="P6136" s="10"/>
      <c r="Q6136" s="10"/>
      <c r="R6136" s="10"/>
      <c r="S6136" s="10"/>
      <c r="T6136" s="10"/>
      <c r="U6136" s="10"/>
      <c r="V6136" s="10"/>
      <c r="W6136" s="10"/>
      <c r="X6136" s="10"/>
      <c r="Y6136" s="10"/>
      <c r="Z6136" s="10"/>
    </row>
    <row r="6137" spans="1:26" ht="12.75">
      <c r="A6137" s="10" t="str">
        <f ca="1">IFERROR(__xludf.DUMMYFUNCTION("""COMPUTED_VALUE"""),"Петър Добринов Канев")</f>
        <v>Петър Добринов Канев</v>
      </c>
      <c r="B6137" s="10" t="str">
        <f ca="1">IFERROR(__xludf.DUMMYFUNCTION("""COMPUTED_VALUE"""),"Книга")</f>
        <v>Книга</v>
      </c>
      <c r="C6137" s="10" t="str">
        <f ca="1">IFERROR(__xludf.DUMMYFUNCTION("""COMPUTED_VALUE"""),"Малки ръчички")</f>
        <v>Малки ръчички</v>
      </c>
      <c r="D6137" s="10">
        <f ca="1">IFERROR(__xludf.DUMMYFUNCTION("""COMPUTED_VALUE"""),2019)</f>
        <v>2019</v>
      </c>
      <c r="E6137" s="10" t="str">
        <f ca="1">IFERROR(__xludf.DUMMYFUNCTION("""COMPUTED_VALUE"""),"София : Фондация “Човешката библиотека”, ISBN 978-619-90514-5-0")</f>
        <v>София : Фондация “Човешката библиотека”, ISBN 978-619-90514-5-0</v>
      </c>
      <c r="F6137" s="10"/>
      <c r="G6137" s="10"/>
      <c r="H6137" s="10"/>
      <c r="I6137" s="10"/>
      <c r="J6137" s="10"/>
      <c r="K6137" s="10"/>
      <c r="L6137" s="10"/>
      <c r="M6137" s="10"/>
      <c r="N6137" s="10"/>
      <c r="O6137" s="10"/>
      <c r="P6137" s="10"/>
      <c r="Q6137" s="10"/>
      <c r="R6137" s="10"/>
      <c r="S6137" s="10"/>
      <c r="T6137" s="10"/>
      <c r="U6137" s="10"/>
      <c r="V6137" s="10"/>
      <c r="W6137" s="10"/>
      <c r="X6137" s="10"/>
      <c r="Y6137" s="10"/>
      <c r="Z6137" s="10"/>
    </row>
    <row r="6138" spans="1:26" ht="12.75">
      <c r="A6138" s="10" t="str">
        <f ca="1">IFERROR(__xludf.DUMMYFUNCTION("""COMPUTED_VALUE"""),"Петър Добринов Канев")</f>
        <v>Петър Добринов Канев</v>
      </c>
      <c r="B6138" s="10" t="str">
        <f ca="1">IFERROR(__xludf.DUMMYFUNCTION("""COMPUTED_VALUE"""),"Глава от колективна монография")</f>
        <v>Глава от колективна монография</v>
      </c>
      <c r="C6138" s="10" t="str">
        <f ca="1">IFERROR(__xludf.DUMMYFUNCTION("""COMPUTED_VALUE"""),"Аксиологичен (ценностен) модел за разбиране на комуникациите в културните системи")</f>
        <v>Аксиологичен (ценностен) модел за разбиране на комуникациите в културните системи</v>
      </c>
      <c r="D6138" s="10">
        <f ca="1">IFERROR(__xludf.DUMMYFUNCTION("""COMPUTED_VALUE"""),2019)</f>
        <v>2019</v>
      </c>
      <c r="E6138" s="10" t="str">
        <f ca="1">IFERROR(__xludf.DUMMYFUNCTION("""COMPUTED_VALUE"""),"В: Комуникации и политики, том 2 (2019) (съст. Палашев, Н., Богова, Хр., Я. Димитрова),София : Издателство “За буквите - писменехь”")</f>
        <v>В: Комуникации и политики, том 2 (2019) (съст. Палашев, Н., Богова, Хр., Я. Димитрова),София : Издателство “За буквите - писменехь”</v>
      </c>
      <c r="F6138" s="10"/>
      <c r="G6138" s="10"/>
      <c r="H6138" s="10"/>
      <c r="I6138" s="10"/>
      <c r="J6138" s="10"/>
      <c r="K6138" s="10"/>
      <c r="L6138" s="10"/>
      <c r="M6138" s="10"/>
      <c r="N6138" s="10"/>
      <c r="O6138" s="10"/>
      <c r="P6138" s="10"/>
      <c r="Q6138" s="10"/>
      <c r="R6138" s="10"/>
      <c r="S6138" s="10"/>
      <c r="T6138" s="10"/>
      <c r="U6138" s="10"/>
      <c r="V6138" s="10"/>
      <c r="W6138" s="10"/>
      <c r="X6138" s="10"/>
      <c r="Y6138" s="10"/>
      <c r="Z6138" s="10"/>
    </row>
    <row r="6139" spans="1:26" ht="12.75">
      <c r="A6139" s="10" t="str">
        <f ca="1">IFERROR(__xludf.DUMMYFUNCTION("""COMPUTED_VALUE"""),"Петър Добринов Канев")</f>
        <v>Петър Добринов Канев</v>
      </c>
      <c r="B6139" s="10" t="str">
        <f ca="1">IFERROR(__xludf.DUMMYFUNCTION("""COMPUTED_VALUE"""),"Статия в списания и поредици")</f>
        <v>Статия в списания и поредици</v>
      </c>
      <c r="C6139" s="10" t="str">
        <f ca="1">IFERROR(__xludf.DUMMYFUNCTION("""COMPUTED_VALUE"""),"“Увод в теорията на комплексността и ролята на романа в културите: вероятности, неопределеност, неделимост в света на човека”")</f>
        <v>“Увод в теорията на комплексността и ролята на романа в културите: вероятности, неопределеност, неделимост в света на човека”</v>
      </c>
      <c r="D6139" s="10">
        <f ca="1">IFERROR(__xludf.DUMMYFUNCTION("""COMPUTED_VALUE"""),2018)</f>
        <v>2018</v>
      </c>
      <c r="E6139" s="10" t="str">
        <f ca="1">IFERROR(__xludf.DUMMYFUNCTION("""COMPUTED_VALUE"""),"В: Комуникации и политики. София : Издателство “За буквите - писменехь”, ISBN 978-619-185-304-5, стр. 198-210")</f>
        <v>В: Комуникации и политики. София : Издателство “За буквите - писменехь”, ISBN 978-619-185-304-5, стр. 198-210</v>
      </c>
      <c r="F6139" s="10"/>
      <c r="G6139" s="10"/>
      <c r="H6139" s="10"/>
      <c r="I6139" s="10"/>
      <c r="J6139" s="10"/>
      <c r="K6139" s="10"/>
      <c r="L6139" s="10"/>
      <c r="M6139" s="10"/>
      <c r="N6139" s="10"/>
      <c r="O6139" s="10"/>
      <c r="P6139" s="10"/>
      <c r="Q6139" s="10"/>
      <c r="R6139" s="10"/>
      <c r="S6139" s="10"/>
      <c r="T6139" s="10"/>
      <c r="U6139" s="10"/>
      <c r="V6139" s="10"/>
      <c r="W6139" s="10"/>
      <c r="X6139" s="10"/>
      <c r="Y6139" s="10"/>
      <c r="Z6139" s="10"/>
    </row>
    <row r="6140" spans="1:26" ht="12.75">
      <c r="A6140" s="10" t="str">
        <f ca="1">IFERROR(__xludf.DUMMYFUNCTION("""COMPUTED_VALUE"""),"Петър Добринов Канев")</f>
        <v>Петър Добринов Канев</v>
      </c>
      <c r="B6140" s="10" t="str">
        <f ca="1">IFERROR(__xludf.DUMMYFUNCTION("""COMPUTED_VALUE"""),"Статия в списания и поредици")</f>
        <v>Статия в списания и поредици</v>
      </c>
      <c r="C6140" s="10" t="str">
        <f ca="1">IFERROR(__xludf.DUMMYFUNCTION("""COMPUTED_VALUE"""),"“Фалшивата слепота или защо ни е нужно знанието за науката”")</f>
        <v>“Фалшивата слепота или защо ни е нужно знанието за науката”</v>
      </c>
      <c r="D6140" s="10">
        <f ca="1">IFERROR(__xludf.DUMMYFUNCTION("""COMPUTED_VALUE"""),2018)</f>
        <v>2018</v>
      </c>
      <c r="E6140" s="10" t="str">
        <f ca="1">IFERROR(__xludf.DUMMYFUNCTION("""COMPUTED_VALUE"""),"В: Комуникации и политики. София : Издателство “За буквите - писменехь”, ISBN 978-619-185-304-5, стр. 198-210")</f>
        <v>В: Комуникации и политики. София : Издателство “За буквите - писменехь”, ISBN 978-619-185-304-5, стр. 198-210</v>
      </c>
      <c r="F6140" s="10"/>
      <c r="G6140" s="10"/>
      <c r="H6140" s="10"/>
      <c r="I6140" s="10"/>
      <c r="J6140" s="10"/>
      <c r="K6140" s="10"/>
      <c r="L6140" s="10"/>
      <c r="M6140" s="10"/>
      <c r="N6140" s="10"/>
      <c r="O6140" s="10"/>
      <c r="P6140" s="10"/>
      <c r="Q6140" s="10"/>
      <c r="R6140" s="10"/>
      <c r="S6140" s="10"/>
      <c r="T6140" s="10"/>
      <c r="U6140" s="10"/>
      <c r="V6140" s="10"/>
      <c r="W6140" s="10"/>
      <c r="X6140" s="10"/>
      <c r="Y6140" s="10"/>
      <c r="Z6140" s="10"/>
    </row>
    <row r="6141" spans="1:26" ht="12.75">
      <c r="A6141" s="10" t="str">
        <f ca="1">IFERROR(__xludf.DUMMYFUNCTION("""COMPUTED_VALUE"""),"Петър Добринов Канев")</f>
        <v>Петър Добринов Канев</v>
      </c>
      <c r="B6141" s="10" t="str">
        <f ca="1">IFERROR(__xludf.DUMMYFUNCTION("""COMPUTED_VALUE"""),"Статия в списания и поредици")</f>
        <v>Статия в списания и поредици</v>
      </c>
      <c r="C6141" s="10" t="str">
        <f ca="1">IFERROR(__xludf.DUMMYFUNCTION("""COMPUTED_VALUE"""),"«Социалнопсихологически профил на фалшификатора»")</f>
        <v>«Социалнопсихологически профил на фалшификатора»</v>
      </c>
      <c r="D6141" s="10">
        <f ca="1">IFERROR(__xludf.DUMMYFUNCTION("""COMPUTED_VALUE"""),2018)</f>
        <v>2018</v>
      </c>
      <c r="E6141" s="10" t="str">
        <f ca="1">IFERROR(__xludf.DUMMYFUNCTION("""COMPUTED_VALUE"""),"Шеста научна конференция по организация, управление и защита на културно-историческото наследство, София, 19 декември 2017 г. Фондация “Аретѐ - Фол”, ""Реплики – Копия – Фалшификати.""Издателство “Земя”, ISSN 1314-5517.")</f>
        <v>Шеста научна конференция по организация, управление и защита на културно-историческото наследство, София, 19 декември 2017 г. Фондация “Аретѐ - Фол”, "Реплики – Копия – Фалшификати."Издателство “Земя”, ISSN 1314-5517.</v>
      </c>
      <c r="F6141" s="10"/>
      <c r="G6141" s="10" t="str">
        <f ca="1">IFERROR(__xludf.DUMMYFUNCTION("""COMPUTED_VALUE"""),"Гарванова, М.")</f>
        <v>Гарванова, М.</v>
      </c>
      <c r="H6141" s="10"/>
      <c r="I6141" s="10"/>
      <c r="J6141" s="10"/>
      <c r="K6141" s="10"/>
      <c r="L6141" s="10"/>
      <c r="M6141" s="10"/>
      <c r="N6141" s="10"/>
      <c r="O6141" s="10"/>
      <c r="P6141" s="10"/>
      <c r="Q6141" s="10"/>
      <c r="R6141" s="10"/>
      <c r="S6141" s="10"/>
      <c r="T6141" s="10"/>
      <c r="U6141" s="10"/>
      <c r="V6141" s="10"/>
      <c r="W6141" s="10"/>
      <c r="X6141" s="10"/>
      <c r="Y6141" s="10"/>
      <c r="Z6141" s="10"/>
    </row>
    <row r="6142" spans="1:26" ht="12.75">
      <c r="A6142" s="10" t="str">
        <f ca="1">IFERROR(__xludf.DUMMYFUNCTION("""COMPUTED_VALUE"""),"Петър Добринов Канев")</f>
        <v>Петър Добринов Канев</v>
      </c>
      <c r="B6142" s="10" t="str">
        <f ca="1">IFERROR(__xludf.DUMMYFUNCTION("""COMPUTED_VALUE"""),"Статия в списания и поредици")</f>
        <v>Статия в списания и поредици</v>
      </c>
      <c r="C6142" s="10" t="str">
        <f ca="1">IFERROR(__xludf.DUMMYFUNCTION("""COMPUTED_VALUE"""),"“Горната и долната земя в българска Европа”")</f>
        <v>“Горната и долната земя в българска Европа”</v>
      </c>
      <c r="D6142" s="10">
        <f ca="1">IFERROR(__xludf.DUMMYFUNCTION("""COMPUTED_VALUE"""),2018)</f>
        <v>2018</v>
      </c>
      <c r="E6142" s="10" t="str">
        <f ca="1">IFERROR(__xludf.DUMMYFUNCTION("""COMPUTED_VALUE"""),"В: Комуникации и политики. София : Издателство “За буквите - писменехь”, ISBN 978-619-185-304-5, стр. 198-210")</f>
        <v>В: Комуникации и политики. София : Издателство “За буквите - писменехь”, ISBN 978-619-185-304-5, стр. 198-210</v>
      </c>
      <c r="F6142" s="10"/>
      <c r="G6142" s="10"/>
      <c r="H6142" s="10"/>
      <c r="I6142" s="10"/>
      <c r="J6142" s="10"/>
      <c r="K6142" s="10"/>
      <c r="L6142" s="10"/>
      <c r="M6142" s="10"/>
      <c r="N6142" s="10"/>
      <c r="O6142" s="10"/>
      <c r="P6142" s="10"/>
      <c r="Q6142" s="10"/>
      <c r="R6142" s="10"/>
      <c r="S6142" s="10"/>
      <c r="T6142" s="10"/>
      <c r="U6142" s="10"/>
      <c r="V6142" s="10"/>
      <c r="W6142" s="10"/>
      <c r="X6142" s="10"/>
      <c r="Y6142" s="10"/>
      <c r="Z6142" s="10"/>
    </row>
    <row r="6143" spans="1:26" ht="12.75">
      <c r="A6143" s="10" t="str">
        <f ca="1">IFERROR(__xludf.DUMMYFUNCTION("""COMPUTED_VALUE"""),"Петър Добринов Канев")</f>
        <v>Петър Добринов Канев</v>
      </c>
      <c r="B6143" s="10" t="str">
        <f ca="1">IFERROR(__xludf.DUMMYFUNCTION("""COMPUTED_VALUE"""),"Статия в списания и поредици")</f>
        <v>Статия в списания и поредици</v>
      </c>
      <c r="C6143" s="10" t="str">
        <f ca="1">IFERROR(__xludf.DUMMYFUNCTION("""COMPUTED_VALUE"""),"Съвременното митотворчество като стремеж към катарзисна публичност на комуникацията при самоформиралите се нови общности")</f>
        <v>Съвременното митотворчество като стремеж към катарзисна публичност на комуникацията при самоформиралите се нови общности</v>
      </c>
      <c r="D6143" s="10">
        <f ca="1">IFERROR(__xludf.DUMMYFUNCTION("""COMPUTED_VALUE"""),2016)</f>
        <v>2016</v>
      </c>
      <c r="E6143" s="10" t="str">
        <f ca="1">IFERROR(__xludf.DUMMYFUNCTION("""COMPUTED_VALUE"""),"В: Втората кръгла маса по проблемите на обществените комуникации (14-16 юни, 2016 г.), “За буквите – О писменехь” , София, 2016, ISSN 2534-9430")</f>
        <v>В: Втората кръгла маса по проблемите на обществените комуникации (14-16 юни, 2016 г.), “За буквите – О писменехь” , София, 2016, ISSN 2534-9430</v>
      </c>
      <c r="F6143" s="10"/>
      <c r="G6143" s="10"/>
      <c r="H6143" s="10"/>
      <c r="I6143" s="10"/>
      <c r="J6143" s="10"/>
      <c r="K6143" s="10"/>
      <c r="L6143" s="10"/>
      <c r="M6143" s="10"/>
      <c r="N6143" s="10"/>
      <c r="O6143" s="10"/>
      <c r="P6143" s="10"/>
      <c r="Q6143" s="10"/>
      <c r="R6143" s="10"/>
      <c r="S6143" s="10"/>
      <c r="T6143" s="10"/>
      <c r="U6143" s="10"/>
      <c r="V6143" s="10"/>
      <c r="W6143" s="10"/>
      <c r="X6143" s="10"/>
      <c r="Y6143" s="10"/>
      <c r="Z6143" s="10"/>
    </row>
    <row r="6144" spans="1:26" ht="12.75">
      <c r="A6144" s="10" t="str">
        <f ca="1">IFERROR(__xludf.DUMMYFUNCTION("""COMPUTED_VALUE"""),"Петър Добринов Канев")</f>
        <v>Петър Добринов Канев</v>
      </c>
      <c r="B6144" s="10" t="str">
        <f ca="1">IFERROR(__xludf.DUMMYFUNCTION("""COMPUTED_VALUE"""),"Доклад от конференция")</f>
        <v>Доклад от конференция</v>
      </c>
      <c r="C6144" s="10" t="str">
        <f ca="1">IFERROR(__xludf.DUMMYFUNCTION("""COMPUTED_VALUE"""),"Първи резултати от изследването “Как комуникират гражданите със Столична община”")</f>
        <v>Първи резултати от изследването “Как комуникират гражданите със Столична община”</v>
      </c>
      <c r="D6144" s="10">
        <f ca="1">IFERROR(__xludf.DUMMYFUNCTION("""COMPUTED_VALUE"""),2015)</f>
        <v>2015</v>
      </c>
      <c r="E6144" s="10" t="str">
        <f ca="1">IFERROR(__xludf.DUMMYFUNCTION("""COMPUTED_VALUE"""),"Проблеми на обществената комуникация. Научни доклади от Първа кръгла маса “Проблеми на обществената комуникация”, съст. Денчев,")</f>
        <v>Проблеми на обществената комуникация. Научни доклади от Първа кръгла маса “Проблеми на обществената комуникация”, съст. Денчев,</v>
      </c>
      <c r="F6144" s="10"/>
      <c r="G6144" s="10"/>
      <c r="H6144" s="10"/>
      <c r="I6144" s="10"/>
      <c r="J6144" s="10"/>
      <c r="K6144" s="10"/>
      <c r="L6144" s="10"/>
      <c r="M6144" s="10"/>
      <c r="N6144" s="10"/>
      <c r="O6144" s="10"/>
      <c r="P6144" s="10"/>
      <c r="Q6144" s="10"/>
      <c r="R6144" s="10"/>
      <c r="S6144" s="10"/>
      <c r="T6144" s="10"/>
      <c r="U6144" s="10"/>
      <c r="V6144" s="10"/>
      <c r="W6144" s="10"/>
      <c r="X6144" s="10"/>
      <c r="Y6144" s="10"/>
      <c r="Z6144" s="10"/>
    </row>
    <row r="6145" spans="1:26" ht="12.75">
      <c r="A6145" s="10" t="str">
        <f ca="1">IFERROR(__xludf.DUMMYFUNCTION("""COMPUTED_VALUE"""),"Петър Добринов Канев")</f>
        <v>Петър Добринов Канев</v>
      </c>
      <c r="B6145" s="10" t="str">
        <f ca="1">IFERROR(__xludf.DUMMYFUNCTION("""COMPUTED_VALUE"""),"Книга")</f>
        <v>Книга</v>
      </c>
      <c r="C6145" s="10" t="str">
        <f ca="1">IFERROR(__xludf.DUMMYFUNCTION("""COMPUTED_VALUE"""),"Култури и комуникация")</f>
        <v>Култури и комуникация</v>
      </c>
      <c r="D6145" s="10">
        <f ca="1">IFERROR(__xludf.DUMMYFUNCTION("""COMPUTED_VALUE"""),2015)</f>
        <v>2015</v>
      </c>
      <c r="E6145" s="10" t="str">
        <f ca="1">IFERROR(__xludf.DUMMYFUNCTION("""COMPUTED_VALUE"""),"София, 2015, Издателство „За буквите – О писменехь” ISBN 978-619-185-157-7")</f>
        <v>София, 2015, Издателство „За буквите – О писменехь” ISBN 978-619-185-157-7</v>
      </c>
      <c r="F6145" s="10"/>
      <c r="G6145" s="10"/>
      <c r="H6145" s="10"/>
      <c r="I6145" s="10"/>
      <c r="J6145" s="10"/>
      <c r="K6145" s="10"/>
      <c r="L6145" s="10"/>
      <c r="M6145" s="10"/>
      <c r="N6145" s="10"/>
      <c r="O6145" s="10"/>
      <c r="P6145" s="10"/>
      <c r="Q6145" s="10"/>
      <c r="R6145" s="10"/>
      <c r="S6145" s="10"/>
      <c r="T6145" s="10"/>
      <c r="U6145" s="10"/>
      <c r="V6145" s="10"/>
      <c r="W6145" s="10"/>
      <c r="X6145" s="10"/>
      <c r="Y6145" s="10"/>
      <c r="Z6145" s="10"/>
    </row>
    <row r="6146" spans="1:26" ht="12.75">
      <c r="A6146" s="10" t="str">
        <f ca="1">IFERROR(__xludf.DUMMYFUNCTION("""COMPUTED_VALUE"""),"Петър Добринов Канев")</f>
        <v>Петър Добринов Канев</v>
      </c>
      <c r="B6146" s="10" t="str">
        <f ca="1">IFERROR(__xludf.DUMMYFUNCTION("""COMPUTED_VALUE"""),"Доклад от конференция")</f>
        <v>Доклад от конференция</v>
      </c>
      <c r="C6146" s="10" t="str">
        <f ca="1">IFERROR(__xludf.DUMMYFUNCTION("""COMPUTED_VALUE"""),"Новата етическа парадигма: Зеленото гражданско общество и практики на устойчиво развитие в България")</f>
        <v>Новата етическа парадигма: Зеленото гражданско общество и практики на устойчиво развитие в България</v>
      </c>
      <c r="D6146" s="10">
        <f ca="1">IFERROR(__xludf.DUMMYFUNCTION("""COMPUTED_VALUE"""),2015)</f>
        <v>2015</v>
      </c>
      <c r="E6146" s="10" t="str">
        <f ca="1">IFERROR(__xludf.DUMMYFUNCTION("""COMPUTED_VALUE"""),"Екологическа етика, природа и устойчиво развитие на България, съст. Маринова, Е., ИК “Фондация Устойчиво развитие за България”,")</f>
        <v>Екологическа етика, природа и устойчиво развитие на България, съст. Маринова, Е., ИК “Фондация Устойчиво развитие за България”,</v>
      </c>
      <c r="F6146" s="10"/>
      <c r="G6146" s="10"/>
      <c r="H6146" s="10"/>
      <c r="I6146" s="10"/>
      <c r="J6146" s="10"/>
      <c r="K6146" s="10"/>
      <c r="L6146" s="10"/>
      <c r="M6146" s="10"/>
      <c r="N6146" s="10"/>
      <c r="O6146" s="10"/>
      <c r="P6146" s="10"/>
      <c r="Q6146" s="10"/>
      <c r="R6146" s="10"/>
      <c r="S6146" s="10"/>
      <c r="T6146" s="10"/>
      <c r="U6146" s="10"/>
      <c r="V6146" s="10"/>
      <c r="W6146" s="10"/>
      <c r="X6146" s="10"/>
      <c r="Y6146" s="10"/>
      <c r="Z6146" s="10"/>
    </row>
    <row r="6147" spans="1:26" ht="12.75">
      <c r="A6147" s="10" t="str">
        <f ca="1">IFERROR(__xludf.DUMMYFUNCTION("""COMPUTED_VALUE"""),"Петър Добринов Канев")</f>
        <v>Петър Добринов Канев</v>
      </c>
      <c r="B6147" s="10" t="str">
        <f ca="1">IFERROR(__xludf.DUMMYFUNCTION("""COMPUTED_VALUE"""),"Доклад от конференция")</f>
        <v>Доклад от конференция</v>
      </c>
      <c r="C6147" s="10" t="str">
        <f ca="1">IFERROR(__xludf.DUMMYFUNCTION("""COMPUTED_VALUE"""),"Екологичният хуманизъм като нова макропарадигма на Модерността")</f>
        <v>Екологичният хуманизъм като нова макропарадигма на Модерността</v>
      </c>
      <c r="D6147" s="10">
        <f ca="1">IFERROR(__xludf.DUMMYFUNCTION("""COMPUTED_VALUE"""),2014)</f>
        <v>2014</v>
      </c>
      <c r="E6147" s="10" t="str">
        <f ca="1">IFERROR(__xludf.DUMMYFUNCTION("""COMPUTED_VALUE"""),"Канев, Петър, Екологичният хуманизъм като нова макропарадигма на Модерността В: Социални идеи, движения и политики, съст. Кандил")</f>
        <v>Канев, Петър, Екологичният хуманизъм като нова макропарадигма на Модерността В: Социални идеи, движения и политики, съст. Кандил</v>
      </c>
      <c r="F6147" s="10"/>
      <c r="G6147" s="10"/>
      <c r="H6147" s="10"/>
      <c r="I6147" s="10"/>
      <c r="J6147" s="10"/>
      <c r="K6147" s="10"/>
      <c r="L6147" s="10"/>
      <c r="M6147" s="10"/>
      <c r="N6147" s="10"/>
      <c r="O6147" s="10"/>
      <c r="P6147" s="10"/>
      <c r="Q6147" s="10"/>
      <c r="R6147" s="10"/>
      <c r="S6147" s="10"/>
      <c r="T6147" s="10"/>
      <c r="U6147" s="10"/>
      <c r="V6147" s="10"/>
      <c r="W6147" s="10"/>
      <c r="X6147" s="10"/>
      <c r="Y6147" s="10"/>
      <c r="Z6147" s="10"/>
    </row>
    <row r="6148" spans="1:26" ht="12.75">
      <c r="A6148" s="10" t="str">
        <f ca="1">IFERROR(__xludf.DUMMYFUNCTION("""COMPUTED_VALUE"""),"Петър Добринов Канев")</f>
        <v>Петър Добринов Канев</v>
      </c>
      <c r="B6148" s="10" t="str">
        <f ca="1">IFERROR(__xludf.DUMMYFUNCTION("""COMPUTED_VALUE"""),"Статия в списания и поредици")</f>
        <v>Статия в списания и поредици</v>
      </c>
      <c r="C6148" s="10" t="str">
        <f ca="1">IFERROR(__xludf.DUMMYFUNCTION("""COMPUTED_VALUE"""),"Двете Европи. Въпросът за Другия, общуването и филистичната култура в европейската традиция.")</f>
        <v>Двете Европи. Въпросът за Другия, общуването и филистичната култура в европейската традиция.</v>
      </c>
      <c r="D6148" s="10">
        <f ca="1">IFERROR(__xludf.DUMMYFUNCTION("""COMPUTED_VALUE"""),2014)</f>
        <v>2014</v>
      </c>
      <c r="E6148" s="10"/>
      <c r="F6148" s="10"/>
      <c r="G6148" s="10"/>
      <c r="H6148" s="10"/>
      <c r="I6148" s="10"/>
      <c r="J6148" s="10"/>
      <c r="K6148" s="10"/>
      <c r="L6148" s="10"/>
      <c r="M6148" s="10"/>
      <c r="N6148" s="10"/>
      <c r="O6148" s="10"/>
      <c r="P6148" s="10"/>
      <c r="Q6148" s="10"/>
      <c r="R6148" s="10"/>
      <c r="S6148" s="10"/>
      <c r="T6148" s="10"/>
      <c r="U6148" s="10"/>
      <c r="V6148" s="10"/>
      <c r="W6148" s="10"/>
      <c r="X6148" s="10"/>
      <c r="Y6148" s="10"/>
      <c r="Z6148" s="10"/>
    </row>
    <row r="6149" spans="1:26" ht="12.75">
      <c r="A6149" s="10" t="str">
        <f ca="1">IFERROR(__xludf.DUMMYFUNCTION("""COMPUTED_VALUE"""),"Петър Добринов Канев")</f>
        <v>Петър Добринов Канев</v>
      </c>
      <c r="B6149" s="10" t="str">
        <f ca="1">IFERROR(__xludf.DUMMYFUNCTION("""COMPUTED_VALUE"""),"Книга")</f>
        <v>Книга</v>
      </c>
      <c r="C6149" s="10" t="str">
        <f ca="1">IFERROR(__xludf.DUMMYFUNCTION("""COMPUTED_VALUE"""),"Двете Европи. “Техне” и “Филиа” – общуване в културните живи системи")</f>
        <v>Двете Европи. “Техне” и “Филиа” – общуване в културните живи системи</v>
      </c>
      <c r="D6149" s="10">
        <f ca="1">IFERROR(__xludf.DUMMYFUNCTION("""COMPUTED_VALUE"""),2014)</f>
        <v>2014</v>
      </c>
      <c r="E6149" s="10" t="str">
        <f ca="1">IFERROR(__xludf.DUMMYFUNCTION("""COMPUTED_VALUE"""),"София, 2014, Издателство „За буквите – О писменех")</f>
        <v>София, 2014, Издателство „За буквите – О писменех</v>
      </c>
      <c r="F6149" s="10"/>
      <c r="G6149" s="10"/>
      <c r="H6149" s="10"/>
      <c r="I6149" s="10"/>
      <c r="J6149" s="10"/>
      <c r="K6149" s="10"/>
      <c r="L6149" s="10"/>
      <c r="M6149" s="10"/>
      <c r="N6149" s="10"/>
      <c r="O6149" s="10"/>
      <c r="P6149" s="10"/>
      <c r="Q6149" s="10"/>
      <c r="R6149" s="10"/>
      <c r="S6149" s="10"/>
      <c r="T6149" s="10"/>
      <c r="U6149" s="10"/>
      <c r="V6149" s="10"/>
      <c r="W6149" s="10"/>
      <c r="X6149" s="10"/>
      <c r="Y6149" s="10"/>
      <c r="Z6149" s="10"/>
    </row>
    <row r="6150" spans="1:26" ht="12.75">
      <c r="A6150" s="10" t="str">
        <f ca="1">IFERROR(__xludf.DUMMYFUNCTION("""COMPUTED_VALUE"""),"Петър Добринов Канев")</f>
        <v>Петър Добринов Канев</v>
      </c>
      <c r="B6150" s="10" t="str">
        <f ca="1">IFERROR(__xludf.DUMMYFUNCTION("""COMPUTED_VALUE"""),"Статия в списания и поредици")</f>
        <v>Статия в списания и поредици</v>
      </c>
      <c r="C6150" s="10" t="str">
        <f ca="1">IFERROR(__xludf.DUMMYFUNCTION("""COMPUTED_VALUE"""),"Екологизмът между нова мизантропия и нов хуманизъм")</f>
        <v>Екологизмът между нова мизантропия и нов хуманизъм</v>
      </c>
      <c r="D6150" s="10">
        <f ca="1">IFERROR(__xludf.DUMMYFUNCTION("""COMPUTED_VALUE"""),2013)</f>
        <v>2013</v>
      </c>
      <c r="E6150" s="10" t="str">
        <f ca="1">IFERROR(__xludf.DUMMYFUNCTION("""COMPUTED_VALUE"""),"В: сп. Философски алтернативи 5/2013 Година ХХІІ, София, 2013,")</f>
        <v>В: сп. Философски алтернативи 5/2013 Година ХХІІ, София, 2013,</v>
      </c>
      <c r="F6150" s="10"/>
      <c r="G6150" s="10"/>
      <c r="H6150" s="10"/>
      <c r="I6150" s="10"/>
      <c r="J6150" s="10"/>
      <c r="K6150" s="10"/>
      <c r="L6150" s="10"/>
      <c r="M6150" s="10"/>
      <c r="N6150" s="10"/>
      <c r="O6150" s="10"/>
      <c r="P6150" s="10"/>
      <c r="Q6150" s="10"/>
      <c r="R6150" s="10"/>
      <c r="S6150" s="10"/>
      <c r="T6150" s="10"/>
      <c r="U6150" s="10"/>
      <c r="V6150" s="10"/>
      <c r="W6150" s="10"/>
      <c r="X6150" s="10"/>
      <c r="Y6150" s="10"/>
      <c r="Z6150" s="10"/>
    </row>
    <row r="6151" spans="1:26" ht="12.75">
      <c r="A6151" s="10" t="str">
        <f ca="1">IFERROR(__xludf.DUMMYFUNCTION("""COMPUTED_VALUE"""),"Петър Добринов Канев")</f>
        <v>Петър Добринов Канев</v>
      </c>
      <c r="B6151" s="10" t="str">
        <f ca="1">IFERROR(__xludf.DUMMYFUNCTION("""COMPUTED_VALUE"""),"Доклад от конференция")</f>
        <v>Доклад от конференция</v>
      </c>
      <c r="C6151" s="10" t="str">
        <f ca="1">IFERROR(__xludf.DUMMYFUNCTION("""COMPUTED_VALUE"""),"Les espaces publics alternatifs en Bulgarie")</f>
        <v>Les espaces publics alternatifs en Bulgarie</v>
      </c>
      <c r="D6151" s="10">
        <f ca="1">IFERROR(__xludf.DUMMYFUNCTION("""COMPUTED_VALUE"""),2013)</f>
        <v>2013</v>
      </c>
      <c r="E6151" s="10" t="str">
        <f ca="1">IFERROR(__xludf.DUMMYFUNCTION("""COMPUTED_VALUE"""),"Kanev, Petar, Les espaces publics alternatifs en Bulgarie IN Mobilisations citoyennes dans l’espace public, ed. Rouet, Gilles, L")</f>
        <v>Kanev, Petar, Les espaces publics alternatifs en Bulgarie IN Mobilisations citoyennes dans l’espace public, ed. Rouet, Gilles, L</v>
      </c>
      <c r="F6151" s="10"/>
      <c r="G6151" s="10"/>
      <c r="H6151" s="10"/>
      <c r="I6151" s="10"/>
      <c r="J6151" s="10"/>
      <c r="K6151" s="10"/>
      <c r="L6151" s="10"/>
      <c r="M6151" s="10"/>
      <c r="N6151" s="10"/>
      <c r="O6151" s="10"/>
      <c r="P6151" s="10"/>
      <c r="Q6151" s="10"/>
      <c r="R6151" s="10"/>
      <c r="S6151" s="10"/>
      <c r="T6151" s="10"/>
      <c r="U6151" s="10"/>
      <c r="V6151" s="10"/>
      <c r="W6151" s="10"/>
      <c r="X6151" s="10"/>
      <c r="Y6151" s="10"/>
      <c r="Z6151" s="10"/>
    </row>
    <row r="6152" spans="1:26" ht="12.75">
      <c r="A6152" s="10" t="str">
        <f ca="1">IFERROR(__xludf.DUMMYFUNCTION("""COMPUTED_VALUE"""),"Петър Стефанов Пейков")</f>
        <v>Петър Стефанов Пейков</v>
      </c>
      <c r="B6152" s="10" t="str">
        <f ca="1">IFERROR(__xludf.DUMMYFUNCTION("""COMPUTED_VALUE"""),"Доклад от конференция")</f>
        <v>Доклад от конференция</v>
      </c>
      <c r="C6152" s="10" t="str">
        <f ca="1">IFERROR(__xludf.DUMMYFUNCTION("""COMPUTED_VALUE"""),"Ролята на частните архиви в сферата на информационните услуги")</f>
        <v>Ролята на частните архиви в сферата на информационните услуги</v>
      </c>
      <c r="D6152" s="10">
        <f ca="1">IFERROR(__xludf.DUMMYFUNCTION("""COMPUTED_VALUE"""),2019)</f>
        <v>2019</v>
      </c>
      <c r="E6152" s="10" t="str">
        <f ca="1">IFERROR(__xludf.DUMMYFUNCTION("""COMPUTED_VALUE"""),"сб. ""Обществото на знанието и хуманизмът на XXI век"", София, ""За буквите - о писменехь"" ISSN 1314-7099")</f>
        <v>сб. "Обществото на знанието и хуманизмът на XXI век", София, "За буквите - о писменехь" ISSN 1314-7099</v>
      </c>
      <c r="F6152" s="10"/>
      <c r="G6152" s="10"/>
      <c r="H6152" s="10"/>
      <c r="I6152" s="10"/>
      <c r="J6152" s="10"/>
      <c r="K6152" s="10"/>
      <c r="L6152" s="10"/>
      <c r="M6152" s="10"/>
      <c r="N6152" s="10"/>
      <c r="O6152" s="10"/>
      <c r="P6152" s="10"/>
      <c r="Q6152" s="10"/>
      <c r="R6152" s="10"/>
      <c r="S6152" s="10"/>
      <c r="T6152" s="10"/>
      <c r="U6152" s="10"/>
      <c r="V6152" s="10"/>
      <c r="W6152" s="10"/>
      <c r="X6152" s="10"/>
      <c r="Y6152" s="10"/>
      <c r="Z6152" s="10"/>
    </row>
    <row r="6153" spans="1:26" ht="12.75">
      <c r="A6153" s="10" t="str">
        <f ca="1">IFERROR(__xludf.DUMMYFUNCTION("""COMPUTED_VALUE"""),"Петър Стефанов Пейков")</f>
        <v>Петър Стефанов Пейков</v>
      </c>
      <c r="B6153" s="10" t="str">
        <f ca="1">IFERROR(__xludf.DUMMYFUNCTION("""COMPUTED_VALUE"""),"Учебно пособие")</f>
        <v>Учебно пособие</v>
      </c>
      <c r="C6153" s="10" t="str">
        <f ca="1">IFERROR(__xludf.DUMMYFUNCTION("""COMPUTED_VALUE"""),"Деловодство и архиви на институции и фирми")</f>
        <v>Деловодство и архиви на институции и фирми</v>
      </c>
      <c r="D6153" s="10">
        <f ca="1">IFERROR(__xludf.DUMMYFUNCTION("""COMPUTED_VALUE"""),2018)</f>
        <v>2018</v>
      </c>
      <c r="E6153" s="10" t="str">
        <f ca="1">IFERROR(__xludf.DUMMYFUNCTION("""COMPUTED_VALUE"""),"„Авангард Прима“, София, с. 145, ISBN 978-619-160-953-6")</f>
        <v>„Авангард Прима“, София, с. 145, ISBN 978-619-160-953-6</v>
      </c>
      <c r="F6153" s="10"/>
      <c r="G6153" s="10"/>
      <c r="H6153" s="10"/>
      <c r="I6153" s="10"/>
      <c r="J6153" s="10"/>
      <c r="K6153" s="10"/>
      <c r="L6153" s="10"/>
      <c r="M6153" s="10"/>
      <c r="N6153" s="10"/>
      <c r="O6153" s="10"/>
      <c r="P6153" s="10"/>
      <c r="Q6153" s="10"/>
      <c r="R6153" s="10"/>
      <c r="S6153" s="10"/>
      <c r="T6153" s="10"/>
      <c r="U6153" s="10"/>
      <c r="V6153" s="10"/>
      <c r="W6153" s="10"/>
      <c r="X6153" s="10"/>
      <c r="Y6153" s="10"/>
      <c r="Z6153" s="10"/>
    </row>
    <row r="6154" spans="1:26" ht="12.75">
      <c r="A6154" s="10" t="str">
        <f ca="1">IFERROR(__xludf.DUMMYFUNCTION("""COMPUTED_VALUE"""),"Петър Стефанов Пейков")</f>
        <v>Петър Стефанов Пейков</v>
      </c>
      <c r="B6154" s="10" t="str">
        <f ca="1">IFERROR(__xludf.DUMMYFUNCTION("""COMPUTED_VALUE"""),"Статия в списания и поредици")</f>
        <v>Статия в списания и поредици</v>
      </c>
      <c r="C6154" s="10" t="str">
        <f ca="1">IFERROR(__xludf.DUMMYFUNCTION("""COMPUTED_VALUE"""),"За някои важни термини в архивистиката – „експертиза на ценността на документите“, „фондообразувател“ и „източник на комплектуване“")</f>
        <v>За някои важни термини в архивистиката – „експертиза на ценността на документите“, „фондообразувател“ и „източник на комплектуване“</v>
      </c>
      <c r="D6154" s="10">
        <f ca="1">IFERROR(__xludf.DUMMYFUNCTION("""COMPUTED_VALUE"""),2018)</f>
        <v>2018</v>
      </c>
      <c r="E6154" s="10" t="str">
        <f ca="1">IFERROR(__xludf.DUMMYFUNCTION("""COMPUTED_VALUE"""),"Сборник „Културни коридори – Юбилей и памет“, т.1, УниБИТ, „За буквите – О писменах“, София, 2018, с.40 – 49. ISBN 978-619-185-307-6")</f>
        <v>Сборник „Културни коридори – Юбилей и памет“, т.1, УниБИТ, „За буквите – О писменах“, София, 2018, с.40 – 49. ISBN 978-619-185-307-6</v>
      </c>
      <c r="F6154" s="10"/>
      <c r="G6154" s="10"/>
      <c r="H6154" s="10"/>
      <c r="I6154" s="10"/>
      <c r="J6154" s="10"/>
      <c r="K6154" s="10"/>
      <c r="L6154" s="10"/>
      <c r="M6154" s="10"/>
      <c r="N6154" s="10"/>
      <c r="O6154" s="10"/>
      <c r="P6154" s="10"/>
      <c r="Q6154" s="10"/>
      <c r="R6154" s="10"/>
      <c r="S6154" s="10"/>
      <c r="T6154" s="10"/>
      <c r="U6154" s="10"/>
      <c r="V6154" s="10"/>
      <c r="W6154" s="10"/>
      <c r="X6154" s="10"/>
      <c r="Y6154" s="10"/>
      <c r="Z6154" s="10"/>
    </row>
    <row r="6155" spans="1:26" ht="12.75">
      <c r="A6155" s="10" t="str">
        <f ca="1">IFERROR(__xludf.DUMMYFUNCTION("""COMPUTED_VALUE"""),"Петър Стефанов Пейков")</f>
        <v>Петър Стефанов Пейков</v>
      </c>
      <c r="B6155" s="10" t="str">
        <f ca="1">IFERROR(__xludf.DUMMYFUNCTION("""COMPUTED_VALUE"""),"Монография")</f>
        <v>Монография</v>
      </c>
      <c r="C6155" s="10" t="str">
        <f ca="1">IFERROR(__xludf.DUMMYFUNCTION("""COMPUTED_VALUE"""),"Държавните архиви и формирането на Националния архивен фонд 1951-2016")</f>
        <v>Държавните архиви и формирането на Националния архивен фонд 1951-2016</v>
      </c>
      <c r="D6155" s="10">
        <f ca="1">IFERROR(__xludf.DUMMYFUNCTION("""COMPUTED_VALUE"""),2018)</f>
        <v>2018</v>
      </c>
      <c r="E6155" s="10" t="str">
        <f ca="1">IFERROR(__xludf.DUMMYFUNCTION("""COMPUTED_VALUE"""),"Издателство „Авангард-Прима“, София,с.250, ISBN 978-619-160-952-9")</f>
        <v>Издателство „Авангард-Прима“, София,с.250, ISBN 978-619-160-952-9</v>
      </c>
      <c r="F6155" s="10"/>
      <c r="G6155" s="10"/>
      <c r="H6155" s="10"/>
      <c r="I6155" s="10"/>
      <c r="J6155" s="10"/>
      <c r="K6155" s="10"/>
      <c r="L6155" s="10"/>
      <c r="M6155" s="10"/>
      <c r="N6155" s="10"/>
      <c r="O6155" s="10"/>
      <c r="P6155" s="10"/>
      <c r="Q6155" s="10"/>
      <c r="R6155" s="10"/>
      <c r="S6155" s="10"/>
      <c r="T6155" s="10"/>
      <c r="U6155" s="10"/>
      <c r="V6155" s="10"/>
      <c r="W6155" s="10"/>
      <c r="X6155" s="10"/>
      <c r="Y6155" s="10"/>
      <c r="Z6155" s="10"/>
    </row>
    <row r="6156" spans="1:26" ht="12.75">
      <c r="A6156" s="10" t="str">
        <f ca="1">IFERROR(__xludf.DUMMYFUNCTION("""COMPUTED_VALUE"""),"Петър Стефанов Пейков")</f>
        <v>Петър Стефанов Пейков</v>
      </c>
      <c r="B6156" s="10" t="str">
        <f ca="1">IFERROR(__xludf.DUMMYFUNCTION("""COMPUTED_VALUE"""),"Доклад от конференция")</f>
        <v>Доклад от конференция</v>
      </c>
      <c r="C6156" s="10" t="str">
        <f ca="1">IFERROR(__xludf.DUMMYFUNCTION("""COMPUTED_VALUE"""),"Некоторые особенности и проблемы экспертизы ценности документов и комплектования государственных архивов Болгарии")</f>
        <v>Некоторые особенности и проблемы экспертизы ценности документов и комплектования государственных архивов Болгарии</v>
      </c>
      <c r="D6156" s="10">
        <f ca="1">IFERROR(__xludf.DUMMYFUNCTION("""COMPUTED_VALUE"""),2017)</f>
        <v>2017</v>
      </c>
      <c r="E6156" s="10" t="str">
        <f ca="1">IFERROR(__xludf.DUMMYFUNCTION("""COMPUTED_VALUE"""),"Доклады и сообщения на XXIII Международной научно-практической конференции, посвещенной 50-летию ВНИИДАД., „ДОКУМЕНТАЦИЯ В ИНФОРМАЦИОННОМ ОБЩЕСТВЕ: АРХИВОВЕДЕНИЕ И ДОКУМЕНТОВЕДЕНИЕ В СОВРЕМЕННОМ МИРЕ: Москва, 2017 г., с. 97-108. ISBN 978-5-00095-409-6")</f>
        <v>Доклады и сообщения на XXIII Международной научно-практической конференции, посвещенной 50-летию ВНИИДАД., „ДОКУМЕНТАЦИЯ В ИНФОРМАЦИОННОМ ОБЩЕСТВЕ: АРХИВОВЕДЕНИЕ И ДОКУМЕНТОВЕДЕНИЕ В СОВРЕМЕННОМ МИРЕ: Москва, 2017 г., с. 97-108. ISBN 978-5-00095-409-6</v>
      </c>
      <c r="F6156" s="10"/>
      <c r="G6156" s="10"/>
      <c r="H6156" s="10"/>
      <c r="I6156" s="10"/>
      <c r="J6156" s="10"/>
      <c r="K6156" s="10"/>
      <c r="L6156" s="10"/>
      <c r="M6156" s="10"/>
      <c r="N6156" s="10"/>
      <c r="O6156" s="10"/>
      <c r="P6156" s="10"/>
      <c r="Q6156" s="10"/>
      <c r="R6156" s="10"/>
      <c r="S6156" s="10"/>
      <c r="T6156" s="10"/>
      <c r="U6156" s="10"/>
      <c r="V6156" s="10"/>
      <c r="W6156" s="10"/>
      <c r="X6156" s="10"/>
      <c r="Y6156" s="10"/>
      <c r="Z6156" s="10"/>
    </row>
    <row r="6157" spans="1:26" ht="12.75">
      <c r="A6157" s="10" t="str">
        <f ca="1">IFERROR(__xludf.DUMMYFUNCTION("""COMPUTED_VALUE"""),"Петър Стефанов Пейков")</f>
        <v>Петър Стефанов Пейков</v>
      </c>
      <c r="B6157" s="10" t="str">
        <f ca="1">IFERROR(__xludf.DUMMYFUNCTION("""COMPUTED_VALUE"""),"Доклад от конференция")</f>
        <v>Доклад от конференция</v>
      </c>
      <c r="C6157" s="10" t="str">
        <f ca="1">IFERROR(__xludf.DUMMYFUNCTION("""COMPUTED_VALUE"""),"Формиране на Националния архивен фонд – достижения, проблеми, перспективи")</f>
        <v>Формиране на Националния архивен фонд – достижения, проблеми, перспективи</v>
      </c>
      <c r="D6157" s="10">
        <f ca="1">IFERROR(__xludf.DUMMYFUNCTION("""COMPUTED_VALUE"""),2016)</f>
        <v>2016</v>
      </c>
      <c r="E6157" s="10" t="str">
        <f ca="1">IFERROR(__xludf.DUMMYFUNCTION("""COMPUTED_VALUE"""),"Сп.„Архивен преглед»,2016 г.,№2,с.18-25.Доклад на Националната научна конференция, посветена на 65-годишнината на държавните архиви «Българските архиви – памет за бъдещето». ISNN 0204-8132")</f>
        <v>Сп.„Архивен преглед»,2016 г.,№2,с.18-25.Доклад на Националната научна конференция, посветена на 65-годишнината на държавните архиви «Българските архиви – памет за бъдещето». ISNN 0204-8132</v>
      </c>
      <c r="F6157" s="10"/>
      <c r="G6157" s="10"/>
      <c r="H6157" s="10"/>
      <c r="I6157" s="10"/>
      <c r="J6157" s="10"/>
      <c r="K6157" s="10"/>
      <c r="L6157" s="10"/>
      <c r="M6157" s="10"/>
      <c r="N6157" s="10"/>
      <c r="O6157" s="10"/>
      <c r="P6157" s="10"/>
      <c r="Q6157" s="10"/>
      <c r="R6157" s="10"/>
      <c r="S6157" s="10"/>
      <c r="T6157" s="10"/>
      <c r="U6157" s="10"/>
      <c r="V6157" s="10"/>
      <c r="W6157" s="10"/>
      <c r="X6157" s="10"/>
      <c r="Y6157" s="10"/>
      <c r="Z6157" s="10"/>
    </row>
    <row r="6158" spans="1:26" ht="12.75">
      <c r="A6158" s="10" t="str">
        <f ca="1">IFERROR(__xludf.DUMMYFUNCTION("""COMPUTED_VALUE"""),"Петър Стефанов Пейков")</f>
        <v>Петър Стефанов Пейков</v>
      </c>
      <c r="B6158" s="10" t="str">
        <f ca="1">IFERROR(__xludf.DUMMYFUNCTION("""COMPUTED_VALUE"""),"Доклад от конференция")</f>
        <v>Доклад от конференция</v>
      </c>
      <c r="C6158" s="10" t="str">
        <f ca="1">IFERROR(__xludf.DUMMYFUNCTION("""COMPUTED_VALUE"""),"Взаимовръзката между архивознанието и документознанието и процеса на формиране на Националния архивен фонд.")</f>
        <v>Взаимовръзката между архивознанието и документознанието и процеса на формиране на Националния архивен фонд.</v>
      </c>
      <c r="D6158" s="10">
        <f ca="1">IFERROR(__xludf.DUMMYFUNCTION("""COMPUTED_VALUE"""),2016)</f>
        <v>2016</v>
      </c>
      <c r="E6158" s="10" t="str">
        <f ca="1">IFERROR(__xludf.DUMMYFUNCTION("""COMPUTED_VALUE"""),"Университетски четения по архивистика, Х научна конференция, т. V. Архивология, професионално образование по архивистика и архивни институции –QUO VADIS.,.СУ „Св.Климент Охридски“, София, 2017, с.112-118. ISBN 978-954-400-124-7")</f>
        <v>Университетски четения по архивистика, Х научна конференция, т. V. Архивология, професионално образование по архивистика и архивни институции –QUO VADIS.,.СУ „Св.Климент Охридски“, София, 2017, с.112-118. ISBN 978-954-400-124-7</v>
      </c>
      <c r="F6158" s="10"/>
      <c r="G6158" s="10"/>
      <c r="H6158" s="10"/>
      <c r="I6158" s="10"/>
      <c r="J6158" s="10"/>
      <c r="K6158" s="10"/>
      <c r="L6158" s="10"/>
      <c r="M6158" s="10"/>
      <c r="N6158" s="10"/>
      <c r="O6158" s="10"/>
      <c r="P6158" s="10"/>
      <c r="Q6158" s="10"/>
      <c r="R6158" s="10"/>
      <c r="S6158" s="10"/>
      <c r="T6158" s="10"/>
      <c r="U6158" s="10"/>
      <c r="V6158" s="10"/>
      <c r="W6158" s="10"/>
      <c r="X6158" s="10"/>
      <c r="Y6158" s="10"/>
      <c r="Z6158" s="10"/>
    </row>
    <row r="6159" spans="1:26" ht="12.75">
      <c r="A6159" s="10" t="str">
        <f ca="1">IFERROR(__xludf.DUMMYFUNCTION("""COMPUTED_VALUE"""),"Петър Стефанов Пейков")</f>
        <v>Петър Стефанов Пейков</v>
      </c>
      <c r="B6159" s="10" t="str">
        <f ca="1">IFERROR(__xludf.DUMMYFUNCTION("""COMPUTED_VALUE"""),"Статия в списания и поредици")</f>
        <v>Статия в списания и поредици</v>
      </c>
      <c r="C6159" s="10" t="str">
        <f ca="1">IFERROR(__xludf.DUMMYFUNCTION("""COMPUTED_VALUE"""),"Някои проблеми на българската архивна методика и практика")</f>
        <v>Някои проблеми на българската архивна методика и практика</v>
      </c>
      <c r="D6159" s="10">
        <f ca="1">IFERROR(__xludf.DUMMYFUNCTION("""COMPUTED_VALUE"""),2016)</f>
        <v>2016</v>
      </c>
      <c r="E6159" s="10" t="str">
        <f ca="1">IFERROR(__xludf.DUMMYFUNCTION("""COMPUTED_VALUE"""),"GLORIА BIBLIOSHERAE (Нишката на Ариадна). Изследвания в чест на акад. проф. Александра Куманова. Юбилеен сборник по случай 65 години от основаването на УНИБИТ,г., „За буквите – О писменах“, София, 2016, с.761-766. ISBN 978-619-185-211-6")</f>
        <v>GLORIА BIBLIOSHERAE (Нишката на Ариадна). Изследвания в чест на акад. проф. Александра Куманова. Юбилеен сборник по случай 65 години от основаването на УНИБИТ,г., „За буквите – О писменах“, София, 2016, с.761-766. ISBN 978-619-185-211-6</v>
      </c>
      <c r="F6159" s="10"/>
      <c r="G6159" s="10"/>
      <c r="H6159" s="10"/>
      <c r="I6159" s="10"/>
      <c r="J6159" s="10"/>
      <c r="K6159" s="10"/>
      <c r="L6159" s="10"/>
      <c r="M6159" s="10"/>
      <c r="N6159" s="10"/>
      <c r="O6159" s="10"/>
      <c r="P6159" s="10"/>
      <c r="Q6159" s="10"/>
      <c r="R6159" s="10"/>
      <c r="S6159" s="10"/>
      <c r="T6159" s="10"/>
      <c r="U6159" s="10"/>
      <c r="V6159" s="10"/>
      <c r="W6159" s="10"/>
      <c r="X6159" s="10"/>
      <c r="Y6159" s="10"/>
      <c r="Z6159" s="10"/>
    </row>
    <row r="6160" spans="1:26" ht="12.75">
      <c r="A6160" s="10" t="str">
        <f ca="1">IFERROR(__xludf.DUMMYFUNCTION("""COMPUTED_VALUE"""),"Петър Стефанов Пейков")</f>
        <v>Петър Стефанов Пейков</v>
      </c>
      <c r="B6160" s="10" t="str">
        <f ca="1">IFERROR(__xludf.DUMMYFUNCTION("""COMPUTED_VALUE"""),"Статия в списания и поредици")</f>
        <v>Статия в списания и поредици</v>
      </c>
      <c r="C6160" s="10" t="str">
        <f ca="1">IFERROR(__xludf.DUMMYFUNCTION("""COMPUTED_VALUE"""),"Архивист на XX век – почетна титла за принос към професията.")</f>
        <v>Архивист на XX век – почетна титла за принос към професията.</v>
      </c>
      <c r="D6160" s="10">
        <f ca="1">IFERROR(__xludf.DUMMYFUNCTION("""COMPUTED_VALUE"""),2014)</f>
        <v>2014</v>
      </c>
      <c r="E6160" s="10" t="str">
        <f ca="1">IFERROR(__xludf.DUMMYFUNCTION("""COMPUTED_VALUE"""),"Списание “Архивен преглед”, 2014,№1")</f>
        <v>Списание “Архивен преглед”, 2014,№1</v>
      </c>
      <c r="F6160" s="10"/>
      <c r="G6160" s="10" t="str">
        <f ca="1">IFERROR(__xludf.DUMMYFUNCTION("""COMPUTED_VALUE"""),"В.Петрова")</f>
        <v>В.Петрова</v>
      </c>
      <c r="H6160" s="10"/>
      <c r="I6160" s="10"/>
      <c r="J6160" s="10"/>
      <c r="K6160" s="10"/>
      <c r="L6160" s="10"/>
      <c r="M6160" s="10"/>
      <c r="N6160" s="10"/>
      <c r="O6160" s="10"/>
      <c r="P6160" s="10"/>
      <c r="Q6160" s="10"/>
      <c r="R6160" s="10"/>
      <c r="S6160" s="10"/>
      <c r="T6160" s="10"/>
      <c r="U6160" s="10"/>
      <c r="V6160" s="10"/>
      <c r="W6160" s="10"/>
      <c r="X6160" s="10"/>
      <c r="Y6160" s="10"/>
      <c r="Z6160" s="10"/>
    </row>
    <row r="6161" spans="1:26" ht="12.75">
      <c r="A6161" s="10" t="str">
        <f ca="1">IFERROR(__xludf.DUMMYFUNCTION("""COMPUTED_VALUE"""),"Петър Стефанов Пейков")</f>
        <v>Петър Стефанов Пейков</v>
      </c>
      <c r="B6161" s="10" t="str">
        <f ca="1">IFERROR(__xludf.DUMMYFUNCTION("""COMPUTED_VALUE"""),"Статия в списания и поредици")</f>
        <v>Статия в списания и поредици</v>
      </c>
      <c r="C6161" s="10" t="str">
        <f ca="1">IFERROR(__xludf.DUMMYFUNCTION("""COMPUTED_VALUE"""),"Специализираните архиви по чл.33, ал.1 от закона за НАФ, важна съставна част от Националния архивен фонд")</f>
        <v>Специализираните архиви по чл.33, ал.1 от закона за НАФ, важна съставна част от Националния архивен фонд</v>
      </c>
      <c r="D6161" s="10">
        <f ca="1">IFERROR(__xludf.DUMMYFUNCTION("""COMPUTED_VALUE"""),2014)</f>
        <v>2014</v>
      </c>
      <c r="E6161" s="10" t="str">
        <f ca="1">IFERROR(__xludf.DUMMYFUNCTION("""COMPUTED_VALUE"""),"Сп.“Архивен преглед», 2014, № 1, с. 244-246. ISNN 0204-8132")</f>
        <v>Сп.“Архивен преглед», 2014, № 1, с. 244-246. ISNN 0204-8132</v>
      </c>
      <c r="F6161" s="10"/>
      <c r="G6161" s="10"/>
      <c r="H6161" s="10"/>
      <c r="I6161" s="10"/>
      <c r="J6161" s="10"/>
      <c r="K6161" s="10"/>
      <c r="L6161" s="10"/>
      <c r="M6161" s="10"/>
      <c r="N6161" s="10"/>
      <c r="O6161" s="10"/>
      <c r="P6161" s="10"/>
      <c r="Q6161" s="10"/>
      <c r="R6161" s="10"/>
      <c r="S6161" s="10"/>
      <c r="T6161" s="10"/>
      <c r="U6161" s="10"/>
      <c r="V6161" s="10"/>
      <c r="W6161" s="10"/>
      <c r="X6161" s="10"/>
      <c r="Y6161" s="10"/>
      <c r="Z6161" s="10"/>
    </row>
    <row r="6162" spans="1:26" ht="12.75">
      <c r="A6162" s="10" t="str">
        <f ca="1">IFERROR(__xludf.DUMMYFUNCTION("""COMPUTED_VALUE"""),"Петър Стефанов Пейков")</f>
        <v>Петър Стефанов Пейков</v>
      </c>
      <c r="B6162" s="10" t="str">
        <f ca="1">IFERROR(__xludf.DUMMYFUNCTION("""COMPUTED_VALUE"""),"Доклад от конференция")</f>
        <v>Доклад от конференция</v>
      </c>
      <c r="C6162" s="10" t="str">
        <f ca="1">IFERROR(__xludf.DUMMYFUNCTION("""COMPUTED_VALUE"""),"Комплектуване на лични фондове-част от културно-историческото наследство.")</f>
        <v>Комплектуване на лични фондове-част от културно-историческото наследство.</v>
      </c>
      <c r="D6162" s="10">
        <f ca="1">IFERROR(__xludf.DUMMYFUNCTION("""COMPUTED_VALUE"""),2014)</f>
        <v>2014</v>
      </c>
      <c r="E6162" s="10" t="str">
        <f ca="1">IFERROR(__xludf.DUMMYFUNCTION("""COMPUTED_VALUE"""),"Сборник с доклади от Юбилейната научна конференция по повод 10-годишнината от създаването на катедра»КИН» при УНИБИТ , „За буквите – О писменах“, София.2014, с.71-79. ISBN 978-619-185-150-8")</f>
        <v>Сборник с доклади от Юбилейната научна конференция по повод 10-годишнината от създаването на катедра»КИН» при УНИБИТ , „За буквите – О писменах“, София.2014, с.71-79. ISBN 978-619-185-150-8</v>
      </c>
      <c r="F6162" s="10"/>
      <c r="G6162" s="10"/>
      <c r="H6162" s="10"/>
      <c r="I6162" s="10"/>
      <c r="J6162" s="10"/>
      <c r="K6162" s="10"/>
      <c r="L6162" s="10"/>
      <c r="M6162" s="10"/>
      <c r="N6162" s="10"/>
      <c r="O6162" s="10"/>
      <c r="P6162" s="10"/>
      <c r="Q6162" s="10"/>
      <c r="R6162" s="10"/>
      <c r="S6162" s="10"/>
      <c r="T6162" s="10"/>
      <c r="U6162" s="10"/>
      <c r="V6162" s="10"/>
      <c r="W6162" s="10"/>
      <c r="X6162" s="10"/>
      <c r="Y6162" s="10"/>
      <c r="Z6162" s="10"/>
    </row>
    <row r="6163" spans="1:26" ht="12.75">
      <c r="A6163" s="10" t="str">
        <f ca="1">IFERROR(__xludf.DUMMYFUNCTION("""COMPUTED_VALUE"""),"Петър Стефанов Пейков")</f>
        <v>Петър Стефанов Пейков</v>
      </c>
      <c r="B6163" s="10" t="str">
        <f ca="1">IFERROR(__xludf.DUMMYFUNCTION("""COMPUTED_VALUE"""),"Учебно пособие")</f>
        <v>Учебно пособие</v>
      </c>
      <c r="C6163" s="10" t="str">
        <f ca="1">IFERROR(__xludf.DUMMYFUNCTION("""COMPUTED_VALUE"""),"Методически кодекс. Свит. 2, Източници за комплектуване на държавните архиви, организация, експертиза и научно-техническа обработка на документите")</f>
        <v>Методически кодекс. Свит. 2, Източници за комплектуване на държавните архиви, организация, експертиза и научно-техническа обработка на документите</v>
      </c>
      <c r="D6163" s="10">
        <f ca="1">IFERROR(__xludf.DUMMYFUNCTION("""COMPUTED_VALUE"""),2013)</f>
        <v>2013</v>
      </c>
      <c r="E6163" s="10" t="str">
        <f ca="1">IFERROR(__xludf.DUMMYFUNCTION("""COMPUTED_VALUE"""),"Второ прераб. и доп. изд. - София : Държ. агенция Архиви, 2013. с. 244 ISBN 978-619-7070-03-3")</f>
        <v>Второ прераб. и доп. изд. - София : Държ. агенция Архиви, 2013. с. 244 ISBN 978-619-7070-03-3</v>
      </c>
      <c r="F6163" s="10"/>
      <c r="G6163" s="10"/>
      <c r="H6163" s="10"/>
      <c r="I6163" s="10"/>
      <c r="J6163" s="10"/>
      <c r="K6163" s="10"/>
      <c r="L6163" s="10"/>
      <c r="M6163" s="10"/>
      <c r="N6163" s="10"/>
      <c r="O6163" s="10"/>
      <c r="P6163" s="10"/>
      <c r="Q6163" s="10"/>
      <c r="R6163" s="10"/>
      <c r="S6163" s="10"/>
      <c r="T6163" s="10"/>
      <c r="U6163" s="10"/>
      <c r="V6163" s="10"/>
      <c r="W6163" s="10"/>
      <c r="X6163" s="10"/>
      <c r="Y6163" s="10"/>
      <c r="Z6163" s="10"/>
    </row>
    <row r="6164" spans="1:26" ht="12.75">
      <c r="A6164" s="10" t="str">
        <f ca="1">IFERROR(__xludf.DUMMYFUNCTION("""COMPUTED_VALUE"""),"Петър Стефанов Пейков")</f>
        <v>Петър Стефанов Пейков</v>
      </c>
      <c r="B6164" s="10" t="str">
        <f ca="1">IFERROR(__xludf.DUMMYFUNCTION("""COMPUTED_VALUE"""),"Учебно пособие")</f>
        <v>Учебно пособие</v>
      </c>
      <c r="C6164" s="10" t="str">
        <f ca="1">IFERROR(__xludf.DUMMYFUNCTION("""COMPUTED_VALUE"""),"Методически кодекс. Свит. 1, Управление и организация на националния архивен фонд и архивната мрежа")</f>
        <v>Методически кодекс. Свит. 1, Управление и организация на националния архивен фонд и архивната мрежа</v>
      </c>
      <c r="D6164" s="10">
        <f ca="1">IFERROR(__xludf.DUMMYFUNCTION("""COMPUTED_VALUE"""),2013)</f>
        <v>2013</v>
      </c>
      <c r="E6164" s="10" t="str">
        <f ca="1">IFERROR(__xludf.DUMMYFUNCTION("""COMPUTED_VALUE"""),"Второ прераб. и доп. изд. - София : Държ авна агенция „Архиви“, 2013. с.77, ISBN 978-619-7070-02-6")</f>
        <v>Второ прераб. и доп. изд. - София : Държ авна агенция „Архиви“, 2013. с.77, ISBN 978-619-7070-02-6</v>
      </c>
      <c r="F6164" s="10"/>
      <c r="G6164" s="10"/>
      <c r="H6164" s="10"/>
      <c r="I6164" s="10"/>
      <c r="J6164" s="10"/>
      <c r="K6164" s="10"/>
      <c r="L6164" s="10"/>
      <c r="M6164" s="10"/>
      <c r="N6164" s="10"/>
      <c r="O6164" s="10"/>
      <c r="P6164" s="10"/>
      <c r="Q6164" s="10"/>
      <c r="R6164" s="10"/>
      <c r="S6164" s="10"/>
      <c r="T6164" s="10"/>
      <c r="U6164" s="10"/>
      <c r="V6164" s="10"/>
      <c r="W6164" s="10"/>
      <c r="X6164" s="10"/>
      <c r="Y6164" s="10"/>
      <c r="Z6164" s="10"/>
    </row>
    <row r="6165" spans="1:26" ht="12.75">
      <c r="A6165" s="10" t="str">
        <f ca="1">IFERROR(__xludf.DUMMYFUNCTION("""COMPUTED_VALUE"""),"Петър Стефанов Пейков")</f>
        <v>Петър Стефанов Пейков</v>
      </c>
      <c r="B6165" s="10" t="str">
        <f ca="1">IFERROR(__xludf.DUMMYFUNCTION("""COMPUTED_VALUE"""),"Доклад от конференция")</f>
        <v>Доклад от конференция</v>
      </c>
      <c r="C6165" s="10" t="str">
        <f ca="1">IFERROR(__xludf.DUMMYFUNCTION("""COMPUTED_VALUE"""),"Нови положения и проблеми в българското архивно законодателство")</f>
        <v>Нови положения и проблеми в българското архивно законодателство</v>
      </c>
      <c r="D6165" s="10">
        <f ca="1">IFERROR(__xludf.DUMMYFUNCTION("""COMPUTED_VALUE"""),2010)</f>
        <v>2010</v>
      </c>
      <c r="E6165" s="10" t="str">
        <f ca="1">IFERROR(__xludf.DUMMYFUNCTION("""COMPUTED_VALUE"""),"Сп.“ Архивен преглед», 2010, № 3–4, с. 7–10. ISNN 0204-8132")</f>
        <v>Сп.“ Архивен преглед», 2010, № 3–4, с. 7–10. ISNN 0204-8132</v>
      </c>
      <c r="F6165" s="10"/>
      <c r="G6165" s="10"/>
      <c r="H6165" s="10"/>
      <c r="I6165" s="10"/>
      <c r="J6165" s="10"/>
      <c r="K6165" s="10"/>
      <c r="L6165" s="10"/>
      <c r="M6165" s="10"/>
      <c r="N6165" s="10"/>
      <c r="O6165" s="10"/>
      <c r="P6165" s="10"/>
      <c r="Q6165" s="10"/>
      <c r="R6165" s="10"/>
      <c r="S6165" s="10"/>
      <c r="T6165" s="10"/>
      <c r="U6165" s="10"/>
      <c r="V6165" s="10"/>
      <c r="W6165" s="10"/>
      <c r="X6165" s="10"/>
      <c r="Y6165" s="10"/>
      <c r="Z6165" s="10"/>
    </row>
    <row r="6166" spans="1:26" ht="12.75">
      <c r="A6166" s="10" t="str">
        <f ca="1">IFERROR(__xludf.DUMMYFUNCTION("""COMPUTED_VALUE"""),"Петър Стефанов Пейков")</f>
        <v>Петър Стефанов Пейков</v>
      </c>
      <c r="B6166" s="10" t="str">
        <f ca="1">IFERROR(__xludf.DUMMYFUNCTION("""COMPUTED_VALUE"""),"Статия в списания и поредици")</f>
        <v>Статия в списания и поредици</v>
      </c>
      <c r="C6166" s="10" t="str">
        <f ca="1">IFERROR(__xludf.DUMMYFUNCTION("""COMPUTED_VALUE"""),"Продуктивен автор и успешен популяризатор в областта на документалния мениджмънт (д-р Георги Андреев на 65 години)")</f>
        <v>Продуктивен автор и успешен популяризатор в областта на документалния мениджмънт (д-р Георги Андреев на 65 години)</v>
      </c>
      <c r="D6166" s="10">
        <f ca="1">IFERROR(__xludf.DUMMYFUNCTION("""COMPUTED_VALUE"""),2010)</f>
        <v>2010</v>
      </c>
      <c r="E6166" s="10" t="str">
        <f ca="1">IFERROR(__xludf.DUMMYFUNCTION("""COMPUTED_VALUE"""),"Сп. „Архивен преглед», 2010, № 3–4, с.38-47 ISNN 0204-8132")</f>
        <v>Сп. „Архивен преглед», 2010, № 3–4, с.38-47 ISNN 0204-8132</v>
      </c>
      <c r="F6166" s="10"/>
      <c r="G6166" s="10"/>
      <c r="H6166" s="10"/>
      <c r="I6166" s="10"/>
      <c r="J6166" s="10"/>
      <c r="K6166" s="10"/>
      <c r="L6166" s="10"/>
      <c r="M6166" s="10"/>
      <c r="N6166" s="10"/>
      <c r="O6166" s="10"/>
      <c r="P6166" s="10"/>
      <c r="Q6166" s="10"/>
      <c r="R6166" s="10"/>
      <c r="S6166" s="10"/>
      <c r="T6166" s="10"/>
      <c r="U6166" s="10"/>
      <c r="V6166" s="10"/>
      <c r="W6166" s="10"/>
      <c r="X6166" s="10"/>
      <c r="Y6166" s="10"/>
      <c r="Z6166" s="10"/>
    </row>
    <row r="6167" spans="1:26" ht="12.75">
      <c r="A6167" s="10" t="str">
        <f ca="1">IFERROR(__xludf.DUMMYFUNCTION("""COMPUTED_VALUE"""),"Петър Стефанов Пейков")</f>
        <v>Петър Стефанов Пейков</v>
      </c>
      <c r="B6167" s="10" t="str">
        <f ca="1">IFERROR(__xludf.DUMMYFUNCTION("""COMPUTED_VALUE"""),"Доклад от конференция")</f>
        <v>Доклад от конференция</v>
      </c>
      <c r="C6167" s="10" t="str">
        <f ca="1">IFERROR(__xludf.DUMMYFUNCTION("""COMPUTED_VALUE"""),"Роль государственной архивной службы Болгарии в организации документооборота в учреждениях")</f>
        <v>Роль государственной архивной службы Болгарии в организации документооборота в учреждениях</v>
      </c>
      <c r="D6167" s="10">
        <f ca="1">IFERROR(__xludf.DUMMYFUNCTION("""COMPUTED_VALUE"""),2006)</f>
        <v>2006</v>
      </c>
      <c r="E6167" s="10" t="str">
        <f ca="1">IFERROR(__xludf.DUMMYFUNCTION("""COMPUTED_VALUE"""),"Державне управлiння i право, Збiрник наукових праць, Випуск 1, КИIВ 2006 г.,с.168-174. ISBN 966-529-130-0")</f>
        <v>Державне управлiння i право, Збiрник наукових праць, Випуск 1, КИIВ 2006 г.,с.168-174. ISBN 966-529-130-0</v>
      </c>
      <c r="F6167" s="10"/>
      <c r="G6167" s="10"/>
      <c r="H6167" s="10"/>
      <c r="I6167" s="10"/>
      <c r="J6167" s="10"/>
      <c r="K6167" s="10"/>
      <c r="L6167" s="10"/>
      <c r="M6167" s="10"/>
      <c r="N6167" s="10"/>
      <c r="O6167" s="10"/>
      <c r="P6167" s="10"/>
      <c r="Q6167" s="10"/>
      <c r="R6167" s="10"/>
      <c r="S6167" s="10"/>
      <c r="T6167" s="10"/>
      <c r="U6167" s="10"/>
      <c r="V6167" s="10"/>
      <c r="W6167" s="10"/>
      <c r="X6167" s="10"/>
      <c r="Y6167" s="10"/>
      <c r="Z6167" s="10"/>
    </row>
    <row r="6168" spans="1:26" ht="12.75">
      <c r="A6168" s="10" t="str">
        <f ca="1">IFERROR(__xludf.DUMMYFUNCTION("""COMPUTED_VALUE"""),"Петър Стефанов Пейков")</f>
        <v>Петър Стефанов Пейков</v>
      </c>
      <c r="B6168" s="10" t="str">
        <f ca="1">IFERROR(__xludf.DUMMYFUNCTION("""COMPUTED_VALUE"""),"Статия в списания и поредици")</f>
        <v>Статия в списания и поредици</v>
      </c>
      <c r="C6168" s="10" t="str">
        <f ca="1">IFERROR(__xludf.DUMMYFUNCTION("""COMPUTED_VALUE"""),"Регионални съвещания на архивната колегия")</f>
        <v>Регионални съвещания на архивната колегия</v>
      </c>
      <c r="D6168" s="10">
        <f ca="1">IFERROR(__xludf.DUMMYFUNCTION("""COMPUTED_VALUE"""),2005)</f>
        <v>2005</v>
      </c>
      <c r="E6168" s="10" t="str">
        <f ca="1">IFERROR(__xludf.DUMMYFUNCTION("""COMPUTED_VALUE"""),"Сп. „Архивен преглед», 2005, №3-4, с. 43-44. ISNN 0204-8132")</f>
        <v>Сп. „Архивен преглед», 2005, №3-4, с. 43-44. ISNN 0204-8132</v>
      </c>
      <c r="F6168" s="10"/>
      <c r="G6168" s="10"/>
      <c r="H6168" s="10"/>
      <c r="I6168" s="10"/>
      <c r="J6168" s="10"/>
      <c r="K6168" s="10"/>
      <c r="L6168" s="10"/>
      <c r="M6168" s="10"/>
      <c r="N6168" s="10"/>
      <c r="O6168" s="10"/>
      <c r="P6168" s="10"/>
      <c r="Q6168" s="10"/>
      <c r="R6168" s="10"/>
      <c r="S6168" s="10"/>
      <c r="T6168" s="10"/>
      <c r="U6168" s="10"/>
      <c r="V6168" s="10"/>
      <c r="W6168" s="10"/>
      <c r="X6168" s="10"/>
      <c r="Y6168" s="10"/>
      <c r="Z6168" s="10"/>
    </row>
    <row r="6169" spans="1:26" ht="12.75">
      <c r="A6169" s="10" t="str">
        <f ca="1">IFERROR(__xludf.DUMMYFUNCTION("""COMPUTED_VALUE"""),"Петър Стефанов Пейков")</f>
        <v>Петър Стефанов Пейков</v>
      </c>
      <c r="B6169" s="10" t="str">
        <f ca="1">IFERROR(__xludf.DUMMYFUNCTION("""COMPUTED_VALUE"""),"Речник (съставителство)")</f>
        <v>Речник (съставителство)</v>
      </c>
      <c r="C6169" s="10" t="str">
        <f ca="1">IFERROR(__xludf.DUMMYFUNCTION("""COMPUTED_VALUE"""),"Речник на българската архивна терминология.")</f>
        <v>Речник на българската архивна терминология.</v>
      </c>
      <c r="D6169" s="10">
        <f ca="1">IFERROR(__xludf.DUMMYFUNCTION("""COMPUTED_VALUE"""),2002)</f>
        <v>2002</v>
      </c>
      <c r="E6169" s="10" t="str">
        <f ca="1">IFERROR(__xludf.DUMMYFUNCTION("""COMPUTED_VALUE"""),"Речник на българската архивна терминология. Под ред. на Д. Минцев и Ст. Петкова; Състав: Анчова, К., Сл. Барутчийски, М. Бурмова, Ж. Крайчева, А. Матинян, Д. Минцев, Ан. Нейкова, Пандева, Зл. П. Пейков, Петкова, Ст., Пискова, М -Университетско издателство"&amp;" ВСУ „Черноризец Храбър Варна, 2002. - 151 с. ISBN 954-715-135-5")</f>
        <v>Речник на българската архивна терминология. Под ред. на Д. Минцев и Ст. Петкова; Състав: Анчова, К., Сл. Барутчийски, М. Бурмова, Ж. Крайчева, А. Матинян, Д. Минцев, Ан. Нейкова, Пандева, Зл. П. Пейков, Петкова, Ст., Пискова, М -Университетско издателство ВСУ „Черноризец Храбър Варна, 2002. - 151 с. ISBN 954-715-135-5</v>
      </c>
      <c r="F6169" s="10"/>
      <c r="G6169" s="10"/>
      <c r="H6169" s="10"/>
      <c r="I6169" s="10"/>
      <c r="J6169" s="10"/>
      <c r="K6169" s="10"/>
      <c r="L6169" s="10"/>
      <c r="M6169" s="10"/>
      <c r="N6169" s="10"/>
      <c r="O6169" s="10"/>
      <c r="P6169" s="10"/>
      <c r="Q6169" s="10"/>
      <c r="R6169" s="10"/>
      <c r="S6169" s="10"/>
      <c r="T6169" s="10"/>
      <c r="U6169" s="10"/>
      <c r="V6169" s="10"/>
      <c r="W6169" s="10"/>
      <c r="X6169" s="10"/>
      <c r="Y6169" s="10"/>
      <c r="Z6169" s="10"/>
    </row>
    <row r="6170" spans="1:26" ht="12.75">
      <c r="A6170" s="10" t="str">
        <f ca="1">IFERROR(__xludf.DUMMYFUNCTION("""COMPUTED_VALUE"""),"Петър Стефанов Пейков")</f>
        <v>Петър Стефанов Пейков</v>
      </c>
      <c r="B6170" s="10" t="str">
        <f ca="1">IFERROR(__xludf.DUMMYFUNCTION("""COMPUTED_VALUE"""),"Статия в списания и поредици")</f>
        <v>Статия в списания и поредици</v>
      </c>
      <c r="C6170" s="10" t="str">
        <f ca="1">IFERROR(__xludf.DUMMYFUNCTION("""COMPUTED_VALUE"""),"Национално съвещание на архивите – Велинград")</f>
        <v>Национално съвещание на архивите – Велинград</v>
      </c>
      <c r="D6170" s="10">
        <f ca="1">IFERROR(__xludf.DUMMYFUNCTION("""COMPUTED_VALUE"""),1994)</f>
        <v>1994</v>
      </c>
      <c r="E6170" s="10" t="str">
        <f ca="1">IFERROR(__xludf.DUMMYFUNCTION("""COMPUTED_VALUE"""),"Сп. „Архивен преглед», 1994, №3-4, с. 110-111, ISNN 0204-8132")</f>
        <v>Сп. „Архивен преглед», 1994, №3-4, с. 110-111, ISNN 0204-8132</v>
      </c>
      <c r="F6170" s="10"/>
      <c r="G6170" s="10"/>
      <c r="H6170" s="10"/>
      <c r="I6170" s="10"/>
      <c r="J6170" s="10"/>
      <c r="K6170" s="10"/>
      <c r="L6170" s="10"/>
      <c r="M6170" s="10"/>
      <c r="N6170" s="10"/>
      <c r="O6170" s="10"/>
      <c r="P6170" s="10"/>
      <c r="Q6170" s="10"/>
      <c r="R6170" s="10"/>
      <c r="S6170" s="10"/>
      <c r="T6170" s="10"/>
      <c r="U6170" s="10"/>
      <c r="V6170" s="10"/>
      <c r="W6170" s="10"/>
      <c r="X6170" s="10"/>
      <c r="Y6170" s="10"/>
      <c r="Z6170" s="10"/>
    </row>
    <row r="6171" spans="1:26" ht="12.75">
      <c r="A6171" s="10" t="str">
        <f ca="1">IFERROR(__xludf.DUMMYFUNCTION("""COMPUTED_VALUE"""),"Петър Стефанов Пейков")</f>
        <v>Петър Стефанов Пейков</v>
      </c>
      <c r="B6171" s="10" t="str">
        <f ca="1">IFERROR(__xludf.DUMMYFUNCTION("""COMPUTED_VALUE"""),"Статия в списания и поредици")</f>
        <v>Статия в списания и поредици</v>
      </c>
      <c r="C6171" s="10" t="str">
        <f ca="1">IFERROR(__xludf.DUMMYFUNCTION("""COMPUTED_VALUE"""),"Към въпроса за допълнителната експертиза в държавните архиви.")</f>
        <v>Към въпроса за допълнителната експертиза в държавните архиви.</v>
      </c>
      <c r="D6171" s="10">
        <f ca="1">IFERROR(__xludf.DUMMYFUNCTION("""COMPUTED_VALUE"""),1993)</f>
        <v>1993</v>
      </c>
      <c r="E6171" s="10" t="str">
        <f ca="1">IFERROR(__xludf.DUMMYFUNCTION("""COMPUTED_VALUE"""),"Сп. „Архивен преглед», 1993, № 3–4, с. 20–24. ISNN 0204-8132")</f>
        <v>Сп. „Архивен преглед», 1993, № 3–4, с. 20–24. ISNN 0204-8132</v>
      </c>
      <c r="F6171" s="10"/>
      <c r="G6171" s="10"/>
      <c r="H6171" s="10"/>
      <c r="I6171" s="10"/>
      <c r="J6171" s="10"/>
      <c r="K6171" s="10"/>
      <c r="L6171" s="10"/>
      <c r="M6171" s="10"/>
      <c r="N6171" s="10"/>
      <c r="O6171" s="10"/>
      <c r="P6171" s="10"/>
      <c r="Q6171" s="10"/>
      <c r="R6171" s="10"/>
      <c r="S6171" s="10"/>
      <c r="T6171" s="10"/>
      <c r="U6171" s="10"/>
      <c r="V6171" s="10"/>
      <c r="W6171" s="10"/>
      <c r="X6171" s="10"/>
      <c r="Y6171" s="10"/>
      <c r="Z6171" s="10"/>
    </row>
    <row r="6172" spans="1:26" ht="12.75">
      <c r="A6172" s="10" t="str">
        <f ca="1">IFERROR(__xludf.DUMMYFUNCTION("""COMPUTED_VALUE"""),"Петър Стефанов Пейков")</f>
        <v>Петър Стефанов Пейков</v>
      </c>
      <c r="B6172" s="10" t="str">
        <f ca="1">IFERROR(__xludf.DUMMYFUNCTION("""COMPUTED_VALUE"""),"Статия в списания и поредици")</f>
        <v>Статия в списания и поредици</v>
      </c>
      <c r="C6172" s="10" t="str">
        <f ca="1">IFERROR(__xludf.DUMMYFUNCTION("""COMPUTED_VALUE"""),"Технически комитет по стандартизация в областта на архивната, библиотечната и информационната дейност")</f>
        <v>Технически комитет по стандартизация в областта на архивната, библиотечната и информационната дейност</v>
      </c>
      <c r="D6172" s="10">
        <f ca="1">IFERROR(__xludf.DUMMYFUNCTION("""COMPUTED_VALUE"""),1992)</f>
        <v>1992</v>
      </c>
      <c r="E6172" s="10" t="str">
        <f ca="1">IFERROR(__xludf.DUMMYFUNCTION("""COMPUTED_VALUE"""),"Сп. „Архивен преглед», 1992, №4, с. 59-60. ISNN 0204-8132")</f>
        <v>Сп. „Архивен преглед», 1992, №4, с. 59-60. ISNN 0204-8132</v>
      </c>
      <c r="F6172" s="10"/>
      <c r="G6172" s="10"/>
      <c r="H6172" s="10"/>
      <c r="I6172" s="10"/>
      <c r="J6172" s="10"/>
      <c r="K6172" s="10"/>
      <c r="L6172" s="10"/>
      <c r="M6172" s="10"/>
      <c r="N6172" s="10"/>
      <c r="O6172" s="10"/>
      <c r="P6172" s="10"/>
      <c r="Q6172" s="10"/>
      <c r="R6172" s="10"/>
      <c r="S6172" s="10"/>
      <c r="T6172" s="10"/>
      <c r="U6172" s="10"/>
      <c r="V6172" s="10"/>
      <c r="W6172" s="10"/>
      <c r="X6172" s="10"/>
      <c r="Y6172" s="10"/>
      <c r="Z6172" s="10"/>
    </row>
    <row r="6173" spans="1:26" ht="12.75">
      <c r="A6173" s="10" t="str">
        <f ca="1">IFERROR(__xludf.DUMMYFUNCTION("""COMPUTED_VALUE"""),"Петър Стефанов Пейков")</f>
        <v>Петър Стефанов Пейков</v>
      </c>
      <c r="B6173" s="10" t="str">
        <f ca="1">IFERROR(__xludf.DUMMYFUNCTION("""COMPUTED_VALUE"""),"Статия в списания и поредици")</f>
        <v>Статия в списания и поредици</v>
      </c>
      <c r="C6173" s="10" t="str">
        <f ca="1">IFERROR(__xludf.DUMMYFUNCTION("""COMPUTED_VALUE"""),"За съдържанието на термините „архив“ и „архивен документ“.")</f>
        <v>За съдържанието на термините „архив“ и „архивен документ“.</v>
      </c>
      <c r="D6173" s="10">
        <f ca="1">IFERROR(__xludf.DUMMYFUNCTION("""COMPUTED_VALUE"""),1991)</f>
        <v>1991</v>
      </c>
      <c r="E6173" s="10" t="str">
        <f ca="1">IFERROR(__xludf.DUMMYFUNCTION("""COMPUTED_VALUE"""),"Сп.“ Архивен преглед», 1991, № 3, с. 14–17. ISNN 0204-8132")</f>
        <v>Сп.“ Архивен преглед», 1991, № 3, с. 14–17. ISNN 0204-8132</v>
      </c>
      <c r="F6173" s="10"/>
      <c r="G6173" s="10"/>
      <c r="H6173" s="10"/>
      <c r="I6173" s="10"/>
      <c r="J6173" s="10"/>
      <c r="K6173" s="10"/>
      <c r="L6173" s="10"/>
      <c r="M6173" s="10"/>
      <c r="N6173" s="10"/>
      <c r="O6173" s="10"/>
      <c r="P6173" s="10"/>
      <c r="Q6173" s="10"/>
      <c r="R6173" s="10"/>
      <c r="S6173" s="10"/>
      <c r="T6173" s="10"/>
      <c r="U6173" s="10"/>
      <c r="V6173" s="10"/>
      <c r="W6173" s="10"/>
      <c r="X6173" s="10"/>
      <c r="Y6173" s="10"/>
      <c r="Z6173" s="10"/>
    </row>
    <row r="6174" spans="1:26" ht="12.75">
      <c r="A6174" s="10" t="str">
        <f ca="1">IFERROR(__xludf.DUMMYFUNCTION("""COMPUTED_VALUE"""),"Петър Стефанов Пейков")</f>
        <v>Петър Стефанов Пейков</v>
      </c>
      <c r="B6174" s="10" t="str">
        <f ca="1">IFERROR(__xludf.DUMMYFUNCTION("""COMPUTED_VALUE"""),"Статия в списания и поредици")</f>
        <v>Статия в списания и поредици</v>
      </c>
      <c r="C6174" s="10" t="str">
        <f ca="1">IFERROR(__xludf.DUMMYFUNCTION("""COMPUTED_VALUE"""),"Национална отчетна конференция на Главно управление на архивите при МС и държавните архиви")</f>
        <v>Национална отчетна конференция на Главно управление на архивите при МС и държавните архиви</v>
      </c>
      <c r="D6174" s="10">
        <f ca="1">IFERROR(__xludf.DUMMYFUNCTION("""COMPUTED_VALUE"""),1990)</f>
        <v>1990</v>
      </c>
      <c r="E6174" s="10" t="str">
        <f ca="1">IFERROR(__xludf.DUMMYFUNCTION("""COMPUTED_VALUE"""),"Сп. „Архивен преглед», 1990, №2, с. 105-108. ISNN 0204-8132")</f>
        <v>Сп. „Архивен преглед», 1990, №2, с. 105-108. ISNN 0204-8132</v>
      </c>
      <c r="F6174" s="10"/>
      <c r="G6174" s="10"/>
      <c r="H6174" s="10"/>
      <c r="I6174" s="10"/>
      <c r="J6174" s="10"/>
      <c r="K6174" s="10"/>
      <c r="L6174" s="10"/>
      <c r="M6174" s="10"/>
      <c r="N6174" s="10"/>
      <c r="O6174" s="10"/>
      <c r="P6174" s="10"/>
      <c r="Q6174" s="10"/>
      <c r="R6174" s="10"/>
      <c r="S6174" s="10"/>
      <c r="T6174" s="10"/>
      <c r="U6174" s="10"/>
      <c r="V6174" s="10"/>
      <c r="W6174" s="10"/>
      <c r="X6174" s="10"/>
      <c r="Y6174" s="10"/>
      <c r="Z6174" s="10"/>
    </row>
    <row r="6175" spans="1:26" ht="12.75">
      <c r="A6175" s="10" t="str">
        <f ca="1">IFERROR(__xludf.DUMMYFUNCTION("""COMPUTED_VALUE"""),"Петър Стефанов Пейков")</f>
        <v>Петър Стефанов Пейков</v>
      </c>
      <c r="B6175" s="10" t="str">
        <f ca="1">IFERROR(__xludf.DUMMYFUNCTION("""COMPUTED_VALUE"""),"Статия в списания и поредици")</f>
        <v>Статия в списания и поредици</v>
      </c>
      <c r="C6175" s="10" t="str">
        <f ca="1">IFERROR(__xludf.DUMMYFUNCTION("""COMPUTED_VALUE"""),"Секция ,,Архивистика“ при Българското историческо дружество")</f>
        <v>Секция ,,Архивистика“ при Българското историческо дружество</v>
      </c>
      <c r="D6175" s="10">
        <f ca="1">IFERROR(__xludf.DUMMYFUNCTION("""COMPUTED_VALUE"""),1990)</f>
        <v>1990</v>
      </c>
      <c r="E6175" s="10" t="str">
        <f ca="1">IFERROR(__xludf.DUMMYFUNCTION("""COMPUTED_VALUE"""),"Сп.„Архивен преглед», 1990, №1, с. 67-69 ISNN 0204-8132")</f>
        <v>Сп.„Архивен преглед», 1990, №1, с. 67-69 ISNN 0204-8132</v>
      </c>
      <c r="F6175" s="10"/>
      <c r="G6175" s="10"/>
      <c r="H6175" s="10"/>
      <c r="I6175" s="10"/>
      <c r="J6175" s="10"/>
      <c r="K6175" s="10"/>
      <c r="L6175" s="10"/>
      <c r="M6175" s="10"/>
      <c r="N6175" s="10"/>
      <c r="O6175" s="10"/>
      <c r="P6175" s="10"/>
      <c r="Q6175" s="10"/>
      <c r="R6175" s="10"/>
      <c r="S6175" s="10"/>
      <c r="T6175" s="10"/>
      <c r="U6175" s="10"/>
      <c r="V6175" s="10"/>
      <c r="W6175" s="10"/>
      <c r="X6175" s="10"/>
      <c r="Y6175" s="10"/>
      <c r="Z6175" s="10"/>
    </row>
    <row r="6176" spans="1:26" ht="12.75">
      <c r="A6176" s="10" t="str">
        <f ca="1">IFERROR(__xludf.DUMMYFUNCTION("""COMPUTED_VALUE"""),"Петър Стефанов Пейков")</f>
        <v>Петър Стефанов Пейков</v>
      </c>
      <c r="B6176" s="10" t="str">
        <f ca="1">IFERROR(__xludf.DUMMYFUNCTION("""COMPUTED_VALUE"""),"Статия в списания и поредици")</f>
        <v>Статия в списания и поредици</v>
      </c>
      <c r="C6176" s="10" t="str">
        <f ca="1">IFERROR(__xludf.DUMMYFUNCTION("""COMPUTED_VALUE"""),"Международно съвещание в Москва")</f>
        <v>Международно съвещание в Москва</v>
      </c>
      <c r="D6176" s="10">
        <f ca="1">IFERROR(__xludf.DUMMYFUNCTION("""COMPUTED_VALUE"""),1989)</f>
        <v>1989</v>
      </c>
      <c r="E6176" s="10" t="str">
        <f ca="1">IFERROR(__xludf.DUMMYFUNCTION("""COMPUTED_VALUE"""),"Сп. „Архивен преглед», 1989, №4, с. 368-370 ISNN 0204-8132")</f>
        <v>Сп. „Архивен преглед», 1989, №4, с. 368-370 ISNN 0204-8132</v>
      </c>
      <c r="F6176" s="10"/>
      <c r="G6176" s="10"/>
      <c r="H6176" s="10"/>
      <c r="I6176" s="10"/>
      <c r="J6176" s="10"/>
      <c r="K6176" s="10"/>
      <c r="L6176" s="10"/>
      <c r="M6176" s="10"/>
      <c r="N6176" s="10"/>
      <c r="O6176" s="10"/>
      <c r="P6176" s="10"/>
      <c r="Q6176" s="10"/>
      <c r="R6176" s="10"/>
      <c r="S6176" s="10"/>
      <c r="T6176" s="10"/>
      <c r="U6176" s="10"/>
      <c r="V6176" s="10"/>
      <c r="W6176" s="10"/>
      <c r="X6176" s="10"/>
      <c r="Y6176" s="10"/>
      <c r="Z6176" s="10"/>
    </row>
    <row r="6177" spans="1:26" ht="12.75">
      <c r="A6177" s="10" t="str">
        <f ca="1">IFERROR(__xludf.DUMMYFUNCTION("""COMPUTED_VALUE"""),"Петър Стефанов Пейков")</f>
        <v>Петър Стефанов Пейков</v>
      </c>
      <c r="B6177" s="10" t="str">
        <f ca="1">IFERROR(__xludf.DUMMYFUNCTION("""COMPUTED_VALUE"""),"Статия в списания и поредици")</f>
        <v>Статия в списания и поредици</v>
      </c>
      <c r="C6177" s="10" t="str">
        <f ca="1">IFERROR(__xludf.DUMMYFUNCTION("""COMPUTED_VALUE"""),"Научно-справочен апарат в архивите и пътища за усъвършенстването му")</f>
        <v>Научно-справочен апарат в архивите и пътища за усъвършенстването му</v>
      </c>
      <c r="D6177" s="10">
        <f ca="1">IFERROR(__xludf.DUMMYFUNCTION("""COMPUTED_VALUE"""),1987)</f>
        <v>1987</v>
      </c>
      <c r="E6177" s="10" t="str">
        <f ca="1">IFERROR(__xludf.DUMMYFUNCTION("""COMPUTED_VALUE"""),"Национална конференция „Научно-справочен апарат в архивите и пътища за усъвършенстването му“ // Архивен преглед, 1987, № 1, с. 29–36. ISNN 0204-8132")</f>
        <v>Национална конференция „Научно-справочен апарат в архивите и пътища за усъвършенстването му“ // Архивен преглед, 1987, № 1, с. 29–36. ISNN 0204-8132</v>
      </c>
      <c r="F6177" s="10"/>
      <c r="G6177" s="10" t="str">
        <f ca="1">IFERROR(__xludf.DUMMYFUNCTION("""COMPUTED_VALUE"""),"М. Бурмова–Велчева, Ж. Крайчева, А. Матинян.")</f>
        <v>М. Бурмова–Велчева, Ж. Крайчева, А. Матинян.</v>
      </c>
      <c r="H6177" s="10"/>
      <c r="I6177" s="10"/>
      <c r="J6177" s="10"/>
      <c r="K6177" s="10"/>
      <c r="L6177" s="10"/>
      <c r="M6177" s="10"/>
      <c r="N6177" s="10"/>
      <c r="O6177" s="10"/>
      <c r="P6177" s="10"/>
      <c r="Q6177" s="10"/>
      <c r="R6177" s="10"/>
      <c r="S6177" s="10"/>
      <c r="T6177" s="10"/>
      <c r="U6177" s="10"/>
      <c r="V6177" s="10"/>
      <c r="W6177" s="10"/>
      <c r="X6177" s="10"/>
      <c r="Y6177" s="10"/>
      <c r="Z6177" s="10"/>
    </row>
    <row r="6178" spans="1:26" ht="12.75">
      <c r="A6178" s="10" t="str">
        <f ca="1">IFERROR(__xludf.DUMMYFUNCTION("""COMPUTED_VALUE"""),"Петър Стефанов Пейков")</f>
        <v>Петър Стефанов Пейков</v>
      </c>
      <c r="B6178" s="10" t="str">
        <f ca="1">IFERROR(__xludf.DUMMYFUNCTION("""COMPUTED_VALUE"""),"Статия в списания и поредици")</f>
        <v>Статия в списания и поредици</v>
      </c>
      <c r="C6178" s="10" t="str">
        <f ca="1">IFERROR(__xludf.DUMMYFUNCTION("""COMPUTED_VALUE"""),"Актуални проблеми на централизацията на архивното дело.")</f>
        <v>Актуални проблеми на централизацията на архивното дело.</v>
      </c>
      <c r="D6178" s="10">
        <f ca="1">IFERROR(__xludf.DUMMYFUNCTION("""COMPUTED_VALUE"""),1987)</f>
        <v>1987</v>
      </c>
      <c r="E6178" s="10" t="str">
        <f ca="1">IFERROR(__xludf.DUMMYFUNCTION("""COMPUTED_VALUE"""),"„ Архивен преглед», 1987, № 3, с. 15–31. ISNN 0204-8132")</f>
        <v>„ Архивен преглед», 1987, № 3, с. 15–31. ISNN 0204-8132</v>
      </c>
      <c r="F6178" s="10"/>
      <c r="G6178" s="10" t="str">
        <f ca="1">IFERROR(__xludf.DUMMYFUNCTION("""COMPUTED_VALUE"""),"Пейков, П., Крайчева, Ж., Бурмова, М., Анчова, К.")</f>
        <v>Пейков, П., Крайчева, Ж., Бурмова, М., Анчова, К.</v>
      </c>
      <c r="H6178" s="10"/>
      <c r="I6178" s="10"/>
      <c r="J6178" s="10"/>
      <c r="K6178" s="10"/>
      <c r="L6178" s="10"/>
      <c r="M6178" s="10"/>
      <c r="N6178" s="10"/>
      <c r="O6178" s="10"/>
      <c r="P6178" s="10"/>
      <c r="Q6178" s="10"/>
      <c r="R6178" s="10"/>
      <c r="S6178" s="10"/>
      <c r="T6178" s="10"/>
      <c r="U6178" s="10"/>
      <c r="V6178" s="10"/>
      <c r="W6178" s="10"/>
      <c r="X6178" s="10"/>
      <c r="Y6178" s="10"/>
      <c r="Z6178" s="10"/>
    </row>
    <row r="6179" spans="1:26" ht="12.75">
      <c r="A6179" s="10" t="str">
        <f ca="1">IFERROR(__xludf.DUMMYFUNCTION("""COMPUTED_VALUE"""),"Петър Стефанов Пейков")</f>
        <v>Петър Стефанов Пейков</v>
      </c>
      <c r="B6179" s="10" t="str">
        <f ca="1">IFERROR(__xludf.DUMMYFUNCTION("""COMPUTED_VALUE"""),"Доклад от конференция")</f>
        <v>Доклад от конференция</v>
      </c>
      <c r="C6179" s="10" t="str">
        <f ca="1">IFERROR(__xludf.DUMMYFUNCTION("""COMPUTED_VALUE"""),"Видове прегледи и значението им в системата на научно-справочния апарат")</f>
        <v>Видове прегледи и значението им в системата на научно-справочния апарат</v>
      </c>
      <c r="D6179" s="10">
        <f ca="1">IFERROR(__xludf.DUMMYFUNCTION("""COMPUTED_VALUE"""),1987)</f>
        <v>1987</v>
      </c>
      <c r="E6179" s="10" t="str">
        <f ca="1">IFERROR(__xludf.DUMMYFUNCTION("""COMPUTED_VALUE"""),"Националната конференция “Научно – справочен апарат в архивите и пътища за усъвършенстването му“ , ГУА при МС, София.,1987, с.401-409.")</f>
        <v>Националната конференция “Научно – справочен апарат в архивите и пътища за усъвършенстването му“ , ГУА при МС, София.,1987, с.401-409.</v>
      </c>
      <c r="F6179" s="10"/>
      <c r="G6179" s="10"/>
      <c r="H6179" s="10"/>
      <c r="I6179" s="10"/>
      <c r="J6179" s="10"/>
      <c r="K6179" s="10"/>
      <c r="L6179" s="10"/>
      <c r="M6179" s="10"/>
      <c r="N6179" s="10"/>
      <c r="O6179" s="10"/>
      <c r="P6179" s="10"/>
      <c r="Q6179" s="10"/>
      <c r="R6179" s="10"/>
      <c r="S6179" s="10"/>
      <c r="T6179" s="10"/>
      <c r="U6179" s="10"/>
      <c r="V6179" s="10"/>
      <c r="W6179" s="10"/>
      <c r="X6179" s="10"/>
      <c r="Y6179" s="10"/>
      <c r="Z6179" s="10"/>
    </row>
    <row r="6180" spans="1:26" ht="12.75">
      <c r="A6180" s="10" t="str">
        <f ca="1">IFERROR(__xludf.DUMMYFUNCTION("""COMPUTED_VALUE"""),"Петър Стефанов Пейков")</f>
        <v>Петър Стефанов Пейков</v>
      </c>
      <c r="B6180" s="10" t="str">
        <f ca="1">IFERROR(__xludf.DUMMYFUNCTION("""COMPUTED_VALUE"""),"Статия в списания и поредици")</f>
        <v>Статия в списания и поредици</v>
      </c>
      <c r="C6180" s="10" t="str">
        <f ca="1">IFERROR(__xludf.DUMMYFUNCTION("""COMPUTED_VALUE"""),"По-продължително съхранение на документите на учрежденско равнище-възможности и тенденции")</f>
        <v>По-продължително съхранение на документите на учрежденско равнище-възможности и тенденции</v>
      </c>
      <c r="D6180" s="10">
        <f ca="1">IFERROR(__xludf.DUMMYFUNCTION("""COMPUTED_VALUE"""),1986)</f>
        <v>1986</v>
      </c>
      <c r="E6180" s="10" t="str">
        <f ca="1">IFERROR(__xludf.DUMMYFUNCTION("""COMPUTED_VALUE"""),"„Архивен преглед», 1986, №1, с. 14-28 ISNN 0204-8132")</f>
        <v>„Архивен преглед», 1986, №1, с. 14-28 ISNN 0204-8132</v>
      </c>
      <c r="F6180" s="10"/>
      <c r="G6180" s="10" t="str">
        <f ca="1">IFERROR(__xludf.DUMMYFUNCTION("""COMPUTED_VALUE"""),"А.,Нейкова, М.,Пискова")</f>
        <v>А.,Нейкова, М.,Пискова</v>
      </c>
      <c r="H6180" s="10"/>
      <c r="I6180" s="10"/>
      <c r="J6180" s="10"/>
      <c r="K6180" s="10"/>
      <c r="L6180" s="10"/>
      <c r="M6180" s="10"/>
      <c r="N6180" s="10"/>
      <c r="O6180" s="10"/>
      <c r="P6180" s="10"/>
      <c r="Q6180" s="10"/>
      <c r="R6180" s="10"/>
      <c r="S6180" s="10"/>
      <c r="T6180" s="10"/>
      <c r="U6180" s="10"/>
      <c r="V6180" s="10"/>
      <c r="W6180" s="10"/>
      <c r="X6180" s="10"/>
      <c r="Y6180" s="10"/>
      <c r="Z6180" s="10"/>
    </row>
    <row r="6181" spans="1:26" ht="12.75">
      <c r="A6181" s="10" t="str">
        <f ca="1">IFERROR(__xludf.DUMMYFUNCTION("""COMPUTED_VALUE"""),"Петър Стефанов Пейков")</f>
        <v>Петър Стефанов Пейков</v>
      </c>
      <c r="B6181" s="10" t="str">
        <f ca="1">IFERROR(__xludf.DUMMYFUNCTION("""COMPUTED_VALUE"""),"Статия в списания и поредици")</f>
        <v>Статия в списания и поредици</v>
      </c>
      <c r="C6181" s="10" t="str">
        <f ca="1">IFERROR(__xludf.DUMMYFUNCTION("""COMPUTED_VALUE"""),"Центральный государственный архив НРБ")</f>
        <v>Центральный государственный архив НРБ</v>
      </c>
      <c r="D6181" s="10">
        <f ca="1">IFERROR(__xludf.DUMMYFUNCTION("""COMPUTED_VALUE"""),1986)</f>
        <v>1986</v>
      </c>
      <c r="E6181" s="10" t="str">
        <f ca="1">IFERROR(__xludf.DUMMYFUNCTION("""COMPUTED_VALUE"""),"Сп. «Советские архивы», 1986, №6, с.55-61 ISSN 0330-3554")</f>
        <v>Сп. «Советские архивы», 1986, №6, с.55-61 ISSN 0330-3554</v>
      </c>
      <c r="F6181" s="10"/>
      <c r="G6181" s="10" t="str">
        <f ca="1">IFERROR(__xludf.DUMMYFUNCTION("""COMPUTED_VALUE"""),"Барутчийски, Сл.")</f>
        <v>Барутчийски, Сл.</v>
      </c>
      <c r="H6181" s="10"/>
      <c r="I6181" s="10"/>
      <c r="J6181" s="10"/>
      <c r="K6181" s="10"/>
      <c r="L6181" s="10"/>
      <c r="M6181" s="10"/>
      <c r="N6181" s="10"/>
      <c r="O6181" s="10"/>
      <c r="P6181" s="10"/>
      <c r="Q6181" s="10"/>
      <c r="R6181" s="10"/>
      <c r="S6181" s="10"/>
      <c r="T6181" s="10"/>
      <c r="U6181" s="10"/>
      <c r="V6181" s="10"/>
      <c r="W6181" s="10"/>
      <c r="X6181" s="10"/>
      <c r="Y6181" s="10"/>
      <c r="Z6181" s="10"/>
    </row>
    <row r="6182" spans="1:26" ht="12.75">
      <c r="A6182" s="10" t="str">
        <f ca="1">IFERROR(__xludf.DUMMYFUNCTION("""COMPUTED_VALUE"""),"Пламен Николов Богданов")</f>
        <v>Пламен Николов Богданов</v>
      </c>
      <c r="B6182" s="10" t="str">
        <f ca="1">IFERROR(__xludf.DUMMYFUNCTION("""COMPUTED_VALUE"""),"Статия в списания и поредици")</f>
        <v>Статия в списания и поредици</v>
      </c>
      <c r="C6182" s="10" t="str">
        <f ca="1">IFERROR(__xludf.DUMMYFUNCTION("""COMPUTED_VALUE"""),"Основи на командването и управлението")</f>
        <v>Основи на командването и управлението</v>
      </c>
      <c r="D6182" s="10">
        <f ca="1">IFERROR(__xludf.DUMMYFUNCTION("""COMPUTED_VALUE"""),2020)</f>
        <v>2020</v>
      </c>
      <c r="E6182" s="10" t="str">
        <f ca="1">IFERROR(__xludf.DUMMYFUNCTION("""COMPUTED_VALUE"""),"Научно списание „Общество и здраве“, бр. 1, 2020, с. 170-175, ISSN 2683-0892 (online)")</f>
        <v>Научно списание „Общество и здраве“, бр. 1, 2020, с. 170-175, ISSN 2683-0892 (online)</v>
      </c>
      <c r="F6182" s="10"/>
      <c r="G6182" s="10"/>
      <c r="H6182" s="10"/>
      <c r="I6182" s="10"/>
      <c r="J6182" s="10"/>
      <c r="K6182" s="10"/>
      <c r="L6182" s="10"/>
      <c r="M6182" s="10"/>
      <c r="N6182" s="10"/>
      <c r="O6182" s="10"/>
      <c r="P6182" s="10"/>
      <c r="Q6182" s="10"/>
      <c r="R6182" s="10"/>
      <c r="S6182" s="10"/>
      <c r="T6182" s="10"/>
      <c r="U6182" s="10"/>
      <c r="V6182" s="10"/>
      <c r="W6182" s="10"/>
      <c r="X6182" s="10"/>
      <c r="Y6182" s="10"/>
      <c r="Z6182" s="10"/>
    </row>
    <row r="6183" spans="1:26" ht="12.75">
      <c r="A6183" s="10" t="str">
        <f ca="1">IFERROR(__xludf.DUMMYFUNCTION("""COMPUTED_VALUE"""),"Пламен Николов Богданов")</f>
        <v>Пламен Николов Богданов</v>
      </c>
      <c r="B6183" s="10" t="str">
        <f ca="1">IFERROR(__xludf.DUMMYFUNCTION("""COMPUTED_VALUE"""),"Учебник")</f>
        <v>Учебник</v>
      </c>
      <c r="C6183" s="10" t="str">
        <f ca="1">IFERROR(__xludf.DUMMYFUNCTION("""COMPUTED_VALUE"""),"Теория и практика на военните конфликти")</f>
        <v>Теория и практика на военните конфликти</v>
      </c>
      <c r="D6183" s="10">
        <f ca="1">IFERROR(__xludf.DUMMYFUNCTION("""COMPUTED_VALUE"""),2020)</f>
        <v>2020</v>
      </c>
      <c r="E6183" s="10" t="str">
        <f ca="1">IFERROR(__xludf.DUMMYFUNCTION("""COMPUTED_VALUE"""),"Академично издателство „За буквите – О писменехь“, София, 2020, 221 с., ISBN 978-619-185-427-1(pdf)")</f>
        <v>Академично издателство „За буквите – О писменехь“, София, 2020, 221 с., ISBN 978-619-185-427-1(pdf)</v>
      </c>
      <c r="F6183" s="10"/>
      <c r="G6183" s="10"/>
      <c r="H6183" s="10"/>
      <c r="I6183" s="10"/>
      <c r="J6183" s="10"/>
      <c r="K6183" s="10"/>
      <c r="L6183" s="10"/>
      <c r="M6183" s="10"/>
      <c r="N6183" s="10"/>
      <c r="O6183" s="10"/>
      <c r="P6183" s="10"/>
      <c r="Q6183" s="10"/>
      <c r="R6183" s="10"/>
      <c r="S6183" s="10"/>
      <c r="T6183" s="10"/>
      <c r="U6183" s="10"/>
      <c r="V6183" s="10"/>
      <c r="W6183" s="10"/>
      <c r="X6183" s="10"/>
      <c r="Y6183" s="10"/>
      <c r="Z6183" s="10"/>
    </row>
    <row r="6184" spans="1:26" ht="12.75">
      <c r="A6184" s="10" t="str">
        <f ca="1">IFERROR(__xludf.DUMMYFUNCTION("""COMPUTED_VALUE"""),"Пламен Николов Богданов")</f>
        <v>Пламен Николов Богданов</v>
      </c>
      <c r="B6184" s="10" t="str">
        <f ca="1">IFERROR(__xludf.DUMMYFUNCTION("""COMPUTED_VALUE"""),"Статия в списания и поредици")</f>
        <v>Статия в списания и поредици</v>
      </c>
      <c r="C6184" s="10" t="str">
        <f ca="1">IFERROR(__xludf.DUMMYFUNCTION("""COMPUTED_VALUE"""),"Еволюция на стратегическите концепции на НАТО")</f>
        <v>Еволюция на стратегическите концепции на НАТО</v>
      </c>
      <c r="D6184" s="10">
        <f ca="1">IFERROR(__xludf.DUMMYFUNCTION("""COMPUTED_VALUE"""),2020)</f>
        <v>2020</v>
      </c>
      <c r="E6184" s="10" t="str">
        <f ca="1">IFERROR(__xludf.DUMMYFUNCTION("""COMPUTED_VALUE"""),"e-Journal VFU – eлектронно списание на Варненския свободен университет „Черноризец Храбър“, бр. 13, 2020, с. 18-33, ISSN 1313-7514, https://ejournal.vfu.bg/bg/law.html")</f>
        <v>e-Journal VFU – eлектронно списание на Варненския свободен университет „Черноризец Храбър“, бр. 13, 2020, с. 18-33, ISSN 1313-7514, https://ejournal.vfu.bg/bg/law.html</v>
      </c>
      <c r="F6184" s="10"/>
      <c r="G6184" s="10"/>
      <c r="H6184" s="10"/>
      <c r="I6184" s="10"/>
      <c r="J6184" s="10"/>
      <c r="K6184" s="10"/>
      <c r="L6184" s="10"/>
      <c r="M6184" s="10"/>
      <c r="N6184" s="10"/>
      <c r="O6184" s="10"/>
      <c r="P6184" s="10"/>
      <c r="Q6184" s="10"/>
      <c r="R6184" s="10"/>
      <c r="S6184" s="10"/>
      <c r="T6184" s="10"/>
      <c r="U6184" s="10"/>
      <c r="V6184" s="10"/>
      <c r="W6184" s="10"/>
      <c r="X6184" s="10"/>
      <c r="Y6184" s="10"/>
      <c r="Z6184" s="10"/>
    </row>
    <row r="6185" spans="1:26" ht="12.75">
      <c r="A6185" s="10" t="str">
        <f ca="1">IFERROR(__xludf.DUMMYFUNCTION("""COMPUTED_VALUE"""),"Пламен Николов Богданов")</f>
        <v>Пламен Николов Богданов</v>
      </c>
      <c r="B6185" s="10" t="str">
        <f ca="1">IFERROR(__xludf.DUMMYFUNCTION("""COMPUTED_VALUE"""),"Доклад от конференция")</f>
        <v>Доклад от конференция</v>
      </c>
      <c r="C6185" s="10" t="str">
        <f ca="1">IFERROR(__xludf.DUMMYFUNCTION("""COMPUTED_VALUE"""),"Британски, френски и китайски схващания за използване на ядреното оръжие по време на Студената война")</f>
        <v>Британски, френски и китайски схващания за използване на ядреното оръжие по време на Студената война</v>
      </c>
      <c r="D6185" s="10">
        <f ca="1">IFERROR(__xludf.DUMMYFUNCTION("""COMPUTED_VALUE"""),2020)</f>
        <v>2020</v>
      </c>
      <c r="E6185" s="10" t="str">
        <f ca="1">IFERROR(__xludf.DUMMYFUNCTION("""COMPUTED_VALUE"""),"Сборник доклади от Годишна университетска научна конференция, том 6, Издателски комплекс на НВУ „Васил Левски”, 2020, с. 221-226, ISSN 1314-1937")</f>
        <v>Сборник доклади от Годишна университетска научна конференция, том 6, Издателски комплекс на НВУ „Васил Левски”, 2020, с. 221-226, ISSN 1314-1937</v>
      </c>
      <c r="F6185" s="10"/>
      <c r="G6185" s="10"/>
      <c r="H6185" s="10"/>
      <c r="I6185" s="10"/>
      <c r="J6185" s="10"/>
      <c r="K6185" s="10"/>
      <c r="L6185" s="10"/>
      <c r="M6185" s="10"/>
      <c r="N6185" s="10"/>
      <c r="O6185" s="10"/>
      <c r="P6185" s="10"/>
      <c r="Q6185" s="10"/>
      <c r="R6185" s="10"/>
      <c r="S6185" s="10"/>
      <c r="T6185" s="10"/>
      <c r="U6185" s="10"/>
      <c r="V6185" s="10"/>
      <c r="W6185" s="10"/>
      <c r="X6185" s="10"/>
      <c r="Y6185" s="10"/>
      <c r="Z6185" s="10"/>
    </row>
    <row r="6186" spans="1:26" ht="12.75">
      <c r="A6186" s="10" t="str">
        <f ca="1">IFERROR(__xludf.DUMMYFUNCTION("""COMPUTED_VALUE"""),"Пламен Николов Богданов")</f>
        <v>Пламен Николов Богданов</v>
      </c>
      <c r="B6186" s="10" t="str">
        <f ca="1">IFERROR(__xludf.DUMMYFUNCTION("""COMPUTED_VALUE"""),"Статия в списания и поредици")</f>
        <v>Статия в списания и поредици</v>
      </c>
      <c r="C6186" s="10" t="str">
        <f ca="1">IFERROR(__xludf.DUMMYFUNCTION("""COMPUTED_VALUE"""),"Същност на експедиционните операции и експедиционните способности")</f>
        <v>Същност на експедиционните операции и експедиционните способности</v>
      </c>
      <c r="D6186" s="10">
        <f ca="1">IFERROR(__xludf.DUMMYFUNCTION("""COMPUTED_VALUE"""),2020)</f>
        <v>2020</v>
      </c>
      <c r="E6186" s="10" t="str">
        <f ca="1">IFERROR(__xludf.DUMMYFUNCTION("""COMPUTED_VALUE"""),"e-Journal VFU – eлектронно списание на Варненския свободен университет „Черноризец Храбър“, бр. 13, 2020, с. 34-47, ISSN 1313-7514, https://ejournal.vfu.bg/bg/law.html")</f>
        <v>e-Journal VFU – eлектронно списание на Варненския свободен университет „Черноризец Храбър“, бр. 13, 2020, с. 34-47, ISSN 1313-7514, https://ejournal.vfu.bg/bg/law.html</v>
      </c>
      <c r="F6186" s="10"/>
      <c r="G6186" s="10"/>
      <c r="H6186" s="10"/>
      <c r="I6186" s="10"/>
      <c r="J6186" s="10"/>
      <c r="K6186" s="10"/>
      <c r="L6186" s="10"/>
      <c r="M6186" s="10"/>
      <c r="N6186" s="10"/>
      <c r="O6186" s="10"/>
      <c r="P6186" s="10"/>
      <c r="Q6186" s="10"/>
      <c r="R6186" s="10"/>
      <c r="S6186" s="10"/>
      <c r="T6186" s="10"/>
      <c r="U6186" s="10"/>
      <c r="V6186" s="10"/>
      <c r="W6186" s="10"/>
      <c r="X6186" s="10"/>
      <c r="Y6186" s="10"/>
      <c r="Z6186" s="10"/>
    </row>
    <row r="6187" spans="1:26" ht="12.75">
      <c r="A6187" s="10" t="str">
        <f ca="1">IFERROR(__xludf.DUMMYFUNCTION("""COMPUTED_VALUE"""),"Пламен Николов Богданов")</f>
        <v>Пламен Николов Богданов</v>
      </c>
      <c r="B6187" s="10" t="str">
        <f ca="1">IFERROR(__xludf.DUMMYFUNCTION("""COMPUTED_VALUE"""),"Доклад от конференция")</f>
        <v>Доклад от конференция</v>
      </c>
      <c r="C6187" s="10" t="str">
        <f ca="1">IFERROR(__xludf.DUMMYFUNCTION("""COMPUTED_VALUE"""),"Implementation of the Strategic Card of the National Military and Educational System")</f>
        <v>Implementation of the Strategic Card of the National Military and Educational System</v>
      </c>
      <c r="D6187" s="10">
        <f ca="1">IFERROR(__xludf.DUMMYFUNCTION("""COMPUTED_VALUE"""),2020)</f>
        <v>2020</v>
      </c>
      <c r="E6187" s="10" t="str">
        <f ca="1">IFERROR(__xludf.DUMMYFUNCTION("""COMPUTED_VALUE"""),"7th International Conference on Education and Social Sciences, SOCIOINT 2020, 15-17 June 2020, Istanbul, Abstracts&amp;Proceedings, e-publication, OCERINT Publishing, International Organization Center of Academic Research, www.ocerint.org, June 2020, Istanbul"&amp;", Turkey, pp. 137-146, ISBN: 978-605-82433-9-2")</f>
        <v>7th International Conference on Education and Social Sciences, SOCIOINT 2020, 15-17 June 2020, Istanbul, Abstracts&amp;Proceedings, e-publication, OCERINT Publishing, International Organization Center of Academic Research, www.ocerint.org, June 2020, Istanbul, Turkey, pp. 137-146, ISBN: 978-605-82433-9-2</v>
      </c>
      <c r="F6187" s="10" t="str">
        <f ca="1">IFERROR(__xludf.DUMMYFUNCTION("""COMPUTED_VALUE"""),"WoS")</f>
        <v>WoS</v>
      </c>
      <c r="G6187" s="10" t="str">
        <f ca="1">IFERROR(__xludf.DUMMYFUNCTION("""COMPUTED_VALUE"""),"Terziev, Venelin, Marin Georgiev, Nikolay Nichev, Denis Solovev")</f>
        <v>Terziev, Venelin, Marin Georgiev, Nikolay Nichev, Denis Solovev</v>
      </c>
      <c r="H6187" s="10"/>
      <c r="I6187" s="10"/>
      <c r="J6187" s="10"/>
      <c r="K6187" s="10"/>
      <c r="L6187" s="10"/>
      <c r="M6187" s="10"/>
      <c r="N6187" s="10"/>
      <c r="O6187" s="10"/>
      <c r="P6187" s="10"/>
      <c r="Q6187" s="10"/>
      <c r="R6187" s="10"/>
      <c r="S6187" s="10"/>
      <c r="T6187" s="10"/>
      <c r="U6187" s="10"/>
      <c r="V6187" s="10"/>
      <c r="W6187" s="10"/>
      <c r="X6187" s="10"/>
      <c r="Y6187" s="10"/>
      <c r="Z6187" s="10"/>
    </row>
    <row r="6188" spans="1:26" ht="12.75">
      <c r="A6188" s="10" t="str">
        <f ca="1">IFERROR(__xludf.DUMMYFUNCTION("""COMPUTED_VALUE"""),"Пламен Николов Богданов")</f>
        <v>Пламен Николов Богданов</v>
      </c>
      <c r="B6188" s="10" t="str">
        <f ca="1">IFERROR(__xludf.DUMMYFUNCTION("""COMPUTED_VALUE"""),"Доклад от конференция")</f>
        <v>Доклад от конференция</v>
      </c>
      <c r="C6188" s="10" t="str">
        <f ca="1">IFERROR(__xludf.DUMMYFUNCTION("""COMPUTED_VALUE"""),"Fields of Implementation of Teacher’s Educational Functions")</f>
        <v>Fields of Implementation of Teacher’s Educational Functions</v>
      </c>
      <c r="D6188" s="10">
        <f ca="1">IFERROR(__xludf.DUMMYFUNCTION("""COMPUTED_VALUE"""),2020)</f>
        <v>2020</v>
      </c>
      <c r="E6188" s="10" t="str">
        <f ca="1">IFERROR(__xludf.DUMMYFUNCTION("""COMPUTED_VALUE"""),"7th International Conference on Education and Social Sciences, SOCIOINT 2020, 15-17 June 2020, Istanbul, Abstracts&amp;Proceedings, e-publication, OCERINT Publishing, International Organization Center of Academic Research, www.ocerint.org, June 2020, Istanbul"&amp;", Turkey, pp. 147-151, ISBN: 978-605-82433-9-2")</f>
        <v>7th International Conference on Education and Social Sciences, SOCIOINT 2020, 15-17 June 2020, Istanbul, Abstracts&amp;Proceedings, e-publication, OCERINT Publishing, International Organization Center of Academic Research, www.ocerint.org, June 2020, Istanbul, Turkey, pp. 147-151, ISBN: 978-605-82433-9-2</v>
      </c>
      <c r="F6188" s="10" t="str">
        <f ca="1">IFERROR(__xludf.DUMMYFUNCTION("""COMPUTED_VALUE"""),"WoS")</f>
        <v>WoS</v>
      </c>
      <c r="G6188" s="10" t="str">
        <f ca="1">IFERROR(__xludf.DUMMYFUNCTION("""COMPUTED_VALUE"""),"Terziev, Venelin, Margarita Bogdanova, Marin Georgiev, Denis Solovev")</f>
        <v>Terziev, Venelin, Margarita Bogdanova, Marin Georgiev, Denis Solovev</v>
      </c>
      <c r="H6188" s="10"/>
      <c r="I6188" s="10"/>
      <c r="J6188" s="10"/>
      <c r="K6188" s="10"/>
      <c r="L6188" s="10"/>
      <c r="M6188" s="10"/>
      <c r="N6188" s="10"/>
      <c r="O6188" s="10"/>
      <c r="P6188" s="10"/>
      <c r="Q6188" s="10"/>
      <c r="R6188" s="10"/>
      <c r="S6188" s="10"/>
      <c r="T6188" s="10"/>
      <c r="U6188" s="10"/>
      <c r="V6188" s="10"/>
      <c r="W6188" s="10"/>
      <c r="X6188" s="10"/>
      <c r="Y6188" s="10"/>
      <c r="Z6188" s="10"/>
    </row>
    <row r="6189" spans="1:26" ht="12.75">
      <c r="A6189" s="10" t="str">
        <f ca="1">IFERROR(__xludf.DUMMYFUNCTION("""COMPUTED_VALUE"""),"Пламен Николов Богданов")</f>
        <v>Пламен Николов Богданов</v>
      </c>
      <c r="B6189" s="10" t="str">
        <f ca="1">IFERROR(__xludf.DUMMYFUNCTION("""COMPUTED_VALUE"""),"Статия в списания и поредици")</f>
        <v>Статия в списания и поредици</v>
      </c>
      <c r="C6189" s="10" t="str">
        <f ca="1">IFERROR(__xludf.DUMMYFUNCTION("""COMPUTED_VALUE"""),"Военната стратегия на САЩ по време на Студената война")</f>
        <v>Военната стратегия на САЩ по време на Студената война</v>
      </c>
      <c r="D6189" s="10">
        <f ca="1">IFERROR(__xludf.DUMMYFUNCTION("""COMPUTED_VALUE"""),2020)</f>
        <v>2020</v>
      </c>
      <c r="E6189" s="10" t="str">
        <f ca="1">IFERROR(__xludf.DUMMYFUNCTION("""COMPUTED_VALUE"""),"e-Journal VFU – eлектронно списание на Варненския свободен университет „Черноризец Храбър“, бр. 13, 2020, с. 4-17, ISSN 1313-7514, https://ejournal.vfu.bg/bg/law.html")</f>
        <v>e-Journal VFU – eлектронно списание на Варненския свободен университет „Черноризец Храбър“, бр. 13, 2020, с. 4-17, ISSN 1313-7514, https://ejournal.vfu.bg/bg/law.html</v>
      </c>
      <c r="F6189" s="10"/>
      <c r="G6189" s="10"/>
      <c r="H6189" s="10"/>
      <c r="I6189" s="10"/>
      <c r="J6189" s="10"/>
      <c r="K6189" s="10"/>
      <c r="L6189" s="10"/>
      <c r="M6189" s="10"/>
      <c r="N6189" s="10"/>
      <c r="O6189" s="10"/>
      <c r="P6189" s="10"/>
      <c r="Q6189" s="10"/>
      <c r="R6189" s="10"/>
      <c r="S6189" s="10"/>
      <c r="T6189" s="10"/>
      <c r="U6189" s="10"/>
      <c r="V6189" s="10"/>
      <c r="W6189" s="10"/>
      <c r="X6189" s="10"/>
      <c r="Y6189" s="10"/>
      <c r="Z6189" s="10"/>
    </row>
    <row r="6190" spans="1:26" ht="12.75">
      <c r="A6190" s="10" t="str">
        <f ca="1">IFERROR(__xludf.DUMMYFUNCTION("""COMPUTED_VALUE"""),"Пламен Николов Богданов")</f>
        <v>Пламен Николов Богданов</v>
      </c>
      <c r="B6190" s="10" t="str">
        <f ca="1">IFERROR(__xludf.DUMMYFUNCTION("""COMPUTED_VALUE"""),"Доклад от конференция")</f>
        <v>Доклад от конференция</v>
      </c>
      <c r="C6190" s="10" t="str">
        <f ca="1">IFERROR(__xludf.DUMMYFUNCTION("""COMPUTED_VALUE"""),"Схващания и технологии във въоръжената борба от Ренесанса до края на ХVIII век")</f>
        <v>Схващания и технологии във въоръжената борба от Ренесанса до края на ХVIII век</v>
      </c>
      <c r="D6190" s="10">
        <f ca="1">IFERROR(__xludf.DUMMYFUNCTION("""COMPUTED_VALUE"""),2020)</f>
        <v>2020</v>
      </c>
      <c r="E6190" s="10" t="str">
        <f ca="1">IFERROR(__xludf.DUMMYFUNCTION("""COMPUTED_VALUE"""),"Сборник доклади от Годишна университетска научна конференция, том 6, Издателски комплекс на НВУ „Васил Левски”, 2020, с. 213-220, ISSN 1314-1937")</f>
        <v>Сборник доклади от Годишна университетска научна конференция, том 6, Издателски комплекс на НВУ „Васил Левски”, 2020, с. 213-220, ISSN 1314-1937</v>
      </c>
      <c r="F6190" s="10"/>
      <c r="G6190" s="10"/>
      <c r="H6190" s="10"/>
      <c r="I6190" s="10"/>
      <c r="J6190" s="10"/>
      <c r="K6190" s="10"/>
      <c r="L6190" s="10"/>
      <c r="M6190" s="10"/>
      <c r="N6190" s="10"/>
      <c r="O6190" s="10"/>
      <c r="P6190" s="10"/>
      <c r="Q6190" s="10"/>
      <c r="R6190" s="10"/>
      <c r="S6190" s="10"/>
      <c r="T6190" s="10"/>
      <c r="U6190" s="10"/>
      <c r="V6190" s="10"/>
      <c r="W6190" s="10"/>
      <c r="X6190" s="10"/>
      <c r="Y6190" s="10"/>
      <c r="Z6190" s="10"/>
    </row>
    <row r="6191" spans="1:26" ht="12.75">
      <c r="A6191" s="10" t="str">
        <f ca="1">IFERROR(__xludf.DUMMYFUNCTION("""COMPUTED_VALUE"""),"Пламен Николов Богданов")</f>
        <v>Пламен Николов Богданов</v>
      </c>
      <c r="B6191" s="10" t="str">
        <f ca="1">IFERROR(__xludf.DUMMYFUNCTION("""COMPUTED_VALUE"""),"Статия в списания и поредици")</f>
        <v>Статия в списания и поредици</v>
      </c>
      <c r="C6191" s="10" t="str">
        <f ca="1">IFERROR(__xludf.DUMMYFUNCTION("""COMPUTED_VALUE"""),"Причини и събития, довели до последната голяма война на Балканите")</f>
        <v>Причини и събития, довели до последната голяма война на Балканите</v>
      </c>
      <c r="D6191" s="10">
        <f ca="1">IFERROR(__xludf.DUMMYFUNCTION("""COMPUTED_VALUE"""),2020)</f>
        <v>2020</v>
      </c>
      <c r="E6191" s="10" t="str">
        <f ca="1">IFERROR(__xludf.DUMMYFUNCTION("""COMPUTED_VALUE"""),"Научно списание „Общество и здраве“, бр. 1, 2020, с. 176-181, ISSN 2683-0892 (online)")</f>
        <v>Научно списание „Общество и здраве“, бр. 1, 2020, с. 176-181, ISSN 2683-0892 (online)</v>
      </c>
      <c r="F6191" s="10"/>
      <c r="G6191" s="10"/>
      <c r="H6191" s="10"/>
      <c r="I6191" s="10"/>
      <c r="J6191" s="10"/>
      <c r="K6191" s="10"/>
      <c r="L6191" s="10"/>
      <c r="M6191" s="10"/>
      <c r="N6191" s="10"/>
      <c r="O6191" s="10"/>
      <c r="P6191" s="10"/>
      <c r="Q6191" s="10"/>
      <c r="R6191" s="10"/>
      <c r="S6191" s="10"/>
      <c r="T6191" s="10"/>
      <c r="U6191" s="10"/>
      <c r="V6191" s="10"/>
      <c r="W6191" s="10"/>
      <c r="X6191" s="10"/>
      <c r="Y6191" s="10"/>
      <c r="Z6191" s="10"/>
    </row>
    <row r="6192" spans="1:26" ht="12.75">
      <c r="A6192" s="10" t="str">
        <f ca="1">IFERROR(__xludf.DUMMYFUNCTION("""COMPUTED_VALUE"""),"Пламен Николов Богданов")</f>
        <v>Пламен Николов Богданов</v>
      </c>
      <c r="B6192" s="10" t="str">
        <f ca="1">IFERROR(__xludf.DUMMYFUNCTION("""COMPUTED_VALUE"""),"Доклад от конференция")</f>
        <v>Доклад от конференция</v>
      </c>
      <c r="C6192" s="10" t="str">
        <f ca="1">IFERROR(__xludf.DUMMYFUNCTION("""COMPUTED_VALUE"""),"Възможности на българските ВВС за изграждане и използване на експедиционни способности")</f>
        <v>Възможности на българските ВВС за изграждане и използване на експедиционни способности</v>
      </c>
      <c r="D6192" s="10">
        <f ca="1">IFERROR(__xludf.DUMMYFUNCTION("""COMPUTED_VALUE"""),2019)</f>
        <v>2019</v>
      </c>
      <c r="E6192" s="10" t="str">
        <f ca="1">IFERROR(__xludf.DUMMYFUNCTION("""COMPUTED_VALUE"""),"Сборник доклади от Научна конференция „Актуални проблеми на сигурността”, електронно издание, Издателски комплекс на НВУ „Васил Левски”, 2019, с.141-149, ISSN 2367-7473")</f>
        <v>Сборник доклади от Научна конференция „Актуални проблеми на сигурността”, електронно издание, Издателски комплекс на НВУ „Васил Левски”, 2019, с.141-149, ISSN 2367-7473</v>
      </c>
      <c r="F6192" s="10"/>
      <c r="G6192" s="10"/>
      <c r="H6192" s="10"/>
      <c r="I6192" s="10"/>
      <c r="J6192" s="10"/>
      <c r="K6192" s="10"/>
      <c r="L6192" s="10"/>
      <c r="M6192" s="10"/>
      <c r="N6192" s="10"/>
      <c r="O6192" s="10"/>
      <c r="P6192" s="10"/>
      <c r="Q6192" s="10"/>
      <c r="R6192" s="10"/>
      <c r="S6192" s="10"/>
      <c r="T6192" s="10"/>
      <c r="U6192" s="10"/>
      <c r="V6192" s="10"/>
      <c r="W6192" s="10"/>
      <c r="X6192" s="10"/>
      <c r="Y6192" s="10"/>
      <c r="Z6192" s="10"/>
    </row>
    <row r="6193" spans="1:26" ht="12.75">
      <c r="A6193" s="10" t="str">
        <f ca="1">IFERROR(__xludf.DUMMYFUNCTION("""COMPUTED_VALUE"""),"Пламен Николов Богданов")</f>
        <v>Пламен Николов Богданов</v>
      </c>
      <c r="B6193" s="10" t="str">
        <f ca="1">IFERROR(__xludf.DUMMYFUNCTION("""COMPUTED_VALUE"""),"Доклад от конференция")</f>
        <v>Доклад от конференция</v>
      </c>
      <c r="C6193" s="10" t="str">
        <f ca="1">IFERROR(__xludf.DUMMYFUNCTION("""COMPUTED_VALUE"""),"Perspectives and development of the the Bulgarian military - educational system")</f>
        <v>Perspectives and development of the the Bulgarian military - educational system</v>
      </c>
      <c r="D6193" s="10">
        <f ca="1">IFERROR(__xludf.DUMMYFUNCTION("""COMPUTED_VALUE"""),2019)</f>
        <v>2019</v>
      </c>
      <c r="E6193" s="10" t="str">
        <f ca="1">IFERROR(__xludf.DUMMYFUNCTION("""COMPUTED_VALUE"""),"SECURITY OF CENTRAL AND EASTERN EUROPE COUNTRIES 1st International Scientific Conference of Military Academies/Universities, WROCLAW, 20-22.03.2019, organized by General Tadeusz Kosciuszko Military University of Land Forces, Scientific Journal of the Mili"&amp;"tary University of Land Forces, volume 50, no. 1 (187), 2019, p. 73-89, ISSN 2544-7122")</f>
        <v>SECURITY OF CENTRAL AND EASTERN EUROPE COUNTRIES 1st International Scientific Conference of Military Academies/Universities, WROCLAW, 20-22.03.2019, organized by General Tadeusz Kosciuszko Military University of Land Forces, Scientific Journal of the Military University of Land Forces, volume 50, no. 1 (187), 2019, p. 73-89, ISSN 2544-7122</v>
      </c>
      <c r="F6193" s="10"/>
      <c r="G6193" s="10"/>
      <c r="H6193" s="10"/>
      <c r="I6193" s="10"/>
      <c r="J6193" s="10"/>
      <c r="K6193" s="10"/>
      <c r="L6193" s="10"/>
      <c r="M6193" s="10"/>
      <c r="N6193" s="10"/>
      <c r="O6193" s="10"/>
      <c r="P6193" s="10"/>
      <c r="Q6193" s="10"/>
      <c r="R6193" s="10"/>
      <c r="S6193" s="10"/>
      <c r="T6193" s="10"/>
      <c r="U6193" s="10"/>
      <c r="V6193" s="10"/>
      <c r="W6193" s="10"/>
      <c r="X6193" s="10"/>
      <c r="Y6193" s="10"/>
      <c r="Z6193" s="10"/>
    </row>
    <row r="6194" spans="1:26" ht="12.75">
      <c r="A6194" s="10" t="str">
        <f ca="1">IFERROR(__xludf.DUMMYFUNCTION("""COMPUTED_VALUE"""),"Пламен Николов Богданов")</f>
        <v>Пламен Николов Богданов</v>
      </c>
      <c r="B6194" s="10" t="str">
        <f ca="1">IFERROR(__xludf.DUMMYFUNCTION("""COMPUTED_VALUE"""),"Монография")</f>
        <v>Монография</v>
      </c>
      <c r="C6194" s="10" t="str">
        <f ca="1">IFERROR(__xludf.DUMMYFUNCTION("""COMPUTED_VALUE"""),"Операция „Съюзна сила” – въздушната война през 1999 г.")</f>
        <v>Операция „Съюзна сила” – въздушната война през 1999 г.</v>
      </c>
      <c r="D6194" s="10">
        <f ca="1">IFERROR(__xludf.DUMMYFUNCTION("""COMPUTED_VALUE"""),2019)</f>
        <v>2019</v>
      </c>
      <c r="E6194" s="10" t="str">
        <f ca="1">IFERROR(__xludf.DUMMYFUNCTION("""COMPUTED_VALUE"""),"Издателски комплекс на НВУ „Васил Левски”, Велико Търново, 2019 г., 202 страници, ISBN 978-954-753-295-3")</f>
        <v>Издателски комплекс на НВУ „Васил Левски”, Велико Търново, 2019 г., 202 страници, ISBN 978-954-753-295-3</v>
      </c>
      <c r="F6194" s="10"/>
      <c r="G6194" s="10"/>
      <c r="H6194" s="10"/>
      <c r="I6194" s="10"/>
      <c r="J6194" s="10"/>
      <c r="K6194" s="10"/>
      <c r="L6194" s="10"/>
      <c r="M6194" s="10"/>
      <c r="N6194" s="10"/>
      <c r="O6194" s="10"/>
      <c r="P6194" s="10"/>
      <c r="Q6194" s="10"/>
      <c r="R6194" s="10"/>
      <c r="S6194" s="10"/>
      <c r="T6194" s="10"/>
      <c r="U6194" s="10"/>
      <c r="V6194" s="10"/>
      <c r="W6194" s="10"/>
      <c r="X6194" s="10"/>
      <c r="Y6194" s="10"/>
      <c r="Z6194" s="10"/>
    </row>
    <row r="6195" spans="1:26" ht="12.75">
      <c r="A6195" s="10" t="str">
        <f ca="1">IFERROR(__xludf.DUMMYFUNCTION("""COMPUTED_VALUE"""),"Пламен Николов Богданов")</f>
        <v>Пламен Николов Богданов</v>
      </c>
      <c r="B6195" s="10" t="str">
        <f ca="1">IFERROR(__xludf.DUMMYFUNCTION("""COMPUTED_VALUE"""),"Доклад от конференция")</f>
        <v>Доклад от конференция</v>
      </c>
      <c r="C6195" s="10" t="str">
        <f ca="1">IFERROR(__xludf.DUMMYFUNCTION("""COMPUTED_VALUE"""),"Развитие на авиационното образование в България")</f>
        <v>Развитие на авиационното образование в България</v>
      </c>
      <c r="D6195" s="10">
        <f ca="1">IFERROR(__xludf.DUMMYFUNCTION("""COMPUTED_VALUE"""),2019)</f>
        <v>2019</v>
      </c>
      <c r="E6195" s="10" t="str">
        <f ca="1">IFERROR(__xludf.DUMMYFUNCTION("""COMPUTED_VALUE"""),"Сборник доклади от Научна конференция „Актуални проблеми на сигурността”, електронно издание, Издателски комплекс на НВУ „Васил Левски”, 2019, с.134-140, ISSN 2367-7473")</f>
        <v>Сборник доклади от Научна конференция „Актуални проблеми на сигурността”, електронно издание, Издателски комплекс на НВУ „Васил Левски”, 2019, с.134-140, ISSN 2367-7473</v>
      </c>
      <c r="F6195" s="10"/>
      <c r="G6195" s="10"/>
      <c r="H6195" s="10"/>
      <c r="I6195" s="10"/>
      <c r="J6195" s="10"/>
      <c r="K6195" s="10"/>
      <c r="L6195" s="10"/>
      <c r="M6195" s="10"/>
      <c r="N6195" s="10"/>
      <c r="O6195" s="10"/>
      <c r="P6195" s="10"/>
      <c r="Q6195" s="10"/>
      <c r="R6195" s="10"/>
      <c r="S6195" s="10"/>
      <c r="T6195" s="10"/>
      <c r="U6195" s="10"/>
      <c r="V6195" s="10"/>
      <c r="W6195" s="10"/>
      <c r="X6195" s="10"/>
      <c r="Y6195" s="10"/>
      <c r="Z6195" s="10"/>
    </row>
    <row r="6196" spans="1:26" ht="12.75">
      <c r="A6196" s="10" t="str">
        <f ca="1">IFERROR(__xludf.DUMMYFUNCTION("""COMPUTED_VALUE"""),"Пламен Николов Богданов")</f>
        <v>Пламен Николов Богданов</v>
      </c>
      <c r="B6196" s="10" t="str">
        <f ca="1">IFERROR(__xludf.DUMMYFUNCTION("""COMPUTED_VALUE"""),"Доклад от конференция")</f>
        <v>Доклад от конференция</v>
      </c>
      <c r="C6196" s="10" t="str">
        <f ca="1">IFERROR(__xludf.DUMMYFUNCTION("""COMPUTED_VALUE"""),"Възстановяване на авиационното образование в България")</f>
        <v>Възстановяване на авиационното образование в България</v>
      </c>
      <c r="D6196" s="10">
        <f ca="1">IFERROR(__xludf.DUMMYFUNCTION("""COMPUTED_VALUE"""),2019)</f>
        <v>2019</v>
      </c>
      <c r="E6196" s="10" t="str">
        <f ca="1">IFERROR(__xludf.DUMMYFUNCTION("""COMPUTED_VALUE"""),"Годишна университетска научна конференция на НВУ „В. Левски“, 27-28 юни 2019 г., том 6, Издателски комплекс на НВУ „В. Левски“, Велико Търново, 2019 г., ISSN 1314-1937")</f>
        <v>Годишна университетска научна конференция на НВУ „В. Левски“, 27-28 юни 2019 г., том 6, Издателски комплекс на НВУ „В. Левски“, Велико Търново, 2019 г., ISSN 1314-1937</v>
      </c>
      <c r="F6196" s="10"/>
      <c r="G6196" s="10"/>
      <c r="H6196" s="10"/>
      <c r="I6196" s="10"/>
      <c r="J6196" s="10"/>
      <c r="K6196" s="10"/>
      <c r="L6196" s="10"/>
      <c r="M6196" s="10"/>
      <c r="N6196" s="10"/>
      <c r="O6196" s="10"/>
      <c r="P6196" s="10"/>
      <c r="Q6196" s="10"/>
      <c r="R6196" s="10"/>
      <c r="S6196" s="10"/>
      <c r="T6196" s="10"/>
      <c r="U6196" s="10"/>
      <c r="V6196" s="10"/>
      <c r="W6196" s="10"/>
      <c r="X6196" s="10"/>
      <c r="Y6196" s="10"/>
      <c r="Z6196" s="10"/>
    </row>
    <row r="6197" spans="1:26" ht="12.75">
      <c r="A6197" s="10" t="str">
        <f ca="1">IFERROR(__xludf.DUMMYFUNCTION("""COMPUTED_VALUE"""),"Пламен Николов Богданов")</f>
        <v>Пламен Николов Богданов</v>
      </c>
      <c r="B6197" s="10" t="str">
        <f ca="1">IFERROR(__xludf.DUMMYFUNCTION("""COMPUTED_VALUE"""),"Статия в списания и поредици")</f>
        <v>Статия в списания и поредици</v>
      </c>
      <c r="C6197" s="10" t="str">
        <f ca="1">IFERROR(__xludf.DUMMYFUNCTION("""COMPUTED_VALUE"""),"Действия на военновъздушните сили в първата фаза на операция „Трайна свобода”")</f>
        <v>Действия на военновъздушните сили в първата фаза на операция „Трайна свобода”</v>
      </c>
      <c r="D6197" s="10">
        <f ca="1">IFERROR(__xludf.DUMMYFUNCTION("""COMPUTED_VALUE"""),2019)</f>
        <v>2019</v>
      </c>
      <c r="E6197" s="10" t="str">
        <f ca="1">IFERROR(__xludf.DUMMYFUNCTION("""COMPUTED_VALUE"""),"Годишник на НВУ „Васил Левски”, Част І, 2019, Издателски комплекс на НВУ „Васил Левски”, с.73-83, ISSN 1312-6148")</f>
        <v>Годишник на НВУ „Васил Левски”, Част І, 2019, Издателски комплекс на НВУ „Васил Левски”, с.73-83, ISSN 1312-6148</v>
      </c>
      <c r="F6197" s="10"/>
      <c r="G6197" s="10"/>
      <c r="H6197" s="10"/>
      <c r="I6197" s="10"/>
      <c r="J6197" s="10"/>
      <c r="K6197" s="10"/>
      <c r="L6197" s="10"/>
      <c r="M6197" s="10"/>
      <c r="N6197" s="10"/>
      <c r="O6197" s="10"/>
      <c r="P6197" s="10"/>
      <c r="Q6197" s="10"/>
      <c r="R6197" s="10"/>
      <c r="S6197" s="10"/>
      <c r="T6197" s="10"/>
      <c r="U6197" s="10"/>
      <c r="V6197" s="10"/>
      <c r="W6197" s="10"/>
      <c r="X6197" s="10"/>
      <c r="Y6197" s="10"/>
      <c r="Z6197" s="10"/>
    </row>
    <row r="6198" spans="1:26" ht="12.75">
      <c r="A6198" s="10" t="str">
        <f ca="1">IFERROR(__xludf.DUMMYFUNCTION("""COMPUTED_VALUE"""),"Пламен Николов Богданов")</f>
        <v>Пламен Николов Богданов</v>
      </c>
      <c r="B6198" s="10" t="str">
        <f ca="1">IFERROR(__xludf.DUMMYFUNCTION("""COMPUTED_VALUE"""),"Статия в списания и поредици")</f>
        <v>Статия в списания и поредици</v>
      </c>
      <c r="C6198" s="10" t="str">
        <f ca="1">IFERROR(__xludf.DUMMYFUNCTION("""COMPUTED_VALUE"""),"Wath Happened That Lead To The War In Kosovo")</f>
        <v>Wath Happened That Lead To The War In Kosovo</v>
      </c>
      <c r="D6198" s="10">
        <f ca="1">IFERROR(__xludf.DUMMYFUNCTION("""COMPUTED_VALUE"""),2019)</f>
        <v>2019</v>
      </c>
      <c r="E6198" s="10" t="str">
        <f ca="1">IFERROR(__xludf.DUMMYFUNCTION("""COMPUTED_VALUE"""),"Institute of Knowledge Management, Scientific Papers, Social Sciences, International Journal KNOWLEDGE, Vol.30. 6., Skopie, 2019 – ISSN 2545 – 4439, pages 1511 – 1516")</f>
        <v>Institute of Knowledge Management, Scientific Papers, Social Sciences, International Journal KNOWLEDGE, Vol.30. 6., Skopie, 2019 – ISSN 2545 – 4439, pages 1511 – 1516</v>
      </c>
      <c r="F6198" s="10"/>
      <c r="G6198" s="10"/>
      <c r="H6198" s="10"/>
      <c r="I6198" s="10"/>
      <c r="J6198" s="10"/>
      <c r="K6198" s="10"/>
      <c r="L6198" s="10"/>
      <c r="M6198" s="10"/>
      <c r="N6198" s="10"/>
      <c r="O6198" s="10"/>
      <c r="P6198" s="10"/>
      <c r="Q6198" s="10"/>
      <c r="R6198" s="10"/>
      <c r="S6198" s="10"/>
      <c r="T6198" s="10"/>
      <c r="U6198" s="10"/>
      <c r="V6198" s="10"/>
      <c r="W6198" s="10"/>
      <c r="X6198" s="10"/>
      <c r="Y6198" s="10"/>
      <c r="Z6198" s="10"/>
    </row>
    <row r="6199" spans="1:26" ht="12.75">
      <c r="A6199" s="10" t="str">
        <f ca="1">IFERROR(__xludf.DUMMYFUNCTION("""COMPUTED_VALUE"""),"Пламен Николов Богданов")</f>
        <v>Пламен Николов Богданов</v>
      </c>
      <c r="B6199" s="10" t="str">
        <f ca="1">IFERROR(__xludf.DUMMYFUNCTION("""COMPUTED_VALUE"""),"Статия в списания и поредици")</f>
        <v>Статия в списания и поредици</v>
      </c>
      <c r="C6199" s="10" t="str">
        <f ca="1">IFERROR(__xludf.DUMMYFUNCTION("""COMPUTED_VALUE"""),"Схващания за използването на авиацията в началото на ХХ век")</f>
        <v>Схващания за използването на авиацията в началото на ХХ век</v>
      </c>
      <c r="D6199" s="10">
        <f ca="1">IFERROR(__xludf.DUMMYFUNCTION("""COMPUTED_VALUE"""),2019)</f>
        <v>2019</v>
      </c>
      <c r="E6199" s="10" t="str">
        <f ca="1">IFERROR(__xludf.DUMMYFUNCTION("""COMPUTED_VALUE"""),"Годишник на НВУ „Васил Левски”, Част І, 2019, Издателски комплекс на НВУ „Васил Левски”, с.37-42, ISSN 1312-6148")</f>
        <v>Годишник на НВУ „Васил Левски”, Част І, 2019, Издателски комплекс на НВУ „Васил Левски”, с.37-42, ISSN 1312-6148</v>
      </c>
      <c r="F6199" s="10"/>
      <c r="G6199" s="10"/>
      <c r="H6199" s="10"/>
      <c r="I6199" s="10"/>
      <c r="J6199" s="10"/>
      <c r="K6199" s="10"/>
      <c r="L6199" s="10"/>
      <c r="M6199" s="10"/>
      <c r="N6199" s="10"/>
      <c r="O6199" s="10"/>
      <c r="P6199" s="10"/>
      <c r="Q6199" s="10"/>
      <c r="R6199" s="10"/>
      <c r="S6199" s="10"/>
      <c r="T6199" s="10"/>
      <c r="U6199" s="10"/>
      <c r="V6199" s="10"/>
      <c r="W6199" s="10"/>
      <c r="X6199" s="10"/>
      <c r="Y6199" s="10"/>
      <c r="Z6199" s="10"/>
    </row>
    <row r="6200" spans="1:26" ht="12.75">
      <c r="A6200" s="10" t="str">
        <f ca="1">IFERROR(__xludf.DUMMYFUNCTION("""COMPUTED_VALUE"""),"Пламен Николов Богданов")</f>
        <v>Пламен Николов Богданов</v>
      </c>
      <c r="B6200" s="10" t="str">
        <f ca="1">IFERROR(__xludf.DUMMYFUNCTION("""COMPUTED_VALUE"""),"Книга")</f>
        <v>Книга</v>
      </c>
      <c r="C6200" s="10" t="str">
        <f ca="1">IFERROR(__xludf.DUMMYFUNCTION("""COMPUTED_VALUE"""),"Експедиционни операции от края на ХХ и началото на ХХI")</f>
        <v>Експедиционни операции от края на ХХ и началото на ХХI</v>
      </c>
      <c r="D6200" s="10">
        <f ca="1">IFERROR(__xludf.DUMMYFUNCTION("""COMPUTED_VALUE"""),2019)</f>
        <v>2019</v>
      </c>
      <c r="E6200" s="10" t="str">
        <f ca="1">IFERROR(__xludf.DUMMYFUNCTION("""COMPUTED_VALUE"""),"Издателски комплекс на НВУ “Васил Левски“, 2019, с. 115, ISBN 978-954-753-288-5")</f>
        <v>Издателски комплекс на НВУ “Васил Левски“, 2019, с. 115, ISBN 978-954-753-288-5</v>
      </c>
      <c r="F6200" s="10"/>
      <c r="G6200" s="10"/>
      <c r="H6200" s="10"/>
      <c r="I6200" s="10"/>
      <c r="J6200" s="10"/>
      <c r="K6200" s="10"/>
      <c r="L6200" s="10"/>
      <c r="M6200" s="10"/>
      <c r="N6200" s="10"/>
      <c r="O6200" s="10"/>
      <c r="P6200" s="10"/>
      <c r="Q6200" s="10"/>
      <c r="R6200" s="10"/>
      <c r="S6200" s="10"/>
      <c r="T6200" s="10"/>
      <c r="U6200" s="10"/>
      <c r="V6200" s="10"/>
      <c r="W6200" s="10"/>
      <c r="X6200" s="10"/>
      <c r="Y6200" s="10"/>
      <c r="Z6200" s="10"/>
    </row>
    <row r="6201" spans="1:26" ht="12.75">
      <c r="A6201" s="10" t="str">
        <f ca="1">IFERROR(__xludf.DUMMYFUNCTION("""COMPUTED_VALUE"""),"Пламен Николов Богданов")</f>
        <v>Пламен Николов Богданов</v>
      </c>
      <c r="B6201" s="10" t="str">
        <f ca="1">IFERROR(__xludf.DUMMYFUNCTION("""COMPUTED_VALUE"""),"Статия в списания и поредици")</f>
        <v>Статия в списания и поредици</v>
      </c>
      <c r="C6201" s="10" t="str">
        <f ca="1">IFERROR(__xludf.DUMMYFUNCTION("""COMPUTED_VALUE"""),"Роля на маскировката, скриването и заблудата в операция „Съюзна сила“")</f>
        <v>Роля на маскировката, скриването и заблудата в операция „Съюзна сила“</v>
      </c>
      <c r="D6201" s="10">
        <f ca="1">IFERROR(__xludf.DUMMYFUNCTION("""COMPUTED_VALUE"""),2019)</f>
        <v>2019</v>
      </c>
      <c r="E6201" s="10" t="str">
        <f ca="1">IFERROR(__xludf.DUMMYFUNCTION("""COMPUTED_VALUE"""),"Годишник на НВУ „Васил Левски”, Част І, 2019, Издателски комплекс на НВУ „Васил Левски”, с.53-62, ISSN 1312-6148")</f>
        <v>Годишник на НВУ „Васил Левски”, Част І, 2019, Издателски комплекс на НВУ „Васил Левски”, с.53-62, ISSN 1312-6148</v>
      </c>
      <c r="F6201" s="10"/>
      <c r="G6201" s="10"/>
      <c r="H6201" s="10"/>
      <c r="I6201" s="10"/>
      <c r="J6201" s="10"/>
      <c r="K6201" s="10"/>
      <c r="L6201" s="10"/>
      <c r="M6201" s="10"/>
      <c r="N6201" s="10"/>
      <c r="O6201" s="10"/>
      <c r="P6201" s="10"/>
      <c r="Q6201" s="10"/>
      <c r="R6201" s="10"/>
      <c r="S6201" s="10"/>
      <c r="T6201" s="10"/>
      <c r="U6201" s="10"/>
      <c r="V6201" s="10"/>
      <c r="W6201" s="10"/>
      <c r="X6201" s="10"/>
      <c r="Y6201" s="10"/>
      <c r="Z6201" s="10"/>
    </row>
    <row r="6202" spans="1:26" ht="12.75">
      <c r="A6202" s="10" t="str">
        <f ca="1">IFERROR(__xludf.DUMMYFUNCTION("""COMPUTED_VALUE"""),"Пламен Николов Богданов")</f>
        <v>Пламен Николов Богданов</v>
      </c>
      <c r="B6202" s="10" t="str">
        <f ca="1">IFERROR(__xludf.DUMMYFUNCTION("""COMPUTED_VALUE"""),"Доклад от конференция")</f>
        <v>Доклад от конференция</v>
      </c>
      <c r="C6202" s="10" t="str">
        <f ca="1">IFERROR(__xludf.DUMMYFUNCTION("""COMPUTED_VALUE"""),"Авиационното образование в условията на глобализация")</f>
        <v>Авиационното образование в условията на глобализация</v>
      </c>
      <c r="D6202" s="10">
        <f ca="1">IFERROR(__xludf.DUMMYFUNCTION("""COMPUTED_VALUE"""),2019)</f>
        <v>2019</v>
      </c>
      <c r="E6202" s="10" t="str">
        <f ca="1">IFERROR(__xludf.DUMMYFUNCTION("""COMPUTED_VALUE"""),"Сборник с научни доклади от третата и четвъртата научна конференция с международно участие „Единно европейско въздушно пространство - същност и предизвикателства пред въздушния суверенитет и бизнеса“, 2018 г., издават Фондация „Български криле“ и Еър Груп"&amp;" 2000 ЕООД, ISBN 978-954-752-190-2")</f>
        <v>Сборник с научни доклади от третата и четвъртата научна конференция с международно участие „Единно европейско въздушно пространство - същност и предизвикателства пред въздушния суверенитет и бизнеса“, 2018 г., издават Фондация „Български криле“ и Еър Груп 2000 ЕООД, ISBN 978-954-752-190-2</v>
      </c>
      <c r="F6202" s="10"/>
      <c r="G6202" s="10"/>
      <c r="H6202" s="10"/>
      <c r="I6202" s="10"/>
      <c r="J6202" s="10"/>
      <c r="K6202" s="10"/>
      <c r="L6202" s="10"/>
      <c r="M6202" s="10"/>
      <c r="N6202" s="10"/>
      <c r="O6202" s="10"/>
      <c r="P6202" s="10"/>
      <c r="Q6202" s="10"/>
      <c r="R6202" s="10"/>
      <c r="S6202" s="10"/>
      <c r="T6202" s="10"/>
      <c r="U6202" s="10"/>
      <c r="V6202" s="10"/>
      <c r="W6202" s="10"/>
      <c r="X6202" s="10"/>
      <c r="Y6202" s="10"/>
      <c r="Z6202" s="10"/>
    </row>
    <row r="6203" spans="1:26" ht="12.75">
      <c r="A6203" s="10" t="str">
        <f ca="1">IFERROR(__xludf.DUMMYFUNCTION("""COMPUTED_VALUE"""),"Пламен Николов Богданов")</f>
        <v>Пламен Николов Богданов</v>
      </c>
      <c r="B6203" s="10" t="str">
        <f ca="1">IFERROR(__xludf.DUMMYFUNCTION("""COMPUTED_VALUE"""),"Статия в списания и поредици")</f>
        <v>Статия в списания и поредици</v>
      </c>
      <c r="C6203" s="10" t="str">
        <f ca="1">IFERROR(__xludf.DUMMYFUNCTION("""COMPUTED_VALUE"""),"Развитие на схващанията за мисийно командване")</f>
        <v>Развитие на схващанията за мисийно командване</v>
      </c>
      <c r="D6203" s="10">
        <f ca="1">IFERROR(__xludf.DUMMYFUNCTION("""COMPUTED_VALUE"""),2019)</f>
        <v>2019</v>
      </c>
      <c r="E6203" s="10" t="str">
        <f ca="1">IFERROR(__xludf.DUMMYFUNCTION("""COMPUTED_VALUE"""),"Годишник на НВУ „Васил Левски”, Част І, 2019, Издателски комплекс на НВУ „Васил Левски”, с.43-52, ISSN 1312-6148")</f>
        <v>Годишник на НВУ „Васил Левски”, Част І, 2019, Издателски комплекс на НВУ „Васил Левски”, с.43-52, ISSN 1312-6148</v>
      </c>
      <c r="F6203" s="10"/>
      <c r="G6203" s="10"/>
      <c r="H6203" s="10"/>
      <c r="I6203" s="10"/>
      <c r="J6203" s="10"/>
      <c r="K6203" s="10"/>
      <c r="L6203" s="10"/>
      <c r="M6203" s="10"/>
      <c r="N6203" s="10"/>
      <c r="O6203" s="10"/>
      <c r="P6203" s="10"/>
      <c r="Q6203" s="10"/>
      <c r="R6203" s="10"/>
      <c r="S6203" s="10"/>
      <c r="T6203" s="10"/>
      <c r="U6203" s="10"/>
      <c r="V6203" s="10"/>
      <c r="W6203" s="10"/>
      <c r="X6203" s="10"/>
      <c r="Y6203" s="10"/>
      <c r="Z6203" s="10"/>
    </row>
    <row r="6204" spans="1:26" ht="12.75">
      <c r="A6204" s="10" t="str">
        <f ca="1">IFERROR(__xludf.DUMMYFUNCTION("""COMPUTED_VALUE"""),"Пламен Николов Богданов")</f>
        <v>Пламен Николов Богданов</v>
      </c>
      <c r="B6204" s="10" t="str">
        <f ca="1">IFERROR(__xludf.DUMMYFUNCTION("""COMPUTED_VALUE"""),"Доклад от конференция")</f>
        <v>Доклад от конференция</v>
      </c>
      <c r="C6204" s="10" t="str">
        <f ca="1">IFERROR(__xludf.DUMMYFUNCTION("""COMPUTED_VALUE"""),"Проблеми на развръщането на силите на НАТО за участие в операция ""Съюзна сила""")</f>
        <v>Проблеми на развръщането на силите на НАТО за участие в операция "Съюзна сила"</v>
      </c>
      <c r="D6204" s="10">
        <f ca="1">IFERROR(__xludf.DUMMYFUNCTION("""COMPUTED_VALUE"""),2019)</f>
        <v>2019</v>
      </c>
      <c r="E6204" s="10" t="str">
        <f ca="1">IFERROR(__xludf.DUMMYFUNCTION("""COMPUTED_VALUE"""),"Сборник доклади от научна конференция ""Въздушния суверенитет и единно европейско въздушно пространство"", 9 октомври 2019, Издател Военна академия ""Георги Стойков Раковски"", София, 2019, стр. 70-77, ISBN 978-619-7478-36-5")</f>
        <v>Сборник доклади от научна конференция "Въздушния суверенитет и единно европейско въздушно пространство", 9 октомври 2019, Издател Военна академия "Георги Стойков Раковски", София, 2019, стр. 70-77, ISBN 978-619-7478-36-5</v>
      </c>
      <c r="F6204" s="10"/>
      <c r="G6204" s="10"/>
      <c r="H6204" s="10"/>
      <c r="I6204" s="10"/>
      <c r="J6204" s="10"/>
      <c r="K6204" s="10"/>
      <c r="L6204" s="10"/>
      <c r="M6204" s="10"/>
      <c r="N6204" s="10"/>
      <c r="O6204" s="10"/>
      <c r="P6204" s="10"/>
      <c r="Q6204" s="10"/>
      <c r="R6204" s="10"/>
      <c r="S6204" s="10"/>
      <c r="T6204" s="10"/>
      <c r="U6204" s="10"/>
      <c r="V6204" s="10"/>
      <c r="W6204" s="10"/>
      <c r="X6204" s="10"/>
      <c r="Y6204" s="10"/>
      <c r="Z6204" s="10"/>
    </row>
    <row r="6205" spans="1:26" ht="12.75">
      <c r="A6205" s="10" t="str">
        <f ca="1">IFERROR(__xludf.DUMMYFUNCTION("""COMPUTED_VALUE"""),"Пламен Николов Богданов")</f>
        <v>Пламен Николов Богданов</v>
      </c>
      <c r="B6205" s="10" t="str">
        <f ca="1">IFERROR(__xludf.DUMMYFUNCTION("""COMPUTED_VALUE"""),"Доклад от конференция")</f>
        <v>Доклад от конференция</v>
      </c>
      <c r="C6205" s="10" t="str">
        <f ca="1">IFERROR(__xludf.DUMMYFUNCTION("""COMPUTED_VALUE"""),"Основи на способностите на Военновъздушните сили")</f>
        <v>Основи на способностите на Военновъздушните сили</v>
      </c>
      <c r="D6205" s="10">
        <f ca="1">IFERROR(__xludf.DUMMYFUNCTION("""COMPUTED_VALUE"""),2019)</f>
        <v>2019</v>
      </c>
      <c r="E6205" s="10" t="str">
        <f ca="1">IFERROR(__xludf.DUMMYFUNCTION("""COMPUTED_VALUE"""),"Сборник доклади от научна конференция ""Въздушния суверенитет и единно европейско въздушно пространство"", 9 октомври 2019, Издател Военна академия ""Георги Стойков Раковски"", София, 2019, стр. 61-69, ISBN 978-619-7478-36-5")</f>
        <v>Сборник доклади от научна конференция "Въздушния суверенитет и единно европейско въздушно пространство", 9 октомври 2019, Издател Военна академия "Георги Стойков Раковски", София, 2019, стр. 61-69, ISBN 978-619-7478-36-5</v>
      </c>
      <c r="F6205" s="10"/>
      <c r="G6205" s="10"/>
      <c r="H6205" s="10"/>
      <c r="I6205" s="10"/>
      <c r="J6205" s="10"/>
      <c r="K6205" s="10"/>
      <c r="L6205" s="10"/>
      <c r="M6205" s="10"/>
      <c r="N6205" s="10"/>
      <c r="O6205" s="10"/>
      <c r="P6205" s="10"/>
      <c r="Q6205" s="10"/>
      <c r="R6205" s="10"/>
      <c r="S6205" s="10"/>
      <c r="T6205" s="10"/>
      <c r="U6205" s="10"/>
      <c r="V6205" s="10"/>
      <c r="W6205" s="10"/>
      <c r="X6205" s="10"/>
      <c r="Y6205" s="10"/>
      <c r="Z6205" s="10"/>
    </row>
    <row r="6206" spans="1:26" ht="12.75">
      <c r="A6206" s="10" t="str">
        <f ca="1">IFERROR(__xludf.DUMMYFUNCTION("""COMPUTED_VALUE"""),"Пламен Николов Богданов")</f>
        <v>Пламен Николов Богданов</v>
      </c>
      <c r="B6206" s="10" t="str">
        <f ca="1">IFERROR(__xludf.DUMMYFUNCTION("""COMPUTED_VALUE"""),"Статия в списания и поредици")</f>
        <v>Статия в списания и поредици</v>
      </c>
      <c r="C6206" s="10" t="str">
        <f ca="1">IFERROR(__xludf.DUMMYFUNCTION("""COMPUTED_VALUE"""),"Действия на военновъздушните сили в операция „Пустинна буря“")</f>
        <v>Действия на военновъздушните сили в операция „Пустинна буря“</v>
      </c>
      <c r="D6206" s="10">
        <f ca="1">IFERROR(__xludf.DUMMYFUNCTION("""COMPUTED_VALUE"""),2019)</f>
        <v>2019</v>
      </c>
      <c r="E6206" s="10" t="str">
        <f ca="1">IFERROR(__xludf.DUMMYFUNCTION("""COMPUTED_VALUE"""),"Годишник на НВУ „Васил Левски”, Част І, 2019, Издателски комплекс на НВУ „Васил Левски”, с.63-72, ISSN 1312-6148")</f>
        <v>Годишник на НВУ „Васил Левски”, Част І, 2019, Издателски комплекс на НВУ „Васил Левски”, с.63-72, ISSN 1312-6148</v>
      </c>
      <c r="F6206" s="10"/>
      <c r="G6206" s="10"/>
      <c r="H6206" s="10"/>
      <c r="I6206" s="10"/>
      <c r="J6206" s="10"/>
      <c r="K6206" s="10"/>
      <c r="L6206" s="10"/>
      <c r="M6206" s="10"/>
      <c r="N6206" s="10"/>
      <c r="O6206" s="10"/>
      <c r="P6206" s="10"/>
      <c r="Q6206" s="10"/>
      <c r="R6206" s="10"/>
      <c r="S6206" s="10"/>
      <c r="T6206" s="10"/>
      <c r="U6206" s="10"/>
      <c r="V6206" s="10"/>
      <c r="W6206" s="10"/>
      <c r="X6206" s="10"/>
      <c r="Y6206" s="10"/>
      <c r="Z6206" s="10"/>
    </row>
    <row r="6207" spans="1:26" ht="12.75">
      <c r="A6207" s="10" t="str">
        <f ca="1">IFERROR(__xludf.DUMMYFUNCTION("""COMPUTED_VALUE"""),"Пламен Николов Богданов")</f>
        <v>Пламен Николов Богданов</v>
      </c>
      <c r="B6207" s="10" t="str">
        <f ca="1">IFERROR(__xludf.DUMMYFUNCTION("""COMPUTED_VALUE"""),"Статия в списания и поредици")</f>
        <v>Статия в списания и поредици</v>
      </c>
      <c r="C6207" s="10" t="str">
        <f ca="1">IFERROR(__xludf.DUMMYFUNCTION("""COMPUTED_VALUE"""),"Opportunities for strategic development of small business in Bulgaria")</f>
        <v>Opportunities for strategic development of small business in Bulgaria</v>
      </c>
      <c r="D6207" s="10">
        <f ca="1">IFERROR(__xludf.DUMMYFUNCTION("""COMPUTED_VALUE"""),2017)</f>
        <v>2017</v>
      </c>
      <c r="E6207" s="10" t="str">
        <f ca="1">IFERROR(__xludf.DUMMYFUNCTION("""COMPUTED_VALUE"""),"IJAEDU- International E-Journal of Advances in Social Sciences, International Organization Center of Academic Research, www.ocerint.org, 3, 2017, N 9, pp. 903-908, (INT) e-ISSN: 2411-183X")</f>
        <v>IJAEDU- International E-Journal of Advances in Social Sciences, International Organization Center of Academic Research, www.ocerint.org, 3, 2017, N 9, pp. 903-908, (INT) e-ISSN: 2411-183X</v>
      </c>
      <c r="F6207" s="10"/>
      <c r="G6207" s="10" t="str">
        <f ca="1">IFERROR(__xludf.DUMMYFUNCTION("""COMPUTED_VALUE"""),"Венелин Терзиев, Николай Ничев, Евгени Стоянов, Марин Георгиев")</f>
        <v>Венелин Терзиев, Николай Ничев, Евгени Стоянов, Марин Георгиев</v>
      </c>
      <c r="H6207" s="10"/>
      <c r="I6207" s="10"/>
      <c r="J6207" s="10"/>
      <c r="K6207" s="10"/>
      <c r="L6207" s="10"/>
      <c r="M6207" s="10"/>
      <c r="N6207" s="10"/>
      <c r="O6207" s="10"/>
      <c r="P6207" s="10"/>
      <c r="Q6207" s="10"/>
      <c r="R6207" s="10"/>
      <c r="S6207" s="10"/>
      <c r="T6207" s="10"/>
      <c r="U6207" s="10"/>
      <c r="V6207" s="10"/>
      <c r="W6207" s="10"/>
      <c r="X6207" s="10"/>
      <c r="Y6207" s="10"/>
      <c r="Z6207" s="10"/>
    </row>
    <row r="6208" spans="1:26" ht="12.75">
      <c r="A6208" s="10" t="str">
        <f ca="1">IFERROR(__xludf.DUMMYFUNCTION("""COMPUTED_VALUE"""),"Пламен Николов Богданов")</f>
        <v>Пламен Николов Богданов</v>
      </c>
      <c r="B6208" s="10" t="str">
        <f ca="1">IFERROR(__xludf.DUMMYFUNCTION("""COMPUTED_VALUE"""),"Статия в списания и поредици")</f>
        <v>Статия в списания и поредици</v>
      </c>
      <c r="C6208" s="10" t="str">
        <f ca="1">IFERROR(__xludf.DUMMYFUNCTION("""COMPUTED_VALUE"""),"Comparative analysis of the formation of military professional skills in the cadets to be trained in logistics specializations")</f>
        <v>Comparative analysis of the formation of military professional skills in the cadets to be trained in logistics specializations</v>
      </c>
      <c r="D6208" s="10">
        <f ca="1">IFERROR(__xludf.DUMMYFUNCTION("""COMPUTED_VALUE"""),2017)</f>
        <v>2017</v>
      </c>
      <c r="E6208" s="10" t="str">
        <f ca="1">IFERROR(__xludf.DUMMYFUNCTION("""COMPUTED_VALUE"""),"IJAEDU- International E-Journal of Advances in Education, International Organization Center of Academic Research, www.ocerint.org, 3, 2017, N 9, pp. 469-475, (INT) e-ISSN: 2411-1821")</f>
        <v>IJAEDU- International E-Journal of Advances in Education, International Organization Center of Academic Research, www.ocerint.org, 3, 2017, N 9, pp. 469-475, (INT) e-ISSN: 2411-1821</v>
      </c>
      <c r="F6208" s="10"/>
      <c r="G6208" s="10" t="str">
        <f ca="1">IFERROR(__xludf.DUMMYFUNCTION("""COMPUTED_VALUE"""),"Венелин Терзиев, Николай Ничев")</f>
        <v>Венелин Терзиев, Николай Ничев</v>
      </c>
      <c r="H6208" s="10"/>
      <c r="I6208" s="10"/>
      <c r="J6208" s="10"/>
      <c r="K6208" s="10"/>
      <c r="L6208" s="10"/>
      <c r="M6208" s="10"/>
      <c r="N6208" s="10"/>
      <c r="O6208" s="10"/>
      <c r="P6208" s="10"/>
      <c r="Q6208" s="10"/>
      <c r="R6208" s="10"/>
      <c r="S6208" s="10"/>
      <c r="T6208" s="10"/>
      <c r="U6208" s="10"/>
      <c r="V6208" s="10"/>
      <c r="W6208" s="10"/>
      <c r="X6208" s="10"/>
      <c r="Y6208" s="10"/>
      <c r="Z6208" s="10"/>
    </row>
    <row r="6209" spans="1:26" ht="12.75">
      <c r="A6209" s="10" t="str">
        <f ca="1">IFERROR(__xludf.DUMMYFUNCTION("""COMPUTED_VALUE"""),"Пламен Николов Богданов")</f>
        <v>Пламен Николов Богданов</v>
      </c>
      <c r="B6209" s="10" t="str">
        <f ca="1">IFERROR(__xludf.DUMMYFUNCTION("""COMPUTED_VALUE"""),"Доклад от конференция")</f>
        <v>Доклад от конференция</v>
      </c>
      <c r="C6209" s="10" t="str">
        <f ca="1">IFERROR(__xludf.DUMMYFUNCTION("""COMPUTED_VALUE"""),"Prospects for development of higher education in Bulgaria")</f>
        <v>Prospects for development of higher education in Bulgaria</v>
      </c>
      <c r="D6209" s="10">
        <f ca="1">IFERROR(__xludf.DUMMYFUNCTION("""COMPUTED_VALUE"""),2017)</f>
        <v>2017</v>
      </c>
      <c r="E6209" s="10" t="str">
        <f ca="1">IFERROR(__xludf.DUMMYFUNCTION("""COMPUTED_VALUE"""),"Proceedings of ADVED 2017- 3rd International Conference on Advances in Education and Social Sciences 9-11 October 2017- Istanbul, Turkey, 2017, ISBN: 978-605-82433-0-9, pp.678-689")</f>
        <v>Proceedings of ADVED 2017- 3rd International Conference on Advances in Education and Social Sciences 9-11 October 2017- Istanbul, Turkey, 2017, ISBN: 978-605-82433-0-9, pp.678-689</v>
      </c>
      <c r="F6209" s="10" t="str">
        <f ca="1">IFERROR(__xludf.DUMMYFUNCTION("""COMPUTED_VALUE"""),"WoS")</f>
        <v>WoS</v>
      </c>
      <c r="G6209" s="10" t="str">
        <f ca="1">IFERROR(__xludf.DUMMYFUNCTION("""COMPUTED_VALUE"""),"Венелин Терзиев, Николай Ничев")</f>
        <v>Венелин Терзиев, Николай Ничев</v>
      </c>
      <c r="H6209" s="10"/>
      <c r="I6209" s="10"/>
      <c r="J6209" s="10"/>
      <c r="K6209" s="10"/>
      <c r="L6209" s="10"/>
      <c r="M6209" s="10"/>
      <c r="N6209" s="10"/>
      <c r="O6209" s="10"/>
      <c r="P6209" s="10"/>
      <c r="Q6209" s="10"/>
      <c r="R6209" s="10"/>
      <c r="S6209" s="10"/>
      <c r="T6209" s="10"/>
      <c r="U6209" s="10"/>
      <c r="V6209" s="10"/>
      <c r="W6209" s="10"/>
      <c r="X6209" s="10"/>
      <c r="Y6209" s="10"/>
      <c r="Z6209" s="10"/>
    </row>
    <row r="6210" spans="1:26" ht="12.75">
      <c r="A6210" s="10" t="str">
        <f ca="1">IFERROR(__xludf.DUMMYFUNCTION("""COMPUTED_VALUE"""),"Пламен Николов Богданов")</f>
        <v>Пламен Николов Богданов</v>
      </c>
      <c r="B6210" s="10" t="str">
        <f ca="1">IFERROR(__xludf.DUMMYFUNCTION("""COMPUTED_VALUE"""),"Доклад от конференция")</f>
        <v>Доклад от конференция</v>
      </c>
      <c r="C6210" s="10" t="str">
        <f ca="1">IFERROR(__xludf.DUMMYFUNCTION("""COMPUTED_VALUE"""),"Comparative analysis of the formation of military professional skills in the cadets to be trained in logistics specializations")</f>
        <v>Comparative analysis of the formation of military professional skills in the cadets to be trained in logistics specializations</v>
      </c>
      <c r="D6210" s="10">
        <f ca="1">IFERROR(__xludf.DUMMYFUNCTION("""COMPUTED_VALUE"""),2017)</f>
        <v>2017</v>
      </c>
      <c r="E6210" s="10" t="str">
        <f ca="1">IFERROR(__xludf.DUMMYFUNCTION("""COMPUTED_VALUE"""),"Proceedings of ADVED 2017- 3rd International Conference on Advances in Education and Social Sciences 9-11 October 2017- Istanbul, Turkey, 2017, ISBN: 978-605-82433-0-9, pp.671-677")</f>
        <v>Proceedings of ADVED 2017- 3rd International Conference on Advances in Education and Social Sciences 9-11 October 2017- Istanbul, Turkey, 2017, ISBN: 978-605-82433-0-9, pp.671-677</v>
      </c>
      <c r="F6210" s="10" t="str">
        <f ca="1">IFERROR(__xludf.DUMMYFUNCTION("""COMPUTED_VALUE"""),"WoS")</f>
        <v>WoS</v>
      </c>
      <c r="G6210" s="10" t="str">
        <f ca="1">IFERROR(__xludf.DUMMYFUNCTION("""COMPUTED_VALUE"""),"Венелин Терзиев, Николай Ничев")</f>
        <v>Венелин Терзиев, Николай Ничев</v>
      </c>
      <c r="H6210" s="10"/>
      <c r="I6210" s="10"/>
      <c r="J6210" s="10"/>
      <c r="K6210" s="10"/>
      <c r="L6210" s="10"/>
      <c r="M6210" s="10"/>
      <c r="N6210" s="10"/>
      <c r="O6210" s="10"/>
      <c r="P6210" s="10"/>
      <c r="Q6210" s="10"/>
      <c r="R6210" s="10"/>
      <c r="S6210" s="10"/>
      <c r="T6210" s="10"/>
      <c r="U6210" s="10"/>
      <c r="V6210" s="10"/>
      <c r="W6210" s="10"/>
      <c r="X6210" s="10"/>
      <c r="Y6210" s="10"/>
      <c r="Z6210" s="10"/>
    </row>
    <row r="6211" spans="1:26" ht="12.75">
      <c r="A6211" s="10" t="str">
        <f ca="1">IFERROR(__xludf.DUMMYFUNCTION("""COMPUTED_VALUE"""),"Пламен Николов Богданов")</f>
        <v>Пламен Николов Богданов</v>
      </c>
      <c r="B6211" s="10" t="str">
        <f ca="1">IFERROR(__xludf.DUMMYFUNCTION("""COMPUTED_VALUE"""),"Статия в списания и поредици")</f>
        <v>Статия в списания и поредици</v>
      </c>
      <c r="C6211" s="10" t="str">
        <f ca="1">IFERROR(__xludf.DUMMYFUNCTION("""COMPUTED_VALUE"""),"Prospects for development of higher education in Bulgaria")</f>
        <v>Prospects for development of higher education in Bulgaria</v>
      </c>
      <c r="D6211" s="10">
        <f ca="1">IFERROR(__xludf.DUMMYFUNCTION("""COMPUTED_VALUE"""),2017)</f>
        <v>2017</v>
      </c>
      <c r="E6211" s="10" t="str">
        <f ca="1">IFERROR(__xludf.DUMMYFUNCTION("""COMPUTED_VALUE"""),"IJAEDU- International E-Journal of Advances in Education, International Organization Center of Academic Research, www.ocerint.org, 3, 2017, N 9, pp. 438-449, (INT) e-ISSN: 2411-1821")</f>
        <v>IJAEDU- International E-Journal of Advances in Education, International Organization Center of Academic Research, www.ocerint.org, 3, 2017, N 9, pp. 438-449, (INT) e-ISSN: 2411-1821</v>
      </c>
      <c r="F6211" s="10"/>
      <c r="G6211" s="10" t="str">
        <f ca="1">IFERROR(__xludf.DUMMYFUNCTION("""COMPUTED_VALUE"""),"Венелин Терзиев, Николай Ничев")</f>
        <v>Венелин Терзиев, Николай Ничев</v>
      </c>
      <c r="H6211" s="10"/>
      <c r="I6211" s="10"/>
      <c r="J6211" s="10"/>
      <c r="K6211" s="10"/>
      <c r="L6211" s="10"/>
      <c r="M6211" s="10"/>
      <c r="N6211" s="10"/>
      <c r="O6211" s="10"/>
      <c r="P6211" s="10"/>
      <c r="Q6211" s="10"/>
      <c r="R6211" s="10"/>
      <c r="S6211" s="10"/>
      <c r="T6211" s="10"/>
      <c r="U6211" s="10"/>
      <c r="V6211" s="10"/>
      <c r="W6211" s="10"/>
      <c r="X6211" s="10"/>
      <c r="Y6211" s="10"/>
      <c r="Z6211" s="10"/>
    </row>
    <row r="6212" spans="1:26" ht="12.75">
      <c r="A6212" s="10" t="str">
        <f ca="1">IFERROR(__xludf.DUMMYFUNCTION("""COMPUTED_VALUE"""),"Пламен Николов Богданов")</f>
        <v>Пламен Николов Богданов</v>
      </c>
      <c r="B6212" s="10" t="str">
        <f ca="1">IFERROR(__xludf.DUMMYFUNCTION("""COMPUTED_VALUE"""),"Доклад от конференция")</f>
        <v>Доклад от конференция</v>
      </c>
      <c r="C6212" s="10" t="str">
        <f ca="1">IFERROR(__xludf.DUMMYFUNCTION("""COMPUTED_VALUE"""),"Opportunities for strategic development of small business in Bulgaria")</f>
        <v>Opportunities for strategic development of small business in Bulgaria</v>
      </c>
      <c r="D6212" s="10">
        <f ca="1">IFERROR(__xludf.DUMMYFUNCTION("""COMPUTED_VALUE"""),2017)</f>
        <v>2017</v>
      </c>
      <c r="E6212" s="10" t="str">
        <f ca="1">IFERROR(__xludf.DUMMYFUNCTION("""COMPUTED_VALUE"""),"Proceedings of ADVED 2017- 3rd International Conference on Advances in Education and Social Sciences 9-11 October 2017- Istanbul, Turkey, 2017, ISBN: 978-605-82433-0-9, pp.701-706")</f>
        <v>Proceedings of ADVED 2017- 3rd International Conference on Advances in Education and Social Sciences 9-11 October 2017- Istanbul, Turkey, 2017, ISBN: 978-605-82433-0-9, pp.701-706</v>
      </c>
      <c r="F6212" s="10" t="str">
        <f ca="1">IFERROR(__xludf.DUMMYFUNCTION("""COMPUTED_VALUE"""),"WoS")</f>
        <v>WoS</v>
      </c>
      <c r="G6212" s="10" t="str">
        <f ca="1">IFERROR(__xludf.DUMMYFUNCTION("""COMPUTED_VALUE"""),"Венелин Терзиев, Николай Ничев, Евгени Стоянов, Марин Георгиев")</f>
        <v>Венелин Терзиев, Николай Ничев, Евгени Стоянов, Марин Георгиев</v>
      </c>
      <c r="H6212" s="10"/>
      <c r="I6212" s="10"/>
      <c r="J6212" s="10"/>
      <c r="K6212" s="10"/>
      <c r="L6212" s="10"/>
      <c r="M6212" s="10"/>
      <c r="N6212" s="10"/>
      <c r="O6212" s="10"/>
      <c r="P6212" s="10"/>
      <c r="Q6212" s="10"/>
      <c r="R6212" s="10"/>
      <c r="S6212" s="10"/>
      <c r="T6212" s="10"/>
      <c r="U6212" s="10"/>
      <c r="V6212" s="10"/>
      <c r="W6212" s="10"/>
      <c r="X6212" s="10"/>
      <c r="Y6212" s="10"/>
      <c r="Z6212" s="10"/>
    </row>
    <row r="6213" spans="1:26" ht="12.75">
      <c r="A6213" s="10" t="str">
        <f ca="1">IFERROR(__xludf.DUMMYFUNCTION("""COMPUTED_VALUE"""),"Пламен Николов Богданов")</f>
        <v>Пламен Николов Богданов</v>
      </c>
      <c r="B6213" s="10" t="str">
        <f ca="1">IFERROR(__xludf.DUMMYFUNCTION("""COMPUTED_VALUE"""),"Статия в списания и поредици")</f>
        <v>Статия в списания и поредици</v>
      </c>
      <c r="C6213" s="10" t="str">
        <f ca="1">IFERROR(__xludf.DUMMYFUNCTION("""COMPUTED_VALUE"""),"Operation Just Cause – Conclusions")</f>
        <v>Operation Just Cause – Conclusions</v>
      </c>
      <c r="D6213" s="10">
        <f ca="1">IFERROR(__xludf.DUMMYFUNCTION("""COMPUTED_VALUE"""),2016)</f>
        <v>2016</v>
      </c>
      <c r="E6213" s="10" t="str">
        <f ca="1">IFERROR(__xludf.DUMMYFUNCTION("""COMPUTED_VALUE"""),"Collection of scientific articles- Actual problems of globalization, Scientific journal «Economics and finance», Midas S.A., Thessaloniki, Greece 2016, pp. 6-12, ISBN 978-617-7214-34-1")</f>
        <v>Collection of scientific articles- Actual problems of globalization, Scientific journal «Economics and finance», Midas S.A., Thessaloniki, Greece 2016, pp. 6-12, ISBN 978-617-7214-34-1</v>
      </c>
      <c r="F6213" s="10"/>
      <c r="G6213" s="10"/>
      <c r="H6213" s="10"/>
      <c r="I6213" s="10"/>
      <c r="J6213" s="10"/>
      <c r="K6213" s="10"/>
      <c r="L6213" s="10"/>
      <c r="M6213" s="10"/>
      <c r="N6213" s="10"/>
      <c r="O6213" s="10"/>
      <c r="P6213" s="10"/>
      <c r="Q6213" s="10"/>
      <c r="R6213" s="10"/>
      <c r="S6213" s="10"/>
      <c r="T6213" s="10"/>
      <c r="U6213" s="10"/>
      <c r="V6213" s="10"/>
      <c r="W6213" s="10"/>
      <c r="X6213" s="10"/>
      <c r="Y6213" s="10"/>
      <c r="Z6213" s="10"/>
    </row>
    <row r="6214" spans="1:26" ht="12.75">
      <c r="A6214" s="10" t="str">
        <f ca="1">IFERROR(__xludf.DUMMYFUNCTION("""COMPUTED_VALUE"""),"Пламен Николов Богданов")</f>
        <v>Пламен Николов Богданов</v>
      </c>
      <c r="B6214" s="10" t="str">
        <f ca="1">IFERROR(__xludf.DUMMYFUNCTION("""COMPUTED_VALUE"""),"Доклад от конференция")</f>
        <v>Доклад от конференция</v>
      </c>
      <c r="C6214" s="10" t="str">
        <f ca="1">IFERROR(__xludf.DUMMYFUNCTION("""COMPUTED_VALUE"""),"Air Power – Today and Tomorrow")</f>
        <v>Air Power – Today and Tomorrow</v>
      </c>
      <c r="D6214" s="10">
        <f ca="1">IFERROR(__xludf.DUMMYFUNCTION("""COMPUTED_VALUE"""),2016)</f>
        <v>2016</v>
      </c>
      <c r="E6214" s="10" t="str">
        <f ca="1">IFERROR(__xludf.DUMMYFUNCTION("""COMPUTED_VALUE"""),"Tenth international scientific conference: The power of knowledge 7-9.10.2016, Agia Triada, Greece, IKM – Skopje, 14, 2016, N 1, pp. 331-336, ISSN 1857-92")</f>
        <v>Tenth international scientific conference: The power of knowledge 7-9.10.2016, Agia Triada, Greece, IKM – Skopje, 14, 2016, N 1, pp. 331-336, ISSN 1857-92</v>
      </c>
      <c r="F6214" s="10"/>
      <c r="G6214" s="10"/>
      <c r="H6214" s="10"/>
      <c r="I6214" s="10"/>
      <c r="J6214" s="10"/>
      <c r="K6214" s="10"/>
      <c r="L6214" s="10"/>
      <c r="M6214" s="10"/>
      <c r="N6214" s="10"/>
      <c r="O6214" s="10"/>
      <c r="P6214" s="10"/>
      <c r="Q6214" s="10"/>
      <c r="R6214" s="10"/>
      <c r="S6214" s="10"/>
      <c r="T6214" s="10"/>
      <c r="U6214" s="10"/>
      <c r="V6214" s="10"/>
      <c r="W6214" s="10"/>
      <c r="X6214" s="10"/>
      <c r="Y6214" s="10"/>
      <c r="Z6214" s="10"/>
    </row>
    <row r="6215" spans="1:26" ht="12.75">
      <c r="A6215" s="10" t="str">
        <f ca="1">IFERROR(__xludf.DUMMYFUNCTION("""COMPUTED_VALUE"""),"Пламен Николов Богданов")</f>
        <v>Пламен Николов Богданов</v>
      </c>
      <c r="B6215" s="10" t="str">
        <f ca="1">IFERROR(__xludf.DUMMYFUNCTION("""COMPUTED_VALUE"""),"Доклад от конференция")</f>
        <v>Доклад от конференция</v>
      </c>
      <c r="C6215" s="10" t="str">
        <f ca="1">IFERROR(__xludf.DUMMYFUNCTION("""COMPUTED_VALUE"""),"Approaches to social adaptation of servicemen discharged of military service")</f>
        <v>Approaches to social adaptation of servicemen discharged of military service</v>
      </c>
      <c r="D6215" s="10">
        <f ca="1">IFERROR(__xludf.DUMMYFUNCTION("""COMPUTED_VALUE"""),2016)</f>
        <v>2016</v>
      </c>
      <c r="E6215" s="10" t="str">
        <f ca="1">IFERROR(__xludf.DUMMYFUNCTION("""COMPUTED_VALUE"""),"Eight international scientific conference Knowledge without borders, 8-10 April 2016 г., Bansko, Bulgaria, IKM – Skopje, 12, 2016, N 2, pp.85-97, ISSN1857-92")</f>
        <v>Eight international scientific conference Knowledge without borders, 8-10 April 2016 г., Bansko, Bulgaria, IKM – Skopje, 12, 2016, N 2, pp.85-97, ISSN1857-92</v>
      </c>
      <c r="F6215" s="10"/>
      <c r="G6215" s="10" t="str">
        <f ca="1">IFERROR(__xludf.DUMMYFUNCTION("""COMPUTED_VALUE"""),"Венелин Терзиев, Веселин Мадански, Свилен Стефанов")</f>
        <v>Венелин Терзиев, Веселин Мадански, Свилен Стефанов</v>
      </c>
      <c r="H6215" s="10"/>
      <c r="I6215" s="10"/>
      <c r="J6215" s="10"/>
      <c r="K6215" s="10"/>
      <c r="L6215" s="10"/>
      <c r="M6215" s="10"/>
      <c r="N6215" s="10"/>
      <c r="O6215" s="10"/>
      <c r="P6215" s="10"/>
      <c r="Q6215" s="10"/>
      <c r="R6215" s="10"/>
      <c r="S6215" s="10"/>
      <c r="T6215" s="10"/>
      <c r="U6215" s="10"/>
      <c r="V6215" s="10"/>
      <c r="W6215" s="10"/>
      <c r="X6215" s="10"/>
      <c r="Y6215" s="10"/>
      <c r="Z6215" s="10"/>
    </row>
    <row r="6216" spans="1:26" ht="12.75">
      <c r="A6216" s="10" t="str">
        <f ca="1">IFERROR(__xludf.DUMMYFUNCTION("""COMPUTED_VALUE"""),"Пламен Николов Богданов")</f>
        <v>Пламен Николов Богданов</v>
      </c>
      <c r="B6216" s="10" t="str">
        <f ca="1">IFERROR(__xludf.DUMMYFUNCTION("""COMPUTED_VALUE"""),"Статия в списания и поредици")</f>
        <v>Статия в списания и поредици</v>
      </c>
      <c r="C6216" s="10" t="str">
        <f ca="1">IFERROR(__xludf.DUMMYFUNCTION("""COMPUTED_VALUE"""),"Основи на експедиционните способности")</f>
        <v>Основи на експедиционните способности</v>
      </c>
      <c r="D6216" s="10">
        <f ca="1">IFERROR(__xludf.DUMMYFUNCTION("""COMPUTED_VALUE"""),2016)</f>
        <v>2016</v>
      </c>
      <c r="E6216" s="10" t="str">
        <f ca="1">IFERROR(__xludf.DUMMYFUNCTION("""COMPUTED_VALUE"""),"Военен журнал, Военна академия „Георги Стойков Раковски“, София, бр. 1, 2016, стр. 68-74, ISSN 0861-7392.")</f>
        <v>Военен журнал, Военна академия „Георги Стойков Раковски“, София, бр. 1, 2016, стр. 68-74, ISSN 0861-7392.</v>
      </c>
      <c r="F6216" s="10"/>
      <c r="G6216" s="10"/>
      <c r="H6216" s="10"/>
      <c r="I6216" s="10"/>
      <c r="J6216" s="10"/>
      <c r="K6216" s="10"/>
      <c r="L6216" s="10"/>
      <c r="M6216" s="10"/>
      <c r="N6216" s="10"/>
      <c r="O6216" s="10"/>
      <c r="P6216" s="10"/>
      <c r="Q6216" s="10"/>
      <c r="R6216" s="10"/>
      <c r="S6216" s="10"/>
      <c r="T6216" s="10"/>
      <c r="U6216" s="10"/>
      <c r="V6216" s="10"/>
      <c r="W6216" s="10"/>
      <c r="X6216" s="10"/>
      <c r="Y6216" s="10"/>
      <c r="Z6216" s="10"/>
    </row>
    <row r="6217" spans="1:26" ht="12.75">
      <c r="A6217" s="10" t="str">
        <f ca="1">IFERROR(__xludf.DUMMYFUNCTION("""COMPUTED_VALUE"""),"Пламен Николов Богданов")</f>
        <v>Пламен Николов Богданов</v>
      </c>
      <c r="B6217" s="10" t="str">
        <f ca="1">IFERROR(__xludf.DUMMYFUNCTION("""COMPUTED_VALUE"""),"Доклад от конференция")</f>
        <v>Доклад от конференция</v>
      </c>
      <c r="C6217" s="10" t="str">
        <f ca="1">IFERROR(__xludf.DUMMYFUNCTION("""COMPUTED_VALUE"""),"Българският принос за изграждане на регионални способности за охрана на въздушното пространство")</f>
        <v>Българският принос за изграждане на регионални способности за охрана на въздушното пространство</v>
      </c>
      <c r="D6217" s="10">
        <f ca="1">IFERROR(__xludf.DUMMYFUNCTION("""COMPUTED_VALUE"""),2014)</f>
        <v>2014</v>
      </c>
      <c r="E6217" s="10" t="str">
        <f ca="1">IFERROR(__xludf.DUMMYFUNCTION("""COMPUTED_VALUE"""),"Годишник на Военна академия „Георги Стойков Раковски“ 2/2014, Факултет „Национална сигурност и отбрана“, София, 2014, стр. 95-104, ISSN 1312-2983")</f>
        <v>Годишник на Военна академия „Георги Стойков Раковски“ 2/2014, Факултет „Национална сигурност и отбрана“, София, 2014, стр. 95-104, ISSN 1312-2983</v>
      </c>
      <c r="F6217" s="10"/>
      <c r="G6217" s="10"/>
      <c r="H6217" s="10"/>
      <c r="I6217" s="10"/>
      <c r="J6217" s="10"/>
      <c r="K6217" s="10"/>
      <c r="L6217" s="10"/>
      <c r="M6217" s="10"/>
      <c r="N6217" s="10"/>
      <c r="O6217" s="10"/>
      <c r="P6217" s="10"/>
      <c r="Q6217" s="10"/>
      <c r="R6217" s="10"/>
      <c r="S6217" s="10"/>
      <c r="T6217" s="10"/>
      <c r="U6217" s="10"/>
      <c r="V6217" s="10"/>
      <c r="W6217" s="10"/>
      <c r="X6217" s="10"/>
      <c r="Y6217" s="10"/>
      <c r="Z6217" s="10"/>
    </row>
    <row r="6218" spans="1:26" ht="12.75">
      <c r="A6218" s="10" t="str">
        <f ca="1">IFERROR(__xludf.DUMMYFUNCTION("""COMPUTED_VALUE"""),"Пламен Николов Богданов")</f>
        <v>Пламен Николов Богданов</v>
      </c>
      <c r="B6218" s="10" t="str">
        <f ca="1">IFERROR(__xludf.DUMMYFUNCTION("""COMPUTED_VALUE"""),"Доклад от конференция")</f>
        <v>Доклад от конференция</v>
      </c>
      <c r="C6218" s="10" t="str">
        <f ca="1">IFERROR(__xludf.DUMMYFUNCTION("""COMPUTED_VALUE"""),"База за командване, управление и наблюдение и насоки в подготовката на офицерите")</f>
        <v>База за командване, управление и наблюдение и насоки в подготовката на офицерите</v>
      </c>
      <c r="D6218" s="10">
        <f ca="1">IFERROR(__xludf.DUMMYFUNCTION("""COMPUTED_VALUE"""),2013)</f>
        <v>2013</v>
      </c>
      <c r="E6218" s="10" t="str">
        <f ca="1">IFERROR(__xludf.DUMMYFUNCTION("""COMPUTED_VALUE"""),"Научна сесия 2013, сборник научни трудове, част I, НВУ „В. Левски“, Факултет „Артилерия, ПВО и КИС“, Шумен 2014, стр. 64-70, ISSN 1313-7433")</f>
        <v>Научна сесия 2013, сборник научни трудове, част I, НВУ „В. Левски“, Факултет „Артилерия, ПВО и КИС“, Шумен 2014, стр. 64-70, ISSN 1313-7433</v>
      </c>
      <c r="F6218" s="10"/>
      <c r="G6218" s="10"/>
      <c r="H6218" s="10"/>
      <c r="I6218" s="10"/>
      <c r="J6218" s="10"/>
      <c r="K6218" s="10"/>
      <c r="L6218" s="10"/>
      <c r="M6218" s="10"/>
      <c r="N6218" s="10"/>
      <c r="O6218" s="10"/>
      <c r="P6218" s="10"/>
      <c r="Q6218" s="10"/>
      <c r="R6218" s="10"/>
      <c r="S6218" s="10"/>
      <c r="T6218" s="10"/>
      <c r="U6218" s="10"/>
      <c r="V6218" s="10"/>
      <c r="W6218" s="10"/>
      <c r="X6218" s="10"/>
      <c r="Y6218" s="10"/>
      <c r="Z6218" s="10"/>
    </row>
    <row r="6219" spans="1:26" ht="12.75">
      <c r="A6219" s="10" t="str">
        <f ca="1">IFERROR(__xludf.DUMMYFUNCTION("""COMPUTED_VALUE"""),"Пламен Николов Богданов")</f>
        <v>Пламен Николов Богданов</v>
      </c>
      <c r="B6219" s="10" t="str">
        <f ca="1">IFERROR(__xludf.DUMMYFUNCTION("""COMPUTED_VALUE"""),"Доклад от конференция")</f>
        <v>Доклад от конференция</v>
      </c>
      <c r="C6219" s="10" t="str">
        <f ca="1">IFERROR(__xludf.DUMMYFUNCTION("""COMPUTED_VALUE"""),"Изграждане на експедиционни сили от Военновъздушните сили на България – баланс между амбиции и способности")</f>
        <v>Изграждане на експедиционни сили от Военновъздушните сили на България – баланс между амбиции и способности</v>
      </c>
      <c r="D6219" s="10">
        <f ca="1">IFERROR(__xludf.DUMMYFUNCTION("""COMPUTED_VALUE"""),2009)</f>
        <v>2009</v>
      </c>
      <c r="E6219" s="10" t="str">
        <f ca="1">IFERROR(__xludf.DUMMYFUNCTION("""COMPUTED_VALUE"""),"Годишник „Националната военна стратегия - баланс между амбиции и способности“, ВА „Г. С. Раковски“, Факултет „Национална сигурност и отбрана“, София, 2009, стр.113-120, ISSN 1312-2983")</f>
        <v>Годишник „Националната военна стратегия - баланс между амбиции и способности“, ВА „Г. С. Раковски“, Факултет „Национална сигурност и отбрана“, София, 2009, стр.113-120, ISSN 1312-2983</v>
      </c>
      <c r="F6219" s="10"/>
      <c r="G6219" s="10"/>
      <c r="H6219" s="10"/>
      <c r="I6219" s="10"/>
      <c r="J6219" s="10"/>
      <c r="K6219" s="10"/>
      <c r="L6219" s="10"/>
      <c r="M6219" s="10"/>
      <c r="N6219" s="10"/>
      <c r="O6219" s="10"/>
      <c r="P6219" s="10"/>
      <c r="Q6219" s="10"/>
      <c r="R6219" s="10"/>
      <c r="S6219" s="10"/>
      <c r="T6219" s="10"/>
      <c r="U6219" s="10"/>
      <c r="V6219" s="10"/>
      <c r="W6219" s="10"/>
      <c r="X6219" s="10"/>
      <c r="Y6219" s="10"/>
      <c r="Z6219" s="10"/>
    </row>
    <row r="6220" spans="1:26" ht="12.75">
      <c r="A6220" s="10" t="str">
        <f ca="1">IFERROR(__xludf.DUMMYFUNCTION("""COMPUTED_VALUE"""),"Пламен Николов Богданов")</f>
        <v>Пламен Николов Богданов</v>
      </c>
      <c r="B6220" s="10" t="str">
        <f ca="1">IFERROR(__xludf.DUMMYFUNCTION("""COMPUTED_VALUE"""),"Доклад от конференция")</f>
        <v>Доклад от конференция</v>
      </c>
      <c r="C6220" s="10" t="str">
        <f ca="1">IFERROR(__xludf.DUMMYFUNCTION("""COMPUTED_VALUE"""),"Военновъздушни сили на Република България – предизвикателства по пътя на трансформацията")</f>
        <v>Военновъздушни сили на Република България – предизвикателства по пътя на трансформацията</v>
      </c>
      <c r="D6220" s="10">
        <f ca="1">IFERROR(__xludf.DUMMYFUNCTION("""COMPUTED_VALUE"""),2008)</f>
        <v>2008</v>
      </c>
      <c r="E6220" s="10" t="str">
        <f ca="1">IFERROR(__xludf.DUMMYFUNCTION("""COMPUTED_VALUE"""),"Сборник от доклади на Юбилейна научна сесия „100 години от обявяване независимостта на България“, 17-18 април 2008 г., Национален военен университет „Васил Левски“, Факултет „Авиационен“, Д. Митрополия, 2008, стр.4-13, ISBN 978-954- 713-092-0")</f>
        <v>Сборник от доклади на Юбилейна научна сесия „100 години от обявяване независимостта на България“, 17-18 април 2008 г., Национален военен университет „Васил Левски“, Факултет „Авиационен“, Д. Митрополия, 2008, стр.4-13, ISBN 978-954- 713-092-0</v>
      </c>
      <c r="F6220" s="10"/>
      <c r="G6220" s="10"/>
      <c r="H6220" s="10"/>
      <c r="I6220" s="10"/>
      <c r="J6220" s="10"/>
      <c r="K6220" s="10"/>
      <c r="L6220" s="10"/>
      <c r="M6220" s="10"/>
      <c r="N6220" s="10"/>
      <c r="O6220" s="10"/>
      <c r="P6220" s="10"/>
      <c r="Q6220" s="10"/>
      <c r="R6220" s="10"/>
      <c r="S6220" s="10"/>
      <c r="T6220" s="10"/>
      <c r="U6220" s="10"/>
      <c r="V6220" s="10"/>
      <c r="W6220" s="10"/>
      <c r="X6220" s="10"/>
      <c r="Y6220" s="10"/>
      <c r="Z6220" s="10"/>
    </row>
    <row r="6221" spans="1:26" ht="12.75">
      <c r="A6221" s="10" t="str">
        <f ca="1">IFERROR(__xludf.DUMMYFUNCTION("""COMPUTED_VALUE"""),"Пламена Емилова Златкова")</f>
        <v>Пламена Емилова Златкова</v>
      </c>
      <c r="B6221" s="10" t="str">
        <f ca="1">IFERROR(__xludf.DUMMYFUNCTION("""COMPUTED_VALUE"""),"Доклад от конференция")</f>
        <v>Доклад от конференция</v>
      </c>
      <c r="C6221" s="10" t="str">
        <f ca="1">IFERROR(__xludf.DUMMYFUNCTION("""COMPUTED_VALUE"""),"BIBLIOGRAPHIC AND ONLINE CITATION TOOLS IN THE WORK OF STUDENTS IN HUMANITIES: SURVEY RESULTS ANALYSIS")</f>
        <v>BIBLIOGRAPHIC AND ONLINE CITATION TOOLS IN THE WORK OF STUDENTS IN HUMANITIES: SURVEY RESULTS ANALYSIS</v>
      </c>
      <c r="D6221" s="10">
        <f ca="1">IFERROR(__xludf.DUMMYFUNCTION("""COMPUTED_VALUE"""),2020)</f>
        <v>2020</v>
      </c>
      <c r="E6221" s="10" t="str">
        <f ca="1">IFERROR(__xludf.DUMMYFUNCTION("""COMPUTED_VALUE"""),"INTED2020 Proceedings, Pages: 3875-3878"" ISBN 978-84-09-17939-8 ISSN 2340-1079 doi: 10.21125/inted.2020.1082
 """)</f>
        <v>INTED2020 Proceedings, Pages: 3875-3878" ISBN 978-84-09-17939-8 ISSN 2340-1079 doi: 10.21125/inted.2020.1082
 "</v>
      </c>
      <c r="F6221" s="10" t="str">
        <f ca="1">IFERROR(__xludf.DUMMYFUNCTION("""COMPUTED_VALUE"""),"Web of Science
 https://library.iated.org/view/ZLATKOVA2020BIB")</f>
        <v>Web of Science
 https://library.iated.org/view/ZLATKOVA2020BIB</v>
      </c>
      <c r="G6221" s="10" t="str">
        <f ca="1">IFERROR(__xludf.DUMMYFUNCTION("""COMPUTED_VALUE"""),"P. Zlatkova, G. Yancheva")</f>
        <v>P. Zlatkova, G. Yancheva</v>
      </c>
      <c r="H6221" s="10"/>
      <c r="I6221" s="10"/>
      <c r="J6221" s="10"/>
      <c r="K6221" s="10"/>
      <c r="L6221" s="10"/>
      <c r="M6221" s="10"/>
      <c r="N6221" s="10"/>
      <c r="O6221" s="10"/>
      <c r="P6221" s="10"/>
      <c r="Q6221" s="10"/>
      <c r="R6221" s="10"/>
      <c r="S6221" s="10"/>
      <c r="T6221" s="10"/>
      <c r="U6221" s="10"/>
      <c r="V6221" s="10"/>
      <c r="W6221" s="10"/>
      <c r="X6221" s="10"/>
      <c r="Y6221" s="10"/>
      <c r="Z6221" s="10"/>
    </row>
    <row r="6222" spans="1:26" ht="12.75">
      <c r="A6222" s="10" t="str">
        <f ca="1">IFERROR(__xludf.DUMMYFUNCTION("""COMPUTED_VALUE"""),"Пламена Емилова Златкова")</f>
        <v>Пламена Емилова Златкова</v>
      </c>
      <c r="B6222" s="10" t="str">
        <f ca="1">IFERROR(__xludf.DUMMYFUNCTION("""COMPUTED_VALUE"""),"Статия в списания и поредици")</f>
        <v>Статия в списания и поредици</v>
      </c>
      <c r="C6222" s="10" t="str">
        <f ca="1">IFERROR(__xludf.DUMMYFUNCTION("""COMPUTED_VALUE"""),"ЕВРОПЕЙСКА СЕДМИЦА НА ПРОГРАМИРАНЕТО 2019 В СТОЛИЧНА БИБЛИОТЕКА")</f>
        <v>ЕВРОПЕЙСКА СЕДМИЦА НА ПРОГРАМИРАНЕТО 2019 В СТОЛИЧНА БИБЛИОТЕКА</v>
      </c>
      <c r="D6222" s="10">
        <f ca="1">IFERROR(__xludf.DUMMYFUNCTION("""COMPUTED_VALUE"""),2020)</f>
        <v>2020</v>
      </c>
      <c r="E6222" s="10" t="str">
        <f ca="1">IFERROR(__xludf.DUMMYFUNCTION("""COMPUTED_VALUE"""),"Научни трудове на Университета по библиотекознание и информационни технологии, Том 18, 2020. (под печат)")</f>
        <v>Научни трудове на Университета по библиотекознание и информационни технологии, Том 18, 2020. (под печат)</v>
      </c>
      <c r="F6222" s="10"/>
      <c r="G6222" s="10" t="str">
        <f ca="1">IFERROR(__xludf.DUMMYFUNCTION("""COMPUTED_VALUE"""),"Пламена Златкова, Марчела Борисова")</f>
        <v>Пламена Златкова, Марчела Борисова</v>
      </c>
      <c r="H6222" s="10"/>
      <c r="I6222" s="10"/>
      <c r="J6222" s="10"/>
      <c r="K6222" s="10"/>
      <c r="L6222" s="10"/>
      <c r="M6222" s="10"/>
      <c r="N6222" s="10"/>
      <c r="O6222" s="10"/>
      <c r="P6222" s="10"/>
      <c r="Q6222" s="10"/>
      <c r="R6222" s="10"/>
      <c r="S6222" s="10"/>
      <c r="T6222" s="10"/>
      <c r="U6222" s="10"/>
      <c r="V6222" s="10"/>
      <c r="W6222" s="10"/>
      <c r="X6222" s="10"/>
      <c r="Y6222" s="10"/>
      <c r="Z6222" s="10"/>
    </row>
    <row r="6223" spans="1:26" ht="12.75">
      <c r="A6223" s="10" t="str">
        <f ca="1">IFERROR(__xludf.DUMMYFUNCTION("""COMPUTED_VALUE"""),"Пламена Емилова Златкова")</f>
        <v>Пламена Емилова Златкова</v>
      </c>
      <c r="B6223" s="10" t="str">
        <f ca="1">IFERROR(__xludf.DUMMYFUNCTION("""COMPUTED_VALUE"""),"Статия в списания и поредици")</f>
        <v>Статия в списания и поредици</v>
      </c>
      <c r="C6223" s="10" t="str">
        <f ca="1">IFERROR(__xludf.DUMMYFUNCTION("""COMPUTED_VALUE"""),"Digitalisierungsprojekt Bulgarische Wiedergeburts-Bibliographie in Sofia")</f>
        <v>Digitalisierungsprojekt Bulgarische Wiedergeburts-Bibliographie in Sofia</v>
      </c>
      <c r="D6223" s="10">
        <f ca="1">IFERROR(__xludf.DUMMYFUNCTION("""COMPUTED_VALUE"""),2020)</f>
        <v>2020</v>
      </c>
      <c r="E6223" s="10" t="str">
        <f ca="1">IFERROR(__xludf.DUMMYFUNCTION("""COMPUTED_VALUE"""),"Bibliothek Forshung und Praxis, рр.1-11. ISSN: 0341-4183")</f>
        <v>Bibliothek Forshung und Praxis, рр.1-11. ISSN: 0341-4183</v>
      </c>
      <c r="F6223" s="10"/>
      <c r="G6223" s="10" t="str">
        <f ca="1">IFERROR(__xludf.DUMMYFUNCTION("""COMPUTED_VALUE"""),"Encheva, Marina, Krüger, Nicole, Zagorov, Vasil, Zlatkova, Plamena, Angelova, Gabriela")</f>
        <v>Encheva, Marina, Krüger, Nicole, Zagorov, Vasil, Zlatkova, Plamena, Angelova, Gabriela</v>
      </c>
      <c r="H6223" s="10"/>
      <c r="I6223" s="10"/>
      <c r="J6223" s="10"/>
      <c r="K6223" s="10"/>
      <c r="L6223" s="10"/>
      <c r="M6223" s="10"/>
      <c r="N6223" s="10"/>
      <c r="O6223" s="10"/>
      <c r="P6223" s="10"/>
      <c r="Q6223" s="10"/>
      <c r="R6223" s="10"/>
      <c r="S6223" s="10"/>
      <c r="T6223" s="10"/>
      <c r="U6223" s="10"/>
      <c r="V6223" s="10"/>
      <c r="W6223" s="10"/>
      <c r="X6223" s="10"/>
      <c r="Y6223" s="10"/>
      <c r="Z6223" s="10"/>
    </row>
    <row r="6224" spans="1:26" ht="12.75">
      <c r="A6224" s="10" t="str">
        <f ca="1">IFERROR(__xludf.DUMMYFUNCTION("""COMPUTED_VALUE"""),"Пламена Емилова Златкова")</f>
        <v>Пламена Емилова Златкова</v>
      </c>
      <c r="B6224" s="10" t="str">
        <f ca="1">IFERROR(__xludf.DUMMYFUNCTION("""COMPUTED_VALUE"""),"Доклад от конференция")</f>
        <v>Доклад от конференция</v>
      </c>
      <c r="C6224" s="10" t="str">
        <f ca="1">IFERROR(__xludf.DUMMYFUNCTION("""COMPUTED_VALUE"""),"APPLICATION OF EDUCATIONAL GAMES IN THE WORK OF BULGARIAN LIBRARIES")</f>
        <v>APPLICATION OF EDUCATIONAL GAMES IN THE WORK OF BULGARIAN LIBRARIES</v>
      </c>
      <c r="D6224" s="10">
        <f ca="1">IFERROR(__xludf.DUMMYFUNCTION("""COMPUTED_VALUE"""),2020)</f>
        <v>2020</v>
      </c>
      <c r="E6224" s="10" t="str">
        <f ca="1">IFERROR(__xludf.DUMMYFUNCTION("""COMPUTED_VALUE"""),"INTED2020 Proceedings, Pages: 3193-3196. ISBN 978-84-09-17939-8 ISSN 2340-1079 doi: 10.21125/inted.2020.0920")</f>
        <v>INTED2020 Proceedings, Pages: 3193-3196. ISBN 978-84-09-17939-8 ISSN 2340-1079 doi: 10.21125/inted.2020.0920</v>
      </c>
      <c r="F6224" s="10" t="str">
        <f ca="1">IFERROR(__xludf.DUMMYFUNCTION("""COMPUTED_VALUE"""),"Web of Science
 https://library.iated.org/view/ZLATKOVA2020APP")</f>
        <v>Web of Science
 https://library.iated.org/view/ZLATKOVA2020APP</v>
      </c>
      <c r="G6224" s="10" t="str">
        <f ca="1">IFERROR(__xludf.DUMMYFUNCTION("""COMPUTED_VALUE"""),"P. Zlatkova, M. Borisova")</f>
        <v>P. Zlatkova, M. Borisova</v>
      </c>
      <c r="H6224" s="10"/>
      <c r="I6224" s="10"/>
      <c r="J6224" s="10"/>
      <c r="K6224" s="10"/>
      <c r="L6224" s="10"/>
      <c r="M6224" s="10"/>
      <c r="N6224" s="10"/>
      <c r="O6224" s="10"/>
      <c r="P6224" s="10"/>
      <c r="Q6224" s="10"/>
      <c r="R6224" s="10"/>
      <c r="S6224" s="10"/>
      <c r="T6224" s="10"/>
      <c r="U6224" s="10"/>
      <c r="V6224" s="10"/>
      <c r="W6224" s="10"/>
      <c r="X6224" s="10"/>
      <c r="Y6224" s="10"/>
      <c r="Z6224" s="10"/>
    </row>
    <row r="6225" spans="1:26" ht="12.75">
      <c r="A6225" s="10" t="str">
        <f ca="1">IFERROR(__xludf.DUMMYFUNCTION("""COMPUTED_VALUE"""),"Пламена Емилова Златкова")</f>
        <v>Пламена Емилова Златкова</v>
      </c>
      <c r="B6225" s="10" t="str">
        <f ca="1">IFERROR(__xludf.DUMMYFUNCTION("""COMPUTED_VALUE"""),"Доклад от конференция")</f>
        <v>Доклад от конференция</v>
      </c>
      <c r="C6225" s="10" t="str">
        <f ca="1">IFERROR(__xludf.DUMMYFUNCTION("""COMPUTED_VALUE"""),"THE BULGARIAN LIBRARIES AND THEIR EXPERIENCE IN DIGITIZING RARE BOOKS AND SPECIAL COLLECTIONS")</f>
        <v>THE BULGARIAN LIBRARIES AND THEIR EXPERIENCE IN DIGITIZING RARE BOOKS AND SPECIAL COLLECTIONS</v>
      </c>
      <c r="D6225" s="10">
        <f ca="1">IFERROR(__xludf.DUMMYFUNCTION("""COMPUTED_VALUE"""),2019)</f>
        <v>2019</v>
      </c>
      <c r="E6225" s="10" t="str">
        <f ca="1">IFERROR(__xludf.DUMMYFUNCTION("""COMPUTED_VALUE"""),"ICERI2019 Proceedings, Pages: 3864-3871 ""ISBN 978-84-09-14755-7 ISSN 2340-1095 doi: 10.21125/iceri.2019.0980
 """)</f>
        <v>ICERI2019 Proceedings, Pages: 3864-3871 "ISBN 978-84-09-14755-7 ISSN 2340-1095 doi: 10.21125/iceri.2019.0980
 "</v>
      </c>
      <c r="F6225" s="10" t="str">
        <f ca="1">IFERROR(__xludf.DUMMYFUNCTION("""COMPUTED_VALUE"""),"Web of Science")</f>
        <v>Web of Science</v>
      </c>
      <c r="G6225" s="10" t="str">
        <f ca="1">IFERROR(__xludf.DUMMYFUNCTION("""COMPUTED_VALUE"""),"P. Zlatkova, G. Angelova")</f>
        <v>P. Zlatkova, G. Angelova</v>
      </c>
      <c r="H6225" s="10"/>
      <c r="I6225" s="10"/>
      <c r="J6225" s="10"/>
      <c r="K6225" s="10"/>
      <c r="L6225" s="10"/>
      <c r="M6225" s="10"/>
      <c r="N6225" s="10"/>
      <c r="O6225" s="10"/>
      <c r="P6225" s="10"/>
      <c r="Q6225" s="10"/>
      <c r="R6225" s="10"/>
      <c r="S6225" s="10"/>
      <c r="T6225" s="10"/>
      <c r="U6225" s="10"/>
      <c r="V6225" s="10"/>
      <c r="W6225" s="10"/>
      <c r="X6225" s="10"/>
      <c r="Y6225" s="10"/>
      <c r="Z6225" s="10"/>
    </row>
    <row r="6226" spans="1:26" ht="12.75">
      <c r="A6226" s="10" t="str">
        <f ca="1">IFERROR(__xludf.DUMMYFUNCTION("""COMPUTED_VALUE"""),"Пламена Емилова Златкова")</f>
        <v>Пламена Емилова Златкова</v>
      </c>
      <c r="B6226" s="10" t="str">
        <f ca="1">IFERROR(__xludf.DUMMYFUNCTION("""COMPUTED_VALUE"""),"Статия в списания и поредици")</f>
        <v>Статия в списания и поредици</v>
      </c>
      <c r="C6226" s="10" t="str">
        <f ca="1">IFERROR(__xludf.DUMMYFUNCTION("""COMPUTED_VALUE"""),"„Поход книг“ и Столичная библиотека – библиотечная инициатива по поощрению чтения")</f>
        <v>„Поход книг“ и Столичная библиотека – библиотечная инициатива по поощрению чтения</v>
      </c>
      <c r="D6226" s="10">
        <f ca="1">IFERROR(__xludf.DUMMYFUNCTION("""COMPUTED_VALUE"""),2019)</f>
        <v>2019</v>
      </c>
      <c r="E6226" s="10" t="str">
        <f ca="1">IFERROR(__xludf.DUMMYFUNCTION("""COMPUTED_VALUE"""),"В: Школьная библиотека: сегодня и завтра, № 7, 2019, с. 59-64. ISSN 2308-8273")</f>
        <v>В: Школьная библиотека: сегодня и завтра, № 7, 2019, с. 59-64. ISSN 2308-8273</v>
      </c>
      <c r="F6226" s="10" t="str">
        <f ca="1">IFERROR(__xludf.DUMMYFUNCTION("""COMPUTED_VALUE"""),"Научна електронна библиотека ""Library.ru""
 https://elibrary.ru/title_about.asp?id=63517")</f>
        <v>Научна електронна библиотека "Library.ru"
 https://elibrary.ru/title_about.asp?id=63517</v>
      </c>
      <c r="G6226" s="10" t="str">
        <f ca="1">IFERROR(__xludf.DUMMYFUNCTION("""COMPUTED_VALUE"""),"Борисова, М.")</f>
        <v>Борисова, М.</v>
      </c>
      <c r="H6226" s="10"/>
      <c r="I6226" s="10"/>
      <c r="J6226" s="10"/>
      <c r="K6226" s="10"/>
      <c r="L6226" s="10"/>
      <c r="M6226" s="10"/>
      <c r="N6226" s="10"/>
      <c r="O6226" s="10"/>
      <c r="P6226" s="10"/>
      <c r="Q6226" s="10"/>
      <c r="R6226" s="10"/>
      <c r="S6226" s="10"/>
      <c r="T6226" s="10"/>
      <c r="U6226" s="10"/>
      <c r="V6226" s="10"/>
      <c r="W6226" s="10"/>
      <c r="X6226" s="10"/>
      <c r="Y6226" s="10"/>
      <c r="Z6226" s="10"/>
    </row>
    <row r="6227" spans="1:26" ht="12.75">
      <c r="A6227" s="10" t="str">
        <f ca="1">IFERROR(__xludf.DUMMYFUNCTION("""COMPUTED_VALUE"""),"Пламена Емилова Златкова")</f>
        <v>Пламена Емилова Златкова</v>
      </c>
      <c r="B6227" s="10" t="str">
        <f ca="1">IFERROR(__xludf.DUMMYFUNCTION("""COMPUTED_VALUE"""),"Статия в списания и поредици")</f>
        <v>Статия в списания и поредици</v>
      </c>
      <c r="C6227" s="10" t="str">
        <f ca="1">IFERROR(__xludf.DUMMYFUNCTION("""COMPUTED_VALUE"""),"The reading marathon – a library idea to stimulate reading")</f>
        <v>The reading marathon – a library idea to stimulate reading</v>
      </c>
      <c r="D6227" s="10">
        <f ca="1">IFERROR(__xludf.DUMMYFUNCTION("""COMPUTED_VALUE"""),2019)</f>
        <v>2019</v>
      </c>
      <c r="E6227" s="10" t="str">
        <f ca="1">IFERROR(__xludf.DUMMYFUNCTION("""COMPUTED_VALUE"""),"In: 13th International Technology, Education and Development Conference, 11-13 March, 2019, Valencia, Spain, p. 4039-4043. ISSN 2340-1079")</f>
        <v>In: 13th International Technology, Education and Development Conference, 11-13 March, 2019, Valencia, Spain, p. 4039-4043. ISSN 2340-1079</v>
      </c>
      <c r="F6227" s="10" t="str">
        <f ca="1">IFERROR(__xludf.DUMMYFUNCTION("""COMPUTED_VALUE"""),"Scopus, Web of Knowledge")</f>
        <v>Scopus, Web of Knowledge</v>
      </c>
      <c r="G6227" s="10"/>
      <c r="H6227" s="10"/>
      <c r="I6227" s="10"/>
      <c r="J6227" s="10"/>
      <c r="K6227" s="10"/>
      <c r="L6227" s="10"/>
      <c r="M6227" s="10"/>
      <c r="N6227" s="10"/>
      <c r="O6227" s="10"/>
      <c r="P6227" s="10"/>
      <c r="Q6227" s="10"/>
      <c r="R6227" s="10"/>
      <c r="S6227" s="10"/>
      <c r="T6227" s="10"/>
      <c r="U6227" s="10"/>
      <c r="V6227" s="10"/>
      <c r="W6227" s="10"/>
      <c r="X6227" s="10"/>
      <c r="Y6227" s="10"/>
      <c r="Z6227" s="10"/>
    </row>
    <row r="6228" spans="1:26" ht="12.75">
      <c r="A6228" s="10" t="str">
        <f ca="1">IFERROR(__xludf.DUMMYFUNCTION("""COMPUTED_VALUE"""),"Пламена Емилова Златкова")</f>
        <v>Пламена Емилова Златкова</v>
      </c>
      <c r="B6228" s="10" t="str">
        <f ca="1">IFERROR(__xludf.DUMMYFUNCTION("""COMPUTED_VALUE"""),"Статия в списания и поредици")</f>
        <v>Статия в списания и поредици</v>
      </c>
      <c r="C6228" s="10" t="str">
        <f ca="1">IFERROR(__xludf.DUMMYFUNCTION("""COMPUTED_VALUE"""),"Bulgarian students and their evaluation of the quality of library education")</f>
        <v>Bulgarian students and their evaluation of the quality of library education</v>
      </c>
      <c r="D6228" s="10">
        <f ca="1">IFERROR(__xludf.DUMMYFUNCTION("""COMPUTED_VALUE"""),2019)</f>
        <v>2019</v>
      </c>
      <c r="E6228" s="10" t="str">
        <f ca="1">IFERROR(__xludf.DUMMYFUNCTION("""COMPUTED_VALUE"""),"In: 13th International Technology, Education and Development Conference, 11-13 March, 2019, Valencia, Spain, p. 3344-3349. ISSN 2340-1079")</f>
        <v>In: 13th International Technology, Education and Development Conference, 11-13 March, 2019, Valencia, Spain, p. 3344-3349. ISSN 2340-1079</v>
      </c>
      <c r="F6228" s="10" t="str">
        <f ca="1">IFERROR(__xludf.DUMMYFUNCTION("""COMPUTED_VALUE"""),"Scopus, Web of Knowledge")</f>
        <v>Scopus, Web of Knowledge</v>
      </c>
      <c r="G6228" s="10"/>
      <c r="H6228" s="10"/>
      <c r="I6228" s="10"/>
      <c r="J6228" s="10"/>
      <c r="K6228" s="10"/>
      <c r="L6228" s="10"/>
      <c r="M6228" s="10"/>
      <c r="N6228" s="10"/>
      <c r="O6228" s="10"/>
      <c r="P6228" s="10"/>
      <c r="Q6228" s="10"/>
      <c r="R6228" s="10"/>
      <c r="S6228" s="10"/>
      <c r="T6228" s="10"/>
      <c r="U6228" s="10"/>
      <c r="V6228" s="10"/>
      <c r="W6228" s="10"/>
      <c r="X6228" s="10"/>
      <c r="Y6228" s="10"/>
      <c r="Z6228" s="10"/>
    </row>
    <row r="6229" spans="1:26" ht="12.75">
      <c r="A6229" s="10" t="str">
        <f ca="1">IFERROR(__xludf.DUMMYFUNCTION("""COMPUTED_VALUE"""),"Пламена Емилова Златкова")</f>
        <v>Пламена Емилова Златкова</v>
      </c>
      <c r="B6229" s="10" t="str">
        <f ca="1">IFERROR(__xludf.DUMMYFUNCTION("""COMPUTED_VALUE"""),"Доклад от конференция")</f>
        <v>Доклад от конференция</v>
      </c>
      <c r="C6229" s="10" t="str">
        <f ca="1">IFERROR(__xludf.DUMMYFUNCTION("""COMPUTED_VALUE"""),"Changing Information Literacy Training of Undergraduate Students in Europe through the Game-based Learning Approach")</f>
        <v>Changing Information Literacy Training of Undergraduate Students in Europe through the Game-based Learning Approach</v>
      </c>
      <c r="D6229" s="10">
        <f ca="1">IFERROR(__xludf.DUMMYFUNCTION("""COMPUTED_VALUE"""),2018)</f>
        <v>2018</v>
      </c>
      <c r="E6229" s="10" t="str">
        <f ca="1">IFERROR(__xludf.DUMMYFUNCTION("""COMPUTED_VALUE"""),"INTED 2018 Proceedings. 12th International Technology, Education and Development Conference, 5-7th March, 2018. Valencia: IATED Academy, 2018, pp. 587-592. ISBN 978-84-697-9480-7. ISSN 2340-1079")</f>
        <v>INTED 2018 Proceedings. 12th International Technology, Education and Development Conference, 5-7th March, 2018. Valencia: IATED Academy, 2018, pp. 587-592. ISBN 978-84-697-9480-7. ISSN 2340-1079</v>
      </c>
      <c r="F6229" s="10" t="str">
        <f ca="1">IFERROR(__xludf.DUMMYFUNCTION("""COMPUTED_VALUE"""),"Web of Science")</f>
        <v>Web of Science</v>
      </c>
      <c r="G6229" s="10" t="str">
        <f ca="1">IFERROR(__xludf.DUMMYFUNCTION("""COMPUTED_VALUE"""),"Encheva, M. Mukanova, P. Zagorov, V.")</f>
        <v>Encheva, M. Mukanova, P. Zagorov, V.</v>
      </c>
      <c r="H6229" s="10"/>
      <c r="I6229" s="10"/>
      <c r="J6229" s="10"/>
      <c r="K6229" s="10"/>
      <c r="L6229" s="10"/>
      <c r="M6229" s="10"/>
      <c r="N6229" s="10"/>
      <c r="O6229" s="10"/>
      <c r="P6229" s="10"/>
      <c r="Q6229" s="10"/>
      <c r="R6229" s="10"/>
      <c r="S6229" s="10"/>
      <c r="T6229" s="10"/>
      <c r="U6229" s="10"/>
      <c r="V6229" s="10"/>
      <c r="W6229" s="10"/>
      <c r="X6229" s="10"/>
      <c r="Y6229" s="10"/>
      <c r="Z6229" s="10"/>
    </row>
    <row r="6230" spans="1:26" ht="12.75">
      <c r="A6230" s="10" t="str">
        <f ca="1">IFERROR(__xludf.DUMMYFUNCTION("""COMPUTED_VALUE"""),"Пламена Емилова Златкова")</f>
        <v>Пламена Емилова Златкова</v>
      </c>
      <c r="B6230" s="10" t="str">
        <f ca="1">IFERROR(__xludf.DUMMYFUNCTION("""COMPUTED_VALUE"""),"Доклад от конференция")</f>
        <v>Доклад от конференция</v>
      </c>
      <c r="C6230" s="10" t="str">
        <f ca="1">IFERROR(__xludf.DUMMYFUNCTION("""COMPUTED_VALUE"""),"Библиотеки в возприятии школьников и студентов: возможные параллели")</f>
        <v>Библиотеки в возприятии школьников и студентов: возможные параллели</v>
      </c>
      <c r="D6230" s="10">
        <f ca="1">IFERROR(__xludf.DUMMYFUNCTION("""COMPUTED_VALUE"""),2017)</f>
        <v>2017</v>
      </c>
      <c r="E6230" s="10" t="str">
        <f ca="1">IFERROR(__xludf.DUMMYFUNCTION("""COMPUTED_VALUE"""),"VIII международные музейные чтения: Коммуникативные возможности современных музеев, библиотека и архивов (к 45-летию ОГИК), Орел, Русия, 16-17 март 2017, г. – Орел, 2017. ISBN 978-5-905436-25-3")</f>
        <v>VIII международные музейные чтения: Коммуникативные возможности современных музеев, библиотека и архивов (к 45-летию ОГИК), Орел, Русия, 16-17 март 2017, г. – Орел, 2017. ISBN 978-5-905436-25-3</v>
      </c>
      <c r="F6230" s="10" t="str">
        <f ca="1">IFERROR(__xludf.DUMMYFUNCTION("""COMPUTED_VALUE"""),"РИНЦ")</f>
        <v>РИНЦ</v>
      </c>
      <c r="G6230" s="10"/>
      <c r="H6230" s="10"/>
      <c r="I6230" s="10"/>
      <c r="J6230" s="10"/>
      <c r="K6230" s="10"/>
      <c r="L6230" s="10"/>
      <c r="M6230" s="10"/>
      <c r="N6230" s="10"/>
      <c r="O6230" s="10"/>
      <c r="P6230" s="10"/>
      <c r="Q6230" s="10"/>
      <c r="R6230" s="10"/>
      <c r="S6230" s="10"/>
      <c r="T6230" s="10"/>
      <c r="U6230" s="10"/>
      <c r="V6230" s="10"/>
      <c r="W6230" s="10"/>
      <c r="X6230" s="10"/>
      <c r="Y6230" s="10"/>
      <c r="Z6230" s="10"/>
    </row>
    <row r="6231" spans="1:26" ht="12.75">
      <c r="A6231" s="10" t="str">
        <f ca="1">IFERROR(__xludf.DUMMYFUNCTION("""COMPUTED_VALUE"""),"Пламена Емилова Златкова")</f>
        <v>Пламена Емилова Златкова</v>
      </c>
      <c r="B6231" s="10" t="str">
        <f ca="1">IFERROR(__xludf.DUMMYFUNCTION("""COMPUTED_VALUE"""),"Статия в списания и поредици")</f>
        <v>Статия в списания и поредици</v>
      </c>
      <c r="C6231" s="10" t="str">
        <f ca="1">IFERROR(__xludf.DUMMYFUNCTION("""COMPUTED_VALUE"""),"Mobile information literacy perceptions and skills of library and information sciences and humanities students from Bulgaria and Turkey")</f>
        <v>Mobile information literacy perceptions and skills of library and information sciences and humanities students from Bulgaria and Turkey</v>
      </c>
      <c r="D6231" s="10">
        <f ca="1">IFERROR(__xludf.DUMMYFUNCTION("""COMPUTED_VALUE"""),2017)</f>
        <v>2017</v>
      </c>
      <c r="E6231" s="10" t="str">
        <f ca="1">IFERROR(__xludf.DUMMYFUNCTION("""COMPUTED_VALUE"""),"International Information &amp; Library Review, 2017, Volume 49, Issue № 2, p. 145-161. ISSN 1095-9297")</f>
        <v>International Information &amp; Library Review, 2017, Volume 49, Issue № 2, p. 145-161. ISSN 1095-9297</v>
      </c>
      <c r="F6231" s="10" t="str">
        <f ca="1">IFERROR(__xludf.DUMMYFUNCTION("""COMPUTED_VALUE"""),"Web of Science")</f>
        <v>Web of Science</v>
      </c>
      <c r="G6231" s="10" t="str">
        <f ca="1">IFERROR(__xludf.DUMMYFUNCTION("""COMPUTED_VALUE"""),"Encheva, M. Keskin, N. O. Vatansever, I.")</f>
        <v>Encheva, M. Keskin, N. O. Vatansever, I.</v>
      </c>
      <c r="H6231" s="10"/>
      <c r="I6231" s="10"/>
      <c r="J6231" s="10"/>
      <c r="K6231" s="10"/>
      <c r="L6231" s="10"/>
      <c r="M6231" s="10"/>
      <c r="N6231" s="10"/>
      <c r="O6231" s="10"/>
      <c r="P6231" s="10"/>
      <c r="Q6231" s="10"/>
      <c r="R6231" s="10"/>
      <c r="S6231" s="10"/>
      <c r="T6231" s="10"/>
      <c r="U6231" s="10"/>
      <c r="V6231" s="10"/>
      <c r="W6231" s="10"/>
      <c r="X6231" s="10"/>
      <c r="Y6231" s="10"/>
      <c r="Z6231" s="10"/>
    </row>
    <row r="6232" spans="1:26" ht="12.75">
      <c r="A6232" s="10" t="str">
        <f ca="1">IFERROR(__xludf.DUMMYFUNCTION("""COMPUTED_VALUE"""),"Пламена Емилова Златкова")</f>
        <v>Пламена Емилова Златкова</v>
      </c>
      <c r="B6232" s="10" t="str">
        <f ca="1">IFERROR(__xludf.DUMMYFUNCTION("""COMPUTED_VALUE"""),"Доклад от конференция")</f>
        <v>Доклад от конференция</v>
      </c>
      <c r="C6232" s="10" t="str">
        <f ca="1">IFERROR(__xludf.DUMMYFUNCTION("""COMPUTED_VALUE"""),"The Undergraduate Students in Bulgaria and Turkey – Between the Mobility and the Traditionalism")</f>
        <v>The Undergraduate Students in Bulgaria and Turkey – Between the Mobility and the Traditionalism</v>
      </c>
      <c r="D6232" s="10">
        <f ca="1">IFERROR(__xludf.DUMMYFUNCTION("""COMPUTED_VALUE"""),2016)</f>
        <v>2016</v>
      </c>
      <c r="E6232" s="10" t="str">
        <f ca="1">IFERROR(__xludf.DUMMYFUNCTION("""COMPUTED_VALUE"""),"The global, cross-sector conference on technology supported learning and training, 30 november-2 december 2016, Berlin, Germany, p. 11-13. ISBN 978-3-941055-34-6")</f>
        <v>The global, cross-sector conference on technology supported learning and training, 30 november-2 december 2016, Berlin, Germany, p. 11-13. ISBN 978-3-941055-34-6</v>
      </c>
      <c r="F6232" s="10" t="str">
        <f ca="1">IFERROR(__xludf.DUMMYFUNCTION("""COMPUTED_VALUE"""),"Web of Science")</f>
        <v>Web of Science</v>
      </c>
      <c r="G6232" s="10" t="str">
        <f ca="1">IFERROR(__xludf.DUMMYFUNCTION("""COMPUTED_VALUE"""),"Encheva, M. Keskin, N. O. Vatansever, I.")</f>
        <v>Encheva, M. Keskin, N. O. Vatansever, I.</v>
      </c>
      <c r="H6232" s="10"/>
      <c r="I6232" s="10"/>
      <c r="J6232" s="10"/>
      <c r="K6232" s="10"/>
      <c r="L6232" s="10"/>
      <c r="M6232" s="10"/>
      <c r="N6232" s="10"/>
      <c r="O6232" s="10"/>
      <c r="P6232" s="10"/>
      <c r="Q6232" s="10"/>
      <c r="R6232" s="10"/>
      <c r="S6232" s="10"/>
      <c r="T6232" s="10"/>
      <c r="U6232" s="10"/>
      <c r="V6232" s="10"/>
      <c r="W6232" s="10"/>
      <c r="X6232" s="10"/>
      <c r="Y6232" s="10"/>
      <c r="Z6232" s="10"/>
    </row>
    <row r="6233" spans="1:26" ht="12.75">
      <c r="A6233" s="10" t="str">
        <f ca="1">IFERROR(__xludf.DUMMYFUNCTION("""COMPUTED_VALUE"""),"Пламена Емилова Златкова")</f>
        <v>Пламена Емилова Златкова</v>
      </c>
      <c r="B6233" s="10" t="str">
        <f ca="1">IFERROR(__xludf.DUMMYFUNCTION("""COMPUTED_VALUE"""),"Статия в списания и поредици")</f>
        <v>Статия в списания и поредици</v>
      </c>
      <c r="C6233" s="10" t="str">
        <f ca="1">IFERROR(__xludf.DUMMYFUNCTION("""COMPUTED_VALUE"""),"Новая образовательная среда болгарской школы: вызовы времени.")</f>
        <v>Новая образовательная среда болгарской школы: вызовы времени.</v>
      </c>
      <c r="D6233" s="10">
        <f ca="1">IFERROR(__xludf.DUMMYFUNCTION("""COMPUTED_VALUE"""),2016)</f>
        <v>2016</v>
      </c>
      <c r="E6233" s="10" t="str">
        <f ca="1">IFERROR(__xludf.DUMMYFUNCTION("""COMPUTED_VALUE"""),"Школьная библиотека сегодня и завтра, № 3, 2016, с. 28-36. ISSN 1680-2748")</f>
        <v>Школьная библиотека сегодня и завтра, № 3, 2016, с. 28-36. ISSN 1680-2748</v>
      </c>
      <c r="F6233" s="10" t="str">
        <f ca="1">IFERROR(__xludf.DUMMYFUNCTION("""COMPUTED_VALUE"""),"РИНЦ")</f>
        <v>РИНЦ</v>
      </c>
      <c r="G6233" s="10" t="str">
        <f ca="1">IFERROR(__xludf.DUMMYFUNCTION("""COMPUTED_VALUE"""),"Марина Енчева")</f>
        <v>Марина Енчева</v>
      </c>
      <c r="H6233" s="10"/>
      <c r="I6233" s="10"/>
      <c r="J6233" s="10"/>
      <c r="K6233" s="10"/>
      <c r="L6233" s="10"/>
      <c r="M6233" s="10"/>
      <c r="N6233" s="10"/>
      <c r="O6233" s="10"/>
      <c r="P6233" s="10"/>
      <c r="Q6233" s="10"/>
      <c r="R6233" s="10"/>
      <c r="S6233" s="10"/>
      <c r="T6233" s="10"/>
      <c r="U6233" s="10"/>
      <c r="V6233" s="10"/>
      <c r="W6233" s="10"/>
      <c r="X6233" s="10"/>
      <c r="Y6233" s="10"/>
      <c r="Z6233" s="10"/>
    </row>
    <row r="6234" spans="1:26" ht="12.75">
      <c r="A6234" s="10" t="str">
        <f ca="1">IFERROR(__xludf.DUMMYFUNCTION("""COMPUTED_VALUE"""),"Пламена Емилова Златкова")</f>
        <v>Пламена Емилова Златкова</v>
      </c>
      <c r="B6234" s="10" t="str">
        <f ca="1">IFERROR(__xludf.DUMMYFUNCTION("""COMPUTED_VALUE"""),"Доклад от конференция")</f>
        <v>Доклад от конференция</v>
      </c>
      <c r="C6234" s="10" t="str">
        <f ca="1">IFERROR(__xludf.DUMMYFUNCTION("""COMPUTED_VALUE"""),"Свободни информационни ресурси за ЕС и мястото на училищните библиотеки")</f>
        <v>Свободни информационни ресурси за ЕС и мястото на училищните библиотеки</v>
      </c>
      <c r="D6234" s="10">
        <f ca="1">IFERROR(__xludf.DUMMYFUNCTION("""COMPUTED_VALUE"""),2015)</f>
        <v>2015</v>
      </c>
      <c r="E6234" s="10" t="str">
        <f ca="1">IFERROR(__xludf.DUMMYFUNCTION("""COMPUTED_VALUE"""),"ИКТ в в библиотечно-информационните науки, образованието и културното наследство [е-ресурс]: Сборник с научни доклади и съобщения. ISBN 978-619-185-164-5")</f>
        <v>ИКТ в в библиотечно-информационните науки, образованието и културното наследство [е-ресурс]: Сборник с научни доклади и съобщения. ISBN 978-619-185-164-5</v>
      </c>
      <c r="F6234" s="10"/>
      <c r="G6234" s="10"/>
      <c r="H6234" s="10"/>
      <c r="I6234" s="10"/>
      <c r="J6234" s="10"/>
      <c r="K6234" s="10"/>
      <c r="L6234" s="10"/>
      <c r="M6234" s="10"/>
      <c r="N6234" s="10"/>
      <c r="O6234" s="10"/>
      <c r="P6234" s="10"/>
      <c r="Q6234" s="10"/>
      <c r="R6234" s="10"/>
      <c r="S6234" s="10"/>
      <c r="T6234" s="10"/>
      <c r="U6234" s="10"/>
      <c r="V6234" s="10"/>
      <c r="W6234" s="10"/>
      <c r="X6234" s="10"/>
      <c r="Y6234" s="10"/>
      <c r="Z6234" s="10"/>
    </row>
    <row r="6235" spans="1:26" ht="12.75">
      <c r="A6235" s="10" t="str">
        <f ca="1">IFERROR(__xludf.DUMMYFUNCTION("""COMPUTED_VALUE"""),"Пламена Емилова Златкова")</f>
        <v>Пламена Емилова Златкова</v>
      </c>
      <c r="B6235" s="10" t="str">
        <f ca="1">IFERROR(__xludf.DUMMYFUNCTION("""COMPUTED_VALUE"""),"Доклад от конференция")</f>
        <v>Доклад от конференция</v>
      </c>
      <c r="C6235" s="10" t="str">
        <f ca="1">IFERROR(__xludf.DUMMYFUNCTION("""COMPUTED_VALUE"""),"Educational Innovations in the Bulgarian School and the Role of Libraries in their Implementation")</f>
        <v>Educational Innovations in the Bulgarian School and the Role of Libraries in their Implementation</v>
      </c>
      <c r="D6235" s="10">
        <f ca="1">IFERROR(__xludf.DUMMYFUNCTION("""COMPUTED_VALUE"""),2015)</f>
        <v>2015</v>
      </c>
      <c r="E6235" s="10" t="str">
        <f ca="1">IFERROR(__xludf.DUMMYFUNCTION("""COMPUTED_VALUE"""),"Open Discovery Space Conference: Transforming Schools into Innovative Learning Organisations, Athens, Greece, 18-21 september 2015. – Athens, 2015, p. 157-163. ISBN 978-615-5511-06-6")</f>
        <v>Open Discovery Space Conference: Transforming Schools into Innovative Learning Organisations, Athens, Greece, 18-21 september 2015. – Athens, 2015, p. 157-163. ISBN 978-615-5511-06-6</v>
      </c>
      <c r="F6235" s="10" t="str">
        <f ca="1">IFERROR(__xludf.DUMMYFUNCTION("""COMPUTED_VALUE"""),"Google Scholar")</f>
        <v>Google Scholar</v>
      </c>
      <c r="G6235" s="10" t="str">
        <f ca="1">IFERROR(__xludf.DUMMYFUNCTION("""COMPUTED_VALUE"""),"Marina Encheva")</f>
        <v>Marina Encheva</v>
      </c>
      <c r="H6235" s="10"/>
      <c r="I6235" s="10"/>
      <c r="J6235" s="10"/>
      <c r="K6235" s="10"/>
      <c r="L6235" s="10"/>
      <c r="M6235" s="10"/>
      <c r="N6235" s="10"/>
      <c r="O6235" s="10"/>
      <c r="P6235" s="10"/>
      <c r="Q6235" s="10"/>
      <c r="R6235" s="10"/>
      <c r="S6235" s="10"/>
      <c r="T6235" s="10"/>
      <c r="U6235" s="10"/>
      <c r="V6235" s="10"/>
      <c r="W6235" s="10"/>
      <c r="X6235" s="10"/>
      <c r="Y6235" s="10"/>
      <c r="Z6235" s="10"/>
    </row>
    <row r="6236" spans="1:26" ht="12.75">
      <c r="A6236" s="10" t="str">
        <f ca="1">IFERROR(__xludf.DUMMYFUNCTION("""COMPUTED_VALUE"""),"Пламена Емилова Златкова")</f>
        <v>Пламена Емилова Златкова</v>
      </c>
      <c r="B6236" s="10" t="str">
        <f ca="1">IFERROR(__xludf.DUMMYFUNCTION("""COMPUTED_VALUE"""),"Доклад от конференция")</f>
        <v>Доклад от конференция</v>
      </c>
      <c r="C6236" s="10" t="str">
        <f ca="1">IFERROR(__xludf.DUMMYFUNCTION("""COMPUTED_VALUE"""),"Проблемы реализации национальной стратегии поддержки детского чтения в Болгарии")</f>
        <v>Проблемы реализации национальной стратегии поддержки детского чтения в Болгарии</v>
      </c>
      <c r="D6236" s="10">
        <f ca="1">IFERROR(__xludf.DUMMYFUNCTION("""COMPUTED_VALUE"""),2015)</f>
        <v>2015</v>
      </c>
      <c r="E6236" s="10" t="str">
        <f ca="1">IFERROR(__xludf.DUMMYFUNCTION("""COMPUTED_VALUE"""),"Развитие системы высшего образования сфере культуры [е-ресурс]: Научный и образовательный опыт: Международной научно-практической конференции.")</f>
        <v>Развитие системы высшего образования сфере культуры [е-ресурс]: Научный и образовательный опыт: Международной научно-практической конференции.</v>
      </c>
      <c r="F6236" s="10" t="str">
        <f ca="1">IFERROR(__xludf.DUMMYFUNCTION("""COMPUTED_VALUE"""),"РИНЦ")</f>
        <v>РИНЦ</v>
      </c>
      <c r="G6236" s="10" t="str">
        <f ca="1">IFERROR(__xludf.DUMMYFUNCTION("""COMPUTED_VALUE"""),"Марчела Борисова")</f>
        <v>Марчела Борисова</v>
      </c>
      <c r="H6236" s="10"/>
      <c r="I6236" s="10"/>
      <c r="J6236" s="10"/>
      <c r="K6236" s="10"/>
      <c r="L6236" s="10"/>
      <c r="M6236" s="10"/>
      <c r="N6236" s="10"/>
      <c r="O6236" s="10"/>
      <c r="P6236" s="10"/>
      <c r="Q6236" s="10"/>
      <c r="R6236" s="10"/>
      <c r="S6236" s="10"/>
      <c r="T6236" s="10"/>
      <c r="U6236" s="10"/>
      <c r="V6236" s="10"/>
      <c r="W6236" s="10"/>
      <c r="X6236" s="10"/>
      <c r="Y6236" s="10"/>
      <c r="Z6236" s="10"/>
    </row>
    <row r="6237" spans="1:26" ht="12.75">
      <c r="A6237" s="10" t="str">
        <f ca="1">IFERROR(__xludf.DUMMYFUNCTION("""COMPUTED_VALUE"""),"Пламена Емилова Златкова")</f>
        <v>Пламена Емилова Златкова</v>
      </c>
      <c r="B6237" s="10" t="str">
        <f ca="1">IFERROR(__xludf.DUMMYFUNCTION("""COMPUTED_VALUE"""),"Доклад от конференция")</f>
        <v>Доклад от конференция</v>
      </c>
      <c r="C6237" s="10" t="str">
        <f ca="1">IFERROR(__xludf.DUMMYFUNCTION("""COMPUTED_VALUE"""),"Библиотечни (не)реалности")</f>
        <v>Библиотечни (не)реалности</v>
      </c>
      <c r="D6237" s="10">
        <f ca="1">IFERROR(__xludf.DUMMYFUNCTION("""COMPUTED_VALUE"""),2014)</f>
        <v>2014</v>
      </c>
      <c r="E6237" s="10" t="str">
        <f ca="1">IFERROR(__xludf.DUMMYFUNCTION("""COMPUTED_VALUE"""),"Младите – инвестиция в бъдещето: Сборник с доклади от международна научна конференция. ISBN 978-619-185-132-4")</f>
        <v>Младите – инвестиция в бъдещето: Сборник с доклади от международна научна конференция. ISBN 978-619-185-132-4</v>
      </c>
      <c r="F6237" s="10"/>
      <c r="G6237" s="10"/>
      <c r="H6237" s="10"/>
      <c r="I6237" s="10"/>
      <c r="J6237" s="10"/>
      <c r="K6237" s="10"/>
      <c r="L6237" s="10"/>
      <c r="M6237" s="10"/>
      <c r="N6237" s="10"/>
      <c r="O6237" s="10"/>
      <c r="P6237" s="10"/>
      <c r="Q6237" s="10"/>
      <c r="R6237" s="10"/>
      <c r="S6237" s="10"/>
      <c r="T6237" s="10"/>
      <c r="U6237" s="10"/>
      <c r="V6237" s="10"/>
      <c r="W6237" s="10"/>
      <c r="X6237" s="10"/>
      <c r="Y6237" s="10"/>
      <c r="Z6237" s="10"/>
    </row>
    <row r="6238" spans="1:26" ht="12.75">
      <c r="A6238" s="10" t="str">
        <f ca="1">IFERROR(__xludf.DUMMYFUNCTION("""COMPUTED_VALUE"""),"Пламена Емилова Златкова")</f>
        <v>Пламена Емилова Златкова</v>
      </c>
      <c r="B6238" s="10" t="str">
        <f ca="1">IFERROR(__xludf.DUMMYFUNCTION("""COMPUTED_VALUE"""),"Статия в списания и поредици")</f>
        <v>Статия в списания и поредици</v>
      </c>
      <c r="C6238" s="10" t="str">
        <f ca="1">IFERROR(__xludf.DUMMYFUNCTION("""COMPUTED_VALUE"""),"Школьные библиотеки Болгарии")</f>
        <v>Школьные библиотеки Болгарии</v>
      </c>
      <c r="D6238" s="10">
        <f ca="1">IFERROR(__xludf.DUMMYFUNCTION("""COMPUTED_VALUE"""),2014)</f>
        <v>2014</v>
      </c>
      <c r="E6238" s="10" t="str">
        <f ca="1">IFERROR(__xludf.DUMMYFUNCTION("""COMPUTED_VALUE"""),"Школьная библиотека сегодня и завтра, ISSN 1680-2748")</f>
        <v>Школьная библиотека сегодня и завтра, ISSN 1680-2748</v>
      </c>
      <c r="F6238" s="10" t="str">
        <f ca="1">IFERROR(__xludf.DUMMYFUNCTION("""COMPUTED_VALUE"""),"РИНЦ")</f>
        <v>РИНЦ</v>
      </c>
      <c r="G6238" s="10"/>
      <c r="H6238" s="10"/>
      <c r="I6238" s="10"/>
      <c r="J6238" s="10"/>
      <c r="K6238" s="10"/>
      <c r="L6238" s="10"/>
      <c r="M6238" s="10"/>
      <c r="N6238" s="10"/>
      <c r="O6238" s="10"/>
      <c r="P6238" s="10"/>
      <c r="Q6238" s="10"/>
      <c r="R6238" s="10"/>
      <c r="S6238" s="10"/>
      <c r="T6238" s="10"/>
      <c r="U6238" s="10"/>
      <c r="V6238" s="10"/>
      <c r="W6238" s="10"/>
      <c r="X6238" s="10"/>
      <c r="Y6238" s="10"/>
      <c r="Z6238" s="10"/>
    </row>
    <row r="6239" spans="1:26" ht="12.75">
      <c r="A6239" s="10" t="str">
        <f ca="1">IFERROR(__xludf.DUMMYFUNCTION("""COMPUTED_VALUE"""),"Пламена Емилова Златкова")</f>
        <v>Пламена Емилова Златкова</v>
      </c>
      <c r="B6239" s="10" t="str">
        <f ca="1">IFERROR(__xludf.DUMMYFUNCTION("""COMPUTED_VALUE"""),"Статия в списания и поредици")</f>
        <v>Статия в списания и поредици</v>
      </c>
      <c r="C6239" s="10" t="str">
        <f ca="1">IFERROR(__xludf.DUMMYFUNCTION("""COMPUTED_VALUE"""),"Буккросинг - има ли почва у нас? : на примера на УниБИТ")</f>
        <v>Буккросинг - има ли почва у нас? : на примера на УниБИТ</v>
      </c>
      <c r="D6239" s="10">
        <f ca="1">IFERROR(__xludf.DUMMYFUNCTION("""COMPUTED_VALUE"""),2013)</f>
        <v>2013</v>
      </c>
      <c r="E6239" s="10" t="str">
        <f ca="1">IFERROR(__xludf.DUMMYFUNCTION("""COMPUTED_VALUE"""),"Научни трудове на Университета по библиотекознание и информационни технологии = Proceedings of the State University of Library Studies and Information Technologies. ISSN 1314-2623. - Т. 11 (2013), с. 31-37")</f>
        <v>Научни трудове на Университета по библиотекознание и информационни технологии = Proceedings of the State University of Library Studies and Information Technologies. ISSN 1314-2623. - Т. 11 (2013), с. 31-37</v>
      </c>
      <c r="F6239" s="10" t="str">
        <f ca="1">IFERROR(__xludf.DUMMYFUNCTION("""COMPUTED_VALUE"""),"Cobiss,
 https://plus.bg.cobiss.net/opac7/bib/1269892580")</f>
        <v>Cobiss,
 https://plus.bg.cobiss.net/opac7/bib/1269892580</v>
      </c>
      <c r="G6239" s="10"/>
      <c r="H6239" s="10"/>
      <c r="I6239" s="10"/>
      <c r="J6239" s="10"/>
      <c r="K6239" s="10"/>
      <c r="L6239" s="10"/>
      <c r="M6239" s="10"/>
      <c r="N6239" s="10"/>
      <c r="O6239" s="10"/>
      <c r="P6239" s="10"/>
      <c r="Q6239" s="10"/>
      <c r="R6239" s="10"/>
      <c r="S6239" s="10"/>
      <c r="T6239" s="10"/>
      <c r="U6239" s="10"/>
      <c r="V6239" s="10"/>
      <c r="W6239" s="10"/>
      <c r="X6239" s="10"/>
      <c r="Y6239" s="10"/>
      <c r="Z6239" s="10"/>
    </row>
    <row r="6240" spans="1:26" ht="12.75">
      <c r="A6240" s="10" t="str">
        <f ca="1">IFERROR(__xludf.DUMMYFUNCTION("""COMPUTED_VALUE"""),"Пламена Емилова Златкова")</f>
        <v>Пламена Емилова Златкова</v>
      </c>
      <c r="B6240" s="10" t="str">
        <f ca="1">IFERROR(__xludf.DUMMYFUNCTION("""COMPUTED_VALUE"""),"Статия в списания и поредици")</f>
        <v>Статия в списания и поредици</v>
      </c>
      <c r="C6240" s="10" t="str">
        <f ca="1">IFERROR(__xludf.DUMMYFUNCTION("""COMPUTED_VALUE"""),"Четене и читатели в УНИБИТ")</f>
        <v>Четене и читатели в УНИБИТ</v>
      </c>
      <c r="D6240" s="10">
        <f ca="1">IFERROR(__xludf.DUMMYFUNCTION("""COMPUTED_VALUE"""),2013)</f>
        <v>2013</v>
      </c>
      <c r="E6240" s="10" t="str">
        <f ca="1">IFERROR(__xludf.DUMMYFUNCTION("""COMPUTED_VALUE"""),"Библиотеки, четене, комуникации. ISSN 1313-8138. - 2012 (2013), с. 276-293")</f>
        <v>Библиотеки, четене, комуникации. ISSN 1313-8138. - 2012 (2013), с. 276-293</v>
      </c>
      <c r="F6240" s="10" t="str">
        <f ca="1">IFERROR(__xludf.DUMMYFUNCTION("""COMPUTED_VALUE"""),"Cobiss
 https://plus.bg.cobiss.net/opac7/bib/1265636324")</f>
        <v>Cobiss
 https://plus.bg.cobiss.net/opac7/bib/1265636324</v>
      </c>
      <c r="G6240" s="10"/>
      <c r="H6240" s="10"/>
      <c r="I6240" s="10"/>
      <c r="J6240" s="10"/>
      <c r="K6240" s="10"/>
      <c r="L6240" s="10"/>
      <c r="M6240" s="10"/>
      <c r="N6240" s="10"/>
      <c r="O6240" s="10"/>
      <c r="P6240" s="10"/>
      <c r="Q6240" s="10"/>
      <c r="R6240" s="10"/>
      <c r="S6240" s="10"/>
      <c r="T6240" s="10"/>
      <c r="U6240" s="10"/>
      <c r="V6240" s="10"/>
      <c r="W6240" s="10"/>
      <c r="X6240" s="10"/>
      <c r="Y6240" s="10"/>
      <c r="Z6240" s="10"/>
    </row>
    <row r="6241" spans="1:26" ht="12.75">
      <c r="A6241" s="10" t="str">
        <f ca="1">IFERROR(__xludf.DUMMYFUNCTION("""COMPUTED_VALUE"""),"Пламена Емилова Златкова")</f>
        <v>Пламена Емилова Златкова</v>
      </c>
      <c r="B6241" s="10" t="str">
        <f ca="1">IFERROR(__xludf.DUMMYFUNCTION("""COMPUTED_VALUE"""),"Статия в списания и поредици")</f>
        <v>Статия в списания и поредици</v>
      </c>
      <c r="C6241" s="10" t="str">
        <f ca="1">IFERROR(__xludf.DUMMYFUNCTION("""COMPUTED_VALUE"""),"Четене ... от самото начало: идеи за насърчаване на четенето")</f>
        <v>Четене ... от самото начало: идеи за насърчаване на четенето</v>
      </c>
      <c r="D6241" s="10">
        <f ca="1">IFERROR(__xludf.DUMMYFUNCTION("""COMPUTED_VALUE"""),2013)</f>
        <v>2013</v>
      </c>
      <c r="E6241" s="10" t="str">
        <f ca="1">IFERROR(__xludf.DUMMYFUNCTION("""COMPUTED_VALUE"""),"ББИА онлайн, ISSN 1314-7285")</f>
        <v>ББИА онлайн, ISSN 1314-7285</v>
      </c>
      <c r="F6241" s="10"/>
      <c r="G6241" s="10" t="str">
        <f ca="1">IFERROR(__xludf.DUMMYFUNCTION("""COMPUTED_VALUE"""),"Анна Попова")</f>
        <v>Анна Попова</v>
      </c>
      <c r="H6241" s="10"/>
      <c r="I6241" s="10"/>
      <c r="J6241" s="10"/>
      <c r="K6241" s="10"/>
      <c r="L6241" s="10"/>
      <c r="M6241" s="10"/>
      <c r="N6241" s="10"/>
      <c r="O6241" s="10"/>
      <c r="P6241" s="10"/>
      <c r="Q6241" s="10"/>
      <c r="R6241" s="10"/>
      <c r="S6241" s="10"/>
      <c r="T6241" s="10"/>
      <c r="U6241" s="10"/>
      <c r="V6241" s="10"/>
      <c r="W6241" s="10"/>
      <c r="X6241" s="10"/>
      <c r="Y6241" s="10"/>
      <c r="Z6241" s="10"/>
    </row>
    <row r="6242" spans="1:26" ht="12.75">
      <c r="A6242" s="10" t="str">
        <f ca="1">IFERROR(__xludf.DUMMYFUNCTION("""COMPUTED_VALUE"""),"Пламена Емилова Златкова")</f>
        <v>Пламена Емилова Златкова</v>
      </c>
      <c r="B6242" s="10" t="str">
        <f ca="1">IFERROR(__xludf.DUMMYFUNCTION("""COMPUTED_VALUE"""),"Доклад от конференция")</f>
        <v>Доклад от конференция</v>
      </c>
      <c r="C6242" s="10" t="str">
        <f ca="1">IFERROR(__xludf.DUMMYFUNCTION("""COMPUTED_VALUE"""),"Училищният библиотечно-информационен център - територия на качествена информация")</f>
        <v>Училищният библиотечно-информационен център - територия на качествена информация</v>
      </c>
      <c r="D6242" s="10">
        <f ca="1">IFERROR(__xludf.DUMMYFUNCTION("""COMPUTED_VALUE"""),2012)</f>
        <v>2012</v>
      </c>
      <c r="E6242" s="10" t="str">
        <f ca="1">IFERROR(__xludf.DUMMYFUNCTION("""COMPUTED_VALUE"""),"Обществото на знанието и хуманизмът на XXI век : национална научна конференция с международно участие. ISSN 1314-7099. - Т. 9 (2012), с. 515-521")</f>
        <v>Обществото на знанието и хуманизмът на XXI век : национална научна конференция с международно участие. ISSN 1314-7099. - Т. 9 (2012), с. 515-521</v>
      </c>
      <c r="F6242" s="10" t="str">
        <f ca="1">IFERROR(__xludf.DUMMYFUNCTION("""COMPUTED_VALUE"""),"Cobiss
 https://plus.bg.cobiss.net/opac7/bib/1252326884")</f>
        <v>Cobiss
 https://plus.bg.cobiss.net/opac7/bib/1252326884</v>
      </c>
      <c r="G6242" s="10"/>
      <c r="H6242" s="10"/>
      <c r="I6242" s="10"/>
      <c r="J6242" s="10"/>
      <c r="K6242" s="10"/>
      <c r="L6242" s="10"/>
      <c r="M6242" s="10"/>
      <c r="N6242" s="10"/>
      <c r="O6242" s="10"/>
      <c r="P6242" s="10"/>
      <c r="Q6242" s="10"/>
      <c r="R6242" s="10"/>
      <c r="S6242" s="10"/>
      <c r="T6242" s="10"/>
      <c r="U6242" s="10"/>
      <c r="V6242" s="10"/>
      <c r="W6242" s="10"/>
      <c r="X6242" s="10"/>
      <c r="Y6242" s="10"/>
      <c r="Z6242" s="10"/>
    </row>
    <row r="6243" spans="1:26" ht="12.75">
      <c r="A6243" s="10" t="str">
        <f ca="1">IFERROR(__xludf.DUMMYFUNCTION("""COMPUTED_VALUE"""),"Поли Руменова Муканова")</f>
        <v>Поли Руменова Муканова</v>
      </c>
      <c r="B6243" s="10" t="str">
        <f ca="1">IFERROR(__xludf.DUMMYFUNCTION("""COMPUTED_VALUE"""),"Доклад от конференция")</f>
        <v>Доклад от конференция</v>
      </c>
      <c r="C6243" s="10" t="str">
        <f ca="1">IFERROR(__xludf.DUMMYFUNCTION("""COMPUTED_VALUE"""),"ON THE NEED TO BUILD VOLUNTEER CULTURE IN FUTURE LIBRARY PROFESSIONALS")</f>
        <v>ON THE NEED TO BUILD VOLUNTEER CULTURE IN FUTURE LIBRARY PROFESSIONALS</v>
      </c>
      <c r="D6243" s="10">
        <f ca="1">IFERROR(__xludf.DUMMYFUNCTION("""COMPUTED_VALUE"""),2020)</f>
        <v>2020</v>
      </c>
      <c r="E6243" s="10" t="str">
        <f ca="1">IFERROR(__xludf.DUMMYFUNCTION("""COMPUTED_VALUE"""),"""ICERI2020 Proceedings, 13th International Conference of Education, Research and Innovation
 Dates: 9th-10th November, 2020, Spain: IATED Academy, pp. 1079-1083. "" ISBN: 978-84-09-24232-0
 ISSN: 2340-1095""")</f>
        <v>"ICERI2020 Proceedings, 13th International Conference of Education, Research and Innovation
 Dates: 9th-10th November, 2020, Spain: IATED Academy, pp. 1079-1083. " ISBN: 978-84-09-24232-0
 ISSN: 2340-1095"</v>
      </c>
      <c r="F6243" s="10" t="str">
        <f ca="1">IFERROR(__xludf.DUMMYFUNCTION("""COMPUTED_VALUE"""),"Web of Science")</f>
        <v>Web of Science</v>
      </c>
      <c r="G6243" s="10" t="str">
        <f ca="1">IFERROR(__xludf.DUMMYFUNCTION("""COMPUTED_VALUE"""),"S. Eftimova, P. Mukanova, K. Mincheva")</f>
        <v>S. Eftimova, P. Mukanova, K. Mincheva</v>
      </c>
      <c r="H6243" s="10"/>
      <c r="I6243" s="10"/>
      <c r="J6243" s="10"/>
      <c r="K6243" s="10"/>
      <c r="L6243" s="10"/>
      <c r="M6243" s="10"/>
      <c r="N6243" s="10"/>
      <c r="O6243" s="10"/>
      <c r="P6243" s="10"/>
      <c r="Q6243" s="10"/>
      <c r="R6243" s="10"/>
      <c r="S6243" s="10"/>
      <c r="T6243" s="10"/>
      <c r="U6243" s="10"/>
      <c r="V6243" s="10"/>
      <c r="W6243" s="10"/>
      <c r="X6243" s="10"/>
      <c r="Y6243" s="10"/>
      <c r="Z6243" s="10"/>
    </row>
    <row r="6244" spans="1:26" ht="12.75">
      <c r="A6244" s="10" t="str">
        <f ca="1">IFERROR(__xludf.DUMMYFUNCTION("""COMPUTED_VALUE"""),"Поли Руменова Муканова")</f>
        <v>Поли Руменова Муканова</v>
      </c>
      <c r="B6244" s="10" t="str">
        <f ca="1">IFERROR(__xludf.DUMMYFUNCTION("""COMPUTED_VALUE"""),"Доклад от конференция")</f>
        <v>Доклад от конференция</v>
      </c>
      <c r="C6244" s="10" t="str">
        <f ca="1">IFERROR(__xludf.DUMMYFUNCTION("""COMPUTED_VALUE"""),"Виртуалният читател и достъпът до информация по време на криза")</f>
        <v>Виртуалният читател и достъпът до информация по време на криза</v>
      </c>
      <c r="D6244" s="10">
        <f ca="1">IFERROR(__xludf.DUMMYFUNCTION("""COMPUTED_VALUE"""),2020)</f>
        <v>2020</v>
      </c>
      <c r="E6244" s="10" t="str">
        <f ca="1">IFERROR(__xludf.DUMMYFUNCTION("""COMPUTED_VALUE"""),"Обществото на знанието и хуманизмът на ХХІ век : Сборник доклади от ХVIII национална научна конференция с международно участие. Съст. Л. Парижкова, София, 1 ноември 2020 г. – София : За буквите – О Писменехь, 2020, с. 173-179. ISSN 2683-0094")</f>
        <v>Обществото на знанието и хуманизмът на ХХІ век : Сборник доклади от ХVIII национална научна конференция с международно участие. Съст. Л. Парижкова, София, 1 ноември 2020 г. – София : За буквите – О Писменехь, 2020, с. 173-179. ISSN 2683-0094</v>
      </c>
      <c r="F6244" s="10"/>
      <c r="G6244" s="10" t="str">
        <f ca="1">IFERROR(__xludf.DUMMYFUNCTION("""COMPUTED_VALUE"""),"Тина Петрова, Поли Муканова")</f>
        <v>Тина Петрова, Поли Муканова</v>
      </c>
      <c r="H6244" s="10"/>
      <c r="I6244" s="10"/>
      <c r="J6244" s="10"/>
      <c r="K6244" s="10"/>
      <c r="L6244" s="10"/>
      <c r="M6244" s="10"/>
      <c r="N6244" s="10"/>
      <c r="O6244" s="10"/>
      <c r="P6244" s="10"/>
      <c r="Q6244" s="10"/>
      <c r="R6244" s="10"/>
      <c r="S6244" s="10"/>
      <c r="T6244" s="10"/>
      <c r="U6244" s="10"/>
      <c r="V6244" s="10"/>
      <c r="W6244" s="10"/>
      <c r="X6244" s="10"/>
      <c r="Y6244" s="10"/>
      <c r="Z6244" s="10"/>
    </row>
    <row r="6245" spans="1:26" ht="12.75">
      <c r="A6245" s="10" t="str">
        <f ca="1">IFERROR(__xludf.DUMMYFUNCTION("""COMPUTED_VALUE"""),"Поли Руменова Муканова")</f>
        <v>Поли Руменова Муканова</v>
      </c>
      <c r="B6245" s="10" t="str">
        <f ca="1">IFERROR(__xludf.DUMMYFUNCTION("""COMPUTED_VALUE"""),"Доклад от конференция")</f>
        <v>Доклад от конференция</v>
      </c>
      <c r="C6245" s="10" t="str">
        <f ca="1">IFERROR(__xludf.DUMMYFUNCTION("""COMPUTED_VALUE"""),"Augmented Reality in Humanities: Teaching Book History in the Digital Age")</f>
        <v>Augmented Reality in Humanities: Teaching Book History in the Digital Age</v>
      </c>
      <c r="D6245" s="10">
        <f ca="1">IFERROR(__xludf.DUMMYFUNCTION("""COMPUTED_VALUE"""),2020)</f>
        <v>2020</v>
      </c>
      <c r="E6245" s="10" t="str">
        <f ca="1">IFERROR(__xludf.DUMMYFUNCTION("""COMPUTED_VALUE"""),"EDULEARN 2020 Proceedings. 12th International Conference on Education and New Learning Technologies Dates: 6-7 July, 2020. Spain: IATED, 2020, pp. 5820-5824. ""ISBN: 978-84-09-17979-4
 ISSN: 2340-1117
 doi: 10.21125/edulearn.2020.1518""")</f>
        <v>EDULEARN 2020 Proceedings. 12th International Conference on Education and New Learning Technologies Dates: 6-7 July, 2020. Spain: IATED, 2020, pp. 5820-5824. "ISBN: 978-84-09-17979-4
 ISSN: 2340-1117
 doi: 10.21125/edulearn.2020.1518"</v>
      </c>
      <c r="F6245" s="10" t="str">
        <f ca="1">IFERROR(__xludf.DUMMYFUNCTION("""COMPUTED_VALUE"""),"Web of Science
 https://library.iated.org/view/MUKANOVA2020AUG")</f>
        <v>Web of Science
 https://library.iated.org/view/MUKANOVA2020AUG</v>
      </c>
      <c r="G6245" s="10"/>
      <c r="H6245" s="10"/>
      <c r="I6245" s="10"/>
      <c r="J6245" s="10"/>
      <c r="K6245" s="10"/>
      <c r="L6245" s="10"/>
      <c r="M6245" s="10"/>
      <c r="N6245" s="10"/>
      <c r="O6245" s="10"/>
      <c r="P6245" s="10"/>
      <c r="Q6245" s="10"/>
      <c r="R6245" s="10"/>
      <c r="S6245" s="10"/>
      <c r="T6245" s="10"/>
      <c r="U6245" s="10"/>
      <c r="V6245" s="10"/>
      <c r="W6245" s="10"/>
      <c r="X6245" s="10"/>
      <c r="Y6245" s="10"/>
      <c r="Z6245" s="10"/>
    </row>
    <row r="6246" spans="1:26" ht="12.75">
      <c r="A6246" s="10" t="str">
        <f ca="1">IFERROR(__xludf.DUMMYFUNCTION("""COMPUTED_VALUE"""),"Поли Руменова Муканова")</f>
        <v>Поли Руменова Муканова</v>
      </c>
      <c r="B6246" s="10" t="str">
        <f ca="1">IFERROR(__xludf.DUMMYFUNCTION("""COMPUTED_VALUE"""),"Доклад от конференция")</f>
        <v>Доклад от конференция</v>
      </c>
      <c r="C6246" s="10" t="str">
        <f ca="1">IFERROR(__xludf.DUMMYFUNCTION("""COMPUTED_VALUE"""),"Facebook and Bulgarian Libraries: The Challenges of Modern Information Environment")</f>
        <v>Facebook and Bulgarian Libraries: The Challenges of Modern Information Environment</v>
      </c>
      <c r="D6246" s="10">
        <f ca="1">IFERROR(__xludf.DUMMYFUNCTION("""COMPUTED_VALUE"""),2020)</f>
        <v>2020</v>
      </c>
      <c r="E6246" s="10" t="str">
        <f ca="1">IFERROR(__xludf.DUMMYFUNCTION("""COMPUTED_VALUE"""),"EDULEARN 2020 Proceedings. 12th International Conference on Education and New Learning Technologies Dates: 6-7 July, 2020. Spain: IATED, 2020, pp. 890-898. ""ISBN: 978-84-09-17979-4
 ISSN: 2340-1117
 doi: 10.21125/edulearn.2020.0311""")</f>
        <v>EDULEARN 2020 Proceedings. 12th International Conference on Education and New Learning Technologies Dates: 6-7 July, 2020. Spain: IATED, 2020, pp. 890-898. "ISBN: 978-84-09-17979-4
 ISSN: 2340-1117
 doi: 10.21125/edulearn.2020.0311"</v>
      </c>
      <c r="F6246" s="10" t="str">
        <f ca="1">IFERROR(__xludf.DUMMYFUNCTION("""COMPUTED_VALUE"""),"Web of Science
 https://library.iated.org/view/MUKANOVA2020FAC")</f>
        <v>Web of Science
 https://library.iated.org/view/MUKANOVA2020FAC</v>
      </c>
      <c r="G6246" s="10" t="str">
        <f ca="1">IFERROR(__xludf.DUMMYFUNCTION("""COMPUTED_VALUE"""),"Polly Mukanova, Sabina Eftimova, Kalina Mincheva")</f>
        <v>Polly Mukanova, Sabina Eftimova, Kalina Mincheva</v>
      </c>
      <c r="H6246" s="10"/>
      <c r="I6246" s="10"/>
      <c r="J6246" s="10"/>
      <c r="K6246" s="10"/>
      <c r="L6246" s="10"/>
      <c r="M6246" s="10"/>
      <c r="N6246" s="10"/>
      <c r="O6246" s="10"/>
      <c r="P6246" s="10"/>
      <c r="Q6246" s="10"/>
      <c r="R6246" s="10"/>
      <c r="S6246" s="10"/>
      <c r="T6246" s="10"/>
      <c r="U6246" s="10"/>
      <c r="V6246" s="10"/>
      <c r="W6246" s="10"/>
      <c r="X6246" s="10"/>
      <c r="Y6246" s="10"/>
      <c r="Z6246" s="10"/>
    </row>
    <row r="6247" spans="1:26" ht="12.75">
      <c r="A6247" s="10" t="str">
        <f ca="1">IFERROR(__xludf.DUMMYFUNCTION("""COMPUTED_VALUE"""),"Поли Руменова Муканова")</f>
        <v>Поли Руменова Муканова</v>
      </c>
      <c r="B6247" s="10" t="str">
        <f ca="1">IFERROR(__xludf.DUMMYFUNCTION("""COMPUTED_VALUE"""),"Доклад от конференция")</f>
        <v>Доклад от конференция</v>
      </c>
      <c r="C6247" s="10" t="str">
        <f ca="1">IFERROR(__xludf.DUMMYFUNCTION("""COMPUTED_VALUE"""),"Scientific, Educational and Cultural Social Dialogue between Teachers and Students in the University Envirenment")</f>
        <v>Scientific, Educational and Cultural Social Dialogue between Teachers and Students in the University Envirenment</v>
      </c>
      <c r="D6247" s="10">
        <f ca="1">IFERROR(__xludf.DUMMYFUNCTION("""COMPUTED_VALUE"""),2020)</f>
        <v>2020</v>
      </c>
      <c r="E6247" s="10" t="str">
        <f ca="1">IFERROR(__xludf.DUMMYFUNCTION("""COMPUTED_VALUE"""),"EDULEARN 2020 Proceedings. 12th International Conference on Education and New Learning Technologies Dates: 6-7 July, 2020. Spain: IATED, 2020, pp. 2855-2861. ""ISBN: 978-84-09-17979-4
 ISSN: 2340-1117
 doi: 10.21125/edulearn.2020.0860""")</f>
        <v>EDULEARN 2020 Proceedings. 12th International Conference on Education and New Learning Technologies Dates: 6-7 July, 2020. Spain: IATED, 2020, pp. 2855-2861. "ISBN: 978-84-09-17979-4
 ISSN: 2340-1117
 doi: 10.21125/edulearn.2020.0860"</v>
      </c>
      <c r="F6247" s="10" t="str">
        <f ca="1">IFERROR(__xludf.DUMMYFUNCTION("""COMPUTED_VALUE"""),"Web of Science
 https://library.iated.org/view/MINCHEVA2020SCI")</f>
        <v>Web of Science
 https://library.iated.org/view/MINCHEVA2020SCI</v>
      </c>
      <c r="G6247" s="10" t="str">
        <f ca="1">IFERROR(__xludf.DUMMYFUNCTION("""COMPUTED_VALUE"""),"Kalina Mincheva, Polly Mukanova, Sabina Eftimova")</f>
        <v>Kalina Mincheva, Polly Mukanova, Sabina Eftimova</v>
      </c>
      <c r="H6247" s="10"/>
      <c r="I6247" s="10"/>
      <c r="J6247" s="10"/>
      <c r="K6247" s="10"/>
      <c r="L6247" s="10"/>
      <c r="M6247" s="10"/>
      <c r="N6247" s="10"/>
      <c r="O6247" s="10"/>
      <c r="P6247" s="10"/>
      <c r="Q6247" s="10"/>
      <c r="R6247" s="10"/>
      <c r="S6247" s="10"/>
      <c r="T6247" s="10"/>
      <c r="U6247" s="10"/>
      <c r="V6247" s="10"/>
      <c r="W6247" s="10"/>
      <c r="X6247" s="10"/>
      <c r="Y6247" s="10"/>
      <c r="Z6247" s="10"/>
    </row>
    <row r="6248" spans="1:26" ht="12.75">
      <c r="A6248" s="10" t="str">
        <f ca="1">IFERROR(__xludf.DUMMYFUNCTION("""COMPUTED_VALUE"""),"Поли Руменова Муканова")</f>
        <v>Поли Руменова Муканова</v>
      </c>
      <c r="B6248" s="10" t="str">
        <f ca="1">IFERROR(__xludf.DUMMYFUNCTION("""COMPUTED_VALUE"""),"Доклад от конференция")</f>
        <v>Доклад от конференция</v>
      </c>
      <c r="C6248" s="10" t="str">
        <f ca="1">IFERROR(__xludf.DUMMYFUNCTION("""COMPUTED_VALUE"""),"The Role of Academic Libraries in Distance Learning")</f>
        <v>The Role of Academic Libraries in Distance Learning</v>
      </c>
      <c r="D6248" s="10">
        <f ca="1">IFERROR(__xludf.DUMMYFUNCTION("""COMPUTED_VALUE"""),2020)</f>
        <v>2020</v>
      </c>
      <c r="E6248" s="10" t="str">
        <f ca="1">IFERROR(__xludf.DUMMYFUNCTION("""COMPUTED_VALUE"""),"""EDULEARN 2020 Proceedings. 12th International Conference on Education and New Learning Technologies
 Dates: 6-7 July, 2020. Spain: IATED, 2020, pp. 2586-2595. ""ISBN: 978-84-09-17979-4
 ISSN: 2340-1117
 doi: 10.21125/edulearn.2020.0785""")</f>
        <v>"EDULEARN 2020 Proceedings. 12th International Conference on Education and New Learning Technologies
 Dates: 6-7 July, 2020. Spain: IATED, 2020, pp. 2586-2595. "ISBN: 978-84-09-17979-4
 ISSN: 2340-1117
 doi: 10.21125/edulearn.2020.0785"</v>
      </c>
      <c r="F6248" s="10" t="str">
        <f ca="1">IFERROR(__xludf.DUMMYFUNCTION("""COMPUTED_VALUE"""),"Web of Science
 https://library.iated.org/view/EFTIMOVA2020ROL")</f>
        <v>Web of Science
 https://library.iated.org/view/EFTIMOVA2020ROL</v>
      </c>
      <c r="G6248" s="10" t="str">
        <f ca="1">IFERROR(__xludf.DUMMYFUNCTION("""COMPUTED_VALUE"""),"Sabina Eftimova, Kalina Mincheva, Polly Mukanova")</f>
        <v>Sabina Eftimova, Kalina Mincheva, Polly Mukanova</v>
      </c>
      <c r="H6248" s="10"/>
      <c r="I6248" s="10"/>
      <c r="J6248" s="10"/>
      <c r="K6248" s="10"/>
      <c r="L6248" s="10"/>
      <c r="M6248" s="10"/>
      <c r="N6248" s="10"/>
      <c r="O6248" s="10"/>
      <c r="P6248" s="10"/>
      <c r="Q6248" s="10"/>
      <c r="R6248" s="10"/>
      <c r="S6248" s="10"/>
      <c r="T6248" s="10"/>
      <c r="U6248" s="10"/>
      <c r="V6248" s="10"/>
      <c r="W6248" s="10"/>
      <c r="X6248" s="10"/>
      <c r="Y6248" s="10"/>
      <c r="Z6248" s="10"/>
    </row>
    <row r="6249" spans="1:26" ht="12.75">
      <c r="A6249" s="10" t="str">
        <f ca="1">IFERROR(__xludf.DUMMYFUNCTION("""COMPUTED_VALUE"""),"Поли Руменова Муканова")</f>
        <v>Поли Руменова Муканова</v>
      </c>
      <c r="B6249" s="10" t="str">
        <f ca="1">IFERROR(__xludf.DUMMYFUNCTION("""COMPUTED_VALUE"""),"Доклад от конференция")</f>
        <v>Доклад от конференция</v>
      </c>
      <c r="C6249" s="10" t="str">
        <f ca="1">IFERROR(__xludf.DUMMYFUNCTION("""COMPUTED_VALUE"""),"Student practices: an opportunity to develop the potential of learners in a real working environment")</f>
        <v>Student practices: an opportunity to develop the potential of learners in a real working environment</v>
      </c>
      <c r="D6249" s="10">
        <f ca="1">IFERROR(__xludf.DUMMYFUNCTION("""COMPUTED_VALUE"""),2020)</f>
        <v>2020</v>
      </c>
      <c r="E6249" s="10" t="str">
        <f ca="1">IFERROR(__xludf.DUMMYFUNCTION("""COMPUTED_VALUE"""),"14th International Technology, Education and Development Conference, 2-4 March, 2020, Valencia, Spain. INTED2020 Proceedings, pp. 5151-5155. ISSN 978-84-09- 7939-8")</f>
        <v>14th International Technology, Education and Development Conference, 2-4 March, 2020, Valencia, Spain. INTED2020 Proceedings, pp. 5151-5155. ISSN 978-84-09- 7939-8</v>
      </c>
      <c r="F6249" s="10" t="str">
        <f ca="1">IFERROR(__xludf.DUMMYFUNCTION("""COMPUTED_VALUE"""),"Web of Science, Scopus")</f>
        <v>Web of Science, Scopus</v>
      </c>
      <c r="G6249" s="10" t="str">
        <f ca="1">IFERROR(__xludf.DUMMYFUNCTION("""COMPUTED_VALUE"""),"Sabina Eftimova, Kalina Mincheva")</f>
        <v>Sabina Eftimova, Kalina Mincheva</v>
      </c>
      <c r="H6249" s="10"/>
      <c r="I6249" s="10"/>
      <c r="J6249" s="10"/>
      <c r="K6249" s="10"/>
      <c r="L6249" s="10"/>
      <c r="M6249" s="10"/>
      <c r="N6249" s="10"/>
      <c r="O6249" s="10"/>
      <c r="P6249" s="10"/>
      <c r="Q6249" s="10"/>
      <c r="R6249" s="10"/>
      <c r="S6249" s="10"/>
      <c r="T6249" s="10"/>
      <c r="U6249" s="10"/>
      <c r="V6249" s="10"/>
      <c r="W6249" s="10"/>
      <c r="X6249" s="10"/>
      <c r="Y6249" s="10"/>
      <c r="Z6249" s="10"/>
    </row>
    <row r="6250" spans="1:26" ht="12.75">
      <c r="A6250" s="10" t="str">
        <f ca="1">IFERROR(__xludf.DUMMYFUNCTION("""COMPUTED_VALUE"""),"Поли Руменова Муканова")</f>
        <v>Поли Руменова Муканова</v>
      </c>
      <c r="B6250" s="10" t="str">
        <f ca="1">IFERROR(__xludf.DUMMYFUNCTION("""COMPUTED_VALUE"""),"Доклад от конференция")</f>
        <v>Доклад от конференция</v>
      </c>
      <c r="C6250" s="10" t="str">
        <f ca="1">IFERROR(__xludf.DUMMYFUNCTION("""COMPUTED_VALUE"""),"BULGARIAN LIBRARIES IN EMERGENCY CONDITIONS")</f>
        <v>BULGARIAN LIBRARIES IN EMERGENCY CONDITIONS</v>
      </c>
      <c r="D6250" s="10">
        <f ca="1">IFERROR(__xludf.DUMMYFUNCTION("""COMPUTED_VALUE"""),2020)</f>
        <v>2020</v>
      </c>
      <c r="E6250" s="10" t="str">
        <f ca="1">IFERROR(__xludf.DUMMYFUNCTION("""COMPUTED_VALUE"""),"""ICERI2020 Proceedings, 13th International Conference of Education, Research and Innovation
 Dates: 9th-10th November, 2020, Spain: IATED Academy, pp. 1145-1150."" ""ISBN: 978-84-09-24232-0
 ISSN: 2340-1095""")</f>
        <v>"ICERI2020 Proceedings, 13th International Conference of Education, Research and Innovation
 Dates: 9th-10th November, 2020, Spain: IATED Academy, pp. 1145-1150." "ISBN: 978-84-09-24232-0
 ISSN: 2340-1095"</v>
      </c>
      <c r="F6250" s="10" t="str">
        <f ca="1">IFERROR(__xludf.DUMMYFUNCTION("""COMPUTED_VALUE"""),"Web of Science")</f>
        <v>Web of Science</v>
      </c>
      <c r="G6250" s="10" t="str">
        <f ca="1">IFERROR(__xludf.DUMMYFUNCTION("""COMPUTED_VALUE"""),"P. Mukanova, K. Mincheva, S. Eftimova")</f>
        <v>P. Mukanova, K. Mincheva, S. Eftimova</v>
      </c>
      <c r="H6250" s="10"/>
      <c r="I6250" s="10"/>
      <c r="J6250" s="10"/>
      <c r="K6250" s="10"/>
      <c r="L6250" s="10"/>
      <c r="M6250" s="10"/>
      <c r="N6250" s="10"/>
      <c r="O6250" s="10"/>
      <c r="P6250" s="10"/>
      <c r="Q6250" s="10"/>
      <c r="R6250" s="10"/>
      <c r="S6250" s="10"/>
      <c r="T6250" s="10"/>
      <c r="U6250" s="10"/>
      <c r="V6250" s="10"/>
      <c r="W6250" s="10"/>
      <c r="X6250" s="10"/>
      <c r="Y6250" s="10"/>
      <c r="Z6250" s="10"/>
    </row>
    <row r="6251" spans="1:26" ht="12.75">
      <c r="A6251" s="10" t="str">
        <f ca="1">IFERROR(__xludf.DUMMYFUNCTION("""COMPUTED_VALUE"""),"Поли Руменова Муканова")</f>
        <v>Поли Руменова Муканова</v>
      </c>
      <c r="B6251" s="10" t="str">
        <f ca="1">IFERROR(__xludf.DUMMYFUNCTION("""COMPUTED_VALUE"""),"Доклад от конференция")</f>
        <v>Доклад от конференция</v>
      </c>
      <c r="C6251" s="10" t="str">
        <f ca="1">IFERROR(__xludf.DUMMYFUNCTION("""COMPUTED_VALUE"""),"FACEBOOK ACTIVITIES OF BULGARIAN LIBRARIES DURING A PANDEMIC")</f>
        <v>FACEBOOK ACTIVITIES OF BULGARIAN LIBRARIES DURING A PANDEMIC</v>
      </c>
      <c r="D6251" s="10">
        <f ca="1">IFERROR(__xludf.DUMMYFUNCTION("""COMPUTED_VALUE"""),2020)</f>
        <v>2020</v>
      </c>
      <c r="E6251" s="10" t="str">
        <f ca="1">IFERROR(__xludf.DUMMYFUNCTION("""COMPUTED_VALUE"""),"""ICERI2020 Proceedings, 13th International Conference of Education, Research and Innovation
 Dates: 9th-10th November, 2020, Spain: IATED Academy, pp. 1350-1356"""" ISBN: 978-84-09-24232-0
 ISSN: 2340-1095""")</f>
        <v>"ICERI2020 Proceedings, 13th International Conference of Education, Research and Innovation
 Dates: 9th-10th November, 2020, Spain: IATED Academy, pp. 1350-1356"" ISBN: 978-84-09-24232-0
 ISSN: 2340-1095"</v>
      </c>
      <c r="F6251" s="10" t="str">
        <f ca="1">IFERROR(__xludf.DUMMYFUNCTION("""COMPUTED_VALUE"""),"Web of Science")</f>
        <v>Web of Science</v>
      </c>
      <c r="G6251" s="10" t="str">
        <f ca="1">IFERROR(__xludf.DUMMYFUNCTION("""COMPUTED_VALUE"""),"K. Mincheva, S. Eftimova, P. Mukanova")</f>
        <v>K. Mincheva, S. Eftimova, P. Mukanova</v>
      </c>
      <c r="H6251" s="10"/>
      <c r="I6251" s="10"/>
      <c r="J6251" s="10"/>
      <c r="K6251" s="10"/>
      <c r="L6251" s="10"/>
      <c r="M6251" s="10"/>
      <c r="N6251" s="10"/>
      <c r="O6251" s="10"/>
      <c r="P6251" s="10"/>
      <c r="Q6251" s="10"/>
      <c r="R6251" s="10"/>
      <c r="S6251" s="10"/>
      <c r="T6251" s="10"/>
      <c r="U6251" s="10"/>
      <c r="V6251" s="10"/>
      <c r="W6251" s="10"/>
      <c r="X6251" s="10"/>
      <c r="Y6251" s="10"/>
      <c r="Z6251" s="10"/>
    </row>
    <row r="6252" spans="1:26" ht="12.75">
      <c r="A6252" s="10" t="str">
        <f ca="1">IFERROR(__xludf.DUMMYFUNCTION("""COMPUTED_VALUE"""),"Поли Руменова Муканова")</f>
        <v>Поли Руменова Муканова</v>
      </c>
      <c r="B6252" s="10" t="str">
        <f ca="1">IFERROR(__xludf.DUMMYFUNCTION("""COMPUTED_VALUE"""),"Доклад от конференция")</f>
        <v>Доклад от конференция</v>
      </c>
      <c r="C6252" s="10" t="str">
        <f ca="1">IFERROR(__xludf.DUMMYFUNCTION("""COMPUTED_VALUE"""),"Lifelong Learning and Libraries: Best Practices in Bulgarian Public Libraries")</f>
        <v>Lifelong Learning and Libraries: Best Practices in Bulgarian Public Libraries</v>
      </c>
      <c r="D6252" s="10">
        <f ca="1">IFERROR(__xludf.DUMMYFUNCTION("""COMPUTED_VALUE"""),2020)</f>
        <v>2020</v>
      </c>
      <c r="E6252" s="10" t="str">
        <f ca="1">IFERROR(__xludf.DUMMYFUNCTION("""COMPUTED_VALUE"""),"INTED 2020 Proceedings 14th International Technology, Education and Development Conference, 2-4 March, 2020, Valencia,
 Spain, pp. 5067-5071. 
 ISSN 978-84-09-17939-8")</f>
        <v>INTED 2020 Proceedings 14th International Technology, Education and Development Conference, 2-4 March, 2020, Valencia,
 Spain, pp. 5067-5071. 
 ISSN 978-84-09-17939-8</v>
      </c>
      <c r="F6252" s="10" t="str">
        <f ca="1">IFERROR(__xludf.DUMMYFUNCTION("""COMPUTED_VALUE"""),"Web of Science")</f>
        <v>Web of Science</v>
      </c>
      <c r="G6252" s="10" t="str">
        <f ca="1">IFERROR(__xludf.DUMMYFUNCTION("""COMPUTED_VALUE"""),"Sabina Eftimova")</f>
        <v>Sabina Eftimova</v>
      </c>
      <c r="H6252" s="10"/>
      <c r="I6252" s="10"/>
      <c r="J6252" s="10"/>
      <c r="K6252" s="10"/>
      <c r="L6252" s="10"/>
      <c r="M6252" s="10"/>
      <c r="N6252" s="10"/>
      <c r="O6252" s="10"/>
      <c r="P6252" s="10"/>
      <c r="Q6252" s="10"/>
      <c r="R6252" s="10"/>
      <c r="S6252" s="10"/>
      <c r="T6252" s="10"/>
      <c r="U6252" s="10"/>
      <c r="V6252" s="10"/>
      <c r="W6252" s="10"/>
      <c r="X6252" s="10"/>
      <c r="Y6252" s="10"/>
      <c r="Z6252" s="10"/>
    </row>
    <row r="6253" spans="1:26" ht="12.75">
      <c r="A6253" s="10" t="str">
        <f ca="1">IFERROR(__xludf.DUMMYFUNCTION("""COMPUTED_VALUE"""),"Поли Руменова Муканова")</f>
        <v>Поли Руменова Муканова</v>
      </c>
      <c r="B6253" s="10" t="str">
        <f ca="1">IFERROR(__xludf.DUMMYFUNCTION("""COMPUTED_VALUE"""),"Доклад от конференция")</f>
        <v>Доклад от конференция</v>
      </c>
      <c r="C6253" s="10" t="str">
        <f ca="1">IFERROR(__xludf.DUMMYFUNCTION("""COMPUTED_VALUE"""),"RETHINKING FORMS OF TRAINING DURING A PANDEMIC: TEACHING PRACTICES AT ULSIT")</f>
        <v>RETHINKING FORMS OF TRAINING DURING A PANDEMIC: TEACHING PRACTICES AT ULSIT</v>
      </c>
      <c r="D6253" s="10">
        <f ca="1">IFERROR(__xludf.DUMMYFUNCTION("""COMPUTED_VALUE"""),2020)</f>
        <v>2020</v>
      </c>
      <c r="E6253" s="10" t="str">
        <f ca="1">IFERROR(__xludf.DUMMYFUNCTION("""COMPUTED_VALUE"""),"""ICERI2020 Proceedings, 13th International Conference of Education, Research and Innovation
 Dates: 9th-10th November, 2020, Spain: IATED Academy, pp. 1151-1156. "" ISBN: 978-84-09-24232-0
 ISSN: 2340-1095""")</f>
        <v>"ICERI2020 Proceedings, 13th International Conference of Education, Research and Innovation
 Dates: 9th-10th November, 2020, Spain: IATED Academy, pp. 1151-1156. " ISBN: 978-84-09-24232-0
 ISSN: 2340-1095"</v>
      </c>
      <c r="F6253" s="10" t="str">
        <f ca="1">IFERROR(__xludf.DUMMYFUNCTION("""COMPUTED_VALUE"""),"Web of Science")</f>
        <v>Web of Science</v>
      </c>
      <c r="G6253" s="10" t="str">
        <f ca="1">IFERROR(__xludf.DUMMYFUNCTION("""COMPUTED_VALUE"""),"P. Mukanova, K. Mincheva, S. Eftimova")</f>
        <v>P. Mukanova, K. Mincheva, S. Eftimova</v>
      </c>
      <c r="H6253" s="10"/>
      <c r="I6253" s="10"/>
      <c r="J6253" s="10"/>
      <c r="K6253" s="10"/>
      <c r="L6253" s="10"/>
      <c r="M6253" s="10"/>
      <c r="N6253" s="10"/>
      <c r="O6253" s="10"/>
      <c r="P6253" s="10"/>
      <c r="Q6253" s="10"/>
      <c r="R6253" s="10"/>
      <c r="S6253" s="10"/>
      <c r="T6253" s="10"/>
      <c r="U6253" s="10"/>
      <c r="V6253" s="10"/>
      <c r="W6253" s="10"/>
      <c r="X6253" s="10"/>
      <c r="Y6253" s="10"/>
      <c r="Z6253" s="10"/>
    </row>
    <row r="6254" spans="1:26" ht="12.75">
      <c r="A6254" s="10" t="str">
        <f ca="1">IFERROR(__xludf.DUMMYFUNCTION("""COMPUTED_VALUE"""),"Поли Руменова Муканова")</f>
        <v>Поли Руменова Муканова</v>
      </c>
      <c r="B6254" s="10" t="str">
        <f ca="1">IFERROR(__xludf.DUMMYFUNCTION("""COMPUTED_VALUE"""),"Статия в списания и поредици")</f>
        <v>Статия в списания и поредици</v>
      </c>
      <c r="C6254" s="10" t="str">
        <f ca="1">IFERROR(__xludf.DUMMYFUNCTION("""COMPUTED_VALUE"""),"Излезе от печат книгата ""Ръкописният българско-италиански речник на Отец Маурицио от 1845 г."" (Рецензия)")</f>
        <v>Излезе от печат книгата "Ръкописният българско-италиански речник на Отец Маурицио от 1845 г." (Рецензия)</v>
      </c>
      <c r="D6254" s="10">
        <f ca="1">IFERROR(__xludf.DUMMYFUNCTION("""COMPUTED_VALUE"""),2020)</f>
        <v>2020</v>
      </c>
      <c r="E6254" s="10" t="str">
        <f ca="1">IFERROR(__xludf.DUMMYFUNCTION("""COMPUTED_VALUE"""),"Издател, научно списание, том XXII, kн. I, 2020, За буквите - О писменехь, с. 67-70. ISSN: 1310-4624")</f>
        <v>Издател, научно списание, том XXII, kн. I, 2020, За буквите - О писменехь, с. 67-70. ISSN: 1310-4624</v>
      </c>
      <c r="F6254" s="10"/>
      <c r="G6254" s="10"/>
      <c r="H6254" s="10"/>
      <c r="I6254" s="10"/>
      <c r="J6254" s="10"/>
      <c r="K6254" s="10"/>
      <c r="L6254" s="10"/>
      <c r="M6254" s="10"/>
      <c r="N6254" s="10"/>
      <c r="O6254" s="10"/>
      <c r="P6254" s="10"/>
      <c r="Q6254" s="10"/>
      <c r="R6254" s="10"/>
      <c r="S6254" s="10"/>
      <c r="T6254" s="10"/>
      <c r="U6254" s="10"/>
      <c r="V6254" s="10"/>
      <c r="W6254" s="10"/>
      <c r="X6254" s="10"/>
      <c r="Y6254" s="10"/>
      <c r="Z6254" s="10"/>
    </row>
    <row r="6255" spans="1:26" ht="12.75">
      <c r="A6255" s="10" t="str">
        <f ca="1">IFERROR(__xludf.DUMMYFUNCTION("""COMPUTED_VALUE"""),"Поли Руменова Муканова")</f>
        <v>Поли Руменова Муканова</v>
      </c>
      <c r="B6255" s="10" t="str">
        <f ca="1">IFERROR(__xludf.DUMMYFUNCTION("""COMPUTED_VALUE"""),"Статия в списания и поредици")</f>
        <v>Статия в списания и поредици</v>
      </c>
      <c r="C6255" s="10" t="str">
        <f ca="1">IFERROR(__xludf.DUMMYFUNCTION("""COMPUTED_VALUE"""),"Initiatives of Regional Libraries in Bulgaria in the Sphere of Social and Cultural Integration: Examples from Practice")</f>
        <v>Initiatives of Regional Libraries in Bulgaria in the Sphere of Social and Cultural Integration: Examples from Practice</v>
      </c>
      <c r="D6255" s="10">
        <f ca="1">IFERROR(__xludf.DUMMYFUNCTION("""COMPUTED_VALUE"""),2019)</f>
        <v>2019</v>
      </c>
      <c r="E6255" s="10" t="str">
        <f ca="1">IFERROR(__xludf.DUMMYFUNCTION("""COMPUTED_VALUE"""),"Proceedings of INTED2019 Conference 11th-13th March 2019, Valencia, Spain, pp. 3072-3079. ISBN: 978-84-09-08619-1")</f>
        <v>Proceedings of INTED2019 Conference 11th-13th March 2019, Valencia, Spain, pp. 3072-3079. ISBN: 978-84-09-08619-1</v>
      </c>
      <c r="F6255" s="10" t="str">
        <f ca="1">IFERROR(__xludf.DUMMYFUNCTION("""COMPUTED_VALUE"""),"Web of Knowledge")</f>
        <v>Web of Knowledge</v>
      </c>
      <c r="G6255" s="10" t="str">
        <f ca="1">IFERROR(__xludf.DUMMYFUNCTION("""COMPUTED_VALUE"""),"С. Ефтимова, Е. Цветкова")</f>
        <v>С. Ефтимова, Е. Цветкова</v>
      </c>
      <c r="H6255" s="10"/>
      <c r="I6255" s="10"/>
      <c r="J6255" s="10"/>
      <c r="K6255" s="10"/>
      <c r="L6255" s="10"/>
      <c r="M6255" s="10"/>
      <c r="N6255" s="10"/>
      <c r="O6255" s="10"/>
      <c r="P6255" s="10"/>
      <c r="Q6255" s="10"/>
      <c r="R6255" s="10"/>
      <c r="S6255" s="10"/>
      <c r="T6255" s="10"/>
      <c r="U6255" s="10"/>
      <c r="V6255" s="10"/>
      <c r="W6255" s="10"/>
      <c r="X6255" s="10"/>
      <c r="Y6255" s="10"/>
      <c r="Z6255" s="10"/>
    </row>
    <row r="6256" spans="1:26" ht="12.75">
      <c r="A6256" s="10" t="str">
        <f ca="1">IFERROR(__xludf.DUMMYFUNCTION("""COMPUTED_VALUE"""),"Поли Руменова Муканова")</f>
        <v>Поли Руменова Муканова</v>
      </c>
      <c r="B6256" s="10" t="str">
        <f ca="1">IFERROR(__xludf.DUMMYFUNCTION("""COMPUTED_VALUE"""),"Статия в списания и поредици")</f>
        <v>Статия в списания и поредици</v>
      </c>
      <c r="C6256" s="10" t="str">
        <f ca="1">IFERROR(__xludf.DUMMYFUNCTION("""COMPUTED_VALUE"""),"Libraries and Mystifications: a New Bibliographical Approach to the First Printed Book in Bulgarian.")</f>
        <v>Libraries and Mystifications: a New Bibliographical Approach to the First Printed Book in Bulgarian.</v>
      </c>
      <c r="D6256" s="10">
        <f ca="1">IFERROR(__xludf.DUMMYFUNCTION("""COMPUTED_VALUE"""),2019)</f>
        <v>2019</v>
      </c>
      <c r="E6256" s="10" t="str">
        <f ca="1">IFERROR(__xludf.DUMMYFUNCTION("""COMPUTED_VALUE"""),"Proceedings of ICERI2019 Conference 11th-13th November 2019, Seville, Spain.12th International Conference of Education, Research and Innovation. Seville: IATED Academy, 2019, pp. 8349-8353. ISBN: 978-84-09-14755-7")</f>
        <v>Proceedings of ICERI2019 Conference 11th-13th November 2019, Seville, Spain.12th International Conference of Education, Research and Innovation. Seville: IATED Academy, 2019, pp. 8349-8353. ISBN: 978-84-09-14755-7</v>
      </c>
      <c r="F6256" s="10" t="str">
        <f ca="1">IFERROR(__xludf.DUMMYFUNCTION("""COMPUTED_VALUE"""),"Web of Knowledge")</f>
        <v>Web of Knowledge</v>
      </c>
      <c r="G6256" s="10"/>
      <c r="H6256" s="10"/>
      <c r="I6256" s="10"/>
      <c r="J6256" s="10"/>
      <c r="K6256" s="10"/>
      <c r="L6256" s="10"/>
      <c r="M6256" s="10"/>
      <c r="N6256" s="10"/>
      <c r="O6256" s="10"/>
      <c r="P6256" s="10"/>
      <c r="Q6256" s="10"/>
      <c r="R6256" s="10"/>
      <c r="S6256" s="10"/>
      <c r="T6256" s="10"/>
      <c r="U6256" s="10"/>
      <c r="V6256" s="10"/>
      <c r="W6256" s="10"/>
      <c r="X6256" s="10"/>
      <c r="Y6256" s="10"/>
      <c r="Z6256" s="10"/>
    </row>
    <row r="6257" spans="1:26" ht="12.75">
      <c r="A6257" s="10" t="str">
        <f ca="1">IFERROR(__xludf.DUMMYFUNCTION("""COMPUTED_VALUE"""),"Поли Руменова Муканова")</f>
        <v>Поли Руменова Муканова</v>
      </c>
      <c r="B6257" s="10" t="str">
        <f ca="1">IFERROR(__xludf.DUMMYFUNCTION("""COMPUTED_VALUE"""),"Статия в списания и поредици")</f>
        <v>Статия в списания и поредици</v>
      </c>
      <c r="C6257" s="10" t="str">
        <f ca="1">IFERROR(__xludf.DUMMYFUNCTION("""COMPUTED_VALUE"""),"New Forms of Literacy and Transformation of Reading Practices in Bulgaria")</f>
        <v>New Forms of Literacy and Transformation of Reading Practices in Bulgaria</v>
      </c>
      <c r="D6257" s="10">
        <f ca="1">IFERROR(__xludf.DUMMYFUNCTION("""COMPUTED_VALUE"""),2019)</f>
        <v>2019</v>
      </c>
      <c r="E6257" s="10" t="str">
        <f ca="1">IFERROR(__xludf.DUMMYFUNCTION("""COMPUTED_VALUE"""),"International Information &amp; Library Review, Vol. 51, Issue 3, 2019, pp. 275-283, DOI: 10.1080/10572317.2019.1629746")</f>
        <v>International Information &amp; Library Review, Vol. 51, Issue 3, 2019, pp. 275-283, DOI: 10.1080/10572317.2019.1629746</v>
      </c>
      <c r="F6257" s="10" t="str">
        <f ca="1">IFERROR(__xludf.DUMMYFUNCTION("""COMPUTED_VALUE"""),"Web of Knowledge")</f>
        <v>Web of Knowledge</v>
      </c>
      <c r="G6257" s="10" t="str">
        <f ca="1">IFERROR(__xludf.DUMMYFUNCTION("""COMPUTED_VALUE"""),"М. Енчева, М. Борисова, С. Найденова")</f>
        <v>М. Енчева, М. Борисова, С. Найденова</v>
      </c>
      <c r="H6257" s="10"/>
      <c r="I6257" s="10"/>
      <c r="J6257" s="10"/>
      <c r="K6257" s="10"/>
      <c r="L6257" s="10"/>
      <c r="M6257" s="10"/>
      <c r="N6257" s="10"/>
      <c r="O6257" s="10"/>
      <c r="P6257" s="10"/>
      <c r="Q6257" s="10"/>
      <c r="R6257" s="10"/>
      <c r="S6257" s="10"/>
      <c r="T6257" s="10"/>
      <c r="U6257" s="10"/>
      <c r="V6257" s="10"/>
      <c r="W6257" s="10"/>
      <c r="X6257" s="10"/>
      <c r="Y6257" s="10"/>
      <c r="Z6257" s="10"/>
    </row>
    <row r="6258" spans="1:26" ht="12.75">
      <c r="A6258" s="10" t="str">
        <f ca="1">IFERROR(__xludf.DUMMYFUNCTION("""COMPUTED_VALUE"""),"Поли Руменова Муканова")</f>
        <v>Поли Руменова Муканова</v>
      </c>
      <c r="B6258" s="10" t="str">
        <f ca="1">IFERROR(__xludf.DUMMYFUNCTION("""COMPUTED_VALUE"""),"Доклад от конференция")</f>
        <v>Доклад от конференция</v>
      </c>
      <c r="C6258" s="10" t="str">
        <f ca="1">IFERROR(__xludf.DUMMYFUNCTION("""COMPUTED_VALUE"""),"Проектът ""Яков Крайков"" - ново книговедско и библиографско проучване")</f>
        <v>Проектът "Яков Крайков" - ново книговедско и библиографско проучване</v>
      </c>
      <c r="D6258" s="10">
        <f ca="1">IFERROR(__xludf.DUMMYFUNCTION("""COMPUTED_VALUE"""),2019)</f>
        <v>2019</v>
      </c>
      <c r="E6258" s="10" t="str">
        <f ca="1">IFERROR(__xludf.DUMMYFUNCTION("""COMPUTED_VALUE"""),"Обществото на знанието и хуманизмът на XXI век: XVII национална научна конференция с международно участие София, 1 ноември 2019 г. София: Академично издателство „За буквите – О писменехь“, 2019, с.109-114. ISSN 2683-0094")</f>
        <v>Обществото на знанието и хуманизмът на XXI век: XVII национална научна конференция с международно участие София, 1 ноември 2019 г. София: Академично издателство „За буквите – О писменехь“, 2019, с.109-114. ISSN 2683-0094</v>
      </c>
      <c r="F6258" s="10"/>
      <c r="G6258" s="10"/>
      <c r="H6258" s="10"/>
      <c r="I6258" s="10"/>
      <c r="J6258" s="10"/>
      <c r="K6258" s="10"/>
      <c r="L6258" s="10"/>
      <c r="M6258" s="10"/>
      <c r="N6258" s="10"/>
      <c r="O6258" s="10"/>
      <c r="P6258" s="10"/>
      <c r="Q6258" s="10"/>
      <c r="R6258" s="10"/>
      <c r="S6258" s="10"/>
      <c r="T6258" s="10"/>
      <c r="U6258" s="10"/>
      <c r="V6258" s="10"/>
      <c r="W6258" s="10"/>
      <c r="X6258" s="10"/>
      <c r="Y6258" s="10"/>
      <c r="Z6258" s="10"/>
    </row>
    <row r="6259" spans="1:26" ht="12.75">
      <c r="A6259" s="10" t="str">
        <f ca="1">IFERROR(__xludf.DUMMYFUNCTION("""COMPUTED_VALUE"""),"Поли Руменова Муканова")</f>
        <v>Поли Руменова Муканова</v>
      </c>
      <c r="B6259" s="10" t="str">
        <f ca="1">IFERROR(__xludf.DUMMYFUNCTION("""COMPUTED_VALUE"""),"Доклад от конференция")</f>
        <v>Доклад от конференция</v>
      </c>
      <c r="C6259" s="10" t="str">
        <f ca="1">IFERROR(__xludf.DUMMYFUNCTION("""COMPUTED_VALUE"""),"Книжовните колекции – подстъп към една обучителна платформа")</f>
        <v>Книжовните колекции – подстъп към една обучителна платформа</v>
      </c>
      <c r="D6259" s="10">
        <f ca="1">IFERROR(__xludf.DUMMYFUNCTION("""COMPUTED_VALUE"""),2019)</f>
        <v>2019</v>
      </c>
      <c r="E6259" s="10" t="str">
        <f ca="1">IFERROR(__xludf.DUMMYFUNCTION("""COMPUTED_VALUE"""),"Съвременни измерения на европейското образователно и научно пространство: сборник с доклади Сборник с доклади Тринадесети международен пътуващ семинар на УниБИТ, България – Австрия, 26–31 май 2019 г. = Modern dimensions in European education and research "&amp;"area, Том 7. София: За буквите - О писменехь, 2019, с. 92-97. ISSN 2367-7988")</f>
        <v>Съвременни измерения на европейското образователно и научно пространство: сборник с доклади Сборник с доклади Тринадесети международен пътуващ семинар на УниБИТ, България – Австрия, 26–31 май 2019 г. = Modern dimensions in European education and research area, Том 7. София: За буквите - О писменехь, 2019, с. 92-97. ISSN 2367-7988</v>
      </c>
      <c r="F6259" s="10"/>
      <c r="G6259" s="10"/>
      <c r="H6259" s="10"/>
      <c r="I6259" s="10"/>
      <c r="J6259" s="10"/>
      <c r="K6259" s="10"/>
      <c r="L6259" s="10"/>
      <c r="M6259" s="10"/>
      <c r="N6259" s="10"/>
      <c r="O6259" s="10"/>
      <c r="P6259" s="10"/>
      <c r="Q6259" s="10"/>
      <c r="R6259" s="10"/>
      <c r="S6259" s="10"/>
      <c r="T6259" s="10"/>
      <c r="U6259" s="10"/>
      <c r="V6259" s="10"/>
      <c r="W6259" s="10"/>
      <c r="X6259" s="10"/>
      <c r="Y6259" s="10"/>
      <c r="Z6259" s="10"/>
    </row>
    <row r="6260" spans="1:26" ht="12.75">
      <c r="A6260" s="10" t="str">
        <f ca="1">IFERROR(__xludf.DUMMYFUNCTION("""COMPUTED_VALUE"""),"Поли Руменова Муканова")</f>
        <v>Поли Руменова Муканова</v>
      </c>
      <c r="B6260" s="10" t="str">
        <f ca="1">IFERROR(__xludf.DUMMYFUNCTION("""COMPUTED_VALUE"""),"Доклад от конференция")</f>
        <v>Доклад от конференция</v>
      </c>
      <c r="C6260" s="10" t="str">
        <f ca="1">IFERROR(__xludf.DUMMYFUNCTION("""COMPUTED_VALUE"""),"Jacob Kraykov – a New Bibliological and Bibliographical Survey")</f>
        <v>Jacob Kraykov – a New Bibliological and Bibliographical Survey</v>
      </c>
      <c r="D6260" s="10">
        <f ca="1">IFERROR(__xludf.DUMMYFUNCTION("""COMPUTED_VALUE"""),2019)</f>
        <v>2019</v>
      </c>
      <c r="E6260" s="10" t="str">
        <f ca="1">IFERROR(__xludf.DUMMYFUNCTION("""COMPUTED_VALUE"""),"Съвременни стратегии и иновации в управление на знанието = Contemporary strategies and innovations in the knowledge management. Collection with Papers of the Fifth Scientific Conference 26-30 August 2019, Geneva. Сборник с доклади от Пета научна конференц"&amp;"ия 26-30 август 2019 г., 5/2019. София: За буквите – О писменехь, 2019, с. 19-24. ISSN 2535-0250")</f>
        <v>Съвременни стратегии и иновации в управление на знанието = Contemporary strategies and innovations in the knowledge management. Collection with Papers of the Fifth Scientific Conference 26-30 August 2019, Geneva. Сборник с доклади от Пета научна конференция 26-30 август 2019 г., 5/2019. София: За буквите – О писменехь, 2019, с. 19-24. ISSN 2535-0250</v>
      </c>
      <c r="F6260" s="10"/>
      <c r="G6260" s="10"/>
      <c r="H6260" s="10"/>
      <c r="I6260" s="10"/>
      <c r="J6260" s="10"/>
      <c r="K6260" s="10"/>
      <c r="L6260" s="10"/>
      <c r="M6260" s="10"/>
      <c r="N6260" s="10"/>
      <c r="O6260" s="10"/>
      <c r="P6260" s="10"/>
      <c r="Q6260" s="10"/>
      <c r="R6260" s="10"/>
      <c r="S6260" s="10"/>
      <c r="T6260" s="10"/>
      <c r="U6260" s="10"/>
      <c r="V6260" s="10"/>
      <c r="W6260" s="10"/>
      <c r="X6260" s="10"/>
      <c r="Y6260" s="10"/>
      <c r="Z6260" s="10"/>
    </row>
    <row r="6261" spans="1:26" ht="12.75">
      <c r="A6261" s="10" t="str">
        <f ca="1">IFERROR(__xludf.DUMMYFUNCTION("""COMPUTED_VALUE"""),"Поли Руменова Муканова")</f>
        <v>Поли Руменова Муканова</v>
      </c>
      <c r="B6261" s="10" t="str">
        <f ca="1">IFERROR(__xludf.DUMMYFUNCTION("""COMPUTED_VALUE"""),"Доклад от конференция")</f>
        <v>Доклад от конференция</v>
      </c>
      <c r="C6261" s="10" t="str">
        <f ca="1">IFERROR(__xludf.DUMMYFUNCTION("""COMPUTED_VALUE"""),"Overview of the Institutional Reading Practices in Bulgaria in Historical Perspective")</f>
        <v>Overview of the Institutional Reading Practices in Bulgaria in Historical Perspective</v>
      </c>
      <c r="D6261" s="10">
        <f ca="1">IFERROR(__xludf.DUMMYFUNCTION("""COMPUTED_VALUE"""),2019)</f>
        <v>2019</v>
      </c>
      <c r="E6261" s="10" t="str">
        <f ca="1">IFERROR(__xludf.DUMMYFUNCTION("""COMPUTED_VALUE"""),"Съвременни стратегии и иновации в управление на знанието. Сборник с доклади от Трета научна конференция 26-28.11.2018 г., Европейски парламент в Брюксел, Университетска младежка академия за управление на знания. [състав. Т. Тренчева, Д. Стоянова, М. Павло"&amp;"ва; предг. К. Минчева, П. Муканова], 4/2018. София: За буквите – О писменехь, 2019, с. 81-91. ISSN 2535-0250")</f>
        <v>Съвременни стратегии и иновации в управление на знанието. Сборник с доклади от Трета научна конференция 26-28.11.2018 г., Европейски парламент в Брюксел, Университетска младежка академия за управление на знания. [състав. Т. Тренчева, Д. Стоянова, М. Павлова; предг. К. Минчева, П. Муканова], 4/2018. София: За буквите – О писменехь, 2019, с. 81-91. ISSN 2535-0250</v>
      </c>
      <c r="F6261" s="10"/>
      <c r="G6261" s="10"/>
      <c r="H6261" s="10"/>
      <c r="I6261" s="10"/>
      <c r="J6261" s="10"/>
      <c r="K6261" s="10"/>
      <c r="L6261" s="10"/>
      <c r="M6261" s="10"/>
      <c r="N6261" s="10"/>
      <c r="O6261" s="10"/>
      <c r="P6261" s="10"/>
      <c r="Q6261" s="10"/>
      <c r="R6261" s="10"/>
      <c r="S6261" s="10"/>
      <c r="T6261" s="10"/>
      <c r="U6261" s="10"/>
      <c r="V6261" s="10"/>
      <c r="W6261" s="10"/>
      <c r="X6261" s="10"/>
      <c r="Y6261" s="10"/>
      <c r="Z6261" s="10"/>
    </row>
    <row r="6262" spans="1:26" ht="12.75">
      <c r="A6262" s="10" t="str">
        <f ca="1">IFERROR(__xludf.DUMMYFUNCTION("""COMPUTED_VALUE"""),"Поли Руменова Муканова")</f>
        <v>Поли Руменова Муканова</v>
      </c>
      <c r="B6262" s="10" t="str">
        <f ca="1">IFERROR(__xludf.DUMMYFUNCTION("""COMPUTED_VALUE"""),"Доклад от конференция")</f>
        <v>Доклад от конференция</v>
      </c>
      <c r="C6262" s="10" t="str">
        <f ca="1">IFERROR(__xludf.DUMMYFUNCTION("""COMPUTED_VALUE"""),"Зала „История на книгата“ – новото експозиционно пространство в Националната библиотека „Св. св. Кирил и Методий“")</f>
        <v>Зала „История на книгата“ – новото експозиционно пространство в Националната библиотека „Св. св. Кирил и Методий“</v>
      </c>
      <c r="D6262" s="10">
        <f ca="1">IFERROR(__xludf.DUMMYFUNCTION("""COMPUTED_VALUE"""),2019)</f>
        <v>2019</v>
      </c>
      <c r="E6262" s="10" t="str">
        <f ca="1">IFERROR(__xludf.DUMMYFUNCTION("""COMPUTED_VALUE"""),"КНИГАТА - нашето по-смислено настояще – София: За буквите - О писменехь, 2011, с. 112-118. ISBN 978-954-2946-11-3")</f>
        <v>КНИГАТА - нашето по-смислено настояще – София: За буквите - О писменехь, 2011, с. 112-118. ISBN 978-954-2946-11-3</v>
      </c>
      <c r="F6262" s="10" t="str">
        <f ca="1">IFERROR(__xludf.DUMMYFUNCTION("""COMPUTED_VALUE"""),"Референтен списък на НАЦИД")</f>
        <v>Референтен списък на НАЦИД</v>
      </c>
      <c r="G6262" s="10"/>
      <c r="H6262" s="10"/>
      <c r="I6262" s="10"/>
      <c r="J6262" s="10"/>
      <c r="K6262" s="10"/>
      <c r="L6262" s="10"/>
      <c r="M6262" s="10"/>
      <c r="N6262" s="10"/>
      <c r="O6262" s="10"/>
      <c r="P6262" s="10"/>
      <c r="Q6262" s="10"/>
      <c r="R6262" s="10"/>
      <c r="S6262" s="10"/>
      <c r="T6262" s="10"/>
      <c r="U6262" s="10"/>
      <c r="V6262" s="10"/>
      <c r="W6262" s="10"/>
      <c r="X6262" s="10"/>
      <c r="Y6262" s="10"/>
      <c r="Z6262" s="10"/>
    </row>
    <row r="6263" spans="1:26" ht="12.75">
      <c r="A6263" s="10" t="str">
        <f ca="1">IFERROR(__xludf.DUMMYFUNCTION("""COMPUTED_VALUE"""),"Поли Руменова Муканова")</f>
        <v>Поли Руменова Муканова</v>
      </c>
      <c r="B6263" s="10" t="str">
        <f ca="1">IFERROR(__xludf.DUMMYFUNCTION("""COMPUTED_VALUE"""),"Доклад от конференция")</f>
        <v>Доклад от конференция</v>
      </c>
      <c r="C6263" s="10" t="str">
        <f ca="1">IFERROR(__xludf.DUMMYFUNCTION("""COMPUTED_VALUE"""),"Приписките – нов поглед върху книжовния феномен (Oпит за експониране в дигитална среда)")</f>
        <v>Приписките – нов поглед върху книжовния феномен (Oпит за експониране в дигитална среда)</v>
      </c>
      <c r="D6263" s="10">
        <f ca="1">IFERROR(__xludf.DUMMYFUNCTION("""COMPUTED_VALUE"""),2019)</f>
        <v>2019</v>
      </c>
      <c r="E6263" s="10" t="str">
        <f ca="1">IFERROR(__xludf.DUMMYFUNCTION("""COMPUTED_VALUE"""),"Обществото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с. 996-1002. ISSN 1314-7099")</f>
        <v>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 с. 996-1002. ISSN 1314-7099</v>
      </c>
      <c r="F6263" s="10"/>
      <c r="G6263" s="10" t="str">
        <f ca="1">IFERROR(__xludf.DUMMYFUNCTION("""COMPUTED_VALUE"""),"К. Йорданова–Рашева")</f>
        <v>К. Йорданова–Рашева</v>
      </c>
      <c r="H6263" s="10"/>
      <c r="I6263" s="10"/>
      <c r="J6263" s="10"/>
      <c r="K6263" s="10"/>
      <c r="L6263" s="10"/>
      <c r="M6263" s="10"/>
      <c r="N6263" s="10"/>
      <c r="O6263" s="10"/>
      <c r="P6263" s="10"/>
      <c r="Q6263" s="10"/>
      <c r="R6263" s="10"/>
      <c r="S6263" s="10"/>
      <c r="T6263" s="10"/>
      <c r="U6263" s="10"/>
      <c r="V6263" s="10"/>
      <c r="W6263" s="10"/>
      <c r="X6263" s="10"/>
      <c r="Y6263" s="10"/>
      <c r="Z6263" s="10"/>
    </row>
    <row r="6264" spans="1:26" ht="12.75">
      <c r="A6264" s="10" t="str">
        <f ca="1">IFERROR(__xludf.DUMMYFUNCTION("""COMPUTED_VALUE"""),"Поли Руменова Муканова")</f>
        <v>Поли Руменова Муканова</v>
      </c>
      <c r="B6264" s="10" t="str">
        <f ca="1">IFERROR(__xludf.DUMMYFUNCTION("""COMPUTED_VALUE"""),"Статия в списания и поредици")</f>
        <v>Статия в списания и поредици</v>
      </c>
      <c r="C6264" s="10" t="str">
        <f ca="1">IFERROR(__xludf.DUMMYFUNCTION("""COMPUTED_VALUE"""),"Marginal Notes – a New Approach to Secondary Sources in Digital Environment")</f>
        <v>Marginal Notes – a New Approach to Secondary Sources in Digital Environment</v>
      </c>
      <c r="D6264" s="10">
        <f ca="1">IFERROR(__xludf.DUMMYFUNCTION("""COMPUTED_VALUE"""),2019)</f>
        <v>2019</v>
      </c>
      <c r="E6264" s="10" t="str">
        <f ca="1">IFERROR(__xludf.DUMMYFUNCTION("""COMPUTED_VALUE"""),"Proceedings of INTED2019 Conference 11th-13th March 2019, Valencia, Spain, pp. 2074-2079. ISBN: 978-84-09-08619-1")</f>
        <v>Proceedings of INTED2019 Conference 11th-13th March 2019, Valencia, Spain, pp. 2074-2079. ISBN: 978-84-09-08619-1</v>
      </c>
      <c r="F6264" s="10" t="str">
        <f ca="1">IFERROR(__xludf.DUMMYFUNCTION("""COMPUTED_VALUE"""),"Web of Knowledge")</f>
        <v>Web of Knowledge</v>
      </c>
      <c r="G6264" s="10" t="str">
        <f ca="1">IFERROR(__xludf.DUMMYFUNCTION("""COMPUTED_VALUE"""),"Катя Рашева-Йорданова")</f>
        <v>Катя Рашева-Йорданова</v>
      </c>
      <c r="H6264" s="10"/>
      <c r="I6264" s="10"/>
      <c r="J6264" s="10"/>
      <c r="K6264" s="10"/>
      <c r="L6264" s="10"/>
      <c r="M6264" s="10"/>
      <c r="N6264" s="10"/>
      <c r="O6264" s="10"/>
      <c r="P6264" s="10"/>
      <c r="Q6264" s="10"/>
      <c r="R6264" s="10"/>
      <c r="S6264" s="10"/>
      <c r="T6264" s="10"/>
      <c r="U6264" s="10"/>
      <c r="V6264" s="10"/>
      <c r="W6264" s="10"/>
      <c r="X6264" s="10"/>
      <c r="Y6264" s="10"/>
      <c r="Z6264" s="10"/>
    </row>
    <row r="6265" spans="1:26" ht="12.75">
      <c r="A6265" s="10" t="str">
        <f ca="1">IFERROR(__xludf.DUMMYFUNCTION("""COMPUTED_VALUE"""),"Поли Руменова Муканова")</f>
        <v>Поли Руменова Муканова</v>
      </c>
      <c r="B6265" s="10" t="str">
        <f ca="1">IFERROR(__xludf.DUMMYFUNCTION("""COMPUTED_VALUE"""),"Статия в списания и поредици")</f>
        <v>Статия в списания и поредици</v>
      </c>
      <c r="C6265" s="10" t="str">
        <f ca="1">IFERROR(__xludf.DUMMYFUNCTION("""COMPUTED_VALUE"""),"Changing Information Literacy Training of Undergraduate Students in Europe through the Game-based Learning Approach")</f>
        <v>Changing Information Literacy Training of Undergraduate Students in Europe through the Game-based Learning Approach</v>
      </c>
      <c r="D6265" s="10">
        <f ca="1">IFERROR(__xludf.DUMMYFUNCTION("""COMPUTED_VALUE"""),2018)</f>
        <v>2018</v>
      </c>
      <c r="E6265" s="10" t="str">
        <f ca="1">IFERROR(__xludf.DUMMYFUNCTION("""COMPUTED_VALUE"""),"Proceedings of INTED 2018 Conference 5th-7th March 2018, Valencia, Spain, 2018, pp. 587-592. ISBN: 978-84-697-9480-7")</f>
        <v>Proceedings of INTED 2018 Conference 5th-7th March 2018, Valencia, Spain, 2018, pp. 587-592. ISBN: 978-84-697-9480-7</v>
      </c>
      <c r="F6265" s="10" t="str">
        <f ca="1">IFERROR(__xludf.DUMMYFUNCTION("""COMPUTED_VALUE"""),"Web of Science")</f>
        <v>Web of Science</v>
      </c>
      <c r="G6265" s="10" t="str">
        <f ca="1">IFERROR(__xludf.DUMMYFUNCTION("""COMPUTED_VALUE"""),"Marina Encheva; Plamena Zlatkova; Vasil Zagorov")</f>
        <v>Marina Encheva; Plamena Zlatkova; Vasil Zagorov</v>
      </c>
      <c r="H6265" s="10"/>
      <c r="I6265" s="10"/>
      <c r="J6265" s="10"/>
      <c r="K6265" s="10"/>
      <c r="L6265" s="10"/>
      <c r="M6265" s="10"/>
      <c r="N6265" s="10"/>
      <c r="O6265" s="10"/>
      <c r="P6265" s="10"/>
      <c r="Q6265" s="10"/>
      <c r="R6265" s="10"/>
      <c r="S6265" s="10"/>
      <c r="T6265" s="10"/>
      <c r="U6265" s="10"/>
      <c r="V6265" s="10"/>
      <c r="W6265" s="10"/>
      <c r="X6265" s="10"/>
      <c r="Y6265" s="10"/>
      <c r="Z6265" s="10"/>
    </row>
    <row r="6266" spans="1:26" ht="12.75">
      <c r="A6266" s="10" t="str">
        <f ca="1">IFERROR(__xludf.DUMMYFUNCTION("""COMPUTED_VALUE"""),"Поли Руменова Муканова")</f>
        <v>Поли Руменова Муканова</v>
      </c>
      <c r="B6266" s="10" t="str">
        <f ca="1">IFERROR(__xludf.DUMMYFUNCTION("""COMPUTED_VALUE"""),"Статия в списания и поредици")</f>
        <v>Статия в списания и поредици</v>
      </c>
      <c r="C6266" s="10" t="str">
        <f ca="1">IFERROR(__xludf.DUMMYFUNCTION("""COMPUTED_VALUE"""),"Enjoy yourself while training, or how Traintool takes down students’ barriers through video role playing")</f>
        <v>Enjoy yourself while training, or how Traintool takes down students’ barriers through video role playing</v>
      </c>
      <c r="D6266" s="10">
        <f ca="1">IFERROR(__xludf.DUMMYFUNCTION("""COMPUTED_VALUE"""),2018)</f>
        <v>2018</v>
      </c>
      <c r="E6266" s="10" t="str">
        <f ca="1">IFERROR(__xludf.DUMMYFUNCTION("""COMPUTED_VALUE"""),"Proceedings of INTED 2018 Conference 5th-7th March 2018, Valencia, Spain, 2018, pp. 7244-7250. ISBN: 978-84-697-9480-7")</f>
        <v>Proceedings of INTED 2018 Conference 5th-7th March 2018, Valencia, Spain, 2018, pp. 7244-7250. ISBN: 978-84-697-9480-7</v>
      </c>
      <c r="F6266" s="10" t="str">
        <f ca="1">IFERROR(__xludf.DUMMYFUNCTION("""COMPUTED_VALUE"""),"Web of science")</f>
        <v>Web of science</v>
      </c>
      <c r="G6266" s="10" t="str">
        <f ca="1">IFERROR(__xludf.DUMMYFUNCTION("""COMPUTED_VALUE"""),"Marina Encheva, Gergana Yancheva")</f>
        <v>Marina Encheva, Gergana Yancheva</v>
      </c>
      <c r="H6266" s="10"/>
      <c r="I6266" s="10"/>
      <c r="J6266" s="10"/>
      <c r="K6266" s="10"/>
      <c r="L6266" s="10"/>
      <c r="M6266" s="10"/>
      <c r="N6266" s="10"/>
      <c r="O6266" s="10"/>
      <c r="P6266" s="10"/>
      <c r="Q6266" s="10"/>
      <c r="R6266" s="10"/>
      <c r="S6266" s="10"/>
      <c r="T6266" s="10"/>
      <c r="U6266" s="10"/>
      <c r="V6266" s="10"/>
      <c r="W6266" s="10"/>
      <c r="X6266" s="10"/>
      <c r="Y6266" s="10"/>
      <c r="Z6266" s="10"/>
    </row>
    <row r="6267" spans="1:26" ht="12.75">
      <c r="A6267" s="10" t="str">
        <f ca="1">IFERROR(__xludf.DUMMYFUNCTION("""COMPUTED_VALUE"""),"Поли Руменова Муканова")</f>
        <v>Поли Руменова Муканова</v>
      </c>
      <c r="B6267" s="10" t="str">
        <f ca="1">IFERROR(__xludf.DUMMYFUNCTION("""COMPUTED_VALUE"""),"Доклад от конференция")</f>
        <v>Доклад от конференция</v>
      </c>
      <c r="C6267" s="10" t="str">
        <f ca="1">IFERROR(__xludf.DUMMYFUNCTION("""COMPUTED_VALUE"""),"""Молитвенный крiнъ"" (1806) – едно пътуване през библиографиите")</f>
        <v>"Молитвенный крiнъ" (1806) – едно пътуване през библиографиите</v>
      </c>
      <c r="D6267" s="10">
        <f ca="1">IFERROR(__xludf.DUMMYFUNCTION("""COMPUTED_VALUE"""),2018)</f>
        <v>2018</v>
      </c>
      <c r="E6267" s="10" t="str">
        <f ca="1">IFERROR(__xludf.DUMMYFUNCTION("""COMPUTED_VALUE"""),"Обществото на знанието и хуманизмът на XXI век: XV национална научна конференция с международно участие София, 1 ноември 2017 г. София: За буквите – О писменехь, 2018, с. 669–674. 1314-7099 (print) 2683-0094 (pdf)")</f>
        <v>Обществото на знанието и хуманизмът на XXI век: XV национална научна конференция с международно участие София, 1 ноември 2017 г. София: За буквите – О писменехь, 2018, с. 669–674. 1314-7099 (print) 2683-0094 (pdf)</v>
      </c>
      <c r="F6267" s="10"/>
      <c r="G6267" s="10" t="str">
        <f ca="1">IFERROR(__xludf.DUMMYFUNCTION("""COMPUTED_VALUE"""),"Васил Загоров")</f>
        <v>Васил Загоров</v>
      </c>
      <c r="H6267" s="10"/>
      <c r="I6267" s="10"/>
      <c r="J6267" s="10"/>
      <c r="K6267" s="10"/>
      <c r="L6267" s="10"/>
      <c r="M6267" s="10"/>
      <c r="N6267" s="10"/>
      <c r="O6267" s="10"/>
      <c r="P6267" s="10"/>
      <c r="Q6267" s="10"/>
      <c r="R6267" s="10"/>
      <c r="S6267" s="10"/>
      <c r="T6267" s="10"/>
      <c r="U6267" s="10"/>
      <c r="V6267" s="10"/>
      <c r="W6267" s="10"/>
      <c r="X6267" s="10"/>
      <c r="Y6267" s="10"/>
      <c r="Z6267" s="10"/>
    </row>
    <row r="6268" spans="1:26" ht="12.75">
      <c r="A6268" s="10" t="str">
        <f ca="1">IFERROR(__xludf.DUMMYFUNCTION("""COMPUTED_VALUE"""),"Поли Руменова Муканова")</f>
        <v>Поли Руменова Муканова</v>
      </c>
      <c r="B6268" s="10" t="str">
        <f ca="1">IFERROR(__xludf.DUMMYFUNCTION("""COMPUTED_VALUE"""),"Учебник")</f>
        <v>Учебник</v>
      </c>
      <c r="C6268" s="10" t="str">
        <f ca="1">IFERROR(__xludf.DUMMYFUNCTION("""COMPUTED_VALUE"""),"История и теория на четенето")</f>
        <v>История и теория на четенето</v>
      </c>
      <c r="D6268" s="10">
        <f ca="1">IFERROR(__xludf.DUMMYFUNCTION("""COMPUTED_VALUE"""),2018)</f>
        <v>2018</v>
      </c>
      <c r="E6268" s="10" t="str">
        <f ca="1">IFERROR(__xludf.DUMMYFUNCTION("""COMPUTED_VALUE"""),"София: За буквите – О писменехь, 2018. 203 с. ISBN 978-619-185-345-8")</f>
        <v>София: За буквите – О писменехь, 2018. 203 с. ISBN 978-619-185-345-8</v>
      </c>
      <c r="F6268" s="10"/>
      <c r="G6268" s="10"/>
      <c r="H6268" s="10"/>
      <c r="I6268" s="10"/>
      <c r="J6268" s="10"/>
      <c r="K6268" s="10"/>
      <c r="L6268" s="10"/>
      <c r="M6268" s="10"/>
      <c r="N6268" s="10"/>
      <c r="O6268" s="10"/>
      <c r="P6268" s="10"/>
      <c r="Q6268" s="10"/>
      <c r="R6268" s="10"/>
      <c r="S6268" s="10"/>
      <c r="T6268" s="10"/>
      <c r="U6268" s="10"/>
      <c r="V6268" s="10"/>
      <c r="W6268" s="10"/>
      <c r="X6268" s="10"/>
      <c r="Y6268" s="10"/>
      <c r="Z6268" s="10"/>
    </row>
    <row r="6269" spans="1:26" ht="12.75">
      <c r="A6269" s="10" t="str">
        <f ca="1">IFERROR(__xludf.DUMMYFUNCTION("""COMPUTED_VALUE"""),"Поли Руменова Муканова")</f>
        <v>Поли Руменова Муканова</v>
      </c>
      <c r="B6269" s="10" t="str">
        <f ca="1">IFERROR(__xludf.DUMMYFUNCTION("""COMPUTED_VALUE"""),"Статия в списания и поредици")</f>
        <v>Статия в списания и поредици</v>
      </c>
      <c r="C6269" s="10" t="str">
        <f ca="1">IFERROR(__xludf.DUMMYFUNCTION("""COMPUTED_VALUE"""),"Институционалните заемания: архивни свидетелства")</f>
        <v>Институционалните заемания: архивни свидетелства</v>
      </c>
      <c r="D6269" s="10">
        <f ca="1">IFERROR(__xludf.DUMMYFUNCTION("""COMPUTED_VALUE"""),2018)</f>
        <v>2018</v>
      </c>
      <c r="E6269" s="10" t="str">
        <f ca="1">IFERROR(__xludf.DUMMYFUNCTION("""COMPUTED_VALUE"""),"Библиотека, 6, с. 91-100, ISSN 0861-847X")</f>
        <v>Библиотека, 6, с. 91-100, ISSN 0861-847X</v>
      </c>
      <c r="F6269" s="10" t="str">
        <f ca="1">IFERROR(__xludf.DUMMYFUNCTION("""COMPUTED_VALUE"""),"ИНИОН-РАН")</f>
        <v>ИНИОН-РАН</v>
      </c>
      <c r="G6269" s="10"/>
      <c r="H6269" s="10"/>
      <c r="I6269" s="10"/>
      <c r="J6269" s="10"/>
      <c r="K6269" s="10"/>
      <c r="L6269" s="10"/>
      <c r="M6269" s="10"/>
      <c r="N6269" s="10"/>
      <c r="O6269" s="10"/>
      <c r="P6269" s="10"/>
      <c r="Q6269" s="10"/>
      <c r="R6269" s="10"/>
      <c r="S6269" s="10"/>
      <c r="T6269" s="10"/>
      <c r="U6269" s="10"/>
      <c r="V6269" s="10"/>
      <c r="W6269" s="10"/>
      <c r="X6269" s="10"/>
      <c r="Y6269" s="10"/>
      <c r="Z6269" s="10"/>
    </row>
    <row r="6270" spans="1:26" ht="12.75">
      <c r="A6270" s="10" t="str">
        <f ca="1">IFERROR(__xludf.DUMMYFUNCTION("""COMPUTED_VALUE"""),"Поли Руменова Муканова")</f>
        <v>Поли Руменова Муканова</v>
      </c>
      <c r="B6270" s="10" t="str">
        <f ca="1">IFERROR(__xludf.DUMMYFUNCTION("""COMPUTED_VALUE"""),"Статия в списания и поредици")</f>
        <v>Статия в списания и поредици</v>
      </c>
      <c r="C6270" s="10" t="str">
        <f ca="1">IFERROR(__xludf.DUMMYFUNCTION("""COMPUTED_VALUE"""),"Institutional Readers – Typology, Practices, and Tendencies (1878-1944)")</f>
        <v>Institutional Readers – Typology, Practices, and Tendencies (1878-1944)</v>
      </c>
      <c r="D6270" s="10">
        <f ca="1">IFERROR(__xludf.DUMMYFUNCTION("""COMPUTED_VALUE"""),2017)</f>
        <v>2017</v>
      </c>
      <c r="E6270" s="10" t="str">
        <f ca="1">IFERROR(__xludf.DUMMYFUNCTION("""COMPUTED_VALUE"""),"Fulbright International Summer Institute 2014 : interdisciplinary doctoral papers, Pravets, 10-23 August / [състав. Александра Арабаджиева ... и др.]. Sofia : Avangard Prima, 2017 ([София] : БПС). с. 175-184. ISBN 978-619-160-819-5")</f>
        <v>Fulbright International Summer Institute 2014 : interdisciplinary doctoral papers, Pravets, 10-23 August / [състав. Александра Арабаджиева ... и др.]. Sofia : Avangard Prima, 2017 ([София] : БПС). с. 175-184. ISBN 978-619-160-819-5</v>
      </c>
      <c r="F6270" s="10"/>
      <c r="G6270" s="10"/>
      <c r="H6270" s="10"/>
      <c r="I6270" s="10"/>
      <c r="J6270" s="10"/>
      <c r="K6270" s="10"/>
      <c r="L6270" s="10"/>
      <c r="M6270" s="10"/>
      <c r="N6270" s="10"/>
      <c r="O6270" s="10"/>
      <c r="P6270" s="10"/>
      <c r="Q6270" s="10"/>
      <c r="R6270" s="10"/>
      <c r="S6270" s="10"/>
      <c r="T6270" s="10"/>
      <c r="U6270" s="10"/>
      <c r="V6270" s="10"/>
      <c r="W6270" s="10"/>
      <c r="X6270" s="10"/>
      <c r="Y6270" s="10"/>
      <c r="Z6270" s="10"/>
    </row>
    <row r="6271" spans="1:26" ht="12.75">
      <c r="A6271" s="10" t="str">
        <f ca="1">IFERROR(__xludf.DUMMYFUNCTION("""COMPUTED_VALUE"""),"Поли Руменова Муканова")</f>
        <v>Поли Руменова Муканова</v>
      </c>
      <c r="B6271" s="10" t="str">
        <f ca="1">IFERROR(__xludf.DUMMYFUNCTION("""COMPUTED_VALUE"""),"Доклад от конференция")</f>
        <v>Доклад от конференция</v>
      </c>
      <c r="C6271" s="10" t="str">
        <f ca="1">IFERROR(__xludf.DUMMYFUNCTION("""COMPUTED_VALUE"""),"Патиланци през калейдоскопа на времето (Част втора)")</f>
        <v>Патиланци през калейдоскопа на времето (Част втора)</v>
      </c>
      <c r="D6271" s="10">
        <f ca="1">IFERROR(__xludf.DUMMYFUNCTION("""COMPUTED_VALUE"""),2017)</f>
        <v>2017</v>
      </c>
      <c r="E6271" s="10" t="str">
        <f ca="1">IFERROR(__xludf.DUMMYFUNCTION("""COMPUTED_VALUE"""),"Съвременни стратегии и иновации в управление на знанието. Сборник с доклади от Трета научна конференция 4 май 2017 г., Европейски парламент в Брюксел, Университетска младежка академия за управление на знания. Състав. Стоян Денчев, Диана Стоянова, Мирияна "&amp;"Павлова и др. 3/2017. София: За буквите – О писменехь, 2017, с. 70-96.")</f>
        <v>Съвременни стратегии и иновации в управление на знанието. Сборник с доклади от Трета научна конференция 4 май 2017 г., Европейски парламент в Брюксел, Университетска младежка академия за управление на знания. Състав. Стоян Денчев, Диана Стоянова, Мирияна Павлова и др. 3/2017. София: За буквите – О писменехь, 2017, с. 70-96.</v>
      </c>
      <c r="F6271" s="10"/>
      <c r="G6271" s="10" t="str">
        <f ca="1">IFERROR(__xludf.DUMMYFUNCTION("""COMPUTED_VALUE"""),"Калина Минчева, Събина Ефтимова")</f>
        <v>Калина Минчева, Събина Ефтимова</v>
      </c>
      <c r="H6271" s="10"/>
      <c r="I6271" s="10"/>
      <c r="J6271" s="10"/>
      <c r="K6271" s="10"/>
      <c r="L6271" s="10"/>
      <c r="M6271" s="10"/>
      <c r="N6271" s="10"/>
      <c r="O6271" s="10"/>
      <c r="P6271" s="10"/>
      <c r="Q6271" s="10"/>
      <c r="R6271" s="10"/>
      <c r="S6271" s="10"/>
      <c r="T6271" s="10"/>
      <c r="U6271" s="10"/>
      <c r="V6271" s="10"/>
      <c r="W6271" s="10"/>
      <c r="X6271" s="10"/>
      <c r="Y6271" s="10"/>
      <c r="Z6271" s="10"/>
    </row>
    <row r="6272" spans="1:26" ht="12.75">
      <c r="A6272" s="10" t="str">
        <f ca="1">IFERROR(__xludf.DUMMYFUNCTION("""COMPUTED_VALUE"""),"Поли Руменова Муканова")</f>
        <v>Поли Руменова Муканова</v>
      </c>
      <c r="B6272" s="10" t="str">
        <f ca="1">IFERROR(__xludf.DUMMYFUNCTION("""COMPUTED_VALUE"""),"Статия в списания и поредици")</f>
        <v>Статия в списания и поредици</v>
      </c>
      <c r="C6272" s="10" t="str">
        <f ca="1">IFERROR(__xludf.DUMMYFUNCTION("""COMPUTED_VALUE"""),"Модерният читател – институционални практики (1878-1944)")</f>
        <v>Модерният читател – институционални практики (1878-1944)</v>
      </c>
      <c r="D6272" s="10">
        <f ca="1">IFERROR(__xludf.DUMMYFUNCTION("""COMPUTED_VALUE"""),2015)</f>
        <v>2015</v>
      </c>
      <c r="E6272" s="10" t="str">
        <f ca="1">IFERROR(__xludf.DUMMYFUNCTION("""COMPUTED_VALUE"""),"Българско и модерно 2. Експериментални прочити. Състав. Елка Димитрова. София: Издателство „Боян Пенев“, 2015, с. 148-157., ISBN 978-954-8712-98-9")</f>
        <v>Българско и модерно 2. Експериментални прочити. Състав. Елка Димитрова. София: Издателство „Боян Пенев“, 2015, с. 148-157., ISBN 978-954-8712-98-9</v>
      </c>
      <c r="F6272" s="10"/>
      <c r="G6272" s="10"/>
      <c r="H6272" s="10"/>
      <c r="I6272" s="10"/>
      <c r="J6272" s="10"/>
      <c r="K6272" s="10"/>
      <c r="L6272" s="10"/>
      <c r="M6272" s="10"/>
      <c r="N6272" s="10"/>
      <c r="O6272" s="10"/>
      <c r="P6272" s="10"/>
      <c r="Q6272" s="10"/>
      <c r="R6272" s="10"/>
      <c r="S6272" s="10"/>
      <c r="T6272" s="10"/>
      <c r="U6272" s="10"/>
      <c r="V6272" s="10"/>
      <c r="W6272" s="10"/>
      <c r="X6272" s="10"/>
      <c r="Y6272" s="10"/>
      <c r="Z6272" s="10"/>
    </row>
    <row r="6273" spans="1:26" ht="12.75">
      <c r="A6273" s="10" t="str">
        <f ca="1">IFERROR(__xludf.DUMMYFUNCTION("""COMPUTED_VALUE"""),"Поли Руменова Муканова")</f>
        <v>Поли Руменова Муканова</v>
      </c>
      <c r="B6273" s="10" t="str">
        <f ca="1">IFERROR(__xludf.DUMMYFUNCTION("""COMPUTED_VALUE"""),"Доклад от конференция")</f>
        <v>Доклад от конференция</v>
      </c>
      <c r="C6273" s="10" t="str">
        <f ca="1">IFERROR(__xludf.DUMMYFUNCTION("""COMPUTED_VALUE"""),"История на четенето и читателите – теоретични ракурси")</f>
        <v>История на четенето и читателите – теоретични ракурси</v>
      </c>
      <c r="D6273" s="10">
        <f ca="1">IFERROR(__xludf.DUMMYFUNCTION("""COMPUTED_VALUE"""),2015)</f>
        <v>2015</v>
      </c>
      <c r="E6273" s="10" t="str">
        <f ca="1">IFERROR(__xludf.DUMMYFUNCTION("""COMPUTED_VALUE"""),"Книгата – нашето по-смислено настояще. Сборник доклади от форума „Дни на книгата и авторското право в УниБИТ”, София, 23-24 април 2015 г. – София : За буквите – О Писменехь, 2015, с. 62-65. ISSN 1314-7323")</f>
        <v>Книгата – нашето по-смислено настояще. Сборник доклади от форума „Дни на книгата и авторското право в УниБИТ”, София, 23-24 април 2015 г. – София : За буквите – О Писменехь, 2015, с. 62-65. ISSN 1314-7323</v>
      </c>
      <c r="F6273" s="10"/>
      <c r="G6273" s="10"/>
      <c r="H6273" s="10"/>
      <c r="I6273" s="10"/>
      <c r="J6273" s="10"/>
      <c r="K6273" s="10"/>
      <c r="L6273" s="10"/>
      <c r="M6273" s="10"/>
      <c r="N6273" s="10"/>
      <c r="O6273" s="10"/>
      <c r="P6273" s="10"/>
      <c r="Q6273" s="10"/>
      <c r="R6273" s="10"/>
      <c r="S6273" s="10"/>
      <c r="T6273" s="10"/>
      <c r="U6273" s="10"/>
      <c r="V6273" s="10"/>
      <c r="W6273" s="10"/>
      <c r="X6273" s="10"/>
      <c r="Y6273" s="10"/>
      <c r="Z6273" s="10"/>
    </row>
    <row r="6274" spans="1:26" ht="12.75">
      <c r="A6274" s="10" t="str">
        <f ca="1">IFERROR(__xludf.DUMMYFUNCTION("""COMPUTED_VALUE"""),"Поли Руменова Муканова")</f>
        <v>Поли Руменова Муканова</v>
      </c>
      <c r="B6274" s="10" t="str">
        <f ca="1">IFERROR(__xludf.DUMMYFUNCTION("""COMPUTED_VALUE"""),"Статия в списания и поредици")</f>
        <v>Статия в списания и поредици</v>
      </c>
      <c r="C6274" s="10" t="str">
        <f ca="1">IFERROR(__xludf.DUMMYFUNCTION("""COMPUTED_VALUE"""),"Писма - Елисавета Багряна")</f>
        <v>Писма - Елисавета Багряна</v>
      </c>
      <c r="D6274" s="10">
        <f ca="1">IFERROR(__xludf.DUMMYFUNCTION("""COMPUTED_VALUE"""),2014)</f>
        <v>2014</v>
      </c>
      <c r="E6274" s="10" t="str">
        <f ca="1">IFERROR(__xludf.DUMMYFUNCTION("""COMPUTED_VALUE"""),"В: Библиотека. - ISSN 0861-847X. - Год. 21, бр. 2 (2014), с. 93-95.")</f>
        <v>В: Библиотека. - ISSN 0861-847X. - Год. 21, бр. 2 (2014), с. 93-95.</v>
      </c>
      <c r="F6274" s="10" t="str">
        <f ca="1">IFERROR(__xludf.DUMMYFUNCTION("""COMPUTED_VALUE"""),"ИНИОН - РАН")</f>
        <v>ИНИОН - РАН</v>
      </c>
      <c r="G6274" s="10"/>
      <c r="H6274" s="10"/>
      <c r="I6274" s="10"/>
      <c r="J6274" s="10"/>
      <c r="K6274" s="10"/>
      <c r="L6274" s="10"/>
      <c r="M6274" s="10"/>
      <c r="N6274" s="10"/>
      <c r="O6274" s="10"/>
      <c r="P6274" s="10"/>
      <c r="Q6274" s="10"/>
      <c r="R6274" s="10"/>
      <c r="S6274" s="10"/>
      <c r="T6274" s="10"/>
      <c r="U6274" s="10"/>
      <c r="V6274" s="10"/>
      <c r="W6274" s="10"/>
      <c r="X6274" s="10"/>
      <c r="Y6274" s="10"/>
      <c r="Z6274" s="10"/>
    </row>
    <row r="6275" spans="1:26" ht="12.75">
      <c r="A6275" s="10" t="str">
        <f ca="1">IFERROR(__xludf.DUMMYFUNCTION("""COMPUTED_VALUE"""),"Поли Руменова Муканова")</f>
        <v>Поли Руменова Муканова</v>
      </c>
      <c r="B6275" s="10" t="str">
        <f ca="1">IFERROR(__xludf.DUMMYFUNCTION("""COMPUTED_VALUE"""),"Доклад от конференция")</f>
        <v>Доклад от конференция</v>
      </c>
      <c r="C6275" s="10" t="str">
        <f ca="1">IFERROR(__xludf.DUMMYFUNCTION("""COMPUTED_VALUE"""),"Eлектронната библиотека – contradictio in adiecto?")</f>
        <v>Eлектронната библиотека – contradictio in adiecto?</v>
      </c>
      <c r="D6275" s="10">
        <f ca="1">IFERROR(__xludf.DUMMYFUNCTION("""COMPUTED_VALUE"""),2014)</f>
        <v>2014</v>
      </c>
      <c r="E6275" s="10" t="str">
        <f ca="1">IFERROR(__xludf.DUMMYFUNCTION("""COMPUTED_VALUE"""),"Книгата – нашето по-смислено настояще. Сборник доклади от форума „Дни на книгата и авторското право в УниБИТ”, София, 23-24 април 2014 г. – София : За буквите – О Писменехь, 2014, с. 88-94. ISSN 1314-7323")</f>
        <v>Книгата – нашето по-смислено настояще. Сборник доклади от форума „Дни на книгата и авторското право в УниБИТ”, София, 23-24 април 2014 г. – София : За буквите – О Писменехь, 2014, с. 88-94. ISSN 1314-7323</v>
      </c>
      <c r="F6275" s="10"/>
      <c r="G6275" s="10"/>
      <c r="H6275" s="10"/>
      <c r="I6275" s="10"/>
      <c r="J6275" s="10"/>
      <c r="K6275" s="10"/>
      <c r="L6275" s="10"/>
      <c r="M6275" s="10"/>
      <c r="N6275" s="10"/>
      <c r="O6275" s="10"/>
      <c r="P6275" s="10"/>
      <c r="Q6275" s="10"/>
      <c r="R6275" s="10"/>
      <c r="S6275" s="10"/>
      <c r="T6275" s="10"/>
      <c r="U6275" s="10"/>
      <c r="V6275" s="10"/>
      <c r="W6275" s="10"/>
      <c r="X6275" s="10"/>
      <c r="Y6275" s="10"/>
      <c r="Z6275" s="10"/>
    </row>
    <row r="6276" spans="1:26" ht="12.75">
      <c r="A6276" s="10" t="str">
        <f ca="1">IFERROR(__xludf.DUMMYFUNCTION("""COMPUTED_VALUE"""),"Поли Руменова Муканова")</f>
        <v>Поли Руменова Муканова</v>
      </c>
      <c r="B6276" s="10" t="str">
        <f ca="1">IFERROR(__xludf.DUMMYFUNCTION("""COMPUTED_VALUE"""),"Статия в списания и поредици")</f>
        <v>Статия в списания и поредици</v>
      </c>
      <c r="C6276" s="10" t="str">
        <f ca="1">IFERROR(__xludf.DUMMYFUNCTION("""COMPUTED_VALUE"""),"Празник на четящите")</f>
        <v>Празник на четящите</v>
      </c>
      <c r="D6276" s="10">
        <f ca="1">IFERROR(__xludf.DUMMYFUNCTION("""COMPUTED_VALUE"""),2014)</f>
        <v>2014</v>
      </c>
      <c r="E6276" s="10" t="str">
        <f ca="1">IFERROR(__xludf.DUMMYFUNCTION("""COMPUTED_VALUE"""),"Библиотека, №5, 2014, с. 147–150. ISSN 0861-847X")</f>
        <v>Библиотека, №5, 2014, с. 147–150. ISSN 0861-847X</v>
      </c>
      <c r="F6276" s="10"/>
      <c r="G6276" s="10"/>
      <c r="H6276" s="10"/>
      <c r="I6276" s="10"/>
      <c r="J6276" s="10"/>
      <c r="K6276" s="10"/>
      <c r="L6276" s="10"/>
      <c r="M6276" s="10"/>
      <c r="N6276" s="10"/>
      <c r="O6276" s="10"/>
      <c r="P6276" s="10"/>
      <c r="Q6276" s="10"/>
      <c r="R6276" s="10"/>
      <c r="S6276" s="10"/>
      <c r="T6276" s="10"/>
      <c r="U6276" s="10"/>
      <c r="V6276" s="10"/>
      <c r="W6276" s="10"/>
      <c r="X6276" s="10"/>
      <c r="Y6276" s="10"/>
      <c r="Z6276" s="10"/>
    </row>
    <row r="6277" spans="1:26" ht="12.75">
      <c r="A6277" s="10" t="str">
        <f ca="1">IFERROR(__xludf.DUMMYFUNCTION("""COMPUTED_VALUE"""),"Поли Руменова Муканова")</f>
        <v>Поли Руменова Муканова</v>
      </c>
      <c r="B6277" s="10" t="str">
        <f ca="1">IFERROR(__xludf.DUMMYFUNCTION("""COMPUTED_VALUE"""),"Доклад от конференция")</f>
        <v>Доклад от конференция</v>
      </c>
      <c r="C6277" s="10" t="str">
        <f ca="1">IFERROR(__xludf.DUMMYFUNCTION("""COMPUTED_VALUE"""),"Паметта на архива: институционалният читател в Бългаия (1878-1944)")</f>
        <v>Паметта на архива: институционалният читател в Бългаия (1878-1944)</v>
      </c>
      <c r="D6277" s="10">
        <f ca="1">IFERROR(__xludf.DUMMYFUNCTION("""COMPUTED_VALUE"""),2014)</f>
        <v>2014</v>
      </c>
      <c r="E6277" s="10" t="str">
        <f ca="1">IFERROR(__xludf.DUMMYFUNCTION("""COMPUTED_VALUE"""),"Езици на паметта в литературния текст. Доклади от научна конференция на ФСФ-СУ. Съст. Амелия Личева, Милена Кирова. ВТ: Фабер, с. 55-62. ISBN 978-619-00-0111-9")</f>
        <v>Езици на паметта в литературния текст. Доклади от научна конференция на ФСФ-СУ. Съст. Амелия Личева, Милена Кирова. ВТ: Фабер, с. 55-62. ISBN 978-619-00-0111-9</v>
      </c>
      <c r="F6277" s="10"/>
      <c r="G6277" s="10"/>
      <c r="H6277" s="10"/>
      <c r="I6277" s="10"/>
      <c r="J6277" s="10"/>
      <c r="K6277" s="10"/>
      <c r="L6277" s="10"/>
      <c r="M6277" s="10"/>
      <c r="N6277" s="10"/>
      <c r="O6277" s="10"/>
      <c r="P6277" s="10"/>
      <c r="Q6277" s="10"/>
      <c r="R6277" s="10"/>
      <c r="S6277" s="10"/>
      <c r="T6277" s="10"/>
      <c r="U6277" s="10"/>
      <c r="V6277" s="10"/>
      <c r="W6277" s="10"/>
      <c r="X6277" s="10"/>
      <c r="Y6277" s="10"/>
      <c r="Z6277" s="10"/>
    </row>
    <row r="6278" spans="1:26" ht="12.75">
      <c r="A6278" s="10" t="str">
        <f ca="1">IFERROR(__xludf.DUMMYFUNCTION("""COMPUTED_VALUE"""),"Поли Руменова Муканова")</f>
        <v>Поли Руменова Муканова</v>
      </c>
      <c r="B6278" s="10" t="str">
        <f ca="1">IFERROR(__xludf.DUMMYFUNCTION("""COMPUTED_VALUE"""),"Доклад от конференция")</f>
        <v>Доклад от конференция</v>
      </c>
      <c r="C6278" s="10" t="str">
        <f ca="1">IFERROR(__xludf.DUMMYFUNCTION("""COMPUTED_VALUE"""),"Четенето като исторически феномен: следосвобожденската читателска публика")</f>
        <v>Четенето като исторически феномен: следосвобожденската читателска публика</v>
      </c>
      <c r="D6278" s="10">
        <f ca="1">IFERROR(__xludf.DUMMYFUNCTION("""COMPUTED_VALUE"""),2014)</f>
        <v>2014</v>
      </c>
      <c r="E6278" s="10" t="str">
        <f ca="1">IFERROR(__xludf.DUMMYFUNCTION("""COMPUTED_VALUE"""),"Арнаудов сборник: доклади и съобщения. Т. 8. Русе: Лени Ан, 2014, с. 115–122., ISBN 978-619-7058-33-8")</f>
        <v>Арнаудов сборник: доклади и съобщения. Т. 8. Русе: Лени Ан, 2014, с. 115–122., ISBN 978-619-7058-33-8</v>
      </c>
      <c r="F6278" s="10"/>
      <c r="G6278" s="10"/>
      <c r="H6278" s="10"/>
      <c r="I6278" s="10"/>
      <c r="J6278" s="10"/>
      <c r="K6278" s="10"/>
      <c r="L6278" s="10"/>
      <c r="M6278" s="10"/>
      <c r="N6278" s="10"/>
      <c r="O6278" s="10"/>
      <c r="P6278" s="10"/>
      <c r="Q6278" s="10"/>
      <c r="R6278" s="10"/>
      <c r="S6278" s="10"/>
      <c r="T6278" s="10"/>
      <c r="U6278" s="10"/>
      <c r="V6278" s="10"/>
      <c r="W6278" s="10"/>
      <c r="X6278" s="10"/>
      <c r="Y6278" s="10"/>
      <c r="Z6278" s="10"/>
    </row>
    <row r="6279" spans="1:26" ht="12.75">
      <c r="A6279" s="10" t="str">
        <f ca="1">IFERROR(__xludf.DUMMYFUNCTION("""COMPUTED_VALUE"""),"Поли Руменова Муканова")</f>
        <v>Поли Руменова Муканова</v>
      </c>
      <c r="B6279" s="10" t="str">
        <f ca="1">IFERROR(__xludf.DUMMYFUNCTION("""COMPUTED_VALUE"""),"Доклад от конференция")</f>
        <v>Доклад от конференция</v>
      </c>
      <c r="C6279" s="10" t="str">
        <f ca="1">IFERROR(__xludf.DUMMYFUNCTION("""COMPUTED_VALUE"""),"Institutional Reading in the National Library (1878-1944)")</f>
        <v>Institutional Reading in the National Library (1878-1944)</v>
      </c>
      <c r="D6279" s="10">
        <f ca="1">IFERROR(__xludf.DUMMYFUNCTION("""COMPUTED_VALUE"""),2014)</f>
        <v>2014</v>
      </c>
      <c r="E6279" s="10" t="str">
        <f ca="1">IFERROR(__xludf.DUMMYFUNCTION("""COMPUTED_VALUE"""),"The Young in Science – Investment in the Future. Collections of Papers from the International Scientific Conference, Sofia-Plovdiv, с. 334-339. ISBN: 978-619-185-132-4")</f>
        <v>The Young in Science – Investment in the Future. Collections of Papers from the International Scientific Conference, Sofia-Plovdiv, с. 334-339. ISBN: 978-619-185-132-4</v>
      </c>
      <c r="F6279" s="10"/>
      <c r="G6279" s="10"/>
      <c r="H6279" s="10"/>
      <c r="I6279" s="10"/>
      <c r="J6279" s="10"/>
      <c r="K6279" s="10"/>
      <c r="L6279" s="10"/>
      <c r="M6279" s="10"/>
      <c r="N6279" s="10"/>
      <c r="O6279" s="10"/>
      <c r="P6279" s="10"/>
      <c r="Q6279" s="10"/>
      <c r="R6279" s="10"/>
      <c r="S6279" s="10"/>
      <c r="T6279" s="10"/>
      <c r="U6279" s="10"/>
      <c r="V6279" s="10"/>
      <c r="W6279" s="10"/>
      <c r="X6279" s="10"/>
      <c r="Y6279" s="10"/>
      <c r="Z6279" s="10"/>
    </row>
    <row r="6280" spans="1:26" ht="12.75">
      <c r="A6280" s="10" t="str">
        <f ca="1">IFERROR(__xludf.DUMMYFUNCTION("""COMPUTED_VALUE"""),"Поли Руменова Муканова")</f>
        <v>Поли Руменова Муканова</v>
      </c>
      <c r="B6280" s="10" t="str">
        <f ca="1">IFERROR(__xludf.DUMMYFUNCTION("""COMPUTED_VALUE"""),"Доклад от конференция")</f>
        <v>Доклад от конференция</v>
      </c>
      <c r="C6280" s="10" t="str">
        <f ca="1">IFERROR(__xludf.DUMMYFUNCTION("""COMPUTED_VALUE"""),"Институционалното четене в Народната библиотека")</f>
        <v>Институционалното четене в Народната библиотека</v>
      </c>
      <c r="D6280" s="10">
        <f ca="1">IFERROR(__xludf.DUMMYFUNCTION("""COMPUTED_VALUE"""),2014)</f>
        <v>2014</v>
      </c>
      <c r="E6280" s="10" t="str">
        <f ca="1">IFERROR(__xludf.DUMMYFUNCTION("""COMPUTED_VALUE"""),"„Младите в науката – инвестиция в бъдещето“. Сборник с доклади от международна научна конференция. София-Пловдив, 18-20.10.2013. София: За буквите - О писменехь, 2014, с. 375-381. ISBN 978-619-185-132-4")</f>
        <v>„Младите в науката – инвестиция в бъдещето“. Сборник с доклади от международна научна конференция. София-Пловдив, 18-20.10.2013. София: За буквите - О писменехь, 2014, с. 375-381. ISBN 978-619-185-132-4</v>
      </c>
      <c r="F6280" s="10"/>
      <c r="G6280" s="10"/>
      <c r="H6280" s="10"/>
      <c r="I6280" s="10"/>
      <c r="J6280" s="10"/>
      <c r="K6280" s="10"/>
      <c r="L6280" s="10"/>
      <c r="M6280" s="10"/>
      <c r="N6280" s="10"/>
      <c r="O6280" s="10"/>
      <c r="P6280" s="10"/>
      <c r="Q6280" s="10"/>
      <c r="R6280" s="10"/>
      <c r="S6280" s="10"/>
      <c r="T6280" s="10"/>
      <c r="U6280" s="10"/>
      <c r="V6280" s="10"/>
      <c r="W6280" s="10"/>
      <c r="X6280" s="10"/>
      <c r="Y6280" s="10"/>
      <c r="Z6280" s="10"/>
    </row>
    <row r="6281" spans="1:26" ht="12.75">
      <c r="A6281" s="10" t="str">
        <f ca="1">IFERROR(__xludf.DUMMYFUNCTION("""COMPUTED_VALUE"""),"Поли Руменова Муканова")</f>
        <v>Поли Руменова Муканова</v>
      </c>
      <c r="B6281" s="10" t="str">
        <f ca="1">IFERROR(__xludf.DUMMYFUNCTION("""COMPUTED_VALUE"""),"Статия в списания и поредици")</f>
        <v>Статия в списания и поредици</v>
      </c>
      <c r="C6281" s="10" t="str">
        <f ca="1">IFERROR(__xludf.DUMMYFUNCTION("""COMPUTED_VALUE"""),"Места на четене: читателските кръгове")</f>
        <v>Места на четене: читателските кръгове</v>
      </c>
      <c r="D6281" s="10">
        <f ca="1">IFERROR(__xludf.DUMMYFUNCTION("""COMPUTED_VALUE"""),2013)</f>
        <v>2013</v>
      </c>
      <c r="E6281" s="10" t="str">
        <f ca="1">IFERROR(__xludf.DUMMYFUNCTION("""COMPUTED_VALUE"""),"ББИА онлайн. Списание на Българската библиотечно-информационна асоциация, III, 2013, №2, с.3-8., ISSN 1314-7285")</f>
        <v>ББИА онлайн. Списание на Българската библиотечно-информационна асоциация, III, 2013, №2, с.3-8., ISSN 1314-7285</v>
      </c>
      <c r="F6281" s="10"/>
      <c r="G6281" s="10"/>
      <c r="H6281" s="10"/>
      <c r="I6281" s="10"/>
      <c r="J6281" s="10"/>
      <c r="K6281" s="10"/>
      <c r="L6281" s="10"/>
      <c r="M6281" s="10"/>
      <c r="N6281" s="10"/>
      <c r="O6281" s="10"/>
      <c r="P6281" s="10"/>
      <c r="Q6281" s="10"/>
      <c r="R6281" s="10"/>
      <c r="S6281" s="10"/>
      <c r="T6281" s="10"/>
      <c r="U6281" s="10"/>
      <c r="V6281" s="10"/>
      <c r="W6281" s="10"/>
      <c r="X6281" s="10"/>
      <c r="Y6281" s="10"/>
      <c r="Z6281" s="10"/>
    </row>
    <row r="6282" spans="1:26" ht="12.75">
      <c r="A6282" s="10" t="str">
        <f ca="1">IFERROR(__xludf.DUMMYFUNCTION("""COMPUTED_VALUE"""),"Поли Руменова Муканова")</f>
        <v>Поли Руменова Муканова</v>
      </c>
      <c r="B6282" s="10" t="str">
        <f ca="1">IFERROR(__xludf.DUMMYFUNCTION("""COMPUTED_VALUE"""),"Статия в списания и поредици")</f>
        <v>Статия в списания и поредици</v>
      </c>
      <c r="C6282" s="10" t="str">
        <f ca="1">IFERROR(__xludf.DUMMYFUNCTION("""COMPUTED_VALUE"""),"Цената на свободата")</f>
        <v>Цената на свободата</v>
      </c>
      <c r="D6282" s="10">
        <f ca="1">IFERROR(__xludf.DUMMYFUNCTION("""COMPUTED_VALUE"""),2012)</f>
        <v>2012</v>
      </c>
      <c r="E6282" s="10" t="str">
        <f ca="1">IFERROR(__xludf.DUMMYFUNCTION("""COMPUTED_VALUE"""),"Библиотека. - ISSN 0861-847X. - Год. 19, бр. 6 (2012), с. 51-52.")</f>
        <v>Библиотека. - ISSN 0861-847X. - Год. 19, бр. 6 (2012), с. 51-52.</v>
      </c>
      <c r="F6282" s="10" t="str">
        <f ca="1">IFERROR(__xludf.DUMMYFUNCTION("""COMPUTED_VALUE"""),"ИНИОН - РАН")</f>
        <v>ИНИОН - РАН</v>
      </c>
      <c r="G6282" s="10"/>
      <c r="H6282" s="10"/>
      <c r="I6282" s="10"/>
      <c r="J6282" s="10"/>
      <c r="K6282" s="10"/>
      <c r="L6282" s="10"/>
      <c r="M6282" s="10"/>
      <c r="N6282" s="10"/>
      <c r="O6282" s="10"/>
      <c r="P6282" s="10"/>
      <c r="Q6282" s="10"/>
      <c r="R6282" s="10"/>
      <c r="S6282" s="10"/>
      <c r="T6282" s="10"/>
      <c r="U6282" s="10"/>
      <c r="V6282" s="10"/>
      <c r="W6282" s="10"/>
      <c r="X6282" s="10"/>
      <c r="Y6282" s="10"/>
      <c r="Z6282" s="10"/>
    </row>
    <row r="6283" spans="1:26" ht="12.75">
      <c r="A6283" s="10" t="str">
        <f ca="1">IFERROR(__xludf.DUMMYFUNCTION("""COMPUTED_VALUE"""),"Поли Руменова Муканова")</f>
        <v>Поли Руменова Муканова</v>
      </c>
      <c r="B6283" s="10" t="str">
        <f ca="1">IFERROR(__xludf.DUMMYFUNCTION("""COMPUTED_VALUE"""),"Статия в списания и поредици")</f>
        <v>Статия в списания и поредици</v>
      </c>
      <c r="C6283" s="10" t="str">
        <f ca="1">IFERROR(__xludf.DUMMYFUNCTION("""COMPUTED_VALUE"""),"Някои аспекти в тенденциите на четенето и читателите в българското общество (1878-1944)")</f>
        <v>Някои аспекти в тенденциите на четенето и читателите в българското общество (1878-1944)</v>
      </c>
      <c r="D6283" s="10">
        <f ca="1">IFERROR(__xludf.DUMMYFUNCTION("""COMPUTED_VALUE"""),2012)</f>
        <v>2012</v>
      </c>
      <c r="E6283" s="10" t="str">
        <f ca="1">IFERROR(__xludf.DUMMYFUNCTION("""COMPUTED_VALUE"""),"Библиотека. - ISSN 0861-847X. - Год. 19, бр. 3/4 (2012), с. 55-63.")</f>
        <v>Библиотека. - ISSN 0861-847X. - Год. 19, бр. 3/4 (2012), с. 55-63.</v>
      </c>
      <c r="F6283" s="10" t="str">
        <f ca="1">IFERROR(__xludf.DUMMYFUNCTION("""COMPUTED_VALUE"""),"ИНИОН - РАН")</f>
        <v>ИНИОН - РАН</v>
      </c>
      <c r="G6283" s="10"/>
      <c r="H6283" s="10"/>
      <c r="I6283" s="10"/>
      <c r="J6283" s="10"/>
      <c r="K6283" s="10"/>
      <c r="L6283" s="10"/>
      <c r="M6283" s="10"/>
      <c r="N6283" s="10"/>
      <c r="O6283" s="10"/>
      <c r="P6283" s="10"/>
      <c r="Q6283" s="10"/>
      <c r="R6283" s="10"/>
      <c r="S6283" s="10"/>
      <c r="T6283" s="10"/>
      <c r="U6283" s="10"/>
      <c r="V6283" s="10"/>
      <c r="W6283" s="10"/>
      <c r="X6283" s="10"/>
      <c r="Y6283" s="10"/>
      <c r="Z6283" s="10"/>
    </row>
    <row r="6284" spans="1:26" ht="12.75">
      <c r="A6284" s="10" t="str">
        <f ca="1">IFERROR(__xludf.DUMMYFUNCTION("""COMPUTED_VALUE"""),"Поли Руменова Муканова")</f>
        <v>Поли Руменова Муканова</v>
      </c>
      <c r="B6284" s="10" t="str">
        <f ca="1">IFERROR(__xludf.DUMMYFUNCTION("""COMPUTED_VALUE"""),"Статия в списания и поредици")</f>
        <v>Статия в списания и поредици</v>
      </c>
      <c r="C6284" s="10" t="str">
        <f ca="1">IFERROR(__xludf.DUMMYFUNCTION("""COMPUTED_VALUE"""),"Четене и наказание: първиьят читателски процес в България")</f>
        <v>Четене и наказание: първиьят читателски процес в България</v>
      </c>
      <c r="D6284" s="10">
        <f ca="1">IFERROR(__xludf.DUMMYFUNCTION("""COMPUTED_VALUE"""),2012)</f>
        <v>2012</v>
      </c>
      <c r="E6284" s="10" t="str">
        <f ca="1">IFERROR(__xludf.DUMMYFUNCTION("""COMPUTED_VALUE"""),"В: Ани Гергова - живот с книжовни пристрастия : сборник в чест на 75-годишнината й. Състав. Красимира Даскалова, Илко Пенелов. София: Унив. изд. Св. Климент Охридски, 2012, с. 177-193. ISBN 978-954-07-3415-6")</f>
        <v>В: Ани Гергова - живот с книжовни пристрастия : сборник в чест на 75-годишнината й. Състав. Красимира Даскалова, Илко Пенелов. София: Унив. изд. Св. Климент Охридски, 2012, с. 177-193. ISBN 978-954-07-3415-6</v>
      </c>
      <c r="F6284" s="10"/>
      <c r="G6284" s="10"/>
      <c r="H6284" s="10"/>
      <c r="I6284" s="10"/>
      <c r="J6284" s="10"/>
      <c r="K6284" s="10"/>
      <c r="L6284" s="10"/>
      <c r="M6284" s="10"/>
      <c r="N6284" s="10"/>
      <c r="O6284" s="10"/>
      <c r="P6284" s="10"/>
      <c r="Q6284" s="10"/>
      <c r="R6284" s="10"/>
      <c r="S6284" s="10"/>
      <c r="T6284" s="10"/>
      <c r="U6284" s="10"/>
      <c r="V6284" s="10"/>
      <c r="W6284" s="10"/>
      <c r="X6284" s="10"/>
      <c r="Y6284" s="10"/>
      <c r="Z6284" s="10"/>
    </row>
    <row r="6285" spans="1:26" ht="12.75">
      <c r="A6285" s="10" t="str">
        <f ca="1">IFERROR(__xludf.DUMMYFUNCTION("""COMPUTED_VALUE"""),"Поли Руменова Муканова")</f>
        <v>Поли Руменова Муканова</v>
      </c>
      <c r="B6285" s="10" t="str">
        <f ca="1">IFERROR(__xludf.DUMMYFUNCTION("""COMPUTED_VALUE"""),"Статия в списания и поредици")</f>
        <v>Статия в списания и поредици</v>
      </c>
      <c r="C6285" s="10" t="str">
        <f ca="1">IFERROR(__xludf.DUMMYFUNCTION("""COMPUTED_VALUE"""),"Четенето в епохата на техническата му възпроизводимост")</f>
        <v>Четенето в епохата на техническата му възпроизводимост</v>
      </c>
      <c r="D6285" s="10">
        <f ca="1">IFERROR(__xludf.DUMMYFUNCTION("""COMPUTED_VALUE"""),2009)</f>
        <v>2009</v>
      </c>
      <c r="E6285" s="10" t="str">
        <f ca="1">IFERROR(__xludf.DUMMYFUNCTION("""COMPUTED_VALUE"""),"Литературен вестник. - ISSN 1310-9561. - XIX, 38-39 (2-8 дек. 2009), с. 2.")</f>
        <v>Литературен вестник. - ISSN 1310-9561. - XIX, 38-39 (2-8 дек. 2009), с. 2.</v>
      </c>
      <c r="F6285" s="10"/>
      <c r="G6285" s="10"/>
      <c r="H6285" s="10"/>
      <c r="I6285" s="10"/>
      <c r="J6285" s="10"/>
      <c r="K6285" s="10"/>
      <c r="L6285" s="10"/>
      <c r="M6285" s="10"/>
      <c r="N6285" s="10"/>
      <c r="O6285" s="10"/>
      <c r="P6285" s="10"/>
      <c r="Q6285" s="10"/>
      <c r="R6285" s="10"/>
      <c r="S6285" s="10"/>
      <c r="T6285" s="10"/>
      <c r="U6285" s="10"/>
      <c r="V6285" s="10"/>
      <c r="W6285" s="10"/>
      <c r="X6285" s="10"/>
      <c r="Y6285" s="10"/>
      <c r="Z6285" s="10"/>
    </row>
    <row r="6286" spans="1:26" ht="12.75">
      <c r="A6286" s="10" t="str">
        <f ca="1">IFERROR(__xludf.DUMMYFUNCTION("""COMPUTED_VALUE"""),"Радослав Димов Павлов")</f>
        <v>Радослав Димов Павлов</v>
      </c>
      <c r="B6286" s="10" t="str">
        <f ca="1">IFERROR(__xludf.DUMMYFUNCTION("""COMPUTED_VALUE"""),"Доклад от конференция")</f>
        <v>Доклад от конференция</v>
      </c>
      <c r="C6286" s="10" t="str">
        <f ca="1">IFERROR(__xludf.DUMMYFUNCTION("""COMPUTED_VALUE"""),"Interactive Game Development to Assist Cultural Heritage")</f>
        <v>Interactive Game Development to Assist Cultural Heritage</v>
      </c>
      <c r="D6286" s="10">
        <f ca="1">IFERROR(__xludf.DUMMYFUNCTION("""COMPUTED_VALUE"""),2018)</f>
        <v>2018</v>
      </c>
      <c r="E6286" s="10" t="str">
        <f ca="1">IFERROR(__xludf.DUMMYFUNCTION("""COMPUTED_VALUE"""),"Digital Presentation and Preservation of Cultural and Scientific Heritage. Vol. 8, Sofia, Bulgaria: Institute of Mathematics and Informatics – BAS, 2018, pp. 71-82, ISSN 1314-4006 (Print), eISSN 2535-0366 (Online).")</f>
        <v>Digital Presentation and Preservation of Cultural and Scientific Heritage. Vol. 8, Sofia, Bulgaria: Institute of Mathematics and Informatics – BAS, 2018, pp. 71-82, ISSN 1314-4006 (Print), eISSN 2535-0366 (Online).</v>
      </c>
      <c r="F6286" s="10" t="str">
        <f ca="1">IFERROR(__xludf.DUMMYFUNCTION("""COMPUTED_VALUE"""),"Web of Science")</f>
        <v>Web of Science</v>
      </c>
      <c r="G6286" s="10" t="str">
        <f ca="1">IFERROR(__xludf.DUMMYFUNCTION("""COMPUTED_VALUE"""),"Márkus, Z.L., Kaposi, G., Veres, M., Weisz, Z., Szántó, G., Szkaliczki, T., Paneva-Marinova, D., Luchev, D., Goynov, M., Pavlova, L.")</f>
        <v>Márkus, Z.L., Kaposi, G., Veres, M., Weisz, Z., Szántó, G., Szkaliczki, T., Paneva-Marinova, D., Luchev, D., Goynov, M., Pavlova, L.</v>
      </c>
      <c r="H6286" s="10"/>
      <c r="I6286" s="10"/>
      <c r="J6286" s="10"/>
      <c r="K6286" s="10"/>
      <c r="L6286" s="10"/>
      <c r="M6286" s="10"/>
      <c r="N6286" s="10"/>
      <c r="O6286" s="10"/>
      <c r="P6286" s="10"/>
      <c r="Q6286" s="10"/>
      <c r="R6286" s="10"/>
      <c r="S6286" s="10"/>
      <c r="T6286" s="10"/>
      <c r="U6286" s="10"/>
      <c r="V6286" s="10"/>
      <c r="W6286" s="10"/>
      <c r="X6286" s="10"/>
      <c r="Y6286" s="10"/>
      <c r="Z6286" s="10"/>
    </row>
    <row r="6287" spans="1:26" ht="12.75">
      <c r="A6287" s="10" t="str">
        <f ca="1">IFERROR(__xludf.DUMMYFUNCTION("""COMPUTED_VALUE"""),"Радослав Димов Павлов")</f>
        <v>Радослав Димов Павлов</v>
      </c>
      <c r="B6287" s="10" t="str">
        <f ca="1">IFERROR(__xludf.DUMMYFUNCTION("""COMPUTED_VALUE"""),"Глава от колективна монография")</f>
        <v>Глава от колективна монография</v>
      </c>
      <c r="C6287" s="10" t="str">
        <f ca="1">IFERROR(__xludf.DUMMYFUNCTION("""COMPUTED_VALUE"""),"Improving Learner Experience within Educational Nooks in Digital Libraries")</f>
        <v>Improving Learner Experience within Educational Nooks in Digital Libraries</v>
      </c>
      <c r="D6287" s="10">
        <f ca="1">IFERROR(__xludf.DUMMYFUNCTION("""COMPUTED_VALUE"""),2018)</f>
        <v>2018</v>
      </c>
      <c r="E6287" s="10" t="str">
        <f ca="1">IFERROR(__xludf.DUMMYFUNCTION("""COMPUTED_VALUE"""),"Learner Experience and Usability in Online Education, IGI Global, May, 2018, 310 pp. , ISBN13: 9781522542063, ISBN10: 152254206X, EISBN13: 9781522542070, DOI: 10.4018/978-1-5225-4206-3")</f>
        <v>Learner Experience and Usability in Online Education, IGI Global, May, 2018, 310 pp. , ISBN13: 9781522542063, ISBN10: 152254206X, EISBN13: 9781522542070, DOI: 10.4018/978-1-5225-4206-3</v>
      </c>
      <c r="F6287" s="10"/>
      <c r="G6287" s="10" t="str">
        <f ca="1">IFERROR(__xludf.DUMMYFUNCTION("""COMPUTED_VALUE"""),"Paneva-Marinova, D.")</f>
        <v>Paneva-Marinova, D.</v>
      </c>
      <c r="H6287" s="10"/>
      <c r="I6287" s="10"/>
      <c r="J6287" s="10"/>
      <c r="K6287" s="10"/>
      <c r="L6287" s="10"/>
      <c r="M6287" s="10"/>
      <c r="N6287" s="10"/>
      <c r="O6287" s="10"/>
      <c r="P6287" s="10"/>
      <c r="Q6287" s="10"/>
      <c r="R6287" s="10"/>
      <c r="S6287" s="10"/>
      <c r="T6287" s="10"/>
      <c r="U6287" s="10"/>
      <c r="V6287" s="10"/>
      <c r="W6287" s="10"/>
      <c r="X6287" s="10"/>
      <c r="Y6287" s="10"/>
      <c r="Z6287" s="10"/>
    </row>
    <row r="6288" spans="1:26" ht="12.75">
      <c r="A6288" s="10" t="str">
        <f ca="1">IFERROR(__xludf.DUMMYFUNCTION("""COMPUTED_VALUE"""),"Радослав Димов Павлов")</f>
        <v>Радослав Димов Павлов</v>
      </c>
      <c r="B6288" s="10" t="str">
        <f ca="1">IFERROR(__xludf.DUMMYFUNCTION("""COMPUTED_VALUE"""),"Доклад от конференция")</f>
        <v>Доклад от конференция</v>
      </c>
      <c r="C6288" s="10" t="str">
        <f ca="1">IFERROR(__xludf.DUMMYFUNCTION("""COMPUTED_VALUE"""),"Personalized Observation and Enhanced Learning Experience in Digital Libraries")</f>
        <v>Personalized Observation and Enhanced Learning Experience in Digital Libraries</v>
      </c>
      <c r="D6288" s="10">
        <f ca="1">IFERROR(__xludf.DUMMYFUNCTION("""COMPUTED_VALUE"""),2017)</f>
        <v>2017</v>
      </c>
      <c r="E6288" s="10" t="str">
        <f ca="1">IFERROR(__xludf.DUMMYFUNCTION("""COMPUTED_VALUE"""),"In: ICERI2017 Proceedings. 10th annual International Conference of Education, Research and Innovation, ICERI2017, 16 - 18 of November, 2017, Seville, Spain, IATED Academy, 2017, ISBN: 978-84-697-6957-7, ISSN: 2340-1095, 1941-1950")</f>
        <v>In: ICERI2017 Proceedings. 10th annual International Conference of Education, Research and Innovation, ICERI2017, 16 - 18 of November, 2017, Seville, Spain, IATED Academy, 2017, ISBN: 978-84-697-6957-7, ISSN: 2340-1095, 1941-1950</v>
      </c>
      <c r="F6288" s="10" t="str">
        <f ca="1">IFERROR(__xludf.DUMMYFUNCTION("""COMPUTED_VALUE"""),"Web of Science")</f>
        <v>Web of Science</v>
      </c>
      <c r="G6288" s="10" t="str">
        <f ca="1">IFERROR(__xludf.DUMMYFUNCTION("""COMPUTED_VALUE"""),"Paneva-Marinova, D., Goynov, M.")</f>
        <v>Paneva-Marinova, D., Goynov, M.</v>
      </c>
      <c r="H6288" s="10"/>
      <c r="I6288" s="10"/>
      <c r="J6288" s="10"/>
      <c r="K6288" s="10"/>
      <c r="L6288" s="10"/>
      <c r="M6288" s="10"/>
      <c r="N6288" s="10"/>
      <c r="O6288" s="10"/>
      <c r="P6288" s="10"/>
      <c r="Q6288" s="10"/>
      <c r="R6288" s="10"/>
      <c r="S6288" s="10"/>
      <c r="T6288" s="10"/>
      <c r="U6288" s="10"/>
      <c r="V6288" s="10"/>
      <c r="W6288" s="10"/>
      <c r="X6288" s="10"/>
      <c r="Y6288" s="10"/>
      <c r="Z6288" s="10"/>
    </row>
    <row r="6289" spans="1:26" ht="12.75">
      <c r="A6289" s="10" t="str">
        <f ca="1">IFERROR(__xludf.DUMMYFUNCTION("""COMPUTED_VALUE"""),"Радослав Димов Павлов")</f>
        <v>Радослав Димов Павлов</v>
      </c>
      <c r="B6289" s="10" t="str">
        <f ca="1">IFERROR(__xludf.DUMMYFUNCTION("""COMPUTED_VALUE"""),"Статия в списания и поредици")</f>
        <v>Статия в списания и поредици</v>
      </c>
      <c r="C6289" s="10" t="str">
        <f ca="1">IFERROR(__xludf.DUMMYFUNCTION("""COMPUTED_VALUE"""),"Approach for Analysis and Improved Usage of Digital Cultural Assets for Learning Purposes")</f>
        <v>Approach for Analysis and Improved Usage of Digital Cultural Assets for Learning Purposes</v>
      </c>
      <c r="D6289" s="10">
        <f ca="1">IFERROR(__xludf.DUMMYFUNCTION("""COMPUTED_VALUE"""),2017)</f>
        <v>2017</v>
      </c>
      <c r="E6289" s="10" t="str">
        <f ca="1">IFERROR(__xludf.DUMMYFUNCTION("""COMPUTED_VALUE"""),"International journal “Cybernetics and Information Technologies”, 2017, Vol. 17 No 3, Print ISSN: 1311-9702, Online ISSN: 1314-4081, DOI: 10.1515/cait-2017-0035, pp. 140-151")</f>
        <v>International journal “Cybernetics and Information Technologies”, 2017, Vol. 17 No 3, Print ISSN: 1311-9702, Online ISSN: 1314-4081, DOI: 10.1515/cait-2017-0035, pp. 140-151</v>
      </c>
      <c r="F6289" s="10" t="str">
        <f ca="1">IFERROR(__xludf.DUMMYFUNCTION("""COMPUTED_VALUE"""),"SCOPUS")</f>
        <v>SCOPUS</v>
      </c>
      <c r="G6289" s="10" t="str">
        <f ca="1">IFERROR(__xludf.DUMMYFUNCTION("""COMPUTED_VALUE"""),"Paneva-Marinova, D., Kotuzov, N.,")</f>
        <v>Paneva-Marinova, D., Kotuzov, N.,</v>
      </c>
      <c r="H6289" s="10"/>
      <c r="I6289" s="10"/>
      <c r="J6289" s="10"/>
      <c r="K6289" s="10"/>
      <c r="L6289" s="10"/>
      <c r="M6289" s="10"/>
      <c r="N6289" s="10"/>
      <c r="O6289" s="10"/>
      <c r="P6289" s="10"/>
      <c r="Q6289" s="10"/>
      <c r="R6289" s="10"/>
      <c r="S6289" s="10"/>
      <c r="T6289" s="10"/>
      <c r="U6289" s="10"/>
      <c r="V6289" s="10"/>
      <c r="W6289" s="10"/>
      <c r="X6289" s="10"/>
      <c r="Y6289" s="10"/>
      <c r="Z6289" s="10"/>
    </row>
    <row r="6290" spans="1:26" ht="12.75">
      <c r="A6290" s="10" t="str">
        <f ca="1">IFERROR(__xludf.DUMMYFUNCTION("""COMPUTED_VALUE"""),"Радослав Димов Павлов")</f>
        <v>Радослав Димов Павлов</v>
      </c>
      <c r="B6290" s="10" t="str">
        <f ca="1">IFERROR(__xludf.DUMMYFUNCTION("""COMPUTED_VALUE"""),"Доклад от конференция")</f>
        <v>Доклад от конференция</v>
      </c>
      <c r="C6290" s="10" t="str">
        <f ca="1">IFERROR(__xludf.DUMMYFUNCTION("""COMPUTED_VALUE"""),"Math and Art Convergence for Education")</f>
        <v>Math and Art Convergence for Education</v>
      </c>
      <c r="D6290" s="10">
        <f ca="1">IFERROR(__xludf.DUMMYFUNCTION("""COMPUTED_VALUE"""),2017)</f>
        <v>2017</v>
      </c>
      <c r="E6290" s="10" t="str">
        <f ca="1">IFERROR(__xludf.DUMMYFUNCTION("""COMPUTED_VALUE"""),"Proceedings of the CBU International Conference on Innovation in Science and Education, Prague, Chech Republic, March 22-24, 2017, vol. 5, pp. 851-854, indexed in Web of Science, Print ISSN: 1805-997X, Online ISSN: 1805-9961, DOI: http://dx.doi.org/10.129"&amp;"55/cbup.v5.1037")</f>
        <v>Proceedings of the CBU International Conference on Innovation in Science and Education, Prague, Chech Republic, March 22-24, 2017, vol. 5, pp. 851-854, indexed in Web of Science, Print ISSN: 1805-997X, Online ISSN: 1805-9961, DOI: http://dx.doi.org/10.12955/cbup.v5.1037</v>
      </c>
      <c r="F6290" s="10" t="str">
        <f ca="1">IFERROR(__xludf.DUMMYFUNCTION("""COMPUTED_VALUE"""),"Web of Science")</f>
        <v>Web of Science</v>
      </c>
      <c r="G6290" s="10" t="str">
        <f ca="1">IFERROR(__xludf.DUMMYFUNCTION("""COMPUTED_VALUE"""),"Tramonti, M., D. Paneva-Marinova,")</f>
        <v>Tramonti, M., D. Paneva-Marinova,</v>
      </c>
      <c r="H6290" s="10"/>
      <c r="I6290" s="10"/>
      <c r="J6290" s="10"/>
      <c r="K6290" s="10"/>
      <c r="L6290" s="10"/>
      <c r="M6290" s="10"/>
      <c r="N6290" s="10"/>
      <c r="O6290" s="10"/>
      <c r="P6290" s="10"/>
      <c r="Q6290" s="10"/>
      <c r="R6290" s="10"/>
      <c r="S6290" s="10"/>
      <c r="T6290" s="10"/>
      <c r="U6290" s="10"/>
      <c r="V6290" s="10"/>
      <c r="W6290" s="10"/>
      <c r="X6290" s="10"/>
      <c r="Y6290" s="10"/>
      <c r="Z6290" s="10"/>
    </row>
    <row r="6291" spans="1:26" ht="12.75">
      <c r="A6291" s="10" t="str">
        <f ca="1">IFERROR(__xludf.DUMMYFUNCTION("""COMPUTED_VALUE"""),"Радослав Димов Павлов")</f>
        <v>Радослав Димов Павлов</v>
      </c>
      <c r="B6291" s="10" t="str">
        <f ca="1">IFERROR(__xludf.DUMMYFUNCTION("""COMPUTED_VALUE"""),"Статия в списания и поредици")</f>
        <v>Статия в списания и поредици</v>
      </c>
      <c r="C6291" s="10" t="str">
        <f ca="1">IFERROR(__xludf.DUMMYFUNCTION("""COMPUTED_VALUE"""),"Mobile Exploring of Bulgarian Cultural and Scientific Assets")</f>
        <v>Mobile Exploring of Bulgarian Cultural and Scientific Assets</v>
      </c>
      <c r="D6291" s="10">
        <f ca="1">IFERROR(__xludf.DUMMYFUNCTION("""COMPUTED_VALUE"""),2017)</f>
        <v>2017</v>
      </c>
      <c r="E6291" s="10" t="str">
        <f ca="1">IFERROR(__xludf.DUMMYFUNCTION("""COMPUTED_VALUE"""),"Serdica Journal of Computing, Special Issue on Digital Culture, 10 (2016), 2, Institute of Mathematics and Informatics, Bulgarian Academy of Sciences, 2017, ISSN:1312-6555, 93-124")</f>
        <v>Serdica Journal of Computing, Special Issue on Digital Culture, 10 (2016), 2, Institute of Mathematics and Informatics, Bulgarian Academy of Sciences, 2017, ISSN:1312-6555, 93-124</v>
      </c>
      <c r="F6291" s="10"/>
      <c r="G6291" s="10" t="str">
        <f ca="1">IFERROR(__xludf.DUMMYFUNCTION("""COMPUTED_VALUE"""),"László Márkus, Z., Kaposi, G., Szántó, G., Szkaliczki, T., Veres, M., Weisz, Z., Luchev, D., Paneva-Marinova, D., Pavlova, L..")</f>
        <v>László Márkus, Z., Kaposi, G., Szántó, G., Szkaliczki, T., Veres, M., Weisz, Z., Luchev, D., Paneva-Marinova, D., Pavlova, L..</v>
      </c>
      <c r="H6291" s="10"/>
      <c r="I6291" s="10"/>
      <c r="J6291" s="10"/>
      <c r="K6291" s="10"/>
      <c r="L6291" s="10"/>
      <c r="M6291" s="10"/>
      <c r="N6291" s="10"/>
      <c r="O6291" s="10"/>
      <c r="P6291" s="10"/>
      <c r="Q6291" s="10"/>
      <c r="R6291" s="10"/>
      <c r="S6291" s="10"/>
      <c r="T6291" s="10"/>
      <c r="U6291" s="10"/>
      <c r="V6291" s="10"/>
      <c r="W6291" s="10"/>
      <c r="X6291" s="10"/>
      <c r="Y6291" s="10"/>
      <c r="Z6291" s="10"/>
    </row>
    <row r="6292" spans="1:26" ht="12.75">
      <c r="A6292" s="10" t="str">
        <f ca="1">IFERROR(__xludf.DUMMYFUNCTION("""COMPUTED_VALUE"""),"Радослав Димов Павлов")</f>
        <v>Радослав Димов Павлов</v>
      </c>
      <c r="B6292" s="10" t="str">
        <f ca="1">IFERROR(__xludf.DUMMYFUNCTION("""COMPUTED_VALUE"""),"Доклад от конференция")</f>
        <v>Доклад от конференция</v>
      </c>
      <c r="C6292" s="10" t="str">
        <f ca="1">IFERROR(__xludf.DUMMYFUNCTION("""COMPUTED_VALUE"""),"Game-based Learning of Bulgarian Iconographical Art on Smart Phone Application")</f>
        <v>Game-based Learning of Bulgarian Iconographical Art on Smart Phone Application</v>
      </c>
      <c r="D6292" s="10">
        <f ca="1">IFERROR(__xludf.DUMMYFUNCTION("""COMPUTED_VALUE"""),2016)</f>
        <v>2016</v>
      </c>
      <c r="E6292" s="10" t="str">
        <f ca="1">IFERROR(__xludf.DUMMYFUNCTION("""COMPUTED_VALUE"""),"Proceeding of the International Conference on e-Learning’16, September, 2016, Bratislava, Slovakia, 2016, ISSN:2367-6698, 195-200.")</f>
        <v>Proceeding of the International Conference on e-Learning’16, September, 2016, Bratislava, Slovakia, 2016, ISSN:2367-6698, 195-200.</v>
      </c>
      <c r="F6292" s="10"/>
      <c r="G6292" s="10" t="str">
        <f ca="1">IFERROR(__xludf.DUMMYFUNCTION("""COMPUTED_VALUE"""),"Luchev, D., Paneva-Marinova, D., Kaposi, G., Márkus, Z., Szántó, G., Szkaliczki, T., Veres, M..")</f>
        <v>Luchev, D., Paneva-Marinova, D., Kaposi, G., Márkus, Z., Szántó, G., Szkaliczki, T., Veres, M..</v>
      </c>
      <c r="H6292" s="10"/>
      <c r="I6292" s="10"/>
      <c r="J6292" s="10"/>
      <c r="K6292" s="10"/>
      <c r="L6292" s="10"/>
      <c r="M6292" s="10"/>
      <c r="N6292" s="10"/>
      <c r="O6292" s="10"/>
      <c r="P6292" s="10"/>
      <c r="Q6292" s="10"/>
      <c r="R6292" s="10"/>
      <c r="S6292" s="10"/>
      <c r="T6292" s="10"/>
      <c r="U6292" s="10"/>
      <c r="V6292" s="10"/>
      <c r="W6292" s="10"/>
      <c r="X6292" s="10"/>
      <c r="Y6292" s="10"/>
      <c r="Z6292" s="10"/>
    </row>
    <row r="6293" spans="1:26" ht="12.75">
      <c r="A6293" s="10" t="str">
        <f ca="1">IFERROR(__xludf.DUMMYFUNCTION("""COMPUTED_VALUE"""),"Радослав Димов Павлов")</f>
        <v>Радослав Димов Павлов</v>
      </c>
      <c r="B6293" s="10" t="str">
        <f ca="1">IFERROR(__xludf.DUMMYFUNCTION("""COMPUTED_VALUE"""),"Доклад от конференция")</f>
        <v>Доклад от конференция</v>
      </c>
      <c r="C6293" s="10" t="str">
        <f ca="1">IFERROR(__xludf.DUMMYFUNCTION("""COMPUTED_VALUE"""),"Digitalizing the Proceedings of the Bulgarian Museums, or How to Rescue from Oblivion Priceless Studies on the Cultural Heritage")</f>
        <v>Digitalizing the Proceedings of the Bulgarian Museums, or How to Rescue from Oblivion Priceless Studies on the Cultural Heritage</v>
      </c>
      <c r="D6293" s="10">
        <f ca="1">IFERROR(__xludf.DUMMYFUNCTION("""COMPUTED_VALUE"""),2016)</f>
        <v>2016</v>
      </c>
      <c r="E6293" s="10" t="str">
        <f ca="1">IFERROR(__xludf.DUMMYFUNCTION("""COMPUTED_VALUE"""),"Digital Presentation and Preservation of Cultural and Scientific Heritage. Vol. 6, Sofia, Bulgaria: Institute of Mathematics and Informatics – BAS, 2016, pp. 235-240, ISSN 1314-4006 (Print), eISSN 2535-0366 (Online).")</f>
        <v>Digital Presentation and Preservation of Cultural and Scientific Heritage. Vol. 6, Sofia, Bulgaria: Institute of Mathematics and Informatics – BAS, 2016, pp. 235-240, ISSN 1314-4006 (Print), eISSN 2535-0366 (Online).</v>
      </c>
      <c r="F6293" s="10"/>
      <c r="G6293" s="10" t="str">
        <f ca="1">IFERROR(__xludf.DUMMYFUNCTION("""COMPUTED_VALUE"""),"Stewart, R., Zheleva-Monova, M., Zhelev, Y.")</f>
        <v>Stewart, R., Zheleva-Monova, M., Zhelev, Y.</v>
      </c>
      <c r="H6293" s="10"/>
      <c r="I6293" s="10"/>
      <c r="J6293" s="10"/>
      <c r="K6293" s="10"/>
      <c r="L6293" s="10"/>
      <c r="M6293" s="10"/>
      <c r="N6293" s="10"/>
      <c r="O6293" s="10"/>
      <c r="P6293" s="10"/>
      <c r="Q6293" s="10"/>
      <c r="R6293" s="10"/>
      <c r="S6293" s="10"/>
      <c r="T6293" s="10"/>
      <c r="U6293" s="10"/>
      <c r="V6293" s="10"/>
      <c r="W6293" s="10"/>
      <c r="X6293" s="10"/>
      <c r="Y6293" s="10"/>
      <c r="Z6293" s="10"/>
    </row>
    <row r="6294" spans="1:26" ht="12.75">
      <c r="A6294" s="10" t="str">
        <f ca="1">IFERROR(__xludf.DUMMYFUNCTION("""COMPUTED_VALUE"""),"Радослав Димов Павлов")</f>
        <v>Радослав Димов Павлов</v>
      </c>
      <c r="B6294" s="10" t="str">
        <f ca="1">IFERROR(__xludf.DUMMYFUNCTION("""COMPUTED_VALUE"""),"Доклад от конференция")</f>
        <v>Доклад от конференция</v>
      </c>
      <c r="C6294" s="10" t="str">
        <f ca="1">IFERROR(__xludf.DUMMYFUNCTION("""COMPUTED_VALUE"""),"Techniques to Personalized Observation and Improved Learning Experience in Digital Libraries")</f>
        <v>Techniques to Personalized Observation and Improved Learning Experience in Digital Libraries</v>
      </c>
      <c r="D6294" s="10">
        <f ca="1">IFERROR(__xludf.DUMMYFUNCTION("""COMPUTED_VALUE"""),2016)</f>
        <v>2016</v>
      </c>
      <c r="E6294" s="10" t="str">
        <f ca="1">IFERROR(__xludf.DUMMYFUNCTION("""COMPUTED_VALUE"""),"Proceeding of the International Conference on e-Learning’16, September 2016, Bratislava, Slovakia, 2016, ISSN:2367-6698, 94-100")</f>
        <v>Proceeding of the International Conference on e-Learning’16, September 2016, Bratislava, Slovakia, 2016, ISSN:2367-6698, 94-100</v>
      </c>
      <c r="F6294" s="10"/>
      <c r="G6294" s="10" t="str">
        <f ca="1">IFERROR(__xludf.DUMMYFUNCTION("""COMPUTED_VALUE"""),"Arapi, P., Paneva-Marinova, D., Christodoulakis, S")</f>
        <v>Arapi, P., Paneva-Marinova, D., Christodoulakis, S</v>
      </c>
      <c r="H6294" s="10"/>
      <c r="I6294" s="10"/>
      <c r="J6294" s="10"/>
      <c r="K6294" s="10"/>
      <c r="L6294" s="10"/>
      <c r="M6294" s="10"/>
      <c r="N6294" s="10"/>
      <c r="O6294" s="10"/>
      <c r="P6294" s="10"/>
      <c r="Q6294" s="10"/>
      <c r="R6294" s="10"/>
      <c r="S6294" s="10"/>
      <c r="T6294" s="10"/>
      <c r="U6294" s="10"/>
      <c r="V6294" s="10"/>
      <c r="W6294" s="10"/>
      <c r="X6294" s="10"/>
      <c r="Y6294" s="10"/>
      <c r="Z6294" s="10"/>
    </row>
    <row r="6295" spans="1:26" ht="12.75">
      <c r="A6295" s="10" t="str">
        <f ca="1">IFERROR(__xludf.DUMMYFUNCTION("""COMPUTED_VALUE"""),"Радослав Димов Павлов")</f>
        <v>Радослав Димов Павлов</v>
      </c>
      <c r="B6295" s="10" t="str">
        <f ca="1">IFERROR(__xludf.DUMMYFUNCTION("""COMPUTED_VALUE"""),"Доклад от конференция")</f>
        <v>Доклад от конференция</v>
      </c>
      <c r="C6295" s="10" t="str">
        <f ca="1">IFERROR(__xludf.DUMMYFUNCTION("""COMPUTED_VALUE"""),"Solution for Content Interoperability among Digital Libraries for Orthodox Artefacts and Knowledge")</f>
        <v>Solution for Content Interoperability among Digital Libraries for Orthodox Artefacts and Knowledge</v>
      </c>
      <c r="D6295" s="10">
        <f ca="1">IFERROR(__xludf.DUMMYFUNCTION("""COMPUTED_VALUE"""),2015)</f>
        <v>2015</v>
      </c>
      <c r="E6295" s="10" t="str">
        <f ca="1">IFERROR(__xludf.DUMMYFUNCTION("""COMPUTED_VALUE"""),"In: CompSysTech '15, Dublin, UK. Proceedings of the 16th International Conference on Computer Systems and Technologies. ACM New York, NY, USA, 2015, 168–175. ISBN: 978-1-4503-3357-3")</f>
        <v>In: CompSysTech '15, Dublin, UK. Proceedings of the 16th International Conference on Computer Systems and Technologies. ACM New York, NY, USA, 2015, 168–175. ISBN: 978-1-4503-3357-3</v>
      </c>
      <c r="F6295" s="10" t="str">
        <f ca="1">IFERROR(__xludf.DUMMYFUNCTION("""COMPUTED_VALUE"""),"SCOPUS")</f>
        <v>SCOPUS</v>
      </c>
      <c r="G6295" s="10" t="str">
        <f ca="1">IFERROR(__xludf.DUMMYFUNCTION("""COMPUTED_VALUE"""),"Paneva-Marinova, D., M. Goynov, D. Luchev,")</f>
        <v>Paneva-Marinova, D., M. Goynov, D. Luchev,</v>
      </c>
      <c r="H6295" s="10"/>
      <c r="I6295" s="10"/>
      <c r="J6295" s="10"/>
      <c r="K6295" s="10"/>
      <c r="L6295" s="10"/>
      <c r="M6295" s="10"/>
      <c r="N6295" s="10"/>
      <c r="O6295" s="10"/>
      <c r="P6295" s="10"/>
      <c r="Q6295" s="10"/>
      <c r="R6295" s="10"/>
      <c r="S6295" s="10"/>
      <c r="T6295" s="10"/>
      <c r="U6295" s="10"/>
      <c r="V6295" s="10"/>
      <c r="W6295" s="10"/>
      <c r="X6295" s="10"/>
      <c r="Y6295" s="10"/>
      <c r="Z6295" s="10"/>
    </row>
    <row r="6296" spans="1:26" ht="12.75">
      <c r="A6296" s="10" t="str">
        <f ca="1">IFERROR(__xludf.DUMMYFUNCTION("""COMPUTED_VALUE"""),"Радослав Димов Павлов")</f>
        <v>Радослав Димов Павлов</v>
      </c>
      <c r="B6296" s="10" t="str">
        <f ca="1">IFERROR(__xludf.DUMMYFUNCTION("""COMPUTED_VALUE"""),"Доклад от конференция")</f>
        <v>Доклад от конференция</v>
      </c>
      <c r="C6296" s="10" t="str">
        <f ca="1">IFERROR(__xludf.DUMMYFUNCTION("""COMPUTED_VALUE"""),"New Digital Fashion World")</f>
        <v>New Digital Fashion World</v>
      </c>
      <c r="D6296" s="10">
        <f ca="1">IFERROR(__xludf.DUMMYFUNCTION("""COMPUTED_VALUE"""),2013)</f>
        <v>2013</v>
      </c>
      <c r="E6296" s="10" t="str">
        <f ca="1">IFERROR(__xludf.DUMMYFUNCTION("""COMPUTED_VALUE"""),"In CompSysTech'13 Proceedings of the 14th International Conference on Computer Systems and Technologies, ACM ICPS Vol. 767, ACM Inc., NY, USA, 2013, pages 270-275, ISBN: 978-1-4503-2021-4")</f>
        <v>In CompSysTech'13 Proceedings of the 14th International Conference on Computer Systems and Technologies, ACM ICPS Vol. 767, ACM Inc., NY, USA, 2013, pages 270-275, ISBN: 978-1-4503-2021-4</v>
      </c>
      <c r="F6296" s="10" t="str">
        <f ca="1">IFERROR(__xludf.DUMMYFUNCTION("""COMPUTED_VALUE"""),"SCOPUS")</f>
        <v>SCOPUS</v>
      </c>
      <c r="G6296" s="10" t="str">
        <f ca="1">IFERROR(__xludf.DUMMYFUNCTION("""COMPUTED_VALUE"""),"Luchev, D., Paneva-Marinova, D., Pavlova-Draganova, L.,")</f>
        <v>Luchev, D., Paneva-Marinova, D., Pavlova-Draganova, L.,</v>
      </c>
      <c r="H6296" s="10"/>
      <c r="I6296" s="10"/>
      <c r="J6296" s="10"/>
      <c r="K6296" s="10"/>
      <c r="L6296" s="10"/>
      <c r="M6296" s="10"/>
      <c r="N6296" s="10"/>
      <c r="O6296" s="10"/>
      <c r="P6296" s="10"/>
      <c r="Q6296" s="10"/>
      <c r="R6296" s="10"/>
      <c r="S6296" s="10"/>
      <c r="T6296" s="10"/>
      <c r="U6296" s="10"/>
      <c r="V6296" s="10"/>
      <c r="W6296" s="10"/>
      <c r="X6296" s="10"/>
      <c r="Y6296" s="10"/>
      <c r="Z6296" s="10"/>
    </row>
    <row r="6297" spans="1:26" ht="12.75">
      <c r="A6297" s="10" t="str">
        <f ca="1">IFERROR(__xludf.DUMMYFUNCTION("""COMPUTED_VALUE"""),"Радослав Димов Павлов")</f>
        <v>Радослав Димов Павлов</v>
      </c>
      <c r="B6297" s="10" t="str">
        <f ca="1">IFERROR(__xludf.DUMMYFUNCTION("""COMPUTED_VALUE"""),"Доклад от конференция")</f>
        <v>Доклад от конференция</v>
      </c>
      <c r="C6297" s="10" t="str">
        <f ca="1">IFERROR(__xludf.DUMMYFUNCTION("""COMPUTED_VALUE"""),"European Digital Mathematics Library")</f>
        <v>European Digital Mathematics Library</v>
      </c>
      <c r="D6297" s="10">
        <f ca="1">IFERROR(__xludf.DUMMYFUNCTION("""COMPUTED_VALUE"""),2013)</f>
        <v>2013</v>
      </c>
      <c r="E6297" s="10" t="str">
        <f ca="1">IFERROR(__xludf.DUMMYFUNCTION("""COMPUTED_VALUE"""),"Digital Presentation and Preservation of Cultural and Scientific Heritage. Vol. 3, Sofia, Bulgaria: Institute of Mathematics and Informatics – BAS, 2013, pp. 25-34, ISSN 1314-4006 (Print), eISSN 2535-0366 (Online)")</f>
        <v>Digital Presentation and Preservation of Cultural and Scientific Heritage. Vol. 3, Sofia, Bulgaria: Institute of Mathematics and Informatics – BAS, 2013, pp. 25-34, ISSN 1314-4006 (Print), eISSN 2535-0366 (Online)</v>
      </c>
      <c r="F6297" s="10"/>
      <c r="G6297" s="10" t="str">
        <f ca="1">IFERROR(__xludf.DUMMYFUNCTION("""COMPUTED_VALUE"""),"Rakosnik, J.,")</f>
        <v>Rakosnik, J.,</v>
      </c>
      <c r="H6297" s="10"/>
      <c r="I6297" s="10"/>
      <c r="J6297" s="10"/>
      <c r="K6297" s="10"/>
      <c r="L6297" s="10"/>
      <c r="M6297" s="10"/>
      <c r="N6297" s="10"/>
      <c r="O6297" s="10"/>
      <c r="P6297" s="10"/>
      <c r="Q6297" s="10"/>
      <c r="R6297" s="10"/>
      <c r="S6297" s="10"/>
      <c r="T6297" s="10"/>
      <c r="U6297" s="10"/>
      <c r="V6297" s="10"/>
      <c r="W6297" s="10"/>
      <c r="X6297" s="10"/>
      <c r="Y6297" s="10"/>
      <c r="Z6297" s="10"/>
    </row>
    <row r="6298" spans="1:26" ht="12.75">
      <c r="A6298" s="10" t="str">
        <f ca="1">IFERROR(__xludf.DUMMYFUNCTION("""COMPUTED_VALUE"""),"Радослав Димов Павлов")</f>
        <v>Радослав Димов Павлов</v>
      </c>
      <c r="B6298" s="10" t="str">
        <f ca="1">IFERROR(__xludf.DUMMYFUNCTION("""COMPUTED_VALUE"""),"Доклад от конференция")</f>
        <v>Доклад от конференция</v>
      </c>
      <c r="C6298" s="10" t="str">
        <f ca="1">IFERROR(__xludf.DUMMYFUNCTION("""COMPUTED_VALUE"""),"Two Integrated Digital Libraries for Knowledge and Iconography of Orthodox Saints")</f>
        <v>Two Integrated Digital Libraries for Knowledge and Iconography of Orthodox Saints</v>
      </c>
      <c r="D6298" s="10">
        <f ca="1">IFERROR(__xludf.DUMMYFUNCTION("""COMPUTED_VALUE"""),2012)</f>
        <v>2012</v>
      </c>
      <c r="E6298" s="10" t="str">
        <f ca="1">IFERROR(__xludf.DUMMYFUNCTION("""COMPUTED_VALUE"""),"In the Proceedings of the 4th International Conference “Progress in Cultural Heritage Preservation” (EuroMed 2012), Lemessos, Cyprus, 29 October - 3 November, 2012, Springer, Heidelberg, Vol. 7616, XXV, pp. 684-691, ISSN: 0302-9743, ISBN: 978-3-642-34233-"&amp;"2.")</f>
        <v>In the Proceedings of the 4th International Conference “Progress in Cultural Heritage Preservation” (EuroMed 2012), Lemessos, Cyprus, 29 October - 3 November, 2012, Springer, Heidelberg, Vol. 7616, XXV, pp. 684-691, ISSN: 0302-9743, ISBN: 978-3-642-34233-2.</v>
      </c>
      <c r="F6298" s="10" t="str">
        <f ca="1">IFERROR(__xludf.DUMMYFUNCTION("""COMPUTED_VALUE"""),"SCOPUS")</f>
        <v>SCOPUS</v>
      </c>
      <c r="G6298" s="10" t="str">
        <f ca="1">IFERROR(__xludf.DUMMYFUNCTION("""COMPUTED_VALUE"""),"Paneva-Marinova, D., Goynov, M.,")</f>
        <v>Paneva-Marinova, D., Goynov, M.,</v>
      </c>
      <c r="H6298" s="10"/>
      <c r="I6298" s="10"/>
      <c r="J6298" s="10"/>
      <c r="K6298" s="10"/>
      <c r="L6298" s="10"/>
      <c r="M6298" s="10"/>
      <c r="N6298" s="10"/>
      <c r="O6298" s="10"/>
      <c r="P6298" s="10"/>
      <c r="Q6298" s="10"/>
      <c r="R6298" s="10"/>
      <c r="S6298" s="10"/>
      <c r="T6298" s="10"/>
      <c r="U6298" s="10"/>
      <c r="V6298" s="10"/>
      <c r="W6298" s="10"/>
      <c r="X6298" s="10"/>
      <c r="Y6298" s="10"/>
      <c r="Z6298" s="10"/>
    </row>
    <row r="6299" spans="1:26" ht="12.75">
      <c r="A6299" s="10" t="str">
        <f ca="1">IFERROR(__xludf.DUMMYFUNCTION("""COMPUTED_VALUE"""),"Радослав Димов Павлов")</f>
        <v>Радослав Димов Павлов</v>
      </c>
      <c r="B6299" s="10" t="str">
        <f ca="1">IFERROR(__xludf.DUMMYFUNCTION("""COMPUTED_VALUE"""),"Доклад от конференция")</f>
        <v>Доклад от конференция</v>
      </c>
      <c r="C6299" s="10" t="str">
        <f ca="1">IFERROR(__xludf.DUMMYFUNCTION("""COMPUTED_VALUE"""),"Bulgarian Digital Mathematical Library BulDML and Czech Digital Mathematical Library DML-CZ as parts of the European Digital Mathematics Library EuDML")</f>
        <v>Bulgarian Digital Mathematical Library BulDML and Czech Digital Mathematical Library DML-CZ as parts of the European Digital Mathematics Library EuDML</v>
      </c>
      <c r="D6299" s="10">
        <f ca="1">IFERROR(__xludf.DUMMYFUNCTION("""COMPUTED_VALUE"""),2012)</f>
        <v>2012</v>
      </c>
      <c r="E6299" s="10" t="str">
        <f ca="1">IFERROR(__xludf.DUMMYFUNCTION("""COMPUTED_VALUE"""),"Digital Presentation and Preservation of Cultural and Scientific Heritage. Vol. 2, Sofia, Bulgaria: Institute of Mathematics and Informatics – BAS, 2012, pp. 60-68, ISSN 1314-4006 (Print), eISSN 2535-0366 (Online)")</f>
        <v>Digital Presentation and Preservation of Cultural and Scientific Heritage. Vol. 2, Sofia, Bulgaria: Institute of Mathematics and Informatics – BAS, 2012, pp. 60-68, ISSN 1314-4006 (Print), eISSN 2535-0366 (Online)</v>
      </c>
      <c r="F6299" s="10"/>
      <c r="G6299" s="10" t="str">
        <f ca="1">IFERROR(__xludf.DUMMYFUNCTION("""COMPUTED_VALUE"""),"Rakosnik, J., Stanchev, P., Simeonov, G.")</f>
        <v>Rakosnik, J., Stanchev, P., Simeonov, G.</v>
      </c>
      <c r="H6299" s="10"/>
      <c r="I6299" s="10"/>
      <c r="J6299" s="10"/>
      <c r="K6299" s="10"/>
      <c r="L6299" s="10"/>
      <c r="M6299" s="10"/>
      <c r="N6299" s="10"/>
      <c r="O6299" s="10"/>
      <c r="P6299" s="10"/>
      <c r="Q6299" s="10"/>
      <c r="R6299" s="10"/>
      <c r="S6299" s="10"/>
      <c r="T6299" s="10"/>
      <c r="U6299" s="10"/>
      <c r="V6299" s="10"/>
      <c r="W6299" s="10"/>
      <c r="X6299" s="10"/>
      <c r="Y6299" s="10"/>
      <c r="Z6299" s="10"/>
    </row>
    <row r="6300" spans="1:26" ht="12.75">
      <c r="A6300" s="10" t="str">
        <f ca="1">IFERROR(__xludf.DUMMYFUNCTION("""COMPUTED_VALUE"""),"Радослав Димов Павлов")</f>
        <v>Радослав Димов Павлов</v>
      </c>
      <c r="B6300" s="10" t="str">
        <f ca="1">IFERROR(__xludf.DUMMYFUNCTION("""COMPUTED_VALUE"""),"Доклад от конференция")</f>
        <v>Доклад от конференция</v>
      </c>
      <c r="C6300" s="10" t="str">
        <f ca="1">IFERROR(__xludf.DUMMYFUNCTION("""COMPUTED_VALUE"""),"Content Interoperability between Digital Libraries for Orthodox Heritage")</f>
        <v>Content Interoperability between Digital Libraries for Orthodox Heritage</v>
      </c>
      <c r="D6300" s="10">
        <f ca="1">IFERROR(__xludf.DUMMYFUNCTION("""COMPUTED_VALUE"""),2012)</f>
        <v>2012</v>
      </c>
      <c r="E6300" s="10" t="str">
        <f ca="1">IFERROR(__xludf.DUMMYFUNCTION("""COMPUTED_VALUE"""),"In the Proceedings of the International Conference on Computer Systems and Technologies ComSysTech’12, Ruse, Bulgaria, 22-23 June, 2012, pp. 201-207, ISSN: 978-1-4503-1193-9")</f>
        <v>In the Proceedings of the International Conference on Computer Systems and Technologies ComSysTech’12, Ruse, Bulgaria, 22-23 June, 2012, pp. 201-207, ISSN: 978-1-4503-1193-9</v>
      </c>
      <c r="F6300" s="10" t="str">
        <f ca="1">IFERROR(__xludf.DUMMYFUNCTION("""COMPUTED_VALUE"""),"SCOPUS")</f>
        <v>SCOPUS</v>
      </c>
      <c r="G6300" s="10" t="str">
        <f ca="1">IFERROR(__xludf.DUMMYFUNCTION("""COMPUTED_VALUE"""),"Goynov, M., Paneva-Marinova, D.,")</f>
        <v>Goynov, M., Paneva-Marinova, D.,</v>
      </c>
      <c r="H6300" s="10"/>
      <c r="I6300" s="10"/>
      <c r="J6300" s="10"/>
      <c r="K6300" s="10"/>
      <c r="L6300" s="10"/>
      <c r="M6300" s="10"/>
      <c r="N6300" s="10"/>
      <c r="O6300" s="10"/>
      <c r="P6300" s="10"/>
      <c r="Q6300" s="10"/>
      <c r="R6300" s="10"/>
      <c r="S6300" s="10"/>
      <c r="T6300" s="10"/>
      <c r="U6300" s="10"/>
      <c r="V6300" s="10"/>
      <c r="W6300" s="10"/>
      <c r="X6300" s="10"/>
      <c r="Y6300" s="10"/>
      <c r="Z6300" s="10"/>
    </row>
    <row r="6301" spans="1:26" ht="12.75">
      <c r="A6301" s="10" t="str">
        <f ca="1">IFERROR(__xludf.DUMMYFUNCTION("""COMPUTED_VALUE"""),"Радослав Димов Павлов")</f>
        <v>Радослав Димов Павлов</v>
      </c>
      <c r="B6301" s="10" t="str">
        <f ca="1">IFERROR(__xludf.DUMMYFUNCTION("""COMPUTED_VALUE"""),"Доклад от конференция")</f>
        <v>Доклад от конференция</v>
      </c>
      <c r="C6301" s="10" t="str">
        <f ca="1">IFERROR(__xludf.DUMMYFUNCTION("""COMPUTED_VALUE"""),"Survey of Existing Services in the Mathematical Digital Libraries and Repositories in the EuDML Project")</f>
        <v>Survey of Existing Services in the Mathematical Digital Libraries and Repositories in the EuDML Project</v>
      </c>
      <c r="D6301" s="10">
        <f ca="1">IFERROR(__xludf.DUMMYFUNCTION("""COMPUTED_VALUE"""),2011)</f>
        <v>2011</v>
      </c>
      <c r="E6301" s="10" t="str">
        <f ca="1">IFERROR(__xludf.DUMMYFUNCTION("""COMPUTED_VALUE"""),"Digital Presentation and Preservation of Cultural and Scientific Heritage. Vol. 1, Sofia, Bulgaria: Institute of Mathematics and Informatics – BAS, 2011, pp. 26-36, ISSN 1314-4006 (Print), eISSN 2535-0366 (Online)")</f>
        <v>Digital Presentation and Preservation of Cultural and Scientific Heritage. Vol. 1, Sofia, Bulgaria: Institute of Mathematics and Informatics – BAS, 2011, pp. 26-36, ISSN 1314-4006 (Print), eISSN 2535-0366 (Online)</v>
      </c>
      <c r="F6301" s="10"/>
      <c r="G6301" s="10" t="str">
        <f ca="1">IFERROR(__xludf.DUMMYFUNCTION("""COMPUTED_VALUE"""),"Paneva-Marinova, D., Simeonov, G.")</f>
        <v>Paneva-Marinova, D., Simeonov, G.</v>
      </c>
      <c r="H6301" s="10"/>
      <c r="I6301" s="10"/>
      <c r="J6301" s="10"/>
      <c r="K6301" s="10"/>
      <c r="L6301" s="10"/>
      <c r="M6301" s="10"/>
      <c r="N6301" s="10"/>
      <c r="O6301" s="10"/>
      <c r="P6301" s="10"/>
      <c r="Q6301" s="10"/>
      <c r="R6301" s="10"/>
      <c r="S6301" s="10"/>
      <c r="T6301" s="10"/>
      <c r="U6301" s="10"/>
      <c r="V6301" s="10"/>
      <c r="W6301" s="10"/>
      <c r="X6301" s="10"/>
      <c r="Y6301" s="10"/>
      <c r="Z6301" s="10"/>
    </row>
    <row r="6302" spans="1:26" ht="12.75">
      <c r="A6302" s="10" t="str">
        <f ca="1">IFERROR(__xludf.DUMMYFUNCTION("""COMPUTED_VALUE"""),"Радослав Димов Павлов")</f>
        <v>Радослав Димов Павлов</v>
      </c>
      <c r="B6302" s="10" t="str">
        <f ca="1">IFERROR(__xludf.DUMMYFUNCTION("""COMPUTED_VALUE"""),"Статия в списания и поредици")</f>
        <v>Статия в списания и поредици</v>
      </c>
      <c r="C6302" s="10" t="str">
        <f ca="1">IFERROR(__xludf.DUMMYFUNCTION("""COMPUTED_VALUE"""),"Ontological Presentation of East-Christian Iconographical Art Domain")</f>
        <v>Ontological Presentation of East-Christian Iconographical Art Domain</v>
      </c>
      <c r="D6302" s="10">
        <f ca="1">IFERROR(__xludf.DUMMYFUNCTION("""COMPUTED_VALUE"""),2011)</f>
        <v>2011</v>
      </c>
      <c r="E6302" s="10" t="str">
        <f ca="1">IFERROR(__xludf.DUMMYFUNCTION("""COMPUTED_VALUE"""),". International Journal “Serdica Journal of Computing”, 2, 2011, ISSN:1312-6555, 101-114")</f>
        <v>. International Journal “Serdica Journal of Computing”, 2, 2011, ISSN:1312-6555, 101-114</v>
      </c>
      <c r="F6302" s="10"/>
      <c r="G6302" s="10" t="str">
        <f ca="1">IFERROR(__xludf.DUMMYFUNCTION("""COMPUTED_VALUE"""),"Pavlova-Draganova, L., Paneva-Marinova, D.")</f>
        <v>Pavlova-Draganova, L., Paneva-Marinova, D.</v>
      </c>
      <c r="H6302" s="10"/>
      <c r="I6302" s="10"/>
      <c r="J6302" s="10"/>
      <c r="K6302" s="10"/>
      <c r="L6302" s="10"/>
      <c r="M6302" s="10"/>
      <c r="N6302" s="10"/>
      <c r="O6302" s="10"/>
      <c r="P6302" s="10"/>
      <c r="Q6302" s="10"/>
      <c r="R6302" s="10"/>
      <c r="S6302" s="10"/>
      <c r="T6302" s="10"/>
      <c r="U6302" s="10"/>
      <c r="V6302" s="10"/>
      <c r="W6302" s="10"/>
      <c r="X6302" s="10"/>
      <c r="Y6302" s="10"/>
      <c r="Z6302" s="10"/>
    </row>
    <row r="6303" spans="1:26" ht="12.75">
      <c r="A6303" s="10" t="str">
        <f ca="1">IFERROR(__xludf.DUMMYFUNCTION("""COMPUTED_VALUE"""),"Радослав Димов Павлов")</f>
        <v>Радослав Димов Павлов</v>
      </c>
      <c r="B6303" s="10" t="str">
        <f ca="1">IFERROR(__xludf.DUMMYFUNCTION("""COMPUTED_VALUE"""),"Статия в списания и поредици")</f>
        <v>Статия в списания и поредици</v>
      </c>
      <c r="C6303" s="10" t="str">
        <f ca="1">IFERROR(__xludf.DUMMYFUNCTION("""COMPUTED_VALUE"""),"Digital Archive and Multimedia Library for Bulgarian Traditional Culture and Folklore")</f>
        <v>Digital Archive and Multimedia Library for Bulgarian Traditional Culture and Folklore</v>
      </c>
      <c r="D6303" s="10">
        <f ca="1">IFERROR(__xludf.DUMMYFUNCTION("""COMPUTED_VALUE"""),2011)</f>
        <v>2011</v>
      </c>
      <c r="E6303" s="10" t="str">
        <f ca="1">IFERROR(__xludf.DUMMYFUNCTION("""COMPUTED_VALUE"""),"International Journal “Information Theories and Applications”, 18, 3, 2011, ISSN:1310-0513, 276-288")</f>
        <v>International Journal “Information Theories and Applications”, 18, 3, 2011, ISSN:1310-0513, 276-288</v>
      </c>
      <c r="F6303" s="10"/>
      <c r="G6303" s="10" t="str">
        <f ca="1">IFERROR(__xludf.DUMMYFUNCTION("""COMPUTED_VALUE"""),"Bogdanova, G., Paneva-Marinova, D., Todorov, T., Rangochev, K..")</f>
        <v>Bogdanova, G., Paneva-Marinova, D., Todorov, T., Rangochev, K..</v>
      </c>
      <c r="H6303" s="10"/>
      <c r="I6303" s="10"/>
      <c r="J6303" s="10"/>
      <c r="K6303" s="10"/>
      <c r="L6303" s="10"/>
      <c r="M6303" s="10"/>
      <c r="N6303" s="10"/>
      <c r="O6303" s="10"/>
      <c r="P6303" s="10"/>
      <c r="Q6303" s="10"/>
      <c r="R6303" s="10"/>
      <c r="S6303" s="10"/>
      <c r="T6303" s="10"/>
      <c r="U6303" s="10"/>
      <c r="V6303" s="10"/>
      <c r="W6303" s="10"/>
      <c r="X6303" s="10"/>
      <c r="Y6303" s="10"/>
      <c r="Z6303" s="10"/>
    </row>
    <row r="6304" spans="1:26" ht="12.75">
      <c r="A6304" s="10" t="str">
        <f ca="1">IFERROR(__xludf.DUMMYFUNCTION("""COMPUTED_VALUE"""),"Радослав Димов Павлов")</f>
        <v>Радослав Димов Павлов</v>
      </c>
      <c r="B6304" s="10" t="str">
        <f ca="1">IFERROR(__xludf.DUMMYFUNCTION("""COMPUTED_VALUE"""),"Доклад от конференция")</f>
        <v>Доклад от конференция</v>
      </c>
      <c r="C6304" s="10" t="str">
        <f ca="1">IFERROR(__xludf.DUMMYFUNCTION("""COMPUTED_VALUE"""),"Educational Application of top of Digital Library for Cultural Heritage")</f>
        <v>Educational Application of top of Digital Library for Cultural Heritage</v>
      </c>
      <c r="D6304" s="10">
        <f ca="1">IFERROR(__xludf.DUMMYFUNCTION("""COMPUTED_VALUE"""),2011)</f>
        <v>2011</v>
      </c>
      <c r="E6304" s="10" t="str">
        <f ca="1">IFERROR(__xludf.DUMMYFUNCTION("""COMPUTED_VALUE"""),"In the Proceedings of the International Conference on e- Learning and the Knowledge Society (E-Learning’11), 2011, ISBN:978-606-505-459-2, 219-224")</f>
        <v>In the Proceedings of the International Conference on e- Learning and the Knowledge Society (E-Learning’11), 2011, ISBN:978-606-505-459-2, 219-224</v>
      </c>
      <c r="F6304" s="10"/>
      <c r="G6304" s="10" t="str">
        <f ca="1">IFERROR(__xludf.DUMMYFUNCTION("""COMPUTED_VALUE"""),"Paneva-Marinova, D., Pavlova-Draganova, L.")</f>
        <v>Paneva-Marinova, D., Pavlova-Draganova, L.</v>
      </c>
      <c r="H6304" s="10"/>
      <c r="I6304" s="10"/>
      <c r="J6304" s="10"/>
      <c r="K6304" s="10"/>
      <c r="L6304" s="10"/>
      <c r="M6304" s="10"/>
      <c r="N6304" s="10"/>
      <c r="O6304" s="10"/>
      <c r="P6304" s="10"/>
      <c r="Q6304" s="10"/>
      <c r="R6304" s="10"/>
      <c r="S6304" s="10"/>
      <c r="T6304" s="10"/>
      <c r="U6304" s="10"/>
      <c r="V6304" s="10"/>
      <c r="W6304" s="10"/>
      <c r="X6304" s="10"/>
      <c r="Y6304" s="10"/>
      <c r="Z6304" s="10"/>
    </row>
    <row r="6305" spans="1:26" ht="12.75">
      <c r="A6305" s="10" t="str">
        <f ca="1">IFERROR(__xludf.DUMMYFUNCTION("""COMPUTED_VALUE"""),"Радослав Димов Павлов")</f>
        <v>Радослав Димов Павлов</v>
      </c>
      <c r="B6305" s="10" t="str">
        <f ca="1">IFERROR(__xludf.DUMMYFUNCTION("""COMPUTED_VALUE"""),"Доклад от конференция")</f>
        <v>Доклад от конференция</v>
      </c>
      <c r="C6305" s="10" t="str">
        <f ca="1">IFERROR(__xludf.DUMMYFUNCTION("""COMPUTED_VALUE"""),"User Authoring in Learning-by-doing Situations")</f>
        <v>User Authoring in Learning-by-doing Situations</v>
      </c>
      <c r="D6305" s="10">
        <f ca="1">IFERROR(__xludf.DUMMYFUNCTION("""COMPUTED_VALUE"""),2011)</f>
        <v>2011</v>
      </c>
      <c r="E6305" s="10" t="str">
        <f ca="1">IFERROR(__xludf.DUMMYFUNCTION("""COMPUTED_VALUE"""),"ACM International Conference Proceeding Series, 2011, 578, pp. 577-582, ISBN: 978-145030917-2, DOI: 10.1145/2023607.2023703")</f>
        <v>ACM International Conference Proceeding Series, 2011, 578, pp. 577-582, ISBN: 978-145030917-2, DOI: 10.1145/2023607.2023703</v>
      </c>
      <c r="F6305" s="10" t="str">
        <f ca="1">IFERROR(__xludf.DUMMYFUNCTION("""COMPUTED_VALUE"""),"SCOPUS")</f>
        <v>SCOPUS</v>
      </c>
      <c r="G6305" s="10" t="str">
        <f ca="1">IFERROR(__xludf.DUMMYFUNCTION("""COMPUTED_VALUE"""),"Dochev, D., Agre, G.")</f>
        <v>Dochev, D., Agre, G.</v>
      </c>
      <c r="H6305" s="10"/>
      <c r="I6305" s="10"/>
      <c r="J6305" s="10"/>
      <c r="K6305" s="10"/>
      <c r="L6305" s="10"/>
      <c r="M6305" s="10"/>
      <c r="N6305" s="10"/>
      <c r="O6305" s="10"/>
      <c r="P6305" s="10"/>
      <c r="Q6305" s="10"/>
      <c r="R6305" s="10"/>
      <c r="S6305" s="10"/>
      <c r="T6305" s="10"/>
      <c r="U6305" s="10"/>
      <c r="V6305" s="10"/>
      <c r="W6305" s="10"/>
      <c r="X6305" s="10"/>
      <c r="Y6305" s="10"/>
      <c r="Z6305" s="10"/>
    </row>
    <row r="6306" spans="1:26" ht="12.75">
      <c r="A6306" s="10" t="str">
        <f ca="1">IFERROR(__xludf.DUMMYFUNCTION("""COMPUTED_VALUE"""),"Радослав Димов Павлов")</f>
        <v>Радослав Димов Павлов</v>
      </c>
      <c r="B6306" s="10" t="str">
        <f ca="1">IFERROR(__xludf.DUMMYFUNCTION("""COMPUTED_VALUE"""),"Доклад от конференция")</f>
        <v>Доклад от конференция</v>
      </c>
      <c r="C6306" s="10" t="str">
        <f ca="1">IFERROR(__xludf.DUMMYFUNCTION("""COMPUTED_VALUE"""),"An Approach to Learning-By-Doing through User Creation of Learning Content")</f>
        <v>An Approach to Learning-By-Doing through User Creation of Learning Content</v>
      </c>
      <c r="D6306" s="10">
        <f ca="1">IFERROR(__xludf.DUMMYFUNCTION("""COMPUTED_VALUE"""),2011)</f>
        <v>2011</v>
      </c>
      <c r="E6306" s="10" t="str">
        <f ca="1">IFERROR(__xludf.DUMMYFUNCTION("""COMPUTED_VALUE"""),"In: Al-Saedy H. (Ed.). Proc. of 16th Annual Media and Web Technology Conference EUROMEDIA’2011, London, April 2011, ISBN: 978-90-77381-62-5, pp. 9-12")</f>
        <v>In: Al-Saedy H. (Ed.). Proc. of 16th Annual Media and Web Technology Conference EUROMEDIA’2011, London, April 2011, ISBN: 978-90-77381-62-5, pp. 9-12</v>
      </c>
      <c r="F6306" s="10" t="str">
        <f ca="1">IFERROR(__xludf.DUMMYFUNCTION("""COMPUTED_VALUE"""),"SCOPUS")</f>
        <v>SCOPUS</v>
      </c>
      <c r="G6306" s="10" t="str">
        <f ca="1">IFERROR(__xludf.DUMMYFUNCTION("""COMPUTED_VALUE"""),"Dochev, D., Agre, G.")</f>
        <v>Dochev, D., Agre, G.</v>
      </c>
      <c r="H6306" s="10"/>
      <c r="I6306" s="10"/>
      <c r="J6306" s="10"/>
      <c r="K6306" s="10"/>
      <c r="L6306" s="10"/>
      <c r="M6306" s="10"/>
      <c r="N6306" s="10"/>
      <c r="O6306" s="10"/>
      <c r="P6306" s="10"/>
      <c r="Q6306" s="10"/>
      <c r="R6306" s="10"/>
      <c r="S6306" s="10"/>
      <c r="T6306" s="10"/>
      <c r="U6306" s="10"/>
      <c r="V6306" s="10"/>
      <c r="W6306" s="10"/>
      <c r="X6306" s="10"/>
      <c r="Y6306" s="10"/>
      <c r="Z6306" s="10"/>
    </row>
    <row r="6307" spans="1:26" ht="12.75">
      <c r="A6307" s="10" t="str">
        <f ca="1">IFERROR(__xludf.DUMMYFUNCTION("""COMPUTED_VALUE"""),"Радослав Димов Павлов")</f>
        <v>Радослав Димов Павлов</v>
      </c>
      <c r="B6307" s="10" t="str">
        <f ca="1">IFERROR(__xludf.DUMMYFUNCTION("""COMPUTED_VALUE"""),"Статия в списания и поредици")</f>
        <v>Статия в списания и поредици</v>
      </c>
      <c r="C6307" s="10" t="str">
        <f ca="1">IFERROR(__xludf.DUMMYFUNCTION("""COMPUTED_VALUE"""),"Services for Content Creation and Presentation in an Iconographical Digital Library")</f>
        <v>Services for Content Creation and Presentation in an Iconographical Digital Library</v>
      </c>
      <c r="D6307" s="10">
        <f ca="1">IFERROR(__xludf.DUMMYFUNCTION("""COMPUTED_VALUE"""),2010)</f>
        <v>2010</v>
      </c>
      <c r="E6307" s="10" t="str">
        <f ca="1">IFERROR(__xludf.DUMMYFUNCTION("""COMPUTED_VALUE"""),"International Journal “Serdica Journal of Computing”, 4, 2, 2010, ISSN: 1312-6555, 279-292")</f>
        <v>International Journal “Serdica Journal of Computing”, 4, 2, 2010, ISSN: 1312-6555, 279-292</v>
      </c>
      <c r="F6307" s="10"/>
      <c r="G6307" s="10" t="str">
        <f ca="1">IFERROR(__xludf.DUMMYFUNCTION("""COMPUTED_VALUE"""),"Paneva-Marinova, D., Goynov, M., Pavlova-Draganova, L..")</f>
        <v>Paneva-Marinova, D., Goynov, M., Pavlova-Draganova, L..</v>
      </c>
      <c r="H6307" s="10"/>
      <c r="I6307" s="10"/>
      <c r="J6307" s="10"/>
      <c r="K6307" s="10"/>
      <c r="L6307" s="10"/>
      <c r="M6307" s="10"/>
      <c r="N6307" s="10"/>
      <c r="O6307" s="10"/>
      <c r="P6307" s="10"/>
      <c r="Q6307" s="10"/>
      <c r="R6307" s="10"/>
      <c r="S6307" s="10"/>
      <c r="T6307" s="10"/>
      <c r="U6307" s="10"/>
      <c r="V6307" s="10"/>
      <c r="W6307" s="10"/>
      <c r="X6307" s="10"/>
      <c r="Y6307" s="10"/>
      <c r="Z6307" s="10"/>
    </row>
    <row r="6308" spans="1:26" ht="12.75">
      <c r="A6308" s="10" t="str">
        <f ca="1">IFERROR(__xludf.DUMMYFUNCTION("""COMPUTED_VALUE"""),"Радослав Димов Павлов")</f>
        <v>Радослав Димов Павлов</v>
      </c>
      <c r="B6308" s="10" t="str">
        <f ca="1">IFERROR(__xludf.DUMMYFUNCTION("""COMPUTED_VALUE"""),"Доклад от конференция")</f>
        <v>Доклад от конференция</v>
      </c>
      <c r="C6308" s="10" t="str">
        <f ca="1">IFERROR(__xludf.DUMMYFUNCTION("""COMPUTED_VALUE"""),"Digital Library for Bulgarian Traditional Culture and Folklore")</f>
        <v>Digital Library for Bulgarian Traditional Culture and Folklore</v>
      </c>
      <c r="D6308" s="10">
        <f ca="1">IFERROR(__xludf.DUMMYFUNCTION("""COMPUTED_VALUE"""),2010)</f>
        <v>2010</v>
      </c>
      <c r="E6308" s="10" t="str">
        <f ca="1">IFERROR(__xludf.DUMMYFUNCTION("""COMPUTED_VALUE"""),"In the Proceedings of the 3rd International Euro-Mediterranean Conference on Digital Heritage (EuroMed 2010), 8-13 November 2010, Lymassol, Cyprus, pp. 167-172, Published by ARCHAEOLINGUA, ISBN: 978-963-9911-16-1. https://euromed2018.eu/application/files/"&amp;"2914/4923/2854/shortpapers2010.pdf")</f>
        <v>In the Proceedings of the 3rd International Euro-Mediterranean Conference on Digital Heritage (EuroMed 2010), 8-13 November 2010, Lymassol, Cyprus, pp. 167-172, Published by ARCHAEOLINGUA, ISBN: 978-963-9911-16-1. https://euromed2018.eu/application/files/2914/4923/2854/shortpapers2010.pdf</v>
      </c>
      <c r="F6308" s="10"/>
      <c r="G6308" s="10" t="str">
        <f ca="1">IFERROR(__xludf.DUMMYFUNCTION("""COMPUTED_VALUE"""),"Paneva-Marinova, D., Rangochev, K.")</f>
        <v>Paneva-Marinova, D., Rangochev, K.</v>
      </c>
      <c r="H6308" s="10"/>
      <c r="I6308" s="10"/>
      <c r="J6308" s="10"/>
      <c r="K6308" s="10"/>
      <c r="L6308" s="10"/>
      <c r="M6308" s="10"/>
      <c r="N6308" s="10"/>
      <c r="O6308" s="10"/>
      <c r="P6308" s="10"/>
      <c r="Q6308" s="10"/>
      <c r="R6308" s="10"/>
      <c r="S6308" s="10"/>
      <c r="T6308" s="10"/>
      <c r="U6308" s="10"/>
      <c r="V6308" s="10"/>
      <c r="W6308" s="10"/>
      <c r="X6308" s="10"/>
      <c r="Y6308" s="10"/>
      <c r="Z6308" s="10"/>
    </row>
    <row r="6309" spans="1:26" ht="12.75">
      <c r="A6309" s="10" t="str">
        <f ca="1">IFERROR(__xludf.DUMMYFUNCTION("""COMPUTED_VALUE"""),"Радослав Димов Павлов")</f>
        <v>Радослав Димов Павлов</v>
      </c>
      <c r="B6309" s="10" t="str">
        <f ca="1">IFERROR(__xludf.DUMMYFUNCTION("""COMPUTED_VALUE"""),"Доклад от конференция")</f>
        <v>Доклад от конференция</v>
      </c>
      <c r="C6309" s="10" t="str">
        <f ca="1">IFERROR(__xludf.DUMMYFUNCTION("""COMPUTED_VALUE"""),"On the Wider Accessibility of the Valuable Phenomena of Orthodox Iconography through Digital Library")</f>
        <v>On the Wider Accessibility of the Valuable Phenomena of Orthodox Iconography through Digital Library</v>
      </c>
      <c r="D6309" s="10">
        <f ca="1">IFERROR(__xludf.DUMMYFUNCTION("""COMPUTED_VALUE"""),2010)</f>
        <v>2010</v>
      </c>
      <c r="E6309" s="10" t="str">
        <f ca="1">IFERROR(__xludf.DUMMYFUNCTION("""COMPUTED_VALUE"""),"In the Proceedings of the 3rd International Euro-Mediterranean Conference on Digital Heritage (EuroMed 2010), 8-13 November 2010, Lymassol, Cyprus, pp. 173-178, Published by ARCHAEOLINGUA, ISBN: 978-963-9911-16-1. https://euromed2018.eu/application/files/"&amp;"2914/4923/2854/shortpapers2010.pdf")</f>
        <v>In the Proceedings of the 3rd International Euro-Mediterranean Conference on Digital Heritage (EuroMed 2010), 8-13 November 2010, Lymassol, Cyprus, pp. 173-178, Published by ARCHAEOLINGUA, ISBN: 978-963-9911-16-1. https://euromed2018.eu/application/files/2914/4923/2854/shortpapers2010.pdf</v>
      </c>
      <c r="F6309" s="10"/>
      <c r="G6309" s="10" t="str">
        <f ca="1">IFERROR(__xludf.DUMMYFUNCTION("""COMPUTED_VALUE"""),"Pavlova-Draganova, L., Paneva-Marinova, D., Goynov, M.")</f>
        <v>Pavlova-Draganova, L., Paneva-Marinova, D., Goynov, M.</v>
      </c>
      <c r="H6309" s="10"/>
      <c r="I6309" s="10"/>
      <c r="J6309" s="10"/>
      <c r="K6309" s="10"/>
      <c r="L6309" s="10"/>
      <c r="M6309" s="10"/>
      <c r="N6309" s="10"/>
      <c r="O6309" s="10"/>
      <c r="P6309" s="10"/>
      <c r="Q6309" s="10"/>
      <c r="R6309" s="10"/>
      <c r="S6309" s="10"/>
      <c r="T6309" s="10"/>
      <c r="U6309" s="10"/>
      <c r="V6309" s="10"/>
      <c r="W6309" s="10"/>
      <c r="X6309" s="10"/>
      <c r="Y6309" s="10"/>
      <c r="Z6309" s="10"/>
    </row>
    <row r="6310" spans="1:26" ht="12.75">
      <c r="A6310" s="10" t="str">
        <f ca="1">IFERROR(__xludf.DUMMYFUNCTION("""COMPUTED_VALUE"""),"Радослав Димов Павлов")</f>
        <v>Радослав Димов Павлов</v>
      </c>
      <c r="B6310" s="10" t="str">
        <f ca="1">IFERROR(__xludf.DUMMYFUNCTION("""COMPUTED_VALUE"""),"Доклад от конференция")</f>
        <v>Доклад от конференция</v>
      </c>
      <c r="C6310" s="10" t="str">
        <f ca="1">IFERROR(__xludf.DUMMYFUNCTION("""COMPUTED_VALUE"""),"Towards Online Accessibility of Valuable Phenomena of the Bulgarian Folklore Heritage")</f>
        <v>Towards Online Accessibility of Valuable Phenomena of the Bulgarian Folklore Heritage</v>
      </c>
      <c r="D6310" s="10">
        <f ca="1">IFERROR(__xludf.DUMMYFUNCTION("""COMPUTED_VALUE"""),2010)</f>
        <v>2010</v>
      </c>
      <c r="E6310" s="10" t="str">
        <f ca="1">IFERROR(__xludf.DUMMYFUNCTION("""COMPUTED_VALUE"""),"Proceedings of the International Conference on Computer Systems and Technologies (CompSysTech’10), June, 2010, Sofia, Bulgaria, pp.329-334, ACM ICPS vol. 471, ACM, 2010, ISBN: 978-1-4503-0243-2, DOI:10.1145/1839379.1839437, 329-334.")</f>
        <v>Proceedings of the International Conference on Computer Systems and Technologies (CompSysTech’10), June, 2010, Sofia, Bulgaria, pp.329-334, ACM ICPS vol. 471, ACM, 2010, ISBN: 978-1-4503-0243-2, DOI:10.1145/1839379.1839437, 329-334.</v>
      </c>
      <c r="F6310" s="10"/>
      <c r="G6310" s="10" t="str">
        <f ca="1">IFERROR(__xludf.DUMMYFUNCTION("""COMPUTED_VALUE"""),"D. Paneva-Marinova, K. Rangochev, M. Goynov, D. Luchev.")</f>
        <v>D. Paneva-Marinova, K. Rangochev, M. Goynov, D. Luchev.</v>
      </c>
      <c r="H6310" s="10"/>
      <c r="I6310" s="10"/>
      <c r="J6310" s="10"/>
      <c r="K6310" s="10"/>
      <c r="L6310" s="10"/>
      <c r="M6310" s="10"/>
      <c r="N6310" s="10"/>
      <c r="O6310" s="10"/>
      <c r="P6310" s="10"/>
      <c r="Q6310" s="10"/>
      <c r="R6310" s="10"/>
      <c r="S6310" s="10"/>
      <c r="T6310" s="10"/>
      <c r="U6310" s="10"/>
      <c r="V6310" s="10"/>
      <c r="W6310" s="10"/>
      <c r="X6310" s="10"/>
      <c r="Y6310" s="10"/>
      <c r="Z6310" s="10"/>
    </row>
    <row r="6311" spans="1:26" ht="12.75">
      <c r="A6311" s="10" t="str">
        <f ca="1">IFERROR(__xludf.DUMMYFUNCTION("""COMPUTED_VALUE"""),"Радослав Димов Павлов")</f>
        <v>Радослав Димов Павлов</v>
      </c>
      <c r="B6311" s="10" t="str">
        <f ca="1">IFERROR(__xludf.DUMMYFUNCTION("""COMPUTED_VALUE"""),"Доклад от конференция")</f>
        <v>Доклад от конференция</v>
      </c>
      <c r="C6311" s="10" t="str">
        <f ca="1">IFERROR(__xludf.DUMMYFUNCTION("""COMPUTED_VALUE"""),"Use Case for Creative Learning-by-Authoring")</f>
        <v>Use Case for Creative Learning-by-Authoring</v>
      </c>
      <c r="D6311" s="10">
        <f ca="1">IFERROR(__xludf.DUMMYFUNCTION("""COMPUTED_VALUE"""),2010)</f>
        <v>2010</v>
      </c>
      <c r="E6311" s="10" t="str">
        <f ca="1">IFERROR(__xludf.DUMMYFUNCTION("""COMPUTED_VALUE"""),"In the Proceedings of the International Conference on e-Learning and the Knowledge Society, 25-27 August, 2010, Riga, Latvia, 2010, ISBN:978-9984-30-181-5, 191-196")</f>
        <v>In the Proceedings of the International Conference on e-Learning and the Knowledge Society, 25-27 August, 2010, Riga, Latvia, 2010, ISBN:978-9984-30-181-5, 191-196</v>
      </c>
      <c r="F6311" s="10"/>
      <c r="G6311" s="10" t="str">
        <f ca="1">IFERROR(__xludf.DUMMYFUNCTION("""COMPUTED_VALUE"""),"Draganov, L., Paneva-Marinova, D., Pavlova-Draganova, L.")</f>
        <v>Draganov, L., Paneva-Marinova, D., Pavlova-Draganova, L.</v>
      </c>
      <c r="H6311" s="10"/>
      <c r="I6311" s="10"/>
      <c r="J6311" s="10"/>
      <c r="K6311" s="10"/>
      <c r="L6311" s="10"/>
      <c r="M6311" s="10"/>
      <c r="N6311" s="10"/>
      <c r="O6311" s="10"/>
      <c r="P6311" s="10"/>
      <c r="Q6311" s="10"/>
      <c r="R6311" s="10"/>
      <c r="S6311" s="10"/>
      <c r="T6311" s="10"/>
      <c r="U6311" s="10"/>
      <c r="V6311" s="10"/>
      <c r="W6311" s="10"/>
      <c r="X6311" s="10"/>
      <c r="Y6311" s="10"/>
      <c r="Z6311" s="10"/>
    </row>
    <row r="6312" spans="1:26" ht="12.75">
      <c r="A6312" s="10" t="str">
        <f ca="1">IFERROR(__xludf.DUMMYFUNCTION("""COMPUTED_VALUE"""),"Радослав Димов Павлов")</f>
        <v>Радослав Димов Павлов</v>
      </c>
      <c r="B6312" s="10" t="str">
        <f ca="1">IFERROR(__xludf.DUMMYFUNCTION("""COMPUTED_VALUE"""),"Доклад от конференция")</f>
        <v>Доклад от конференция</v>
      </c>
      <c r="C6312" s="10" t="str">
        <f ca="1">IFERROR(__xludf.DUMMYFUNCTION("""COMPUTED_VALUE"""),"Authoring E-Learning Content – Trends and Solutions")</f>
        <v>Authoring E-Learning Content – Trends and Solutions</v>
      </c>
      <c r="D6312" s="10">
        <f ca="1">IFERROR(__xludf.DUMMYFUNCTION("""COMPUTED_VALUE"""),2009)</f>
        <v>2009</v>
      </c>
      <c r="E6312" s="10" t="str">
        <f ca="1">IFERROR(__xludf.DUMMYFUNCTION("""COMPUTED_VALUE"""),"In: Kinshuk, D. G Sampson, J. M. Spector, P. Isaias, D. Ifenthaler (Eds.). Proceedings of IADIS CELDA 2009 International Conference ""Cognition and Exploratory Learning in Digital Age"", November, 2009, Rome, Italy, pp. 322-327, ISBN: 978-972-8924-95-9, I"&amp;"SBN: 978-972-8924-95-9")</f>
        <v>In: Kinshuk, D. G Sampson, J. M. Spector, P. Isaias, D. Ifenthaler (Eds.). Proceedings of IADIS CELDA 2009 International Conference "Cognition and Exploratory Learning in Digital Age", November, 2009, Rome, Italy, pp. 322-327, ISBN: 978-972-8924-95-9, ISBN: 978-972-8924-95-9</v>
      </c>
      <c r="F6312" s="10" t="str">
        <f ca="1">IFERROR(__xludf.DUMMYFUNCTION("""COMPUTED_VALUE"""),"SCOPUS")</f>
        <v>SCOPUS</v>
      </c>
      <c r="G6312" s="10" t="str">
        <f ca="1">IFERROR(__xludf.DUMMYFUNCTION("""COMPUTED_VALUE"""),"Dochev, D.")</f>
        <v>Dochev, D.</v>
      </c>
      <c r="H6312" s="10"/>
      <c r="I6312" s="10"/>
      <c r="J6312" s="10"/>
      <c r="K6312" s="10"/>
      <c r="L6312" s="10"/>
      <c r="M6312" s="10"/>
      <c r="N6312" s="10"/>
      <c r="O6312" s="10"/>
      <c r="P6312" s="10"/>
      <c r="Q6312" s="10"/>
      <c r="R6312" s="10"/>
      <c r="S6312" s="10"/>
      <c r="T6312" s="10"/>
      <c r="U6312" s="10"/>
      <c r="V6312" s="10"/>
      <c r="W6312" s="10"/>
      <c r="X6312" s="10"/>
      <c r="Y6312" s="10"/>
      <c r="Z6312" s="10"/>
    </row>
    <row r="6313" spans="1:26" ht="12.75">
      <c r="A6313" s="10" t="str">
        <f ca="1">IFERROR(__xludf.DUMMYFUNCTION("""COMPUTED_VALUE"""),"Радослав Димов Павлов")</f>
        <v>Радослав Димов Павлов</v>
      </c>
      <c r="B6313" s="10" t="str">
        <f ca="1">IFERROR(__xludf.DUMMYFUNCTION("""COMPUTED_VALUE"""),"Доклад от конференция")</f>
        <v>Доклад от конференция</v>
      </c>
      <c r="C6313" s="10" t="str">
        <f ca="1">IFERROR(__xludf.DUMMYFUNCTION("""COMPUTED_VALUE"""),"Learning Content for Technology Enhanced Learning – Experiments and Solutions")</f>
        <v>Learning Content for Technology Enhanced Learning – Experiments and Solutions</v>
      </c>
      <c r="D6313" s="10">
        <f ca="1">IFERROR(__xludf.DUMMYFUNCTION("""COMPUTED_VALUE"""),2009)</f>
        <v>2009</v>
      </c>
      <c r="E6313" s="10" t="str">
        <f ca="1">IFERROR(__xludf.DUMMYFUNCTION("""COMPUTED_VALUE"""),"International Conference on e-Learning and the Knowledge Society - e-Learning’09, Berlin, Germany, September 2009")</f>
        <v>International Conference on e-Learning and the Knowledge Society - e-Learning’09, Berlin, Germany, September 2009</v>
      </c>
      <c r="F6313" s="10"/>
      <c r="G6313" s="10" t="str">
        <f ca="1">IFERROR(__xludf.DUMMYFUNCTION("""COMPUTED_VALUE"""),"Dochev D.")</f>
        <v>Dochev D.</v>
      </c>
      <c r="H6313" s="10"/>
      <c r="I6313" s="10"/>
      <c r="J6313" s="10"/>
      <c r="K6313" s="10"/>
      <c r="L6313" s="10"/>
      <c r="M6313" s="10"/>
      <c r="N6313" s="10"/>
      <c r="O6313" s="10"/>
      <c r="P6313" s="10"/>
      <c r="Q6313" s="10"/>
      <c r="R6313" s="10"/>
      <c r="S6313" s="10"/>
      <c r="T6313" s="10"/>
      <c r="U6313" s="10"/>
      <c r="V6313" s="10"/>
      <c r="W6313" s="10"/>
      <c r="X6313" s="10"/>
      <c r="Y6313" s="10"/>
      <c r="Z6313" s="10"/>
    </row>
    <row r="6314" spans="1:26" ht="12.75">
      <c r="A6314" s="10" t="str">
        <f ca="1">IFERROR(__xludf.DUMMYFUNCTION("""COMPUTED_VALUE"""),"Радослав Димов Павлов")</f>
        <v>Радослав Димов Павлов</v>
      </c>
      <c r="B6314" s="10" t="str">
        <f ca="1">IFERROR(__xludf.DUMMYFUNCTION("""COMPUTED_VALUE"""),"Доклад от конференция")</f>
        <v>Доклад от конференция</v>
      </c>
      <c r="C6314" s="10" t="str">
        <f ca="1">IFERROR(__xludf.DUMMYFUNCTION("""COMPUTED_VALUE"""),"Development of a Courseware on Bulgarian Iconography for Ubiquitous On-demand Study")</f>
        <v>Development of a Courseware on Bulgarian Iconography for Ubiquitous On-demand Study</v>
      </c>
      <c r="D6314" s="10">
        <f ca="1">IFERROR(__xludf.DUMMYFUNCTION("""COMPUTED_VALUE"""),2009)</f>
        <v>2009</v>
      </c>
      <c r="E6314" s="10" t="str">
        <f ca="1">IFERROR(__xludf.DUMMYFUNCTION("""COMPUTED_VALUE"""),"In: Szucs A. (Ed.) Proceedings of Open Conference “New Technology Platforms for Learning – Revisited”. Budapest, Hungary, January 2009, 2009, ISBN: 978-954-91700-3-0, 37-48")</f>
        <v>In: Szucs A. (Ed.) Proceedings of Open Conference “New Technology Platforms for Learning – Revisited”. Budapest, Hungary, January 2009, 2009, ISBN: 978-954-91700-3-0, 37-48</v>
      </c>
      <c r="F6314" s="10"/>
      <c r="G6314" s="10" t="str">
        <f ca="1">IFERROR(__xludf.DUMMYFUNCTION("""COMPUTED_VALUE"""),"Paneva-Marinova, D., Pavlova-Draganova, L., Draganov, L., Sendova, M..")</f>
        <v>Paneva-Marinova, D., Pavlova-Draganova, L., Draganov, L., Sendova, M..</v>
      </c>
      <c r="H6314" s="10"/>
      <c r="I6314" s="10"/>
      <c r="J6314" s="10"/>
      <c r="K6314" s="10"/>
      <c r="L6314" s="10"/>
      <c r="M6314" s="10"/>
      <c r="N6314" s="10"/>
      <c r="O6314" s="10"/>
      <c r="P6314" s="10"/>
      <c r="Q6314" s="10"/>
      <c r="R6314" s="10"/>
      <c r="S6314" s="10"/>
      <c r="T6314" s="10"/>
      <c r="U6314" s="10"/>
      <c r="V6314" s="10"/>
      <c r="W6314" s="10"/>
      <c r="X6314" s="10"/>
      <c r="Y6314" s="10"/>
      <c r="Z6314" s="10"/>
    </row>
    <row r="6315" spans="1:26" ht="12.75">
      <c r="A6315" s="10" t="str">
        <f ca="1">IFERROR(__xludf.DUMMYFUNCTION("""COMPUTED_VALUE"""),"Радослав Димов Павлов")</f>
        <v>Радослав Димов Павлов</v>
      </c>
      <c r="B6315" s="10" t="str">
        <f ca="1">IFERROR(__xludf.DUMMYFUNCTION("""COMPUTED_VALUE"""),"Доклад от конференция")</f>
        <v>Доклад от конференция</v>
      </c>
      <c r="C6315" s="10" t="str">
        <f ca="1">IFERROR(__xludf.DUMMYFUNCTION("""COMPUTED_VALUE"""),"Cross-media and Ubiquitous Learning Applications on Top of Iconographic Digital Library")</f>
        <v>Cross-media and Ubiquitous Learning Applications on Top of Iconographic Digital Library</v>
      </c>
      <c r="D6315" s="10">
        <f ca="1">IFERROR(__xludf.DUMMYFUNCTION("""COMPUTED_VALUE"""),2008)</f>
        <v>2008</v>
      </c>
      <c r="E6315" s="10" t="str">
        <f ca="1">IFERROR(__xludf.DUMMYFUNCTION("""COMPUTED_VALUE"""),"In the Proceedings of the 14th International Conference on Virtual Systems and Multimedia, Limassol, Cyprus, 20-25 October 2008, ISBN: 978-963-9911-00-0, pp. 367-371.")</f>
        <v>In the Proceedings of the 14th International Conference on Virtual Systems and Multimedia, Limassol, Cyprus, 20-25 October 2008, ISBN: 978-963-9911-00-0, pp. 367-371.</v>
      </c>
      <c r="F6315" s="10"/>
      <c r="G6315" s="10" t="str">
        <f ca="1">IFERROR(__xludf.DUMMYFUNCTION("""COMPUTED_VALUE"""),"Paneva-Marinova, D., L. Pavlova-Draganova, M. Sendova")</f>
        <v>Paneva-Marinova, D., L. Pavlova-Draganova, M. Sendova</v>
      </c>
      <c r="H6315" s="10"/>
      <c r="I6315" s="10"/>
      <c r="J6315" s="10"/>
      <c r="K6315" s="10"/>
      <c r="L6315" s="10"/>
      <c r="M6315" s="10"/>
      <c r="N6315" s="10"/>
      <c r="O6315" s="10"/>
      <c r="P6315" s="10"/>
      <c r="Q6315" s="10"/>
      <c r="R6315" s="10"/>
      <c r="S6315" s="10"/>
      <c r="T6315" s="10"/>
      <c r="U6315" s="10"/>
      <c r="V6315" s="10"/>
      <c r="W6315" s="10"/>
      <c r="X6315" s="10"/>
      <c r="Y6315" s="10"/>
      <c r="Z6315" s="10"/>
    </row>
    <row r="6316" spans="1:26" ht="12.75">
      <c r="A6316" s="10" t="str">
        <f ca="1">IFERROR(__xludf.DUMMYFUNCTION("""COMPUTED_VALUE"""),"Радослав Димов Павлов")</f>
        <v>Радослав Димов Павлов</v>
      </c>
      <c r="B6316" s="10" t="str">
        <f ca="1">IFERROR(__xludf.DUMMYFUNCTION("""COMPUTED_VALUE"""),"Книга")</f>
        <v>Книга</v>
      </c>
      <c r="C6316" s="10" t="str">
        <f ca="1">IFERROR(__xludf.DUMMYFUNCTION("""COMPUTED_VALUE"""),"Analysis of innovative learning services in Web, interactive TV and mobile applications for non-formal settings")</f>
        <v>Analysis of innovative learning services in Web, interactive TV and mobile applications for non-formal settings</v>
      </c>
      <c r="D6316" s="10">
        <f ca="1">IFERROR(__xludf.DUMMYFUNCTION("""COMPUTED_VALUE"""),2007)</f>
        <v>2007</v>
      </c>
      <c r="E6316" s="10" t="str">
        <f ca="1">IFERROR(__xludf.DUMMYFUNCTION("""COMPUTED_VALUE"""),"Demetra Ltd. Publisher, Sofia, Bulgaria, 2007, pp. 1-163, ISBN: 978-954-8986-24-3")</f>
        <v>Demetra Ltd. Publisher, Sofia, Bulgaria, 2007, pp. 1-163, ISBN: 978-954-8986-24-3</v>
      </c>
      <c r="F6316" s="10"/>
      <c r="G6316" s="10" t="str">
        <f ca="1">IFERROR(__xludf.DUMMYFUNCTION("""COMPUTED_VALUE"""),"D. Paneva, N. Moumoutzis, P. Arapi, E. Ovcin, G. Morrone, Z. Markus")</f>
        <v>D. Paneva, N. Moumoutzis, P. Arapi, E. Ovcin, G. Morrone, Z. Markus</v>
      </c>
      <c r="H6316" s="10"/>
      <c r="I6316" s="10"/>
      <c r="J6316" s="10"/>
      <c r="K6316" s="10"/>
      <c r="L6316" s="10"/>
      <c r="M6316" s="10"/>
      <c r="N6316" s="10"/>
      <c r="O6316" s="10"/>
      <c r="P6316" s="10"/>
      <c r="Q6316" s="10"/>
      <c r="R6316" s="10"/>
      <c r="S6316" s="10"/>
      <c r="T6316" s="10"/>
      <c r="U6316" s="10"/>
      <c r="V6316" s="10"/>
      <c r="W6316" s="10"/>
      <c r="X6316" s="10"/>
      <c r="Y6316" s="10"/>
      <c r="Z6316" s="10"/>
    </row>
    <row r="6317" spans="1:26" ht="12.75">
      <c r="A6317" s="10" t="str">
        <f ca="1">IFERROR(__xludf.DUMMYFUNCTION("""COMPUTED_VALUE"""),"Радослав Димов Павлов")</f>
        <v>Радослав Димов Павлов</v>
      </c>
      <c r="B6317" s="10" t="str">
        <f ca="1">IFERROR(__xludf.DUMMYFUNCTION("""COMPUTED_VALUE"""),"Статия в списания и поредици")</f>
        <v>Статия в списания и поредици</v>
      </c>
      <c r="C6317" s="10" t="str">
        <f ca="1">IFERROR(__xludf.DUMMYFUNCTION("""COMPUTED_VALUE"""),"Action with Untrustworthy Bidders")</f>
        <v>Action with Untrustworthy Bidders</v>
      </c>
      <c r="D6317" s="10">
        <f ca="1">IFERROR(__xludf.DUMMYFUNCTION("""COMPUTED_VALUE"""),2007)</f>
        <v>2007</v>
      </c>
      <c r="E6317" s="10" t="str">
        <f ca="1">IFERROR(__xludf.DUMMYFUNCTION("""COMPUTED_VALUE"""),"International Journal “Serdica Journal of Computing”, Vol. 1, Num. 3, 2007, pp. 293-312, ISSN: 1312-6555.")</f>
        <v>International Journal “Serdica Journal of Computing”, Vol. 1, Num. 3, 2007, pp. 293-312, ISSN: 1312-6555.</v>
      </c>
      <c r="F6317" s="10"/>
      <c r="G6317" s="10" t="str">
        <f ca="1">IFERROR(__xludf.DUMMYFUNCTION("""COMPUTED_VALUE"""),"Braynov, S.")</f>
        <v>Braynov, S.</v>
      </c>
      <c r="H6317" s="10"/>
      <c r="I6317" s="10"/>
      <c r="J6317" s="10"/>
      <c r="K6317" s="10"/>
      <c r="L6317" s="10"/>
      <c r="M6317" s="10"/>
      <c r="N6317" s="10"/>
      <c r="O6317" s="10"/>
      <c r="P6317" s="10"/>
      <c r="Q6317" s="10"/>
      <c r="R6317" s="10"/>
      <c r="S6317" s="10"/>
      <c r="T6317" s="10"/>
      <c r="U6317" s="10"/>
      <c r="V6317" s="10"/>
      <c r="W6317" s="10"/>
      <c r="X6317" s="10"/>
      <c r="Y6317" s="10"/>
      <c r="Z6317" s="10"/>
    </row>
    <row r="6318" spans="1:26" ht="12.75">
      <c r="A6318" s="10" t="str">
        <f ca="1">IFERROR(__xludf.DUMMYFUNCTION("""COMPUTED_VALUE"""),"Радослав Димов Павлов")</f>
        <v>Радослав Димов Павлов</v>
      </c>
      <c r="B6318" s="10" t="str">
        <f ca="1">IFERROR(__xludf.DUMMYFUNCTION("""COMPUTED_VALUE"""),"Статия в списания и поредици")</f>
        <v>Статия в списания и поредици</v>
      </c>
      <c r="C6318" s="10" t="str">
        <f ca="1">IFERROR(__xludf.DUMMYFUNCTION("""COMPUTED_VALUE"""),"Системи за представяне, съхранение и творческо използване на дигитализираното знание")</f>
        <v>Системи за представяне, съхранение и творческо използване на дигитализираното знание</v>
      </c>
      <c r="D6318" s="10">
        <f ca="1">IFERROR(__xludf.DUMMYFUNCTION("""COMPUTED_VALUE"""),2007)</f>
        <v>2007</v>
      </c>
      <c r="E6318" s="10" t="str">
        <f ca="1">IFERROR(__xludf.DUMMYFUNCTION("""COMPUTED_VALUE"""),"Списание на Българската академия на науките, книжка 6, стр. 69-74, 2007, ISSN: 0007-3989.")</f>
        <v>Списание на Българската академия на науките, книжка 6, стр. 69-74, 2007, ISSN: 0007-3989.</v>
      </c>
      <c r="F6318" s="10"/>
      <c r="G6318" s="10"/>
      <c r="H6318" s="10"/>
      <c r="I6318" s="10"/>
      <c r="J6318" s="10"/>
      <c r="K6318" s="10"/>
      <c r="L6318" s="10"/>
      <c r="M6318" s="10"/>
      <c r="N6318" s="10"/>
      <c r="O6318" s="10"/>
      <c r="P6318" s="10"/>
      <c r="Q6318" s="10"/>
      <c r="R6318" s="10"/>
      <c r="S6318" s="10"/>
      <c r="T6318" s="10"/>
      <c r="U6318" s="10"/>
      <c r="V6318" s="10"/>
      <c r="W6318" s="10"/>
      <c r="X6318" s="10"/>
      <c r="Y6318" s="10"/>
      <c r="Z6318" s="10"/>
    </row>
    <row r="6319" spans="1:26" ht="12.75">
      <c r="A6319" s="10" t="str">
        <f ca="1">IFERROR(__xludf.DUMMYFUNCTION("""COMPUTED_VALUE"""),"Радослав Димов Павлов")</f>
        <v>Радослав Димов Павлов</v>
      </c>
      <c r="B6319" s="10" t="str">
        <f ca="1">IFERROR(__xludf.DUMMYFUNCTION("""COMPUTED_VALUE"""),"Доклад от конференция")</f>
        <v>Доклад от конференция</v>
      </c>
      <c r="C6319" s="10" t="str">
        <f ca="1">IFERROR(__xludf.DUMMYFUNCTION("""COMPUTED_VALUE"""),"Ubiquitous Learning Applications on top of Iconographic Digital Library")</f>
        <v>Ubiquitous Learning Applications on top of Iconographic Digital Library</v>
      </c>
      <c r="D6319" s="10">
        <f ca="1">IFERROR(__xludf.DUMMYFUNCTION("""COMPUTED_VALUE"""),2007)</f>
        <v>2007</v>
      </c>
      <c r="E6319" s="10" t="str">
        <f ca="1">IFERROR(__xludf.DUMMYFUNCTION("""COMPUTED_VALUE"""),"In the Proceedings of the Jubilee International Conference on Mathematical and Computational Linguistics „30 years Department of Mathematical Linguistics”, 6 July, 2007, Sofia, Bulgaria, 2007, ISBN:978-954-8986-28-1, 107-118")</f>
        <v>In the Proceedings of the Jubilee International Conference on Mathematical and Computational Linguistics „30 years Department of Mathematical Linguistics”, 6 July, 2007, Sofia, Bulgaria, 2007, ISBN:978-954-8986-28-1, 107-118</v>
      </c>
      <c r="F6319" s="10"/>
      <c r="G6319" s="10" t="str">
        <f ca="1">IFERROR(__xludf.DUMMYFUNCTION("""COMPUTED_VALUE"""),"Paneva, D., Pavlova-Draganova, L., Draganov, L.")</f>
        <v>Paneva, D., Pavlova-Draganova, L., Draganov, L.</v>
      </c>
      <c r="H6319" s="10"/>
      <c r="I6319" s="10"/>
      <c r="J6319" s="10"/>
      <c r="K6319" s="10"/>
      <c r="L6319" s="10"/>
      <c r="M6319" s="10"/>
      <c r="N6319" s="10"/>
      <c r="O6319" s="10"/>
      <c r="P6319" s="10"/>
      <c r="Q6319" s="10"/>
      <c r="R6319" s="10"/>
      <c r="S6319" s="10"/>
      <c r="T6319" s="10"/>
      <c r="U6319" s="10"/>
      <c r="V6319" s="10"/>
      <c r="W6319" s="10"/>
      <c r="X6319" s="10"/>
      <c r="Y6319" s="10"/>
      <c r="Z6319" s="10"/>
    </row>
    <row r="6320" spans="1:26" ht="12.75">
      <c r="A6320" s="10" t="str">
        <f ca="1">IFERROR(__xludf.DUMMYFUNCTION("""COMPUTED_VALUE"""),"Радослав Димов Павлов")</f>
        <v>Радослав Димов Павлов</v>
      </c>
      <c r="B6320" s="10" t="str">
        <f ca="1">IFERROR(__xludf.DUMMYFUNCTION("""COMPUTED_VALUE"""),"Статия в списания и поредици")</f>
        <v>Статия в списания и поредици</v>
      </c>
      <c r="C6320" s="10" t="str">
        <f ca="1">IFERROR(__xludf.DUMMYFUNCTION("""COMPUTED_VALUE"""),"Toward Ubiquitous Learning Application of Digital Libraries with Multimedia Content")</f>
        <v>Toward Ubiquitous Learning Application of Digital Libraries with Multimedia Content</v>
      </c>
      <c r="D6320" s="10">
        <f ca="1">IFERROR(__xludf.DUMMYFUNCTION("""COMPUTED_VALUE"""),2006)</f>
        <v>2006</v>
      </c>
      <c r="E6320" s="10" t="str">
        <f ca="1">IFERROR(__xludf.DUMMYFUNCTION("""COMPUTED_VALUE"""),"International Journal „Cybernetics and Information Technologies”, 2006, Vol. 6, № 3, pp. 51-62, ISSN: 1311-9702.")</f>
        <v>International Journal „Cybernetics and Information Technologies”, 2006, Vol. 6, № 3, pp. 51-62, ISSN: 1311-9702.</v>
      </c>
      <c r="F6320" s="10"/>
      <c r="G6320" s="10" t="str">
        <f ca="1">IFERROR(__xludf.DUMMYFUNCTION("""COMPUTED_VALUE"""),"Paneva, D.")</f>
        <v>Paneva, D.</v>
      </c>
      <c r="H6320" s="10"/>
      <c r="I6320" s="10"/>
      <c r="J6320" s="10"/>
      <c r="K6320" s="10"/>
      <c r="L6320" s="10"/>
      <c r="M6320" s="10"/>
      <c r="N6320" s="10"/>
      <c r="O6320" s="10"/>
      <c r="P6320" s="10"/>
      <c r="Q6320" s="10"/>
      <c r="R6320" s="10"/>
      <c r="S6320" s="10"/>
      <c r="T6320" s="10"/>
      <c r="U6320" s="10"/>
      <c r="V6320" s="10"/>
      <c r="W6320" s="10"/>
      <c r="X6320" s="10"/>
      <c r="Y6320" s="10"/>
      <c r="Z6320" s="10"/>
    </row>
    <row r="6321" spans="1:26" ht="12.75">
      <c r="A6321" s="10" t="str">
        <f ca="1">IFERROR(__xludf.DUMMYFUNCTION("""COMPUTED_VALUE"""),"Радослав Димов Павлов")</f>
        <v>Радослав Димов Павлов</v>
      </c>
      <c r="B6321" s="10" t="str">
        <f ca="1">IFERROR(__xludf.DUMMYFUNCTION("""COMPUTED_VALUE"""),"Доклад от конференция")</f>
        <v>Доклад от конференция</v>
      </c>
      <c r="C6321" s="10" t="str">
        <f ca="1">IFERROR(__xludf.DUMMYFUNCTION("""COMPUTED_VALUE"""),"Innovative Learning Services in Web, Interactive TV and Mobile Applications")</f>
        <v>Innovative Learning Services in Web, Interactive TV and Mobile Applications</v>
      </c>
      <c r="D6321" s="10">
        <f ca="1">IFERROR(__xludf.DUMMYFUNCTION("""COMPUTED_VALUE"""),2006)</f>
        <v>2006</v>
      </c>
      <c r="E6321" s="10" t="str">
        <f ca="1">IFERROR(__xludf.DUMMYFUNCTION("""COMPUTED_VALUE"""),"In the Proceedings of the Fourth CHIRON Open Workshop „Ubiquitous Learning Challenges: Design, Experiments and Context Aware Ubiquitous Learning”, 20-21 September 2006, Turin, Italy, 2006, ISBN: 88-900636-1-0, 4-16")</f>
        <v>In the Proceedings of the Fourth CHIRON Open Workshop „Ubiquitous Learning Challenges: Design, Experiments and Context Aware Ubiquitous Learning”, 20-21 September 2006, Turin, Italy, 2006, ISBN: 88-900636-1-0, 4-16</v>
      </c>
      <c r="F6321" s="10"/>
      <c r="G6321" s="10" t="str">
        <f ca="1">IFERROR(__xludf.DUMMYFUNCTION("""COMPUTED_VALUE"""),"Paneva, D.")</f>
        <v>Paneva, D.</v>
      </c>
      <c r="H6321" s="10"/>
      <c r="I6321" s="10"/>
      <c r="J6321" s="10"/>
      <c r="K6321" s="10"/>
      <c r="L6321" s="10"/>
      <c r="M6321" s="10"/>
      <c r="N6321" s="10"/>
      <c r="O6321" s="10"/>
      <c r="P6321" s="10"/>
      <c r="Q6321" s="10"/>
      <c r="R6321" s="10"/>
      <c r="S6321" s="10"/>
      <c r="T6321" s="10"/>
      <c r="U6321" s="10"/>
      <c r="V6321" s="10"/>
      <c r="W6321" s="10"/>
      <c r="X6321" s="10"/>
      <c r="Y6321" s="10"/>
      <c r="Z6321" s="10"/>
    </row>
    <row r="6322" spans="1:26" ht="12.75">
      <c r="A6322" s="10" t="str">
        <f ca="1">IFERROR(__xludf.DUMMYFUNCTION("""COMPUTED_VALUE"""),"Радослав Димов Павлов")</f>
        <v>Радослав Димов Павлов</v>
      </c>
      <c r="B6322" s="10" t="str">
        <f ca="1">IFERROR(__xludf.DUMMYFUNCTION("""COMPUTED_VALUE"""),"Доклад от конференция")</f>
        <v>Доклад от конференция</v>
      </c>
      <c r="C6322" s="10" t="str">
        <f ca="1">IFERROR(__xludf.DUMMYFUNCTION("""COMPUTED_VALUE"""),"Personalized and adaptive learning – approaches and solutions")</f>
        <v>Personalized and adaptive learning – approaches and solutions</v>
      </c>
      <c r="D6322" s="10">
        <f ca="1">IFERROR(__xludf.DUMMYFUNCTION("""COMPUTED_VALUE"""),2006)</f>
        <v>2006</v>
      </c>
      <c r="E6322" s="10" t="str">
        <f ca="1">IFERROR(__xludf.DUMMYFUNCTION("""COMPUTED_VALUE"""),"Proceeding of the CHIRON workshop “Visions of Ubiquitous Learning”, Stockholm, Sweden, 20 June, 2006, pp. 2 – 13")</f>
        <v>Proceeding of the CHIRON workshop “Visions of Ubiquitous Learning”, Stockholm, Sweden, 20 June, 2006, pp. 2 – 13</v>
      </c>
      <c r="F6322" s="10"/>
      <c r="G6322" s="10" t="str">
        <f ca="1">IFERROR(__xludf.DUMMYFUNCTION("""COMPUTED_VALUE"""),"Paneva D.")</f>
        <v>Paneva D.</v>
      </c>
      <c r="H6322" s="10"/>
      <c r="I6322" s="10"/>
      <c r="J6322" s="10"/>
      <c r="K6322" s="10"/>
      <c r="L6322" s="10"/>
      <c r="M6322" s="10"/>
      <c r="N6322" s="10"/>
      <c r="O6322" s="10"/>
      <c r="P6322" s="10"/>
      <c r="Q6322" s="10"/>
      <c r="R6322" s="10"/>
      <c r="S6322" s="10"/>
      <c r="T6322" s="10"/>
      <c r="U6322" s="10"/>
      <c r="V6322" s="10"/>
      <c r="W6322" s="10"/>
      <c r="X6322" s="10"/>
      <c r="Y6322" s="10"/>
      <c r="Z6322" s="10"/>
    </row>
    <row r="6323" spans="1:26" ht="12.75">
      <c r="A6323" s="10" t="str">
        <f ca="1">IFERROR(__xludf.DUMMYFUNCTION("""COMPUTED_VALUE"""),"Радослав Димов Павлов")</f>
        <v>Радослав Димов Павлов</v>
      </c>
      <c r="B6323" s="10" t="str">
        <f ca="1">IFERROR(__xludf.DUMMYFUNCTION("""COMPUTED_VALUE"""),"Доклад от конференция")</f>
        <v>Доклад от конференция</v>
      </c>
      <c r="C6323" s="10" t="str">
        <f ca="1">IFERROR(__xludf.DUMMYFUNCTION("""COMPUTED_VALUE"""),"Interactive TV-based Learning, Models and Standards")</f>
        <v>Interactive TV-based Learning, Models and Standards</v>
      </c>
      <c r="D6323" s="10">
        <f ca="1">IFERROR(__xludf.DUMMYFUNCTION("""COMPUTED_VALUE"""),2006)</f>
        <v>2006</v>
      </c>
      <c r="E6323" s="10" t="str">
        <f ca="1">IFERROR(__xludf.DUMMYFUNCTION("""COMPUTED_VALUE"""),"In the Proceedings of Fourth HUBUSKA Open Workshop “Semantic Web and Knowledge Technologies Applications”, 12 September, Varna, Bulgaria, 2006, ISBN: 978 954 8986 23 6, 70-99")</f>
        <v>In the Proceedings of Fourth HUBUSKA Open Workshop “Semantic Web and Knowledge Technologies Applications”, 12 September, Varna, Bulgaria, 2006, ISBN: 978 954 8986 23 6, 70-99</v>
      </c>
      <c r="F6323" s="10"/>
      <c r="G6323" s="10" t="str">
        <f ca="1">IFERROR(__xludf.DUMMYFUNCTION("""COMPUTED_VALUE"""),"Paneva, D.")</f>
        <v>Paneva, D.</v>
      </c>
      <c r="H6323" s="10"/>
      <c r="I6323" s="10"/>
      <c r="J6323" s="10"/>
      <c r="K6323" s="10"/>
      <c r="L6323" s="10"/>
      <c r="M6323" s="10"/>
      <c r="N6323" s="10"/>
      <c r="O6323" s="10"/>
      <c r="P6323" s="10"/>
      <c r="Q6323" s="10"/>
      <c r="R6323" s="10"/>
      <c r="S6323" s="10"/>
      <c r="T6323" s="10"/>
      <c r="U6323" s="10"/>
      <c r="V6323" s="10"/>
      <c r="W6323" s="10"/>
      <c r="X6323" s="10"/>
      <c r="Y6323" s="10"/>
      <c r="Z6323" s="10"/>
    </row>
    <row r="6324" spans="1:26" ht="12.75">
      <c r="A6324" s="10" t="str">
        <f ca="1">IFERROR(__xludf.DUMMYFUNCTION("""COMPUTED_VALUE"""),"Радослав Димов Павлов")</f>
        <v>Радослав Димов Павлов</v>
      </c>
      <c r="B6324" s="10" t="str">
        <f ca="1">IFERROR(__xludf.DUMMYFUNCTION("""COMPUTED_VALUE"""),"Статия в списания и поредици")</f>
        <v>Статия в списания и поредици</v>
      </c>
      <c r="C6324" s="10" t="str">
        <f ca="1">IFERROR(__xludf.DUMMYFUNCTION("""COMPUTED_VALUE"""),"Knowledge Technologies for Creation of Digital Presentation and Significant Repositories of Folklore Heritage")</f>
        <v>Knowledge Technologies for Creation of Digital Presentation and Significant Repositories of Folklore Heritage</v>
      </c>
      <c r="D6324" s="10">
        <f ca="1">IFERROR(__xludf.DUMMYFUNCTION("""COMPUTED_VALUE"""),2006)</f>
        <v>2006</v>
      </c>
      <c r="E6324" s="10" t="str">
        <f ca="1">IFERROR(__xludf.DUMMYFUNCTION("""COMPUTED_VALUE"""),"Advances in Bulgarian Science, 3, National Center for Information and Documentation, 2006, ISSN: 1312-6164, 7-15")</f>
        <v>Advances in Bulgarian Science, 3, National Center for Information and Documentation, 2006, ISSN: 1312-6164, 7-15</v>
      </c>
      <c r="F6324" s="10"/>
      <c r="G6324" s="10" t="str">
        <f ca="1">IFERROR(__xludf.DUMMYFUNCTION("""COMPUTED_VALUE"""),"Bogdanova, G., G. Todorov, V. Mateeva")</f>
        <v>Bogdanova, G., G. Todorov, V. Mateeva</v>
      </c>
      <c r="H6324" s="10"/>
      <c r="I6324" s="10"/>
      <c r="J6324" s="10"/>
      <c r="K6324" s="10"/>
      <c r="L6324" s="10"/>
      <c r="M6324" s="10"/>
      <c r="N6324" s="10"/>
      <c r="O6324" s="10"/>
      <c r="P6324" s="10"/>
      <c r="Q6324" s="10"/>
      <c r="R6324" s="10"/>
      <c r="S6324" s="10"/>
      <c r="T6324" s="10"/>
      <c r="U6324" s="10"/>
      <c r="V6324" s="10"/>
      <c r="W6324" s="10"/>
      <c r="X6324" s="10"/>
      <c r="Y6324" s="10"/>
      <c r="Z6324" s="10"/>
    </row>
    <row r="6325" spans="1:26" ht="12.75">
      <c r="A6325" s="10" t="str">
        <f ca="1">IFERROR(__xludf.DUMMYFUNCTION("""COMPUTED_VALUE"""),"Радослав Димов Павлов")</f>
        <v>Радослав Димов Павлов</v>
      </c>
      <c r="B6325" s="10" t="str">
        <f ca="1">IFERROR(__xludf.DUMMYFUNCTION("""COMPUTED_VALUE"""),"Доклад от конференция")</f>
        <v>Доклад от конференция</v>
      </c>
      <c r="C6325" s="10" t="str">
        <f ca="1">IFERROR(__xludf.DUMMYFUNCTION("""COMPUTED_VALUE"""),"Towards the Virtual University")</f>
        <v>Towards the Virtual University</v>
      </c>
      <c r="D6325" s="10">
        <f ca="1">IFERROR(__xludf.DUMMYFUNCTION("""COMPUTED_VALUE"""),2002)</f>
        <v>2002</v>
      </c>
      <c r="E6325" s="10" t="str">
        <f ca="1">IFERROR(__xludf.DUMMYFUNCTION("""COMPUTED_VALUE"""),"""Mathematics and Education in Mathematics”, Proceedings, 31st Spring Conference of the Union of Bulgarian Mathematicians, Borovets, April 3-6, 2002, BAS, Sofia, pp. 73-76, ISBN: 954-8880-11-3")</f>
        <v>"Mathematics and Education in Mathematics”, Proceedings, 31st Spring Conference of the Union of Bulgarian Mathematicians, Borovets, April 3-6, 2002, BAS, Sofia, pp. 73-76, ISBN: 954-8880-11-3</v>
      </c>
      <c r="F6325" s="10"/>
      <c r="G6325" s="10"/>
      <c r="H6325" s="10"/>
      <c r="I6325" s="10"/>
      <c r="J6325" s="10"/>
      <c r="K6325" s="10"/>
      <c r="L6325" s="10"/>
      <c r="M6325" s="10"/>
      <c r="N6325" s="10"/>
      <c r="O6325" s="10"/>
      <c r="P6325" s="10"/>
      <c r="Q6325" s="10"/>
      <c r="R6325" s="10"/>
      <c r="S6325" s="10"/>
      <c r="T6325" s="10"/>
      <c r="U6325" s="10"/>
      <c r="V6325" s="10"/>
      <c r="W6325" s="10"/>
      <c r="X6325" s="10"/>
      <c r="Y6325" s="10"/>
      <c r="Z6325" s="10"/>
    </row>
    <row r="6326" spans="1:26" ht="12.75">
      <c r="A6326" s="10" t="str">
        <f ca="1">IFERROR(__xludf.DUMMYFUNCTION("""COMPUTED_VALUE"""),"Радослав Димов Павлов")</f>
        <v>Радослав Димов Павлов</v>
      </c>
      <c r="B6326" s="10" t="str">
        <f ca="1">IFERROR(__xludf.DUMMYFUNCTION("""COMPUTED_VALUE"""),"Статия в списания и поредици")</f>
        <v>Статия в списания и поредици</v>
      </c>
      <c r="C6326" s="10" t="str">
        <f ca="1">IFERROR(__xludf.DUMMYFUNCTION("""COMPUTED_VALUE"""),"Situation Semantics Analysis on Some Nominals in Bulgarian")</f>
        <v>Situation Semantics Analysis on Some Nominals in Bulgarian</v>
      </c>
      <c r="D6326" s="10">
        <f ca="1">IFERROR(__xludf.DUMMYFUNCTION("""COMPUTED_VALUE"""),1992)</f>
        <v>1992</v>
      </c>
      <c r="E6326" s="10" t="str">
        <f ca="1">IFERROR(__xludf.DUMMYFUNCTION("""COMPUTED_VALUE"""),"Current Advances in Semantic Theory (eds. M. Stamenov), John Bendjamins Publishing Company, 1992, ISSN: 0304-0763, pp. 377-383.")</f>
        <v>Current Advances in Semantic Theory (eds. M. Stamenov), John Bendjamins Publishing Company, 1992, ISSN: 0304-0763, pp. 377-383.</v>
      </c>
      <c r="F6326" s="10"/>
      <c r="G6326" s="10" t="str">
        <f ca="1">IFERROR(__xludf.DUMMYFUNCTION("""COMPUTED_VALUE"""),"Lukanova R.")</f>
        <v>Lukanova R.</v>
      </c>
      <c r="H6326" s="10"/>
      <c r="I6326" s="10"/>
      <c r="J6326" s="10"/>
      <c r="K6326" s="10"/>
      <c r="L6326" s="10"/>
      <c r="M6326" s="10"/>
      <c r="N6326" s="10"/>
      <c r="O6326" s="10"/>
      <c r="P6326" s="10"/>
      <c r="Q6326" s="10"/>
      <c r="R6326" s="10"/>
      <c r="S6326" s="10"/>
      <c r="T6326" s="10"/>
      <c r="U6326" s="10"/>
      <c r="V6326" s="10"/>
      <c r="W6326" s="10"/>
      <c r="X6326" s="10"/>
      <c r="Y6326" s="10"/>
      <c r="Z6326" s="10"/>
    </row>
    <row r="6327" spans="1:26" ht="12.75">
      <c r="A6327" s="10" t="str">
        <f ca="1">IFERROR(__xludf.DUMMYFUNCTION("""COMPUTED_VALUE"""),"Радослав Димов Павлов")</f>
        <v>Радослав Димов Павлов</v>
      </c>
      <c r="B6327" s="10"/>
      <c r="C6327" s="10" t="str">
        <f ca="1">IFERROR(__xludf.DUMMYFUNCTION("""COMPUTED_VALUE"""),"Universal Hypertext Environment for Developing Resident Help Programs")</f>
        <v>Universal Hypertext Environment for Developing Resident Help Programs</v>
      </c>
      <c r="D6327" s="10">
        <f ca="1">IFERROR(__xludf.DUMMYFUNCTION("""COMPUTED_VALUE"""),1991)</f>
        <v>1991</v>
      </c>
      <c r="E6327" s="10" t="str">
        <f ca="1">IFERROR(__xludf.DUMMYFUNCTION("""COMPUTED_VALUE"""),"Automation,Computer Scince and Information Systems")</f>
        <v>Automation,Computer Scince and Information Systems</v>
      </c>
      <c r="F6327" s="10"/>
      <c r="G6327" s="10"/>
      <c r="H6327" s="10"/>
      <c r="I6327" s="10"/>
      <c r="J6327" s="10"/>
      <c r="K6327" s="10"/>
      <c r="L6327" s="10"/>
      <c r="M6327" s="10"/>
      <c r="N6327" s="10"/>
      <c r="O6327" s="10"/>
      <c r="P6327" s="10"/>
      <c r="Q6327" s="10"/>
      <c r="R6327" s="10"/>
      <c r="S6327" s="10"/>
      <c r="T6327" s="10"/>
      <c r="U6327" s="10"/>
      <c r="V6327" s="10"/>
      <c r="W6327" s="10"/>
      <c r="X6327" s="10"/>
      <c r="Y6327" s="10"/>
      <c r="Z6327" s="10"/>
    </row>
    <row r="6328" spans="1:26" ht="12.75">
      <c r="A6328" s="10" t="str">
        <f ca="1">IFERROR(__xludf.DUMMYFUNCTION("""COMPUTED_VALUE"""),"Радослав Димов Павлов")</f>
        <v>Радослав Димов Павлов</v>
      </c>
      <c r="B6328" s="10"/>
      <c r="C6328" s="10" t="str">
        <f ca="1">IFERROR(__xludf.DUMMYFUNCTION("""COMPUTED_VALUE"""),"Manual on Theoretical Computer Science")</f>
        <v>Manual on Theoretical Computer Science</v>
      </c>
      <c r="D6328" s="10">
        <f ca="1">IFERROR(__xludf.DUMMYFUNCTION("""COMPUTED_VALUE"""),1991)</f>
        <v>1991</v>
      </c>
      <c r="E6328" s="10" t="str">
        <f ca="1">IFERROR(__xludf.DUMMYFUNCTION("""COMPUTED_VALUE"""),"Plovdiv Univ.Press,Plovdiv /in Bulgarian/")</f>
        <v>Plovdiv Univ.Press,Plovdiv /in Bulgarian/</v>
      </c>
      <c r="F6328" s="10"/>
      <c r="G6328" s="10"/>
      <c r="H6328" s="10"/>
      <c r="I6328" s="10"/>
      <c r="J6328" s="10"/>
      <c r="K6328" s="10"/>
      <c r="L6328" s="10"/>
      <c r="M6328" s="10"/>
      <c r="N6328" s="10"/>
      <c r="O6328" s="10"/>
      <c r="P6328" s="10"/>
      <c r="Q6328" s="10"/>
      <c r="R6328" s="10"/>
      <c r="S6328" s="10"/>
      <c r="T6328" s="10"/>
      <c r="U6328" s="10"/>
      <c r="V6328" s="10"/>
      <c r="W6328" s="10"/>
      <c r="X6328" s="10"/>
      <c r="Y6328" s="10"/>
      <c r="Z6328" s="10"/>
    </row>
    <row r="6329" spans="1:26" ht="12.75">
      <c r="A6329" s="10" t="str">
        <f ca="1">IFERROR(__xludf.DUMMYFUNCTION("""COMPUTED_VALUE"""),"Радослав Димов Павлов")</f>
        <v>Радослав Димов Павлов</v>
      </c>
      <c r="B6329" s="10"/>
      <c r="C6329" s="10" t="str">
        <f ca="1">IFERROR(__xludf.DUMMYFUNCTION("""COMPUTED_VALUE"""),"Manual on Descrete Mathematics")</f>
        <v>Manual on Descrete Mathematics</v>
      </c>
      <c r="D6329" s="10">
        <f ca="1">IFERROR(__xludf.DUMMYFUNCTION("""COMPUTED_VALUE"""),1990)</f>
        <v>1990</v>
      </c>
      <c r="E6329" s="10" t="str">
        <f ca="1">IFERROR(__xludf.DUMMYFUNCTION("""COMPUTED_VALUE"""),"South-West Univ.Press,Blagoevgrad /in Bulgarian/")</f>
        <v>South-West Univ.Press,Blagoevgrad /in Bulgarian/</v>
      </c>
      <c r="F6329" s="10"/>
      <c r="G6329" s="10"/>
      <c r="H6329" s="10"/>
      <c r="I6329" s="10"/>
      <c r="J6329" s="10"/>
      <c r="K6329" s="10"/>
      <c r="L6329" s="10"/>
      <c r="M6329" s="10"/>
      <c r="N6329" s="10"/>
      <c r="O6329" s="10"/>
      <c r="P6329" s="10"/>
      <c r="Q6329" s="10"/>
      <c r="R6329" s="10"/>
      <c r="S6329" s="10"/>
      <c r="T6329" s="10"/>
      <c r="U6329" s="10"/>
      <c r="V6329" s="10"/>
      <c r="W6329" s="10"/>
      <c r="X6329" s="10"/>
      <c r="Y6329" s="10"/>
      <c r="Z6329" s="10"/>
    </row>
    <row r="6330" spans="1:26" ht="12.75">
      <c r="A6330" s="10" t="str">
        <f ca="1">IFERROR(__xludf.DUMMYFUNCTION("""COMPUTED_VALUE"""),"Радослав Димов Павлов")</f>
        <v>Радослав Димов Павлов</v>
      </c>
      <c r="B6330" s="10" t="str">
        <f ca="1">IFERROR(__xludf.DUMMYFUNCTION("""COMPUTED_VALUE"""),"Доклад от конференция")</f>
        <v>Доклад от конференция</v>
      </c>
      <c r="C6330" s="10" t="str">
        <f ca="1">IFERROR(__xludf.DUMMYFUNCTION("""COMPUTED_VALUE"""),"An Adaptive Uncertanty Reasoning-based Model for Computerized Testing")</f>
        <v>An Adaptive Uncertanty Reasoning-based Model for Computerized Testing</v>
      </c>
      <c r="D6330" s="10">
        <f ca="1">IFERROR(__xludf.DUMMYFUNCTION("""COMPUTED_VALUE"""),1989)</f>
        <v>1989</v>
      </c>
      <c r="E6330" s="10" t="str">
        <f ca="1">IFERROR(__xludf.DUMMYFUNCTION("""COMPUTED_VALUE"""),"Proc.3rd International Conference ""Children in the Information age""")</f>
        <v>Proc.3rd International Conference "Children in the Information age"</v>
      </c>
      <c r="F6330" s="10"/>
      <c r="G6330" s="10"/>
      <c r="H6330" s="10"/>
      <c r="I6330" s="10"/>
      <c r="J6330" s="10"/>
      <c r="K6330" s="10"/>
      <c r="L6330" s="10"/>
      <c r="M6330" s="10"/>
      <c r="N6330" s="10"/>
      <c r="O6330" s="10"/>
      <c r="P6330" s="10"/>
      <c r="Q6330" s="10"/>
      <c r="R6330" s="10"/>
      <c r="S6330" s="10"/>
      <c r="T6330" s="10"/>
      <c r="U6330" s="10"/>
      <c r="V6330" s="10"/>
      <c r="W6330" s="10"/>
      <c r="X6330" s="10"/>
      <c r="Y6330" s="10"/>
      <c r="Z6330" s="10"/>
    </row>
    <row r="6331" spans="1:26" ht="12.75">
      <c r="A6331" s="10" t="str">
        <f ca="1">IFERROR(__xludf.DUMMYFUNCTION("""COMPUTED_VALUE"""),"Радослав Димов Павлов")</f>
        <v>Радослав Димов Павлов</v>
      </c>
      <c r="B6331" s="10"/>
      <c r="C6331" s="10" t="str">
        <f ca="1">IFERROR(__xludf.DUMMYFUNCTION("""COMPUTED_VALUE"""),"Mathematical Foundations of Computer Science")</f>
        <v>Mathematical Foundations of Computer Science</v>
      </c>
      <c r="D6331" s="10">
        <f ca="1">IFERROR(__xludf.DUMMYFUNCTION("""COMPUTED_VALUE"""),1989)</f>
        <v>1989</v>
      </c>
      <c r="E6331" s="10" t="str">
        <f ca="1">IFERROR(__xludf.DUMMYFUNCTION("""COMPUTED_VALUE"""),"Budapest,second edition,p.374 /in Hungarian/")</f>
        <v>Budapest,second edition,p.374 /in Hungarian/</v>
      </c>
      <c r="F6331" s="10"/>
      <c r="G6331" s="10"/>
      <c r="H6331" s="10"/>
      <c r="I6331" s="10"/>
      <c r="J6331" s="10"/>
      <c r="K6331" s="10"/>
      <c r="L6331" s="10"/>
      <c r="M6331" s="10"/>
      <c r="N6331" s="10"/>
      <c r="O6331" s="10"/>
      <c r="P6331" s="10"/>
      <c r="Q6331" s="10"/>
      <c r="R6331" s="10"/>
      <c r="S6331" s="10"/>
      <c r="T6331" s="10"/>
      <c r="U6331" s="10"/>
      <c r="V6331" s="10"/>
      <c r="W6331" s="10"/>
      <c r="X6331" s="10"/>
      <c r="Y6331" s="10"/>
      <c r="Z6331" s="10"/>
    </row>
    <row r="6332" spans="1:26" ht="12.75">
      <c r="A6332" s="10" t="str">
        <f ca="1">IFERROR(__xludf.DUMMYFUNCTION("""COMPUTED_VALUE"""),"Радослав Димов Павлов")</f>
        <v>Радослав Димов Павлов</v>
      </c>
      <c r="B6332" s="10" t="str">
        <f ca="1">IFERROR(__xludf.DUMMYFUNCTION("""COMPUTED_VALUE"""),"Книга")</f>
        <v>Книга</v>
      </c>
      <c r="C6332" s="10" t="str">
        <f ca="1">IFERROR(__xludf.DUMMYFUNCTION("""COMPUTED_VALUE"""),"A szamitastudomany matematikai alapjai (Introduction to computer science)")</f>
        <v>A szamitastudomany matematikai alapjai (Introduction to computer science)</v>
      </c>
      <c r="D6332" s="10">
        <f ca="1">IFERROR(__xludf.DUMMYFUNCTION("""COMPUTED_VALUE"""),1985)</f>
        <v>1985</v>
      </c>
      <c r="E6332" s="10" t="str">
        <f ca="1">IFERROR(__xludf.DUMMYFUNCTION("""COMPUTED_VALUE"""),"Nemzeti Tankonyvkiado, Budapest, 1985, p. 1-374, ISBN: 963 17 8473 8 (1985), ISBN: 963 18 5995 9 (1994), ISBN: 963 19 0329 X (1999).")</f>
        <v>Nemzeti Tankonyvkiado, Budapest, 1985, p. 1-374, ISBN: 963 17 8473 8 (1985), ISBN: 963 18 5995 9 (1994), ISBN: 963 19 0329 X (1999).</v>
      </c>
      <c r="F6332" s="10"/>
      <c r="G6332" s="10" t="str">
        <f ca="1">IFERROR(__xludf.DUMMYFUNCTION("""COMPUTED_VALUE"""),"Demetrovics, J., Denev, J.,")</f>
        <v>Demetrovics, J., Denev, J.,</v>
      </c>
      <c r="H6332" s="10"/>
      <c r="I6332" s="10"/>
      <c r="J6332" s="10"/>
      <c r="K6332" s="10"/>
      <c r="L6332" s="10"/>
      <c r="M6332" s="10"/>
      <c r="N6332" s="10"/>
      <c r="O6332" s="10"/>
      <c r="P6332" s="10"/>
      <c r="Q6332" s="10"/>
      <c r="R6332" s="10"/>
      <c r="S6332" s="10"/>
      <c r="T6332" s="10"/>
      <c r="U6332" s="10"/>
      <c r="V6332" s="10"/>
      <c r="W6332" s="10"/>
      <c r="X6332" s="10"/>
      <c r="Y6332" s="10"/>
      <c r="Z6332" s="10"/>
    </row>
    <row r="6333" spans="1:26" ht="12.75">
      <c r="A6333" s="10" t="str">
        <f ca="1">IFERROR(__xludf.DUMMYFUNCTION("""COMPUTED_VALUE"""),"Радослав Димов Павлов")</f>
        <v>Радослав Димов Павлов</v>
      </c>
      <c r="B6333" s="10" t="str">
        <f ca="1">IFERROR(__xludf.DUMMYFUNCTION("""COMPUTED_VALUE"""),"Книга")</f>
        <v>Книга</v>
      </c>
      <c r="C6333" s="10" t="str">
        <f ca="1">IFERROR(__xludf.DUMMYFUNCTION("""COMPUTED_VALUE"""),"Математическа лингвистика")</f>
        <v>Математическа лингвистика</v>
      </c>
      <c r="D6333" s="10">
        <f ca="1">IFERROR(__xludf.DUMMYFUNCTION("""COMPUTED_VALUE"""),1982)</f>
        <v>1982</v>
      </c>
      <c r="E6333" s="10" t="str">
        <f ca="1">IFERROR(__xludf.DUMMYFUNCTION("""COMPUTED_VALUE"""),"София, Народна просвета, 1982, стр. 1-152.")</f>
        <v>София, Народна просвета, 1982, стр. 1-152.</v>
      </c>
      <c r="F6333" s="10"/>
      <c r="G6333" s="10"/>
      <c r="H6333" s="10"/>
      <c r="I6333" s="10"/>
      <c r="J6333" s="10"/>
      <c r="K6333" s="10"/>
      <c r="L6333" s="10"/>
      <c r="M6333" s="10"/>
      <c r="N6333" s="10"/>
      <c r="O6333" s="10"/>
      <c r="P6333" s="10"/>
      <c r="Q6333" s="10"/>
      <c r="R6333" s="10"/>
      <c r="S6333" s="10"/>
      <c r="T6333" s="10"/>
      <c r="U6333" s="10"/>
      <c r="V6333" s="10"/>
      <c r="W6333" s="10"/>
      <c r="X6333" s="10"/>
      <c r="Y6333" s="10"/>
      <c r="Z6333" s="10"/>
    </row>
    <row r="6334" spans="1:26" ht="12.75">
      <c r="A6334" s="10" t="str">
        <f ca="1">IFERROR(__xludf.DUMMYFUNCTION("""COMPUTED_VALUE"""),"Радослав Димов Павлов")</f>
        <v>Радослав Димов Павлов</v>
      </c>
      <c r="B6334" s="10" t="str">
        <f ca="1">IFERROR(__xludf.DUMMYFUNCTION("""COMPUTED_VALUE"""),"Статия в списания и поредици")</f>
        <v>Статия в списания и поредици</v>
      </c>
      <c r="C6334" s="10" t="str">
        <f ca="1">IFERROR(__xludf.DUMMYFUNCTION("""COMPUTED_VALUE"""),"On the problem of recognizing group properties in bounded alphabets")</f>
        <v>On the problem of recognizing group properties in bounded alphabets</v>
      </c>
      <c r="D6334" s="10">
        <f ca="1">IFERROR(__xludf.DUMMYFUNCTION("""COMPUTED_VALUE"""),1979)</f>
        <v>1979</v>
      </c>
      <c r="E6334" s="10" t="str">
        <f ca="1">IFERROR(__xludf.DUMMYFUNCTION("""COMPUTED_VALUE"""),"Serdica Bulgariacae mathematicae publicationes, 5(3), 1979, pp. 252-271, ISSN: 1310-6600, http://www.math.bas.bg/~serdica/1979.html")</f>
        <v>Serdica Bulgariacae mathematicae publicationes, 5(3), 1979, pp. 252-271, ISSN: 1310-6600, http://www.math.bas.bg/~serdica/1979.html</v>
      </c>
      <c r="F6334" s="10" t="str">
        <f ca="1">IFERROR(__xludf.DUMMYFUNCTION("""COMPUTED_VALUE"""),"Zentralblatt")</f>
        <v>Zentralblatt</v>
      </c>
      <c r="G6334" s="10"/>
      <c r="H6334" s="10"/>
      <c r="I6334" s="10"/>
      <c r="J6334" s="10"/>
      <c r="K6334" s="10"/>
      <c r="L6334" s="10"/>
      <c r="M6334" s="10"/>
      <c r="N6334" s="10"/>
      <c r="O6334" s="10"/>
      <c r="P6334" s="10"/>
      <c r="Q6334" s="10"/>
      <c r="R6334" s="10"/>
      <c r="S6334" s="10"/>
      <c r="T6334" s="10"/>
      <c r="U6334" s="10"/>
      <c r="V6334" s="10"/>
      <c r="W6334" s="10"/>
      <c r="X6334" s="10"/>
      <c r="Y6334" s="10"/>
      <c r="Z6334" s="10"/>
    </row>
    <row r="6335" spans="1:26" ht="12.75">
      <c r="A6335" s="10" t="str">
        <f ca="1">IFERROR(__xludf.DUMMYFUNCTION("""COMPUTED_VALUE"""),"Ралица Юри Йотова")</f>
        <v>Ралица Юри Йотова</v>
      </c>
      <c r="B6335" s="10" t="str">
        <f ca="1">IFERROR(__xludf.DUMMYFUNCTION("""COMPUTED_VALUE"""),"Доклад от конференция")</f>
        <v>Доклад от конференция</v>
      </c>
      <c r="C6335" s="10" t="str">
        <f ca="1">IFERROR(__xludf.DUMMYFUNCTION("""COMPUTED_VALUE"""),"Основи на Контент анализа – въведение и преглед на понятията.")</f>
        <v>Основи на Контент анализа – въведение и преглед на понятията.</v>
      </c>
      <c r="D6335" s="10">
        <f ca="1">IFERROR(__xludf.DUMMYFUNCTION("""COMPUTED_VALUE"""),2019)</f>
        <v>2019</v>
      </c>
      <c r="E6335" s="10" t="str">
        <f ca="1">IFERROR(__xludf.DUMMYFUNCTION("""COMPUTED_VALUE"""),"СЪВРЕМЕННИ стратегии и иновации в управление на знанието – София: За буквите - О писменехь, 2019, с. 118 – 123. ISSN - 2535-0250")</f>
        <v>СЪВРЕМЕННИ стратегии и иновации в управление на знанието – София: За буквите - О писменехь, 2019, с. 118 – 123. ISSN - 2535-0250</v>
      </c>
      <c r="F6335" s="10"/>
      <c r="G6335" s="10"/>
      <c r="H6335" s="10"/>
      <c r="I6335" s="10"/>
      <c r="J6335" s="10"/>
      <c r="K6335" s="10"/>
      <c r="L6335" s="10"/>
      <c r="M6335" s="10"/>
      <c r="N6335" s="10"/>
      <c r="O6335" s="10"/>
      <c r="P6335" s="10"/>
      <c r="Q6335" s="10"/>
      <c r="R6335" s="10"/>
      <c r="S6335" s="10"/>
      <c r="T6335" s="10"/>
      <c r="U6335" s="10"/>
      <c r="V6335" s="10"/>
      <c r="W6335" s="10"/>
      <c r="X6335" s="10"/>
      <c r="Y6335" s="10"/>
      <c r="Z6335" s="10"/>
    </row>
    <row r="6336" spans="1:26" ht="12.75">
      <c r="A6336" s="10" t="str">
        <f ca="1">IFERROR(__xludf.DUMMYFUNCTION("""COMPUTED_VALUE"""),"Ралица Юри Йотова")</f>
        <v>Ралица Юри Йотова</v>
      </c>
      <c r="B6336" s="10" t="str">
        <f ca="1">IFERROR(__xludf.DUMMYFUNCTION("""COMPUTED_VALUE"""),"Доклад от конференция")</f>
        <v>Доклад от конференция</v>
      </c>
      <c r="C6336" s="10" t="str">
        <f ca="1">IFERROR(__xludf.DUMMYFUNCTION("""COMPUTED_VALUE"""),"Връзката „данни – информация – знания – мъдрост“ и неявните компоненти в пирамидата на Ръсел Акоф")</f>
        <v>Връзката „данни – информация – знания – мъдрост“ и неявните компоненти в пирамидата на Ръсел Акоф</v>
      </c>
      <c r="D6336" s="10">
        <f ca="1">IFERROR(__xludf.DUMMYFUNCTION("""COMPUTED_VALUE"""),2019)</f>
        <v>2019</v>
      </c>
      <c r="E6336" s="10" t="str">
        <f ca="1">IFERROR(__xludf.DUMMYFUNCTION("""COMPUTED_VALUE"""),"ОБЩЕСТВОТО на знанието и хуманизмът на XXI век – София: За буквите - О писменехь, 2019, с. 836 – 843. ISSN 2683-0094")</f>
        <v>ОБЩЕСТВОТО на знанието и хуманизмът на XXI век – София: За буквите - О писменехь, 2019, с. 836 – 843. ISSN 2683-0094</v>
      </c>
      <c r="F6336" s="10"/>
      <c r="G6336" s="10"/>
      <c r="H6336" s="10"/>
      <c r="I6336" s="10"/>
      <c r="J6336" s="10"/>
      <c r="K6336" s="10"/>
      <c r="L6336" s="10"/>
      <c r="M6336" s="10"/>
      <c r="N6336" s="10"/>
      <c r="O6336" s="10"/>
      <c r="P6336" s="10"/>
      <c r="Q6336" s="10"/>
      <c r="R6336" s="10"/>
      <c r="S6336" s="10"/>
      <c r="T6336" s="10"/>
      <c r="U6336" s="10"/>
      <c r="V6336" s="10"/>
      <c r="W6336" s="10"/>
      <c r="X6336" s="10"/>
      <c r="Y6336" s="10"/>
      <c r="Z6336" s="10"/>
    </row>
    <row r="6337" spans="1:26" ht="12.75">
      <c r="A6337" s="10" t="str">
        <f ca="1">IFERROR(__xludf.DUMMYFUNCTION("""COMPUTED_VALUE"""),"Ралица Юри Йотова")</f>
        <v>Ралица Юри Йотова</v>
      </c>
      <c r="B6337" s="10" t="str">
        <f ca="1">IFERROR(__xludf.DUMMYFUNCTION("""COMPUTED_VALUE"""),"Доклад от конференция")</f>
        <v>Доклад от конференция</v>
      </c>
      <c r="C6337" s="10" t="str">
        <f ca="1">IFERROR(__xludf.DUMMYFUNCTION("""COMPUTED_VALUE"""),"Използване на цикъла на Буковиц и Уилямс в информационния анализ.")</f>
        <v>Използване на цикъла на Буковиц и Уилямс в информационния анализ.</v>
      </c>
      <c r="D6337" s="10">
        <f ca="1">IFERROR(__xludf.DUMMYFUNCTION("""COMPUTED_VALUE"""),2019)</f>
        <v>2019</v>
      </c>
      <c r="E6337" s="10" t="str">
        <f ca="1">IFERROR(__xludf.DUMMYFUNCTION("""COMPUTED_VALUE"""),"ОБЩЕСТВОТО на знанието и хуманизмът на XXI век – София: За буквите - О писменехь, 2019, с. 768 – 774. ISSN 2683-0094")</f>
        <v>ОБЩЕСТВОТО на знанието и хуманизмът на XXI век – София: За буквите - О писменехь, 2019, с. 768 – 774. ISSN 2683-0094</v>
      </c>
      <c r="F6337" s="10"/>
      <c r="G6337" s="10"/>
      <c r="H6337" s="10"/>
      <c r="I6337" s="10"/>
      <c r="J6337" s="10"/>
      <c r="K6337" s="10"/>
      <c r="L6337" s="10"/>
      <c r="M6337" s="10"/>
      <c r="N6337" s="10"/>
      <c r="O6337" s="10"/>
      <c r="P6337" s="10"/>
      <c r="Q6337" s="10"/>
      <c r="R6337" s="10"/>
      <c r="S6337" s="10"/>
      <c r="T6337" s="10"/>
      <c r="U6337" s="10"/>
      <c r="V6337" s="10"/>
      <c r="W6337" s="10"/>
      <c r="X6337" s="10"/>
      <c r="Y6337" s="10"/>
      <c r="Z6337" s="10"/>
    </row>
    <row r="6338" spans="1:26" ht="12.75">
      <c r="A6338" s="10" t="str">
        <f ca="1">IFERROR(__xludf.DUMMYFUNCTION("""COMPUTED_VALUE"""),"Ралица Юри Йотова")</f>
        <v>Ралица Юри Йотова</v>
      </c>
      <c r="B6338" s="10" t="str">
        <f ca="1">IFERROR(__xludf.DUMMYFUNCTION("""COMPUTED_VALUE"""),"Доклад от конференция")</f>
        <v>Доклад от конференция</v>
      </c>
      <c r="C6338" s="10" t="str">
        <f ca="1">IFERROR(__xludf.DUMMYFUNCTION("""COMPUTED_VALUE"""),"Ролята на студентите в научноизследвателските екипи в процеса по социализация на книжовно-документалното културно наследство")</f>
        <v>Ролята на студентите в научноизследвателските екипи в процеса по социализация на книжовно-документалното културно наследство</v>
      </c>
      <c r="D6338" s="10">
        <f ca="1">IFERROR(__xludf.DUMMYFUNCTION("""COMPUTED_VALUE"""),2019)</f>
        <v>2019</v>
      </c>
      <c r="E6338" s="10" t="str">
        <f ca="1">IFERROR(__xludf.DUMMYFUNCTION("""COMPUTED_VALUE"""),"СЪВРЕМЕННИ измерения на европейското образователно и научно пространство. София: За буквите - О писменехь, 2019, с. 108 – 112. ISSN 2367-7988")</f>
        <v>СЪВРЕМЕННИ измерения на европейското образователно и научно пространство. София: За буквите - О писменехь, 2019, с. 108 – 112. ISSN 2367-7988</v>
      </c>
      <c r="F6338" s="10"/>
      <c r="G6338" s="10"/>
      <c r="H6338" s="10"/>
      <c r="I6338" s="10"/>
      <c r="J6338" s="10"/>
      <c r="K6338" s="10"/>
      <c r="L6338" s="10"/>
      <c r="M6338" s="10"/>
      <c r="N6338" s="10"/>
      <c r="O6338" s="10"/>
      <c r="P6338" s="10"/>
      <c r="Q6338" s="10"/>
      <c r="R6338" s="10"/>
      <c r="S6338" s="10"/>
      <c r="T6338" s="10"/>
      <c r="U6338" s="10"/>
      <c r="V6338" s="10"/>
      <c r="W6338" s="10"/>
      <c r="X6338" s="10"/>
      <c r="Y6338" s="10"/>
      <c r="Z6338" s="10"/>
    </row>
    <row r="6339" spans="1:26" ht="12.75">
      <c r="A6339" s="10" t="str">
        <f ca="1">IFERROR(__xludf.DUMMYFUNCTION("""COMPUTED_VALUE"""),"Ралица Юри Йотова")</f>
        <v>Ралица Юри Йотова</v>
      </c>
      <c r="B6339" s="10" t="str">
        <f ca="1">IFERROR(__xludf.DUMMYFUNCTION("""COMPUTED_VALUE"""),"Доклад от конференция")</f>
        <v>Доклад от конференция</v>
      </c>
      <c r="C6339" s="10" t="str">
        <f ca="1">IFERROR(__xludf.DUMMYFUNCTION("""COMPUTED_VALUE"""),"Структурен анализ на информация от открити източници при формиране на университетски имидж.")</f>
        <v>Структурен анализ на информация от открити източници при формиране на университетски имидж.</v>
      </c>
      <c r="D6339" s="10">
        <f ca="1">IFERROR(__xludf.DUMMYFUNCTION("""COMPUTED_VALUE"""),2019)</f>
        <v>2019</v>
      </c>
      <c r="E6339" s="10" t="str">
        <f ca="1">IFERROR(__xludf.DUMMYFUNCTION("""COMPUTED_VALUE"""),"В: Съвременни измерения на европейското образователно и научно пространство“, Виена, Австрия, 26-31 май 2019 г. София: За буквите – О писменехь, 2019, с. 108-112. ISSN: 2367-7988.")</f>
        <v>В: Съвременни измерения на европейското образователно и научно пространство“, Виена, Австрия, 26-31 май 2019 г. София: За буквите – О писменехь, 2019, с. 108-112. ISSN: 2367-7988.</v>
      </c>
      <c r="F6339" s="10"/>
      <c r="G6339" s="10" t="str">
        <f ca="1">IFERROR(__xludf.DUMMYFUNCTION("""COMPUTED_VALUE"""),"М. Павлова, И. Павлова")</f>
        <v>М. Павлова, И. Павлова</v>
      </c>
      <c r="H6339" s="10"/>
      <c r="I6339" s="10"/>
      <c r="J6339" s="10"/>
      <c r="K6339" s="10"/>
      <c r="L6339" s="10"/>
      <c r="M6339" s="10"/>
      <c r="N6339" s="10"/>
      <c r="O6339" s="10"/>
      <c r="P6339" s="10"/>
      <c r="Q6339" s="10"/>
      <c r="R6339" s="10"/>
      <c r="S6339" s="10"/>
      <c r="T6339" s="10"/>
      <c r="U6339" s="10"/>
      <c r="V6339" s="10"/>
      <c r="W6339" s="10"/>
      <c r="X6339" s="10"/>
      <c r="Y6339" s="10"/>
      <c r="Z6339" s="10"/>
    </row>
    <row r="6340" spans="1:26" ht="12.75">
      <c r="A6340" s="10" t="str">
        <f ca="1">IFERROR(__xludf.DUMMYFUNCTION("""COMPUTED_VALUE"""),"Ралица Юри Йотова")</f>
        <v>Ралица Юри Йотова</v>
      </c>
      <c r="B6340" s="10" t="str">
        <f ca="1">IFERROR(__xludf.DUMMYFUNCTION("""COMPUTED_VALUE"""),"Доклад от конференция")</f>
        <v>Доклад от конференция</v>
      </c>
      <c r="C6340" s="10" t="str">
        <f ca="1">IFERROR(__xludf.DUMMYFUNCTION("""COMPUTED_VALUE"""),"Обработката и класификацията на информация, получена в резултат на научноизследвателска дейност.")</f>
        <v>Обработката и класификацията на информация, получена в резултат на научноизследвателска дейност.</v>
      </c>
      <c r="D6340" s="10">
        <f ca="1">IFERROR(__xludf.DUMMYFUNCTION("""COMPUTED_VALUE"""),2018)</f>
        <v>2018</v>
      </c>
      <c r="E6340" s="10" t="str">
        <f ca="1">IFERROR(__xludf.DUMMYFUNCTION("""COMPUTED_VALUE"""),"СЪВРЕМЕННИ измерения на европейското образователно и научно пространство. София: За буквите - О писменехь, 2014, , с. 93 – 99. ISSN 2367-7988")</f>
        <v>СЪВРЕМЕННИ измерения на европейското образователно и научно пространство. София: За буквите - О писменехь, 2014, , с. 93 – 99. ISSN 2367-7988</v>
      </c>
      <c r="F6340" s="10"/>
      <c r="G6340" s="10"/>
      <c r="H6340" s="10"/>
      <c r="I6340" s="10"/>
      <c r="J6340" s="10"/>
      <c r="K6340" s="10"/>
      <c r="L6340" s="10"/>
      <c r="M6340" s="10"/>
      <c r="N6340" s="10"/>
      <c r="O6340" s="10"/>
      <c r="P6340" s="10"/>
      <c r="Q6340" s="10"/>
      <c r="R6340" s="10"/>
      <c r="S6340" s="10"/>
      <c r="T6340" s="10"/>
      <c r="U6340" s="10"/>
      <c r="V6340" s="10"/>
      <c r="W6340" s="10"/>
      <c r="X6340" s="10"/>
      <c r="Y6340" s="10"/>
      <c r="Z6340" s="10"/>
    </row>
    <row r="6341" spans="1:26" ht="12.75">
      <c r="A6341" s="10" t="str">
        <f ca="1">IFERROR(__xludf.DUMMYFUNCTION("""COMPUTED_VALUE"""),"Ралица Юри Йотова")</f>
        <v>Ралица Юри Йотова</v>
      </c>
      <c r="B6341" s="10" t="str">
        <f ca="1">IFERROR(__xludf.DUMMYFUNCTION("""COMPUTED_VALUE"""),"Доклад от конференция")</f>
        <v>Доклад от конференция</v>
      </c>
      <c r="C6341" s="10" t="str">
        <f ca="1">IFERROR(__xludf.DUMMYFUNCTION("""COMPUTED_VALUE"""),"Генериране на нови знания и хипотези за обществените процеси и културната памет на населението в региона на Югоизточната граница")</f>
        <v>Генериране на нови знания и хипотези за обществените процеси и културната памет на населението в региона на Югоизточната граница</v>
      </c>
      <c r="D6341" s="10">
        <f ca="1">IFERROR(__xludf.DUMMYFUNCTION("""COMPUTED_VALUE"""),2018)</f>
        <v>2018</v>
      </c>
      <c r="E6341" s="10" t="str">
        <f ca="1">IFERROR(__xludf.DUMMYFUNCTION("""COMPUTED_VALUE"""),"В: Бъдещето има минало. Отбелязване на 150 години от смъртта на Стефан Караджа по време на българското председателство на Съвета на Европа. – София: За буквите – О писменехь, Tом XV, 2018, с. 77 – 81. ISBN:978-619-185-328-1")</f>
        <v>В: Бъдещето има минало. Отбелязване на 150 години от смъртта на Стефан Караджа по време на българското председателство на Съвета на Европа. – София: За буквите – О писменехь, Tом XV, 2018, с. 77 – 81. ISBN:978-619-185-328-1</v>
      </c>
      <c r="F6341" s="10"/>
      <c r="G6341" s="10"/>
      <c r="H6341" s="10"/>
      <c r="I6341" s="10"/>
      <c r="J6341" s="10"/>
      <c r="K6341" s="10"/>
      <c r="L6341" s="10"/>
      <c r="M6341" s="10"/>
      <c r="N6341" s="10"/>
      <c r="O6341" s="10"/>
      <c r="P6341" s="10"/>
      <c r="Q6341" s="10"/>
      <c r="R6341" s="10"/>
      <c r="S6341" s="10"/>
      <c r="T6341" s="10"/>
      <c r="U6341" s="10"/>
      <c r="V6341" s="10"/>
      <c r="W6341" s="10"/>
      <c r="X6341" s="10"/>
      <c r="Y6341" s="10"/>
      <c r="Z6341" s="10"/>
    </row>
    <row r="6342" spans="1:26" ht="12.75">
      <c r="A6342" s="10" t="str">
        <f ca="1">IFERROR(__xludf.DUMMYFUNCTION("""COMPUTED_VALUE"""),"Ралица Юри Йотова")</f>
        <v>Ралица Юри Йотова</v>
      </c>
      <c r="B6342" s="10" t="str">
        <f ca="1">IFERROR(__xludf.DUMMYFUNCTION("""COMPUTED_VALUE"""),"Доклад от конференция")</f>
        <v>Доклад от конференция</v>
      </c>
      <c r="C6342" s="10" t="str">
        <f ca="1">IFERROR(__xludf.DUMMYFUNCTION("""COMPUTED_VALUE"""),"Информационният анализ – ключов фактор в производството на нови знания.")</f>
        <v>Информационният анализ – ключов фактор в производството на нови знания.</v>
      </c>
      <c r="D6342" s="10">
        <f ca="1">IFERROR(__xludf.DUMMYFUNCTION("""COMPUTED_VALUE"""),2018)</f>
        <v>2018</v>
      </c>
      <c r="E6342" s="10" t="str">
        <f ca="1">IFERROR(__xludf.DUMMYFUNCTION("""COMPUTED_VALUE"""),"ОБЩЕСТВОТО на знанието и хуманизмът на XXI век – София: За буквите - О писменехь, 2018, с. 1092 – 1097. ISSN 2683-0094")</f>
        <v>ОБЩЕСТВОТО на знанието и хуманизмът на XXI век – София: За буквите - О писменехь, 2018, с. 1092 – 1097. ISSN 2683-0094</v>
      </c>
      <c r="F6342" s="10"/>
      <c r="G6342" s="10"/>
      <c r="H6342" s="10"/>
      <c r="I6342" s="10"/>
      <c r="J6342" s="10"/>
      <c r="K6342" s="10"/>
      <c r="L6342" s="10"/>
      <c r="M6342" s="10"/>
      <c r="N6342" s="10"/>
      <c r="O6342" s="10"/>
      <c r="P6342" s="10"/>
      <c r="Q6342" s="10"/>
      <c r="R6342" s="10"/>
      <c r="S6342" s="10"/>
      <c r="T6342" s="10"/>
      <c r="U6342" s="10"/>
      <c r="V6342" s="10"/>
      <c r="W6342" s="10"/>
      <c r="X6342" s="10"/>
      <c r="Y6342" s="10"/>
      <c r="Z6342" s="10"/>
    </row>
    <row r="6343" spans="1:26" ht="12.75">
      <c r="A6343" s="10" t="str">
        <f ca="1">IFERROR(__xludf.DUMMYFUNCTION("""COMPUTED_VALUE"""),"Ралица Юри Йотова")</f>
        <v>Ралица Юри Йотова</v>
      </c>
      <c r="B6343" s="10" t="str">
        <f ca="1">IFERROR(__xludf.DUMMYFUNCTION("""COMPUTED_VALUE"""),"Доклад от конференция")</f>
        <v>Доклад от конференция</v>
      </c>
      <c r="C6343" s="10" t="str">
        <f ca="1">IFERROR(__xludf.DUMMYFUNCTION("""COMPUTED_VALUE"""),"Опазване на културно-историческото наследство в условията на военнополитичски кризи.")</f>
        <v>Опазване на културно-историческото наследство в условията на военнополитичски кризи.</v>
      </c>
      <c r="D6343" s="10">
        <f ca="1">IFERROR(__xludf.DUMMYFUNCTION("""COMPUTED_VALUE"""),2018)</f>
        <v>2018</v>
      </c>
      <c r="E6343" s="10" t="str">
        <f ca="1">IFERROR(__xludf.DUMMYFUNCTION("""COMPUTED_VALUE"""),"В: Съвременни подходи за дифузия на информация, знания и хипотези – иновативен модел за мотивация на постдокторанти, докторанти, млади учени и студенти. – София: За буквите – О писменехь, 2018, с. 180 – 185.")</f>
        <v>В: Съвременни подходи за дифузия на информация, знания и хипотези – иновативен модел за мотивация на постдокторанти, докторанти, млади учени и студенти. – София: За буквите – О писменехь, 2018, с. 180 – 185.</v>
      </c>
      <c r="F6343" s="10"/>
      <c r="G6343" s="10"/>
      <c r="H6343" s="10"/>
      <c r="I6343" s="10"/>
      <c r="J6343" s="10"/>
      <c r="K6343" s="10"/>
      <c r="L6343" s="10"/>
      <c r="M6343" s="10"/>
      <c r="N6343" s="10"/>
      <c r="O6343" s="10"/>
      <c r="P6343" s="10"/>
      <c r="Q6343" s="10"/>
      <c r="R6343" s="10"/>
      <c r="S6343" s="10"/>
      <c r="T6343" s="10"/>
      <c r="U6343" s="10"/>
      <c r="V6343" s="10"/>
      <c r="W6343" s="10"/>
      <c r="X6343" s="10"/>
      <c r="Y6343" s="10"/>
      <c r="Z6343" s="10"/>
    </row>
    <row r="6344" spans="1:26" ht="12.75">
      <c r="A6344" s="10" t="str">
        <f ca="1">IFERROR(__xludf.DUMMYFUNCTION("""COMPUTED_VALUE"""),"Ралица Юри Йотова")</f>
        <v>Ралица Юри Йотова</v>
      </c>
      <c r="B6344" s="10" t="str">
        <f ca="1">IFERROR(__xludf.DUMMYFUNCTION("""COMPUTED_VALUE"""),"Доклад от конференция")</f>
        <v>Доклад от конференция</v>
      </c>
      <c r="C6344" s="10" t="str">
        <f ca="1">IFERROR(__xludf.DUMMYFUNCTION("""COMPUTED_VALUE"""),"Ролята на лидера при изграждането на екипи в университетска информационна среда.")</f>
        <v>Ролята на лидера при изграждането на екипи в университетска информационна среда.</v>
      </c>
      <c r="D6344" s="10">
        <f ca="1">IFERROR(__xludf.DUMMYFUNCTION("""COMPUTED_VALUE"""),2018)</f>
        <v>2018</v>
      </c>
      <c r="E6344" s="10" t="str">
        <f ca="1">IFERROR(__xludf.DUMMYFUNCTION("""COMPUTED_VALUE"""),"В: Формиране на имидж и стратегическо управление в университетска информационна среда. – София: За буквите – О писменехь, 2018, с. 119 – 129. ISBN - 978-619-185-373-1")</f>
        <v>В: Формиране на имидж и стратегическо управление в университетска информационна среда. – София: За буквите – О писменехь, 2018, с. 119 – 129. ISBN - 978-619-185-373-1</v>
      </c>
      <c r="F6344" s="10"/>
      <c r="G6344" s="10"/>
      <c r="H6344" s="10"/>
      <c r="I6344" s="10"/>
      <c r="J6344" s="10"/>
      <c r="K6344" s="10"/>
      <c r="L6344" s="10"/>
      <c r="M6344" s="10"/>
      <c r="N6344" s="10"/>
      <c r="O6344" s="10"/>
      <c r="P6344" s="10"/>
      <c r="Q6344" s="10"/>
      <c r="R6344" s="10"/>
      <c r="S6344" s="10"/>
      <c r="T6344" s="10"/>
      <c r="U6344" s="10"/>
      <c r="V6344" s="10"/>
      <c r="W6344" s="10"/>
      <c r="X6344" s="10"/>
      <c r="Y6344" s="10"/>
      <c r="Z6344" s="10"/>
    </row>
    <row r="6345" spans="1:26" ht="12.75">
      <c r="A6345" s="10" t="str">
        <f ca="1">IFERROR(__xludf.DUMMYFUNCTION("""COMPUTED_VALUE"""),"Ралица Юри Йотова")</f>
        <v>Ралица Юри Йотова</v>
      </c>
      <c r="B6345" s="10" t="str">
        <f ca="1">IFERROR(__xludf.DUMMYFUNCTION("""COMPUTED_VALUE"""),"Доклад от конференция")</f>
        <v>Доклад от конференция</v>
      </c>
      <c r="C6345" s="10" t="str">
        <f ca="1">IFERROR(__xludf.DUMMYFUNCTION("""COMPUTED_VALUE"""),"Academic research projects for students support and motivation in university information environment.")</f>
        <v>Academic research projects for students support and motivation in university information environment.</v>
      </c>
      <c r="D6345" s="10">
        <f ca="1">IFERROR(__xludf.DUMMYFUNCTION("""COMPUTED_VALUE"""),2018)</f>
        <v>2018</v>
      </c>
      <c r="E6345" s="10" t="str">
        <f ca="1">IFERROR(__xludf.DUMMYFUNCTION("""COMPUTED_VALUE"""),"In: ICERI2018 Proceedings of 11th annual International Conference of Education, Research and Innovation. Seville, Spain, 2018, pp. 9706 – 9709. ISBN: 978-84-09-05948-5 / ISSN: 2340-1095
 doi: 10.21125/iceri.2018")</f>
        <v>In: ICERI2018 Proceedings of 11th annual International Conference of Education, Research and Innovation. Seville, Spain, 2018, pp. 9706 – 9709. ISBN: 978-84-09-05948-5 / ISSN: 2340-1095
 doi: 10.21125/iceri.2018</v>
      </c>
      <c r="F6345" s="10"/>
      <c r="G6345" s="10" t="str">
        <f ca="1">IFERROR(__xludf.DUMMYFUNCTION("""COMPUTED_VALUE"""),"D. Stoyanova, E. Savova, I. Peteva")</f>
        <v>D. Stoyanova, E. Savova, I. Peteva</v>
      </c>
      <c r="H6345" s="10"/>
      <c r="I6345" s="10"/>
      <c r="J6345" s="10"/>
      <c r="K6345" s="10"/>
      <c r="L6345" s="10"/>
      <c r="M6345" s="10"/>
      <c r="N6345" s="10"/>
      <c r="O6345" s="10"/>
      <c r="P6345" s="10"/>
      <c r="Q6345" s="10"/>
      <c r="R6345" s="10"/>
      <c r="S6345" s="10"/>
      <c r="T6345" s="10"/>
      <c r="U6345" s="10"/>
      <c r="V6345" s="10"/>
      <c r="W6345" s="10"/>
      <c r="X6345" s="10"/>
      <c r="Y6345" s="10"/>
      <c r="Z6345" s="10"/>
    </row>
    <row r="6346" spans="1:26" ht="12.75">
      <c r="A6346" s="10" t="str">
        <f ca="1">IFERROR(__xludf.DUMMYFUNCTION("""COMPUTED_VALUE"""),"Ралица Юри Йотова")</f>
        <v>Ралица Юри Йотова</v>
      </c>
      <c r="B6346" s="10" t="str">
        <f ca="1">IFERROR(__xludf.DUMMYFUNCTION("""COMPUTED_VALUE"""),"Доклад от конференция")</f>
        <v>Доклад от конференция</v>
      </c>
      <c r="C6346" s="10" t="str">
        <f ca="1">IFERROR(__xludf.DUMMYFUNCTION("""COMPUTED_VALUE"""),"Прозрачността като антикорупционен механизъм при възлагане на обществени поръчки в сигурността и отбраната. Същност и обществено значение.")</f>
        <v>Прозрачността като антикорупционен механизъм при възлагане на обществени поръчки в сигурността и отбраната. Същност и обществено значение.</v>
      </c>
      <c r="D6346" s="10">
        <f ca="1">IFERROR(__xludf.DUMMYFUNCTION("""COMPUTED_VALUE"""),2018)</f>
        <v>2018</v>
      </c>
      <c r="E6346" s="10" t="str">
        <f ca="1">IFERROR(__xludf.DUMMYFUNCTION("""COMPUTED_VALUE"""),"ОБЩЕСТВОТО на знанието и хуманизмът на XXI век – София: За буквите - О писменехь, 2018, с. 811 – 820. ISSN 2683-0094")</f>
        <v>ОБЩЕСТВОТО на знанието и хуманизмът на XXI век – София: За буквите - О писменехь, 2018, с. 811 – 820. ISSN 2683-0094</v>
      </c>
      <c r="F6346" s="10"/>
      <c r="G6346" s="10" t="str">
        <f ca="1">IFERROR(__xludf.DUMMYFUNCTION("""COMPUTED_VALUE"""),"Стефчо Банков, Виолета Вълчева, Румяна Бончева")</f>
        <v>Стефчо Банков, Виолета Вълчева, Румяна Бончева</v>
      </c>
      <c r="H6346" s="10"/>
      <c r="I6346" s="10"/>
      <c r="J6346" s="10"/>
      <c r="K6346" s="10"/>
      <c r="L6346" s="10"/>
      <c r="M6346" s="10"/>
      <c r="N6346" s="10"/>
      <c r="O6346" s="10"/>
      <c r="P6346" s="10"/>
      <c r="Q6346" s="10"/>
      <c r="R6346" s="10"/>
      <c r="S6346" s="10"/>
      <c r="T6346" s="10"/>
      <c r="U6346" s="10"/>
      <c r="V6346" s="10"/>
      <c r="W6346" s="10"/>
      <c r="X6346" s="10"/>
      <c r="Y6346" s="10"/>
      <c r="Z6346" s="10"/>
    </row>
    <row r="6347" spans="1:26" ht="12.75">
      <c r="A6347" s="10" t="str">
        <f ca="1">IFERROR(__xludf.DUMMYFUNCTION("""COMPUTED_VALUE"""),"Ралица Юри Йотова")</f>
        <v>Ралица Юри Йотова</v>
      </c>
      <c r="B6347" s="10" t="str">
        <f ca="1">IFERROR(__xludf.DUMMYFUNCTION("""COMPUTED_VALUE"""),"Доклад от конференция")</f>
        <v>Доклад от конференция</v>
      </c>
      <c r="C6347" s="10" t="str">
        <f ca="1">IFERROR(__xludf.DUMMYFUNCTION("""COMPUTED_VALUE"""),"Ефективност на комуникационните антикорупционни кампании в университетска среда")</f>
        <v>Ефективност на комуникационните антикорупционни кампании в университетска среда</v>
      </c>
      <c r="D6347" s="10">
        <f ca="1">IFERROR(__xludf.DUMMYFUNCTION("""COMPUTED_VALUE"""),2018)</f>
        <v>2018</v>
      </c>
      <c r="E6347" s="10" t="str">
        <f ca="1">IFERROR(__xludf.DUMMYFUNCTION("""COMPUTED_VALUE"""),"ОБЩЕСТВОТО на знанието и хуманизмът на XXI век – София: За буквите - О писменехь, 2018, с. 844 – 850. ISSN 2683-0094")</f>
        <v>ОБЩЕСТВОТО на знанието и хуманизмът на XXI век – София: За буквите - О писменехь, 2018, с. 844 – 850. ISSN 2683-0094</v>
      </c>
      <c r="F6347" s="10"/>
      <c r="G6347" s="10" t="str">
        <f ca="1">IFERROR(__xludf.DUMMYFUNCTION("""COMPUTED_VALUE"""),"Константин Казаков, Йоана Веселинова, Георги Георгиев, Илияна Димова, Денис Стефанов")</f>
        <v>Константин Казаков, Йоана Веселинова, Георги Георгиев, Илияна Димова, Денис Стефанов</v>
      </c>
      <c r="H6347" s="10"/>
      <c r="I6347" s="10"/>
      <c r="J6347" s="10"/>
      <c r="K6347" s="10"/>
      <c r="L6347" s="10"/>
      <c r="M6347" s="10"/>
      <c r="N6347" s="10"/>
      <c r="O6347" s="10"/>
      <c r="P6347" s="10"/>
      <c r="Q6347" s="10"/>
      <c r="R6347" s="10"/>
      <c r="S6347" s="10"/>
      <c r="T6347" s="10"/>
      <c r="U6347" s="10"/>
      <c r="V6347" s="10"/>
      <c r="W6347" s="10"/>
      <c r="X6347" s="10"/>
      <c r="Y6347" s="10"/>
      <c r="Z6347" s="10"/>
    </row>
    <row r="6348" spans="1:26" ht="12.75">
      <c r="A6348" s="10" t="str">
        <f ca="1">IFERROR(__xludf.DUMMYFUNCTION("""COMPUTED_VALUE"""),"Ралица Юри Йотова")</f>
        <v>Ралица Юри Йотова</v>
      </c>
      <c r="B6348" s="10" t="str">
        <f ca="1">IFERROR(__xludf.DUMMYFUNCTION("""COMPUTED_VALUE"""),"Доклад от конференция")</f>
        <v>Доклад от конференция</v>
      </c>
      <c r="C6348" s="10" t="str">
        <f ca="1">IFERROR(__xludf.DUMMYFUNCTION("""COMPUTED_VALUE"""),"Прозрачността като антикорупционен механизъм при възлагане на обществени поръчки в сигурността и отбраната. Прилагане на антикорупционни механизми при възлагане на ОП в сигурността и отбраната.")</f>
        <v>Прозрачността като антикорупционен механизъм при възлагане на обществени поръчки в сигурността и отбраната. Прилагане на антикорупционни механизми при възлагане на ОП в сигурността и отбраната.</v>
      </c>
      <c r="D6348" s="10">
        <f ca="1">IFERROR(__xludf.DUMMYFUNCTION("""COMPUTED_VALUE"""),2018)</f>
        <v>2018</v>
      </c>
      <c r="E6348" s="10" t="str">
        <f ca="1">IFERROR(__xludf.DUMMYFUNCTION("""COMPUTED_VALUE"""),"ОБЩЕСТВОТО на знанието и хуманизмът на XXI век – София: За буквите - О писменехь, 2018, с. 834 – 843. ISSN 2683-0094")</f>
        <v>ОБЩЕСТВОТО на знанието и хуманизмът на XXI век – София: За буквите - О писменехь, 2018, с. 834 – 843. ISSN 2683-0094</v>
      </c>
      <c r="F6348" s="10"/>
      <c r="G6348" s="10" t="str">
        <f ca="1">IFERROR(__xludf.DUMMYFUNCTION("""COMPUTED_VALUE"""),"Стефчо Банков, Виолета Вълчева, Румяна Бончева")</f>
        <v>Стефчо Банков, Виолета Вълчева, Румяна Бончева</v>
      </c>
      <c r="H6348" s="10"/>
      <c r="I6348" s="10"/>
      <c r="J6348" s="10"/>
      <c r="K6348" s="10"/>
      <c r="L6348" s="10"/>
      <c r="M6348" s="10"/>
      <c r="N6348" s="10"/>
      <c r="O6348" s="10"/>
      <c r="P6348" s="10"/>
      <c r="Q6348" s="10"/>
      <c r="R6348" s="10"/>
      <c r="S6348" s="10"/>
      <c r="T6348" s="10"/>
      <c r="U6348" s="10"/>
      <c r="V6348" s="10"/>
      <c r="W6348" s="10"/>
      <c r="X6348" s="10"/>
      <c r="Y6348" s="10"/>
      <c r="Z6348" s="10"/>
    </row>
    <row r="6349" spans="1:26" ht="12.75">
      <c r="A6349" s="10" t="str">
        <f ca="1">IFERROR(__xludf.DUMMYFUNCTION("""COMPUTED_VALUE"""),"Ралица Юри Йотова")</f>
        <v>Ралица Юри Йотова</v>
      </c>
      <c r="B6349" s="10" t="str">
        <f ca="1">IFERROR(__xludf.DUMMYFUNCTION("""COMPUTED_VALUE"""),"Доклад от конференция")</f>
        <v>Доклад от конференция</v>
      </c>
      <c r="C6349" s="10" t="str">
        <f ca="1">IFERROR(__xludf.DUMMYFUNCTION("""COMPUTED_VALUE"""),"Прозрачността като антикорупционен механизъм при възлагане на обществени поръчки в сигурността и отбраната. Основни понятия за обществена поръчка, публичност и прозрачност при възлагане.")</f>
        <v>Прозрачността като антикорупционен механизъм при възлагане на обществени поръчки в сигурността и отбраната. Основни понятия за обществена поръчка, публичност и прозрачност при възлагане.</v>
      </c>
      <c r="D6349" s="10">
        <f ca="1">IFERROR(__xludf.DUMMYFUNCTION("""COMPUTED_VALUE"""),2018)</f>
        <v>2018</v>
      </c>
      <c r="E6349" s="10" t="str">
        <f ca="1">IFERROR(__xludf.DUMMYFUNCTION("""COMPUTED_VALUE"""),"ОБЩЕСТВОТО на знанието и хуманизмът на XXI век – София: За буквите - О писменехь, 2018, с. 821 – 833. ISSN 2683-0094")</f>
        <v>ОБЩЕСТВОТО на знанието и хуманизмът на XXI век – София: За буквите - О писменехь, 2018, с. 821 – 833. ISSN 2683-0094</v>
      </c>
      <c r="F6349" s="10"/>
      <c r="G6349" s="10" t="str">
        <f ca="1">IFERROR(__xludf.DUMMYFUNCTION("""COMPUTED_VALUE"""),"Стефчо Банков, Виолета Вълчева, Румяна Бончева")</f>
        <v>Стефчо Банков, Виолета Вълчева, Румяна Бончева</v>
      </c>
      <c r="H6349" s="10"/>
      <c r="I6349" s="10"/>
      <c r="J6349" s="10"/>
      <c r="K6349" s="10"/>
      <c r="L6349" s="10"/>
      <c r="M6349" s="10"/>
      <c r="N6349" s="10"/>
      <c r="O6349" s="10"/>
      <c r="P6349" s="10"/>
      <c r="Q6349" s="10"/>
      <c r="R6349" s="10"/>
      <c r="S6349" s="10"/>
      <c r="T6349" s="10"/>
      <c r="U6349" s="10"/>
      <c r="V6349" s="10"/>
      <c r="W6349" s="10"/>
      <c r="X6349" s="10"/>
      <c r="Y6349" s="10"/>
      <c r="Z6349" s="10"/>
    </row>
    <row r="6350" spans="1:26" ht="12.75">
      <c r="A6350" s="10" t="str">
        <f ca="1">IFERROR(__xludf.DUMMYFUNCTION("""COMPUTED_VALUE"""),"Ралица Юри Йотова")</f>
        <v>Ралица Юри Йотова</v>
      </c>
      <c r="B6350" s="10" t="str">
        <f ca="1">IFERROR(__xludf.DUMMYFUNCTION("""COMPUTED_VALUE"""),"Доклад от конференция")</f>
        <v>Доклад от конференция</v>
      </c>
      <c r="C6350" s="10" t="str">
        <f ca="1">IFERROR(__xludf.DUMMYFUNCTION("""COMPUTED_VALUE"""),"‘Learning by doing’ or how to quickly and easily motivate young people to carry out research.")</f>
        <v>‘Learning by doing’ or how to quickly and easily motivate young people to carry out research.</v>
      </c>
      <c r="D6350" s="10">
        <f ca="1">IFERROR(__xludf.DUMMYFUNCTION("""COMPUTED_VALUE"""),2017)</f>
        <v>2017</v>
      </c>
      <c r="E6350" s="10" t="str">
        <f ca="1">IFERROR(__xludf.DUMMYFUNCTION("""COMPUTED_VALUE"""),"In: EDULEARN17 Proceedings of 9th International Conference on Education and New Learning Technologies. Barcelona, Spain, 2017, pp. 9209 – 9213. ISBN: 978-84-697-3777-4 / ISSN: 2340-1117 doi: 10.21125/edulearn.2017")</f>
        <v>In: EDULEARN17 Proceedings of 9th International Conference on Education and New Learning Technologies. Barcelona, Spain, 2017, pp. 9209 – 9213. ISBN: 978-84-697-3777-4 / ISSN: 2340-1117 doi: 10.21125/edulearn.2017</v>
      </c>
      <c r="F6350" s="10" t="str">
        <f ca="1">IFERROR(__xludf.DUMMYFUNCTION("""COMPUTED_VALUE"""),"Web of Science")</f>
        <v>Web of Science</v>
      </c>
      <c r="G6350" s="10" t="str">
        <f ca="1">IFERROR(__xludf.DUMMYFUNCTION("""COMPUTED_VALUE"""),"S. Denchev, D. Stoyanova, T. Varadinova")</f>
        <v>S. Denchev, D. Stoyanova, T. Varadinova</v>
      </c>
      <c r="H6350" s="10"/>
      <c r="I6350" s="10"/>
      <c r="J6350" s="10"/>
      <c r="K6350" s="10"/>
      <c r="L6350" s="10"/>
      <c r="M6350" s="10"/>
      <c r="N6350" s="10"/>
      <c r="O6350" s="10"/>
      <c r="P6350" s="10"/>
      <c r="Q6350" s="10"/>
      <c r="R6350" s="10"/>
      <c r="S6350" s="10"/>
      <c r="T6350" s="10"/>
      <c r="U6350" s="10"/>
      <c r="V6350" s="10"/>
      <c r="W6350" s="10"/>
      <c r="X6350" s="10"/>
      <c r="Y6350" s="10"/>
      <c r="Z6350" s="10"/>
    </row>
    <row r="6351" spans="1:26" ht="12.75">
      <c r="A6351" s="10" t="str">
        <f ca="1">IFERROR(__xludf.DUMMYFUNCTION("""COMPUTED_VALUE"""),"Ралица Юри Йотова")</f>
        <v>Ралица Юри Йотова</v>
      </c>
      <c r="B6351" s="10" t="str">
        <f ca="1">IFERROR(__xludf.DUMMYFUNCTION("""COMPUTED_VALUE"""),"Доклад от конференция")</f>
        <v>Доклад от конференция</v>
      </c>
      <c r="C6351" s="10" t="str">
        <f ca="1">IFERROR(__xludf.DUMMYFUNCTION("""COMPUTED_VALUE"""),"Влияние на академичната среда върху удовлетвореността на студентите.")</f>
        <v>Влияние на академичната среда върху удовлетвореността на студентите.</v>
      </c>
      <c r="D6351" s="10">
        <f ca="1">IFERROR(__xludf.DUMMYFUNCTION("""COMPUTED_VALUE"""),2017)</f>
        <v>2017</v>
      </c>
      <c r="E6351" s="10" t="str">
        <f ca="1">IFERROR(__xludf.DUMMYFUNCTION("""COMPUTED_VALUE"""),"СЪВРЕМЕННИ стратегии и иновации в управление на знанието = Contemporary srategies and innovations in the knowledge management – София: За буквите - О писменехь, 2017, с. 199 – 202. ISBN 2535-0250")</f>
        <v>СЪВРЕМЕННИ стратегии и иновации в управление на знанието = Contemporary srategies and innovations in the knowledge management – София: За буквите - О писменехь, 2017, с. 199 – 202. ISBN 2535-0250</v>
      </c>
      <c r="F6351" s="10"/>
      <c r="G6351" s="10" t="str">
        <f ca="1">IFERROR(__xludf.DUMMYFUNCTION("""COMPUTED_VALUE"""),"Цветелина Варадинова")</f>
        <v>Цветелина Варадинова</v>
      </c>
      <c r="H6351" s="10"/>
      <c r="I6351" s="10"/>
      <c r="J6351" s="10"/>
      <c r="K6351" s="10"/>
      <c r="L6351" s="10"/>
      <c r="M6351" s="10"/>
      <c r="N6351" s="10"/>
      <c r="O6351" s="10"/>
      <c r="P6351" s="10"/>
      <c r="Q6351" s="10"/>
      <c r="R6351" s="10"/>
      <c r="S6351" s="10"/>
      <c r="T6351" s="10"/>
      <c r="U6351" s="10"/>
      <c r="V6351" s="10"/>
      <c r="W6351" s="10"/>
      <c r="X6351" s="10"/>
      <c r="Y6351" s="10"/>
      <c r="Z6351" s="10"/>
    </row>
    <row r="6352" spans="1:26" ht="12.75">
      <c r="A6352" s="10" t="str">
        <f ca="1">IFERROR(__xludf.DUMMYFUNCTION("""COMPUTED_VALUE"""),"Ралица Юри Йотова")</f>
        <v>Ралица Юри Йотова</v>
      </c>
      <c r="B6352" s="10" t="str">
        <f ca="1">IFERROR(__xludf.DUMMYFUNCTION("""COMPUTED_VALUE"""),"Доклад от конференция")</f>
        <v>Доклад от конференция</v>
      </c>
      <c r="C6352" s="10" t="str">
        <f ca="1">IFERROR(__xludf.DUMMYFUNCTION("""COMPUTED_VALUE"""),"Дроновете – технологично предимство за събиране на информация.")</f>
        <v>Дроновете – технологично предимство за събиране на информация.</v>
      </c>
      <c r="D6352" s="10">
        <f ca="1">IFERROR(__xludf.DUMMYFUNCTION("""COMPUTED_VALUE"""),2017)</f>
        <v>2017</v>
      </c>
      <c r="E6352" s="10" t="str">
        <f ca="1">IFERROR(__xludf.DUMMYFUNCTION("""COMPUTED_VALUE"""),"СЪВРЕМЕННИ стратегии и иновации в управление на знанието = Contemporary srategies and innovations in the knowledge management – София: За буквите - О писменехь, 2017, с. 154 – 161. ISBN 2535-0250")</f>
        <v>СЪВРЕМЕННИ стратегии и иновации в управление на знанието = Contemporary srategies and innovations in the knowledge management – София: За буквите - О писменехь, 2017, с. 154 – 161. ISBN 2535-0250</v>
      </c>
      <c r="F6352" s="10"/>
      <c r="G6352" s="10" t="str">
        <f ca="1">IFERROR(__xludf.DUMMYFUNCTION("""COMPUTED_VALUE"""),"Десислава Стоева")</f>
        <v>Десислава Стоева</v>
      </c>
      <c r="H6352" s="10"/>
      <c r="I6352" s="10"/>
      <c r="J6352" s="10"/>
      <c r="K6352" s="10"/>
      <c r="L6352" s="10"/>
      <c r="M6352" s="10"/>
      <c r="N6352" s="10"/>
      <c r="O6352" s="10"/>
      <c r="P6352" s="10"/>
      <c r="Q6352" s="10"/>
      <c r="R6352" s="10"/>
      <c r="S6352" s="10"/>
      <c r="T6352" s="10"/>
      <c r="U6352" s="10"/>
      <c r="V6352" s="10"/>
      <c r="W6352" s="10"/>
      <c r="X6352" s="10"/>
      <c r="Y6352" s="10"/>
      <c r="Z6352" s="10"/>
    </row>
    <row r="6353" spans="1:26" ht="12.75">
      <c r="A6353" s="10" t="str">
        <f ca="1">IFERROR(__xludf.DUMMYFUNCTION("""COMPUTED_VALUE"""),"Ралица Юри Йотова")</f>
        <v>Ралица Юри Йотова</v>
      </c>
      <c r="B6353" s="10" t="str">
        <f ca="1">IFERROR(__xludf.DUMMYFUNCTION("""COMPUTED_VALUE"""),"Доклад от конференция")</f>
        <v>Доклад от конференция</v>
      </c>
      <c r="C6353" s="10" t="str">
        <f ca="1">IFERROR(__xludf.DUMMYFUNCTION("""COMPUTED_VALUE"""),"Влияние на емоционалния статус върху академичната мотивация на студентите.")</f>
        <v>Влияние на емоционалния статус върху академичната мотивация на студентите.</v>
      </c>
      <c r="D6353" s="10">
        <f ca="1">IFERROR(__xludf.DUMMYFUNCTION("""COMPUTED_VALUE"""),2017)</f>
        <v>2017</v>
      </c>
      <c r="E6353" s="10" t="str">
        <f ca="1">IFERROR(__xludf.DUMMYFUNCTION("""COMPUTED_VALUE"""),"ОБЩЕСТВОТО на знанието и хуманизмът на XXI век – София: За буквите - О писменехь, 2017, с. 468 – 477. ISSN 2683-0094")</f>
        <v>ОБЩЕСТВОТО на знанието и хуманизмът на XXI век – София: За буквите - О писменехь, 2017, с. 468 – 477. ISSN 2683-0094</v>
      </c>
      <c r="F6353" s="10"/>
      <c r="G6353" s="10" t="str">
        <f ca="1">IFERROR(__xludf.DUMMYFUNCTION("""COMPUTED_VALUE"""),"Гошо Петков, Майяна Митевска–Енчева, Цветелина Варадинова")</f>
        <v>Гошо Петков, Майяна Митевска–Енчева, Цветелина Варадинова</v>
      </c>
      <c r="H6353" s="10"/>
      <c r="I6353" s="10"/>
      <c r="J6353" s="10"/>
      <c r="K6353" s="10"/>
      <c r="L6353" s="10"/>
      <c r="M6353" s="10"/>
      <c r="N6353" s="10"/>
      <c r="O6353" s="10"/>
      <c r="P6353" s="10"/>
      <c r="Q6353" s="10"/>
      <c r="R6353" s="10"/>
      <c r="S6353" s="10"/>
      <c r="T6353" s="10"/>
      <c r="U6353" s="10"/>
      <c r="V6353" s="10"/>
      <c r="W6353" s="10"/>
      <c r="X6353" s="10"/>
      <c r="Y6353" s="10"/>
      <c r="Z6353" s="10"/>
    </row>
    <row r="6354" spans="1:26" ht="12.75">
      <c r="A6354" s="10" t="str">
        <f ca="1">IFERROR(__xludf.DUMMYFUNCTION("""COMPUTED_VALUE"""),"Ралица Юри Йотова")</f>
        <v>Ралица Юри Йотова</v>
      </c>
      <c r="B6354" s="10" t="str">
        <f ca="1">IFERROR(__xludf.DUMMYFUNCTION("""COMPUTED_VALUE"""),"Доклад от конференция")</f>
        <v>Доклад от конференция</v>
      </c>
      <c r="C6354" s="10" t="str">
        <f ca="1">IFERROR(__xludf.DUMMYFUNCTION("""COMPUTED_VALUE"""),"Личността като предиктор на академичната мотивация.")</f>
        <v>Личността като предиктор на академичната мотивация.</v>
      </c>
      <c r="D6354" s="10">
        <f ca="1">IFERROR(__xludf.DUMMYFUNCTION("""COMPUTED_VALUE"""),2017)</f>
        <v>2017</v>
      </c>
      <c r="E6354" s="10" t="str">
        <f ca="1">IFERROR(__xludf.DUMMYFUNCTION("""COMPUTED_VALUE"""),"ОБЩЕСТВОТО на знанието и хуманизмът на XXI век – София: За буквите - О писменехь, 2017, с. 478 – 485. ISSN 2683-0094")</f>
        <v>ОБЩЕСТВОТО на знанието и хуманизмът на XXI век – София: За буквите - О писменехь, 2017, с. 478 – 485. ISSN 2683-0094</v>
      </c>
      <c r="F6354" s="10"/>
      <c r="G6354" s="10" t="str">
        <f ca="1">IFERROR(__xludf.DUMMYFUNCTION("""COMPUTED_VALUE"""),"Гошо Петков, Майяна Митевска–Енчева, Цветелина Варадинова")</f>
        <v>Гошо Петков, Майяна Митевска–Енчева, Цветелина Варадинова</v>
      </c>
      <c r="H6354" s="10"/>
      <c r="I6354" s="10"/>
      <c r="J6354" s="10"/>
      <c r="K6354" s="10"/>
      <c r="L6354" s="10"/>
      <c r="M6354" s="10"/>
      <c r="N6354" s="10"/>
      <c r="O6354" s="10"/>
      <c r="P6354" s="10"/>
      <c r="Q6354" s="10"/>
      <c r="R6354" s="10"/>
      <c r="S6354" s="10"/>
      <c r="T6354" s="10"/>
      <c r="U6354" s="10"/>
      <c r="V6354" s="10"/>
      <c r="W6354" s="10"/>
      <c r="X6354" s="10"/>
      <c r="Y6354" s="10"/>
      <c r="Z6354" s="10"/>
    </row>
    <row r="6355" spans="1:26" ht="12.75">
      <c r="A6355" s="10" t="str">
        <f ca="1">IFERROR(__xludf.DUMMYFUNCTION("""COMPUTED_VALUE"""),"Ралица Юри Йотова")</f>
        <v>Ралица Юри Йотова</v>
      </c>
      <c r="B6355" s="10" t="str">
        <f ca="1">IFERROR(__xludf.DUMMYFUNCTION("""COMPUTED_VALUE"""),"Доклад от конференция")</f>
        <v>Доклад от конференция</v>
      </c>
      <c r="C6355" s="10" t="str">
        <f ca="1">IFERROR(__xludf.DUMMYFUNCTION("""COMPUTED_VALUE"""),"Теория за информационно превъзходство – научна основа на информационно-аналитичната дейност.")</f>
        <v>Теория за информационно превъзходство – научна основа на информационно-аналитичната дейност.</v>
      </c>
      <c r="D6355" s="10">
        <f ca="1">IFERROR(__xludf.DUMMYFUNCTION("""COMPUTED_VALUE"""),2017)</f>
        <v>2017</v>
      </c>
      <c r="E6355" s="10" t="str">
        <f ca="1">IFERROR(__xludf.DUMMYFUNCTION("""COMPUTED_VALUE"""),"ОБЩЕСТВОТО на знанието и хуманизмът на XXI век – София: За буквите - О писменехь, 2017, с. 753 – 757. ISSN 2683-0094")</f>
        <v>ОБЩЕСТВОТО на знанието и хуманизмът на XXI век – София: За буквите - О писменехь, 2017, с. 753 – 757. ISSN 2683-0094</v>
      </c>
      <c r="F6355" s="10"/>
      <c r="G6355" s="10"/>
      <c r="H6355" s="10"/>
      <c r="I6355" s="10"/>
      <c r="J6355" s="10"/>
      <c r="K6355" s="10"/>
      <c r="L6355" s="10"/>
      <c r="M6355" s="10"/>
      <c r="N6355" s="10"/>
      <c r="O6355" s="10"/>
      <c r="P6355" s="10"/>
      <c r="Q6355" s="10"/>
      <c r="R6355" s="10"/>
      <c r="S6355" s="10"/>
      <c r="T6355" s="10"/>
      <c r="U6355" s="10"/>
      <c r="V6355" s="10"/>
      <c r="W6355" s="10"/>
      <c r="X6355" s="10"/>
      <c r="Y6355" s="10"/>
      <c r="Z6355" s="10"/>
    </row>
    <row r="6356" spans="1:26" ht="12.75">
      <c r="A6356" s="10" t="str">
        <f ca="1">IFERROR(__xludf.DUMMYFUNCTION("""COMPUTED_VALUE"""),"Ралица Юри Йотова")</f>
        <v>Ралица Юри Йотова</v>
      </c>
      <c r="B6356" s="10" t="str">
        <f ca="1">IFERROR(__xludf.DUMMYFUNCTION("""COMPUTED_VALUE"""),"Доклад от конференция")</f>
        <v>Доклад от конференция</v>
      </c>
      <c r="C6356" s="10" t="str">
        <f ca="1">IFERROR(__xludf.DUMMYFUNCTION("""COMPUTED_VALUE"""),"Информационно-аналитична дейност в системата за национална сигурност на Република България.")</f>
        <v>Информационно-аналитична дейност в системата за национална сигурност на Република България.</v>
      </c>
      <c r="D6356" s="10">
        <f ca="1">IFERROR(__xludf.DUMMYFUNCTION("""COMPUTED_VALUE"""),2017)</f>
        <v>2017</v>
      </c>
      <c r="E6356" s="10" t="str">
        <f ca="1">IFERROR(__xludf.DUMMYFUNCTION("""COMPUTED_VALUE"""),"СЪВРЕМЕННИ измерения на европейското образователно и научно пространство. София: За буквите - О писменехь, 2017, с. 269 – 276. ISSN 2367-7988")</f>
        <v>СЪВРЕМЕННИ измерения на европейското образователно и научно пространство. София: За буквите - О писменехь, 2017, с. 269 – 276. ISSN 2367-7988</v>
      </c>
      <c r="F6356" s="10"/>
      <c r="G6356" s="10"/>
      <c r="H6356" s="10"/>
      <c r="I6356" s="10"/>
      <c r="J6356" s="10"/>
      <c r="K6356" s="10"/>
      <c r="L6356" s="10"/>
      <c r="M6356" s="10"/>
      <c r="N6356" s="10"/>
      <c r="O6356" s="10"/>
      <c r="P6356" s="10"/>
      <c r="Q6356" s="10"/>
      <c r="R6356" s="10"/>
      <c r="S6356" s="10"/>
      <c r="T6356" s="10"/>
      <c r="U6356" s="10"/>
      <c r="V6356" s="10"/>
      <c r="W6356" s="10"/>
      <c r="X6356" s="10"/>
      <c r="Y6356" s="10"/>
      <c r="Z6356" s="10"/>
    </row>
    <row r="6357" spans="1:26" ht="12.75">
      <c r="A6357" s="10" t="str">
        <f ca="1">IFERROR(__xludf.DUMMYFUNCTION("""COMPUTED_VALUE"""),"Ралица Юри Йотова")</f>
        <v>Ралица Юри Йотова</v>
      </c>
      <c r="B6357" s="10" t="str">
        <f ca="1">IFERROR(__xludf.DUMMYFUNCTION("""COMPUTED_VALUE"""),"Доклад от конференция")</f>
        <v>Доклад от конференция</v>
      </c>
      <c r="C6357" s="10" t="str">
        <f ca="1">IFERROR(__xludf.DUMMYFUNCTION("""COMPUTED_VALUE"""),"Innovations and training: integration of international projects in the process of training in cultural heritage for young scientists, PhD students and students")</f>
        <v>Innovations and training: integration of international projects in the process of training in cultural heritage for young scientists, PhD students and students</v>
      </c>
      <c r="D6357" s="10">
        <f ca="1">IFERROR(__xludf.DUMMYFUNCTION("""COMPUTED_VALUE"""),2017)</f>
        <v>2017</v>
      </c>
      <c r="E6357" s="10" t="str">
        <f ca="1">IFERROR(__xludf.DUMMYFUNCTION("""COMPUTED_VALUE"""),"EDULEARN17 Proceedings of 9th International Conference on Education and New Learning Technologies. Barcelona, Spain, 2017, pp. 9285 – 9288. ISBN: 978-84-697-3777-4 / ISSN: 2340-1117
 doi: 10.21125/edulearn.2017")</f>
        <v>EDULEARN17 Proceedings of 9th International Conference on Education and New Learning Technologies. Barcelona, Spain, 2017, pp. 9285 – 9288. ISBN: 978-84-697-3777-4 / ISSN: 2340-1117
 doi: 10.21125/edulearn.2017</v>
      </c>
      <c r="F6357" s="10" t="str">
        <f ca="1">IFERROR(__xludf.DUMMYFUNCTION("""COMPUTED_VALUE"""),"Web of Science")</f>
        <v>Web of Science</v>
      </c>
      <c r="G6357" s="10" t="str">
        <f ca="1">IFERROR(__xludf.DUMMYFUNCTION("""COMPUTED_VALUE"""),"D. Stoyanov, T. Varadinova")</f>
        <v>D. Stoyanov, T. Varadinova</v>
      </c>
      <c r="H6357" s="10"/>
      <c r="I6357" s="10"/>
      <c r="J6357" s="10"/>
      <c r="K6357" s="10"/>
      <c r="L6357" s="10"/>
      <c r="M6357" s="10"/>
      <c r="N6357" s="10"/>
      <c r="O6357" s="10"/>
      <c r="P6357" s="10"/>
      <c r="Q6357" s="10"/>
      <c r="R6357" s="10"/>
      <c r="S6357" s="10"/>
      <c r="T6357" s="10"/>
      <c r="U6357" s="10"/>
      <c r="V6357" s="10"/>
      <c r="W6357" s="10"/>
      <c r="X6357" s="10"/>
      <c r="Y6357" s="10"/>
      <c r="Z6357" s="10"/>
    </row>
    <row r="6358" spans="1:26" ht="12.75">
      <c r="A6358" s="10" t="str">
        <f ca="1">IFERROR(__xludf.DUMMYFUNCTION("""COMPUTED_VALUE"""),"Ралица Юри Йотова")</f>
        <v>Ралица Юри Йотова</v>
      </c>
      <c r="B6358" s="10" t="str">
        <f ca="1">IFERROR(__xludf.DUMMYFUNCTION("""COMPUTED_VALUE"""),"Доклад от конференция")</f>
        <v>Доклад от конференция</v>
      </c>
      <c r="C6358" s="10" t="str">
        <f ca="1">IFERROR(__xludf.DUMMYFUNCTION("""COMPUTED_VALUE"""),"Knowledge institution: the role of libraries for preservation and socialization of documentary cultural heritage.")</f>
        <v>Knowledge institution: the role of libraries for preservation and socialization of documentary cultural heritage.</v>
      </c>
      <c r="D6358" s="10">
        <f ca="1">IFERROR(__xludf.DUMMYFUNCTION("""COMPUTED_VALUE"""),2017)</f>
        <v>2017</v>
      </c>
      <c r="E6358" s="10" t="str">
        <f ca="1">IFERROR(__xludf.DUMMYFUNCTION("""COMPUTED_VALUE"""),"In: EDULEARN18 Proceedings of 10th International Conference on Education and New Learning Technologies. Palma, Spain, 2017, pp. 5709 – 5712. ISBN: 978-84-09-02709-5 / ISSN: 2340-1117
 doi: 10.21125/edulearn.2018")</f>
        <v>In: EDULEARN18 Proceedings of 10th International Conference on Education and New Learning Technologies. Palma, Spain, 2017, pp. 5709 – 5712. ISBN: 978-84-09-02709-5 / ISSN: 2340-1117
 doi: 10.21125/edulearn.2018</v>
      </c>
      <c r="F6358" s="10"/>
      <c r="G6358" s="10" t="str">
        <f ca="1">IFERROR(__xludf.DUMMYFUNCTION("""COMPUTED_VALUE"""),"E. Savova, T. Varadinova")</f>
        <v>E. Savova, T. Varadinova</v>
      </c>
      <c r="H6358" s="10"/>
      <c r="I6358" s="10"/>
      <c r="J6358" s="10"/>
      <c r="K6358" s="10"/>
      <c r="L6358" s="10"/>
      <c r="M6358" s="10"/>
      <c r="N6358" s="10"/>
      <c r="O6358" s="10"/>
      <c r="P6358" s="10"/>
      <c r="Q6358" s="10"/>
      <c r="R6358" s="10"/>
      <c r="S6358" s="10"/>
      <c r="T6358" s="10"/>
      <c r="U6358" s="10"/>
      <c r="V6358" s="10"/>
      <c r="W6358" s="10"/>
      <c r="X6358" s="10"/>
      <c r="Y6358" s="10"/>
      <c r="Z6358" s="10"/>
    </row>
    <row r="6359" spans="1:26" ht="12.75">
      <c r="A6359" s="10" t="str">
        <f ca="1">IFERROR(__xludf.DUMMYFUNCTION("""COMPUTED_VALUE"""),"Ралица Юри Йотова")</f>
        <v>Ралица Юри Йотова</v>
      </c>
      <c r="B6359" s="10" t="str">
        <f ca="1">IFERROR(__xludf.DUMMYFUNCTION("""COMPUTED_VALUE"""),"Доклад от конференция")</f>
        <v>Доклад от конференция</v>
      </c>
      <c r="C6359" s="10" t="str">
        <f ca="1">IFERROR(__xludf.DUMMYFUNCTION("""COMPUTED_VALUE"""),"Киберсигурността – важен фактор в съвременната информационна среда.")</f>
        <v>Киберсигурността – важен фактор в съвременната информационна среда.</v>
      </c>
      <c r="D6359" s="10">
        <f ca="1">IFERROR(__xludf.DUMMYFUNCTION("""COMPUTED_VALUE"""),2016)</f>
        <v>2016</v>
      </c>
      <c r="E6359" s="10" t="str">
        <f ca="1">IFERROR(__xludf.DUMMYFUNCTION("""COMPUTED_VALUE"""),"ОБЩЕСТВОТО на знанието и хуманизмът на XXI век – София: За буквите - О писменехь, 2016, с. 890-893. ISSN 2683-0094")</f>
        <v>ОБЩЕСТВОТО на знанието и хуманизмът на XXI век – София: За буквите - О писменехь, 2016, с. 890-893. ISSN 2683-0094</v>
      </c>
      <c r="F6359" s="10"/>
      <c r="G6359" s="10"/>
      <c r="H6359" s="10"/>
      <c r="I6359" s="10"/>
      <c r="J6359" s="10"/>
      <c r="K6359" s="10"/>
      <c r="L6359" s="10"/>
      <c r="M6359" s="10"/>
      <c r="N6359" s="10"/>
      <c r="O6359" s="10"/>
      <c r="P6359" s="10"/>
      <c r="Q6359" s="10"/>
      <c r="R6359" s="10"/>
      <c r="S6359" s="10"/>
      <c r="T6359" s="10"/>
      <c r="U6359" s="10"/>
      <c r="V6359" s="10"/>
      <c r="W6359" s="10"/>
      <c r="X6359" s="10"/>
      <c r="Y6359" s="10"/>
      <c r="Z6359" s="10"/>
    </row>
    <row r="6360" spans="1:26" ht="12.75">
      <c r="A6360" s="10" t="str">
        <f ca="1">IFERROR(__xludf.DUMMYFUNCTION("""COMPUTED_VALUE"""),"Ралица Юри Йотова")</f>
        <v>Ралица Юри Йотова</v>
      </c>
      <c r="B6360" s="10" t="str">
        <f ca="1">IFERROR(__xludf.DUMMYFUNCTION("""COMPUTED_VALUE"""),"Доклад от конференция")</f>
        <v>Доклад от конференция</v>
      </c>
      <c r="C6360" s="10" t="str">
        <f ca="1">IFERROR(__xludf.DUMMYFUNCTION("""COMPUTED_VALUE"""),"Preservation of cultural historical heritage in conditions of politico-military crisis.")</f>
        <v>Preservation of cultural historical heritage in conditions of politico-military crisis.</v>
      </c>
      <c r="D6360" s="10">
        <f ca="1">IFERROR(__xludf.DUMMYFUNCTION("""COMPUTED_VALUE"""),2016)</f>
        <v>2016</v>
      </c>
      <c r="E6360" s="10" t="str">
        <f ca="1">IFERROR(__xludf.DUMMYFUNCTION("""COMPUTED_VALUE"""),"In: Traveling university seminar “Sharing knowledge on the intangible cultural heritage of South-Eastern Europe”, 26-28 October 2016, Edirne, Turkey. Sofia: Za bukvite – O pismeneh, 2016, pp. 174-180. ISSN - 2534-9775")</f>
        <v>In: Traveling university seminar “Sharing knowledge on the intangible cultural heritage of South-Eastern Europe”, 26-28 October 2016, Edirne, Turkey. Sofia: Za bukvite – O pismeneh, 2016, pp. 174-180. ISSN - 2534-9775</v>
      </c>
      <c r="F6360" s="10"/>
      <c r="G6360" s="10"/>
      <c r="H6360" s="10"/>
      <c r="I6360" s="10"/>
      <c r="J6360" s="10"/>
      <c r="K6360" s="10"/>
      <c r="L6360" s="10"/>
      <c r="M6360" s="10"/>
      <c r="N6360" s="10"/>
      <c r="O6360" s="10"/>
      <c r="P6360" s="10"/>
      <c r="Q6360" s="10"/>
      <c r="R6360" s="10"/>
      <c r="S6360" s="10"/>
      <c r="T6360" s="10"/>
      <c r="U6360" s="10"/>
      <c r="V6360" s="10"/>
      <c r="W6360" s="10"/>
      <c r="X6360" s="10"/>
      <c r="Y6360" s="10"/>
      <c r="Z6360" s="10"/>
    </row>
    <row r="6361" spans="1:26" ht="12.75">
      <c r="A6361" s="10" t="str">
        <f ca="1">IFERROR(__xludf.DUMMYFUNCTION("""COMPUTED_VALUE"""),"Ралица Юри Йотова")</f>
        <v>Ралица Юри Йотова</v>
      </c>
      <c r="B6361" s="10" t="str">
        <f ca="1">IFERROR(__xludf.DUMMYFUNCTION("""COMPUTED_VALUE"""),"Доклад от конференция")</f>
        <v>Доклад от конференция</v>
      </c>
      <c r="C6361" s="10" t="str">
        <f ca="1">IFERROR(__xludf.DUMMYFUNCTION("""COMPUTED_VALUE"""),"Откритите източници на информация – стратегически ресурс в условията на съвременната информационна среда.")</f>
        <v>Откритите източници на информация – стратегически ресурс в условията на съвременната информационна среда.</v>
      </c>
      <c r="D6361" s="10">
        <f ca="1">IFERROR(__xludf.DUMMYFUNCTION("""COMPUTED_VALUE"""),2016)</f>
        <v>2016</v>
      </c>
      <c r="E6361" s="10" t="str">
        <f ca="1">IFERROR(__xludf.DUMMYFUNCTION("""COMPUTED_VALUE"""),"В: НОВИ информационни технологии в образователния процес. София: За буквите - О писменехь, 2016, с. 105-112. ISSN 1313-2768")</f>
        <v>В: НОВИ информационни технологии в образователния процес. София: За буквите - О писменехь, 2016, с. 105-112. ISSN 1313-2768</v>
      </c>
      <c r="F6361" s="10"/>
      <c r="G6361" s="10"/>
      <c r="H6361" s="10"/>
      <c r="I6361" s="10"/>
      <c r="J6361" s="10"/>
      <c r="K6361" s="10"/>
      <c r="L6361" s="10"/>
      <c r="M6361" s="10"/>
      <c r="N6361" s="10"/>
      <c r="O6361" s="10"/>
      <c r="P6361" s="10"/>
      <c r="Q6361" s="10"/>
      <c r="R6361" s="10"/>
      <c r="S6361" s="10"/>
      <c r="T6361" s="10"/>
      <c r="U6361" s="10"/>
      <c r="V6361" s="10"/>
      <c r="W6361" s="10"/>
      <c r="X6361" s="10"/>
      <c r="Y6361" s="10"/>
      <c r="Z6361" s="10"/>
    </row>
    <row r="6362" spans="1:26" ht="12.75">
      <c r="A6362" s="10" t="str">
        <f ca="1">IFERROR(__xludf.DUMMYFUNCTION("""COMPUTED_VALUE"""),"Ралица Юри Йотова")</f>
        <v>Ралица Юри Йотова</v>
      </c>
      <c r="B6362" s="10" t="str">
        <f ca="1">IFERROR(__xludf.DUMMYFUNCTION("""COMPUTED_VALUE"""),"Доклад от конференция")</f>
        <v>Доклад от конференция</v>
      </c>
      <c r="C6362" s="10" t="str">
        <f ca="1">IFERROR(__xludf.DUMMYFUNCTION("""COMPUTED_VALUE"""),"Методи за неявно събиране на разузнавателна информация")</f>
        <v>Методи за неявно събиране на разузнавателна информация</v>
      </c>
      <c r="D6362" s="10">
        <f ca="1">IFERROR(__xludf.DUMMYFUNCTION("""COMPUTED_VALUE"""),2016)</f>
        <v>2016</v>
      </c>
      <c r="E6362" s="10" t="str">
        <f ca="1">IFERROR(__xludf.DUMMYFUNCTION("""COMPUTED_VALUE"""),"СЪВРЕМЕННИ измерения на европейското образователно и научно пространство = Modern dimensions in European education and research area – София: За буквите - О писменехь, 2016, с. 283-287. ISSN 2367-7988")</f>
        <v>СЪВРЕМЕННИ измерения на европейското образователно и научно пространство = Modern dimensions in European education and research area – София: За буквите - О писменехь, 2016, с. 283-287. ISSN 2367-7988</v>
      </c>
      <c r="F6362" s="10"/>
      <c r="G6362" s="10"/>
      <c r="H6362" s="10"/>
      <c r="I6362" s="10"/>
      <c r="J6362" s="10"/>
      <c r="K6362" s="10"/>
      <c r="L6362" s="10"/>
      <c r="M6362" s="10"/>
      <c r="N6362" s="10"/>
      <c r="O6362" s="10"/>
      <c r="P6362" s="10"/>
      <c r="Q6362" s="10"/>
      <c r="R6362" s="10"/>
      <c r="S6362" s="10"/>
      <c r="T6362" s="10"/>
      <c r="U6362" s="10"/>
      <c r="V6362" s="10"/>
      <c r="W6362" s="10"/>
      <c r="X6362" s="10"/>
      <c r="Y6362" s="10"/>
      <c r="Z6362" s="10"/>
    </row>
    <row r="6363" spans="1:26" ht="12.75">
      <c r="A6363" s="10" t="str">
        <f ca="1">IFERROR(__xludf.DUMMYFUNCTION("""COMPUTED_VALUE"""),"Ралица Юри Йотова")</f>
        <v>Ралица Юри Йотова</v>
      </c>
      <c r="B6363" s="10" t="str">
        <f ca="1">IFERROR(__xludf.DUMMYFUNCTION("""COMPUTED_VALUE"""),"Доклад от конференция")</f>
        <v>Доклад от конференция</v>
      </c>
      <c r="C6363" s="10" t="str">
        <f ca="1">IFERROR(__xludf.DUMMYFUNCTION("""COMPUTED_VALUE"""),"Археологически проучвания на м. Малкото кале, с. Воден, общ. Болярово.")</f>
        <v>Археологически проучвания на м. Малкото кале, с. Воден, общ. Болярово.</v>
      </c>
      <c r="D6363" s="10">
        <f ca="1">IFERROR(__xludf.DUMMYFUNCTION("""COMPUTED_VALUE"""),2015)</f>
        <v>2015</v>
      </c>
      <c r="E6363" s="10" t="str">
        <f ca="1">IFERROR(__xludf.DUMMYFUNCTION("""COMPUTED_VALUE"""),"ОБЩЕСТВОТО на знанието и хуманизмът на XXI век – София: За буквите - О писменехь, 2015, с. 563-567. ISSN 2683-0094")</f>
        <v>ОБЩЕСТВОТО на знанието и хуманизмът на XXI век – София: За буквите - О писменехь, 2015, с. 563-567. ISSN 2683-0094</v>
      </c>
      <c r="F6363" s="10"/>
      <c r="G6363" s="10" t="str">
        <f ca="1">IFERROR(__xludf.DUMMYFUNCTION("""COMPUTED_VALUE"""),"Диана Стоянова Кристияна Шопова, Милена Лукарова, Пламен Димитров")</f>
        <v>Диана Стоянова Кристияна Шопова, Милена Лукарова, Пламен Димитров</v>
      </c>
      <c r="H6363" s="10"/>
      <c r="I6363" s="10"/>
      <c r="J6363" s="10"/>
      <c r="K6363" s="10"/>
      <c r="L6363" s="10"/>
      <c r="M6363" s="10"/>
      <c r="N6363" s="10"/>
      <c r="O6363" s="10"/>
      <c r="P6363" s="10"/>
      <c r="Q6363" s="10"/>
      <c r="R6363" s="10"/>
      <c r="S6363" s="10"/>
      <c r="T6363" s="10"/>
      <c r="U6363" s="10"/>
      <c r="V6363" s="10"/>
      <c r="W6363" s="10"/>
      <c r="X6363" s="10"/>
      <c r="Y6363" s="10"/>
      <c r="Z6363" s="10"/>
    </row>
    <row r="6364" spans="1:26" ht="12.75">
      <c r="A6364" s="10" t="str">
        <f ca="1">IFERROR(__xludf.DUMMYFUNCTION("""COMPUTED_VALUE"""),"Ралица Юри Йотова")</f>
        <v>Ралица Юри Йотова</v>
      </c>
      <c r="B6364" s="10" t="str">
        <f ca="1">IFERROR(__xludf.DUMMYFUNCTION("""COMPUTED_VALUE"""),"Доклад от конференция")</f>
        <v>Доклад от конференция</v>
      </c>
      <c r="C6364" s="10" t="str">
        <f ca="1">IFERROR(__xludf.DUMMYFUNCTION("""COMPUTED_VALUE"""),"Туристически потенциал на град Берковица")</f>
        <v>Туристически потенциал на град Берковица</v>
      </c>
      <c r="D6364" s="10">
        <f ca="1">IFERROR(__xludf.DUMMYFUNCTION("""COMPUTED_VALUE"""),2015)</f>
        <v>2015</v>
      </c>
      <c r="E6364" s="10" t="str">
        <f ca="1">IFERROR(__xludf.DUMMYFUNCTION("""COMPUTED_VALUE"""),"В: НОВИ информационни технологии в образователния процес. София: За буквите - О писменехь, 2015, с. 262-267. ISSN 1313-2768")</f>
        <v>В: НОВИ информационни технологии в образователния процес. София: За буквите - О писменехь, 2015, с. 262-267. ISSN 1313-2768</v>
      </c>
      <c r="F6364" s="10"/>
      <c r="G6364" s="10"/>
      <c r="H6364" s="10"/>
      <c r="I6364" s="10"/>
      <c r="J6364" s="10"/>
      <c r="K6364" s="10"/>
      <c r="L6364" s="10"/>
      <c r="M6364" s="10"/>
      <c r="N6364" s="10"/>
      <c r="O6364" s="10"/>
      <c r="P6364" s="10"/>
      <c r="Q6364" s="10"/>
      <c r="R6364" s="10"/>
      <c r="S6364" s="10"/>
      <c r="T6364" s="10"/>
      <c r="U6364" s="10"/>
      <c r="V6364" s="10"/>
      <c r="W6364" s="10"/>
      <c r="X6364" s="10"/>
      <c r="Y6364" s="10"/>
      <c r="Z6364" s="10"/>
    </row>
    <row r="6365" spans="1:26" ht="12.75">
      <c r="A6365" s="10" t="str">
        <f ca="1">IFERROR(__xludf.DUMMYFUNCTION("""COMPUTED_VALUE"""),"Ралица Юри Йотова")</f>
        <v>Ралица Юри Йотова</v>
      </c>
      <c r="B6365" s="10" t="str">
        <f ca="1">IFERROR(__xludf.DUMMYFUNCTION("""COMPUTED_VALUE"""),"Доклад от конференция")</f>
        <v>Доклад от конференция</v>
      </c>
      <c r="C6365" s="10" t="str">
        <f ca="1">IFERROR(__xludf.DUMMYFUNCTION("""COMPUTED_VALUE"""),"Етапи при обработката и класификацията на информация, получена в резултат на научноизследователска дейност")</f>
        <v>Етапи при обработката и класификацията на информация, получена в резултат на научноизследователска дейност</v>
      </c>
      <c r="D6365" s="10">
        <f ca="1">IFERROR(__xludf.DUMMYFUNCTION("""COMPUTED_VALUE"""),2015)</f>
        <v>2015</v>
      </c>
      <c r="E6365" s="10" t="str">
        <f ca="1">IFERROR(__xludf.DUMMYFUNCTION("""COMPUTED_VALUE"""),"ОБЩЕСТВОТО на знанието и хуманизмът на XXI век – София: За буквите - О писменехь, 2015, с. 612-614. ISSN 1314-7099.")</f>
        <v>ОБЩЕСТВОТО на знанието и хуманизмът на XXI век – София: За буквите - О писменехь, 2015, с. 612-614. ISSN 1314-7099.</v>
      </c>
      <c r="F6365" s="10"/>
      <c r="G6365" s="10"/>
      <c r="H6365" s="10"/>
      <c r="I6365" s="10"/>
      <c r="J6365" s="10"/>
      <c r="K6365" s="10"/>
      <c r="L6365" s="10"/>
      <c r="M6365" s="10"/>
      <c r="N6365" s="10"/>
      <c r="O6365" s="10"/>
      <c r="P6365" s="10"/>
      <c r="Q6365" s="10"/>
      <c r="R6365" s="10"/>
      <c r="S6365" s="10"/>
      <c r="T6365" s="10"/>
      <c r="U6365" s="10"/>
      <c r="V6365" s="10"/>
      <c r="W6365" s="10"/>
      <c r="X6365" s="10"/>
      <c r="Y6365" s="10"/>
      <c r="Z6365" s="10"/>
    </row>
    <row r="6366" spans="1:26" ht="12.75">
      <c r="A6366" s="10" t="str">
        <f ca="1">IFERROR(__xludf.DUMMYFUNCTION("""COMPUTED_VALUE"""),"Ралица Юри Йотова")</f>
        <v>Ралица Юри Йотова</v>
      </c>
      <c r="B6366" s="10" t="str">
        <f ca="1">IFERROR(__xludf.DUMMYFUNCTION("""COMPUTED_VALUE"""),"Доклад от конференция")</f>
        <v>Доклад от конференция</v>
      </c>
      <c r="C6366" s="10" t="str">
        <f ca="1">IFERROR(__xludf.DUMMYFUNCTION("""COMPUTED_VALUE"""),"Първични етапи при обработката на информация, придобита от открити източници.")</f>
        <v>Първични етапи при обработката на информация, придобита от открити източници.</v>
      </c>
      <c r="D6366" s="10">
        <f ca="1">IFERROR(__xludf.DUMMYFUNCTION("""COMPUTED_VALUE"""),2014)</f>
        <v>2014</v>
      </c>
      <c r="E6366" s="10" t="str">
        <f ca="1">IFERROR(__xludf.DUMMYFUNCTION("""COMPUTED_VALUE"""),"СЪВРЕМЕННИ стратегии и иновации в управление на знанието – София: За буквите - О писменехь, 2014, с. 228-231. ISBN 978-619-185-140-9")</f>
        <v>СЪВРЕМЕННИ стратегии и иновации в управление на знанието – София: За буквите - О писменехь, 2014, с. 228-231. ISBN 978-619-185-140-9</v>
      </c>
      <c r="F6366" s="10"/>
      <c r="G6366" s="10"/>
      <c r="H6366" s="10"/>
      <c r="I6366" s="10"/>
      <c r="J6366" s="10"/>
      <c r="K6366" s="10"/>
      <c r="L6366" s="10"/>
      <c r="M6366" s="10"/>
      <c r="N6366" s="10"/>
      <c r="O6366" s="10"/>
      <c r="P6366" s="10"/>
      <c r="Q6366" s="10"/>
      <c r="R6366" s="10"/>
      <c r="S6366" s="10"/>
      <c r="T6366" s="10"/>
      <c r="U6366" s="10"/>
      <c r="V6366" s="10"/>
      <c r="W6366" s="10"/>
      <c r="X6366" s="10"/>
      <c r="Y6366" s="10"/>
      <c r="Z6366" s="10"/>
    </row>
    <row r="6367" spans="1:26" ht="12.75">
      <c r="A6367" s="10" t="str">
        <f ca="1">IFERROR(__xludf.DUMMYFUNCTION("""COMPUTED_VALUE"""),"Росица Добрева Кръстева")</f>
        <v>Росица Добрева Кръстева</v>
      </c>
      <c r="B6367" s="10" t="str">
        <f ca="1">IFERROR(__xludf.DUMMYFUNCTION("""COMPUTED_VALUE"""),"Доклад от конференция")</f>
        <v>Доклад от конференция</v>
      </c>
      <c r="C6367" s="10" t="str">
        <f ca="1">IFERROR(__xludf.DUMMYFUNCTION("""COMPUTED_VALUE"""),"Мотиви и фактори, благоприятстващи четенето при деца от начален училищен курс")</f>
        <v>Мотиви и фактори, благоприятстващи четенето при деца от начален училищен курс</v>
      </c>
      <c r="D6367" s="10">
        <f ca="1">IFERROR(__xludf.DUMMYFUNCTION("""COMPUTED_VALUE"""),2020)</f>
        <v>2020</v>
      </c>
      <c r="E6367" s="10" t="str">
        <f ca="1">IFERROR(__xludf.DUMMYFUNCTION("""COMPUTED_VALUE"""),"Сб. доклади от XIX-та НАЦИОНАЛНА НАУЧНА КОНФЕРЕНЦИЯ С МЕЖДУНАРОДНО УЧАСТИЕ “БИБЛИОТЕКИ – ЧЕТЕНЕ – КОМУНИКАЦИИ”. Велико Търново, Абагар, 2020 /под печат/")</f>
        <v>Сб. доклади от XIX-та НАЦИОНАЛНА НАУЧНА КОНФЕРЕНЦИЯ С МЕЖДУНАРОДНО УЧАСТИЕ “БИБЛИОТЕКИ – ЧЕТЕНЕ – КОМУНИКАЦИИ”. Велико Търново, Абагар, 2020 /под печат/</v>
      </c>
      <c r="F6367" s="10"/>
      <c r="G6367" s="10"/>
      <c r="H6367" s="10"/>
      <c r="I6367" s="10"/>
      <c r="J6367" s="10"/>
      <c r="K6367" s="10"/>
      <c r="L6367" s="10"/>
      <c r="M6367" s="10"/>
      <c r="N6367" s="10"/>
      <c r="O6367" s="10"/>
      <c r="P6367" s="10"/>
      <c r="Q6367" s="10"/>
      <c r="R6367" s="10"/>
      <c r="S6367" s="10"/>
      <c r="T6367" s="10"/>
      <c r="U6367" s="10"/>
      <c r="V6367" s="10"/>
      <c r="W6367" s="10"/>
      <c r="X6367" s="10"/>
      <c r="Y6367" s="10"/>
      <c r="Z6367" s="10"/>
    </row>
    <row r="6368" spans="1:26" ht="12.75">
      <c r="A6368" s="10" t="str">
        <f ca="1">IFERROR(__xludf.DUMMYFUNCTION("""COMPUTED_VALUE"""),"Росица Добрева Кръстева")</f>
        <v>Росица Добрева Кръстева</v>
      </c>
      <c r="B6368" s="10" t="str">
        <f ca="1">IFERROR(__xludf.DUMMYFUNCTION("""COMPUTED_VALUE"""),"Доклад от конференция")</f>
        <v>Доклад от конференция</v>
      </c>
      <c r="C6368" s="10" t="str">
        <f ca="1">IFERROR(__xludf.DUMMYFUNCTION("""COMPUTED_VALUE"""),"ЧЕТЕНЕТО В СВЕТА НА СЪВРЕМЕННОТО ДЕТЕ. ПРОУЧВАНЕ НА ЧИТАТЕЛСКИТЕ ПРАКТИКИ ПРИ ДЕЦА ОТ СЕДЕМ ДО ЕДИНАДЕСЕТ ГОДИНИ")</f>
        <v>ЧЕТЕНЕТО В СВЕТА НА СЪВРЕМЕННОТО ДЕТЕ. ПРОУЧВАНЕ НА ЧИТАТЕЛСКИТЕ ПРАКТИКИ ПРИ ДЕЦА ОТ СЕДЕМ ДО ЕДИНАДЕСЕТ ГОДИНИ</v>
      </c>
      <c r="D6368" s="10">
        <f ca="1">IFERROR(__xludf.DUMMYFUNCTION("""COMPUTED_VALUE"""),2020)</f>
        <v>2020</v>
      </c>
      <c r="E6368" s="10" t="str">
        <f ca="1">IFERROR(__xludf.DUMMYFUNCTION("""COMPUTED_VALUE"""),"""Сб. с научни доклади от XVIII Национална научна конференция с международно участие, 1- 2 ноември 2020 г. София, За буквите - О писменехь, 2020, с. 180 - 191 ISSN 2683-0094 
 """)</f>
        <v>"Сб. с научни доклади от XVIII Национална научна конференция с международно участие, 1- 2 ноември 2020 г. София, За буквите - О писменехь, 2020, с. 180 - 191 ISSN 2683-0094 
 "</v>
      </c>
      <c r="F6368" s="10"/>
      <c r="G6368" s="10"/>
      <c r="H6368" s="10"/>
      <c r="I6368" s="10"/>
      <c r="J6368" s="10"/>
      <c r="K6368" s="10"/>
      <c r="L6368" s="10"/>
      <c r="M6368" s="10"/>
      <c r="N6368" s="10"/>
      <c r="O6368" s="10"/>
      <c r="P6368" s="10"/>
      <c r="Q6368" s="10"/>
      <c r="R6368" s="10"/>
      <c r="S6368" s="10"/>
      <c r="T6368" s="10"/>
      <c r="U6368" s="10"/>
      <c r="V6368" s="10"/>
      <c r="W6368" s="10"/>
      <c r="X6368" s="10"/>
      <c r="Y6368" s="10"/>
      <c r="Z6368" s="10"/>
    </row>
    <row r="6369" spans="1:26" ht="12.75">
      <c r="A6369" s="10" t="str">
        <f ca="1">IFERROR(__xludf.DUMMYFUNCTION("""COMPUTED_VALUE"""),"Росица Добрева Кръстева")</f>
        <v>Росица Добрева Кръстева</v>
      </c>
      <c r="B6369" s="10" t="str">
        <f ca="1">IFERROR(__xludf.DUMMYFUNCTION("""COMPUTED_VALUE"""),"Доклад от конференция")</f>
        <v>Доклад от конференция</v>
      </c>
      <c r="C6369" s="10" t="str">
        <f ca="1">IFERROR(__xludf.DUMMYFUNCTION("""COMPUTED_VALUE"""),"Компетентност по управление на изследователски данни: Резултати, съпоставки и препоръки от проучване в УниБИТ")</f>
        <v>Компетентност по управление на изследователски данни: Резултати, съпоставки и препоръки от проучване в УниБИТ</v>
      </c>
      <c r="D6369" s="10">
        <f ca="1">IFERROR(__xludf.DUMMYFUNCTION("""COMPUTED_VALUE"""),2019)</f>
        <v>2019</v>
      </c>
      <c r="E6369" s="10" t="str">
        <f ca="1">IFERROR(__xludf.DUMMYFUNCTION("""COMPUTED_VALUE"""),"ОБЩЕСТВОТО на знанието и хуманизмът на XXI век – София: За буквите - О писменехь, 2019, с. 463-476.
 ISSN 1314-7099")</f>
        <v>ОБЩЕСТВОТО на знанието и хуманизмът на XXI век – София: За буквите - О писменехь, 2019, с. 463-476.
 ISSN 1314-7099</v>
      </c>
      <c r="F6369" s="10" t="str">
        <f ca="1">IFERROR(__xludf.DUMMYFUNCTION("""COMPUTED_VALUE"""),"Рефериран списък на НАЦИД")</f>
        <v>Рефериран списък на НАЦИД</v>
      </c>
      <c r="G6369" s="10" t="str">
        <f ca="1">IFERROR(__xludf.DUMMYFUNCTION("""COMPUTED_VALUE"""),"Тодорова, Таня, Майкъл Баак, Елисавета Цветкова.")</f>
        <v>Тодорова, Таня, Майкъл Баак, Елисавета Цветкова.</v>
      </c>
      <c r="H6369" s="10"/>
      <c r="I6369" s="10"/>
      <c r="J6369" s="10"/>
      <c r="K6369" s="10"/>
      <c r="L6369" s="10"/>
      <c r="M6369" s="10"/>
      <c r="N6369" s="10"/>
      <c r="O6369" s="10"/>
      <c r="P6369" s="10"/>
      <c r="Q6369" s="10"/>
      <c r="R6369" s="10"/>
      <c r="S6369" s="10"/>
      <c r="T6369" s="10"/>
      <c r="U6369" s="10"/>
      <c r="V6369" s="10"/>
      <c r="W6369" s="10"/>
      <c r="X6369" s="10"/>
      <c r="Y6369" s="10"/>
      <c r="Z6369" s="10"/>
    </row>
    <row r="6370" spans="1:26" ht="12.75">
      <c r="A6370" s="10" t="str">
        <f ca="1">IFERROR(__xludf.DUMMYFUNCTION("""COMPUTED_VALUE"""),"Росица Добрева Кръстева")</f>
        <v>Росица Добрева Кръстева</v>
      </c>
      <c r="B6370" s="10" t="str">
        <f ca="1">IFERROR(__xludf.DUMMYFUNCTION("""COMPUTED_VALUE"""),"Статия в списания и поредици")</f>
        <v>Статия в списания и поредици</v>
      </c>
      <c r="C6370" s="10" t="str">
        <f ca="1">IFERROR(__xludf.DUMMYFUNCTION("""COMPUTED_VALUE"""),"Standardization and standards in Bulgarian libraries: Current state : [Scientific studios]")</f>
        <v>Standardization and standards in Bulgarian libraries: Current state : [Scientific studios]</v>
      </c>
      <c r="D6370" s="10">
        <f ca="1">IFERROR(__xludf.DUMMYFUNCTION("""COMPUTED_VALUE"""),2019)</f>
        <v>2019</v>
      </c>
      <c r="E6370" s="10" t="str">
        <f ca="1">IFERROR(__xludf.DUMMYFUNCTION("""COMPUTED_VALUE"""),"Journal of Librarianship and Information Science, 2019, Vol. 3, https://doi.org/10.1177/0961000619871603 . Online ISSN: 1741-6477")</f>
        <v>Journal of Librarianship and Information Science, 2019, Vol. 3, https://doi.org/10.1177/0961000619871603 . Online ISSN: 1741-6477</v>
      </c>
      <c r="F6370" s="10" t="str">
        <f ca="1">IFERROR(__xludf.DUMMYFUNCTION("""COMPUTED_VALUE"""),"Web of Science. (Journal of Librarianship and Information Science)")</f>
        <v>Web of Science. (Journal of Librarianship and Information Science)</v>
      </c>
      <c r="G6370" s="10"/>
      <c r="H6370" s="10"/>
      <c r="I6370" s="10"/>
      <c r="J6370" s="10"/>
      <c r="K6370" s="10"/>
      <c r="L6370" s="10"/>
      <c r="M6370" s="10"/>
      <c r="N6370" s="10"/>
      <c r="O6370" s="10"/>
      <c r="P6370" s="10"/>
      <c r="Q6370" s="10"/>
      <c r="R6370" s="10"/>
      <c r="S6370" s="10"/>
      <c r="T6370" s="10"/>
      <c r="U6370" s="10"/>
      <c r="V6370" s="10"/>
      <c r="W6370" s="10"/>
      <c r="X6370" s="10"/>
      <c r="Y6370" s="10"/>
      <c r="Z6370" s="10"/>
    </row>
    <row r="6371" spans="1:26" ht="12.75">
      <c r="A6371" s="10" t="str">
        <f ca="1">IFERROR(__xludf.DUMMYFUNCTION("""COMPUTED_VALUE"""),"Росица Добрева Кръстева")</f>
        <v>Росица Добрева Кръстева</v>
      </c>
      <c r="B6371" s="10" t="str">
        <f ca="1">IFERROR(__xludf.DUMMYFUNCTION("""COMPUTED_VALUE"""),"Доклад от конференция")</f>
        <v>Доклад от конференция</v>
      </c>
      <c r="C6371" s="10" t="str">
        <f ca="1">IFERROR(__xludf.DUMMYFUNCTION("""COMPUTED_VALUE"""),"Продължаващо обучение по стандартизация в читалищните библиотеки")</f>
        <v>Продължаващо обучение по стандартизация в читалищните библиотеки</v>
      </c>
      <c r="D6371" s="10">
        <f ca="1">IFERROR(__xludf.DUMMYFUNCTION("""COMPUTED_VALUE"""),2019)</f>
        <v>2019</v>
      </c>
      <c r="E6371" s="10" t="str">
        <f ca="1">IFERROR(__xludf.DUMMYFUNCTION("""COMPUTED_VALUE"""),"Сб. доклади от 17-та национална конференция с международно участие Библиотеки - Четене - Комуникации, В. Търново, РБ Петко Р. Славейков, с. 139 - 147. ISSN 1313-8138")</f>
        <v>Сб. доклади от 17-та национална конференция с международно участие Библиотеки - Четене - Комуникации, В. Търново, РБ Петко Р. Славейков, с. 139 - 147. ISSN 1313-8138</v>
      </c>
      <c r="F6371" s="10"/>
      <c r="G6371" s="10"/>
      <c r="H6371" s="10"/>
      <c r="I6371" s="10"/>
      <c r="J6371" s="10"/>
      <c r="K6371" s="10"/>
      <c r="L6371" s="10"/>
      <c r="M6371" s="10"/>
      <c r="N6371" s="10"/>
      <c r="O6371" s="10"/>
      <c r="P6371" s="10"/>
      <c r="Q6371" s="10"/>
      <c r="R6371" s="10"/>
      <c r="S6371" s="10"/>
      <c r="T6371" s="10"/>
      <c r="U6371" s="10"/>
      <c r="V6371" s="10"/>
      <c r="W6371" s="10"/>
      <c r="X6371" s="10"/>
      <c r="Y6371" s="10"/>
      <c r="Z6371" s="10"/>
    </row>
    <row r="6372" spans="1:26" ht="12.75">
      <c r="A6372" s="10" t="str">
        <f ca="1">IFERROR(__xludf.DUMMYFUNCTION("""COMPUTED_VALUE"""),"Росица Добрева Кръстева")</f>
        <v>Росица Добрева Кръстева</v>
      </c>
      <c r="B6372" s="10" t="str">
        <f ca="1">IFERROR(__xludf.DUMMYFUNCTION("""COMPUTED_VALUE"""),"Доклад от конференция")</f>
        <v>Доклад от конференция</v>
      </c>
      <c r="C6372" s="10" t="str">
        <f ca="1">IFERROR(__xludf.DUMMYFUNCTION("""COMPUTED_VALUE"""),"Четене, четиво, читатели. Методологични аспекти на изследване на читателските нагласи на студенти от УниБИТ")</f>
        <v>Четене, четиво, читатели. Методологични аспекти на изследване на читателските нагласи на студенти от УниБИТ</v>
      </c>
      <c r="D6372" s="10">
        <f ca="1">IFERROR(__xludf.DUMMYFUNCTION("""COMPUTED_VALUE"""),2019)</f>
        <v>2019</v>
      </c>
      <c r="E6372" s="10" t="str">
        <f ca="1">IFERROR(__xludf.DUMMYFUNCTION("""COMPUTED_VALUE"""),"КНИГАТА - нашето по-смислено настояще – София: За буквите - О писменехь, 6/2019. с. 86-93.
 ISSN 1314-7323 (print).")</f>
        <v>КНИГАТА - нашето по-смислено настояще – София: За буквите - О писменехь, 6/2019. с. 86-93.
 ISSN 1314-7323 (print).</v>
      </c>
      <c r="F6372" s="10" t="str">
        <f ca="1">IFERROR(__xludf.DUMMYFUNCTION("""COMPUTED_VALUE"""),"Рефериран списък на НАЦИД")</f>
        <v>Рефериран списък на НАЦИД</v>
      </c>
      <c r="G6372" s="10"/>
      <c r="H6372" s="10"/>
      <c r="I6372" s="10"/>
      <c r="J6372" s="10"/>
      <c r="K6372" s="10"/>
      <c r="L6372" s="10"/>
      <c r="M6372" s="10"/>
      <c r="N6372" s="10"/>
      <c r="O6372" s="10"/>
      <c r="P6372" s="10"/>
      <c r="Q6372" s="10"/>
      <c r="R6372" s="10"/>
      <c r="S6372" s="10"/>
      <c r="T6372" s="10"/>
      <c r="U6372" s="10"/>
      <c r="V6372" s="10"/>
      <c r="W6372" s="10"/>
      <c r="X6372" s="10"/>
      <c r="Y6372" s="10"/>
      <c r="Z6372" s="10"/>
    </row>
    <row r="6373" spans="1:26" ht="12.75">
      <c r="A6373" s="10" t="str">
        <f ca="1">IFERROR(__xludf.DUMMYFUNCTION("""COMPUTED_VALUE"""),"Росица Добрева Кръстева")</f>
        <v>Росица Добрева Кръстева</v>
      </c>
      <c r="B6373" s="10" t="str">
        <f ca="1">IFERROR(__xludf.DUMMYFUNCTION("""COMPUTED_VALUE"""),"Доклад от конференция")</f>
        <v>Доклад от конференция</v>
      </c>
      <c r="C6373" s="10" t="str">
        <f ca="1">IFERROR(__xludf.DUMMYFUNCTION("""COMPUTED_VALUE"""),"Четене, четиво, читатели: резултати от анкетно проучване, реализирано сред студентите на УниБИТ")</f>
        <v>Четене, четиво, читатели: резултати от анкетно проучване, реализирано сред студентите на УниБИТ</v>
      </c>
      <c r="D6373" s="10">
        <f ca="1">IFERROR(__xludf.DUMMYFUNCTION("""COMPUTED_VALUE"""),2019)</f>
        <v>2019</v>
      </c>
      <c r="E6373" s="10" t="str">
        <f ca="1">IFERROR(__xludf.DUMMYFUNCTION("""COMPUTED_VALUE"""),"ОБЩЕСТВОТО на знанието и хуманизмът на XXI век – София: За буквите - О писменехь, Т. 16, София, За
 буквите – О писменехь, 2019, с. 122 – 132.
 ISSN 1314-7099")</f>
        <v>ОБЩЕСТВОТО на знанието и хуманизмът на XXI век – София: За буквите - О писменехь, Т. 16, София, За
 буквите – О писменехь, 2019, с. 122 – 132.
 ISSN 1314-7099</v>
      </c>
      <c r="F6373" s="10" t="str">
        <f ca="1">IFERROR(__xludf.DUMMYFUNCTION("""COMPUTED_VALUE"""),"Рефериран списък на НАЦИД")</f>
        <v>Рефериран списък на НАЦИД</v>
      </c>
      <c r="G6373" s="10"/>
      <c r="H6373" s="10"/>
      <c r="I6373" s="10"/>
      <c r="J6373" s="10"/>
      <c r="K6373" s="10"/>
      <c r="L6373" s="10"/>
      <c r="M6373" s="10"/>
      <c r="N6373" s="10"/>
      <c r="O6373" s="10"/>
      <c r="P6373" s="10"/>
      <c r="Q6373" s="10"/>
      <c r="R6373" s="10"/>
      <c r="S6373" s="10"/>
      <c r="T6373" s="10"/>
      <c r="U6373" s="10"/>
      <c r="V6373" s="10"/>
      <c r="W6373" s="10"/>
      <c r="X6373" s="10"/>
      <c r="Y6373" s="10"/>
      <c r="Z6373" s="10"/>
    </row>
    <row r="6374" spans="1:26" ht="12.75">
      <c r="A6374" s="10" t="str">
        <f ca="1">IFERROR(__xludf.DUMMYFUNCTION("""COMPUTED_VALUE"""),"Росица Добрева Кръстева")</f>
        <v>Росица Добрева Кръстева</v>
      </c>
      <c r="B6374" s="10" t="str">
        <f ca="1">IFERROR(__xludf.DUMMYFUNCTION("""COMPUTED_VALUE"""),"Учебно пособие")</f>
        <v>Учебно пособие</v>
      </c>
      <c r="C6374" s="10" t="str">
        <f ca="1">IFERROR(__xludf.DUMMYFUNCTION("""COMPUTED_VALUE"""),"БДС в архивната, библиотечната и информационната област: Рефератен сборник")</f>
        <v>БДС в архивната, библиотечната и информационната област: Рефератен сборник</v>
      </c>
      <c r="D6374" s="10">
        <f ca="1">IFERROR(__xludf.DUMMYFUNCTION("""COMPUTED_VALUE"""),2018)</f>
        <v>2018</v>
      </c>
      <c r="E6374" s="10" t="str">
        <f ca="1">IFERROR(__xludf.DUMMYFUNCTION("""COMPUTED_VALUE"""),"София, За буквите – О писменехь, 2018, 128 с. ISBN 978-619-185-342-7")</f>
        <v>София, За буквите – О писменехь, 2018, 128 с. ISBN 978-619-185-342-7</v>
      </c>
      <c r="F6374" s="10" t="str">
        <f ca="1">IFERROR(__xludf.DUMMYFUNCTION("""COMPUTED_VALUE"""),"Cobiss")</f>
        <v>Cobiss</v>
      </c>
      <c r="G6374" s="10"/>
      <c r="H6374" s="10"/>
      <c r="I6374" s="10"/>
      <c r="J6374" s="10"/>
      <c r="K6374" s="10"/>
      <c r="L6374" s="10"/>
      <c r="M6374" s="10"/>
      <c r="N6374" s="10"/>
      <c r="O6374" s="10"/>
      <c r="P6374" s="10"/>
      <c r="Q6374" s="10"/>
      <c r="R6374" s="10"/>
      <c r="S6374" s="10"/>
      <c r="T6374" s="10"/>
      <c r="U6374" s="10"/>
      <c r="V6374" s="10"/>
      <c r="W6374" s="10"/>
      <c r="X6374" s="10"/>
      <c r="Y6374" s="10"/>
      <c r="Z6374" s="10"/>
    </row>
    <row r="6375" spans="1:26" ht="12.75">
      <c r="A6375" s="10" t="str">
        <f ca="1">IFERROR(__xludf.DUMMYFUNCTION("""COMPUTED_VALUE"""),"Росица Добрева Кръстева")</f>
        <v>Росица Добрева Кръстева</v>
      </c>
      <c r="B6375" s="10" t="str">
        <f ca="1">IFERROR(__xludf.DUMMYFUNCTION("""COMPUTED_VALUE"""),"Статия в списания и поредици")</f>
        <v>Статия в списания и поредици</v>
      </c>
      <c r="C6375" s="10" t="str">
        <f ca="1">IFERROR(__xludf.DUMMYFUNCTION("""COMPUTED_VALUE"""),"STANDARDIZATION AND STANDARDS IN BULGARIAN LIBRARIES: STATE OF ART")</f>
        <v>STANDARDIZATION AND STANDARDS IN BULGARIAN LIBRARIES: STATE OF ART</v>
      </c>
      <c r="D6375" s="10">
        <f ca="1">IFERROR(__xludf.DUMMYFUNCTION("""COMPUTED_VALUE"""),2018)</f>
        <v>2018</v>
      </c>
      <c r="E6375" s="10" t="str">
        <f ca="1">IFERROR(__xludf.DUMMYFUNCTION("""COMPUTED_VALUE"""),"Bibliosphera, 2018, № , pp. 000 (in print)")</f>
        <v>Bibliosphera, 2018, № , pp. 000 (in print)</v>
      </c>
      <c r="F6375" s="10" t="str">
        <f ca="1">IFERROR(__xludf.DUMMYFUNCTION("""COMPUTED_VALUE"""),"EBSCO")</f>
        <v>EBSCO</v>
      </c>
      <c r="G6375" s="10"/>
      <c r="H6375" s="10"/>
      <c r="I6375" s="10"/>
      <c r="J6375" s="10"/>
      <c r="K6375" s="10"/>
      <c r="L6375" s="10"/>
      <c r="M6375" s="10"/>
      <c r="N6375" s="10"/>
      <c r="O6375" s="10"/>
      <c r="P6375" s="10"/>
      <c r="Q6375" s="10"/>
      <c r="R6375" s="10"/>
      <c r="S6375" s="10"/>
      <c r="T6375" s="10"/>
      <c r="U6375" s="10"/>
      <c r="V6375" s="10"/>
      <c r="W6375" s="10"/>
      <c r="X6375" s="10"/>
      <c r="Y6375" s="10"/>
      <c r="Z6375" s="10"/>
    </row>
    <row r="6376" spans="1:26" ht="12.75">
      <c r="A6376" s="10" t="str">
        <f ca="1">IFERROR(__xludf.DUMMYFUNCTION("""COMPUTED_VALUE"""),"Росица Добрева Кръстева")</f>
        <v>Росица Добрева Кръстева</v>
      </c>
      <c r="B6376" s="10" t="str">
        <f ca="1">IFERROR(__xludf.DUMMYFUNCTION("""COMPUTED_VALUE"""),"Статия в списания и поредици")</f>
        <v>Статия в списания и поредици</v>
      </c>
      <c r="C6376" s="10" t="str">
        <f ca="1">IFERROR(__xludf.DUMMYFUNCTION("""COMPUTED_VALUE"""),"Data Literacy and Research Data Management: The Case at ULSIT")</f>
        <v>Data Literacy and Research Data Management: The Case at ULSIT</v>
      </c>
      <c r="D6376" s="10">
        <f ca="1">IFERROR(__xludf.DUMMYFUNCTION("""COMPUTED_VALUE"""),2018)</f>
        <v>2018</v>
      </c>
      <c r="E6376" s="10" t="str">
        <f ca="1">IFERROR(__xludf.DUMMYFUNCTION("""COMPUTED_VALUE"""),"In: S. Kurbanoğlu et al. (Eds.), Information Literacy in Everyday Life, Sixth European Conference on Information Literacy, ECIL 2018, Oulu, Finland, 24-27 September 2018: Revised Selected Papers. Cham: Springer International Publishing, pp. 535–544. – (Co"&amp;"mmunication in Computer and Information Science (CCIS), vol. 989) ISBN 978-3-030-13472-3; eBook ISBN 978-3-030-13472-3, DOI 10.1007/978-3-030-13472-3")</f>
        <v>In: S. Kurbanoğlu et al. (Eds.), Information Literacy in Everyday Life, Sixth European Conference on Information Literacy, ECIL 2018, Oulu, Finland, 24-27 September 2018: Revised Selected Papers. Cham: Springer International Publishing, pp. 535–544. – (Communication in Computer and Information Science (CCIS), vol. 989) ISBN 978-3-030-13472-3; eBook ISBN 978-3-030-13472-3, DOI 10.1007/978-3-030-13472-3</v>
      </c>
      <c r="F6376" s="10" t="str">
        <f ca="1">IFERROR(__xludf.DUMMYFUNCTION("""COMPUTED_VALUE"""),"Scopus, Web of science")</f>
        <v>Scopus, Web of science</v>
      </c>
      <c r="G6376" s="10" t="str">
        <f ca="1">IFERROR(__xludf.DUMMYFUNCTION("""COMPUTED_VALUE"""),"Todorova, Tania, Rositza Krasteva &amp; Elisaveta Tsvetkova")</f>
        <v>Todorova, Tania, Rositza Krasteva &amp; Elisaveta Tsvetkova</v>
      </c>
      <c r="H6376" s="10"/>
      <c r="I6376" s="10"/>
      <c r="J6376" s="10"/>
      <c r="K6376" s="10"/>
      <c r="L6376" s="10"/>
      <c r="M6376" s="10"/>
      <c r="N6376" s="10"/>
      <c r="O6376" s="10"/>
      <c r="P6376" s="10"/>
      <c r="Q6376" s="10"/>
      <c r="R6376" s="10"/>
      <c r="S6376" s="10"/>
      <c r="T6376" s="10"/>
      <c r="U6376" s="10"/>
      <c r="V6376" s="10"/>
      <c r="W6376" s="10"/>
      <c r="X6376" s="10"/>
      <c r="Y6376" s="10"/>
      <c r="Z6376" s="10"/>
    </row>
    <row r="6377" spans="1:26" ht="12.75">
      <c r="A6377" s="10" t="str">
        <f ca="1">IFERROR(__xludf.DUMMYFUNCTION("""COMPUTED_VALUE"""),"Росица Добрева Кръстева")</f>
        <v>Росица Добрева Кръстева</v>
      </c>
      <c r="B6377" s="10" t="str">
        <f ca="1">IFERROR(__xludf.DUMMYFUNCTION("""COMPUTED_VALUE"""),"Доклад от конференция")</f>
        <v>Доклад от конференция</v>
      </c>
      <c r="C6377" s="10" t="str">
        <f ca="1">IFERROR(__xludf.DUMMYFUNCTION("""COMPUTED_VALUE"""),"Education in standardization at the University of Library Studies and Information Technologies – Sofia.")</f>
        <v>Education in standardization at the University of Library Studies and Information Technologies – Sofia.</v>
      </c>
      <c r="D6377" s="10">
        <f ca="1">IFERROR(__xludf.DUMMYFUNCTION("""COMPUTED_VALUE"""),2018)</f>
        <v>2018</v>
      </c>
      <c r="E6377" s="10" t="str">
        <f ca="1">IFERROR(__xludf.DUMMYFUNCTION("""COMPUTED_VALUE"""),"The Future of Education in Information Science: Proceedings from FEIS – International EINFOSE Symposium 10–11 September 2018, Pisa, Italy, Osijek, 2018, pp. 229 – 232. ISBN 978-953-314-120-6 
 &lt; http://einfose.ffos.hr/feis-2018/proceedings&gt;")</f>
        <v>The Future of Education in Information Science: Proceedings from FEIS – International EINFOSE Symposium 10–11 September 2018, Pisa, Italy, Osijek, 2018, pp. 229 – 232. ISBN 978-953-314-120-6 
 &lt; http://einfose.ffos.hr/feis-2018/proceedings&gt;</v>
      </c>
      <c r="F6377" s="10"/>
      <c r="G6377" s="10" t="str">
        <f ca="1">IFERROR(__xludf.DUMMYFUNCTION("""COMPUTED_VALUE"""),"Tsvetelina Nakova, Daniela Pavlova")</f>
        <v>Tsvetelina Nakova, Daniela Pavlova</v>
      </c>
      <c r="H6377" s="10"/>
      <c r="I6377" s="10"/>
      <c r="J6377" s="10"/>
      <c r="K6377" s="10"/>
      <c r="L6377" s="10"/>
      <c r="M6377" s="10"/>
      <c r="N6377" s="10"/>
      <c r="O6377" s="10"/>
      <c r="P6377" s="10"/>
      <c r="Q6377" s="10"/>
      <c r="R6377" s="10"/>
      <c r="S6377" s="10"/>
      <c r="T6377" s="10"/>
      <c r="U6377" s="10"/>
      <c r="V6377" s="10"/>
      <c r="W6377" s="10"/>
      <c r="X6377" s="10"/>
      <c r="Y6377" s="10"/>
      <c r="Z6377" s="10"/>
    </row>
    <row r="6378" spans="1:26" ht="12.75">
      <c r="A6378" s="10" t="str">
        <f ca="1">IFERROR(__xludf.DUMMYFUNCTION("""COMPUTED_VALUE"""),"Росица Добрева Кръстева")</f>
        <v>Росица Добрева Кръстева</v>
      </c>
      <c r="B6378" s="10" t="str">
        <f ca="1">IFERROR(__xludf.DUMMYFUNCTION("""COMPUTED_VALUE"""),"Книга")</f>
        <v>Книга</v>
      </c>
      <c r="C6378" s="10" t="str">
        <f ca="1">IFERROR(__xludf.DUMMYFUNCTION("""COMPUTED_VALUE"""),"БДС в архивната, библиотечната и информационната област: Рефератен сборник")</f>
        <v>БДС в архивната, библиотечната и информационната област: Рефератен сборник</v>
      </c>
      <c r="D6378" s="10">
        <f ca="1">IFERROR(__xludf.DUMMYFUNCTION("""COMPUTED_VALUE"""),2018)</f>
        <v>2018</v>
      </c>
      <c r="E6378" s="10" t="str">
        <f ca="1">IFERROR(__xludf.DUMMYFUNCTION("""COMPUTED_VALUE"""),"София, За буквите – О писменехь, 2018, 125 с. ISBN 978-619-185-342-7")</f>
        <v>София, За буквите – О писменехь, 2018, 125 с. ISBN 978-619-185-342-7</v>
      </c>
      <c r="F6378" s="10"/>
      <c r="G6378" s="10"/>
      <c r="H6378" s="10"/>
      <c r="I6378" s="10"/>
      <c r="J6378" s="10"/>
      <c r="K6378" s="10"/>
      <c r="L6378" s="10"/>
      <c r="M6378" s="10"/>
      <c r="N6378" s="10"/>
      <c r="O6378" s="10"/>
      <c r="P6378" s="10"/>
      <c r="Q6378" s="10"/>
      <c r="R6378" s="10"/>
      <c r="S6378" s="10"/>
      <c r="T6378" s="10"/>
      <c r="U6378" s="10"/>
      <c r="V6378" s="10"/>
      <c r="W6378" s="10"/>
      <c r="X6378" s="10"/>
      <c r="Y6378" s="10"/>
      <c r="Z6378" s="10"/>
    </row>
    <row r="6379" spans="1:26" ht="12.75">
      <c r="A6379" s="10" t="str">
        <f ca="1">IFERROR(__xludf.DUMMYFUNCTION("""COMPUTED_VALUE"""),"Росица Добрева Кръстева")</f>
        <v>Росица Добрева Кръстева</v>
      </c>
      <c r="B6379" s="10" t="str">
        <f ca="1">IFERROR(__xludf.DUMMYFUNCTION("""COMPUTED_VALUE"""),"Доклад от конференция")</f>
        <v>Доклад от конференция</v>
      </c>
      <c r="C6379" s="10" t="str">
        <f ca="1">IFERROR(__xludf.DUMMYFUNCTION("""COMPUTED_VALUE"""),"Opportunities of continuing education in the implementation of Standards in the library-community centers of Bulgaria")</f>
        <v>Opportunities of continuing education in the implementation of Standards in the library-community centers of Bulgaria</v>
      </c>
      <c r="D6379" s="10">
        <f ca="1">IFERROR(__xludf.DUMMYFUNCTION("""COMPUTED_VALUE"""),2018)</f>
        <v>2018</v>
      </c>
      <c r="E6379" s="10" t="str">
        <f ca="1">IFERROR(__xludf.DUMMYFUNCTION("""COMPUTED_VALUE"""),"The Future of Education in Information Science Proceedings from FEIS – International EINFOSE Symposium 10–11 September 2018, Pisa, Osijek, 2018, pp. 129 – 134. ISBN 978-953-314-120-6")</f>
        <v>The Future of Education in Information Science Proceedings from FEIS – International EINFOSE Symposium 10–11 September 2018, Pisa, Osijek, 2018, pp. 129 – 134. ISBN 978-953-314-120-6</v>
      </c>
      <c r="F6379" s="10"/>
      <c r="G6379" s="10" t="str">
        <f ca="1">IFERROR(__xludf.DUMMYFUNCTION("""COMPUTED_VALUE"""),"Daniela Pavlova, Tsvetelina Nakova")</f>
        <v>Daniela Pavlova, Tsvetelina Nakova</v>
      </c>
      <c r="H6379" s="10"/>
      <c r="I6379" s="10"/>
      <c r="J6379" s="10"/>
      <c r="K6379" s="10"/>
      <c r="L6379" s="10"/>
      <c r="M6379" s="10"/>
      <c r="N6379" s="10"/>
      <c r="O6379" s="10"/>
      <c r="P6379" s="10"/>
      <c r="Q6379" s="10"/>
      <c r="R6379" s="10"/>
      <c r="S6379" s="10"/>
      <c r="T6379" s="10"/>
      <c r="U6379" s="10"/>
      <c r="V6379" s="10"/>
      <c r="W6379" s="10"/>
      <c r="X6379" s="10"/>
      <c r="Y6379" s="10"/>
      <c r="Z6379" s="10"/>
    </row>
    <row r="6380" spans="1:26" ht="12.75">
      <c r="A6380" s="10" t="str">
        <f ca="1">IFERROR(__xludf.DUMMYFUNCTION("""COMPUTED_VALUE"""),"Росица Добрева Кръстева")</f>
        <v>Росица Добрева Кръстева</v>
      </c>
      <c r="B6380" s="10" t="str">
        <f ca="1">IFERROR(__xludf.DUMMYFUNCTION("""COMPUTED_VALUE"""),"Доклад от конференция")</f>
        <v>Доклад от конференция</v>
      </c>
      <c r="C6380" s="10" t="str">
        <f ca="1">IFERROR(__xludf.DUMMYFUNCTION("""COMPUTED_VALUE"""),"CONTEMPORARY STATE OF EDUCATION IN STANDARDIZATION – AN IMPORTANT FACTOR FOR THE DEVELOPMENT OF THE INFORMATION SOCIETY")</f>
        <v>CONTEMPORARY STATE OF EDUCATION IN STANDARDIZATION – AN IMPORTANT FACTOR FOR THE DEVELOPMENT OF THE INFORMATION SOCIETY</v>
      </c>
      <c r="D6380" s="10">
        <f ca="1">IFERROR(__xludf.DUMMYFUNCTION("""COMPUTED_VALUE"""),2018)</f>
        <v>2018</v>
      </c>
      <c r="E6380" s="10" t="str">
        <f ca="1">IFERROR(__xludf.DUMMYFUNCTION("""COMPUTED_VALUE"""),"Educational Alternatives, Volume 16, 2018, pp. 303-308 ISSN 1314-7277 (online)")</f>
        <v>Educational Alternatives, Volume 16, 2018, pp. 303-308 ISSN 1314-7277 (online)</v>
      </c>
      <c r="F6380" s="10"/>
      <c r="G6380" s="10" t="str">
        <f ca="1">IFERROR(__xludf.DUMMYFUNCTION("""COMPUTED_VALUE"""),"Tsvetelina Nakova, Daniela Pavlova")</f>
        <v>Tsvetelina Nakova, Daniela Pavlova</v>
      </c>
      <c r="H6380" s="10"/>
      <c r="I6380" s="10"/>
      <c r="J6380" s="10"/>
      <c r="K6380" s="10"/>
      <c r="L6380" s="10"/>
      <c r="M6380" s="10"/>
      <c r="N6380" s="10"/>
      <c r="O6380" s="10"/>
      <c r="P6380" s="10"/>
      <c r="Q6380" s="10"/>
      <c r="R6380" s="10"/>
      <c r="S6380" s="10"/>
      <c r="T6380" s="10"/>
      <c r="U6380" s="10"/>
      <c r="V6380" s="10"/>
      <c r="W6380" s="10"/>
      <c r="X6380" s="10"/>
      <c r="Y6380" s="10"/>
      <c r="Z6380" s="10"/>
    </row>
    <row r="6381" spans="1:26" ht="12.75">
      <c r="A6381" s="10" t="str">
        <f ca="1">IFERROR(__xludf.DUMMYFUNCTION("""COMPUTED_VALUE"""),"Росица Добрева Кръстева")</f>
        <v>Росица Добрева Кръстева</v>
      </c>
      <c r="B6381" s="10" t="str">
        <f ca="1">IFERROR(__xludf.DUMMYFUNCTION("""COMPUTED_VALUE"""),"Доклад от конференция")</f>
        <v>Доклад от конференция</v>
      </c>
      <c r="C6381" s="10" t="str">
        <f ca="1">IFERROR(__xludf.DUMMYFUNCTION("""COMPUTED_VALUE"""),"Стандартизация и стандарти в българските университетски библиотеки: съвременно състояние")</f>
        <v>Стандартизация и стандарти в българските университетски библиотеки: съвременно състояние</v>
      </c>
      <c r="D6381" s="10">
        <f ca="1">IFERROR(__xludf.DUMMYFUNCTION("""COMPUTED_VALUE"""),2018)</f>
        <v>2018</v>
      </c>
      <c r="E6381" s="10" t="str">
        <f ca="1">IFERROR(__xludf.DUMMYFUNCTION("""COMPUTED_VALUE"""),"Сб. доклади от ХVI-та Национална научна конференция с международно участие на тема: „Общество на знанието и хуманизмът на XXI век“, 1-ви ноември 2017 г., Т. 15, София, За буквите – О писменехь, 2018, с. 138 – 148. ISSN 1314-7099")</f>
        <v>Сб. доклади от ХVI-та Национална научна конференция с международно участие на тема: „Общество на знанието и хуманизмът на XXI век“, 1-ви ноември 2017 г., Т. 15, София, За буквите – О писменехь, 2018, с. 138 – 148. ISSN 1314-7099</v>
      </c>
      <c r="F6381" s="10"/>
      <c r="G6381" s="10"/>
      <c r="H6381" s="10"/>
      <c r="I6381" s="10"/>
      <c r="J6381" s="10"/>
      <c r="K6381" s="10"/>
      <c r="L6381" s="10"/>
      <c r="M6381" s="10"/>
      <c r="N6381" s="10"/>
      <c r="O6381" s="10"/>
      <c r="P6381" s="10"/>
      <c r="Q6381" s="10"/>
      <c r="R6381" s="10"/>
      <c r="S6381" s="10"/>
      <c r="T6381" s="10"/>
      <c r="U6381" s="10"/>
      <c r="V6381" s="10"/>
      <c r="W6381" s="10"/>
      <c r="X6381" s="10"/>
      <c r="Y6381" s="10"/>
      <c r="Z6381" s="10"/>
    </row>
    <row r="6382" spans="1:26" ht="12.75">
      <c r="A6382" s="10" t="str">
        <f ca="1">IFERROR(__xludf.DUMMYFUNCTION("""COMPUTED_VALUE"""),"Росица Добрева Кръстева")</f>
        <v>Росица Добрева Кръстева</v>
      </c>
      <c r="B6382" s="10" t="str">
        <f ca="1">IFERROR(__xludf.DUMMYFUNCTION("""COMPUTED_VALUE"""),"Доклад от конференция")</f>
        <v>Доклад от конференция</v>
      </c>
      <c r="C6382" s="10" t="str">
        <f ca="1">IFERROR(__xludf.DUMMYFUNCTION("""COMPUTED_VALUE"""),"Стандартизация и стандарти в читалищните библиотеки. Съвременно състояние")</f>
        <v>Стандартизация и стандарти в читалищните библиотеки. Съвременно състояние</v>
      </c>
      <c r="D6382" s="10">
        <f ca="1">IFERROR(__xludf.DUMMYFUNCTION("""COMPUTED_VALUE"""),2018)</f>
        <v>2018</v>
      </c>
      <c r="E6382" s="10" t="str">
        <f ca="1">IFERROR(__xludf.DUMMYFUNCTION("""COMPUTED_VALUE"""),"Сб. доклади от Шестнадесета национална научна конференция ""Библиотеки – четене – комуникации"" с международно участие, гр. Велико Търново, 16.11.2017 г., В. Търново, Абагар, 2018, с. 51 – 60. ISSN 1313-8138")</f>
        <v>Сб. доклади от Шестнадесета национална научна конференция "Библиотеки – четене – комуникации" с международно участие, гр. Велико Търново, 16.11.2017 г., В. Търново, Абагар, 2018, с. 51 – 60. ISSN 1313-8138</v>
      </c>
      <c r="F6382" s="10"/>
      <c r="G6382" s="10"/>
      <c r="H6382" s="10"/>
      <c r="I6382" s="10"/>
      <c r="J6382" s="10"/>
      <c r="K6382" s="10"/>
      <c r="L6382" s="10"/>
      <c r="M6382" s="10"/>
      <c r="N6382" s="10"/>
      <c r="O6382" s="10"/>
      <c r="P6382" s="10"/>
      <c r="Q6382" s="10"/>
      <c r="R6382" s="10"/>
      <c r="S6382" s="10"/>
      <c r="T6382" s="10"/>
      <c r="U6382" s="10"/>
      <c r="V6382" s="10"/>
      <c r="W6382" s="10"/>
      <c r="X6382" s="10"/>
      <c r="Y6382" s="10"/>
      <c r="Z6382" s="10"/>
    </row>
    <row r="6383" spans="1:26" ht="12.75">
      <c r="A6383" s="10" t="str">
        <f ca="1">IFERROR(__xludf.DUMMYFUNCTION("""COMPUTED_VALUE"""),"Росица Добрева Кръстева")</f>
        <v>Росица Добрева Кръстева</v>
      </c>
      <c r="B6383" s="10" t="str">
        <f ca="1">IFERROR(__xludf.DUMMYFUNCTION("""COMPUTED_VALUE"""),"Книга")</f>
        <v>Книга</v>
      </c>
      <c r="C6383" s="10" t="str">
        <f ca="1">IFERROR(__xludf.DUMMYFUNCTION("""COMPUTED_VALUE"""),"Standardization in Libraries, Archives and Information Activities")</f>
        <v>Standardization in Libraries, Archives and Information Activities</v>
      </c>
      <c r="D6383" s="10">
        <f ca="1">IFERROR(__xludf.DUMMYFUNCTION("""COMPUTED_VALUE"""),2017)</f>
        <v>2017</v>
      </c>
      <c r="E6383" s="10" t="str">
        <f ca="1">IFERROR(__xludf.DUMMYFUNCTION("""COMPUTED_VALUE"""),"LAP LAMBERT Academic Publishing (January 9, 2017), 152 p. ISBN- 978-3330025592")</f>
        <v>LAP LAMBERT Academic Publishing (January 9, 2017), 152 p. ISBN- 978-3330025592</v>
      </c>
      <c r="F6383" s="10"/>
      <c r="G6383" s="10"/>
      <c r="H6383" s="10"/>
      <c r="I6383" s="10"/>
      <c r="J6383" s="10"/>
      <c r="K6383" s="10"/>
      <c r="L6383" s="10"/>
      <c r="M6383" s="10"/>
      <c r="N6383" s="10"/>
      <c r="O6383" s="10"/>
      <c r="P6383" s="10"/>
      <c r="Q6383" s="10"/>
      <c r="R6383" s="10"/>
      <c r="S6383" s="10"/>
      <c r="T6383" s="10"/>
      <c r="U6383" s="10"/>
      <c r="V6383" s="10"/>
      <c r="W6383" s="10"/>
      <c r="X6383" s="10"/>
      <c r="Y6383" s="10"/>
      <c r="Z6383" s="10"/>
    </row>
    <row r="6384" spans="1:26" ht="12.75">
      <c r="A6384" s="10" t="str">
        <f ca="1">IFERROR(__xludf.DUMMYFUNCTION("""COMPUTED_VALUE"""),"Росица Добрева Кръстева")</f>
        <v>Росица Добрева Кръстева</v>
      </c>
      <c r="B6384" s="10" t="str">
        <f ca="1">IFERROR(__xludf.DUMMYFUNCTION("""COMPUTED_VALUE"""),"Статия в списания и поредици")</f>
        <v>Статия в списания и поредици</v>
      </c>
      <c r="C6384" s="10" t="str">
        <f ca="1">IFERROR(__xludf.DUMMYFUNCTION("""COMPUTED_VALUE"""),"Стандартизация и стандарти в архивната област")</f>
        <v>Стандартизация и стандарти в архивната област</v>
      </c>
      <c r="D6384" s="10">
        <f ca="1">IFERROR(__xludf.DUMMYFUNCTION("""COMPUTED_VALUE"""),2016)</f>
        <v>2016</v>
      </c>
      <c r="E6384" s="10" t="str">
        <f ca="1">IFERROR(__xludf.DUMMYFUNCTION("""COMPUTED_VALUE"""),"Архивен преглед, 2016, Кн. 2, с. 109 – 112. ISSN 0204-8132")</f>
        <v>Архивен преглед, 2016, Кн. 2, с. 109 – 112. ISSN 0204-8132</v>
      </c>
      <c r="F6384" s="10"/>
      <c r="G6384" s="10"/>
      <c r="H6384" s="10"/>
      <c r="I6384" s="10"/>
      <c r="J6384" s="10"/>
      <c r="K6384" s="10"/>
      <c r="L6384" s="10"/>
      <c r="M6384" s="10"/>
      <c r="N6384" s="10"/>
      <c r="O6384" s="10"/>
      <c r="P6384" s="10"/>
      <c r="Q6384" s="10"/>
      <c r="R6384" s="10"/>
      <c r="S6384" s="10"/>
      <c r="T6384" s="10"/>
      <c r="U6384" s="10"/>
      <c r="V6384" s="10"/>
      <c r="W6384" s="10"/>
      <c r="X6384" s="10"/>
      <c r="Y6384" s="10"/>
      <c r="Z6384" s="10"/>
    </row>
    <row r="6385" spans="1:26" ht="12.75">
      <c r="A6385" s="10" t="str">
        <f ca="1">IFERROR(__xludf.DUMMYFUNCTION("""COMPUTED_VALUE"""),"Росица Добрева Кръстева")</f>
        <v>Росица Добрева Кръстева</v>
      </c>
      <c r="B6385" s="10" t="str">
        <f ca="1">IFERROR(__xludf.DUMMYFUNCTION("""COMPUTED_VALUE"""),"Статия в списания и поредици")</f>
        <v>Статия в списания и поредици</v>
      </c>
      <c r="C6385" s="10" t="str">
        <f ca="1">IFERROR(__xludf.DUMMYFUNCTION("""COMPUTED_VALUE"""),"READING AND LIBRARIES IN THE CONTEMPORARY ACADEMIC INFORMATION ENVIRONMENT")</f>
        <v>READING AND LIBRARIES IN THE CONTEMPORARY ACADEMIC INFORMATION ENVIRONMENT</v>
      </c>
      <c r="D6385" s="10">
        <f ca="1">IFERROR(__xludf.DUMMYFUNCTION("""COMPUTED_VALUE"""),2016)</f>
        <v>2016</v>
      </c>
      <c r="E6385" s="10" t="str">
        <f ca="1">IFERROR(__xludf.DUMMYFUNCTION("""COMPUTED_VALUE"""),"Educational Alternatives, Journal of International Scientific Publications, Volume 14, 2016. ISSN 1314-7277, рр. 493-499. URL: www.scientific-publications.net")</f>
        <v>Educational Alternatives, Journal of International Scientific Publications, Volume 14, 2016. ISSN 1314-7277, рр. 493-499. URL: www.scientific-publications.net</v>
      </c>
      <c r="F6385" s="10"/>
      <c r="G6385" s="10"/>
      <c r="H6385" s="10"/>
      <c r="I6385" s="10"/>
      <c r="J6385" s="10"/>
      <c r="K6385" s="10"/>
      <c r="L6385" s="10"/>
      <c r="M6385" s="10"/>
      <c r="N6385" s="10"/>
      <c r="O6385" s="10"/>
      <c r="P6385" s="10"/>
      <c r="Q6385" s="10"/>
      <c r="R6385" s="10"/>
      <c r="S6385" s="10"/>
      <c r="T6385" s="10"/>
      <c r="U6385" s="10"/>
      <c r="V6385" s="10"/>
      <c r="W6385" s="10"/>
      <c r="X6385" s="10"/>
      <c r="Y6385" s="10"/>
      <c r="Z6385" s="10"/>
    </row>
    <row r="6386" spans="1:26" ht="12.75">
      <c r="A6386" s="10" t="str">
        <f ca="1">IFERROR(__xludf.DUMMYFUNCTION("""COMPUTED_VALUE"""),"Росица Добрева Кръстева")</f>
        <v>Росица Добрева Кръстева</v>
      </c>
      <c r="B6386" s="10" t="str">
        <f ca="1">IFERROR(__xludf.DUMMYFUNCTION("""COMPUTED_VALUE"""),"Статия в списания и поредици")</f>
        <v>Статия в списания и поредици</v>
      </c>
      <c r="C6386" s="10" t="str">
        <f ca="1">IFERROR(__xludf.DUMMYFUNCTION("""COMPUTED_VALUE"""),"Eдин поглед върху „електронното“ четене в университетска среда")</f>
        <v>Eдин поглед върху „електронното“ четене в университетска среда</v>
      </c>
      <c r="D6386" s="10">
        <f ca="1">IFERROR(__xludf.DUMMYFUNCTION("""COMPUTED_VALUE"""),2016)</f>
        <v>2016</v>
      </c>
      <c r="E6386" s="10" t="str">
        <f ca="1">IFERROR(__xludf.DUMMYFUNCTION("""COMPUTED_VALUE"""),"Gloria Bibliospherae (Нишката на Ариадна): Изследвания в чест на проф. д.п.н. Александра Куманова. Юбилеен сборник по случай 65-годишнината. София, За буквите – О писменехь, 2016, с. 548 – 556. ISBN 978-619-185-211-6, online ISBN 978-619-185-212-3")</f>
        <v>Gloria Bibliospherae (Нишката на Ариадна): Изследвания в чест на проф. д.п.н. Александра Куманова. Юбилеен сборник по случай 65-годишнината. София, За буквите – О писменехь, 2016, с. 548 – 556. ISBN 978-619-185-211-6, online ISBN 978-619-185-212-3</v>
      </c>
      <c r="F6386" s="10"/>
      <c r="G6386" s="10"/>
      <c r="H6386" s="10"/>
      <c r="I6386" s="10"/>
      <c r="J6386" s="10"/>
      <c r="K6386" s="10"/>
      <c r="L6386" s="10"/>
      <c r="M6386" s="10"/>
      <c r="N6386" s="10"/>
      <c r="O6386" s="10"/>
      <c r="P6386" s="10"/>
      <c r="Q6386" s="10"/>
      <c r="R6386" s="10"/>
      <c r="S6386" s="10"/>
      <c r="T6386" s="10"/>
      <c r="U6386" s="10"/>
      <c r="V6386" s="10"/>
      <c r="W6386" s="10"/>
      <c r="X6386" s="10"/>
      <c r="Y6386" s="10"/>
      <c r="Z6386" s="10"/>
    </row>
    <row r="6387" spans="1:26" ht="12.75">
      <c r="A6387" s="10" t="str">
        <f ca="1">IFERROR(__xludf.DUMMYFUNCTION("""COMPUTED_VALUE"""),"Росица Добрева Кръстева")</f>
        <v>Росица Добрева Кръстева</v>
      </c>
      <c r="B6387" s="10" t="str">
        <f ca="1">IFERROR(__xludf.DUMMYFUNCTION("""COMPUTED_VALUE"""),"Доклад от конференция")</f>
        <v>Доклад от конференция</v>
      </c>
      <c r="C6387" s="10" t="str">
        <f ca="1">IFERROR(__xludf.DUMMYFUNCTION("""COMPUTED_VALUE"""),"Библиотечната статистика като начин за представяне на резултатите от дейността на библиотеките и бъдещото планиране на тяхната дейност")</f>
        <v>Библиотечната статистика като начин за представяне на резултатите от дейността на библиотеките и бъдещото планиране на тяхната дейност</v>
      </c>
      <c r="D6387" s="10">
        <f ca="1">IFERROR(__xludf.DUMMYFUNCTION("""COMPUTED_VALUE"""),2016)</f>
        <v>2016</v>
      </c>
      <c r="E6387" s="10" t="str">
        <f ca="1">IFERROR(__xludf.DUMMYFUNCTION("""COMPUTED_VALUE"""),"Сб. доклади от XIII национална научна конференция с международно участие „Обществото на знанието и хуманизмът на ХХІ век“ посветена на Деня на народните будители - 1 ноември 2015 г., София, За буквите – О писменехь, 2016, с. 249-257. ISSN 1314-7099")</f>
        <v>Сб. доклади от XIII национална научна конференция с международно участие „Обществото на знанието и хуманизмът на ХХІ век“ посветена на Деня на народните будители - 1 ноември 2015 г., София, За буквите – О писменехь, 2016, с. 249-257. ISSN 1314-7099</v>
      </c>
      <c r="F6387" s="10"/>
      <c r="G6387" s="10"/>
      <c r="H6387" s="10"/>
      <c r="I6387" s="10"/>
      <c r="J6387" s="10"/>
      <c r="K6387" s="10"/>
      <c r="L6387" s="10"/>
      <c r="M6387" s="10"/>
      <c r="N6387" s="10"/>
      <c r="O6387" s="10"/>
      <c r="P6387" s="10"/>
      <c r="Q6387" s="10"/>
      <c r="R6387" s="10"/>
      <c r="S6387" s="10"/>
      <c r="T6387" s="10"/>
      <c r="U6387" s="10"/>
      <c r="V6387" s="10"/>
      <c r="W6387" s="10"/>
      <c r="X6387" s="10"/>
      <c r="Y6387" s="10"/>
      <c r="Z6387" s="10"/>
    </row>
    <row r="6388" spans="1:26" ht="12.75">
      <c r="A6388" s="10" t="str">
        <f ca="1">IFERROR(__xludf.DUMMYFUNCTION("""COMPUTED_VALUE"""),"Росица Добрева Кръстева")</f>
        <v>Росица Добрева Кръстева</v>
      </c>
      <c r="B6388" s="10" t="str">
        <f ca="1">IFERROR(__xludf.DUMMYFUNCTION("""COMPUTED_VALUE"""),"Доклад от конференция")</f>
        <v>Доклад от конференция</v>
      </c>
      <c r="C6388" s="10" t="str">
        <f ca="1">IFERROR(__xludf.DUMMYFUNCTION("""COMPUTED_VALUE"""),"Academic Policy Reflections of Student’s Reading Behavior Study in SULSIT, Bulgaria.")</f>
        <v>Academic Policy Reflections of Student’s Reading Behavior Study in SULSIT, Bulgaria.</v>
      </c>
      <c r="D6388" s="10">
        <f ca="1">IFERROR(__xludf.DUMMYFUNCTION("""COMPUTED_VALUE"""),2016)</f>
        <v>2016</v>
      </c>
      <c r="E6388" s="10" t="str">
        <f ca="1">IFERROR(__xludf.DUMMYFUNCTION("""COMPUTED_VALUE"""),"ECIL, Prague, 2016, Springer-Verlag, Heidelberg, 2016, рp. 256-264. - (Communication in Computer and Information Science, Vol. 676).")</f>
        <v>ECIL, Prague, 2016, Springer-Verlag, Heidelberg, 2016, рp. 256-264. - (Communication in Computer and Information Science, Vol. 676).</v>
      </c>
      <c r="F6388" s="10" t="str">
        <f ca="1">IFERROR(__xludf.DUMMYFUNCTION("""COMPUTED_VALUE"""),"SCOPUS")</f>
        <v>SCOPUS</v>
      </c>
      <c r="G6388" s="10" t="str">
        <f ca="1">IFERROR(__xludf.DUMMYFUNCTION("""COMPUTED_VALUE"""),"Todorova, Tania, T. Trencheva &amp; E. Tsvetkova")</f>
        <v>Todorova, Tania, T. Trencheva &amp; E. Tsvetkova</v>
      </c>
      <c r="H6388" s="10"/>
      <c r="I6388" s="10"/>
      <c r="J6388" s="10"/>
      <c r="K6388" s="10"/>
      <c r="L6388" s="10"/>
      <c r="M6388" s="10"/>
      <c r="N6388" s="10"/>
      <c r="O6388" s="10"/>
      <c r="P6388" s="10"/>
      <c r="Q6388" s="10"/>
      <c r="R6388" s="10"/>
      <c r="S6388" s="10"/>
      <c r="T6388" s="10"/>
      <c r="U6388" s="10"/>
      <c r="V6388" s="10"/>
      <c r="W6388" s="10"/>
      <c r="X6388" s="10"/>
      <c r="Y6388" s="10"/>
      <c r="Z6388" s="10"/>
    </row>
    <row r="6389" spans="1:26" ht="12.75">
      <c r="A6389" s="10" t="str">
        <f ca="1">IFERROR(__xludf.DUMMYFUNCTION("""COMPUTED_VALUE"""),"Росица Добрева Кръстева")</f>
        <v>Росица Добрева Кръстева</v>
      </c>
      <c r="B6389" s="10" t="str">
        <f ca="1">IFERROR(__xludf.DUMMYFUNCTION("""COMPUTED_VALUE"""),"Доклад от конференция")</f>
        <v>Доклад от конференция</v>
      </c>
      <c r="C6389" s="10" t="str">
        <f ca="1">IFERROR(__xludf.DUMMYFUNCTION("""COMPUTED_VALUE"""),"Academic Policy Reflections of Student’s Reading Behavior Study in SULSIT, Bulgaria")</f>
        <v>Academic Policy Reflections of Student’s Reading Behavior Study in SULSIT, Bulgaria</v>
      </c>
      <c r="D6389" s="10">
        <f ca="1">IFERROR(__xludf.DUMMYFUNCTION("""COMPUTED_VALUE"""),2016)</f>
        <v>2016</v>
      </c>
      <c r="E6389" s="10" t="str">
        <f ca="1">IFERROR(__xludf.DUMMYFUNCTION("""COMPUTED_VALUE"""),"Information Literacy: Key to an Inclusive Society : 4th European Conference on Information Literacy (ECIL): Revised Selected Papers. Eds. by S. Kurbanoğlu et. al., ECIL, Prague, 2016, Springer-Verlag, Heidelberg, 2016, рp. 256-264. - (Communication in Com"&amp;"puter and Information Science, Vol. 676). ISSN: 1865-0929")</f>
        <v>Information Literacy: Key to an Inclusive Society : 4th European Conference on Information Literacy (ECIL): Revised Selected Papers. Eds. by S. Kurbanoğlu et. al., ECIL, Prague, 2016, Springer-Verlag, Heidelberg, 2016, рp. 256-264. - (Communication in Computer and Information Science, Vol. 676). ISSN: 1865-0929</v>
      </c>
      <c r="F6389" s="10"/>
      <c r="G6389" s="10" t="str">
        <f ca="1">IFERROR(__xludf.DUMMYFUNCTION("""COMPUTED_VALUE"""),"Todorova, Tania, T. Trencheva, E. Tsvetkova")</f>
        <v>Todorova, Tania, T. Trencheva, E. Tsvetkova</v>
      </c>
      <c r="H6389" s="10"/>
      <c r="I6389" s="10"/>
      <c r="J6389" s="10"/>
      <c r="K6389" s="10"/>
      <c r="L6389" s="10"/>
      <c r="M6389" s="10"/>
      <c r="N6389" s="10"/>
      <c r="O6389" s="10"/>
      <c r="P6389" s="10"/>
      <c r="Q6389" s="10"/>
      <c r="R6389" s="10"/>
      <c r="S6389" s="10"/>
      <c r="T6389" s="10"/>
      <c r="U6389" s="10"/>
      <c r="V6389" s="10"/>
      <c r="W6389" s="10"/>
      <c r="X6389" s="10"/>
      <c r="Y6389" s="10"/>
      <c r="Z6389" s="10"/>
    </row>
    <row r="6390" spans="1:26" ht="12.75">
      <c r="A6390" s="10" t="str">
        <f ca="1">IFERROR(__xludf.DUMMYFUNCTION("""COMPUTED_VALUE"""),"Росица Добрева Кръстева")</f>
        <v>Росица Добрева Кръстева</v>
      </c>
      <c r="B6390" s="10" t="str">
        <f ca="1">IFERROR(__xludf.DUMMYFUNCTION("""COMPUTED_VALUE"""),"Доклад от конференция")</f>
        <v>Доклад от конференция</v>
      </c>
      <c r="C6390" s="10" t="str">
        <f ca="1">IFERROR(__xludf.DUMMYFUNCTION("""COMPUTED_VALUE"""),"Стандартизация и стандарти в архивната област")</f>
        <v>Стандартизация и стандарти в архивната област</v>
      </c>
      <c r="D6390" s="10">
        <f ca="1">IFERROR(__xludf.DUMMYFUNCTION("""COMPUTED_VALUE"""),2016)</f>
        <v>2016</v>
      </c>
      <c r="E6390" s="10" t="str">
        <f ca="1">IFERROR(__xludf.DUMMYFUNCTION("""COMPUTED_VALUE"""),"Архивен преглед, Кн. 2, с. 109 – 112. ISSN 0204-8132")</f>
        <v>Архивен преглед, Кн. 2, с. 109 – 112. ISSN 0204-8132</v>
      </c>
      <c r="F6390" s="10"/>
      <c r="G6390" s="10"/>
      <c r="H6390" s="10"/>
      <c r="I6390" s="10"/>
      <c r="J6390" s="10"/>
      <c r="K6390" s="10"/>
      <c r="L6390" s="10"/>
      <c r="M6390" s="10"/>
      <c r="N6390" s="10"/>
      <c r="O6390" s="10"/>
      <c r="P6390" s="10"/>
      <c r="Q6390" s="10"/>
      <c r="R6390" s="10"/>
      <c r="S6390" s="10"/>
      <c r="T6390" s="10"/>
      <c r="U6390" s="10"/>
      <c r="V6390" s="10"/>
      <c r="W6390" s="10"/>
      <c r="X6390" s="10"/>
      <c r="Y6390" s="10"/>
      <c r="Z6390" s="10"/>
    </row>
    <row r="6391" spans="1:26" ht="12.75">
      <c r="A6391" s="10" t="str">
        <f ca="1">IFERROR(__xludf.DUMMYFUNCTION("""COMPUTED_VALUE"""),"Росица Добрева Кръстева")</f>
        <v>Росица Добрева Кръстева</v>
      </c>
      <c r="B6391" s="10" t="str">
        <f ca="1">IFERROR(__xludf.DUMMYFUNCTION("""COMPUTED_VALUE"""),"Доклад от конференция")</f>
        <v>Доклад от конференция</v>
      </c>
      <c r="C6391" s="10" t="str">
        <f ca="1">IFERROR(__xludf.DUMMYFUNCTION("""COMPUTED_VALUE"""),"Информационная деятельность в области стандартизации в болгарских университетах.")</f>
        <v>Информационная деятельность в области стандартизации в болгарских университетах.</v>
      </c>
      <c r="D6391" s="10">
        <f ca="1">IFERROR(__xludf.DUMMYFUNCTION("""COMPUTED_VALUE"""),2016)</f>
        <v>2016</v>
      </c>
      <c r="E6391" s="10" t="str">
        <f ca="1">IFERROR(__xludf.DUMMYFUNCTION("""COMPUTED_VALUE"""),"Сб. докладов с II Международной научно-практической конференции студентов, аспирантов и молодых ученых по «Актуальным вопросам документоведения и информационной деятельности: теории и инновации», Одесса, Украина, 21 март 2016 г., с.154-162 . ISBN 978-617-"&amp;"7373-33-8")</f>
        <v>Сб. докладов с II Международной научно-практической конференции студентов, аспирантов и молодых ученых по «Актуальным вопросам документоведения и информационной деятельности: теории и инновации», Одесса, Украина, 21 март 2016 г., с.154-162 . ISBN 978-617-7373-33-8</v>
      </c>
      <c r="F6391" s="10"/>
      <c r="G6391" s="10"/>
      <c r="H6391" s="10"/>
      <c r="I6391" s="10"/>
      <c r="J6391" s="10"/>
      <c r="K6391" s="10"/>
      <c r="L6391" s="10"/>
      <c r="M6391" s="10"/>
      <c r="N6391" s="10"/>
      <c r="O6391" s="10"/>
      <c r="P6391" s="10"/>
      <c r="Q6391" s="10"/>
      <c r="R6391" s="10"/>
      <c r="S6391" s="10"/>
      <c r="T6391" s="10"/>
      <c r="U6391" s="10"/>
      <c r="V6391" s="10"/>
      <c r="W6391" s="10"/>
      <c r="X6391" s="10"/>
      <c r="Y6391" s="10"/>
      <c r="Z6391" s="10"/>
    </row>
    <row r="6392" spans="1:26" ht="12.75">
      <c r="A6392" s="10" t="str">
        <f ca="1">IFERROR(__xludf.DUMMYFUNCTION("""COMPUTED_VALUE"""),"Росица Добрева Кръстева")</f>
        <v>Росица Добрева Кръстева</v>
      </c>
      <c r="B6392" s="10" t="str">
        <f ca="1">IFERROR(__xludf.DUMMYFUNCTION("""COMPUTED_VALUE"""),"Доклад от конференция")</f>
        <v>Доклад от конференция</v>
      </c>
      <c r="C6392" s="10" t="str">
        <f ca="1">IFERROR(__xludf.DUMMYFUNCTION("""COMPUTED_VALUE"""),"Standardization of the cultural heritage conservation practices in Bulgaria")</f>
        <v>Standardization of the cultural heritage conservation practices in Bulgaria</v>
      </c>
      <c r="D6392" s="10">
        <f ca="1">IFERROR(__xludf.DUMMYFUNCTION("""COMPUTED_VALUE"""),2015)</f>
        <v>2015</v>
      </c>
      <c r="E6392" s="10" t="str">
        <f ca="1">IFERROR(__xludf.DUMMYFUNCTION("""COMPUTED_VALUE"""),"Proceedings of 12th International Conference “Standardization, Protypes and Quality: A means of Balkan Countries’ Collaboration“, Turkey, Kocaeli University, Oktober 22 – 24, 2015, pp. 315 – 320.")</f>
        <v>Proceedings of 12th International Conference “Standardization, Protypes and Quality: A means of Balkan Countries’ Collaboration“, Turkey, Kocaeli University, Oktober 22 – 24, 2015, pp. 315 – 320.</v>
      </c>
      <c r="F6392" s="10"/>
      <c r="G6392" s="10"/>
      <c r="H6392" s="10"/>
      <c r="I6392" s="10"/>
      <c r="J6392" s="10"/>
      <c r="K6392" s="10"/>
      <c r="L6392" s="10"/>
      <c r="M6392" s="10"/>
      <c r="N6392" s="10"/>
      <c r="O6392" s="10"/>
      <c r="P6392" s="10"/>
      <c r="Q6392" s="10"/>
      <c r="R6392" s="10"/>
      <c r="S6392" s="10"/>
      <c r="T6392" s="10"/>
      <c r="U6392" s="10"/>
      <c r="V6392" s="10"/>
      <c r="W6392" s="10"/>
      <c r="X6392" s="10"/>
      <c r="Y6392" s="10"/>
      <c r="Z6392" s="10"/>
    </row>
    <row r="6393" spans="1:26" ht="12.75">
      <c r="A6393" s="10" t="str">
        <f ca="1">IFERROR(__xludf.DUMMYFUNCTION("""COMPUTED_VALUE"""),"Росица Добрева Кръстева")</f>
        <v>Росица Добрева Кръстева</v>
      </c>
      <c r="B6393" s="10" t="str">
        <f ca="1">IFERROR(__xludf.DUMMYFUNCTION("""COMPUTED_VALUE"""),"Доклад от конференция")</f>
        <v>Доклад от конференция</v>
      </c>
      <c r="C6393" s="10" t="str">
        <f ca="1">IFERROR(__xludf.DUMMYFUNCTION("""COMPUTED_VALUE"""),"Standardization of the cultural heritage conservation practices in Bulgaria")</f>
        <v>Standardization of the cultural heritage conservation practices in Bulgaria</v>
      </c>
      <c r="D6393" s="10">
        <f ca="1">IFERROR(__xludf.DUMMYFUNCTION("""COMPUTED_VALUE"""),2015)</f>
        <v>2015</v>
      </c>
      <c r="E6393" s="10" t="str">
        <f ca="1">IFERROR(__xludf.DUMMYFUNCTION("""COMPUTED_VALUE"""),"Proceedings of 12th International Conference “Standardization, Protypes and Quality: A means of Balkan Countries’ Collaboration")</f>
        <v>Proceedings of 12th International Conference “Standardization, Protypes and Quality: A means of Balkan Countries’ Collaboration</v>
      </c>
      <c r="F6393" s="10"/>
      <c r="G6393" s="10"/>
      <c r="H6393" s="10"/>
      <c r="I6393" s="10"/>
      <c r="J6393" s="10"/>
      <c r="K6393" s="10"/>
      <c r="L6393" s="10"/>
      <c r="M6393" s="10"/>
      <c r="N6393" s="10"/>
      <c r="O6393" s="10"/>
      <c r="P6393" s="10"/>
      <c r="Q6393" s="10"/>
      <c r="R6393" s="10"/>
      <c r="S6393" s="10"/>
      <c r="T6393" s="10"/>
      <c r="U6393" s="10"/>
      <c r="V6393" s="10"/>
      <c r="W6393" s="10"/>
      <c r="X6393" s="10"/>
      <c r="Y6393" s="10"/>
      <c r="Z6393" s="10"/>
    </row>
    <row r="6394" spans="1:26" ht="12.75">
      <c r="A6394" s="10" t="str">
        <f ca="1">IFERROR(__xludf.DUMMYFUNCTION("""COMPUTED_VALUE"""),"Росица Добрева Кръстева")</f>
        <v>Росица Добрева Кръстева</v>
      </c>
      <c r="B6394" s="10" t="str">
        <f ca="1">IFERROR(__xludf.DUMMYFUNCTION("""COMPUTED_VALUE"""),"Учебно пособие")</f>
        <v>Учебно пособие</v>
      </c>
      <c r="C6394" s="10" t="str">
        <f ca="1">IFERROR(__xludf.DUMMYFUNCTION("""COMPUTED_VALUE"""),"Информационни източници: Компендиум за студенти от специалност „Архивистика и документалистика“")</f>
        <v>Информационни източници: Компендиум за студенти от специалност „Архивистика и документалистика“</v>
      </c>
      <c r="D6394" s="10">
        <f ca="1">IFERROR(__xludf.DUMMYFUNCTION("""COMPUTED_VALUE"""),2015)</f>
        <v>2015</v>
      </c>
      <c r="E6394" s="10" t="str">
        <f ca="1">IFERROR(__xludf.DUMMYFUNCTION("""COMPUTED_VALUE"""),"София, Новата цивилизация ЕООД, 112 с. ISBN 978-954-836-588-8")</f>
        <v>София, Новата цивилизация ЕООД, 112 с. ISBN 978-954-836-588-8</v>
      </c>
      <c r="F6394" s="10"/>
      <c r="G6394" s="10"/>
      <c r="H6394" s="10"/>
      <c r="I6394" s="10"/>
      <c r="J6394" s="10"/>
      <c r="K6394" s="10"/>
      <c r="L6394" s="10"/>
      <c r="M6394" s="10"/>
      <c r="N6394" s="10"/>
      <c r="O6394" s="10"/>
      <c r="P6394" s="10"/>
      <c r="Q6394" s="10"/>
      <c r="R6394" s="10"/>
      <c r="S6394" s="10"/>
      <c r="T6394" s="10"/>
      <c r="U6394" s="10"/>
      <c r="V6394" s="10"/>
      <c r="W6394" s="10"/>
      <c r="X6394" s="10"/>
      <c r="Y6394" s="10"/>
      <c r="Z6394" s="10"/>
    </row>
    <row r="6395" spans="1:26" ht="12.75">
      <c r="A6395" s="10" t="str">
        <f ca="1">IFERROR(__xludf.DUMMYFUNCTION("""COMPUTED_VALUE"""),"Росица Добрева Кръстева")</f>
        <v>Росица Добрева Кръстева</v>
      </c>
      <c r="B6395" s="10" t="str">
        <f ca="1">IFERROR(__xludf.DUMMYFUNCTION("""COMPUTED_VALUE"""),"Доклад от конференция")</f>
        <v>Доклад от конференция</v>
      </c>
      <c r="C6395" s="10" t="str">
        <f ca="1">IFERROR(__xludf.DUMMYFUNCTION("""COMPUTED_VALUE"""),"Цифровой архив Государственного агентства „Архивы“ Республики Болгария - настоящее и перспективы")</f>
        <v>Цифровой архив Государственного агентства „Архивы“ Республики Болгария - настоящее и перспективы</v>
      </c>
      <c r="D6395" s="10">
        <f ca="1">IFERROR(__xludf.DUMMYFUNCTION("""COMPUTED_VALUE"""),2015)</f>
        <v>2015</v>
      </c>
      <c r="E6395" s="10" t="str">
        <f ca="1">IFERROR(__xludf.DUMMYFUNCTION("""COMPUTED_VALUE"""),"Сб. докладов с I Международной научно-практической конференции студентов, аспирантов и молодых ученых по «Актуальным вопросам документоведения и информационной деятельности: теории и инновации», Одесса, Украина, 19-20 март 2015 г., с. 39-42. ISBN 978-617-"&amp;"7257-38-6")</f>
        <v>Сб. докладов с I Международной научно-практической конференции студентов, аспирантов и молодых ученых по «Актуальным вопросам документоведения и информационной деятельности: теории и инновации», Одесса, Украина, 19-20 март 2015 г., с. 39-42. ISBN 978-617-7257-38-6</v>
      </c>
      <c r="F6395" s="10"/>
      <c r="G6395" s="10"/>
      <c r="H6395" s="10"/>
      <c r="I6395" s="10"/>
      <c r="J6395" s="10"/>
      <c r="K6395" s="10"/>
      <c r="L6395" s="10"/>
      <c r="M6395" s="10"/>
      <c r="N6395" s="10"/>
      <c r="O6395" s="10"/>
      <c r="P6395" s="10"/>
      <c r="Q6395" s="10"/>
      <c r="R6395" s="10"/>
      <c r="S6395" s="10"/>
      <c r="T6395" s="10"/>
      <c r="U6395" s="10"/>
      <c r="V6395" s="10"/>
      <c r="W6395" s="10"/>
      <c r="X6395" s="10"/>
      <c r="Y6395" s="10"/>
      <c r="Z6395" s="10"/>
    </row>
    <row r="6396" spans="1:26" ht="12.75">
      <c r="A6396" s="10" t="str">
        <f ca="1">IFERROR(__xludf.DUMMYFUNCTION("""COMPUTED_VALUE"""),"Росица Добрева Кръстева")</f>
        <v>Росица Добрева Кръстева</v>
      </c>
      <c r="B6396" s="10" t="str">
        <f ca="1">IFERROR(__xludf.DUMMYFUNCTION("""COMPUTED_VALUE"""),"Доклад от конференция")</f>
        <v>Доклад от конференция</v>
      </c>
      <c r="C6396" s="10" t="str">
        <f ca="1">IFERROR(__xludf.DUMMYFUNCTION("""COMPUTED_VALUE"""),"Аспекти на приложение на хармонизираните с международните български държавни стандарти в библиотеките: съвременно състояние и перспективи")</f>
        <v>Аспекти на приложение на хармонизираните с международните български държавни стандарти в библиотеките: съвременно състояние и перспективи</v>
      </c>
      <c r="D6396" s="10">
        <f ca="1">IFERROR(__xludf.DUMMYFUNCTION("""COMPUTED_VALUE"""),2015)</f>
        <v>2015</v>
      </c>
      <c r="E6396" s="10" t="str">
        <f ca="1">IFERROR(__xludf.DUMMYFUNCTION("""COMPUTED_VALUE"""),"Сб. доклади от XII национална научна конференция „Общество на знанието и хуманизма на XXI век“, 1 ноември 2014, УниБИТ, София: За буквите – О писменехь, 2015, с. 147 – 159. ISSN 1314-7099")</f>
        <v>Сб. доклади от XII национална научна конференция „Общество на знанието и хуманизма на XXI век“, 1 ноември 2014, УниБИТ, София: За буквите – О писменехь, 2015, с. 147 – 159. ISSN 1314-7099</v>
      </c>
      <c r="F6396" s="10"/>
      <c r="G6396" s="10"/>
      <c r="H6396" s="10"/>
      <c r="I6396" s="10"/>
      <c r="J6396" s="10"/>
      <c r="K6396" s="10"/>
      <c r="L6396" s="10"/>
      <c r="M6396" s="10"/>
      <c r="N6396" s="10"/>
      <c r="O6396" s="10"/>
      <c r="P6396" s="10"/>
      <c r="Q6396" s="10"/>
      <c r="R6396" s="10"/>
      <c r="S6396" s="10"/>
      <c r="T6396" s="10"/>
      <c r="U6396" s="10"/>
      <c r="V6396" s="10"/>
      <c r="W6396" s="10"/>
      <c r="X6396" s="10"/>
      <c r="Y6396" s="10"/>
      <c r="Z6396" s="10"/>
    </row>
    <row r="6397" spans="1:26" ht="12.75">
      <c r="A6397" s="10" t="str">
        <f ca="1">IFERROR(__xludf.DUMMYFUNCTION("""COMPUTED_VALUE"""),"Росица Добрева Кръстева")</f>
        <v>Росица Добрева Кръстева</v>
      </c>
      <c r="B6397" s="10" t="str">
        <f ca="1">IFERROR(__xludf.DUMMYFUNCTION("""COMPUTED_VALUE"""),"Книга")</f>
        <v>Книга</v>
      </c>
      <c r="C6397" s="10" t="str">
        <f ca="1">IFERROR(__xludf.DUMMYFUNCTION("""COMPUTED_VALUE"""),"Стандартизация в библиотечната, архивната и информационната област")</f>
        <v>Стандартизация в библиотечната, архивната и информационната област</v>
      </c>
      <c r="D6397" s="10">
        <f ca="1">IFERROR(__xludf.DUMMYFUNCTION("""COMPUTED_VALUE"""),2015)</f>
        <v>2015</v>
      </c>
      <c r="E6397" s="10" t="str">
        <f ca="1">IFERROR(__xludf.DUMMYFUNCTION("""COMPUTED_VALUE"""),"Новата цивилизация, 2015, 167 с. ISBN 978-954-836-587-1")</f>
        <v>Новата цивилизация, 2015, 167 с. ISBN 978-954-836-587-1</v>
      </c>
      <c r="F6397" s="10"/>
      <c r="G6397" s="10"/>
      <c r="H6397" s="10"/>
      <c r="I6397" s="10"/>
      <c r="J6397" s="10"/>
      <c r="K6397" s="10"/>
      <c r="L6397" s="10"/>
      <c r="M6397" s="10"/>
      <c r="N6397" s="10"/>
      <c r="O6397" s="10"/>
      <c r="P6397" s="10"/>
      <c r="Q6397" s="10"/>
      <c r="R6397" s="10"/>
      <c r="S6397" s="10"/>
      <c r="T6397" s="10"/>
      <c r="U6397" s="10"/>
      <c r="V6397" s="10"/>
      <c r="W6397" s="10"/>
      <c r="X6397" s="10"/>
      <c r="Y6397" s="10"/>
      <c r="Z6397" s="10"/>
    </row>
    <row r="6398" spans="1:26" ht="12.75">
      <c r="A6398" s="10" t="str">
        <f ca="1">IFERROR(__xludf.DUMMYFUNCTION("""COMPUTED_VALUE"""),"Росица Добрева Кръстева")</f>
        <v>Росица Добрева Кръстева</v>
      </c>
      <c r="B6398" s="10" t="str">
        <f ca="1">IFERROR(__xludf.DUMMYFUNCTION("""COMPUTED_VALUE"""),"Студия")</f>
        <v>Студия</v>
      </c>
      <c r="C6398" s="10" t="str">
        <f ca="1">IFERROR(__xludf.DUMMYFUNCTION("""COMPUTED_VALUE"""),"Архивите на Европейския съюз: Политика, процедура и инициатива за открит достъп")</f>
        <v>Архивите на Европейския съюз: Политика, процедура и инициатива за открит достъп</v>
      </c>
      <c r="D6398" s="10">
        <f ca="1">IFERROR(__xludf.DUMMYFUNCTION("""COMPUTED_VALUE"""),2015)</f>
        <v>2015</v>
      </c>
      <c r="E6398" s="10" t="str">
        <f ca="1">IFERROR(__xludf.DUMMYFUNCTION("""COMPUTED_VALUE"""),"Научни трудове на Университета по библиотекознание и информационни технологии, Т. ХII, София, За буквите – О писменехь, 2015 г. - с. 209 – 241. ISSN 1314-2623")</f>
        <v>Научни трудове на Университета по библиотекознание и информационни технологии, Т. ХII, София, За буквите – О писменехь, 2015 г. - с. 209 – 241. ISSN 1314-2623</v>
      </c>
      <c r="F6398" s="10"/>
      <c r="G6398" s="10"/>
      <c r="H6398" s="10"/>
      <c r="I6398" s="10"/>
      <c r="J6398" s="10"/>
      <c r="K6398" s="10"/>
      <c r="L6398" s="10"/>
      <c r="M6398" s="10"/>
      <c r="N6398" s="10"/>
      <c r="O6398" s="10"/>
      <c r="P6398" s="10"/>
      <c r="Q6398" s="10"/>
      <c r="R6398" s="10"/>
      <c r="S6398" s="10"/>
      <c r="T6398" s="10"/>
      <c r="U6398" s="10"/>
      <c r="V6398" s="10"/>
      <c r="W6398" s="10"/>
      <c r="X6398" s="10"/>
      <c r="Y6398" s="10"/>
      <c r="Z6398" s="10"/>
    </row>
    <row r="6399" spans="1:26" ht="12.75">
      <c r="A6399" s="10" t="str">
        <f ca="1">IFERROR(__xludf.DUMMYFUNCTION("""COMPUTED_VALUE"""),"Росица Добрева Кръстева")</f>
        <v>Росица Добрева Кръстева</v>
      </c>
      <c r="B6399" s="10" t="str">
        <f ca="1">IFERROR(__xludf.DUMMYFUNCTION("""COMPUTED_VALUE"""),"Статия в списания и поредици")</f>
        <v>Статия в списания и поредици</v>
      </c>
      <c r="C6399" s="10" t="str">
        <f ca="1">IFERROR(__xludf.DUMMYFUNCTION("""COMPUTED_VALUE"""),"Academic Education in Library and Information Management in Bulgaria")</f>
        <v>Academic Education in Library and Information Management in Bulgaria</v>
      </c>
      <c r="D6399" s="10">
        <f ca="1">IFERROR(__xludf.DUMMYFUNCTION("""COMPUTED_VALUE"""),2014)</f>
        <v>2014</v>
      </c>
      <c r="E6399" s="10" t="str">
        <f ca="1">IFERROR(__xludf.DUMMYFUNCTION("""COMPUTED_VALUE"""),"Open Journal of Social Sciences, 2014, Vol. 2, pp. 160-171. doi: 10.4236/jss.2014.28023 ISSN 2327-5960")</f>
        <v>Open Journal of Social Sciences, 2014, Vol. 2, pp. 160-171. doi: 10.4236/jss.2014.28023 ISSN 2327-5960</v>
      </c>
      <c r="F6399" s="10"/>
      <c r="G6399" s="10"/>
      <c r="H6399" s="10"/>
      <c r="I6399" s="10"/>
      <c r="J6399" s="10"/>
      <c r="K6399" s="10"/>
      <c r="L6399" s="10"/>
      <c r="M6399" s="10"/>
      <c r="N6399" s="10"/>
      <c r="O6399" s="10"/>
      <c r="P6399" s="10"/>
      <c r="Q6399" s="10"/>
      <c r="R6399" s="10"/>
      <c r="S6399" s="10"/>
      <c r="T6399" s="10"/>
      <c r="U6399" s="10"/>
      <c r="V6399" s="10"/>
      <c r="W6399" s="10"/>
      <c r="X6399" s="10"/>
      <c r="Y6399" s="10"/>
      <c r="Z6399" s="10"/>
    </row>
    <row r="6400" spans="1:26" ht="12.75">
      <c r="A6400" s="10" t="str">
        <f ca="1">IFERROR(__xludf.DUMMYFUNCTION("""COMPUTED_VALUE"""),"Росица Добрева Кръстева")</f>
        <v>Росица Добрева Кръстева</v>
      </c>
      <c r="B6400" s="10" t="str">
        <f ca="1">IFERROR(__xludf.DUMMYFUNCTION("""COMPUTED_VALUE"""),"Доклад от конференция")</f>
        <v>Доклад от конференция</v>
      </c>
      <c r="C6400" s="10" t="str">
        <f ca="1">IFERROR(__xludf.DUMMYFUNCTION("""COMPUTED_VALUE"""),"Новите професионални стандарти в архивната работа – инструмент за достъп и популяризиране на световното културно-историческо наследство")</f>
        <v>Новите професионални стандарти в архивната работа – инструмент за достъп и популяризиране на световното културно-историческо наследство</v>
      </c>
      <c r="D6400" s="10">
        <f ca="1">IFERROR(__xludf.DUMMYFUNCTION("""COMPUTED_VALUE"""),2014)</f>
        <v>2014</v>
      </c>
      <c r="E6400" s="10" t="str">
        <f ca="1">IFERROR(__xludf.DUMMYFUNCTION("""COMPUTED_VALUE"""),"Международен пътуващ семинар в Рим, 7 – 12.05.2014 г. София: За буквите – О писменехь, с. 190 - 197. ISBN 978-619-185-133-1")</f>
        <v>Международен пътуващ семинар в Рим, 7 – 12.05.2014 г. София: За буквите – О писменехь, с. 190 - 197. ISBN 978-619-185-133-1</v>
      </c>
      <c r="F6400" s="10"/>
      <c r="G6400" s="10"/>
      <c r="H6400" s="10"/>
      <c r="I6400" s="10"/>
      <c r="J6400" s="10"/>
      <c r="K6400" s="10"/>
      <c r="L6400" s="10"/>
      <c r="M6400" s="10"/>
      <c r="N6400" s="10"/>
      <c r="O6400" s="10"/>
      <c r="P6400" s="10"/>
      <c r="Q6400" s="10"/>
      <c r="R6400" s="10"/>
      <c r="S6400" s="10"/>
      <c r="T6400" s="10"/>
      <c r="U6400" s="10"/>
      <c r="V6400" s="10"/>
      <c r="W6400" s="10"/>
      <c r="X6400" s="10"/>
      <c r="Y6400" s="10"/>
      <c r="Z6400" s="10"/>
    </row>
    <row r="6401" spans="1:26" ht="12.75">
      <c r="A6401" s="10" t="str">
        <f ca="1">IFERROR(__xludf.DUMMYFUNCTION("""COMPUTED_VALUE"""),"Росица Добрева Кръстева")</f>
        <v>Росица Добрева Кръстева</v>
      </c>
      <c r="B6401" s="10" t="str">
        <f ca="1">IFERROR(__xludf.DUMMYFUNCTION("""COMPUTED_VALUE"""),"Доклад от конференция")</f>
        <v>Доклад от конференция</v>
      </c>
      <c r="C6401" s="10" t="str">
        <f ca="1">IFERROR(__xludf.DUMMYFUNCTION("""COMPUTED_VALUE"""),"Отношение на българските студенти към интелектуалната собственост в електронна среда")</f>
        <v>Отношение на българските студенти към интелектуалната собственост в електронна среда</v>
      </c>
      <c r="D6401" s="10">
        <f ca="1">IFERROR(__xludf.DUMMYFUNCTION("""COMPUTED_VALUE"""),2014)</f>
        <v>2014</v>
      </c>
      <c r="E6401" s="10" t="str">
        <f ca="1">IFERROR(__xludf.DUMMYFUNCTION("""COMPUTED_VALUE"""),"Сб. доклади от конференцията Интелектуалната собственост в XXI век: Българският опит в творческите и информационни индустрии» 28 април 2014 г., София: За буквите – О писменехь, с. 49 – 64. ISBN 978-619-185-019-8")</f>
        <v>Сб. доклади от конференцията Интелектуалната собственост в XXI век: Българският опит в творческите и информационни индустрии» 28 април 2014 г., София: За буквите – О писменехь, с. 49 – 64. ISBN 978-619-185-019-8</v>
      </c>
      <c r="F6401" s="10"/>
      <c r="G6401" s="10" t="str">
        <f ca="1">IFERROR(__xludf.DUMMYFUNCTION("""COMPUTED_VALUE"""),"Тренчева, Тереза, Ефтимова, Събина")</f>
        <v>Тренчева, Тереза, Ефтимова, Събина</v>
      </c>
      <c r="H6401" s="10"/>
      <c r="I6401" s="10"/>
      <c r="J6401" s="10"/>
      <c r="K6401" s="10"/>
      <c r="L6401" s="10"/>
      <c r="M6401" s="10"/>
      <c r="N6401" s="10"/>
      <c r="O6401" s="10"/>
      <c r="P6401" s="10"/>
      <c r="Q6401" s="10"/>
      <c r="R6401" s="10"/>
      <c r="S6401" s="10"/>
      <c r="T6401" s="10"/>
      <c r="U6401" s="10"/>
      <c r="V6401" s="10"/>
      <c r="W6401" s="10"/>
      <c r="X6401" s="10"/>
      <c r="Y6401" s="10"/>
      <c r="Z6401" s="10"/>
    </row>
    <row r="6402" spans="1:26" ht="12.75">
      <c r="A6402" s="10" t="str">
        <f ca="1">IFERROR(__xludf.DUMMYFUNCTION("""COMPUTED_VALUE"""),"Росица Добрева Кръстева")</f>
        <v>Росица Добрева Кръстева</v>
      </c>
      <c r="B6402" s="10" t="str">
        <f ca="1">IFERROR(__xludf.DUMMYFUNCTION("""COMPUTED_VALUE"""),"Доклад от конференция")</f>
        <v>Доклад от конференция</v>
      </c>
      <c r="C6402" s="10" t="str">
        <f ca="1">IFERROR(__xludf.DUMMYFUNCTION("""COMPUTED_VALUE"""),"Impact of psychological factors on the successful standardization")</f>
        <v>Impact of psychological factors on the successful standardization</v>
      </c>
      <c r="D6402" s="10">
        <f ca="1">IFERROR(__xludf.DUMMYFUNCTION("""COMPUTED_VALUE"""),2013)</f>
        <v>2013</v>
      </c>
      <c r="E6402" s="10" t="str">
        <f ca="1">IFERROR(__xludf.DUMMYFUNCTION("""COMPUTED_VALUE"""),"10-th Anniversary international conference „Standardization and related activities - a means of international and Balkan colaboration“ – 13-14 September 2013, Sozopol, Bulgaria: Proceedings. Sofia, Publishing House of Technical University of Sofia, 2013, "&amp;"pp. 198-203. ISBN 978-619-167-048-2")</f>
        <v>10-th Anniversary international conference „Standardization and related activities - a means of international and Balkan colaboration“ – 13-14 September 2013, Sozopol, Bulgaria: Proceedings. Sofia, Publishing House of Technical University of Sofia, 2013, pp. 198-203. ISBN 978-619-167-048-2</v>
      </c>
      <c r="F6402" s="10"/>
      <c r="G6402" s="10" t="str">
        <f ca="1">IFERROR(__xludf.DUMMYFUNCTION("""COMPUTED_VALUE"""),"Mitevska-Encheva, M., S. Galabova")</f>
        <v>Mitevska-Encheva, M., S. Galabova</v>
      </c>
      <c r="H6402" s="10"/>
      <c r="I6402" s="10"/>
      <c r="J6402" s="10"/>
      <c r="K6402" s="10"/>
      <c r="L6402" s="10"/>
      <c r="M6402" s="10"/>
      <c r="N6402" s="10"/>
      <c r="O6402" s="10"/>
      <c r="P6402" s="10"/>
      <c r="Q6402" s="10"/>
      <c r="R6402" s="10"/>
      <c r="S6402" s="10"/>
      <c r="T6402" s="10"/>
      <c r="U6402" s="10"/>
      <c r="V6402" s="10"/>
      <c r="W6402" s="10"/>
      <c r="X6402" s="10"/>
      <c r="Y6402" s="10"/>
      <c r="Z6402" s="10"/>
    </row>
    <row r="6403" spans="1:26" ht="12.75">
      <c r="A6403" s="10" t="str">
        <f ca="1">IFERROR(__xludf.DUMMYFUNCTION("""COMPUTED_VALUE"""),"Росица Добрева Кръстева")</f>
        <v>Росица Добрева Кръстева</v>
      </c>
      <c r="B6403" s="10" t="str">
        <f ca="1">IFERROR(__xludf.DUMMYFUNCTION("""COMPUTED_VALUE"""),"Доклад от конференция")</f>
        <v>Доклад от конференция</v>
      </c>
      <c r="C6403" s="10" t="str">
        <f ca="1">IFERROR(__xludf.DUMMYFUNCTION("""COMPUTED_VALUE"""),"University education in standardization In Republic Bulgaria")</f>
        <v>University education in standardization In Republic Bulgaria</v>
      </c>
      <c r="D6403" s="10">
        <f ca="1">IFERROR(__xludf.DUMMYFUNCTION("""COMPUTED_VALUE"""),2013)</f>
        <v>2013</v>
      </c>
      <c r="E6403" s="10" t="str">
        <f ca="1">IFERROR(__xludf.DUMMYFUNCTION("""COMPUTED_VALUE"""),"10-th Anniversary international conference „Standardization and related activities - a means of international and Balkan colaboration“ – 13-14 September 2013, Sozopol, Bulgaria: Proceedings. Sofia: Publishing House of Technical University of Sofia, 2013, "&amp;"pp. 176–183. ISBN 978-619-167-048-2")</f>
        <v>10-th Anniversary international conference „Standardization and related activities - a means of international and Balkan colaboration“ – 13-14 September 2013, Sozopol, Bulgaria: Proceedings. Sofia: Publishing House of Technical University of Sofia, 2013, pp. 176–183. ISBN 978-619-167-048-2</v>
      </c>
      <c r="F6403" s="10"/>
      <c r="G6403" s="10" t="str">
        <f ca="1">IFERROR(__xludf.DUMMYFUNCTION("""COMPUTED_VALUE"""),"Galabova, S., M. Mitev")</f>
        <v>Galabova, S., M. Mitev</v>
      </c>
      <c r="H6403" s="10"/>
      <c r="I6403" s="10"/>
      <c r="J6403" s="10"/>
      <c r="K6403" s="10"/>
      <c r="L6403" s="10"/>
      <c r="M6403" s="10"/>
      <c r="N6403" s="10"/>
      <c r="O6403" s="10"/>
      <c r="P6403" s="10"/>
      <c r="Q6403" s="10"/>
      <c r="R6403" s="10"/>
      <c r="S6403" s="10"/>
      <c r="T6403" s="10"/>
      <c r="U6403" s="10"/>
      <c r="V6403" s="10"/>
      <c r="W6403" s="10"/>
      <c r="X6403" s="10"/>
      <c r="Y6403" s="10"/>
      <c r="Z6403" s="10"/>
    </row>
    <row r="6404" spans="1:26" ht="12.75">
      <c r="A6404" s="10" t="str">
        <f ca="1">IFERROR(__xludf.DUMMYFUNCTION("""COMPUTED_VALUE"""),"Росица Добрева Кръстева")</f>
        <v>Росица Добрева Кръстева</v>
      </c>
      <c r="B6404" s="10" t="str">
        <f ca="1">IFERROR(__xludf.DUMMYFUNCTION("""COMPUTED_VALUE"""),"Доклад от конференция")</f>
        <v>Доклад от конференция</v>
      </c>
      <c r="C6404" s="10" t="str">
        <f ca="1">IFERROR(__xludf.DUMMYFUNCTION("""COMPUTED_VALUE"""),"Основаване и дейност до Освобождението на първото българско селско читалище „Виделина“ в Панагюрище (1865 – 1878г.)")</f>
        <v>Основаване и дейност до Освобождението на първото българско селско читалище „Виделина“ в Панагюрище (1865 – 1878г.)</v>
      </c>
      <c r="D6404" s="10">
        <f ca="1">IFERROR(__xludf.DUMMYFUNCTION("""COMPUTED_VALUE"""),2013)</f>
        <v>2013</v>
      </c>
      <c r="E6404" s="10" t="str">
        <f ca="1">IFERROR(__xludf.DUMMYFUNCTION("""COMPUTED_VALUE"""),"Научна конференция с международно участие „Дигиталното настояще и дигиталното бъдеще: Икономически, културни, образователни, правни и технологични въздействия”, София, 9 – 10 април 2013, с. 216 - 223. ISBN 978-9542946-64-9")</f>
        <v>Научна конференция с международно участие „Дигиталното настояще и дигиталното бъдеще: Икономически, културни, образователни, правни и технологични въздействия”, София, 9 – 10 април 2013, с. 216 - 223. ISBN 978-9542946-64-9</v>
      </c>
      <c r="F6404" s="10"/>
      <c r="G6404" s="10" t="str">
        <f ca="1">IFERROR(__xludf.DUMMYFUNCTION("""COMPUTED_VALUE"""),"М. Йорданова")</f>
        <v>М. Йорданова</v>
      </c>
      <c r="H6404" s="10"/>
      <c r="I6404" s="10"/>
      <c r="J6404" s="10"/>
      <c r="K6404" s="10"/>
      <c r="L6404" s="10"/>
      <c r="M6404" s="10"/>
      <c r="N6404" s="10"/>
      <c r="O6404" s="10"/>
      <c r="P6404" s="10"/>
      <c r="Q6404" s="10"/>
      <c r="R6404" s="10"/>
      <c r="S6404" s="10"/>
      <c r="T6404" s="10"/>
      <c r="U6404" s="10"/>
      <c r="V6404" s="10"/>
      <c r="W6404" s="10"/>
      <c r="X6404" s="10"/>
      <c r="Y6404" s="10"/>
      <c r="Z6404" s="10"/>
    </row>
    <row r="6405" spans="1:26" ht="12.75">
      <c r="A6405" s="10" t="str">
        <f ca="1">IFERROR(__xludf.DUMMYFUNCTION("""COMPUTED_VALUE"""),"Росица Добрева Кръстева")</f>
        <v>Росица Добрева Кръстева</v>
      </c>
      <c r="B6405" s="10" t="str">
        <f ca="1">IFERROR(__xludf.DUMMYFUNCTION("""COMPUTED_VALUE"""),"Доклад от конференция")</f>
        <v>Доклад от конференция</v>
      </c>
      <c r="C6405" s="10" t="str">
        <f ca="1">IFERROR(__xludf.DUMMYFUNCTION("""COMPUTED_VALUE"""),"Обучението по стандартизация в УниБИТ като фактор за повишаване на информационната грамотност на студентите")</f>
        <v>Обучението по стандартизация в УниБИТ като фактор за повишаване на информационната грамотност на студентите</v>
      </c>
      <c r="D6405" s="10">
        <f ca="1">IFERROR(__xludf.DUMMYFUNCTION("""COMPUTED_VALUE"""),2013)</f>
        <v>2013</v>
      </c>
      <c r="E6405" s="10" t="str">
        <f ca="1">IFERROR(__xludf.DUMMYFUNCTION("""COMPUTED_VALUE"""),"Международна научна конференция „Младите в науката – инвестиция в бъдещето“ - 18-20.10.2013, София: За буквите – О писменехь, с. 382 – 389. ISBN 978-619-185-132-4")</f>
        <v>Международна научна конференция „Младите в науката – инвестиция в бъдещето“ - 18-20.10.2013, София: За буквите – О писменехь, с. 382 – 389. ISBN 978-619-185-132-4</v>
      </c>
      <c r="F6405" s="10"/>
      <c r="G6405" s="10"/>
      <c r="H6405" s="10"/>
      <c r="I6405" s="10"/>
      <c r="J6405" s="10"/>
      <c r="K6405" s="10"/>
      <c r="L6405" s="10"/>
      <c r="M6405" s="10"/>
      <c r="N6405" s="10"/>
      <c r="O6405" s="10"/>
      <c r="P6405" s="10"/>
      <c r="Q6405" s="10"/>
      <c r="R6405" s="10"/>
      <c r="S6405" s="10"/>
      <c r="T6405" s="10"/>
      <c r="U6405" s="10"/>
      <c r="V6405" s="10"/>
      <c r="W6405" s="10"/>
      <c r="X6405" s="10"/>
      <c r="Y6405" s="10"/>
      <c r="Z6405" s="10"/>
    </row>
    <row r="6406" spans="1:26" ht="12.75">
      <c r="A6406" s="10" t="str">
        <f ca="1">IFERROR(__xludf.DUMMYFUNCTION("""COMPUTED_VALUE"""),"Росица Добрева Кръстева")</f>
        <v>Росица Добрева Кръстева</v>
      </c>
      <c r="B6406" s="10" t="str">
        <f ca="1">IFERROR(__xludf.DUMMYFUNCTION("""COMPUTED_VALUE"""),"Студия")</f>
        <v>Студия</v>
      </c>
      <c r="C6406" s="10" t="str">
        <f ca="1">IFERROR(__xludf.DUMMYFUNCTION("""COMPUTED_VALUE"""),"Резултати от Национално анкетно проучване „Опазване на интелектуалната собственост в Интернет“")</f>
        <v>Резултати от Национално анкетно проучване „Опазване на интелектуалната собственост в Интернет“</v>
      </c>
      <c r="D6406" s="10">
        <f ca="1">IFERROR(__xludf.DUMMYFUNCTION("""COMPUTED_VALUE"""),2013)</f>
        <v>2013</v>
      </c>
      <c r="E6406" s="10" t="str">
        <f ca="1">IFERROR(__xludf.DUMMYFUNCTION("""COMPUTED_VALUE"""),"Интелектуалната собственост в университетите - Творчество: следващото поколение: Сборник доклади от Научен семинар, София, За буквите – О писменехь, 2013, с. 24 – 62. ISBN 978-954-2946-67-0")</f>
        <v>Интелектуалната собственост в университетите - Творчество: следващото поколение: Сборник доклади от Научен семинар, София, За буквите – О писменехь, 2013, с. 24 – 62. ISBN 978-954-2946-67-0</v>
      </c>
      <c r="F6406" s="10"/>
      <c r="G6406" s="10" t="str">
        <f ca="1">IFERROR(__xludf.DUMMYFUNCTION("""COMPUTED_VALUE"""),"Тренчева, Тереза, Петков, Гошо")</f>
        <v>Тренчева, Тереза, Петков, Гошо</v>
      </c>
      <c r="H6406" s="10"/>
      <c r="I6406" s="10"/>
      <c r="J6406" s="10"/>
      <c r="K6406" s="10"/>
      <c r="L6406" s="10"/>
      <c r="M6406" s="10"/>
      <c r="N6406" s="10"/>
      <c r="O6406" s="10"/>
      <c r="P6406" s="10"/>
      <c r="Q6406" s="10"/>
      <c r="R6406" s="10"/>
      <c r="S6406" s="10"/>
      <c r="T6406" s="10"/>
      <c r="U6406" s="10"/>
      <c r="V6406" s="10"/>
      <c r="W6406" s="10"/>
      <c r="X6406" s="10"/>
      <c r="Y6406" s="10"/>
      <c r="Z6406" s="10"/>
    </row>
    <row r="6407" spans="1:26" ht="12.75">
      <c r="A6407" s="10" t="str">
        <f ca="1">IFERROR(__xludf.DUMMYFUNCTION("""COMPUTED_VALUE"""),"Росица Добрева Кръстева")</f>
        <v>Росица Добрева Кръстева</v>
      </c>
      <c r="B6407" s="10" t="str">
        <f ca="1">IFERROR(__xludf.DUMMYFUNCTION("""COMPUTED_VALUE"""),"Доклад от конференция")</f>
        <v>Доклад от конференция</v>
      </c>
      <c r="C6407" s="10" t="str">
        <f ca="1">IFERROR(__xludf.DUMMYFUNCTION("""COMPUTED_VALUE"""),"Един поглед върху триадата четене, четиво, читатели: съвременен аспект")</f>
        <v>Един поглед върху триадата четене, четиво, читатели: съвременен аспект</v>
      </c>
      <c r="D6407" s="10">
        <f ca="1">IFERROR(__xludf.DUMMYFUNCTION("""COMPUTED_VALUE"""),2012)</f>
        <v>2012</v>
      </c>
      <c r="E6407" s="10" t="str">
        <f ca="1">IFERROR(__xludf.DUMMYFUNCTION("""COMPUTED_VALUE"""),"Научен форум «Дни на книгата и авторското право в УниБИТ», 23-25 април 2012 г., София, За буквите – О писменехь, с. 93–97. ISSN 1314-7323")</f>
        <v>Научен форум «Дни на книгата и авторското право в УниБИТ», 23-25 април 2012 г., София, За буквите – О писменехь, с. 93–97. ISSN 1314-7323</v>
      </c>
      <c r="F6407" s="10"/>
      <c r="G6407" s="10"/>
      <c r="H6407" s="10"/>
      <c r="I6407" s="10"/>
      <c r="J6407" s="10"/>
      <c r="K6407" s="10"/>
      <c r="L6407" s="10"/>
      <c r="M6407" s="10"/>
      <c r="N6407" s="10"/>
      <c r="O6407" s="10"/>
      <c r="P6407" s="10"/>
      <c r="Q6407" s="10"/>
      <c r="R6407" s="10"/>
      <c r="S6407" s="10"/>
      <c r="T6407" s="10"/>
      <c r="U6407" s="10"/>
      <c r="V6407" s="10"/>
      <c r="W6407" s="10"/>
      <c r="X6407" s="10"/>
      <c r="Y6407" s="10"/>
      <c r="Z6407" s="10"/>
    </row>
    <row r="6408" spans="1:26" ht="12.75">
      <c r="A6408" s="10" t="str">
        <f ca="1">IFERROR(__xludf.DUMMYFUNCTION("""COMPUTED_VALUE"""),"Росица Добрева Кръстева")</f>
        <v>Росица Добрева Кръстева</v>
      </c>
      <c r="B6408" s="10" t="str">
        <f ca="1">IFERROR(__xludf.DUMMYFUNCTION("""COMPUTED_VALUE"""),"Доклад от конференция")</f>
        <v>Доклад от конференция</v>
      </c>
      <c r="C6408" s="10" t="str">
        <f ca="1">IFERROR(__xludf.DUMMYFUNCTION("""COMPUTED_VALUE"""),"Информираност и отношение на младите хора към опазването на интелектуалната собственост в Интернет")</f>
        <v>Информираност и отношение на младите хора към опазването на интелектуалната собственост в Интернет</v>
      </c>
      <c r="D6408" s="10">
        <f ca="1">IFERROR(__xludf.DUMMYFUNCTION("""COMPUTED_VALUE"""),2012)</f>
        <v>2012</v>
      </c>
      <c r="E6408" s="10" t="str">
        <f ca="1">IFERROR(__xludf.DUMMYFUNCTION("""COMPUTED_VALUE"""),"Библиотеки, четене, комуникации : XI нац. науч. конф., Велико Търново, 16-17 ноември 2012 г., 109 – 113. ISSN 1313-8138")</f>
        <v>Библиотеки, четене, комуникации : XI нац. науч. конф., Велико Търново, 16-17 ноември 2012 г., 109 – 113. ISSN 1313-8138</v>
      </c>
      <c r="F6408" s="10"/>
      <c r="G6408" s="10"/>
      <c r="H6408" s="10"/>
      <c r="I6408" s="10"/>
      <c r="J6408" s="10"/>
      <c r="K6408" s="10"/>
      <c r="L6408" s="10"/>
      <c r="M6408" s="10"/>
      <c r="N6408" s="10"/>
      <c r="O6408" s="10"/>
      <c r="P6408" s="10"/>
      <c r="Q6408" s="10"/>
      <c r="R6408" s="10"/>
      <c r="S6408" s="10"/>
      <c r="T6408" s="10"/>
      <c r="U6408" s="10"/>
      <c r="V6408" s="10"/>
      <c r="W6408" s="10"/>
      <c r="X6408" s="10"/>
      <c r="Y6408" s="10"/>
      <c r="Z6408" s="10"/>
    </row>
    <row r="6409" spans="1:26" ht="12.75">
      <c r="A6409" s="10" t="str">
        <f ca="1">IFERROR(__xludf.DUMMYFUNCTION("""COMPUTED_VALUE"""),"Росица Добрева Кръстева")</f>
        <v>Росица Добрева Кръстева</v>
      </c>
      <c r="B6409" s="10" t="str">
        <f ca="1">IFERROR(__xludf.DUMMYFUNCTION("""COMPUTED_VALUE"""),"Доклад от конференция")</f>
        <v>Доклад от конференция</v>
      </c>
      <c r="C6409" s="10" t="str">
        <f ca="1">IFERROR(__xludf.DUMMYFUNCTION("""COMPUTED_VALUE"""),"Съвременни тенденции на стандартизационното осигуряване в областта на информационните и комуникационни технологии в България")</f>
        <v>Съвременни тенденции на стандартизационното осигуряване в областта на информационните и комуникационни технологии в България</v>
      </c>
      <c r="D6409" s="10">
        <f ca="1">IFERROR(__xludf.DUMMYFUNCTION("""COMPUTED_VALUE"""),2011)</f>
        <v>2011</v>
      </c>
      <c r="E6409" s="10" t="str">
        <f ca="1">IFERROR(__xludf.DUMMYFUNCTION("""COMPUTED_VALUE"""),"Сборник научни доклади и научни съобщения от научна конференция с международно участие 3-4 септември 2011 г. Библиотечният и културен мениджмънт и информационно-комуникационните технологии, Бургаски свободен университет. София: За буквите – О писменехь, 2"&amp;"011, с. 182 – 193. ISBN 978-954-2946-14-4")</f>
        <v>Сборник научни доклади и научни съобщения от научна конференция с международно участие 3-4 септември 2011 г. Библиотечният и културен мениджмънт и информационно-комуникационните технологии, Бургаски свободен университет. София: За буквите – О писменехь, 2011, с. 182 – 193. ISBN 978-954-2946-14-4</v>
      </c>
      <c r="F6409" s="10"/>
      <c r="G6409" s="10" t="str">
        <f ca="1">IFERROR(__xludf.DUMMYFUNCTION("""COMPUTED_VALUE"""),"Тренчева, Тереза")</f>
        <v>Тренчева, Тереза</v>
      </c>
      <c r="H6409" s="10"/>
      <c r="I6409" s="10"/>
      <c r="J6409" s="10"/>
      <c r="K6409" s="10"/>
      <c r="L6409" s="10"/>
      <c r="M6409" s="10"/>
      <c r="N6409" s="10"/>
      <c r="O6409" s="10"/>
      <c r="P6409" s="10"/>
      <c r="Q6409" s="10"/>
      <c r="R6409" s="10"/>
      <c r="S6409" s="10"/>
      <c r="T6409" s="10"/>
      <c r="U6409" s="10"/>
      <c r="V6409" s="10"/>
      <c r="W6409" s="10"/>
      <c r="X6409" s="10"/>
      <c r="Y6409" s="10"/>
      <c r="Z6409" s="10"/>
    </row>
    <row r="6410" spans="1:26" ht="12.75">
      <c r="A6410" s="10" t="str">
        <f ca="1">IFERROR(__xludf.DUMMYFUNCTION("""COMPUTED_VALUE"""),"Росица Добрева Кръстева")</f>
        <v>Росица Добрева Кръстева</v>
      </c>
      <c r="B6410" s="10" t="str">
        <f ca="1">IFERROR(__xludf.DUMMYFUNCTION("""COMPUTED_VALUE"""),"Статия в списания и поредици")</f>
        <v>Статия в списания и поредици</v>
      </c>
      <c r="C6410" s="10" t="str">
        <f ca="1">IFERROR(__xludf.DUMMYFUNCTION("""COMPUTED_VALUE"""),"Национална библиография за българските стандарти и нейният електронен вариант")</f>
        <v>Национална библиография за българските стандарти и нейният електронен вариант</v>
      </c>
      <c r="D6410" s="10">
        <f ca="1">IFERROR(__xludf.DUMMYFUNCTION("""COMPUTED_VALUE"""),2011)</f>
        <v>2011</v>
      </c>
      <c r="E6410" s="10" t="str">
        <f ca="1">IFERROR(__xludf.DUMMYFUNCTION("""COMPUTED_VALUE"""),"Актуальные вопросы библиографии. Болгария и Россия: теоретические и прикладные исследования: Сборник научных докладов и сообщений. Москва, Московский государственный университет печати, 2011, с. 65 – 75. ISBN 978-5-8122-1142-4")</f>
        <v>Актуальные вопросы библиографии. Болгария и Россия: теоретические и прикладные исследования: Сборник научных докладов и сообщений. Москва, Московский государственный университет печати, 2011, с. 65 – 75. ISBN 978-5-8122-1142-4</v>
      </c>
      <c r="F6410" s="10"/>
      <c r="G6410" s="10" t="str">
        <f ca="1">IFERROR(__xludf.DUMMYFUNCTION("""COMPUTED_VALUE"""),"Гълъбова, С.")</f>
        <v>Гълъбова, С.</v>
      </c>
      <c r="H6410" s="10"/>
      <c r="I6410" s="10"/>
      <c r="J6410" s="10"/>
      <c r="K6410" s="10"/>
      <c r="L6410" s="10"/>
      <c r="M6410" s="10"/>
      <c r="N6410" s="10"/>
      <c r="O6410" s="10"/>
      <c r="P6410" s="10"/>
      <c r="Q6410" s="10"/>
      <c r="R6410" s="10"/>
      <c r="S6410" s="10"/>
      <c r="T6410" s="10"/>
      <c r="U6410" s="10"/>
      <c r="V6410" s="10"/>
      <c r="W6410" s="10"/>
      <c r="X6410" s="10"/>
      <c r="Y6410" s="10"/>
      <c r="Z6410" s="10"/>
    </row>
    <row r="6411" spans="1:26" ht="12.75">
      <c r="A6411" s="10" t="str">
        <f ca="1">IFERROR(__xludf.DUMMYFUNCTION("""COMPUTED_VALUE"""),"Росица Добрева Кръстева")</f>
        <v>Росица Добрева Кръстева</v>
      </c>
      <c r="B6411" s="10" t="str">
        <f ca="1">IFERROR(__xludf.DUMMYFUNCTION("""COMPUTED_VALUE"""),"Доклад от конференция")</f>
        <v>Доклад от конференция</v>
      </c>
      <c r="C6411" s="10" t="str">
        <f ca="1">IFERROR(__xludf.DUMMYFUNCTION("""COMPUTED_VALUE"""),"Анализ на системи за управление на качеството в чуждестранни академични библиотеки.")</f>
        <v>Анализ на системи за управление на качеството в чуждестранни академични библиотеки.</v>
      </c>
      <c r="D6411" s="10">
        <f ca="1">IFERROR(__xludf.DUMMYFUNCTION("""COMPUTED_VALUE"""),2011)</f>
        <v>2011</v>
      </c>
      <c r="E6411" s="10" t="str">
        <f ca="1">IFERROR(__xludf.DUMMYFUNCTION("""COMPUTED_VALUE"""),"Национална научна конференция с международно участие, IX: “Обществото на знанието и хуманизмът на XXI век”, София, 2 ноември 2011, с. 551-661. ISSN 1314-7099")</f>
        <v>Национална научна конференция с международно участие, IX: “Обществото на знанието и хуманизмът на XXI век”, София, 2 ноември 2011, с. 551-661. ISSN 1314-7099</v>
      </c>
      <c r="F6411" s="10"/>
      <c r="G6411" s="10"/>
      <c r="H6411" s="10"/>
      <c r="I6411" s="10"/>
      <c r="J6411" s="10"/>
      <c r="K6411" s="10"/>
      <c r="L6411" s="10"/>
      <c r="M6411" s="10"/>
      <c r="N6411" s="10"/>
      <c r="O6411" s="10"/>
      <c r="P6411" s="10"/>
      <c r="Q6411" s="10"/>
      <c r="R6411" s="10"/>
      <c r="S6411" s="10"/>
      <c r="T6411" s="10"/>
      <c r="U6411" s="10"/>
      <c r="V6411" s="10"/>
      <c r="W6411" s="10"/>
      <c r="X6411" s="10"/>
      <c r="Y6411" s="10"/>
      <c r="Z6411" s="10"/>
    </row>
    <row r="6412" spans="1:26" ht="12.75">
      <c r="A6412" s="10" t="str">
        <f ca="1">IFERROR(__xludf.DUMMYFUNCTION("""COMPUTED_VALUE"""),"Росица Добрева Кръстева")</f>
        <v>Росица Добрева Кръстева</v>
      </c>
      <c r="B6412" s="10" t="str">
        <f ca="1">IFERROR(__xludf.DUMMYFUNCTION("""COMPUTED_VALUE"""),"Доклад от конференция")</f>
        <v>Доклад от конференция</v>
      </c>
      <c r="C6412" s="10" t="str">
        <f ca="1">IFERROR(__xludf.DUMMYFUNCTION("""COMPUTED_VALUE"""),"Социално значение и роля на европейските стандарти в съвременното общество.")</f>
        <v>Социално значение и роля на европейските стандарти в съвременното общество.</v>
      </c>
      <c r="D6412" s="10">
        <f ca="1">IFERROR(__xludf.DUMMYFUNCTION("""COMPUTED_VALUE"""),2010)</f>
        <v>2010</v>
      </c>
      <c r="E6412" s="10" t="str">
        <f ca="1">IFERROR(__xludf.DUMMYFUNCTION("""COMPUTED_VALUE"""),"Научна конференция с международно участие «Роля на информационната грамотност в съвременната информационна и образователна среда» 18 – 19 октомври 2010 г, Университетска библиотека на Икономическия университет, гр. Варна с. 108 - 112. ISBN 978-954-400-249"&amp;"-7")</f>
        <v>Научна конференция с международно участие «Роля на информационната грамотност в съвременната информационна и образователна среда» 18 – 19 октомври 2010 г, Университетска библиотека на Икономическия университет, гр. Варна с. 108 - 112. ISBN 978-954-400-249-7</v>
      </c>
      <c r="F6412" s="10"/>
      <c r="G6412" s="10"/>
      <c r="H6412" s="10"/>
      <c r="I6412" s="10"/>
      <c r="J6412" s="10"/>
      <c r="K6412" s="10"/>
      <c r="L6412" s="10"/>
      <c r="M6412" s="10"/>
      <c r="N6412" s="10"/>
      <c r="O6412" s="10"/>
      <c r="P6412" s="10"/>
      <c r="Q6412" s="10"/>
      <c r="R6412" s="10"/>
      <c r="S6412" s="10"/>
      <c r="T6412" s="10"/>
      <c r="U6412" s="10"/>
      <c r="V6412" s="10"/>
      <c r="W6412" s="10"/>
      <c r="X6412" s="10"/>
      <c r="Y6412" s="10"/>
      <c r="Z6412" s="10"/>
    </row>
    <row r="6413" spans="1:26" ht="12.75">
      <c r="A6413" s="10" t="str">
        <f ca="1">IFERROR(__xludf.DUMMYFUNCTION("""COMPUTED_VALUE"""),"Росица Добрева Кръстева")</f>
        <v>Росица Добрева Кръстева</v>
      </c>
      <c r="B6413" s="10" t="str">
        <f ca="1">IFERROR(__xludf.DUMMYFUNCTION("""COMPUTED_VALUE"""),"Доклад от конференция")</f>
        <v>Доклад от конференция</v>
      </c>
      <c r="C6413" s="10" t="str">
        <f ca="1">IFERROR(__xludf.DUMMYFUNCTION("""COMPUTED_VALUE"""),"Приложение на принципите на БДС ЕN ISO 9001:2008 при изготвяне на Модел на система за управление на качеството в академична библиотека")</f>
        <v>Приложение на принципите на БДС ЕN ISO 9001:2008 при изготвяне на Модел на система за управление на качеството в академична библиотека</v>
      </c>
      <c r="D6413" s="10">
        <f ca="1">IFERROR(__xludf.DUMMYFUNCTION("""COMPUTED_VALUE"""),2010)</f>
        <v>2010</v>
      </c>
      <c r="E6413" s="10" t="str">
        <f ca="1">IFERROR(__xludf.DUMMYFUNCTION("""COMPUTED_VALUE"""),"Национална научна конференция с международно участие, IX: “Библиотеки – четене – комуникации”, В. Търново, 30 ноември 2010, с. 356-368. ISSN 1313-8138")</f>
        <v>Национална научна конференция с международно участие, IX: “Библиотеки – четене – комуникации”, В. Търново, 30 ноември 2010, с. 356-368. ISSN 1313-8138</v>
      </c>
      <c r="F6413" s="10"/>
      <c r="G6413" s="10"/>
      <c r="H6413" s="10"/>
      <c r="I6413" s="10"/>
      <c r="J6413" s="10"/>
      <c r="K6413" s="10"/>
      <c r="L6413" s="10"/>
      <c r="M6413" s="10"/>
      <c r="N6413" s="10"/>
      <c r="O6413" s="10"/>
      <c r="P6413" s="10"/>
      <c r="Q6413" s="10"/>
      <c r="R6413" s="10"/>
      <c r="S6413" s="10"/>
      <c r="T6413" s="10"/>
      <c r="U6413" s="10"/>
      <c r="V6413" s="10"/>
      <c r="W6413" s="10"/>
      <c r="X6413" s="10"/>
      <c r="Y6413" s="10"/>
      <c r="Z6413" s="10"/>
    </row>
    <row r="6414" spans="1:26" ht="12.75">
      <c r="A6414" s="10" t="str">
        <f ca="1">IFERROR(__xludf.DUMMYFUNCTION("""COMPUTED_VALUE"""),"Росица Добрева Кръстева")</f>
        <v>Росица Добрева Кръстева</v>
      </c>
      <c r="B6414" s="10" t="str">
        <f ca="1">IFERROR(__xludf.DUMMYFUNCTION("""COMPUTED_VALUE"""),"Доклад от конференция")</f>
        <v>Доклад от конференция</v>
      </c>
      <c r="C6414" s="10" t="str">
        <f ca="1">IFERROR(__xludf.DUMMYFUNCTION("""COMPUTED_VALUE"""),"Индикатори за измерване постиженията на академична библиотека и повишаване качеството на дейността и")</f>
        <v>Индикатори за измерване постиженията на академична библиотека и повишаване качеството на дейността и</v>
      </c>
      <c r="D6414" s="10">
        <f ca="1">IFERROR(__xludf.DUMMYFUNCTION("""COMPUTED_VALUE"""),2010)</f>
        <v>2010</v>
      </c>
      <c r="E6414" s="10" t="str">
        <f ca="1">IFERROR(__xludf.DUMMYFUNCTION("""COMPUTED_VALUE"""),"Национална научна конференция с международно участие, VIII: “Обществото на знанието и хуманизмът на XXI век”, София, 2 ноември 2010, с. 761-769. ISBN 978-954-2946-09-01")</f>
        <v>Национална научна конференция с международно участие, VIII: “Обществото на знанието и хуманизмът на XXI век”, София, 2 ноември 2010, с. 761-769. ISBN 978-954-2946-09-01</v>
      </c>
      <c r="F6414" s="10"/>
      <c r="G6414" s="10"/>
      <c r="H6414" s="10"/>
      <c r="I6414" s="10"/>
      <c r="J6414" s="10"/>
      <c r="K6414" s="10"/>
      <c r="L6414" s="10"/>
      <c r="M6414" s="10"/>
      <c r="N6414" s="10"/>
      <c r="O6414" s="10"/>
      <c r="P6414" s="10"/>
      <c r="Q6414" s="10"/>
      <c r="R6414" s="10"/>
      <c r="S6414" s="10"/>
      <c r="T6414" s="10"/>
      <c r="U6414" s="10"/>
      <c r="V6414" s="10"/>
      <c r="W6414" s="10"/>
      <c r="X6414" s="10"/>
      <c r="Y6414" s="10"/>
      <c r="Z6414" s="10"/>
    </row>
    <row r="6415" spans="1:26" ht="12.75">
      <c r="A6415" s="10" t="str">
        <f ca="1">IFERROR(__xludf.DUMMYFUNCTION("""COMPUTED_VALUE"""),"Росица Добрева Кръстева")</f>
        <v>Росица Добрева Кръстева</v>
      </c>
      <c r="B6415" s="10" t="str">
        <f ca="1">IFERROR(__xludf.DUMMYFUNCTION("""COMPUTED_VALUE"""),"Доклад от конференция")</f>
        <v>Доклад от конференция</v>
      </c>
      <c r="C6415" s="10" t="str">
        <f ca="1">IFERROR(__xludf.DUMMYFUNCTION("""COMPUTED_VALUE"""),"Управление на качеството на обслужване в библиотечно-информационната дейност")</f>
        <v>Управление на качеството на обслужване в библиотечно-информационната дейност</v>
      </c>
      <c r="D6415" s="10">
        <f ca="1">IFERROR(__xludf.DUMMYFUNCTION("""COMPUTED_VALUE"""),2010)</f>
        <v>2010</v>
      </c>
      <c r="E6415" s="10" t="str">
        <f ca="1">IFERROR(__xludf.DUMMYFUNCTION("""COMPUTED_VALUE"""),"Библиотечният мениджмънт. Научни и практически аспекти: Научни доклади и съобщения от Втора научна конференция с международно участие гр. Варна, 26-27 ноември 2009 г., В. Търново, Фабер, 2010, с.213-222. ISBN 978-954-400-249-7")</f>
        <v>Библиотечният мениджмънт. Научни и практически аспекти: Научни доклади и съобщения от Втора научна конференция с международно участие гр. Варна, 26-27 ноември 2009 г., В. Търново, Фабер, 2010, с.213-222. ISBN 978-954-400-249-7</v>
      </c>
      <c r="F6415" s="10"/>
      <c r="G6415" s="10"/>
      <c r="H6415" s="10"/>
      <c r="I6415" s="10"/>
      <c r="J6415" s="10"/>
      <c r="K6415" s="10"/>
      <c r="L6415" s="10"/>
      <c r="M6415" s="10"/>
      <c r="N6415" s="10"/>
      <c r="O6415" s="10"/>
      <c r="P6415" s="10"/>
      <c r="Q6415" s="10"/>
      <c r="R6415" s="10"/>
      <c r="S6415" s="10"/>
      <c r="T6415" s="10"/>
      <c r="U6415" s="10"/>
      <c r="V6415" s="10"/>
      <c r="W6415" s="10"/>
      <c r="X6415" s="10"/>
      <c r="Y6415" s="10"/>
      <c r="Z6415" s="10"/>
    </row>
    <row r="6416" spans="1:26" ht="12.75">
      <c r="A6416" s="10" t="str">
        <f ca="1">IFERROR(__xludf.DUMMYFUNCTION("""COMPUTED_VALUE"""),"Румелина Илиева Василева")</f>
        <v>Румелина Илиева Василева</v>
      </c>
      <c r="B6416" s="10" t="str">
        <f ca="1">IFERROR(__xludf.DUMMYFUNCTION("""COMPUTED_VALUE"""),"Статия в списания и поредици")</f>
        <v>Статия в списания и поредици</v>
      </c>
      <c r="C6416" s="10" t="str">
        <f ca="1">IFERROR(__xludf.DUMMYFUNCTION("""COMPUTED_VALUE"""),"ELearning for Professionals – “Vogue” Trend or an Unavoidable Alternative?!")</f>
        <v>ELearning for Professionals – “Vogue” Trend or an Unavoidable Alternative?!</v>
      </c>
      <c r="D6416" s="10">
        <f ca="1">IFERROR(__xludf.DUMMYFUNCTION("""COMPUTED_VALUE"""),2020)</f>
        <v>2020</v>
      </c>
      <c r="E6416" s="10" t="str">
        <f ca="1">IFERROR(__xludf.DUMMYFUNCTION("""COMPUTED_VALUE"""),"QQML 2020 12th Qualitative and Quantitative Methods in Libraries International Conference, 2020-10-05. [S.l.], 2020, Vol 9, (3), September Issue, pp. 409-424. ISSN 2241-1925")</f>
        <v>QQML 2020 12th Qualitative and Quantitative Methods in Libraries International Conference, 2020-10-05. [S.l.], 2020, Vol 9, (3), September Issue, pp. 409-424. ISSN 2241-1925</v>
      </c>
      <c r="F6416" s="10" t="str">
        <f ca="1">IFERROR(__xludf.DUMMYFUNCTION("""COMPUTED_VALUE"""),"Web of Science
 http://www.qqml-journal.net/index.php/qqml/article/view/633")</f>
        <v>Web of Science
 http://www.qqml-journal.net/index.php/qqml/article/view/633</v>
      </c>
      <c r="G6416" s="10" t="str">
        <f ca="1">IFERROR(__xludf.DUMMYFUNCTION("""COMPUTED_VALUE"""),"Rumelina Vasileva, Ivanka Yankova, Boriyana Hadzhieva")</f>
        <v>Rumelina Vasileva, Ivanka Yankova, Boriyana Hadzhieva</v>
      </c>
      <c r="H6416" s="10"/>
      <c r="I6416" s="10"/>
      <c r="J6416" s="10"/>
      <c r="K6416" s="10"/>
      <c r="L6416" s="10"/>
      <c r="M6416" s="10"/>
      <c r="N6416" s="10"/>
      <c r="O6416" s="10"/>
      <c r="P6416" s="10"/>
      <c r="Q6416" s="10"/>
      <c r="R6416" s="10"/>
      <c r="S6416" s="10"/>
      <c r="T6416" s="10"/>
      <c r="U6416" s="10"/>
      <c r="V6416" s="10"/>
      <c r="W6416" s="10"/>
      <c r="X6416" s="10"/>
      <c r="Y6416" s="10"/>
      <c r="Z6416" s="10"/>
    </row>
    <row r="6417" spans="1:26" ht="12.75">
      <c r="A6417" s="10" t="str">
        <f ca="1">IFERROR(__xludf.DUMMYFUNCTION("""COMPUTED_VALUE"""),"Румелина Илиева Василева")</f>
        <v>Румелина Илиева Василева</v>
      </c>
      <c r="B6417" s="10" t="str">
        <f ca="1">IFERROR(__xludf.DUMMYFUNCTION("""COMPUTED_VALUE"""),"Доклад от конференция")</f>
        <v>Доклад от конференция</v>
      </c>
      <c r="C6417" s="10" t="str">
        <f ca="1">IFERROR(__xludf.DUMMYFUNCTION("""COMPUTED_VALUE"""),"Lifelong Professional Learning – A Required Instrument for Building a Modern Successful Career")</f>
        <v>Lifelong Professional Learning – A Required Instrument for Building a Modern Successful Career</v>
      </c>
      <c r="D6417" s="10">
        <f ca="1">IFERROR(__xludf.DUMMYFUNCTION("""COMPUTED_VALUE"""),2020)</f>
        <v>2020</v>
      </c>
      <c r="E6417" s="10" t="str">
        <f ca="1">IFERROR(__xludf.DUMMYFUNCTION("""COMPUTED_VALUE"""),"EDULEARN20. 12th annual International Conference on Education and New Learning Technologies : Online Conference, 6-7 July, 2020, pp. 5162-5171. ISBN 978-84-09-17979-4 / ISSN 2340-1117")</f>
        <v>EDULEARN20. 12th annual International Conference on Education and New Learning Technologies : Online Conference, 6-7 July, 2020, pp. 5162-5171. ISBN 978-84-09-17979-4 / ISSN 2340-1117</v>
      </c>
      <c r="F6417" s="10" t="str">
        <f ca="1">IFERROR(__xludf.DUMMYFUNCTION("""COMPUTED_VALUE"""),"Web of Science
 https://library.iated.org/view/VASILEVA2020LIF")</f>
        <v>Web of Science
 https://library.iated.org/view/VASILEVA2020LIF</v>
      </c>
      <c r="G6417" s="10" t="str">
        <f ca="1">IFERROR(__xludf.DUMMYFUNCTION("""COMPUTED_VALUE"""),"Rumelina Vasileva, Nina Kostova")</f>
        <v>Rumelina Vasileva, Nina Kostova</v>
      </c>
      <c r="H6417" s="10"/>
      <c r="I6417" s="10"/>
      <c r="J6417" s="10"/>
      <c r="K6417" s="10"/>
      <c r="L6417" s="10"/>
      <c r="M6417" s="10"/>
      <c r="N6417" s="10"/>
      <c r="O6417" s="10"/>
      <c r="P6417" s="10"/>
      <c r="Q6417" s="10"/>
      <c r="R6417" s="10"/>
      <c r="S6417" s="10"/>
      <c r="T6417" s="10"/>
      <c r="U6417" s="10"/>
      <c r="V6417" s="10"/>
      <c r="W6417" s="10"/>
      <c r="X6417" s="10"/>
      <c r="Y6417" s="10"/>
      <c r="Z6417" s="10"/>
    </row>
    <row r="6418" spans="1:26" ht="12.75">
      <c r="A6418" s="10" t="str">
        <f ca="1">IFERROR(__xludf.DUMMYFUNCTION("""COMPUTED_VALUE"""),"Румелина Илиева Василева")</f>
        <v>Румелина Илиева Василева</v>
      </c>
      <c r="B6418" s="10" t="str">
        <f ca="1">IFERROR(__xludf.DUMMYFUNCTION("""COMPUTED_VALUE"""),"Доклад от конференция")</f>
        <v>Доклад от конференция</v>
      </c>
      <c r="C6418" s="10" t="str">
        <f ca="1">IFERROR(__xludf.DUMMYFUNCTION("""COMPUTED_VALUE"""),"Е-платформата като комуникационен и образователен интерактивен канал")</f>
        <v>Е-платформата като комуникационен и образователен интерактивен канал</v>
      </c>
      <c r="D6418" s="10">
        <f ca="1">IFERROR(__xludf.DUMMYFUNCTION("""COMPUTED_VALUE"""),2020)</f>
        <v>2020</v>
      </c>
      <c r="E6418" s="10" t="str">
        <f ca="1">IFERROR(__xludf.DUMMYFUNCTION("""COMPUTED_VALUE"""),"Библиотеки – четене – комуникации : Осемнадесета нац. науч. конф. с междунар. уч., Велико Търново, 14-15 ноември 2019 г. Състав. Александър Ковачев, Калина Иванова, Иван Александров. Велико Търново : НБ „П. Р. Славейков“, 2020, c. 181-197. ISSN 1313-8138.")</f>
        <v>Библиотеки – четене – комуникации : Осемнадесета нац. науч. конф. с междунар. уч., Велико Търново, 14-15 ноември 2019 г. Състав. Александър Ковачев, Калина Иванова, Иван Александров. Велико Търново : НБ „П. Р. Славейков“, 2020, c. 181-197. ISSN 1313-8138.</v>
      </c>
      <c r="F6418" s="10" t="str">
        <f ca="1">IFERROR(__xludf.DUMMYFUNCTION("""COMPUTED_VALUE"""),"COBISS, Google Scholar")</f>
        <v>COBISS, Google Scholar</v>
      </c>
      <c r="G6418" s="10" t="str">
        <f ca="1">IFERROR(__xludf.DUMMYFUNCTION("""COMPUTED_VALUE"""),"Иванка Янкова, Силвия Станчева")</f>
        <v>Иванка Янкова, Силвия Станчева</v>
      </c>
      <c r="H6418" s="10"/>
      <c r="I6418" s="10"/>
      <c r="J6418" s="10"/>
      <c r="K6418" s="10"/>
      <c r="L6418" s="10"/>
      <c r="M6418" s="10"/>
      <c r="N6418" s="10"/>
      <c r="O6418" s="10"/>
      <c r="P6418" s="10"/>
      <c r="Q6418" s="10"/>
      <c r="R6418" s="10"/>
      <c r="S6418" s="10"/>
      <c r="T6418" s="10"/>
      <c r="U6418" s="10"/>
      <c r="V6418" s="10"/>
      <c r="W6418" s="10"/>
      <c r="X6418" s="10"/>
      <c r="Y6418" s="10"/>
      <c r="Z6418" s="10"/>
    </row>
    <row r="6419" spans="1:26" ht="12.75">
      <c r="A6419" s="10" t="str">
        <f ca="1">IFERROR(__xludf.DUMMYFUNCTION("""COMPUTED_VALUE"""),"Румелина Илиева Василева")</f>
        <v>Румелина Илиева Василева</v>
      </c>
      <c r="B6419" s="10" t="str">
        <f ca="1">IFERROR(__xludf.DUMMYFUNCTION("""COMPUTED_VALUE"""),"Книга")</f>
        <v>Книга</v>
      </c>
      <c r="C6419" s="10" t="str">
        <f ca="1">IFERROR(__xludf.DUMMYFUNCTION("""COMPUTED_VALUE"""),"""Модуси на меките умения на библиотекарите – предизвикателства, практики, портфолио = Modes of Soft Skills of Librarians – Challenges, Practices, Portfolio")</f>
        <v>"Модуси на меките умения на библиотекарите – предизвикателства, практики, портфолио = Modes of Soft Skills of Librarians – Challenges, Practices, Portfolio</v>
      </c>
      <c r="D6419" s="10">
        <f ca="1">IFERROR(__xludf.DUMMYFUNCTION("""COMPUTED_VALUE"""),2020)</f>
        <v>2020</v>
      </c>
      <c r="E6419" s="10" t="str">
        <f ca="1">IFERROR(__xludf.DUMMYFUNCTION("""COMPUTED_VALUE"""),"София : Център за професионално обучение - УниБИТ, 2020. 128 с.(под печат)
  https://cpo.unibit.bg/index.php/dopylnitelni-resursi")</f>
        <v>София : Център за професионално обучение - УниБИТ, 2020. 128 с.(под печат)
  https://cpo.unibit.bg/index.php/dopylnitelni-resursi</v>
      </c>
      <c r="F6419" s="28" t="str">
        <f ca="1">IFERROR(__xludf.DUMMYFUNCTION("""COMPUTED_VALUE"""),"https://cpo.unibit.bg/index.php/dopylnitelni-resursi")</f>
        <v>https://cpo.unibit.bg/index.php/dopylnitelni-resursi</v>
      </c>
      <c r="G6419" s="10"/>
      <c r="H6419" s="10"/>
      <c r="I6419" s="10"/>
      <c r="J6419" s="10"/>
      <c r="K6419" s="10"/>
      <c r="L6419" s="10"/>
      <c r="M6419" s="10"/>
      <c r="N6419" s="10"/>
      <c r="O6419" s="10"/>
      <c r="P6419" s="10"/>
      <c r="Q6419" s="10"/>
      <c r="R6419" s="10"/>
      <c r="S6419" s="10"/>
      <c r="T6419" s="10"/>
      <c r="U6419" s="10"/>
      <c r="V6419" s="10"/>
      <c r="W6419" s="10"/>
      <c r="X6419" s="10"/>
      <c r="Y6419" s="10"/>
      <c r="Z6419" s="10"/>
    </row>
    <row r="6420" spans="1:26" ht="12.75">
      <c r="A6420" s="10" t="str">
        <f ca="1">IFERROR(__xludf.DUMMYFUNCTION("""COMPUTED_VALUE"""),"Румелина Илиева Василева")</f>
        <v>Румелина Илиева Василева</v>
      </c>
      <c r="B6420" s="10" t="str">
        <f ca="1">IFERROR(__xludf.DUMMYFUNCTION("""COMPUTED_VALUE"""),"Доклад от конференция")</f>
        <v>Доклад от конференция</v>
      </c>
      <c r="C6420" s="10" t="str">
        <f ca="1">IFERROR(__xludf.DUMMYFUNCTION("""COMPUTED_VALUE"""),"Professional Qualification Without Borders! = Професионална квалификация без граници!")</f>
        <v>Professional Qualification Without Borders! = Професионална квалификация без граници!</v>
      </c>
      <c r="D6420" s="10">
        <f ca="1">IFERROR(__xludf.DUMMYFUNCTION("""COMPUTED_VALUE"""),2019)</f>
        <v>2019</v>
      </c>
      <c r="E6420" s="10" t="str">
        <f ca="1">IFERROR(__xludf.DUMMYFUNCTION("""COMPUTED_VALUE"""),"International Journal Scientific Papers, Social Sciences, 2019, Vol. 35.5, pp. 1807-1812. ISSN 2545-4439")</f>
        <v>International Journal Scientific Papers, Social Sciences, 2019, Vol. 35.5, pp. 1807-1812. ISSN 2545-4439</v>
      </c>
      <c r="F6420" s="10" t="str">
        <f ca="1">IFERROR(__xludf.DUMMYFUNCTION("""COMPUTED_VALUE"""),"Google Scholar, OJS platform, EBSCO Host, Data Base Business Source, Index Copernicus, EuroPub")</f>
        <v>Google Scholar, OJS platform, EBSCO Host, Data Base Business Source, Index Copernicus, EuroPub</v>
      </c>
      <c r="G6420" s="10" t="str">
        <f ca="1">IFERROR(__xludf.DUMMYFUNCTION("""COMPUTED_VALUE"""),"Denitsa Dimitrova")</f>
        <v>Denitsa Dimitrova</v>
      </c>
      <c r="H6420" s="10"/>
      <c r="I6420" s="10"/>
      <c r="J6420" s="10"/>
      <c r="K6420" s="10"/>
      <c r="L6420" s="10"/>
      <c r="M6420" s="10"/>
      <c r="N6420" s="10"/>
      <c r="O6420" s="10"/>
      <c r="P6420" s="10"/>
      <c r="Q6420" s="10"/>
      <c r="R6420" s="10"/>
      <c r="S6420" s="10"/>
      <c r="T6420" s="10"/>
      <c r="U6420" s="10"/>
      <c r="V6420" s="10"/>
      <c r="W6420" s="10"/>
      <c r="X6420" s="10"/>
      <c r="Y6420" s="10"/>
      <c r="Z6420" s="10"/>
    </row>
    <row r="6421" spans="1:26" ht="12.75">
      <c r="A6421" s="10" t="str">
        <f ca="1">IFERROR(__xludf.DUMMYFUNCTION("""COMPUTED_VALUE"""),"Румелина Илиева Василева")</f>
        <v>Румелина Илиева Василева</v>
      </c>
      <c r="B6421" s="10" t="str">
        <f ca="1">IFERROR(__xludf.DUMMYFUNCTION("""COMPUTED_VALUE"""),"Статия в списания и поредици")</f>
        <v>Статия в списания и поредици</v>
      </c>
      <c r="C6421" s="10" t="str">
        <f ca="1">IFERROR(__xludf.DUMMYFUNCTION("""COMPUTED_VALUE"""),"Reconsider the Experience")</f>
        <v>Reconsider the Experience</v>
      </c>
      <c r="D6421" s="10">
        <f ca="1">IFERROR(__xludf.DUMMYFUNCTION("""COMPUTED_VALUE"""),2019)</f>
        <v>2019</v>
      </c>
      <c r="E6421" s="10" t="str">
        <f ca="1">IFERROR(__xludf.DUMMYFUNCTION("""COMPUTED_VALUE"""),"INTED2019 Proceedings 13th International Technology, Education and Development Conference, March 11th-13th, 2019, Valencia, Spain, pp. 4822-4827, ISBN: 978-84-09-08619-1; ISSN: 2340-1079")</f>
        <v>INTED2019 Proceedings 13th International Technology, Education and Development Conference, March 11th-13th, 2019, Valencia, Spain, pp. 4822-4827, ISBN: 978-84-09-08619-1; ISSN: 2340-1079</v>
      </c>
      <c r="F6421" s="10" t="str">
        <f ca="1">IFERROR(__xludf.DUMMYFUNCTION("""COMPUTED_VALUE"""),"ISI Conference Proceedings Citation Index (ISI CPCI), Crossref, Clarivate Analytics, Web of Science")</f>
        <v>ISI Conference Proceedings Citation Index (ISI CPCI), Crossref, Clarivate Analytics, Web of Science</v>
      </c>
      <c r="G6421" s="10" t="str">
        <f ca="1">IFERROR(__xludf.DUMMYFUNCTION("""COMPUTED_VALUE"""),"I. Yankova V. Dobreva P. Peykov")</f>
        <v>I. Yankova V. Dobreva P. Peykov</v>
      </c>
      <c r="H6421" s="10"/>
      <c r="I6421" s="10"/>
      <c r="J6421" s="10"/>
      <c r="K6421" s="10"/>
      <c r="L6421" s="10"/>
      <c r="M6421" s="10"/>
      <c r="N6421" s="10"/>
      <c r="O6421" s="10"/>
      <c r="P6421" s="10"/>
      <c r="Q6421" s="10"/>
      <c r="R6421" s="10"/>
      <c r="S6421" s="10"/>
      <c r="T6421" s="10"/>
      <c r="U6421" s="10"/>
      <c r="V6421" s="10"/>
      <c r="W6421" s="10"/>
      <c r="X6421" s="10"/>
      <c r="Y6421" s="10"/>
      <c r="Z6421" s="10"/>
    </row>
    <row r="6422" spans="1:26" ht="12.75">
      <c r="A6422" s="10" t="str">
        <f ca="1">IFERROR(__xludf.DUMMYFUNCTION("""COMPUTED_VALUE"""),"Румелина Илиева Василева")</f>
        <v>Румелина Илиева Василева</v>
      </c>
      <c r="B6422" s="10" t="str">
        <f ca="1">IFERROR(__xludf.DUMMYFUNCTION("""COMPUTED_VALUE"""),"Доклад от конференция")</f>
        <v>Доклад от конференция</v>
      </c>
      <c r="C6422" s="10" t="str">
        <f ca="1">IFERROR(__xludf.DUMMYFUNCTION("""COMPUTED_VALUE"""),"Интелектуалната собственост и професионалното образование")</f>
        <v>Интелектуалната собственост и професионалното образование</v>
      </c>
      <c r="D6422" s="10">
        <f ca="1">IFERROR(__xludf.DUMMYFUNCTION("""COMPUTED_VALUE"""),2019)</f>
        <v>2019</v>
      </c>
      <c r="E6422" s="10" t="str">
        <f ca="1">IFERROR(__xludf.DUMMYFUNCTION("""COMPUTED_VALUE"""),"Интелектуалната собственост и дигиталните хора : Седми национален семинар, София, 24 април 2019 г. София : За буквите – О писменехь, 2019, с. 320-339. 
 ISBN 978-619-185-378-6")</f>
        <v>Интелектуалната собственост и дигиталните хора : Седми национален семинар, София, 24 април 2019 г. София : За буквите – О писменехь, 2019, с. 320-339. 
 ISBN 978-619-185-378-6</v>
      </c>
      <c r="F6422" s="10"/>
      <c r="G6422" s="10" t="str">
        <f ca="1">IFERROR(__xludf.DUMMYFUNCTION("""COMPUTED_VALUE"""),"Силвия Станчева, Румелина Василева")</f>
        <v>Силвия Станчева, Румелина Василева</v>
      </c>
      <c r="H6422" s="10"/>
      <c r="I6422" s="10"/>
      <c r="J6422" s="10"/>
      <c r="K6422" s="10"/>
      <c r="L6422" s="10"/>
      <c r="M6422" s="10"/>
      <c r="N6422" s="10"/>
      <c r="O6422" s="10"/>
      <c r="P6422" s="10"/>
      <c r="Q6422" s="10"/>
      <c r="R6422" s="10"/>
      <c r="S6422" s="10"/>
      <c r="T6422" s="10"/>
      <c r="U6422" s="10"/>
      <c r="V6422" s="10"/>
      <c r="W6422" s="10"/>
      <c r="X6422" s="10"/>
      <c r="Y6422" s="10"/>
      <c r="Z6422" s="10"/>
    </row>
    <row r="6423" spans="1:26" ht="12.75">
      <c r="A6423" s="10" t="str">
        <f ca="1">IFERROR(__xludf.DUMMYFUNCTION("""COMPUTED_VALUE"""),"Румелина Илиева Василева")</f>
        <v>Румелина Илиева Василева</v>
      </c>
      <c r="B6423" s="10" t="str">
        <f ca="1">IFERROR(__xludf.DUMMYFUNCTION("""COMPUTED_VALUE"""),"Статия в списания и поредици")</f>
        <v>Статия в списания и поредици</v>
      </c>
      <c r="C6423" s="10" t="str">
        <f ca="1">IFERROR(__xludf.DUMMYFUNCTION("""COMPUTED_VALUE"""),"Modern Skills and Convergent Environment – SWOT Analysis, Trends and Challenges in Vocational Education and training. A Bulgarian Experience")</f>
        <v>Modern Skills and Convergent Environment – SWOT Analysis, Trends and Challenges in Vocational Education and training. A Bulgarian Experience</v>
      </c>
      <c r="D6423" s="10">
        <f ca="1">IFERROR(__xludf.DUMMYFUNCTION("""COMPUTED_VALUE"""),2019)</f>
        <v>2019</v>
      </c>
      <c r="E6423" s="10" t="str">
        <f ca="1">IFERROR(__xludf.DUMMYFUNCTION("""COMPUTED_VALUE"""),"Proceedings of EDULEARN19 Conference, 1nd-3th July 2019, Palma, Mallorca, Spain: 11th Annual International Conference on Education and New Learning Technologies, Palma de Mallorca (Spain), 2019, pp. 3130-3139. ISBN 978-84-09-12031-4; ISSN: 2340-1117; DOI:"&amp;" 10.21125/edulearn.2019.0847")</f>
        <v>Proceedings of EDULEARN19 Conference, 1nd-3th July 2019, Palma, Mallorca, Spain: 11th Annual International Conference on Education and New Learning Technologies, Palma de Mallorca (Spain), 2019, pp. 3130-3139. ISBN 978-84-09-12031-4; ISSN: 2340-1117; DOI: 10.21125/edulearn.2019.0847</v>
      </c>
      <c r="F6423" s="10" t="str">
        <f ca="1">IFERROR(__xludf.DUMMYFUNCTION("""COMPUTED_VALUE"""),"ISI Conference Proceedings Citation Index (ISI CPCI), Crossref, Clarivate Analytics, Web of Science")</f>
        <v>ISI Conference Proceedings Citation Index (ISI CPCI), Crossref, Clarivate Analytics, Web of Science</v>
      </c>
      <c r="G6423" s="10" t="str">
        <f ca="1">IFERROR(__xludf.DUMMYFUNCTION("""COMPUTED_VALUE"""),"S. Stancheva, I. Yankova")</f>
        <v>S. Stancheva, I. Yankova</v>
      </c>
      <c r="H6423" s="10"/>
      <c r="I6423" s="10"/>
      <c r="J6423" s="10"/>
      <c r="K6423" s="10"/>
      <c r="L6423" s="10"/>
      <c r="M6423" s="10"/>
      <c r="N6423" s="10"/>
      <c r="O6423" s="10"/>
      <c r="P6423" s="10"/>
      <c r="Q6423" s="10"/>
      <c r="R6423" s="10"/>
      <c r="S6423" s="10"/>
      <c r="T6423" s="10"/>
      <c r="U6423" s="10"/>
      <c r="V6423" s="10"/>
      <c r="W6423" s="10"/>
      <c r="X6423" s="10"/>
      <c r="Y6423" s="10"/>
      <c r="Z6423" s="10"/>
    </row>
    <row r="6424" spans="1:26" ht="12.75">
      <c r="A6424" s="10" t="str">
        <f ca="1">IFERROR(__xludf.DUMMYFUNCTION("""COMPUTED_VALUE"""),"Румелина Илиева Василева")</f>
        <v>Румелина Илиева Василева</v>
      </c>
      <c r="B6424" s="10" t="str">
        <f ca="1">IFERROR(__xludf.DUMMYFUNCTION("""COMPUTED_VALUE"""),"Монография")</f>
        <v>Монография</v>
      </c>
      <c r="C6424" s="10" t="str">
        <f ca="1">IFERROR(__xludf.DUMMYFUNCTION("""COMPUTED_VALUE"""),"Устойчиви тенденции и бизнес модели в публикационната активност на научните изследвания")</f>
        <v>Устойчиви тенденции и бизнес модели в публикационната активност на научните изследвания</v>
      </c>
      <c r="D6424" s="10">
        <f ca="1">IFERROR(__xludf.DUMMYFUNCTION("""COMPUTED_VALUE"""),2018)</f>
        <v>2018</v>
      </c>
      <c r="E6424" s="10" t="str">
        <f ca="1">IFERROR(__xludf.DUMMYFUNCTION("""COMPUTED_VALUE"""),"Науч. ред. Стоян Денчев. София : За буквите – О писменехь, 2018. 178 с. ISBN 978-619-185-315-1.")</f>
        <v>Науч. ред. Стоян Денчев. София : За буквите – О писменехь, 2018. 178 с. ISBN 978-619-185-315-1.</v>
      </c>
      <c r="F6424" s="10" t="str">
        <f ca="1">IFERROR(__xludf.DUMMYFUNCTION("""COMPUTED_VALUE"""),"COBISS")</f>
        <v>COBISS</v>
      </c>
      <c r="G6424" s="10" t="str">
        <f ca="1">IFERROR(__xludf.DUMMYFUNCTION("""COMPUTED_VALUE"""),"Янкова, Иванка Стойкова, Добринка Станчева, Силвия Денчев, Стоян Петева, Ирена Димитрова, Цветелина Нушева, Камелия")</f>
        <v>Янкова, Иванка Стойкова, Добринка Станчева, Силвия Денчев, Стоян Петева, Ирена Димитрова, Цветелина Нушева, Камелия</v>
      </c>
      <c r="H6424" s="10"/>
      <c r="I6424" s="10"/>
      <c r="J6424" s="10"/>
      <c r="K6424" s="10"/>
      <c r="L6424" s="10"/>
      <c r="M6424" s="10"/>
      <c r="N6424" s="10"/>
      <c r="O6424" s="10"/>
      <c r="P6424" s="10"/>
      <c r="Q6424" s="10"/>
      <c r="R6424" s="10"/>
      <c r="S6424" s="10"/>
      <c r="T6424" s="10"/>
      <c r="U6424" s="10"/>
      <c r="V6424" s="10"/>
      <c r="W6424" s="10"/>
      <c r="X6424" s="10"/>
      <c r="Y6424" s="10"/>
      <c r="Z6424" s="10"/>
    </row>
    <row r="6425" spans="1:26" ht="12.75">
      <c r="A6425" s="10" t="str">
        <f ca="1">IFERROR(__xludf.DUMMYFUNCTION("""COMPUTED_VALUE"""),"Румелина Илиева Василева")</f>
        <v>Румелина Илиева Василева</v>
      </c>
      <c r="B6425" s="10" t="str">
        <f ca="1">IFERROR(__xludf.DUMMYFUNCTION("""COMPUTED_VALUE"""),"Глава от колективна монография")</f>
        <v>Глава от колективна монография</v>
      </c>
      <c r="C6425" s="10" t="str">
        <f ca="1">IFERROR(__xludf.DUMMYFUNCTION("""COMPUTED_VALUE"""),"Библиографски указател (2008-2018)")</f>
        <v>Библиографски указател (2008-2018)</v>
      </c>
      <c r="D6425" s="10">
        <f ca="1">IFERROR(__xludf.DUMMYFUNCTION("""COMPUTED_VALUE"""),2018)</f>
        <v>2018</v>
      </c>
      <c r="E6425" s="10" t="str">
        <f ca="1">IFERROR(__xludf.DUMMYFUNCTION("""COMPUTED_VALUE"""),"В: Лидерство в библиотечния мениджмънт: Научна книга по повод 10 години Катедра „Библиотечен мениджмънт“ при УниБИТ. – София: За буквите – О писменехь, 2018, с.171-188. ISBN 978-619-185-346-5")</f>
        <v>В: Лидерство в библиотечния мениджмънт: Научна книга по повод 10 години Катедра „Библиотечен мениджмънт“ при УниБИТ. – София: За буквите – О писменехь, 2018, с.171-188. ISBN 978-619-185-346-5</v>
      </c>
      <c r="F6425" s="28" t="str">
        <f ca="1">IFERROR(__xludf.DUMMYFUNCTION("""COMPUTED_VALUE"""),"COBISS.BG")</f>
        <v>COBISS.BG</v>
      </c>
      <c r="G6425" s="10"/>
      <c r="H6425" s="10"/>
      <c r="I6425" s="10"/>
      <c r="J6425" s="10"/>
      <c r="K6425" s="10"/>
      <c r="L6425" s="10"/>
      <c r="M6425" s="10"/>
      <c r="N6425" s="10"/>
      <c r="O6425" s="10"/>
      <c r="P6425" s="10"/>
      <c r="Q6425" s="10"/>
      <c r="R6425" s="10"/>
      <c r="S6425" s="10"/>
      <c r="T6425" s="10"/>
      <c r="U6425" s="10"/>
      <c r="V6425" s="10"/>
      <c r="W6425" s="10"/>
      <c r="X6425" s="10"/>
      <c r="Y6425" s="10"/>
      <c r="Z6425" s="10"/>
    </row>
    <row r="6426" spans="1:26" ht="12.75">
      <c r="A6426" s="10" t="str">
        <f ca="1">IFERROR(__xludf.DUMMYFUNCTION("""COMPUTED_VALUE"""),"Румелина Илиева Василева")</f>
        <v>Румелина Илиева Василева</v>
      </c>
      <c r="B6426" s="10" t="str">
        <f ca="1">IFERROR(__xludf.DUMMYFUNCTION("""COMPUTED_VALUE"""),"Книга")</f>
        <v>Книга</v>
      </c>
      <c r="C6426" s="10" t="str">
        <f ca="1">IFERROR(__xludf.DUMMYFUNCTION("""COMPUTED_VALUE"""),"Лидерство в библиотечния мениджмънт")</f>
        <v>Лидерство в библиотечния мениджмънт</v>
      </c>
      <c r="D6426" s="10">
        <f ca="1">IFERROR(__xludf.DUMMYFUNCTION("""COMPUTED_VALUE"""),2018)</f>
        <v>2018</v>
      </c>
      <c r="E6426" s="10" t="str">
        <f ca="1">IFERROR(__xludf.DUMMYFUNCTION("""COMPUTED_VALUE"""),"Лидерство в библиотечния мениджмънт: Научна книга по повод 10 години Катедра „Библиотечен мениджмънт“ при УниБИТ. – София: За буквите – О писменехь, 2018. – 332 с. ISBN 978-619-185-346-5")</f>
        <v>Лидерство в библиотечния мениджмънт: Научна книга по повод 10 години Катедра „Библиотечен мениджмънт“ при УниБИТ. – София: За буквите – О писменехь, 2018. – 332 с. ISBN 978-619-185-346-5</v>
      </c>
      <c r="F6426" s="28" t="str">
        <f ca="1">IFERROR(__xludf.DUMMYFUNCTION("""COMPUTED_VALUE"""),"COBISS.BG")</f>
        <v>COBISS.BG</v>
      </c>
      <c r="G6426" s="10" t="str">
        <f ca="1">IFERROR(__xludf.DUMMYFUNCTION("""COMPUTED_VALUE"""),"Иванка Янкова, Таня Тодорова, Мариела Модева, Искра Арсенова, Добринка Стойкова, Силвия Станчева, Тереза Тренчева, Любомира Парижкова, Елена Савова, Събина Ефтимова, Елисавета Цветкова, Камелия Планска-Симеонова")</f>
        <v>Иванка Янкова, Таня Тодорова, Мариела Модева, Искра Арсенова, Добринка Стойкова, Силвия Станчева, Тереза Тренчева, Любомира Парижкова, Елена Савова, Събина Ефтимова, Елисавета Цветкова, Камелия Планска-Симеонова</v>
      </c>
      <c r="H6426" s="10"/>
      <c r="I6426" s="10"/>
      <c r="J6426" s="10"/>
      <c r="K6426" s="10"/>
      <c r="L6426" s="10"/>
      <c r="M6426" s="10"/>
      <c r="N6426" s="10"/>
      <c r="O6426" s="10"/>
      <c r="P6426" s="10"/>
      <c r="Q6426" s="10"/>
      <c r="R6426" s="10"/>
      <c r="S6426" s="10"/>
      <c r="T6426" s="10"/>
      <c r="U6426" s="10"/>
      <c r="V6426" s="10"/>
      <c r="W6426" s="10"/>
      <c r="X6426" s="10"/>
      <c r="Y6426" s="10"/>
      <c r="Z6426" s="10"/>
    </row>
    <row r="6427" spans="1:26" ht="12.75">
      <c r="A6427" s="10" t="str">
        <f ca="1">IFERROR(__xludf.DUMMYFUNCTION("""COMPUTED_VALUE"""),"Румелина Илиева Василева")</f>
        <v>Румелина Илиева Василева</v>
      </c>
      <c r="B6427" s="10" t="str">
        <f ca="1">IFERROR(__xludf.DUMMYFUNCTION("""COMPUTED_VALUE"""),"Доклад от конференция")</f>
        <v>Доклад от конференция</v>
      </c>
      <c r="C6427" s="10" t="str">
        <f ca="1">IFERROR(__xludf.DUMMYFUNCTION("""COMPUTED_VALUE"""),"Екологична устойчивост на образованието по метадисциплината „Библиотечен мениджмънт“ в УниБИТ")</f>
        <v>Екологична устойчивост на образованието по метадисциплината „Библиотечен мениджмънт“ в УниБИТ</v>
      </c>
      <c r="D6427" s="10">
        <f ca="1">IFERROR(__xludf.DUMMYFUNCTION("""COMPUTED_VALUE"""),2018)</f>
        <v>2018</v>
      </c>
      <c r="E6427" s="10" t="str">
        <f ca="1">IFERROR(__xludf.DUMMYFUNCTION("""COMPUTED_VALUE"""),"В: Библиотечният и информационен мениджмънт: 10 години постижения и предизвикателства: Научен сборник с доклади от Научна конференция по повод 10 години от създаването на катедра „Библиотечен мениджмънт“ при УниБИТ (4 декември 2018 г., УниБИТ, София). - С"&amp;"офия: За буквите – О писменехь, 2018, с. 112-137. ISBN 978-619-185-347-2")</f>
        <v>В: Библиотечният и информационен мениджмънт: 10 години постижения и предизвикателства: Научен сборник с доклади от Научна конференция по повод 10 години от създаването на катедра „Библиотечен мениджмънт“ при УниБИТ (4 декември 2018 г., УниБИТ, София). - София: За буквите – О писменехь, 2018, с. 112-137. ISBN 978-619-185-347-2</v>
      </c>
      <c r="F6427" s="28" t="str">
        <f ca="1">IFERROR(__xludf.DUMMYFUNCTION("""COMPUTED_VALUE"""),"COBISS.BG")</f>
        <v>COBISS.BG</v>
      </c>
      <c r="G6427" s="10"/>
      <c r="H6427" s="10"/>
      <c r="I6427" s="10"/>
      <c r="J6427" s="10"/>
      <c r="K6427" s="10"/>
      <c r="L6427" s="10"/>
      <c r="M6427" s="10"/>
      <c r="N6427" s="10"/>
      <c r="O6427" s="10"/>
      <c r="P6427" s="10"/>
      <c r="Q6427" s="10"/>
      <c r="R6427" s="10"/>
      <c r="S6427" s="10"/>
      <c r="T6427" s="10"/>
      <c r="U6427" s="10"/>
      <c r="V6427" s="10"/>
      <c r="W6427" s="10"/>
      <c r="X6427" s="10"/>
      <c r="Y6427" s="10"/>
      <c r="Z6427" s="10"/>
    </row>
    <row r="6428" spans="1:26" ht="12.75">
      <c r="A6428" s="10" t="str">
        <f ca="1">IFERROR(__xludf.DUMMYFUNCTION("""COMPUTED_VALUE"""),"Румелина Илиева Василева")</f>
        <v>Румелина Илиева Василева</v>
      </c>
      <c r="B6428" s="10" t="str">
        <f ca="1">IFERROR(__xludf.DUMMYFUNCTION("""COMPUTED_VALUE"""),"Статия в списания и поредици")</f>
        <v>Статия в списания и поредици</v>
      </c>
      <c r="C6428" s="10" t="str">
        <f ca="1">IFERROR(__xludf.DUMMYFUNCTION("""COMPUTED_VALUE"""),"Innovative Opportunities of the Contemporary Interactive Educational Environment in the Area of Cultural and Creative Industries")</f>
        <v>Innovative Opportunities of the Contemporary Interactive Educational Environment in the Area of Cultural and Creative Industries</v>
      </c>
      <c r="D6428" s="10">
        <f ca="1">IFERROR(__xludf.DUMMYFUNCTION("""COMPUTED_VALUE"""),2018)</f>
        <v>2018</v>
      </c>
      <c r="E6428" s="10" t="str">
        <f ca="1">IFERROR(__xludf.DUMMYFUNCTION("""COMPUTED_VALUE"""),"Proceedings of EDULEARN18 Conference: 10th annual International Conference on Education and New Learning Technologies, 2nd-4th July 2018, Palma, Mallorca, Spain, 2018, pp. 3546-3553. ISBN: 978-84-09-02709-5. URL: &lt;file:///G:/files/papers/915.pdf&gt;")</f>
        <v>Proceedings of EDULEARN18 Conference: 10th annual International Conference on Education and New Learning Technologies, 2nd-4th July 2018, Palma, Mallorca, Spain, 2018, pp. 3546-3553. ISBN: 978-84-09-02709-5. URL: &lt;file:///G:/files/papers/915.pdf&gt;</v>
      </c>
      <c r="F6428" s="10" t="str">
        <f ca="1">IFERROR(__xludf.DUMMYFUNCTION("""COMPUTED_VALUE"""),"ISI Conference Proceedings Citation Index (ISI CPCI), Crossref, Clarivate Analytics, Web of Science")</f>
        <v>ISI Conference Proceedings Citation Index (ISI CPCI), Crossref, Clarivate Analytics, Web of Science</v>
      </c>
      <c r="G6428" s="10" t="str">
        <f ca="1">IFERROR(__xludf.DUMMYFUNCTION("""COMPUTED_VALUE"""),"Nusheva, Kamelia Yankova, Ivanka Pavlova, Ivanka")</f>
        <v>Nusheva, Kamelia Yankova, Ivanka Pavlova, Ivanka</v>
      </c>
      <c r="H6428" s="10"/>
      <c r="I6428" s="10"/>
      <c r="J6428" s="10"/>
      <c r="K6428" s="10"/>
      <c r="L6428" s="10"/>
      <c r="M6428" s="10"/>
      <c r="N6428" s="10"/>
      <c r="O6428" s="10"/>
      <c r="P6428" s="10"/>
      <c r="Q6428" s="10"/>
      <c r="R6428" s="10"/>
      <c r="S6428" s="10"/>
      <c r="T6428" s="10"/>
      <c r="U6428" s="10"/>
      <c r="V6428" s="10"/>
      <c r="W6428" s="10"/>
      <c r="X6428" s="10"/>
      <c r="Y6428" s="10"/>
      <c r="Z6428" s="10"/>
    </row>
    <row r="6429" spans="1:26" ht="12.75">
      <c r="A6429" s="10" t="str">
        <f ca="1">IFERROR(__xludf.DUMMYFUNCTION("""COMPUTED_VALUE"""),"Румелина Илиева Василева")</f>
        <v>Румелина Илиева Василева</v>
      </c>
      <c r="B6429" s="10" t="str">
        <f ca="1">IFERROR(__xludf.DUMMYFUNCTION("""COMPUTED_VALUE"""),"Статия в списания и поредици")</f>
        <v>Статия в списания и поредици</v>
      </c>
      <c r="C6429" s="10" t="str">
        <f ca="1">IFERROR(__xludf.DUMMYFUNCTION("""COMPUTED_VALUE"""),"Проучване и анализ на добри практики на професионално продължаващо образование и обучение в интерактивна образователна среда в България")</f>
        <v>Проучване и анализ на добри практики на професионално продължаващо образование и обучение в интерактивна образователна среда в България</v>
      </c>
      <c r="D6429" s="10">
        <f ca="1">IFERROR(__xludf.DUMMYFUNCTION("""COMPUTED_VALUE"""),2018)</f>
        <v>2018</v>
      </c>
      <c r="E6429"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Състав.Иванка Янкова, Румелина Василева. София : За буквите – О писменехь, 2018, c. 13-36")</f>
        <v>Иновативна образователна среда за непрекъснато професионално обучение в сферата на културните и творчески индустрии : Е-сборник. Състав.Иванка Янкова, Румелина Василева. София : За буквите – О писменехь, 2018, c. 13-36</v>
      </c>
      <c r="F642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29" s="10" t="str">
        <f ca="1">IFERROR(__xludf.DUMMYFUNCTION("""COMPUTED_VALUE"""),"Станчева, Силвия, Иванка Янкова, Деница Димитрова")</f>
        <v>Станчева, Силвия, Иванка Янкова, Деница Димитрова</v>
      </c>
      <c r="H6429" s="10"/>
      <c r="I6429" s="10"/>
      <c r="J6429" s="10"/>
      <c r="K6429" s="10"/>
      <c r="L6429" s="10"/>
      <c r="M6429" s="10"/>
      <c r="N6429" s="10"/>
      <c r="O6429" s="10"/>
      <c r="P6429" s="10"/>
      <c r="Q6429" s="10"/>
      <c r="R6429" s="10"/>
      <c r="S6429" s="10"/>
      <c r="T6429" s="10"/>
      <c r="U6429" s="10"/>
      <c r="V6429" s="10"/>
      <c r="W6429" s="10"/>
      <c r="X6429" s="10"/>
      <c r="Y6429" s="10"/>
      <c r="Z6429" s="10"/>
    </row>
    <row r="6430" spans="1:26" ht="12.75">
      <c r="A6430" s="10" t="str">
        <f ca="1">IFERROR(__xludf.DUMMYFUNCTION("""COMPUTED_VALUE"""),"Румелина Илиева Василева")</f>
        <v>Румелина Илиева Василева</v>
      </c>
      <c r="B6430" s="10" t="str">
        <f ca="1">IFERROR(__xludf.DUMMYFUNCTION("""COMPUTED_VALUE"""),"Доклад от конференция")</f>
        <v>Доклад от конференция</v>
      </c>
      <c r="C6430" s="10" t="str">
        <f ca="1">IFERROR(__xludf.DUMMYFUNCTION("""COMPUTED_VALUE"""),"Редизайн за качествена промяна на научните списания в България : Сборник с изследвания")</f>
        <v>Редизайн за качествена промяна на научните списания в България : Сборник с изследвания</v>
      </c>
      <c r="D6430" s="10">
        <f ca="1">IFERROR(__xludf.DUMMYFUNCTION("""COMPUTED_VALUE"""),2018)</f>
        <v>2018</v>
      </c>
      <c r="E6430" s="10" t="str">
        <f ca="1">IFERROR(__xludf.DUMMYFUNCTION("""COMPUTED_VALUE"""),"София : За буквите – О писменехь, 2018. 116 с.")</f>
        <v>София : За буквите – О писменехь, 2018. 116 с.</v>
      </c>
      <c r="F643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0" s="10" t="str">
        <f ca="1">IFERROR(__xludf.DUMMYFUNCTION("""COMPUTED_VALUE"""),"Иванка Янкова")</f>
        <v>Иванка Янкова</v>
      </c>
      <c r="H6430" s="10"/>
      <c r="I6430" s="10"/>
      <c r="J6430" s="10"/>
      <c r="K6430" s="10"/>
      <c r="L6430" s="10"/>
      <c r="M6430" s="10"/>
      <c r="N6430" s="10"/>
      <c r="O6430" s="10"/>
      <c r="P6430" s="10"/>
      <c r="Q6430" s="10"/>
      <c r="R6430" s="10"/>
      <c r="S6430" s="10"/>
      <c r="T6430" s="10"/>
      <c r="U6430" s="10"/>
      <c r="V6430" s="10"/>
      <c r="W6430" s="10"/>
      <c r="X6430" s="10"/>
      <c r="Y6430" s="10"/>
      <c r="Z6430" s="10"/>
    </row>
    <row r="6431" spans="1:26" ht="12.75">
      <c r="A6431" s="10" t="str">
        <f ca="1">IFERROR(__xludf.DUMMYFUNCTION("""COMPUTED_VALUE"""),"Румелина Илиева Василева")</f>
        <v>Румелина Илиева Василева</v>
      </c>
      <c r="B6431" s="10" t="str">
        <f ca="1">IFERROR(__xludf.DUMMYFUNCTION("""COMPUTED_VALUE"""),"Книга")</f>
        <v>Книга</v>
      </c>
      <c r="C6431"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f>
        <v>Иновативна образователна среда за непрекъснато професионално обучение в сферата на културните и творчески индустрии : Е-сборник</v>
      </c>
      <c r="D6431" s="10">
        <f ca="1">IFERROR(__xludf.DUMMYFUNCTION("""COMPUTED_VALUE"""),2018)</f>
        <v>2018</v>
      </c>
      <c r="E6431" s="10" t="str">
        <f ca="1">IFERROR(__xludf.DUMMYFUNCTION("""COMPUTED_VALUE"""),"Състав. И. Янкова, Р. Василева. София : За буквите – О писменехь, 2018. 273 с. е-ISBN 978-619-185-326-7.")</f>
        <v>Състав. И. Янкова, Р. Василева. София : За буквите – О писменехь, 2018. 273 с. е-ISBN 978-619-185-326-7.</v>
      </c>
      <c r="F643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1" s="10" t="str">
        <f ca="1">IFERROR(__xludf.DUMMYFUNCTION("""COMPUTED_VALUE"""),"Иванка Янкова")</f>
        <v>Иванка Янкова</v>
      </c>
      <c r="H6431" s="10"/>
      <c r="I6431" s="10"/>
      <c r="J6431" s="10"/>
      <c r="K6431" s="10"/>
      <c r="L6431" s="10"/>
      <c r="M6431" s="10"/>
      <c r="N6431" s="10"/>
      <c r="O6431" s="10"/>
      <c r="P6431" s="10"/>
      <c r="Q6431" s="10"/>
      <c r="R6431" s="10"/>
      <c r="S6431" s="10"/>
      <c r="T6431" s="10"/>
      <c r="U6431" s="10"/>
      <c r="V6431" s="10"/>
      <c r="W6431" s="10"/>
      <c r="X6431" s="10"/>
      <c r="Y6431" s="10"/>
      <c r="Z6431" s="10"/>
    </row>
    <row r="6432" spans="1:26" ht="12.75">
      <c r="A6432" s="10" t="str">
        <f ca="1">IFERROR(__xludf.DUMMYFUNCTION("""COMPUTED_VALUE"""),"Румелина Илиева Василева")</f>
        <v>Румелина Илиева Василева</v>
      </c>
      <c r="B6432" s="10" t="str">
        <f ca="1">IFERROR(__xludf.DUMMYFUNCTION("""COMPUTED_VALUE"""),"Глава от колективна монография")</f>
        <v>Глава от колективна монография</v>
      </c>
      <c r="C6432" s="10" t="str">
        <f ca="1">IFERROR(__xludf.DUMMYFUNCTION("""COMPUTED_VALUE"""),"Индикатори и механизми, съдействащи редизайна на научните издания и изграждането на ефективни умения у авторите на научни продукти")</f>
        <v>Индикатори и механизми, съдействащи редизайна на научните издания и изграждането на ефективни умения у авторите на научни продукти</v>
      </c>
      <c r="D6432" s="10">
        <f ca="1">IFERROR(__xludf.DUMMYFUNCTION("""COMPUTED_VALUE"""),2018)</f>
        <v>2018</v>
      </c>
      <c r="E6432" s="10" t="str">
        <f ca="1">IFERROR(__xludf.DUMMYFUNCTION("""COMPUTED_VALUE"""),"Янкова, Иванка и др. Устойчиви тенденции и бизнес модели в публикационната активност на научните изследвания, София : За буквите – О писменехь, 2018, с. 72-83. ISBN 978-619-185-315-1.")</f>
        <v>Янкова, Иванка и др. Устойчиви тенденции и бизнес модели в публикационната активност на научните изследвания, София : За буквите – О писменехь, 2018, с. 72-83. ISBN 978-619-185-315-1.</v>
      </c>
      <c r="F643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2" s="10" t="str">
        <f ca="1">IFERROR(__xludf.DUMMYFUNCTION("""COMPUTED_VALUE"""),"Камелия Нушева")</f>
        <v>Камелия Нушева</v>
      </c>
      <c r="H6432" s="10"/>
      <c r="I6432" s="10"/>
      <c r="J6432" s="10"/>
      <c r="K6432" s="10"/>
      <c r="L6432" s="10"/>
      <c r="M6432" s="10"/>
      <c r="N6432" s="10"/>
      <c r="O6432" s="10"/>
      <c r="P6432" s="10"/>
      <c r="Q6432" s="10"/>
      <c r="R6432" s="10"/>
      <c r="S6432" s="10"/>
      <c r="T6432" s="10"/>
      <c r="U6432" s="10"/>
      <c r="V6432" s="10"/>
      <c r="W6432" s="10"/>
      <c r="X6432" s="10"/>
      <c r="Y6432" s="10"/>
      <c r="Z6432" s="10"/>
    </row>
    <row r="6433" spans="1:26" ht="12.75">
      <c r="A6433" s="10" t="str">
        <f ca="1">IFERROR(__xludf.DUMMYFUNCTION("""COMPUTED_VALUE"""),"Румелина Илиева Василева")</f>
        <v>Румелина Илиева Василева</v>
      </c>
      <c r="B6433" s="10" t="str">
        <f ca="1">IFERROR(__xludf.DUMMYFUNCTION("""COMPUTED_VALUE"""),"Статия в списания и поредици")</f>
        <v>Статия в списания и поредици</v>
      </c>
      <c r="C6433" s="10" t="str">
        <f ca="1">IFERROR(__xludf.DUMMYFUNCTION("""COMPUTED_VALUE"""),"Методическите насоки за публикуване на качествени научни изследвания в областта на социалните и хуманитарните науки не са статукво")</f>
        <v>Методическите насоки за публикуване на качествени научни изследвания в областта на социалните и хуманитарните науки не са статукво</v>
      </c>
      <c r="D6433" s="10">
        <f ca="1">IFERROR(__xludf.DUMMYFUNCTION("""COMPUTED_VALUE"""),2018)</f>
        <v>2018</v>
      </c>
      <c r="E6433"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30-48.")</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30-48.</v>
      </c>
      <c r="F643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3" s="10" t="str">
        <f ca="1">IFERROR(__xludf.DUMMYFUNCTION("""COMPUTED_VALUE"""),"Камелия Нушева")</f>
        <v>Камелия Нушева</v>
      </c>
      <c r="H6433" s="10"/>
      <c r="I6433" s="10"/>
      <c r="J6433" s="10"/>
      <c r="K6433" s="10"/>
      <c r="L6433" s="10"/>
      <c r="M6433" s="10"/>
      <c r="N6433" s="10"/>
      <c r="O6433" s="10"/>
      <c r="P6433" s="10"/>
      <c r="Q6433" s="10"/>
      <c r="R6433" s="10"/>
      <c r="S6433" s="10"/>
      <c r="T6433" s="10"/>
      <c r="U6433" s="10"/>
      <c r="V6433" s="10"/>
      <c r="W6433" s="10"/>
      <c r="X6433" s="10"/>
      <c r="Y6433" s="10"/>
      <c r="Z6433" s="10"/>
    </row>
    <row r="6434" spans="1:26" ht="12.75">
      <c r="A6434" s="10" t="str">
        <f ca="1">IFERROR(__xludf.DUMMYFUNCTION("""COMPUTED_VALUE"""),"Румелина Илиева Василева")</f>
        <v>Румелина Илиева Василева</v>
      </c>
      <c r="B6434" s="10" t="str">
        <f ca="1">IFERROR(__xludf.DUMMYFUNCTION("""COMPUTED_VALUE"""),"Статия в списания и поредици")</f>
        <v>Статия в списания и поредици</v>
      </c>
      <c r="C6434" s="10" t="str">
        <f ca="1">IFERROR(__xludf.DUMMYFUNCTION("""COMPUTED_VALUE"""),"Ретроспективен анализ на научните издателства и подготовката на пишещите изследователи")</f>
        <v>Ретроспективен анализ на научните издателства и подготовката на пишещите изследователи</v>
      </c>
      <c r="D6434" s="10">
        <f ca="1">IFERROR(__xludf.DUMMYFUNCTION("""COMPUTED_VALUE"""),2018)</f>
        <v>2018</v>
      </c>
      <c r="E6434"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54-64.")</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54-64.</v>
      </c>
      <c r="F643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4" s="10" t="str">
        <f ca="1">IFERROR(__xludf.DUMMYFUNCTION("""COMPUTED_VALUE"""),"Цветелина Димитрова, Иванка Янкова")</f>
        <v>Цветелина Димитрова, Иванка Янкова</v>
      </c>
      <c r="H6434" s="10"/>
      <c r="I6434" s="10"/>
      <c r="J6434" s="10"/>
      <c r="K6434" s="10"/>
      <c r="L6434" s="10"/>
      <c r="M6434" s="10"/>
      <c r="N6434" s="10"/>
      <c r="O6434" s="10"/>
      <c r="P6434" s="10"/>
      <c r="Q6434" s="10"/>
      <c r="R6434" s="10"/>
      <c r="S6434" s="10"/>
      <c r="T6434" s="10"/>
      <c r="U6434" s="10"/>
      <c r="V6434" s="10"/>
      <c r="W6434" s="10"/>
      <c r="X6434" s="10"/>
      <c r="Y6434" s="10"/>
      <c r="Z6434" s="10"/>
    </row>
    <row r="6435" spans="1:26" ht="12.75">
      <c r="A6435" s="10" t="str">
        <f ca="1">IFERROR(__xludf.DUMMYFUNCTION("""COMPUTED_VALUE"""),"Румелина Илиева Василева")</f>
        <v>Румелина Илиева Василева</v>
      </c>
      <c r="B6435" s="10" t="str">
        <f ca="1">IFERROR(__xludf.DUMMYFUNCTION("""COMPUTED_VALUE"""),"Статия в списания и поредици")</f>
        <v>Статия в списания и поредици</v>
      </c>
      <c r="C6435" s="10" t="str">
        <f ca="1">IFERROR(__xludf.DUMMYFUNCTION("""COMPUTED_VALUE"""),"Проследяване на най-нови изследвания в областта на академичните издания и наукометрията")</f>
        <v>Проследяване на най-нови изследвания в областта на академичните издания и наукометрията</v>
      </c>
      <c r="D6435" s="10">
        <f ca="1">IFERROR(__xludf.DUMMYFUNCTION("""COMPUTED_VALUE"""),2018)</f>
        <v>2018</v>
      </c>
      <c r="E6435" s="10" t="str">
        <f ca="1">IFERROR(__xludf.DUMMYFUNCTION("""COMPUTED_VALUE"""),"Редизайн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38-71.")</f>
        <v>Редизайн за качествена промяна на научните списания в България : Сборник с изследвания. Състав. Иванка Янкова, Румелина Василева. София : За буквите – О писменехь, 2018, с. 38-71.</v>
      </c>
      <c r="F643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5" s="10" t="str">
        <f ca="1">IFERROR(__xludf.DUMMYFUNCTION("""COMPUTED_VALUE"""),"Камелия Нушева")</f>
        <v>Камелия Нушева</v>
      </c>
      <c r="H6435" s="10"/>
      <c r="I6435" s="10"/>
      <c r="J6435" s="10"/>
      <c r="K6435" s="10"/>
      <c r="L6435" s="10"/>
      <c r="M6435" s="10"/>
      <c r="N6435" s="10"/>
      <c r="O6435" s="10"/>
      <c r="P6435" s="10"/>
      <c r="Q6435" s="10"/>
      <c r="R6435" s="10"/>
      <c r="S6435" s="10"/>
      <c r="T6435" s="10"/>
      <c r="U6435" s="10"/>
      <c r="V6435" s="10"/>
      <c r="W6435" s="10"/>
      <c r="X6435" s="10"/>
      <c r="Y6435" s="10"/>
      <c r="Z6435" s="10"/>
    </row>
    <row r="6436" spans="1:26" ht="12.75">
      <c r="A6436" s="10" t="str">
        <f ca="1">IFERROR(__xludf.DUMMYFUNCTION("""COMPUTED_VALUE"""),"Румелина Илиева Василева")</f>
        <v>Румелина Илиева Василева</v>
      </c>
      <c r="B6436" s="10" t="str">
        <f ca="1">IFERROR(__xludf.DUMMYFUNCTION("""COMPUTED_VALUE"""),"Статия в списания и поредици")</f>
        <v>Статия в списания и поредици</v>
      </c>
      <c r="C6436" s="10" t="str">
        <f ca="1">IFERROR(__xludf.DUMMYFUNCTION("""COMPUTED_VALUE"""),"Проучване и анализ на чуждестранни добри практики на професионално продължаващо образование и обучение в интерактивна образователна среда")</f>
        <v>Проучване и анализ на чуждестранни добри практики на професионално продължаващо образование и обучение в интерактивна образователна среда</v>
      </c>
      <c r="D6436" s="10">
        <f ca="1">IFERROR(__xludf.DUMMYFUNCTION("""COMPUTED_VALUE"""),2018)</f>
        <v>2018</v>
      </c>
      <c r="E6436"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Е-сборник.Състав.Иванка Янкова, Румелина Василева. София : За буквите – О писменехь, 2018, c. 37-62")</f>
        <v>Иновативна образователна среда за непрекъснато професионално обучение в сферата на културните и творчески индустрии : Е-сборник.Състав.Иванка Янкова, Румелина Василева. София : За буквите – О писменехь, 2018, c. 37-62</v>
      </c>
      <c r="F643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6" s="10" t="str">
        <f ca="1">IFERROR(__xludf.DUMMYFUNCTION("""COMPUTED_VALUE"""),"Иванка Павлова, Силвия Станчева, Цветелина Димитрова")</f>
        <v>Иванка Павлова, Силвия Станчева, Цветелина Димитрова</v>
      </c>
      <c r="H6436" s="10"/>
      <c r="I6436" s="10"/>
      <c r="J6436" s="10"/>
      <c r="K6436" s="10"/>
      <c r="L6436" s="10"/>
      <c r="M6436" s="10"/>
      <c r="N6436" s="10"/>
      <c r="O6436" s="10"/>
      <c r="P6436" s="10"/>
      <c r="Q6436" s="10"/>
      <c r="R6436" s="10"/>
      <c r="S6436" s="10"/>
      <c r="T6436" s="10"/>
      <c r="U6436" s="10"/>
      <c r="V6436" s="10"/>
      <c r="W6436" s="10"/>
      <c r="X6436" s="10"/>
      <c r="Y6436" s="10"/>
      <c r="Z6436" s="10"/>
    </row>
    <row r="6437" spans="1:26" ht="12.75">
      <c r="A6437" s="10" t="str">
        <f ca="1">IFERROR(__xludf.DUMMYFUNCTION("""COMPUTED_VALUE"""),"Румелина Илиева Василева")</f>
        <v>Румелина Илиева Василева</v>
      </c>
      <c r="B6437" s="10" t="str">
        <f ca="1">IFERROR(__xludf.DUMMYFUNCTION("""COMPUTED_VALUE"""),"Статия в списания и поредици")</f>
        <v>Статия в списания и поредици</v>
      </c>
      <c r="C6437" s="10" t="str">
        <f ca="1">IFERROR(__xludf.DUMMYFUNCTION("""COMPUTED_VALUE"""),"Проблемът „маркетинг на обществените медии“ и новите компетенции")</f>
        <v>Проблемът „маркетинг на обществените медии“ и новите компетенции</v>
      </c>
      <c r="D6437" s="10">
        <f ca="1">IFERROR(__xludf.DUMMYFUNCTION("""COMPUTED_VALUE"""),2018)</f>
        <v>2018</v>
      </c>
      <c r="E6437" s="10" t="str">
        <f ca="1">IFERROR(__xludf.DUMMYFUNCTION("""COMPUTED_VALUE"""),"Иновативна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130-147. ISBN 978-619-185-326-7")</f>
        <v>Иновативна образователна среда за непрекъснато професионално обучение в сферата на културните и творчески индустрии : Е-сборник. Състав. Иванка Янкова, Румелина Василева. София : За буквите – О писменехь, 2018, c. 130-147. ISBN 978-619-185-326-7</v>
      </c>
      <c r="F643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37" s="10" t="str">
        <f ca="1">IFERROR(__xludf.DUMMYFUNCTION("""COMPUTED_VALUE"""),"Иванка Янкова, Косара Илиева")</f>
        <v>Иванка Янкова, Косара Илиева</v>
      </c>
      <c r="H6437" s="10"/>
      <c r="I6437" s="10"/>
      <c r="J6437" s="10"/>
      <c r="K6437" s="10"/>
      <c r="L6437" s="10"/>
      <c r="M6437" s="10"/>
      <c r="N6437" s="10"/>
      <c r="O6437" s="10"/>
      <c r="P6437" s="10"/>
      <c r="Q6437" s="10"/>
      <c r="R6437" s="10"/>
      <c r="S6437" s="10"/>
      <c r="T6437" s="10"/>
      <c r="U6437" s="10"/>
      <c r="V6437" s="10"/>
      <c r="W6437" s="10"/>
      <c r="X6437" s="10"/>
      <c r="Y6437" s="10"/>
      <c r="Z6437" s="10"/>
    </row>
    <row r="6438" spans="1:26" ht="12.75">
      <c r="A6438" s="10" t="str">
        <f ca="1">IFERROR(__xludf.DUMMYFUNCTION("""COMPUTED_VALUE"""),"Румелина Илиева Василева")</f>
        <v>Румелина Илиева Василева</v>
      </c>
      <c r="B6438" s="10" t="str">
        <f ca="1">IFERROR(__xludf.DUMMYFUNCTION("""COMPUTED_VALUE"""),"Глава от колективна монография")</f>
        <v>Глава от колективна монография</v>
      </c>
      <c r="C6438" s="10" t="str">
        <f ca="1">IFERROR(__xludf.DUMMYFUNCTION("""COMPUTED_VALUE"""),"На учителя с признателност")</f>
        <v>На учителя с признателност</v>
      </c>
      <c r="D6438" s="10">
        <f ca="1">IFERROR(__xludf.DUMMYFUNCTION("""COMPUTED_VALUE"""),2018)</f>
        <v>2018</v>
      </c>
      <c r="E6438" s="10" t="str">
        <f ca="1">IFERROR(__xludf.DUMMYFUNCTION("""COMPUTED_VALUE"""),"В: Яни Милчаков – дипломация, социология, стихознание: Изследвания и материали. Състав. доц. д-р Мая Горчева. София : За буквите – О писменехь, 2018. 508 с. ISBN 978-619-185-344-1")</f>
        <v>В: Яни Милчаков – дипломация, социология, стихознание: Изследвания и материали. Състав. доц. д-р Мая Горчева. София : За буквите – О писменехь, 2018. 508 с. ISBN 978-619-185-344-1</v>
      </c>
      <c r="F6438" s="28" t="str">
        <f ca="1">IFERROR(__xludf.DUMMYFUNCTION("""COMPUTED_VALUE"""),"COBISS.BG")</f>
        <v>COBISS.BG</v>
      </c>
      <c r="G6438" s="10"/>
      <c r="H6438" s="10"/>
      <c r="I6438" s="10"/>
      <c r="J6438" s="10"/>
      <c r="K6438" s="10"/>
      <c r="L6438" s="10"/>
      <c r="M6438" s="10"/>
      <c r="N6438" s="10"/>
      <c r="O6438" s="10"/>
      <c r="P6438" s="10"/>
      <c r="Q6438" s="10"/>
      <c r="R6438" s="10"/>
      <c r="S6438" s="10"/>
      <c r="T6438" s="10"/>
      <c r="U6438" s="10"/>
      <c r="V6438" s="10"/>
      <c r="W6438" s="10"/>
      <c r="X6438" s="10"/>
      <c r="Y6438" s="10"/>
      <c r="Z6438" s="10"/>
    </row>
    <row r="6439" spans="1:26" ht="12.75">
      <c r="A6439" s="10" t="str">
        <f ca="1">IFERROR(__xludf.DUMMYFUNCTION("""COMPUTED_VALUE"""),"Румелина Илиева Василева")</f>
        <v>Румелина Илиева Василева</v>
      </c>
      <c r="B6439" s="10" t="str">
        <f ca="1">IFERROR(__xludf.DUMMYFUNCTION("""COMPUTED_VALUE"""),"Доклад от конференция")</f>
        <v>Доклад от конференция</v>
      </c>
      <c r="C6439" s="10" t="str">
        <f ca="1">IFERROR(__xludf.DUMMYFUNCTION("""COMPUTED_VALUE"""),"New Vision for Flexible Dual Vocational Education and Training")</f>
        <v>New Vision for Flexible Dual Vocational Education and Training</v>
      </c>
      <c r="D6439" s="10">
        <f ca="1">IFERROR(__xludf.DUMMYFUNCTION("""COMPUTED_VALUE"""),2017)</f>
        <v>2017</v>
      </c>
      <c r="E6439" s="10" t="str">
        <f ca="1">IFERROR(__xludf.DUMMYFUNCTION("""COMPUTED_VALUE"""),"Proceedings of ICERI2017 Conference : 10th Annual International Conference of Education, Research and Innovation, 16-18 November, 2017, Seville, Spain, pp. 8263-8272. ISBN 978-84-697-6957-7. URL: &lt;file:///G:/files/papers/2222.pdf&gt;")</f>
        <v>Proceedings of ICERI2017 Conference : 10th Annual International Conference of Education, Research and Innovation, 16-18 November, 2017, Seville, Spain, pp. 8263-8272. ISBN 978-84-697-6957-7. URL: &lt;file:///G:/files/papers/2222.pdf&gt;</v>
      </c>
      <c r="F6439" s="10" t="str">
        <f ca="1">IFERROR(__xludf.DUMMYFUNCTION("""COMPUTED_VALUE"""),"ISI Conference Proceedings Citation Index (ISI CPCI), Crossref, Clarivate Analytics, Web of Science")</f>
        <v>ISI Conference Proceedings Citation Index (ISI CPCI), Crossref, Clarivate Analytics, Web of Science</v>
      </c>
      <c r="G6439" s="10" t="str">
        <f ca="1">IFERROR(__xludf.DUMMYFUNCTION("""COMPUTED_VALUE"""),"Ivanka Yankova, Tzvetelina Dimitrova, Stoyan Denchev, Silviya Stancheva")</f>
        <v>Ivanka Yankova, Tzvetelina Dimitrova, Stoyan Denchev, Silviya Stancheva</v>
      </c>
      <c r="H6439" s="10"/>
      <c r="I6439" s="10"/>
      <c r="J6439" s="10"/>
      <c r="K6439" s="10"/>
      <c r="L6439" s="10"/>
      <c r="M6439" s="10"/>
      <c r="N6439" s="10"/>
      <c r="O6439" s="10"/>
      <c r="P6439" s="10"/>
      <c r="Q6439" s="10"/>
      <c r="R6439" s="10"/>
      <c r="S6439" s="10"/>
      <c r="T6439" s="10"/>
      <c r="U6439" s="10"/>
      <c r="V6439" s="10"/>
      <c r="W6439" s="10"/>
      <c r="X6439" s="10"/>
      <c r="Y6439" s="10"/>
      <c r="Z6439" s="10"/>
    </row>
    <row r="6440" spans="1:26" ht="12.75">
      <c r="A6440" s="10" t="str">
        <f ca="1">IFERROR(__xludf.DUMMYFUNCTION("""COMPUTED_VALUE"""),"Румелина Илиева Василева")</f>
        <v>Румелина Илиева Василева</v>
      </c>
      <c r="B6440" s="10" t="str">
        <f ca="1">IFERROR(__xludf.DUMMYFUNCTION("""COMPUTED_VALUE"""),"Доклад от конференция")</f>
        <v>Доклад от конференция</v>
      </c>
      <c r="C6440" s="10" t="str">
        <f ca="1">IFERROR(__xludf.DUMMYFUNCTION("""COMPUTED_VALUE"""),"Research of the Bulgarian Scientists’ Issues with the Publishing in Scientific Periodicals with Impact Factor")</f>
        <v>Research of the Bulgarian Scientists’ Issues with the Publishing in Scientific Periodicals with Impact Factor</v>
      </c>
      <c r="D6440" s="10">
        <f ca="1">IFERROR(__xludf.DUMMYFUNCTION("""COMPUTED_VALUE"""),2017)</f>
        <v>2017</v>
      </c>
      <c r="E6440" s="10" t="str">
        <f ca="1">IFERROR(__xludf.DUMMYFUNCTION("""COMPUTED_VALUE"""),"Proceedings of ICERI2017 Conference : 10th Annual International Conference of Education, Research and Innovation, 16-18 November, 2017, Seville, Spain, pp. 7303-7309 ISBN 978-84-697-6957-7. URL: &lt;file:///G:/files/papers/1962.pdf&gt;")</f>
        <v>Proceedings of ICERI2017 Conference : 10th Annual International Conference of Education, Research and Innovation, 16-18 November, 2017, Seville, Spain, pp. 7303-7309 ISBN 978-84-697-6957-7. URL: &lt;file:///G:/files/papers/1962.pdf&gt;</v>
      </c>
      <c r="F6440" s="10" t="str">
        <f ca="1">IFERROR(__xludf.DUMMYFUNCTION("""COMPUTED_VALUE"""),"ISI Conference Proceedings Citation Index (ISI CPCI), Crossref, Clarivate Analytics, Web of Science")</f>
        <v>ISI Conference Proceedings Citation Index (ISI CPCI), Crossref, Clarivate Analytics, Web of Science</v>
      </c>
      <c r="G6440" s="10" t="str">
        <f ca="1">IFERROR(__xludf.DUMMYFUNCTION("""COMPUTED_VALUE"""),"Irena Peteva, Ivanka Yankova, Silviya Stancheva, Tzvetelina Dimitrova")</f>
        <v>Irena Peteva, Ivanka Yankova, Silviya Stancheva, Tzvetelina Dimitrova</v>
      </c>
      <c r="H6440" s="10"/>
      <c r="I6440" s="10"/>
      <c r="J6440" s="10"/>
      <c r="K6440" s="10"/>
      <c r="L6440" s="10"/>
      <c r="M6440" s="10"/>
      <c r="N6440" s="10"/>
      <c r="O6440" s="10"/>
      <c r="P6440" s="10"/>
      <c r="Q6440" s="10"/>
      <c r="R6440" s="10"/>
      <c r="S6440" s="10"/>
      <c r="T6440" s="10"/>
      <c r="U6440" s="10"/>
      <c r="V6440" s="10"/>
      <c r="W6440" s="10"/>
      <c r="X6440" s="10"/>
      <c r="Y6440" s="10"/>
      <c r="Z6440" s="10"/>
    </row>
    <row r="6441" spans="1:26" ht="12.75">
      <c r="A6441" s="10" t="str">
        <f ca="1">IFERROR(__xludf.DUMMYFUNCTION("""COMPUTED_VALUE"""),"Румелина Илиева Василева")</f>
        <v>Румелина Илиева Василева</v>
      </c>
      <c r="B6441" s="10" t="str">
        <f ca="1">IFERROR(__xludf.DUMMYFUNCTION("""COMPUTED_VALUE"""),"Статия в списания и поредици")</f>
        <v>Статия в списания и поредици</v>
      </c>
      <c r="C6441" s="10" t="str">
        <f ca="1">IFERROR(__xludf.DUMMYFUNCTION("""COMPUTED_VALUE"""),"Книга – учебник, книга за размисъл, книга за последване")</f>
        <v>Книга – учебник, книга за размисъл, книга за последване</v>
      </c>
      <c r="D6441" s="10">
        <f ca="1">IFERROR(__xludf.DUMMYFUNCTION("""COMPUTED_VALUE"""),2017)</f>
        <v>2017</v>
      </c>
      <c r="E6441" s="10" t="str">
        <f ca="1">IFERROR(__xludf.DUMMYFUNCTION("""COMPUTED_VALUE"""),"Трудове на Студентското научно общество при Университета по библиотекознание и информационни технологии (София). Т. ХІІ, 2017, с. 358-361. ISSN 1314-2526.")</f>
        <v>Трудове на Студентското научно общество при Университета по библиотекознание и информационни технологии (София). Т. ХІІ, 2017, с. 358-361. ISSN 1314-2526.</v>
      </c>
      <c r="F6441" s="10" t="str">
        <f ca="1">IFERROR(__xludf.DUMMYFUNCTION("""COMPUTED_VALUE"""),"COBISS")</f>
        <v>COBISS</v>
      </c>
      <c r="G6441" s="10"/>
      <c r="H6441" s="10"/>
      <c r="I6441" s="10"/>
      <c r="J6441" s="10"/>
      <c r="K6441" s="10"/>
      <c r="L6441" s="10"/>
      <c r="M6441" s="10"/>
      <c r="N6441" s="10"/>
      <c r="O6441" s="10"/>
      <c r="P6441" s="10"/>
      <c r="Q6441" s="10"/>
      <c r="R6441" s="10"/>
      <c r="S6441" s="10"/>
      <c r="T6441" s="10"/>
      <c r="U6441" s="10"/>
      <c r="V6441" s="10"/>
      <c r="W6441" s="10"/>
      <c r="X6441" s="10"/>
      <c r="Y6441" s="10"/>
      <c r="Z6441" s="10"/>
    </row>
    <row r="6442" spans="1:26" ht="12.75">
      <c r="A6442" s="10" t="str">
        <f ca="1">IFERROR(__xludf.DUMMYFUNCTION("""COMPUTED_VALUE"""),"Румелина Илиева Василева")</f>
        <v>Румелина Илиева Василева</v>
      </c>
      <c r="B6442" s="10" t="str">
        <f ca="1">IFERROR(__xludf.DUMMYFUNCTION("""COMPUTED_VALUE"""),"Статия в списания и поредици")</f>
        <v>Статия в списания и поредици</v>
      </c>
      <c r="C6442" s="10" t="str">
        <f ca="1">IFERROR(__xludf.DUMMYFUNCTION("""COMPUTED_VALUE"""),"Комуникационна образователна среда за професионалисти през ХХI век – споделена отговорност за качество")</f>
        <v>Комуникационна образователна среда за професионалисти през ХХI век – споделена отговорност за качество</v>
      </c>
      <c r="D6442" s="10">
        <f ca="1">IFERROR(__xludf.DUMMYFUNCTION("""COMPUTED_VALUE"""),2017)</f>
        <v>2017</v>
      </c>
      <c r="E6442" s="10" t="str">
        <f ca="1">IFERROR(__xludf.DUMMYFUNCTION("""COMPUTED_VALUE"""),"Visionary Leadership for Digital Transformation : Higher Education for Sustainable World We Want : Education 2030, 24 May 2017. Paris : UNESCO HQ ; ICDE, 2017. ; Ролята на ЮНЕСКО за радвитието на образованието, науката и културата н Република България : С"&amp;"борник = The Role of UNESCO for the Development of Educationq Science and Culture in the Republic of Bulgaria. София : За буквите – О писменехь, 2017, с. 40-55. ISBN 978-619-185-306-9.")</f>
        <v>Visionary Leadership for Digital Transformation : Higher Education for Sustainable World We Want : Education 2030, 24 May 2017. Paris : UNESCO HQ ; ICDE, 2017. ; Ролята на ЮНЕСКО за радвитието на образованието, науката и културата н Република България : Сборник = The Role of UNESCO for the Development of Educationq Science and Culture in the Republic of Bulgaria. София : За буквите – О писменехь, 2017, с. 40-55. ISBN 978-619-185-306-9.</v>
      </c>
      <c r="F6442" s="10" t="str">
        <f ca="1">IFERROR(__xludf.DUMMYFUNCTION("""COMPUTED_VALUE"""),"COBISS")</f>
        <v>COBISS</v>
      </c>
      <c r="G6442" s="10" t="str">
        <f ca="1">IFERROR(__xludf.DUMMYFUNCTION("""COMPUTED_VALUE"""),"Павлова, Иванка Янкова, Иванка//Pavlova, Ivanka Yankova, Ivanka")</f>
        <v>Павлова, Иванка Янкова, Иванка//Pavlova, Ivanka Yankova, Ivanka</v>
      </c>
      <c r="H6442" s="10"/>
      <c r="I6442" s="10"/>
      <c r="J6442" s="10"/>
      <c r="K6442" s="10"/>
      <c r="L6442" s="10"/>
      <c r="M6442" s="10"/>
      <c r="N6442" s="10"/>
      <c r="O6442" s="10"/>
      <c r="P6442" s="10"/>
      <c r="Q6442" s="10"/>
      <c r="R6442" s="10"/>
      <c r="S6442" s="10"/>
      <c r="T6442" s="10"/>
      <c r="U6442" s="10"/>
      <c r="V6442" s="10"/>
      <c r="W6442" s="10"/>
      <c r="X6442" s="10"/>
      <c r="Y6442" s="10"/>
      <c r="Z6442" s="10"/>
    </row>
    <row r="6443" spans="1:26" ht="12.75">
      <c r="A6443" s="10" t="str">
        <f ca="1">IFERROR(__xludf.DUMMYFUNCTION("""COMPUTED_VALUE"""),"Румелина Илиева Василева")</f>
        <v>Румелина Илиева Василева</v>
      </c>
      <c r="B6443" s="10" t="str">
        <f ca="1">IFERROR(__xludf.DUMMYFUNCTION("""COMPUTED_VALUE"""),"Статия в списания и поредици")</f>
        <v>Статия в списания и поредици</v>
      </c>
      <c r="C6443" s="10" t="str">
        <f ca="1">IFERROR(__xludf.DUMMYFUNCTION("""COMPUTED_VALUE"""),"Диалектиката „четене : писане“ – логосът на научната комуникация = “Reading : Writing” Dialectic – The Logos of Science Communication")</f>
        <v>Диалектиката „четене : писане“ – логосът на научната комуникация = “Reading : Writing” Dialectic – The Logos of Science Communication</v>
      </c>
      <c r="D6443" s="10">
        <f ca="1">IFERROR(__xludf.DUMMYFUNCTION("""COMPUTED_VALUE"""),2017)</f>
        <v>2017</v>
      </c>
      <c r="E6443" s="10" t="str">
        <f ca="1">IFERROR(__xludf.DUMMYFUNCTION("""COMPUTED_VALUE"""),"Съвременни измерения на европейското образователно и научно пространство. Българо-гръцки културни общувания : Х Международен пътуващ семинар на УниБИТ, 29 май – 05 юни 2017 г., Република Гърция: Сб. докл. : Т. 5. София : За буквите – О писменехь, 2017, с."&amp;" 29-39. ISSN 2367-7988.")</f>
        <v>Съвременни измерения на европейското образователно и научно пространство. Българо-гръцки културни общувания : Х Международен пътуващ семинар на УниБИТ, 29 май – 05 юни 2017 г., Република Гърция: Сб. докл. : Т. 5. София : За буквите – О писменехь, 2017, с. 29-39. ISSN 2367-7988.</v>
      </c>
      <c r="F6443" s="10" t="str">
        <f ca="1">IFERROR(__xludf.DUMMYFUNCTION("""COMPUTED_VALUE"""),"COBISS")</f>
        <v>COBISS</v>
      </c>
      <c r="G6443" s="10" t="str">
        <f ca="1">IFERROR(__xludf.DUMMYFUNCTION("""COMPUTED_VALUE"""),"Янкова, Иванка Нушева, Камелия")</f>
        <v>Янкова, Иванка Нушева, Камелия</v>
      </c>
      <c r="H6443" s="10"/>
      <c r="I6443" s="10"/>
      <c r="J6443" s="10"/>
      <c r="K6443" s="10"/>
      <c r="L6443" s="10"/>
      <c r="M6443" s="10"/>
      <c r="N6443" s="10"/>
      <c r="O6443" s="10"/>
      <c r="P6443" s="10"/>
      <c r="Q6443" s="10"/>
      <c r="R6443" s="10"/>
      <c r="S6443" s="10"/>
      <c r="T6443" s="10"/>
      <c r="U6443" s="10"/>
      <c r="V6443" s="10"/>
      <c r="W6443" s="10"/>
      <c r="X6443" s="10"/>
      <c r="Y6443" s="10"/>
      <c r="Z6443" s="10"/>
    </row>
    <row r="6444" spans="1:26" ht="12.75">
      <c r="A6444" s="10" t="str">
        <f ca="1">IFERROR(__xludf.DUMMYFUNCTION("""COMPUTED_VALUE"""),"Румелина Илиева Василева")</f>
        <v>Румелина Илиева Василева</v>
      </c>
      <c r="B6444" s="10" t="str">
        <f ca="1">IFERROR(__xludf.DUMMYFUNCTION("""COMPUTED_VALUE"""),"Доклад от конференция")</f>
        <v>Доклад от конференция</v>
      </c>
      <c r="C6444" s="10" t="str">
        <f ca="1">IFERROR(__xludf.DUMMYFUNCTION("""COMPUTED_VALUE"""),"Information Literacy for Developing Skills to Organize Advocacy Campaigns in Libraries, Based on an Interactive Communication Model Used in Vocational and Continuing Training")</f>
        <v>Information Literacy for Developing Skills to Organize Advocacy Campaigns in Libraries, Based on an Interactive Communication Model Used in Vocational and Continuing Training</v>
      </c>
      <c r="D6444" s="10">
        <f ca="1">IFERROR(__xludf.DUMMYFUNCTION("""COMPUTED_VALUE"""),2017)</f>
        <v>2017</v>
      </c>
      <c r="E6444" s="10" t="str">
        <f ca="1">IFERROR(__xludf.DUMMYFUNCTION("""COMPUTED_VALUE"""),"The Fifth European Conference on Information Literacy (ECIL), September 18th-21st, 2017, Saint-Malo, France : Abstracts, Saint-Malo, 2017, р. 151.")</f>
        <v>The Fifth European Conference on Information Literacy (ECIL), September 18th-21st, 2017, Saint-Malo, France : Abstracts, Saint-Malo, 2017, р. 151.</v>
      </c>
      <c r="F6444" s="10"/>
      <c r="G6444" s="10" t="str">
        <f ca="1">IFERROR(__xludf.DUMMYFUNCTION("""COMPUTED_VALUE"""),"Иванка Янкова, Добринка Стойкова, Силвия Станчева")</f>
        <v>Иванка Янкова, Добринка Стойкова, Силвия Станчева</v>
      </c>
      <c r="H6444" s="10"/>
      <c r="I6444" s="10"/>
      <c r="J6444" s="10"/>
      <c r="K6444" s="10"/>
      <c r="L6444" s="10"/>
      <c r="M6444" s="10"/>
      <c r="N6444" s="10"/>
      <c r="O6444" s="10"/>
      <c r="P6444" s="10"/>
      <c r="Q6444" s="10"/>
      <c r="R6444" s="10"/>
      <c r="S6444" s="10"/>
      <c r="T6444" s="10"/>
      <c r="U6444" s="10"/>
      <c r="V6444" s="10"/>
      <c r="W6444" s="10"/>
      <c r="X6444" s="10"/>
      <c r="Y6444" s="10"/>
      <c r="Z6444" s="10"/>
    </row>
    <row r="6445" spans="1:26" ht="12.75">
      <c r="A6445" s="10" t="str">
        <f ca="1">IFERROR(__xludf.DUMMYFUNCTION("""COMPUTED_VALUE"""),"Румелина Илиева Василева")</f>
        <v>Румелина Илиева Василева</v>
      </c>
      <c r="B6445" s="10" t="str">
        <f ca="1">IFERROR(__xludf.DUMMYFUNCTION("""COMPUTED_VALUE"""),"Статия в списания и поредици")</f>
        <v>Статия в списания и поредици</v>
      </c>
      <c r="C6445" s="10" t="str">
        <f ca="1">IFERROR(__xludf.DUMMYFUNCTION("""COMPUTED_VALUE"""),"Лобирането и застъпничеството – новата грамотност за нова визия на културните институции")</f>
        <v>Лобирането и застъпничеството – новата грамотност за нова визия на културните институции</v>
      </c>
      <c r="D6445" s="10">
        <f ca="1">IFERROR(__xludf.DUMMYFUNCTION("""COMPUTED_VALUE"""),2017)</f>
        <v>2017</v>
      </c>
      <c r="E6445" s="10" t="str">
        <f ca="1">IFERROR(__xludf.DUMMYFUNCTION("""COMPUTED_VALUE"""),"Библиотеки, четене, комуникации: Дигиталната конверсия на книжовното и културно-историческо наследство : XV нац. науч. конф. с междунар. уч., В. Търново, 17-18 ноем., 2016. Състав. И. Янкова, А. Ковачев, И. Александров, К. Иванова. Велико Търново: НБ „П. "&amp;"Р. Славейков“, 2017, с. 48-59. ISSN 1313-8138.")</f>
        <v>Библиотеки, четене, комуникации: Дигиталната конверсия на книжовното и културно-историческо наследство : XV нац. науч. конф. с междунар. уч., В. Търново, 17-18 ноем., 2016. Състав. И. Янкова, А. Ковачев, И. Александров, К. Иванова. Велико Търново: НБ „П. Р. Славейков“, 2017, с. 48-59. ISSN 1313-8138.</v>
      </c>
      <c r="F644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45" s="10" t="str">
        <f ca="1">IFERROR(__xludf.DUMMYFUNCTION("""COMPUTED_VALUE"""),"Иванка Янкова, Камелия Нушева")</f>
        <v>Иванка Янкова, Камелия Нушева</v>
      </c>
      <c r="H6445" s="10"/>
      <c r="I6445" s="10"/>
      <c r="J6445" s="10"/>
      <c r="K6445" s="10"/>
      <c r="L6445" s="10"/>
      <c r="M6445" s="10"/>
      <c r="N6445" s="10"/>
      <c r="O6445" s="10"/>
      <c r="P6445" s="10"/>
      <c r="Q6445" s="10"/>
      <c r="R6445" s="10"/>
      <c r="S6445" s="10"/>
      <c r="T6445" s="10"/>
      <c r="U6445" s="10"/>
      <c r="V6445" s="10"/>
      <c r="W6445" s="10"/>
      <c r="X6445" s="10"/>
      <c r="Y6445" s="10"/>
      <c r="Z6445" s="10"/>
    </row>
    <row r="6446" spans="1:26" ht="12.75">
      <c r="A6446" s="10" t="str">
        <f ca="1">IFERROR(__xludf.DUMMYFUNCTION("""COMPUTED_VALUE"""),"Румелина Илиева Василева")</f>
        <v>Румелина Илиева Василева</v>
      </c>
      <c r="B6446" s="10" t="str">
        <f ca="1">IFERROR(__xludf.DUMMYFUNCTION("""COMPUTED_VALUE"""),"Доклад от конференция")</f>
        <v>Доклад от конференция</v>
      </c>
      <c r="C6446" s="10" t="str">
        <f ca="1">IFERROR(__xludf.DUMMYFUNCTION("""COMPUTED_VALUE"""),"Застъпничеството като проактивна промяна")</f>
        <v>Застъпничеството като проактивна промяна</v>
      </c>
      <c r="D6446" s="10">
        <f ca="1">IFERROR(__xludf.DUMMYFUNCTION("""COMPUTED_VALUE"""),2017)</f>
        <v>2017</v>
      </c>
      <c r="E6446" s="10" t="str">
        <f ca="1">IFERROR(__xludf.DUMMYFUNCTION("""COMPUTED_VALUE"""),"Библиотеки, четене, комуникации: Дигиталната конверсия на книжовното и културно-историческо наследство : XV нац. науч. конф. с междунар. уч., В. Търново, 17-18 ноември, 2016. Състав. Иванка Янкова, Александър Ковачев, Иван Александров, Калина Иванова. Вел"&amp;"ико Търново: НБ „П. Р. Славейков“, 2017, с. 288-301. ISSN 1313-8138")</f>
        <v>Библиотеки, четене, комуникации: Дигиталната конверсия на книжовното и културно-историческо наследство : XV нац. науч. конф. с междунар. уч., В. Търново, 17-18 ноември, 2016. Състав. Иванка Янкова, Александър Ковачев, Иван Александров, Калина Иванова. Велико Търново: НБ „П. Р. Славейков“, 2017, с. 288-301. ISSN 1313-8138</v>
      </c>
      <c r="F644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46" s="10" t="str">
        <f ca="1">IFERROR(__xludf.DUMMYFUNCTION("""COMPUTED_VALUE"""),"Илиана Влъчкова")</f>
        <v>Илиана Влъчкова</v>
      </c>
      <c r="H6446" s="10"/>
      <c r="I6446" s="10"/>
      <c r="J6446" s="10"/>
      <c r="K6446" s="10"/>
      <c r="L6446" s="10"/>
      <c r="M6446" s="10"/>
      <c r="N6446" s="10"/>
      <c r="O6446" s="10"/>
      <c r="P6446" s="10"/>
      <c r="Q6446" s="10"/>
      <c r="R6446" s="10"/>
      <c r="S6446" s="10"/>
      <c r="T6446" s="10"/>
      <c r="U6446" s="10"/>
      <c r="V6446" s="10"/>
      <c r="W6446" s="10"/>
      <c r="X6446" s="10"/>
      <c r="Y6446" s="10"/>
      <c r="Z6446" s="10"/>
    </row>
    <row r="6447" spans="1:26" ht="12.75">
      <c r="A6447" s="10" t="str">
        <f ca="1">IFERROR(__xludf.DUMMYFUNCTION("""COMPUTED_VALUE"""),"Румелина Илиева Василева")</f>
        <v>Румелина Илиева Василева</v>
      </c>
      <c r="B6447" s="10" t="str">
        <f ca="1">IFERROR(__xludf.DUMMYFUNCTION("""COMPUTED_VALUE"""),"Доклад от конференция")</f>
        <v>Доклад от конференция</v>
      </c>
      <c r="C6447" s="10" t="str">
        <f ca="1">IFERROR(__xludf.DUMMYFUNCTION("""COMPUTED_VALUE"""),"Impact of Communication on Learnability in Lifelong Learning Business Models")</f>
        <v>Impact of Communication on Learnability in Lifelong Learning Business Models</v>
      </c>
      <c r="D6447" s="10">
        <f ca="1">IFERROR(__xludf.DUMMYFUNCTION("""COMPUTED_VALUE"""),2017)</f>
        <v>2017</v>
      </c>
      <c r="E6447" s="10" t="str">
        <f ca="1">IFERROR(__xludf.DUMMYFUNCTION("""COMPUTED_VALUE"""),"Proceedings of ICERI2017 Conference : 10th Annual International Conference of Education, Research and Innovation, 16-18 November, 2017, Seville, Spain, pp. 8119-8122. ISBN 978-84-697-6957-7. URL: &lt;file:///G:/files/papers/2169.pdf&gt;")</f>
        <v>Proceedings of ICERI2017 Conference : 10th Annual International Conference of Education, Research and Innovation, 16-18 November, 2017, Seville, Spain, pp. 8119-8122. ISBN 978-84-697-6957-7. URL: &lt;file:///G:/files/papers/2169.pdf&gt;</v>
      </c>
      <c r="F6447" s="10" t="str">
        <f ca="1">IFERROR(__xludf.DUMMYFUNCTION("""COMPUTED_VALUE"""),"ISI Conference Proceedings Citation Index (ISI CPCI), Crossref, Clarivate Analytics, Web of Science")</f>
        <v>ISI Conference Proceedings Citation Index (ISI CPCI), Crossref, Clarivate Analytics, Web of Science</v>
      </c>
      <c r="G6447" s="10" t="str">
        <f ca="1">IFERROR(__xludf.DUMMYFUNCTION("""COMPUTED_VALUE"""),"Ivanka Yankova, Silviya Stancheva, Tzvetelina Dimitrova")</f>
        <v>Ivanka Yankova, Silviya Stancheva, Tzvetelina Dimitrova</v>
      </c>
      <c r="H6447" s="10"/>
      <c r="I6447" s="10"/>
      <c r="J6447" s="10"/>
      <c r="K6447" s="10"/>
      <c r="L6447" s="10"/>
      <c r="M6447" s="10"/>
      <c r="N6447" s="10"/>
      <c r="O6447" s="10"/>
      <c r="P6447" s="10"/>
      <c r="Q6447" s="10"/>
      <c r="R6447" s="10"/>
      <c r="S6447" s="10"/>
      <c r="T6447" s="10"/>
      <c r="U6447" s="10"/>
      <c r="V6447" s="10"/>
      <c r="W6447" s="10"/>
      <c r="X6447" s="10"/>
      <c r="Y6447" s="10"/>
      <c r="Z6447" s="10"/>
    </row>
    <row r="6448" spans="1:26" ht="12.75">
      <c r="A6448" s="10" t="str">
        <f ca="1">IFERROR(__xludf.DUMMYFUNCTION("""COMPUTED_VALUE"""),"Румелина Илиева Василева")</f>
        <v>Румелина Илиева Василева</v>
      </c>
      <c r="B6448" s="10" t="str">
        <f ca="1">IFERROR(__xludf.DUMMYFUNCTION("""COMPUTED_VALUE"""),"Статия в списания и поредици")</f>
        <v>Статия в списания и поредици</v>
      </c>
      <c r="C6448" s="10" t="str">
        <f ca="1">IFERROR(__xludf.DUMMYFUNCTION("""COMPUTED_VALUE"""),"Социологическо проучване на застъпничеството в българските библиотеки")</f>
        <v>Социологическо проучване на застъпничеството в българските библиотеки</v>
      </c>
      <c r="D6448" s="10">
        <f ca="1">IFERROR(__xludf.DUMMYFUNCTION("""COMPUTED_VALUE"""),2016)</f>
        <v>2016</v>
      </c>
      <c r="E6448" s="10" t="str">
        <f ca="1">IFERROR(__xludf.DUMMYFUNCTION("""COMPUTED_VALUE"""),"Библиосфера: Е-списание за услугите, ресурсите и технологиите в библиотечно-информационното пространство = Bibliosphere: E-journal of Services, Resources and Technology in Information Science and Library, 20, 2016. ISSN 1311-8803. URL: &lt;http://bibliospher"&amp;"e.eu/?p=3106&gt;")</f>
        <v>Библиосфера: Е-списание за услугите, ресурсите и технологиите в библиотечно-информационното пространство = Bibliosphere: E-journal of Services, Resources and Technology in Information Science and Library, 20, 2016. ISSN 1311-8803. URL: &lt;http://bibliosphere.eu/?p=3106&gt;</v>
      </c>
      <c r="F6448" s="10" t="str">
        <f ca="1">IFERROR(__xludf.DUMMYFUNCTION("""COMPUTED_VALUE"""),"DOAJ – Directory of Open Access Journals, EBSCO Publishing, Elektronische
 Zeitschriftenbibliothek")</f>
        <v>DOAJ – Directory of Open Access Journals, EBSCO Publishing, Elektronische
 Zeitschriftenbibliothek</v>
      </c>
      <c r="G6448" s="10" t="str">
        <f ca="1">IFERROR(__xludf.DUMMYFUNCTION("""COMPUTED_VALUE"""),"Добринка Стойкова")</f>
        <v>Добринка Стойкова</v>
      </c>
      <c r="H6448" s="10"/>
      <c r="I6448" s="10"/>
      <c r="J6448" s="10"/>
      <c r="K6448" s="10"/>
      <c r="L6448" s="10"/>
      <c r="M6448" s="10"/>
      <c r="N6448" s="10"/>
      <c r="O6448" s="10"/>
      <c r="P6448" s="10"/>
      <c r="Q6448" s="10"/>
      <c r="R6448" s="10"/>
      <c r="S6448" s="10"/>
      <c r="T6448" s="10"/>
      <c r="U6448" s="10"/>
      <c r="V6448" s="10"/>
      <c r="W6448" s="10"/>
      <c r="X6448" s="10"/>
      <c r="Y6448" s="10"/>
      <c r="Z6448" s="10"/>
    </row>
    <row r="6449" spans="1:26" ht="12.75">
      <c r="A6449" s="10" t="str">
        <f ca="1">IFERROR(__xludf.DUMMYFUNCTION("""COMPUTED_VALUE"""),"Румелина Илиева Василева")</f>
        <v>Румелина Илиева Василева</v>
      </c>
      <c r="B6449" s="10" t="str">
        <f ca="1">IFERROR(__xludf.DUMMYFUNCTION("""COMPUTED_VALUE"""),"Статия в списания и поредици")</f>
        <v>Статия в списания и поредици</v>
      </c>
      <c r="C6449" s="10" t="str">
        <f ca="1">IFERROR(__xludf.DUMMYFUNCTION("""COMPUTED_VALUE"""),"Лобирането и застъпничеството – новото агрегатно състояние на библиотеките в съвременното гражданско общество")</f>
        <v>Лобирането и застъпничеството – новото агрегатно състояние на библиотеките в съвременното гражданско общество</v>
      </c>
      <c r="D6449" s="10">
        <f ca="1">IFERROR(__xludf.DUMMYFUNCTION("""COMPUTED_VALUE"""),2016)</f>
        <v>2016</v>
      </c>
      <c r="E6449" s="10" t="str">
        <f ca="1">IFERROR(__xludf.DUMMYFUNCTION("""COMPUTED_VALUE"""),"Да поговорим за застъпничеството и лобирането в българските библиотеки : Сборник с добри практики и идеи. Състав., ред. Р. Василева. Рец. И. Янкова. София : За буквите – О писменехь, 2016, с. 18-28. ISBN 978-619-185-258-1.")</f>
        <v>Да поговорим за застъпничеството и лобирането в българските библиотеки : Сборник с добри практики и идеи. Състав., ред. Р. Василева. Рец. И. Янкова. София : За буквите – О писменехь, 2016, с. 18-28. ISBN 978-619-185-258-1.</v>
      </c>
      <c r="F6449" s="10" t="str">
        <f ca="1">IFERROR(__xludf.DUMMYFUNCTION("""COMPUTED_VALUE"""),"COBISS")</f>
        <v>COBISS</v>
      </c>
      <c r="G6449" s="10"/>
      <c r="H6449" s="10"/>
      <c r="I6449" s="10"/>
      <c r="J6449" s="10"/>
      <c r="K6449" s="10"/>
      <c r="L6449" s="10"/>
      <c r="M6449" s="10"/>
      <c r="N6449" s="10"/>
      <c r="O6449" s="10"/>
      <c r="P6449" s="10"/>
      <c r="Q6449" s="10"/>
      <c r="R6449" s="10"/>
      <c r="S6449" s="10"/>
      <c r="T6449" s="10"/>
      <c r="U6449" s="10"/>
      <c r="V6449" s="10"/>
      <c r="W6449" s="10"/>
      <c r="X6449" s="10"/>
      <c r="Y6449" s="10"/>
      <c r="Z6449" s="10"/>
    </row>
    <row r="6450" spans="1:26" ht="12.75">
      <c r="A6450" s="10" t="str">
        <f ca="1">IFERROR(__xludf.DUMMYFUNCTION("""COMPUTED_VALUE"""),"Румелина Илиева Василева")</f>
        <v>Румелина Илиева Василева</v>
      </c>
      <c r="B6450" s="10" t="str">
        <f ca="1">IFERROR(__xludf.DUMMYFUNCTION("""COMPUTED_VALUE"""),"Статия в списания и поредици")</f>
        <v>Статия в списания и поредици</v>
      </c>
      <c r="C6450" s="10" t="str">
        <f ca="1">IFERROR(__xludf.DUMMYFUNCTION("""COMPUTED_VALUE"""),"Competent Contributors – The New Vision for Modern Training and a Learning Library as an Institution of Memory And Knowledge = Компетентни съмишленици – новата визия за съвременна обучаваща и учеща се библиотека като институция на паметта и знанието")</f>
        <v>Competent Contributors – The New Vision for Modern Training and a Learning Library as an Institution of Memory And Knowledge = Компетентни съмишленици – новата визия за съвременна обучаваща и учеща се библиотека като институция на паметта и знанието</v>
      </c>
      <c r="D6450" s="10">
        <f ca="1">IFERROR(__xludf.DUMMYFUNCTION("""COMPUTED_VALUE"""),2016)</f>
        <v>2016</v>
      </c>
      <c r="E6450" s="10" t="str">
        <f ca="1">IFERROR(__xludf.DUMMYFUNCTION("""COMPUTED_VALUE"""),"Knowledge – International Journal, 2016, 13.2., pp. 35-41. ISSN 1857-923X.")</f>
        <v>Knowledge – International Journal, 2016, 13.2., pp. 35-41. ISSN 1857-923X.</v>
      </c>
      <c r="F6450" s="10" t="str">
        <f ca="1">IFERROR(__xludf.DUMMYFUNCTION("""COMPUTED_VALUE"""),"DOAJ etc
 International Journal with an ISSN number and Global Impact &amp; Quality Factor (GIF) 1.023 (for 2015 z.) (http://globalimpactfactor.com/knowledge-international-journal/) KNOWLEDGE – International Journal")</f>
        <v>DOAJ etc
 International Journal with an ISSN number and Global Impact &amp; Quality Factor (GIF) 1.023 (for 2015 z.) (http://globalimpactfactor.com/knowledge-international-journal/) KNOWLEDGE – International Journal</v>
      </c>
      <c r="G6450" s="10" t="str">
        <f ca="1">IFERROR(__xludf.DUMMYFUNCTION("""COMPUTED_VALUE"""),"Ivanka Yankova")</f>
        <v>Ivanka Yankova</v>
      </c>
      <c r="H6450" s="10"/>
      <c r="I6450" s="10"/>
      <c r="J6450" s="10"/>
      <c r="K6450" s="10"/>
      <c r="L6450" s="10"/>
      <c r="M6450" s="10"/>
      <c r="N6450" s="10"/>
      <c r="O6450" s="10"/>
      <c r="P6450" s="10"/>
      <c r="Q6450" s="10"/>
      <c r="R6450" s="10"/>
      <c r="S6450" s="10"/>
      <c r="T6450" s="10"/>
      <c r="U6450" s="10"/>
      <c r="V6450" s="10"/>
      <c r="W6450" s="10"/>
      <c r="X6450" s="10"/>
      <c r="Y6450" s="10"/>
      <c r="Z6450" s="10"/>
    </row>
    <row r="6451" spans="1:26" ht="12.75">
      <c r="A6451" s="10" t="str">
        <f ca="1">IFERROR(__xludf.DUMMYFUNCTION("""COMPUTED_VALUE"""),"Румелина Илиева Василева")</f>
        <v>Румелина Илиева Василева</v>
      </c>
      <c r="B6451" s="10" t="str">
        <f ca="1">IFERROR(__xludf.DUMMYFUNCTION("""COMPUTED_VALUE"""),"Доклад от конференция")</f>
        <v>Доклад от конференция</v>
      </c>
      <c r="C6451" s="10" t="str">
        <f ca="1">IFERROR(__xludf.DUMMYFUNCTION("""COMPUTED_VALUE"""),"Знанието във и за библиотечните фондове")</f>
        <v>Знанието във и за библиотечните фондове</v>
      </c>
      <c r="D6451" s="10">
        <f ca="1">IFERROR(__xludf.DUMMYFUNCTION("""COMPUTED_VALUE"""),2016)</f>
        <v>2016</v>
      </c>
      <c r="E6451" s="10" t="str">
        <f ca="1">IFERROR(__xludf.DUMMYFUNCTION("""COMPUTED_VALUE"""),"Обществото на знанието и хуманизмът на ХХІ век: XIII нац. науч. конф. с междунар. уч., посв. на Деня на народните будители – 1 ноем. 2015 г. София : За буквите – О писменехь, 2016, с. 239-248. ISSN 1314-7099.")</f>
        <v>Обществото на знанието и хуманизмът на ХХІ век: XIII нац. науч. конф. с междунар. уч., посв. на Деня на народните будители – 1 ноем. 2015 г. София : За буквите – О писменехь, 2016, с. 239-248. ISSN 1314-7099.</v>
      </c>
      <c r="F645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51" s="10"/>
      <c r="H6451" s="10"/>
      <c r="I6451" s="10"/>
      <c r="J6451" s="10"/>
      <c r="K6451" s="10"/>
      <c r="L6451" s="10"/>
      <c r="M6451" s="10"/>
      <c r="N6451" s="10"/>
      <c r="O6451" s="10"/>
      <c r="P6451" s="10"/>
      <c r="Q6451" s="10"/>
      <c r="R6451" s="10"/>
      <c r="S6451" s="10"/>
      <c r="T6451" s="10"/>
      <c r="U6451" s="10"/>
      <c r="V6451" s="10"/>
      <c r="W6451" s="10"/>
      <c r="X6451" s="10"/>
      <c r="Y6451" s="10"/>
      <c r="Z6451" s="10"/>
    </row>
    <row r="6452" spans="1:26" ht="12.75">
      <c r="A6452" s="10" t="str">
        <f ca="1">IFERROR(__xludf.DUMMYFUNCTION("""COMPUTED_VALUE"""),"Румелина Илиева Василева")</f>
        <v>Румелина Илиева Василева</v>
      </c>
      <c r="B6452" s="10" t="str">
        <f ca="1">IFERROR(__xludf.DUMMYFUNCTION("""COMPUTED_VALUE"""),"Статия в списания и поредици")</f>
        <v>Статия в списания и поредици</v>
      </c>
      <c r="C6452" s="10" t="str">
        <f ca="1">IFERROR(__xludf.DUMMYFUNCTION("""COMPUTED_VALUE"""),"Връзки с обществеността, лобиране, застъпничество, сътрудничество – ключовите фактори за репутация и признание на българските библиотеки и читалища")</f>
        <v>Връзки с обществеността, лобиране, застъпничество, сътрудничество – ключовите фактори за репутация и признание на българските библиотеки и читалища</v>
      </c>
      <c r="D6452" s="10">
        <f ca="1">IFERROR(__xludf.DUMMYFUNCTION("""COMPUTED_VALUE"""),2016)</f>
        <v>2016</v>
      </c>
      <c r="E6452" s="10" t="str">
        <f ca="1">IFERROR(__xludf.DUMMYFUNCTION("""COMPUTED_VALUE"""),"Да поговорим за застъпничеството и лобирането в българските библиотеки: Сб. с добри практики и идеи. Състав., ред. Р. Василева. Рец. И. Янкова. София : За буквите – О писменехь, 2016, с. 276-292. ISBN 978-619-185-258-1.")</f>
        <v>Да поговорим за застъпничеството и лобирането в българските библиотеки: Сб. с добри практики и идеи. Състав., ред. Р. Василева. Рец. И. Янкова. София : За буквите – О писменехь, 2016, с. 276-292. ISBN 978-619-185-258-1.</v>
      </c>
      <c r="F6452" s="10" t="str">
        <f ca="1">IFERROR(__xludf.DUMMYFUNCTION("""COMPUTED_VALUE"""),"COBISS")</f>
        <v>COBISS</v>
      </c>
      <c r="G6452" s="10"/>
      <c r="H6452" s="10"/>
      <c r="I6452" s="10"/>
      <c r="J6452" s="10"/>
      <c r="K6452" s="10"/>
      <c r="L6452" s="10"/>
      <c r="M6452" s="10"/>
      <c r="N6452" s="10"/>
      <c r="O6452" s="10"/>
      <c r="P6452" s="10"/>
      <c r="Q6452" s="10"/>
      <c r="R6452" s="10"/>
      <c r="S6452" s="10"/>
      <c r="T6452" s="10"/>
      <c r="U6452" s="10"/>
      <c r="V6452" s="10"/>
      <c r="W6452" s="10"/>
      <c r="X6452" s="10"/>
      <c r="Y6452" s="10"/>
      <c r="Z6452" s="10"/>
    </row>
    <row r="6453" spans="1:26" ht="12.75">
      <c r="A6453" s="10" t="str">
        <f ca="1">IFERROR(__xludf.DUMMYFUNCTION("""COMPUTED_VALUE"""),"Румелина Илиева Василева")</f>
        <v>Румелина Илиева Василева</v>
      </c>
      <c r="B6453" s="10" t="str">
        <f ca="1">IFERROR(__xludf.DUMMYFUNCTION("""COMPUTED_VALUE"""),"Статия в списания и поредици")</f>
        <v>Статия в списания и поредици</v>
      </c>
      <c r="C6453" s="10" t="str">
        <f ca="1">IFERROR(__xludf.DUMMYFUNCTION("""COMPUTED_VALUE"""),"The National Advocacy Campaign in Bulgarian Libraries. Achievements, Issues and Practical Knowledge = Национални застъпнически кампании в българските библиотеки. Постижения, проблеми, практически знания")</f>
        <v>The National Advocacy Campaign in Bulgarian Libraries. Achievements, Issues and Practical Knowledge = Национални застъпнически кампании в българските библиотеки. Постижения, проблеми, практически знания</v>
      </c>
      <c r="D6453" s="10">
        <f ca="1">IFERROR(__xludf.DUMMYFUNCTION("""COMPUTED_VALUE"""),2016)</f>
        <v>2016</v>
      </c>
      <c r="E6453" s="10" t="str">
        <f ca="1">IFERROR(__xludf.DUMMYFUNCTION("""COMPUTED_VALUE"""),"Knowledge – International Journal, 2016, 15.2., с. 821-826. ISSN 1857-923X.")</f>
        <v>Knowledge – International Journal, 2016, 15.2., с. 821-826. ISSN 1857-923X.</v>
      </c>
      <c r="F6453" s="10" t="str">
        <f ca="1">IFERROR(__xludf.DUMMYFUNCTION("""COMPUTED_VALUE"""),"DOAJ etc
 International Journal with an ISSN number and Global Impact &amp; Quality Factor (GIF) 1.023 (for 2015 z.) (http://globalimpactfactor.com/knowledge-international-journal/) KNOWLEDGE – International Journal")</f>
        <v>DOAJ etc
 International Journal with an ISSN number and Global Impact &amp; Quality Factor (GIF) 1.023 (for 2015 z.) (http://globalimpactfactor.com/knowledge-international-journal/) KNOWLEDGE – International Journal</v>
      </c>
      <c r="G6453" s="10" t="str">
        <f ca="1">IFERROR(__xludf.DUMMYFUNCTION("""COMPUTED_VALUE"""),"Dobrinka Stoykova")</f>
        <v>Dobrinka Stoykova</v>
      </c>
      <c r="H6453" s="10"/>
      <c r="I6453" s="10"/>
      <c r="J6453" s="10"/>
      <c r="K6453" s="10"/>
      <c r="L6453" s="10"/>
      <c r="M6453" s="10"/>
      <c r="N6453" s="10"/>
      <c r="O6453" s="10"/>
      <c r="P6453" s="10"/>
      <c r="Q6453" s="10"/>
      <c r="R6453" s="10"/>
      <c r="S6453" s="10"/>
      <c r="T6453" s="10"/>
      <c r="U6453" s="10"/>
      <c r="V6453" s="10"/>
      <c r="W6453" s="10"/>
      <c r="X6453" s="10"/>
      <c r="Y6453" s="10"/>
      <c r="Z6453" s="10"/>
    </row>
    <row r="6454" spans="1:26" ht="12.75">
      <c r="A6454" s="10" t="str">
        <f ca="1">IFERROR(__xludf.DUMMYFUNCTION("""COMPUTED_VALUE"""),"Румелина Илиева Василева")</f>
        <v>Румелина Илиева Василева</v>
      </c>
      <c r="B6454" s="10" t="str">
        <f ca="1">IFERROR(__xludf.DUMMYFUNCTION("""COMPUTED_VALUE"""),"Статия в списания и поредици")</f>
        <v>Статия в списания и поредици</v>
      </c>
      <c r="C6454" s="10" t="str">
        <f ca="1">IFERROR(__xludf.DUMMYFUNCTION("""COMPUTED_VALUE"""),"Библиофилията като възхищение от човешката цивилизация")</f>
        <v>Библиофилията като възхищение от човешката цивилизация</v>
      </c>
      <c r="D6454" s="10">
        <f ca="1">IFERROR(__xludf.DUMMYFUNCTION("""COMPUTED_VALUE"""),2016)</f>
        <v>2016</v>
      </c>
      <c r="E6454" s="10" t="str">
        <f ca="1">IFERROR(__xludf.DUMMYFUNCTION("""COMPUTED_VALUE"""),"Библиотеки, четене, комуникации: Библиофилството – традиции и национална култура: XIV нац. науч. конф. с междунар. уч., В. Търново, 17-18 ноември, 2015. Велико Търново: НБ „П. Р. Славейков“, 2016, с. 52-70. ISSN 1313-8138.")</f>
        <v>Библиотеки, четене, комуникации: Библиофилството – традиции и национална култура: XIV нац. науч. конф. с междунар. уч., В. Търново, 17-18 ноември, 2015. Велико Търново: НБ „П. Р. Славейков“, 2016, с. 52-70. ISSN 1313-8138.</v>
      </c>
      <c r="F645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54" s="10"/>
      <c r="H6454" s="10"/>
      <c r="I6454" s="10"/>
      <c r="J6454" s="10"/>
      <c r="K6454" s="10"/>
      <c r="L6454" s="10"/>
      <c r="M6454" s="10"/>
      <c r="N6454" s="10"/>
      <c r="O6454" s="10"/>
      <c r="P6454" s="10"/>
      <c r="Q6454" s="10"/>
      <c r="R6454" s="10"/>
      <c r="S6454" s="10"/>
      <c r="T6454" s="10"/>
      <c r="U6454" s="10"/>
      <c r="V6454" s="10"/>
      <c r="W6454" s="10"/>
      <c r="X6454" s="10"/>
      <c r="Y6454" s="10"/>
      <c r="Z6454" s="10"/>
    </row>
    <row r="6455" spans="1:26" ht="12.75">
      <c r="A6455" s="10" t="str">
        <f ca="1">IFERROR(__xludf.DUMMYFUNCTION("""COMPUTED_VALUE"""),"Румелина Илиева Василева")</f>
        <v>Румелина Илиева Василева</v>
      </c>
      <c r="B6455" s="10" t="str">
        <f ca="1">IFERROR(__xludf.DUMMYFUNCTION("""COMPUTED_VALUE"""),"Статия в списания и поредици")</f>
        <v>Статия в списания и поредици</v>
      </c>
      <c r="C6455" s="10" t="str">
        <f ca="1">IFERROR(__xludf.DUMMYFUNCTION("""COMPUTED_VALUE"""),"Застъпничеството като фронтова линия и кауза на академичните библиотеки и библиотекари")</f>
        <v>Застъпничеството като фронтова линия и кауза на академичните библиотеки и библиотекари</v>
      </c>
      <c r="D6455" s="10">
        <f ca="1">IFERROR(__xludf.DUMMYFUNCTION("""COMPUTED_VALUE"""),2016)</f>
        <v>2016</v>
      </c>
      <c r="E6455" s="10" t="str">
        <f ca="1">IFERROR(__xludf.DUMMYFUNCTION("""COMPUTED_VALUE"""),"Да поговорим за застъпничеството и лобирането в българските библиотеки: Сб. с добри практики и идеи. Състав., ред. Р. Василева. Рец. И. Янкова. София : За буквите – О писменехь, 2016, с. 293-302. ISBN 978-619-185-258-1.")</f>
        <v>Да поговорим за застъпничеството и лобирането в българските библиотеки: Сб. с добри практики и идеи. Състав., ред. Р. Василева. Рец. И. Янкова. София : За буквите – О писменехь, 2016, с. 293-302. ISBN 978-619-185-258-1.</v>
      </c>
      <c r="F6455" s="10" t="str">
        <f ca="1">IFERROR(__xludf.DUMMYFUNCTION("""COMPUTED_VALUE"""),"COBISS")</f>
        <v>COBISS</v>
      </c>
      <c r="G6455" s="10"/>
      <c r="H6455" s="10"/>
      <c r="I6455" s="10"/>
      <c r="J6455" s="10"/>
      <c r="K6455" s="10"/>
      <c r="L6455" s="10"/>
      <c r="M6455" s="10"/>
      <c r="N6455" s="10"/>
      <c r="O6455" s="10"/>
      <c r="P6455" s="10"/>
      <c r="Q6455" s="10"/>
      <c r="R6455" s="10"/>
      <c r="S6455" s="10"/>
      <c r="T6455" s="10"/>
      <c r="U6455" s="10"/>
      <c r="V6455" s="10"/>
      <c r="W6455" s="10"/>
      <c r="X6455" s="10"/>
      <c r="Y6455" s="10"/>
      <c r="Z6455" s="10"/>
    </row>
    <row r="6456" spans="1:26" ht="12.75">
      <c r="A6456" s="10" t="str">
        <f ca="1">IFERROR(__xludf.DUMMYFUNCTION("""COMPUTED_VALUE"""),"Румелина Илиева Василева")</f>
        <v>Румелина Илиева Василева</v>
      </c>
      <c r="B6456" s="10" t="str">
        <f ca="1">IFERROR(__xludf.DUMMYFUNCTION("""COMPUTED_VALUE"""),"Статия в списания и поредици")</f>
        <v>Статия в списания и поредици</v>
      </c>
      <c r="C6456" s="10" t="str">
        <f ca="1">IFERROR(__xludf.DUMMYFUNCTION("""COMPUTED_VALUE"""),"Управление на устойчива кариера на младите хора")</f>
        <v>Управление на устойчива кариера на младите хора</v>
      </c>
      <c r="D6456" s="10">
        <f ca="1">IFERROR(__xludf.DUMMYFUNCTION("""COMPUTED_VALUE"""),2016)</f>
        <v>2016</v>
      </c>
      <c r="E6456" s="10" t="str">
        <f ca="1">IFERROR(__xludf.DUMMYFUNCTION("""COMPUTED_VALUE"""),"Професионалната реализация – възможности и реалности: Сб. със студии и статии по проблеми, свързани с професионалната реализация на студентите. Състав. С. Станчева. София : За буквите – О писменехь, 2016, с. 95-125. ISBN 978-619-185-259-8.")</f>
        <v>Професионалната реализация – възможности и реалности: Сб. със студии и статии по проблеми, свързани с професионалната реализация на студентите. Състав. С. Станчева. София : За буквите – О писменехь, 2016, с. 95-125. ISBN 978-619-185-259-8.</v>
      </c>
      <c r="F645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56" s="10"/>
      <c r="H6456" s="10"/>
      <c r="I6456" s="10"/>
      <c r="J6456" s="10"/>
      <c r="K6456" s="10"/>
      <c r="L6456" s="10"/>
      <c r="M6456" s="10"/>
      <c r="N6456" s="10"/>
      <c r="O6456" s="10"/>
      <c r="P6456" s="10"/>
      <c r="Q6456" s="10"/>
      <c r="R6456" s="10"/>
      <c r="S6456" s="10"/>
      <c r="T6456" s="10"/>
      <c r="U6456" s="10"/>
      <c r="V6456" s="10"/>
      <c r="W6456" s="10"/>
      <c r="X6456" s="10"/>
      <c r="Y6456" s="10"/>
      <c r="Z6456" s="10"/>
    </row>
    <row r="6457" spans="1:26" ht="12.75">
      <c r="A6457" s="10" t="str">
        <f ca="1">IFERROR(__xludf.DUMMYFUNCTION("""COMPUTED_VALUE"""),"Румелина Илиева Василева")</f>
        <v>Румелина Илиева Василева</v>
      </c>
      <c r="B6457" s="10" t="str">
        <f ca="1">IFERROR(__xludf.DUMMYFUNCTION("""COMPUTED_VALUE"""),"Статия в списания и поредици")</f>
        <v>Статия в списания и поредици</v>
      </c>
      <c r="C6457" s="10" t="str">
        <f ca="1">IFERROR(__xludf.DUMMYFUNCTION("""COMPUTED_VALUE"""),"Employability of students in “Library and Information Management”")</f>
        <v>Employability of students in “Library and Information Management”</v>
      </c>
      <c r="D6457" s="10">
        <f ca="1">IFERROR(__xludf.DUMMYFUNCTION("""COMPUTED_VALUE"""),2016)</f>
        <v>2016</v>
      </c>
      <c r="E6457" s="10" t="str">
        <f ca="1">IFERROR(__xludf.DUMMYFUNCTION("""COMPUTED_VALUE"""),"Qualitative and Quantitative Methods in Libraries (QQML), 2016, 5, pp. 737-742. ISSN 2241-1925.")</f>
        <v>Qualitative and Quantitative Methods in Libraries (QQML), 2016, 5, pp. 737-742. ISSN 2241-1925.</v>
      </c>
      <c r="F6457" s="10" t="str">
        <f ca="1">IFERROR(__xludf.DUMMYFUNCTION("""COMPUTED_VALUE"""),"DOAJ – Directory of Open Access Journals, EBSCO Host")</f>
        <v>DOAJ – Directory of Open Access Journals, EBSCO Host</v>
      </c>
      <c r="G6457" s="10" t="str">
        <f ca="1">IFERROR(__xludf.DUMMYFUNCTION("""COMPUTED_VALUE"""),"Yankova, Ivanka, Silvia Stancheva, Tzvetelina Dimitrova")</f>
        <v>Yankova, Ivanka, Silvia Stancheva, Tzvetelina Dimitrova</v>
      </c>
      <c r="H6457" s="10"/>
      <c r="I6457" s="10"/>
      <c r="J6457" s="10"/>
      <c r="K6457" s="10"/>
      <c r="L6457" s="10"/>
      <c r="M6457" s="10"/>
      <c r="N6457" s="10"/>
      <c r="O6457" s="10"/>
      <c r="P6457" s="10"/>
      <c r="Q6457" s="10"/>
      <c r="R6457" s="10"/>
      <c r="S6457" s="10"/>
      <c r="T6457" s="10"/>
      <c r="U6457" s="10"/>
      <c r="V6457" s="10"/>
      <c r="W6457" s="10"/>
      <c r="X6457" s="10"/>
      <c r="Y6457" s="10"/>
      <c r="Z6457" s="10"/>
    </row>
    <row r="6458" spans="1:26" ht="12.75">
      <c r="A6458" s="10" t="str">
        <f ca="1">IFERROR(__xludf.DUMMYFUNCTION("""COMPUTED_VALUE"""),"Румелина Илиева Василева")</f>
        <v>Румелина Илиева Василева</v>
      </c>
      <c r="B6458" s="10" t="str">
        <f ca="1">IFERROR(__xludf.DUMMYFUNCTION("""COMPUTED_VALUE"""),"Книга")</f>
        <v>Книга</v>
      </c>
      <c r="C6458" s="10" t="str">
        <f ca="1">IFERROR(__xludf.DUMMYFUNCTION("""COMPUTED_VALUE"""),"Да поговорим за застъпничеството и лобирането в българските библиотеки")</f>
        <v>Да поговорим за застъпничеството и лобирането в българските библиотеки</v>
      </c>
      <c r="D6458" s="10">
        <f ca="1">IFERROR(__xludf.DUMMYFUNCTION("""COMPUTED_VALUE"""),2016)</f>
        <v>2016</v>
      </c>
      <c r="E6458" s="10" t="str">
        <f ca="1">IFERROR(__xludf.DUMMYFUNCTION("""COMPUTED_VALUE"""),"Състав. и ред. Румелина Василева; Рец. Иванка Янкова. София : За буквите – О писменехь, 2016. 304 с. ISBN 978-619-185-258-1.")</f>
        <v>Състав. и ред. Румелина Василева; Рец. Иванка Янкова. София : За буквите – О писменехь, 2016. 304 с. ISBN 978-619-185-258-1.</v>
      </c>
      <c r="F645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458" s="10"/>
      <c r="H6458" s="10"/>
      <c r="I6458" s="10"/>
      <c r="J6458" s="10"/>
      <c r="K6458" s="10"/>
      <c r="L6458" s="10"/>
      <c r="M6458" s="10"/>
      <c r="N6458" s="10"/>
      <c r="O6458" s="10"/>
      <c r="P6458" s="10"/>
      <c r="Q6458" s="10"/>
      <c r="R6458" s="10"/>
      <c r="S6458" s="10"/>
      <c r="T6458" s="10"/>
      <c r="U6458" s="10"/>
      <c r="V6458" s="10"/>
      <c r="W6458" s="10"/>
      <c r="X6458" s="10"/>
      <c r="Y6458" s="10"/>
      <c r="Z6458" s="10"/>
    </row>
    <row r="6459" spans="1:26" ht="12.75">
      <c r="A6459" s="10" t="str">
        <f ca="1">IFERROR(__xludf.DUMMYFUNCTION("""COMPUTED_VALUE"""),"Румелина Илиева Василева")</f>
        <v>Румелина Илиева Василева</v>
      </c>
      <c r="B6459" s="10" t="str">
        <f ca="1">IFERROR(__xludf.DUMMYFUNCTION("""COMPUTED_VALUE"""),"Статия в списания и поредици")</f>
        <v>Статия в списания и поредици</v>
      </c>
      <c r="C6459" s="10" t="str">
        <f ca="1">IFERROR(__xludf.DUMMYFUNCTION("""COMPUTED_VALUE"""),"Да лобираш пред себе си за себе си – или как да превърнем академичните библиотеки в здравото сърце на университетите и на българския потенциал")</f>
        <v>Да лобираш пред себе си за себе си – или как да превърнем академичните библиотеки в здравото сърце на университетите и на българския потенциал</v>
      </c>
      <c r="D6459" s="10">
        <f ca="1">IFERROR(__xludf.DUMMYFUNCTION("""COMPUTED_VALUE"""),2016)</f>
        <v>2016</v>
      </c>
      <c r="E6459" s="10" t="str">
        <f ca="1">IFERROR(__xludf.DUMMYFUNCTION("""COMPUTED_VALUE"""),"Съвременни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Т. 4. София: За буквите – О писменехь, 2016, с. 65-73. IS"&amp;"SN 2367-7988.")</f>
        <v>Съвременни измерения на европейското образователно и научно пространство: Българо-унгарски културни общувания: Десети междунар. пътуващ семинар на УниБИТ, 30 май – 5 юни 2016 г., Будапеща, Унгария: Т. 4. София: За буквите – О писменехь, 2016, с. 65-73. ISSN 2367-7988.</v>
      </c>
      <c r="F6459" s="10" t="str">
        <f ca="1">IFERROR(__xludf.DUMMYFUNCTION("""COMPUTED_VALUE"""),"COBISS")</f>
        <v>COBISS</v>
      </c>
      <c r="G6459" s="10" t="str">
        <f ca="1">IFERROR(__xludf.DUMMYFUNCTION("""COMPUTED_VALUE"""),"Янкова, Иванка")</f>
        <v>Янкова, Иванка</v>
      </c>
      <c r="H6459" s="10"/>
      <c r="I6459" s="10"/>
      <c r="J6459" s="10"/>
      <c r="K6459" s="10"/>
      <c r="L6459" s="10"/>
      <c r="M6459" s="10"/>
      <c r="N6459" s="10"/>
      <c r="O6459" s="10"/>
      <c r="P6459" s="10"/>
      <c r="Q6459" s="10"/>
      <c r="R6459" s="10"/>
      <c r="S6459" s="10"/>
      <c r="T6459" s="10"/>
      <c r="U6459" s="10"/>
      <c r="V6459" s="10"/>
      <c r="W6459" s="10"/>
      <c r="X6459" s="10"/>
      <c r="Y6459" s="10"/>
      <c r="Z6459" s="10"/>
    </row>
    <row r="6460" spans="1:26" ht="12.75">
      <c r="A6460" s="10" t="str">
        <f ca="1">IFERROR(__xludf.DUMMYFUNCTION("""COMPUTED_VALUE"""),"Румелина Илиева Василева")</f>
        <v>Румелина Илиева Василева</v>
      </c>
      <c r="B6460" s="10" t="str">
        <f ca="1">IFERROR(__xludf.DUMMYFUNCTION("""COMPUTED_VALUE"""),"Книга")</f>
        <v>Книга</v>
      </c>
      <c r="C6460" s="10" t="str">
        <f ca="1">IFERROR(__xludf.DUMMYFUNCTION("""COMPUTED_VALUE"""),"Наръчник за получаване на импакт фактор и измерване на напредък за издатели")</f>
        <v>Наръчник за получаване на импакт фактор и измерване на напредък за издатели</v>
      </c>
      <c r="D6460" s="10">
        <f ca="1">IFERROR(__xludf.DUMMYFUNCTION("""COMPUTED_VALUE"""),2015)</f>
        <v>2015</v>
      </c>
      <c r="E6460" s="10" t="str">
        <f ca="1">IFERROR(__xludf.DUMMYFUNCTION("""COMPUTED_VALUE"""),"[Прев. Д. Стойкова, Р. Василева, Ц. Димитрова] ; [Науч. ред. С. Станчева]. София : За буквите – О писменехь, 2015. 134 с. ISBN 978-619-185-198-0.")</f>
        <v>[Прев. Д. Стойкова, Р. Василева, Ц. Димитрова] ; [Науч. ред. С. Станчева]. София : За буквите – О писменехь, 2015. 134 с. ISBN 978-619-185-198-0.</v>
      </c>
      <c r="F6460" s="10" t="str">
        <f ca="1">IFERROR(__xludf.DUMMYFUNCTION("""COMPUTED_VALUE"""),"COBISS")</f>
        <v>COBISS</v>
      </c>
      <c r="G6460" s="10" t="str">
        <f ca="1">IFERROR(__xludf.DUMMYFUNCTION("""COMPUTED_VALUE"""),"Добринка Стойкова, Цветелина Димитрова")</f>
        <v>Добринка Стойкова, Цветелина Димитрова</v>
      </c>
      <c r="H6460" s="10"/>
      <c r="I6460" s="10"/>
      <c r="J6460" s="10"/>
      <c r="K6460" s="10"/>
      <c r="L6460" s="10"/>
      <c r="M6460" s="10"/>
      <c r="N6460" s="10"/>
      <c r="O6460" s="10"/>
      <c r="P6460" s="10"/>
      <c r="Q6460" s="10"/>
      <c r="R6460" s="10"/>
      <c r="S6460" s="10"/>
      <c r="T6460" s="10"/>
      <c r="U6460" s="10"/>
      <c r="V6460" s="10"/>
      <c r="W6460" s="10"/>
      <c r="X6460" s="10"/>
      <c r="Y6460" s="10"/>
      <c r="Z6460" s="10"/>
    </row>
    <row r="6461" spans="1:26" ht="12.75">
      <c r="A6461" s="10" t="str">
        <f ca="1">IFERROR(__xludf.DUMMYFUNCTION("""COMPUTED_VALUE"""),"Румелина Илиева Василева")</f>
        <v>Румелина Илиева Василева</v>
      </c>
      <c r="B6461" s="10" t="str">
        <f ca="1">IFERROR(__xludf.DUMMYFUNCTION("""COMPUTED_VALUE"""),"Статия в списания и поредици")</f>
        <v>Статия в списания и поредици</v>
      </c>
      <c r="C6461" s="10" t="str">
        <f ca="1">IFERROR(__xludf.DUMMYFUNCTION("""COMPUTED_VALUE"""),"Цифрови предизвикателства пред съвременното академично писане")</f>
        <v>Цифрови предизвикателства пред съвременното академично писане</v>
      </c>
      <c r="D6461" s="10">
        <f ca="1">IFERROR(__xludf.DUMMYFUNCTION("""COMPUTED_VALUE"""),2015)</f>
        <v>2015</v>
      </c>
      <c r="E6461" s="10" t="str">
        <f ca="1">IFERROR(__xludf.DUMMYFUNCTION("""COMPUTED_VALUE"""),"ИКТ в библиотечно-информационните науки, образованието и културното наследство: Нац. конф. в чест на 70 год. от създаването на ЮНЕСКО и 65 год. от създаването на ДБИ (днес УниБИТ), 29 май 2015. Състав. Т. Тодорова, Е. Ковачева, Р. Николов. София : За букв"&amp;"ите – О писменехь, 2015, с. 90-102. ISBN 978-619-185-164-5.")</f>
        <v>ИКТ в библиотечно-информационните науки, образованието и културното наследство: Нац. конф. в чест на 70 год. от създаването на ЮНЕСКО и 65 год. от създаването на ДБИ (днес УниБИТ), 29 май 2015. Състав. Т. Тодорова, Е. Ковачева, Р. Николов. София : За буквите – О писменехь, 2015, с. 90-102. ISBN 978-619-185-164-5.</v>
      </c>
      <c r="F6461" s="10" t="str">
        <f ca="1">IFERROR(__xludf.DUMMYFUNCTION("""COMPUTED_VALUE"""),"COBISS")</f>
        <v>COBISS</v>
      </c>
      <c r="G6461" s="10" t="str">
        <f ca="1">IFERROR(__xludf.DUMMYFUNCTION("""COMPUTED_VALUE"""),"Янкова, Иванка")</f>
        <v>Янкова, Иванка</v>
      </c>
      <c r="H6461" s="10"/>
      <c r="I6461" s="10"/>
      <c r="J6461" s="10"/>
      <c r="K6461" s="10"/>
      <c r="L6461" s="10"/>
      <c r="M6461" s="10"/>
      <c r="N6461" s="10"/>
      <c r="O6461" s="10"/>
      <c r="P6461" s="10"/>
      <c r="Q6461" s="10"/>
      <c r="R6461" s="10"/>
      <c r="S6461" s="10"/>
      <c r="T6461" s="10"/>
      <c r="U6461" s="10"/>
      <c r="V6461" s="10"/>
      <c r="W6461" s="10"/>
      <c r="X6461" s="10"/>
      <c r="Y6461" s="10"/>
      <c r="Z6461" s="10"/>
    </row>
    <row r="6462" spans="1:26" ht="12.75">
      <c r="A6462" s="10" t="str">
        <f ca="1">IFERROR(__xludf.DUMMYFUNCTION("""COMPUTED_VALUE"""),"Румелина Илиева Василева")</f>
        <v>Румелина Илиева Василева</v>
      </c>
      <c r="B6462" s="10" t="str">
        <f ca="1">IFERROR(__xludf.DUMMYFUNCTION("""COMPUTED_VALUE"""),"Статия в списания и поредици")</f>
        <v>Статия в списания и поредици</v>
      </c>
      <c r="C6462" s="10" t="str">
        <f ca="1">IFERROR(__xludf.DUMMYFUNCTION("""COMPUTED_VALUE"""),"Основни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f>
        <v>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v>
      </c>
      <c r="D6462" s="10">
        <f ca="1">IFERROR(__xludf.DUMMYFUNCTION("""COMPUTED_VALUE"""),2015)</f>
        <v>2015</v>
      </c>
      <c r="E6462" s="10" t="str">
        <f ca="1">IFERROR(__xludf.DUMMYFUNCTION("""COMPUTED_VALUE"""),"Нови информационни технологии в образователния процес. София : За буквите – О писменехь, 2015, с. 60-66. ISSN 1313-2768")</f>
        <v>Нови информационни технологии в образователния процес. София : За буквите – О писменехь, 2015, с. 60-66. ISSN 1313-2768</v>
      </c>
      <c r="F6462" s="10" t="str">
        <f ca="1">IFERROR(__xludf.DUMMYFUNCTION("""COMPUTED_VALUE"""),"COBISS")</f>
        <v>COBISS</v>
      </c>
      <c r="G6462" s="10" t="str">
        <f ca="1">IFERROR(__xludf.DUMMYFUNCTION("""COMPUTED_VALUE"""),"Силвия Станчева, Камелия Нушева")</f>
        <v>Силвия Станчева, Камелия Нушева</v>
      </c>
      <c r="H6462" s="10"/>
      <c r="I6462" s="10"/>
      <c r="J6462" s="10"/>
      <c r="K6462" s="10"/>
      <c r="L6462" s="10"/>
      <c r="M6462" s="10"/>
      <c r="N6462" s="10"/>
      <c r="O6462" s="10"/>
      <c r="P6462" s="10"/>
      <c r="Q6462" s="10"/>
      <c r="R6462" s="10"/>
      <c r="S6462" s="10"/>
      <c r="T6462" s="10"/>
      <c r="U6462" s="10"/>
      <c r="V6462" s="10"/>
      <c r="W6462" s="10"/>
      <c r="X6462" s="10"/>
      <c r="Y6462" s="10"/>
      <c r="Z6462" s="10"/>
    </row>
    <row r="6463" spans="1:26" ht="12.75">
      <c r="A6463" s="10" t="str">
        <f ca="1">IFERROR(__xludf.DUMMYFUNCTION("""COMPUTED_VALUE"""),"Румелина Илиева Василева")</f>
        <v>Румелина Илиева Василева</v>
      </c>
      <c r="B6463" s="10" t="str">
        <f ca="1">IFERROR(__xludf.DUMMYFUNCTION("""COMPUTED_VALUE"""),"Статия в списания и поредици")</f>
        <v>Статия в списания и поредици</v>
      </c>
      <c r="C6463" s="10" t="str">
        <f ca="1">IFERROR(__xludf.DUMMYFUNCTION("""COMPUTED_VALUE"""),"Едно феноменологично обобщение или по-скоро „активация“ на паметовата функция = A Phenomenal Summary or Rather “Activation” of the Memory Function")</f>
        <v>Едно феноменологично обобщение или по-скоро „активация“ на паметовата функция = A Phenomenal Summary or Rather “Activation” of the Memory Function</v>
      </c>
      <c r="D6463" s="10">
        <f ca="1">IFERROR(__xludf.DUMMYFUNCTION("""COMPUTED_VALUE"""),2015)</f>
        <v>2015</v>
      </c>
      <c r="E6463" s="10" t="str">
        <f ca="1">IFERROR(__xludf.DUMMYFUNCTION("""COMPUTED_VALUE"""),"Издател, XVII, 2015, 1, с. 59-60. ISSN 1310-4624.")</f>
        <v>Издател, XVII, 2015, 1, с. 59-60. ISSN 1310-4624.</v>
      </c>
      <c r="F6463" s="10" t="str">
        <f ca="1">IFERROR(__xludf.DUMMYFUNCTION("""COMPUTED_VALUE"""),"COBISS")</f>
        <v>COBISS</v>
      </c>
      <c r="G6463" s="10"/>
      <c r="H6463" s="10"/>
      <c r="I6463" s="10"/>
      <c r="J6463" s="10"/>
      <c r="K6463" s="10"/>
      <c r="L6463" s="10"/>
      <c r="M6463" s="10"/>
      <c r="N6463" s="10"/>
      <c r="O6463" s="10"/>
      <c r="P6463" s="10"/>
      <c r="Q6463" s="10"/>
      <c r="R6463" s="10"/>
      <c r="S6463" s="10"/>
      <c r="T6463" s="10"/>
      <c r="U6463" s="10"/>
      <c r="V6463" s="10"/>
      <c r="W6463" s="10"/>
      <c r="X6463" s="10"/>
      <c r="Y6463" s="10"/>
      <c r="Z6463" s="10"/>
    </row>
    <row r="6464" spans="1:26" ht="12.75">
      <c r="A6464" s="10" t="str">
        <f ca="1">IFERROR(__xludf.DUMMYFUNCTION("""COMPUTED_VALUE"""),"Румелина Илиева Василева")</f>
        <v>Румелина Илиева Василева</v>
      </c>
      <c r="B6464" s="10" t="str">
        <f ca="1">IFERROR(__xludf.DUMMYFUNCTION("""COMPUTED_VALUE"""),"Статия в списания и поредици")</f>
        <v>Статия в списания и поредици</v>
      </c>
      <c r="C6464" s="10" t="str">
        <f ca="1">IFERROR(__xludf.DUMMYFUNCTION("""COMPUTED_VALUE"""),"Study of the Effect of Indicators for Research Impact and Mechanism for Their Implementation for the Redesign of the Bulgarian Academic Publications and the Researchers’ Publication Competencies")</f>
        <v>Study of the Effect of Indicators for Research Impact and Mechanism for Their Implementation for the Redesign of the Bulgarian Academic Publications and the Researchers’ Publication Competencies</v>
      </c>
      <c r="D6464" s="10">
        <f ca="1">IFERROR(__xludf.DUMMYFUNCTION("""COMPUTED_VALUE"""),2015)</f>
        <v>2015</v>
      </c>
      <c r="E6464" s="10" t="str">
        <f ca="1">IFERROR(__xludf.DUMMYFUNCTION("""COMPUTED_VALUE"""),"QQML 2015. Book of Abstr. Qualitative and Quantitative Methods in Libraries. 7th Qualitative and Quantitative Intern. Conf., 26-29 May, 2015, Paris, France, ISAST: Intern. Soc. for the Advancement of Sci. and Technol., 2015. ISSN 2241-1925.")</f>
        <v>QQML 2015. Book of Abstr. Qualitative and Quantitative Methods in Libraries. 7th Qualitative and Quantitative Intern. Conf., 26-29 May, 2015, Paris, France, ISAST: Intern. Soc. for the Advancement of Sci. and Technol., 2015. ISSN 2241-1925.</v>
      </c>
      <c r="F6464" s="10" t="str">
        <f ca="1">IFERROR(__xludf.DUMMYFUNCTION("""COMPUTED_VALUE"""),"DOAJ – Directory of Open Access Journals, EBSCO Host, ISAST")</f>
        <v>DOAJ – Directory of Open Access Journals, EBSCO Host, ISAST</v>
      </c>
      <c r="G6464" s="10" t="str">
        <f ca="1">IFERROR(__xludf.DUMMYFUNCTION("""COMPUTED_VALUE"""),"Yankova, Ivanka Stancheva, Silvia Dimitrova, Tzvetelina")</f>
        <v>Yankova, Ivanka Stancheva, Silvia Dimitrova, Tzvetelina</v>
      </c>
      <c r="H6464" s="10"/>
      <c r="I6464" s="10"/>
      <c r="J6464" s="10"/>
      <c r="K6464" s="10"/>
      <c r="L6464" s="10"/>
      <c r="M6464" s="10"/>
      <c r="N6464" s="10"/>
      <c r="O6464" s="10"/>
      <c r="P6464" s="10"/>
      <c r="Q6464" s="10"/>
      <c r="R6464" s="10"/>
      <c r="S6464" s="10"/>
      <c r="T6464" s="10"/>
      <c r="U6464" s="10"/>
      <c r="V6464" s="10"/>
      <c r="W6464" s="10"/>
      <c r="X6464" s="10"/>
      <c r="Y6464" s="10"/>
      <c r="Z6464" s="10"/>
    </row>
    <row r="6465" spans="1:26" ht="12.75">
      <c r="A6465" s="10" t="str">
        <f ca="1">IFERROR(__xludf.DUMMYFUNCTION("""COMPUTED_VALUE"""),"Румелина Илиева Василева")</f>
        <v>Румелина Илиева Василева</v>
      </c>
      <c r="B6465" s="10" t="str">
        <f ca="1">IFERROR(__xludf.DUMMYFUNCTION("""COMPUTED_VALUE"""),"Доклад от конференция")</f>
        <v>Доклад от конференция</v>
      </c>
      <c r="C6465" s="10" t="str">
        <f ca="1">IFERROR(__xludf.DUMMYFUNCTION("""COMPUTED_VALUE"""),"Creation and Implementation of Interactive Modell for Training of Academic Authors How to Publish Successfully Research Publications")</f>
        <v>Creation and Implementation of Interactive Modell for Training of Academic Authors How to Publish Successfully Research Publications</v>
      </c>
      <c r="D6465" s="10">
        <f ca="1">IFERROR(__xludf.DUMMYFUNCTION("""COMPUTED_VALUE"""),2015)</f>
        <v>2015</v>
      </c>
      <c r="E6465" s="10" t="str">
        <f ca="1">IFERROR(__xludf.DUMMYFUNCTION("""COMPUTED_VALUE"""),"The Third European Conference on Information Literacy (ECIL), Oct. 19-22, 2015, Tallinn, Estonia: Abstracts. Eds S. Špiranec, S. Virkus, S. Kurbanoğlu, E. Grassian, D. Mizrachi, L. Roy, D. Kos. Tallinn: Tallinn University, 2015. XXII, 238 p. Incl. index a"&amp;"nd references. ISBN 978-9949-29-241-7, р. 97. ISSN 2241-1925. URL: &lt;http://ecil2015.ilconf.org/documents/ecil2015_abstracts.pdf&gt; (Springer: Communication in Computer and Information Science, 2015).")</f>
        <v>The Third European Conference on Information Literacy (ECIL), Oct. 19-22, 2015, Tallinn, Estonia: Abstracts. Eds S. Špiranec, S. Virkus, S. Kurbanoğlu, E. Grassian, D. Mizrachi, L. Roy, D. Kos. Tallinn: Tallinn University, 2015. XXII, 238 p. Incl. index and references. ISBN 978-9949-29-241-7, р. 97. ISSN 2241-1925. URL: &lt;http://ecil2015.ilconf.org/documents/ecil2015_abstracts.pdf&gt; (Springer: Communication in Computer and Information Science, 2015).</v>
      </c>
      <c r="F6465" s="10" t="str">
        <f ca="1">IFERROR(__xludf.DUMMYFUNCTION("""COMPUTED_VALUE"""),"Web of Science, Springer, EndNote, Evidence Base, Counter")</f>
        <v>Web of Science, Springer, EndNote, Evidence Base, Counter</v>
      </c>
      <c r="G6465" s="10" t="str">
        <f ca="1">IFERROR(__xludf.DUMMYFUNCTION("""COMPUTED_VALUE"""),"Иванка Янкова, Цветелина Димитрова, Камелия Нушева")</f>
        <v>Иванка Янкова, Цветелина Димитрова, Камелия Нушева</v>
      </c>
      <c r="H6465" s="10"/>
      <c r="I6465" s="10"/>
      <c r="J6465" s="10"/>
      <c r="K6465" s="10"/>
      <c r="L6465" s="10"/>
      <c r="M6465" s="10"/>
      <c r="N6465" s="10"/>
      <c r="O6465" s="10"/>
      <c r="P6465" s="10"/>
      <c r="Q6465" s="10"/>
      <c r="R6465" s="10"/>
      <c r="S6465" s="10"/>
      <c r="T6465" s="10"/>
      <c r="U6465" s="10"/>
      <c r="V6465" s="10"/>
      <c r="W6465" s="10"/>
      <c r="X6465" s="10"/>
      <c r="Y6465" s="10"/>
      <c r="Z6465" s="10"/>
    </row>
    <row r="6466" spans="1:26" ht="12.75">
      <c r="A6466" s="10" t="str">
        <f ca="1">IFERROR(__xludf.DUMMYFUNCTION("""COMPUTED_VALUE"""),"Румелина Илиева Василева")</f>
        <v>Румелина Илиева Василева</v>
      </c>
      <c r="B6466" s="10" t="str">
        <f ca="1">IFERROR(__xludf.DUMMYFUNCTION("""COMPUTED_VALUE"""),"Книга")</f>
        <v>Книга</v>
      </c>
      <c r="C6466" s="10" t="str">
        <f ca="1">IFERROR(__xludf.DUMMYFUNCTION("""COMPUTED_VALUE"""),"Наръчник за успешно публикуване на български автори в списания с импакт фактор")</f>
        <v>Наръчник за успешно публикуване на български автори в списания с импакт фактор</v>
      </c>
      <c r="D6466" s="10">
        <f ca="1">IFERROR(__xludf.DUMMYFUNCTION("""COMPUTED_VALUE"""),2015)</f>
        <v>2015</v>
      </c>
      <c r="E6466" s="10" t="str">
        <f ca="1">IFERROR(__xludf.DUMMYFUNCTION("""COMPUTED_VALUE"""),"[Прев. Д. Стойкова, Р. Василева, Ц. Димитрова] ; [Науч. ред. С. Станчева]. София : За буквите – О писменехь, 2015. 198 с. ISBN 978-619-185-199-7.")</f>
        <v>[Прев. Д. Стойкова, Р. Василева, Ц. Димитрова] ; [Науч. ред. С. Станчева]. София : За буквите – О писменехь, 2015. 198 с. ISBN 978-619-185-199-7.</v>
      </c>
      <c r="F6466" s="10"/>
      <c r="G6466" s="10" t="str">
        <f ca="1">IFERROR(__xludf.DUMMYFUNCTION("""COMPUTED_VALUE"""),"Добринка Стойкова, Цветелина Димитрова")</f>
        <v>Добринка Стойкова, Цветелина Димитрова</v>
      </c>
      <c r="H6466" s="10"/>
      <c r="I6466" s="10"/>
      <c r="J6466" s="10"/>
      <c r="K6466" s="10"/>
      <c r="L6466" s="10"/>
      <c r="M6466" s="10"/>
      <c r="N6466" s="10"/>
      <c r="O6466" s="10"/>
      <c r="P6466" s="10"/>
      <c r="Q6466" s="10"/>
      <c r="R6466" s="10"/>
      <c r="S6466" s="10"/>
      <c r="T6466" s="10"/>
      <c r="U6466" s="10"/>
      <c r="V6466" s="10"/>
      <c r="W6466" s="10"/>
      <c r="X6466" s="10"/>
      <c r="Y6466" s="10"/>
      <c r="Z6466" s="10"/>
    </row>
    <row r="6467" spans="1:26" ht="12.75">
      <c r="A6467" s="10" t="str">
        <f ca="1">IFERROR(__xludf.DUMMYFUNCTION("""COMPUTED_VALUE"""),"Румелина Илиева Василева")</f>
        <v>Румелина Илиева Василева</v>
      </c>
      <c r="B6467" s="10" t="str">
        <f ca="1">IFERROR(__xludf.DUMMYFUNCTION("""COMPUTED_VALUE"""),"Статия в списания и поредици")</f>
        <v>Статия в списания и поредици</v>
      </c>
      <c r="C6467" s="10" t="str">
        <f ca="1">IFERROR(__xludf.DUMMYFUNCTION("""COMPUTED_VALUE"""),"Езикът на съвременната организационна култура")</f>
        <v>Езикът на съвременната организационна култура</v>
      </c>
      <c r="D6467" s="10">
        <f ca="1">IFERROR(__xludf.DUMMYFUNCTION("""COMPUTED_VALUE"""),2014)</f>
        <v>2014</v>
      </c>
      <c r="E6467" s="10" t="str">
        <f ca="1">IFERROR(__xludf.DUMMYFUNCTION("""COMPUTED_VALUE"""),"Cross-linguistic Interaction: Translation, Contrastive and Cognitive Studies = Междуезикови взаимодействия: изследвания в областта на превода, контрастивната и когнитивната лингвистика. София: УИ “Св. Климент Охридски”, 2014, с. 409-421. ISBN 978-954-07-3"&amp;"689-1. URL: &lt;http://eprints.nbu.bg/2308/1/Almalech-%20sb.%20Bistra%20Alexiava%20-%201_ISBN.pdf&gt;")</f>
        <v>Cross-linguistic Interaction: Translation, Contrastive and Cognitive Studies = Междуезикови взаимодействия: изследвания в областта на превода, контрастивната и когнитивната лингвистика. София: УИ “Св. Климент Охридски”, 2014, с. 409-421. ISBN 978-954-07-3689-1. URL: &lt;http://eprints.nbu.bg/2308/1/Almalech-%20sb.%20Bistra%20Alexiava%20-%201_ISBN.pdf&gt;</v>
      </c>
      <c r="F6467" s="10" t="str">
        <f ca="1">IFERROR(__xludf.DUMMYFUNCTION("""COMPUTED_VALUE"""),"COBISS ; http://eprints.nbu.bg")</f>
        <v>COBISS ; http://eprints.nbu.bg</v>
      </c>
      <c r="G6467" s="10"/>
      <c r="H6467" s="10"/>
      <c r="I6467" s="10"/>
      <c r="J6467" s="10"/>
      <c r="K6467" s="10"/>
      <c r="L6467" s="10"/>
      <c r="M6467" s="10"/>
      <c r="N6467" s="10"/>
      <c r="O6467" s="10"/>
      <c r="P6467" s="10"/>
      <c r="Q6467" s="10"/>
      <c r="R6467" s="10"/>
      <c r="S6467" s="10"/>
      <c r="T6467" s="10"/>
      <c r="U6467" s="10"/>
      <c r="V6467" s="10"/>
      <c r="W6467" s="10"/>
      <c r="X6467" s="10"/>
      <c r="Y6467" s="10"/>
      <c r="Z6467" s="10"/>
    </row>
    <row r="6468" spans="1:26" ht="12.75">
      <c r="A6468" s="10" t="str">
        <f ca="1">IFERROR(__xludf.DUMMYFUNCTION("""COMPUTED_VALUE"""),"Румелина Илиева Василева")</f>
        <v>Румелина Илиева Василева</v>
      </c>
      <c r="B6468" s="10" t="str">
        <f ca="1">IFERROR(__xludf.DUMMYFUNCTION("""COMPUTED_VALUE"""),"Статия в списания и поредици")</f>
        <v>Статия в списания и поредици</v>
      </c>
      <c r="C6468" s="10" t="str">
        <f ca="1">IFERROR(__xludf.DUMMYFUNCTION("""COMPUTED_VALUE"""),"Достойно есть...")</f>
        <v>Достойно есть...</v>
      </c>
      <c r="D6468" s="10">
        <f ca="1">IFERROR(__xludf.DUMMYFUNCTION("""COMPUTED_VALUE"""),2014)</f>
        <v>2014</v>
      </c>
      <c r="E6468" s="10" t="str">
        <f ca="1">IFERROR(__xludf.DUMMYFUNCTION("""COMPUTED_VALUE"""),"Информационен бюлетин на ЦБ на БАН, В памет на М. Аргирова. Живот отдаден на Библиотеката: E-Сборник в чест на Мария Аргирова. София, VIII, 2014, 10 (82), с. 56-64. ISSN: 1312-9899. URL: &lt;http://cl.bas.bg/za-centralna-biblioteka-1/byuletin-na-cb-na-ban/br"&amp;"oi-ma-82-godina-viii-v-pamet-na-m-argirova&gt;")</f>
        <v>Информационен бюлетин на ЦБ на БАН, В памет на М. Аргирова. Живот отдаден на Библиотеката: E-Сборник в чест на Мария Аргирова. София, VIII, 2014, 10 (82), с. 56-64. ISSN: 1312-9899. URL: &lt;http://cl.bas.bg/za-centralna-biblioteka-1/byuletin-na-cb-na-ban/broi-ma-82-godina-viii-v-pamet-na-m-argirova&gt;</v>
      </c>
      <c r="F6468" s="10" t="str">
        <f ca="1">IFERROR(__xludf.DUMMYFUNCTION("""COMPUTED_VALUE"""),"COBISS")</f>
        <v>COBISS</v>
      </c>
      <c r="G6468" s="10"/>
      <c r="H6468" s="10"/>
      <c r="I6468" s="10"/>
      <c r="J6468" s="10"/>
      <c r="K6468" s="10"/>
      <c r="L6468" s="10"/>
      <c r="M6468" s="10"/>
      <c r="N6468" s="10"/>
      <c r="O6468" s="10"/>
      <c r="P6468" s="10"/>
      <c r="Q6468" s="10"/>
      <c r="R6468" s="10"/>
      <c r="S6468" s="10"/>
      <c r="T6468" s="10"/>
      <c r="U6468" s="10"/>
      <c r="V6468" s="10"/>
      <c r="W6468" s="10"/>
      <c r="X6468" s="10"/>
      <c r="Y6468" s="10"/>
      <c r="Z6468" s="10"/>
    </row>
    <row r="6469" spans="1:26" ht="12.75">
      <c r="A6469" s="10" t="str">
        <f ca="1">IFERROR(__xludf.DUMMYFUNCTION("""COMPUTED_VALUE"""),"Румелина Илиева Василева")</f>
        <v>Румелина Илиева Василева</v>
      </c>
      <c r="B6469" s="10" t="str">
        <f ca="1">IFERROR(__xludf.DUMMYFUNCTION("""COMPUTED_VALUE"""),"Книга")</f>
        <v>Книга</v>
      </c>
      <c r="C6469" s="10" t="str">
        <f ca="1">IFERROR(__xludf.DUMMYFUNCTION("""COMPUTED_VALUE"""),"Управление и развитие на човешките ресурси в културните организации: Ключов аспект на информационното осигуряване и на библиотечния и културен мениджмънт")</f>
        <v>Управление и развитие на човешките ресурси в културните организации: Ключов аспект на информационното осигуряване и на библиотечния и културен мениджмънт</v>
      </c>
      <c r="D6469" s="10">
        <f ca="1">IFERROR(__xludf.DUMMYFUNCTION("""COMPUTED_VALUE"""),2014)</f>
        <v>2014</v>
      </c>
      <c r="E6469" s="10" t="str">
        <f ca="1">IFERROR(__xludf.DUMMYFUNCTION("""COMPUTED_VALUE"""),"София: За буквите – О писменехь, 2014. 346 с. ISBN 978-619-185-117-1 ; Е-ISBN 978-619-185-074-7")</f>
        <v>София: За буквите – О писменехь, 2014. 346 с. ISBN 978-619-185-117-1 ; Е-ISBN 978-619-185-074-7</v>
      </c>
      <c r="F6469" s="10"/>
      <c r="G6469" s="10"/>
      <c r="H6469" s="10"/>
      <c r="I6469" s="10"/>
      <c r="J6469" s="10"/>
      <c r="K6469" s="10"/>
      <c r="L6469" s="10"/>
      <c r="M6469" s="10"/>
      <c r="N6469" s="10"/>
      <c r="O6469" s="10"/>
      <c r="P6469" s="10"/>
      <c r="Q6469" s="10"/>
      <c r="R6469" s="10"/>
      <c r="S6469" s="10"/>
      <c r="T6469" s="10"/>
      <c r="U6469" s="10"/>
      <c r="V6469" s="10"/>
      <c r="W6469" s="10"/>
      <c r="X6469" s="10"/>
      <c r="Y6469" s="10"/>
      <c r="Z6469" s="10"/>
    </row>
    <row r="6470" spans="1:26" ht="12.75">
      <c r="A6470" s="10" t="str">
        <f ca="1">IFERROR(__xludf.DUMMYFUNCTION("""COMPUTED_VALUE"""),"Румелина Илиева Василева")</f>
        <v>Румелина Илиева Василева</v>
      </c>
      <c r="B6470" s="10" t="str">
        <f ca="1">IFERROR(__xludf.DUMMYFUNCTION("""COMPUTED_VALUE"""),"Учебно пособие")</f>
        <v>Учебно пособие</v>
      </c>
      <c r="C6470" s="10" t="str">
        <f ca="1">IFERROR(__xludf.DUMMYFUNCTION("""COMPUTED_VALUE"""),"Управление на електронните ресурси в библиотеките")</f>
        <v>Управление на електронните ресурси в библиотеките</v>
      </c>
      <c r="D6470" s="10">
        <f ca="1">IFERROR(__xludf.DUMMYFUNCTION("""COMPUTED_VALUE"""),2014)</f>
        <v>2014</v>
      </c>
      <c r="E6470" s="10" t="str">
        <f ca="1">IFERROR(__xludf.DUMMYFUNCTION("""COMPUTED_VALUE"""),"Учебно помагало. София: За буквите – О писменехь, 2014. 222 с. ISBN 978-619-185-071-6 ; Е-ISBN 978-619-185-072-3")</f>
        <v>Учебно помагало. София: За буквите – О писменехь, 2014. 222 с. ISBN 978-619-185-071-6 ; Е-ISBN 978-619-185-072-3</v>
      </c>
      <c r="F6470" s="10"/>
      <c r="G6470" s="10"/>
      <c r="H6470" s="10"/>
      <c r="I6470" s="10"/>
      <c r="J6470" s="10"/>
      <c r="K6470" s="10"/>
      <c r="L6470" s="10"/>
      <c r="M6470" s="10"/>
      <c r="N6470" s="10"/>
      <c r="O6470" s="10"/>
      <c r="P6470" s="10"/>
      <c r="Q6470" s="10"/>
      <c r="R6470" s="10"/>
      <c r="S6470" s="10"/>
      <c r="T6470" s="10"/>
      <c r="U6470" s="10"/>
      <c r="V6470" s="10"/>
      <c r="W6470" s="10"/>
      <c r="X6470" s="10"/>
      <c r="Y6470" s="10"/>
      <c r="Z6470" s="10"/>
    </row>
    <row r="6471" spans="1:26" ht="12.75">
      <c r="A6471" s="10" t="str">
        <f ca="1">IFERROR(__xludf.DUMMYFUNCTION("""COMPUTED_VALUE"""),"Румелина Илиева Василева")</f>
        <v>Румелина Илиева Василева</v>
      </c>
      <c r="B6471" s="10" t="str">
        <f ca="1">IFERROR(__xludf.DUMMYFUNCTION("""COMPUTED_VALUE"""),"Учебно пособие")</f>
        <v>Учебно пособие</v>
      </c>
      <c r="C6471" s="10" t="str">
        <f ca="1">IFERROR(__xludf.DUMMYFUNCTION("""COMPUTED_VALUE"""),"Управление на човешките ресурси: Уч. помагало. [Електронен ресурс]")</f>
        <v>Управление на човешките ресурси: Уч. помагало. [Електронен ресурс]</v>
      </c>
      <c r="D6471" s="10">
        <f ca="1">IFERROR(__xludf.DUMMYFUNCTION("""COMPUTED_VALUE"""),2014)</f>
        <v>2014</v>
      </c>
      <c r="E6471" s="10" t="str">
        <f ca="1">IFERROR(__xludf.DUMMYFUNCTION("""COMPUTED_VALUE"""),"София: За буквите – О писменехь, 2014. 285 с. Е-ISBN 978-619-185-074-7")</f>
        <v>София: За буквите – О писменехь, 2014. 285 с. Е-ISBN 978-619-185-074-7</v>
      </c>
      <c r="F6471" s="10" t="str">
        <f ca="1">IFERROR(__xludf.DUMMYFUNCTION("""COMPUTED_VALUE"""),"COBISS")</f>
        <v>COBISS</v>
      </c>
      <c r="G6471" s="10"/>
      <c r="H6471" s="10"/>
      <c r="I6471" s="10"/>
      <c r="J6471" s="10"/>
      <c r="K6471" s="10"/>
      <c r="L6471" s="10"/>
      <c r="M6471" s="10"/>
      <c r="N6471" s="10"/>
      <c r="O6471" s="10"/>
      <c r="P6471" s="10"/>
      <c r="Q6471" s="10"/>
      <c r="R6471" s="10"/>
      <c r="S6471" s="10"/>
      <c r="T6471" s="10"/>
      <c r="U6471" s="10"/>
      <c r="V6471" s="10"/>
      <c r="W6471" s="10"/>
      <c r="X6471" s="10"/>
      <c r="Y6471" s="10"/>
      <c r="Z6471" s="10"/>
    </row>
    <row r="6472" spans="1:26" ht="12.75">
      <c r="A6472" s="10" t="str">
        <f ca="1">IFERROR(__xludf.DUMMYFUNCTION("""COMPUTED_VALUE"""),"Румелина Илиева Василева")</f>
        <v>Румелина Илиева Василева</v>
      </c>
      <c r="B6472" s="10" t="str">
        <f ca="1">IFERROR(__xludf.DUMMYFUNCTION("""COMPUTED_VALUE"""),"Статия в списания и поредици")</f>
        <v>Статия в списания и поредици</v>
      </c>
      <c r="C6472" s="10" t="str">
        <f ca="1">IFERROR(__xludf.DUMMYFUNCTION("""COMPUTED_VALUE"""),"Авторскоправни политики на институциите на паметта. Библиографски преглед десет години назад.")</f>
        <v>Авторскоправни политики на институциите на паметта. Библиографски преглед десет години назад.</v>
      </c>
      <c r="D6472" s="10">
        <f ca="1">IFERROR(__xludf.DUMMYFUNCTION("""COMPUTED_VALUE"""),2014)</f>
        <v>2014</v>
      </c>
      <c r="E6472" s="10" t="str">
        <f ca="1">IFERROR(__xludf.DUMMYFUNCTION("""COMPUTED_VALUE"""),"Библиотеки, четене, комуникации. ХІI нац. науч. конф. с междунар. уч., 14-15 ноем. 2013 г., Велико Търново. В. Търново: УИ “Св. Св. Кирил и Методий”, 2014, c. 180-201. ISSN 1313-8138.")</f>
        <v>Библиотеки, четене, комуникации. ХІI нац. науч. конф. с междунар. уч., 14-15 ноем. 2013 г., Велико Търново. В. Търново: УИ “Св. Св. Кирил и Методий”, 2014, c. 180-201. ISSN 1313-8138.</v>
      </c>
      <c r="F6472" s="10" t="str">
        <f ca="1">IFERROR(__xludf.DUMMYFUNCTION("""COMPUTED_VALUE"""),"COBISS")</f>
        <v>COBISS</v>
      </c>
      <c r="G6472" s="10"/>
      <c r="H6472" s="10"/>
      <c r="I6472" s="10"/>
      <c r="J6472" s="10"/>
      <c r="K6472" s="10"/>
      <c r="L6472" s="10"/>
      <c r="M6472" s="10"/>
      <c r="N6472" s="10"/>
      <c r="O6472" s="10"/>
      <c r="P6472" s="10"/>
      <c r="Q6472" s="10"/>
      <c r="R6472" s="10"/>
      <c r="S6472" s="10"/>
      <c r="T6472" s="10"/>
      <c r="U6472" s="10"/>
      <c r="V6472" s="10"/>
      <c r="W6472" s="10"/>
      <c r="X6472" s="10"/>
      <c r="Y6472" s="10"/>
      <c r="Z6472" s="10"/>
    </row>
    <row r="6473" spans="1:26" ht="12.75">
      <c r="A6473" s="10" t="str">
        <f ca="1">IFERROR(__xludf.DUMMYFUNCTION("""COMPUTED_VALUE"""),"Румелина Илиева Василева")</f>
        <v>Румелина Илиева Василева</v>
      </c>
      <c r="B6473" s="10" t="str">
        <f ca="1">IFERROR(__xludf.DUMMYFUNCTION("""COMPUTED_VALUE"""),"Статия в списания и поредици")</f>
        <v>Статия в списания и поредици</v>
      </c>
      <c r="C6473" s="10" t="str">
        <f ca="1">IFERROR(__xludf.DUMMYFUNCTION("""COMPUTED_VALUE"""),"Комуникационна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f>
        <v>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v>
      </c>
      <c r="D6473" s="10">
        <f ca="1">IFERROR(__xludf.DUMMYFUNCTION("""COMPUTED_VALUE"""),2014)</f>
        <v>2014</v>
      </c>
      <c r="E6473" s="10" t="str">
        <f ca="1">IFERROR(__xludf.DUMMYFUNCTION("""COMPUTED_VALUE"""),"Сборник доклади на петата национална конференция по електронно обучение във висшите училища, 15-17 май 2014 г., Русе: ИЦ на РУ “Ангел Кънчев”, 2014, с. 62-66. ISBN 978-954-712-611-4.")</f>
        <v>Сборник доклади на петата национална конференция по електронно обучение във висшите училища, 15-17 май 2014 г., Русе: ИЦ на РУ “Ангел Кънчев”, 2014, с. 62-66. ISBN 978-954-712-611-4.</v>
      </c>
      <c r="F6473" s="10" t="str">
        <f ca="1">IFERROR(__xludf.DUMMYFUNCTION("""COMPUTED_VALUE"""),"COBISS")</f>
        <v>COBISS</v>
      </c>
      <c r="G6473" s="10" t="str">
        <f ca="1">IFERROR(__xludf.DUMMYFUNCTION("""COMPUTED_VALUE"""),"Янкова, Иванка Таня Тодорова Силвия Станчева")</f>
        <v>Янкова, Иванка Таня Тодорова Силвия Станчева</v>
      </c>
      <c r="H6473" s="10"/>
      <c r="I6473" s="10"/>
      <c r="J6473" s="10"/>
      <c r="K6473" s="10"/>
      <c r="L6473" s="10"/>
      <c r="M6473" s="10"/>
      <c r="N6473" s="10"/>
      <c r="O6473" s="10"/>
      <c r="P6473" s="10"/>
      <c r="Q6473" s="10"/>
      <c r="R6473" s="10"/>
      <c r="S6473" s="10"/>
      <c r="T6473" s="10"/>
      <c r="U6473" s="10"/>
      <c r="V6473" s="10"/>
      <c r="W6473" s="10"/>
      <c r="X6473" s="10"/>
      <c r="Y6473" s="10"/>
      <c r="Z6473" s="10"/>
    </row>
    <row r="6474" spans="1:26" ht="12.75">
      <c r="A6474" s="10" t="str">
        <f ca="1">IFERROR(__xludf.DUMMYFUNCTION("""COMPUTED_VALUE"""),"Румелина Илиева Василева")</f>
        <v>Румелина Илиева Василева</v>
      </c>
      <c r="B6474" s="10" t="str">
        <f ca="1">IFERROR(__xludf.DUMMYFUNCTION("""COMPUTED_VALUE"""),"Статия в списания и поредици")</f>
        <v>Статия в списания и поредици</v>
      </c>
      <c r="C6474" s="10" t="str">
        <f ca="1">IFERROR(__xludf.DUMMYFUNCTION("""COMPUTED_VALUE"""),"Информационни и образователни възможности на виртуалната „Е-библиотека за библиотечно-информационни науки, печатни комуникации и науки за културно наследство” за нуждите на дистанционното обучение във ФБКН, УниБИТ")</f>
        <v>Информационни и образователни възможности на виртуалната „Е-библиотека за библиотечно-информационни науки, печатни комуникации и науки за културно наследство” за нуждите на дистанционното обучение във ФБКН, УниБИТ</v>
      </c>
      <c r="D6474" s="10">
        <f ca="1">IFERROR(__xludf.DUMMYFUNCTION("""COMPUTED_VALUE"""),2014)</f>
        <v>2014</v>
      </c>
      <c r="E6474" s="10" t="str">
        <f ca="1">IFERROR(__xludf.DUMMYFUNCTION("""COMPUTED_VALUE"""),"Библиотека, Списание за библ. и инф. науки, книгознание и лит. История, XXI, 2014, 5, c. 65-71. ISSN 0861-847X. URL: &lt;http://www.nationallibrary.bg/wp/wp-content/uploads/2016/12/Biblioteka_5_2014.pdf&gt;")</f>
        <v>Библиотека, Списание за библ. и инф. науки, книгознание и лит. История, XXI, 2014, 5, c. 65-71. ISSN 0861-847X. URL: &lt;http://www.nationallibrary.bg/wp/wp-content/uploads/2016/12/Biblioteka_5_2014.pdf&gt;</v>
      </c>
      <c r="F6474" s="10" t="str">
        <f ca="1">IFERROR(__xludf.DUMMYFUNCTION("""COMPUTED_VALUE"""),"COBISS")</f>
        <v>COBISS</v>
      </c>
      <c r="G6474" s="10" t="str">
        <f ca="1">IFERROR(__xludf.DUMMYFUNCTION("""COMPUTED_VALUE"""),"Станчева, Силвия")</f>
        <v>Станчева, Силвия</v>
      </c>
      <c r="H6474" s="10"/>
      <c r="I6474" s="10"/>
      <c r="J6474" s="10"/>
      <c r="K6474" s="10"/>
      <c r="L6474" s="10"/>
      <c r="M6474" s="10"/>
      <c r="N6474" s="10"/>
      <c r="O6474" s="10"/>
      <c r="P6474" s="10"/>
      <c r="Q6474" s="10"/>
      <c r="R6474" s="10"/>
      <c r="S6474" s="10"/>
      <c r="T6474" s="10"/>
      <c r="U6474" s="10"/>
      <c r="V6474" s="10"/>
      <c r="W6474" s="10"/>
      <c r="X6474" s="10"/>
      <c r="Y6474" s="10"/>
      <c r="Z6474" s="10"/>
    </row>
    <row r="6475" spans="1:26" ht="12.75">
      <c r="A6475" s="10" t="str">
        <f ca="1">IFERROR(__xludf.DUMMYFUNCTION("""COMPUTED_VALUE"""),"Румелина Илиева Василева")</f>
        <v>Румелина Илиева Василева</v>
      </c>
      <c r="B6475" s="10" t="str">
        <f ca="1">IFERROR(__xludf.DUMMYFUNCTION("""COMPUTED_VALUE"""),"Статия в списания и поредици")</f>
        <v>Статия в списания и поредици</v>
      </c>
      <c r="C6475" s="10" t="str">
        <f ca="1">IFERROR(__xludf.DUMMYFUNCTION("""COMPUTED_VALUE"""),"Нови възможности, най-добри практики и модели на обучение в четене и информационна компететнтност")</f>
        <v>Нови възможности, най-добри практики и модели на обучение в четене и информационна компететнтност</v>
      </c>
      <c r="D6475" s="10">
        <f ca="1">IFERROR(__xludf.DUMMYFUNCTION("""COMPUTED_VALUE"""),2014)</f>
        <v>2014</v>
      </c>
      <c r="E6475" s="10" t="str">
        <f ca="1">IFERROR(__xludf.DUMMYFUNCTION("""COMPUTED_VALUE"""),"Създаване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2012-2014. София : За буквите – О . писменехь, 2014, с. 221-225. ISBN 978-619-185-131-7")</f>
        <v>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2012-2014. София : За буквите – О . писменехь, 2014, с. 221-225. ISBN 978-619-185-131-7</v>
      </c>
      <c r="F6475" s="10" t="str">
        <f ca="1">IFERROR(__xludf.DUMMYFUNCTION("""COMPUTED_VALUE"""),"COBISS")</f>
        <v>COBISS</v>
      </c>
      <c r="G6475" s="10" t="str">
        <f ca="1">IFERROR(__xludf.DUMMYFUNCTION("""COMPUTED_VALUE"""),"Станчева, Силвия Хаджиева, Боряна")</f>
        <v>Станчева, Силвия Хаджиева, Боряна</v>
      </c>
      <c r="H6475" s="10"/>
      <c r="I6475" s="10"/>
      <c r="J6475" s="10"/>
      <c r="K6475" s="10"/>
      <c r="L6475" s="10"/>
      <c r="M6475" s="10"/>
      <c r="N6475" s="10"/>
      <c r="O6475" s="10"/>
      <c r="P6475" s="10"/>
      <c r="Q6475" s="10"/>
      <c r="R6475" s="10"/>
      <c r="S6475" s="10"/>
      <c r="T6475" s="10"/>
      <c r="U6475" s="10"/>
      <c r="V6475" s="10"/>
      <c r="W6475" s="10"/>
      <c r="X6475" s="10"/>
      <c r="Y6475" s="10"/>
      <c r="Z6475" s="10"/>
    </row>
    <row r="6476" spans="1:26" ht="12.75">
      <c r="A6476" s="10" t="str">
        <f ca="1">IFERROR(__xludf.DUMMYFUNCTION("""COMPUTED_VALUE"""),"Румелина Илиева Василева")</f>
        <v>Румелина Илиева Василева</v>
      </c>
      <c r="B6476" s="10" t="str">
        <f ca="1">IFERROR(__xludf.DUMMYFUNCTION("""COMPUTED_VALUE"""),"Статия в списания и поредици")</f>
        <v>Статия в списания и поредици</v>
      </c>
      <c r="C6476" s="10" t="str">
        <f ca="1">IFERROR(__xludf.DUMMYFUNCTION("""COMPUTED_VALUE"""),"Философията на стандартите – нужди и реалности")</f>
        <v>Философията на стандартите – нужди и реалности</v>
      </c>
      <c r="D6476" s="10">
        <f ca="1">IFERROR(__xludf.DUMMYFUNCTION("""COMPUTED_VALUE"""),2014)</f>
        <v>2014</v>
      </c>
      <c r="E6476" s="10" t="str">
        <f ca="1">IFERROR(__xludf.DUMMYFUNCTION("""COMPUTED_VALUE"""),"Интелектуалната собственост в ХХI век: Българският опит в творческите и информационни индустрии. Докл. от Науч. семинар, 28 април 2014 г., УниБИТ, София. София: За буквите – О писменехь, 2014, с. 163-187. ISBN 978-619-185-019-8")</f>
        <v>Интелектуалната собственост в ХХI век: Българският опит в творческите и информационни индустрии. Докл. от Науч. семинар, 28 април 2014 г., УниБИТ, София. София: За буквите – О писменехь, 2014, с. 163-187. ISBN 978-619-185-019-8</v>
      </c>
      <c r="F6476" s="10" t="str">
        <f ca="1">IFERROR(__xludf.DUMMYFUNCTION("""COMPUTED_VALUE"""),"COBISS")</f>
        <v>COBISS</v>
      </c>
      <c r="G6476" s="10"/>
      <c r="H6476" s="10"/>
      <c r="I6476" s="10"/>
      <c r="J6476" s="10"/>
      <c r="K6476" s="10"/>
      <c r="L6476" s="10"/>
      <c r="M6476" s="10"/>
      <c r="N6476" s="10"/>
      <c r="O6476" s="10"/>
      <c r="P6476" s="10"/>
      <c r="Q6476" s="10"/>
      <c r="R6476" s="10"/>
      <c r="S6476" s="10"/>
      <c r="T6476" s="10"/>
      <c r="U6476" s="10"/>
      <c r="V6476" s="10"/>
      <c r="W6476" s="10"/>
      <c r="X6476" s="10"/>
      <c r="Y6476" s="10"/>
      <c r="Z6476" s="10"/>
    </row>
    <row r="6477" spans="1:26" ht="12.75">
      <c r="A6477" s="10" t="str">
        <f ca="1">IFERROR(__xludf.DUMMYFUNCTION("""COMPUTED_VALUE"""),"Румелина Илиева Василева")</f>
        <v>Румелина Илиева Василева</v>
      </c>
      <c r="B6477" s="10" t="str">
        <f ca="1">IFERROR(__xludf.DUMMYFUNCTION("""COMPUTED_VALUE"""),"Доклад от конференция")</f>
        <v>Доклад от конференция</v>
      </c>
      <c r="C6477" s="10" t="str">
        <f ca="1">IFERROR(__xludf.DUMMYFUNCTION("""COMPUTED_VALUE"""),"Философията на стандартите – нужди и реалности")</f>
        <v>Философията на стандартите – нужди и реалности</v>
      </c>
      <c r="D6477" s="10">
        <f ca="1">IFERROR(__xludf.DUMMYFUNCTION("""COMPUTED_VALUE"""),2014)</f>
        <v>2014</v>
      </c>
      <c r="E6477" s="10" t="str">
        <f ca="1">IFERROR(__xludf.DUMMYFUNCTION("""COMPUTED_VALUE"""),"Интелектуалната собственост в ХХI век: Българският опит в творческите и информационни индустрии. Докл. от Науч. семинар, 28 април")</f>
        <v>Интелектуалната собственост в ХХI век: Българският опит в творческите и информационни индустрии. Докл. от Науч. семинар, 28 април</v>
      </c>
      <c r="F6477" s="10"/>
      <c r="G6477" s="10"/>
      <c r="H6477" s="10"/>
      <c r="I6477" s="10"/>
      <c r="J6477" s="10"/>
      <c r="K6477" s="10"/>
      <c r="L6477" s="10"/>
      <c r="M6477" s="10"/>
      <c r="N6477" s="10"/>
      <c r="O6477" s="10"/>
      <c r="P6477" s="10"/>
      <c r="Q6477" s="10"/>
      <c r="R6477" s="10"/>
      <c r="S6477" s="10"/>
      <c r="T6477" s="10"/>
      <c r="U6477" s="10"/>
      <c r="V6477" s="10"/>
      <c r="W6477" s="10"/>
      <c r="X6477" s="10"/>
      <c r="Y6477" s="10"/>
      <c r="Z6477" s="10"/>
    </row>
    <row r="6478" spans="1:26" ht="12.75">
      <c r="A6478" s="10" t="str">
        <f ca="1">IFERROR(__xludf.DUMMYFUNCTION("""COMPUTED_VALUE"""),"Румелина Илиева Василева")</f>
        <v>Румелина Илиева Василева</v>
      </c>
      <c r="B6478" s="10" t="str">
        <f ca="1">IFERROR(__xludf.DUMMYFUNCTION("""COMPUTED_VALUE"""),"Статия в списания и поредици")</f>
        <v>Статия в списания и поредици</v>
      </c>
      <c r="C6478" s="10" t="str">
        <f ca="1">IFERROR(__xludf.DUMMYFUNCTION("""COMPUTED_VALUE"""),"SWOT анализът на удовлетворяването на информационните нужди на потребителите в библиотеките – действен маркетингов инструмент")</f>
        <v>SWOT анализът на удовлетворяването на информационните нужди на потребителите в библиотеките – действен маркетингов инструмент</v>
      </c>
      <c r="D6478" s="10">
        <f ca="1">IFERROR(__xludf.DUMMYFUNCTION("""COMPUTED_VALUE"""),2014)</f>
        <v>2014</v>
      </c>
      <c r="E6478" s="10" t="str">
        <f ca="1">IFERROR(__xludf.DUMMYFUNCTION("""COMPUTED_VALUE"""),"Младите в науката – инвестиция в бъдещето: Сборник доклади от Междунар. науч. конф. по проект „Създаване на информационна среда за мотивация и стимулиране на младите изследователи в УниБИТ”, 18-20. окт. 2013, София-Пловдив. София: За буквите – О писменехь"&amp;", 2014, c. 390-408. ISBN 978-619-185-132-4")</f>
        <v>Младите в науката – инвестиция в бъдещето: Сборник доклади от Междунар. науч. конф. по проект „Създаване на информационна среда за мотивация и стимулиране на младите изследователи в УниБИТ”, 18-20. окт. 2013, София-Пловдив. София: За буквите – О писменехь, 2014, c. 390-408. ISBN 978-619-185-132-4</v>
      </c>
      <c r="F6478" s="10" t="str">
        <f ca="1">IFERROR(__xludf.DUMMYFUNCTION("""COMPUTED_VALUE"""),"COBISS")</f>
        <v>COBISS</v>
      </c>
      <c r="G6478" s="10"/>
      <c r="H6478" s="10"/>
      <c r="I6478" s="10"/>
      <c r="J6478" s="10"/>
      <c r="K6478" s="10"/>
      <c r="L6478" s="10"/>
      <c r="M6478" s="10"/>
      <c r="N6478" s="10"/>
      <c r="O6478" s="10"/>
      <c r="P6478" s="10"/>
      <c r="Q6478" s="10"/>
      <c r="R6478" s="10"/>
      <c r="S6478" s="10"/>
      <c r="T6478" s="10"/>
      <c r="U6478" s="10"/>
      <c r="V6478" s="10"/>
      <c r="W6478" s="10"/>
      <c r="X6478" s="10"/>
      <c r="Y6478" s="10"/>
      <c r="Z6478" s="10"/>
    </row>
    <row r="6479" spans="1:26" ht="12.75">
      <c r="A6479" s="10" t="str">
        <f ca="1">IFERROR(__xludf.DUMMYFUNCTION("""COMPUTED_VALUE"""),"Румелина Илиева Василева")</f>
        <v>Румелина Илиева Василева</v>
      </c>
      <c r="B6479" s="10" t="str">
        <f ca="1">IFERROR(__xludf.DUMMYFUNCTION("""COMPUTED_VALUE"""),"Статия в списания и поредици")</f>
        <v>Статия в списания и поредици</v>
      </c>
      <c r="C6479" s="10" t="str">
        <f ca="1">IFERROR(__xludf.DUMMYFUNCTION("""COMPUTED_VALUE"""),"През очите на цивилизациите и вселените. Лични впечатления и размисли по дневника на професор Александра Куманова")</f>
        <v>През очите на цивилизациите и вселените. Лични впечатления и размисли по дневника на професор Александра Куманова</v>
      </c>
      <c r="D6479" s="10">
        <f ca="1">IFERROR(__xludf.DUMMYFUNCTION("""COMPUTED_VALUE"""),2014)</f>
        <v>2014</v>
      </c>
      <c r="E6479" s="10" t="str">
        <f ca="1">IFERROR(__xludf.DUMMYFUNCTION("""COMPUTED_VALUE"""),"Научни трудове на УниБИТ = Proceedings of the SULST. Т. 12. София : За буквите – О писменехь, 2014, с. 503-512. ISSN 1314-2623.")</f>
        <v>Научни трудове на УниБИТ = Proceedings of the SULST. Т. 12. София : За буквите – О писменехь, 2014, с. 503-512. ISSN 1314-2623.</v>
      </c>
      <c r="F6479" s="10"/>
      <c r="G6479" s="10"/>
      <c r="H6479" s="10"/>
      <c r="I6479" s="10"/>
      <c r="J6479" s="10"/>
      <c r="K6479" s="10"/>
      <c r="L6479" s="10"/>
      <c r="M6479" s="10"/>
      <c r="N6479" s="10"/>
      <c r="O6479" s="10"/>
      <c r="P6479" s="10"/>
      <c r="Q6479" s="10"/>
      <c r="R6479" s="10"/>
      <c r="S6479" s="10"/>
      <c r="T6479" s="10"/>
      <c r="U6479" s="10"/>
      <c r="V6479" s="10"/>
      <c r="W6479" s="10"/>
      <c r="X6479" s="10"/>
      <c r="Y6479" s="10"/>
      <c r="Z6479" s="10"/>
    </row>
    <row r="6480" spans="1:26" ht="12.75">
      <c r="A6480" s="10" t="str">
        <f ca="1">IFERROR(__xludf.DUMMYFUNCTION("""COMPUTED_VALUE"""),"Румелина Илиева Василева")</f>
        <v>Румелина Илиева Василева</v>
      </c>
      <c r="B6480" s="10" t="str">
        <f ca="1">IFERROR(__xludf.DUMMYFUNCTION("""COMPUTED_VALUE"""),"Доклад от конференция")</f>
        <v>Доклад от конференция</v>
      </c>
      <c r="C6480" s="10" t="str">
        <f ca="1">IFERROR(__xludf.DUMMYFUNCTION("""COMPUTED_VALUE"""),"Авторскоправни политики на институциите на паметта. Библиографски преглед десет години назад")</f>
        <v>Авторскоправни политики на институциите на паметта. Библиографски преглед десет години назад</v>
      </c>
      <c r="D6480" s="10">
        <f ca="1">IFERROR(__xludf.DUMMYFUNCTION("""COMPUTED_VALUE"""),2014)</f>
        <v>2014</v>
      </c>
      <c r="E6480" s="10" t="str">
        <f ca="1">IFERROR(__xludf.DUMMYFUNCTION("""COMPUTED_VALUE"""),"Библиотеки, четене, комуникации. ХІI нац. науч. конф. с междунар. уч., посв. На 100-год. от Балканските войни, 14-15 ноем. 2013")</f>
        <v>Библиотеки, четене, комуникации. ХІI нац. науч. конф. с междунар. уч., посв. На 100-год. от Балканските войни, 14-15 ноем. 2013</v>
      </c>
      <c r="F6480" s="10"/>
      <c r="G6480" s="10"/>
      <c r="H6480" s="10"/>
      <c r="I6480" s="10"/>
      <c r="J6480" s="10"/>
      <c r="K6480" s="10"/>
      <c r="L6480" s="10"/>
      <c r="M6480" s="10"/>
      <c r="N6480" s="10"/>
      <c r="O6480" s="10"/>
      <c r="P6480" s="10"/>
      <c r="Q6480" s="10"/>
      <c r="R6480" s="10"/>
      <c r="S6480" s="10"/>
      <c r="T6480" s="10"/>
      <c r="U6480" s="10"/>
      <c r="V6480" s="10"/>
      <c r="W6480" s="10"/>
      <c r="X6480" s="10"/>
      <c r="Y6480" s="10"/>
      <c r="Z6480" s="10"/>
    </row>
    <row r="6481" spans="1:26" ht="12.75">
      <c r="A6481" s="10" t="str">
        <f ca="1">IFERROR(__xludf.DUMMYFUNCTION("""COMPUTED_VALUE"""),"Румелина Илиева Василева")</f>
        <v>Румелина Илиева Василева</v>
      </c>
      <c r="B6481" s="10" t="str">
        <f ca="1">IFERROR(__xludf.DUMMYFUNCTION("""COMPUTED_VALUE"""),"Статия в списания и поредици")</f>
        <v>Статия в списания и поредици</v>
      </c>
      <c r="C6481" s="10" t="str">
        <f ca="1">IFERROR(__xludf.DUMMYFUNCTION("""COMPUTED_VALUE"""),"За клишетата, народната мъдрост и мислещите хора, или как скоростта убива нюансите")</f>
        <v>За клишетата, народната мъдрост и мислещите хора, или как скоростта убива нюансите</v>
      </c>
      <c r="D6481" s="10">
        <f ca="1">IFERROR(__xludf.DUMMYFUNCTION("""COMPUTED_VALUE"""),2014)</f>
        <v>2014</v>
      </c>
      <c r="E6481" s="10" t="str">
        <f ca="1">IFERROR(__xludf.DUMMYFUNCTION("""COMPUTED_VALUE"""),"Книгата – нашето по-смислено настояще. Сб. с докл. от форума “Дни на книгата и авторското право в УниБИТ, 4/2014. София: За буквите – О писменехь, 2014, с. 51-64. ISSN 1314-7323.")</f>
        <v>Книгата – нашето по-смислено настояще. Сб. с докл. от форума “Дни на книгата и авторското право в УниБИТ, 4/2014. София: За буквите – О писменехь, 2014, с. 51-64. ISSN 1314-7323.</v>
      </c>
      <c r="F6481" s="10" t="str">
        <f ca="1">IFERROR(__xludf.DUMMYFUNCTION("""COMPUTED_VALUE"""),"COBISS")</f>
        <v>COBISS</v>
      </c>
      <c r="G6481" s="10"/>
      <c r="H6481" s="10"/>
      <c r="I6481" s="10"/>
      <c r="J6481" s="10"/>
      <c r="K6481" s="10"/>
      <c r="L6481" s="10"/>
      <c r="M6481" s="10"/>
      <c r="N6481" s="10"/>
      <c r="O6481" s="10"/>
      <c r="P6481" s="10"/>
      <c r="Q6481" s="10"/>
      <c r="R6481" s="10"/>
      <c r="S6481" s="10"/>
      <c r="T6481" s="10"/>
      <c r="U6481" s="10"/>
      <c r="V6481" s="10"/>
      <c r="W6481" s="10"/>
      <c r="X6481" s="10"/>
      <c r="Y6481" s="10"/>
      <c r="Z6481" s="10"/>
    </row>
    <row r="6482" spans="1:26" ht="12.75">
      <c r="A6482" s="10" t="str">
        <f ca="1">IFERROR(__xludf.DUMMYFUNCTION("""COMPUTED_VALUE"""),"Румелина Илиева Василева")</f>
        <v>Румелина Илиева Василева</v>
      </c>
      <c r="B6482" s="10" t="str">
        <f ca="1">IFERROR(__xludf.DUMMYFUNCTION("""COMPUTED_VALUE"""),"Доклад от конференция")</f>
        <v>Доклад от конференция</v>
      </c>
      <c r="C6482" s="10" t="str">
        <f ca="1">IFERROR(__xludf.DUMMYFUNCTION("""COMPUTED_VALUE"""),"SWOT анализът на удовлетворяването на информационните нужди на потребителите в библиотеките – действен маркетингов инструмент")</f>
        <v>SWOT анализът на удовлетворяването на информационните нужди на потребителите в библиотеките – действен маркетингов инструмент</v>
      </c>
      <c r="D6482" s="10">
        <f ca="1">IFERROR(__xludf.DUMMYFUNCTION("""COMPUTED_VALUE"""),2014)</f>
        <v>2014</v>
      </c>
      <c r="E6482" s="10" t="str">
        <f ca="1">IFERROR(__xludf.DUMMYFUNCTION("""COMPUTED_VALUE"""),"Младите в науката – инвестиция в бъдещето: Сб. с докл. от междунар. науч. конф. София-Пловдив, 18-20.10.2013 г. София: За буквите")</f>
        <v>Младите в науката – инвестиция в бъдещето: Сб. с докл. от междунар. науч. конф. София-Пловдив, 18-20.10.2013 г. София: За буквите</v>
      </c>
      <c r="F6482" s="10"/>
      <c r="G6482" s="10"/>
      <c r="H6482" s="10"/>
      <c r="I6482" s="10"/>
      <c r="J6482" s="10"/>
      <c r="K6482" s="10"/>
      <c r="L6482" s="10"/>
      <c r="M6482" s="10"/>
      <c r="N6482" s="10"/>
      <c r="O6482" s="10"/>
      <c r="P6482" s="10"/>
      <c r="Q6482" s="10"/>
      <c r="R6482" s="10"/>
      <c r="S6482" s="10"/>
      <c r="T6482" s="10"/>
      <c r="U6482" s="10"/>
      <c r="V6482" s="10"/>
      <c r="W6482" s="10"/>
      <c r="X6482" s="10"/>
      <c r="Y6482" s="10"/>
      <c r="Z6482" s="10"/>
    </row>
    <row r="6483" spans="1:26" ht="12.75">
      <c r="A6483" s="10" t="str">
        <f ca="1">IFERROR(__xludf.DUMMYFUNCTION("""COMPUTED_VALUE"""),"Румелина Илиева Василева")</f>
        <v>Румелина Илиева Василева</v>
      </c>
      <c r="B6483" s="10" t="str">
        <f ca="1">IFERROR(__xludf.DUMMYFUNCTION("""COMPUTED_VALUE"""),"Книга")</f>
        <v>Книга</v>
      </c>
      <c r="C6483" s="10" t="str">
        <f ca="1">IFERROR(__xludf.DUMMYFUNCTION("""COMPUTED_VALUE"""),"Публикации по авторско право и политики на библиотечните, образователните и културните институции: Тематична библиография")</f>
        <v>Публикации по авторско право и политики на библиотечните, образователните и културните институции: Тематична библиография</v>
      </c>
      <c r="D6483" s="10">
        <f ca="1">IFERROR(__xludf.DUMMYFUNCTION("""COMPUTED_VALUE"""),2013)</f>
        <v>2013</v>
      </c>
      <c r="E6483" s="10" t="str">
        <f ca="1">IFERROR(__xludf.DUMMYFUNCTION("""COMPUTED_VALUE"""),"Предг., състав, оформл. и комент. Румелина Василева. София: За буквите – О писменехь, 2013. 444 с. (CP Copyright publ. Авторскоправни публ. Публ. по авторскому праву). ISBN 978-954-2946-83-0")</f>
        <v>Предг., състав, оформл. и комент. Румелина Василева. София: За буквите – О писменехь, 2013. 444 с. (CP Copyright publ. Авторскоправни публ. Публ. по авторскому праву). ISBN 978-954-2946-83-0</v>
      </c>
      <c r="F6483" s="10" t="str">
        <f ca="1">IFERROR(__xludf.DUMMYFUNCTION("""COMPUTED_VALUE"""),"COBISS")</f>
        <v>COBISS</v>
      </c>
      <c r="G6483" s="10"/>
      <c r="H6483" s="10"/>
      <c r="I6483" s="10"/>
      <c r="J6483" s="10"/>
      <c r="K6483" s="10"/>
      <c r="L6483" s="10"/>
      <c r="M6483" s="10"/>
      <c r="N6483" s="10"/>
      <c r="O6483" s="10"/>
      <c r="P6483" s="10"/>
      <c r="Q6483" s="10"/>
      <c r="R6483" s="10"/>
      <c r="S6483" s="10"/>
      <c r="T6483" s="10"/>
      <c r="U6483" s="10"/>
      <c r="V6483" s="10"/>
      <c r="W6483" s="10"/>
      <c r="X6483" s="10"/>
      <c r="Y6483" s="10"/>
      <c r="Z6483" s="10"/>
    </row>
    <row r="6484" spans="1:26" ht="12.75">
      <c r="A6484" s="10" t="str">
        <f ca="1">IFERROR(__xludf.DUMMYFUNCTION("""COMPUTED_VALUE"""),"Румелина Илиева Василева")</f>
        <v>Румелина Илиева Василева</v>
      </c>
      <c r="B6484" s="10" t="str">
        <f ca="1">IFERROR(__xludf.DUMMYFUNCTION("""COMPUTED_VALUE"""),"Книга")</f>
        <v>Книга</v>
      </c>
      <c r="C6484" s="10" t="str">
        <f ca="1">IFERROR(__xludf.DUMMYFUNCTION("""COMPUTED_VALUE"""),"Ключови проблеми в развитието на колекциите от електронни ресурси: Ръководство за библиотеки")</f>
        <v>Ключови проблеми в развитието на колекциите от електронни ресурси: Ръководство за библиотеки</v>
      </c>
      <c r="D6484" s="10">
        <f ca="1">IFERROR(__xludf.DUMMYFUNCTION("""COMPUTED_VALUE"""),2013)</f>
        <v>2013</v>
      </c>
      <c r="E6484" s="10" t="str">
        <f ca="1">IFERROR(__xludf.DUMMYFUNCTION("""COMPUTED_VALUE"""),"Прев. от англ. ез. Румелина Василева; Науч. и ез. ред. Таня Тодорова. София: За буквите – О писменехь, 2013. 64 с. (ИФЛА. Ръководства). ISBN 978-954-2946-72-4; Е-ISBN 978-954-2946-73-1")</f>
        <v>Прев. от англ. ез. Румелина Василева; Науч. и ез. ред. Таня Тодорова. София: За буквите – О писменехь, 2013. 64 с. (ИФЛА. Ръководства). ISBN 978-954-2946-72-4; Е-ISBN 978-954-2946-73-1</v>
      </c>
      <c r="F6484" s="10" t="str">
        <f ca="1">IFERROR(__xludf.DUMMYFUNCTION("""COMPUTED_VALUE"""),"COBISS")</f>
        <v>COBISS</v>
      </c>
      <c r="G6484" s="10"/>
      <c r="H6484" s="10"/>
      <c r="I6484" s="10"/>
      <c r="J6484" s="10"/>
      <c r="K6484" s="10"/>
      <c r="L6484" s="10"/>
      <c r="M6484" s="10"/>
      <c r="N6484" s="10"/>
      <c r="O6484" s="10"/>
      <c r="P6484" s="10"/>
      <c r="Q6484" s="10"/>
      <c r="R6484" s="10"/>
      <c r="S6484" s="10"/>
      <c r="T6484" s="10"/>
      <c r="U6484" s="10"/>
      <c r="V6484" s="10"/>
      <c r="W6484" s="10"/>
      <c r="X6484" s="10"/>
      <c r="Y6484" s="10"/>
      <c r="Z6484" s="10"/>
    </row>
    <row r="6485" spans="1:26" ht="12.75">
      <c r="A6485" s="10" t="str">
        <f ca="1">IFERROR(__xludf.DUMMYFUNCTION("""COMPUTED_VALUE"""),"Румелина Илиева Василева")</f>
        <v>Румелина Илиева Василева</v>
      </c>
      <c r="B6485" s="10" t="str">
        <f ca="1">IFERROR(__xludf.DUMMYFUNCTION("""COMPUTED_VALUE"""),"Доклад от конференция")</f>
        <v>Доклад от конференция</v>
      </c>
      <c r="C6485" s="10" t="str">
        <f ca="1">IFERROR(__xludf.DUMMYFUNCTION("""COMPUTED_VALUE"""),"Историческа, социологическа и политологическа концепция за възраждането на българското общество")</f>
        <v>Историческа, социологическа и политологическа концепция за възраждането на българското общество</v>
      </c>
      <c r="D6485" s="10">
        <f ca="1">IFERROR(__xludf.DUMMYFUNCTION("""COMPUTED_VALUE"""),2013)</f>
        <v>2013</v>
      </c>
      <c r="E6485" s="10" t="str">
        <f ca="1">IFERROR(__xludf.DUMMYFUNCTION("""COMPUTED_VALUE"""),"Политики за управление на културното наследство – комуникация и социализация чрез образование, Междунар. науч. конф., 10-11 окт. 2013 г., Бояна. София: УниБИТ, 15 с. (под печат)")</f>
        <v>Политики за управление на културното наследство – комуникация и социализация чрез образование, Междунар. науч. конф., 10-11 окт. 2013 г., Бояна. София: УниБИТ, 15 с. (под печат)</v>
      </c>
      <c r="F6485" s="10" t="str">
        <f ca="1">IFERROR(__xludf.DUMMYFUNCTION("""COMPUTED_VALUE"""),"COBISS")</f>
        <v>COBISS</v>
      </c>
      <c r="G6485" s="10"/>
      <c r="H6485" s="10"/>
      <c r="I6485" s="10"/>
      <c r="J6485" s="10"/>
      <c r="K6485" s="10"/>
      <c r="L6485" s="10"/>
      <c r="M6485" s="10"/>
      <c r="N6485" s="10"/>
      <c r="O6485" s="10"/>
      <c r="P6485" s="10"/>
      <c r="Q6485" s="10"/>
      <c r="R6485" s="10"/>
      <c r="S6485" s="10"/>
      <c r="T6485" s="10"/>
      <c r="U6485" s="10"/>
      <c r="V6485" s="10"/>
      <c r="W6485" s="10"/>
      <c r="X6485" s="10"/>
      <c r="Y6485" s="10"/>
      <c r="Z6485" s="10"/>
    </row>
    <row r="6486" spans="1:26" ht="12.75">
      <c r="A6486" s="10" t="str">
        <f ca="1">IFERROR(__xludf.DUMMYFUNCTION("""COMPUTED_VALUE"""),"Румелина Илиева Василева")</f>
        <v>Румелина Илиева Василева</v>
      </c>
      <c r="B6486" s="10" t="str">
        <f ca="1">IFERROR(__xludf.DUMMYFUNCTION("""COMPUTED_VALUE"""),"Статия в списания и поредици")</f>
        <v>Статия в списания и поредици</v>
      </c>
      <c r="C6486" s="10" t="str">
        <f ca="1">IFERROR(__xludf.DUMMYFUNCTION("""COMPUTED_VALUE"""),"A Bibliographical Overview of Copyright Literacy as a Key Issue in Memory Institution Management")</f>
        <v>A Bibliographical Overview of Copyright Literacy as a Key Issue in Memory Institution Management</v>
      </c>
      <c r="D6486" s="10">
        <f ca="1">IFERROR(__xludf.DUMMYFUNCTION("""COMPUTED_VALUE"""),2013)</f>
        <v>2013</v>
      </c>
      <c r="E6486" s="10" t="str">
        <f ca="1">IFERROR(__xludf.DUMMYFUNCTION("""COMPUTED_VALUE"""),"Worldwide Commonalities and Challenges in Information Literacy Research and Practice: European Conf. on Inf. Literacy, ECIL 2013 Istanbul, Oct. 22-25, 2013. Springer Intern. Publ. Switzerland, 2013, XXIV, p. 610-617. – (Communication in Computer and Infor"&amp;"mation Science, Vol. 397, 2013). ISBN 978-975-491-359-0. URL: &lt;http://link.springer.com/chapter/10.1007/978-3-319-03919-0_88&gt;; European Conference on Information Literacy (ECIL), 22-25 Oct. 2013, Istanbul, Turkey: Abstracts. Ankara: Hacettepe Univ. Dep. o"&amp;"f Inf. Management, 2013, p. 62. URL: &lt;http://ecil2013.ilconf.org/docs/ecil2013_abstracts.pdf&gt;; ARBER Professional Congress &amp; Tourism Services. URL: &lt;www.arber.com.tr&gt;")</f>
        <v>Worldwide Commonalities and Challenges in Information Literacy Research and Practice: European Conf. on Inf. Literacy, ECIL 2013 Istanbul, Oct. 22-25, 2013. Springer Intern. Publ. Switzerland, 2013, XXIV, p. 610-617. – (Communication in Computer and Information Science, Vol. 397, 2013). ISBN 978-975-491-359-0. URL: &lt;http://link.springer.com/chapter/10.1007/978-3-319-03919-0_88&gt;; European Conference on Information Literacy (ECIL), 22-25 Oct. 2013, Istanbul, Turkey: Abstracts. Ankara: Hacettepe Univ. Dep. of Inf. Management, 2013, p. 62. URL: &lt;http://ecil2013.ilconf.org/docs/ecil2013_abstracts.pdf&gt;; ARBER Professional Congress &amp; Tourism Services. URL: &lt;www.arber.com.tr&gt;</v>
      </c>
      <c r="F6486" s="10" t="str">
        <f ca="1">IFERROR(__xludf.DUMMYFUNCTION("""COMPUTED_VALUE"""),"Springer, Crossref, Clarivate Analytics, Web of Science, Wiley, EBSCO")</f>
        <v>Springer, Crossref, Clarivate Analytics, Web of Science, Wiley, EBSCO</v>
      </c>
      <c r="G6486" s="10" t="str">
        <f ca="1">IFERROR(__xludf.DUMMYFUNCTION("""COMPUTED_VALUE"""),"Yankova, Ivanka Stancheva, Silvia Miltenoff, Plamen")</f>
        <v>Yankova, Ivanka Stancheva, Silvia Miltenoff, Plamen</v>
      </c>
      <c r="H6486" s="10"/>
      <c r="I6486" s="10"/>
      <c r="J6486" s="10"/>
      <c r="K6486" s="10"/>
      <c r="L6486" s="10"/>
      <c r="M6486" s="10"/>
      <c r="N6486" s="10"/>
      <c r="O6486" s="10"/>
      <c r="P6486" s="10"/>
      <c r="Q6486" s="10"/>
      <c r="R6486" s="10"/>
      <c r="S6486" s="10"/>
      <c r="T6486" s="10"/>
      <c r="U6486" s="10"/>
      <c r="V6486" s="10"/>
      <c r="W6486" s="10"/>
      <c r="X6486" s="10"/>
      <c r="Y6486" s="10"/>
      <c r="Z6486" s="10"/>
    </row>
    <row r="6487" spans="1:26" ht="12.75">
      <c r="A6487" s="10" t="str">
        <f ca="1">IFERROR(__xludf.DUMMYFUNCTION("""COMPUTED_VALUE"""),"Румелина Илиева Василева")</f>
        <v>Румелина Илиева Василева</v>
      </c>
      <c r="B6487" s="10" t="str">
        <f ca="1">IFERROR(__xludf.DUMMYFUNCTION("""COMPUTED_VALUE"""),"Статия в списания и поредици")</f>
        <v>Статия в списания и поредици</v>
      </c>
      <c r="C6487" s="10" t="str">
        <f ca="1">IFERROR(__xludf.DUMMYFUNCTION("""COMPUTED_VALUE"""),"Електронният наръчник на ИФЛА “Ключови проблеми в развитието на колекциите от електронни ресурси” – нов инструмент за успешни библиотеки")</f>
        <v>Електронният наръчник на ИФЛА “Ключови проблеми в развитието на колекциите от електронни ресурси” – нов инструмент за успешни библиотеки</v>
      </c>
      <c r="D6487" s="10">
        <f ca="1">IFERROR(__xludf.DUMMYFUNCTION("""COMPUTED_VALUE"""),2013)</f>
        <v>2013</v>
      </c>
      <c r="E6487" s="10" t="str">
        <f ca="1">IFERROR(__xludf.DUMMYFUNCTION("""COMPUTED_VALUE"""),"Книгата – нашето по-смислено настояще. Сб. с докл. от форума “Дни на книгата и авторското право в УниБИТ”, 3/2013. София: За буквите – О писменехь, 2013, с. 152-164. ISSN 1314-7323. URL: &lt;http://copyrightlib.unibit.bg/files/IP.i.university.R.Vasileva.IFLA"&amp;".pdf&gt;")</f>
        <v>Книгата – нашето по-смислено настояще. Сб. с докл. от форума “Дни на книгата и авторското право в УниБИТ”, 3/2013. София: За буквите – О писменехь, 2013, с. 152-164. ISSN 1314-7323. URL: &lt;http://copyrightlib.unibit.bg/files/IP.i.university.R.Vasileva.IFLA.pdf&gt;</v>
      </c>
      <c r="F6487" s="10" t="str">
        <f ca="1">IFERROR(__xludf.DUMMYFUNCTION("""COMPUTED_VALUE"""),"COBISS")</f>
        <v>COBISS</v>
      </c>
      <c r="G6487" s="10"/>
      <c r="H6487" s="10"/>
      <c r="I6487" s="10"/>
      <c r="J6487" s="10"/>
      <c r="K6487" s="10"/>
      <c r="L6487" s="10"/>
      <c r="M6487" s="10"/>
      <c r="N6487" s="10"/>
      <c r="O6487" s="10"/>
      <c r="P6487" s="10"/>
      <c r="Q6487" s="10"/>
      <c r="R6487" s="10"/>
      <c r="S6487" s="10"/>
      <c r="T6487" s="10"/>
      <c r="U6487" s="10"/>
      <c r="V6487" s="10"/>
      <c r="W6487" s="10"/>
      <c r="X6487" s="10"/>
      <c r="Y6487" s="10"/>
      <c r="Z6487" s="10"/>
    </row>
    <row r="6488" spans="1:26" ht="12.75">
      <c r="A6488" s="10" t="str">
        <f ca="1">IFERROR(__xludf.DUMMYFUNCTION("""COMPUTED_VALUE"""),"Румелина Илиева Василева")</f>
        <v>Румелина Илиева Василева</v>
      </c>
      <c r="B6488" s="10" t="str">
        <f ca="1">IFERROR(__xludf.DUMMYFUNCTION("""COMPUTED_VALUE"""),"Статия в списания и поредици")</f>
        <v>Статия в списания и поредици</v>
      </c>
      <c r="C6488" s="10" t="str">
        <f ca="1">IFERROR(__xludf.DUMMYFUNCTION("""COMPUTED_VALUE"""),"Интелектуалният капитал на библиотеките в контекста на Европейската дигитална инфраструктура")</f>
        <v>Интелектуалният капитал на библиотеките в контекста на Европейската дигитална инфраструктура</v>
      </c>
      <c r="D6488" s="10">
        <f ca="1">IFERROR(__xludf.DUMMYFUNCTION("""COMPUTED_VALUE"""),2013)</f>
        <v>2013</v>
      </c>
      <c r="E6488" s="10" t="str">
        <f ca="1">IFERROR(__xludf.DUMMYFUNCTION("""COMPUTED_VALUE"""),"Библиотеки, четене, комуникации. ХІ нац. науч. конф. с междунар. уч., 16-17 ноем. 2012 г., Велико Търново. В. Търново: УИ “Св. Св. Кирил и Методий”, 2013, c. 180-201. ISSN 1313-8138")</f>
        <v>Библиотеки, четене, комуникации. ХІ нац. науч. конф. с междунар. уч., 16-17 ноем. 2012 г., Велико Търново. В. Търново: УИ “Св. Св. Кирил и Методий”, 2013, c. 180-201. ISSN 1313-8138</v>
      </c>
      <c r="F6488" s="10" t="str">
        <f ca="1">IFERROR(__xludf.DUMMYFUNCTION("""COMPUTED_VALUE"""),"COBISS")</f>
        <v>COBISS</v>
      </c>
      <c r="G6488" s="10" t="str">
        <f ca="1">IFERROR(__xludf.DUMMYFUNCTION("""COMPUTED_VALUE"""),"Станчева, Силвия")</f>
        <v>Станчева, Силвия</v>
      </c>
      <c r="H6488" s="10"/>
      <c r="I6488" s="10"/>
      <c r="J6488" s="10"/>
      <c r="K6488" s="10"/>
      <c r="L6488" s="10"/>
      <c r="M6488" s="10"/>
      <c r="N6488" s="10"/>
      <c r="O6488" s="10"/>
      <c r="P6488" s="10"/>
      <c r="Q6488" s="10"/>
      <c r="R6488" s="10"/>
      <c r="S6488" s="10"/>
      <c r="T6488" s="10"/>
      <c r="U6488" s="10"/>
      <c r="V6488" s="10"/>
      <c r="W6488" s="10"/>
      <c r="X6488" s="10"/>
      <c r="Y6488" s="10"/>
      <c r="Z6488" s="10"/>
    </row>
    <row r="6489" spans="1:26" ht="12.75">
      <c r="A6489" s="10" t="str">
        <f ca="1">IFERROR(__xludf.DUMMYFUNCTION("""COMPUTED_VALUE"""),"Румелина Илиева Василева")</f>
        <v>Румелина Илиева Василева</v>
      </c>
      <c r="B6489" s="10" t="str">
        <f ca="1">IFERROR(__xludf.DUMMYFUNCTION("""COMPUTED_VALUE"""),"Статия в списания и поредици")</f>
        <v>Статия в списания и поредици</v>
      </c>
      <c r="C6489" s="10" t="str">
        <f ca="1">IFERROR(__xludf.DUMMYFUNCTION("""COMPUTED_VALUE"""),"База данни „Българските градове през Възраждането”. Демонстрация")</f>
        <v>База данни „Българските градове през Възраждането”. Демонстрация</v>
      </c>
      <c r="D6489" s="10">
        <f ca="1">IFERROR(__xludf.DUMMYFUNCTION("""COMPUTED_VALUE"""),2013)</f>
        <v>2013</v>
      </c>
      <c r="E6489" s="10" t="str">
        <f ca="1">IFERROR(__xludf.DUMMYFUNCTION("""COMPUTED_VALUE"""),"Дигиталното настояще и бъдеще: Икономически, културни, образователни, правни и технологични въздействия = Digital Present and Future: Economic, Cultural, Educational, Legal and Technological Impacts. Сб. с науч. докл. от науч. конф. с междунар. уч., 9-10 "&amp;"апр. 2013 г., Метрополитън хотел, София. Състав. Румелина Василева, Силвия Станчева; Науч. ред. Иванка Янкова; Ред. кол. Иванка Янкова, Стоян Райчевски, Таня Тодорова. София: За буквите – О писменехь, 2013, с. 15-24. ISBN: 978-954-2946-64-9")</f>
        <v>Дигиталното настояще и бъдеще: Икономически, културни, образователни, правни и технологични въздействия = Digital Present and Future: Economic, Cultural, Educational, Legal and Technological Impacts. Сб. с науч. докл. от науч. конф. с междунар. уч., 9-10 апр. 2013 г., Метрополитън хотел, София. Състав. Румелина Василева, Силвия Станчева; Науч. ред. Иванка Янкова; Ред. кол. Иванка Янкова, Стоян Райчевски, Таня Тодорова. София: За буквите – О писменехь, 2013, с. 15-24. ISBN: 978-954-2946-64-9</v>
      </c>
      <c r="F6489" s="10" t="str">
        <f ca="1">IFERROR(__xludf.DUMMYFUNCTION("""COMPUTED_VALUE"""),"COBISS")</f>
        <v>COBISS</v>
      </c>
      <c r="G6489" s="10" t="str">
        <f ca="1">IFERROR(__xludf.DUMMYFUNCTION("""COMPUTED_VALUE"""),"Янкова, Иванка Станчева, Силвия")</f>
        <v>Янкова, Иванка Станчева, Силвия</v>
      </c>
      <c r="H6489" s="10"/>
      <c r="I6489" s="10"/>
      <c r="J6489" s="10"/>
      <c r="K6489" s="10"/>
      <c r="L6489" s="10"/>
      <c r="M6489" s="10"/>
      <c r="N6489" s="10"/>
      <c r="O6489" s="10"/>
      <c r="P6489" s="10"/>
      <c r="Q6489" s="10"/>
      <c r="R6489" s="10"/>
      <c r="S6489" s="10"/>
      <c r="T6489" s="10"/>
      <c r="U6489" s="10"/>
      <c r="V6489" s="10"/>
      <c r="W6489" s="10"/>
      <c r="X6489" s="10"/>
      <c r="Y6489" s="10"/>
      <c r="Z6489" s="10"/>
    </row>
    <row r="6490" spans="1:26" ht="12.75">
      <c r="A6490" s="10" t="str">
        <f ca="1">IFERROR(__xludf.DUMMYFUNCTION("""COMPUTED_VALUE"""),"Румелина Илиева Василева")</f>
        <v>Румелина Илиева Василева</v>
      </c>
      <c r="B6490" s="10" t="str">
        <f ca="1">IFERROR(__xludf.DUMMYFUNCTION("""COMPUTED_VALUE"""),"Книга")</f>
        <v>Книга</v>
      </c>
      <c r="C6490" s="10" t="str">
        <f ca="1">IFERROR(__xludf.DUMMYFUNCTION("""COMPUTED_VALUE"""),"Дигиталното настояще и бъдеще: Икономически, културни, образователни, правни и технологични въздействия = Digital Present and Future: Economic, Cultural, Educational, Legal and Technological Impacts.")</f>
        <v>Дигиталното настояще и бъдеще: Икономически, културни, образователни, правни и технологични въздействия = Digital Present and Future: Economic, Cultural, Educational, Legal and Technological Impacts.</v>
      </c>
      <c r="D6490" s="10">
        <f ca="1">IFERROR(__xludf.DUMMYFUNCTION("""COMPUTED_VALUE"""),2013)</f>
        <v>2013</v>
      </c>
      <c r="E6490" s="10" t="str">
        <f ca="1">IFERROR(__xludf.DUMMYFUNCTION("""COMPUTED_VALUE"""),"Сб. с науч. докл. от науч. конф. с междунар. уч., 9-10 апр. 2013 г., Метрополитън хотел, София, За буквите – О писменехь, 2013, 312 с. Състав. Румелина Василева, Силвия Станчева ISBN: 978-954-2946-64-9")</f>
        <v>Сб. с науч. докл. от науч. конф. с междунар. уч., 9-10 апр. 2013 г., Метрополитън хотел, София, За буквите – О писменехь, 2013, 312 с. Състав. Румелина Василева, Силвия Станчева ISBN: 978-954-2946-64-9</v>
      </c>
      <c r="F6490" s="10" t="str">
        <f ca="1">IFERROR(__xludf.DUMMYFUNCTION("""COMPUTED_VALUE"""),"COBISS")</f>
        <v>COBISS</v>
      </c>
      <c r="G6490" s="10" t="str">
        <f ca="1">IFERROR(__xludf.DUMMYFUNCTION("""COMPUTED_VALUE"""),"Станчева, Силвия")</f>
        <v>Станчева, Силвия</v>
      </c>
      <c r="H6490" s="10"/>
      <c r="I6490" s="10"/>
      <c r="J6490" s="10"/>
      <c r="K6490" s="10"/>
      <c r="L6490" s="10"/>
      <c r="M6490" s="10"/>
      <c r="N6490" s="10"/>
      <c r="O6490" s="10"/>
      <c r="P6490" s="10"/>
      <c r="Q6490" s="10"/>
      <c r="R6490" s="10"/>
      <c r="S6490" s="10"/>
      <c r="T6490" s="10"/>
      <c r="U6490" s="10"/>
      <c r="V6490" s="10"/>
      <c r="W6490" s="10"/>
      <c r="X6490" s="10"/>
      <c r="Y6490" s="10"/>
      <c r="Z6490" s="10"/>
    </row>
    <row r="6491" spans="1:26" ht="12.75">
      <c r="A6491" s="10" t="str">
        <f ca="1">IFERROR(__xludf.DUMMYFUNCTION("""COMPUTED_VALUE"""),"Румелина Илиева Василева")</f>
        <v>Румелина Илиева Василева</v>
      </c>
      <c r="B6491" s="10" t="str">
        <f ca="1">IFERROR(__xludf.DUMMYFUNCTION("""COMPUTED_VALUE"""),"Статия в списания и поредици")</f>
        <v>Статия в списания и поредици</v>
      </c>
      <c r="C6491" s="10" t="str">
        <f ca="1">IFERROR(__xludf.DUMMYFUNCTION("""COMPUTED_VALUE"""),"New Possibilities for E-learning Master Programs in LIS and Cultural Heritage Sciences Education in Bulgaria")</f>
        <v>New Possibilities for E-learning Master Programs in LIS and Cultural Heritage Sciences Education in Bulgaria</v>
      </c>
      <c r="D6491" s="10">
        <f ca="1">IFERROR(__xludf.DUMMYFUNCTION("""COMPUTED_VALUE"""),2013)</f>
        <v>2013</v>
      </c>
      <c r="E6491" s="10" t="str">
        <f ca="1">IFERROR(__xludf.DUMMYFUNCTION("""COMPUTED_VALUE"""),"QQML 2013. Book of Abstr. Qualitative and Quantitative Methods in Libraries. 5th Qualitative and Quantitative Intern. Conf., 4-7 June, 2013, Rome, Italy. Rome, ISAST: Intern. Soc. for the Advancement of Sci. and Technol., 2013, pp. 206-207. ISBN 978-618-8"&amp;"0698-0-0. URL: &lt;http://www.isast.org/images/Book_of_ABSTRACTS_2013.pdf&gt;; &lt;http://www.isast.org/images/Book_of_Abstracts_QQML2013.pdf&gt;")</f>
        <v>QQML 2013. Book of Abstr. Qualitative and Quantitative Methods in Libraries. 5th Qualitative and Quantitative Intern. Conf., 4-7 June, 2013, Rome, Italy. Rome, ISAST: Intern. Soc. for the Advancement of Sci. and Technol., 2013, pp. 206-207. ISBN 978-618-80698-0-0. URL: &lt;http://www.isast.org/images/Book_of_ABSTRACTS_2013.pdf&gt;; &lt;http://www.isast.org/images/Book_of_Abstracts_QQML2013.pdf&gt;</v>
      </c>
      <c r="F6491" s="10" t="str">
        <f ca="1">IFERROR(__xludf.DUMMYFUNCTION("""COMPUTED_VALUE"""),"DOAJ – Directory of Open Access Journals, EBSCO Host, ISAST")</f>
        <v>DOAJ – Directory of Open Access Journals, EBSCO Host, ISAST</v>
      </c>
      <c r="G6491" s="10" t="str">
        <f ca="1">IFERROR(__xludf.DUMMYFUNCTION("""COMPUTED_VALUE"""),"Yankova, Ivanka Todorova, Tania Stancheva, Silvia Hadjieva, Borjana")</f>
        <v>Yankova, Ivanka Todorova, Tania Stancheva, Silvia Hadjieva, Borjana</v>
      </c>
      <c r="H6491" s="10"/>
      <c r="I6491" s="10"/>
      <c r="J6491" s="10"/>
      <c r="K6491" s="10"/>
      <c r="L6491" s="10"/>
      <c r="M6491" s="10"/>
      <c r="N6491" s="10"/>
      <c r="O6491" s="10"/>
      <c r="P6491" s="10"/>
      <c r="Q6491" s="10"/>
      <c r="R6491" s="10"/>
      <c r="S6491" s="10"/>
      <c r="T6491" s="10"/>
      <c r="U6491" s="10"/>
      <c r="V6491" s="10"/>
      <c r="W6491" s="10"/>
      <c r="X6491" s="10"/>
      <c r="Y6491" s="10"/>
      <c r="Z6491" s="10"/>
    </row>
    <row r="6492" spans="1:26" ht="12.75">
      <c r="A6492" s="10" t="str">
        <f ca="1">IFERROR(__xludf.DUMMYFUNCTION("""COMPUTED_VALUE"""),"Румелина Илиева Василева")</f>
        <v>Румелина Илиева Василева</v>
      </c>
      <c r="B6492" s="10" t="str">
        <f ca="1">IFERROR(__xludf.DUMMYFUNCTION("""COMPUTED_VALUE"""),"Статия в списания и поредици")</f>
        <v>Статия в списания и поредици</v>
      </c>
      <c r="C6492" s="10" t="str">
        <f ca="1">IFERROR(__xludf.DUMMYFUNCTION("""COMPUTED_VALUE"""),"Класифициране на културно-исторически забележителности със средствата на таксономията и фолксономията в среда 2.0 като инструмент за привличане туристи в България")</f>
        <v>Класифициране на културно-исторически забележителности със средствата на таксономията и фолксономията в среда 2.0 като инструмент за привличане туристи в България</v>
      </c>
      <c r="D6492" s="10">
        <f ca="1">IFERROR(__xludf.DUMMYFUNCTION("""COMPUTED_VALUE"""),2012)</f>
        <v>2012</v>
      </c>
      <c r="E6492" s="10" t="str">
        <f ca="1">IFERROR(__xludf.DUMMYFUNCTION("""COMPUTED_VALUE"""),"Информационната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179-193. ISB"&amp;"N 978-954-2946-30-4. URL: &lt;http://aub-bg.org/pdf/sbornik_varna.pdf&gt;")</f>
        <v>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179-193. ISBN 978-954-2946-30-4. URL: &lt;http://aub-bg.org/pdf/sbornik_varna.pdf&gt;</v>
      </c>
      <c r="F6492" s="10" t="str">
        <f ca="1">IFERROR(__xludf.DUMMYFUNCTION("""COMPUTED_VALUE"""),"COBISS")</f>
        <v>COBISS</v>
      </c>
      <c r="G6492" s="10" t="str">
        <f ca="1">IFERROR(__xludf.DUMMYFUNCTION("""COMPUTED_VALUE"""),"Хаджиева, Боряна")</f>
        <v>Хаджиева, Боряна</v>
      </c>
      <c r="H6492" s="10"/>
      <c r="I6492" s="10"/>
      <c r="J6492" s="10"/>
      <c r="K6492" s="10"/>
      <c r="L6492" s="10"/>
      <c r="M6492" s="10"/>
      <c r="N6492" s="10"/>
      <c r="O6492" s="10"/>
      <c r="P6492" s="10"/>
      <c r="Q6492" s="10"/>
      <c r="R6492" s="10"/>
      <c r="S6492" s="10"/>
      <c r="T6492" s="10"/>
      <c r="U6492" s="10"/>
      <c r="V6492" s="10"/>
      <c r="W6492" s="10"/>
      <c r="X6492" s="10"/>
      <c r="Y6492" s="10"/>
      <c r="Z6492" s="10"/>
    </row>
    <row r="6493" spans="1:26" ht="12.75">
      <c r="A6493" s="10" t="str">
        <f ca="1">IFERROR(__xludf.DUMMYFUNCTION("""COMPUTED_VALUE"""),"Румелина Илиева Василева")</f>
        <v>Румелина Илиева Василева</v>
      </c>
      <c r="B6493" s="10" t="str">
        <f ca="1">IFERROR(__xludf.DUMMYFUNCTION("""COMPUTED_VALUE"""),"Статия в списания и поредици")</f>
        <v>Статия в списания и поредици</v>
      </c>
      <c r="C6493" s="10" t="str">
        <f ca="1">IFERROR(__xludf.DUMMYFUNCTION("""COMPUTED_VALUE"""),"Социално-етичният маркетинг на библиотеките")</f>
        <v>Социално-етичният маркетинг на библиотеките</v>
      </c>
      <c r="D6493" s="10">
        <f ca="1">IFERROR(__xludf.DUMMYFUNCTION("""COMPUTED_VALUE"""),2012)</f>
        <v>2012</v>
      </c>
      <c r="E6493" s="10" t="str">
        <f ca="1">IFERROR(__xludf.DUMMYFUNCTION("""COMPUTED_VALUE"""),"Обществото на знанието и хуманизмът на ХХІ век. Девета нац. науч. конф. с междунар. уч., 1-2 ноем. 2011, София. София: За буквите – О писменехь, 2012, с. 443-452. ISSN 1314-7099")</f>
        <v>Обществото на знанието и хуманизмът на ХХІ век. Девета нац. науч. конф. с междунар. уч., 1-2 ноем. 2011, София. София: За буквите – О писменехь, 2012, с. 443-452. ISSN 1314-7099</v>
      </c>
      <c r="F6493" s="10" t="str">
        <f ca="1">IFERROR(__xludf.DUMMYFUNCTION("""COMPUTED_VALUE"""),"COBISS")</f>
        <v>COBISS</v>
      </c>
      <c r="G6493" s="10"/>
      <c r="H6493" s="10"/>
      <c r="I6493" s="10"/>
      <c r="J6493" s="10"/>
      <c r="K6493" s="10"/>
      <c r="L6493" s="10"/>
      <c r="M6493" s="10"/>
      <c r="N6493" s="10"/>
      <c r="O6493" s="10"/>
      <c r="P6493" s="10"/>
      <c r="Q6493" s="10"/>
      <c r="R6493" s="10"/>
      <c r="S6493" s="10"/>
      <c r="T6493" s="10"/>
      <c r="U6493" s="10"/>
      <c r="V6493" s="10"/>
      <c r="W6493" s="10"/>
      <c r="X6493" s="10"/>
      <c r="Y6493" s="10"/>
      <c r="Z6493" s="10"/>
    </row>
    <row r="6494" spans="1:26" ht="12.75">
      <c r="A6494" s="10" t="str">
        <f ca="1">IFERROR(__xludf.DUMMYFUNCTION("""COMPUTED_VALUE"""),"Румелина Илиева Василева")</f>
        <v>Румелина Илиева Василева</v>
      </c>
      <c r="B6494" s="10" t="str">
        <f ca="1">IFERROR(__xludf.DUMMYFUNCTION("""COMPUTED_VALUE"""),"Статия в списания и поредици")</f>
        <v>Статия в списания и поредици</v>
      </c>
      <c r="C6494" s="10" t="str">
        <f ca="1">IFERROR(__xludf.DUMMYFUNCTION("""COMPUTED_VALUE"""),"Ключови компетенции и модели за изграждане на информационна култура на студентите")</f>
        <v>Ключови компетенции и модели за изграждане на информационна култура на студентите</v>
      </c>
      <c r="D6494" s="10">
        <f ca="1">IFERROR(__xludf.DUMMYFUNCTION("""COMPUTED_VALUE"""),2012)</f>
        <v>2012</v>
      </c>
      <c r="E6494" s="10" t="str">
        <f ca="1">IFERROR(__xludf.DUMMYFUNCTION("""COMPUTED_VALUE"""),"Нови информационни технологии в образователния процес. Докл. и съобщ. от Шестия науч. семинар на УниБИТ, Костенец, 24-26 март 2011 г. София: За буквите – О писменехь, 2012, с. 348-378. ISSN 1313-2768")</f>
        <v>Нови информационни технологии в образователния процес. Докл. и съобщ. от Шестия науч. семинар на УниБИТ, Костенец, 24-26 март 2011 г. София: За буквите – О писменехь, 2012, с. 348-378. ISSN 1313-2768</v>
      </c>
      <c r="F6494" s="10" t="str">
        <f ca="1">IFERROR(__xludf.DUMMYFUNCTION("""COMPUTED_VALUE"""),"COBISS")</f>
        <v>COBISS</v>
      </c>
      <c r="G6494" s="10"/>
      <c r="H6494" s="10"/>
      <c r="I6494" s="10"/>
      <c r="J6494" s="10"/>
      <c r="K6494" s="10"/>
      <c r="L6494" s="10"/>
      <c r="M6494" s="10"/>
      <c r="N6494" s="10"/>
      <c r="O6494" s="10"/>
      <c r="P6494" s="10"/>
      <c r="Q6494" s="10"/>
      <c r="R6494" s="10"/>
      <c r="S6494" s="10"/>
      <c r="T6494" s="10"/>
      <c r="U6494" s="10"/>
      <c r="V6494" s="10"/>
      <c r="W6494" s="10"/>
      <c r="X6494" s="10"/>
      <c r="Y6494" s="10"/>
      <c r="Z6494" s="10"/>
    </row>
    <row r="6495" spans="1:26" ht="12.75">
      <c r="A6495" s="10" t="str">
        <f ca="1">IFERROR(__xludf.DUMMYFUNCTION("""COMPUTED_VALUE"""),"Румелина Илиева Василева")</f>
        <v>Румелина Илиева Василева</v>
      </c>
      <c r="B6495" s="10" t="str">
        <f ca="1">IFERROR(__xludf.DUMMYFUNCTION("""COMPUTED_VALUE"""),"Статия в списания и поредици")</f>
        <v>Статия в списания и поредици</v>
      </c>
      <c r="C6495" s="10" t="str">
        <f ca="1">IFERROR(__xludf.DUMMYFUNCTION("""COMPUTED_VALUE"""),"Добри практики в статията на Волфганг Ратцек „Повратите в маркетинга и библиотеките” (Wolfgang Ratzek. The Mutations of Marketing and Libraries)")</f>
        <v>Добри практики в статията на Волфганг Ратцек „Повратите в маркетинга и библиотеките” (Wolfgang Ratzek. The Mutations of Marketing and Libraries)</v>
      </c>
      <c r="D6495" s="10">
        <f ca="1">IFERROR(__xludf.DUMMYFUNCTION("""COMPUTED_VALUE"""),2012)</f>
        <v>2012</v>
      </c>
      <c r="E6495" s="10" t="str">
        <f ca="1">IFERROR(__xludf.DUMMYFUNCTION("""COMPUTED_VALUE"""),"Чуждестранни иновативни модели и добри практики от областта на библиотекознанието, печатните комуникации и културно-историческото наследство: Сб. от Научно ателие за млади учени и докторанти, София, 20.06.2012. Състав. Иванка Янкова, Жоржета Назърска. [Ел"&amp;"ектронен ресурс]. София: За буквите-О писменехь, 2012, с. 39-49. (CD-ROM). ISBN 978-954-2946-39-7")</f>
        <v>Чуждестранни иновативни модели и добри практики от областта на библиотекознанието, печатните комуникации и културно-историческото наследство: Сб. от Научно ателие за млади учени и докторанти, София, 20.06.2012. Състав. Иванка Янкова, Жоржета Назърска. [Електронен ресурс]. София: За буквите-О писменехь, 2012, с. 39-49. (CD-ROM). ISBN 978-954-2946-39-7</v>
      </c>
      <c r="F6495" s="10" t="str">
        <f ca="1">IFERROR(__xludf.DUMMYFUNCTION("""COMPUTED_VALUE"""),"COBISS")</f>
        <v>COBISS</v>
      </c>
      <c r="G6495" s="10"/>
      <c r="H6495" s="10"/>
      <c r="I6495" s="10"/>
      <c r="J6495" s="10"/>
      <c r="K6495" s="10"/>
      <c r="L6495" s="10"/>
      <c r="M6495" s="10"/>
      <c r="N6495" s="10"/>
      <c r="O6495" s="10"/>
      <c r="P6495" s="10"/>
      <c r="Q6495" s="10"/>
      <c r="R6495" s="10"/>
      <c r="S6495" s="10"/>
      <c r="T6495" s="10"/>
      <c r="U6495" s="10"/>
      <c r="V6495" s="10"/>
      <c r="W6495" s="10"/>
      <c r="X6495" s="10"/>
      <c r="Y6495" s="10"/>
      <c r="Z6495" s="10"/>
    </row>
    <row r="6496" spans="1:26" ht="12.75">
      <c r="A6496" s="10" t="str">
        <f ca="1">IFERROR(__xludf.DUMMYFUNCTION("""COMPUTED_VALUE"""),"Румелина Илиева Василева")</f>
        <v>Румелина Илиева Василева</v>
      </c>
      <c r="B6496" s="10" t="str">
        <f ca="1">IFERROR(__xludf.DUMMYFUNCTION("""COMPUTED_VALUE"""),"Статия в списания и поредици")</f>
        <v>Статия в списания и поредици</v>
      </c>
      <c r="C6496" s="10" t="str">
        <f ca="1">IFERROR(__xludf.DUMMYFUNCTION("""COMPUTED_VALUE"""),"The Modern Information Assurance in the Digital and Market Environment. Factors Analysis")</f>
        <v>The Modern Information Assurance in the Digital and Market Environment. Factors Analysis</v>
      </c>
      <c r="D6496" s="10">
        <f ca="1">IFERROR(__xludf.DUMMYFUNCTION("""COMPUTED_VALUE"""),2012)</f>
        <v>2012</v>
      </c>
      <c r="E6496" s="10" t="str">
        <f ca="1">IFERROR(__xludf.DUMMYFUNCTION("""COMPUTED_VALUE"""),"Library, Information and Cultural Heritage Management. Textbook. Ed. Tanya Todorova; Copy ed. Rumelina Vasileva. Sofia: Za bukvite – O pismenehi, 2012, рр. 109-131. ISBN 978-954-2946-44-1. URL: &lt;https://www.yumpu.com/en/document/view/15475016/textbook-lib"&amp;"cmass&gt;")</f>
        <v>Library, Information and Cultural Heritage Management. Textbook. Ed. Tanya Todorova; Copy ed. Rumelina Vasileva. Sofia: Za bukvite – O pismenehi, 2012, рр. 109-131. ISBN 978-954-2946-44-1. URL: &lt;https://www.yumpu.com/en/document/view/15475016/textbook-libcmass&gt;</v>
      </c>
      <c r="F6496" s="10" t="str">
        <f ca="1">IFERROR(__xludf.DUMMYFUNCTION("""COMPUTED_VALUE"""),"COBISS")</f>
        <v>COBISS</v>
      </c>
      <c r="G6496" s="10"/>
      <c r="H6496" s="10"/>
      <c r="I6496" s="10"/>
      <c r="J6496" s="10"/>
      <c r="K6496" s="10"/>
      <c r="L6496" s="10"/>
      <c r="M6496" s="10"/>
      <c r="N6496" s="10"/>
      <c r="O6496" s="10"/>
      <c r="P6496" s="10"/>
      <c r="Q6496" s="10"/>
      <c r="R6496" s="10"/>
      <c r="S6496" s="10"/>
      <c r="T6496" s="10"/>
      <c r="U6496" s="10"/>
      <c r="V6496" s="10"/>
      <c r="W6496" s="10"/>
      <c r="X6496" s="10"/>
      <c r="Y6496" s="10"/>
      <c r="Z6496" s="10"/>
    </row>
    <row r="6497" spans="1:26" ht="12.75">
      <c r="A6497" s="10" t="str">
        <f ca="1">IFERROR(__xludf.DUMMYFUNCTION("""COMPUTED_VALUE"""),"Румелина Илиева Василева")</f>
        <v>Румелина Илиева Василева</v>
      </c>
      <c r="B6497" s="10" t="str">
        <f ca="1">IFERROR(__xludf.DUMMYFUNCTION("""COMPUTED_VALUE"""),"Статия в списания и поредици")</f>
        <v>Статия в списания и поредици</v>
      </c>
      <c r="C6497" s="10" t="str">
        <f ca="1">IFERROR(__xludf.DUMMYFUNCTION("""COMPUTED_VALUE"""),"Learning by Doing in the Context of Modern Information and Media Literacy of Students in “Library and Information Management” in ULSIT. Using the Digital Collection “Bulgarian Revival”")</f>
        <v>Learning by Doing in the Context of Modern Information and Media Literacy of Students in “Library and Information Management” in ULSIT. Using the Digital Collection “Bulgarian Revival”</v>
      </c>
      <c r="D6497" s="10">
        <f ca="1">IFERROR(__xludf.DUMMYFUNCTION("""COMPUTED_VALUE"""),2012)</f>
        <v>2012</v>
      </c>
      <c r="E6497" s="10" t="str">
        <f ca="1">IFERROR(__xludf.DUMMYFUNCTION("""COMPUTED_VALUE"""),"Digital Presentation and Preservation of Cultural and Scientific Heritage. Intern. Conf., 18-21 Sept. 2012, Veliko Tarnovo. Sofia: IMI-BAS, 2012, pp. 112-122. ISSN: 1314-4006. URL: &lt;http://sci-gems.math.bas.bg/jspui/bitstream/10525/2048/1/112-122--11-DiPP"&amp;"2012-Yankova-et-al.pdf &gt;; CEEOL – Central and Eastern European Online Library. URL: &lt;http://www.ceeol.com/aspx/searcharticles.aspx&gt;")</f>
        <v>Digital Presentation and Preservation of Cultural and Scientific Heritage. Intern. Conf., 18-21 Sept. 2012, Veliko Tarnovo. Sofia: IMI-BAS, 2012, pp. 112-122. ISSN: 1314-4006. URL: &lt;http://sci-gems.math.bas.bg/jspui/bitstream/10525/2048/1/112-122--11-DiPP2012-Yankova-et-al.pdf &gt;; CEEOL – Central and Eastern European Online Library. URL: &lt;http://www.ceeol.com/aspx/searcharticles.aspx&gt;</v>
      </c>
      <c r="F6497" s="10" t="str">
        <f ca="1">IFERROR(__xludf.DUMMYFUNCTION("""COMPUTED_VALUE"""),"ISI Conference Proceedings Citation Index (ISI CPCI), Crossref, Clarivate Analytics, Web of Science ; CEEOL")</f>
        <v>ISI Conference Proceedings Citation Index (ISI CPCI), Crossref, Clarivate Analytics, Web of Science ; CEEOL</v>
      </c>
      <c r="G6497" s="10" t="str">
        <f ca="1">IFERROR(__xludf.DUMMYFUNCTION("""COMPUTED_VALUE"""),"Yankova, Ivanka Stancheva, Silvia")</f>
        <v>Yankova, Ivanka Stancheva, Silvia</v>
      </c>
      <c r="H6497" s="10"/>
      <c r="I6497" s="10"/>
      <c r="J6497" s="10"/>
      <c r="K6497" s="10"/>
      <c r="L6497" s="10"/>
      <c r="M6497" s="10"/>
      <c r="N6497" s="10"/>
      <c r="O6497" s="10"/>
      <c r="P6497" s="10"/>
      <c r="Q6497" s="10"/>
      <c r="R6497" s="10"/>
      <c r="S6497" s="10"/>
      <c r="T6497" s="10"/>
      <c r="U6497" s="10"/>
      <c r="V6497" s="10"/>
      <c r="W6497" s="10"/>
      <c r="X6497" s="10"/>
      <c r="Y6497" s="10"/>
      <c r="Z6497" s="10"/>
    </row>
    <row r="6498" spans="1:26" ht="12.75">
      <c r="A6498" s="10" t="str">
        <f ca="1">IFERROR(__xludf.DUMMYFUNCTION("""COMPUTED_VALUE"""),"Румелина Илиева Василева")</f>
        <v>Румелина Илиева Василева</v>
      </c>
      <c r="B6498" s="10" t="str">
        <f ca="1">IFERROR(__xludf.DUMMYFUNCTION("""COMPUTED_VALUE"""),"Статия в списания и поредици")</f>
        <v>Статия в списания и поредици</v>
      </c>
      <c r="C6498" s="10" t="str">
        <f ca="1">IFERROR(__xludf.DUMMYFUNCTION("""COMPUTED_VALUE"""),"Възможности за създаване на Комплексна университетска програма по информационна грамотност и приложение на Маркетингов план за нейното изпълнение, адаптиране и промоция")</f>
        <v>Възможности за създаване на Комплексна университетска програма по информационна грамотност и приложение на Маркетингов план за нейното изпълнение, адаптиране и промоция</v>
      </c>
      <c r="D6498" s="10">
        <f ca="1">IFERROR(__xludf.DUMMYFUNCTION("""COMPUTED_VALUE"""),2012)</f>
        <v>2012</v>
      </c>
      <c r="E6498" s="10" t="str">
        <f ca="1">IFERROR(__xludf.DUMMYFUNCTION("""COMPUTED_VALUE"""),"Информационната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220-234. ISB"&amp;"N 978-954-2946-30-4. URL: &lt;http://aub-bg.org/pdf/sbornik_varna.pdf&gt;")</f>
        <v>Информационната грамотност – модели за обучение и добри практики. Науч. семинар с междунар. уч., 18-19 окт. 2012, Варна. Състав. Т. Тодорова, Д. Стойкова; Науч. рец. И. Янкова; Науч. ред. Р. Василева. София: За буквите – О писменехь, 2012, с. 220-234. ISBN 978-954-2946-30-4. URL: &lt;http://aub-bg.org/pdf/sbornik_varna.pdf&gt;</v>
      </c>
      <c r="F6498" s="10" t="str">
        <f ca="1">IFERROR(__xludf.DUMMYFUNCTION("""COMPUTED_VALUE"""),"COBISS")</f>
        <v>COBISS</v>
      </c>
      <c r="G6498" s="10"/>
      <c r="H6498" s="10"/>
      <c r="I6498" s="10"/>
      <c r="J6498" s="10"/>
      <c r="K6498" s="10"/>
      <c r="L6498" s="10"/>
      <c r="M6498" s="10"/>
      <c r="N6498" s="10"/>
      <c r="O6498" s="10"/>
      <c r="P6498" s="10"/>
      <c r="Q6498" s="10"/>
      <c r="R6498" s="10"/>
      <c r="S6498" s="10"/>
      <c r="T6498" s="10"/>
      <c r="U6498" s="10"/>
      <c r="V6498" s="10"/>
      <c r="W6498" s="10"/>
      <c r="X6498" s="10"/>
      <c r="Y6498" s="10"/>
      <c r="Z6498" s="10"/>
    </row>
    <row r="6499" spans="1:26" ht="12.75">
      <c r="A6499" s="10" t="str">
        <f ca="1">IFERROR(__xludf.DUMMYFUNCTION("""COMPUTED_VALUE"""),"Румелина Илиева Василева")</f>
        <v>Румелина Илиева Василева</v>
      </c>
      <c r="B6499" s="10" t="str">
        <f ca="1">IFERROR(__xludf.DUMMYFUNCTION("""COMPUTED_VALUE"""),"Книга")</f>
        <v>Книга</v>
      </c>
      <c r="C6499" s="10" t="str">
        <f ca="1">IFERROR(__xludf.DUMMYFUNCTION("""COMPUTED_VALUE"""),"Актуальные вопросы библиографии. Болгария и Россия: Теоретические и прикладные исследования. Сб. науч. докл. и сообщений.")</f>
        <v>Актуальные вопросы библиографии. Болгария и Россия: Теоретические и прикладные исследования. Сб. науч. докл. и сообщений.</v>
      </c>
      <c r="D6499" s="10">
        <f ca="1">IFERROR(__xludf.DUMMYFUNCTION("""COMPUTED_VALUE"""),2011)</f>
        <v>2011</v>
      </c>
      <c r="E6499" s="10" t="str">
        <f ca="1">IFERROR(__xludf.DUMMYFUNCTION("""COMPUTED_VALUE"""),"Под общ. ред. Г. И. Матрюхина. Редкол. А. А. Беловицкая, Р. Василева, Г. И. Матрюхин, М. Николова, Т. Тодорова, И. Янкова. Рец. К. В. Антипов, С. Денчев. Москва-София, 2011. 192 с. ISBN 978-5-8122-1142-4")</f>
        <v>Под общ. ред. Г. И. Матрюхина. Редкол. А. А. Беловицкая, Р. Василева, Г. И. Матрюхин, М. Николова, Т. Тодорова, И. Янкова. Рец. К. В. Антипов, С. Денчев. Москва-София, 2011. 192 с. ISBN 978-5-8122-1142-4</v>
      </c>
      <c r="F6499" s="10" t="str">
        <f ca="1">IFERROR(__xludf.DUMMYFUNCTION("""COMPUTED_VALUE"""),"COBISS")</f>
        <v>COBISS</v>
      </c>
      <c r="G6499" s="10" t="str">
        <f ca="1">IFERROR(__xludf.DUMMYFUNCTION("""COMPUTED_VALUE"""),"Матрюхин, Г. И. Беловицкая, А. А. Николова, Мария Тодорова, Таня Янкова, Иванка")</f>
        <v>Матрюхин, Г. И. Беловицкая, А. А. Николова, Мария Тодорова, Таня Янкова, Иванка</v>
      </c>
      <c r="H6499" s="10"/>
      <c r="I6499" s="10"/>
      <c r="J6499" s="10"/>
      <c r="K6499" s="10"/>
      <c r="L6499" s="10"/>
      <c r="M6499" s="10"/>
      <c r="N6499" s="10"/>
      <c r="O6499" s="10"/>
      <c r="P6499" s="10"/>
      <c r="Q6499" s="10"/>
      <c r="R6499" s="10"/>
      <c r="S6499" s="10"/>
      <c r="T6499" s="10"/>
      <c r="U6499" s="10"/>
      <c r="V6499" s="10"/>
      <c r="W6499" s="10"/>
      <c r="X6499" s="10"/>
      <c r="Y6499" s="10"/>
      <c r="Z6499" s="10"/>
    </row>
    <row r="6500" spans="1:26" ht="12.75">
      <c r="A6500" s="10" t="str">
        <f ca="1">IFERROR(__xludf.DUMMYFUNCTION("""COMPUTED_VALUE"""),"Румелина Илиева Василева")</f>
        <v>Румелина Илиева Василева</v>
      </c>
      <c r="B6500" s="10" t="str">
        <f ca="1">IFERROR(__xludf.DUMMYFUNCTION("""COMPUTED_VALUE"""),"Статия в списания и поредици")</f>
        <v>Статия в списания и поредици</v>
      </c>
      <c r="C6500" s="10" t="str">
        <f ca="1">IFERROR(__xludf.DUMMYFUNCTION("""COMPUTED_VALUE"""),"Потенциалът на съвременната библиотека в информационното осигуряване на потребителите")</f>
        <v>Потенциалът на съвременната библиотека в информационното осигуряване на потребителите</v>
      </c>
      <c r="D6500" s="10">
        <f ca="1">IFERROR(__xludf.DUMMYFUNCTION("""COMPUTED_VALUE"""),2011)</f>
        <v>2011</v>
      </c>
      <c r="E6500" s="10" t="str">
        <f ca="1">IFERROR(__xludf.DUMMYFUNCTION("""COMPUTED_VALUE"""),"Библиотечният и културен мениджмънт и информационно-комуникационните технологии. Сб. науч. докл. и съобщ. от Науч. конф. с междунар. уч., 3-4 септ., 2011 г., БСУ, Бургас. Състав. И. Янкова, Т. Тодорова; Рец. С. Денчев; Ред. Р. Василева. София: О писменехь"&amp;" – За буквите, 2011, с. 13-19. ISBN 978-954-2946-14-4. URL: &lt;http://aub-bg.org/pdf/sbornik_burgas.pdf&gt;")</f>
        <v>Библиотечният и културен мениджмънт и информационно-комуникационните технологии. Сб. науч. докл. и съобщ. от Науч. конф. с междунар. уч., 3-4 септ., 2011 г., БСУ, Бургас. Състав. И. Янкова, Т. Тодорова; Рец. С. Денчев; Ред. Р. Василева. София: О писменехь – За буквите, 2011, с. 13-19. ISBN 978-954-2946-14-4. URL: &lt;http://aub-bg.org/pdf/sbornik_burgas.pdf&gt;</v>
      </c>
      <c r="F6500" s="10" t="str">
        <f ca="1">IFERROR(__xludf.DUMMYFUNCTION("""COMPUTED_VALUE"""),"COBISS")</f>
        <v>COBISS</v>
      </c>
      <c r="G6500" s="10"/>
      <c r="H6500" s="10"/>
      <c r="I6500" s="10"/>
      <c r="J6500" s="10"/>
      <c r="K6500" s="10"/>
      <c r="L6500" s="10"/>
      <c r="M6500" s="10"/>
      <c r="N6500" s="10"/>
      <c r="O6500" s="10"/>
      <c r="P6500" s="10"/>
      <c r="Q6500" s="10"/>
      <c r="R6500" s="10"/>
      <c r="S6500" s="10"/>
      <c r="T6500" s="10"/>
      <c r="U6500" s="10"/>
      <c r="V6500" s="10"/>
      <c r="W6500" s="10"/>
      <c r="X6500" s="10"/>
      <c r="Y6500" s="10"/>
      <c r="Z6500" s="10"/>
    </row>
    <row r="6501" spans="1:26" ht="12.75">
      <c r="A6501" s="10" t="str">
        <f ca="1">IFERROR(__xludf.DUMMYFUNCTION("""COMPUTED_VALUE"""),"Румелина Илиева Василева")</f>
        <v>Румелина Илиева Василева</v>
      </c>
      <c r="B6501" s="10" t="str">
        <f ca="1">IFERROR(__xludf.DUMMYFUNCTION("""COMPUTED_VALUE"""),"Статия в списания и поредици")</f>
        <v>Статия в списания и поредици</v>
      </c>
      <c r="C6501" s="10" t="str">
        <f ca="1">IFERROR(__xludf.DUMMYFUNCTION("""COMPUTED_VALUE"""),"Информационна и библиографска компетентност")</f>
        <v>Информационна и библиографска компетентност</v>
      </c>
      <c r="D6501" s="10">
        <f ca="1">IFERROR(__xludf.DUMMYFUNCTION("""COMPUTED_VALUE"""),2011)</f>
        <v>2011</v>
      </c>
      <c r="E6501" s="10" t="str">
        <f ca="1">IFERROR(__xludf.DUMMYFUNCTION("""COMPUTED_VALUE"""),"Актуальные вопросы библиографии. Болгария и Россия: теоретические и прикладные исследования. Сб. науч. докл. и сообщ. Москва – София, 2011, с. 85-106. ISBN 978-5-8122-1142-4")</f>
        <v>Актуальные вопросы библиографии. Болгария и Россия: теоретические и прикладные исследования. Сб. науч. докл. и сообщ. Москва – София, 2011, с. 85-106. ISBN 978-5-8122-1142-4</v>
      </c>
      <c r="F6501" s="10" t="str">
        <f ca="1">IFERROR(__xludf.DUMMYFUNCTION("""COMPUTED_VALUE"""),"COBISS")</f>
        <v>COBISS</v>
      </c>
      <c r="G6501" s="10"/>
      <c r="H6501" s="10"/>
      <c r="I6501" s="10"/>
      <c r="J6501" s="10"/>
      <c r="K6501" s="10"/>
      <c r="L6501" s="10"/>
      <c r="M6501" s="10"/>
      <c r="N6501" s="10"/>
      <c r="O6501" s="10"/>
      <c r="P6501" s="10"/>
      <c r="Q6501" s="10"/>
      <c r="R6501" s="10"/>
      <c r="S6501" s="10"/>
      <c r="T6501" s="10"/>
      <c r="U6501" s="10"/>
      <c r="V6501" s="10"/>
      <c r="W6501" s="10"/>
      <c r="X6501" s="10"/>
      <c r="Y6501" s="10"/>
      <c r="Z6501" s="10"/>
    </row>
    <row r="6502" spans="1:26" ht="12.75">
      <c r="A6502" s="10" t="str">
        <f ca="1">IFERROR(__xludf.DUMMYFUNCTION("""COMPUTED_VALUE"""),"Румелина Илиева Василева")</f>
        <v>Румелина Илиева Василева</v>
      </c>
      <c r="B6502" s="10" t="str">
        <f ca="1">IFERROR(__xludf.DUMMYFUNCTION("""COMPUTED_VALUE"""),"Статия в списания и поредици")</f>
        <v>Статия в списания и поредици</v>
      </c>
      <c r="C6502" s="10" t="str">
        <f ca="1">IFERROR(__xludf.DUMMYFUNCTION("""COMPUTED_VALUE"""),"Ползотворна традиция: Конференция по библиотечен мениджмънт")</f>
        <v>Ползотворна традиция: Конференция по библиотечен мениджмънт</v>
      </c>
      <c r="D6502" s="10">
        <f ca="1">IFERROR(__xludf.DUMMYFUNCTION("""COMPUTED_VALUE"""),2011)</f>
        <v>2011</v>
      </c>
      <c r="E6502" s="10" t="str">
        <f ca="1">IFERROR(__xludf.DUMMYFUNCTION("""COMPUTED_VALUE"""),"За буквите – О писменехь, ХХХІІІ, ноем. 2011, 35, с. 26. ISSN 1312-3785")</f>
        <v>За буквите – О писменехь, ХХХІІІ, ноем. 2011, 35, с. 26. ISSN 1312-3785</v>
      </c>
      <c r="F6502" s="10" t="str">
        <f ca="1">IFERROR(__xludf.DUMMYFUNCTION("""COMPUTED_VALUE"""),"COBISS")</f>
        <v>COBISS</v>
      </c>
      <c r="G6502" s="10"/>
      <c r="H6502" s="10"/>
      <c r="I6502" s="10"/>
      <c r="J6502" s="10"/>
      <c r="K6502" s="10"/>
      <c r="L6502" s="10"/>
      <c r="M6502" s="10"/>
      <c r="N6502" s="10"/>
      <c r="O6502" s="10"/>
      <c r="P6502" s="10"/>
      <c r="Q6502" s="10"/>
      <c r="R6502" s="10"/>
      <c r="S6502" s="10"/>
      <c r="T6502" s="10"/>
      <c r="U6502" s="10"/>
      <c r="V6502" s="10"/>
      <c r="W6502" s="10"/>
      <c r="X6502" s="10"/>
      <c r="Y6502" s="10"/>
      <c r="Z6502" s="10"/>
    </row>
    <row r="6503" spans="1:26" ht="12.75">
      <c r="A6503" s="10" t="str">
        <f ca="1">IFERROR(__xludf.DUMMYFUNCTION("""COMPUTED_VALUE"""),"Румелина Илиева Василева")</f>
        <v>Румелина Илиева Василева</v>
      </c>
      <c r="B6503" s="10" t="str">
        <f ca="1">IFERROR(__xludf.DUMMYFUNCTION("""COMPUTED_VALUE"""),"Статия в списания и поредици")</f>
        <v>Статия в списания и поредици</v>
      </c>
      <c r="C6503" s="10" t="str">
        <f ca="1">IFERROR(__xludf.DUMMYFUNCTION("""COMPUTED_VALUE"""),"Библиография на произведенията на проф. Милена Цанева.")</f>
        <v>Библиография на произведенията на проф. Милена Цанева.</v>
      </c>
      <c r="D6503" s="10">
        <f ca="1">IFERROR(__xludf.DUMMYFUNCTION("""COMPUTED_VALUE"""),2010)</f>
        <v>2010</v>
      </c>
      <c r="E6503" s="10" t="str">
        <f ca="1">IFERROR(__xludf.DUMMYFUNCTION("""COMPUTED_VALUE"""),"Литературата. Изд. Фак. Славянски филологии на СУ „Св. Климент Охридски“, ІV, 2010. Кн. 7, 9 с. 328-336. ISSN 1313-1451")</f>
        <v>Литературата. Изд. Фак. Славянски филологии на СУ „Св. Климент Охридски“, ІV, 2010. Кн. 7, 9 с. 328-336. ISSN 1313-1451</v>
      </c>
      <c r="F6503" s="10" t="str">
        <f ca="1">IFERROR(__xludf.DUMMYFUNCTION("""COMPUTED_VALUE"""),"COBISS")</f>
        <v>COBISS</v>
      </c>
      <c r="G6503" s="10"/>
      <c r="H6503" s="10"/>
      <c r="I6503" s="10"/>
      <c r="J6503" s="10"/>
      <c r="K6503" s="10"/>
      <c r="L6503" s="10"/>
      <c r="M6503" s="10"/>
      <c r="N6503" s="10"/>
      <c r="O6503" s="10"/>
      <c r="P6503" s="10"/>
      <c r="Q6503" s="10"/>
      <c r="R6503" s="10"/>
      <c r="S6503" s="10"/>
      <c r="T6503" s="10"/>
      <c r="U6503" s="10"/>
      <c r="V6503" s="10"/>
      <c r="W6503" s="10"/>
      <c r="X6503" s="10"/>
      <c r="Y6503" s="10"/>
      <c r="Z6503" s="10"/>
    </row>
    <row r="6504" spans="1:26" ht="12.75">
      <c r="A6504" s="10" t="str">
        <f ca="1">IFERROR(__xludf.DUMMYFUNCTION("""COMPUTED_VALUE"""),"Румелина Илиева Василева")</f>
        <v>Румелина Илиева Василева</v>
      </c>
      <c r="B6504" s="10" t="str">
        <f ca="1">IFERROR(__xludf.DUMMYFUNCTION("""COMPUTED_VALUE"""),"Статия в списания и поредици")</f>
        <v>Статия в списания и поредици</v>
      </c>
      <c r="C6504" s="10" t="str">
        <f ca="1">IFERROR(__xludf.DUMMYFUNCTION("""COMPUTED_VALUE"""),"Четенето като знание и съвременните компетентности (в университетите, в библиотеките и в общественото битие)")</f>
        <v>Четенето като знание и съвременните компетентности (в университетите, в библиотеките и в общественото битие)</v>
      </c>
      <c r="D6504" s="10">
        <f ca="1">IFERROR(__xludf.DUMMYFUNCTION("""COMPUTED_VALUE"""),2010)</f>
        <v>2010</v>
      </c>
      <c r="E6504" s="10" t="str">
        <f ca="1">IFERROR(__xludf.DUMMYFUNCTION("""COMPUTED_VALUE"""),"Литературата, ІV, 2010, Кн. 7, с. 308-315. ISSN 1313-1451")</f>
        <v>Литературата, ІV, 2010, Кн. 7, с. 308-315. ISSN 1313-1451</v>
      </c>
      <c r="F6504" s="10" t="str">
        <f ca="1">IFERROR(__xludf.DUMMYFUNCTION("""COMPUTED_VALUE"""),"COBISS")</f>
        <v>COBISS</v>
      </c>
      <c r="G6504" s="10"/>
      <c r="H6504" s="10"/>
      <c r="I6504" s="10"/>
      <c r="J6504" s="10"/>
      <c r="K6504" s="10"/>
      <c r="L6504" s="10"/>
      <c r="M6504" s="10"/>
      <c r="N6504" s="10"/>
      <c r="O6504" s="10"/>
      <c r="P6504" s="10"/>
      <c r="Q6504" s="10"/>
      <c r="R6504" s="10"/>
      <c r="S6504" s="10"/>
      <c r="T6504" s="10"/>
      <c r="U6504" s="10"/>
      <c r="V6504" s="10"/>
      <c r="W6504" s="10"/>
      <c r="X6504" s="10"/>
      <c r="Y6504" s="10"/>
      <c r="Z6504" s="10"/>
    </row>
    <row r="6505" spans="1:26" ht="12.75">
      <c r="A6505" s="10" t="str">
        <f ca="1">IFERROR(__xludf.DUMMYFUNCTION("""COMPUTED_VALUE"""),"Румелина Илиева Василева")</f>
        <v>Румелина Илиева Василева</v>
      </c>
      <c r="B6505" s="10" t="str">
        <f ca="1">IFERROR(__xludf.DUMMYFUNCTION("""COMPUTED_VALUE"""),"Статия в списания и поредици")</f>
        <v>Статия в списания и поредици</v>
      </c>
      <c r="C6505" s="10" t="str">
        <f ca="1">IFERROR(__xludf.DUMMYFUNCTION("""COMPUTED_VALUE"""),"Интелектуален капитал в библиотеките. Проект мениджмънт на интелектуалните ресурси")</f>
        <v>Интелектуален капитал в библиотеките. Проект мениджмънт на интелектуалните ресурси</v>
      </c>
      <c r="D6505" s="10">
        <f ca="1">IFERROR(__xludf.DUMMYFUNCTION("""COMPUTED_VALUE"""),2010)</f>
        <v>2010</v>
      </c>
      <c r="E6505" s="10" t="str">
        <f ca="1">IFERROR(__xludf.DUMMYFUNCTION("""COMPUTED_VALUE"""),"Издател. Научно списание за книгата, ХІІ, 2010, 1-2-3, с. 79-84. (Иновации) ISSN 1310-4624")</f>
        <v>Издател. Научно списание за книгата, ХІІ, 2010, 1-2-3, с. 79-84. (Иновации) ISSN 1310-4624</v>
      </c>
      <c r="F6505" s="10" t="str">
        <f ca="1">IFERROR(__xludf.DUMMYFUNCTION("""COMPUTED_VALUE"""),"COBISS")</f>
        <v>COBISS</v>
      </c>
      <c r="G6505" s="10"/>
      <c r="H6505" s="10"/>
      <c r="I6505" s="10"/>
      <c r="J6505" s="10"/>
      <c r="K6505" s="10"/>
      <c r="L6505" s="10"/>
      <c r="M6505" s="10"/>
      <c r="N6505" s="10"/>
      <c r="O6505" s="10"/>
      <c r="P6505" s="10"/>
      <c r="Q6505" s="10"/>
      <c r="R6505" s="10"/>
      <c r="S6505" s="10"/>
      <c r="T6505" s="10"/>
      <c r="U6505" s="10"/>
      <c r="V6505" s="10"/>
      <c r="W6505" s="10"/>
      <c r="X6505" s="10"/>
      <c r="Y6505" s="10"/>
      <c r="Z6505" s="10"/>
    </row>
    <row r="6506" spans="1:26" ht="12.75">
      <c r="A6506" s="10" t="str">
        <f ca="1">IFERROR(__xludf.DUMMYFUNCTION("""COMPUTED_VALUE"""),"Румелина Илиева Василева")</f>
        <v>Румелина Илиева Василева</v>
      </c>
      <c r="B6506" s="10" t="str">
        <f ca="1">IFERROR(__xludf.DUMMYFUNCTION("""COMPUTED_VALUE"""),"Книга")</f>
        <v>Книга</v>
      </c>
      <c r="C6506" s="10" t="str">
        <f ca="1">IFERROR(__xludf.DUMMYFUNCTION("""COMPUTED_VALUE"""),"Алманах: 90 години УНСС 1920-2010 г. = Almanac: 90 years University of National and World Economy 1920-2010")</f>
        <v>Алманах: 90 години УНСС 1920-2010 г. = Almanac: 90 years University of National and World Economy 1920-2010</v>
      </c>
      <c r="D6506" s="10">
        <f ca="1">IFERROR(__xludf.DUMMYFUNCTION("""COMPUTED_VALUE"""),2010)</f>
        <v>2010</v>
      </c>
      <c r="E6506" s="10" t="str">
        <f ca="1">IFERROR(__xludf.DUMMYFUNCTION("""COMPUTED_VALUE"""),"София: УИ “Стопанство”, 2010. 1116 с. ISBN 978-954-644-155-3")</f>
        <v>София: УИ “Стопанство”, 2010. 1116 с. ISBN 978-954-644-155-3</v>
      </c>
      <c r="F6506" s="10" t="str">
        <f ca="1">IFERROR(__xludf.DUMMYFUNCTION("""COMPUTED_VALUE"""),"COBISS")</f>
        <v>COBISS</v>
      </c>
      <c r="G6506" s="10" t="str">
        <f ca="1">IFERROR(__xludf.DUMMYFUNCTION("""COMPUTED_VALUE"""),"Ценова, Станка Минчева, Десислава Луланска, Красимира Иванова, Маргарита")</f>
        <v>Ценова, Станка Минчева, Десислава Луланска, Красимира Иванова, Маргарита</v>
      </c>
      <c r="H6506" s="10"/>
      <c r="I6506" s="10"/>
      <c r="J6506" s="10"/>
      <c r="K6506" s="10"/>
      <c r="L6506" s="10"/>
      <c r="M6506" s="10"/>
      <c r="N6506" s="10"/>
      <c r="O6506" s="10"/>
      <c r="P6506" s="10"/>
      <c r="Q6506" s="10"/>
      <c r="R6506" s="10"/>
      <c r="S6506" s="10"/>
      <c r="T6506" s="10"/>
      <c r="U6506" s="10"/>
      <c r="V6506" s="10"/>
      <c r="W6506" s="10"/>
      <c r="X6506" s="10"/>
      <c r="Y6506" s="10"/>
      <c r="Z6506" s="10"/>
    </row>
    <row r="6507" spans="1:26" ht="12.75">
      <c r="A6507" s="10" t="str">
        <f ca="1">IFERROR(__xludf.DUMMYFUNCTION("""COMPUTED_VALUE"""),"Румелина Илиева Василева")</f>
        <v>Румелина Илиева Василева</v>
      </c>
      <c r="B6507" s="10" t="str">
        <f ca="1">IFERROR(__xludf.DUMMYFUNCTION("""COMPUTED_VALUE"""),"Статия в списания и поредици")</f>
        <v>Статия в списания и поредици</v>
      </c>
      <c r="C6507" s="10" t="str">
        <f ca="1">IFERROR(__xludf.DUMMYFUNCTION("""COMPUTED_VALUE"""),"Библиотеките – посредници и производители на знания")</f>
        <v>Библиотеките – посредници и производители на знания</v>
      </c>
      <c r="D6507" s="10">
        <f ca="1">IFERROR(__xludf.DUMMYFUNCTION("""COMPUTED_VALUE"""),2010)</f>
        <v>2010</v>
      </c>
      <c r="E6507" s="10" t="str">
        <f ca="1">IFERROR(__xludf.DUMMYFUNCTION("""COMPUTED_VALUE"""),"България – кръстопът на култури и цивилизации. Седма нац. науч. конф. с междунар. уч., 1 ноем. 2009, София. София: За буквите – О писменехь, 2010, с. 414-421. ISBN 978-954-8887-91-5")</f>
        <v>България – кръстопът на култури и цивилизации. Седма нац. науч. конф. с междунар. уч., 1 ноем. 2009, София. София: За буквите – О писменехь, 2010, с. 414-421. ISBN 978-954-8887-91-5</v>
      </c>
      <c r="F6507" s="10" t="str">
        <f ca="1">IFERROR(__xludf.DUMMYFUNCTION("""COMPUTED_VALUE"""),"COBISS")</f>
        <v>COBISS</v>
      </c>
      <c r="G6507" s="10"/>
      <c r="H6507" s="10"/>
      <c r="I6507" s="10"/>
      <c r="J6507" s="10"/>
      <c r="K6507" s="10"/>
      <c r="L6507" s="10"/>
      <c r="M6507" s="10"/>
      <c r="N6507" s="10"/>
      <c r="O6507" s="10"/>
      <c r="P6507" s="10"/>
      <c r="Q6507" s="10"/>
      <c r="R6507" s="10"/>
      <c r="S6507" s="10"/>
      <c r="T6507" s="10"/>
      <c r="U6507" s="10"/>
      <c r="V6507" s="10"/>
      <c r="W6507" s="10"/>
      <c r="X6507" s="10"/>
      <c r="Y6507" s="10"/>
      <c r="Z6507" s="10"/>
    </row>
    <row r="6508" spans="1:26" ht="12.75">
      <c r="A6508" s="10" t="str">
        <f ca="1">IFERROR(__xludf.DUMMYFUNCTION("""COMPUTED_VALUE"""),"Румелина Илиева Василева")</f>
        <v>Румелина Илиева Василева</v>
      </c>
      <c r="B6508" s="10" t="str">
        <f ca="1">IFERROR(__xludf.DUMMYFUNCTION("""COMPUTED_VALUE"""),"Статия в списания и поредици")</f>
        <v>Статия в списания и поредици</v>
      </c>
      <c r="C6508" s="10" t="str">
        <f ca="1">IFERROR(__xludf.DUMMYFUNCTION("""COMPUTED_VALUE"""),"Библиотеките в информационното общество и управлението на знанието")</f>
        <v>Библиотеките в информационното общество и управлението на знанието</v>
      </c>
      <c r="D6508" s="10">
        <f ca="1">IFERROR(__xludf.DUMMYFUNCTION("""COMPUTED_VALUE"""),2010)</f>
        <v>2010</v>
      </c>
      <c r="E6508" s="10" t="str">
        <f ca="1">IFERROR(__xludf.DUMMYFUNCTION("""COMPUTED_VALUE"""),"Наука, ХХ, 2010, 3, с. 33-41. ISSN 0861-3362")</f>
        <v>Наука, ХХ, 2010, 3, с. 33-41. ISSN 0861-3362</v>
      </c>
      <c r="F6508" s="10" t="str">
        <f ca="1">IFERROR(__xludf.DUMMYFUNCTION("""COMPUTED_VALUE"""),"COBISS")</f>
        <v>COBISS</v>
      </c>
      <c r="G6508" s="10" t="str">
        <f ca="1">IFERROR(__xludf.DUMMYFUNCTION("""COMPUTED_VALUE"""),"Янкова, Иванка")</f>
        <v>Янкова, Иванка</v>
      </c>
      <c r="H6508" s="10"/>
      <c r="I6508" s="10"/>
      <c r="J6508" s="10"/>
      <c r="K6508" s="10"/>
      <c r="L6508" s="10"/>
      <c r="M6508" s="10"/>
      <c r="N6508" s="10"/>
      <c r="O6508" s="10"/>
      <c r="P6508" s="10"/>
      <c r="Q6508" s="10"/>
      <c r="R6508" s="10"/>
      <c r="S6508" s="10"/>
      <c r="T6508" s="10"/>
      <c r="U6508" s="10"/>
      <c r="V6508" s="10"/>
      <c r="W6508" s="10"/>
      <c r="X6508" s="10"/>
      <c r="Y6508" s="10"/>
      <c r="Z6508" s="10"/>
    </row>
    <row r="6509" spans="1:26" ht="12.75">
      <c r="A6509" s="10" t="str">
        <f ca="1">IFERROR(__xludf.DUMMYFUNCTION("""COMPUTED_VALUE"""),"Румелина Илиева Василева")</f>
        <v>Румелина Илиева Василева</v>
      </c>
      <c r="B6509" s="10" t="str">
        <f ca="1">IFERROR(__xludf.DUMMYFUNCTION("""COMPUTED_VALUE"""),"Статия в списания и поредици")</f>
        <v>Статия в списания и поредици</v>
      </c>
      <c r="C6509" s="10" t="str">
        <f ca="1">IFERROR(__xludf.DUMMYFUNCTION("""COMPUTED_VALUE"""),"Библиотеките на нашето време – човешкият фактор преди всичко!")</f>
        <v>Библиотеките на нашето време – човешкият фактор преди всичко!</v>
      </c>
      <c r="D6509" s="10">
        <f ca="1">IFERROR(__xludf.DUMMYFUNCTION("""COMPUTED_VALUE"""),2010)</f>
        <v>2010</v>
      </c>
      <c r="E6509" s="10" t="str">
        <f ca="1">IFERROR(__xludf.DUMMYFUNCTION("""COMPUTED_VALUE"""),"Библиотеки, четене, комуникации. Осма нац.науч. конф., 17-18 ноем. 2009 г., Велико Търново: УИ “Св. Св. Кирил и Методий”, 2010, с. 196-207. ISSN 1313-8138")</f>
        <v>Библиотеки, четене, комуникации. Осма нац.науч. конф., 17-18 ноем. 2009 г., Велико Търново: УИ “Св. Св. Кирил и Методий”, 2010, с. 196-207. ISSN 1313-8138</v>
      </c>
      <c r="F6509" s="10" t="str">
        <f ca="1">IFERROR(__xludf.DUMMYFUNCTION("""COMPUTED_VALUE"""),"COBISS")</f>
        <v>COBISS</v>
      </c>
      <c r="G6509" s="10"/>
      <c r="H6509" s="10"/>
      <c r="I6509" s="10"/>
      <c r="J6509" s="10"/>
      <c r="K6509" s="10"/>
      <c r="L6509" s="10"/>
      <c r="M6509" s="10"/>
      <c r="N6509" s="10"/>
      <c r="O6509" s="10"/>
      <c r="P6509" s="10"/>
      <c r="Q6509" s="10"/>
      <c r="R6509" s="10"/>
      <c r="S6509" s="10"/>
      <c r="T6509" s="10"/>
      <c r="U6509" s="10"/>
      <c r="V6509" s="10"/>
      <c r="W6509" s="10"/>
      <c r="X6509" s="10"/>
      <c r="Y6509" s="10"/>
      <c r="Z6509" s="10"/>
    </row>
    <row r="6510" spans="1:26" ht="12.75">
      <c r="A6510" s="10" t="str">
        <f ca="1">IFERROR(__xludf.DUMMYFUNCTION("""COMPUTED_VALUE"""),"Румелина Илиева Василева")</f>
        <v>Румелина Илиева Василева</v>
      </c>
      <c r="B6510" s="10" t="str">
        <f ca="1">IFERROR(__xludf.DUMMYFUNCTION("""COMPUTED_VALUE"""),"Статия в списания и поредици")</f>
        <v>Статия в списания и поредици</v>
      </c>
      <c r="C6510" s="10" t="str">
        <f ca="1">IFERROR(__xludf.DUMMYFUNCTION("""COMPUTED_VALUE"""),"Четене и кодове на разбиране в литературата, културата и обществото. Книгопис")</f>
        <v>Четене и кодове на разбиране в литературата, културата и обществото. Книгопис</v>
      </c>
      <c r="D6510" s="10">
        <f ca="1">IFERROR(__xludf.DUMMYFUNCTION("""COMPUTED_VALUE"""),2010)</f>
        <v>2010</v>
      </c>
      <c r="E6510" s="10" t="str">
        <f ca="1">IFERROR(__xludf.DUMMYFUNCTION("""COMPUTED_VALUE"""),"Литературата. Изд. Фак. Славянски филологии на СУ „Св. Климент Охридски“, ІV, 2010. Кн. 7, с. 469-492. ISSN 1313-1451")</f>
        <v>Литературата. Изд. Фак. Славянски филологии на СУ „Св. Климент Охридски“, ІV, 2010. Кн. 7, с. 469-492. ISSN 1313-1451</v>
      </c>
      <c r="F6510" s="10" t="str">
        <f ca="1">IFERROR(__xludf.DUMMYFUNCTION("""COMPUTED_VALUE"""),"COBISS")</f>
        <v>COBISS</v>
      </c>
      <c r="G6510" s="10"/>
      <c r="H6510" s="10"/>
      <c r="I6510" s="10"/>
      <c r="J6510" s="10"/>
      <c r="K6510" s="10"/>
      <c r="L6510" s="10"/>
      <c r="M6510" s="10"/>
      <c r="N6510" s="10"/>
      <c r="O6510" s="10"/>
      <c r="P6510" s="10"/>
      <c r="Q6510" s="10"/>
      <c r="R6510" s="10"/>
      <c r="S6510" s="10"/>
      <c r="T6510" s="10"/>
      <c r="U6510" s="10"/>
      <c r="V6510" s="10"/>
      <c r="W6510" s="10"/>
      <c r="X6510" s="10"/>
      <c r="Y6510" s="10"/>
      <c r="Z6510" s="10"/>
    </row>
    <row r="6511" spans="1:26" ht="12.75">
      <c r="A6511" s="10" t="str">
        <f ca="1">IFERROR(__xludf.DUMMYFUNCTION("""COMPUTED_VALUE"""),"Румелина Илиева Василева")</f>
        <v>Румелина Илиева Василева</v>
      </c>
      <c r="B6511" s="10" t="str">
        <f ca="1">IFERROR(__xludf.DUMMYFUNCTION("""COMPUTED_VALUE"""),"Статия в списания и поредици")</f>
        <v>Статия в списания и поредици</v>
      </c>
      <c r="C6511" s="10" t="str">
        <f ca="1">IFERROR(__xludf.DUMMYFUNCTION("""COMPUTED_VALUE"""),"Търсене и предлагане на знания в услуга на НИР. Управление на информатичната грамотност")</f>
        <v>Търсене и предлагане на знания в услуга на НИР. Управление на информатичната грамотност</v>
      </c>
      <c r="D6511" s="10">
        <f ca="1">IFERROR(__xludf.DUMMYFUNCTION("""COMPUTED_VALUE"""),2010)</f>
        <v>2010</v>
      </c>
      <c r="E6511" s="10" t="str">
        <f ca="1">IFERROR(__xludf.DUMMYFUNCTION("""COMPUTED_VALUE"""),"Библиотечният мениджмънт – научни и практически аспекти. Науч. докл. и съобщ. от Втора науч. конф. с междунар. уч., 26-27 ноем. 2009 г., ДИПКУ, Варна.Състав. М. Петева. Редкол. И. Янкова, Т. Тодорова, Р. Василева. Шумен: Фабер, 2010, с. 151-171. ISBN 978-"&amp;"954-400-249-7")</f>
        <v>Библиотечният мениджмънт – научни и практически аспекти. Науч. докл. и съобщ. от Втора науч. конф. с междунар. уч., 26-27 ноем. 2009 г., ДИПКУ, Варна.Състав. М. Петева. Редкол. И. Янкова, Т. Тодорова, Р. Василева. Шумен: Фабер, 2010, с. 151-171. ISBN 978-954-400-249-7</v>
      </c>
      <c r="F6511" s="10" t="str">
        <f ca="1">IFERROR(__xludf.DUMMYFUNCTION("""COMPUTED_VALUE"""),"COBISS")</f>
        <v>COBISS</v>
      </c>
      <c r="G6511" s="10" t="str">
        <f ca="1">IFERROR(__xludf.DUMMYFUNCTION("""COMPUTED_VALUE"""),"Янкова, Иванка Ценова, Станка")</f>
        <v>Янкова, Иванка Ценова, Станка</v>
      </c>
      <c r="H6511" s="10"/>
      <c r="I6511" s="10"/>
      <c r="J6511" s="10"/>
      <c r="K6511" s="10"/>
      <c r="L6511" s="10"/>
      <c r="M6511" s="10"/>
      <c r="N6511" s="10"/>
      <c r="O6511" s="10"/>
      <c r="P6511" s="10"/>
      <c r="Q6511" s="10"/>
      <c r="R6511" s="10"/>
      <c r="S6511" s="10"/>
      <c r="T6511" s="10"/>
      <c r="U6511" s="10"/>
      <c r="V6511" s="10"/>
      <c r="W6511" s="10"/>
      <c r="X6511" s="10"/>
      <c r="Y6511" s="10"/>
      <c r="Z6511" s="10"/>
    </row>
    <row r="6512" spans="1:26" ht="12.75">
      <c r="A6512" s="10" t="str">
        <f ca="1">IFERROR(__xludf.DUMMYFUNCTION("""COMPUTED_VALUE"""),"Румелина Илиева Василева")</f>
        <v>Румелина Илиева Василева</v>
      </c>
      <c r="B6512" s="10" t="str">
        <f ca="1">IFERROR(__xludf.DUMMYFUNCTION("""COMPUTED_VALUE"""),"Статия в списания и поредици")</f>
        <v>Статия в списания и поредици</v>
      </c>
      <c r="C6512" s="10" t="str">
        <f ca="1">IFERROR(__xludf.DUMMYFUNCTION("""COMPUTED_VALUE"""),"Съдбата на идеологиите в културата и обществото. Книгопис")</f>
        <v>Съдбата на идеологиите в културата и обществото. Книгопис</v>
      </c>
      <c r="D6512" s="10">
        <f ca="1">IFERROR(__xludf.DUMMYFUNCTION("""COMPUTED_VALUE"""),2010)</f>
        <v>2010</v>
      </c>
      <c r="E6512" s="10" t="str">
        <f ca="1">IFERROR(__xludf.DUMMYFUNCTION("""COMPUTED_VALUE"""),"Литературата. Изд. Фак. Славянски филологии на СУ „Св. Климент Охридски“, ІV, 2010. Кн. 6, с. 453-468. ISSN 1313-1451")</f>
        <v>Литературата. Изд. Фак. Славянски филологии на СУ „Св. Климент Охридски“, ІV, 2010. Кн. 6, с. 453-468. ISSN 1313-1451</v>
      </c>
      <c r="F6512" s="10" t="str">
        <f ca="1">IFERROR(__xludf.DUMMYFUNCTION("""COMPUTED_VALUE"""),"COBISS")</f>
        <v>COBISS</v>
      </c>
      <c r="G6512" s="10"/>
      <c r="H6512" s="10"/>
      <c r="I6512" s="10"/>
      <c r="J6512" s="10"/>
      <c r="K6512" s="10"/>
      <c r="L6512" s="10"/>
      <c r="M6512" s="10"/>
      <c r="N6512" s="10"/>
      <c r="O6512" s="10"/>
      <c r="P6512" s="10"/>
      <c r="Q6512" s="10"/>
      <c r="R6512" s="10"/>
      <c r="S6512" s="10"/>
      <c r="T6512" s="10"/>
      <c r="U6512" s="10"/>
      <c r="V6512" s="10"/>
      <c r="W6512" s="10"/>
      <c r="X6512" s="10"/>
      <c r="Y6512" s="10"/>
      <c r="Z6512" s="10"/>
    </row>
    <row r="6513" spans="1:26" ht="12.75">
      <c r="A6513" s="10" t="str">
        <f ca="1">IFERROR(__xludf.DUMMYFUNCTION("""COMPUTED_VALUE"""),"Румелина Илиева Василева")</f>
        <v>Румелина Илиева Василева</v>
      </c>
      <c r="B6513" s="10" t="str">
        <f ca="1">IFERROR(__xludf.DUMMYFUNCTION("""COMPUTED_VALUE"""),"Статия в списания и поредици")</f>
        <v>Статия в списания и поредици</v>
      </c>
      <c r="C6513" s="10" t="str">
        <f ca="1">IFERROR(__xludf.DUMMYFUNCTION("""COMPUTED_VALUE"""),"Политики и поетики на различието. Книгопис")</f>
        <v>Политики и поетики на различието. Книгопис</v>
      </c>
      <c r="D6513" s="10">
        <f ca="1">IFERROR(__xludf.DUMMYFUNCTION("""COMPUTED_VALUE"""),2010)</f>
        <v>2010</v>
      </c>
      <c r="E6513" s="10" t="str">
        <f ca="1">IFERROR(__xludf.DUMMYFUNCTION("""COMPUTED_VALUE"""),"Литературата. Изд. Фак. Славянски филологии на СУ „Св. Климент Охридски“, V, 2010. Кн. 8, с. 393-399. ISSN 1313-1451")</f>
        <v>Литературата. Изд. Фак. Славянски филологии на СУ „Св. Климент Охридски“, V, 2010. Кн. 8, с. 393-399. ISSN 1313-1451</v>
      </c>
      <c r="F6513" s="10" t="str">
        <f ca="1">IFERROR(__xludf.DUMMYFUNCTION("""COMPUTED_VALUE"""),"COBISS")</f>
        <v>COBISS</v>
      </c>
      <c r="G6513" s="10"/>
      <c r="H6513" s="10"/>
      <c r="I6513" s="10"/>
      <c r="J6513" s="10"/>
      <c r="K6513" s="10"/>
      <c r="L6513" s="10"/>
      <c r="M6513" s="10"/>
      <c r="N6513" s="10"/>
      <c r="O6513" s="10"/>
      <c r="P6513" s="10"/>
      <c r="Q6513" s="10"/>
      <c r="R6513" s="10"/>
      <c r="S6513" s="10"/>
      <c r="T6513" s="10"/>
      <c r="U6513" s="10"/>
      <c r="V6513" s="10"/>
      <c r="W6513" s="10"/>
      <c r="X6513" s="10"/>
      <c r="Y6513" s="10"/>
      <c r="Z6513" s="10"/>
    </row>
    <row r="6514" spans="1:26" ht="12.75">
      <c r="A6514" s="10" t="str">
        <f ca="1">IFERROR(__xludf.DUMMYFUNCTION("""COMPUTED_VALUE"""),"Румелина Илиева Василева")</f>
        <v>Румелина Илиева Василева</v>
      </c>
      <c r="B6514" s="10" t="str">
        <f ca="1">IFERROR(__xludf.DUMMYFUNCTION("""COMPUTED_VALUE"""),"Статия в списания и поредици")</f>
        <v>Статия в списания и поредици</v>
      </c>
      <c r="C6514" s="10" t="str">
        <f ca="1">IFERROR(__xludf.DUMMYFUNCTION("""COMPUTED_VALUE"""),"Хората и работата в библиотеките")</f>
        <v>Хората и работата в библиотеките</v>
      </c>
      <c r="D6514" s="10">
        <f ca="1">IFERROR(__xludf.DUMMYFUNCTION("""COMPUTED_VALUE"""),2009)</f>
        <v>2009</v>
      </c>
      <c r="E6514" s="10" t="str">
        <f ca="1">IFERROR(__xludf.DUMMYFUNCTION("""COMPUTED_VALUE"""),"Добри библиотечни практики. София: WINI-1837, 2009, с. 134-143. ISBN 978-954-9437-09-6")</f>
        <v>Добри библиотечни практики. София: WINI-1837, 2009, с. 134-143. ISBN 978-954-9437-09-6</v>
      </c>
      <c r="F6514" s="10" t="str">
        <f ca="1">IFERROR(__xludf.DUMMYFUNCTION("""COMPUTED_VALUE"""),"COBISS")</f>
        <v>COBISS</v>
      </c>
      <c r="G6514" s="10"/>
      <c r="H6514" s="10"/>
      <c r="I6514" s="10"/>
      <c r="J6514" s="10"/>
      <c r="K6514" s="10"/>
      <c r="L6514" s="10"/>
      <c r="M6514" s="10"/>
      <c r="N6514" s="10"/>
      <c r="O6514" s="10"/>
      <c r="P6514" s="10"/>
      <c r="Q6514" s="10"/>
      <c r="R6514" s="10"/>
      <c r="S6514" s="10"/>
      <c r="T6514" s="10"/>
      <c r="U6514" s="10"/>
      <c r="V6514" s="10"/>
      <c r="W6514" s="10"/>
      <c r="X6514" s="10"/>
      <c r="Y6514" s="10"/>
      <c r="Z6514" s="10"/>
    </row>
    <row r="6515" spans="1:26" ht="12.75">
      <c r="A6515" s="10" t="str">
        <f ca="1">IFERROR(__xludf.DUMMYFUNCTION("""COMPUTED_VALUE"""),"Румелина Илиева Василева")</f>
        <v>Румелина Илиева Василева</v>
      </c>
      <c r="B6515" s="10" t="str">
        <f ca="1">IFERROR(__xludf.DUMMYFUNCTION("""COMPUTED_VALUE"""),"Статия в списания и поредици")</f>
        <v>Статия в списания и поредици</v>
      </c>
      <c r="C6515" s="10" t="str">
        <f ca="1">IFERROR(__xludf.DUMMYFUNCTION("""COMPUTED_VALUE"""),"ПР в нестопанските организации")</f>
        <v>ПР в нестопанските организации</v>
      </c>
      <c r="D6515" s="10">
        <f ca="1">IFERROR(__xludf.DUMMYFUNCTION("""COMPUTED_VALUE"""),2009)</f>
        <v>2009</v>
      </c>
      <c r="E6515" s="10" t="str">
        <f ca="1">IFERROR(__xludf.DUMMYFUNCTION("""COMPUTED_VALUE"""),"Връзки с обществеността и промоционални техники. София: WINI-1837, 2009, с. 69-81. ISBN 978-954-9437-07-2")</f>
        <v>Връзки с обществеността и промоционални техники. София: WINI-1837, 2009, с. 69-81. ISBN 978-954-9437-07-2</v>
      </c>
      <c r="F6515" s="10" t="str">
        <f ca="1">IFERROR(__xludf.DUMMYFUNCTION("""COMPUTED_VALUE"""),"COBISS")</f>
        <v>COBISS</v>
      </c>
      <c r="G6515" s="10"/>
      <c r="H6515" s="10"/>
      <c r="I6515" s="10"/>
      <c r="J6515" s="10"/>
      <c r="K6515" s="10"/>
      <c r="L6515" s="10"/>
      <c r="M6515" s="10"/>
      <c r="N6515" s="10"/>
      <c r="O6515" s="10"/>
      <c r="P6515" s="10"/>
      <c r="Q6515" s="10"/>
      <c r="R6515" s="10"/>
      <c r="S6515" s="10"/>
      <c r="T6515" s="10"/>
      <c r="U6515" s="10"/>
      <c r="V6515" s="10"/>
      <c r="W6515" s="10"/>
      <c r="X6515" s="10"/>
      <c r="Y6515" s="10"/>
      <c r="Z6515" s="10"/>
    </row>
    <row r="6516" spans="1:26" ht="12.75">
      <c r="A6516" s="10" t="str">
        <f ca="1">IFERROR(__xludf.DUMMYFUNCTION("""COMPUTED_VALUE"""),"Румелина Илиева Василева")</f>
        <v>Румелина Илиева Василева</v>
      </c>
      <c r="B6516" s="10" t="str">
        <f ca="1">IFERROR(__xludf.DUMMYFUNCTION("""COMPUTED_VALUE"""),"Статия в списания и поредици")</f>
        <v>Статия в списания и поредици</v>
      </c>
      <c r="C6516" s="10" t="str">
        <f ca="1">IFERROR(__xludf.DUMMYFUNCTION("""COMPUTED_VALUE"""),"Между информираността и познанието, или къде е мястото на университетската библиотека в обществото на знанието?")</f>
        <v>Между информираността и познанието, или къде е мястото на университетската библиотека в обществото на знанието?</v>
      </c>
      <c r="D6516" s="10">
        <f ca="1">IFERROR(__xludf.DUMMYFUNCTION("""COMPUTED_VALUE"""),2009)</f>
        <v>2009</v>
      </c>
      <c r="E6516" s="10" t="str">
        <f ca="1">IFERROR(__xludf.DUMMYFUNCTION("""COMPUTED_VALUE"""),"Университетските библиотеки – мост към единното европейско образователно пространство: Междунар. конф., 17 ноем. 2008, Арбанаси: Сб. по Нац. проект „Къща“. Състав. И. Янкова, Т. Тодорова. София: УИ „Св. Климент Охридски“, 2009, с. 105-131. ISBN 978-954-07"&amp;"-2984-8")</f>
        <v>Университетските библиотеки – мост към единното европейско образователно пространство: Междунар. конф., 17 ноем. 2008, Арбанаси: Сб. по Нац. проект „Къща“. Състав. И. Янкова, Т. Тодорова. София: УИ „Св. Климент Охридски“, 2009, с. 105-131. ISBN 978-954-07-2984-8</v>
      </c>
      <c r="F6516" s="10" t="str">
        <f ca="1">IFERROR(__xludf.DUMMYFUNCTION("""COMPUTED_VALUE"""),"COBISS")</f>
        <v>COBISS</v>
      </c>
      <c r="G6516" s="10"/>
      <c r="H6516" s="10"/>
      <c r="I6516" s="10"/>
      <c r="J6516" s="10"/>
      <c r="K6516" s="10"/>
      <c r="L6516" s="10"/>
      <c r="M6516" s="10"/>
      <c r="N6516" s="10"/>
      <c r="O6516" s="10"/>
      <c r="P6516" s="10"/>
      <c r="Q6516" s="10"/>
      <c r="R6516" s="10"/>
      <c r="S6516" s="10"/>
      <c r="T6516" s="10"/>
      <c r="U6516" s="10"/>
      <c r="V6516" s="10"/>
      <c r="W6516" s="10"/>
      <c r="X6516" s="10"/>
      <c r="Y6516" s="10"/>
      <c r="Z6516" s="10"/>
    </row>
    <row r="6517" spans="1:26" ht="12.75">
      <c r="A6517" s="10" t="str">
        <f ca="1">IFERROR(__xludf.DUMMYFUNCTION("""COMPUTED_VALUE"""),"Румелина Илиева Василева")</f>
        <v>Румелина Илиева Василева</v>
      </c>
      <c r="B6517" s="10" t="str">
        <f ca="1">IFERROR(__xludf.DUMMYFUNCTION("""COMPUTED_VALUE"""),"Статия в списания и поредици")</f>
        <v>Статия в списания и поредици</v>
      </c>
      <c r="C6517" s="10" t="str">
        <f ca="1">IFERROR(__xludf.DUMMYFUNCTION("""COMPUTED_VALUE"""),"Преводимост и конвертируемост на българската литература по света. Книгопис")</f>
        <v>Преводимост и конвертируемост на българската литература по света. Книгопис</v>
      </c>
      <c r="D6517" s="10">
        <f ca="1">IFERROR(__xludf.DUMMYFUNCTION("""COMPUTED_VALUE"""),2009)</f>
        <v>2009</v>
      </c>
      <c r="E6517" s="10" t="str">
        <f ca="1">IFERROR(__xludf.DUMMYFUNCTION("""COMPUTED_VALUE"""),"Литературата. Изд. Фак. Славянски филологии на СУ „Св. Климент Охридски“, ІІІ, 2009. Кн. 5, с. 253-265. ISSN 1313-1451")</f>
        <v>Литературата. Изд. Фак. Славянски филологии на СУ „Св. Климент Охридски“, ІІІ, 2009. Кн. 5, с. 253-265. ISSN 1313-1451</v>
      </c>
      <c r="F6517" s="10" t="str">
        <f ca="1">IFERROR(__xludf.DUMMYFUNCTION("""COMPUTED_VALUE"""),"COBISS")</f>
        <v>COBISS</v>
      </c>
      <c r="G6517" s="10"/>
      <c r="H6517" s="10"/>
      <c r="I6517" s="10"/>
      <c r="J6517" s="10"/>
      <c r="K6517" s="10"/>
      <c r="L6517" s="10"/>
      <c r="M6517" s="10"/>
      <c r="N6517" s="10"/>
      <c r="O6517" s="10"/>
      <c r="P6517" s="10"/>
      <c r="Q6517" s="10"/>
      <c r="R6517" s="10"/>
      <c r="S6517" s="10"/>
      <c r="T6517" s="10"/>
      <c r="U6517" s="10"/>
      <c r="V6517" s="10"/>
      <c r="W6517" s="10"/>
      <c r="X6517" s="10"/>
      <c r="Y6517" s="10"/>
      <c r="Z6517" s="10"/>
    </row>
    <row r="6518" spans="1:26" ht="12.75">
      <c r="A6518" s="10" t="str">
        <f ca="1">IFERROR(__xludf.DUMMYFUNCTION("""COMPUTED_VALUE"""),"Румелина Илиева Василева")</f>
        <v>Румелина Илиева Василева</v>
      </c>
      <c r="B6518" s="10" t="str">
        <f ca="1">IFERROR(__xludf.DUMMYFUNCTION("""COMPUTED_VALUE"""),"Статия в списания и поредици")</f>
        <v>Статия в списания и поредици</v>
      </c>
      <c r="C6518" s="10" t="str">
        <f ca="1">IFERROR(__xludf.DUMMYFUNCTION("""COMPUTED_VALUE"""),"Знанието и съвременните компетентности в библиотеките")</f>
        <v>Знанието и съвременните компетентности в библиотеките</v>
      </c>
      <c r="D6518" s="10">
        <f ca="1">IFERROR(__xludf.DUMMYFUNCTION("""COMPUTED_VALUE"""),2009)</f>
        <v>2009</v>
      </c>
      <c r="E6518" s="10" t="str">
        <f ca="1">IFERROR(__xludf.DUMMYFUNCTION("""COMPUTED_VALUE"""),"Наръчник по информационна компетентност. София: WINI-1837, 2009, с. 110-119. ISBN 978-954-9437-08-9")</f>
        <v>Наръчник по информационна компетентност. София: WINI-1837, 2009, с. 110-119. ISBN 978-954-9437-08-9</v>
      </c>
      <c r="F6518" s="10" t="str">
        <f ca="1">IFERROR(__xludf.DUMMYFUNCTION("""COMPUTED_VALUE"""),"COBISS")</f>
        <v>COBISS</v>
      </c>
      <c r="G6518" s="10"/>
      <c r="H6518" s="10"/>
      <c r="I6518" s="10"/>
      <c r="J6518" s="10"/>
      <c r="K6518" s="10"/>
      <c r="L6518" s="10"/>
      <c r="M6518" s="10"/>
      <c r="N6518" s="10"/>
      <c r="O6518" s="10"/>
      <c r="P6518" s="10"/>
      <c r="Q6518" s="10"/>
      <c r="R6518" s="10"/>
      <c r="S6518" s="10"/>
      <c r="T6518" s="10"/>
      <c r="U6518" s="10"/>
      <c r="V6518" s="10"/>
      <c r="W6518" s="10"/>
      <c r="X6518" s="10"/>
      <c r="Y6518" s="10"/>
      <c r="Z6518" s="10"/>
    </row>
    <row r="6519" spans="1:26" ht="12.75">
      <c r="A6519" s="10" t="str">
        <f ca="1">IFERROR(__xludf.DUMMYFUNCTION("""COMPUTED_VALUE"""),"Румелина Илиева Василева")</f>
        <v>Румелина Илиева Василева</v>
      </c>
      <c r="B6519" s="10" t="str">
        <f ca="1">IFERROR(__xludf.DUMMYFUNCTION("""COMPUTED_VALUE"""),"Статия в списания и поредици")</f>
        <v>Статия в списания и поредици</v>
      </c>
      <c r="C6519" s="10" t="str">
        <f ca="1">IFERROR(__xludf.DUMMYFUNCTION("""COMPUTED_VALUE"""),"Постмодерност и глобализация. Книгопис")</f>
        <v>Постмодерност и глобализация. Книгопис</v>
      </c>
      <c r="D6519" s="10">
        <f ca="1">IFERROR(__xludf.DUMMYFUNCTION("""COMPUTED_VALUE"""),2008)</f>
        <v>2008</v>
      </c>
      <c r="E6519" s="10" t="str">
        <f ca="1">IFERROR(__xludf.DUMMYFUNCTION("""COMPUTED_VALUE"""),"Литературата. Изд. Фак. Славянски филологии на СУ „Св. Климент Охридски“, ІІ, 2008. Кн. 3, с. 437-449. ISSN 1313-1451")</f>
        <v>Литературата. Изд. Фак. Славянски филологии на СУ „Св. Климент Охридски“, ІІ, 2008. Кн. 3, с. 437-449. ISSN 1313-1451</v>
      </c>
      <c r="F6519" s="10" t="str">
        <f ca="1">IFERROR(__xludf.DUMMYFUNCTION("""COMPUTED_VALUE"""),"COBISS")</f>
        <v>COBISS</v>
      </c>
      <c r="G6519" s="10"/>
      <c r="H6519" s="10"/>
      <c r="I6519" s="10"/>
      <c r="J6519" s="10"/>
      <c r="K6519" s="10"/>
      <c r="L6519" s="10"/>
      <c r="M6519" s="10"/>
      <c r="N6519" s="10"/>
      <c r="O6519" s="10"/>
      <c r="P6519" s="10"/>
      <c r="Q6519" s="10"/>
      <c r="R6519" s="10"/>
      <c r="S6519" s="10"/>
      <c r="T6519" s="10"/>
      <c r="U6519" s="10"/>
      <c r="V6519" s="10"/>
      <c r="W6519" s="10"/>
      <c r="X6519" s="10"/>
      <c r="Y6519" s="10"/>
      <c r="Z6519" s="10"/>
    </row>
    <row r="6520" spans="1:26" ht="12.75">
      <c r="A6520" s="10" t="str">
        <f ca="1">IFERROR(__xludf.DUMMYFUNCTION("""COMPUTED_VALUE"""),"Румелина Илиева Василева")</f>
        <v>Румелина Илиева Василева</v>
      </c>
      <c r="B6520" s="10" t="str">
        <f ca="1">IFERROR(__xludf.DUMMYFUNCTION("""COMPUTED_VALUE"""),"Статия в списания и поредици")</f>
        <v>Статия в списания и поредици</v>
      </c>
      <c r="C6520" s="10" t="str">
        <f ca="1">IFERROR(__xludf.DUMMYFUNCTION("""COMPUTED_VALUE"""),"Equal Access to Information for Students with Disabilities at University Libraries in Bulgaria. Poster")</f>
        <v>Equal Access to Information for Students with Disabilities at University Libraries in Bulgaria. Poster</v>
      </c>
      <c r="D6520" s="10">
        <f ca="1">IFERROR(__xludf.DUMMYFUNCTION("""COMPUTED_VALUE"""),2008)</f>
        <v>2008</v>
      </c>
      <c r="E6520" s="10" t="str">
        <f ca="1">IFERROR(__xludf.DUMMYFUNCTION("""COMPUTED_VALUE"""),"Information/Documentation Management and Cooperation among the Libraries in the Balkan Countries: Symposium Papers, 5-7 June 2008, Edirne, Turkey. Eds. E. Bilar, Y. Ekinci. Edirne: Trakya University, 2008, p. 367-370. (Trakya Universitesi Rektorlugu Yayin"&amp;"lari; 87) ISBN 978-975-374-090-6")</f>
        <v>Information/Documentation Management and Cooperation among the Libraries in the Balkan Countries: Symposium Papers, 5-7 June 2008, Edirne, Turkey. Eds. E. Bilar, Y. Ekinci. Edirne: Trakya University, 2008, p. 367-370. (Trakya Universitesi Rektorlugu Yayinlari; 87) ISBN 978-975-374-090-6</v>
      </c>
      <c r="F6520" s="10" t="str">
        <f ca="1">IFERROR(__xludf.DUMMYFUNCTION("""COMPUTED_VALUE"""),"Taylor &amp; Francis Online; EBSCO; SWETS; Elsevier; Emerald")</f>
        <v>Taylor &amp; Francis Online; EBSCO; SWETS; Elsevier; Emerald</v>
      </c>
      <c r="G6520" s="10" t="str">
        <f ca="1">IFERROR(__xludf.DUMMYFUNCTION("""COMPUTED_VALUE"""),"Todorova, Tanya")</f>
        <v>Todorova, Tanya</v>
      </c>
      <c r="H6520" s="10"/>
      <c r="I6520" s="10"/>
      <c r="J6520" s="10"/>
      <c r="K6520" s="10"/>
      <c r="L6520" s="10"/>
      <c r="M6520" s="10"/>
      <c r="N6520" s="10"/>
      <c r="O6520" s="10"/>
      <c r="P6520" s="10"/>
      <c r="Q6520" s="10"/>
      <c r="R6520" s="10"/>
      <c r="S6520" s="10"/>
      <c r="T6520" s="10"/>
      <c r="U6520" s="10"/>
      <c r="V6520" s="10"/>
      <c r="W6520" s="10"/>
      <c r="X6520" s="10"/>
      <c r="Y6520" s="10"/>
      <c r="Z6520" s="10"/>
    </row>
    <row r="6521" spans="1:26" ht="12.75">
      <c r="A6521" s="10" t="str">
        <f ca="1">IFERROR(__xludf.DUMMYFUNCTION("""COMPUTED_VALUE"""),"Румелина Илиева Василева")</f>
        <v>Румелина Илиева Василева</v>
      </c>
      <c r="B6521" s="10" t="str">
        <f ca="1">IFERROR(__xludf.DUMMYFUNCTION("""COMPUTED_VALUE"""),"Статия в списания и поредици")</f>
        <v>Статия в списания и поредици</v>
      </c>
      <c r="C6521" s="10" t="str">
        <f ca="1">IFERROR(__xludf.DUMMYFUNCTION("""COMPUTED_VALUE"""),"PR-програма на Университетска библиотека за популяризиране на информацията за Европа")</f>
        <v>PR-програма на Университетска библиотека за популяризиране на информацията за Европа</v>
      </c>
      <c r="D6521" s="10">
        <f ca="1">IFERROR(__xludf.DUMMYFUNCTION("""COMPUTED_VALUE"""),2008)</f>
        <v>2008</v>
      </c>
      <c r="E6521" s="10" t="str">
        <f ca="1">IFERROR(__xludf.DUMMYFUNCTION("""COMPUTED_VALUE"""),"С модерни библиотеки – достойно в Европа: Доклади от ХVІ нац. конф. на СБИР, 8-9 юни 2006. София: „Милена принт“, 2008, с. 86-88. ISBN 978-954-9837-15-5")</f>
        <v>С модерни библиотеки – достойно в Европа: Доклади от ХVІ нац. конф. на СБИР, 8-9 юни 2006. София: „Милена принт“, 2008, с. 86-88. ISBN 978-954-9837-15-5</v>
      </c>
      <c r="F6521" s="10" t="str">
        <f ca="1">IFERROR(__xludf.DUMMYFUNCTION("""COMPUTED_VALUE"""),"COBISS")</f>
        <v>COBISS</v>
      </c>
      <c r="G6521" s="10" t="str">
        <f ca="1">IFERROR(__xludf.DUMMYFUNCTION("""COMPUTED_VALUE"""),"Тодорова, Таня Котова, Василка Кътовски, Димитър")</f>
        <v>Тодорова, Таня Котова, Василка Кътовски, Димитър</v>
      </c>
      <c r="H6521" s="10"/>
      <c r="I6521" s="10"/>
      <c r="J6521" s="10"/>
      <c r="K6521" s="10"/>
      <c r="L6521" s="10"/>
      <c r="M6521" s="10"/>
      <c r="N6521" s="10"/>
      <c r="O6521" s="10"/>
      <c r="P6521" s="10"/>
      <c r="Q6521" s="10"/>
      <c r="R6521" s="10"/>
      <c r="S6521" s="10"/>
      <c r="T6521" s="10"/>
      <c r="U6521" s="10"/>
      <c r="V6521" s="10"/>
      <c r="W6521" s="10"/>
      <c r="X6521" s="10"/>
      <c r="Y6521" s="10"/>
      <c r="Z6521" s="10"/>
    </row>
    <row r="6522" spans="1:26" ht="12.75">
      <c r="A6522" s="10" t="str">
        <f ca="1">IFERROR(__xludf.DUMMYFUNCTION("""COMPUTED_VALUE"""),"Румелина Илиева Василева")</f>
        <v>Румелина Илиева Василева</v>
      </c>
      <c r="B6522" s="10" t="str">
        <f ca="1">IFERROR(__xludf.DUMMYFUNCTION("""COMPUTED_VALUE"""),"Статия в списания и поредици")</f>
        <v>Статия в списания и поредици</v>
      </c>
      <c r="C6522" s="10" t="str">
        <f ca="1">IFERROR(__xludf.DUMMYFUNCTION("""COMPUTED_VALUE"""),"Писането и интернет. Книгопис.")</f>
        <v>Писането и интернет. Книгопис.</v>
      </c>
      <c r="D6522" s="10">
        <f ca="1">IFERROR(__xludf.DUMMYFUNCTION("""COMPUTED_VALUE"""),2008)</f>
        <v>2008</v>
      </c>
      <c r="E6522" s="10" t="str">
        <f ca="1">IFERROR(__xludf.DUMMYFUNCTION("""COMPUTED_VALUE"""),"Литературата. Изд. Фак. Славянски филологии на СУ „Св. Климент Охридски“, І, 2007 (2008). Кн. 2, с. 273-304. ISSN 1313-1451")</f>
        <v>Литературата. Изд. Фак. Славянски филологии на СУ „Св. Климент Охридски“, І, 2007 (2008). Кн. 2, с. 273-304. ISSN 1313-1451</v>
      </c>
      <c r="F6522" s="10" t="str">
        <f ca="1">IFERROR(__xludf.DUMMYFUNCTION("""COMPUTED_VALUE"""),"COBISS")</f>
        <v>COBISS</v>
      </c>
      <c r="G6522" s="10"/>
      <c r="H6522" s="10"/>
      <c r="I6522" s="10"/>
      <c r="J6522" s="10"/>
      <c r="K6522" s="10"/>
      <c r="L6522" s="10"/>
      <c r="M6522" s="10"/>
      <c r="N6522" s="10"/>
      <c r="O6522" s="10"/>
      <c r="P6522" s="10"/>
      <c r="Q6522" s="10"/>
      <c r="R6522" s="10"/>
      <c r="S6522" s="10"/>
      <c r="T6522" s="10"/>
      <c r="U6522" s="10"/>
      <c r="V6522" s="10"/>
      <c r="W6522" s="10"/>
      <c r="X6522" s="10"/>
      <c r="Y6522" s="10"/>
      <c r="Z6522" s="10"/>
    </row>
    <row r="6523" spans="1:26" ht="12.75">
      <c r="A6523" s="10" t="str">
        <f ca="1">IFERROR(__xludf.DUMMYFUNCTION("""COMPUTED_VALUE"""),"Румелина Илиева Василева")</f>
        <v>Румелина Илиева Василева</v>
      </c>
      <c r="B6523" s="10" t="str">
        <f ca="1">IFERROR(__xludf.DUMMYFUNCTION("""COMPUTED_VALUE"""),"Статия в списания и поредици")</f>
        <v>Статия в списания и поредици</v>
      </c>
      <c r="C6523" s="10" t="str">
        <f ca="1">IFERROR(__xludf.DUMMYFUNCTION("""COMPUTED_VALUE"""),"Новата журналистика. Книгопис")</f>
        <v>Новата журналистика. Книгопис</v>
      </c>
      <c r="D6523" s="10">
        <f ca="1">IFERROR(__xludf.DUMMYFUNCTION("""COMPUTED_VALUE"""),2008)</f>
        <v>2008</v>
      </c>
      <c r="E6523" s="10" t="str">
        <f ca="1">IFERROR(__xludf.DUMMYFUNCTION("""COMPUTED_VALUE"""),"Литературата. Изд. Фак. Славянски филологии на СУ „Св. Климент Охридски“, ІІ, 2008. Кн. 4, с. 272-305. ISSN 1313-1451")</f>
        <v>Литературата. Изд. Фак. Славянски филологии на СУ „Св. Климент Охридски“, ІІ, 2008. Кн. 4, с. 272-305. ISSN 1313-1451</v>
      </c>
      <c r="F6523" s="10" t="str">
        <f ca="1">IFERROR(__xludf.DUMMYFUNCTION("""COMPUTED_VALUE"""),"COBISS")</f>
        <v>COBISS</v>
      </c>
      <c r="G6523" s="10"/>
      <c r="H6523" s="10"/>
      <c r="I6523" s="10"/>
      <c r="J6523" s="10"/>
      <c r="K6523" s="10"/>
      <c r="L6523" s="10"/>
      <c r="M6523" s="10"/>
      <c r="N6523" s="10"/>
      <c r="O6523" s="10"/>
      <c r="P6523" s="10"/>
      <c r="Q6523" s="10"/>
      <c r="R6523" s="10"/>
      <c r="S6523" s="10"/>
      <c r="T6523" s="10"/>
      <c r="U6523" s="10"/>
      <c r="V6523" s="10"/>
      <c r="W6523" s="10"/>
      <c r="X6523" s="10"/>
      <c r="Y6523" s="10"/>
      <c r="Z6523" s="10"/>
    </row>
    <row r="6524" spans="1:26" ht="12.75">
      <c r="A6524" s="10" t="str">
        <f ca="1">IFERROR(__xludf.DUMMYFUNCTION("""COMPUTED_VALUE"""),"Румелина Илиева Василева")</f>
        <v>Румелина Илиева Василева</v>
      </c>
      <c r="B6524" s="10" t="str">
        <f ca="1">IFERROR(__xludf.DUMMYFUNCTION("""COMPUTED_VALUE"""),"Статия в списания и поредици")</f>
        <v>Статия в списания и поредици</v>
      </c>
      <c r="C6524" s="10" t="str">
        <f ca="1">IFERROR(__xludf.DUMMYFUNCTION("""COMPUTED_VALUE"""),"„Четенето и писането“ и Интернет в модерната библиотека")</f>
        <v>„Четенето и писането“ и Интернет в модерната библиотека</v>
      </c>
      <c r="D6524" s="10">
        <f ca="1">IFERROR(__xludf.DUMMYFUNCTION("""COMPUTED_VALUE"""),2008)</f>
        <v>2008</v>
      </c>
      <c r="E6524" s="10" t="str">
        <f ca="1">IFERROR(__xludf.DUMMYFUNCTION("""COMPUTED_VALUE"""),"Кирилицата в духовността на европейската информационна цивилизация: Пета нац. науч. конф. с междунар. уч., 1 ноември 2007. София: За буквите – О писменехь, 2008, с. 523-534. ISBN 978-954-8887-42-7")</f>
        <v>Кирилицата в духовността на европейската информационна цивилизация: Пета нац. науч. конф. с междунар. уч., 1 ноември 2007. София: За буквите – О писменехь, 2008, с. 523-534. ISBN 978-954-8887-42-7</v>
      </c>
      <c r="F6524" s="10" t="str">
        <f ca="1">IFERROR(__xludf.DUMMYFUNCTION("""COMPUTED_VALUE"""),"COBISS")</f>
        <v>COBISS</v>
      </c>
      <c r="G6524" s="10"/>
      <c r="H6524" s="10"/>
      <c r="I6524" s="10"/>
      <c r="J6524" s="10"/>
      <c r="K6524" s="10"/>
      <c r="L6524" s="10"/>
      <c r="M6524" s="10"/>
      <c r="N6524" s="10"/>
      <c r="O6524" s="10"/>
      <c r="P6524" s="10"/>
      <c r="Q6524" s="10"/>
      <c r="R6524" s="10"/>
      <c r="S6524" s="10"/>
      <c r="T6524" s="10"/>
      <c r="U6524" s="10"/>
      <c r="V6524" s="10"/>
      <c r="W6524" s="10"/>
      <c r="X6524" s="10"/>
      <c r="Y6524" s="10"/>
      <c r="Z6524" s="10"/>
    </row>
    <row r="6525" spans="1:26" ht="12.75">
      <c r="A6525" s="10" t="str">
        <f ca="1">IFERROR(__xludf.DUMMYFUNCTION("""COMPUTED_VALUE"""),"Румелина Илиева Василева")</f>
        <v>Румелина Илиева Василева</v>
      </c>
      <c r="B6525" s="10" t="str">
        <f ca="1">IFERROR(__xludf.DUMMYFUNCTION("""COMPUTED_VALUE"""),"Статия в списания и поредици")</f>
        <v>Статия в списания и поредици</v>
      </c>
      <c r="C6525" s="10" t="str">
        <f ca="1">IFERROR(__xludf.DUMMYFUNCTION("""COMPUTED_VALUE"""),"Библията в българските библиотеки. Книгопис.")</f>
        <v>Библията в българските библиотеки. Книгопис.</v>
      </c>
      <c r="D6525" s="10">
        <f ca="1">IFERROR(__xludf.DUMMYFUNCTION("""COMPUTED_VALUE"""),2008)</f>
        <v>2008</v>
      </c>
      <c r="E6525" s="10" t="str">
        <f ca="1">IFERROR(__xludf.DUMMYFUNCTION("""COMPUTED_VALUE"""),"Литературата. Изд. Фак. Славянски филологии на СУ „Св. Климент Охридски“, І, 2007 (2008). Кн. 1, с. 254-283. ISSN 1313-1451")</f>
        <v>Литературата. Изд. Фак. Славянски филологии на СУ „Св. Климент Охридски“, І, 2007 (2008). Кн. 1, с. 254-283. ISSN 1313-1451</v>
      </c>
      <c r="F6525" s="10" t="str">
        <f ca="1">IFERROR(__xludf.DUMMYFUNCTION("""COMPUTED_VALUE"""),"COBISS")</f>
        <v>COBISS</v>
      </c>
      <c r="G6525" s="10"/>
      <c r="H6525" s="10"/>
      <c r="I6525" s="10"/>
      <c r="J6525" s="10"/>
      <c r="K6525" s="10"/>
      <c r="L6525" s="10"/>
      <c r="M6525" s="10"/>
      <c r="N6525" s="10"/>
      <c r="O6525" s="10"/>
      <c r="P6525" s="10"/>
      <c r="Q6525" s="10"/>
      <c r="R6525" s="10"/>
      <c r="S6525" s="10"/>
      <c r="T6525" s="10"/>
      <c r="U6525" s="10"/>
      <c r="V6525" s="10"/>
      <c r="W6525" s="10"/>
      <c r="X6525" s="10"/>
      <c r="Y6525" s="10"/>
      <c r="Z6525" s="10"/>
    </row>
    <row r="6526" spans="1:26" ht="12.75">
      <c r="A6526" s="10" t="str">
        <f ca="1">IFERROR(__xludf.DUMMYFUNCTION("""COMPUTED_VALUE"""),"Румелина Илиева Василева")</f>
        <v>Румелина Илиева Василева</v>
      </c>
      <c r="B6526" s="10" t="str">
        <f ca="1">IFERROR(__xludf.DUMMYFUNCTION("""COMPUTED_VALUE"""),"Статия в списания и поредици")</f>
        <v>Статия в списания и поредици</v>
      </c>
      <c r="C6526" s="10" t="str">
        <f ca="1">IFERROR(__xludf.DUMMYFUNCTION("""COMPUTED_VALUE"""),"Българските градове през Възраждането : Историческо, социологическо и политологическо изследване : Ч. 1-2.")</f>
        <v>Българските градове през Възраждането : Историческо, социологическо и политологическо изследване : Ч. 1-2.</v>
      </c>
      <c r="D6526" s="10">
        <f ca="1">IFERROR(__xludf.DUMMYFUNCTION("""COMPUTED_VALUE"""),2004)</f>
        <v>2004</v>
      </c>
      <c r="E6526" s="10" t="str">
        <f ca="1">IFERROR(__xludf.DUMMYFUNCTION("""COMPUTED_VALUE"""),"Състав. Иванка Янкова, Минчо Семов, Радосвета Минчева, Силвия Миковска, Румелина Василева, Таня Тодорова, Татяна Дочева, Бистра. Драголова, Соня Бояджиева. Науч. ред. И. Янкова. Ред. Румелина Василева. София: УИ “Св. Климент Охридски”, 2004; 2007-2010. 10"&amp;"24 с.; 960 с., 816 с. ISBN 954-07-2084-2 (ч. 1. Във футляр), ISBN 954-07-2083-4 (прил.) ; ISBN 978-954-07-2484-3")</f>
        <v>Състав. Иванка Янкова, Минчо Семов, Радосвета Минчева, Силвия Миковска, Румелина Василева, Таня Тодорова, Татяна Дочева, Бистра. Драголова, Соня Бояджиева. Науч. ред. И. Янкова. Ред. Румелина Василева. София: УИ “Св. Климент Охридски”, 2004; 2007-2010. 1024 с.; 960 с., 816 с. ISBN 954-07-2084-2 (ч. 1. Във футляр), ISBN 954-07-2083-4 (прил.) ; ISBN 978-954-07-2484-3</v>
      </c>
      <c r="F6526" s="10" t="str">
        <f ca="1">IFERROR(__xludf.DUMMYFUNCTION("""COMPUTED_VALUE"""),"COBISS")</f>
        <v>COBISS</v>
      </c>
      <c r="G6526" s="10" t="str">
        <f ca="1">IFERROR(__xludf.DUMMYFUNCTION("""COMPUTED_VALUE"""),"Янкова, Иванка и др.")</f>
        <v>Янкова, Иванка и др.</v>
      </c>
      <c r="H6526" s="10"/>
      <c r="I6526" s="10"/>
      <c r="J6526" s="10"/>
      <c r="K6526" s="10"/>
      <c r="L6526" s="10"/>
      <c r="M6526" s="10"/>
      <c r="N6526" s="10"/>
      <c r="O6526" s="10"/>
      <c r="P6526" s="10"/>
      <c r="Q6526" s="10"/>
      <c r="R6526" s="10"/>
      <c r="S6526" s="10"/>
      <c r="T6526" s="10"/>
      <c r="U6526" s="10"/>
      <c r="V6526" s="10"/>
      <c r="W6526" s="10"/>
      <c r="X6526" s="10"/>
      <c r="Y6526" s="10"/>
      <c r="Z6526" s="10"/>
    </row>
    <row r="6527" spans="1:26" ht="12.75">
      <c r="A6527" s="10" t="str">
        <f ca="1">IFERROR(__xludf.DUMMYFUNCTION("""COMPUTED_VALUE"""),"Румен Василев Николов")</f>
        <v>Румен Василев Николов</v>
      </c>
      <c r="B6527" s="10" t="str">
        <f ca="1">IFERROR(__xludf.DUMMYFUNCTION("""COMPUTED_VALUE"""),"Книга")</f>
        <v>Книга</v>
      </c>
      <c r="C6527" s="10" t="str">
        <f ca="1">IFERROR(__xludf.DUMMYFUNCTION("""COMPUTED_VALUE"""),"Smart Home as a Service: Towards Smart and Energy Efficient Homes")</f>
        <v>Smart Home as a Service: Towards Smart and Energy Efficient Homes</v>
      </c>
      <c r="D6527" s="10">
        <f ca="1">IFERROR(__xludf.DUMMYFUNCTION("""COMPUTED_VALUE"""),2019)</f>
        <v>2019</v>
      </c>
      <c r="E6527" s="10" t="str">
        <f ca="1">IFERROR(__xludf.DUMMYFUNCTION("""COMPUTED_VALUE"""),"Lambert Academic Publishing, ISBN 978-620-0-00307-2")</f>
        <v>Lambert Academic Publishing, ISBN 978-620-0-00307-2</v>
      </c>
      <c r="F6527" s="10"/>
      <c r="G6527" s="10"/>
      <c r="H6527" s="10"/>
      <c r="I6527" s="10"/>
      <c r="J6527" s="10"/>
      <c r="K6527" s="10"/>
      <c r="L6527" s="10"/>
      <c r="M6527" s="10"/>
      <c r="N6527" s="10"/>
      <c r="O6527" s="10"/>
      <c r="P6527" s="10"/>
      <c r="Q6527" s="10"/>
      <c r="R6527" s="10"/>
      <c r="S6527" s="10"/>
      <c r="T6527" s="10"/>
      <c r="U6527" s="10"/>
      <c r="V6527" s="10"/>
      <c r="W6527" s="10"/>
      <c r="X6527" s="10"/>
      <c r="Y6527" s="10"/>
      <c r="Z6527" s="10"/>
    </row>
    <row r="6528" spans="1:26" ht="12.75">
      <c r="A6528" s="10" t="str">
        <f ca="1">IFERROR(__xludf.DUMMYFUNCTION("""COMPUTED_VALUE"""),"Румен Василев Николов")</f>
        <v>Румен Василев Николов</v>
      </c>
      <c r="B6528" s="10" t="str">
        <f ca="1">IFERROR(__xludf.DUMMYFUNCTION("""COMPUTED_VALUE"""),"Статия в списания и поредици")</f>
        <v>Статия в списания и поредици</v>
      </c>
      <c r="C6528" s="10" t="str">
        <f ca="1">IFERROR(__xludf.DUMMYFUNCTION("""COMPUTED_VALUE"""),"Education Systems in the Digital Age: The Need for Alignment")</f>
        <v>Education Systems in the Digital Age: The Need for Alignment</v>
      </c>
      <c r="D6528" s="10">
        <f ca="1">IFERROR(__xludf.DUMMYFUNCTION("""COMPUTED_VALUE"""),2018)</f>
        <v>2018</v>
      </c>
      <c r="E6528" s="10" t="str">
        <f ca="1">IFERROR(__xludf.DUMMYFUNCTION("""COMPUTED_VALUE"""),"Journal Technology, Knowledge and Learning, Volume 23, Issue 3, pp 473–494 , https://doi.org/10.1007/s10758-018-9388-6")</f>
        <v>Journal Technology, Knowledge and Learning, Volume 23, Issue 3, pp 473–494 , https://doi.org/10.1007/s10758-018-9388-6</v>
      </c>
      <c r="F6528" s="10"/>
      <c r="G6528" s="10"/>
      <c r="H6528" s="10"/>
      <c r="I6528" s="10"/>
      <c r="J6528" s="10"/>
      <c r="K6528" s="10"/>
      <c r="L6528" s="10"/>
      <c r="M6528" s="10"/>
      <c r="N6528" s="10"/>
      <c r="O6528" s="10"/>
      <c r="P6528" s="10"/>
      <c r="Q6528" s="10"/>
      <c r="R6528" s="10"/>
      <c r="S6528" s="10"/>
      <c r="T6528" s="10"/>
      <c r="U6528" s="10"/>
      <c r="V6528" s="10"/>
      <c r="W6528" s="10"/>
      <c r="X6528" s="10"/>
      <c r="Y6528" s="10"/>
      <c r="Z6528" s="10"/>
    </row>
    <row r="6529" spans="1:26" ht="12.75">
      <c r="A6529" s="10" t="str">
        <f ca="1">IFERROR(__xludf.DUMMYFUNCTION("""COMPUTED_VALUE"""),"Румен Василев Николов")</f>
        <v>Румен Василев Николов</v>
      </c>
      <c r="B6529" s="10" t="str">
        <f ca="1">IFERROR(__xludf.DUMMYFUNCTION("""COMPUTED_VALUE"""),"Статия в списания и поредици")</f>
        <v>Статия в списания и поредици</v>
      </c>
      <c r="C6529" s="10" t="str">
        <f ca="1">IFERROR(__xludf.DUMMYFUNCTION("""COMPUTED_VALUE"""),"Challenges and Opportunities of Blockchain Technologies in Industrial Applications")</f>
        <v>Challenges and Opportunities of Blockchain Technologies in Industrial Applications</v>
      </c>
      <c r="D6529" s="10">
        <f ca="1">IFERROR(__xludf.DUMMYFUNCTION("""COMPUTED_VALUE"""),2018)</f>
        <v>2018</v>
      </c>
      <c r="E6529" s="10" t="str">
        <f ca="1">IFERROR(__xludf.DUMMYFUNCTION("""COMPUTED_VALUE"""),"Serdica Journal of Computing (in print)")</f>
        <v>Serdica Journal of Computing (in print)</v>
      </c>
      <c r="F6529" s="10" t="str">
        <f ca="1">IFERROR(__xludf.DUMMYFUNCTION("""COMPUTED_VALUE"""),"Zentralblatt MATH - http://www.zentralblatt-math.org/zmath/en/search/
 All-Russian Institute for Scientific and Technical Information – VINITI - http://www2.viniti.ru/
 The European Mathematics Library – EuDML - https://eudml.org/
 Google Scholar and DRIV"&amp;"ER Search Portal - http://search.driver.research-infrastructures.eu/")</f>
        <v>Zentralblatt MATH - http://www.zentralblatt-math.org/zmath/en/search/
 All-Russian Institute for Scientific and Technical Information – VINITI - http://www2.viniti.ru/
 The European Mathematics Library – EuDML - https://eudml.org/
 Google Scholar and DRIVER Search Portal - http://search.driver.research-infrastructures.eu/</v>
      </c>
      <c r="G6529" s="10" t="str">
        <f ca="1">IFERROR(__xludf.DUMMYFUNCTION("""COMPUTED_VALUE"""),"Galia Novakova, Elena Shoikova")</f>
        <v>Galia Novakova, Elena Shoikova</v>
      </c>
      <c r="H6529" s="10"/>
      <c r="I6529" s="10"/>
      <c r="J6529" s="10"/>
      <c r="K6529" s="10"/>
      <c r="L6529" s="10"/>
      <c r="M6529" s="10"/>
      <c r="N6529" s="10"/>
      <c r="O6529" s="10"/>
      <c r="P6529" s="10"/>
      <c r="Q6529" s="10"/>
      <c r="R6529" s="10"/>
      <c r="S6529" s="10"/>
      <c r="T6529" s="10"/>
      <c r="U6529" s="10"/>
      <c r="V6529" s="10"/>
      <c r="W6529" s="10"/>
      <c r="X6529" s="10"/>
      <c r="Y6529" s="10"/>
      <c r="Z6529" s="10"/>
    </row>
    <row r="6530" spans="1:26" ht="12.75">
      <c r="A6530" s="10" t="str">
        <f ca="1">IFERROR(__xludf.DUMMYFUNCTION("""COMPUTED_VALUE"""),"Румен Василев Николов")</f>
        <v>Румен Василев Николов</v>
      </c>
      <c r="B6530" s="10" t="str">
        <f ca="1">IFERROR(__xludf.DUMMYFUNCTION("""COMPUTED_VALUE"""),"Книга")</f>
        <v>Книга</v>
      </c>
      <c r="C6530" s="10" t="str">
        <f ca="1">IFERROR(__xludf.DUMMYFUNCTION("""COMPUTED_VALUE"""),"Distance and Flexible Learning in the Twenty-First Century")</f>
        <v>Distance and Flexible Learning in the Twenty-First Century</v>
      </c>
      <c r="D6530" s="10">
        <f ca="1">IFERROR(__xludf.DUMMYFUNCTION("""COMPUTED_VALUE"""),2018)</f>
        <v>2018</v>
      </c>
      <c r="E6530" s="10" t="str">
        <f ca="1">IFERROR(__xludf.DUMMYFUNCTION("""COMPUTED_VALUE"""),"Second Handbook of Information Technology in Primary and Secondary Education. Springer International Handbooks of Education. Springer, Cham, DOI https://doi.org/10.1007/978-3-319-53803-7_49-1, Online ISBN 978-3-319-53803-7")</f>
        <v>Second Handbook of Information Technology in Primary and Secondary Education. Springer International Handbooks of Education. Springer, Cham, DOI https://doi.org/10.1007/978-3-319-53803-7_49-1, Online ISBN 978-3-319-53803-7</v>
      </c>
      <c r="F6530" s="10" t="str">
        <f ca="1">IFERROR(__xludf.DUMMYFUNCTION("""COMPUTED_VALUE"""),"ISI Conference Proceedings Citation Index - Science (CPCI-S), included in ISI Web of Science
 EI Engineering Index (Compendex and Inspec databases)
 ACM Digital Library
 DBLP
 Google Scholar
 IO-Port
 MathSciNet
 Scopus 
 Zentralblatt MATH")</f>
        <v>ISI Conference Proceedings Citation Index - Science (CPCI-S), included in ISI Web of Science
 EI Engineering Index (Compendex and Inspec databases)
 ACM Digital Library
 DBLP
 Google Scholar
 IO-Port
 MathSciNet
 Scopus 
 Zentralblatt MATH</v>
      </c>
      <c r="G6530" s="10" t="str">
        <f ca="1">IFERROR(__xludf.DUMMYFUNCTION("""COMPUTED_VALUE"""),"Kwok-Wing Lai, Evgenia Sendova, Herma Jonker")</f>
        <v>Kwok-Wing Lai, Evgenia Sendova, Herma Jonker</v>
      </c>
      <c r="H6530" s="10"/>
      <c r="I6530" s="10"/>
      <c r="J6530" s="10"/>
      <c r="K6530" s="10"/>
      <c r="L6530" s="10"/>
      <c r="M6530" s="10"/>
      <c r="N6530" s="10"/>
      <c r="O6530" s="10"/>
      <c r="P6530" s="10"/>
      <c r="Q6530" s="10"/>
      <c r="R6530" s="10"/>
      <c r="S6530" s="10"/>
      <c r="T6530" s="10"/>
      <c r="U6530" s="10"/>
      <c r="V6530" s="10"/>
      <c r="W6530" s="10"/>
      <c r="X6530" s="10"/>
      <c r="Y6530" s="10"/>
      <c r="Z6530" s="10"/>
    </row>
    <row r="6531" spans="1:26" ht="12.75">
      <c r="A6531" s="10" t="str">
        <f ca="1">IFERROR(__xludf.DUMMYFUNCTION("""COMPUTED_VALUE"""),"Румен Василев Николов")</f>
        <v>Румен Василев Николов</v>
      </c>
      <c r="B6531" s="10" t="str">
        <f ca="1">IFERROR(__xludf.DUMMYFUNCTION("""COMPUTED_VALUE"""),"Статия в списания и поредици")</f>
        <v>Статия в списания и поредици</v>
      </c>
      <c r="C6531" s="10" t="str">
        <f ca="1">IFERROR(__xludf.DUMMYFUNCTION("""COMPUTED_VALUE"""),"Flexible, Distance, and Open Learning in the Twenty-First Century")</f>
        <v>Flexible, Distance, and Open Learning in the Twenty-First Century</v>
      </c>
      <c r="D6531" s="10">
        <f ca="1">IFERROR(__xludf.DUMMYFUNCTION("""COMPUTED_VALUE"""),2018)</f>
        <v>2018</v>
      </c>
      <c r="E6531" s="10" t="str">
        <f ca="1">IFERROR(__xludf.DUMMYFUNCTION("""COMPUTED_VALUE"""),"Second Handbook of Information Technology in Primary and Secondary Education. Springer International Handbooks of Education. Springer, Cham, DOI https://doi.org/10.1007/978-3-319-53803-7_49-1, Online ISBN 978-3-319-53803-7")</f>
        <v>Second Handbook of Information Technology in Primary and Secondary Education. Springer International Handbooks of Education. Springer, Cham, DOI https://doi.org/10.1007/978-3-319-53803-7_49-1, Online ISBN 978-3-319-53803-7</v>
      </c>
      <c r="F6531" s="10" t="str">
        <f ca="1">IFERROR(__xludf.DUMMYFUNCTION("""COMPUTED_VALUE"""),"ISI Conference Proceedings Citation Index - Science (CPCI-S), included in ISI Web of Science
 EI Engineering Index (Compendex and Inspec databases)
 ACM Digital Library
 DBLP
 Google Scholar
 IO-Port
 MathSciNet
 Scopus 
 Zentralblatt MATH")</f>
        <v>ISI Conference Proceedings Citation Index - Science (CPCI-S), included in ISI Web of Science
 EI Engineering Index (Compendex and Inspec databases)
 ACM Digital Library
 DBLP
 Google Scholar
 IO-Port
 MathSciNet
 Scopus 
 Zentralblatt MATH</v>
      </c>
      <c r="G6531" s="10" t="str">
        <f ca="1">IFERROR(__xludf.DUMMYFUNCTION("""COMPUTED_VALUE"""),"Kwok-Wing Lai")</f>
        <v>Kwok-Wing Lai</v>
      </c>
      <c r="H6531" s="10"/>
      <c r="I6531" s="10"/>
      <c r="J6531" s="10"/>
      <c r="K6531" s="10"/>
      <c r="L6531" s="10"/>
      <c r="M6531" s="10"/>
      <c r="N6531" s="10"/>
      <c r="O6531" s="10"/>
      <c r="P6531" s="10"/>
      <c r="Q6531" s="10"/>
      <c r="R6531" s="10"/>
      <c r="S6531" s="10"/>
      <c r="T6531" s="10"/>
      <c r="U6531" s="10"/>
      <c r="V6531" s="10"/>
      <c r="W6531" s="10"/>
      <c r="X6531" s="10"/>
      <c r="Y6531" s="10"/>
      <c r="Z6531" s="10"/>
    </row>
    <row r="6532" spans="1:26" ht="12.75">
      <c r="A6532" s="10" t="str">
        <f ca="1">IFERROR(__xludf.DUMMYFUNCTION("""COMPUTED_VALUE"""),"Румен Василев Николов")</f>
        <v>Румен Василев Николов</v>
      </c>
      <c r="B6532" s="10" t="str">
        <f ca="1">IFERROR(__xludf.DUMMYFUNCTION("""COMPUTED_VALUE"""),"Доклад от конференция")</f>
        <v>Доклад от конференция</v>
      </c>
      <c r="C6532" s="10" t="str">
        <f ca="1">IFERROR(__xludf.DUMMYFUNCTION("""COMPUTED_VALUE"""),"Smart Digital Education Enhanced by AR And Iot Data")</f>
        <v>Smart Digital Education Enhanced by AR And Iot Data</v>
      </c>
      <c r="D6532" s="10">
        <f ca="1">IFERROR(__xludf.DUMMYFUNCTION("""COMPUTED_VALUE"""),2018)</f>
        <v>2018</v>
      </c>
      <c r="E6532" s="10" t="str">
        <f ca="1">IFERROR(__xludf.DUMMYFUNCTION("""COMPUTED_VALUE"""),"INTED2018 Proceedings ISBN: 978-84-697-9480-7")</f>
        <v>INTED2018 Proceedings ISBN: 978-84-697-9480-7</v>
      </c>
      <c r="F6532" s="10" t="str">
        <f ca="1">IFERROR(__xludf.DUMMYFUNCTION("""COMPUTED_VALUE"""),"https://iated.org
 ISI Conference Proceedings Citation Index (ISI CPCI).")</f>
        <v>https://iated.org
 ISI Conference Proceedings Citation Index (ISI CPCI).</v>
      </c>
      <c r="G6532" s="10" t="str">
        <f ca="1">IFERROR(__xludf.DUMMYFUNCTION("""COMPUTED_VALUE"""),"Elena Shoikova, Evgenia Kovatcheva")</f>
        <v>Elena Shoikova, Evgenia Kovatcheva</v>
      </c>
      <c r="H6532" s="10"/>
      <c r="I6532" s="10"/>
      <c r="J6532" s="10"/>
      <c r="K6532" s="10"/>
      <c r="L6532" s="10"/>
      <c r="M6532" s="10"/>
      <c r="N6532" s="10"/>
      <c r="O6532" s="10"/>
      <c r="P6532" s="10"/>
      <c r="Q6532" s="10"/>
      <c r="R6532" s="10"/>
      <c r="S6532" s="10"/>
      <c r="T6532" s="10"/>
      <c r="U6532" s="10"/>
      <c r="V6532" s="10"/>
      <c r="W6532" s="10"/>
      <c r="X6532" s="10"/>
      <c r="Y6532" s="10"/>
      <c r="Z6532" s="10"/>
    </row>
    <row r="6533" spans="1:26" ht="12.75">
      <c r="A6533" s="10" t="str">
        <f ca="1">IFERROR(__xludf.DUMMYFUNCTION("""COMPUTED_VALUE"""),"Румен Василев Николов")</f>
        <v>Румен Василев Николов</v>
      </c>
      <c r="B6533" s="10" t="str">
        <f ca="1">IFERROR(__xludf.DUMMYFUNCTION("""COMPUTED_VALUE"""),"Доклад от конференция")</f>
        <v>Доклад от конференция</v>
      </c>
      <c r="C6533" s="10" t="str">
        <f ca="1">IFERROR(__xludf.DUMMYFUNCTION("""COMPUTED_VALUE"""),"Standards and Interoperability within Smart City Ecosystem")</f>
        <v>Standards and Interoperability within Smart City Ecosystem</v>
      </c>
      <c r="D6533" s="10">
        <f ca="1">IFERROR(__xludf.DUMMYFUNCTION("""COMPUTED_VALUE"""),2017)</f>
        <v>2017</v>
      </c>
      <c r="E6533" s="10" t="str">
        <f ca="1">IFERROR(__xludf.DUMMYFUNCTION("""COMPUTED_VALUE"""),"INTED2018 Proceedings ISBN: 978-84-697-9480-7")</f>
        <v>INTED2018 Proceedings ISBN: 978-84-697-9480-7</v>
      </c>
      <c r="F6533" s="10" t="str">
        <f ca="1">IFERROR(__xludf.DUMMYFUNCTION("""COMPUTED_VALUE"""),"https://iated.org
 ISI Conference Proceedings Citation Index (ISI CPCI).")</f>
        <v>https://iated.org
 ISI Conference Proceedings Citation Index (ISI CPCI).</v>
      </c>
      <c r="G6533" s="10" t="str">
        <f ca="1">IFERROR(__xludf.DUMMYFUNCTION("""COMPUTED_VALUE"""),"Dimitrov, V., Jekov, B.")</f>
        <v>Dimitrov, V., Jekov, B.</v>
      </c>
      <c r="H6533" s="10"/>
      <c r="I6533" s="10"/>
      <c r="J6533" s="10"/>
      <c r="K6533" s="10"/>
      <c r="L6533" s="10"/>
      <c r="M6533" s="10"/>
      <c r="N6533" s="10"/>
      <c r="O6533" s="10"/>
      <c r="P6533" s="10"/>
      <c r="Q6533" s="10"/>
      <c r="R6533" s="10"/>
      <c r="S6533" s="10"/>
      <c r="T6533" s="10"/>
      <c r="U6533" s="10"/>
      <c r="V6533" s="10"/>
      <c r="W6533" s="10"/>
      <c r="X6533" s="10"/>
      <c r="Y6533" s="10"/>
      <c r="Z6533" s="10"/>
    </row>
    <row r="6534" spans="1:26" ht="12.75">
      <c r="A6534" s="10" t="str">
        <f ca="1">IFERROR(__xludf.DUMMYFUNCTION("""COMPUTED_VALUE"""),"Румен Василев Николов")</f>
        <v>Румен Василев Николов</v>
      </c>
      <c r="B6534" s="10" t="str">
        <f ca="1">IFERROR(__xludf.DUMMYFUNCTION("""COMPUTED_VALUE"""),"Статия в списания и поредици")</f>
        <v>Статия в списания и поредици</v>
      </c>
      <c r="C6534" s="10" t="str">
        <f ca="1">IFERROR(__xludf.DUMMYFUNCTION("""COMPUTED_VALUE"""),"Conceptualising of Smart Education")</f>
        <v>Conceptualising of Smart Education</v>
      </c>
      <c r="D6534" s="10">
        <f ca="1">IFERROR(__xludf.DUMMYFUNCTION("""COMPUTED_VALUE"""),2017)</f>
        <v>2017</v>
      </c>
      <c r="E6534" s="10" t="str">
        <f ca="1">IFERROR(__xludf.DUMMYFUNCTION("""COMPUTED_VALUE"""),"ELEKTROTECHNICA &amp; ELECTRONICA Е+Е Journal")</f>
        <v>ELEKTROTECHNICA &amp; ELECTRONICA Е+Е Journal</v>
      </c>
      <c r="F6534" s="10" t="str">
        <f ca="1">IFERROR(__xludf.DUMMYFUNCTION("""COMPUTED_VALUE"""),"E+E is submitted to all major Bulgarian libraries and several online databases Google Scholar")</f>
        <v>E+E is submitted to all major Bulgarian libraries and several online databases Google Scholar</v>
      </c>
      <c r="G6534" s="10" t="str">
        <f ca="1">IFERROR(__xludf.DUMMYFUNCTION("""COMPUTED_VALUE"""),"Elena Shoikova, Evgenia Kovatcheva")</f>
        <v>Elena Shoikova, Evgenia Kovatcheva</v>
      </c>
      <c r="H6534" s="10"/>
      <c r="I6534" s="10"/>
      <c r="J6534" s="10"/>
      <c r="K6534" s="10"/>
      <c r="L6534" s="10"/>
      <c r="M6534" s="10"/>
      <c r="N6534" s="10"/>
      <c r="O6534" s="10"/>
      <c r="P6534" s="10"/>
      <c r="Q6534" s="10"/>
      <c r="R6534" s="10"/>
      <c r="S6534" s="10"/>
      <c r="T6534" s="10"/>
      <c r="U6534" s="10"/>
      <c r="V6534" s="10"/>
      <c r="W6534" s="10"/>
      <c r="X6534" s="10"/>
      <c r="Y6534" s="10"/>
      <c r="Z6534" s="10"/>
    </row>
    <row r="6535" spans="1:26" ht="12.75">
      <c r="A6535" s="10" t="str">
        <f ca="1">IFERROR(__xludf.DUMMYFUNCTION("""COMPUTED_VALUE"""),"Румен Василев Николов")</f>
        <v>Румен Василев Николов</v>
      </c>
      <c r="B6535" s="10" t="str">
        <f ca="1">IFERROR(__xludf.DUMMYFUNCTION("""COMPUTED_VALUE"""),"Доклад от конференция")</f>
        <v>Доклад от конференция</v>
      </c>
      <c r="C6535" s="10" t="str">
        <f ca="1">IFERROR(__xludf.DUMMYFUNCTION("""COMPUTED_VALUE"""),"A Model for Smart and Safe City")</f>
        <v>A Model for Smart and Safe City</v>
      </c>
      <c r="D6535" s="10">
        <f ca="1">IFERROR(__xludf.DUMMYFUNCTION("""COMPUTED_VALUE"""),2016)</f>
        <v>2016</v>
      </c>
      <c r="E6535" s="10" t="str">
        <f ca="1">IFERROR(__xludf.DUMMYFUNCTION("""COMPUTED_VALUE"""),"Scientific Proceedings of the International Conference High Technologies. Business. Society, Year XXIV, Volume 5/191, March 2016")</f>
        <v>Scientific Proceedings of the International Conference High Technologies. Business. Society, Year XXIV, Volume 5/191, March 2016</v>
      </c>
      <c r="F6535" s="10"/>
      <c r="G6535" s="10" t="str">
        <f ca="1">IFERROR(__xludf.DUMMYFUNCTION("""COMPUTED_VALUE"""),"Новакова, Галя; Шойкова, Елена")</f>
        <v>Новакова, Галя; Шойкова, Елена</v>
      </c>
      <c r="H6535" s="10"/>
      <c r="I6535" s="10"/>
      <c r="J6535" s="10"/>
      <c r="K6535" s="10"/>
      <c r="L6535" s="10"/>
      <c r="M6535" s="10"/>
      <c r="N6535" s="10"/>
      <c r="O6535" s="10"/>
      <c r="P6535" s="10"/>
      <c r="Q6535" s="10"/>
      <c r="R6535" s="10"/>
      <c r="S6535" s="10"/>
      <c r="T6535" s="10"/>
      <c r="U6535" s="10"/>
      <c r="V6535" s="10"/>
      <c r="W6535" s="10"/>
      <c r="X6535" s="10"/>
      <c r="Y6535" s="10"/>
      <c r="Z6535" s="10"/>
    </row>
    <row r="6536" spans="1:26" ht="12.75">
      <c r="A6536" s="10" t="str">
        <f ca="1">IFERROR(__xludf.DUMMYFUNCTION("""COMPUTED_VALUE"""),"Румен Василев Николов")</f>
        <v>Румен Василев Николов</v>
      </c>
      <c r="B6536" s="10" t="str">
        <f ca="1">IFERROR(__xludf.DUMMYFUNCTION("""COMPUTED_VALUE"""),"Доклад от конференция")</f>
        <v>Доклад от конференция</v>
      </c>
      <c r="C6536" s="10" t="str">
        <f ca="1">IFERROR(__xludf.DUMMYFUNCTION("""COMPUTED_VALUE"""),"Smart Place as a Service: A Model for Providing Big Data Solutions for Smart and Energy Efficient Buildings and Places")</f>
        <v>Smart Place as a Service: A Model for Providing Big Data Solutions for Smart and Energy Efficient Buildings and Places</v>
      </c>
      <c r="D6536" s="10">
        <f ca="1">IFERROR(__xludf.DUMMYFUNCTION("""COMPUTED_VALUE"""),2016)</f>
        <v>2016</v>
      </c>
      <c r="E6536" s="10" t="str">
        <f ca="1">IFERROR(__xludf.DUMMYFUNCTION("""COMPUTED_VALUE"""),"BdKCSE'2016 – Big Data, Knowledge and Control Systems Engineering, Sofia, 1-2 December,")</f>
        <v>BdKCSE'2016 – Big Data, Knowledge and Control Systems Engineering, Sofia, 1-2 December,</v>
      </c>
      <c r="F6536" s="28" t="str">
        <f ca="1">IFERROR(__xludf.DUMMYFUNCTION("""COMPUTED_VALUE"""),"http://conference.ott-iict.bas.bg/")</f>
        <v>http://conference.ott-iict.bas.bg/</v>
      </c>
      <c r="G6536" s="10" t="str">
        <f ca="1">IFERROR(__xludf.DUMMYFUNCTION("""COMPUTED_VALUE"""),"Elena Shoikova, Alexandre Chikalanov, Dimitar Paskalev, Milan Rashevski")</f>
        <v>Elena Shoikova, Alexandre Chikalanov, Dimitar Paskalev, Milan Rashevski</v>
      </c>
      <c r="H6536" s="10"/>
      <c r="I6536" s="10"/>
      <c r="J6536" s="10"/>
      <c r="K6536" s="10"/>
      <c r="L6536" s="10"/>
      <c r="M6536" s="10"/>
      <c r="N6536" s="10"/>
      <c r="O6536" s="10"/>
      <c r="P6536" s="10"/>
      <c r="Q6536" s="10"/>
      <c r="R6536" s="10"/>
      <c r="S6536" s="10"/>
      <c r="T6536" s="10"/>
      <c r="U6536" s="10"/>
      <c r="V6536" s="10"/>
      <c r="W6536" s="10"/>
      <c r="X6536" s="10"/>
      <c r="Y6536" s="10"/>
      <c r="Z6536" s="10"/>
    </row>
    <row r="6537" spans="1:26" ht="12.75">
      <c r="A6537" s="10" t="str">
        <f ca="1">IFERROR(__xludf.DUMMYFUNCTION("""COMPUTED_VALUE"""),"Румен Василев Николов")</f>
        <v>Румен Василев Николов</v>
      </c>
      <c r="B6537" s="10" t="str">
        <f ca="1">IFERROR(__xludf.DUMMYFUNCTION("""COMPUTED_VALUE"""),"Доклад от конференция")</f>
        <v>Доклад от конференция</v>
      </c>
      <c r="C6537" s="10" t="str">
        <f ca="1">IFERROR(__xludf.DUMMYFUNCTION("""COMPUTED_VALUE"""),"Learning in a Smart City Environment")</f>
        <v>Learning in a Smart City Environment</v>
      </c>
      <c r="D6537" s="10">
        <f ca="1">IFERROR(__xludf.DUMMYFUNCTION("""COMPUTED_VALUE"""),2016)</f>
        <v>2016</v>
      </c>
      <c r="E6537" s="10" t="str">
        <f ca="1">IFERROR(__xludf.DUMMYFUNCTION("""COMPUTED_VALUE"""),"Proceedings of QED’16: Technology Advanced Quality Learning for ALL, June 13-15, 2016, Sofia, Bulgaria, https://unesco.unibit.bg")</f>
        <v>Proceedings of QED’16: Technology Advanced Quality Learning for ALL, June 13-15, 2016, Sofia, Bulgaria, https://unesco.unibit.bg</v>
      </c>
      <c r="F6537" s="10"/>
      <c r="G6537" s="10" t="str">
        <f ca="1">IFERROR(__xludf.DUMMYFUNCTION("""COMPUTED_VALUE"""),"Шойкова, Елена; Крумова, Милена; Ковачева, Евгения; Димитров, Вилян; Шикаланов, Александър")</f>
        <v>Шойкова, Елена; Крумова, Милена; Ковачева, Евгения; Димитров, Вилян; Шикаланов, Александър</v>
      </c>
      <c r="H6537" s="10"/>
      <c r="I6537" s="10"/>
      <c r="J6537" s="10"/>
      <c r="K6537" s="10"/>
      <c r="L6537" s="10"/>
      <c r="M6537" s="10"/>
      <c r="N6537" s="10"/>
      <c r="O6537" s="10"/>
      <c r="P6537" s="10"/>
      <c r="Q6537" s="10"/>
      <c r="R6537" s="10"/>
      <c r="S6537" s="10"/>
      <c r="T6537" s="10"/>
      <c r="U6537" s="10"/>
      <c r="V6537" s="10"/>
      <c r="W6537" s="10"/>
      <c r="X6537" s="10"/>
      <c r="Y6537" s="10"/>
      <c r="Z6537" s="10"/>
    </row>
    <row r="6538" spans="1:26" ht="12.75">
      <c r="A6538" s="10" t="str">
        <f ca="1">IFERROR(__xludf.DUMMYFUNCTION("""COMPUTED_VALUE"""),"Румен Василев Николов")</f>
        <v>Румен Василев Николов</v>
      </c>
      <c r="B6538" s="10" t="str">
        <f ca="1">IFERROR(__xludf.DUMMYFUNCTION("""COMPUTED_VALUE"""),"Доклад от конференция")</f>
        <v>Доклад от конференция</v>
      </c>
      <c r="C6538" s="10" t="str">
        <f ca="1">IFERROR(__xludf.DUMMYFUNCTION("""COMPUTED_VALUE"""),"VeloCity: a System for Smart Bike Management")</f>
        <v>VeloCity: a System for Smart Bike Management</v>
      </c>
      <c r="D6538" s="10">
        <f ca="1">IFERROR(__xludf.DUMMYFUNCTION("""COMPUTED_VALUE"""),2016)</f>
        <v>2016</v>
      </c>
      <c r="E6538" s="10" t="str">
        <f ca="1">IFERROR(__xludf.DUMMYFUNCTION("""COMPUTED_VALUE"""),"Scientific Proceedings of the International Conference High Technologies. Business. Society, Year XXIV, Volume 5/191, March 2016")</f>
        <v>Scientific Proceedings of the International Conference High Technologies. Business. Society, Year XXIV, Volume 5/191, March 2016</v>
      </c>
      <c r="F6538" s="10"/>
      <c r="G6538" s="10" t="str">
        <f ca="1">IFERROR(__xludf.DUMMYFUNCTION("""COMPUTED_VALUE"""),"Шикаланов, Александър; Шойкова, Елена; Новакова, Галя;")</f>
        <v>Шикаланов, Александър; Шойкова, Елена; Новакова, Галя;</v>
      </c>
      <c r="H6538" s="10"/>
      <c r="I6538" s="10"/>
      <c r="J6538" s="10"/>
      <c r="K6538" s="10"/>
      <c r="L6538" s="10"/>
      <c r="M6538" s="10"/>
      <c r="N6538" s="10"/>
      <c r="O6538" s="10"/>
      <c r="P6538" s="10"/>
      <c r="Q6538" s="10"/>
      <c r="R6538" s="10"/>
      <c r="S6538" s="10"/>
      <c r="T6538" s="10"/>
      <c r="U6538" s="10"/>
      <c r="V6538" s="10"/>
      <c r="W6538" s="10"/>
      <c r="X6538" s="10"/>
      <c r="Y6538" s="10"/>
      <c r="Z6538" s="10"/>
    </row>
    <row r="6539" spans="1:26" ht="12.75">
      <c r="A6539" s="10" t="str">
        <f ca="1">IFERROR(__xludf.DUMMYFUNCTION("""COMPUTED_VALUE"""),"Румен Василев Николов")</f>
        <v>Румен Василев Николов</v>
      </c>
      <c r="B6539" s="10" t="str">
        <f ca="1">IFERROR(__xludf.DUMMYFUNCTION("""COMPUTED_VALUE"""),"Доклад от конференция")</f>
        <v>Доклад от конференция</v>
      </c>
      <c r="C6539" s="10" t="str">
        <f ca="1">IFERROR(__xludf.DUMMYFUNCTION("""COMPUTED_VALUE"""),"Bike Sharing System for Multimodal Mobility Based on Open Data Management System")</f>
        <v>Bike Sharing System for Multimodal Mobility Based on Open Data Management System</v>
      </c>
      <c r="D6539" s="10">
        <f ca="1">IFERROR(__xludf.DUMMYFUNCTION("""COMPUTED_VALUE"""),2015)</f>
        <v>2015</v>
      </c>
      <c r="E6539" s="10" t="str">
        <f ca="1">IFERROR(__xludf.DUMMYFUNCTION("""COMPUTED_VALUE"""),"Proceedings of BdKCSE'2015 – Big Data, Knowledge and Control Systems Engineering, Sofia, 5-6 November, 2015, pp 133 – 137, http:")</f>
        <v>Proceedings of BdKCSE'2015 – Big Data, Knowledge and Control Systems Engineering, Sofia, 5-6 November, 2015, pp 133 – 137, http:</v>
      </c>
      <c r="F6539" s="10"/>
      <c r="G6539" s="10" t="str">
        <f ca="1">IFERROR(__xludf.DUMMYFUNCTION("""COMPUTED_VALUE"""),"Шойкова, Елена; Шикаланов, Александър; Новакова, Галя")</f>
        <v>Шойкова, Елена; Шикаланов, Александър; Новакова, Галя</v>
      </c>
      <c r="H6539" s="10"/>
      <c r="I6539" s="10"/>
      <c r="J6539" s="10"/>
      <c r="K6539" s="10"/>
      <c r="L6539" s="10"/>
      <c r="M6539" s="10"/>
      <c r="N6539" s="10"/>
      <c r="O6539" s="10"/>
      <c r="P6539" s="10"/>
      <c r="Q6539" s="10"/>
      <c r="R6539" s="10"/>
      <c r="S6539" s="10"/>
      <c r="T6539" s="10"/>
      <c r="U6539" s="10"/>
      <c r="V6539" s="10"/>
      <c r="W6539" s="10"/>
      <c r="X6539" s="10"/>
      <c r="Y6539" s="10"/>
      <c r="Z6539" s="10"/>
    </row>
    <row r="6540" spans="1:26" ht="12.75">
      <c r="A6540" s="10" t="str">
        <f ca="1">IFERROR(__xludf.DUMMYFUNCTION("""COMPUTED_VALUE"""),"Румен Василев Николов")</f>
        <v>Румен Василев Николов</v>
      </c>
      <c r="B6540" s="10" t="str">
        <f ca="1">IFERROR(__xludf.DUMMYFUNCTION("""COMPUTED_VALUE"""),"Доклад от конференция")</f>
        <v>Доклад от конференция</v>
      </c>
      <c r="C6540" s="10" t="str">
        <f ca="1">IFERROR(__xludf.DUMMYFUNCTION("""COMPUTED_VALUE"""),"Big Data in a Smart City Ecosystem: Models, Challenges and Trends")</f>
        <v>Big Data in a Smart City Ecosystem: Models, Challenges and Trends</v>
      </c>
      <c r="D6540" s="10">
        <f ca="1">IFERROR(__xludf.DUMMYFUNCTION("""COMPUTED_VALUE"""),2015)</f>
        <v>2015</v>
      </c>
      <c r="E6540" s="10" t="str">
        <f ca="1">IFERROR(__xludf.DUMMYFUNCTION("""COMPUTED_VALUE"""),"Proceedings of BdKCSE'2015 – Big Data, Knowledge and Control Systems Engineering, Sofia, 5-6 November, 2015, pp 101 – 118, http:")</f>
        <v>Proceedings of BdKCSE'2015 – Big Data, Knowledge and Control Systems Engineering, Sofia, 5-6 November, 2015, pp 101 – 118, http:</v>
      </c>
      <c r="F6540" s="10"/>
      <c r="G6540" s="10" t="str">
        <f ca="1">IFERROR(__xludf.DUMMYFUNCTION("""COMPUTED_VALUE"""),"Жеков, Боян; Михайлова, Петя")</f>
        <v>Жеков, Боян; Михайлова, Петя</v>
      </c>
      <c r="H6540" s="10"/>
      <c r="I6540" s="10"/>
      <c r="J6540" s="10"/>
      <c r="K6540" s="10"/>
      <c r="L6540" s="10"/>
      <c r="M6540" s="10"/>
      <c r="N6540" s="10"/>
      <c r="O6540" s="10"/>
      <c r="P6540" s="10"/>
      <c r="Q6540" s="10"/>
      <c r="R6540" s="10"/>
      <c r="S6540" s="10"/>
      <c r="T6540" s="10"/>
      <c r="U6540" s="10"/>
      <c r="V6540" s="10"/>
      <c r="W6540" s="10"/>
      <c r="X6540" s="10"/>
      <c r="Y6540" s="10"/>
      <c r="Z6540" s="10"/>
    </row>
    <row r="6541" spans="1:26" ht="12.75">
      <c r="A6541" s="10" t="str">
        <f ca="1">IFERROR(__xludf.DUMMYFUNCTION("""COMPUTED_VALUE"""),"Румен Василев Николов")</f>
        <v>Румен Василев Николов</v>
      </c>
      <c r="B6541" s="10" t="str">
        <f ca="1">IFERROR(__xludf.DUMMYFUNCTION("""COMPUTED_VALUE"""),"Доклад от конференция")</f>
        <v>Доклад от конференция</v>
      </c>
      <c r="C6541" s="10" t="str">
        <f ca="1">IFERROR(__xludf.DUMMYFUNCTION("""COMPUTED_VALUE"""),"Cultural Heritage Education - The Role of ICT")</f>
        <v>Cultural Heritage Education - The Role of ICT</v>
      </c>
      <c r="D6541" s="10">
        <f ca="1">IFERROR(__xludf.DUMMYFUNCTION("""COMPUTED_VALUE"""),2015)</f>
        <v>2015</v>
      </c>
      <c r="E6541" s="10" t="str">
        <f ca="1">IFERROR(__xludf.DUMMYFUNCTION("""COMPUTED_VALUE"""),"Proceedings of Modern Information Society Formation: Problems, Perspectives, Innovation Approaches - Proceedings of Internationa")</f>
        <v>Proceedings of Modern Information Society Formation: Problems, Perspectives, Innovation Approaches - Proceedings of Internationa</v>
      </c>
      <c r="F6541" s="10"/>
      <c r="G6541" s="10" t="str">
        <f ca="1">IFERROR(__xludf.DUMMYFUNCTION("""COMPUTED_VALUE"""),"Константинов, Олег; Ковачева, Евгения")</f>
        <v>Константинов, Олег; Ковачева, Евгения</v>
      </c>
      <c r="H6541" s="10"/>
      <c r="I6541" s="10"/>
      <c r="J6541" s="10"/>
      <c r="K6541" s="10"/>
      <c r="L6541" s="10"/>
      <c r="M6541" s="10"/>
      <c r="N6541" s="10"/>
      <c r="O6541" s="10"/>
      <c r="P6541" s="10"/>
      <c r="Q6541" s="10"/>
      <c r="R6541" s="10"/>
      <c r="S6541" s="10"/>
      <c r="T6541" s="10"/>
      <c r="U6541" s="10"/>
      <c r="V6541" s="10"/>
      <c r="W6541" s="10"/>
      <c r="X6541" s="10"/>
      <c r="Y6541" s="10"/>
      <c r="Z6541" s="10"/>
    </row>
    <row r="6542" spans="1:26" ht="12.75">
      <c r="A6542" s="10" t="str">
        <f ca="1">IFERROR(__xludf.DUMMYFUNCTION("""COMPUTED_VALUE"""),"Румен Василев Николов")</f>
        <v>Румен Василев Николов</v>
      </c>
      <c r="B6542" s="10" t="str">
        <f ca="1">IFERROR(__xludf.DUMMYFUNCTION("""COMPUTED_VALUE"""),"Статия в списания и поредици")</f>
        <v>Статия в списания и поредици</v>
      </c>
      <c r="C6542" s="10" t="str">
        <f ca="1">IFERROR(__xludf.DUMMYFUNCTION("""COMPUTED_VALUE"""),"Smart Forest Ecological Management System")</f>
        <v>Smart Forest Ecological Management System</v>
      </c>
      <c r="D6542" s="10">
        <f ca="1">IFERROR(__xludf.DUMMYFUNCTION("""COMPUTED_VALUE"""),2015)</f>
        <v>2015</v>
      </c>
      <c r="E6542" s="10" t="str">
        <f ca="1">IFERROR(__xludf.DUMMYFUNCTION("""COMPUTED_VALUE"""),"Journal of Balkan Ecology, Volume 18, No 4, pp 363-374")</f>
        <v>Journal of Balkan Ecology, Volume 18, No 4, pp 363-374</v>
      </c>
      <c r="F6542" s="10"/>
      <c r="G6542" s="10" t="str">
        <f ca="1">IFERROR(__xludf.DUMMYFUNCTION("""COMPUTED_VALUE"""),"Любенова, Мариана; Павлов, Юри; Шикаланов, Александър; Спасов, Камен; Новакова, Галя")</f>
        <v>Любенова, Мариана; Павлов, Юри; Шикаланов, Александър; Спасов, Камен; Новакова, Галя</v>
      </c>
      <c r="H6542" s="10"/>
      <c r="I6542" s="10"/>
      <c r="J6542" s="10"/>
      <c r="K6542" s="10"/>
      <c r="L6542" s="10"/>
      <c r="M6542" s="10"/>
      <c r="N6542" s="10"/>
      <c r="O6542" s="10"/>
      <c r="P6542" s="10"/>
      <c r="Q6542" s="10"/>
      <c r="R6542" s="10"/>
      <c r="S6542" s="10"/>
      <c r="T6542" s="10"/>
      <c r="U6542" s="10"/>
      <c r="V6542" s="10"/>
      <c r="W6542" s="10"/>
      <c r="X6542" s="10"/>
      <c r="Y6542" s="10"/>
      <c r="Z6542" s="10"/>
    </row>
    <row r="6543" spans="1:26" ht="12.75">
      <c r="A6543" s="10" t="str">
        <f ca="1">IFERROR(__xludf.DUMMYFUNCTION("""COMPUTED_VALUE"""),"Румен Василев Николов")</f>
        <v>Румен Василев Николов</v>
      </c>
      <c r="B6543" s="10" t="str">
        <f ca="1">IFERROR(__xludf.DUMMYFUNCTION("""COMPUTED_VALUE"""),"Книга")</f>
        <v>Книга</v>
      </c>
      <c r="C6543" s="10" t="str">
        <f ca="1">IFERROR(__xludf.DUMMYFUNCTION("""COMPUTED_VALUE"""),"Competence Based Framework for Curriculum Development")</f>
        <v>Competence Based Framework for Curriculum Development</v>
      </c>
      <c r="D6543" s="10">
        <f ca="1">IFERROR(__xludf.DUMMYFUNCTION("""COMPUTED_VALUE"""),2014)</f>
        <v>2014</v>
      </c>
      <c r="E6543" s="10" t="str">
        <f ca="1">IFERROR(__xludf.DUMMYFUNCTION("""COMPUTED_VALUE"""),"Za bukvite, O’pismeneh, Sofia, 2014, ISBN online: 978-619-185-016-7")</f>
        <v>Za bukvite, O’pismeneh, Sofia, 2014, ISBN online: 978-619-185-016-7</v>
      </c>
      <c r="F6543" s="10"/>
      <c r="G6543" s="10" t="str">
        <f ca="1">IFERROR(__xludf.DUMMYFUNCTION("""COMPUTED_VALUE"""),"Шойкова, Елена; Ковачева, Евгения")</f>
        <v>Шойкова, Елена; Ковачева, Евгения</v>
      </c>
      <c r="H6543" s="10"/>
      <c r="I6543" s="10"/>
      <c r="J6543" s="10"/>
      <c r="K6543" s="10"/>
      <c r="L6543" s="10"/>
      <c r="M6543" s="10"/>
      <c r="N6543" s="10"/>
      <c r="O6543" s="10"/>
      <c r="P6543" s="10"/>
      <c r="Q6543" s="10"/>
      <c r="R6543" s="10"/>
      <c r="S6543" s="10"/>
      <c r="T6543" s="10"/>
      <c r="U6543" s="10"/>
      <c r="V6543" s="10"/>
      <c r="W6543" s="10"/>
      <c r="X6543" s="10"/>
      <c r="Y6543" s="10"/>
      <c r="Z6543" s="10"/>
    </row>
    <row r="6544" spans="1:26" ht="12.75">
      <c r="A6544" s="10" t="str">
        <f ca="1">IFERROR(__xludf.DUMMYFUNCTION("""COMPUTED_VALUE"""),"Румен Василев Николов")</f>
        <v>Румен Василев Николов</v>
      </c>
      <c r="B6544" s="10" t="str">
        <f ca="1">IFERROR(__xludf.DUMMYFUNCTION("""COMPUTED_VALUE"""),"Книга")</f>
        <v>Книга</v>
      </c>
      <c r="C6544" s="10" t="str">
        <f ca="1">IFERROR(__xludf.DUMMYFUNCTION("""COMPUTED_VALUE"""),"Информационен Мениджмънт")</f>
        <v>Информационен Мениджмънт</v>
      </c>
      <c r="D6544" s="10">
        <f ca="1">IFERROR(__xludf.DUMMYFUNCTION("""COMPUTED_VALUE"""),2014)</f>
        <v>2014</v>
      </c>
      <c r="E6544" s="10" t="str">
        <f ca="1">IFERROR(__xludf.DUMMYFUNCTION("""COMPUTED_VALUE"""),"Издателство „За буквите – О писменехь“ София, http://ekovatcheva.eu/publications/denchev-kovatcheva-nikolov-InformationManagemen")</f>
        <v>Издателство „За буквите – О писменехь“ София, http://ekovatcheva.eu/publications/denchev-kovatcheva-nikolov-InformationManagemen</v>
      </c>
      <c r="F6544" s="10"/>
      <c r="G6544" s="10" t="str">
        <f ca="1">IFERROR(__xludf.DUMMYFUNCTION("""COMPUTED_VALUE"""),"Денчев Стоян; Ковачева, Евгения")</f>
        <v>Денчев Стоян; Ковачева, Евгения</v>
      </c>
      <c r="H6544" s="10"/>
      <c r="I6544" s="10"/>
      <c r="J6544" s="10"/>
      <c r="K6544" s="10"/>
      <c r="L6544" s="10"/>
      <c r="M6544" s="10"/>
      <c r="N6544" s="10"/>
      <c r="O6544" s="10"/>
      <c r="P6544" s="10"/>
      <c r="Q6544" s="10"/>
      <c r="R6544" s="10"/>
      <c r="S6544" s="10"/>
      <c r="T6544" s="10"/>
      <c r="U6544" s="10"/>
      <c r="V6544" s="10"/>
      <c r="W6544" s="10"/>
      <c r="X6544" s="10"/>
      <c r="Y6544" s="10"/>
      <c r="Z6544" s="10"/>
    </row>
    <row r="6545" spans="1:26" ht="12.75">
      <c r="A6545" s="10" t="str">
        <f ca="1">IFERROR(__xludf.DUMMYFUNCTION("""COMPUTED_VALUE"""),"Румен Василев Николов")</f>
        <v>Румен Василев Николов</v>
      </c>
      <c r="B6545" s="10" t="str">
        <f ca="1">IFERROR(__xludf.DUMMYFUNCTION("""COMPUTED_VALUE"""),"Статия в списания и поредици")</f>
        <v>Статия в списания и поредици</v>
      </c>
      <c r="C6545" s="10" t="str">
        <f ca="1">IFERROR(__xludf.DUMMYFUNCTION("""COMPUTED_VALUE"""),"Бизнес анализ при гъвкави методологии за разработка на софтуер")</f>
        <v>Бизнес анализ при гъвкави методологии за разработка на софтуер</v>
      </c>
      <c r="D6545" s="10">
        <f ca="1">IFERROR(__xludf.DUMMYFUNCTION("""COMPUTED_VALUE"""),2014)</f>
        <v>2014</v>
      </c>
      <c r="E6545" s="10" t="str">
        <f ca="1">IFERROR(__xludf.DUMMYFUNCTION("""COMPUTED_VALUE"""),"списание „Автоматика и Информатика“, кн.3/2014")</f>
        <v>списание „Автоматика и Информатика“, кн.3/2014</v>
      </c>
      <c r="F6545" s="10"/>
      <c r="G6545" s="10" t="str">
        <f ca="1">IFERROR(__xludf.DUMMYFUNCTION("""COMPUTED_VALUE"""),"Елена Шойкова")</f>
        <v>Елена Шойкова</v>
      </c>
      <c r="H6545" s="10"/>
      <c r="I6545" s="10"/>
      <c r="J6545" s="10"/>
      <c r="K6545" s="10"/>
      <c r="L6545" s="10"/>
      <c r="M6545" s="10"/>
      <c r="N6545" s="10"/>
      <c r="O6545" s="10"/>
      <c r="P6545" s="10"/>
      <c r="Q6545" s="10"/>
      <c r="R6545" s="10"/>
      <c r="S6545" s="10"/>
      <c r="T6545" s="10"/>
      <c r="U6545" s="10"/>
      <c r="V6545" s="10"/>
      <c r="W6545" s="10"/>
      <c r="X6545" s="10"/>
      <c r="Y6545" s="10"/>
      <c r="Z6545" s="10"/>
    </row>
    <row r="6546" spans="1:26" ht="12.75">
      <c r="A6546" s="10" t="str">
        <f ca="1">IFERROR(__xludf.DUMMYFUNCTION("""COMPUTED_VALUE"""),"Румен Василев Николов")</f>
        <v>Румен Василев Николов</v>
      </c>
      <c r="B6546" s="10" t="str">
        <f ca="1">IFERROR(__xludf.DUMMYFUNCTION("""COMPUTED_VALUE"""),"Доклад от конференция")</f>
        <v>Доклад от конференция</v>
      </c>
      <c r="C6546" s="10" t="str">
        <f ca="1">IFERROR(__xludf.DUMMYFUNCTION("""COMPUTED_VALUE"""),"Competence –based learning for digital native learners")</f>
        <v>Competence –based learning for digital native learners</v>
      </c>
      <c r="D6546" s="10">
        <f ca="1">IFERROR(__xludf.DUMMYFUNCTION("""COMPUTED_VALUE"""),2014)</f>
        <v>2014</v>
      </c>
      <c r="E6546" s="10" t="str">
        <f ca="1">IFERROR(__xludf.DUMMYFUNCTION("""COMPUTED_VALUE"""),"Proceedings of the XV International Forum Modern Information Society formation, Problems, perspectives, innovation approaches, S")</f>
        <v>Proceedings of the XV International Forum Modern Information Society formation, Problems, perspectives, innovation approaches, S</v>
      </c>
      <c r="F6546" s="10"/>
      <c r="G6546" s="10" t="str">
        <f ca="1">IFERROR(__xludf.DUMMYFUNCTION("""COMPUTED_VALUE"""),"Ковачева, Евгения; Николов, Румен; Шойкова, Елена")</f>
        <v>Ковачева, Евгения; Николов, Румен; Шойкова, Елена</v>
      </c>
      <c r="H6546" s="10"/>
      <c r="I6546" s="10"/>
      <c r="J6546" s="10"/>
      <c r="K6546" s="10"/>
      <c r="L6546" s="10"/>
      <c r="M6546" s="10"/>
      <c r="N6546" s="10"/>
      <c r="O6546" s="10"/>
      <c r="P6546" s="10"/>
      <c r="Q6546" s="10"/>
      <c r="R6546" s="10"/>
      <c r="S6546" s="10"/>
      <c r="T6546" s="10"/>
      <c r="U6546" s="10"/>
      <c r="V6546" s="10"/>
      <c r="W6546" s="10"/>
      <c r="X6546" s="10"/>
      <c r="Y6546" s="10"/>
      <c r="Z6546" s="10"/>
    </row>
    <row r="6547" spans="1:26" ht="12.75">
      <c r="A6547" s="10" t="str">
        <f ca="1">IFERROR(__xludf.DUMMYFUNCTION("""COMPUTED_VALUE"""),"Румен Василев Николов")</f>
        <v>Румен Василев Николов</v>
      </c>
      <c r="B6547" s="10" t="str">
        <f ca="1">IFERROR(__xludf.DUMMYFUNCTION("""COMPUTED_VALUE"""),"Статия в списания и поредици")</f>
        <v>Статия в списания и поредици</v>
      </c>
      <c r="C6547" s="10" t="str">
        <f ca="1">IFERROR(__xludf.DUMMYFUNCTION("""COMPUTED_VALUE"""),"Интернет на нещата: изследвания, технологии и иновации")</f>
        <v>Интернет на нещата: изследвания, технологии и иновации</v>
      </c>
      <c r="D6547" s="10">
        <f ca="1">IFERROR(__xludf.DUMMYFUNCTION("""COMPUTED_VALUE"""),2014)</f>
        <v>2014</v>
      </c>
      <c r="E6547" s="10" t="str">
        <f ca="1">IFERROR(__xludf.DUMMYFUNCTION("""COMPUTED_VALUE"""),"списание „Автоматика и Информатика“, кн.4/2014")</f>
        <v>списание „Автоматика и Информатика“, кн.4/2014</v>
      </c>
      <c r="F6547" s="10"/>
      <c r="G6547" s="10"/>
      <c r="H6547" s="10"/>
      <c r="I6547" s="10"/>
      <c r="J6547" s="10"/>
      <c r="K6547" s="10"/>
      <c r="L6547" s="10"/>
      <c r="M6547" s="10"/>
      <c r="N6547" s="10"/>
      <c r="O6547" s="10"/>
      <c r="P6547" s="10"/>
      <c r="Q6547" s="10"/>
      <c r="R6547" s="10"/>
      <c r="S6547" s="10"/>
      <c r="T6547" s="10"/>
      <c r="U6547" s="10"/>
      <c r="V6547" s="10"/>
      <c r="W6547" s="10"/>
      <c r="X6547" s="10"/>
      <c r="Y6547" s="10"/>
      <c r="Z6547" s="10"/>
    </row>
    <row r="6548" spans="1:26" ht="12.75">
      <c r="A6548" s="10" t="str">
        <f ca="1">IFERROR(__xludf.DUMMYFUNCTION("""COMPUTED_VALUE"""),"Румен Василев Николов")</f>
        <v>Румен Василев Николов</v>
      </c>
      <c r="B6548" s="10" t="str">
        <f ca="1">IFERROR(__xludf.DUMMYFUNCTION("""COMPUTED_VALUE"""),"Статия в списания и поредици")</f>
        <v>Статия в списания и поредици</v>
      </c>
      <c r="C6548" s="10" t="str">
        <f ca="1">IFERROR(__xludf.DUMMYFUNCTION("""COMPUTED_VALUE"""),"An Experiential Design Process and Holistic Model of User Experience for Supporting User Co-creation")</f>
        <v>An Experiential Design Process and Holistic Model of User Experience for Supporting User Co-creation</v>
      </c>
      <c r="D6548" s="10">
        <f ca="1">IFERROR(__xludf.DUMMYFUNCTION("""COMPUTED_VALUE"""),2014)</f>
        <v>2014</v>
      </c>
      <c r="E6548" s="10" t="str">
        <f ca="1">IFERROR(__xludf.DUMMYFUNCTION("""COMPUTED_VALUE"""),"EC Open Innovation Yearbook 2014, pp 22-36, http://ec.europa.eu/digital-agenda/en/news/open-innovation-20-yearbook-2014-giving-y")</f>
        <v>EC Open Innovation Yearbook 2014, pp 22-36, http://ec.europa.eu/digital-agenda/en/news/open-innovation-20-yearbook-2014-giving-y</v>
      </c>
      <c r="F6548" s="10"/>
      <c r="G6548" s="10" t="str">
        <f ca="1">IFERROR(__xludf.DUMMYFUNCTION("""COMPUTED_VALUE"""),"Пало, Марк; Николов, Румен и др.")</f>
        <v>Пало, Марк; Николов, Румен и др.</v>
      </c>
      <c r="H6548" s="10"/>
      <c r="I6548" s="10"/>
      <c r="J6548" s="10"/>
      <c r="K6548" s="10"/>
      <c r="L6548" s="10"/>
      <c r="M6548" s="10"/>
      <c r="N6548" s="10"/>
      <c r="O6548" s="10"/>
      <c r="P6548" s="10"/>
      <c r="Q6548" s="10"/>
      <c r="R6548" s="10"/>
      <c r="S6548" s="10"/>
      <c r="T6548" s="10"/>
      <c r="U6548" s="10"/>
      <c r="V6548" s="10"/>
      <c r="W6548" s="10"/>
      <c r="X6548" s="10"/>
      <c r="Y6548" s="10"/>
      <c r="Z6548" s="10"/>
    </row>
    <row r="6549" spans="1:26" ht="12.75">
      <c r="A6549" s="10" t="str">
        <f ca="1">IFERROR(__xludf.DUMMYFUNCTION("""COMPUTED_VALUE"""),"Румен Василев Николов")</f>
        <v>Румен Василев Николов</v>
      </c>
      <c r="B6549" s="10" t="str">
        <f ca="1">IFERROR(__xludf.DUMMYFUNCTION("""COMPUTED_VALUE"""),"Доклад от конференция")</f>
        <v>Доклад от конференция</v>
      </c>
      <c r="C6549" s="10" t="str">
        <f ca="1">IFERROR(__xludf.DUMMYFUNCTION("""COMPUTED_VALUE"""),"Learning 2.0 enhanced by social media tools - implementation and evaluation")</f>
        <v>Learning 2.0 enhanced by social media tools - implementation and evaluation</v>
      </c>
      <c r="D6549" s="10">
        <f ca="1">IFERROR(__xludf.DUMMYFUNCTION("""COMPUTED_VALUE"""),2014)</f>
        <v>2014</v>
      </c>
      <c r="E6549" s="10" t="str">
        <f ca="1">IFERROR(__xludf.DUMMYFUNCTION("""COMPUTED_VALUE"""),"Proceedings of the 11th International Conference on Web Based Communities and Social Media 2014, Lisbon, Portugal, 17 - 19 July")</f>
        <v>Proceedings of the 11th International Conference on Web Based Communities and Social Media 2014, Lisbon, Portugal, 17 - 19 July</v>
      </c>
      <c r="F6549" s="10"/>
      <c r="G6549" s="10" t="str">
        <f ca="1">IFERROR(__xludf.DUMMYFUNCTION("""COMPUTED_VALUE"""),"Крумова, Милена; Шойкова, Елена; Ковачева, Евгения")</f>
        <v>Крумова, Милена; Шойкова, Елена; Ковачева, Евгения</v>
      </c>
      <c r="H6549" s="10"/>
      <c r="I6549" s="10"/>
      <c r="J6549" s="10"/>
      <c r="K6549" s="10"/>
      <c r="L6549" s="10"/>
      <c r="M6549" s="10"/>
      <c r="N6549" s="10"/>
      <c r="O6549" s="10"/>
      <c r="P6549" s="10"/>
      <c r="Q6549" s="10"/>
      <c r="R6549" s="10"/>
      <c r="S6549" s="10"/>
      <c r="T6549" s="10"/>
      <c r="U6549" s="10"/>
      <c r="V6549" s="10"/>
      <c r="W6549" s="10"/>
      <c r="X6549" s="10"/>
      <c r="Y6549" s="10"/>
      <c r="Z6549" s="10"/>
    </row>
    <row r="6550" spans="1:26" ht="12.75">
      <c r="A6550" s="10" t="str">
        <f ca="1">IFERROR(__xludf.DUMMYFUNCTION("""COMPUTED_VALUE"""),"Румен Василев Николов")</f>
        <v>Румен Василев Николов</v>
      </c>
      <c r="B6550" s="10" t="str">
        <f ca="1">IFERROR(__xludf.DUMMYFUNCTION("""COMPUTED_VALUE"""),"Книга")</f>
        <v>Книга</v>
      </c>
      <c r="C6550" s="10" t="str">
        <f ca="1">IFERROR(__xludf.DUMMYFUNCTION("""COMPUTED_VALUE"""),"The role of Universities and Research Organisations as drivers for Smart Specialisation at regional level")</f>
        <v>The role of Universities and Research Organisations as drivers for Smart Specialisation at regional level</v>
      </c>
      <c r="D6550" s="10">
        <f ca="1">IFERROR(__xludf.DUMMYFUNCTION("""COMPUTED_VALUE"""),2014)</f>
        <v>2014</v>
      </c>
      <c r="E6550" s="10" t="str">
        <f ca="1">IFERROR(__xludf.DUMMYFUNCTION("""COMPUTED_VALUE"""),"Directorate-General for Research and Innovation, Brussels, http://ec.europa.eu/research/regions/pdf/publications/ExpertReport-Un")</f>
        <v>Directorate-General for Research and Innovation, Brussels, http://ec.europa.eu/research/regions/pdf/publications/ExpertReport-Un</v>
      </c>
      <c r="F6550" s="10"/>
      <c r="G6550" s="10" t="str">
        <f ca="1">IFERROR(__xludf.DUMMYFUNCTION("""COMPUTED_VALUE"""),"Фотакис, Костас")</f>
        <v>Фотакис, Костас</v>
      </c>
      <c r="H6550" s="10"/>
      <c r="I6550" s="10"/>
      <c r="J6550" s="10"/>
      <c r="K6550" s="10"/>
      <c r="L6550" s="10"/>
      <c r="M6550" s="10"/>
      <c r="N6550" s="10"/>
      <c r="O6550" s="10"/>
      <c r="P6550" s="10"/>
      <c r="Q6550" s="10"/>
      <c r="R6550" s="10"/>
      <c r="S6550" s="10"/>
      <c r="T6550" s="10"/>
      <c r="U6550" s="10"/>
      <c r="V6550" s="10"/>
      <c r="W6550" s="10"/>
      <c r="X6550" s="10"/>
      <c r="Y6550" s="10"/>
      <c r="Z6550" s="10"/>
    </row>
    <row r="6551" spans="1:26" ht="12.75">
      <c r="A6551" s="10" t="str">
        <f ca="1">IFERROR(__xludf.DUMMYFUNCTION("""COMPUTED_VALUE"""),"Румен Василев Николов")</f>
        <v>Румен Василев Николов</v>
      </c>
      <c r="B6551" s="10" t="str">
        <f ca="1">IFERROR(__xludf.DUMMYFUNCTION("""COMPUTED_VALUE"""),"Доклад от конференция")</f>
        <v>Доклад от конференция</v>
      </c>
      <c r="C6551" s="10" t="str">
        <f ca="1">IFERROR(__xludf.DUMMYFUNCTION("""COMPUTED_VALUE"""),"Internet of Things for Wellbeing: Pilot Case of a Smart Health Cardio Belt")</f>
        <v>Internet of Things for Wellbeing: Pilot Case of a Smart Health Cardio Belt</v>
      </c>
      <c r="D6551" s="10">
        <f ca="1">IFERROR(__xludf.DUMMYFUNCTION("""COMPUTED_VALUE"""),2013)</f>
        <v>2013</v>
      </c>
      <c r="E6551" s="10" t="str">
        <f ca="1">IFERROR(__xludf.DUMMYFUNCTION("""COMPUTED_VALUE"""),"Proceeding MEDICON 2013: XIII Mediterranean Conference on Medical and Biological Engineering and Computing, September 25-28, Sev")</f>
        <v>Proceeding MEDICON 2013: XIII Mediterranean Conference on Medical and Biological Engineering and Computing, September 25-28, Sev</v>
      </c>
      <c r="F6551" s="10"/>
      <c r="G6551" s="10" t="str">
        <f ca="1">IFERROR(__xludf.DUMMYFUNCTION("""COMPUTED_VALUE"""),"Ковачева, Евгения; Николов, Румен; Маджарова, Миролюба; Шикаланов, Александър")</f>
        <v>Ковачева, Евгения; Николов, Румен; Маджарова, Миролюба; Шикаланов, Александър</v>
      </c>
      <c r="H6551" s="10"/>
      <c r="I6551" s="10"/>
      <c r="J6551" s="10"/>
      <c r="K6551" s="10"/>
      <c r="L6551" s="10"/>
      <c r="M6551" s="10"/>
      <c r="N6551" s="10"/>
      <c r="O6551" s="10"/>
      <c r="P6551" s="10"/>
      <c r="Q6551" s="10"/>
      <c r="R6551" s="10"/>
      <c r="S6551" s="10"/>
      <c r="T6551" s="10"/>
      <c r="U6551" s="10"/>
      <c r="V6551" s="10"/>
      <c r="W6551" s="10"/>
      <c r="X6551" s="10"/>
      <c r="Y6551" s="10"/>
      <c r="Z6551" s="10"/>
    </row>
    <row r="6552" spans="1:26" ht="12.75">
      <c r="A6552" s="10" t="str">
        <f ca="1">IFERROR(__xludf.DUMMYFUNCTION("""COMPUTED_VALUE"""),"Румен Василев Николов")</f>
        <v>Румен Василев Николов</v>
      </c>
      <c r="B6552" s="10" t="str">
        <f ca="1">IFERROR(__xludf.DUMMYFUNCTION("""COMPUTED_VALUE"""),"Доклад от конференция")</f>
        <v>Доклад от конференция</v>
      </c>
      <c r="C6552" s="10" t="str">
        <f ca="1">IFERROR(__xludf.DUMMYFUNCTION("""COMPUTED_VALUE"""),"A Global Model for Competence Based ICT in Library Studies Course")</f>
        <v>A Global Model for Competence Based ICT in Library Studies Course</v>
      </c>
      <c r="D6552" s="10">
        <f ca="1">IFERROR(__xludf.DUMMYFUNCTION("""COMPUTED_VALUE"""),2013)</f>
        <v>2013</v>
      </c>
      <c r="E6552" s="10" t="str">
        <f ca="1">IFERROR(__xludf.DUMMYFUNCTION("""COMPUTED_VALUE"""),"Proceedings of European Conference on Information Literacy (ECIL), October 22-25")</f>
        <v>Proceedings of European Conference on Information Literacy (ECIL), October 22-25</v>
      </c>
      <c r="F6552" s="10"/>
      <c r="G6552" s="10" t="str">
        <f ca="1">IFERROR(__xludf.DUMMYFUNCTION("""COMPUTED_VALUE"""),"Ковачева, Евгения; Шойкова, Елена")</f>
        <v>Ковачева, Евгения; Шойкова, Елена</v>
      </c>
      <c r="H6552" s="10"/>
      <c r="I6552" s="10"/>
      <c r="J6552" s="10"/>
      <c r="K6552" s="10"/>
      <c r="L6552" s="10"/>
      <c r="M6552" s="10"/>
      <c r="N6552" s="10"/>
      <c r="O6552" s="10"/>
      <c r="P6552" s="10"/>
      <c r="Q6552" s="10"/>
      <c r="R6552" s="10"/>
      <c r="S6552" s="10"/>
      <c r="T6552" s="10"/>
      <c r="U6552" s="10"/>
      <c r="V6552" s="10"/>
      <c r="W6552" s="10"/>
      <c r="X6552" s="10"/>
      <c r="Y6552" s="10"/>
      <c r="Z6552" s="10"/>
    </row>
    <row r="6553" spans="1:26" ht="12.75">
      <c r="A6553" s="10" t="str">
        <f ca="1">IFERROR(__xludf.DUMMYFUNCTION("""COMPUTED_VALUE"""),"Румен Василев Николов")</f>
        <v>Румен Василев Николов</v>
      </c>
      <c r="B6553" s="10" t="str">
        <f ca="1">IFERROR(__xludf.DUMMYFUNCTION("""COMPUTED_VALUE"""),"Доклад от конференция")</f>
        <v>Доклад от конференция</v>
      </c>
      <c r="C6553" s="10" t="str">
        <f ca="1">IFERROR(__xludf.DUMMYFUNCTION("""COMPUTED_VALUE"""),"Embedding Open Educational Resources in a Competence Based ICT in Library Art Course")</f>
        <v>Embedding Open Educational Resources in a Competence Based ICT in Library Art Course</v>
      </c>
      <c r="D6553" s="10">
        <f ca="1">IFERROR(__xludf.DUMMYFUNCTION("""COMPUTED_VALUE"""),2013)</f>
        <v>2013</v>
      </c>
      <c r="E6553" s="10" t="str">
        <f ca="1">IFERROR(__xludf.DUMMYFUNCTION("""COMPUTED_VALUE"""),"Proceedings of 10th IFIP World Conference on Computers in Education, WCCE 2013 Torun")</f>
        <v>Proceedings of 10th IFIP World Conference on Computers in Education, WCCE 2013 Torun</v>
      </c>
      <c r="F6553" s="10"/>
      <c r="G6553" s="10" t="str">
        <f ca="1">IFERROR(__xludf.DUMMYFUNCTION("""COMPUTED_VALUE"""),"Ковачева, Евгения; Шойкова, Елена")</f>
        <v>Ковачева, Евгения; Шойкова, Елена</v>
      </c>
      <c r="H6553" s="10"/>
      <c r="I6553" s="10"/>
      <c r="J6553" s="10"/>
      <c r="K6553" s="10"/>
      <c r="L6553" s="10"/>
      <c r="M6553" s="10"/>
      <c r="N6553" s="10"/>
      <c r="O6553" s="10"/>
      <c r="P6553" s="10"/>
      <c r="Q6553" s="10"/>
      <c r="R6553" s="10"/>
      <c r="S6553" s="10"/>
      <c r="T6553" s="10"/>
      <c r="U6553" s="10"/>
      <c r="V6553" s="10"/>
      <c r="W6553" s="10"/>
      <c r="X6553" s="10"/>
      <c r="Y6553" s="10"/>
      <c r="Z6553" s="10"/>
    </row>
    <row r="6554" spans="1:26" ht="12.75">
      <c r="A6554" s="10" t="str">
        <f ca="1">IFERROR(__xludf.DUMMYFUNCTION("""COMPUTED_VALUE"""),"Румен Василев Николов")</f>
        <v>Румен Василев Николов</v>
      </c>
      <c r="B6554" s="10" t="str">
        <f ca="1">IFERROR(__xludf.DUMMYFUNCTION("""COMPUTED_VALUE"""),"Доклад от конференция")</f>
        <v>Доклад от конференция</v>
      </c>
      <c r="C6554" s="10" t="str">
        <f ca="1">IFERROR(__xludf.DUMMYFUNCTION("""COMPUTED_VALUE"""),"Users and Internet of Things for Wellbeing: Smart Health Cardio Belt")</f>
        <v>Users and Internet of Things for Wellbeing: Smart Health Cardio Belt</v>
      </c>
      <c r="D6554" s="10">
        <f ca="1">IFERROR(__xludf.DUMMYFUNCTION("""COMPUTED_VALUE"""),2013)</f>
        <v>2013</v>
      </c>
      <c r="E6554" s="10" t="str">
        <f ca="1">IFERROR(__xludf.DUMMYFUNCTION("""COMPUTED_VALUE"""),"Proceeding MIE2013: Doctoral Conference in Mathematics, Informatics and Education, September 19-22, Sofia, Bulgaria")</f>
        <v>Proceeding MIE2013: Doctoral Conference in Mathematics, Informatics and Education, September 19-22, Sofia, Bulgaria</v>
      </c>
      <c r="F6554" s="10"/>
      <c r="G6554" s="10" t="str">
        <f ca="1">IFERROR(__xludf.DUMMYFUNCTION("""COMPUTED_VALUE"""),"ЖКовачева, Евгения; Георгиев, Атанас, Маджарова, Миролюба; Николов, Румен; Шикаланов, Александър")</f>
        <v>ЖКовачева, Евгения; Георгиев, Атанас, Маджарова, Миролюба; Николов, Румен; Шикаланов, Александър</v>
      </c>
      <c r="H6554" s="10"/>
      <c r="I6554" s="10"/>
      <c r="J6554" s="10"/>
      <c r="K6554" s="10"/>
      <c r="L6554" s="10"/>
      <c r="M6554" s="10"/>
      <c r="N6554" s="10"/>
      <c r="O6554" s="10"/>
      <c r="P6554" s="10"/>
      <c r="Q6554" s="10"/>
      <c r="R6554" s="10"/>
      <c r="S6554" s="10"/>
      <c r="T6554" s="10"/>
      <c r="U6554" s="10"/>
      <c r="V6554" s="10"/>
      <c r="W6554" s="10"/>
      <c r="X6554" s="10"/>
      <c r="Y6554" s="10"/>
      <c r="Z6554" s="10"/>
    </row>
    <row r="6555" spans="1:26" ht="12.75">
      <c r="A6555" s="10" t="str">
        <f ca="1">IFERROR(__xludf.DUMMYFUNCTION("""COMPUTED_VALUE"""),"Румен Василев Николов")</f>
        <v>Румен Василев Николов</v>
      </c>
      <c r="B6555" s="10"/>
      <c r="C6555" s="10" t="str">
        <f ca="1">IFERROR(__xludf.DUMMYFUNCTION("""COMPUTED_VALUE"""),"Educational software portabiity: An overview of technical developments and their influences")</f>
        <v>Educational software portabiity: An overview of technical developments and their influences</v>
      </c>
      <c r="D6555" s="10">
        <f ca="1">IFERROR(__xludf.DUMMYFUNCTION("""COMPUTED_VALUE"""),1994)</f>
        <v>1994</v>
      </c>
      <c r="E6555" s="10" t="str">
        <f ca="1">IFERROR(__xludf.DUMMYFUNCTION("""COMPUTED_VALUE"""),"J.of research in computers in education.")</f>
        <v>J.of research in computers in education.</v>
      </c>
      <c r="F6555" s="10"/>
      <c r="G6555" s="10"/>
      <c r="H6555" s="10"/>
      <c r="I6555" s="10"/>
      <c r="J6555" s="10"/>
      <c r="K6555" s="10"/>
      <c r="L6555" s="10"/>
      <c r="M6555" s="10"/>
      <c r="N6555" s="10"/>
      <c r="O6555" s="10"/>
      <c r="P6555" s="10"/>
      <c r="Q6555" s="10"/>
      <c r="R6555" s="10"/>
      <c r="S6555" s="10"/>
      <c r="T6555" s="10"/>
      <c r="U6555" s="10"/>
      <c r="V6555" s="10"/>
      <c r="W6555" s="10"/>
      <c r="X6555" s="10"/>
      <c r="Y6555" s="10"/>
      <c r="Z6555" s="10"/>
    </row>
    <row r="6556" spans="1:26" ht="12.75">
      <c r="A6556" s="10" t="str">
        <f ca="1">IFERROR(__xludf.DUMMYFUNCTION("""COMPUTED_VALUE"""),"Румен Василев Николов")</f>
        <v>Румен Василев Николов</v>
      </c>
      <c r="B6556" s="10"/>
      <c r="C6556" s="10" t="str">
        <f ca="1">IFERROR(__xludf.DUMMYFUNCTION("""COMPUTED_VALUE"""),"Tools and methods for teaching informatics at school: an advanced Logo course")</f>
        <v>Tools and methods for teaching informatics at school: an advanced Logo course</v>
      </c>
      <c r="D6556" s="10">
        <f ca="1">IFERROR(__xludf.DUMMYFUNCTION("""COMPUTED_VALUE"""),1991)</f>
        <v>1991</v>
      </c>
      <c r="E6556" s="10" t="str">
        <f ca="1">IFERROR(__xludf.DUMMYFUNCTION("""COMPUTED_VALUE"""),"Education&amp;Computing,North-Holland,v.7")</f>
        <v>Education&amp;Computing,North-Holland,v.7</v>
      </c>
      <c r="F6556" s="10"/>
      <c r="G6556" s="10"/>
      <c r="H6556" s="10"/>
      <c r="I6556" s="10"/>
      <c r="J6556" s="10"/>
      <c r="K6556" s="10"/>
      <c r="L6556" s="10"/>
      <c r="M6556" s="10"/>
      <c r="N6556" s="10"/>
      <c r="O6556" s="10"/>
      <c r="P6556" s="10"/>
      <c r="Q6556" s="10"/>
      <c r="R6556" s="10"/>
      <c r="S6556" s="10"/>
      <c r="T6556" s="10"/>
      <c r="U6556" s="10"/>
      <c r="V6556" s="10"/>
      <c r="W6556" s="10"/>
      <c r="X6556" s="10"/>
      <c r="Y6556" s="10"/>
      <c r="Z6556" s="10"/>
    </row>
    <row r="6557" spans="1:26" ht="12.75">
      <c r="A6557" s="10" t="str">
        <f ca="1">IFERROR(__xludf.DUMMYFUNCTION("""COMPUTED_VALUE"""),"Румен Василев Николов")</f>
        <v>Румен Василев Николов</v>
      </c>
      <c r="B6557" s="10" t="str">
        <f ca="1">IFERROR(__xludf.DUMMYFUNCTION("""COMPUTED_VALUE"""),"Доклад от конференция")</f>
        <v>Доклад от конференция</v>
      </c>
      <c r="C6557" s="10" t="str">
        <f ca="1">IFERROR(__xludf.DUMMYFUNCTION("""COMPUTED_VALUE"""),"Informatics for all school ages.")</f>
        <v>Informatics for all school ages.</v>
      </c>
      <c r="D6557" s="10">
        <f ca="1">IFERROR(__xludf.DUMMYFUNCTION("""COMPUTED_VALUE"""),1991)</f>
        <v>1991</v>
      </c>
      <c r="E6557" s="10" t="str">
        <f ca="1">IFERROR(__xludf.DUMMYFUNCTION("""COMPUTED_VALUE"""),"Proc. of 3rd European Logo Conf.,Parma,Italy,pp.83-96")</f>
        <v>Proc. of 3rd European Logo Conf.,Parma,Italy,pp.83-96</v>
      </c>
      <c r="F6557" s="10"/>
      <c r="G6557" s="10"/>
      <c r="H6557" s="10"/>
      <c r="I6557" s="10"/>
      <c r="J6557" s="10"/>
      <c r="K6557" s="10"/>
      <c r="L6557" s="10"/>
      <c r="M6557" s="10"/>
      <c r="N6557" s="10"/>
      <c r="O6557" s="10"/>
      <c r="P6557" s="10"/>
      <c r="Q6557" s="10"/>
      <c r="R6557" s="10"/>
      <c r="S6557" s="10"/>
      <c r="T6557" s="10"/>
      <c r="U6557" s="10"/>
      <c r="V6557" s="10"/>
      <c r="W6557" s="10"/>
      <c r="X6557" s="10"/>
      <c r="Y6557" s="10"/>
      <c r="Z6557" s="10"/>
    </row>
    <row r="6558" spans="1:26" ht="12.75">
      <c r="A6558" s="10" t="str">
        <f ca="1">IFERROR(__xludf.DUMMYFUNCTION("""COMPUTED_VALUE"""),"Румен Василев Николов")</f>
        <v>Румен Василев Николов</v>
      </c>
      <c r="B6558" s="10"/>
      <c r="C6558" s="10" t="str">
        <f ca="1">IFERROR(__xludf.DUMMYFUNCTION("""COMPUTED_VALUE"""),"Problem solving scenarious in secondary school textbooks in mathematics and informatics.")</f>
        <v>Problem solving scenarious in secondary school textbooks in mathematics and informatics.</v>
      </c>
      <c r="D6558" s="10">
        <f ca="1">IFERROR(__xludf.DUMMYFUNCTION("""COMPUTED_VALUE"""),1989)</f>
        <v>1989</v>
      </c>
      <c r="E6558" s="10" t="str">
        <f ca="1">IFERROR(__xludf.DUMMYFUNCTION("""COMPUTED_VALUE"""),"Proc of the 2nd European Logo Conf, Gent,Belgium")</f>
        <v>Proc of the 2nd European Logo Conf, Gent,Belgium</v>
      </c>
      <c r="F6558" s="10"/>
      <c r="G6558" s="10"/>
      <c r="H6558" s="10"/>
      <c r="I6558" s="10"/>
      <c r="J6558" s="10"/>
      <c r="K6558" s="10"/>
      <c r="L6558" s="10"/>
      <c r="M6558" s="10"/>
      <c r="N6558" s="10"/>
      <c r="O6558" s="10"/>
      <c r="P6558" s="10"/>
      <c r="Q6558" s="10"/>
      <c r="R6558" s="10"/>
      <c r="S6558" s="10"/>
      <c r="T6558" s="10"/>
      <c r="U6558" s="10"/>
      <c r="V6558" s="10"/>
      <c r="W6558" s="10"/>
      <c r="X6558" s="10"/>
      <c r="Y6558" s="10"/>
      <c r="Z6558" s="10"/>
    </row>
    <row r="6559" spans="1:26" ht="12.75">
      <c r="A6559" s="10" t="str">
        <f ca="1">IFERROR(__xludf.DUMMYFUNCTION("""COMPUTED_VALUE"""),"Румен Василев Николов")</f>
        <v>Румен Василев Николов</v>
      </c>
      <c r="B6559" s="10" t="str">
        <f ca="1">IFERROR(__xludf.DUMMYFUNCTION("""COMPUTED_VALUE"""),"Доклад от конференция")</f>
        <v>Доклад от конференция</v>
      </c>
      <c r="C6559" s="10" t="str">
        <f ca="1">IFERROR(__xludf.DUMMYFUNCTION("""COMPUTED_VALUE"""),"Mathematics and informatics-an attempt for integration in the secondary school curriculum.")</f>
        <v>Mathematics and informatics-an attempt for integration in the secondary school curriculum.</v>
      </c>
      <c r="D6559" s="10">
        <f ca="1">IFERROR(__xludf.DUMMYFUNCTION("""COMPUTED_VALUE"""),1989)</f>
        <v>1989</v>
      </c>
      <c r="E6559" s="10" t="str">
        <f ca="1">IFERROR(__xludf.DUMMYFUNCTION("""COMPUTED_VALUE"""),"Proc. of the 3rd int.conf. ""Children in the Informatics Age"",Sofia,BG,pp.155-166")</f>
        <v>Proc. of the 3rd int.conf. "Children in the Informatics Age",Sofia,BG,pp.155-166</v>
      </c>
      <c r="F6559" s="10"/>
      <c r="G6559" s="10"/>
      <c r="H6559" s="10"/>
      <c r="I6559" s="10"/>
      <c r="J6559" s="10"/>
      <c r="K6559" s="10"/>
      <c r="L6559" s="10"/>
      <c r="M6559" s="10"/>
      <c r="N6559" s="10"/>
      <c r="O6559" s="10"/>
      <c r="P6559" s="10"/>
      <c r="Q6559" s="10"/>
      <c r="R6559" s="10"/>
      <c r="S6559" s="10"/>
      <c r="T6559" s="10"/>
      <c r="U6559" s="10"/>
      <c r="V6559" s="10"/>
      <c r="W6559" s="10"/>
      <c r="X6559" s="10"/>
      <c r="Y6559" s="10"/>
      <c r="Z6559" s="10"/>
    </row>
    <row r="6560" spans="1:26" ht="12.75">
      <c r="A6560" s="10" t="str">
        <f ca="1">IFERROR(__xludf.DUMMYFUNCTION("""COMPUTED_VALUE"""),"Румен Иванов Драганов")</f>
        <v>Румен Иванов Драганов</v>
      </c>
      <c r="B6560" s="10" t="str">
        <f ca="1">IFERROR(__xludf.DUMMYFUNCTION("""COMPUTED_VALUE"""),"Доклад от конференция")</f>
        <v>Доклад от конференция</v>
      </c>
      <c r="C6560" s="10" t="str">
        <f ca="1">IFERROR(__xludf.DUMMYFUNCTION("""COMPUTED_VALUE"""),"МОДЕЛИРАНЕ НА ПЛАТФОРМИ ЗА УПРАВЛЕНИЕ В ТУРИЗМА ЧРЕЗ БЛОКОВИ СИСТЕМИ (БЛОКЧЕИН)")</f>
        <v>МОДЕЛИРАНЕ НА ПЛАТФОРМИ ЗА УПРАВЛЕНИЕ В ТУРИЗМА ЧРЕЗ БЛОКОВИ СИСТЕМИ (БЛОКЧЕИН)</v>
      </c>
      <c r="D6560" s="10">
        <f ca="1">IFERROR(__xludf.DUMMYFUNCTION("""COMPUTED_VALUE"""),2019)</f>
        <v>2019</v>
      </c>
      <c r="E6560" s="10" t="str">
        <f ca="1">IFERROR(__xludf.DUMMYFUNCTION("""COMPUTED_VALUE"""),"Сборник доклади XVI-та национална научна конференция с международно участие на тема обществото на знанието и хуманизмът на XXI век, Унибит 01.11.2018 г. – София: За буквите – О писменехь, 535-545 с. ISSN 1314-7009")</f>
        <v>Сборник доклади XVI-та национална научна конференция с международно участие на тема обществото на знанието и хуманизмът на XXI век, Унибит 01.11.2018 г. – София: За буквите – О писменехь, 535-545 с. ISSN 1314-7009</v>
      </c>
      <c r="F6560" s="10"/>
      <c r="G6560" s="10"/>
      <c r="H6560" s="10"/>
      <c r="I6560" s="10"/>
      <c r="J6560" s="10"/>
      <c r="K6560" s="10"/>
      <c r="L6560" s="10"/>
      <c r="M6560" s="10"/>
      <c r="N6560" s="10"/>
      <c r="O6560" s="10"/>
      <c r="P6560" s="10"/>
      <c r="Q6560" s="10"/>
      <c r="R6560" s="10"/>
      <c r="S6560" s="10"/>
      <c r="T6560" s="10"/>
      <c r="U6560" s="10"/>
      <c r="V6560" s="10"/>
      <c r="W6560" s="10"/>
      <c r="X6560" s="10"/>
      <c r="Y6560" s="10"/>
      <c r="Z6560" s="10"/>
    </row>
    <row r="6561" spans="1:26" ht="12.75">
      <c r="A6561" s="10" t="str">
        <f ca="1">IFERROR(__xludf.DUMMYFUNCTION("""COMPUTED_VALUE"""),"Румен Иванов Драганов")</f>
        <v>Румен Иванов Драганов</v>
      </c>
      <c r="B6561" s="10" t="str">
        <f ca="1">IFERROR(__xludf.DUMMYFUNCTION("""COMPUTED_VALUE"""),"Доклад от конференция")</f>
        <v>Доклад от конференция</v>
      </c>
      <c r="C6561" s="10" t="str">
        <f ca="1">IFERROR(__xludf.DUMMYFUNCTION("""COMPUTED_VALUE"""),"Иновативни перспективи в администрирането на интелигентни туристически дестинации")</f>
        <v>Иновативни перспективи в администрирането на интелигентни туристически дестинации</v>
      </c>
      <c r="D6561" s="10">
        <f ca="1">IFERROR(__xludf.DUMMYFUNCTION("""COMPUTED_VALUE"""),2019)</f>
        <v>2019</v>
      </c>
      <c r="E6561" s="10" t="str">
        <f ca="1">IFERROR(__xludf.DUMMYFUNCTION("""COMPUTED_VALUE"""),"ИНОВАЦИИ И ПРЕДПРИЕМАЧЕСТВО В ОБРАЗОВАНИЕТО И БИЗНЕСА СЕКЦИЯ I. ИНОВАЦИИТЕ - ИЗТОЧНИК НА КОНКУРЕНТНИ ПРЕДИМСТВА. IBS PRESS, МВБУ, Ботевград, стр 111. ISBN 978-954-9432-83-1")</f>
        <v>ИНОВАЦИИ И ПРЕДПРИЕМАЧЕСТВО В ОБРАЗОВАНИЕТО И БИЗНЕСА СЕКЦИЯ I. ИНОВАЦИИТЕ - ИЗТОЧНИК НА КОНКУРЕНТНИ ПРЕДИМСТВА. IBS PRESS, МВБУ, Ботевград, стр 111. ISBN 978-954-9432-83-1</v>
      </c>
      <c r="F6561" s="10"/>
      <c r="G6561" s="10"/>
      <c r="H6561" s="10"/>
      <c r="I6561" s="10"/>
      <c r="J6561" s="10"/>
      <c r="K6561" s="10"/>
      <c r="L6561" s="10"/>
      <c r="M6561" s="10"/>
      <c r="N6561" s="10"/>
      <c r="O6561" s="10"/>
      <c r="P6561" s="10"/>
      <c r="Q6561" s="10"/>
      <c r="R6561" s="10"/>
      <c r="S6561" s="10"/>
      <c r="T6561" s="10"/>
      <c r="U6561" s="10"/>
      <c r="V6561" s="10"/>
      <c r="W6561" s="10"/>
      <c r="X6561" s="10"/>
      <c r="Y6561" s="10"/>
      <c r="Z6561" s="10"/>
    </row>
    <row r="6562" spans="1:26" ht="12.75">
      <c r="A6562" s="10" t="str">
        <f ca="1">IFERROR(__xludf.DUMMYFUNCTION("""COMPUTED_VALUE"""),"Румен Иванов Драганов")</f>
        <v>Румен Иванов Драганов</v>
      </c>
      <c r="B6562" s="10" t="str">
        <f ca="1">IFERROR(__xludf.DUMMYFUNCTION("""COMPUTED_VALUE"""),"Статия в списания и поредици")</f>
        <v>Статия в списания и поредици</v>
      </c>
      <c r="C6562" s="10" t="str">
        <f ca="1">IFERROR(__xludf.DUMMYFUNCTION("""COMPUTED_VALUE"""),"RECREATIONAL EXPERIENCES TROUGH POSTCARDS FROM 1960’S VS SOCIAL MEDIA IN THE CONTEXT OF THE ST.ST. CONSTANTINE AND HELENA RESORT")</f>
        <v>RECREATIONAL EXPERIENCES TROUGH POSTCARDS FROM 1960’S VS SOCIAL MEDIA IN THE CONTEXT OF THE ST.ST. CONSTANTINE AND HELENA RESORT</v>
      </c>
      <c r="D6562" s="10">
        <f ca="1">IFERROR(__xludf.DUMMYFUNCTION("""COMPUTED_VALUE"""),2019)</f>
        <v>2019</v>
      </c>
      <c r="E6562" s="10" t="str">
        <f ca="1">IFERROR(__xludf.DUMMYFUNCTION("""COMPUTED_VALUE"""),"Research, Development and Education in Tourism, Cambridge Scholars Publishing2019, p.151 ISBN 1-5275-3719-6")</f>
        <v>Research, Development and Education in Tourism, Cambridge Scholars Publishing2019, p.151 ISBN 1-5275-3719-6</v>
      </c>
      <c r="F6562" s="10"/>
      <c r="G6562" s="10"/>
      <c r="H6562" s="10"/>
      <c r="I6562" s="10"/>
      <c r="J6562" s="10"/>
      <c r="K6562" s="10"/>
      <c r="L6562" s="10"/>
      <c r="M6562" s="10"/>
      <c r="N6562" s="10"/>
      <c r="O6562" s="10"/>
      <c r="P6562" s="10"/>
      <c r="Q6562" s="10"/>
      <c r="R6562" s="10"/>
      <c r="S6562" s="10"/>
      <c r="T6562" s="10"/>
      <c r="U6562" s="10"/>
      <c r="V6562" s="10"/>
      <c r="W6562" s="10"/>
      <c r="X6562" s="10"/>
      <c r="Y6562" s="10"/>
      <c r="Z6562" s="10"/>
    </row>
    <row r="6563" spans="1:26" ht="12.75">
      <c r="A6563" s="10" t="str">
        <f ca="1">IFERROR(__xludf.DUMMYFUNCTION("""COMPUTED_VALUE"""),"Румен Иванов Драганов")</f>
        <v>Румен Иванов Драганов</v>
      </c>
      <c r="B6563" s="10" t="str">
        <f ca="1">IFERROR(__xludf.DUMMYFUNCTION("""COMPUTED_VALUE"""),"Доклад от конференция")</f>
        <v>Доклад от конференция</v>
      </c>
      <c r="C6563" s="10" t="str">
        <f ca="1">IFERROR(__xludf.DUMMYFUNCTION("""COMPUTED_VALUE"""),"ДИГИТАЛНАТА ТРАНСФОРМАЦИЯ И ЕВРОПЕЙСКИТЕ КУЛТУРНИ МАРШРУТИ – ПРЕСЕЧНИ ТОЧКИ")</f>
        <v>ДИГИТАЛНАТА ТРАНСФОРМАЦИЯ И ЕВРОПЕЙСКИТЕ КУЛТУРНИ МАРШРУТИ – ПРЕСЕЧНИ ТОЧКИ</v>
      </c>
      <c r="D6563" s="10">
        <f ca="1">IFERROR(__xludf.DUMMYFUNCTION("""COMPUTED_VALUE"""),2019)</f>
        <v>2019</v>
      </c>
      <c r="E6563" s="10" t="str">
        <f ca="1">IFERROR(__xludf.DUMMYFUNCTION("""COMPUTED_VALUE"""),"ИНОВАЦИИ И ПРЕДПРИЕМАЧЕСТВО В ОБРАЗОВАНИЕТО И БИЗНЕСА. СЕКЦИЯ II ПРЕДПРИЕМАЧЕСТВО И КРЕАТИВНОСТ. IBS PRESS, МВБУ, Ботевград, стр 18. ISBN 978-954-9432-83-1")</f>
        <v>ИНОВАЦИИ И ПРЕДПРИЕМАЧЕСТВО В ОБРАЗОВАНИЕТО И БИЗНЕСА. СЕКЦИЯ II ПРЕДПРИЕМАЧЕСТВО И КРЕАТИВНОСТ. IBS PRESS, МВБУ, Ботевград, стр 18. ISBN 978-954-9432-83-1</v>
      </c>
      <c r="F6563" s="10"/>
      <c r="G6563" s="10"/>
      <c r="H6563" s="10"/>
      <c r="I6563" s="10"/>
      <c r="J6563" s="10"/>
      <c r="K6563" s="10"/>
      <c r="L6563" s="10"/>
      <c r="M6563" s="10"/>
      <c r="N6563" s="10"/>
      <c r="O6563" s="10"/>
      <c r="P6563" s="10"/>
      <c r="Q6563" s="10"/>
      <c r="R6563" s="10"/>
      <c r="S6563" s="10"/>
      <c r="T6563" s="10"/>
      <c r="U6563" s="10"/>
      <c r="V6563" s="10"/>
      <c r="W6563" s="10"/>
      <c r="X6563" s="10"/>
      <c r="Y6563" s="10"/>
      <c r="Z6563" s="10"/>
    </row>
    <row r="6564" spans="1:26" ht="12.75">
      <c r="A6564" s="10" t="str">
        <f ca="1">IFERROR(__xludf.DUMMYFUNCTION("""COMPUTED_VALUE"""),"Румен Иванов Драганов")</f>
        <v>Румен Иванов Драганов</v>
      </c>
      <c r="B6564" s="10" t="str">
        <f ca="1">IFERROR(__xludf.DUMMYFUNCTION("""COMPUTED_VALUE"""),"Доклад от конференция")</f>
        <v>Доклад от конференция</v>
      </c>
      <c r="C6564" s="10" t="str">
        <f ca="1">IFERROR(__xludf.DUMMYFUNCTION("""COMPUTED_VALUE"""),"МОДЕЛИРАНЕ НА ИНТЕЛИГЕНТНИТЕ ЕКОСИСТЕМИ В ТУРИЗМА")</f>
        <v>МОДЕЛИРАНЕ НА ИНТЕЛИГЕНТНИТЕ ЕКОСИСТЕМИ В ТУРИЗМА</v>
      </c>
      <c r="D6564" s="10">
        <f ca="1">IFERROR(__xludf.DUMMYFUNCTION("""COMPUTED_VALUE"""),2019)</f>
        <v>2019</v>
      </c>
      <c r="E6564" s="10" t="str">
        <f ca="1">IFERROR(__xludf.DUMMYFUNCTION("""COMPUTED_VALUE"""),"Международнаконференция „Автоматика и информатика2019, България, София 2019, с. 105 ISSN 1313-1850")</f>
        <v>Международнаконференция „Автоматика и информатика2019, България, София 2019, с. 105 ISSN 1313-1850</v>
      </c>
      <c r="F6564" s="10"/>
      <c r="G6564" s="10" t="str">
        <f ca="1">IFERROR(__xludf.DUMMYFUNCTION("""COMPUTED_VALUE"""),"K.Haralampiev P.Ruskov")</f>
        <v>K.Haralampiev P.Ruskov</v>
      </c>
      <c r="H6564" s="10"/>
      <c r="I6564" s="10"/>
      <c r="J6564" s="10"/>
      <c r="K6564" s="10"/>
      <c r="L6564" s="10"/>
      <c r="M6564" s="10"/>
      <c r="N6564" s="10"/>
      <c r="O6564" s="10"/>
      <c r="P6564" s="10"/>
      <c r="Q6564" s="10"/>
      <c r="R6564" s="10"/>
      <c r="S6564" s="10"/>
      <c r="T6564" s="10"/>
      <c r="U6564" s="10"/>
      <c r="V6564" s="10"/>
      <c r="W6564" s="10"/>
      <c r="X6564" s="10"/>
      <c r="Y6564" s="10"/>
      <c r="Z6564" s="10"/>
    </row>
    <row r="6565" spans="1:26" ht="12.75">
      <c r="A6565" s="10" t="str">
        <f ca="1">IFERROR(__xludf.DUMMYFUNCTION("""COMPUTED_VALUE"""),"Румен Иванов Драганов")</f>
        <v>Румен Иванов Драганов</v>
      </c>
      <c r="B6565" s="10" t="str">
        <f ca="1">IFERROR(__xludf.DUMMYFUNCTION("""COMPUTED_VALUE"""),"Доклад от конференция")</f>
        <v>Доклад от конференция</v>
      </c>
      <c r="C6565" s="10" t="str">
        <f ca="1">IFERROR(__xludf.DUMMYFUNCTION("""COMPUTED_VALUE"""),"КООПЕРАТИВИ ЗА КРЕАТИВЕН ТУРИЗЪМ В СПОДЕЛЕНИ ПРОСТРАНСТВА.")</f>
        <v>КООПЕРАТИВИ ЗА КРЕАТИВЕН ТУРИЗЪМ В СПОДЕЛЕНИ ПРОСТРАНСТВА.</v>
      </c>
      <c r="D6565" s="10">
        <f ca="1">IFERROR(__xludf.DUMMYFUNCTION("""COMPUTED_VALUE"""),2018)</f>
        <v>2018</v>
      </c>
      <c r="E6565" s="10" t="str">
        <f ca="1">IFERROR(__xludf.DUMMYFUNCTION("""COMPUTED_VALUE"""),"Четиринадесета международна научнаконференция „Развитие на висшите училища в контекста на европейските изисквания за качество на образователните услуги “, 16-17 юни 2017 г. Международно висше бизнес училище-София, 403-411. ISBN 978-954-9432-75-1 (CD)")</f>
        <v>Четиринадесета международна научнаконференция „Развитие на висшите училища в контекста на европейските изисквания за качество на образователните услуги “, 16-17 юни 2017 г. Международно висше бизнес училище-София, 403-411. ISBN 978-954-9432-75-1 (CD)</v>
      </c>
      <c r="F6565" s="10"/>
      <c r="G6565" s="10"/>
      <c r="H6565" s="10"/>
      <c r="I6565" s="10"/>
      <c r="J6565" s="10"/>
      <c r="K6565" s="10"/>
      <c r="L6565" s="10"/>
      <c r="M6565" s="10"/>
      <c r="N6565" s="10"/>
      <c r="O6565" s="10"/>
      <c r="P6565" s="10"/>
      <c r="Q6565" s="10"/>
      <c r="R6565" s="10"/>
      <c r="S6565" s="10"/>
      <c r="T6565" s="10"/>
      <c r="U6565" s="10"/>
      <c r="V6565" s="10"/>
      <c r="W6565" s="10"/>
      <c r="X6565" s="10"/>
      <c r="Y6565" s="10"/>
      <c r="Z6565" s="10"/>
    </row>
    <row r="6566" spans="1:26" ht="12.75">
      <c r="A6566" s="10" t="str">
        <f ca="1">IFERROR(__xludf.DUMMYFUNCTION("""COMPUTED_VALUE"""),"Румен Иванов Драганов")</f>
        <v>Румен Иванов Драганов</v>
      </c>
      <c r="B6566" s="10" t="str">
        <f ca="1">IFERROR(__xludf.DUMMYFUNCTION("""COMPUTED_VALUE"""),"Доклад от конференция")</f>
        <v>Доклад от конференция</v>
      </c>
      <c r="C6566" s="10" t="str">
        <f ca="1">IFERROR(__xludf.DUMMYFUNCTION("""COMPUTED_VALUE"""),"RECREATIONAL EXPERIENCES TROUGH POSTCARDS FROM 1960’S VS SOCIAL MEDIA IN THE CONTEXT OF THE ST.ST. CONSTANTINE AND HELENA RESORT")</f>
        <v>RECREATIONAL EXPERIENCES TROUGH POSTCARDS FROM 1960’S VS SOCIAL MEDIA IN THE CONTEXT OF THE ST.ST. CONSTANTINE AND HELENA RESORT</v>
      </c>
      <c r="D6566" s="10">
        <f ca="1">IFERROR(__xludf.DUMMYFUNCTION("""COMPUTED_VALUE"""),2018)</f>
        <v>2018</v>
      </c>
      <c r="E6566" s="10" t="str">
        <f ca="1">IFERROR(__xludf.DUMMYFUNCTION("""COMPUTED_VALUE"""),"Петнадесета международна научна конференция „ Туризъм – Изследване, развитие и обучение” , Международно висше бизнес училище, с.334. ISBN 978-954-9432-75-1 (CD)")</f>
        <v>Петнадесета международна научна конференция „ Туризъм – Изследване, развитие и обучение” , Международно висше бизнес училище, с.334. ISBN 978-954-9432-75-1 (CD)</v>
      </c>
      <c r="F6566" s="10"/>
      <c r="G6566" s="10"/>
      <c r="H6566" s="10"/>
      <c r="I6566" s="10"/>
      <c r="J6566" s="10"/>
      <c r="K6566" s="10"/>
      <c r="L6566" s="10"/>
      <c r="M6566" s="10"/>
      <c r="N6566" s="10"/>
      <c r="O6566" s="10"/>
      <c r="P6566" s="10"/>
      <c r="Q6566" s="10"/>
      <c r="R6566" s="10"/>
      <c r="S6566" s="10"/>
      <c r="T6566" s="10"/>
      <c r="U6566" s="10"/>
      <c r="V6566" s="10"/>
      <c r="W6566" s="10"/>
      <c r="X6566" s="10"/>
      <c r="Y6566" s="10"/>
      <c r="Z6566" s="10"/>
    </row>
    <row r="6567" spans="1:26" ht="12.75">
      <c r="A6567" s="10" t="str">
        <f ca="1">IFERROR(__xludf.DUMMYFUNCTION("""COMPUTED_VALUE"""),"Румен Иванов Драганов")</f>
        <v>Румен Иванов Драганов</v>
      </c>
      <c r="B6567" s="10" t="str">
        <f ca="1">IFERROR(__xludf.DUMMYFUNCTION("""COMPUTED_VALUE"""),"Доклад от конференция")</f>
        <v>Доклад от конференция</v>
      </c>
      <c r="C6567" s="10" t="str">
        <f ca="1">IFERROR(__xludf.DUMMYFUNCTION("""COMPUTED_VALUE"""),"Рекреационните възможности на здравната превенция")</f>
        <v>Рекреационните възможности на здравната превенция</v>
      </c>
      <c r="D6567" s="10">
        <f ca="1">IFERROR(__xludf.DUMMYFUNCTION("""COMPUTED_VALUE"""),2018)</f>
        <v>2018</v>
      </c>
      <c r="E6567" s="10" t="str">
        <f ca="1">IFERROR(__xludf.DUMMYFUNCTION("""COMPUTED_VALUE"""),"Петнадесета международна научна конференция „ Туризъм – Изследване, развитие и обучение” , Международно висше бизнес училище, с.129-138. ISBN 978-954-9432-75-1 (CD)")</f>
        <v>Петнадесета международна научна конференция „ Туризъм – Изследване, развитие и обучение” , Международно висше бизнес училище, с.129-138. ISBN 978-954-9432-75-1 (CD)</v>
      </c>
      <c r="F6567" s="10"/>
      <c r="G6567" s="10"/>
      <c r="H6567" s="10"/>
      <c r="I6567" s="10"/>
      <c r="J6567" s="10"/>
      <c r="K6567" s="10"/>
      <c r="L6567" s="10"/>
      <c r="M6567" s="10"/>
      <c r="N6567" s="10"/>
      <c r="O6567" s="10"/>
      <c r="P6567" s="10"/>
      <c r="Q6567" s="10"/>
      <c r="R6567" s="10"/>
      <c r="S6567" s="10"/>
      <c r="T6567" s="10"/>
      <c r="U6567" s="10"/>
      <c r="V6567" s="10"/>
      <c r="W6567" s="10"/>
      <c r="X6567" s="10"/>
      <c r="Y6567" s="10"/>
      <c r="Z6567" s="10"/>
    </row>
    <row r="6568" spans="1:26" ht="12.75">
      <c r="A6568" s="10" t="str">
        <f ca="1">IFERROR(__xludf.DUMMYFUNCTION("""COMPUTED_VALUE"""),"Румен Иванов Драганов")</f>
        <v>Румен Иванов Драганов</v>
      </c>
      <c r="B6568" s="10" t="str">
        <f ca="1">IFERROR(__xludf.DUMMYFUNCTION("""COMPUTED_VALUE"""),"Доклад от конференция")</f>
        <v>Доклад от конференция</v>
      </c>
      <c r="C6568" s="10" t="str">
        <f ca="1">IFERROR(__xludf.DUMMYFUNCTION("""COMPUTED_VALUE"""),"Branding of Creative tourism in Shared Spaces")</f>
        <v>Branding of Creative tourism in Shared Spaces</v>
      </c>
      <c r="D6568" s="10">
        <f ca="1">IFERROR(__xludf.DUMMYFUNCTION("""COMPUTED_VALUE"""),2018)</f>
        <v>2018</v>
      </c>
      <c r="E6568" s="10" t="str">
        <f ca="1">IFERROR(__xludf.DUMMYFUNCTION("""COMPUTED_VALUE"""),"Traditions and Innovations in Contemporary Tourism, Cambridge Scholars Publishing, p. 273-280, ISBN(10): 1-5275-0829-3, ISBN(13): 978-1-5375-0829-3.")</f>
        <v>Traditions and Innovations in Contemporary Tourism, Cambridge Scholars Publishing, p. 273-280, ISBN(10): 1-5275-0829-3, ISBN(13): 978-1-5375-0829-3.</v>
      </c>
      <c r="F6568" s="10"/>
      <c r="G6568" s="10"/>
      <c r="H6568" s="10"/>
      <c r="I6568" s="10"/>
      <c r="J6568" s="10"/>
      <c r="K6568" s="10"/>
      <c r="L6568" s="10"/>
      <c r="M6568" s="10"/>
      <c r="N6568" s="10"/>
      <c r="O6568" s="10"/>
      <c r="P6568" s="10"/>
      <c r="Q6568" s="10"/>
      <c r="R6568" s="10"/>
      <c r="S6568" s="10"/>
      <c r="T6568" s="10"/>
      <c r="U6568" s="10"/>
      <c r="V6568" s="10"/>
      <c r="W6568" s="10"/>
      <c r="X6568" s="10"/>
      <c r="Y6568" s="10"/>
      <c r="Z6568" s="10"/>
    </row>
    <row r="6569" spans="1:26" ht="12.75">
      <c r="A6569" s="10" t="str">
        <f ca="1">IFERROR(__xludf.DUMMYFUNCTION("""COMPUTED_VALUE"""),"Румен Иванов Драганов")</f>
        <v>Румен Иванов Драганов</v>
      </c>
      <c r="B6569" s="10" t="str">
        <f ca="1">IFERROR(__xludf.DUMMYFUNCTION("""COMPUTED_VALUE"""),"Статия в списания и поредици")</f>
        <v>Статия в списания и поредици</v>
      </c>
      <c r="C6569" s="10" t="str">
        <f ca="1">IFERROR(__xludf.DUMMYFUNCTION("""COMPUTED_VALUE"""),"Законът задълбочи концептуалната криза в туризма")</f>
        <v>Законът задълбочи концептуалната криза в туризма</v>
      </c>
      <c r="D6569" s="10">
        <f ca="1">IFERROR(__xludf.DUMMYFUNCTION("""COMPUTED_VALUE"""),2017)</f>
        <v>2017</v>
      </c>
      <c r="E6569" s="10" t="str">
        <f ca="1">IFERROR(__xludf.DUMMYFUNCTION("""COMPUTED_VALUE"""),"Сп. Туризъм и отдих, год 16, брой 1-2 (124-125), с 18-19. ISSN 1302-3890")</f>
        <v>Сп. Туризъм и отдих, год 16, брой 1-2 (124-125), с 18-19. ISSN 1302-3890</v>
      </c>
      <c r="F6569" s="10"/>
      <c r="G6569" s="10"/>
      <c r="H6569" s="10"/>
      <c r="I6569" s="10"/>
      <c r="J6569" s="10"/>
      <c r="K6569" s="10"/>
      <c r="L6569" s="10"/>
      <c r="M6569" s="10"/>
      <c r="N6569" s="10"/>
      <c r="O6569" s="10"/>
      <c r="P6569" s="10"/>
      <c r="Q6569" s="10"/>
      <c r="R6569" s="10"/>
      <c r="S6569" s="10"/>
      <c r="T6569" s="10"/>
      <c r="U6569" s="10"/>
      <c r="V6569" s="10"/>
      <c r="W6569" s="10"/>
      <c r="X6569" s="10"/>
      <c r="Y6569" s="10"/>
      <c r="Z6569" s="10"/>
    </row>
    <row r="6570" spans="1:26" ht="12.75">
      <c r="A6570" s="10" t="str">
        <f ca="1">IFERROR(__xludf.DUMMYFUNCTION("""COMPUTED_VALUE"""),"Румен Иванов Драганов")</f>
        <v>Румен Иванов Драганов</v>
      </c>
      <c r="B6570" s="10" t="str">
        <f ca="1">IFERROR(__xludf.DUMMYFUNCTION("""COMPUTED_VALUE"""),"Доклад от конференция")</f>
        <v>Доклад от конференция</v>
      </c>
      <c r="C6570" s="10" t="str">
        <f ca="1">IFERROR(__xludf.DUMMYFUNCTION("""COMPUTED_VALUE"""),"Кооперативи за креативен туризъм в споделени пространства")</f>
        <v>Кооперативи за креативен туризъм в споделени пространства</v>
      </c>
      <c r="D6570" s="10">
        <f ca="1">IFERROR(__xludf.DUMMYFUNCTION("""COMPUTED_VALUE"""),2017)</f>
        <v>2017</v>
      </c>
      <c r="E6570" s="10" t="str">
        <f ca="1">IFERROR(__xludf.DUMMYFUNCTION("""COMPUTED_VALUE"""),"Четиринадесета международна научна конференция „ Развитие на висшите училища в контекста на европейските изисквания за качество на образователните услуги” , Международно висше бизнес училище , с.403-411 ISBN 978-954-9432-75-1 (CD)")</f>
        <v>Четиринадесета международна научна конференция „ Развитие на висшите училища в контекста на европейските изисквания за качество на образователните услуги” , Международно висше бизнес училище , с.403-411 ISBN 978-954-9432-75-1 (CD)</v>
      </c>
      <c r="F6570" s="10"/>
      <c r="G6570" s="10"/>
      <c r="H6570" s="10"/>
      <c r="I6570" s="10"/>
      <c r="J6570" s="10"/>
      <c r="K6570" s="10"/>
      <c r="L6570" s="10"/>
      <c r="M6570" s="10"/>
      <c r="N6570" s="10"/>
      <c r="O6570" s="10"/>
      <c r="P6570" s="10"/>
      <c r="Q6570" s="10"/>
      <c r="R6570" s="10"/>
      <c r="S6570" s="10"/>
      <c r="T6570" s="10"/>
      <c r="U6570" s="10"/>
      <c r="V6570" s="10"/>
      <c r="W6570" s="10"/>
      <c r="X6570" s="10"/>
      <c r="Y6570" s="10"/>
      <c r="Z6570" s="10"/>
    </row>
    <row r="6571" spans="1:26" ht="12.75">
      <c r="A6571" s="10" t="str">
        <f ca="1">IFERROR(__xludf.DUMMYFUNCTION("""COMPUTED_VALUE"""),"Румен Иванов Драганов")</f>
        <v>Румен Иванов Драганов</v>
      </c>
      <c r="B6571" s="10" t="str">
        <f ca="1">IFERROR(__xludf.DUMMYFUNCTION("""COMPUTED_VALUE"""),"Доклад от конференция")</f>
        <v>Доклад от конференция</v>
      </c>
      <c r="C6571" s="10" t="str">
        <f ca="1">IFERROR(__xludf.DUMMYFUNCTION("""COMPUTED_VALUE"""),"Администрация на туристически и културни структури")</f>
        <v>Администрация на туристически и културни структури</v>
      </c>
      <c r="D6571" s="10">
        <f ca="1">IFERROR(__xludf.DUMMYFUNCTION("""COMPUTED_VALUE"""),2017)</f>
        <v>2017</v>
      </c>
      <c r="E6571" s="10" t="str">
        <f ca="1">IFERROR(__xludf.DUMMYFUNCTION("""COMPUTED_VALUE"""),"Четиринадесета международна научна конференция „ Развитие на висшите училища в контекста на европейските изисквания за качество на образователните услуги” , Международно висше бизнес училище , с.412-420. ISBN 978-954-9432-75-1 (CD)")</f>
        <v>Четиринадесета международна научна конференция „ Развитие на висшите училища в контекста на европейските изисквания за качество на образователните услуги” , Международно висше бизнес училище , с.412-420. ISBN 978-954-9432-75-1 (CD)</v>
      </c>
      <c r="F6571" s="10"/>
      <c r="G6571" s="10"/>
      <c r="H6571" s="10"/>
      <c r="I6571" s="10"/>
      <c r="J6571" s="10"/>
      <c r="K6571" s="10"/>
      <c r="L6571" s="10"/>
      <c r="M6571" s="10"/>
      <c r="N6571" s="10"/>
      <c r="O6571" s="10"/>
      <c r="P6571" s="10"/>
      <c r="Q6571" s="10"/>
      <c r="R6571" s="10"/>
      <c r="S6571" s="10"/>
      <c r="T6571" s="10"/>
      <c r="U6571" s="10"/>
      <c r="V6571" s="10"/>
      <c r="W6571" s="10"/>
      <c r="X6571" s="10"/>
      <c r="Y6571" s="10"/>
      <c r="Z6571" s="10"/>
    </row>
    <row r="6572" spans="1:26" ht="12.75">
      <c r="A6572" s="10" t="str">
        <f ca="1">IFERROR(__xludf.DUMMYFUNCTION("""COMPUTED_VALUE"""),"Румен Иванов Драганов")</f>
        <v>Румен Иванов Драганов</v>
      </c>
      <c r="B6572" s="10" t="str">
        <f ca="1">IFERROR(__xludf.DUMMYFUNCTION("""COMPUTED_VALUE"""),"Доклад от конференция")</f>
        <v>Доклад от конференция</v>
      </c>
      <c r="C6572" s="10" t="str">
        <f ca="1">IFERROR(__xludf.DUMMYFUNCTION("""COMPUTED_VALUE"""),"Критерии за оценка на екосистемните услуги при дистанционното обучение")</f>
        <v>Критерии за оценка на екосистемните услуги при дистанционното обучение</v>
      </c>
      <c r="D6572" s="10">
        <f ca="1">IFERROR(__xludf.DUMMYFUNCTION("""COMPUTED_VALUE"""),2016)</f>
        <v>2016</v>
      </c>
      <c r="E6572" s="10" t="str">
        <f ca="1">IFERROR(__xludf.DUMMYFUNCTION("""COMPUTED_VALUE"""),"Тринадесета международна научна конференция „Преподаване, учене и качество във висшето образование – 2016“, 17-18 юни 2016 г., Международно висше бизнес училище – София, с.135-142. ISBN 978-954-9432-70-1 (CD).")</f>
        <v>Тринадесета международна научна конференция „Преподаване, учене и качество във висшето образование – 2016“, 17-18 юни 2016 г., Международно висше бизнес училище – София, с.135-142. ISBN 978-954-9432-70-1 (CD).</v>
      </c>
      <c r="F6572" s="10"/>
      <c r="G6572" s="10"/>
      <c r="H6572" s="10"/>
      <c r="I6572" s="10"/>
      <c r="J6572" s="10"/>
      <c r="K6572" s="10"/>
      <c r="L6572" s="10"/>
      <c r="M6572" s="10"/>
      <c r="N6572" s="10"/>
      <c r="O6572" s="10"/>
      <c r="P6572" s="10"/>
      <c r="Q6572" s="10"/>
      <c r="R6572" s="10"/>
      <c r="S6572" s="10"/>
      <c r="T6572" s="10"/>
      <c r="U6572" s="10"/>
      <c r="V6572" s="10"/>
      <c r="W6572" s="10"/>
      <c r="X6572" s="10"/>
      <c r="Y6572" s="10"/>
      <c r="Z6572" s="10"/>
    </row>
    <row r="6573" spans="1:26" ht="12.75">
      <c r="A6573" s="10" t="str">
        <f ca="1">IFERROR(__xludf.DUMMYFUNCTION("""COMPUTED_VALUE"""),"Румен Иванов Драганов")</f>
        <v>Румен Иванов Драганов</v>
      </c>
      <c r="B6573" s="10" t="str">
        <f ca="1">IFERROR(__xludf.DUMMYFUNCTION("""COMPUTED_VALUE"""),"Книга")</f>
        <v>Книга</v>
      </c>
      <c r="C6573" s="10" t="str">
        <f ca="1">IFERROR(__xludf.DUMMYFUNCTION("""COMPUTED_VALUE"""),"Управление на екосистемните услуги за сигурност в туризма")</f>
        <v>Управление на екосистемните услуги за сигурност в туризма</v>
      </c>
      <c r="D6573" s="10">
        <f ca="1">IFERROR(__xludf.DUMMYFUNCTION("""COMPUTED_VALUE"""),2016)</f>
        <v>2016</v>
      </c>
      <c r="E6573" s="10" t="str">
        <f ca="1">IFERROR(__xludf.DUMMYFUNCTION("""COMPUTED_VALUE"""),"Изд. За буквите - О писменехь, 2016, с. 245 ISBN 978-619-185-235-2")</f>
        <v>Изд. За буквите - О писменехь, 2016, с. 245 ISBN 978-619-185-235-2</v>
      </c>
      <c r="F6573" s="10"/>
      <c r="G6573" s="10"/>
      <c r="H6573" s="10"/>
      <c r="I6573" s="10"/>
      <c r="J6573" s="10"/>
      <c r="K6573" s="10"/>
      <c r="L6573" s="10"/>
      <c r="M6573" s="10"/>
      <c r="N6573" s="10"/>
      <c r="O6573" s="10"/>
      <c r="P6573" s="10"/>
      <c r="Q6573" s="10"/>
      <c r="R6573" s="10"/>
      <c r="S6573" s="10"/>
      <c r="T6573" s="10"/>
      <c r="U6573" s="10"/>
      <c r="V6573" s="10"/>
      <c r="W6573" s="10"/>
      <c r="X6573" s="10"/>
      <c r="Y6573" s="10"/>
      <c r="Z6573" s="10"/>
    </row>
    <row r="6574" spans="1:26" ht="12.75">
      <c r="A6574" s="10" t="str">
        <f ca="1">IFERROR(__xludf.DUMMYFUNCTION("""COMPUTED_VALUE"""),"Румен Иванов Драганов")</f>
        <v>Румен Иванов Драганов</v>
      </c>
      <c r="B6574" s="10" t="str">
        <f ca="1">IFERROR(__xludf.DUMMYFUNCTION("""COMPUTED_VALUE"""),"Доклад от конференция")</f>
        <v>Доклад от конференция</v>
      </c>
      <c r="C6574" s="10" t="str">
        <f ca="1">IFERROR(__xludf.DUMMYFUNCTION("""COMPUTED_VALUE"""),"ИНОВАТИВНИ ПРАКТИКИ ЗА ОТГОВОРЕН СПА ТУРИЗЪМ")</f>
        <v>ИНОВАТИВНИ ПРАКТИКИ ЗА ОТГОВОРЕН СПА ТУРИЗЪМ</v>
      </c>
      <c r="D6574" s="10">
        <f ca="1">IFERROR(__xludf.DUMMYFUNCTION("""COMPUTED_VALUE"""),2016)</f>
        <v>2016</v>
      </c>
      <c r="E6574" s="10" t="str">
        <f ca="1">IFERROR(__xludf.DUMMYFUNCTION("""COMPUTED_VALUE"""),"Международна научна конференция: Икономическо благосъстояние чрез споделяне на знания: 9-10 ноември 2016. Т. 3 „Бизнес, мениджмънт и маркетинг“. . – Свищов: Академично издателство „Ценов“, 2016, с. 275-281. ISBN 978-954-23-1187-4 (том 3)")</f>
        <v>Международна научна конференция: Икономическо благосъстояние чрез споделяне на знания: 9-10 ноември 2016. Т. 3 „Бизнес, мениджмънт и маркетинг“. . – Свищов: Академично издателство „Ценов“, 2016, с. 275-281. ISBN 978-954-23-1187-4 (том 3)</v>
      </c>
      <c r="F6574" s="10"/>
      <c r="G6574" s="10"/>
      <c r="H6574" s="10"/>
      <c r="I6574" s="10"/>
      <c r="J6574" s="10"/>
      <c r="K6574" s="10"/>
      <c r="L6574" s="10"/>
      <c r="M6574" s="10"/>
      <c r="N6574" s="10"/>
      <c r="O6574" s="10"/>
      <c r="P6574" s="10"/>
      <c r="Q6574" s="10"/>
      <c r="R6574" s="10"/>
      <c r="S6574" s="10"/>
      <c r="T6574" s="10"/>
      <c r="U6574" s="10"/>
      <c r="V6574" s="10"/>
      <c r="W6574" s="10"/>
      <c r="X6574" s="10"/>
      <c r="Y6574" s="10"/>
      <c r="Z6574" s="10"/>
    </row>
    <row r="6575" spans="1:26" ht="12.75">
      <c r="A6575" s="10" t="str">
        <f ca="1">IFERROR(__xludf.DUMMYFUNCTION("""COMPUTED_VALUE"""),"Румен Иванов Драганов")</f>
        <v>Румен Иванов Драганов</v>
      </c>
      <c r="B6575" s="10" t="str">
        <f ca="1">IFERROR(__xludf.DUMMYFUNCTION("""COMPUTED_VALUE"""),"Доклад от конференция")</f>
        <v>Доклад от конференция</v>
      </c>
      <c r="C6575" s="10" t="str">
        <f ca="1">IFERROR(__xludf.DUMMYFUNCTION("""COMPUTED_VALUE"""),"Количествена оценка на туризма за ефективноуправление на екосистемните услуги.")</f>
        <v>Количествена оценка на туризма за ефективноуправление на екосистемните услуги.</v>
      </c>
      <c r="D6575" s="10">
        <f ca="1">IFERROR(__xludf.DUMMYFUNCTION("""COMPUTED_VALUE"""),2016)</f>
        <v>2016</v>
      </c>
      <c r="E6575" s="10" t="str">
        <f ca="1">IFERROR(__xludf.DUMMYFUNCTION("""COMPUTED_VALUE"""),"Научно-практическаконференция„Стратегически визии:ефективно управление на икономически, организационни и социални трансформации“(иновации-институции-бизнес), 7 юни 2016 г. Нов български университет, София, с.415-421. ISBN 978-954-535-949-1")</f>
        <v>Научно-практическаконференция„Стратегически визии:ефективно управление на икономически, организационни и социални трансформации“(иновации-институции-бизнес), 7 юни 2016 г. Нов български университет, София, с.415-421. ISBN 978-954-535-949-1</v>
      </c>
      <c r="F6575" s="10"/>
      <c r="G6575" s="10"/>
      <c r="H6575" s="10"/>
      <c r="I6575" s="10"/>
      <c r="J6575" s="10"/>
      <c r="K6575" s="10"/>
      <c r="L6575" s="10"/>
      <c r="M6575" s="10"/>
      <c r="N6575" s="10"/>
      <c r="O6575" s="10"/>
      <c r="P6575" s="10"/>
      <c r="Q6575" s="10"/>
      <c r="R6575" s="10"/>
      <c r="S6575" s="10"/>
      <c r="T6575" s="10"/>
      <c r="U6575" s="10"/>
      <c r="V6575" s="10"/>
      <c r="W6575" s="10"/>
      <c r="X6575" s="10"/>
      <c r="Y6575" s="10"/>
      <c r="Z6575" s="10"/>
    </row>
    <row r="6576" spans="1:26" ht="12.75">
      <c r="A6576" s="10" t="str">
        <f ca="1">IFERROR(__xludf.DUMMYFUNCTION("""COMPUTED_VALUE"""),"Румен Иванов Драганов")</f>
        <v>Румен Иванов Драганов</v>
      </c>
      <c r="B6576" s="10" t="str">
        <f ca="1">IFERROR(__xludf.DUMMYFUNCTION("""COMPUTED_VALUE"""),"Учебно пособие")</f>
        <v>Учебно пособие</v>
      </c>
      <c r="C6576" s="10" t="str">
        <f ca="1">IFERROR(__xludf.DUMMYFUNCTION("""COMPUTED_VALUE"""),"Практикум по управление на екосистемните услуги за сигурност в туризма.")</f>
        <v>Практикум по управление на екосистемните услуги за сигурност в туризма.</v>
      </c>
      <c r="D6576" s="10">
        <f ca="1">IFERROR(__xludf.DUMMYFUNCTION("""COMPUTED_VALUE"""),2016)</f>
        <v>2016</v>
      </c>
      <c r="E6576" s="10" t="str">
        <f ca="1">IFERROR(__xludf.DUMMYFUNCTION("""COMPUTED_VALUE"""),"Изд. За буквите - О писменехь, с.66. ISBN 978-619-185-245-1")</f>
        <v>Изд. За буквите - О писменехь, с.66. ISBN 978-619-185-245-1</v>
      </c>
      <c r="F6576" s="10"/>
      <c r="G6576" s="10"/>
      <c r="H6576" s="10"/>
      <c r="I6576" s="10"/>
      <c r="J6576" s="10"/>
      <c r="K6576" s="10"/>
      <c r="L6576" s="10"/>
      <c r="M6576" s="10"/>
      <c r="N6576" s="10"/>
      <c r="O6576" s="10"/>
      <c r="P6576" s="10"/>
      <c r="Q6576" s="10"/>
      <c r="R6576" s="10"/>
      <c r="S6576" s="10"/>
      <c r="T6576" s="10"/>
      <c r="U6576" s="10"/>
      <c r="V6576" s="10"/>
      <c r="W6576" s="10"/>
      <c r="X6576" s="10"/>
      <c r="Y6576" s="10"/>
      <c r="Z6576" s="10"/>
    </row>
    <row r="6577" spans="1:26" ht="12.75">
      <c r="A6577" s="10" t="str">
        <f ca="1">IFERROR(__xludf.DUMMYFUNCTION("""COMPUTED_VALUE"""),"Румен Иванов Драганов")</f>
        <v>Румен Иванов Драганов</v>
      </c>
      <c r="B6577" s="10" t="str">
        <f ca="1">IFERROR(__xludf.DUMMYFUNCTION("""COMPUTED_VALUE"""),"Доклад от конференция")</f>
        <v>Доклад от конференция</v>
      </c>
      <c r="C6577" s="10" t="str">
        <f ca="1">IFERROR(__xludf.DUMMYFUNCTION("""COMPUTED_VALUE"""),"Управление на екосистемните услуги при дистанционното обучение")</f>
        <v>Управление на екосистемните услуги при дистанционното обучение</v>
      </c>
      <c r="D6577" s="10">
        <f ca="1">IFERROR(__xludf.DUMMYFUNCTION("""COMPUTED_VALUE"""),2016)</f>
        <v>2016</v>
      </c>
      <c r="E6577" s="10" t="str">
        <f ca="1">IFERROR(__xludf.DUMMYFUNCTION("""COMPUTED_VALUE"""),"Тринадесета международна научна конференция „Преподаване, учене и качество във висшето образование – 2016“, 17-18 юни 2016 г., Международно висше бизнес училище – София, с. 127-134. ISBN 978-954-9432-70-1 (CD).")</f>
        <v>Тринадесета международна научна конференция „Преподаване, учене и качество във висшето образование – 2016“, 17-18 юни 2016 г., Международно висше бизнес училище – София, с. 127-134. ISBN 978-954-9432-70-1 (CD).</v>
      </c>
      <c r="F6577" s="10"/>
      <c r="G6577" s="10"/>
      <c r="H6577" s="10"/>
      <c r="I6577" s="10"/>
      <c r="J6577" s="10"/>
      <c r="K6577" s="10"/>
      <c r="L6577" s="10"/>
      <c r="M6577" s="10"/>
      <c r="N6577" s="10"/>
      <c r="O6577" s="10"/>
      <c r="P6577" s="10"/>
      <c r="Q6577" s="10"/>
      <c r="R6577" s="10"/>
      <c r="S6577" s="10"/>
      <c r="T6577" s="10"/>
      <c r="U6577" s="10"/>
      <c r="V6577" s="10"/>
      <c r="W6577" s="10"/>
      <c r="X6577" s="10"/>
      <c r="Y6577" s="10"/>
      <c r="Z6577" s="10"/>
    </row>
    <row r="6578" spans="1:26" ht="12.75">
      <c r="A6578" s="10" t="str">
        <f ca="1">IFERROR(__xludf.DUMMYFUNCTION("""COMPUTED_VALUE"""),"Румен Иванов Драганов")</f>
        <v>Румен Иванов Драганов</v>
      </c>
      <c r="B6578" s="10" t="str">
        <f ca="1">IFERROR(__xludf.DUMMYFUNCTION("""COMPUTED_VALUE"""),"Доклад от конференция")</f>
        <v>Доклад от конференция</v>
      </c>
      <c r="C6578" s="10" t="str">
        <f ca="1">IFERROR(__xludf.DUMMYFUNCTION("""COMPUTED_VALUE"""),"Organization and Мanagement of Еcosystem Services in Context of Security in Tourism")</f>
        <v>Organization and Мanagement of Еcosystem Services in Context of Security in Tourism</v>
      </c>
      <c r="D6578" s="10">
        <f ca="1">IFERROR(__xludf.DUMMYFUNCTION("""COMPUTED_VALUE"""),2016)</f>
        <v>2016</v>
      </c>
      <c r="E6578" s="10" t="str">
        <f ca="1">IFERROR(__xludf.DUMMYFUNCTION("""COMPUTED_VALUE"""),"8th World Conference for Graduate Research in Tourism, Hospitality &amp; Leisure, 24– 29 May, 2016, Bodrum, Turkey, p.202. ISBN: 978-605-65762-3-2")</f>
        <v>8th World Conference for Graduate Research in Tourism, Hospitality &amp; Leisure, 24– 29 May, 2016, Bodrum, Turkey, p.202. ISBN: 978-605-65762-3-2</v>
      </c>
      <c r="F6578" s="10"/>
      <c r="G6578" s="10"/>
      <c r="H6578" s="10"/>
      <c r="I6578" s="10"/>
      <c r="J6578" s="10"/>
      <c r="K6578" s="10"/>
      <c r="L6578" s="10"/>
      <c r="M6578" s="10"/>
      <c r="N6578" s="10"/>
      <c r="O6578" s="10"/>
      <c r="P6578" s="10"/>
      <c r="Q6578" s="10"/>
      <c r="R6578" s="10"/>
      <c r="S6578" s="10"/>
      <c r="T6578" s="10"/>
      <c r="U6578" s="10"/>
      <c r="V6578" s="10"/>
      <c r="W6578" s="10"/>
      <c r="X6578" s="10"/>
      <c r="Y6578" s="10"/>
      <c r="Z6578" s="10"/>
    </row>
    <row r="6579" spans="1:26" ht="12.75">
      <c r="A6579" s="10" t="str">
        <f ca="1">IFERROR(__xludf.DUMMYFUNCTION("""COMPUTED_VALUE"""),"Румен Иванов Драганов")</f>
        <v>Румен Иванов Драганов</v>
      </c>
      <c r="B6579" s="10" t="str">
        <f ca="1">IFERROR(__xludf.DUMMYFUNCTION("""COMPUTED_VALUE"""),"Доклад от конференция")</f>
        <v>Доклад от конференция</v>
      </c>
      <c r="C6579" s="10" t="str">
        <f ca="1">IFERROR(__xludf.DUMMYFUNCTION("""COMPUTED_VALUE"""),"ИМАДЖИНЕРИНГ И СТРАТЕГИРАНЕ В ТУРИЗМА")</f>
        <v>ИМАДЖИНЕРИНГ И СТРАТЕГИРАНЕ В ТУРИЗМА</v>
      </c>
      <c r="D6579" s="10">
        <f ca="1">IFERROR(__xludf.DUMMYFUNCTION("""COMPUTED_VALUE"""),2015)</f>
        <v>2015</v>
      </c>
      <c r="E6579" s="10" t="str">
        <f ca="1">IFERROR(__xludf.DUMMYFUNCTION("""COMPUTED_VALUE"""),"ИК-УНСС, Дванадесета межд. Научна конференция, 2 октомври 2015, УНСС, Членството на България в ЕС: осем години по-късно, с. 237-242. ISBN 978-954-644-895-8")</f>
        <v>ИК-УНСС, Дванадесета межд. Научна конференция, 2 октомври 2015, УНСС, Членството на България в ЕС: осем години по-късно, с. 237-242. ISBN 978-954-644-895-8</v>
      </c>
      <c r="F6579" s="10"/>
      <c r="G6579" s="10"/>
      <c r="H6579" s="10"/>
      <c r="I6579" s="10"/>
      <c r="J6579" s="10"/>
      <c r="K6579" s="10"/>
      <c r="L6579" s="10"/>
      <c r="M6579" s="10"/>
      <c r="N6579" s="10"/>
      <c r="O6579" s="10"/>
      <c r="P6579" s="10"/>
      <c r="Q6579" s="10"/>
      <c r="R6579" s="10"/>
      <c r="S6579" s="10"/>
      <c r="T6579" s="10"/>
      <c r="U6579" s="10"/>
      <c r="V6579" s="10"/>
      <c r="W6579" s="10"/>
      <c r="X6579" s="10"/>
      <c r="Y6579" s="10"/>
      <c r="Z6579" s="10"/>
    </row>
    <row r="6580" spans="1:26" ht="12.75">
      <c r="A6580" s="10" t="str">
        <f ca="1">IFERROR(__xludf.DUMMYFUNCTION("""COMPUTED_VALUE"""),"Румен Иванов Драганов")</f>
        <v>Румен Иванов Драганов</v>
      </c>
      <c r="B6580" s="10" t="str">
        <f ca="1">IFERROR(__xludf.DUMMYFUNCTION("""COMPUTED_VALUE"""),"Монография")</f>
        <v>Монография</v>
      </c>
      <c r="C6580" s="10" t="str">
        <f ca="1">IFERROR(__xludf.DUMMYFUNCTION("""COMPUTED_VALUE"""),"Хотелската политика в контекста на постмодерния туризъм.")</f>
        <v>Хотелската политика в контекста на постмодерния туризъм.</v>
      </c>
      <c r="D6580" s="10">
        <f ca="1">IFERROR(__xludf.DUMMYFUNCTION("""COMPUTED_VALUE"""),2015)</f>
        <v>2015</v>
      </c>
      <c r="E6580" s="10" t="str">
        <f ca="1">IFERROR(__xludf.DUMMYFUNCTION("""COMPUTED_VALUE"""),"София: УИ“Св.Кл.Охридски“,2015, с. 208. ISBN 978-954-07-3923-6")</f>
        <v>София: УИ“Св.Кл.Охридски“,2015, с. 208. ISBN 978-954-07-3923-6</v>
      </c>
      <c r="F6580" s="10"/>
      <c r="G6580" s="10"/>
      <c r="H6580" s="10"/>
      <c r="I6580" s="10"/>
      <c r="J6580" s="10"/>
      <c r="K6580" s="10"/>
      <c r="L6580" s="10"/>
      <c r="M6580" s="10"/>
      <c r="N6580" s="10"/>
      <c r="O6580" s="10"/>
      <c r="P6580" s="10"/>
      <c r="Q6580" s="10"/>
      <c r="R6580" s="10"/>
      <c r="S6580" s="10"/>
      <c r="T6580" s="10"/>
      <c r="U6580" s="10"/>
      <c r="V6580" s="10"/>
      <c r="W6580" s="10"/>
      <c r="X6580" s="10"/>
      <c r="Y6580" s="10"/>
      <c r="Z6580" s="10"/>
    </row>
    <row r="6581" spans="1:26" ht="12.75">
      <c r="A6581" s="10" t="str">
        <f ca="1">IFERROR(__xludf.DUMMYFUNCTION("""COMPUTED_VALUE"""),"Румен Иванов Драганов")</f>
        <v>Румен Иванов Драганов</v>
      </c>
      <c r="B6581" s="10" t="str">
        <f ca="1">IFERROR(__xludf.DUMMYFUNCTION("""COMPUTED_VALUE"""),"Доклад от конференция")</f>
        <v>Доклад от конференция</v>
      </c>
      <c r="C6581" s="10" t="str">
        <f ca="1">IFERROR(__xludf.DUMMYFUNCTION("""COMPUTED_VALUE"""),"ИМАДЖИНЕРИНГ В СТРАТЕГИРАНЕТО НА ТУРИСТИЧЕСКАТА СПА ДЕСТИНАЦИЯ")</f>
        <v>ИМАДЖИНЕРИНГ В СТРАТЕГИРАНЕТО НА ТУРИСТИЧЕСКАТА СПА ДЕСТИНАЦИЯ</v>
      </c>
      <c r="D6581" s="10">
        <f ca="1">IFERROR(__xludf.DUMMYFUNCTION("""COMPUTED_VALUE"""),2015)</f>
        <v>2015</v>
      </c>
      <c r="E6581" s="10" t="str">
        <f ca="1">IFERROR(__xludf.DUMMYFUNCTION("""COMPUTED_VALUE"""),"Дванадесета международна научнаконференция „Иновативни стратегии за конкурентоспособен бизнес “, 12-15 юни 2015 г. Международно висше бизнес училище-София, с.335-341. ISBN 978-954-9432-67-1 (CD)")</f>
        <v>Дванадесета международна научнаконференция „Иновативни стратегии за конкурентоспособен бизнес “, 12-15 юни 2015 г. Международно висше бизнес училище-София, с.335-341. ISBN 978-954-9432-67-1 (CD)</v>
      </c>
      <c r="F6581" s="10"/>
      <c r="G6581" s="10"/>
      <c r="H6581" s="10"/>
      <c r="I6581" s="10"/>
      <c r="J6581" s="10"/>
      <c r="K6581" s="10"/>
      <c r="L6581" s="10"/>
      <c r="M6581" s="10"/>
      <c r="N6581" s="10"/>
      <c r="O6581" s="10"/>
      <c r="P6581" s="10"/>
      <c r="Q6581" s="10"/>
      <c r="R6581" s="10"/>
      <c r="S6581" s="10"/>
      <c r="T6581" s="10"/>
      <c r="U6581" s="10"/>
      <c r="V6581" s="10"/>
      <c r="W6581" s="10"/>
      <c r="X6581" s="10"/>
      <c r="Y6581" s="10"/>
      <c r="Z6581" s="10"/>
    </row>
    <row r="6582" spans="1:26" ht="12.75">
      <c r="A6582" s="10" t="str">
        <f ca="1">IFERROR(__xludf.DUMMYFUNCTION("""COMPUTED_VALUE"""),"Румен Иванов Драганов")</f>
        <v>Румен Иванов Драганов</v>
      </c>
      <c r="B6582" s="10" t="str">
        <f ca="1">IFERROR(__xludf.DUMMYFUNCTION("""COMPUTED_VALUE"""),"Доклад от конференция")</f>
        <v>Доклад от конференция</v>
      </c>
      <c r="C6582" s="10" t="str">
        <f ca="1">IFERROR(__xludf.DUMMYFUNCTION("""COMPUTED_VALUE"""),"ХОТЕЛСКА ПОЛИТИКА И ПОСТМОДЕРНИЯ КУЛТУРЕН ТУРИЗЪМ В СПА ХОТЕЛИ")</f>
        <v>ХОТЕЛСКА ПОЛИТИКА И ПОСТМОДЕРНИЯ КУЛТУРЕН ТУРИЗЪМ В СПА ХОТЕЛИ</v>
      </c>
      <c r="D6582" s="10">
        <f ca="1">IFERROR(__xludf.DUMMYFUNCTION("""COMPUTED_VALUE"""),2014)</f>
        <v>2014</v>
      </c>
      <c r="E6582" s="10" t="str">
        <f ca="1">IFERROR(__xludf.DUMMYFUNCTION("""COMPUTED_VALUE"""),"Научно списание УНСС, год.4 , бр.9. май 2014. Тенденции в развитието на глобалния туризъм. с.474-478. ISBN 1314-0930")</f>
        <v>Научно списание УНСС, год.4 , бр.9. май 2014. Тенденции в развитието на глобалния туризъм. с.474-478. ISBN 1314-0930</v>
      </c>
      <c r="F6582" s="10"/>
      <c r="G6582" s="10"/>
      <c r="H6582" s="10"/>
      <c r="I6582" s="10"/>
      <c r="J6582" s="10"/>
      <c r="K6582" s="10"/>
      <c r="L6582" s="10"/>
      <c r="M6582" s="10"/>
      <c r="N6582" s="10"/>
      <c r="O6582" s="10"/>
      <c r="P6582" s="10"/>
      <c r="Q6582" s="10"/>
      <c r="R6582" s="10"/>
      <c r="S6582" s="10"/>
      <c r="T6582" s="10"/>
      <c r="U6582" s="10"/>
      <c r="V6582" s="10"/>
      <c r="W6582" s="10"/>
      <c r="X6582" s="10"/>
      <c r="Y6582" s="10"/>
      <c r="Z6582" s="10"/>
    </row>
    <row r="6583" spans="1:26" ht="12.75">
      <c r="A6583" s="10" t="str">
        <f ca="1">IFERROR(__xludf.DUMMYFUNCTION("""COMPUTED_VALUE"""),"Румен Иванов Драганов")</f>
        <v>Румен Иванов Драганов</v>
      </c>
      <c r="B6583" s="10" t="str">
        <f ca="1">IFERROR(__xludf.DUMMYFUNCTION("""COMPUTED_VALUE"""),"Доклад от конференция")</f>
        <v>Доклад от конференция</v>
      </c>
      <c r="C6583" s="10" t="str">
        <f ca="1">IFERROR(__xludf.DUMMYFUNCTION("""COMPUTED_VALUE"""),"Музеят и хотелската политика в постмодерния културен туризъм.")</f>
        <v>Музеят и хотелската политика в постмодерния културен туризъм.</v>
      </c>
      <c r="D6583" s="10">
        <f ca="1">IFERROR(__xludf.DUMMYFUNCTION("""COMPUTED_VALUE"""),2014)</f>
        <v>2014</v>
      </c>
      <c r="E6583" s="10" t="str">
        <f ca="1">IFERROR(__xludf.DUMMYFUNCTION("""COMPUTED_VALUE"""),"Виж кой говори. Комуникационни и интерпретационни модели в музея. С., Академично издателство „Проф. Марин Дринов“ с.195-203. ISBN 978-954-322-784-6")</f>
        <v>Виж кой говори. Комуникационни и интерпретационни модели в музея. С., Академично издателство „Проф. Марин Дринов“ с.195-203. ISBN 978-954-322-784-6</v>
      </c>
      <c r="F6583" s="10"/>
      <c r="G6583" s="10"/>
      <c r="H6583" s="10"/>
      <c r="I6583" s="10"/>
      <c r="J6583" s="10"/>
      <c r="K6583" s="10"/>
      <c r="L6583" s="10"/>
      <c r="M6583" s="10"/>
      <c r="N6583" s="10"/>
      <c r="O6583" s="10"/>
      <c r="P6583" s="10"/>
      <c r="Q6583" s="10"/>
      <c r="R6583" s="10"/>
      <c r="S6583" s="10"/>
      <c r="T6583" s="10"/>
      <c r="U6583" s="10"/>
      <c r="V6583" s="10"/>
      <c r="W6583" s="10"/>
      <c r="X6583" s="10"/>
      <c r="Y6583" s="10"/>
      <c r="Z6583" s="10"/>
    </row>
    <row r="6584" spans="1:26" ht="12.75">
      <c r="A6584" s="10" t="str">
        <f ca="1">IFERROR(__xludf.DUMMYFUNCTION("""COMPUTED_VALUE"""),"Румен Иванов Драганов")</f>
        <v>Румен Иванов Драганов</v>
      </c>
      <c r="B6584" s="10" t="str">
        <f ca="1">IFERROR(__xludf.DUMMYFUNCTION("""COMPUTED_VALUE"""),"Доклад от конференция")</f>
        <v>Доклад от конференция</v>
      </c>
      <c r="C6584" s="10" t="str">
        <f ca="1">IFERROR(__xludf.DUMMYFUNCTION("""COMPUTED_VALUE"""),"Публично-частното партньорство – инструмент за развитие на иновационна икономика.")</f>
        <v>Публично-частното партньорство – инструмент за развитие на иновационна икономика.</v>
      </c>
      <c r="D6584" s="10">
        <f ca="1">IFERROR(__xludf.DUMMYFUNCTION("""COMPUTED_VALUE"""),2013)</f>
        <v>2013</v>
      </c>
      <c r="E6584" s="10" t="str">
        <f ca="1">IFERROR(__xludf.DUMMYFUNCTION("""COMPUTED_VALUE"""),"Сборник материали от Четвъртата национална научна конференция за докторанти, проведена на 24 април 2013 г. Том4/2013. София: Авангард прима, с. 150 – 159.")</f>
        <v>Сборник материали от Четвъртата национална научна конференция за докторанти, проведена на 24 април 2013 г. Том4/2013. София: Авангард прима, с. 150 – 159.</v>
      </c>
      <c r="F6584" s="10"/>
      <c r="G6584" s="10"/>
      <c r="H6584" s="10"/>
      <c r="I6584" s="10"/>
      <c r="J6584" s="10"/>
      <c r="K6584" s="10"/>
      <c r="L6584" s="10"/>
      <c r="M6584" s="10"/>
      <c r="N6584" s="10"/>
      <c r="O6584" s="10"/>
      <c r="P6584" s="10"/>
      <c r="Q6584" s="10"/>
      <c r="R6584" s="10"/>
      <c r="S6584" s="10"/>
      <c r="T6584" s="10"/>
      <c r="U6584" s="10"/>
      <c r="V6584" s="10"/>
      <c r="W6584" s="10"/>
      <c r="X6584" s="10"/>
      <c r="Y6584" s="10"/>
      <c r="Z6584" s="10"/>
    </row>
    <row r="6585" spans="1:26" ht="12.75">
      <c r="A6585" s="10" t="str">
        <f ca="1">IFERROR(__xludf.DUMMYFUNCTION("""COMPUTED_VALUE"""),"Румен Иванов Драганов")</f>
        <v>Румен Иванов Драганов</v>
      </c>
      <c r="B6585" s="10" t="str">
        <f ca="1">IFERROR(__xludf.DUMMYFUNCTION("""COMPUTED_VALUE"""),"Доклад от конференция")</f>
        <v>Доклад от конференция</v>
      </c>
      <c r="C6585" s="10" t="str">
        <f ca="1">IFERROR(__xludf.DUMMYFUNCTION("""COMPUTED_VALUE"""),"Публично-частни партньорства в постмодерния културен туризъм.")</f>
        <v>Публично-частни партньорства в постмодерния културен туризъм.</v>
      </c>
      <c r="D6585" s="10">
        <f ca="1">IFERROR(__xludf.DUMMYFUNCTION("""COMPUTED_VALUE"""),2013)</f>
        <v>2013</v>
      </c>
      <c r="E6585" s="10" t="str">
        <f ca="1">IFERROR(__xludf.DUMMYFUNCTION("""COMPUTED_VALUE"""),"Публично-частното партньорство – инструмент за развитие на иновационна икономика. Сборник материали от Четвъртата национална научна конференция за докторанти, проведена на 24 април 2013 г. Том 4/2013. С., Изд. Авангард прима, с. 150–159. ISBN 978- 619-160"&amp;"-248-3")</f>
        <v>Публично-частното партньорство – инструмент за развитие на иновационна икономика. Сборник материали от Четвъртата национална научна конференция за докторанти, проведена на 24 април 2013 г. Том 4/2013. С., Изд. Авангард прима, с. 150–159. ISBN 978- 619-160-248-3</v>
      </c>
      <c r="F6585" s="10"/>
      <c r="G6585" s="10"/>
      <c r="H6585" s="10"/>
      <c r="I6585" s="10"/>
      <c r="J6585" s="10"/>
      <c r="K6585" s="10"/>
      <c r="L6585" s="10"/>
      <c r="M6585" s="10"/>
      <c r="N6585" s="10"/>
      <c r="O6585" s="10"/>
      <c r="P6585" s="10"/>
      <c r="Q6585" s="10"/>
      <c r="R6585" s="10"/>
      <c r="S6585" s="10"/>
      <c r="T6585" s="10"/>
      <c r="U6585" s="10"/>
      <c r="V6585" s="10"/>
      <c r="W6585" s="10"/>
      <c r="X6585" s="10"/>
      <c r="Y6585" s="10"/>
      <c r="Z6585" s="10"/>
    </row>
    <row r="6586" spans="1:26" ht="12.75">
      <c r="A6586" s="10" t="str">
        <f ca="1">IFERROR(__xludf.DUMMYFUNCTION("""COMPUTED_VALUE"""),"Румен Иванов Драганов")</f>
        <v>Румен Иванов Драганов</v>
      </c>
      <c r="B6586" s="10" t="str">
        <f ca="1">IFERROR(__xludf.DUMMYFUNCTION("""COMPUTED_VALUE"""),"Доклад от конференция")</f>
        <v>Доклад от конференция</v>
      </c>
      <c r="C6586" s="10" t="str">
        <f ca="1">IFERROR(__xludf.DUMMYFUNCTION("""COMPUTED_VALUE"""),"Усъвършенстване на хотелската политика чрез средствата на постмодерния културен туризъм.")</f>
        <v>Усъвършенстване на хотелската политика чрез средствата на постмодерния културен туризъм.</v>
      </c>
      <c r="D6586" s="10">
        <f ca="1">IFERROR(__xludf.DUMMYFUNCTION("""COMPUTED_VALUE"""),2013)</f>
        <v>2013</v>
      </c>
      <c r="E6586" s="10" t="str">
        <f ca="1">IFERROR(__xludf.DUMMYFUNCTION("""COMPUTED_VALUE"""),"Отговорен туризъм 2020. Сборник с доклади от международната научна конференция. Том II. В., Изд Наука и икономика, Икономически университет – Варна, 2013, с. 188–198. ISBN 978-954-21-0666-1")</f>
        <v>Отговорен туризъм 2020. Сборник с доклади от международната научна конференция. Том II. В., Изд Наука и икономика, Икономически университет – Варна, 2013, с. 188–198. ISBN 978-954-21-0666-1</v>
      </c>
      <c r="F6586" s="10"/>
      <c r="G6586" s="10"/>
      <c r="H6586" s="10"/>
      <c r="I6586" s="10"/>
      <c r="J6586" s="10"/>
      <c r="K6586" s="10"/>
      <c r="L6586" s="10"/>
      <c r="M6586" s="10"/>
      <c r="N6586" s="10"/>
      <c r="O6586" s="10"/>
      <c r="P6586" s="10"/>
      <c r="Q6586" s="10"/>
      <c r="R6586" s="10"/>
      <c r="S6586" s="10"/>
      <c r="T6586" s="10"/>
      <c r="U6586" s="10"/>
      <c r="V6586" s="10"/>
      <c r="W6586" s="10"/>
      <c r="X6586" s="10"/>
      <c r="Y6586" s="10"/>
      <c r="Z6586" s="10"/>
    </row>
    <row r="6587" spans="1:26" ht="12.75">
      <c r="A6587" s="10" t="str">
        <f ca="1">IFERROR(__xludf.DUMMYFUNCTION("""COMPUTED_VALUE"""),"Румен Иванов Драганов")</f>
        <v>Румен Иванов Драганов</v>
      </c>
      <c r="B6587" s="10" t="str">
        <f ca="1">IFERROR(__xludf.DUMMYFUNCTION("""COMPUTED_VALUE"""),"Доклад от конференция")</f>
        <v>Доклад от конференция</v>
      </c>
      <c r="C6587" s="10" t="str">
        <f ca="1">IFERROR(__xludf.DUMMYFUNCTION("""COMPUTED_VALUE"""),"Хибриден културен туризъм в градска историческа среда.")</f>
        <v>Хибриден културен туризъм в градска историческа среда.</v>
      </c>
      <c r="D6587" s="10">
        <f ca="1">IFERROR(__xludf.DUMMYFUNCTION("""COMPUTED_VALUE"""),2012)</f>
        <v>2012</v>
      </c>
      <c r="E6587" s="10" t="str">
        <f ca="1">IFERROR(__xludf.DUMMYFUNCTION("""COMPUTED_VALUE"""),"IX Международна научна конференция „Преподаване, учене и качество във висшето образование - Предизвикателства пред съвременната икономика“ , изд. МВБУ, 2012, с. 548 – 561. ISBN 978-954-9432-57-2 (CD)")</f>
        <v>IX Международна научна конференция „Преподаване, учене и качество във висшето образование - Предизвикателства пред съвременната икономика“ , изд. МВБУ, 2012, с. 548 – 561. ISBN 978-954-9432-57-2 (CD)</v>
      </c>
      <c r="F6587" s="10"/>
      <c r="G6587" s="10"/>
      <c r="H6587" s="10"/>
      <c r="I6587" s="10"/>
      <c r="J6587" s="10"/>
      <c r="K6587" s="10"/>
      <c r="L6587" s="10"/>
      <c r="M6587" s="10"/>
      <c r="N6587" s="10"/>
      <c r="O6587" s="10"/>
      <c r="P6587" s="10"/>
      <c r="Q6587" s="10"/>
      <c r="R6587" s="10"/>
      <c r="S6587" s="10"/>
      <c r="T6587" s="10"/>
      <c r="U6587" s="10"/>
      <c r="V6587" s="10"/>
      <c r="W6587" s="10"/>
      <c r="X6587" s="10"/>
      <c r="Y6587" s="10"/>
      <c r="Z6587" s="10"/>
    </row>
    <row r="6588" spans="1:26" ht="12.75">
      <c r="A6588" s="10" t="str">
        <f ca="1">IFERROR(__xludf.DUMMYFUNCTION("""COMPUTED_VALUE"""),"Румен Иванов Драганов")</f>
        <v>Румен Иванов Драганов</v>
      </c>
      <c r="B6588" s="10" t="str">
        <f ca="1">IFERROR(__xludf.DUMMYFUNCTION("""COMPUTED_VALUE"""),"Доклад от конференция")</f>
        <v>Доклад от конференция</v>
      </c>
      <c r="C6588" s="10" t="str">
        <f ca="1">IFERROR(__xludf.DUMMYFUNCTION("""COMPUTED_VALUE"""),"Експериментален, експериеншален или маркетинг на преживяванията в туризма")</f>
        <v>Експериментален, експериеншален или маркетинг на преживяванията в туризма</v>
      </c>
      <c r="D6588" s="10">
        <f ca="1">IFERROR(__xludf.DUMMYFUNCTION("""COMPUTED_VALUE"""),2009)</f>
        <v>2009</v>
      </c>
      <c r="E6588" s="10" t="str">
        <f ca="1">IFERROR(__xludf.DUMMYFUNCTION("""COMPUTED_VALUE"""),"Висшето икономическо образование – изследване, обучение, иновации, Шеста международна научно-практическа конференция 19-20 юни, Правец. С., Изд. МВБУ, 2009, с. 410–422. ISBN 978-954-9432-37-4")</f>
        <v>Висшето икономическо образование – изследване, обучение, иновации, Шеста международна научно-практическа конференция 19-20 юни, Правец. С., Изд. МВБУ, 2009, с. 410–422. ISBN 978-954-9432-37-4</v>
      </c>
      <c r="F6588" s="10"/>
      <c r="G6588" s="10"/>
      <c r="H6588" s="10"/>
      <c r="I6588" s="10"/>
      <c r="J6588" s="10"/>
      <c r="K6588" s="10"/>
      <c r="L6588" s="10"/>
      <c r="M6588" s="10"/>
      <c r="N6588" s="10"/>
      <c r="O6588" s="10"/>
      <c r="P6588" s="10"/>
      <c r="Q6588" s="10"/>
      <c r="R6588" s="10"/>
      <c r="S6588" s="10"/>
      <c r="T6588" s="10"/>
      <c r="U6588" s="10"/>
      <c r="V6588" s="10"/>
      <c r="W6588" s="10"/>
      <c r="X6588" s="10"/>
      <c r="Y6588" s="10"/>
      <c r="Z6588" s="10"/>
    </row>
    <row r="6589" spans="1:26" ht="12.75">
      <c r="A6589" s="10" t="str">
        <f ca="1">IFERROR(__xludf.DUMMYFUNCTION("""COMPUTED_VALUE"""),"Румен Иванов Драганов")</f>
        <v>Румен Иванов Драганов</v>
      </c>
      <c r="B6589" s="10" t="str">
        <f ca="1">IFERROR(__xludf.DUMMYFUNCTION("""COMPUTED_VALUE"""),"Доклад от конференция")</f>
        <v>Доклад от конференция</v>
      </c>
      <c r="C6589" s="10" t="str">
        <f ca="1">IFERROR(__xludf.DUMMYFUNCTION("""COMPUTED_VALUE"""),"Управление на научните изследвания в туризма")</f>
        <v>Управление на научните изследвания в туризма</v>
      </c>
      <c r="D6589" s="10">
        <f ca="1">IFERROR(__xludf.DUMMYFUNCTION("""COMPUTED_VALUE"""),2009)</f>
        <v>2009</v>
      </c>
      <c r="E6589" s="10" t="str">
        <f ca="1">IFERROR(__xludf.DUMMYFUNCTION("""COMPUTED_VALUE"""),"ВИСШЕТО икономическо образование - изследване, обучение, иновации = Higher Economic Education – Research, Instruction, Innovations: шеста международна научнопрактическа конференция Преподаване, учене и качество във висшето образование, 19-20 юни 2009 г. -"&amp;" Ботевград: Междунар. висше бизнес у-ще, 2009. p.23 -37. ISBN 978-954-9432-37-4")</f>
        <v>ВИСШЕТО икономическо образование - изследване, обучение, иновации = Higher Economic Education – Research, Instruction, Innovations: шеста международна научнопрактическа конференция Преподаване, учене и качество във висшето образование, 19-20 юни 2009 г. - Ботевград: Междунар. висше бизнес у-ще, 2009. p.23 -37. ISBN 978-954-9432-37-4</v>
      </c>
      <c r="F6589" s="10"/>
      <c r="G6589" s="10" t="str">
        <f ca="1">IFERROR(__xludf.DUMMYFUNCTION("""COMPUTED_VALUE"""),"П. Русков")</f>
        <v>П. Русков</v>
      </c>
      <c r="H6589" s="10"/>
      <c r="I6589" s="10"/>
      <c r="J6589" s="10"/>
      <c r="K6589" s="10"/>
      <c r="L6589" s="10"/>
      <c r="M6589" s="10"/>
      <c r="N6589" s="10"/>
      <c r="O6589" s="10"/>
      <c r="P6589" s="10"/>
      <c r="Q6589" s="10"/>
      <c r="R6589" s="10"/>
      <c r="S6589" s="10"/>
      <c r="T6589" s="10"/>
      <c r="U6589" s="10"/>
      <c r="V6589" s="10"/>
      <c r="W6589" s="10"/>
      <c r="X6589" s="10"/>
      <c r="Y6589" s="10"/>
      <c r="Z6589" s="10"/>
    </row>
    <row r="6590" spans="1:26" ht="12.75">
      <c r="A6590" s="10" t="str">
        <f ca="1">IFERROR(__xludf.DUMMYFUNCTION("""COMPUTED_VALUE"""),"Румен Иванов Драганов")</f>
        <v>Румен Иванов Драганов</v>
      </c>
      <c r="B6590" s="10" t="str">
        <f ca="1">IFERROR(__xludf.DUMMYFUNCTION("""COMPUTED_VALUE"""),"Доклад от конференция")</f>
        <v>Доклад от конференция</v>
      </c>
      <c r="C6590" s="10" t="str">
        <f ca="1">IFERROR(__xludf.DUMMYFUNCTION("""COMPUTED_VALUE"""),"Развитие на компетенциите в хотелиерството.")</f>
        <v>Развитие на компетенциите в хотелиерството.</v>
      </c>
      <c r="D6590" s="10">
        <f ca="1">IFERROR(__xludf.DUMMYFUNCTION("""COMPUTED_VALUE"""),2008)</f>
        <v>2008</v>
      </c>
      <c r="E6590" s="10" t="str">
        <f ca="1">IFERROR(__xludf.DUMMYFUNCTION("""COMPUTED_VALUE"""),"Национална стратегия за висше образование и пазарът на труда в България. Ботевград, Изд. МВБУ, 2008, с. 161–174. ISBN 978-954-9432-31-2")</f>
        <v>Национална стратегия за висше образование и пазарът на труда в България. Ботевград, Изд. МВБУ, 2008, с. 161–174. ISBN 978-954-9432-31-2</v>
      </c>
      <c r="F6590" s="10"/>
      <c r="G6590" s="10" t="str">
        <f ca="1">IFERROR(__xludf.DUMMYFUNCTION("""COMPUTED_VALUE"""),"Петко Русков")</f>
        <v>Петко Русков</v>
      </c>
      <c r="H6590" s="10"/>
      <c r="I6590" s="10"/>
      <c r="J6590" s="10"/>
      <c r="K6590" s="10"/>
      <c r="L6590" s="10"/>
      <c r="M6590" s="10"/>
      <c r="N6590" s="10"/>
      <c r="O6590" s="10"/>
      <c r="P6590" s="10"/>
      <c r="Q6590" s="10"/>
      <c r="R6590" s="10"/>
      <c r="S6590" s="10"/>
      <c r="T6590" s="10"/>
      <c r="U6590" s="10"/>
      <c r="V6590" s="10"/>
      <c r="W6590" s="10"/>
      <c r="X6590" s="10"/>
      <c r="Y6590" s="10"/>
      <c r="Z6590" s="10"/>
    </row>
    <row r="6591" spans="1:26" ht="12.75">
      <c r="A6591" s="10" t="str">
        <f ca="1">IFERROR(__xludf.DUMMYFUNCTION("""COMPUTED_VALUE"""),"Румен Иванов Драганов")</f>
        <v>Румен Иванов Драганов</v>
      </c>
      <c r="B6591" s="10" t="str">
        <f ca="1">IFERROR(__xludf.DUMMYFUNCTION("""COMPUTED_VALUE"""),"Доклад от конференция")</f>
        <v>Доклад от конференция</v>
      </c>
      <c r="C6591" s="10" t="str">
        <f ca="1">IFERROR(__xludf.DUMMYFUNCTION("""COMPUTED_VALUE"""),"Дистанционно обучение в туризма.")</f>
        <v>Дистанционно обучение в туризма.</v>
      </c>
      <c r="D6591" s="10">
        <f ca="1">IFERROR(__xludf.DUMMYFUNCTION("""COMPUTED_VALUE"""),2007)</f>
        <v>2007</v>
      </c>
      <c r="E6591" s="10" t="str">
        <f ca="1">IFERROR(__xludf.DUMMYFUNCTION("""COMPUTED_VALUE"""),"Съвременни измерения в дистанционното обучение. Ботевград. Научни трудове,Бот., Изд. МВБУ, 2007, с. 257–264. ISBN 978-954-9432-23-7")</f>
        <v>Съвременни измерения в дистанционното обучение. Ботевград. Научни трудове,Бот., Изд. МВБУ, 2007, с. 257–264. ISBN 978-954-9432-23-7</v>
      </c>
      <c r="F6591" s="10"/>
      <c r="G6591" s="10"/>
      <c r="H6591" s="10"/>
      <c r="I6591" s="10"/>
      <c r="J6591" s="10"/>
      <c r="K6591" s="10"/>
      <c r="L6591" s="10"/>
      <c r="M6591" s="10"/>
      <c r="N6591" s="10"/>
      <c r="O6591" s="10"/>
      <c r="P6591" s="10"/>
      <c r="Q6591" s="10"/>
      <c r="R6591" s="10"/>
      <c r="S6591" s="10"/>
      <c r="T6591" s="10"/>
      <c r="U6591" s="10"/>
      <c r="V6591" s="10"/>
      <c r="W6591" s="10"/>
      <c r="X6591" s="10"/>
      <c r="Y6591" s="10"/>
      <c r="Z6591" s="10"/>
    </row>
    <row r="6592" spans="1:26" ht="12.75">
      <c r="A6592" s="10" t="str">
        <f ca="1">IFERROR(__xludf.DUMMYFUNCTION("""COMPUTED_VALUE"""),"Румен Иванов Драганов")</f>
        <v>Румен Иванов Драганов</v>
      </c>
      <c r="B6592" s="10" t="str">
        <f ca="1">IFERROR(__xludf.DUMMYFUNCTION("""COMPUTED_VALUE"""),"Доклад от конференция")</f>
        <v>Доклад от конференция</v>
      </c>
      <c r="C6592" s="10" t="str">
        <f ca="1">IFERROR(__xludf.DUMMYFUNCTION("""COMPUTED_VALUE"""),"Нормативна и правна уредба,терминология в туризма и туристическото право")</f>
        <v>Нормативна и правна уредба,терминология в туризма и туристическото право</v>
      </c>
      <c r="D6592" s="10">
        <f ca="1">IFERROR(__xludf.DUMMYFUNCTION("""COMPUTED_VALUE"""),2005)</f>
        <v>2005</v>
      </c>
      <c r="E6592" s="10" t="str">
        <f ca="1">IFERROR(__xludf.DUMMYFUNCTION("""COMPUTED_VALUE"""),"Научни трудове, том 1. Бот., Изд. МВБУ, 2005, с. 221–268. ISBN 1313-0846")</f>
        <v>Научни трудове, том 1. Бот., Изд. МВБУ, 2005, с. 221–268. ISBN 1313-0846</v>
      </c>
      <c r="F6592" s="10"/>
      <c r="G6592" s="10"/>
      <c r="H6592" s="10"/>
      <c r="I6592" s="10"/>
      <c r="J6592" s="10"/>
      <c r="K6592" s="10"/>
      <c r="L6592" s="10"/>
      <c r="M6592" s="10"/>
      <c r="N6592" s="10"/>
      <c r="O6592" s="10"/>
      <c r="P6592" s="10"/>
      <c r="Q6592" s="10"/>
      <c r="R6592" s="10"/>
      <c r="S6592" s="10"/>
      <c r="T6592" s="10"/>
      <c r="U6592" s="10"/>
      <c r="V6592" s="10"/>
      <c r="W6592" s="10"/>
      <c r="X6592" s="10"/>
      <c r="Y6592" s="10"/>
      <c r="Z6592" s="10"/>
    </row>
    <row r="6593" spans="1:26" ht="12.75">
      <c r="A6593" s="10" t="str">
        <f ca="1">IFERROR(__xludf.DUMMYFUNCTION("""COMPUTED_VALUE"""),"Румен Иванов Драганов")</f>
        <v>Румен Иванов Драганов</v>
      </c>
      <c r="B6593" s="10" t="str">
        <f ca="1">IFERROR(__xludf.DUMMYFUNCTION("""COMPUTED_VALUE"""),"Доклад от конференция")</f>
        <v>Доклад от конференция</v>
      </c>
      <c r="C6593" s="10" t="str">
        <f ca="1">IFERROR(__xludf.DUMMYFUNCTION("""COMPUTED_VALUE"""),"Имитационно моделиране. Мениджърски имитационни игри в съвременното обучение по икономика и мениджмънт.")</f>
        <v>Имитационно моделиране. Мениджърски имитационни игри в съвременното обучение по икономика и мениджмънт.</v>
      </c>
      <c r="D6593" s="10">
        <f ca="1">IFERROR(__xludf.DUMMYFUNCTION("""COMPUTED_VALUE"""),2005)</f>
        <v>2005</v>
      </c>
      <c r="E6593" s="10" t="str">
        <f ca="1">IFERROR(__xludf.DUMMYFUNCTION("""COMPUTED_VALUE"""),"Съвременни обучение по икономика и мениджмънт. Ботевград. Научни трудове, том 1. Бот., Изд. МВБУ, 2005, с. 217–223. ISBN 954-9432-05-Х")</f>
        <v>Съвременни обучение по икономика и мениджмънт. Ботевград. Научни трудове, том 1. Бот., Изд. МВБУ, 2005, с. 217–223. ISBN 954-9432-05-Х</v>
      </c>
      <c r="F6593" s="10"/>
      <c r="G6593" s="10"/>
      <c r="H6593" s="10"/>
      <c r="I6593" s="10"/>
      <c r="J6593" s="10"/>
      <c r="K6593" s="10"/>
      <c r="L6593" s="10"/>
      <c r="M6593" s="10"/>
      <c r="N6593" s="10"/>
      <c r="O6593" s="10"/>
      <c r="P6593" s="10"/>
      <c r="Q6593" s="10"/>
      <c r="R6593" s="10"/>
      <c r="S6593" s="10"/>
      <c r="T6593" s="10"/>
      <c r="U6593" s="10"/>
      <c r="V6593" s="10"/>
      <c r="W6593" s="10"/>
      <c r="X6593" s="10"/>
      <c r="Y6593" s="10"/>
      <c r="Z6593" s="10"/>
    </row>
    <row r="6594" spans="1:26" ht="12.75">
      <c r="A6594" s="10" t="str">
        <f ca="1">IFERROR(__xludf.DUMMYFUNCTION("""COMPUTED_VALUE"""),"Светла Ангелова Шапкалова-Катърска")</f>
        <v>Светла Ангелова Шапкалова-Катърска</v>
      </c>
      <c r="B6594" s="10" t="str">
        <f ca="1">IFERROR(__xludf.DUMMYFUNCTION("""COMPUTED_VALUE"""),"Доклад от конференция")</f>
        <v>Доклад от конференция</v>
      </c>
      <c r="C6594" s="10" t="str">
        <f ca="1">IFERROR(__xludf.DUMMYFUNCTION("""COMPUTED_VALUE"""),"Екологичните възгледи в Учението на Петър Дънов.")</f>
        <v>Екологичните възгледи в Учението на Петър Дънов.</v>
      </c>
      <c r="D6594" s="10">
        <f ca="1">IFERROR(__xludf.DUMMYFUNCTION("""COMPUTED_VALUE"""),2019)</f>
        <v>2019</v>
      </c>
      <c r="E6594" s="10" t="str">
        <f ca="1">IFERROR(__xludf.DUMMYFUNCTION("""COMPUTED_VALUE"""),"Сборник с доклади от петата национална научна конференция “Петър Дънов, Учителя, в културното пространство на България”. Варна, 14 - 15 септември 2019. 123 - 142 с. 284 с.")</f>
        <v>Сборник с доклади от петата национална научна конференция “Петър Дънов, Учителя, в културното пространство на България”. Варна, 14 - 15 септември 2019. 123 - 142 с. 284 с.</v>
      </c>
      <c r="F6594" s="10"/>
      <c r="G6594" s="10"/>
      <c r="H6594" s="10"/>
      <c r="I6594" s="10"/>
      <c r="J6594" s="10"/>
      <c r="K6594" s="10"/>
      <c r="L6594" s="10"/>
      <c r="M6594" s="10"/>
      <c r="N6594" s="10"/>
      <c r="O6594" s="10"/>
      <c r="P6594" s="10"/>
      <c r="Q6594" s="10"/>
      <c r="R6594" s="10"/>
      <c r="S6594" s="10"/>
      <c r="T6594" s="10"/>
      <c r="U6594" s="10"/>
      <c r="V6594" s="10"/>
      <c r="W6594" s="10"/>
      <c r="X6594" s="10"/>
      <c r="Y6594" s="10"/>
      <c r="Z6594" s="10"/>
    </row>
    <row r="6595" spans="1:26" ht="12.75">
      <c r="A6595" s="10" t="str">
        <f ca="1">IFERROR(__xludf.DUMMYFUNCTION("""COMPUTED_VALUE"""),"Светла Ангелова Шапкалова-Катърска")</f>
        <v>Светла Ангелова Шапкалова-Катърска</v>
      </c>
      <c r="B6595" s="10" t="str">
        <f ca="1">IFERROR(__xludf.DUMMYFUNCTION("""COMPUTED_VALUE"""),"Доклад от конференция")</f>
        <v>Доклад от конференция</v>
      </c>
      <c r="C6595" s="10" t="str">
        <f ca="1">IFERROR(__xludf.DUMMYFUNCTION("""COMPUTED_VALUE"""),"Учебен проект за влиянието на академичното религиозно образование върху екологичното възпитание.")</f>
        <v>Учебен проект за влиянието на академичното религиозно образование върху екологичното възпитание.</v>
      </c>
      <c r="D6595" s="10">
        <f ca="1">IFERROR(__xludf.DUMMYFUNCTION("""COMPUTED_VALUE"""),2019)</f>
        <v>2019</v>
      </c>
      <c r="E6595" s="10" t="str">
        <f ca="1">IFERROR(__xludf.DUMMYFUNCTION("""COMPUTED_VALUE"""),"В: Образование и технологии: годишно научно-методическо списание. - Год. 10 (2019). Научно-практически форум “Иновации в обучението и познавателното развитие”. Бургас, 21-23 август 2019. 56-58 с. 208 с.")</f>
        <v>В: Образование и технологии: годишно научно-методическо списание. - Год. 10 (2019). Научно-практически форум “Иновации в обучението и познавателното развитие”. Бургас, 21-23 август 2019. 56-58 с. 208 с.</v>
      </c>
      <c r="F6595" s="10"/>
      <c r="G6595" s="10"/>
      <c r="H6595" s="10"/>
      <c r="I6595" s="10"/>
      <c r="J6595" s="10"/>
      <c r="K6595" s="10"/>
      <c r="L6595" s="10"/>
      <c r="M6595" s="10"/>
      <c r="N6595" s="10"/>
      <c r="O6595" s="10"/>
      <c r="P6595" s="10"/>
      <c r="Q6595" s="10"/>
      <c r="R6595" s="10"/>
      <c r="S6595" s="10"/>
      <c r="T6595" s="10"/>
      <c r="U6595" s="10"/>
      <c r="V6595" s="10"/>
      <c r="W6595" s="10"/>
      <c r="X6595" s="10"/>
      <c r="Y6595" s="10"/>
      <c r="Z6595" s="10"/>
    </row>
    <row r="6596" spans="1:26" ht="12.75">
      <c r="A6596" s="10" t="str">
        <f ca="1">IFERROR(__xludf.DUMMYFUNCTION("""COMPUTED_VALUE"""),"Светла Ангелова Шапкалова-Катърска")</f>
        <v>Светла Ангелова Шапкалова-Катърска</v>
      </c>
      <c r="B6596" s="10" t="str">
        <f ca="1">IFERROR(__xludf.DUMMYFUNCTION("""COMPUTED_VALUE"""),"Доклад от конференция")</f>
        <v>Доклад от конференция</v>
      </c>
      <c r="C6596" s="10" t="str">
        <f ca="1">IFERROR(__xludf.DUMMYFUNCTION("""COMPUTED_VALUE"""),"Методика за неконфесионално преподаване на религия в светски университет.")</f>
        <v>Методика за неконфесионално преподаване на религия в светски университет.</v>
      </c>
      <c r="D6596" s="10">
        <f ca="1">IFERROR(__xludf.DUMMYFUNCTION("""COMPUTED_VALUE"""),2019)</f>
        <v>2019</v>
      </c>
      <c r="E6596" s="10" t="str">
        <f ca="1">IFERROR(__xludf.DUMMYFUNCTION("""COMPUTED_VALUE"""),"В: Сборник с доклади от научна конференция по повод 30 години от Техническия колеж в Ловеч. Ловеч 10 май 2019. 2019. 107-112 с. 278 с. ISSN 2535-079X")</f>
        <v>В: Сборник с доклади от научна конференция по повод 30 години от Техническия колеж в Ловеч. Ловеч 10 май 2019. 2019. 107-112 с. 278 с. ISSN 2535-079X</v>
      </c>
      <c r="F6596" s="10"/>
      <c r="G6596" s="10"/>
      <c r="H6596" s="10"/>
      <c r="I6596" s="10"/>
      <c r="J6596" s="10"/>
      <c r="K6596" s="10"/>
      <c r="L6596" s="10"/>
      <c r="M6596" s="10"/>
      <c r="N6596" s="10"/>
      <c r="O6596" s="10"/>
      <c r="P6596" s="10"/>
      <c r="Q6596" s="10"/>
      <c r="R6596" s="10"/>
      <c r="S6596" s="10"/>
      <c r="T6596" s="10"/>
      <c r="U6596" s="10"/>
      <c r="V6596" s="10"/>
      <c r="W6596" s="10"/>
      <c r="X6596" s="10"/>
      <c r="Y6596" s="10"/>
      <c r="Z6596" s="10"/>
    </row>
    <row r="6597" spans="1:26" ht="12.75">
      <c r="A6597" s="10" t="str">
        <f ca="1">IFERROR(__xludf.DUMMYFUNCTION("""COMPUTED_VALUE"""),"Светла Ангелова Шапкалова-Катърска")</f>
        <v>Светла Ангелова Шапкалова-Катърска</v>
      </c>
      <c r="B6597" s="10" t="str">
        <f ca="1">IFERROR(__xludf.DUMMYFUNCTION("""COMPUTED_VALUE"""),"Статия в списания и поредици")</f>
        <v>Статия в списания и поредици</v>
      </c>
      <c r="C6597" s="10" t="str">
        <f ca="1">IFERROR(__xludf.DUMMYFUNCTION("""COMPUTED_VALUE"""),"Пословиците в университетското обучение по религия.")</f>
        <v>Пословиците в университетското обучение по религия.</v>
      </c>
      <c r="D6597" s="10">
        <f ca="1">IFERROR(__xludf.DUMMYFUNCTION("""COMPUTED_VALUE"""),2015)</f>
        <v>2015</v>
      </c>
      <c r="E6597" s="10" t="str">
        <f ca="1">IFERROR(__xludf.DUMMYFUNCTION("""COMPUTED_VALUE"""),"Образование и технологии. Научно-практически форум “Иновации в обучението и познавателното развитие”. Бургас, 2-4 септември 2015")</f>
        <v>Образование и технологии. Научно-практически форум “Иновации в обучението и познавателното развитие”. Бургас, 2-4 септември 2015</v>
      </c>
      <c r="F6597" s="10"/>
      <c r="G6597" s="10"/>
      <c r="H6597" s="10"/>
      <c r="I6597" s="10"/>
      <c r="J6597" s="10"/>
      <c r="K6597" s="10"/>
      <c r="L6597" s="10"/>
      <c r="M6597" s="10"/>
      <c r="N6597" s="10"/>
      <c r="O6597" s="10"/>
      <c r="P6597" s="10"/>
      <c r="Q6597" s="10"/>
      <c r="R6597" s="10"/>
      <c r="S6597" s="10"/>
      <c r="T6597" s="10"/>
      <c r="U6597" s="10"/>
      <c r="V6597" s="10"/>
      <c r="W6597" s="10"/>
      <c r="X6597" s="10"/>
      <c r="Y6597" s="10"/>
      <c r="Z6597" s="10"/>
    </row>
    <row r="6598" spans="1:26" ht="12.75">
      <c r="A6598" s="10" t="str">
        <f ca="1">IFERROR(__xludf.DUMMYFUNCTION("""COMPUTED_VALUE"""),"Светла Ангелова Шапкалова-Катърска")</f>
        <v>Светла Ангелова Шапкалова-Катърска</v>
      </c>
      <c r="B6598" s="10" t="str">
        <f ca="1">IFERROR(__xludf.DUMMYFUNCTION("""COMPUTED_VALUE"""),"Статия в списания и поредици")</f>
        <v>Статия в списания и поредици</v>
      </c>
      <c r="C6598" s="10" t="str">
        <f ca="1">IFERROR(__xludf.DUMMYFUNCTION("""COMPUTED_VALUE"""),"Международните празници в академичното обучението по религия")</f>
        <v>Международните празници в академичното обучението по религия</v>
      </c>
      <c r="D6598" s="10">
        <f ca="1">IFERROR(__xludf.DUMMYFUNCTION("""COMPUTED_VALUE"""),2015)</f>
        <v>2015</v>
      </c>
      <c r="E6598" s="10" t="str">
        <f ca="1">IFERROR(__xludf.DUMMYFUNCTION("""COMPUTED_VALUE"""),"Сборник с доклади от летния семинар в Китен 25-30 юни 2015 “Общество, памет, образование. (История и обществени нагласи)” София,")</f>
        <v>Сборник с доклади от летния семинар в Китен 25-30 юни 2015 “Общество, памет, образование. (История и обществени нагласи)” София,</v>
      </c>
      <c r="F6598" s="10"/>
      <c r="G6598" s="10"/>
      <c r="H6598" s="10"/>
      <c r="I6598" s="10"/>
      <c r="J6598" s="10"/>
      <c r="K6598" s="10"/>
      <c r="L6598" s="10"/>
      <c r="M6598" s="10"/>
      <c r="N6598" s="10"/>
      <c r="O6598" s="10"/>
      <c r="P6598" s="10"/>
      <c r="Q6598" s="10"/>
      <c r="R6598" s="10"/>
      <c r="S6598" s="10"/>
      <c r="T6598" s="10"/>
      <c r="U6598" s="10"/>
      <c r="V6598" s="10"/>
      <c r="W6598" s="10"/>
      <c r="X6598" s="10"/>
      <c r="Y6598" s="10"/>
      <c r="Z6598" s="10"/>
    </row>
    <row r="6599" spans="1:26" ht="12.75">
      <c r="A6599" s="10" t="str">
        <f ca="1">IFERROR(__xludf.DUMMYFUNCTION("""COMPUTED_VALUE"""),"Светла Ангелова Шапкалова-Катърска")</f>
        <v>Светла Ангелова Шапкалова-Катърска</v>
      </c>
      <c r="B6599" s="10" t="str">
        <f ca="1">IFERROR(__xludf.DUMMYFUNCTION("""COMPUTED_VALUE"""),"Статия в списания и поредици")</f>
        <v>Статия в списания и поредици</v>
      </c>
      <c r="C6599" s="10" t="str">
        <f ca="1">IFERROR(__xludf.DUMMYFUNCTION("""COMPUTED_VALUE"""),"Книгите по религия в личните библиотеки на студентите от УниБИТ.")</f>
        <v>Книгите по религия в личните библиотеки на студентите от УниБИТ.</v>
      </c>
      <c r="D6599" s="10">
        <f ca="1">IFERROR(__xludf.DUMMYFUNCTION("""COMPUTED_VALUE"""),2015)</f>
        <v>2015</v>
      </c>
      <c r="E6599" s="10" t="str">
        <f ca="1">IFERROR(__xludf.DUMMYFUNCTION("""COMPUTED_VALUE"""),"Сборник с доклади и съобщение от Десетия научен семинар на УниБИТ, проведен в Истанбул на 4-8 акрил 2015. “Нови информационни те")</f>
        <v>Сборник с доклади и съобщение от Десетия научен семинар на УниБИТ, проведен в Истанбул на 4-8 акрил 2015. “Нови информационни те</v>
      </c>
      <c r="F6599" s="10"/>
      <c r="G6599" s="10" t="str">
        <f ca="1">IFERROR(__xludf.DUMMYFUNCTION("""COMPUTED_VALUE"""),"Магдалена Гарванова")</f>
        <v>Магдалена Гарванова</v>
      </c>
      <c r="H6599" s="10"/>
      <c r="I6599" s="10"/>
      <c r="J6599" s="10"/>
      <c r="K6599" s="10"/>
      <c r="L6599" s="10"/>
      <c r="M6599" s="10"/>
      <c r="N6599" s="10"/>
      <c r="O6599" s="10"/>
      <c r="P6599" s="10"/>
      <c r="Q6599" s="10"/>
      <c r="R6599" s="10"/>
      <c r="S6599" s="10"/>
      <c r="T6599" s="10"/>
      <c r="U6599" s="10"/>
      <c r="V6599" s="10"/>
      <c r="W6599" s="10"/>
      <c r="X6599" s="10"/>
      <c r="Y6599" s="10"/>
      <c r="Z6599" s="10"/>
    </row>
    <row r="6600" spans="1:26" ht="12.75">
      <c r="A6600" s="10" t="str">
        <f ca="1">IFERROR(__xludf.DUMMYFUNCTION("""COMPUTED_VALUE"""),"Светла Ангелова Шапкалова-Катърска")</f>
        <v>Светла Ангелова Шапкалова-Катърска</v>
      </c>
      <c r="B6600" s="10" t="str">
        <f ca="1">IFERROR(__xludf.DUMMYFUNCTION("""COMPUTED_VALUE"""),"Статия в списания и поредици")</f>
        <v>Статия в списания и поредици</v>
      </c>
      <c r="C6600" s="10" t="str">
        <f ca="1">IFERROR(__xludf.DUMMYFUNCTION("""COMPUTED_VALUE"""),"Малтийският орден в българското информационно пространство")</f>
        <v>Малтийският орден в българското информационно пространство</v>
      </c>
      <c r="D6600" s="10">
        <f ca="1">IFERROR(__xludf.DUMMYFUNCTION("""COMPUTED_VALUE"""),2015)</f>
        <v>2015</v>
      </c>
      <c r="E6600" s="10" t="str">
        <f ca="1">IFERROR(__xludf.DUMMYFUNCTION("""COMPUTED_VALUE"""),"Съвременни измерения на европейското образователно пространство. Българо-малтийски културни общувания. България-Малта 1.06.-6.06")</f>
        <v>Съвременни измерения на европейското образователно пространство. Българо-малтийски културни общувания. България-Малта 1.06.-6.06</v>
      </c>
      <c r="F6600" s="10"/>
      <c r="G6600" s="10"/>
      <c r="H6600" s="10"/>
      <c r="I6600" s="10"/>
      <c r="J6600" s="10"/>
      <c r="K6600" s="10"/>
      <c r="L6600" s="10"/>
      <c r="M6600" s="10"/>
      <c r="N6600" s="10"/>
      <c r="O6600" s="10"/>
      <c r="P6600" s="10"/>
      <c r="Q6600" s="10"/>
      <c r="R6600" s="10"/>
      <c r="S6600" s="10"/>
      <c r="T6600" s="10"/>
      <c r="U6600" s="10"/>
      <c r="V6600" s="10"/>
      <c r="W6600" s="10"/>
      <c r="X6600" s="10"/>
      <c r="Y6600" s="10"/>
      <c r="Z6600" s="10"/>
    </row>
    <row r="6601" spans="1:26" ht="12.75">
      <c r="A6601" s="10" t="str">
        <f ca="1">IFERROR(__xludf.DUMMYFUNCTION("""COMPUTED_VALUE"""),"Светла Ангелова Шапкалова-Катърска")</f>
        <v>Светла Ангелова Шапкалова-Катърска</v>
      </c>
      <c r="B6601" s="10" t="str">
        <f ca="1">IFERROR(__xludf.DUMMYFUNCTION("""COMPUTED_VALUE"""),"Статия в списания и поредици")</f>
        <v>Статия в списания и поредици</v>
      </c>
      <c r="C6601" s="10" t="str">
        <f ca="1">IFERROR(__xludf.DUMMYFUNCTION("""COMPUTED_VALUE"""),"Християнската вяра – основна ценност в муждурелигиозния диалог")</f>
        <v>Християнската вяра – основна ценност в муждурелигиозния диалог</v>
      </c>
      <c r="D6601" s="10">
        <f ca="1">IFERROR(__xludf.DUMMYFUNCTION("""COMPUTED_VALUE"""),2015)</f>
        <v>2015</v>
      </c>
      <c r="E6601" s="10" t="str">
        <f ca="1">IFERROR(__xludf.DUMMYFUNCTION("""COMPUTED_VALUE"""),"тематичен сборник с материали от конференция в Банско – октомври 2014. “Хуманизъм. Наука. Религия. Ценности, парадигми и предизв")</f>
        <v>тематичен сборник с материали от конференция в Банско – октомври 2014. “Хуманизъм. Наука. Религия. Ценности, парадигми и предизв</v>
      </c>
      <c r="F6601" s="10"/>
      <c r="G6601" s="10"/>
      <c r="H6601" s="10"/>
      <c r="I6601" s="10"/>
      <c r="J6601" s="10"/>
      <c r="K6601" s="10"/>
      <c r="L6601" s="10"/>
      <c r="M6601" s="10"/>
      <c r="N6601" s="10"/>
      <c r="O6601" s="10"/>
      <c r="P6601" s="10"/>
      <c r="Q6601" s="10"/>
      <c r="R6601" s="10"/>
      <c r="S6601" s="10"/>
      <c r="T6601" s="10"/>
      <c r="U6601" s="10"/>
      <c r="V6601" s="10"/>
      <c r="W6601" s="10"/>
      <c r="X6601" s="10"/>
      <c r="Y6601" s="10"/>
      <c r="Z6601" s="10"/>
    </row>
    <row r="6602" spans="1:26" ht="12.75">
      <c r="A6602" s="10" t="str">
        <f ca="1">IFERROR(__xludf.DUMMYFUNCTION("""COMPUTED_VALUE"""),"Светла Ангелова Шапкалова-Катърска")</f>
        <v>Светла Ангелова Шапкалова-Катърска</v>
      </c>
      <c r="B6602" s="10" t="str">
        <f ca="1">IFERROR(__xludf.DUMMYFUNCTION("""COMPUTED_VALUE"""),"Статия в списания и поредици")</f>
        <v>Статия в списания и поредици</v>
      </c>
      <c r="C6602" s="10" t="str">
        <f ca="1">IFERROR(__xludf.DUMMYFUNCTION("""COMPUTED_VALUE"""),"Използване на интердисциплинарния и културно-историческия подход в обучението по религия: теренна работа в Банско (2014)")</f>
        <v>Използване на интердисциплинарния и културно-историческия подход в обучението по религия: теренна работа в Банско (2014)</v>
      </c>
      <c r="D6602" s="10">
        <f ca="1">IFERROR(__xludf.DUMMYFUNCTION("""COMPUTED_VALUE"""),2015)</f>
        <v>2015</v>
      </c>
      <c r="E6602" s="10" t="str">
        <f ca="1">IFERROR(__xludf.DUMMYFUNCTION("""COMPUTED_VALUE"""),"Сборник с доклади и съобщение от Десетия научен семинар на УниБИТ, проведен в Истанбул на 4-8 акрил 2015. “Нови информационни те")</f>
        <v>Сборник с доклади и съобщение от Десетия научен семинар на УниБИТ, проведен в Истанбул на 4-8 акрил 2015. “Нови информационни те</v>
      </c>
      <c r="F6602" s="10"/>
      <c r="G6602" s="10" t="str">
        <f ca="1">IFERROR(__xludf.DUMMYFUNCTION("""COMPUTED_VALUE"""),"Жоржета Назърска")</f>
        <v>Жоржета Назърска</v>
      </c>
      <c r="H6602" s="10"/>
      <c r="I6602" s="10"/>
      <c r="J6602" s="10"/>
      <c r="K6602" s="10"/>
      <c r="L6602" s="10"/>
      <c r="M6602" s="10"/>
      <c r="N6602" s="10"/>
      <c r="O6602" s="10"/>
      <c r="P6602" s="10"/>
      <c r="Q6602" s="10"/>
      <c r="R6602" s="10"/>
      <c r="S6602" s="10"/>
      <c r="T6602" s="10"/>
      <c r="U6602" s="10"/>
      <c r="V6602" s="10"/>
      <c r="W6602" s="10"/>
      <c r="X6602" s="10"/>
      <c r="Y6602" s="10"/>
      <c r="Z6602" s="10"/>
    </row>
    <row r="6603" spans="1:26" ht="12.75">
      <c r="A6603" s="10" t="str">
        <f ca="1">IFERROR(__xludf.DUMMYFUNCTION("""COMPUTED_VALUE"""),"Светла Ангелова Шапкалова-Катърска")</f>
        <v>Светла Ангелова Шапкалова-Катърска</v>
      </c>
      <c r="B6603" s="10" t="str">
        <f ca="1">IFERROR(__xludf.DUMMYFUNCTION("""COMPUTED_VALUE"""),"Доклад от конференция")</f>
        <v>Доклад от конференция</v>
      </c>
      <c r="C6603" s="10" t="str">
        <f ca="1">IFERROR(__xludf.DUMMYFUNCTION("""COMPUTED_VALUE"""),"Religious Values in Present Bulgaria as Intangible Cultural Heritage")</f>
        <v>Religious Values in Present Bulgaria as Intangible Cultural Heritage</v>
      </c>
      <c r="D6603" s="10">
        <f ca="1">IFERROR(__xludf.DUMMYFUNCTION("""COMPUTED_VALUE"""),2015)</f>
        <v>2015</v>
      </c>
      <c r="E6603" s="10" t="str">
        <f ca="1">IFERROR(__xludf.DUMMYFUNCTION("""COMPUTED_VALUE"""),"SIEF2015: Utopias, Realities, Heritages: Ethnographies for the 21st century")</f>
        <v>SIEF2015: Utopias, Realities, Heritages: Ethnographies for the 21st century</v>
      </c>
      <c r="F6603" s="10"/>
      <c r="G6603" s="10" t="str">
        <f ca="1">IFERROR(__xludf.DUMMYFUNCTION("""COMPUTED_VALUE"""),"Жоржета Назърска")</f>
        <v>Жоржета Назърска</v>
      </c>
      <c r="H6603" s="10"/>
      <c r="I6603" s="10"/>
      <c r="J6603" s="10"/>
      <c r="K6603" s="10"/>
      <c r="L6603" s="10"/>
      <c r="M6603" s="10"/>
      <c r="N6603" s="10"/>
      <c r="O6603" s="10"/>
      <c r="P6603" s="10"/>
      <c r="Q6603" s="10"/>
      <c r="R6603" s="10"/>
      <c r="S6603" s="10"/>
      <c r="T6603" s="10"/>
      <c r="U6603" s="10"/>
      <c r="V6603" s="10"/>
      <c r="W6603" s="10"/>
      <c r="X6603" s="10"/>
      <c r="Y6603" s="10"/>
      <c r="Z6603" s="10"/>
    </row>
    <row r="6604" spans="1:26" ht="12.75">
      <c r="A6604" s="10" t="str">
        <f ca="1">IFERROR(__xludf.DUMMYFUNCTION("""COMPUTED_VALUE"""),"Светла Ангелова Шапкалова-Катърска")</f>
        <v>Светла Ангелова Шапкалова-Катърска</v>
      </c>
      <c r="B6604" s="10" t="str">
        <f ca="1">IFERROR(__xludf.DUMMYFUNCTION("""COMPUTED_VALUE"""),"Доклад от конференция")</f>
        <v>Доклад от конференция</v>
      </c>
      <c r="C6604" s="10" t="str">
        <f ca="1">IFERROR(__xludf.DUMMYFUNCTION("""COMPUTED_VALUE"""),"Ценностни сходства и различия между традиционните религиозни деноминации в България.")</f>
        <v>Ценностни сходства и различия между традиционните религиозни деноминации в България.</v>
      </c>
      <c r="D6604" s="10">
        <f ca="1">IFERROR(__xludf.DUMMYFUNCTION("""COMPUTED_VALUE"""),2015)</f>
        <v>2015</v>
      </c>
      <c r="E6604" s="10" t="str">
        <f ca="1">IFERROR(__xludf.DUMMYFUNCTION("""COMPUTED_VALUE"""),"В: Сборник с доклади от Научна конференция “Хармония в различията”, София, 10.12.2015. – Издателство: “За буквите-О писменехь”.")</f>
        <v>В: Сборник с доклади от Научна конференция “Хармония в различията”, София, 10.12.2015. – Издателство: “За буквите-О писменехь”.</v>
      </c>
      <c r="F6604" s="10"/>
      <c r="G6604" s="10" t="str">
        <f ca="1">IFERROR(__xludf.DUMMYFUNCTION("""COMPUTED_VALUE"""),"Магдалена Гарванова")</f>
        <v>Магдалена Гарванова</v>
      </c>
      <c r="H6604" s="10"/>
      <c r="I6604" s="10"/>
      <c r="J6604" s="10"/>
      <c r="K6604" s="10"/>
      <c r="L6604" s="10"/>
      <c r="M6604" s="10"/>
      <c r="N6604" s="10"/>
      <c r="O6604" s="10"/>
      <c r="P6604" s="10"/>
      <c r="Q6604" s="10"/>
      <c r="R6604" s="10"/>
      <c r="S6604" s="10"/>
      <c r="T6604" s="10"/>
      <c r="U6604" s="10"/>
      <c r="V6604" s="10"/>
      <c r="W6604" s="10"/>
      <c r="X6604" s="10"/>
      <c r="Y6604" s="10"/>
      <c r="Z6604" s="10"/>
    </row>
    <row r="6605" spans="1:26" ht="12.75">
      <c r="A6605" s="10" t="str">
        <f ca="1">IFERROR(__xludf.DUMMYFUNCTION("""COMPUTED_VALUE"""),"Светла Ангелова Шапкалова-Катърска")</f>
        <v>Светла Ангелова Шапкалова-Катърска</v>
      </c>
      <c r="B6605" s="10" t="str">
        <f ca="1">IFERROR(__xludf.DUMMYFUNCTION("""COMPUTED_VALUE"""),"Доклад от конференция")</f>
        <v>Доклад от конференция</v>
      </c>
      <c r="C6605" s="10" t="str">
        <f ca="1">IFERROR(__xludf.DUMMYFUNCTION("""COMPUTED_VALUE"""),"Славянски културни общувания чрез празника на Българската просвета. Славянская культура в Европе – история, настоящее и будущее")</f>
        <v>Славянски културни общувания чрез празника на Българската просвета. Славянская культура в Европе – история, настоящее и будущее</v>
      </c>
      <c r="D6605" s="10">
        <f ca="1">IFERROR(__xludf.DUMMYFUNCTION("""COMPUTED_VALUE"""),2015)</f>
        <v>2015</v>
      </c>
      <c r="E6605" s="10" t="str">
        <f ca="1">IFERROR(__xludf.DUMMYFUNCTION("""COMPUTED_VALUE"""),"Сборник материалов международной научно-практической “онлайн-конференции”, София-Москва. 2015 год., с. 218-225 с. 340 с.")</f>
        <v>Сборник материалов международной научно-практической “онлайн-конференции”, София-Москва. 2015 год., с. 218-225 с. 340 с.</v>
      </c>
      <c r="F6605" s="10"/>
      <c r="G6605" s="10"/>
      <c r="H6605" s="10"/>
      <c r="I6605" s="10"/>
      <c r="J6605" s="10"/>
      <c r="K6605" s="10"/>
      <c r="L6605" s="10"/>
      <c r="M6605" s="10"/>
      <c r="N6605" s="10"/>
      <c r="O6605" s="10"/>
      <c r="P6605" s="10"/>
      <c r="Q6605" s="10"/>
      <c r="R6605" s="10"/>
      <c r="S6605" s="10"/>
      <c r="T6605" s="10"/>
      <c r="U6605" s="10"/>
      <c r="V6605" s="10"/>
      <c r="W6605" s="10"/>
      <c r="X6605" s="10"/>
      <c r="Y6605" s="10"/>
      <c r="Z6605" s="10"/>
    </row>
    <row r="6606" spans="1:26" ht="12.75">
      <c r="A6606" s="10" t="str">
        <f ca="1">IFERROR(__xludf.DUMMYFUNCTION("""COMPUTED_VALUE"""),"Светла Ангелова Шапкалова-Катърска")</f>
        <v>Светла Ангелова Шапкалова-Катърска</v>
      </c>
      <c r="B6606" s="10" t="str">
        <f ca="1">IFERROR(__xludf.DUMMYFUNCTION("""COMPUTED_VALUE"""),"Статия в списания и поредици")</f>
        <v>Статия в списания и поредици</v>
      </c>
      <c r="C6606" s="10" t="str">
        <f ca="1">IFERROR(__xludf.DUMMYFUNCTION("""COMPUTED_VALUE"""),"Ниво на религиозност на православното население в България според данни от православните храмови регистри (1998-2014).")</f>
        <v>Ниво на религиозност на православното население в България според данни от православните храмови регистри (1998-2014).</v>
      </c>
      <c r="D6606" s="10">
        <f ca="1">IFERROR(__xludf.DUMMYFUNCTION("""COMPUTED_VALUE"""),2015)</f>
        <v>2015</v>
      </c>
      <c r="E6606" s="10" t="str">
        <f ca="1">IFERROR(__xludf.DUMMYFUNCTION("""COMPUTED_VALUE"""),"В: Християнство и култура, Година XIV (2015) / бр.106, 77-89 с.")</f>
        <v>В: Християнство и култура, Година XIV (2015) / бр.106, 77-89 с.</v>
      </c>
      <c r="F6606" s="10"/>
      <c r="G6606" s="10" t="str">
        <f ca="1">IFERROR(__xludf.DUMMYFUNCTION("""COMPUTED_VALUE"""),"Жоржета Назърска")</f>
        <v>Жоржета Назърска</v>
      </c>
      <c r="H6606" s="10"/>
      <c r="I6606" s="10"/>
      <c r="J6606" s="10"/>
      <c r="K6606" s="10"/>
      <c r="L6606" s="10"/>
      <c r="M6606" s="10"/>
      <c r="N6606" s="10"/>
      <c r="O6606" s="10"/>
      <c r="P6606" s="10"/>
      <c r="Q6606" s="10"/>
      <c r="R6606" s="10"/>
      <c r="S6606" s="10"/>
      <c r="T6606" s="10"/>
      <c r="U6606" s="10"/>
      <c r="V6606" s="10"/>
      <c r="W6606" s="10"/>
      <c r="X6606" s="10"/>
      <c r="Y6606" s="10"/>
      <c r="Z6606" s="10"/>
    </row>
    <row r="6607" spans="1:26" ht="12.75">
      <c r="A6607" s="10" t="str">
        <f ca="1">IFERROR(__xludf.DUMMYFUNCTION("""COMPUTED_VALUE"""),"Светла Ангелова Шапкалова-Катърска")</f>
        <v>Светла Ангелова Шапкалова-Катърска</v>
      </c>
      <c r="B6607" s="10" t="str">
        <f ca="1">IFERROR(__xludf.DUMMYFUNCTION("""COMPUTED_VALUE"""),"Статия в списания и поредици")</f>
        <v>Статия в списания и поредици</v>
      </c>
      <c r="C6607" s="10" t="str">
        <f ca="1">IFERROR(__xludf.DUMMYFUNCTION("""COMPUTED_VALUE"""),"Teaching Religious Pluralism and Study of Religious Cultural Heritage in Bulgarian Universities.")</f>
        <v>Teaching Religious Pluralism and Study of Religious Cultural Heritage in Bulgarian Universities.</v>
      </c>
      <c r="D6607" s="10">
        <f ca="1">IFERROR(__xludf.DUMMYFUNCTION("""COMPUTED_VALUE"""),2014)</f>
        <v>2014</v>
      </c>
      <c r="E6607" s="10" t="str">
        <f ca="1">IFERROR(__xludf.DUMMYFUNCTION("""COMPUTED_VALUE"""),"Open Journal of Social Sciences (JSS),2014, vol. 2, № 4, pp. 184-190.")</f>
        <v>Open Journal of Social Sciences (JSS),2014, vol. 2, № 4, pp. 184-190.</v>
      </c>
      <c r="F6607" s="10"/>
      <c r="G6607" s="10" t="str">
        <f ca="1">IFERROR(__xludf.DUMMYFUNCTION("""COMPUTED_VALUE"""),"Жоржета Назърска")</f>
        <v>Жоржета Назърска</v>
      </c>
      <c r="H6607" s="10"/>
      <c r="I6607" s="10"/>
      <c r="J6607" s="10"/>
      <c r="K6607" s="10"/>
      <c r="L6607" s="10"/>
      <c r="M6607" s="10"/>
      <c r="N6607" s="10"/>
      <c r="O6607" s="10"/>
      <c r="P6607" s="10"/>
      <c r="Q6607" s="10"/>
      <c r="R6607" s="10"/>
      <c r="S6607" s="10"/>
      <c r="T6607" s="10"/>
      <c r="U6607" s="10"/>
      <c r="V6607" s="10"/>
      <c r="W6607" s="10"/>
      <c r="X6607" s="10"/>
      <c r="Y6607" s="10"/>
      <c r="Z6607" s="10"/>
    </row>
    <row r="6608" spans="1:26" ht="12.75">
      <c r="A6608" s="10" t="str">
        <f ca="1">IFERROR(__xludf.DUMMYFUNCTION("""COMPUTED_VALUE"""),"Светла Ангелова Шапкалова-Катърска")</f>
        <v>Светла Ангелова Шапкалова-Катърска</v>
      </c>
      <c r="B6608" s="10" t="str">
        <f ca="1">IFERROR(__xludf.DUMMYFUNCTION("""COMPUTED_VALUE"""),"Статия в списания и поредици")</f>
        <v>Статия в списания и поредици</v>
      </c>
      <c r="C6608" s="10" t="str">
        <f ca="1">IFERROR(__xludf.DUMMYFUNCTION("""COMPUTED_VALUE"""),"Проучване нивото на обучение във факултативните дисциплини, даващи знания по религия - развитие и перспективи.")</f>
        <v>Проучване нивото на обучение във факултативните дисциплини, даващи знания по религия - развитие и перспективи.</v>
      </c>
      <c r="D6608" s="10">
        <f ca="1">IFERROR(__xludf.DUMMYFUNCTION("""COMPUTED_VALUE"""),2014)</f>
        <v>2014</v>
      </c>
      <c r="E6608" s="10" t="str">
        <f ca="1">IFERROR(__xludf.DUMMYFUNCTION("""COMPUTED_VALUE"""),"Психологични изследваания. София, Книжка 2 / 2014. 509-516 с. 594 с.")</f>
        <v>Психологични изследваания. София, Книжка 2 / 2014. 509-516 с. 594 с.</v>
      </c>
      <c r="F6608" s="10"/>
      <c r="G6608" s="10"/>
      <c r="H6608" s="10"/>
      <c r="I6608" s="10"/>
      <c r="J6608" s="10"/>
      <c r="K6608" s="10"/>
      <c r="L6608" s="10"/>
      <c r="M6608" s="10"/>
      <c r="N6608" s="10"/>
      <c r="O6608" s="10"/>
      <c r="P6608" s="10"/>
      <c r="Q6608" s="10"/>
      <c r="R6608" s="10"/>
      <c r="S6608" s="10"/>
      <c r="T6608" s="10"/>
      <c r="U6608" s="10"/>
      <c r="V6608" s="10"/>
      <c r="W6608" s="10"/>
      <c r="X6608" s="10"/>
      <c r="Y6608" s="10"/>
      <c r="Z6608" s="10"/>
    </row>
    <row r="6609" spans="1:26" ht="12.75">
      <c r="A6609" s="10" t="str">
        <f ca="1">IFERROR(__xludf.DUMMYFUNCTION("""COMPUTED_VALUE"""),"Светла Ангелова Шапкалова-Катърска")</f>
        <v>Светла Ангелова Шапкалова-Катърска</v>
      </c>
      <c r="B6609" s="10" t="str">
        <f ca="1">IFERROR(__xludf.DUMMYFUNCTION("""COMPUTED_VALUE"""),"Статия в списания и поредици")</f>
        <v>Статия в списания и поредици</v>
      </c>
      <c r="C6609" s="10" t="str">
        <f ca="1">IFERROR(__xludf.DUMMYFUNCTION("""COMPUTED_VALUE"""),"Книжовното наследство на Учителя Петър Дънов: библиометричен анализ")</f>
        <v>Книжовното наследство на Учителя Петър Дънов: библиометричен анализ</v>
      </c>
      <c r="D6609" s="10">
        <f ca="1">IFERROR(__xludf.DUMMYFUNCTION("""COMPUTED_VALUE"""),2014)</f>
        <v>2014</v>
      </c>
      <c r="E6609" s="10" t="str">
        <f ca="1">IFERROR(__xludf.DUMMYFUNCTION("""COMPUTED_VALUE"""),"Сборник с доклади от първа национална научна конференция “Петър Дънов, Учителя, в културното пространство на България”. Варна, 4")</f>
        <v>Сборник с доклади от първа национална научна конференция “Петър Дънов, Учителя, в културното пространство на България”. Варна, 4</v>
      </c>
      <c r="F6609" s="10"/>
      <c r="G6609" s="10"/>
      <c r="H6609" s="10"/>
      <c r="I6609" s="10"/>
      <c r="J6609" s="10"/>
      <c r="K6609" s="10"/>
      <c r="L6609" s="10"/>
      <c r="M6609" s="10"/>
      <c r="N6609" s="10"/>
      <c r="O6609" s="10"/>
      <c r="P6609" s="10"/>
      <c r="Q6609" s="10"/>
      <c r="R6609" s="10"/>
      <c r="S6609" s="10"/>
      <c r="T6609" s="10"/>
      <c r="U6609" s="10"/>
      <c r="V6609" s="10"/>
      <c r="W6609" s="10"/>
      <c r="X6609" s="10"/>
      <c r="Y6609" s="10"/>
      <c r="Z6609" s="10"/>
    </row>
    <row r="6610" spans="1:26" ht="12.75">
      <c r="A6610" s="10" t="str">
        <f ca="1">IFERROR(__xludf.DUMMYFUNCTION("""COMPUTED_VALUE"""),"Светла Ангелова Шапкалова-Катърска")</f>
        <v>Светла Ангелова Шапкалова-Катърска</v>
      </c>
      <c r="B6610" s="10" t="str">
        <f ca="1">IFERROR(__xludf.DUMMYFUNCTION("""COMPUTED_VALUE"""),"Доклад от конференция")</f>
        <v>Доклад от конференция</v>
      </c>
      <c r="C6610" s="10" t="str">
        <f ca="1">IFERROR(__xludf.DUMMYFUNCTION("""COMPUTED_VALUE"""),"Intangible Religious Heritage at Risk: Study of Religious Values in Modern Bulgaria.")</f>
        <v>Intangible Religious Heritage at Risk: Study of Religious Values in Modern Bulgaria.</v>
      </c>
      <c r="D6610" s="10">
        <f ca="1">IFERROR(__xludf.DUMMYFUNCTION("""COMPUTED_VALUE"""),2014)</f>
        <v>2014</v>
      </c>
      <c r="E6610" s="10" t="str">
        <f ca="1">IFERROR(__xludf.DUMMYFUNCTION("""COMPUTED_VALUE"""),"7th InASEA Conference “Cultures of Crisis: Experiencing and Coping With Upheavals and Disasters in Southeast Europe”")</f>
        <v>7th InASEA Conference “Cultures of Crisis: Experiencing and Coping With Upheavals and Disasters in Southeast Europe”</v>
      </c>
      <c r="F6610" s="10"/>
      <c r="G6610" s="10" t="str">
        <f ca="1">IFERROR(__xludf.DUMMYFUNCTION("""COMPUTED_VALUE"""),"Жоржета Назърска")</f>
        <v>Жоржета Назърска</v>
      </c>
      <c r="H6610" s="10"/>
      <c r="I6610" s="10"/>
      <c r="J6610" s="10"/>
      <c r="K6610" s="10"/>
      <c r="L6610" s="10"/>
      <c r="M6610" s="10"/>
      <c r="N6610" s="10"/>
      <c r="O6610" s="10"/>
      <c r="P6610" s="10"/>
      <c r="Q6610" s="10"/>
      <c r="R6610" s="10"/>
      <c r="S6610" s="10"/>
      <c r="T6610" s="10"/>
      <c r="U6610" s="10"/>
      <c r="V6610" s="10"/>
      <c r="W6610" s="10"/>
      <c r="X6610" s="10"/>
      <c r="Y6610" s="10"/>
      <c r="Z6610" s="10"/>
    </row>
    <row r="6611" spans="1:26" ht="12.75">
      <c r="A6611" s="10" t="str">
        <f ca="1">IFERROR(__xludf.DUMMYFUNCTION("""COMPUTED_VALUE"""),"Светла Ангелова Шапкалова-Катърска")</f>
        <v>Светла Ангелова Шапкалова-Катърска</v>
      </c>
      <c r="B6611" s="10" t="str">
        <f ca="1">IFERROR(__xludf.DUMMYFUNCTION("""COMPUTED_VALUE"""),"Статия в списания и поредици")</f>
        <v>Статия в списания и поредици</v>
      </c>
      <c r="C6611" s="10" t="str">
        <f ca="1">IFERROR(__xludf.DUMMYFUNCTION("""COMPUTED_VALUE"""),"Културно-историческото наследство в католическото календарче “Свети Изидор”")</f>
        <v>Културно-историческото наследство в католическото календарче “Свети Изидор”</v>
      </c>
      <c r="D6611" s="10">
        <f ca="1">IFERROR(__xludf.DUMMYFUNCTION("""COMPUTED_VALUE"""),2014)</f>
        <v>2014</v>
      </c>
      <c r="E6611" s="10" t="str">
        <f ca="1">IFERROR(__xludf.DUMMYFUNCTION("""COMPUTED_VALUE"""),"Сборник от Дванадесетата национална научна конференция с международно участие „Обществото на знанието и хуманизма на XXI”, Издат")</f>
        <v>Сборник от Дванадесетата национална научна конференция с международно участие „Обществото на знанието и хуманизма на XXI”, Издат</v>
      </c>
      <c r="F6611" s="10"/>
      <c r="G6611" s="10"/>
      <c r="H6611" s="10"/>
      <c r="I6611" s="10"/>
      <c r="J6611" s="10"/>
      <c r="K6611" s="10"/>
      <c r="L6611" s="10"/>
      <c r="M6611" s="10"/>
      <c r="N6611" s="10"/>
      <c r="O6611" s="10"/>
      <c r="P6611" s="10"/>
      <c r="Q6611" s="10"/>
      <c r="R6611" s="10"/>
      <c r="S6611" s="10"/>
      <c r="T6611" s="10"/>
      <c r="U6611" s="10"/>
      <c r="V6611" s="10"/>
      <c r="W6611" s="10"/>
      <c r="X6611" s="10"/>
      <c r="Y6611" s="10"/>
      <c r="Z6611" s="10"/>
    </row>
    <row r="6612" spans="1:26" ht="12.75">
      <c r="A6612" s="10" t="str">
        <f ca="1">IFERROR(__xludf.DUMMYFUNCTION("""COMPUTED_VALUE"""),"Светлана Георгиева Сярова")</f>
        <v>Светлана Георгиева Сярова</v>
      </c>
      <c r="B6612" s="10" t="str">
        <f ca="1">IFERROR(__xludf.DUMMYFUNCTION("""COMPUTED_VALUE"""),"Статия в списания и поредици")</f>
        <v>Статия в списания и поредици</v>
      </c>
      <c r="C6612" s="10" t="str">
        <f ca="1">IFERROR(__xludf.DUMMYFUNCTION("""COMPUTED_VALUE"""),"Съвременни системи за глобално позициониране")</f>
        <v>Съвременни системи за глобално позициониране</v>
      </c>
      <c r="D6612" s="10">
        <f ca="1">IFERROR(__xludf.DUMMYFUNCTION("""COMPUTED_VALUE"""),2019)</f>
        <v>2019</v>
      </c>
      <c r="E6612" s="10" t="str">
        <f ca="1">IFERROR(__xludf.DUMMYFUNCTION("""COMPUTED_VALUE"""),"Академично списание""Индустриални технологии""кн.1, том 6(1),стр127, Бургас, ISSN : 1314-9911; /DOI:13149911")</f>
        <v>Академично списание"Индустриални технологии"кн.1, том 6(1),стр127, Бургас, ISSN : 1314-9911; /DOI:13149911</v>
      </c>
      <c r="F6612" s="10"/>
      <c r="G6612" s="10" t="str">
        <f ca="1">IFERROR(__xludf.DUMMYFUNCTION("""COMPUTED_VALUE"""),"Шопова И., Сярова С.")</f>
        <v>Шопова И., Сярова С.</v>
      </c>
      <c r="H6612" s="10"/>
      <c r="I6612" s="10"/>
      <c r="J6612" s="10"/>
      <c r="K6612" s="10"/>
      <c r="L6612" s="10"/>
      <c r="M6612" s="10"/>
      <c r="N6612" s="10"/>
      <c r="O6612" s="10"/>
      <c r="P6612" s="10"/>
      <c r="Q6612" s="10"/>
      <c r="R6612" s="10"/>
      <c r="S6612" s="10"/>
      <c r="T6612" s="10"/>
      <c r="U6612" s="10"/>
      <c r="V6612" s="10"/>
      <c r="W6612" s="10"/>
      <c r="X6612" s="10"/>
      <c r="Y6612" s="10"/>
      <c r="Z6612" s="10"/>
    </row>
    <row r="6613" spans="1:26" ht="12.75">
      <c r="A6613" s="10" t="str">
        <f ca="1">IFERROR(__xludf.DUMMYFUNCTION("""COMPUTED_VALUE"""),"Светлана Георгиева Сярова")</f>
        <v>Светлана Георгиева Сярова</v>
      </c>
      <c r="B6613" s="10" t="str">
        <f ca="1">IFERROR(__xludf.DUMMYFUNCTION("""COMPUTED_VALUE"""),"Статия в списания и поредици")</f>
        <v>Статия в списания и поредици</v>
      </c>
      <c r="C6613" s="10" t="str">
        <f ca="1">IFERROR(__xludf.DUMMYFUNCTION("""COMPUTED_VALUE"""),"Системи SCADA-политики за сигурност и защита на системите")</f>
        <v>Системи SCADA-политики за сигурност и защита на системите</v>
      </c>
      <c r="D6613" s="10">
        <f ca="1">IFERROR(__xludf.DUMMYFUNCTION("""COMPUTED_VALUE"""),2019)</f>
        <v>2019</v>
      </c>
      <c r="E6613" s="10" t="str">
        <f ca="1">IFERROR(__xludf.DUMMYFUNCTION("""COMPUTED_VALUE"""),"Академично списание""Индустриални технологии""кн.1, том 6(1),стр56, Бургас,ISSN : 1314-9911/DOI:13149911")</f>
        <v>Академично списание"Индустриални технологии"кн.1, том 6(1),стр56, Бургас,ISSN : 1314-9911/DOI:13149911</v>
      </c>
      <c r="F6613" s="10"/>
      <c r="G6613" s="10" t="str">
        <f ca="1">IFERROR(__xludf.DUMMYFUNCTION("""COMPUTED_VALUE"""),"Оцетова- Дудин Е., Сярова С.")</f>
        <v>Оцетова- Дудин Е., Сярова С.</v>
      </c>
      <c r="H6613" s="10"/>
      <c r="I6613" s="10"/>
      <c r="J6613" s="10"/>
      <c r="K6613" s="10"/>
      <c r="L6613" s="10"/>
      <c r="M6613" s="10"/>
      <c r="N6613" s="10"/>
      <c r="O6613" s="10"/>
      <c r="P6613" s="10"/>
      <c r="Q6613" s="10"/>
      <c r="R6613" s="10"/>
      <c r="S6613" s="10"/>
      <c r="T6613" s="10"/>
      <c r="U6613" s="10"/>
      <c r="V6613" s="10"/>
      <c r="W6613" s="10"/>
      <c r="X6613" s="10"/>
      <c r="Y6613" s="10"/>
      <c r="Z6613" s="10"/>
    </row>
    <row r="6614" spans="1:26" ht="12.75">
      <c r="A6614" s="10" t="str">
        <f ca="1">IFERROR(__xludf.DUMMYFUNCTION("""COMPUTED_VALUE"""),"Светлана Георгиева Сярова")</f>
        <v>Светлана Георгиева Сярова</v>
      </c>
      <c r="B6614" s="10" t="str">
        <f ca="1">IFERROR(__xludf.DUMMYFUNCTION("""COMPUTED_VALUE"""),"Статия в списания и поредици")</f>
        <v>Статия в списания и поредици</v>
      </c>
      <c r="C6614" s="10" t="str">
        <f ca="1">IFERROR(__xludf.DUMMYFUNCTION("""COMPUTED_VALUE"""),"Системи за управление на мрежи")</f>
        <v>Системи за управление на мрежи</v>
      </c>
      <c r="D6614" s="10">
        <f ca="1">IFERROR(__xludf.DUMMYFUNCTION("""COMPUTED_VALUE"""),2018)</f>
        <v>2018</v>
      </c>
      <c r="E6614" s="10" t="str">
        <f ca="1">IFERROR(__xludf.DUMMYFUNCTION("""COMPUTED_VALUE"""),"Академично списание ""Индустриални технологии"" 2018, кн.1, том5(1), ISSN 1314-9911, стр.143-148, Бургас")</f>
        <v>Академично списание "Индустриални технологии" 2018, кн.1, том5(1), ISSN 1314-9911, стр.143-148, Бургас</v>
      </c>
      <c r="F6614" s="10"/>
      <c r="G6614" s="10" t="str">
        <f ca="1">IFERROR(__xludf.DUMMYFUNCTION("""COMPUTED_VALUE"""),"Оцетова- Дудин Е., Оцетова А.")</f>
        <v>Оцетова- Дудин Е., Оцетова А.</v>
      </c>
      <c r="H6614" s="10"/>
      <c r="I6614" s="10"/>
      <c r="J6614" s="10"/>
      <c r="K6614" s="10"/>
      <c r="L6614" s="10"/>
      <c r="M6614" s="10"/>
      <c r="N6614" s="10"/>
      <c r="O6614" s="10"/>
      <c r="P6614" s="10"/>
      <c r="Q6614" s="10"/>
      <c r="R6614" s="10"/>
      <c r="S6614" s="10"/>
      <c r="T6614" s="10"/>
      <c r="U6614" s="10"/>
      <c r="V6614" s="10"/>
      <c r="W6614" s="10"/>
      <c r="X6614" s="10"/>
      <c r="Y6614" s="10"/>
      <c r="Z6614" s="10"/>
    </row>
    <row r="6615" spans="1:26" ht="12.75">
      <c r="A6615" s="10" t="str">
        <f ca="1">IFERROR(__xludf.DUMMYFUNCTION("""COMPUTED_VALUE"""),"Свободна Петрова Вранчева")</f>
        <v>Свободна Петрова Вранчева</v>
      </c>
      <c r="B6615" s="10" t="str">
        <f ca="1">IFERROR(__xludf.DUMMYFUNCTION("""COMPUTED_VALUE"""),"Доклад от конференция")</f>
        <v>Доклад от конференция</v>
      </c>
      <c r="C6615" s="10" t="str">
        <f ca="1">IFERROR(__xludf.DUMMYFUNCTION("""COMPUTED_VALUE"""),"Le poids de passe. Patrimoine urbain en Bulgarie")</f>
        <v>Le poids de passe. Patrimoine urbain en Bulgarie</v>
      </c>
      <c r="D6615" s="10">
        <f ca="1">IFERROR(__xludf.DUMMYFUNCTION("""COMPUTED_VALUE"""),2016)</f>
        <v>2016</v>
      </c>
      <c r="E6615" s="10" t="str">
        <f ca="1">IFERROR(__xludf.DUMMYFUNCTION("""COMPUTED_VALUE"""),"Essquisses,hiver 2015-2016, volume 26,N 4, p 29-30.")</f>
        <v>Essquisses,hiver 2015-2016, volume 26,N 4, p 29-30.</v>
      </c>
      <c r="F6615" s="10"/>
      <c r="G6615" s="10"/>
      <c r="H6615" s="10"/>
      <c r="I6615" s="10"/>
      <c r="J6615" s="10"/>
      <c r="K6615" s="10"/>
      <c r="L6615" s="10"/>
      <c r="M6615" s="10"/>
      <c r="N6615" s="10"/>
      <c r="O6615" s="10"/>
      <c r="P6615" s="10"/>
      <c r="Q6615" s="10"/>
      <c r="R6615" s="10"/>
      <c r="S6615" s="10"/>
      <c r="T6615" s="10"/>
      <c r="U6615" s="10"/>
      <c r="V6615" s="10"/>
      <c r="W6615" s="10"/>
      <c r="X6615" s="10"/>
      <c r="Y6615" s="10"/>
      <c r="Z6615" s="10"/>
    </row>
    <row r="6616" spans="1:26" ht="12.75">
      <c r="A6616" s="10" t="str">
        <f ca="1">IFERROR(__xludf.DUMMYFUNCTION("""COMPUTED_VALUE"""),"Свободна Петрова Вранчева")</f>
        <v>Свободна Петрова Вранчева</v>
      </c>
      <c r="B6616" s="10" t="str">
        <f ca="1">IFERROR(__xludf.DUMMYFUNCTION("""COMPUTED_VALUE"""),"Доклад от конференция")</f>
        <v>Доклад от конференция</v>
      </c>
      <c r="C6616" s="10" t="str">
        <f ca="1">IFERROR(__xludf.DUMMYFUNCTION("""COMPUTED_VALUE"""),"Extrait de l`ouvrage en 2 tomes pour une revitalisation du quartier du Marche de fammes a Sofia")</f>
        <v>Extrait de l`ouvrage en 2 tomes pour une revitalisation du quartier du Marche de fammes a Sofia</v>
      </c>
      <c r="D6616" s="10">
        <f ca="1">IFERROR(__xludf.DUMMYFUNCTION("""COMPUTED_VALUE"""),2015)</f>
        <v>2015</v>
      </c>
      <c r="E6616" s="10" t="str">
        <f ca="1">IFERROR(__xludf.DUMMYFUNCTION("""COMPUTED_VALUE"""),"Alainmarinos.net.Cooperation franco-bulgare.2015")</f>
        <v>Alainmarinos.net.Cooperation franco-bulgare.2015</v>
      </c>
      <c r="F6616" s="10"/>
      <c r="G6616" s="10"/>
      <c r="H6616" s="10"/>
      <c r="I6616" s="10"/>
      <c r="J6616" s="10"/>
      <c r="K6616" s="10"/>
      <c r="L6616" s="10"/>
      <c r="M6616" s="10"/>
      <c r="N6616" s="10"/>
      <c r="O6616" s="10"/>
      <c r="P6616" s="10"/>
      <c r="Q6616" s="10"/>
      <c r="R6616" s="10"/>
      <c r="S6616" s="10"/>
      <c r="T6616" s="10"/>
      <c r="U6616" s="10"/>
      <c r="V6616" s="10"/>
      <c r="W6616" s="10"/>
      <c r="X6616" s="10"/>
      <c r="Y6616" s="10"/>
      <c r="Z6616" s="10"/>
    </row>
    <row r="6617" spans="1:26" ht="12.75">
      <c r="A6617" s="10" t="str">
        <f ca="1">IFERROR(__xludf.DUMMYFUNCTION("""COMPUTED_VALUE"""),"Свободна Петрова Вранчева")</f>
        <v>Свободна Петрова Вранчева</v>
      </c>
      <c r="B6617" s="10" t="str">
        <f ca="1">IFERROR(__xludf.DUMMYFUNCTION("""COMPUTED_VALUE"""),"Доклад от конференция")</f>
        <v>Доклад от конференция</v>
      </c>
      <c r="C6617" s="10" t="str">
        <f ca="1">IFERROR(__xludf.DUMMYFUNCTION("""COMPUTED_VALUE"""),"Културно-историческо наследство и културни дестинации. Управление на устойчиво развитие")</f>
        <v>Културно-историческо наследство и културни дестинации. Управление на устойчиво развитие</v>
      </c>
      <c r="D6617" s="10">
        <f ca="1">IFERROR(__xludf.DUMMYFUNCTION("""COMPUTED_VALUE"""),2014)</f>
        <v>2014</v>
      </c>
      <c r="E6617" s="10" t="str">
        <f ca="1">IFERROR(__xludf.DUMMYFUNCTION("""COMPUTED_VALUE"""),"Обществото на знанието и хуманизмът на ХХI век: Единадесета нац. науч. конф. с междунар. участие, София, 1-2 ноем. 2013 г. – Соф")</f>
        <v>Обществото на знанието и хуманизмът на ХХI век: Единадесета нац. науч. конф. с междунар. участие, София, 1-2 ноем. 2013 г. – Соф</v>
      </c>
      <c r="F6617" s="10"/>
      <c r="G6617" s="10"/>
      <c r="H6617" s="10"/>
      <c r="I6617" s="10"/>
      <c r="J6617" s="10"/>
      <c r="K6617" s="10"/>
      <c r="L6617" s="10"/>
      <c r="M6617" s="10"/>
      <c r="N6617" s="10"/>
      <c r="O6617" s="10"/>
      <c r="P6617" s="10"/>
      <c r="Q6617" s="10"/>
      <c r="R6617" s="10"/>
      <c r="S6617" s="10"/>
      <c r="T6617" s="10"/>
      <c r="U6617" s="10"/>
      <c r="V6617" s="10"/>
      <c r="W6617" s="10"/>
      <c r="X6617" s="10"/>
      <c r="Y6617" s="10"/>
      <c r="Z6617" s="10"/>
    </row>
    <row r="6618" spans="1:26" ht="12.75">
      <c r="A6618" s="10" t="str">
        <f ca="1">IFERROR(__xludf.DUMMYFUNCTION("""COMPUTED_VALUE"""),"Свободна Петрова Вранчева")</f>
        <v>Свободна Петрова Вранчева</v>
      </c>
      <c r="B6618" s="10" t="str">
        <f ca="1">IFERROR(__xludf.DUMMYFUNCTION("""COMPUTED_VALUE"""),"Доклад от конференция")</f>
        <v>Доклад от конференция</v>
      </c>
      <c r="C6618" s="10" t="str">
        <f ca="1">IFERROR(__xludf.DUMMYFUNCTION("""COMPUTED_VALUE"""),"Модерният град и съхраняване на националната идентичност. Втори етап.")</f>
        <v>Модерният град и съхраняване на националната идентичност. Втори етап.</v>
      </c>
      <c r="D6618" s="10">
        <f ca="1">IFERROR(__xludf.DUMMYFUNCTION("""COMPUTED_VALUE"""),2014)</f>
        <v>2014</v>
      </c>
      <c r="E6618" s="10" t="str">
        <f ca="1">IFERROR(__xludf.DUMMYFUNCTION("""COMPUTED_VALUE"""),"Сб. с научни изследвания по случай 10-годишния юбилей на Катедра „Културно-историческо наследство“ при УниБИТ. – София : За букв")</f>
        <v>Сб. с научни изследвания по случай 10-годишния юбилей на Катедра „Културно-историческо наследство“ при УниБИТ. – София : За букв</v>
      </c>
      <c r="F6618" s="10"/>
      <c r="G6618" s="10"/>
      <c r="H6618" s="10"/>
      <c r="I6618" s="10"/>
      <c r="J6618" s="10"/>
      <c r="K6618" s="10"/>
      <c r="L6618" s="10"/>
      <c r="M6618" s="10"/>
      <c r="N6618" s="10"/>
      <c r="O6618" s="10"/>
      <c r="P6618" s="10"/>
      <c r="Q6618" s="10"/>
      <c r="R6618" s="10"/>
      <c r="S6618" s="10"/>
      <c r="T6618" s="10"/>
      <c r="U6618" s="10"/>
      <c r="V6618" s="10"/>
      <c r="W6618" s="10"/>
      <c r="X6618" s="10"/>
      <c r="Y6618" s="10"/>
      <c r="Z6618" s="10"/>
    </row>
    <row r="6619" spans="1:26" ht="12.75">
      <c r="A6619" s="10" t="str">
        <f ca="1">IFERROR(__xludf.DUMMYFUNCTION("""COMPUTED_VALUE"""),"Свободна Петрова Вранчева")</f>
        <v>Свободна Петрова Вранчева</v>
      </c>
      <c r="B6619" s="10" t="str">
        <f ca="1">IFERROR(__xludf.DUMMYFUNCTION("""COMPUTED_VALUE"""),"Доклад от конференция")</f>
        <v>Доклад от конференция</v>
      </c>
      <c r="C6619" s="10" t="str">
        <f ca="1">IFERROR(__xludf.DUMMYFUNCTION("""COMPUTED_VALUE"""),"Общественото мнение за опазване и развитие на исторически централен квартал на София – анализ на социологическо проучване")</f>
        <v>Общественото мнение за опазване и развитие на исторически централен квартал на София – анализ на социологическо проучване</v>
      </c>
      <c r="D6619" s="10">
        <f ca="1">IFERROR(__xludf.DUMMYFUNCTION("""COMPUTED_VALUE"""),2014)</f>
        <v>2014</v>
      </c>
      <c r="E6619" s="10" t="str">
        <f ca="1">IFERROR(__xludf.DUMMYFUNCTION("""COMPUTED_VALUE"""),"Обществото на знанието и хуманизмът на ХХI век: Единадесета нац. науч. конф. с междунар. участие, София, 1-2 ноем. 2013 г. – Соф")</f>
        <v>Обществото на знанието и хуманизмът на ХХI век: Единадесета нац. науч. конф. с междунар. участие, София, 1-2 ноем. 2013 г. – Соф</v>
      </c>
      <c r="F6619" s="10"/>
      <c r="G6619" s="10" t="str">
        <f ca="1">IFERROR(__xludf.DUMMYFUNCTION("""COMPUTED_VALUE"""),"В. Ганчева")</f>
        <v>В. Ганчева</v>
      </c>
      <c r="H6619" s="10"/>
      <c r="I6619" s="10"/>
      <c r="J6619" s="10"/>
      <c r="K6619" s="10"/>
      <c r="L6619" s="10"/>
      <c r="M6619" s="10"/>
      <c r="N6619" s="10"/>
      <c r="O6619" s="10"/>
      <c r="P6619" s="10"/>
      <c r="Q6619" s="10"/>
      <c r="R6619" s="10"/>
      <c r="S6619" s="10"/>
      <c r="T6619" s="10"/>
      <c r="U6619" s="10"/>
      <c r="V6619" s="10"/>
      <c r="W6619" s="10"/>
      <c r="X6619" s="10"/>
      <c r="Y6619" s="10"/>
      <c r="Z6619" s="10"/>
    </row>
    <row r="6620" spans="1:26" ht="12.75">
      <c r="A6620" s="10" t="str">
        <f ca="1">IFERROR(__xludf.DUMMYFUNCTION("""COMPUTED_VALUE"""),"Свободна Петрова Вранчева")</f>
        <v>Свободна Петрова Вранчева</v>
      </c>
      <c r="B6620" s="10" t="str">
        <f ca="1">IFERROR(__xludf.DUMMYFUNCTION("""COMPUTED_VALUE"""),"Доклад от конференция")</f>
        <v>Доклад от конференция</v>
      </c>
      <c r="C6620" s="10" t="str">
        <f ca="1">IFERROR(__xludf.DUMMYFUNCTION("""COMPUTED_VALUE"""),"La ville souterraine de Sofia")</f>
        <v>La ville souterraine de Sofia</v>
      </c>
      <c r="D6620" s="10">
        <f ca="1">IFERROR(__xludf.DUMMYFUNCTION("""COMPUTED_VALUE"""),2014)</f>
        <v>2014</v>
      </c>
      <c r="E6620" s="10" t="str">
        <f ca="1">IFERROR(__xludf.DUMMYFUNCTION("""COMPUTED_VALUE"""),"Pierre d`angle ,N 59, 2014 , p.23-24.")</f>
        <v>Pierre d`angle ,N 59, 2014 , p.23-24.</v>
      </c>
      <c r="F6620" s="10"/>
      <c r="G6620" s="10"/>
      <c r="H6620" s="10"/>
      <c r="I6620" s="10"/>
      <c r="J6620" s="10"/>
      <c r="K6620" s="10"/>
      <c r="L6620" s="10"/>
      <c r="M6620" s="10"/>
      <c r="N6620" s="10"/>
      <c r="O6620" s="10"/>
      <c r="P6620" s="10"/>
      <c r="Q6620" s="10"/>
      <c r="R6620" s="10"/>
      <c r="S6620" s="10"/>
      <c r="T6620" s="10"/>
      <c r="U6620" s="10"/>
      <c r="V6620" s="10"/>
      <c r="W6620" s="10"/>
      <c r="X6620" s="10"/>
      <c r="Y6620" s="10"/>
      <c r="Z6620" s="10"/>
    </row>
    <row r="6621" spans="1:26" ht="12.75">
      <c r="A6621" s="10" t="str">
        <f ca="1">IFERROR(__xludf.DUMMYFUNCTION("""COMPUTED_VALUE"""),"Свободна Петрова Вранчева")</f>
        <v>Свободна Петрова Вранчева</v>
      </c>
      <c r="B6621" s="10" t="str">
        <f ca="1">IFERROR(__xludf.DUMMYFUNCTION("""COMPUTED_VALUE"""),"Доклад от конференция")</f>
        <v>Доклад от конференция</v>
      </c>
      <c r="C6621" s="10" t="str">
        <f ca="1">IFERROR(__xludf.DUMMYFUNCTION("""COMPUTED_VALUE"""),"Модел на управление")</f>
        <v>Модел на управление</v>
      </c>
      <c r="D6621" s="10">
        <f ca="1">IFERROR(__xludf.DUMMYFUNCTION("""COMPUTED_VALUE"""),2014)</f>
        <v>2014</v>
      </c>
      <c r="E6621" s="10" t="str">
        <f ca="1">IFERROR(__xludf.DUMMYFUNCTION("""COMPUTED_VALUE"""),"Сборник с изследвания „Модерният град и съхраняване на националната идентичност“ Етап 3, Боянска църква. С. 2014 г., 2-ри")</f>
        <v>Сборник с изследвания „Модерният град и съхраняване на националната идентичност“ Етап 3, Боянска църква. С. 2014 г., 2-ри</v>
      </c>
      <c r="F6621" s="10"/>
      <c r="G6621" s="10" t="str">
        <f ca="1">IFERROR(__xludf.DUMMYFUNCTION("""COMPUTED_VALUE"""),"Б. Милчев")</f>
        <v>Б. Милчев</v>
      </c>
      <c r="H6621" s="10"/>
      <c r="I6621" s="10"/>
      <c r="J6621" s="10"/>
      <c r="K6621" s="10"/>
      <c r="L6621" s="10"/>
      <c r="M6621" s="10"/>
      <c r="N6621" s="10"/>
      <c r="O6621" s="10"/>
      <c r="P6621" s="10"/>
      <c r="Q6621" s="10"/>
      <c r="R6621" s="10"/>
      <c r="S6621" s="10"/>
      <c r="T6621" s="10"/>
      <c r="U6621" s="10"/>
      <c r="V6621" s="10"/>
      <c r="W6621" s="10"/>
      <c r="X6621" s="10"/>
      <c r="Y6621" s="10"/>
      <c r="Z6621" s="10"/>
    </row>
    <row r="6622" spans="1:26" ht="12.75">
      <c r="A6622" s="10" t="str">
        <f ca="1">IFERROR(__xludf.DUMMYFUNCTION("""COMPUTED_VALUE"""),"Свободна Петрова Вранчева")</f>
        <v>Свободна Петрова Вранчева</v>
      </c>
      <c r="B6622" s="10" t="str">
        <f ca="1">IFERROR(__xludf.DUMMYFUNCTION("""COMPUTED_VALUE"""),"Книга")</f>
        <v>Книга</v>
      </c>
      <c r="C6622" s="10" t="str">
        <f ca="1">IFERROR(__xludf.DUMMYFUNCTION("""COMPUTED_VALUE"""),"Модерният град и съхраняване на националната идентичност")</f>
        <v>Модерният град и съхраняване на националната идентичност</v>
      </c>
      <c r="D6622" s="10">
        <f ca="1">IFERROR(__xludf.DUMMYFUNCTION("""COMPUTED_VALUE"""),2014)</f>
        <v>2014</v>
      </c>
      <c r="E6622" s="10" t="str">
        <f ca="1">IFERROR(__xludf.DUMMYFUNCTION("""COMPUTED_VALUE"""),"В съавторство. С. 2014 г., 1-ви том- 350 стр. ISBN : 978-619-185-123-2.-7 2-ри том, 253 стр. ISBN :978-619-185-124-9.")</f>
        <v>В съавторство. С. 2014 г., 1-ви том- 350 стр. ISBN : 978-619-185-123-2.-7 2-ри том, 253 стр. ISBN :978-619-185-124-9.</v>
      </c>
      <c r="F6622" s="10"/>
      <c r="G6622" s="10"/>
      <c r="H6622" s="10"/>
      <c r="I6622" s="10"/>
      <c r="J6622" s="10"/>
      <c r="K6622" s="10"/>
      <c r="L6622" s="10"/>
      <c r="M6622" s="10"/>
      <c r="N6622" s="10"/>
      <c r="O6622" s="10"/>
      <c r="P6622" s="10"/>
      <c r="Q6622" s="10"/>
      <c r="R6622" s="10"/>
      <c r="S6622" s="10"/>
      <c r="T6622" s="10"/>
      <c r="U6622" s="10"/>
      <c r="V6622" s="10"/>
      <c r="W6622" s="10"/>
      <c r="X6622" s="10"/>
      <c r="Y6622" s="10"/>
      <c r="Z6622" s="10"/>
    </row>
    <row r="6623" spans="1:26" ht="12.75">
      <c r="A6623" s="10" t="str">
        <f ca="1">IFERROR(__xludf.DUMMYFUNCTION("""COMPUTED_VALUE"""),"Свободна Петрова Вранчева")</f>
        <v>Свободна Петрова Вранчева</v>
      </c>
      <c r="B6623" s="10" t="str">
        <f ca="1">IFERROR(__xludf.DUMMYFUNCTION("""COMPUTED_VALUE"""),"Статия в списания и поредици")</f>
        <v>Статия в списания и поредици</v>
      </c>
      <c r="C6623" s="10" t="str">
        <f ca="1">IFERROR(__xludf.DUMMYFUNCTION("""COMPUTED_VALUE"""),"Изследване на чуждия опит в областта на управление на обекти от световния списък на ЮНЕСКО")</f>
        <v>Изследване на чуждия опит в областта на управление на обекти от световния списък на ЮНЕСКО</v>
      </c>
      <c r="D6623" s="10">
        <f ca="1">IFERROR(__xludf.DUMMYFUNCTION("""COMPUTED_VALUE"""),2014)</f>
        <v>2014</v>
      </c>
      <c r="E6623"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3" s="10"/>
      <c r="G6623" s="10"/>
      <c r="H6623" s="10"/>
      <c r="I6623" s="10"/>
      <c r="J6623" s="10"/>
      <c r="K6623" s="10"/>
      <c r="L6623" s="10"/>
      <c r="M6623" s="10"/>
      <c r="N6623" s="10"/>
      <c r="O6623" s="10"/>
      <c r="P6623" s="10"/>
      <c r="Q6623" s="10"/>
      <c r="R6623" s="10"/>
      <c r="S6623" s="10"/>
      <c r="T6623" s="10"/>
      <c r="U6623" s="10"/>
      <c r="V6623" s="10"/>
      <c r="W6623" s="10"/>
      <c r="X6623" s="10"/>
      <c r="Y6623" s="10"/>
      <c r="Z6623" s="10"/>
    </row>
    <row r="6624" spans="1:26" ht="12.75">
      <c r="A6624" s="10" t="str">
        <f ca="1">IFERROR(__xludf.DUMMYFUNCTION("""COMPUTED_VALUE"""),"Свободна Петрова Вранчева")</f>
        <v>Свободна Петрова Вранчева</v>
      </c>
      <c r="B6624" s="10" t="str">
        <f ca="1">IFERROR(__xludf.DUMMYFUNCTION("""COMPUTED_VALUE"""),"Доклад от конференция")</f>
        <v>Доклад от конференция</v>
      </c>
      <c r="C6624" s="10" t="str">
        <f ca="1">IFERROR(__xludf.DUMMYFUNCTION("""COMPUTED_VALUE"""),"Културно- историческите ценности и взаимодействието им с обществото")</f>
        <v>Културно- историческите ценности и взаимодействието им с обществото</v>
      </c>
      <c r="D6624" s="10">
        <f ca="1">IFERROR(__xludf.DUMMYFUNCTION("""COMPUTED_VALUE"""),2014)</f>
        <v>2014</v>
      </c>
      <c r="E6624"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4" s="10"/>
      <c r="G6624" s="10"/>
      <c r="H6624" s="10"/>
      <c r="I6624" s="10"/>
      <c r="J6624" s="10"/>
      <c r="K6624" s="10"/>
      <c r="L6624" s="10"/>
      <c r="M6624" s="10"/>
      <c r="N6624" s="10"/>
      <c r="O6624" s="10"/>
      <c r="P6624" s="10"/>
      <c r="Q6624" s="10"/>
      <c r="R6624" s="10"/>
      <c r="S6624" s="10"/>
      <c r="T6624" s="10"/>
      <c r="U6624" s="10"/>
      <c r="V6624" s="10"/>
      <c r="W6624" s="10"/>
      <c r="X6624" s="10"/>
      <c r="Y6624" s="10"/>
      <c r="Z6624" s="10"/>
    </row>
    <row r="6625" spans="1:26" ht="12.75">
      <c r="A6625" s="10" t="str">
        <f ca="1">IFERROR(__xludf.DUMMYFUNCTION("""COMPUTED_VALUE"""),"Свободна Петрова Вранчева")</f>
        <v>Свободна Петрова Вранчева</v>
      </c>
      <c r="B6625" s="10" t="str">
        <f ca="1">IFERROR(__xludf.DUMMYFUNCTION("""COMPUTED_VALUE"""),"Доклад от конференция")</f>
        <v>Доклад от конференция</v>
      </c>
      <c r="C6625" s="10" t="str">
        <f ca="1">IFERROR(__xludf.DUMMYFUNCTION("""COMPUTED_VALUE"""),"Модел на валоризация")</f>
        <v>Модел на валоризация</v>
      </c>
      <c r="D6625" s="10">
        <f ca="1">IFERROR(__xludf.DUMMYFUNCTION("""COMPUTED_VALUE"""),2014)</f>
        <v>2014</v>
      </c>
      <c r="E6625"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5" s="10"/>
      <c r="G6625" s="10"/>
      <c r="H6625" s="10"/>
      <c r="I6625" s="10"/>
      <c r="J6625" s="10"/>
      <c r="K6625" s="10"/>
      <c r="L6625" s="10"/>
      <c r="M6625" s="10"/>
      <c r="N6625" s="10"/>
      <c r="O6625" s="10"/>
      <c r="P6625" s="10"/>
      <c r="Q6625" s="10"/>
      <c r="R6625" s="10"/>
      <c r="S6625" s="10"/>
      <c r="T6625" s="10"/>
      <c r="U6625" s="10"/>
      <c r="V6625" s="10"/>
      <c r="W6625" s="10"/>
      <c r="X6625" s="10"/>
      <c r="Y6625" s="10"/>
      <c r="Z6625" s="10"/>
    </row>
    <row r="6626" spans="1:26" ht="12.75">
      <c r="A6626" s="10" t="str">
        <f ca="1">IFERROR(__xludf.DUMMYFUNCTION("""COMPUTED_VALUE"""),"Свободна Петрова Вранчева")</f>
        <v>Свободна Петрова Вранчева</v>
      </c>
      <c r="B6626" s="10" t="str">
        <f ca="1">IFERROR(__xludf.DUMMYFUNCTION("""COMPUTED_VALUE"""),"Доклад от конференция")</f>
        <v>Доклад от конференция</v>
      </c>
      <c r="C6626" s="10" t="str">
        <f ca="1">IFERROR(__xludf.DUMMYFUNCTION("""COMPUTED_VALUE"""),"Анализ на архитектурното заснемане")</f>
        <v>Анализ на архитектурното заснемане</v>
      </c>
      <c r="D6626" s="10">
        <f ca="1">IFERROR(__xludf.DUMMYFUNCTION("""COMPUTED_VALUE"""),2014)</f>
        <v>2014</v>
      </c>
      <c r="E6626"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6" s="10"/>
      <c r="G6626" s="10"/>
      <c r="H6626" s="10"/>
      <c r="I6626" s="10"/>
      <c r="J6626" s="10"/>
      <c r="K6626" s="10"/>
      <c r="L6626" s="10"/>
      <c r="M6626" s="10"/>
      <c r="N6626" s="10"/>
      <c r="O6626" s="10"/>
      <c r="P6626" s="10"/>
      <c r="Q6626" s="10"/>
      <c r="R6626" s="10"/>
      <c r="S6626" s="10"/>
      <c r="T6626" s="10"/>
      <c r="U6626" s="10"/>
      <c r="V6626" s="10"/>
      <c r="W6626" s="10"/>
      <c r="X6626" s="10"/>
      <c r="Y6626" s="10"/>
      <c r="Z6626" s="10"/>
    </row>
    <row r="6627" spans="1:26" ht="12.75">
      <c r="A6627" s="10" t="str">
        <f ca="1">IFERROR(__xludf.DUMMYFUNCTION("""COMPUTED_VALUE"""),"Свободна Петрова Вранчева")</f>
        <v>Свободна Петрова Вранчева</v>
      </c>
      <c r="B6627" s="10" t="str">
        <f ca="1">IFERROR(__xludf.DUMMYFUNCTION("""COMPUTED_VALUE"""),"Доклад от конференция")</f>
        <v>Доклад от конференция</v>
      </c>
      <c r="C6627" s="10" t="str">
        <f ca="1">IFERROR(__xludf.DUMMYFUNCTION("""COMPUTED_VALUE"""),"Анализ на архитектурни, проучвателни и проектантски работи след 1978 г.")</f>
        <v>Анализ на архитектурни, проучвателни и проектантски работи след 1978 г.</v>
      </c>
      <c r="D6627" s="10">
        <f ca="1">IFERROR(__xludf.DUMMYFUNCTION("""COMPUTED_VALUE"""),2014)</f>
        <v>2014</v>
      </c>
      <c r="E6627"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7" s="10"/>
      <c r="G6627" s="10"/>
      <c r="H6627" s="10"/>
      <c r="I6627" s="10"/>
      <c r="J6627" s="10"/>
      <c r="K6627" s="10"/>
      <c r="L6627" s="10"/>
      <c r="M6627" s="10"/>
      <c r="N6627" s="10"/>
      <c r="O6627" s="10"/>
      <c r="P6627" s="10"/>
      <c r="Q6627" s="10"/>
      <c r="R6627" s="10"/>
      <c r="S6627" s="10"/>
      <c r="T6627" s="10"/>
      <c r="U6627" s="10"/>
      <c r="V6627" s="10"/>
      <c r="W6627" s="10"/>
      <c r="X6627" s="10"/>
      <c r="Y6627" s="10"/>
      <c r="Z6627" s="10"/>
    </row>
    <row r="6628" spans="1:26" ht="12.75">
      <c r="A6628" s="10" t="str">
        <f ca="1">IFERROR(__xludf.DUMMYFUNCTION("""COMPUTED_VALUE"""),"Свободна Петрова Вранчева")</f>
        <v>Свободна Петрова Вранчева</v>
      </c>
      <c r="B6628" s="10" t="str">
        <f ca="1">IFERROR(__xludf.DUMMYFUNCTION("""COMPUTED_VALUE"""),"Доклад от конференция")</f>
        <v>Доклад от конференция</v>
      </c>
      <c r="C6628" s="10" t="str">
        <f ca="1">IFERROR(__xludf.DUMMYFUNCTION("""COMPUTED_VALUE"""),"Анализ на докладите от международна научна конференция")</f>
        <v>Анализ на докладите от международна научна конференция</v>
      </c>
      <c r="D6628" s="10">
        <f ca="1">IFERROR(__xludf.DUMMYFUNCTION("""COMPUTED_VALUE"""),2014)</f>
        <v>2014</v>
      </c>
      <c r="E6628"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8" s="10"/>
      <c r="G6628" s="10"/>
      <c r="H6628" s="10"/>
      <c r="I6628" s="10"/>
      <c r="J6628" s="10"/>
      <c r="K6628" s="10"/>
      <c r="L6628" s="10"/>
      <c r="M6628" s="10"/>
      <c r="N6628" s="10"/>
      <c r="O6628" s="10"/>
      <c r="P6628" s="10"/>
      <c r="Q6628" s="10"/>
      <c r="R6628" s="10"/>
      <c r="S6628" s="10"/>
      <c r="T6628" s="10"/>
      <c r="U6628" s="10"/>
      <c r="V6628" s="10"/>
      <c r="W6628" s="10"/>
      <c r="X6628" s="10"/>
      <c r="Y6628" s="10"/>
      <c r="Z6628" s="10"/>
    </row>
    <row r="6629" spans="1:26" ht="12.75">
      <c r="A6629" s="10" t="str">
        <f ca="1">IFERROR(__xludf.DUMMYFUNCTION("""COMPUTED_VALUE"""),"Свободна Петрова Вранчева")</f>
        <v>Свободна Петрова Вранчева</v>
      </c>
      <c r="B6629" s="10" t="str">
        <f ca="1">IFERROR(__xludf.DUMMYFUNCTION("""COMPUTED_VALUE"""),"Доклад от конференция")</f>
        <v>Доклад от конференция</v>
      </c>
      <c r="C6629" s="10" t="str">
        <f ca="1">IFERROR(__xludf.DUMMYFUNCTION("""COMPUTED_VALUE"""),"Анализ на съществуващото положение")</f>
        <v>Анализ на съществуващото положение</v>
      </c>
      <c r="D6629" s="10">
        <f ca="1">IFERROR(__xludf.DUMMYFUNCTION("""COMPUTED_VALUE"""),2014)</f>
        <v>2014</v>
      </c>
      <c r="E6629"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29" s="10"/>
      <c r="G6629" s="10" t="str">
        <f ca="1">IFERROR(__xludf.DUMMYFUNCTION("""COMPUTED_VALUE"""),"арх. Ат.Ковачев")</f>
        <v>арх. Ат.Ковачев</v>
      </c>
      <c r="H6629" s="10"/>
      <c r="I6629" s="10"/>
      <c r="J6629" s="10"/>
      <c r="K6629" s="10"/>
      <c r="L6629" s="10"/>
      <c r="M6629" s="10"/>
      <c r="N6629" s="10"/>
      <c r="O6629" s="10"/>
      <c r="P6629" s="10"/>
      <c r="Q6629" s="10"/>
      <c r="R6629" s="10"/>
      <c r="S6629" s="10"/>
      <c r="T6629" s="10"/>
      <c r="U6629" s="10"/>
      <c r="V6629" s="10"/>
      <c r="W6629" s="10"/>
      <c r="X6629" s="10"/>
      <c r="Y6629" s="10"/>
      <c r="Z6629" s="10"/>
    </row>
    <row r="6630" spans="1:26" ht="12.75">
      <c r="A6630" s="10" t="str">
        <f ca="1">IFERROR(__xludf.DUMMYFUNCTION("""COMPUTED_VALUE"""),"Свободна Петрова Вранчева")</f>
        <v>Свободна Петрова Вранчева</v>
      </c>
      <c r="B6630" s="10" t="str">
        <f ca="1">IFERROR(__xludf.DUMMYFUNCTION("""COMPUTED_VALUE"""),"Доклад от конференция")</f>
        <v>Доклад от конференция</v>
      </c>
      <c r="C6630" s="10" t="str">
        <f ca="1">IFERROR(__xludf.DUMMYFUNCTION("""COMPUTED_VALUE"""),"Интегриране на резултатите. Препоръки")</f>
        <v>Интегриране на резултатите. Препоръки</v>
      </c>
      <c r="D6630" s="10">
        <f ca="1">IFERROR(__xludf.DUMMYFUNCTION("""COMPUTED_VALUE"""),2014)</f>
        <v>2014</v>
      </c>
      <c r="E6630" s="10" t="str">
        <f ca="1">IFERROR(__xludf.DUMMYFUNCTION("""COMPUTED_VALUE"""),"Сборник с изследвания „Модерният град и съхраняване на националната идентичност“ Етап 3, Боянска църква. С. 2014 Том 1 ISBN : 97")</f>
        <v>Сборник с изследвания „Модерният град и съхраняване на националната идентичност“ Етап 3, Боянска църква. С. 2014 Том 1 ISBN : 97</v>
      </c>
      <c r="F6630" s="10"/>
      <c r="G6630" s="10"/>
      <c r="H6630" s="10"/>
      <c r="I6630" s="10"/>
      <c r="J6630" s="10"/>
      <c r="K6630" s="10"/>
      <c r="L6630" s="10"/>
      <c r="M6630" s="10"/>
      <c r="N6630" s="10"/>
      <c r="O6630" s="10"/>
      <c r="P6630" s="10"/>
      <c r="Q6630" s="10"/>
      <c r="R6630" s="10"/>
      <c r="S6630" s="10"/>
      <c r="T6630" s="10"/>
      <c r="U6630" s="10"/>
      <c r="V6630" s="10"/>
      <c r="W6630" s="10"/>
      <c r="X6630" s="10"/>
      <c r="Y6630" s="10"/>
      <c r="Z6630" s="10"/>
    </row>
    <row r="6631" spans="1:26" ht="12.75">
      <c r="A6631" s="10" t="str">
        <f ca="1">IFERROR(__xludf.DUMMYFUNCTION("""COMPUTED_VALUE"""),"Свободна Петрова Вранчева")</f>
        <v>Свободна Петрова Вранчева</v>
      </c>
      <c r="B6631" s="10" t="str">
        <f ca="1">IFERROR(__xludf.DUMMYFUNCTION("""COMPUTED_VALUE"""),"Доклад от конференция")</f>
        <v>Доклад от конференция</v>
      </c>
      <c r="C6631" s="10" t="str">
        <f ca="1">IFERROR(__xludf.DUMMYFUNCTION("""COMPUTED_VALUE"""),"Модел на медиация")</f>
        <v>Модел на медиация</v>
      </c>
      <c r="D6631" s="10">
        <f ca="1">IFERROR(__xludf.DUMMYFUNCTION("""COMPUTED_VALUE"""),2014)</f>
        <v>2014</v>
      </c>
      <c r="E6631" s="10" t="str">
        <f ca="1">IFERROR(__xludf.DUMMYFUNCTION("""COMPUTED_VALUE"""),"Сборник с изследвания „Модерният град и съхраняване на националната идентичност“ Етап 3, Боянска църква. С. 2014 г.,2-ри том, I")</f>
        <v>Сборник с изследвания „Модерният град и съхраняване на националната идентичност“ Етап 3, Боянска църква. С. 2014 г.,2-ри том, I</v>
      </c>
      <c r="F6631" s="10"/>
      <c r="G6631" s="10"/>
      <c r="H6631" s="10"/>
      <c r="I6631" s="10"/>
      <c r="J6631" s="10"/>
      <c r="K6631" s="10"/>
      <c r="L6631" s="10"/>
      <c r="M6631" s="10"/>
      <c r="N6631" s="10"/>
      <c r="O6631" s="10"/>
      <c r="P6631" s="10"/>
      <c r="Q6631" s="10"/>
      <c r="R6631" s="10"/>
      <c r="S6631" s="10"/>
      <c r="T6631" s="10"/>
      <c r="U6631" s="10"/>
      <c r="V6631" s="10"/>
      <c r="W6631" s="10"/>
      <c r="X6631" s="10"/>
      <c r="Y6631" s="10"/>
      <c r="Z6631" s="10"/>
    </row>
    <row r="6632" spans="1:26" ht="12.75">
      <c r="A6632" s="10" t="str">
        <f ca="1">IFERROR(__xludf.DUMMYFUNCTION("""COMPUTED_VALUE"""),"Свободна Петрова Вранчева")</f>
        <v>Свободна Петрова Вранчева</v>
      </c>
      <c r="B6632" s="10" t="str">
        <f ca="1">IFERROR(__xludf.DUMMYFUNCTION("""COMPUTED_VALUE"""),"Доклад от конференция")</f>
        <v>Доклад от конференция</v>
      </c>
      <c r="C6632" s="10" t="str">
        <f ca="1">IFERROR(__xludf.DUMMYFUNCTION("""COMPUTED_VALUE"""),"Обобщаване на моделите и методическия подход")</f>
        <v>Обобщаване на моделите и методическия подход</v>
      </c>
      <c r="D6632" s="10">
        <f ca="1">IFERROR(__xludf.DUMMYFUNCTION("""COMPUTED_VALUE"""),2014)</f>
        <v>2014</v>
      </c>
      <c r="E6632" s="10" t="str">
        <f ca="1">IFERROR(__xludf.DUMMYFUNCTION("""COMPUTED_VALUE"""),"В Сборник с изследвания „Модерният град и съхраняване на националната идентичност“ Етап 3, Боянска църква. С. 2014 г., 2")</f>
        <v>В Сборник с изследвания „Модерният град и съхраняване на националната идентичност“ Етап 3, Боянска църква. С. 2014 г., 2</v>
      </c>
      <c r="F6632" s="10"/>
      <c r="G6632" s="10"/>
      <c r="H6632" s="10"/>
      <c r="I6632" s="10"/>
      <c r="J6632" s="10"/>
      <c r="K6632" s="10"/>
      <c r="L6632" s="10"/>
      <c r="M6632" s="10"/>
      <c r="N6632" s="10"/>
      <c r="O6632" s="10"/>
      <c r="P6632" s="10"/>
      <c r="Q6632" s="10"/>
      <c r="R6632" s="10"/>
      <c r="S6632" s="10"/>
      <c r="T6632" s="10"/>
      <c r="U6632" s="10"/>
      <c r="V6632" s="10"/>
      <c r="W6632" s="10"/>
      <c r="X6632" s="10"/>
      <c r="Y6632" s="10"/>
      <c r="Z6632" s="10"/>
    </row>
    <row r="6633" spans="1:26" ht="12.75">
      <c r="A6633" s="10" t="str">
        <f ca="1">IFERROR(__xludf.DUMMYFUNCTION("""COMPUTED_VALUE"""),"Свободна Петрова Вранчева")</f>
        <v>Свободна Петрова Вранчева</v>
      </c>
      <c r="B6633" s="10" t="str">
        <f ca="1">IFERROR(__xludf.DUMMYFUNCTION("""COMPUTED_VALUE"""),"Доклад от конференция")</f>
        <v>Доклад от конференция</v>
      </c>
      <c r="C6633" s="10" t="str">
        <f ca="1">IFERROR(__xludf.DUMMYFUNCTION("""COMPUTED_VALUE"""),"Въведение- библиография")</f>
        <v>Въведение- библиография</v>
      </c>
      <c r="D6633" s="10">
        <f ca="1">IFERROR(__xludf.DUMMYFUNCTION("""COMPUTED_VALUE"""),2014)</f>
        <v>2014</v>
      </c>
      <c r="E6633" s="10" t="str">
        <f ca="1">IFERROR(__xludf.DUMMYFUNCTION("""COMPUTED_VALUE"""),"Сборник с изследвания „Модерният град и съхраняване на националната идентичност“ Етап 3, Боянска църква. С. 2014 г., 2-ри")</f>
        <v>Сборник с изследвания „Модерният град и съхраняване на националната идентичност“ Етап 3, Боянска църква. С. 2014 г., 2-ри</v>
      </c>
      <c r="F6633" s="10"/>
      <c r="G6633" s="10"/>
      <c r="H6633" s="10"/>
      <c r="I6633" s="10"/>
      <c r="J6633" s="10"/>
      <c r="K6633" s="10"/>
      <c r="L6633" s="10"/>
      <c r="M6633" s="10"/>
      <c r="N6633" s="10"/>
      <c r="O6633" s="10"/>
      <c r="P6633" s="10"/>
      <c r="Q6633" s="10"/>
      <c r="R6633" s="10"/>
      <c r="S6633" s="10"/>
      <c r="T6633" s="10"/>
      <c r="U6633" s="10"/>
      <c r="V6633" s="10"/>
      <c r="W6633" s="10"/>
      <c r="X6633" s="10"/>
      <c r="Y6633" s="10"/>
      <c r="Z6633" s="10"/>
    </row>
    <row r="6634" spans="1:26" ht="12.75">
      <c r="A6634" s="10" t="str">
        <f ca="1">IFERROR(__xludf.DUMMYFUNCTION("""COMPUTED_VALUE"""),"Свободна Петрова Вранчева")</f>
        <v>Свободна Петрова Вранчева</v>
      </c>
      <c r="B6634" s="10" t="str">
        <f ca="1">IFERROR(__xludf.DUMMYFUNCTION("""COMPUTED_VALUE"""),"Доклад от конференция")</f>
        <v>Доклад от конференция</v>
      </c>
      <c r="C6634" s="10" t="str">
        <f ca="1">IFERROR(__xludf.DUMMYFUNCTION("""COMPUTED_VALUE"""),"Модели и методика при съхраняване и обновяване на исторически квартал")</f>
        <v>Модели и методика при съхраняване и обновяване на исторически квартал</v>
      </c>
      <c r="D6634" s="10">
        <f ca="1">IFERROR(__xludf.DUMMYFUNCTION("""COMPUTED_VALUE"""),2014)</f>
        <v>2014</v>
      </c>
      <c r="E6634" s="10" t="str">
        <f ca="1">IFERROR(__xludf.DUMMYFUNCTION("""COMPUTED_VALUE"""),"Сборник с изследвания „Модерният град и съхраняване на националната идентичност“ Етап 3, Боянска църква. С. 2014 г., 2-ри")</f>
        <v>Сборник с изследвания „Модерният град и съхраняване на националната идентичност“ Етап 3, Боянска църква. С. 2014 г., 2-ри</v>
      </c>
      <c r="F6634" s="10"/>
      <c r="G6634" s="10"/>
      <c r="H6634" s="10"/>
      <c r="I6634" s="10"/>
      <c r="J6634" s="10"/>
      <c r="K6634" s="10"/>
      <c r="L6634" s="10"/>
      <c r="M6634" s="10"/>
      <c r="N6634" s="10"/>
      <c r="O6634" s="10"/>
      <c r="P6634" s="10"/>
      <c r="Q6634" s="10"/>
      <c r="R6634" s="10"/>
      <c r="S6634" s="10"/>
      <c r="T6634" s="10"/>
      <c r="U6634" s="10"/>
      <c r="V6634" s="10"/>
      <c r="W6634" s="10"/>
      <c r="X6634" s="10"/>
      <c r="Y6634" s="10"/>
      <c r="Z6634" s="10"/>
    </row>
    <row r="6635" spans="1:26" ht="12.75">
      <c r="A6635" s="10" t="str">
        <f ca="1">IFERROR(__xludf.DUMMYFUNCTION("""COMPUTED_VALUE"""),"Свободна Петрова Вранчева")</f>
        <v>Свободна Петрова Вранчева</v>
      </c>
      <c r="B6635" s="10" t="str">
        <f ca="1">IFERROR(__xludf.DUMMYFUNCTION("""COMPUTED_VALUE"""),"Статия в списания и поредици")</f>
        <v>Статия в списания и поредици</v>
      </c>
      <c r="C6635" s="10" t="str">
        <f ca="1">IFERROR(__xludf.DUMMYFUNCTION("""COMPUTED_VALUE"""),"Културният и архитектурният авангард в града")</f>
        <v>Културният и архитектурният авангард в града</v>
      </c>
      <c r="D6635" s="10">
        <f ca="1">IFERROR(__xludf.DUMMYFUNCTION("""COMPUTED_VALUE"""),2014)</f>
        <v>2014</v>
      </c>
      <c r="E6635" s="10" t="str">
        <f ca="1">IFERROR(__xludf.DUMMYFUNCTION("""COMPUTED_VALUE"""),"Научни трудове на УниБИТ. Т. 11. – София, 2014.стр.107-120")</f>
        <v>Научни трудове на УниБИТ. Т. 11. – София, 2014.стр.107-120</v>
      </c>
      <c r="F6635" s="10"/>
      <c r="G6635" s="10"/>
      <c r="H6635" s="10"/>
      <c r="I6635" s="10"/>
      <c r="J6635" s="10"/>
      <c r="K6635" s="10"/>
      <c r="L6635" s="10"/>
      <c r="M6635" s="10"/>
      <c r="N6635" s="10"/>
      <c r="O6635" s="10"/>
      <c r="P6635" s="10"/>
      <c r="Q6635" s="10"/>
      <c r="R6635" s="10"/>
      <c r="S6635" s="10"/>
      <c r="T6635" s="10"/>
      <c r="U6635" s="10"/>
      <c r="V6635" s="10"/>
      <c r="W6635" s="10"/>
      <c r="X6635" s="10"/>
      <c r="Y6635" s="10"/>
      <c r="Z6635" s="10"/>
    </row>
    <row r="6636" spans="1:26" ht="12.75">
      <c r="A6636" s="10" t="str">
        <f ca="1">IFERROR(__xludf.DUMMYFUNCTION("""COMPUTED_VALUE"""),"Свободна Петрова Вранчева")</f>
        <v>Свободна Петрова Вранчева</v>
      </c>
      <c r="B6636" s="10" t="str">
        <f ca="1">IFERROR(__xludf.DUMMYFUNCTION("""COMPUTED_VALUE"""),"Доклад от конференция")</f>
        <v>Доклад от конференция</v>
      </c>
      <c r="C6636" s="10" t="str">
        <f ca="1">IFERROR(__xludf.DUMMYFUNCTION("""COMPUTED_VALUE"""),"За по-добро бъдеще на градовете")</f>
        <v>За по-добро бъдеще на градовете</v>
      </c>
      <c r="D6636" s="10">
        <f ca="1">IFERROR(__xludf.DUMMYFUNCTION("""COMPUTED_VALUE"""),2014)</f>
        <v>2014</v>
      </c>
      <c r="E6636" s="10" t="str">
        <f ca="1">IFERROR(__xludf.DUMMYFUNCTION("""COMPUTED_VALUE"""),"Научни трудове на УниБИТ. Т. 11. – София, 2014. стр. 173-181.")</f>
        <v>Научни трудове на УниБИТ. Т. 11. – София, 2014. стр. 173-181.</v>
      </c>
      <c r="F6636" s="10"/>
      <c r="G6636" s="10"/>
      <c r="H6636" s="10"/>
      <c r="I6636" s="10"/>
      <c r="J6636" s="10"/>
      <c r="K6636" s="10"/>
      <c r="L6636" s="10"/>
      <c r="M6636" s="10"/>
      <c r="N6636" s="10"/>
      <c r="O6636" s="10"/>
      <c r="P6636" s="10"/>
      <c r="Q6636" s="10"/>
      <c r="R6636" s="10"/>
      <c r="S6636" s="10"/>
      <c r="T6636" s="10"/>
      <c r="U6636" s="10"/>
      <c r="V6636" s="10"/>
      <c r="W6636" s="10"/>
      <c r="X6636" s="10"/>
      <c r="Y6636" s="10"/>
      <c r="Z6636" s="10"/>
    </row>
    <row r="6637" spans="1:26" ht="12.75">
      <c r="A6637" s="10" t="str">
        <f ca="1">IFERROR(__xludf.DUMMYFUNCTION("""COMPUTED_VALUE"""),"Свободна Петрова Вранчева")</f>
        <v>Свободна Петрова Вранчева</v>
      </c>
      <c r="B6637" s="10" t="str">
        <f ca="1">IFERROR(__xludf.DUMMYFUNCTION("""COMPUTED_VALUE"""),"Статия в списания и поредици")</f>
        <v>Статия в списания и поредици</v>
      </c>
      <c r="C6637" s="10" t="str">
        <f ca="1">IFERROR(__xludf.DUMMYFUNCTION("""COMPUTED_VALUE"""),"Проблеми на управлението на класирани паметници на недвижимото културно-историческо наследство. Анализ на чуждестранния опит")</f>
        <v>Проблеми на управлението на класирани паметници на недвижимото културно-историческо наследство. Анализ на чуждестранния опит</v>
      </c>
      <c r="D6637" s="10">
        <f ca="1">IFERROR(__xludf.DUMMYFUNCTION("""COMPUTED_VALUE"""),2014)</f>
        <v>2014</v>
      </c>
      <c r="E6637" s="10" t="str">
        <f ca="1">IFERROR(__xludf.DUMMYFUNCTION("""COMPUTED_VALUE"""),"Научни трудове на УниБИТ. Т. 11. – София,2014 стр.163-172.")</f>
        <v>Научни трудове на УниБИТ. Т. 11. – София,2014 стр.163-172.</v>
      </c>
      <c r="F6637" s="10"/>
      <c r="G6637" s="10"/>
      <c r="H6637" s="10"/>
      <c r="I6637" s="10"/>
      <c r="J6637" s="10"/>
      <c r="K6637" s="10"/>
      <c r="L6637" s="10"/>
      <c r="M6637" s="10"/>
      <c r="N6637" s="10"/>
      <c r="O6637" s="10"/>
      <c r="P6637" s="10"/>
      <c r="Q6637" s="10"/>
      <c r="R6637" s="10"/>
      <c r="S6637" s="10"/>
      <c r="T6637" s="10"/>
      <c r="U6637" s="10"/>
      <c r="V6637" s="10"/>
      <c r="W6637" s="10"/>
      <c r="X6637" s="10"/>
      <c r="Y6637" s="10"/>
      <c r="Z6637" s="10"/>
    </row>
    <row r="6638" spans="1:26" ht="12.75">
      <c r="A6638" s="10" t="str">
        <f ca="1">IFERROR(__xludf.DUMMYFUNCTION("""COMPUTED_VALUE"""),"Свободна Петрова Вранчева")</f>
        <v>Свободна Петрова Вранчева</v>
      </c>
      <c r="B6638" s="10" t="str">
        <f ca="1">IFERROR(__xludf.DUMMYFUNCTION("""COMPUTED_VALUE"""),"Доклад от конференция")</f>
        <v>Доклад от конференция</v>
      </c>
      <c r="C6638" s="10" t="str">
        <f ca="1">IFERROR(__xludf.DUMMYFUNCTION("""COMPUTED_VALUE"""),"Съвременни аспекти на политиката за опазване и управление на културно-историческото наследство")</f>
        <v>Съвременни аспекти на политиката за опазване и управление на културно-историческото наследство</v>
      </c>
      <c r="D6638" s="10">
        <f ca="1">IFERROR(__xludf.DUMMYFUNCTION("""COMPUTED_VALUE"""),2013)</f>
        <v>2013</v>
      </c>
      <c r="E6638" s="10" t="str">
        <f ca="1">IFERROR(__xludf.DUMMYFUNCTION("""COMPUTED_VALUE"""),"Национална научна конференция с международно участие УниБИТ, Бояна, 10-11 октомври 2013 г.: Сб. Политики за управление на култур")</f>
        <v>Национална научна конференция с международно участие УниБИТ, Бояна, 10-11 октомври 2013 г.: Сб. Политики за управление на култур</v>
      </c>
      <c r="F6638" s="10"/>
      <c r="G6638" s="10"/>
      <c r="H6638" s="10"/>
      <c r="I6638" s="10"/>
      <c r="J6638" s="10"/>
      <c r="K6638" s="10"/>
      <c r="L6638" s="10"/>
      <c r="M6638" s="10"/>
      <c r="N6638" s="10"/>
      <c r="O6638" s="10"/>
      <c r="P6638" s="10"/>
      <c r="Q6638" s="10"/>
      <c r="R6638" s="10"/>
      <c r="S6638" s="10"/>
      <c r="T6638" s="10"/>
      <c r="U6638" s="10"/>
      <c r="V6638" s="10"/>
      <c r="W6638" s="10"/>
      <c r="X6638" s="10"/>
      <c r="Y6638" s="10"/>
      <c r="Z6638" s="10"/>
    </row>
    <row r="6639" spans="1:26" ht="12.75">
      <c r="A6639" s="10" t="str">
        <f ca="1">IFERROR(__xludf.DUMMYFUNCTION("""COMPUTED_VALUE"""),"Сергей Тодоров Модев")</f>
        <v>Сергей Тодоров Модев</v>
      </c>
      <c r="B6639" s="10" t="str">
        <f ca="1">IFERROR(__xludf.DUMMYFUNCTION("""COMPUTED_VALUE"""),"Доклад от конференция")</f>
        <v>Доклад от конференция</v>
      </c>
      <c r="C6639" s="10" t="str">
        <f ca="1">IFERROR(__xludf.DUMMYFUNCTION("""COMPUTED_VALUE"""),"THE ROLE OF LEADERSHIP IN CULTURAL HERITAGE EDUCATION USING NEW INFORMATION AND COMMUNICATION TECHNOLOGIES")</f>
        <v>THE ROLE OF LEADERSHIP IN CULTURAL HERITAGE EDUCATION USING NEW INFORMATION AND COMMUNICATION TECHNOLOGIES</v>
      </c>
      <c r="D6639" s="10">
        <f ca="1">IFERROR(__xludf.DUMMYFUNCTION("""COMPUTED_VALUE"""),2020)</f>
        <v>2020</v>
      </c>
      <c r="E6639" s="10" t="str">
        <f ca="1">IFERROR(__xludf.DUMMYFUNCTION("""COMPUTED_VALUE"""),"EDULEARN20 Proceedings, 12th International Conference on Education and New Learning Technologies, р. 8155-8163 ISBN: 978-84-09-17979-4 / ISSN: 2340-1117")</f>
        <v>EDULEARN20 Proceedings, 12th International Conference on Education and New Learning Technologies, р. 8155-8163 ISBN: 978-84-09-17979-4 / ISSN: 2340-1117</v>
      </c>
      <c r="F6639" s="10" t="str">
        <f ca="1">IFERROR(__xludf.DUMMYFUNCTION("""COMPUTED_VALUE"""),"Web of Science")</f>
        <v>Web of Science</v>
      </c>
      <c r="G6639" s="10" t="str">
        <f ca="1">IFERROR(__xludf.DUMMYFUNCTION("""COMPUTED_VALUE"""),"Modeva, M.")</f>
        <v>Modeva, M.</v>
      </c>
      <c r="H6639" s="10"/>
      <c r="I6639" s="10"/>
      <c r="J6639" s="10"/>
      <c r="K6639" s="10"/>
      <c r="L6639" s="10"/>
      <c r="M6639" s="10"/>
      <c r="N6639" s="10"/>
      <c r="O6639" s="10"/>
      <c r="P6639" s="10"/>
      <c r="Q6639" s="10"/>
      <c r="R6639" s="10"/>
      <c r="S6639" s="10"/>
      <c r="T6639" s="10"/>
      <c r="U6639" s="10"/>
      <c r="V6639" s="10"/>
      <c r="W6639" s="10"/>
      <c r="X6639" s="10"/>
      <c r="Y6639" s="10"/>
      <c r="Z6639" s="10"/>
    </row>
    <row r="6640" spans="1:26" ht="12.75">
      <c r="A6640" s="10" t="str">
        <f ca="1">IFERROR(__xludf.DUMMYFUNCTION("""COMPUTED_VALUE"""),"Сергей Тодоров Модев")</f>
        <v>Сергей Тодоров Модев</v>
      </c>
      <c r="B6640" s="10" t="str">
        <f ca="1">IFERROR(__xludf.DUMMYFUNCTION("""COMPUTED_VALUE"""),"Статия в списания и поредици")</f>
        <v>Статия в списания и поредици</v>
      </c>
      <c r="C6640" s="10" t="str">
        <f ca="1">IFERROR(__xludf.DUMMYFUNCTION("""COMPUTED_VALUE"""),"THE INFORMATION TECHNOLOGIES – BASIS OF NEW EDUCATION ENVIRONMENT IN THE LIFELONG LEARNING")</f>
        <v>THE INFORMATION TECHNOLOGIES – BASIS OF NEW EDUCATION ENVIRONMENT IN THE LIFELONG LEARNING</v>
      </c>
      <c r="D6640" s="10">
        <f ca="1">IFERROR(__xludf.DUMMYFUNCTION("""COMPUTED_VALUE"""),2020)</f>
        <v>2020</v>
      </c>
      <c r="E6640" s="10" t="str">
        <f ca="1">IFERROR(__xludf.DUMMYFUNCTION("""COMPUTED_VALUE"""),"INTED2020 Proceedings, pp. 2774-2777, ISBN: 978-
 84-09-17939-8 ISSN: 2340-1079")</f>
        <v>INTED2020 Proceedings, pp. 2774-2777, ISBN: 978-
 84-09-17939-8 ISSN: 2340-1079</v>
      </c>
      <c r="F6640" s="10" t="str">
        <f ca="1">IFERROR(__xludf.DUMMYFUNCTION("""COMPUTED_VALUE"""),"Web of Science")</f>
        <v>Web of Science</v>
      </c>
      <c r="G6640" s="10"/>
      <c r="H6640" s="10"/>
      <c r="I6640" s="10"/>
      <c r="J6640" s="10"/>
      <c r="K6640" s="10"/>
      <c r="L6640" s="10"/>
      <c r="M6640" s="10"/>
      <c r="N6640" s="10"/>
      <c r="O6640" s="10"/>
      <c r="P6640" s="10"/>
      <c r="Q6640" s="10"/>
      <c r="R6640" s="10"/>
      <c r="S6640" s="10"/>
      <c r="T6640" s="10"/>
      <c r="U6640" s="10"/>
      <c r="V6640" s="10"/>
      <c r="W6640" s="10"/>
      <c r="X6640" s="10"/>
      <c r="Y6640" s="10"/>
      <c r="Z6640" s="10"/>
    </row>
    <row r="6641" spans="1:26" ht="12.75">
      <c r="A6641" s="10" t="str">
        <f ca="1">IFERROR(__xludf.DUMMYFUNCTION("""COMPUTED_VALUE"""),"Сергей Тодоров Модев")</f>
        <v>Сергей Тодоров Модев</v>
      </c>
      <c r="B6641" s="10" t="str">
        <f ca="1">IFERROR(__xludf.DUMMYFUNCTION("""COMPUTED_VALUE"""),"Доклад от конференция")</f>
        <v>Доклад от конференция</v>
      </c>
      <c r="C6641" s="10" t="str">
        <f ca="1">IFERROR(__xludf.DUMMYFUNCTION("""COMPUTED_VALUE"""),"УСПЕШНИЯТ ЛИДЕР В СЪВРЕМЕННИЯ СВЯТ – ВЗАИМОСВЪРЗАНОСТ И ВЗАИМОЗАВИСИМОСТ НА КАЧЕСТВА И УМЕНИЯ")</f>
        <v>УСПЕШНИЯТ ЛИДЕР В СЪВРЕМЕННИЯ СВЯТ – ВЗАИМОСВЪРЗАНОСТ И ВЗАИМОЗАВИСИМОСТ НА КАЧЕСТВА И УМЕНИЯ</v>
      </c>
      <c r="D6641" s="10">
        <f ca="1">IFERROR(__xludf.DUMMYFUNCTION("""COMPUTED_VALUE"""),2020)</f>
        <v>2020</v>
      </c>
      <c r="E6641" s="10" t="str">
        <f ca="1">IFERROR(__xludf.DUMMYFUNCTION("""COMPUTED_VALUE"""),"""В // ОБЩЕСТВОТО НА ЗНАНИЕТО И ХУМАНИЗМЪТ НА ХХІ ВЕК ХVIII национална научна конференция
 с международно участие. София : За буквите-О писменехь, 2020, с. 736-747.""ISSN 2683-0094")</f>
        <v>"В // ОБЩЕСТВОТО НА ЗНАНИЕТО И ХУМАНИЗМЪТ НА ХХІ ВЕК ХVIII национална научна конференция
 с международно участие. София : За буквите-О писменехь, 2020, с. 736-747."ISSN 2683-0094</v>
      </c>
      <c r="F6641" s="10"/>
      <c r="G6641" s="10"/>
      <c r="H6641" s="10"/>
      <c r="I6641" s="10"/>
      <c r="J6641" s="10"/>
      <c r="K6641" s="10"/>
      <c r="L6641" s="10"/>
      <c r="M6641" s="10"/>
      <c r="N6641" s="10"/>
      <c r="O6641" s="10"/>
      <c r="P6641" s="10"/>
      <c r="Q6641" s="10"/>
      <c r="R6641" s="10"/>
      <c r="S6641" s="10"/>
      <c r="T6641" s="10"/>
      <c r="U6641" s="10"/>
      <c r="V6641" s="10"/>
      <c r="W6641" s="10"/>
      <c r="X6641" s="10"/>
      <c r="Y6641" s="10"/>
      <c r="Z6641" s="10"/>
    </row>
    <row r="6642" spans="1:26" ht="12.75">
      <c r="A6642" s="10" t="str">
        <f ca="1">IFERROR(__xludf.DUMMYFUNCTION("""COMPUTED_VALUE"""),"Сергей Тодоров Модев")</f>
        <v>Сергей Тодоров Модев</v>
      </c>
      <c r="B6642" s="10" t="str">
        <f ca="1">IFERROR(__xludf.DUMMYFUNCTION("""COMPUTED_VALUE"""),"Статия в списания и поредици")</f>
        <v>Статия в списания и поредици</v>
      </c>
      <c r="C6642" s="10" t="str">
        <f ca="1">IFERROR(__xludf.DUMMYFUNCTION("""COMPUTED_VALUE"""),"Leadership in education – Bulgarian example in the context of good European practices")</f>
        <v>Leadership in education – Bulgarian example in the context of good European practices</v>
      </c>
      <c r="D6642" s="10">
        <f ca="1">IFERROR(__xludf.DUMMYFUNCTION("""COMPUTED_VALUE"""),2019)</f>
        <v>2019</v>
      </c>
      <c r="E6642" s="10" t="str">
        <f ca="1">IFERROR(__xludf.DUMMYFUNCTION("""COMPUTED_VALUE"""),"ICERI2019, Proceedings of ICERI2018 Conference 11th-13th November 2019, Seville, Spain. 12th annual International Conference of Education, Research and Innovation, Education and Development (IATED), reviewed in the ISI CPCI (Web of Science). ISBN: 978-84-"&amp;"09-14755-7")</f>
        <v>ICERI2019, Proceedings of ICERI2018 Conference 11th-13th November 2019, Seville, Spain. 12th annual International Conference of Education, Research and Innovation, Education and Development (IATED), reviewed in the ISI CPCI (Web of Science). ISBN: 978-84-09-14755-7</v>
      </c>
      <c r="F6642" s="10" t="str">
        <f ca="1">IFERROR(__xludf.DUMMYFUNCTION("""COMPUTED_VALUE"""),"Web of Science")</f>
        <v>Web of Science</v>
      </c>
      <c r="G6642" s="10"/>
      <c r="H6642" s="10"/>
      <c r="I6642" s="10"/>
      <c r="J6642" s="10"/>
      <c r="K6642" s="10"/>
      <c r="L6642" s="10"/>
      <c r="M6642" s="10"/>
      <c r="N6642" s="10"/>
      <c r="O6642" s="10"/>
      <c r="P6642" s="10"/>
      <c r="Q6642" s="10"/>
      <c r="R6642" s="10"/>
      <c r="S6642" s="10"/>
      <c r="T6642" s="10"/>
      <c r="U6642" s="10"/>
      <c r="V6642" s="10"/>
      <c r="W6642" s="10"/>
      <c r="X6642" s="10"/>
      <c r="Y6642" s="10"/>
      <c r="Z6642" s="10"/>
    </row>
    <row r="6643" spans="1:26" ht="12.75">
      <c r="A6643" s="10" t="str">
        <f ca="1">IFERROR(__xludf.DUMMYFUNCTION("""COMPUTED_VALUE"""),"Сергей Тодоров Модев")</f>
        <v>Сергей Тодоров Модев</v>
      </c>
      <c r="B6643" s="10" t="str">
        <f ca="1">IFERROR(__xludf.DUMMYFUNCTION("""COMPUTED_VALUE"""),"Доклад от конференция")</f>
        <v>Доклад от конференция</v>
      </c>
      <c r="C6643" s="10" t="str">
        <f ca="1">IFERROR(__xludf.DUMMYFUNCTION("""COMPUTED_VALUE"""),"Съвременни предизвикателства пред обществените политики")</f>
        <v>Съвременни предизвикателства пред обществените политики</v>
      </c>
      <c r="D6643" s="10">
        <f ca="1">IFERROR(__xludf.DUMMYFUNCTION("""COMPUTED_VALUE"""),2019)</f>
        <v>2019</v>
      </c>
      <c r="E6643" s="10" t="str">
        <f ca="1">IFERROR(__xludf.DUMMYFUNCTION("""COMPUTED_VALUE"""),"В: Общество на знанието и хуманизмът на 21. век, София : За буквите – О писменехь, 2018, ISSN - 1314-7099")</f>
        <v>В: Общество на знанието и хуманизмът на 21. век, София : За буквите – О писменехь, 2018, ISSN - 1314-7099</v>
      </c>
      <c r="F6643" s="10" t="str">
        <f ca="1">IFERROR(__xludf.DUMMYFUNCTION("""COMPUTED_VALUE"""),"НАЦИД")</f>
        <v>НАЦИД</v>
      </c>
      <c r="G6643" s="10"/>
      <c r="H6643" s="10"/>
      <c r="I6643" s="10"/>
      <c r="J6643" s="10"/>
      <c r="K6643" s="10"/>
      <c r="L6643" s="10"/>
      <c r="M6643" s="10"/>
      <c r="N6643" s="10"/>
      <c r="O6643" s="10"/>
      <c r="P6643" s="10"/>
      <c r="Q6643" s="10"/>
      <c r="R6643" s="10"/>
      <c r="S6643" s="10"/>
      <c r="T6643" s="10"/>
      <c r="U6643" s="10"/>
      <c r="V6643" s="10"/>
      <c r="W6643" s="10"/>
      <c r="X6643" s="10"/>
      <c r="Y6643" s="10"/>
      <c r="Z6643" s="10"/>
    </row>
    <row r="6644" spans="1:26" ht="12.75">
      <c r="A6644" s="10" t="str">
        <f ca="1">IFERROR(__xludf.DUMMYFUNCTION("""COMPUTED_VALUE"""),"Сергей Тодоров Модев")</f>
        <v>Сергей Тодоров Модев</v>
      </c>
      <c r="B6644" s="10" t="str">
        <f ca="1">IFERROR(__xludf.DUMMYFUNCTION("""COMPUTED_VALUE"""),"Доклад от конференция")</f>
        <v>Доклад от конференция</v>
      </c>
      <c r="C6644" s="10" t="str">
        <f ca="1">IFERROR(__xludf.DUMMYFUNCTION("""COMPUTED_VALUE"""),"Съвременно лидерство и стратегии на организациите за защита на информацията")</f>
        <v>Съвременно лидерство и стратегии на организациите за защита на информацията</v>
      </c>
      <c r="D6644" s="10">
        <f ca="1">IFERROR(__xludf.DUMMYFUNCTION("""COMPUTED_VALUE"""),2018)</f>
        <v>2018</v>
      </c>
      <c r="E6644" s="10" t="str">
        <f ca="1">IFERROR(__xludf.DUMMYFUNCTION("""COMPUTED_VALUE"""),"Сборник от ХV-та Национална научна конференция с международно участие на тема: Обществото на знанието и хуманизмът на ХХІ век, изд. За буквите-О писменехь, София, 2018")</f>
        <v>Сборник от ХV-та Национална научна конференция с международно участие на тема: Обществото на знанието и хуманизмът на ХХІ век, изд. За буквите-О писменехь, София, 2018</v>
      </c>
      <c r="F6644" s="10"/>
      <c r="G6644" s="10"/>
      <c r="H6644" s="10"/>
      <c r="I6644" s="10"/>
      <c r="J6644" s="10"/>
      <c r="K6644" s="10"/>
      <c r="L6644" s="10"/>
      <c r="M6644" s="10"/>
      <c r="N6644" s="10"/>
      <c r="O6644" s="10"/>
      <c r="P6644" s="10"/>
      <c r="Q6644" s="10"/>
      <c r="R6644" s="10"/>
      <c r="S6644" s="10"/>
      <c r="T6644" s="10"/>
      <c r="U6644" s="10"/>
      <c r="V6644" s="10"/>
      <c r="W6644" s="10"/>
      <c r="X6644" s="10"/>
      <c r="Y6644" s="10"/>
      <c r="Z6644" s="10"/>
    </row>
    <row r="6645" spans="1:26" ht="12.75">
      <c r="A6645" s="10" t="str">
        <f ca="1">IFERROR(__xludf.DUMMYFUNCTION("""COMPUTED_VALUE"""),"Сергей Тодоров Модев")</f>
        <v>Сергей Тодоров Модев</v>
      </c>
      <c r="B6645" s="10" t="str">
        <f ca="1">IFERROR(__xludf.DUMMYFUNCTION("""COMPUTED_VALUE"""),"Статия в списания и поредици")</f>
        <v>Статия в списания и поредици</v>
      </c>
      <c r="C6645" s="10" t="str">
        <f ca="1">IFERROR(__xludf.DUMMYFUNCTION("""COMPUTED_VALUE"""),"Съвременни характеристики на обществените политики")</f>
        <v>Съвременни характеристики на обществените политики</v>
      </c>
      <c r="D6645" s="10">
        <f ca="1">IFERROR(__xludf.DUMMYFUNCTION("""COMPUTED_VALUE"""),2018)</f>
        <v>2018</v>
      </c>
      <c r="E6645" s="10" t="str">
        <f ca="1">IFERROR(__xludf.DUMMYFUNCTION("""COMPUTED_VALUE"""),"Сборник от международен научен семинар „Европейски измерения на образователното и научно пространство. Културни връзки между България и Суверенния военен орден на хоспиталиерите на свети Йоан, от Йерусалим, Родос и Малта“, изд. За буквите-О писменехь, Соф"&amp;"ия, 2018.181-185, ISSN 2367-7988")</f>
        <v>Сборник от международен научен семинар „Европейски измерения на образователното и научно пространство. Културни връзки между България и Суверенния военен орден на хоспиталиерите на свети Йоан, от Йерусалим, Родос и Малта“, изд. За буквите-О писменехь, София, 2018.181-185, ISSN 2367-7988</v>
      </c>
      <c r="F6645" s="10" t="str">
        <f ca="1">IFERROR(__xludf.DUMMYFUNCTION("""COMPUTED_VALUE"""),"НРС, Google Scholar")</f>
        <v>НРС, Google Scholar</v>
      </c>
      <c r="G6645" s="10"/>
      <c r="H6645" s="10"/>
      <c r="I6645" s="10"/>
      <c r="J6645" s="10"/>
      <c r="K6645" s="10"/>
      <c r="L6645" s="10"/>
      <c r="M6645" s="10"/>
      <c r="N6645" s="10"/>
      <c r="O6645" s="10"/>
      <c r="P6645" s="10"/>
      <c r="Q6645" s="10"/>
      <c r="R6645" s="10"/>
      <c r="S6645" s="10"/>
      <c r="T6645" s="10"/>
      <c r="U6645" s="10"/>
      <c r="V6645" s="10"/>
      <c r="W6645" s="10"/>
      <c r="X6645" s="10"/>
      <c r="Y6645" s="10"/>
      <c r="Z6645" s="10"/>
    </row>
    <row r="6646" spans="1:26" ht="12.75">
      <c r="A6646" s="10" t="str">
        <f ca="1">IFERROR(__xludf.DUMMYFUNCTION("""COMPUTED_VALUE"""),"Сергей Тодоров Модев")</f>
        <v>Сергей Тодоров Модев</v>
      </c>
      <c r="B6646" s="10" t="str">
        <f ca="1">IFERROR(__xludf.DUMMYFUNCTION("""COMPUTED_VALUE"""),"Статия в списания и поредици")</f>
        <v>Статия в списания и поредици</v>
      </c>
      <c r="C6646" s="10" t="str">
        <f ca="1">IFERROR(__xludf.DUMMYFUNCTION("""COMPUTED_VALUE"""),"Лидерство в образованието. Добри европейски практики. Съвременни характеристики на обществените политики")</f>
        <v>Лидерство в образованието. Добри европейски практики. Съвременни характеристики на обществените политики</v>
      </c>
      <c r="D6646" s="10">
        <f ca="1">IFERROR(__xludf.DUMMYFUNCTION("""COMPUTED_VALUE"""),2018)</f>
        <v>2018</v>
      </c>
      <c r="E6646" s="10" t="str">
        <f ca="1">IFERROR(__xludf.DUMMYFUNCTION("""COMPUTED_VALUE"""),"В: Съвременни измерения на европейското образователно и научно пространство, София : За буквите – О писменехь, 2018, ISSN 2367-7988")</f>
        <v>В: Съвременни измерения на европейското образователно и научно пространство, София : За буквите – О писменехь, 2018, ISSN 2367-7988</v>
      </c>
      <c r="F6646" s="10"/>
      <c r="G6646" s="10"/>
      <c r="H6646" s="10"/>
      <c r="I6646" s="10"/>
      <c r="J6646" s="10"/>
      <c r="K6646" s="10"/>
      <c r="L6646" s="10"/>
      <c r="M6646" s="10"/>
      <c r="N6646" s="10"/>
      <c r="O6646" s="10"/>
      <c r="P6646" s="10"/>
      <c r="Q6646" s="10"/>
      <c r="R6646" s="10"/>
      <c r="S6646" s="10"/>
      <c r="T6646" s="10"/>
      <c r="U6646" s="10"/>
      <c r="V6646" s="10"/>
      <c r="W6646" s="10"/>
      <c r="X6646" s="10"/>
      <c r="Y6646" s="10"/>
      <c r="Z6646" s="10"/>
    </row>
    <row r="6647" spans="1:26" ht="12.75">
      <c r="A6647" s="10" t="str">
        <f ca="1">IFERROR(__xludf.DUMMYFUNCTION("""COMPUTED_VALUE"""),"Сергей Тодоров Модев")</f>
        <v>Сергей Тодоров Модев</v>
      </c>
      <c r="B6647" s="10" t="str">
        <f ca="1">IFERROR(__xludf.DUMMYFUNCTION("""COMPUTED_VALUE"""),"Статия в списания и поредици")</f>
        <v>Статия в списания и поредици</v>
      </c>
      <c r="C6647" s="10" t="str">
        <f ca="1">IFERROR(__xludf.DUMMYFUNCTION("""COMPUTED_VALUE"""),"Публичната комуникация в постмодерната действителност – въздействие върху ролята на лидера")</f>
        <v>Публичната комуникация в постмодерната действителност – въздействие върху ролята на лидера</v>
      </c>
      <c r="D6647" s="10">
        <f ca="1">IFERROR(__xludf.DUMMYFUNCTION("""COMPUTED_VALUE"""),2017)</f>
        <v>2017</v>
      </c>
      <c r="E6647" s="10" t="str">
        <f ca="1">IFERROR(__xludf.DUMMYFUNCTION("""COMPUTED_VALUE"""),"В: Проблеми на обществената комуникация, изд. За буквите-О писменехь, София, 2017, с. 304-312.")</f>
        <v>В: Проблеми на обществената комуникация, изд. За буквите-О писменехь, София, 2017, с. 304-312.</v>
      </c>
      <c r="F6647" s="10" t="str">
        <f ca="1">IFERROR(__xludf.DUMMYFUNCTION("""COMPUTED_VALUE"""),"Google Scholar")</f>
        <v>Google Scholar</v>
      </c>
      <c r="G6647" s="10"/>
      <c r="H6647" s="10"/>
      <c r="I6647" s="10"/>
      <c r="J6647" s="10"/>
      <c r="K6647" s="10"/>
      <c r="L6647" s="10"/>
      <c r="M6647" s="10"/>
      <c r="N6647" s="10"/>
      <c r="O6647" s="10"/>
      <c r="P6647" s="10"/>
      <c r="Q6647" s="10"/>
      <c r="R6647" s="10"/>
      <c r="S6647" s="10"/>
      <c r="T6647" s="10"/>
      <c r="U6647" s="10"/>
      <c r="V6647" s="10"/>
      <c r="W6647" s="10"/>
      <c r="X6647" s="10"/>
      <c r="Y6647" s="10"/>
      <c r="Z6647" s="10"/>
    </row>
    <row r="6648" spans="1:26" ht="12.75">
      <c r="A6648" s="10" t="str">
        <f ca="1">IFERROR(__xludf.DUMMYFUNCTION("""COMPUTED_VALUE"""),"Сергей Тодоров Модев")</f>
        <v>Сергей Тодоров Модев</v>
      </c>
      <c r="B6648" s="10" t="str">
        <f ca="1">IFERROR(__xludf.DUMMYFUNCTION("""COMPUTED_VALUE"""),"Статия в списания и поредици")</f>
        <v>Статия в списания и поредици</v>
      </c>
      <c r="C6648" s="10" t="str">
        <f ca="1">IFERROR(__xludf.DUMMYFUNCTION("""COMPUTED_VALUE"""),"Лидерът като фактор за въздействие срещу проявите на тероризма в съвременна Европа")</f>
        <v>Лидерът като фактор за въздействие срещу проявите на тероризма в съвременна Европа</v>
      </c>
      <c r="D6648" s="10">
        <f ca="1">IFERROR(__xludf.DUMMYFUNCTION("""COMPUTED_VALUE"""),2017)</f>
        <v>2017</v>
      </c>
      <c r="E6648" s="10" t="str">
        <f ca="1">IFERROR(__xludf.DUMMYFUNCTION("""COMPUTED_VALUE"""),"В: Комуникации и политики, изд. За буквите-О писменехь, София, 2017, с. 112-121.")</f>
        <v>В: Комуникации и политики, изд. За буквите-О писменехь, София, 2017, с. 112-121.</v>
      </c>
      <c r="F6648" s="10" t="str">
        <f ca="1">IFERROR(__xludf.DUMMYFUNCTION("""COMPUTED_VALUE"""),"Google Scholar")</f>
        <v>Google Scholar</v>
      </c>
      <c r="G6648" s="10"/>
      <c r="H6648" s="10"/>
      <c r="I6648" s="10"/>
      <c r="J6648" s="10"/>
      <c r="K6648" s="10"/>
      <c r="L6648" s="10"/>
      <c r="M6648" s="10"/>
      <c r="N6648" s="10"/>
      <c r="O6648" s="10"/>
      <c r="P6648" s="10"/>
      <c r="Q6648" s="10"/>
      <c r="R6648" s="10"/>
      <c r="S6648" s="10"/>
      <c r="T6648" s="10"/>
      <c r="U6648" s="10"/>
      <c r="V6648" s="10"/>
      <c r="W6648" s="10"/>
      <c r="X6648" s="10"/>
      <c r="Y6648" s="10"/>
      <c r="Z6648" s="10"/>
    </row>
    <row r="6649" spans="1:26" ht="12.75">
      <c r="A6649" s="10" t="str">
        <f ca="1">IFERROR(__xludf.DUMMYFUNCTION("""COMPUTED_VALUE"""),"Сергей Тодоров Модев")</f>
        <v>Сергей Тодоров Модев</v>
      </c>
      <c r="B6649" s="10" t="str">
        <f ca="1">IFERROR(__xludf.DUMMYFUNCTION("""COMPUTED_VALUE"""),"Статия в списания и поредици")</f>
        <v>Статия в списания и поредици</v>
      </c>
      <c r="C6649" s="10" t="str">
        <f ca="1">IFERROR(__xludf.DUMMYFUNCTION("""COMPUTED_VALUE"""),"Условия за утвърждаване на лидерската роля в борбата с тероризма")</f>
        <v>Условия за утвърждаване на лидерската роля в борбата с тероризма</v>
      </c>
      <c r="D6649" s="10">
        <f ca="1">IFERROR(__xludf.DUMMYFUNCTION("""COMPUTED_VALUE"""),2016)</f>
        <v>2016</v>
      </c>
      <c r="E6649" s="10" t="str">
        <f ca="1">IFERROR(__xludf.DUMMYFUNCTION("""COMPUTED_VALUE"""),"В: Обществото на знанието и хуманизмът на XXI век, Тринадесета научна конференция с международно участие, 31 октомври-1 ноември 2015 г., изд. За буквите-О писменехь, София, 2016, с. 713-719.")</f>
        <v>В: Обществото на знанието и хуманизмът на XXI век, Тринадесета научна конференция с международно участие, 31 октомври-1 ноември 2015 г., изд. За буквите-О писменехь, София, 2016, с. 713-719.</v>
      </c>
      <c r="F6649" s="10" t="str">
        <f ca="1">IFERROR(__xludf.DUMMYFUNCTION("""COMPUTED_VALUE"""),"НРС")</f>
        <v>НРС</v>
      </c>
      <c r="G6649" s="10"/>
      <c r="H6649" s="10"/>
      <c r="I6649" s="10"/>
      <c r="J6649" s="10"/>
      <c r="K6649" s="10"/>
      <c r="L6649" s="10"/>
      <c r="M6649" s="10"/>
      <c r="N6649" s="10"/>
      <c r="O6649" s="10"/>
      <c r="P6649" s="10"/>
      <c r="Q6649" s="10"/>
      <c r="R6649" s="10"/>
      <c r="S6649" s="10"/>
      <c r="T6649" s="10"/>
      <c r="U6649" s="10"/>
      <c r="V6649" s="10"/>
      <c r="W6649" s="10"/>
      <c r="X6649" s="10"/>
      <c r="Y6649" s="10"/>
      <c r="Z6649" s="10"/>
    </row>
    <row r="6650" spans="1:26" ht="12.75">
      <c r="A6650" s="10" t="str">
        <f ca="1">IFERROR(__xludf.DUMMYFUNCTION("""COMPUTED_VALUE"""),"Сергей Тодоров Модев")</f>
        <v>Сергей Тодоров Модев</v>
      </c>
      <c r="B6650" s="10" t="str">
        <f ca="1">IFERROR(__xludf.DUMMYFUNCTION("""COMPUTED_VALUE"""),"Статия в списания и поредици")</f>
        <v>Статия в списания и поредици</v>
      </c>
      <c r="C6650" s="10" t="str">
        <f ca="1">IFERROR(__xludf.DUMMYFUNCTION("""COMPUTED_VALUE"""),"Съвременно лидерство и стратегии на организациите")</f>
        <v>Съвременно лидерство и стратегии на организациите</v>
      </c>
      <c r="D6650" s="10">
        <f ca="1">IFERROR(__xludf.DUMMYFUNCTION("""COMPUTED_VALUE"""),2015)</f>
        <v>2015</v>
      </c>
      <c r="E6650" s="10" t="str">
        <f ca="1">IFERROR(__xludf.DUMMYFUNCTION("""COMPUTED_VALUE"""),"Десети научен семинар на УниБИТ, Истанбул, 4-8 април 2015 г., изд. За буквите-О писменехь, София, 2015, с. 323-329.")</f>
        <v>Десети научен семинар на УниБИТ, Истанбул, 4-8 април 2015 г., изд. За буквите-О писменехь, София, 2015, с. 323-329.</v>
      </c>
      <c r="F6650" s="10"/>
      <c r="G6650" s="10"/>
      <c r="H6650" s="10"/>
      <c r="I6650" s="10"/>
      <c r="J6650" s="10"/>
      <c r="K6650" s="10"/>
      <c r="L6650" s="10"/>
      <c r="M6650" s="10"/>
      <c r="N6650" s="10"/>
      <c r="O6650" s="10"/>
      <c r="P6650" s="10"/>
      <c r="Q6650" s="10"/>
      <c r="R6650" s="10"/>
      <c r="S6650" s="10"/>
      <c r="T6650" s="10"/>
      <c r="U6650" s="10"/>
      <c r="V6650" s="10"/>
      <c r="W6650" s="10"/>
      <c r="X6650" s="10"/>
      <c r="Y6650" s="10"/>
      <c r="Z6650" s="10"/>
    </row>
    <row r="6651" spans="1:26" ht="12.75">
      <c r="A6651" s="10" t="str">
        <f ca="1">IFERROR(__xludf.DUMMYFUNCTION("""COMPUTED_VALUE"""),"Сергей Тодоров Модев")</f>
        <v>Сергей Тодоров Модев</v>
      </c>
      <c r="B6651" s="10" t="str">
        <f ca="1">IFERROR(__xludf.DUMMYFUNCTION("""COMPUTED_VALUE"""),"Доклад от конференция")</f>
        <v>Доклад от конференция</v>
      </c>
      <c r="C6651" s="10" t="str">
        <f ca="1">IFERROR(__xludf.DUMMYFUNCTION("""COMPUTED_VALUE"""),"Умения и качества на успешния лидер в съвременния свят")</f>
        <v>Умения и качества на успешния лидер в съвременния свят</v>
      </c>
      <c r="D6651" s="10">
        <f ca="1">IFERROR(__xludf.DUMMYFUNCTION("""COMPUTED_VALUE"""),2015)</f>
        <v>2015</v>
      </c>
      <c r="E6651" s="10" t="str">
        <f ca="1">IFERROR(__xludf.DUMMYFUNCTION("""COMPUTED_VALUE"""),"Научна сесия посветена на: Лидерството в демократичната среда : изучаване, преподаване, възпитаване. Бюлетин - Институт за изследване и развитие на лидерството в информационна среда ; бюл. 9, 2015 ISSN 2367-7295")</f>
        <v>Научна сесия посветена на: Лидерството в демократичната среда : изучаване, преподаване, възпитаване. Бюлетин - Институт за изследване и развитие на лидерството в информационна среда ; бюл. 9, 2015 ISSN 2367-7295</v>
      </c>
      <c r="F6651" s="10" t="str">
        <f ca="1">IFERROR(__xludf.DUMMYFUNCTION("""COMPUTED_VALUE"""),"Google Scholar")</f>
        <v>Google Scholar</v>
      </c>
      <c r="G6651" s="10"/>
      <c r="H6651" s="10"/>
      <c r="I6651" s="10"/>
      <c r="J6651" s="10"/>
      <c r="K6651" s="10"/>
      <c r="L6651" s="10"/>
      <c r="M6651" s="10"/>
      <c r="N6651" s="10"/>
      <c r="O6651" s="10"/>
      <c r="P6651" s="10"/>
      <c r="Q6651" s="10"/>
      <c r="R6651" s="10"/>
      <c r="S6651" s="10"/>
      <c r="T6651" s="10"/>
      <c r="U6651" s="10"/>
      <c r="V6651" s="10"/>
      <c r="W6651" s="10"/>
      <c r="X6651" s="10"/>
      <c r="Y6651" s="10"/>
      <c r="Z6651" s="10"/>
    </row>
    <row r="6652" spans="1:26" ht="12.75">
      <c r="A6652" s="10" t="str">
        <f ca="1">IFERROR(__xludf.DUMMYFUNCTION("""COMPUTED_VALUE"""),"Сергей Тодоров Модев")</f>
        <v>Сергей Тодоров Модев</v>
      </c>
      <c r="B6652" s="10" t="str">
        <f ca="1">IFERROR(__xludf.DUMMYFUNCTION("""COMPUTED_VALUE"""),"Доклад от конференция")</f>
        <v>Доклад от конференция</v>
      </c>
      <c r="C6652" s="10" t="str">
        <f ca="1">IFERROR(__xludf.DUMMYFUNCTION("""COMPUTED_VALUE"""),"Умения и качества на успешния лидер в съвременното „общество на знанието“")</f>
        <v>Умения и качества на успешния лидер в съвременното „общество на знанието“</v>
      </c>
      <c r="D6652" s="10">
        <f ca="1">IFERROR(__xludf.DUMMYFUNCTION("""COMPUTED_VALUE"""),2014)</f>
        <v>2014</v>
      </c>
      <c r="E6652" s="10" t="str">
        <f ca="1">IFERROR(__xludf.DUMMYFUNCTION("""COMPUTED_VALUE"""),"Общество на знанието и хуманизмът на XXI век. Дванадесета национална научна конференция с международно участие")</f>
        <v>Общество на знанието и хуманизмът на XXI век. Дванадесета национална научна конференция с международно участие</v>
      </c>
      <c r="F6652" s="10" t="str">
        <f ca="1">IFERROR(__xludf.DUMMYFUNCTION("""COMPUTED_VALUE"""),"Национален референтен списък (НРС)")</f>
        <v>Национален референтен списък (НРС)</v>
      </c>
      <c r="G6652" s="10"/>
      <c r="H6652" s="10"/>
      <c r="I6652" s="10"/>
      <c r="J6652" s="10"/>
      <c r="K6652" s="10"/>
      <c r="L6652" s="10"/>
      <c r="M6652" s="10"/>
      <c r="N6652" s="10"/>
      <c r="O6652" s="10"/>
      <c r="P6652" s="10"/>
      <c r="Q6652" s="10"/>
      <c r="R6652" s="10"/>
      <c r="S6652" s="10"/>
      <c r="T6652" s="10"/>
      <c r="U6652" s="10"/>
      <c r="V6652" s="10"/>
      <c r="W6652" s="10"/>
      <c r="X6652" s="10"/>
      <c r="Y6652" s="10"/>
      <c r="Z6652" s="10"/>
    </row>
    <row r="6653" spans="1:26" ht="12.75">
      <c r="A6653" s="10" t="str">
        <f ca="1">IFERROR(__xludf.DUMMYFUNCTION("""COMPUTED_VALUE"""),"Сергей Тодоров Модев")</f>
        <v>Сергей Тодоров Модев</v>
      </c>
      <c r="B6653" s="10" t="str">
        <f ca="1">IFERROR(__xludf.DUMMYFUNCTION("""COMPUTED_VALUE"""),"Статия в списания и поредици")</f>
        <v>Статия в списания и поредици</v>
      </c>
      <c r="C6653" s="10" t="str">
        <f ca="1">IFERROR(__xludf.DUMMYFUNCTION("""COMPUTED_VALUE"""),"Съвременно измерение на понятията „лидер“ и „тероризъм“")</f>
        <v>Съвременно измерение на понятията „лидер“ и „тероризъм“</v>
      </c>
      <c r="D6653" s="10">
        <f ca="1">IFERROR(__xludf.DUMMYFUNCTION("""COMPUTED_VALUE"""),2014)</f>
        <v>2014</v>
      </c>
      <c r="E6653" s="10" t="str">
        <f ca="1">IFERROR(__xludf.DUMMYFUNCTION("""COMPUTED_VALUE"""),"сп. „Икономика и управление”")</f>
        <v>сп. „Икономика и управление”</v>
      </c>
      <c r="F6653" s="10"/>
      <c r="G6653" s="10"/>
      <c r="H6653" s="10"/>
      <c r="I6653" s="10"/>
      <c r="J6653" s="10"/>
      <c r="K6653" s="10"/>
      <c r="L6653" s="10"/>
      <c r="M6653" s="10"/>
      <c r="N6653" s="10"/>
      <c r="O6653" s="10"/>
      <c r="P6653" s="10"/>
      <c r="Q6653" s="10"/>
      <c r="R6653" s="10"/>
      <c r="S6653" s="10"/>
      <c r="T6653" s="10"/>
      <c r="U6653" s="10"/>
      <c r="V6653" s="10"/>
      <c r="W6653" s="10"/>
      <c r="X6653" s="10"/>
      <c r="Y6653" s="10"/>
      <c r="Z6653" s="10"/>
    </row>
    <row r="6654" spans="1:26" ht="12.75">
      <c r="A6654" s="10" t="str">
        <f ca="1">IFERROR(__xludf.DUMMYFUNCTION("""COMPUTED_VALUE"""),"Сергей Тодоров Модев")</f>
        <v>Сергей Тодоров Модев</v>
      </c>
      <c r="B6654" s="10" t="str">
        <f ca="1">IFERROR(__xludf.DUMMYFUNCTION("""COMPUTED_VALUE"""),"Доклад от конференция")</f>
        <v>Доклад от конференция</v>
      </c>
      <c r="C6654" s="10" t="str">
        <f ca="1">IFERROR(__xludf.DUMMYFUNCTION("""COMPUTED_VALUE"""),"Лидерът като фактор за въздействие срещу проявите на тероризма в съвременна Европа")</f>
        <v>Лидерът като фактор за въздействие срещу проявите на тероризма в съвременна Европа</v>
      </c>
      <c r="D6654" s="10">
        <f ca="1">IFERROR(__xludf.DUMMYFUNCTION("""COMPUTED_VALUE"""),2014)</f>
        <v>2014</v>
      </c>
      <c r="E6654" s="10" t="str">
        <f ca="1">IFERROR(__xludf.DUMMYFUNCTION("""COMPUTED_VALUE"""),"Сборник с доклади от научна конференция „Геостратегическата ситуация и бежанските вълни – между хуманизма и агресията“, София, 2")</f>
        <v>Сборник с доклади от научна конференция „Геостратегическата ситуация и бежанските вълни – между хуманизма и агресията“, София, 2</v>
      </c>
      <c r="F6654" s="10"/>
      <c r="G6654" s="10"/>
      <c r="H6654" s="10"/>
      <c r="I6654" s="10"/>
      <c r="J6654" s="10"/>
      <c r="K6654" s="10"/>
      <c r="L6654" s="10"/>
      <c r="M6654" s="10"/>
      <c r="N6654" s="10"/>
      <c r="O6654" s="10"/>
      <c r="P6654" s="10"/>
      <c r="Q6654" s="10"/>
      <c r="R6654" s="10"/>
      <c r="S6654" s="10"/>
      <c r="T6654" s="10"/>
      <c r="U6654" s="10"/>
      <c r="V6654" s="10"/>
      <c r="W6654" s="10"/>
      <c r="X6654" s="10"/>
      <c r="Y6654" s="10"/>
      <c r="Z6654" s="10"/>
    </row>
    <row r="6655" spans="1:26" ht="12.75">
      <c r="A6655" s="10" t="str">
        <f ca="1">IFERROR(__xludf.DUMMYFUNCTION("""COMPUTED_VALUE"""),"Сергей Тодоров Модев")</f>
        <v>Сергей Тодоров Модев</v>
      </c>
      <c r="B6655" s="10" t="str">
        <f ca="1">IFERROR(__xludf.DUMMYFUNCTION("""COMPUTED_VALUE"""),"Статия в списания и поредици")</f>
        <v>Статия в списания и поредици</v>
      </c>
      <c r="C6655" s="10" t="str">
        <f ca="1">IFERROR(__xludf.DUMMYFUNCTION("""COMPUTED_VALUE"""),"Влияние на лидерските умения за осъществяване на растеж в организациите, ангажирани с борбата срещу тероризма")</f>
        <v>Влияние на лидерските умения за осъществяване на растеж в организациите, ангажирани с борбата срещу тероризма</v>
      </c>
      <c r="D6655" s="10">
        <f ca="1">IFERROR(__xludf.DUMMYFUNCTION("""COMPUTED_VALUE"""),2014)</f>
        <v>2014</v>
      </c>
      <c r="E6655" s="10" t="str">
        <f ca="1">IFERROR(__xludf.DUMMYFUNCTION("""COMPUTED_VALUE"""),"Сборник научни разработки на млади научни работници, Благоевград, 2014.")</f>
        <v>Сборник научни разработки на млади научни работници, Благоевград, 2014.</v>
      </c>
      <c r="F6655" s="10"/>
      <c r="G6655" s="10"/>
      <c r="H6655" s="10"/>
      <c r="I6655" s="10"/>
      <c r="J6655" s="10"/>
      <c r="K6655" s="10"/>
      <c r="L6655" s="10"/>
      <c r="M6655" s="10"/>
      <c r="N6655" s="10"/>
      <c r="O6655" s="10"/>
      <c r="P6655" s="10"/>
      <c r="Q6655" s="10"/>
      <c r="R6655" s="10"/>
      <c r="S6655" s="10"/>
      <c r="T6655" s="10"/>
      <c r="U6655" s="10"/>
      <c r="V6655" s="10"/>
      <c r="W6655" s="10"/>
      <c r="X6655" s="10"/>
      <c r="Y6655" s="10"/>
      <c r="Z6655" s="10"/>
    </row>
    <row r="6656" spans="1:26" ht="12.75">
      <c r="A6656" s="10" t="str">
        <f ca="1">IFERROR(__xludf.DUMMYFUNCTION("""COMPUTED_VALUE"""),"Сергей Тодоров Модев")</f>
        <v>Сергей Тодоров Модев</v>
      </c>
      <c r="B6656" s="10" t="str">
        <f ca="1">IFERROR(__xludf.DUMMYFUNCTION("""COMPUTED_VALUE"""),"Статия в списания и поредици")</f>
        <v>Статия в списания и поредици</v>
      </c>
      <c r="C6656" s="10" t="str">
        <f ca="1">IFERROR(__xludf.DUMMYFUNCTION("""COMPUTED_VALUE"""),"Убеждаващата публичност на управленските информационни системи като модерна форма на комуникация и тяхната еволюция /лидерски качества и перспективи/")</f>
        <v>Убеждаващата публичност на управленските информационни системи като модерна форма на комуникация и тяхната еволюция /лидерски качества и перспективи/</v>
      </c>
      <c r="D6656" s="10">
        <f ca="1">IFERROR(__xludf.DUMMYFUNCTION("""COMPUTED_VALUE"""),2014)</f>
        <v>2014</v>
      </c>
      <c r="E6656" s="10" t="str">
        <f ca="1">IFERROR(__xludf.DUMMYFUNCTION("""COMPUTED_VALUE"""),"Сборник от конференция с международно участие „Новите информационни технологии и проблемите на съвременния свят“, изд. Болид, С.")</f>
        <v>Сборник от конференция с международно участие „Новите информационни технологии и проблемите на съвременния свят“, изд. Болид, С.</v>
      </c>
      <c r="F6656" s="10"/>
      <c r="G6656" s="10"/>
      <c r="H6656" s="10"/>
      <c r="I6656" s="10"/>
      <c r="J6656" s="10"/>
      <c r="K6656" s="10"/>
      <c r="L6656" s="10"/>
      <c r="M6656" s="10"/>
      <c r="N6656" s="10"/>
      <c r="O6656" s="10"/>
      <c r="P6656" s="10"/>
      <c r="Q6656" s="10"/>
      <c r="R6656" s="10"/>
      <c r="S6656" s="10"/>
      <c r="T6656" s="10"/>
      <c r="U6656" s="10"/>
      <c r="V6656" s="10"/>
      <c r="W6656" s="10"/>
      <c r="X6656" s="10"/>
      <c r="Y6656" s="10"/>
      <c r="Z6656" s="10"/>
    </row>
    <row r="6657" spans="1:26" ht="12.75">
      <c r="A6657" s="10" t="str">
        <f ca="1">IFERROR(__xludf.DUMMYFUNCTION("""COMPUTED_VALUE"""),"Сергей Тодоров Модев")</f>
        <v>Сергей Тодоров Модев</v>
      </c>
      <c r="B6657" s="10" t="str">
        <f ca="1">IFERROR(__xludf.DUMMYFUNCTION("""COMPUTED_VALUE"""),"Статия в списания и поредици")</f>
        <v>Статия в списания и поредици</v>
      </c>
      <c r="C6657" s="10" t="str">
        <f ca="1">IFERROR(__xludf.DUMMYFUNCTION("""COMPUTED_VALUE"""),"Информационните технологии-база за нова образователна среда в продължаващото обучение")</f>
        <v>Информационните технологии-база за нова образователна среда в продължаващото обучение</v>
      </c>
      <c r="D6657" s="10">
        <f ca="1">IFERROR(__xludf.DUMMYFUNCTION("""COMPUTED_VALUE"""),2014)</f>
        <v>2014</v>
      </c>
      <c r="E6657" s="10" t="str">
        <f ca="1">IFERROR(__xludf.DUMMYFUNCTION("""COMPUTED_VALUE"""),"сп. Погледи, год. II, брой 4, Лесковац, 2014.")</f>
        <v>сп. Погледи, год. II, брой 4, Лесковац, 2014.</v>
      </c>
      <c r="F6657" s="10"/>
      <c r="G6657" s="10" t="str">
        <f ca="1">IFERROR(__xludf.DUMMYFUNCTION("""COMPUTED_VALUE"""),"Мариела Нанкова")</f>
        <v>Мариела Нанкова</v>
      </c>
      <c r="H6657" s="10"/>
      <c r="I6657" s="10"/>
      <c r="J6657" s="10"/>
      <c r="K6657" s="10"/>
      <c r="L6657" s="10"/>
      <c r="M6657" s="10"/>
      <c r="N6657" s="10"/>
      <c r="O6657" s="10"/>
      <c r="P6657" s="10"/>
      <c r="Q6657" s="10"/>
      <c r="R6657" s="10"/>
      <c r="S6657" s="10"/>
      <c r="T6657" s="10"/>
      <c r="U6657" s="10"/>
      <c r="V6657" s="10"/>
      <c r="W6657" s="10"/>
      <c r="X6657" s="10"/>
      <c r="Y6657" s="10"/>
      <c r="Z6657" s="10"/>
    </row>
    <row r="6658" spans="1:26" ht="12.75">
      <c r="A6658" s="10" t="str">
        <f ca="1">IFERROR(__xludf.DUMMYFUNCTION("""COMPUTED_VALUE"""),"Силвия Красимирова Калчева")</f>
        <v>Силвия Красимирова Калчева</v>
      </c>
      <c r="B6658" s="10" t="str">
        <f ca="1">IFERROR(__xludf.DUMMYFUNCTION("""COMPUTED_VALUE"""),"Книга")</f>
        <v>Книга</v>
      </c>
      <c r="C6658" s="10" t="str">
        <f ca="1">IFERROR(__xludf.DUMMYFUNCTION("""COMPUTED_VALUE"""),"Методи за информационен анализ")</f>
        <v>Методи за информационен анализ</v>
      </c>
      <c r="D6658" s="10">
        <f ca="1">IFERROR(__xludf.DUMMYFUNCTION("""COMPUTED_VALUE"""),2015)</f>
        <v>2015</v>
      </c>
      <c r="E6658" s="10" t="str">
        <f ca="1">IFERROR(__xludf.DUMMYFUNCTION("""COMPUTED_VALUE"""),"София: Софттрейд, 2015. ISBN: 978-954-334-167-2. COBISS.BG-ID: 1280223716.")</f>
        <v>София: Софттрейд, 2015. ISBN: 978-954-334-167-2. COBISS.BG-ID: 1280223716.</v>
      </c>
      <c r="F6658" s="10" t="str">
        <f ca="1">IFERROR(__xludf.DUMMYFUNCTION("""COMPUTED_VALUE"""),"COBISS.BG-ID: 1280223716")</f>
        <v>COBISS.BG-ID: 1280223716</v>
      </c>
      <c r="G6658" s="10"/>
      <c r="H6658" s="10"/>
      <c r="I6658" s="10"/>
      <c r="J6658" s="10"/>
      <c r="K6658" s="10"/>
      <c r="L6658" s="10"/>
      <c r="M6658" s="10"/>
      <c r="N6658" s="10"/>
      <c r="O6658" s="10"/>
      <c r="P6658" s="10"/>
      <c r="Q6658" s="10"/>
      <c r="R6658" s="10"/>
      <c r="S6658" s="10"/>
      <c r="T6658" s="10"/>
      <c r="U6658" s="10"/>
      <c r="V6658" s="10"/>
      <c r="W6658" s="10"/>
      <c r="X6658" s="10"/>
      <c r="Y6658" s="10"/>
      <c r="Z6658" s="10"/>
    </row>
    <row r="6659" spans="1:26" ht="12.75">
      <c r="A6659" s="10" t="str">
        <f ca="1">IFERROR(__xludf.DUMMYFUNCTION("""COMPUTED_VALUE"""),"Силвия Красимирова Калчева")</f>
        <v>Силвия Красимирова Калчева</v>
      </c>
      <c r="B6659" s="10" t="str">
        <f ca="1">IFERROR(__xludf.DUMMYFUNCTION("""COMPUTED_VALUE"""),"Доклад от конференция")</f>
        <v>Доклад от конференция</v>
      </c>
      <c r="C6659" s="10" t="str">
        <f ca="1">IFERROR(__xludf.DUMMYFUNCTION("""COMPUTED_VALUE"""),"Диагностика на зрелостта на управлението на знания в системата за национална сигурност.")</f>
        <v>Диагностика на зрелостта на управлението на знания в системата за национална сигурност.</v>
      </c>
      <c r="D6659" s="10">
        <f ca="1">IFERROR(__xludf.DUMMYFUNCTION("""COMPUTED_VALUE"""),2014)</f>
        <v>2014</v>
      </c>
      <c r="E6659" s="10" t="str">
        <f ca="1">IFERROR(__xludf.DUMMYFUNCTION("""COMPUTED_VALUE"""),"В: I научна конференция. София: За буквите - О писменехь, 2014. с. 211-219. COBISS.BG-ID: 1282615524")</f>
        <v>В: I научна конференция. София: За буквите - О писменехь, 2014. с. 211-219. COBISS.BG-ID: 1282615524</v>
      </c>
      <c r="F6659" s="10" t="str">
        <f ca="1">IFERROR(__xludf.DUMMYFUNCTION("""COMPUTED_VALUE"""),"COBISS.BG-ID: 1282615524")</f>
        <v>COBISS.BG-ID: 1282615524</v>
      </c>
      <c r="G6659" s="10"/>
      <c r="H6659" s="10"/>
      <c r="I6659" s="10"/>
      <c r="J6659" s="10"/>
      <c r="K6659" s="10"/>
      <c r="L6659" s="10"/>
      <c r="M6659" s="10"/>
      <c r="N6659" s="10"/>
      <c r="O6659" s="10"/>
      <c r="P6659" s="10"/>
      <c r="Q6659" s="10"/>
      <c r="R6659" s="10"/>
      <c r="S6659" s="10"/>
      <c r="T6659" s="10"/>
      <c r="U6659" s="10"/>
      <c r="V6659" s="10"/>
      <c r="W6659" s="10"/>
      <c r="X6659" s="10"/>
      <c r="Y6659" s="10"/>
      <c r="Z6659" s="10"/>
    </row>
    <row r="6660" spans="1:26" ht="12.75">
      <c r="A6660" s="10" t="str">
        <f ca="1">IFERROR(__xludf.DUMMYFUNCTION("""COMPUTED_VALUE"""),"Силвия Красимирова Калчева")</f>
        <v>Силвия Красимирова Калчева</v>
      </c>
      <c r="B6660" s="10" t="str">
        <f ca="1">IFERROR(__xludf.DUMMYFUNCTION("""COMPUTED_VALUE"""),"Статия в списания и поредици")</f>
        <v>Статия в списания и поредици</v>
      </c>
      <c r="C6660" s="10" t="str">
        <f ca="1">IFERROR(__xludf.DUMMYFUNCTION("""COMPUTED_VALUE"""),"Ефективното управление на знания - необходимост и конкурентно предимство за организациите от ХХІ век.")</f>
        <v>Ефективното управление на знания - необходимост и конкурентно предимство за организациите от ХХІ век.</v>
      </c>
      <c r="D6660" s="10">
        <f ca="1">IFERROR(__xludf.DUMMYFUNCTION("""COMPUTED_VALUE"""),2013)</f>
        <v>2013</v>
      </c>
      <c r="E6660" s="10" t="str">
        <f ca="1">IFERROR(__xludf.DUMMYFUNCTION("""COMPUTED_VALUE"""),"В сб. ""Обществото на знанието и хуманизмът на XXI век: национална научна конференция с международно участие"". – София, изд. За буквите - О писменехь, 2013 г., стр. 628-633. – ISSN 1314-7099. УДК 316.43""20"" 65.01, COBISS.BG-ID: 1255903716")</f>
        <v>В сб. "Обществото на знанието и хуманизмът на XXI век: национална научна конференция с международно участие". – София, изд. За буквите - О писменехь, 2013 г., стр. 628-633. – ISSN 1314-7099. УДК 316.43"20" 65.01, COBISS.BG-ID: 1255903716</v>
      </c>
      <c r="F6660" s="10" t="str">
        <f ca="1">IFERROR(__xludf.DUMMYFUNCTION("""COMPUTED_VALUE"""),"COBISS.BG-ID: 1255903716")</f>
        <v>COBISS.BG-ID: 1255903716</v>
      </c>
      <c r="G6660" s="10"/>
      <c r="H6660" s="10"/>
      <c r="I6660" s="10"/>
      <c r="J6660" s="10"/>
      <c r="K6660" s="10"/>
      <c r="L6660" s="10"/>
      <c r="M6660" s="10"/>
      <c r="N6660" s="10"/>
      <c r="O6660" s="10"/>
      <c r="P6660" s="10"/>
      <c r="Q6660" s="10"/>
      <c r="R6660" s="10"/>
      <c r="S6660" s="10"/>
      <c r="T6660" s="10"/>
      <c r="U6660" s="10"/>
      <c r="V6660" s="10"/>
      <c r="W6660" s="10"/>
      <c r="X6660" s="10"/>
      <c r="Y6660" s="10"/>
      <c r="Z6660" s="10"/>
    </row>
    <row r="6661" spans="1:26" ht="12.75">
      <c r="A6661" s="10" t="str">
        <f ca="1">IFERROR(__xludf.DUMMYFUNCTION("""COMPUTED_VALUE"""),"Силвия Красимирова Калчева")</f>
        <v>Силвия Красимирова Калчева</v>
      </c>
      <c r="B6661" s="10" t="str">
        <f ca="1">IFERROR(__xludf.DUMMYFUNCTION("""COMPUTED_VALUE"""),"Книга")</f>
        <v>Книга</v>
      </c>
      <c r="C6661" s="10" t="str">
        <f ca="1">IFERROR(__xludf.DUMMYFUNCTION("""COMPUTED_VALUE"""),"Структурно–функционален анализ и синтез на архитектура на система за оценка на ефективността на обучение на докторанти в университетски структури.")</f>
        <v>Структурно–функционален анализ и синтез на архитектура на система за оценка на ефективността на обучение на докторанти в университетски структури.</v>
      </c>
      <c r="D6661" s="10">
        <f ca="1">IFERROR(__xludf.DUMMYFUNCTION("""COMPUTED_VALUE"""),2013)</f>
        <v>2013</v>
      </c>
      <c r="E6661" s="10" t="str">
        <f ca="1">IFERROR(__xludf.DUMMYFUNCTION("""COMPUTED_VALUE"""),"Първо, 2013 г., ISBN 978-954-334-155-9")</f>
        <v>Първо, 2013 г., ISBN 978-954-334-155-9</v>
      </c>
      <c r="F6661" s="10"/>
      <c r="G6661" s="10" t="str">
        <f ca="1">IFERROR(__xludf.DUMMYFUNCTION("""COMPUTED_VALUE"""),"Митев, А., Павлова, Д., Димитров, Д.")</f>
        <v>Митев, А., Павлова, Д., Димитров, Д.</v>
      </c>
      <c r="H6661" s="10"/>
      <c r="I6661" s="10"/>
      <c r="J6661" s="10"/>
      <c r="K6661" s="10"/>
      <c r="L6661" s="10"/>
      <c r="M6661" s="10"/>
      <c r="N6661" s="10"/>
      <c r="O6661" s="10"/>
      <c r="P6661" s="10"/>
      <c r="Q6661" s="10"/>
      <c r="R6661" s="10"/>
      <c r="S6661" s="10"/>
      <c r="T6661" s="10"/>
      <c r="U6661" s="10"/>
      <c r="V6661" s="10"/>
      <c r="W6661" s="10"/>
      <c r="X6661" s="10"/>
      <c r="Y6661" s="10"/>
      <c r="Z6661" s="10"/>
    </row>
    <row r="6662" spans="1:26" ht="12.75">
      <c r="A6662" s="10" t="str">
        <f ca="1">IFERROR(__xludf.DUMMYFUNCTION("""COMPUTED_VALUE"""),"Силвия Красимирова Калчева")</f>
        <v>Силвия Красимирова Калчева</v>
      </c>
      <c r="B6662" s="10" t="str">
        <f ca="1">IFERROR(__xludf.DUMMYFUNCTION("""COMPUTED_VALUE"""),"Книга")</f>
        <v>Книга</v>
      </c>
      <c r="C6662" s="10" t="str">
        <f ca="1">IFERROR(__xludf.DUMMYFUNCTION("""COMPUTED_VALUE"""),"Оценка на ефективността на управлението на знания в сектора за сигурност")</f>
        <v>Оценка на ефективността на управлението на знания в сектора за сигурност</v>
      </c>
      <c r="D6662" s="10">
        <f ca="1">IFERROR(__xludf.DUMMYFUNCTION("""COMPUTED_VALUE"""),2013)</f>
        <v>2013</v>
      </c>
      <c r="E6662" s="10" t="str">
        <f ca="1">IFERROR(__xludf.DUMMYFUNCTION("""COMPUTED_VALUE"""),"София: Софттрейд, 2013. ISBN 978-954-334-154-0. COBISS.BG-ID: 1255914212")</f>
        <v>София: Софттрейд, 2013. ISBN 978-954-334-154-0. COBISS.BG-ID: 1255914212</v>
      </c>
      <c r="F6662" s="10" t="str">
        <f ca="1">IFERROR(__xludf.DUMMYFUNCTION("""COMPUTED_VALUE"""),"COBISS.BG-ID: 1255914212")</f>
        <v>COBISS.BG-ID: 1255914212</v>
      </c>
      <c r="G6662" s="10"/>
      <c r="H6662" s="10"/>
      <c r="I6662" s="10"/>
      <c r="J6662" s="10"/>
      <c r="K6662" s="10"/>
      <c r="L6662" s="10"/>
      <c r="M6662" s="10"/>
      <c r="N6662" s="10"/>
      <c r="O6662" s="10"/>
      <c r="P6662" s="10"/>
      <c r="Q6662" s="10"/>
      <c r="R6662" s="10"/>
      <c r="S6662" s="10"/>
      <c r="T6662" s="10"/>
      <c r="U6662" s="10"/>
      <c r="V6662" s="10"/>
      <c r="W6662" s="10"/>
      <c r="X6662" s="10"/>
      <c r="Y6662" s="10"/>
      <c r="Z6662" s="10"/>
    </row>
    <row r="6663" spans="1:26" ht="12.75">
      <c r="A6663" s="10" t="str">
        <f ca="1">IFERROR(__xludf.DUMMYFUNCTION("""COMPUTED_VALUE"""),"Силвия Красимирова Калчева")</f>
        <v>Силвия Красимирова Калчева</v>
      </c>
      <c r="B6663" s="10" t="str">
        <f ca="1">IFERROR(__xludf.DUMMYFUNCTION("""COMPUTED_VALUE"""),"Доклад от конференция")</f>
        <v>Доклад от конференция</v>
      </c>
      <c r="C6663" s="10" t="str">
        <f ca="1">IFERROR(__xludf.DUMMYFUNCTION("""COMPUTED_VALUE"""),"Оценяване на университети чрез балансирана система от показатели за ефективност")</f>
        <v>Оценяване на университети чрез балансирана система от показатели за ефективност</v>
      </c>
      <c r="D6663" s="10">
        <f ca="1">IFERROR(__xludf.DUMMYFUNCTION("""COMPUTED_VALUE"""),2013)</f>
        <v>2013</v>
      </c>
      <c r="E6663" s="10" t="str">
        <f ca="1">IFERROR(__xludf.DUMMYFUNCTION("""COMPUTED_VALUE"""),"В: Обществото на знанието и хуманизмът на XXI в. София: За буквите - О писменехь, 2014. с. 524-530. COBISS.BG-ID: 1273927396")</f>
        <v>В: Обществото на знанието и хуманизмът на XXI в. София: За буквите - О писменехь, 2014. с. 524-530. COBISS.BG-ID: 1273927396</v>
      </c>
      <c r="F6663" s="10" t="str">
        <f ca="1">IFERROR(__xludf.DUMMYFUNCTION("""COMPUTED_VALUE"""),"COBISS.BG-ID: 1273927396")</f>
        <v>COBISS.BG-ID: 1273927396</v>
      </c>
      <c r="G6663" s="10" t="str">
        <f ca="1">IFERROR(__xludf.DUMMYFUNCTION("""COMPUTED_VALUE"""),"Атанас Митев, Николай Митев")</f>
        <v>Атанас Митев, Николай Митев</v>
      </c>
      <c r="H6663" s="10"/>
      <c r="I6663" s="10"/>
      <c r="J6663" s="10"/>
      <c r="K6663" s="10"/>
      <c r="L6663" s="10"/>
      <c r="M6663" s="10"/>
      <c r="N6663" s="10"/>
      <c r="O6663" s="10"/>
      <c r="P6663" s="10"/>
      <c r="Q6663" s="10"/>
      <c r="R6663" s="10"/>
      <c r="S6663" s="10"/>
      <c r="T6663" s="10"/>
      <c r="U6663" s="10"/>
      <c r="V6663" s="10"/>
      <c r="W6663" s="10"/>
      <c r="X6663" s="10"/>
      <c r="Y6663" s="10"/>
      <c r="Z6663" s="10"/>
    </row>
    <row r="6664" spans="1:26" ht="12.75">
      <c r="A6664" s="10" t="str">
        <f ca="1">IFERROR(__xludf.DUMMYFUNCTION("""COMPUTED_VALUE"""),"Силвия Красимирова Калчева")</f>
        <v>Силвия Красимирова Калчева</v>
      </c>
      <c r="B6664" s="10" t="str">
        <f ca="1">IFERROR(__xludf.DUMMYFUNCTION("""COMPUTED_VALUE"""),"Статия в списания и поредици")</f>
        <v>Статия в списания и поредици</v>
      </c>
      <c r="C6664" s="10" t="str">
        <f ca="1">IFERROR(__xludf.DUMMYFUNCTION("""COMPUTED_VALUE"""),"Knowledge Portal with Virtual Library on Security Studies. Series: NATO Science for Peace and Security Series - E: Human and Societal Dynamics.")</f>
        <v>Knowledge Portal with Virtual Library on Security Studies. Series: NATO Science for Peace and Security Series - E: Human and Societal Dynamics.</v>
      </c>
      <c r="D6664" s="10">
        <f ca="1">IFERROR(__xludf.DUMMYFUNCTION("""COMPUTED_VALUE"""),2011)</f>
        <v>2011</v>
      </c>
      <c r="E6664" s="10" t="str">
        <f ca="1">IFERROR(__xludf.DUMMYFUNCTION("""COMPUTED_VALUE"""),"Ebook: Volume 83: Theoretical and Technical Perspectives on Security Sector Governance from the Adriatic to the Caspian Sea. IOS Press BV, 2011, pp. 107 – 117. ISBN 978-1-60750-768-0 (online). ISBN 978-1-60750-768-3; DOI 10.3233/978-1-60750-768-0-107.")</f>
        <v>Ebook: Volume 83: Theoretical and Technical Perspectives on Security Sector Governance from the Adriatic to the Caspian Sea. IOS Press BV, 2011, pp. 107 – 117. ISBN 978-1-60750-768-0 (online). ISBN 978-1-60750-768-3; DOI 10.3233/978-1-60750-768-0-107.</v>
      </c>
      <c r="F6664" s="10"/>
      <c r="G6664" s="10" t="str">
        <f ca="1">IFERROR(__xludf.DUMMYFUNCTION("""COMPUTED_VALUE"""),"Shalamanov, V., A. Semerdjiev,")</f>
        <v>Shalamanov, V., A. Semerdjiev,</v>
      </c>
      <c r="H6664" s="10"/>
      <c r="I6664" s="10"/>
      <c r="J6664" s="10"/>
      <c r="K6664" s="10"/>
      <c r="L6664" s="10"/>
      <c r="M6664" s="10"/>
      <c r="N6664" s="10"/>
      <c r="O6664" s="10"/>
      <c r="P6664" s="10"/>
      <c r="Q6664" s="10"/>
      <c r="R6664" s="10"/>
      <c r="S6664" s="10"/>
      <c r="T6664" s="10"/>
      <c r="U6664" s="10"/>
      <c r="V6664" s="10"/>
      <c r="W6664" s="10"/>
      <c r="X6664" s="10"/>
      <c r="Y6664" s="10"/>
      <c r="Z6664" s="10"/>
    </row>
    <row r="6665" spans="1:26" ht="12.75">
      <c r="A6665" s="10" t="str">
        <f ca="1">IFERROR(__xludf.DUMMYFUNCTION("""COMPUTED_VALUE"""),"Силвия Станчева Станчева")</f>
        <v>Силвия Станчева Станчева</v>
      </c>
      <c r="B6665" s="10" t="str">
        <f ca="1">IFERROR(__xludf.DUMMYFUNCTION("""COMPUTED_VALUE"""),"Доклад от конференция")</f>
        <v>Доклад от конференция</v>
      </c>
      <c r="C6665" s="10" t="str">
        <f ca="1">IFERROR(__xludf.DUMMYFUNCTION("""COMPUTED_VALUE"""),"The academic educational environment as a factor of impact in the creative industry")</f>
        <v>The academic educational environment as a factor of impact in the creative industry</v>
      </c>
      <c r="D6665" s="10">
        <f ca="1">IFERROR(__xludf.DUMMYFUNCTION("""COMPUTED_VALUE"""),2020)</f>
        <v>2020</v>
      </c>
      <c r="E6665" s="10" t="str">
        <f ca="1">IFERROR(__xludf.DUMMYFUNCTION("""COMPUTED_VALUE"""),"Book of Abstracts of the 12th Qualitative and Quantitative Methods in LibrariesInternational Conference, Virtual: May 26-29, 2020, рр. 9-10. ISSN 2241-1925")</f>
        <v>Book of Abstracts of the 12th Qualitative and Quantitative Methods in LibrariesInternational Conference, Virtual: May 26-29, 2020, рр. 9-10. ISSN 2241-1925</v>
      </c>
      <c r="F6665" s="28" t="str">
        <f ca="1">IFERROR(__xludf.DUMMYFUNCTION("""COMPUTED_VALUE"""),"http://qqml.org/wp-content/uploads/2017/09/Book-of-Abstracts-26-5-2020-.pdf")</f>
        <v>http://qqml.org/wp-content/uploads/2017/09/Book-of-Abstracts-26-5-2020-.pdf</v>
      </c>
      <c r="G6665" s="10" t="str">
        <f ca="1">IFERROR(__xludf.DUMMYFUNCTION("""COMPUTED_VALUE"""),"Ivanka Pavlova, Silvia Stancheva, Tsvetomira Mikovska")</f>
        <v>Ivanka Pavlova, Silvia Stancheva, Tsvetomira Mikovska</v>
      </c>
      <c r="H6665" s="10"/>
      <c r="I6665" s="10"/>
      <c r="J6665" s="10"/>
      <c r="K6665" s="10"/>
      <c r="L6665" s="10"/>
      <c r="M6665" s="10"/>
      <c r="N6665" s="10"/>
      <c r="O6665" s="10"/>
      <c r="P6665" s="10"/>
      <c r="Q6665" s="10"/>
      <c r="R6665" s="10"/>
      <c r="S6665" s="10"/>
      <c r="T6665" s="10"/>
      <c r="U6665" s="10"/>
      <c r="V6665" s="10"/>
      <c r="W6665" s="10"/>
      <c r="X6665" s="10"/>
      <c r="Y6665" s="10"/>
      <c r="Z6665" s="10"/>
    </row>
    <row r="6666" spans="1:26" ht="12.75">
      <c r="A6666" s="10" t="str">
        <f ca="1">IFERROR(__xludf.DUMMYFUNCTION("""COMPUTED_VALUE"""),"Силвия Станчева Станчева")</f>
        <v>Силвия Станчева Станчева</v>
      </c>
      <c r="B6666" s="10" t="str">
        <f ca="1">IFERROR(__xludf.DUMMYFUNCTION("""COMPUTED_VALUE"""),"Статия в списания и поредици")</f>
        <v>Статия в списания и поредици</v>
      </c>
      <c r="C6666" s="10" t="str">
        <f ca="1">IFERROR(__xludf.DUMMYFUNCTION("""COMPUTED_VALUE"""),"Интерактивната образователна среда в условията на COVID-19")</f>
        <v>Интерактивната образователна среда в условията на COVID-19</v>
      </c>
      <c r="D6666" s="10">
        <f ca="1">IFERROR(__xludf.DUMMYFUNCTION("""COMPUTED_VALUE"""),2020)</f>
        <v>2020</v>
      </c>
      <c r="E6666" s="10" t="str">
        <f ca="1">IFERROR(__xludf.DUMMYFUNCTION("""COMPUTED_VALUE"""),"Научни трудове на УниБИТ, том 18, 2020 ISSN 1314-2623")</f>
        <v>Научни трудове на УниБИТ, том 18, 2020 ISSN 1314-2623</v>
      </c>
      <c r="F6666" s="10" t="str">
        <f ca="1">IFERROR(__xludf.DUMMYFUNCTION("""COMPUTED_VALUE"""),"(под печат)")</f>
        <v>(под печат)</v>
      </c>
      <c r="G6666" s="10" t="str">
        <f ca="1">IFERROR(__xludf.DUMMYFUNCTION("""COMPUTED_VALUE"""),"Силвия Станчева, Боряна Хаджиева")</f>
        <v>Силвия Станчева, Боряна Хаджиева</v>
      </c>
      <c r="H6666" s="10"/>
      <c r="I6666" s="10"/>
      <c r="J6666" s="10"/>
      <c r="K6666" s="10"/>
      <c r="L6666" s="10"/>
      <c r="M6666" s="10"/>
      <c r="N6666" s="10"/>
      <c r="O6666" s="10"/>
      <c r="P6666" s="10"/>
      <c r="Q6666" s="10"/>
      <c r="R6666" s="10"/>
      <c r="S6666" s="10"/>
      <c r="T6666" s="10"/>
      <c r="U6666" s="10"/>
      <c r="V6666" s="10"/>
      <c r="W6666" s="10"/>
      <c r="X6666" s="10"/>
      <c r="Y6666" s="10"/>
      <c r="Z6666" s="10"/>
    </row>
    <row r="6667" spans="1:26" ht="12.75">
      <c r="A6667" s="10" t="str">
        <f ca="1">IFERROR(__xludf.DUMMYFUNCTION("""COMPUTED_VALUE"""),"Силвия Станчева Станчева")</f>
        <v>Силвия Станчева Станчева</v>
      </c>
      <c r="B6667" s="10" t="str">
        <f ca="1">IFERROR(__xludf.DUMMYFUNCTION("""COMPUTED_VALUE"""),"Доклад от конференция")</f>
        <v>Доклад от конференция</v>
      </c>
      <c r="C6667" s="10" t="str">
        <f ca="1">IFERROR(__xludf.DUMMYFUNCTION("""COMPUTED_VALUE"""),"Неделните училища като начин за популяризиране на християнските храмове в България сред подрастващите")</f>
        <v>Неделните училища като начин за популяризиране на християнските храмове в България сред подрастващите</v>
      </c>
      <c r="D6667" s="10">
        <f ca="1">IFERROR(__xludf.DUMMYFUNCTION("""COMPUTED_VALUE"""),2020)</f>
        <v>2020</v>
      </c>
      <c r="E6667" s="10" t="str">
        <f ca="1">IFERROR(__xludf.DUMMYFUNCTION("""COMPUTED_VALUE"""),"XVIII национална научна конференция с международно участие ""Обществото на знанието и хуманизмът на XXI век"". с. 402-410. ISSN 2683-0094")</f>
        <v>XVIII национална научна конференция с международно участие "Обществото на знанието и хуманизмът на XXI век". с. 402-410. ISSN 2683-0094</v>
      </c>
      <c r="F6667" s="10"/>
      <c r="G6667" s="10" t="str">
        <f ca="1">IFERROR(__xludf.DUMMYFUNCTION("""COMPUTED_VALUE"""),"Мария Николова, Силвия Станчева, Вяра Николова""")</f>
        <v>Мария Николова, Силвия Станчева, Вяра Николова"</v>
      </c>
      <c r="H6667" s="10"/>
      <c r="I6667" s="10"/>
      <c r="J6667" s="10"/>
      <c r="K6667" s="10"/>
      <c r="L6667" s="10"/>
      <c r="M6667" s="10"/>
      <c r="N6667" s="10"/>
      <c r="O6667" s="10"/>
      <c r="P6667" s="10"/>
      <c r="Q6667" s="10"/>
      <c r="R6667" s="10"/>
      <c r="S6667" s="10"/>
      <c r="T6667" s="10"/>
      <c r="U6667" s="10"/>
      <c r="V6667" s="10"/>
      <c r="W6667" s="10"/>
      <c r="X6667" s="10"/>
      <c r="Y6667" s="10"/>
      <c r="Z6667" s="10"/>
    </row>
    <row r="6668" spans="1:26" ht="12.75">
      <c r="A6668" s="10" t="str">
        <f ca="1">IFERROR(__xludf.DUMMYFUNCTION("""COMPUTED_VALUE"""),"Силвия Станчева Станчева")</f>
        <v>Силвия Станчева Станчева</v>
      </c>
      <c r="B6668" s="10" t="str">
        <f ca="1">IFERROR(__xludf.DUMMYFUNCTION("""COMPUTED_VALUE"""),"Статия в списания и поредици")</f>
        <v>Статия в списания и поредици</v>
      </c>
      <c r="C6668" s="10" t="str">
        <f ca="1">IFERROR(__xludf.DUMMYFUNCTION("""COMPUTED_VALUE"""),"Modern skills and convergent environment – swot analysis, trends and challenges in vocational education and training. a bulgarian experience")</f>
        <v>Modern skills and convergent environment – swot analysis, trends and challenges in vocational education and training. a bulgarian experience</v>
      </c>
      <c r="D6668" s="10">
        <f ca="1">IFERROR(__xludf.DUMMYFUNCTION("""COMPUTED_VALUE"""),2019)</f>
        <v>2019</v>
      </c>
      <c r="E6668" s="10" t="str">
        <f ca="1">IFERROR(__xludf.DUMMYFUNCTION("""COMPUTED_VALUE"""),"Proceedings of EDULEARN19 Conference 1nd-3th July 2019, Palma, Mallorca, Spain: 11th annual International Conference on Education and New Learning Technologies, Palma de Mallorca (Spain), 2019, pp. : 3130-3139 ISBN 978-84-09-12031-4 ISSN: 2340-1117 doi: 1"&amp;"0.21125/edulearn.2019.0847")</f>
        <v>Proceedings of EDULEARN19 Conference 1nd-3th July 2019, Palma, Mallorca, Spain: 11th annual International Conference on Education and New Learning Technologies, Palma de Mallorca (Spain), 2019, pp. : 3130-3139 ISBN 978-84-09-12031-4 ISSN: 2340-1117 doi: 10.21125/edulearn.2019.0847</v>
      </c>
      <c r="F6668" s="10" t="str">
        <f ca="1">IFERROR(__xludf.DUMMYFUNCTION("""COMPUTED_VALUE"""),"ISI Conference Proceedings Citation Index (ISI CPCI), Crossref, Clarivate Analytics, Web of Science")</f>
        <v>ISI Conference Proceedings Citation Index (ISI CPCI), Crossref, Clarivate Analytics, Web of Science</v>
      </c>
      <c r="G6668" s="10" t="str">
        <f ca="1">IFERROR(__xludf.DUMMYFUNCTION("""COMPUTED_VALUE"""),"R. Vasileva, I. Yankova")</f>
        <v>R. Vasileva, I. Yankova</v>
      </c>
      <c r="H6668" s="10"/>
      <c r="I6668" s="10"/>
      <c r="J6668" s="10"/>
      <c r="K6668" s="10"/>
      <c r="L6668" s="10"/>
      <c r="M6668" s="10"/>
      <c r="N6668" s="10"/>
      <c r="O6668" s="10"/>
      <c r="P6668" s="10"/>
      <c r="Q6668" s="10"/>
      <c r="R6668" s="10"/>
      <c r="S6668" s="10"/>
      <c r="T6668" s="10"/>
      <c r="U6668" s="10"/>
      <c r="V6668" s="10"/>
      <c r="W6668" s="10"/>
      <c r="X6668" s="10"/>
      <c r="Y6668" s="10"/>
      <c r="Z6668" s="10"/>
    </row>
    <row r="6669" spans="1:26" ht="12.75">
      <c r="A6669" s="10" t="str">
        <f ca="1">IFERROR(__xludf.DUMMYFUNCTION("""COMPUTED_VALUE"""),"Силвия Станчева Станчева")</f>
        <v>Силвия Станчева Станчева</v>
      </c>
      <c r="B6669" s="10" t="str">
        <f ca="1">IFERROR(__xludf.DUMMYFUNCTION("""COMPUTED_VALUE"""),"Статия в списания и поредици")</f>
        <v>Статия в списания и поредици</v>
      </c>
      <c r="C6669" s="10" t="str">
        <f ca="1">IFERROR(__xludf.DUMMYFUNCTION("""COMPUTED_VALUE"""),"Интелектуалната собственост и професионалното образование")</f>
        <v>Интелектуалната собственост и професионалното образование</v>
      </c>
      <c r="D6669" s="10">
        <f ca="1">IFERROR(__xludf.DUMMYFUNCTION("""COMPUTED_VALUE"""),2019)</f>
        <v>2019</v>
      </c>
      <c r="E6669" s="10" t="str">
        <f ca="1">IFERROR(__xludf.DUMMYFUNCTION("""COMPUTED_VALUE"""),"Интелектуалната собственост и дигиталните хора : Седми национален семинар, София, 24 април 2019 г. София : За буквите – О писменехь, 2019, с. 320-339
  ISBN 978-619-185-378-6")</f>
        <v>Интелектуалната собственост и дигиталните хора : Седми национален семинар, София, 24 април 2019 г. София : За буквите – О писменехь, 2019, с. 320-339
  ISBN 978-619-185-378-6</v>
      </c>
      <c r="F6669" s="10"/>
      <c r="G6669" s="10" t="str">
        <f ca="1">IFERROR(__xludf.DUMMYFUNCTION("""COMPUTED_VALUE"""),"Силвия Станчева, Румелина Василева")</f>
        <v>Силвия Станчева, Румелина Василева</v>
      </c>
      <c r="H6669" s="10"/>
      <c r="I6669" s="10"/>
      <c r="J6669" s="10"/>
      <c r="K6669" s="10"/>
      <c r="L6669" s="10"/>
      <c r="M6669" s="10"/>
      <c r="N6669" s="10"/>
      <c r="O6669" s="10"/>
      <c r="P6669" s="10"/>
      <c r="Q6669" s="10"/>
      <c r="R6669" s="10"/>
      <c r="S6669" s="10"/>
      <c r="T6669" s="10"/>
      <c r="U6669" s="10"/>
      <c r="V6669" s="10"/>
      <c r="W6669" s="10"/>
      <c r="X6669" s="10"/>
      <c r="Y6669" s="10"/>
      <c r="Z6669" s="10"/>
    </row>
    <row r="6670" spans="1:26" ht="12.75">
      <c r="A6670" s="10" t="str">
        <f ca="1">IFERROR(__xludf.DUMMYFUNCTION("""COMPUTED_VALUE"""),"Силвия Станчева Станчева")</f>
        <v>Силвия Станчева Станчева</v>
      </c>
      <c r="B6670" s="10" t="str">
        <f ca="1">IFERROR(__xludf.DUMMYFUNCTION("""COMPUTED_VALUE"""),"Статия в списания и поредици")</f>
        <v>Статия в списания и поредици</v>
      </c>
      <c r="C6670" s="10" t="str">
        <f ca="1">IFERROR(__xludf.DUMMYFUNCTION("""COMPUTED_VALUE"""),"Positive practices for overcoming the crisis in education: examples from Bulgaria")</f>
        <v>Positive practices for overcoming the crisis in education: examples from Bulgaria</v>
      </c>
      <c r="D6670" s="10">
        <f ca="1">IFERROR(__xludf.DUMMYFUNCTION("""COMPUTED_VALUE"""),2019)</f>
        <v>2019</v>
      </c>
      <c r="E6670" s="10" t="str">
        <f ca="1">IFERROR(__xludf.DUMMYFUNCTION("""COMPUTED_VALUE"""),"INTED2019 Proceedings 13th International Technology, Education and Development Conference, March 11th-13th, 2019 — Valencia, Spain, pp. 4835-4840 ISBN: 978-84-09-08619-1 ISSN: 2340-1079")</f>
        <v>INTED2019 Proceedings 13th International Technology, Education and Development Conference, March 11th-13th, 2019 — Valencia, Spain, pp. 4835-4840 ISBN: 978-84-09-08619-1 ISSN: 2340-1079</v>
      </c>
      <c r="F6670" s="10" t="str">
        <f ca="1">IFERROR(__xludf.DUMMYFUNCTION("""COMPUTED_VALUE"""),"ISI Conference Proceedings Citation Index (ISI CPCI), Crossref, Clarivate Analytics, Web of Science")</f>
        <v>ISI Conference Proceedings Citation Index (ISI CPCI), Crossref, Clarivate Analytics, Web of Science</v>
      </c>
      <c r="G6670" s="10" t="str">
        <f ca="1">IFERROR(__xludf.DUMMYFUNCTION("""COMPUTED_VALUE"""),"B. Hajieva, J. Dobreva, K. Nusheva, B. Buzhashka")</f>
        <v>B. Hajieva, J. Dobreva, K. Nusheva, B. Buzhashka</v>
      </c>
      <c r="H6670" s="10"/>
      <c r="I6670" s="10"/>
      <c r="J6670" s="10"/>
      <c r="K6670" s="10"/>
      <c r="L6670" s="10"/>
      <c r="M6670" s="10"/>
      <c r="N6670" s="10"/>
      <c r="O6670" s="10"/>
      <c r="P6670" s="10"/>
      <c r="Q6670" s="10"/>
      <c r="R6670" s="10"/>
      <c r="S6670" s="10"/>
      <c r="T6670" s="10"/>
      <c r="U6670" s="10"/>
      <c r="V6670" s="10"/>
      <c r="W6670" s="10"/>
      <c r="X6670" s="10"/>
      <c r="Y6670" s="10"/>
      <c r="Z6670" s="10"/>
    </row>
    <row r="6671" spans="1:26" ht="12.75">
      <c r="A6671" s="10" t="str">
        <f ca="1">IFERROR(__xludf.DUMMYFUNCTION("""COMPUTED_VALUE"""),"Силвия Станчева Станчева")</f>
        <v>Силвия Станчева Станчева</v>
      </c>
      <c r="B6671" s="10" t="str">
        <f ca="1">IFERROR(__xludf.DUMMYFUNCTION("""COMPUTED_VALUE"""),"Статия в списания и поредици")</f>
        <v>Статия в списания и поредици</v>
      </c>
      <c r="C6671" s="10" t="str">
        <f ca="1">IFERROR(__xludf.DUMMYFUNCTION("""COMPUTED_VALUE"""),"The experience of the University of library studies and information technologies with the expansion of the university education in the sphere of cultural heritage by studying local cultural policie")</f>
        <v>The experience of the University of library studies and information technologies with the expansion of the university education in the sphere of cultural heritage by studying local cultural policie</v>
      </c>
      <c r="D6671" s="10">
        <f ca="1">IFERROR(__xludf.DUMMYFUNCTION("""COMPUTED_VALUE"""),2019)</f>
        <v>2019</v>
      </c>
      <c r="E6671" s="10" t="str">
        <f ca="1">IFERROR(__xludf.DUMMYFUNCTION("""COMPUTED_VALUE"""),"Proceedings of EDULEARN19 Conference 1nd-3th July 2019, Palma, Mallorca, Spain: 11th annual International Conference on Education and New Learning Technologies, Palma de Mallorca (Spain), 2019, pp. : 2346-2348 ISBN 978-84-09-12031-4 ISSN: 2340-1117 doi: 1"&amp;"0.21125/edulearn.2019.0634")</f>
        <v>Proceedings of EDULEARN19 Conference 1nd-3th July 2019, Palma, Mallorca, Spain: 11th annual International Conference on Education and New Learning Technologies, Palma de Mallorca (Spain), 2019, pp. : 2346-2348 ISBN 978-84-09-12031-4 ISSN: 2340-1117 doi: 10.21125/edulearn.2019.0634</v>
      </c>
      <c r="F6671" s="10" t="str">
        <f ca="1">IFERROR(__xludf.DUMMYFUNCTION("""COMPUTED_VALUE"""),"ISI Conference Proceedings Citation Index (ISI CPCI), Crossref, Clarivate Analytics, Web of Science")</f>
        <v>ISI Conference Proceedings Citation Index (ISI CPCI), Crossref, Clarivate Analytics, Web of Science</v>
      </c>
      <c r="G6671" s="10" t="str">
        <f ca="1">IFERROR(__xludf.DUMMYFUNCTION("""COMPUTED_VALUE"""),"M.S. Nikolova, S. Vasileva, V. Nikolova")</f>
        <v>M.S. Nikolova, S. Vasileva, V. Nikolova</v>
      </c>
      <c r="H6671" s="10"/>
      <c r="I6671" s="10"/>
      <c r="J6671" s="10"/>
      <c r="K6671" s="10"/>
      <c r="L6671" s="10"/>
      <c r="M6671" s="10"/>
      <c r="N6671" s="10"/>
      <c r="O6671" s="10"/>
      <c r="P6671" s="10"/>
      <c r="Q6671" s="10"/>
      <c r="R6671" s="10"/>
      <c r="S6671" s="10"/>
      <c r="T6671" s="10"/>
      <c r="U6671" s="10"/>
      <c r="V6671" s="10"/>
      <c r="W6671" s="10"/>
      <c r="X6671" s="10"/>
      <c r="Y6671" s="10"/>
      <c r="Z6671" s="10"/>
    </row>
    <row r="6672" spans="1:26" ht="12.75">
      <c r="A6672" s="10" t="str">
        <f ca="1">IFERROR(__xludf.DUMMYFUNCTION("""COMPUTED_VALUE"""),"Силвия Станчева Станчева")</f>
        <v>Силвия Станчева Станчева</v>
      </c>
      <c r="B6672" s="10" t="str">
        <f ca="1">IFERROR(__xludf.DUMMYFUNCTION("""COMPUTED_VALUE"""),"Доклад от конференция")</f>
        <v>Доклад от конференция</v>
      </c>
      <c r="C6672" s="10" t="str">
        <f ca="1">IFERROR(__xludf.DUMMYFUNCTION("""COMPUTED_VALUE"""),"Е-платформата като комуникационен и образователен интерактивен канал")</f>
        <v>Е-платформата като комуникационен и образователен интерактивен канал</v>
      </c>
      <c r="D6672" s="10">
        <f ca="1">IFERROR(__xludf.DUMMYFUNCTION("""COMPUTED_VALUE"""),2019)</f>
        <v>2019</v>
      </c>
      <c r="E6672" s="10" t="str">
        <f ca="1">IFERROR(__xludf.DUMMYFUNCTION("""COMPUTED_VALUE"""),"Библиотеки-четене-комуникации: Осемнадесета национална научна конф. с междун. участие. 14-15 ноем. 2019, Велико Търново. В. Търново: РНБ „П. Р. Славейков“, 2020, c. 181-197
 ISSN: 1313-8138")</f>
        <v>Библиотеки-четене-комуникации: Осемнадесета национална научна конф. с междун. участие. 14-15 ноем. 2019, Велико Търново. В. Търново: РНБ „П. Р. Славейков“, 2020, c. 181-197
 ISSN: 1313-8138</v>
      </c>
      <c r="F6672" s="10" t="str">
        <f ca="1">IFERROR(__xludf.DUMMYFUNCTION("""COMPUTED_VALUE"""),"Google Scholar, Research Gate")</f>
        <v>Google Scholar, Research Gate</v>
      </c>
      <c r="G6672" s="10" t="str">
        <f ca="1">IFERROR(__xludf.DUMMYFUNCTION("""COMPUTED_VALUE"""),"Иванка Янкова, Румелина Василева")</f>
        <v>Иванка Янкова, Румелина Василева</v>
      </c>
      <c r="H6672" s="10"/>
      <c r="I6672" s="10"/>
      <c r="J6672" s="10"/>
      <c r="K6672" s="10"/>
      <c r="L6672" s="10"/>
      <c r="M6672" s="10"/>
      <c r="N6672" s="10"/>
      <c r="O6672" s="10"/>
      <c r="P6672" s="10"/>
      <c r="Q6672" s="10"/>
      <c r="R6672" s="10"/>
      <c r="S6672" s="10"/>
      <c r="T6672" s="10"/>
      <c r="U6672" s="10"/>
      <c r="V6672" s="10"/>
      <c r="W6672" s="10"/>
      <c r="X6672" s="10"/>
      <c r="Y6672" s="10"/>
      <c r="Z6672" s="10"/>
    </row>
    <row r="6673" spans="1:26" ht="12.75">
      <c r="A6673" s="10" t="str">
        <f ca="1">IFERROR(__xludf.DUMMYFUNCTION("""COMPUTED_VALUE"""),"Силвия Станчева Станчева")</f>
        <v>Силвия Станчева Станчева</v>
      </c>
      <c r="B6673" s="10" t="str">
        <f ca="1">IFERROR(__xludf.DUMMYFUNCTION("""COMPUTED_VALUE"""),"Доклад от конференция")</f>
        <v>Доклад от конференция</v>
      </c>
      <c r="C6673" s="10" t="str">
        <f ca="1">IFERROR(__xludf.DUMMYFUNCTION("""COMPUTED_VALUE"""),"Scientific and Practical Achievements for Lifelong Learning Applied in the University of Library Studies and Information Technologies")</f>
        <v>Scientific and Practical Achievements for Lifelong Learning Applied in the University of Library Studies and Information Technologies</v>
      </c>
      <c r="D6673" s="10">
        <f ca="1">IFERROR(__xludf.DUMMYFUNCTION("""COMPUTED_VALUE"""),2018)</f>
        <v>2018</v>
      </c>
      <c r="E6673" s="10" t="str">
        <f ca="1">IFERROR(__xludf.DUMMYFUNCTION("""COMPUTED_VALUE"""),"The Seventh Edition of the International Conference “New Perspectives in Science Education”, 22 - 23 March 2018, Florence, Italy, рр. 280-284. ISBN 978-88-6292-976-9 ISSN 2420-9732")</f>
        <v>The Seventh Edition of the International Conference “New Perspectives in Science Education”, 22 - 23 March 2018, Florence, Italy, рр. 280-284. ISBN 978-88-6292-976-9 ISSN 2420-9732</v>
      </c>
      <c r="F6673" s="10" t="str">
        <f ca="1">IFERROR(__xludf.DUMMYFUNCTION("""COMPUTED_VALUE"""),"ISI Conference Proceedings Citation Index (ISI CPCI), Crossref, Clarivate Analytics, Web of Science")</f>
        <v>ISI Conference Proceedings Citation Index (ISI CPCI), Crossref, Clarivate Analytics, Web of Science</v>
      </c>
      <c r="G6673" s="10" t="str">
        <f ca="1">IFERROR(__xludf.DUMMYFUNCTION("""COMPUTED_VALUE"""),"Irena Peteva Ivanka Yankova")</f>
        <v>Irena Peteva Ivanka Yankova</v>
      </c>
      <c r="H6673" s="10"/>
      <c r="I6673" s="10"/>
      <c r="J6673" s="10"/>
      <c r="K6673" s="10"/>
      <c r="L6673" s="10"/>
      <c r="M6673" s="10"/>
      <c r="N6673" s="10"/>
      <c r="O6673" s="10"/>
      <c r="P6673" s="10"/>
      <c r="Q6673" s="10"/>
      <c r="R6673" s="10"/>
      <c r="S6673" s="10"/>
      <c r="T6673" s="10"/>
      <c r="U6673" s="10"/>
      <c r="V6673" s="10"/>
      <c r="W6673" s="10"/>
      <c r="X6673" s="10"/>
      <c r="Y6673" s="10"/>
      <c r="Z6673" s="10"/>
    </row>
    <row r="6674" spans="1:26" ht="12.75">
      <c r="A6674" s="10" t="str">
        <f ca="1">IFERROR(__xludf.DUMMYFUNCTION("""COMPUTED_VALUE"""),"Силвия Станчева Станчева")</f>
        <v>Силвия Станчева Станчева</v>
      </c>
      <c r="B6674" s="10" t="str">
        <f ca="1">IFERROR(__xludf.DUMMYFUNCTION("""COMPUTED_VALUE"""),"Книга")</f>
        <v>Книга</v>
      </c>
      <c r="C6674" s="10" t="str">
        <f ca="1">IFERROR(__xludf.DUMMYFUNCTION("""COMPUTED_VALUE"""),"Устойчиви тенденции и бизнес модели в публикационната активност на научните изследвания")</f>
        <v>Устойчиви тенденции и бизнес модели в публикационната активност на научните изследвания</v>
      </c>
      <c r="D6674" s="10">
        <f ca="1">IFERROR(__xludf.DUMMYFUNCTION("""COMPUTED_VALUE"""),2018)</f>
        <v>2018</v>
      </c>
      <c r="E6674" s="10" t="str">
        <f ca="1">IFERROR(__xludf.DUMMYFUNCTION("""COMPUTED_VALUE"""),"С., „За буквите – О писменехъ“, 2018, 178 с. ISBN 978-619-185-315-1")</f>
        <v>С., „За буквите – О писменехъ“, 2018, 178 с. ISBN 978-619-185-315-1</v>
      </c>
      <c r="F667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74" s="10" t="str">
        <f ca="1">IFERROR(__xludf.DUMMYFUNCTION("""COMPUTED_VALUE"""),"Иванка Янкова, Добринка Стойкова, Румелина Василева ▫ Стоян Денчев, Ирена Петева, Цветелина Димитрова, Камелия Нушева")</f>
        <v>Иванка Янкова, Добринка Стойкова, Румелина Василева ▫ Стоян Денчев, Ирена Петева, Цветелина Димитрова, Камелия Нушева</v>
      </c>
      <c r="H6674" s="10"/>
      <c r="I6674" s="10"/>
      <c r="J6674" s="10"/>
      <c r="K6674" s="10"/>
      <c r="L6674" s="10"/>
      <c r="M6674" s="10"/>
      <c r="N6674" s="10"/>
      <c r="O6674" s="10"/>
      <c r="P6674" s="10"/>
      <c r="Q6674" s="10"/>
      <c r="R6674" s="10"/>
      <c r="S6674" s="10"/>
      <c r="T6674" s="10"/>
      <c r="U6674" s="10"/>
      <c r="V6674" s="10"/>
      <c r="W6674" s="10"/>
      <c r="X6674" s="10"/>
      <c r="Y6674" s="10"/>
      <c r="Z6674" s="10"/>
    </row>
    <row r="6675" spans="1:26" ht="12.75">
      <c r="A6675" s="10" t="str">
        <f ca="1">IFERROR(__xludf.DUMMYFUNCTION("""COMPUTED_VALUE"""),"Силвия Станчева Станчева")</f>
        <v>Силвия Станчева Станчева</v>
      </c>
      <c r="B6675" s="10" t="str">
        <f ca="1">IFERROR(__xludf.DUMMYFUNCTION("""COMPUTED_VALUE"""),"Студия")</f>
        <v>Студия</v>
      </c>
      <c r="C6675" s="10" t="str">
        <f ca="1">IFERROR(__xludf.DUMMYFUNCTION("""COMPUTED_VALUE"""),"Създаване и развитие на уебсайта на проекта")</f>
        <v>Създаване и развитие на уебсайта на проекта</v>
      </c>
      <c r="D6675" s="10">
        <f ca="1">IFERROR(__xludf.DUMMYFUNCTION("""COMPUTED_VALUE"""),2018)</f>
        <v>2018</v>
      </c>
      <c r="E6675" s="10" t="str">
        <f ca="1">IFERROR(__xludf.DUMMYFUNCTION("""COMPUTED_VALUE"""),"Устойчиви тенденции и бизнес модели в публикационната активност на научните изследвания. Колективна монография. С., „За буквите – О писменехъ“, 2018, с. 121-126. ISBN 978-619-185-315-1")</f>
        <v>Устойчиви тенденции и бизнес модели в публикационната активност на научните изследвания. Колективна монография. С., „За буквите – О писменехъ“, 2018, с. 121-126. ISBN 978-619-185-315-1</v>
      </c>
      <c r="F667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75" s="10" t="str">
        <f ca="1">IFERROR(__xludf.DUMMYFUNCTION("""COMPUTED_VALUE"""),"Камелия Нушева")</f>
        <v>Камелия Нушева</v>
      </c>
      <c r="H6675" s="10"/>
      <c r="I6675" s="10"/>
      <c r="J6675" s="10"/>
      <c r="K6675" s="10"/>
      <c r="L6675" s="10"/>
      <c r="M6675" s="10"/>
      <c r="N6675" s="10"/>
      <c r="O6675" s="10"/>
      <c r="P6675" s="10"/>
      <c r="Q6675" s="10"/>
      <c r="R6675" s="10"/>
      <c r="S6675" s="10"/>
      <c r="T6675" s="10"/>
      <c r="U6675" s="10"/>
      <c r="V6675" s="10"/>
      <c r="W6675" s="10"/>
      <c r="X6675" s="10"/>
      <c r="Y6675" s="10"/>
      <c r="Z6675" s="10"/>
    </row>
    <row r="6676" spans="1:26" ht="12.75">
      <c r="A6676" s="10" t="str">
        <f ca="1">IFERROR(__xludf.DUMMYFUNCTION("""COMPUTED_VALUE"""),"Силвия Станчева Станчева")</f>
        <v>Силвия Станчева Станчева</v>
      </c>
      <c r="B6676" s="10" t="str">
        <f ca="1">IFERROR(__xludf.DUMMYFUNCTION("""COMPUTED_VALUE"""),"Студия")</f>
        <v>Студия</v>
      </c>
      <c r="C6676" s="10" t="str">
        <f ca="1">IFERROR(__xludf.DUMMYFUNCTION("""COMPUTED_VALUE"""),"How to Organize IL Educations for Bulgarian Authors and Publishers of Impact Factor Publications – Project in Progress")</f>
        <v>How to Organize IL Educations for Bulgarian Authors and Publishers of Impact Factor Publications – Project in Progress</v>
      </c>
      <c r="D6676" s="10">
        <f ca="1">IFERROR(__xludf.DUMMYFUNCTION("""COMPUTED_VALUE"""),2018)</f>
        <v>2018</v>
      </c>
      <c r="E6676" s="10" t="str">
        <f ca="1">IFERROR(__xludf.DUMMYFUNCTION("""COMPUTED_VALUE"""),"Устойчиви тенденции и бизнес модели в публикационната активност на научните изследвания. Колективна монография. С., „За буквите – О писменехъ“, 2018, с.174-181. ISBN 978-619-185-315-1")</f>
        <v>Устойчиви тенденции и бизнес модели в публикационната активност на научните изследвания. Колективна монография. С., „За буквите – О писменехъ“, 2018, с.174-181. ISBN 978-619-185-315-1</v>
      </c>
      <c r="F667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76" s="10" t="str">
        <f ca="1">IFERROR(__xludf.DUMMYFUNCTION("""COMPUTED_VALUE"""),"Dobrinka Stoykova")</f>
        <v>Dobrinka Stoykova</v>
      </c>
      <c r="H6676" s="10"/>
      <c r="I6676" s="10"/>
      <c r="J6676" s="10"/>
      <c r="K6676" s="10"/>
      <c r="L6676" s="10"/>
      <c r="M6676" s="10"/>
      <c r="N6676" s="10"/>
      <c r="O6676" s="10"/>
      <c r="P6676" s="10"/>
      <c r="Q6676" s="10"/>
      <c r="R6676" s="10"/>
      <c r="S6676" s="10"/>
      <c r="T6676" s="10"/>
      <c r="U6676" s="10"/>
      <c r="V6676" s="10"/>
      <c r="W6676" s="10"/>
      <c r="X6676" s="10"/>
      <c r="Y6676" s="10"/>
      <c r="Z6676" s="10"/>
    </row>
    <row r="6677" spans="1:26" ht="12.75">
      <c r="A6677" s="10" t="str">
        <f ca="1">IFERROR(__xludf.DUMMYFUNCTION("""COMPUTED_VALUE"""),"Силвия Станчева Станчева")</f>
        <v>Силвия Станчева Станчева</v>
      </c>
      <c r="B6677" s="10" t="str">
        <f ca="1">IFERROR(__xludf.DUMMYFUNCTION("""COMPUTED_VALUE"""),"Студия")</f>
        <v>Студия</v>
      </c>
      <c r="C6677" s="10" t="str">
        <f ca="1">IFERROR(__xludf.DUMMYFUNCTION("""COMPUTED_VALUE"""),"Study of the Effect of Indicators for Research Impact and Mechanism for Their Implementation for the Redesign of the Bulgarian Academic Publications and the Researchers’ Publication Competencies")</f>
        <v>Study of the Effect of Indicators for Research Impact and Mechanism for Their Implementation for the Redesign of the Bulgarian Academic Publications and the Researchers’ Publication Competencies</v>
      </c>
      <c r="D6677" s="10">
        <f ca="1">IFERROR(__xludf.DUMMYFUNCTION("""COMPUTED_VALUE"""),2018)</f>
        <v>2018</v>
      </c>
      <c r="E6677" s="10" t="str">
        <f ca="1">IFERROR(__xludf.DUMMYFUNCTION("""COMPUTED_VALUE"""),"УУстойчиви тенденции и бизнес модели в публикационната активност на научните изследвания. Колективна монография. С., „За буквите – О писменехъ“, 2018, с. 183- 192. ISBN 978-619-185-315-1")</f>
        <v>УУстойчиви тенденции и бизнес модели в публикационната активност на научните изследвания. Колективна монография. С., „За буквите – О писменехъ“, 2018, с. 183- 192. ISBN 978-619-185-315-1</v>
      </c>
      <c r="F667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77" s="10" t="str">
        <f ca="1">IFERROR(__xludf.DUMMYFUNCTION("""COMPUTED_VALUE"""),"Ivanka Yankova, Rumelina Vasileva, Tzvetelina Dimitrova")</f>
        <v>Ivanka Yankova, Rumelina Vasileva, Tzvetelina Dimitrova</v>
      </c>
      <c r="H6677" s="10"/>
      <c r="I6677" s="10"/>
      <c r="J6677" s="10"/>
      <c r="K6677" s="10"/>
      <c r="L6677" s="10"/>
      <c r="M6677" s="10"/>
      <c r="N6677" s="10"/>
      <c r="O6677" s="10"/>
      <c r="P6677" s="10"/>
      <c r="Q6677" s="10"/>
      <c r="R6677" s="10"/>
      <c r="S6677" s="10"/>
      <c r="T6677" s="10"/>
      <c r="U6677" s="10"/>
      <c r="V6677" s="10"/>
      <c r="W6677" s="10"/>
      <c r="X6677" s="10"/>
      <c r="Y6677" s="10"/>
      <c r="Z6677" s="10"/>
    </row>
    <row r="6678" spans="1:26" ht="12.75">
      <c r="A6678" s="10" t="str">
        <f ca="1">IFERROR(__xludf.DUMMYFUNCTION("""COMPUTED_VALUE"""),"Силвия Станчева Станчева")</f>
        <v>Силвия Станчева Станчева</v>
      </c>
      <c r="B6678" s="10" t="str">
        <f ca="1">IFERROR(__xludf.DUMMYFUNCTION("""COMPUTED_VALUE"""),"Статия в списания и поредици")</f>
        <v>Статия в списания и поредици</v>
      </c>
      <c r="C6678" s="10" t="str">
        <f ca="1">IFERROR(__xludf.DUMMYFUNCTION("""COMPUTED_VALUE"""),"Анализ на готовността на авторите да публикуват в списания с импакт фактор")</f>
        <v>Анализ на готовността на авторите да публикуват в списания с импакт фактор</v>
      </c>
      <c r="D6678" s="10">
        <f ca="1">IFERROR(__xludf.DUMMYFUNCTION("""COMPUTED_VALUE"""),2018)</f>
        <v>2018</v>
      </c>
      <c r="E6678" s="10" t="str">
        <f ca="1">IFERROR(__xludf.DUMMYFUNCTION("""COMPUTED_VALUE"""),"Редизайн за качествена промяна на научните списания в България: Сборник с изследвания. София: За буквите – О писменехь, 2018, с. 78–91 ISBN 978-619-185-316-8")</f>
        <v>Редизайн за качествена промяна на научните списания в България: Сборник с изследвания. София: За буквите – О писменехь, 2018, с. 78–91 ISBN 978-619-185-316-8</v>
      </c>
      <c r="F667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78" s="10" t="str">
        <f ca="1">IFERROR(__xludf.DUMMYFUNCTION("""COMPUTED_VALUE"""),"Добринка Стойкова")</f>
        <v>Добринка Стойкова</v>
      </c>
      <c r="H6678" s="10"/>
      <c r="I6678" s="10"/>
      <c r="J6678" s="10"/>
      <c r="K6678" s="10"/>
      <c r="L6678" s="10"/>
      <c r="M6678" s="10"/>
      <c r="N6678" s="10"/>
      <c r="O6678" s="10"/>
      <c r="P6678" s="10"/>
      <c r="Q6678" s="10"/>
      <c r="R6678" s="10"/>
      <c r="S6678" s="10"/>
      <c r="T6678" s="10"/>
      <c r="U6678" s="10"/>
      <c r="V6678" s="10"/>
      <c r="W6678" s="10"/>
      <c r="X6678" s="10"/>
      <c r="Y6678" s="10"/>
      <c r="Z6678" s="10"/>
    </row>
    <row r="6679" spans="1:26" ht="12.75">
      <c r="A6679" s="10" t="str">
        <f ca="1">IFERROR(__xludf.DUMMYFUNCTION("""COMPUTED_VALUE"""),"Силвия Станчева Станчева")</f>
        <v>Силвия Станчева Станчева</v>
      </c>
      <c r="B6679" s="10" t="str">
        <f ca="1">IFERROR(__xludf.DUMMYFUNCTION("""COMPUTED_VALUE"""),"Доклад от конференция")</f>
        <v>Доклад от конференция</v>
      </c>
      <c r="C6679" s="10" t="str">
        <f ca="1">IFERROR(__xludf.DUMMYFUNCTION("""COMPUTED_VALUE"""),"Възможности за професионална реализация на студентите")</f>
        <v>Възможности за професионална реализация на студентите</v>
      </c>
      <c r="D6679" s="10">
        <f ca="1">IFERROR(__xludf.DUMMYFUNCTION("""COMPUTED_VALUE"""),2018)</f>
        <v>2018</v>
      </c>
      <c r="E6679" s="10" t="str">
        <f ca="1">IFERROR(__xludf.DUMMYFUNCTION("""COMPUTED_VALUE"""),"Библиотечен и информационен мениджмънт: Научен сборник с доклади от Научна конференция по повод 10 години от създаването на катедра „Библиотечен мениджмънт“ при УниБИТ. - София: За буквите – О писменехь, 2018, с. 214-224 ISBN 978-619-185-347-2")</f>
        <v>Библиотечен и информационен мениджмънт: Научен сборник с доклади от Научна конференция по повод 10 години от създаването на катедра „Библиотечен мениджмънт“ при УниБИТ. - София: За буквите – О писменехь, 2018, с. 214-224 ISBN 978-619-185-347-2</v>
      </c>
      <c r="F6679" s="28" t="str">
        <f ca="1">IFERROR(__xludf.DUMMYFUNCTION("""COMPUTED_VALUE"""),"COBISS.BG")</f>
        <v>COBISS.BG</v>
      </c>
      <c r="G6679" s="10"/>
      <c r="H6679" s="10"/>
      <c r="I6679" s="10"/>
      <c r="J6679" s="10"/>
      <c r="K6679" s="10"/>
      <c r="L6679" s="10"/>
      <c r="M6679" s="10"/>
      <c r="N6679" s="10"/>
      <c r="O6679" s="10"/>
      <c r="P6679" s="10"/>
      <c r="Q6679" s="10"/>
      <c r="R6679" s="10"/>
      <c r="S6679" s="10"/>
      <c r="T6679" s="10"/>
      <c r="U6679" s="10"/>
      <c r="V6679" s="10"/>
      <c r="W6679" s="10"/>
      <c r="X6679" s="10"/>
      <c r="Y6679" s="10"/>
      <c r="Z6679" s="10"/>
    </row>
    <row r="6680" spans="1:26" ht="12.75">
      <c r="A6680" s="10" t="str">
        <f ca="1">IFERROR(__xludf.DUMMYFUNCTION("""COMPUTED_VALUE"""),"Силвия Станчева Станчева")</f>
        <v>Силвия Станчева Станчева</v>
      </c>
      <c r="B6680" s="10" t="str">
        <f ca="1">IFERROR(__xludf.DUMMYFUNCTION("""COMPUTED_VALUE"""),"Студия")</f>
        <v>Студия</v>
      </c>
      <c r="C6680" s="10" t="str">
        <f ca="1">IFERROR(__xludf.DUMMYFUNCTION("""COMPUTED_VALUE"""),"Informatıon Lıteracy for Developıng Skılls to Organıze Advocacy Campaıgns ın Lıbrarıes, Based on Interactıve Communıcatıon Model Used ın Vocatıonal and Contınuıng Traınıng")</f>
        <v>Informatıon Lıteracy for Developıng Skılls to Organıze Advocacy Campaıgns ın Lıbrarıes, Based on Interactıve Communıcatıon Model Used ın Vocatıonal and Contınuıng Traınıng</v>
      </c>
      <c r="D6680" s="10">
        <f ca="1">IFERROR(__xludf.DUMMYFUNCTION("""COMPUTED_VALUE"""),2018)</f>
        <v>2018</v>
      </c>
      <c r="E6680"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186-199.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186-199. ISBN 978-619-185-326-7</v>
      </c>
      <c r="F668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0" s="10" t="str">
        <f ca="1">IFERROR(__xludf.DUMMYFUNCTION("""COMPUTED_VALUE"""),"Ivanka Yankova Rumelina Vasileva Dobrinka Stoykova")</f>
        <v>Ivanka Yankova Rumelina Vasileva Dobrinka Stoykova</v>
      </c>
      <c r="H6680" s="10"/>
      <c r="I6680" s="10"/>
      <c r="J6680" s="10"/>
      <c r="K6680" s="10"/>
      <c r="L6680" s="10"/>
      <c r="M6680" s="10"/>
      <c r="N6680" s="10"/>
      <c r="O6680" s="10"/>
      <c r="P6680" s="10"/>
      <c r="Q6680" s="10"/>
      <c r="R6680" s="10"/>
      <c r="S6680" s="10"/>
      <c r="T6680" s="10"/>
      <c r="U6680" s="10"/>
      <c r="V6680" s="10"/>
      <c r="W6680" s="10"/>
      <c r="X6680" s="10"/>
      <c r="Y6680" s="10"/>
      <c r="Z6680" s="10"/>
    </row>
    <row r="6681" spans="1:26" ht="12.75">
      <c r="A6681" s="10" t="str">
        <f ca="1">IFERROR(__xludf.DUMMYFUNCTION("""COMPUTED_VALUE"""),"Силвия Станчева Станчева")</f>
        <v>Силвия Станчева Станчева</v>
      </c>
      <c r="B6681" s="10" t="str">
        <f ca="1">IFERROR(__xludf.DUMMYFUNCTION("""COMPUTED_VALUE"""),"Студия")</f>
        <v>Студия</v>
      </c>
      <c r="C6681" s="10" t="str">
        <f ca="1">IFERROR(__xludf.DUMMYFUNCTION("""COMPUTED_VALUE"""),"Impact of Communication on Learnability in Lifelong Learning Business Models")</f>
        <v>Impact of Communication on Learnability in Lifelong Learning Business Models</v>
      </c>
      <c r="D6681" s="10">
        <f ca="1">IFERROR(__xludf.DUMMYFUNCTION("""COMPUTED_VALUE"""),2018)</f>
        <v>2018</v>
      </c>
      <c r="E6681" s="10" t="str">
        <f ca="1">IFERROR(__xludf.DUMMYFUNCTION("""COMPUTED_VALUE"""),"Редизайн за качествена промяна на научните списания в България: Сборник с изследвания. София: За буквите – О писменехь, 2018, с. 106–114 ISBN 978-619-185-316-8")</f>
        <v>Редизайн за качествена промяна на научните списания в България: Сборник с изследвания. София: За буквите – О писменехь, 2018, с. 106–114 ISBN 978-619-185-316-8</v>
      </c>
      <c r="F668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1" s="10" t="str">
        <f ca="1">IFERROR(__xludf.DUMMYFUNCTION("""COMPUTED_VALUE"""),"Ivanka Yankova, Rumelina Vasileva, Tzvetelina Dimitrova")</f>
        <v>Ivanka Yankova, Rumelina Vasileva, Tzvetelina Dimitrova</v>
      </c>
      <c r="H6681" s="10"/>
      <c r="I6681" s="10"/>
      <c r="J6681" s="10"/>
      <c r="K6681" s="10"/>
      <c r="L6681" s="10"/>
      <c r="M6681" s="10"/>
      <c r="N6681" s="10"/>
      <c r="O6681" s="10"/>
      <c r="P6681" s="10"/>
      <c r="Q6681" s="10"/>
      <c r="R6681" s="10"/>
      <c r="S6681" s="10"/>
      <c r="T6681" s="10"/>
      <c r="U6681" s="10"/>
      <c r="V6681" s="10"/>
      <c r="W6681" s="10"/>
      <c r="X6681" s="10"/>
      <c r="Y6681" s="10"/>
      <c r="Z6681" s="10"/>
    </row>
    <row r="6682" spans="1:26" ht="12.75">
      <c r="A6682" s="10" t="str">
        <f ca="1">IFERROR(__xludf.DUMMYFUNCTION("""COMPUTED_VALUE"""),"Силвия Станчева Станчева")</f>
        <v>Силвия Станчева Станчева</v>
      </c>
      <c r="B6682" s="10" t="str">
        <f ca="1">IFERROR(__xludf.DUMMYFUNCTION("""COMPUTED_VALUE"""),"Статия в списания и поредици")</f>
        <v>Статия в списания и поредици</v>
      </c>
      <c r="C6682" s="10" t="str">
        <f ca="1">IFERROR(__xludf.DUMMYFUNCTION("""COMPUTED_VALUE"""),"Изводи и препоръки за необходимия редизайн и качествена промяна за успешно публикуване на български автори в списания с импакт фактор")</f>
        <v>Изводи и препоръки за необходимия редизайн и качествена промяна за успешно публикуване на български автори в списания с импакт фактор</v>
      </c>
      <c r="D6682" s="10">
        <f ca="1">IFERROR(__xludf.DUMMYFUNCTION("""COMPUTED_VALUE"""),2018)</f>
        <v>2018</v>
      </c>
      <c r="E6682" s="10" t="str">
        <f ca="1">IFERROR(__xludf.DUMMYFUNCTION("""COMPUTED_VALUE"""),"Редизайн за качествена промяна на научните списания в България: Сборник с изследвания. София: За буквите – О писменехь, 2018, с. 92–99 ISBN 978-619-185-316-8")</f>
        <v>Редизайн за качествена промяна на научните списания в България: Сборник с изследвания. София: За буквите – О писменехь, 2018, с. 92–99 ISBN 978-619-185-316-8</v>
      </c>
      <c r="F668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2" s="10" t="str">
        <f ca="1">IFERROR(__xludf.DUMMYFUNCTION("""COMPUTED_VALUE"""),"Добринка Стойкова, Иванка Янкова")</f>
        <v>Добринка Стойкова, Иванка Янкова</v>
      </c>
      <c r="H6682" s="10"/>
      <c r="I6682" s="10"/>
      <c r="J6682" s="10"/>
      <c r="K6682" s="10"/>
      <c r="L6682" s="10"/>
      <c r="M6682" s="10"/>
      <c r="N6682" s="10"/>
      <c r="O6682" s="10"/>
      <c r="P6682" s="10"/>
      <c r="Q6682" s="10"/>
      <c r="R6682" s="10"/>
      <c r="S6682" s="10"/>
      <c r="T6682" s="10"/>
      <c r="U6682" s="10"/>
      <c r="V6682" s="10"/>
      <c r="W6682" s="10"/>
      <c r="X6682" s="10"/>
      <c r="Y6682" s="10"/>
      <c r="Z6682" s="10"/>
    </row>
    <row r="6683" spans="1:26" ht="12.75">
      <c r="A6683" s="10" t="str">
        <f ca="1">IFERROR(__xludf.DUMMYFUNCTION("""COMPUTED_VALUE"""),"Силвия Станчева Станчева")</f>
        <v>Силвия Станчева Станчева</v>
      </c>
      <c r="B6683" s="10" t="str">
        <f ca="1">IFERROR(__xludf.DUMMYFUNCTION("""COMPUTED_VALUE"""),"Статия в списания и поредици")</f>
        <v>Статия в списания и поредици</v>
      </c>
      <c r="C6683" s="10" t="str">
        <f ca="1">IFERROR(__xludf.DUMMYFUNCTION("""COMPUTED_VALUE"""),"Изводи и препоръки за необходимия редизайн и качествена промяна за успешно публикуване на издаваните в България научни списания")</f>
        <v>Изводи и препоръки за необходимия редизайн и качествена промяна за успешно публикуване на издаваните в България научни списания</v>
      </c>
      <c r="D6683" s="10">
        <f ca="1">IFERROR(__xludf.DUMMYFUNCTION("""COMPUTED_VALUE"""),2018)</f>
        <v>2018</v>
      </c>
      <c r="E6683" s="10" t="str">
        <f ca="1">IFERROR(__xludf.DUMMYFUNCTION("""COMPUTED_VALUE"""),"Редизайн за качествена промяна на научните списания в България: Сборник с изследвания. София: За буквите – О писменехь, 2018, с. 92–99 ISBN 978-619-185-316-8")</f>
        <v>Редизайн за качествена промяна на научните списания в България: Сборник с изследвания. София: За буквите – О писменехь, 2018, с. 92–99 ISBN 978-619-185-316-8</v>
      </c>
      <c r="F668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3" s="10" t="str">
        <f ca="1">IFERROR(__xludf.DUMMYFUNCTION("""COMPUTED_VALUE"""),"Добринка Стойкова, Иванка Янкова")</f>
        <v>Добринка Стойкова, Иванка Янкова</v>
      </c>
      <c r="H6683" s="10"/>
      <c r="I6683" s="10"/>
      <c r="J6683" s="10"/>
      <c r="K6683" s="10"/>
      <c r="L6683" s="10"/>
      <c r="M6683" s="10"/>
      <c r="N6683" s="10"/>
      <c r="O6683" s="10"/>
      <c r="P6683" s="10"/>
      <c r="Q6683" s="10"/>
      <c r="R6683" s="10"/>
      <c r="S6683" s="10"/>
      <c r="T6683" s="10"/>
      <c r="U6683" s="10"/>
      <c r="V6683" s="10"/>
      <c r="W6683" s="10"/>
      <c r="X6683" s="10"/>
      <c r="Y6683" s="10"/>
      <c r="Z6683" s="10"/>
    </row>
    <row r="6684" spans="1:26" ht="12.75">
      <c r="A6684" s="10" t="str">
        <f ca="1">IFERROR(__xludf.DUMMYFUNCTION("""COMPUTED_VALUE"""),"Силвия Станчева Станчева")</f>
        <v>Силвия Станчева Станчева</v>
      </c>
      <c r="B6684" s="10" t="str">
        <f ca="1">IFERROR(__xludf.DUMMYFUNCTION("""COMPUTED_VALUE"""),"Статия в списания и поредици")</f>
        <v>Статия в списания и поредици</v>
      </c>
      <c r="C6684" s="10" t="str">
        <f ca="1">IFERROR(__xludf.DUMMYFUNCTION("""COMPUTED_VALUE"""),"Проучване и анализ на чуждестранни добри практики на професионално продължаващо образование и обучение в интерактивна образователна среда")</f>
        <v>Проучване и анализ на чуждестранни добри практики на професионално продължаващо образование и обучение в интерактивна образователна среда</v>
      </c>
      <c r="D6684" s="10">
        <f ca="1">IFERROR(__xludf.DUMMYFUNCTION("""COMPUTED_VALUE"""),2018)</f>
        <v>2018</v>
      </c>
      <c r="E6684"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37-62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37-62 ISBN 978-619-185-326-7</v>
      </c>
      <c r="F668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4" s="10" t="str">
        <f ca="1">IFERROR(__xludf.DUMMYFUNCTION("""COMPUTED_VALUE"""),"Иванка Павлова, Румелина Василева, Цветелина Димитрова")</f>
        <v>Иванка Павлова, Румелина Василева, Цветелина Димитрова</v>
      </c>
      <c r="H6684" s="10"/>
      <c r="I6684" s="10"/>
      <c r="J6684" s="10"/>
      <c r="K6684" s="10"/>
      <c r="L6684" s="10"/>
      <c r="M6684" s="10"/>
      <c r="N6684" s="10"/>
      <c r="O6684" s="10"/>
      <c r="P6684" s="10"/>
      <c r="Q6684" s="10"/>
      <c r="R6684" s="10"/>
      <c r="S6684" s="10"/>
      <c r="T6684" s="10"/>
      <c r="U6684" s="10"/>
      <c r="V6684" s="10"/>
      <c r="W6684" s="10"/>
      <c r="X6684" s="10"/>
      <c r="Y6684" s="10"/>
      <c r="Z6684" s="10"/>
    </row>
    <row r="6685" spans="1:26" ht="12.75">
      <c r="A6685" s="10" t="str">
        <f ca="1">IFERROR(__xludf.DUMMYFUNCTION("""COMPUTED_VALUE"""),"Силвия Станчева Станчева")</f>
        <v>Силвия Станчева Станчева</v>
      </c>
      <c r="B6685" s="10" t="str">
        <f ca="1">IFERROR(__xludf.DUMMYFUNCTION("""COMPUTED_VALUE"""),"Книга")</f>
        <v>Книга</v>
      </c>
      <c r="C6685" s="10" t="str">
        <f ca="1">IFERROR(__xludf.DUMMYFUNCTION("""COMPUTED_VALUE"""),"Лидерство в библиотечния мениджмънт")</f>
        <v>Лидерство в библиотечния мениджмънт</v>
      </c>
      <c r="D6685" s="10">
        <f ca="1">IFERROR(__xludf.DUMMYFUNCTION("""COMPUTED_VALUE"""),2018)</f>
        <v>2018</v>
      </c>
      <c r="E6685" s="10" t="str">
        <f ca="1">IFERROR(__xludf.DUMMYFUNCTION("""COMPUTED_VALUE"""),"София: За буквите – О писменехь, 2018, 332 с. ISBN 978-619-185-346-5")</f>
        <v>София: За буквите – О писменехь, 2018, 332 с. ISBN 978-619-185-346-5</v>
      </c>
      <c r="F6685" s="28" t="str">
        <f ca="1">IFERROR(__xludf.DUMMYFUNCTION("""COMPUTED_VALUE"""),"COBISS.BG")</f>
        <v>COBISS.BG</v>
      </c>
      <c r="G6685" s="10" t="str">
        <f ca="1">IFERROR(__xludf.DUMMYFUNCTION("""COMPUTED_VALUE"""),"Иванка Янкова, Таня Тодорова, Мариела Модева, Искра Арсенова, Добринка Стойкова, Румелина Василева, Тереза Тренчева, Любомира Парижкова, Елена Савова, Събина Ефтимова, Елисавета Цветкова, Камелия Планска-Симеонова")</f>
        <v>Иванка Янкова, Таня Тодорова, Мариела Модева, Искра Арсенова, Добринка Стойкова, Румелина Василева, Тереза Тренчева, Любомира Парижкова, Елена Савова, Събина Ефтимова, Елисавета Цветкова, Камелия Планска-Симеонова</v>
      </c>
      <c r="H6685" s="10"/>
      <c r="I6685" s="10"/>
      <c r="J6685" s="10"/>
      <c r="K6685" s="10"/>
      <c r="L6685" s="10"/>
      <c r="M6685" s="10"/>
      <c r="N6685" s="10"/>
      <c r="O6685" s="10"/>
      <c r="P6685" s="10"/>
      <c r="Q6685" s="10"/>
      <c r="R6685" s="10"/>
      <c r="S6685" s="10"/>
      <c r="T6685" s="10"/>
      <c r="U6685" s="10"/>
      <c r="V6685" s="10"/>
      <c r="W6685" s="10"/>
      <c r="X6685" s="10"/>
      <c r="Y6685" s="10"/>
      <c r="Z6685" s="10"/>
    </row>
    <row r="6686" spans="1:26" ht="12.75">
      <c r="A6686" s="10" t="str">
        <f ca="1">IFERROR(__xludf.DUMMYFUNCTION("""COMPUTED_VALUE"""),"Силвия Станчева Станчева")</f>
        <v>Силвия Станчева Станчева</v>
      </c>
      <c r="B6686" s="10" t="str">
        <f ca="1">IFERROR(__xludf.DUMMYFUNCTION("""COMPUTED_VALUE"""),"Глава от колективна монография")</f>
        <v>Глава от колективна монография</v>
      </c>
      <c r="C6686" s="10" t="str">
        <f ca="1">IFERROR(__xludf.DUMMYFUNCTION("""COMPUTED_VALUE"""),"Библиографски указател")</f>
        <v>Библиографски указател</v>
      </c>
      <c r="D6686" s="10">
        <f ca="1">IFERROR(__xludf.DUMMYFUNCTION("""COMPUTED_VALUE"""),2018)</f>
        <v>2018</v>
      </c>
      <c r="E6686" s="10" t="str">
        <f ca="1">IFERROR(__xludf.DUMMYFUNCTION("""COMPUTED_VALUE"""),"Лидерство в библиотечния мениджмънт: Научна книга по повод 10 години Катедра „Библиотечен мениджмънт“ при УниБИТ. – София: За буквите – О писменехь, 2018, с.171-188 ISBN 978-619-185-346-5")</f>
        <v>Лидерство в библиотечния мениджмънт: Научна книга по повод 10 години Катедра „Библиотечен мениджмънт“ при УниБИТ. – София: За буквите – О писменехь, 2018, с.171-188 ISBN 978-619-185-346-5</v>
      </c>
      <c r="F6686" s="10"/>
      <c r="G6686" s="10"/>
      <c r="H6686" s="10"/>
      <c r="I6686" s="10"/>
      <c r="J6686" s="10"/>
      <c r="K6686" s="10"/>
      <c r="L6686" s="10"/>
      <c r="M6686" s="10"/>
      <c r="N6686" s="10"/>
      <c r="O6686" s="10"/>
      <c r="P6686" s="10"/>
      <c r="Q6686" s="10"/>
      <c r="R6686" s="10"/>
      <c r="S6686" s="10"/>
      <c r="T6686" s="10"/>
      <c r="U6686" s="10"/>
      <c r="V6686" s="10"/>
      <c r="W6686" s="10"/>
      <c r="X6686" s="10"/>
      <c r="Y6686" s="10"/>
      <c r="Z6686" s="10"/>
    </row>
    <row r="6687" spans="1:26" ht="12.75">
      <c r="A6687" s="10" t="str">
        <f ca="1">IFERROR(__xludf.DUMMYFUNCTION("""COMPUTED_VALUE"""),"Силвия Станчева Станчева")</f>
        <v>Силвия Станчева Станчева</v>
      </c>
      <c r="B6687" s="10" t="str">
        <f ca="1">IFERROR(__xludf.DUMMYFUNCTION("""COMPUTED_VALUE"""),"Статия в списания и поредици")</f>
        <v>Статия в списания и поредици</v>
      </c>
      <c r="C6687" s="10" t="str">
        <f ca="1">IFERROR(__xludf.DUMMYFUNCTION("""COMPUTED_VALUE"""),"Проучване и анализ на добри практики на професионално продължаващо образование и обучение в интерактивна образователна среда в България")</f>
        <v>Проучване и анализ на добри практики на професионално продължаващо образование и обучение в интерактивна образователна среда в България</v>
      </c>
      <c r="D6687" s="10">
        <f ca="1">IFERROR(__xludf.DUMMYFUNCTION("""COMPUTED_VALUE"""),2018)</f>
        <v>2018</v>
      </c>
      <c r="E6687"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13-36.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c. 13-36. ISBN 978-619-185-326-7</v>
      </c>
      <c r="F668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87" s="10" t="str">
        <f ca="1">IFERROR(__xludf.DUMMYFUNCTION("""COMPUTED_VALUE"""),"Rumelina Vasileva Ivanka Yankova, Denitsa Dimitrova")</f>
        <v>Rumelina Vasileva Ivanka Yankova, Denitsa Dimitrova</v>
      </c>
      <c r="H6687" s="10"/>
      <c r="I6687" s="10"/>
      <c r="J6687" s="10"/>
      <c r="K6687" s="10"/>
      <c r="L6687" s="10"/>
      <c r="M6687" s="10"/>
      <c r="N6687" s="10"/>
      <c r="O6687" s="10"/>
      <c r="P6687" s="10"/>
      <c r="Q6687" s="10"/>
      <c r="R6687" s="10"/>
      <c r="S6687" s="10"/>
      <c r="T6687" s="10"/>
      <c r="U6687" s="10"/>
      <c r="V6687" s="10"/>
      <c r="W6687" s="10"/>
      <c r="X6687" s="10"/>
      <c r="Y6687" s="10"/>
      <c r="Z6687" s="10"/>
    </row>
    <row r="6688" spans="1:26" ht="12.75">
      <c r="A6688" s="10" t="str">
        <f ca="1">IFERROR(__xludf.DUMMYFUNCTION("""COMPUTED_VALUE"""),"Силвия Станчева Станчева")</f>
        <v>Силвия Станчева Станчева</v>
      </c>
      <c r="B6688" s="10" t="str">
        <f ca="1">IFERROR(__xludf.DUMMYFUNCTION("""COMPUTED_VALUE"""),"Статия в списания и поредици")</f>
        <v>Статия в списания и поредици</v>
      </c>
      <c r="C6688" s="10" t="str">
        <f ca="1">IFERROR(__xludf.DUMMYFUNCTION("""COMPUTED_VALUE"""),"Професионалното и продължаващото обучение в сферата на културните и творчески индустрии – възможности за професионална реализация")</f>
        <v>Професионалното и продължаващото обучение в сферата на културните и творчески индустрии – възможности за професионална реализация</v>
      </c>
      <c r="D6688" s="10">
        <f ca="1">IFERROR(__xludf.DUMMYFUNCTION("""COMPUTED_VALUE"""),2018)</f>
        <v>2018</v>
      </c>
      <c r="E6688" s="10" t="str">
        <f ca="1">IFERROR(__xludf.DUMMYFUNCTION("""COMPUTED_VALUE"""),"Съвременни измерения на европейското образователно и научно пространство : Сборник с доклади от XII, Международен пътуващ семинар на УниБИТ : Културни връзки между България и Суверенния Малтийски орден, България – Италия, 18-23 май 2018 г., T. 6. – София "&amp;": За буквите – О писменехь, 2018. 2367-7988 (print)")</f>
        <v>Съвременни измерения на европейското образователно и научно пространство : Сборник с доклади от XII, Международен пътуващ семинар на УниБИТ : Културни връзки между България и Суверенния Малтийски орден, България – Италия, 18-23 май 2018 г., T. 6. – София : За буквите – О писменехь, 2018. 2367-7988 (print)</v>
      </c>
      <c r="F6688" s="10"/>
      <c r="G6688" s="10" t="str">
        <f ca="1">IFERROR(__xludf.DUMMYFUNCTION("""COMPUTED_VALUE"""),"К. Нушева, Б. Хаджиева")</f>
        <v>К. Нушева, Б. Хаджиева</v>
      </c>
      <c r="H6688" s="10"/>
      <c r="I6688" s="10"/>
      <c r="J6688" s="10"/>
      <c r="K6688" s="10"/>
      <c r="L6688" s="10"/>
      <c r="M6688" s="10"/>
      <c r="N6688" s="10"/>
      <c r="O6688" s="10"/>
      <c r="P6688" s="10"/>
      <c r="Q6688" s="10"/>
      <c r="R6688" s="10"/>
      <c r="S6688" s="10"/>
      <c r="T6688" s="10"/>
      <c r="U6688" s="10"/>
      <c r="V6688" s="10"/>
      <c r="W6688" s="10"/>
      <c r="X6688" s="10"/>
      <c r="Y6688" s="10"/>
      <c r="Z6688" s="10"/>
    </row>
    <row r="6689" spans="1:26" ht="12.75">
      <c r="A6689" s="10" t="str">
        <f ca="1">IFERROR(__xludf.DUMMYFUNCTION("""COMPUTED_VALUE"""),"Силвия Станчева Станчева")</f>
        <v>Силвия Станчева Станчева</v>
      </c>
      <c r="B6689" s="10" t="str">
        <f ca="1">IFERROR(__xludf.DUMMYFUNCTION("""COMPUTED_VALUE"""),"Доклад от конференция")</f>
        <v>Доклад от конференция</v>
      </c>
      <c r="C6689" s="10" t="str">
        <f ca="1">IFERROR(__xludf.DUMMYFUNCTION("""COMPUTED_VALUE"""),"Studying cultural heritage as a contemporary form of university education")</f>
        <v>Studying cultural heritage as a contemporary form of university education</v>
      </c>
      <c r="D6689" s="10">
        <f ca="1">IFERROR(__xludf.DUMMYFUNCTION("""COMPUTED_VALUE"""),2018)</f>
        <v>2018</v>
      </c>
      <c r="E6689" s="10" t="str">
        <f ca="1">IFERROR(__xludf.DUMMYFUNCTION("""COMPUTED_VALUE"""),"Proceedings of EDULEARN18 Conference 2nd-4th July 2018, Palma, Mallorca, Spain: 10th annual International Conference on Education and New Learning Technologies, Palma de Mallorca (Spain), 2018, pp. 1849-1853 ISBN: 978-84-09-02709-5 ISSN: 2340-1117 Depósit"&amp;"o Legal: V-1578-2018")</f>
        <v>Proceedings of EDULEARN18 Conference 2nd-4th July 2018, Palma, Mallorca, Spain: 10th annual International Conference on Education and New Learning Technologies, Palma de Mallorca (Spain), 2018, pp. 1849-1853 ISBN: 978-84-09-02709-5 ISSN: 2340-1117 Depósito Legal: V-1578-2018</v>
      </c>
      <c r="F6689" s="10" t="str">
        <f ca="1">IFERROR(__xludf.DUMMYFUNCTION("""COMPUTED_VALUE"""),"ISI Conference Proceedings Citation Index (ISI CPCI), Crossref, Clarivate Analytics, Web of Science")</f>
        <v>ISI Conference Proceedings Citation Index (ISI CPCI), Crossref, Clarivate Analytics, Web of Science</v>
      </c>
      <c r="G6689" s="10" t="str">
        <f ca="1">IFERROR(__xludf.DUMMYFUNCTION("""COMPUTED_VALUE"""),"Stoyan Dentchev, Ivanka Yankova, Maria Nikolova")</f>
        <v>Stoyan Dentchev, Ivanka Yankova, Maria Nikolova</v>
      </c>
      <c r="H6689" s="10"/>
      <c r="I6689" s="10"/>
      <c r="J6689" s="10"/>
      <c r="K6689" s="10"/>
      <c r="L6689" s="10"/>
      <c r="M6689" s="10"/>
      <c r="N6689" s="10"/>
      <c r="O6689" s="10"/>
      <c r="P6689" s="10"/>
      <c r="Q6689" s="10"/>
      <c r="R6689" s="10"/>
      <c r="S6689" s="10"/>
      <c r="T6689" s="10"/>
      <c r="U6689" s="10"/>
      <c r="V6689" s="10"/>
      <c r="W6689" s="10"/>
      <c r="X6689" s="10"/>
      <c r="Y6689" s="10"/>
      <c r="Z6689" s="10"/>
    </row>
    <row r="6690" spans="1:26" ht="12.75">
      <c r="A6690" s="10" t="str">
        <f ca="1">IFERROR(__xludf.DUMMYFUNCTION("""COMPUTED_VALUE"""),"Силвия Станчева Станчева")</f>
        <v>Силвия Станчева Станчева</v>
      </c>
      <c r="B6690" s="10" t="str">
        <f ca="1">IFERROR(__xludf.DUMMYFUNCTION("""COMPUTED_VALUE"""),"Статия в списания и поредици")</f>
        <v>Статия в списания и поредици</v>
      </c>
      <c r="C6690" s="10" t="str">
        <f ca="1">IFERROR(__xludf.DUMMYFUNCTION("""COMPUTED_VALUE"""),"Насоките на ЮНЕСКО за интерактивни образователни процеси, приложени в УниБИТ")</f>
        <v>Насоките на ЮНЕСКО за интерактивни образователни процеси, приложени в УниБИТ</v>
      </c>
      <c r="D6690" s="10">
        <f ca="1">IFERROR(__xludf.DUMMYFUNCTION("""COMPUTED_VALUE"""),2018)</f>
        <v>2018</v>
      </c>
      <c r="E6690"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77-90.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77-90. ISBN 978-619-185-326-7</v>
      </c>
      <c r="F669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90" s="10" t="str">
        <f ca="1">IFERROR(__xludf.DUMMYFUNCTION("""COMPUTED_VALUE"""),"Иванка Павлова, Иванка Янкова")</f>
        <v>Иванка Павлова, Иванка Янкова</v>
      </c>
      <c r="H6690" s="10"/>
      <c r="I6690" s="10"/>
      <c r="J6690" s="10"/>
      <c r="K6690" s="10"/>
      <c r="L6690" s="10"/>
      <c r="M6690" s="10"/>
      <c r="N6690" s="10"/>
      <c r="O6690" s="10"/>
      <c r="P6690" s="10"/>
      <c r="Q6690" s="10"/>
      <c r="R6690" s="10"/>
      <c r="S6690" s="10"/>
      <c r="T6690" s="10"/>
      <c r="U6690" s="10"/>
      <c r="V6690" s="10"/>
      <c r="W6690" s="10"/>
      <c r="X6690" s="10"/>
      <c r="Y6690" s="10"/>
      <c r="Z6690" s="10"/>
    </row>
    <row r="6691" spans="1:26" ht="12.75">
      <c r="A6691" s="10" t="str">
        <f ca="1">IFERROR(__xludf.DUMMYFUNCTION("""COMPUTED_VALUE"""),"Силвия Станчева Станчева")</f>
        <v>Силвия Станчева Станчева</v>
      </c>
      <c r="B6691" s="10" t="str">
        <f ca="1">IFERROR(__xludf.DUMMYFUNCTION("""COMPUTED_VALUE"""),"Статия в списания и поредици")</f>
        <v>Статия в списания и поредици</v>
      </c>
      <c r="C6691" s="10" t="str">
        <f ca="1">IFERROR(__xludf.DUMMYFUNCTION("""COMPUTED_VALUE"""),"Комуникационен модел на интерактивна образователна среда")</f>
        <v>Комуникационен модел на интерактивна образователна среда</v>
      </c>
      <c r="D6691" s="10">
        <f ca="1">IFERROR(__xludf.DUMMYFUNCTION("""COMPUTED_VALUE"""),2018)</f>
        <v>2018</v>
      </c>
      <c r="E6691"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103-115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с. 103-115 ISBN 978-619-185-326-7</v>
      </c>
      <c r="F669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91" s="10" t="str">
        <f ca="1">IFERROR(__xludf.DUMMYFUNCTION("""COMPUTED_VALUE"""),"Иванка Павлова, Иванка Янкова")</f>
        <v>Иванка Павлова, Иванка Янкова</v>
      </c>
      <c r="H6691" s="10"/>
      <c r="I6691" s="10"/>
      <c r="J6691" s="10"/>
      <c r="K6691" s="10"/>
      <c r="L6691" s="10"/>
      <c r="M6691" s="10"/>
      <c r="N6691" s="10"/>
      <c r="O6691" s="10"/>
      <c r="P6691" s="10"/>
      <c r="Q6691" s="10"/>
      <c r="R6691" s="10"/>
      <c r="S6691" s="10"/>
      <c r="T6691" s="10"/>
      <c r="U6691" s="10"/>
      <c r="V6691" s="10"/>
      <c r="W6691" s="10"/>
      <c r="X6691" s="10"/>
      <c r="Y6691" s="10"/>
      <c r="Z6691" s="10"/>
    </row>
    <row r="6692" spans="1:26" ht="12.75">
      <c r="A6692" s="10" t="str">
        <f ca="1">IFERROR(__xludf.DUMMYFUNCTION("""COMPUTED_VALUE"""),"Силвия Станчева Станчева")</f>
        <v>Силвия Станчева Станчева</v>
      </c>
      <c r="B6692" s="10" t="str">
        <f ca="1">IFERROR(__xludf.DUMMYFUNCTION("""COMPUTED_VALUE"""),"Студия")</f>
        <v>Студия</v>
      </c>
      <c r="C6692" s="10" t="str">
        <f ca="1">IFERROR(__xludf.DUMMYFUNCTION("""COMPUTED_VALUE"""),"New Vision for Flexible Dual Vocational Education and Training")</f>
        <v>New Vision for Flexible Dual Vocational Education and Training</v>
      </c>
      <c r="D6692" s="10">
        <f ca="1">IFERROR(__xludf.DUMMYFUNCTION("""COMPUTED_VALUE"""),2018)</f>
        <v>2018</v>
      </c>
      <c r="E6692"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pp. 149-169. ISBN 978-619-185-326-7")</f>
        <v>Иновативна образователна среда за непрекъснато професионално обучение в сферата на културните и творчески индустрии: Е-сборник. Състав. Иванка Янкова, Румелина Василева. София: За буквите – О писменехь, 2018, pp. 149-169. ISBN 978-619-185-326-7</v>
      </c>
      <c r="F669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92" s="10" t="str">
        <f ca="1">IFERROR(__xludf.DUMMYFUNCTION("""COMPUTED_VALUE"""),"Ivanka Yankova Rumelina Vasileva Tzvetelina Dimitrova Stoyan Denchev")</f>
        <v>Ivanka Yankova Rumelina Vasileva Tzvetelina Dimitrova Stoyan Denchev</v>
      </c>
      <c r="H6692" s="10"/>
      <c r="I6692" s="10"/>
      <c r="J6692" s="10"/>
      <c r="K6692" s="10"/>
      <c r="L6692" s="10"/>
      <c r="M6692" s="10"/>
      <c r="N6692" s="10"/>
      <c r="O6692" s="10"/>
      <c r="P6692" s="10"/>
      <c r="Q6692" s="10"/>
      <c r="R6692" s="10"/>
      <c r="S6692" s="10"/>
      <c r="T6692" s="10"/>
      <c r="U6692" s="10"/>
      <c r="V6692" s="10"/>
      <c r="W6692" s="10"/>
      <c r="X6692" s="10"/>
      <c r="Y6692" s="10"/>
      <c r="Z6692" s="10"/>
    </row>
    <row r="6693" spans="1:26" ht="12.75">
      <c r="A6693" s="10" t="str">
        <f ca="1">IFERROR(__xludf.DUMMYFUNCTION("""COMPUTED_VALUE"""),"Силвия Станчева Станчева")</f>
        <v>Силвия Станчева Станчева</v>
      </c>
      <c r="B6693" s="10" t="str">
        <f ca="1">IFERROR(__xludf.DUMMYFUNCTION("""COMPUTED_VALUE"""),"Статия в списания и поредици")</f>
        <v>Статия в списания и поредици</v>
      </c>
      <c r="C6693" s="10" t="str">
        <f ca="1">IFERROR(__xludf.DUMMYFUNCTION("""COMPUTED_VALUE"""),"Model for achieving the indicators for influence in scientific areas of Bulgarian academic journals")</f>
        <v>Model for achieving the indicators for influence in scientific areas of Bulgarian academic journals</v>
      </c>
      <c r="D6693" s="10">
        <f ca="1">IFERROR(__xludf.DUMMYFUNCTION("""COMPUTED_VALUE"""),2017)</f>
        <v>2017</v>
      </c>
      <c r="E6693" s="10" t="str">
        <f ca="1">IFERROR(__xludf.DUMMYFUNCTION("""COMPUTED_VALUE"""),"Qualitative and Quantitative Methods in Libraries, [S.l.], v. 5, n. 4, p. 829-835, apr. 2017. ISSN 2241-1925. [Viewed 22.09.2017]. Available from: &lt;http://qqml-journal.net/index.php/qqml/article/view/8&gt; ISSN 2241-1925")</f>
        <v>Qualitative and Quantitative Methods in Libraries, [S.l.], v. 5, n. 4, p. 829-835, apr. 2017. ISSN 2241-1925. [Viewed 22.09.2017]. Available from: &lt;http://qqml-journal.net/index.php/qqml/article/view/8&gt; ISSN 2241-1925</v>
      </c>
      <c r="F6693" s="10" t="str">
        <f ca="1">IFERROR(__xludf.DUMMYFUNCTION("""COMPUTED_VALUE"""),"ISI Conference Proceedings Citation Index (ISI CPCI), Crossref, Clarivate Analytics, Web of Science")</f>
        <v>ISI Conference Proceedings Citation Index (ISI CPCI), Crossref, Clarivate Analytics, Web of Science</v>
      </c>
      <c r="G6693" s="10" t="str">
        <f ca="1">IFERROR(__xludf.DUMMYFUNCTION("""COMPUTED_VALUE"""),"Ivanka Yankova, Stoyan Denchev, Irena Peteva")</f>
        <v>Ivanka Yankova, Stoyan Denchev, Irena Peteva</v>
      </c>
      <c r="H6693" s="10"/>
      <c r="I6693" s="10"/>
      <c r="J6693" s="10"/>
      <c r="K6693" s="10"/>
      <c r="L6693" s="10"/>
      <c r="M6693" s="10"/>
      <c r="N6693" s="10"/>
      <c r="O6693" s="10"/>
      <c r="P6693" s="10"/>
      <c r="Q6693" s="10"/>
      <c r="R6693" s="10"/>
      <c r="S6693" s="10"/>
      <c r="T6693" s="10"/>
      <c r="U6693" s="10"/>
      <c r="V6693" s="10"/>
      <c r="W6693" s="10"/>
      <c r="X6693" s="10"/>
      <c r="Y6693" s="10"/>
      <c r="Z6693" s="10"/>
    </row>
    <row r="6694" spans="1:26" ht="12.75">
      <c r="A6694" s="10" t="str">
        <f ca="1">IFERROR(__xludf.DUMMYFUNCTION("""COMPUTED_VALUE"""),"Силвия Станчева Станчева")</f>
        <v>Силвия Станчева Станчева</v>
      </c>
      <c r="B6694" s="10" t="str">
        <f ca="1">IFERROR(__xludf.DUMMYFUNCTION("""COMPUTED_VALUE"""),"Доклад от конференция")</f>
        <v>Доклад от конференция</v>
      </c>
      <c r="C6694" s="10" t="str">
        <f ca="1">IFERROR(__xludf.DUMMYFUNCTION("""COMPUTED_VALUE"""),"Комуникационен модел на интерактивна образователна среда")</f>
        <v>Комуникационен модел на интерактивна образователна среда</v>
      </c>
      <c r="D6694" s="10">
        <f ca="1">IFERROR(__xludf.DUMMYFUNCTION("""COMPUTED_VALUE"""),2017)</f>
        <v>2017</v>
      </c>
      <c r="E6694" s="10" t="str">
        <f ca="1">IFERROR(__xludf.DUMMYFUNCTION("""COMPUTED_VALUE"""),"Съвременни измерения на европейското образователно и научно пространство= Modern dimensions in European education and research area: Т. 5. Сборник с доклади от XI международен пътуващ семинар на УниБИТ, България – Гърция, 29 май – 5 юни, 2017 г. София: За"&amp;" буквите – О писменехь, 2017, с. 40-47 2535-0250 (print)")</f>
        <v>Съвременни измерения на европейското образователно и научно пространство= Modern dimensions in European education and research area: Т. 5. Сборник с доклади от XI международен пътуващ семинар на УниБИТ, България – Гърция, 29 май – 5 юни, 2017 г. София: За буквите – О писменехь, 2017, с. 40-47 2535-0250 (print)</v>
      </c>
      <c r="F669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94" s="10" t="str">
        <f ca="1">IFERROR(__xludf.DUMMYFUNCTION("""COMPUTED_VALUE"""),"Иванка Янкова, Иванка Павлова")</f>
        <v>Иванка Янкова, Иванка Павлова</v>
      </c>
      <c r="H6694" s="10"/>
      <c r="I6694" s="10"/>
      <c r="J6694" s="10"/>
      <c r="K6694" s="10"/>
      <c r="L6694" s="10"/>
      <c r="M6694" s="10"/>
      <c r="N6694" s="10"/>
      <c r="O6694" s="10"/>
      <c r="P6694" s="10"/>
      <c r="Q6694" s="10"/>
      <c r="R6694" s="10"/>
      <c r="S6694" s="10"/>
      <c r="T6694" s="10"/>
      <c r="U6694" s="10"/>
      <c r="V6694" s="10"/>
      <c r="W6694" s="10"/>
      <c r="X6694" s="10"/>
      <c r="Y6694" s="10"/>
      <c r="Z6694" s="10"/>
    </row>
    <row r="6695" spans="1:26" ht="12.75">
      <c r="A6695" s="10" t="str">
        <f ca="1">IFERROR(__xludf.DUMMYFUNCTION("""COMPUTED_VALUE"""),"Силвия Станчева Станчева")</f>
        <v>Силвия Станчева Станчева</v>
      </c>
      <c r="B6695" s="10" t="str">
        <f ca="1">IFERROR(__xludf.DUMMYFUNCTION("""COMPUTED_VALUE"""),"Доклад от конференция")</f>
        <v>Доклад от конференция</v>
      </c>
      <c r="C6695" s="10" t="str">
        <f ca="1">IFERROR(__xludf.DUMMYFUNCTION("""COMPUTED_VALUE"""),"Impact of Communication on Learnability in Lifelong Learning Business Models")</f>
        <v>Impact of Communication on Learnability in Lifelong Learning Business Models</v>
      </c>
      <c r="D6695" s="10">
        <f ca="1">IFERROR(__xludf.DUMMYFUNCTION("""COMPUTED_VALUE"""),2017)</f>
        <v>2017</v>
      </c>
      <c r="E6695" s="10" t="str">
        <f ca="1">IFERROR(__xludf.DUMMYFUNCTION("""COMPUTED_VALUE"""),"Proceedings of ICERI2017 Conference: 10th Annual International Conference of Education, Research and Innovation, 16-18 November, 2017, Seville, Spain, pp. 8119-8122 ISBN: 978-84-697-6957-7 ISSN: 2340-1095")</f>
        <v>Proceedings of ICERI2017 Conference: 10th Annual International Conference of Education, Research and Innovation, 16-18 November, 2017, Seville, Spain, pp. 8119-8122 ISBN: 978-84-697-6957-7 ISSN: 2340-1095</v>
      </c>
      <c r="F6695" s="10" t="str">
        <f ca="1">IFERROR(__xludf.DUMMYFUNCTION("""COMPUTED_VALUE"""),"ISI Conference Proceedings Citation Index (ISI CPCI), Crossref, Clarivate Analytics, Web of Science")</f>
        <v>ISI Conference Proceedings Citation Index (ISI CPCI), Crossref, Clarivate Analytics, Web of Science</v>
      </c>
      <c r="G6695" s="10" t="str">
        <f ca="1">IFERROR(__xludf.DUMMYFUNCTION("""COMPUTED_VALUE"""),"Ivanka Yankova, Rumelina Vasileva Tzvetelina Dimitrova")</f>
        <v>Ivanka Yankova, Rumelina Vasileva Tzvetelina Dimitrova</v>
      </c>
      <c r="H6695" s="10"/>
      <c r="I6695" s="10"/>
      <c r="J6695" s="10"/>
      <c r="K6695" s="10"/>
      <c r="L6695" s="10"/>
      <c r="M6695" s="10"/>
      <c r="N6695" s="10"/>
      <c r="O6695" s="10"/>
      <c r="P6695" s="10"/>
      <c r="Q6695" s="10"/>
      <c r="R6695" s="10"/>
      <c r="S6695" s="10"/>
      <c r="T6695" s="10"/>
      <c r="U6695" s="10"/>
      <c r="V6695" s="10"/>
      <c r="W6695" s="10"/>
      <c r="X6695" s="10"/>
      <c r="Y6695" s="10"/>
      <c r="Z6695" s="10"/>
    </row>
    <row r="6696" spans="1:26" ht="12.75">
      <c r="A6696" s="10" t="str">
        <f ca="1">IFERROR(__xludf.DUMMYFUNCTION("""COMPUTED_VALUE"""),"Силвия Станчева Станчева")</f>
        <v>Силвия Станчева Станчева</v>
      </c>
      <c r="B6696" s="10" t="str">
        <f ca="1">IFERROR(__xludf.DUMMYFUNCTION("""COMPUTED_VALUE"""),"Доклад от конференция")</f>
        <v>Доклад от конференция</v>
      </c>
      <c r="C6696" s="10" t="str">
        <f ca="1">IFERROR(__xludf.DUMMYFUNCTION("""COMPUTED_VALUE"""),"Research of the Bulgarian Scientists’ Issues with the Publishing in Scientific Periodicals with Impact Factor")</f>
        <v>Research of the Bulgarian Scientists’ Issues with the Publishing in Scientific Periodicals with Impact Factor</v>
      </c>
      <c r="D6696" s="10">
        <f ca="1">IFERROR(__xludf.DUMMYFUNCTION("""COMPUTED_VALUE"""),2017)</f>
        <v>2017</v>
      </c>
      <c r="E6696" s="10" t="str">
        <f ca="1">IFERROR(__xludf.DUMMYFUNCTION("""COMPUTED_VALUE"""),"Proceedings of ICERI2017 Conference: 10th Annual International Conference of Education, Research and Innovation, 16-18 November, 2017, Seville, Spain, pp. 7303-7309. ISBN 978-84-697-6957-7. [Viewed 01.12.2017]. Available from: &lt;file:///G:/files/papers/196"&amp;"2.pdf&gt;")</f>
        <v>Proceedings of ICERI2017 Conference: 10th Annual International Conference of Education, Research and Innovation, 16-18 November, 2017, Seville, Spain, pp. 7303-7309. ISBN 978-84-697-6957-7. [Viewed 01.12.2017]. Available from: &lt;file:///G:/files/papers/1962.pdf&gt;</v>
      </c>
      <c r="F6696" s="10" t="str">
        <f ca="1">IFERROR(__xludf.DUMMYFUNCTION("""COMPUTED_VALUE"""),"ISI Conference Proceedings Citation Index (ISI CPCI), Crossref, Clarivate Analytics, Web of Science")</f>
        <v>ISI Conference Proceedings Citation Index (ISI CPCI), Crossref, Clarivate Analytics, Web of Science</v>
      </c>
      <c r="G6696" s="10" t="str">
        <f ca="1">IFERROR(__xludf.DUMMYFUNCTION("""COMPUTED_VALUE"""),"Irena Peteva, Ivanka Yankova, Rumelina Vasileva Tzvetelina Dimitrova")</f>
        <v>Irena Peteva, Ivanka Yankova, Rumelina Vasileva Tzvetelina Dimitrova</v>
      </c>
      <c r="H6696" s="10"/>
      <c r="I6696" s="10"/>
      <c r="J6696" s="10"/>
      <c r="K6696" s="10"/>
      <c r="L6696" s="10"/>
      <c r="M6696" s="10"/>
      <c r="N6696" s="10"/>
      <c r="O6696" s="10"/>
      <c r="P6696" s="10"/>
      <c r="Q6696" s="10"/>
      <c r="R6696" s="10"/>
      <c r="S6696" s="10"/>
      <c r="T6696" s="10"/>
      <c r="U6696" s="10"/>
      <c r="V6696" s="10"/>
      <c r="W6696" s="10"/>
      <c r="X6696" s="10"/>
      <c r="Y6696" s="10"/>
      <c r="Z6696" s="10"/>
    </row>
    <row r="6697" spans="1:26" ht="12.75">
      <c r="A6697" s="10" t="str">
        <f ca="1">IFERROR(__xludf.DUMMYFUNCTION("""COMPUTED_VALUE"""),"Силвия Станчева Станчева")</f>
        <v>Силвия Станчева Станчева</v>
      </c>
      <c r="B6697" s="10" t="str">
        <f ca="1">IFERROR(__xludf.DUMMYFUNCTION("""COMPUTED_VALUE"""),"Статия в списания и поредици")</f>
        <v>Статия в списания и поредици</v>
      </c>
      <c r="C6697" s="10" t="str">
        <f ca="1">IFERROR(__xludf.DUMMYFUNCTION("""COMPUTED_VALUE"""),"Employability of students in"" Library and Information Management""")</f>
        <v>Employability of students in" Library and Information Management"</v>
      </c>
      <c r="D6697" s="10">
        <f ca="1">IFERROR(__xludf.DUMMYFUNCTION("""COMPUTED_VALUE"""),2017)</f>
        <v>2017</v>
      </c>
      <c r="E6697" s="10" t="str">
        <f ca="1">IFERROR(__xludf.DUMMYFUNCTION("""COMPUTED_VALUE"""),"Qualitative and Quantitative Methods in Libraries, [S.l.], v. 5, n. 3, p. 737-742, july 2017. ISSN 2241-1925. [Viewed 07.08.2017]. Available from: &lt;http://qqml-journal.net/index.php/qqml/article/view/355&gt; ISSN 2241-1925")</f>
        <v>Qualitative and Quantitative Methods in Libraries, [S.l.], v. 5, n. 3, p. 737-742, july 2017. ISSN 2241-1925. [Viewed 07.08.2017]. Available from: &lt;http://qqml-journal.net/index.php/qqml/article/view/355&gt; ISSN 2241-1925</v>
      </c>
      <c r="F6697" s="10" t="str">
        <f ca="1">IFERROR(__xludf.DUMMYFUNCTION("""COMPUTED_VALUE"""),"ISI Conference Proceedings Citation Index (ISI CPCI), Crossref, Clarivate Analytics, Web of Science")</f>
        <v>ISI Conference Proceedings Citation Index (ISI CPCI), Crossref, Clarivate Analytics, Web of Science</v>
      </c>
      <c r="G6697" s="10" t="str">
        <f ca="1">IFERROR(__xludf.DUMMYFUNCTION("""COMPUTED_VALUE"""),"Ivanka Yankova, Rumelina Vasileva, Tzvetelina Dimitrova")</f>
        <v>Ivanka Yankova, Rumelina Vasileva, Tzvetelina Dimitrova</v>
      </c>
      <c r="H6697" s="10"/>
      <c r="I6697" s="10"/>
      <c r="J6697" s="10"/>
      <c r="K6697" s="10"/>
      <c r="L6697" s="10"/>
      <c r="M6697" s="10"/>
      <c r="N6697" s="10"/>
      <c r="O6697" s="10"/>
      <c r="P6697" s="10"/>
      <c r="Q6697" s="10"/>
      <c r="R6697" s="10"/>
      <c r="S6697" s="10"/>
      <c r="T6697" s="10"/>
      <c r="U6697" s="10"/>
      <c r="V6697" s="10"/>
      <c r="W6697" s="10"/>
      <c r="X6697" s="10"/>
      <c r="Y6697" s="10"/>
      <c r="Z6697" s="10"/>
    </row>
    <row r="6698" spans="1:26" ht="12.75">
      <c r="A6698" s="10" t="str">
        <f ca="1">IFERROR(__xludf.DUMMYFUNCTION("""COMPUTED_VALUE"""),"Силвия Станчева Станчева")</f>
        <v>Силвия Станчева Станчева</v>
      </c>
      <c r="B6698" s="10" t="str">
        <f ca="1">IFERROR(__xludf.DUMMYFUNCTION("""COMPUTED_VALUE"""),"Доклад от конференция")</f>
        <v>Доклад от конференция</v>
      </c>
      <c r="C6698" s="10" t="str">
        <f ca="1">IFERROR(__xludf.DUMMYFUNCTION("""COMPUTED_VALUE"""),"New Vision for Flexible Dual Vocational Education and Training")</f>
        <v>New Vision for Flexible Dual Vocational Education and Training</v>
      </c>
      <c r="D6698" s="10">
        <f ca="1">IFERROR(__xludf.DUMMYFUNCTION("""COMPUTED_VALUE"""),2017)</f>
        <v>2017</v>
      </c>
      <c r="E6698" s="10" t="str">
        <f ca="1">IFERROR(__xludf.DUMMYFUNCTION("""COMPUTED_VALUE"""),"Proceedings of ICERI2017 Conference: 10th Annual International Conference of Education, Research and Innovation, 16-18 November, 2017, Seville, Spain, pp. 8263-8272. ISBN 978-84-697-6957-7. [Viewed 01.12.2017]. Available from: &lt;file:///G:/files/papers/222"&amp;"2.pdf&gt; ISBN: 978-84-697-6957-7 / ISSN: 2340-1095 doi: 10.21125/iceri.2017")</f>
        <v>Proceedings of ICERI2017 Conference: 10th Annual International Conference of Education, Research and Innovation, 16-18 November, 2017, Seville, Spain, pp. 8263-8272. ISBN 978-84-697-6957-7. [Viewed 01.12.2017]. Available from: &lt;file:///G:/files/papers/2222.pdf&gt; ISBN: 978-84-697-6957-7 / ISSN: 2340-1095 doi: 10.21125/iceri.2017</v>
      </c>
      <c r="F6698" s="10" t="str">
        <f ca="1">IFERROR(__xludf.DUMMYFUNCTION("""COMPUTED_VALUE"""),"ISI Conference Proceedings Citation Index (ISI CPCI), Crossref, Clarivate Analytics, Web of Science")</f>
        <v>ISI Conference Proceedings Citation Index (ISI CPCI), Crossref, Clarivate Analytics, Web of Science</v>
      </c>
      <c r="G6698" s="10" t="str">
        <f ca="1">IFERROR(__xludf.DUMMYFUNCTION("""COMPUTED_VALUE"""),"Ivanka Yankova, Tzvetelina Dimitrova, Stoyan Denchev, Rumelina Vasileva")</f>
        <v>Ivanka Yankova, Tzvetelina Dimitrova, Stoyan Denchev, Rumelina Vasileva</v>
      </c>
      <c r="H6698" s="10"/>
      <c r="I6698" s="10"/>
      <c r="J6698" s="10"/>
      <c r="K6698" s="10"/>
      <c r="L6698" s="10"/>
      <c r="M6698" s="10"/>
      <c r="N6698" s="10"/>
      <c r="O6698" s="10"/>
      <c r="P6698" s="10"/>
      <c r="Q6698" s="10"/>
      <c r="R6698" s="10"/>
      <c r="S6698" s="10"/>
      <c r="T6698" s="10"/>
      <c r="U6698" s="10"/>
      <c r="V6698" s="10"/>
      <c r="W6698" s="10"/>
      <c r="X6698" s="10"/>
      <c r="Y6698" s="10"/>
      <c r="Z6698" s="10"/>
    </row>
    <row r="6699" spans="1:26" ht="12.75">
      <c r="A6699" s="10" t="str">
        <f ca="1">IFERROR(__xludf.DUMMYFUNCTION("""COMPUTED_VALUE"""),"Силвия Станчева Станчева")</f>
        <v>Силвия Станчева Станчева</v>
      </c>
      <c r="B6699" s="10" t="str">
        <f ca="1">IFERROR(__xludf.DUMMYFUNCTION("""COMPUTED_VALUE"""),"Статия в списания и поредици")</f>
        <v>Статия в списания и поредици</v>
      </c>
      <c r="C6699" s="10" t="str">
        <f ca="1">IFERROR(__xludf.DUMMYFUNCTION("""COMPUTED_VALUE"""),"Проучване на възможностите за професионална реализация на студентите от специалност „Библиотечен и информационен мениджмънт”")</f>
        <v>Проучване на възможностите за професионална реализация на студентите от специалност „Библиотечен и информационен мениджмънт”</v>
      </c>
      <c r="D6699" s="10">
        <f ca="1">IFERROR(__xludf.DUMMYFUNCTION("""COMPUTED_VALUE"""),2016)</f>
        <v>2016</v>
      </c>
      <c r="E6699" s="10" t="str">
        <f ca="1">IFERROR(__xludf.DUMMYFUNCTION("""COMPUTED_VALUE"""),"Професионалната реализация – възможности и реалност. София: За буквите – О писменехь, 2016, с.7-25 ISBN 978-619-185-259-8")</f>
        <v>Професионалната реализация – възможности и реалност. София: За буквите – О писменехь, 2016, с.7-25 ISBN 978-619-185-259-8</v>
      </c>
      <c r="F669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699" s="10" t="str">
        <f ca="1">IFERROR(__xludf.DUMMYFUNCTION("""COMPUTED_VALUE"""),"Елисавета Цветкова")</f>
        <v>Елисавета Цветкова</v>
      </c>
      <c r="H6699" s="10"/>
      <c r="I6699" s="10"/>
      <c r="J6699" s="10"/>
      <c r="K6699" s="10"/>
      <c r="L6699" s="10"/>
      <c r="M6699" s="10"/>
      <c r="N6699" s="10"/>
      <c r="O6699" s="10"/>
      <c r="P6699" s="10"/>
      <c r="Q6699" s="10"/>
      <c r="R6699" s="10"/>
      <c r="S6699" s="10"/>
      <c r="T6699" s="10"/>
      <c r="U6699" s="10"/>
      <c r="V6699" s="10"/>
      <c r="W6699" s="10"/>
      <c r="X6699" s="10"/>
      <c r="Y6699" s="10"/>
      <c r="Z6699" s="10"/>
    </row>
    <row r="6700" spans="1:26" ht="12.75">
      <c r="A6700" s="10" t="str">
        <f ca="1">IFERROR(__xludf.DUMMYFUNCTION("""COMPUTED_VALUE"""),"Силвия Станчева Станчева")</f>
        <v>Силвия Станчева Станчева</v>
      </c>
      <c r="B6700" s="10" t="str">
        <f ca="1">IFERROR(__xludf.DUMMYFUNCTION("""COMPUTED_VALUE"""),"Книга")</f>
        <v>Книга</v>
      </c>
      <c r="C6700" s="10" t="str">
        <f ca="1">IFERROR(__xludf.DUMMYFUNCTION("""COMPUTED_VALUE"""),"Професионалната реализация – възможности и реалност")</f>
        <v>Професионалната реализация – възможности и реалност</v>
      </c>
      <c r="D6700" s="10">
        <f ca="1">IFERROR(__xludf.DUMMYFUNCTION("""COMPUTED_VALUE"""),2016)</f>
        <v>2016</v>
      </c>
      <c r="E6700" s="10" t="str">
        <f ca="1">IFERROR(__xludf.DUMMYFUNCTION("""COMPUTED_VALUE"""),"Професионалната реализация – възможности и реалност: Сборник / Състав. Силвия Станчева. София: За буквите – О писменехь, 2016, 198 с. ISBN 978-619-185-259-8")</f>
        <v>Професионалната реализация – възможности и реалност: Сборник / Състав. Силвия Станчева. София: За буквите – О писменехь, 2016, 198 с. ISBN 978-619-185-259-8</v>
      </c>
      <c r="F670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0" s="10"/>
      <c r="H6700" s="10"/>
      <c r="I6700" s="10"/>
      <c r="J6700" s="10"/>
      <c r="K6700" s="10"/>
      <c r="L6700" s="10"/>
      <c r="M6700" s="10"/>
      <c r="N6700" s="10"/>
      <c r="O6700" s="10"/>
      <c r="P6700" s="10"/>
      <c r="Q6700" s="10"/>
      <c r="R6700" s="10"/>
      <c r="S6700" s="10"/>
      <c r="T6700" s="10"/>
      <c r="U6700" s="10"/>
      <c r="V6700" s="10"/>
      <c r="W6700" s="10"/>
      <c r="X6700" s="10"/>
      <c r="Y6700" s="10"/>
      <c r="Z6700" s="10"/>
    </row>
    <row r="6701" spans="1:26" ht="12.75">
      <c r="A6701" s="10" t="str">
        <f ca="1">IFERROR(__xludf.DUMMYFUNCTION("""COMPUTED_VALUE"""),"Силвия Станчева Станчева")</f>
        <v>Силвия Станчева Станчева</v>
      </c>
      <c r="B6701" s="10" t="str">
        <f ca="1">IFERROR(__xludf.DUMMYFUNCTION("""COMPUTED_VALUE"""),"Статия в списания и поредици")</f>
        <v>Статия в списания и поредици</v>
      </c>
      <c r="C6701" s="10" t="str">
        <f ca="1">IFERROR(__xludf.DUMMYFUNCTION("""COMPUTED_VALUE"""),"Лобиране за култура на четене на Балканите (Инициативи за насърчаване на четенето при децата)")</f>
        <v>Лобиране за култура на четене на Балканите (Инициативи за насърчаване на четенето при децата)</v>
      </c>
      <c r="D6701" s="10">
        <f ca="1">IFERROR(__xludf.DUMMYFUNCTION("""COMPUTED_VALUE"""),2016)</f>
        <v>2016</v>
      </c>
      <c r="E6701" s="10" t="str">
        <f ca="1">IFERROR(__xludf.DUMMYFUNCTION("""COMPUTED_VALUE"""),"Застъпничество и лобиране в българските библиотеки. София, 2016, с. 175-185. ISBN 978-619-185-258-1")</f>
        <v>Застъпничество и лобиране в българските библиотеки. София, 2016, с. 175-185. ISBN 978-619-185-258-1</v>
      </c>
      <c r="F670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1" s="10"/>
      <c r="H6701" s="10"/>
      <c r="I6701" s="10"/>
      <c r="J6701" s="10"/>
      <c r="K6701" s="10"/>
      <c r="L6701" s="10"/>
      <c r="M6701" s="10"/>
      <c r="N6701" s="10"/>
      <c r="O6701" s="10"/>
      <c r="P6701" s="10"/>
      <c r="Q6701" s="10"/>
      <c r="R6701" s="10"/>
      <c r="S6701" s="10"/>
      <c r="T6701" s="10"/>
      <c r="U6701" s="10"/>
      <c r="V6701" s="10"/>
      <c r="W6701" s="10"/>
      <c r="X6701" s="10"/>
      <c r="Y6701" s="10"/>
      <c r="Z6701" s="10"/>
    </row>
    <row r="6702" spans="1:26" ht="12.75">
      <c r="A6702" s="10" t="str">
        <f ca="1">IFERROR(__xludf.DUMMYFUNCTION("""COMPUTED_VALUE"""),"Силвия Станчева Станчева")</f>
        <v>Силвия Станчева Станчева</v>
      </c>
      <c r="B6702" s="10" t="str">
        <f ca="1">IFERROR(__xludf.DUMMYFUNCTION("""COMPUTED_VALUE"""),"Доклад от конференция")</f>
        <v>Доклад от конференция</v>
      </c>
      <c r="C6702" s="10" t="str">
        <f ca="1">IFERROR(__xludf.DUMMYFUNCTION("""COMPUTED_VALUE"""),"Проучване на възможностите за професионална реализация на студентите от специалност „Библиотечен и информационен мениджмънт”")</f>
        <v>Проучване на възможностите за професионална реализация на студентите от специалност „Библиотечен и информационен мениджмънт”</v>
      </c>
      <c r="D6702" s="10">
        <f ca="1">IFERROR(__xludf.DUMMYFUNCTION("""COMPUTED_VALUE"""),2016)</f>
        <v>2016</v>
      </c>
      <c r="E6702" s="10" t="str">
        <f ca="1">IFERROR(__xludf.DUMMYFUNCTION("""COMPUTED_VALUE"""),"Библиотеки-четене.комуникации: Сборник, В. Търново: РНБ „П. Р. Славейков“, 2016, с. 263-271 ISSN 1313-8138")</f>
        <v>Библиотеки-четене.комуникации: Сборник, В. Търново: РНБ „П. Р. Славейков“, 2016, с. 263-271 ISSN 1313-8138</v>
      </c>
      <c r="F670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2" s="10" t="str">
        <f ca="1">IFERROR(__xludf.DUMMYFUNCTION("""COMPUTED_VALUE"""),"Елисавета Цветкова")</f>
        <v>Елисавета Цветкова</v>
      </c>
      <c r="H6702" s="10"/>
      <c r="I6702" s="10"/>
      <c r="J6702" s="10"/>
      <c r="K6702" s="10"/>
      <c r="L6702" s="10"/>
      <c r="M6702" s="10"/>
      <c r="N6702" s="10"/>
      <c r="O6702" s="10"/>
      <c r="P6702" s="10"/>
      <c r="Q6702" s="10"/>
      <c r="R6702" s="10"/>
      <c r="S6702" s="10"/>
      <c r="T6702" s="10"/>
      <c r="U6702" s="10"/>
      <c r="V6702" s="10"/>
      <c r="W6702" s="10"/>
      <c r="X6702" s="10"/>
      <c r="Y6702" s="10"/>
      <c r="Z6702" s="10"/>
    </row>
    <row r="6703" spans="1:26" ht="12.75">
      <c r="A6703" s="10" t="str">
        <f ca="1">IFERROR(__xludf.DUMMYFUNCTION("""COMPUTED_VALUE"""),"Силвия Станчева Станчева")</f>
        <v>Силвия Станчева Станчева</v>
      </c>
      <c r="B6703" s="10" t="str">
        <f ca="1">IFERROR(__xludf.DUMMYFUNCTION("""COMPUTED_VALUE"""),"Статия в списания и поредици")</f>
        <v>Статия в списания и поредици</v>
      </c>
      <c r="C6703" s="10" t="str">
        <f ca="1">IFERROR(__xludf.DUMMYFUNCTION("""COMPUTED_VALUE"""),"Защо трябва да сме информационно грамотни?")</f>
        <v>Защо трябва да сме информационно грамотни?</v>
      </c>
      <c r="D6703" s="10">
        <f ca="1">IFERROR(__xludf.DUMMYFUNCTION("""COMPUTED_VALUE"""),2016)</f>
        <v>2016</v>
      </c>
      <c r="E6703" s="10" t="str">
        <f ca="1">IFERROR(__xludf.DUMMYFUNCTION("""COMPUTED_VALUE"""),"GLORIA BIBLIOSPHERAE (Нишката на Ариадна): Изследвания в чест на акад. проф Александра Куманова: Юбилеен сборник по случай 65 години от основаването на УниБИТ = GLORIA BIBLIOSPHERAE (Ariadne’s Thread): Studia in honorem Acad. Prof. Alexandra Kumanova: A F"&amp;"estschrift for 65th Golden Jubilee of the University of Library Studies and Information Technologies in Sofia. София: За буквите – О писменехь, 2016, 1774 с.: с ил. (Факлоносци ; ХVІ), с. 873-879 ISBN 978-619-185-285-7")</f>
        <v>GLORIA BIBLIOSPHERAE (Нишката на Ариадна): Изследвания в чест на акад. проф Александра Куманова: Юбилеен сборник по случай 65 години от основаването на УниБИТ = GLORIA BIBLIOSPHERAE (Ariadne’s Thread): Studia in honorem Acad. Prof. Alexandra Kumanova: A Festschrift for 65th Golden Jubilee of the University of Library Studies and Information Technologies in Sofia. София: За буквите – О писменехь, 2016, 1774 с.: с ил. (Факлоносци ; ХVІ), с. 873-879 ISBN 978-619-185-285-7</v>
      </c>
      <c r="F670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3" s="10"/>
      <c r="H6703" s="10"/>
      <c r="I6703" s="10"/>
      <c r="J6703" s="10"/>
      <c r="K6703" s="10"/>
      <c r="L6703" s="10"/>
      <c r="M6703" s="10"/>
      <c r="N6703" s="10"/>
      <c r="O6703" s="10"/>
      <c r="P6703" s="10"/>
      <c r="Q6703" s="10"/>
      <c r="R6703" s="10"/>
      <c r="S6703" s="10"/>
      <c r="T6703" s="10"/>
      <c r="U6703" s="10"/>
      <c r="V6703" s="10"/>
      <c r="W6703" s="10"/>
      <c r="X6703" s="10"/>
      <c r="Y6703" s="10"/>
      <c r="Z6703" s="10"/>
    </row>
    <row r="6704" spans="1:26" ht="12.75">
      <c r="A6704" s="10" t="str">
        <f ca="1">IFERROR(__xludf.DUMMYFUNCTION("""COMPUTED_VALUE"""),"Силвия Станчева Станчева")</f>
        <v>Силвия Станчева Станчева</v>
      </c>
      <c r="B6704" s="10" t="str">
        <f ca="1">IFERROR(__xludf.DUMMYFUNCTION("""COMPUTED_VALUE"""),"Статия в списания и поредици")</f>
        <v>Статия в списания и поредици</v>
      </c>
      <c r="C6704" s="10" t="str">
        <f ca="1">IFERROR(__xludf.DUMMYFUNCTION("""COMPUTED_VALUE"""),"Основни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f>
        <v>Основни насоки за работа с платформата ILIAS – Е-платформа за дистанционно обучение по библиотечно-информационни науки, печатни комуникации и науките за културното наследство</v>
      </c>
      <c r="D6704" s="10">
        <f ca="1">IFERROR(__xludf.DUMMYFUNCTION("""COMPUTED_VALUE"""),2015)</f>
        <v>2015</v>
      </c>
      <c r="E6704" s="10" t="str">
        <f ca="1">IFERROR(__xludf.DUMMYFUNCTION("""COMPUTED_VALUE"""),"Нови информационни технологии в образователния процес, 2015, с. 60-66. ISSN1313-2768")</f>
        <v>Нови информационни технологии в образователния процес, 2015, с. 60-66. ISSN1313-2768</v>
      </c>
      <c r="F670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4" s="10" t="str">
        <f ca="1">IFERROR(__xludf.DUMMYFUNCTION("""COMPUTED_VALUE"""),"Румелина Василева, Камелия Нушева")</f>
        <v>Румелина Василева, Камелия Нушева</v>
      </c>
      <c r="H6704" s="10"/>
      <c r="I6704" s="10"/>
      <c r="J6704" s="10"/>
      <c r="K6704" s="10"/>
      <c r="L6704" s="10"/>
      <c r="M6704" s="10"/>
      <c r="N6704" s="10"/>
      <c r="O6704" s="10"/>
      <c r="P6704" s="10"/>
      <c r="Q6704" s="10"/>
      <c r="R6704" s="10"/>
      <c r="S6704" s="10"/>
      <c r="T6704" s="10"/>
      <c r="U6704" s="10"/>
      <c r="V6704" s="10"/>
      <c r="W6704" s="10"/>
      <c r="X6704" s="10"/>
      <c r="Y6704" s="10"/>
      <c r="Z6704" s="10"/>
    </row>
    <row r="6705" spans="1:26" ht="12.75">
      <c r="A6705" s="10" t="str">
        <f ca="1">IFERROR(__xludf.DUMMYFUNCTION("""COMPUTED_VALUE"""),"Силвия Станчева Станчева")</f>
        <v>Силвия Станчева Станчева</v>
      </c>
      <c r="B6705" s="10" t="str">
        <f ca="1">IFERROR(__xludf.DUMMYFUNCTION("""COMPUTED_VALUE"""),"Доклад от конференция")</f>
        <v>Доклад от конференция</v>
      </c>
      <c r="C6705" s="10" t="str">
        <f ca="1">IFERROR(__xludf.DUMMYFUNCTION("""COMPUTED_VALUE"""),"Индикатори за научно въздействие и механизми за тяхното прилагане")</f>
        <v>Индикатори за научно въздействие и механизми за тяхното прилагане</v>
      </c>
      <c r="D6705" s="10">
        <f ca="1">IFERROR(__xludf.DUMMYFUNCTION("""COMPUTED_VALUE"""),2015)</f>
        <v>2015</v>
      </c>
      <c r="E6705" s="10" t="str">
        <f ca="1">IFERROR(__xludf.DUMMYFUNCTION("""COMPUTED_VALUE"""),"Сборник с доклади от Трети национален семинар с международно участие на тема: „Интелектуалната собственост – формула за успех, творчество и иновации”, София, 27 - 28 април 2015 г. София: За буквите-о писменехь, 2015, с. 197-208. ISBN 978-619-185-019-8")</f>
        <v>Сборник с доклади от Трети национален семинар с международно участие на тема: „Интелектуалната собственост – формула за успех, творчество и иновации”, София, 27 - 28 април 2015 г. София: За буквите-о писменехь, 2015, с. 197-208. ISBN 978-619-185-019-8</v>
      </c>
      <c r="F670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5" s="10"/>
      <c r="H6705" s="10"/>
      <c r="I6705" s="10"/>
      <c r="J6705" s="10"/>
      <c r="K6705" s="10"/>
      <c r="L6705" s="10"/>
      <c r="M6705" s="10"/>
      <c r="N6705" s="10"/>
      <c r="O6705" s="10"/>
      <c r="P6705" s="10"/>
      <c r="Q6705" s="10"/>
      <c r="R6705" s="10"/>
      <c r="S6705" s="10"/>
      <c r="T6705" s="10"/>
      <c r="U6705" s="10"/>
      <c r="V6705" s="10"/>
      <c r="W6705" s="10"/>
      <c r="X6705" s="10"/>
      <c r="Y6705" s="10"/>
      <c r="Z6705" s="10"/>
    </row>
    <row r="6706" spans="1:26" ht="12.75">
      <c r="A6706" s="10" t="str">
        <f ca="1">IFERROR(__xludf.DUMMYFUNCTION("""COMPUTED_VALUE"""),"Силвия Станчева Станчева")</f>
        <v>Силвия Станчева Станчева</v>
      </c>
      <c r="B6706" s="10" t="str">
        <f ca="1">IFERROR(__xludf.DUMMYFUNCTION("""COMPUTED_VALUE"""),"Доклад от конференция")</f>
        <v>Доклад от конференция</v>
      </c>
      <c r="C6706" s="10" t="str">
        <f ca="1">IFERROR(__xludf.DUMMYFUNCTION("""COMPUTED_VALUE"""),"Приложение на информационно-комуникационните технологии в обучението на студентите по дисциплината „Информационна компетентност и комуникации“")</f>
        <v>Приложение на информационно-комуникационните технологии в обучението на студентите по дисциплината „Информационна компетентност и комуникации“</v>
      </c>
      <c r="D6706" s="10">
        <f ca="1">IFERROR(__xludf.DUMMYFUNCTION("""COMPUTED_VALUE"""),2015)</f>
        <v>2015</v>
      </c>
      <c r="E6706" s="10" t="str">
        <f ca="1">IFERROR(__xludf.DUMMYFUNCTION("""COMPUTED_VALUE"""),"Национална конференция „ИКТ в библиотечно-информационните науки, образованието и културното наследство“ в чест на 70 години от създаването на Организацията на обединените нации за образование, наука и култура (ЮНЕСКО) и 65 години от създаването на Държаве"&amp;"н библиотекарски институт (днес Университет по библиотекознание и информационни технологии, УниБИТ). София, 29 май 2015, с. 124-135. [Посетен на 20.07.2018]. Достъпно от: &lt;https://unesco.unibit.bg/sites/default/files/National_Conference-all-f2.pdf&gt;. ISBN "&amp;"978-619-185-164-5")</f>
        <v>Национална конференция „ИКТ в библиотечно-информационните науки, образованието и културното наследство“ в чест на 70 години от създаването на Организацията на обединените нации за образование, наука и култура (ЮНЕСКО) и 65 години от създаването на Държавен библиотекарски институт (днес Университет по библиотекознание и информационни технологии, УниБИТ). София, 29 май 2015, с. 124-135. [Посетен на 20.07.2018]. Достъпно от: &lt;https://unesco.unibit.bg/sites/default/files/National_Conference-all-f2.pdf&gt;. ISBN 978-619-185-164-5</v>
      </c>
      <c r="F6706" s="10"/>
      <c r="G6706" s="10" t="str">
        <f ca="1">IFERROR(__xludf.DUMMYFUNCTION("""COMPUTED_VALUE"""),"Цветелина Димитрова")</f>
        <v>Цветелина Димитрова</v>
      </c>
      <c r="H6706" s="10"/>
      <c r="I6706" s="10"/>
      <c r="J6706" s="10"/>
      <c r="K6706" s="10"/>
      <c r="L6706" s="10"/>
      <c r="M6706" s="10"/>
      <c r="N6706" s="10"/>
      <c r="O6706" s="10"/>
      <c r="P6706" s="10"/>
      <c r="Q6706" s="10"/>
      <c r="R6706" s="10"/>
      <c r="S6706" s="10"/>
      <c r="T6706" s="10"/>
      <c r="U6706" s="10"/>
      <c r="V6706" s="10"/>
      <c r="W6706" s="10"/>
      <c r="X6706" s="10"/>
      <c r="Y6706" s="10"/>
      <c r="Z6706" s="10"/>
    </row>
    <row r="6707" spans="1:26" ht="12.75">
      <c r="A6707" s="10" t="str">
        <f ca="1">IFERROR(__xludf.DUMMYFUNCTION("""COMPUTED_VALUE"""),"Силвия Станчева Станчева")</f>
        <v>Силвия Станчева Станчева</v>
      </c>
      <c r="B6707" s="10" t="str">
        <f ca="1">IFERROR(__xludf.DUMMYFUNCTION("""COMPUTED_VALUE"""),"Доклад от конференция")</f>
        <v>Доклад от конференция</v>
      </c>
      <c r="C6707" s="10" t="str">
        <f ca="1">IFERROR(__xludf.DUMMYFUNCTION("""COMPUTED_VALUE"""),"По следите на „Рибния буквар“ – за библиофилството и още нещо...")</f>
        <v>По следите на „Рибния буквар“ – за библиофилството и още нещо...</v>
      </c>
      <c r="D6707" s="10">
        <f ca="1">IFERROR(__xludf.DUMMYFUNCTION("""COMPUTED_VALUE"""),2015)</f>
        <v>2015</v>
      </c>
      <c r="E6707" s="10" t="str">
        <f ca="1">IFERROR(__xludf.DUMMYFUNCTION("""COMPUTED_VALUE"""),"XIV-та Национална научна конференция с международно участие “БИБЛИОТЕКИ – ЧЕТЕНЕ – КОМУНИКАЦИИ”. Велико Търново, 2015, с. 44-51. ISSN 1313-8138")</f>
        <v>XIV-та Национална научна конференция с международно участие “БИБЛИОТЕКИ – ЧЕТЕНЕ – КОМУНИКАЦИИ”. Велико Търново, 2015, с. 44-51. ISSN 1313-8138</v>
      </c>
      <c r="F670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7" s="10"/>
      <c r="H6707" s="10"/>
      <c r="I6707" s="10"/>
      <c r="J6707" s="10"/>
      <c r="K6707" s="10"/>
      <c r="L6707" s="10"/>
      <c r="M6707" s="10"/>
      <c r="N6707" s="10"/>
      <c r="O6707" s="10"/>
      <c r="P6707" s="10"/>
      <c r="Q6707" s="10"/>
      <c r="R6707" s="10"/>
      <c r="S6707" s="10"/>
      <c r="T6707" s="10"/>
      <c r="U6707" s="10"/>
      <c r="V6707" s="10"/>
      <c r="W6707" s="10"/>
      <c r="X6707" s="10"/>
      <c r="Y6707" s="10"/>
      <c r="Z6707" s="10"/>
    </row>
    <row r="6708" spans="1:26" ht="12.75">
      <c r="A6708" s="10" t="str">
        <f ca="1">IFERROR(__xludf.DUMMYFUNCTION("""COMPUTED_VALUE"""),"Силвия Станчева Станчева")</f>
        <v>Силвия Станчева Станчева</v>
      </c>
      <c r="B6708" s="10" t="str">
        <f ca="1">IFERROR(__xludf.DUMMYFUNCTION("""COMPUTED_VALUE"""),"Доклад от конференция")</f>
        <v>Доклад от конференция</v>
      </c>
      <c r="C6708" s="10" t="str">
        <f ca="1">IFERROR(__xludf.DUMMYFUNCTION("""COMPUTED_VALUE"""),"Методика на преподаване на учебната дисциплина „Информационна грамотност – програми и модели”")</f>
        <v>Методика на преподаване на учебната дисциплина „Информационна грамотност – програми и модели”</v>
      </c>
      <c r="D6708" s="10">
        <f ca="1">IFERROR(__xludf.DUMMYFUNCTION("""COMPUTED_VALUE"""),2015)</f>
        <v>2015</v>
      </c>
      <c r="E6708" s="10" t="str">
        <f ca="1">IFERROR(__xludf.DUMMYFUNCTION("""COMPUTED_VALUE"""),"Съвременни измерения на европейското образователно пространство: Сборник доклади, Т. 3. София: За буквите о писменехь, 2015, с. 214-221. ISSN 2367-7988 (print)")</f>
        <v>Съвременни измерения на европейското образователно пространство: Сборник доклади, Т. 3. София: За буквите о писменехь, 2015, с. 214-221. ISSN 2367-7988 (print)</v>
      </c>
      <c r="F670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08" s="10" t="str">
        <f ca="1">IFERROR(__xludf.DUMMYFUNCTION("""COMPUTED_VALUE"""),"Иванка Янкова, Добринка Стойкова")</f>
        <v>Иванка Янкова, Добринка Стойкова</v>
      </c>
      <c r="H6708" s="10"/>
      <c r="I6708" s="10"/>
      <c r="J6708" s="10"/>
      <c r="K6708" s="10"/>
      <c r="L6708" s="10"/>
      <c r="M6708" s="10"/>
      <c r="N6708" s="10"/>
      <c r="O6708" s="10"/>
      <c r="P6708" s="10"/>
      <c r="Q6708" s="10"/>
      <c r="R6708" s="10"/>
      <c r="S6708" s="10"/>
      <c r="T6708" s="10"/>
      <c r="U6708" s="10"/>
      <c r="V6708" s="10"/>
      <c r="W6708" s="10"/>
      <c r="X6708" s="10"/>
      <c r="Y6708" s="10"/>
      <c r="Z6708" s="10"/>
    </row>
    <row r="6709" spans="1:26" ht="12.75">
      <c r="A6709" s="10" t="str">
        <f ca="1">IFERROR(__xludf.DUMMYFUNCTION("""COMPUTED_VALUE"""),"Силвия Станчева Станчева")</f>
        <v>Силвия Станчева Станчева</v>
      </c>
      <c r="B6709" s="10" t="str">
        <f ca="1">IFERROR(__xludf.DUMMYFUNCTION("""COMPUTED_VALUE"""),"Доклад от конференция")</f>
        <v>Доклад от конференция</v>
      </c>
      <c r="C6709" s="10" t="str">
        <f ca="1">IFERROR(__xludf.DUMMYFUNCTION("""COMPUTED_VALUE"""),"Study of the Effect of Indicators for Research Impact and Mechanism for Their Implementation for the Redesign of the Bulgarian Academic Publications and the Researchers’ Publication Competencies")</f>
        <v>Study of the Effect of Indicators for Research Impact and Mechanism for Their Implementation for the Redesign of the Bulgarian Academic Publications and the Researchers’ Publication Competencies</v>
      </c>
      <c r="D6709" s="10">
        <f ca="1">IFERROR(__xludf.DUMMYFUNCTION("""COMPUTED_VALUE"""),2015)</f>
        <v>2015</v>
      </c>
      <c r="E6709" s="10" t="str">
        <f ca="1">IFERROR(__xludf.DUMMYFUNCTION("""COMPUTED_VALUE"""),"Qualitative and Quantitative Methods in Libraries. 7th Qualitative and Quantitative Intern. Conf., 26-29 May, 2015, Paris, France. ISAST: Intern. Soc. for the Advancement of Sci. and Technol., 2015, рр. 737-742 ISSN 2241-1925")</f>
        <v>Qualitative and Quantitative Methods in Libraries. 7th Qualitative and Quantitative Intern. Conf., 26-29 May, 2015, Paris, France. ISAST: Intern. Soc. for the Advancement of Sci. and Technol., 2015, рр. 737-742 ISSN 2241-1925</v>
      </c>
      <c r="F6709" s="10" t="str">
        <f ca="1">IFERROR(__xludf.DUMMYFUNCTION("""COMPUTED_VALUE"""),"ISI Conference Proceedings Citation Index (ISI CPCI), Crossref, Clarivate Analytics, Web of Science")</f>
        <v>ISI Conference Proceedings Citation Index (ISI CPCI), Crossref, Clarivate Analytics, Web of Science</v>
      </c>
      <c r="G6709" s="10" t="str">
        <f ca="1">IFERROR(__xludf.DUMMYFUNCTION("""COMPUTED_VALUE"""),"Ivanka Yankova, Rumelina Vasileva, Tzvetelina Dimitrova")</f>
        <v>Ivanka Yankova, Rumelina Vasileva, Tzvetelina Dimitrova</v>
      </c>
      <c r="H6709" s="10"/>
      <c r="I6709" s="10"/>
      <c r="J6709" s="10"/>
      <c r="K6709" s="10"/>
      <c r="L6709" s="10"/>
      <c r="M6709" s="10"/>
      <c r="N6709" s="10"/>
      <c r="O6709" s="10"/>
      <c r="P6709" s="10"/>
      <c r="Q6709" s="10"/>
      <c r="R6709" s="10"/>
      <c r="S6709" s="10"/>
      <c r="T6709" s="10"/>
      <c r="U6709" s="10"/>
      <c r="V6709" s="10"/>
      <c r="W6709" s="10"/>
      <c r="X6709" s="10"/>
      <c r="Y6709" s="10"/>
      <c r="Z6709" s="10"/>
    </row>
    <row r="6710" spans="1:26" ht="12.75">
      <c r="A6710" s="10" t="str">
        <f ca="1">IFERROR(__xludf.DUMMYFUNCTION("""COMPUTED_VALUE"""),"Силвия Станчева Станчева")</f>
        <v>Силвия Станчева Станчева</v>
      </c>
      <c r="B6710" s="10" t="str">
        <f ca="1">IFERROR(__xludf.DUMMYFUNCTION("""COMPUTED_VALUE"""),"Доклад от конференция")</f>
        <v>Доклад от конференция</v>
      </c>
      <c r="C6710" s="10" t="str">
        <f ca="1">IFERROR(__xludf.DUMMYFUNCTION("""COMPUTED_VALUE"""),"Университетските библиотеки в информационното общество")</f>
        <v>Университетските библиотеки в информационното общество</v>
      </c>
      <c r="D6710" s="10">
        <f ca="1">IFERROR(__xludf.DUMMYFUNCTION("""COMPUTED_VALUE"""),2014)</f>
        <v>2014</v>
      </c>
      <c r="E6710" s="10" t="str">
        <f ca="1">IFERROR(__xludf.DUMMYFUNCTION("""COMPUTED_VALUE"""),"Научна конференция „Младите в науката – инвестиция в бъдещето“, Бест Уестърн Експо хотел, София, 18-20.10.2013. София: Издателство „За буквите – О писменехь“, 2014, с. 419-432. ISBN 978-619-185-132-4")</f>
        <v>Научна конференция „Младите в науката – инвестиция в бъдещето“, Бест Уестърн Експо хотел, София, 18-20.10.2013. София: Издателство „За буквите – О писменехь“, 2014, с. 419-432. ISBN 978-619-185-132-4</v>
      </c>
      <c r="F671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0" s="10"/>
      <c r="H6710" s="10"/>
      <c r="I6710" s="10"/>
      <c r="J6710" s="10"/>
      <c r="K6710" s="10"/>
      <c r="L6710" s="10"/>
      <c r="M6710" s="10"/>
      <c r="N6710" s="10"/>
      <c r="O6710" s="10"/>
      <c r="P6710" s="10"/>
      <c r="Q6710" s="10"/>
      <c r="R6710" s="10"/>
      <c r="S6710" s="10"/>
      <c r="T6710" s="10"/>
      <c r="U6710" s="10"/>
      <c r="V6710" s="10"/>
      <c r="W6710" s="10"/>
      <c r="X6710" s="10"/>
      <c r="Y6710" s="10"/>
      <c r="Z6710" s="10"/>
    </row>
    <row r="6711" spans="1:26" ht="12.75">
      <c r="A6711" s="10" t="str">
        <f ca="1">IFERROR(__xludf.DUMMYFUNCTION("""COMPUTED_VALUE"""),"Силвия Станчева Станчева")</f>
        <v>Силвия Станчева Станчева</v>
      </c>
      <c r="B6711" s="10" t="str">
        <f ca="1">IFERROR(__xludf.DUMMYFUNCTION("""COMPUTED_VALUE"""),"Доклад от конференция")</f>
        <v>Доклад от конференция</v>
      </c>
      <c r="C6711" s="10" t="str">
        <f ca="1">IFERROR(__xludf.DUMMYFUNCTION("""COMPUTED_VALUE"""),"Информационното обслужване в университетска библиотека “Св Кл Охридски” – традиции и новаторство")</f>
        <v>Информационното обслужване в университетска библиотека “Св Кл Охридски” – традиции и новаторство</v>
      </c>
      <c r="D6711" s="10">
        <f ca="1">IFERROR(__xludf.DUMMYFUNCTION("""COMPUTED_VALUE"""),2014)</f>
        <v>2014</v>
      </c>
      <c r="E6711" s="10" t="str">
        <f ca="1">IFERROR(__xludf.DUMMYFUNCTION("""COMPUTED_VALUE"""),"Horton, F. Woody Jr. Overview of Information Literacy Resources Worldwide. 2nd ed. Paris: UNESCO, 2014, pр. 121-125 ISBN: 978-92-3-001131-4")</f>
        <v>Horton, F. Woody Jr. Overview of Information Literacy Resources Worldwide. 2nd ed. Paris: UNESCO, 2014, pр. 121-125 ISBN: 978-92-3-001131-4</v>
      </c>
      <c r="F671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1" s="10"/>
      <c r="H6711" s="10"/>
      <c r="I6711" s="10"/>
      <c r="J6711" s="10"/>
      <c r="K6711" s="10"/>
      <c r="L6711" s="10"/>
      <c r="M6711" s="10"/>
      <c r="N6711" s="10"/>
      <c r="O6711" s="10"/>
      <c r="P6711" s="10"/>
      <c r="Q6711" s="10"/>
      <c r="R6711" s="10"/>
      <c r="S6711" s="10"/>
      <c r="T6711" s="10"/>
      <c r="U6711" s="10"/>
      <c r="V6711" s="10"/>
      <c r="W6711" s="10"/>
      <c r="X6711" s="10"/>
      <c r="Y6711" s="10"/>
      <c r="Z6711" s="10"/>
    </row>
    <row r="6712" spans="1:26" ht="12.75">
      <c r="A6712" s="10" t="str">
        <f ca="1">IFERROR(__xludf.DUMMYFUNCTION("""COMPUTED_VALUE"""),"Силвия Станчева Станчева")</f>
        <v>Силвия Станчева Станчева</v>
      </c>
      <c r="B6712" s="10" t="str">
        <f ca="1">IFERROR(__xludf.DUMMYFUNCTION("""COMPUTED_VALUE"""),"Доклад от конференция")</f>
        <v>Доклад от конференция</v>
      </c>
      <c r="C6712" s="10" t="str">
        <f ca="1">IFERROR(__xludf.DUMMYFUNCTION("""COMPUTED_VALUE"""),"Комуникационна стратегия на програми за дистанционно обучение")</f>
        <v>Комуникационна стратегия на програми за дистанционно обучение</v>
      </c>
      <c r="D6712" s="10">
        <f ca="1">IFERROR(__xludf.DUMMYFUNCTION("""COMPUTED_VALUE"""),2014)</f>
        <v>2014</v>
      </c>
      <c r="E6712" s="10" t="str">
        <f ca="1">IFERROR(__xludf.DUMMYFUNCTION("""COMPUTED_VALUE"""),"Сборник доклади на петата национална конференция по електронно обучение във висшите училища, 15-17 май 2014 г., Русе: ИЦ на РУ “")</f>
        <v>Сборник доклади на петата национална конференция по електронно обучение във висшите училища, 15-17 май 2014 г., Русе: ИЦ на РУ “</v>
      </c>
      <c r="F6712" s="10"/>
      <c r="G6712" s="10" t="str">
        <f ca="1">IFERROR(__xludf.DUMMYFUNCTION("""COMPUTED_VALUE"""),"Иванка Янкова, Таня Тодорова, Румелина Василева")</f>
        <v>Иванка Янкова, Таня Тодорова, Румелина Василева</v>
      </c>
      <c r="H6712" s="10"/>
      <c r="I6712" s="10"/>
      <c r="J6712" s="10"/>
      <c r="K6712" s="10"/>
      <c r="L6712" s="10"/>
      <c r="M6712" s="10"/>
      <c r="N6712" s="10"/>
      <c r="O6712" s="10"/>
      <c r="P6712" s="10"/>
      <c r="Q6712" s="10"/>
      <c r="R6712" s="10"/>
      <c r="S6712" s="10"/>
      <c r="T6712" s="10"/>
      <c r="U6712" s="10"/>
      <c r="V6712" s="10"/>
      <c r="W6712" s="10"/>
      <c r="X6712" s="10"/>
      <c r="Y6712" s="10"/>
      <c r="Z6712" s="10"/>
    </row>
    <row r="6713" spans="1:26" ht="12.75">
      <c r="A6713" s="10" t="str">
        <f ca="1">IFERROR(__xludf.DUMMYFUNCTION("""COMPUTED_VALUE"""),"Силвия Станчева Станчева")</f>
        <v>Силвия Станчева Станчева</v>
      </c>
      <c r="B6713" s="10" t="str">
        <f ca="1">IFERROR(__xludf.DUMMYFUNCTION("""COMPUTED_VALUE"""),"Книга")</f>
        <v>Книга</v>
      </c>
      <c r="C6713" s="10" t="str">
        <f ca="1">IFERROR(__xludf.DUMMYFUNCTION("""COMPUTED_VALUE"""),"Информационно обслужване в библиотеките. Информационна грамотност")</f>
        <v>Информационно обслужване в библиотеките. Информационна грамотност</v>
      </c>
      <c r="D6713" s="10">
        <f ca="1">IFERROR(__xludf.DUMMYFUNCTION("""COMPUTED_VALUE"""),2014)</f>
        <v>2014</v>
      </c>
      <c r="E6713" s="10" t="str">
        <f ca="1">IFERROR(__xludf.DUMMYFUNCTION("""COMPUTED_VALUE"""),"София: За буквите-о писменехь, 2014, 202 с. ISBN 978-619-185-119-5")</f>
        <v>София: За буквите-о писменехь, 2014, 202 с. ISBN 978-619-185-119-5</v>
      </c>
      <c r="F671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3" s="10"/>
      <c r="H6713" s="10"/>
      <c r="I6713" s="10"/>
      <c r="J6713" s="10"/>
      <c r="K6713" s="10"/>
      <c r="L6713" s="10"/>
      <c r="M6713" s="10"/>
      <c r="N6713" s="10"/>
      <c r="O6713" s="10"/>
      <c r="P6713" s="10"/>
      <c r="Q6713" s="10"/>
      <c r="R6713" s="10"/>
      <c r="S6713" s="10"/>
      <c r="T6713" s="10"/>
      <c r="U6713" s="10"/>
      <c r="V6713" s="10"/>
      <c r="W6713" s="10"/>
      <c r="X6713" s="10"/>
      <c r="Y6713" s="10"/>
      <c r="Z6713" s="10"/>
    </row>
    <row r="6714" spans="1:26" ht="12.75">
      <c r="A6714" s="10" t="str">
        <f ca="1">IFERROR(__xludf.DUMMYFUNCTION("""COMPUTED_VALUE"""),"Силвия Станчева Станчева")</f>
        <v>Силвия Станчева Станчева</v>
      </c>
      <c r="B6714" s="10" t="str">
        <f ca="1">IFERROR(__xludf.DUMMYFUNCTION("""COMPUTED_VALUE"""),"Учебно пособие")</f>
        <v>Учебно пособие</v>
      </c>
      <c r="C6714" s="10" t="str">
        <f ca="1">IFERROR(__xludf.DUMMYFUNCTION("""COMPUTED_VALUE"""),"Образователни стратегии в библиотеките")</f>
        <v>Образователни стратегии в библиотеките</v>
      </c>
      <c r="D6714" s="10">
        <f ca="1">IFERROR(__xludf.DUMMYFUNCTION("""COMPUTED_VALUE"""),2014)</f>
        <v>2014</v>
      </c>
      <c r="E6714" s="10" t="str">
        <f ca="1">IFERROR(__xludf.DUMMYFUNCTION("""COMPUTED_VALUE"""),"София: За буквите-о писменехь, 2014, 126 с. ISBN 978-619-185-061-7")</f>
        <v>София: За буквите-о писменехь, 2014, 126 с. ISBN 978-619-185-061-7</v>
      </c>
      <c r="F671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4" s="10"/>
      <c r="H6714" s="10"/>
      <c r="I6714" s="10"/>
      <c r="J6714" s="10"/>
      <c r="K6714" s="10"/>
      <c r="L6714" s="10"/>
      <c r="M6714" s="10"/>
      <c r="N6714" s="10"/>
      <c r="O6714" s="10"/>
      <c r="P6714" s="10"/>
      <c r="Q6714" s="10"/>
      <c r="R6714" s="10"/>
      <c r="S6714" s="10"/>
      <c r="T6714" s="10"/>
      <c r="U6714" s="10"/>
      <c r="V6714" s="10"/>
      <c r="W6714" s="10"/>
      <c r="X6714" s="10"/>
      <c r="Y6714" s="10"/>
      <c r="Z6714" s="10"/>
    </row>
    <row r="6715" spans="1:26" ht="12.75">
      <c r="A6715" s="10" t="str">
        <f ca="1">IFERROR(__xludf.DUMMYFUNCTION("""COMPUTED_VALUE"""),"Силвия Станчева Станчева")</f>
        <v>Силвия Станчева Станчева</v>
      </c>
      <c r="B6715" s="10" t="str">
        <f ca="1">IFERROR(__xludf.DUMMYFUNCTION("""COMPUTED_VALUE"""),"Доклад от конференция")</f>
        <v>Доклад от конференция</v>
      </c>
      <c r="C6715" s="10" t="str">
        <f ca="1">IFERROR(__xludf.DUMMYFUNCTION("""COMPUTED_VALUE"""),"Опитът на българското книгоиздаване и книгоразпространение за мотивиране на четенето")</f>
        <v>Опитът на българското книгоиздаване и книгоразпространение за мотивиране на четенето</v>
      </c>
      <c r="D6715" s="10">
        <f ca="1">IFERROR(__xludf.DUMMYFUNCTION("""COMPUTED_VALUE"""),2014)</f>
        <v>2014</v>
      </c>
      <c r="E6715" s="10" t="str">
        <f ca="1">IFERROR(__xludf.DUMMYFUNCTION("""COMPUTED_VALUE"""),"Четенето в реална и електронна среда. Мотивация и опит на библиотеките и образователните институции: Сборник с научни доклади и съобщения с международно участие, 18 септември 2014. София: За буквите-о писменехь, 2014, с. 211-217. ISBN 978-619-185-087-7")</f>
        <v>Четенето в реална и електронна среда. Мотивация и опит на библиотеките и образователните институции: Сборник с научни доклади и съобщения с международно участие, 18 септември 2014. София: За буквите-о писменехь, 2014, с. 211-217. ISBN 978-619-185-087-7</v>
      </c>
      <c r="F671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5" s="10" t="str">
        <f ca="1">IFERROR(__xludf.DUMMYFUNCTION("""COMPUTED_VALUE"""),"Иванка Янкова")</f>
        <v>Иванка Янкова</v>
      </c>
      <c r="H6715" s="10"/>
      <c r="I6715" s="10"/>
      <c r="J6715" s="10"/>
      <c r="K6715" s="10"/>
      <c r="L6715" s="10"/>
      <c r="M6715" s="10"/>
      <c r="N6715" s="10"/>
      <c r="O6715" s="10"/>
      <c r="P6715" s="10"/>
      <c r="Q6715" s="10"/>
      <c r="R6715" s="10"/>
      <c r="S6715" s="10"/>
      <c r="T6715" s="10"/>
      <c r="U6715" s="10"/>
      <c r="V6715" s="10"/>
      <c r="W6715" s="10"/>
      <c r="X6715" s="10"/>
      <c r="Y6715" s="10"/>
      <c r="Z6715" s="10"/>
    </row>
    <row r="6716" spans="1:26" ht="12.75">
      <c r="A6716" s="10" t="str">
        <f ca="1">IFERROR(__xludf.DUMMYFUNCTION("""COMPUTED_VALUE"""),"Силвия Станчева Станчева")</f>
        <v>Силвия Станчева Станчева</v>
      </c>
      <c r="B6716" s="10" t="str">
        <f ca="1">IFERROR(__xludf.DUMMYFUNCTION("""COMPUTED_VALUE"""),"Доклад от конференция")</f>
        <v>Доклад от конференция</v>
      </c>
      <c r="C6716" s="10" t="str">
        <f ca="1">IFERROR(__xludf.DUMMYFUNCTION("""COMPUTED_VALUE"""),"Комуникационна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f>
        <v>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v>
      </c>
      <c r="D6716" s="10">
        <f ca="1">IFERROR(__xludf.DUMMYFUNCTION("""COMPUTED_VALUE"""),2014)</f>
        <v>2014</v>
      </c>
      <c r="E6716" s="10" t="str">
        <f ca="1">IFERROR(__xludf.DUMMYFUNCTION("""COMPUTED_VALUE"""),"Пета национална конференция по електронно обучение във висшите училища: сборник доклади, 15-17 май 2014, Русенски университет, с. 62-67. ISBN 978-954-712-611-4")</f>
        <v>Пета национална конференция по електронно обучение във висшите училища: сборник доклади, 15-17 май 2014, Русенски университет, с. 62-67. ISBN 978-954-712-611-4</v>
      </c>
      <c r="F6716" s="10" t="str">
        <f ca="1">IFERROR(__xludf.DUMMYFUNCTION("""COMPUTED_VALUE"""),"Национална библиография на България, електронен каталог COBISS/OPAC 
 Национална библиотека „Св. Св. Кирил и Методий“
 Google Scholar")</f>
        <v>Национална библиография на България, електронен каталог COBISS/OPAC 
 Национална библиотека „Св. Св. Кирил и Методий“
 Google Scholar</v>
      </c>
      <c r="G6716" s="10" t="str">
        <f ca="1">IFERROR(__xludf.DUMMYFUNCTION("""COMPUTED_VALUE"""),"И. Янкова, Т. Тодорова, Р. Василева")</f>
        <v>И. Янкова, Т. Тодорова, Р. Василева</v>
      </c>
      <c r="H6716" s="10"/>
      <c r="I6716" s="10"/>
      <c r="J6716" s="10"/>
      <c r="K6716" s="10"/>
      <c r="L6716" s="10"/>
      <c r="M6716" s="10"/>
      <c r="N6716" s="10"/>
      <c r="O6716" s="10"/>
      <c r="P6716" s="10"/>
      <c r="Q6716" s="10"/>
      <c r="R6716" s="10"/>
      <c r="S6716" s="10"/>
      <c r="T6716" s="10"/>
      <c r="U6716" s="10"/>
      <c r="V6716" s="10"/>
      <c r="W6716" s="10"/>
      <c r="X6716" s="10"/>
      <c r="Y6716" s="10"/>
      <c r="Z6716" s="10"/>
    </row>
    <row r="6717" spans="1:26" ht="12.75">
      <c r="A6717" s="10" t="str">
        <f ca="1">IFERROR(__xludf.DUMMYFUNCTION("""COMPUTED_VALUE"""),"Силвия Станчева Станчева")</f>
        <v>Силвия Станчева Станчева</v>
      </c>
      <c r="B6717" s="10" t="str">
        <f ca="1">IFERROR(__xludf.DUMMYFUNCTION("""COMPUTED_VALUE"""),"Статия в списания и поредици")</f>
        <v>Статия в списания и поредици</v>
      </c>
      <c r="C6717" s="10" t="str">
        <f ca="1">IFERROR(__xludf.DUMMYFUNCTION("""COMPUTED_VALUE"""),"Информационни и образователни възможности на виртуалната „Е-библиотека за библиотечно-информационни науки, печатни комуникации и науки за културно наследство” за нуждите на дистанционното обучение във ФБКН, УниБИТ")</f>
        <v>Информационни и образователни възможности на виртуалната „Е-библиотека за библиотечно-информационни науки, печатни комуникации и науки за културно наследство” за нуждите на дистанционното обучение във ФБКН, УниБИТ</v>
      </c>
      <c r="D6717" s="10">
        <f ca="1">IFERROR(__xludf.DUMMYFUNCTION("""COMPUTED_VALUE"""),2014)</f>
        <v>2014</v>
      </c>
      <c r="E6717" s="10" t="str">
        <f ca="1">IFERROR(__xludf.DUMMYFUNCTION("""COMPUTED_VALUE"""),"Библиотека, Списание за библ. и инф. науки, книгознание и лит. история, XXI, 2014, 5, c. 65-71. ISSN 0861-847X")</f>
        <v>Библиотека, Списание за библ. и инф. науки, книгознание и лит. история, XXI, 2014, 5, c. 65-71. ISSN 0861-847X</v>
      </c>
      <c r="F671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7" s="10" t="str">
        <f ca="1">IFERROR(__xludf.DUMMYFUNCTION("""COMPUTED_VALUE"""),"Румелина Василева")</f>
        <v>Румелина Василева</v>
      </c>
      <c r="H6717" s="10"/>
      <c r="I6717" s="10"/>
      <c r="J6717" s="10"/>
      <c r="K6717" s="10"/>
      <c r="L6717" s="10"/>
      <c r="M6717" s="10"/>
      <c r="N6717" s="10"/>
      <c r="O6717" s="10"/>
      <c r="P6717" s="10"/>
      <c r="Q6717" s="10"/>
      <c r="R6717" s="10"/>
      <c r="S6717" s="10"/>
      <c r="T6717" s="10"/>
      <c r="U6717" s="10"/>
      <c r="V6717" s="10"/>
      <c r="W6717" s="10"/>
      <c r="X6717" s="10"/>
      <c r="Y6717" s="10"/>
      <c r="Z6717" s="10"/>
    </row>
    <row r="6718" spans="1:26" ht="12.75">
      <c r="A6718" s="10" t="str">
        <f ca="1">IFERROR(__xludf.DUMMYFUNCTION("""COMPUTED_VALUE"""),"Силвия Станчева Станчева")</f>
        <v>Силвия Станчева Станчева</v>
      </c>
      <c r="B6718" s="10" t="str">
        <f ca="1">IFERROR(__xludf.DUMMYFUNCTION("""COMPUTED_VALUE"""),"Статия в списания и поредици")</f>
        <v>Статия в списания и поредици</v>
      </c>
      <c r="C6718" s="10" t="str">
        <f ca="1">IFERROR(__xludf.DUMMYFUNCTION("""COMPUTED_VALUE"""),"Информационното обслужване в университетска библиотека “Св Кл Охридски” – традиции и новаторство")</f>
        <v>Информационното обслужване в университетска библиотека “Св Кл Охридски” – традиции и новаторство</v>
      </c>
      <c r="D6718" s="10">
        <f ca="1">IFERROR(__xludf.DUMMYFUNCTION("""COMPUTED_VALUE"""),2014)</f>
        <v>2014</v>
      </c>
      <c r="E6718" s="10" t="str">
        <f ca="1">IFERROR(__xludf.DUMMYFUNCTION("""COMPUTED_VALUE"""),"Horton, F. Woody Jr. Overview of Information Literacy Resources Worldwide. 2nd ed. Paris: UNESCO, 2014, pр. 121-125. [Viewed 6.11.2013]. Available from: &lt;http://www.libshumen.org/Konferencia_Prez/Silvia_Stancheva.pdf &gt; ISBN: 978-92-3-001131-4")</f>
        <v>Horton, F. Woody Jr. Overview of Information Literacy Resources Worldwide. 2nd ed. Paris: UNESCO, 2014, pр. 121-125. [Viewed 6.11.2013]. Available from: &lt;http://www.libshumen.org/Konferencia_Prez/Silvia_Stancheva.pdf &gt; ISBN: 978-92-3-001131-4</v>
      </c>
      <c r="F671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8" s="10"/>
      <c r="H6718" s="10"/>
      <c r="I6718" s="10"/>
      <c r="J6718" s="10"/>
      <c r="K6718" s="10"/>
      <c r="L6718" s="10"/>
      <c r="M6718" s="10"/>
      <c r="N6718" s="10"/>
      <c r="O6718" s="10"/>
      <c r="P6718" s="10"/>
      <c r="Q6718" s="10"/>
      <c r="R6718" s="10"/>
      <c r="S6718" s="10"/>
      <c r="T6718" s="10"/>
      <c r="U6718" s="10"/>
      <c r="V6718" s="10"/>
      <c r="W6718" s="10"/>
      <c r="X6718" s="10"/>
      <c r="Y6718" s="10"/>
      <c r="Z6718" s="10"/>
    </row>
    <row r="6719" spans="1:26" ht="12.75">
      <c r="A6719" s="10" t="str">
        <f ca="1">IFERROR(__xludf.DUMMYFUNCTION("""COMPUTED_VALUE"""),"Силвия Станчева Станчева")</f>
        <v>Силвия Станчева Станчева</v>
      </c>
      <c r="B6719" s="10" t="str">
        <f ca="1">IFERROR(__xludf.DUMMYFUNCTION("""COMPUTED_VALUE"""),"Доклад от конференция")</f>
        <v>Доклад от конференция</v>
      </c>
      <c r="C6719" s="10" t="str">
        <f ca="1">IFERROR(__xludf.DUMMYFUNCTION("""COMPUTED_VALUE"""),"Постижения на програмата на eIFL за отворен достъп")</f>
        <v>Постижения на програмата на eIFL за отворен достъп</v>
      </c>
      <c r="D6719" s="10">
        <f ca="1">IFERROR(__xludf.DUMMYFUNCTION("""COMPUTED_VALUE"""),2014)</f>
        <v>2014</v>
      </c>
      <c r="E6719" s="10" t="str">
        <f ca="1">IFERROR(__xludf.DUMMYFUNCTION("""COMPUTED_VALUE"""),"Дванадесета национална научна конференция с международно участие, 14-15 ноември 2013. В. Търново: Народна библиотека „П. Р. Славейков“, 2014, с. 52-62. ISSN 1313-8138")</f>
        <v>Дванадесета национална научна конференция с международно участие, 14-15 ноември 2013. В. Търново: Народна библиотека „П. Р. Славейков“, 2014, с. 52-62. ISSN 1313-8138</v>
      </c>
      <c r="F671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19" s="10"/>
      <c r="H6719" s="10"/>
      <c r="I6719" s="10"/>
      <c r="J6719" s="10"/>
      <c r="K6719" s="10"/>
      <c r="L6719" s="10"/>
      <c r="M6719" s="10"/>
      <c r="N6719" s="10"/>
      <c r="O6719" s="10"/>
      <c r="P6719" s="10"/>
      <c r="Q6719" s="10"/>
      <c r="R6719" s="10"/>
      <c r="S6719" s="10"/>
      <c r="T6719" s="10"/>
      <c r="U6719" s="10"/>
      <c r="V6719" s="10"/>
      <c r="W6719" s="10"/>
      <c r="X6719" s="10"/>
      <c r="Y6719" s="10"/>
      <c r="Z6719" s="10"/>
    </row>
    <row r="6720" spans="1:26" ht="12.75">
      <c r="A6720" s="10" t="str">
        <f ca="1">IFERROR(__xludf.DUMMYFUNCTION("""COMPUTED_VALUE"""),"Силвия Станчева Станчева")</f>
        <v>Силвия Станчева Станчева</v>
      </c>
      <c r="B6720" s="10" t="str">
        <f ca="1">IFERROR(__xludf.DUMMYFUNCTION("""COMPUTED_VALUE"""),"Доклад от конференция")</f>
        <v>Доклад от конференция</v>
      </c>
      <c r="C6720" s="10" t="str">
        <f ca="1">IFERROR(__xludf.DUMMYFUNCTION("""COMPUTED_VALUE"""),"Практики за насърчаване на четенето при децата в издателства и книжарници")</f>
        <v>Практики за насърчаване на четенето при децата в издателства и книжарници</v>
      </c>
      <c r="D6720" s="10">
        <f ca="1">IFERROR(__xludf.DUMMYFUNCTION("""COMPUTED_VALUE"""),2014)</f>
        <v>2014</v>
      </c>
      <c r="E6720" s="10" t="str">
        <f ca="1">IFERROR(__xludf.DUMMYFUNCTION("""COMPUTED_VALUE"""),"Децата и четенето – между традиционната и електронната книга: сборник доклади от кръгла маса, 16-ти национален фестивал на детската книга, Сливен, 7-9 май 2014, с. 85-99. ISBN 978-619-90081-7-1")</f>
        <v>Децата и четенето – между традиционната и електронната книга: сборник доклади от кръгла маса, 16-ти национален фестивал на детската книга, Сливен, 7-9 май 2014, с. 85-99. ISBN 978-619-90081-7-1</v>
      </c>
      <c r="F672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0" s="10" t="str">
        <f ca="1">IFERROR(__xludf.DUMMYFUNCTION("""COMPUTED_VALUE"""),"Цветелина Димитрова")</f>
        <v>Цветелина Димитрова</v>
      </c>
      <c r="H6720" s="10"/>
      <c r="I6720" s="10"/>
      <c r="J6720" s="10"/>
      <c r="K6720" s="10"/>
      <c r="L6720" s="10"/>
      <c r="M6720" s="10"/>
      <c r="N6720" s="10"/>
      <c r="O6720" s="10"/>
      <c r="P6720" s="10"/>
      <c r="Q6720" s="10"/>
      <c r="R6720" s="10"/>
      <c r="S6720" s="10"/>
      <c r="T6720" s="10"/>
      <c r="U6720" s="10"/>
      <c r="V6720" s="10"/>
      <c r="W6720" s="10"/>
      <c r="X6720" s="10"/>
      <c r="Y6720" s="10"/>
      <c r="Z6720" s="10"/>
    </row>
    <row r="6721" spans="1:26" ht="12.75">
      <c r="A6721" s="10" t="str">
        <f ca="1">IFERROR(__xludf.DUMMYFUNCTION("""COMPUTED_VALUE"""),"Силвия Станчева Станчева")</f>
        <v>Силвия Станчева Станчева</v>
      </c>
      <c r="B6721" s="10" t="str">
        <f ca="1">IFERROR(__xludf.DUMMYFUNCTION("""COMPUTED_VALUE"""),"Книга")</f>
        <v>Книга</v>
      </c>
      <c r="C6721" s="10" t="str">
        <f ca="1">IFERROR(__xludf.DUMMYFUNCTION("""COMPUTED_VALUE"""),"Дигиталното настояще и бъдеще: Икономически, културни, образователни, правни и технологични въздействия: Сборник с науч. докл. от науч. конф. с междунар. уч., 9-10 април 2013, София")</f>
        <v>Дигиталното настояще и бъдеще: Икономически, културни, образователни, правни и технологични въздействия: Сборник с науч. докл. от науч. конф. с междунар. уч., 9-10 април 2013, София</v>
      </c>
      <c r="D6721" s="10">
        <f ca="1">IFERROR(__xludf.DUMMYFUNCTION("""COMPUTED_VALUE"""),2013)</f>
        <v>2013</v>
      </c>
      <c r="E6721" s="10" t="str">
        <f ca="1">IFERROR(__xludf.DUMMYFUNCTION("""COMPUTED_VALUE"""),"София: За буквите-о писменехь, 2013, 314 с. ISBN 978-954-2946-64-9")</f>
        <v>София: За буквите-о писменехь, 2013, 314 с. ISBN 978-954-2946-64-9</v>
      </c>
      <c r="F672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1" s="10" t="str">
        <f ca="1">IFERROR(__xludf.DUMMYFUNCTION("""COMPUTED_VALUE"""),"Румелина Василева")</f>
        <v>Румелина Василева</v>
      </c>
      <c r="H6721" s="10"/>
      <c r="I6721" s="10"/>
      <c r="J6721" s="10"/>
      <c r="K6721" s="10"/>
      <c r="L6721" s="10"/>
      <c r="M6721" s="10"/>
      <c r="N6721" s="10"/>
      <c r="O6721" s="10"/>
      <c r="P6721" s="10"/>
      <c r="Q6721" s="10"/>
      <c r="R6721" s="10"/>
      <c r="S6721" s="10"/>
      <c r="T6721" s="10"/>
      <c r="U6721" s="10"/>
      <c r="V6721" s="10"/>
      <c r="W6721" s="10"/>
      <c r="X6721" s="10"/>
      <c r="Y6721" s="10"/>
      <c r="Z6721" s="10"/>
    </row>
    <row r="6722" spans="1:26" ht="12.75">
      <c r="A6722" s="10" t="str">
        <f ca="1">IFERROR(__xludf.DUMMYFUNCTION("""COMPUTED_VALUE"""),"Силвия Станчева Станчева")</f>
        <v>Силвия Станчева Станчева</v>
      </c>
      <c r="B6722" s="10" t="str">
        <f ca="1">IFERROR(__xludf.DUMMYFUNCTION("""COMPUTED_VALUE"""),"Доклад от конференция")</f>
        <v>Доклад от конференция</v>
      </c>
      <c r="C6722" s="10" t="str">
        <f ca="1">IFERROR(__xludf.DUMMYFUNCTION("""COMPUTED_VALUE"""),"Интелектуалният капитал на библиотеките в контекста на Европейската дигитална инфраструктура")</f>
        <v>Интелектуалният капитал на библиотеките в контекста на Европейската дигитална инфраструктура</v>
      </c>
      <c r="D6722" s="10">
        <f ca="1">IFERROR(__xludf.DUMMYFUNCTION("""COMPUTED_VALUE"""),2013)</f>
        <v>2013</v>
      </c>
      <c r="E6722" s="10" t="str">
        <f ca="1">IFERROR(__xludf.DUMMYFUNCTION("""COMPUTED_VALUE"""),"Библиотеки – четене – комуникации, ХI нац. науч. конф., В. Търново, 15-16.11.2012. В. Търново: УИ „Св. св. Кирил и Методий“, 2013, с. 180-202. ISSN 1313-8138")</f>
        <v>Библиотеки – четене – комуникации, ХI нац. науч. конф., В. Търново, 15-16.11.2012. В. Търново: УИ „Св. св. Кирил и Методий“, 2013, с. 180-202. ISSN 1313-8138</v>
      </c>
      <c r="F672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2" s="10" t="str">
        <f ca="1">IFERROR(__xludf.DUMMYFUNCTION("""COMPUTED_VALUE"""),"Румелина Василева")</f>
        <v>Румелина Василева</v>
      </c>
      <c r="H6722" s="10"/>
      <c r="I6722" s="10"/>
      <c r="J6722" s="10"/>
      <c r="K6722" s="10"/>
      <c r="L6722" s="10"/>
      <c r="M6722" s="10"/>
      <c r="N6722" s="10"/>
      <c r="O6722" s="10"/>
      <c r="P6722" s="10"/>
      <c r="Q6722" s="10"/>
      <c r="R6722" s="10"/>
      <c r="S6722" s="10"/>
      <c r="T6722" s="10"/>
      <c r="U6722" s="10"/>
      <c r="V6722" s="10"/>
      <c r="W6722" s="10"/>
      <c r="X6722" s="10"/>
      <c r="Y6722" s="10"/>
      <c r="Z6722" s="10"/>
    </row>
    <row r="6723" spans="1:26" ht="12.75">
      <c r="A6723" s="10" t="str">
        <f ca="1">IFERROR(__xludf.DUMMYFUNCTION("""COMPUTED_VALUE"""),"Силвия Станчева Станчева")</f>
        <v>Силвия Станчева Станчева</v>
      </c>
      <c r="B6723" s="10" t="str">
        <f ca="1">IFERROR(__xludf.DUMMYFUNCTION("""COMPUTED_VALUE"""),"Доклад от конференция")</f>
        <v>Доклад от конференция</v>
      </c>
      <c r="C6723" s="10" t="str">
        <f ca="1">IFERROR(__xludf.DUMMYFUNCTION("""COMPUTED_VALUE"""),"New Possibilities for E-learning Master Programs in LIS and Cultural Heritage Sciences Education in Bulgaria")</f>
        <v>New Possibilities for E-learning Master Programs in LIS and Cultural Heritage Sciences Education in Bulgaria</v>
      </c>
      <c r="D6723" s="10">
        <f ca="1">IFERROR(__xludf.DUMMYFUNCTION("""COMPUTED_VALUE"""),2013)</f>
        <v>2013</v>
      </c>
      <c r="E6723" s="10" t="str">
        <f ca="1">IFERROR(__xludf.DUMMYFUNCTION("""COMPUTED_VALUE"""),"ISAST: International Society for the Advancement of Science and Technology, 2013, pp.206-208 ISBN 978-618-80698-0-0")</f>
        <v>ISAST: International Society for the Advancement of Science and Technology, 2013, pp.206-208 ISBN 978-618-80698-0-0</v>
      </c>
      <c r="F6723" s="10"/>
      <c r="G6723" s="10" t="str">
        <f ca="1">IFERROR(__xludf.DUMMYFUNCTION("""COMPUTED_VALUE"""),"Ivanka Yankova, Tania Todorova, Rumelina Vasileva, Borjana Hadjieva")</f>
        <v>Ivanka Yankova, Tania Todorova, Rumelina Vasileva, Borjana Hadjieva</v>
      </c>
      <c r="H6723" s="10"/>
      <c r="I6723" s="10"/>
      <c r="J6723" s="10"/>
      <c r="K6723" s="10"/>
      <c r="L6723" s="10"/>
      <c r="M6723" s="10"/>
      <c r="N6723" s="10"/>
      <c r="O6723" s="10"/>
      <c r="P6723" s="10"/>
      <c r="Q6723" s="10"/>
      <c r="R6723" s="10"/>
      <c r="S6723" s="10"/>
      <c r="T6723" s="10"/>
      <c r="U6723" s="10"/>
      <c r="V6723" s="10"/>
      <c r="W6723" s="10"/>
      <c r="X6723" s="10"/>
      <c r="Y6723" s="10"/>
      <c r="Z6723" s="10"/>
    </row>
    <row r="6724" spans="1:26" ht="12.75">
      <c r="A6724" s="10" t="str">
        <f ca="1">IFERROR(__xludf.DUMMYFUNCTION("""COMPUTED_VALUE"""),"Силвия Станчева Станчева")</f>
        <v>Силвия Станчева Станчева</v>
      </c>
      <c r="B6724" s="10" t="str">
        <f ca="1">IFERROR(__xludf.DUMMYFUNCTION("""COMPUTED_VALUE"""),"Статия в списания и поредици")</f>
        <v>Статия в списания и поредици</v>
      </c>
      <c r="C6724" s="10" t="str">
        <f ca="1">IFERROR(__xludf.DUMMYFUNCTION("""COMPUTED_VALUE"""),"A Bibliographical overview of “copyright literacy” as a key issue in memory institution management")</f>
        <v>A Bibliographical overview of “copyright literacy” as a key issue in memory institution management</v>
      </c>
      <c r="D6724" s="10">
        <f ca="1">IFERROR(__xludf.DUMMYFUNCTION("""COMPUTED_VALUE"""),2013)</f>
        <v>2013</v>
      </c>
      <c r="E6724" s="10" t="str">
        <f ca="1">IFERROR(__xludf.DUMMYFUNCTION("""COMPUTED_VALUE"""),"Springer, ChamEuropean Conference on Information Literacy (ECIL) 22-25 October 2013, Istanbul, Turkey. Ankara: Hacettepe University Department of Information Management, 2013. pp.62-63. 978-975-491-365-1")</f>
        <v>Springer, ChamEuropean Conference on Information Literacy (ECIL) 22-25 October 2013, Istanbul, Turkey. Ankara: Hacettepe University Department of Information Management, 2013. pp.62-63. 978-975-491-365-1</v>
      </c>
      <c r="F6724" s="10"/>
      <c r="G6724" s="10"/>
      <c r="H6724" s="10"/>
      <c r="I6724" s="10"/>
      <c r="J6724" s="10"/>
      <c r="K6724" s="10"/>
      <c r="L6724" s="10"/>
      <c r="M6724" s="10"/>
      <c r="N6724" s="10"/>
      <c r="O6724" s="10"/>
      <c r="P6724" s="10"/>
      <c r="Q6724" s="10"/>
      <c r="R6724" s="10"/>
      <c r="S6724" s="10"/>
      <c r="T6724" s="10"/>
      <c r="U6724" s="10"/>
      <c r="V6724" s="10"/>
      <c r="W6724" s="10"/>
      <c r="X6724" s="10"/>
      <c r="Y6724" s="10"/>
      <c r="Z6724" s="10"/>
    </row>
    <row r="6725" spans="1:26" ht="12.75">
      <c r="A6725" s="10" t="str">
        <f ca="1">IFERROR(__xludf.DUMMYFUNCTION("""COMPUTED_VALUE"""),"Силвия Станчева Станчева")</f>
        <v>Силвия Станчева Станчева</v>
      </c>
      <c r="B6725" s="10" t="str">
        <f ca="1">IFERROR(__xludf.DUMMYFUNCTION("""COMPUTED_VALUE"""),"Доклад от конференция")</f>
        <v>Доклад от конференция</v>
      </c>
      <c r="C6725" s="10" t="str">
        <f ca="1">IFERROR(__xludf.DUMMYFUNCTION("""COMPUTED_VALUE"""),"Training Models and Best Practices in Reading and Information Competence: Practical Knowledge and Research I two Academic courses on Information Literacy")</f>
        <v>Training Models and Best Practices in Reading and Information Competence: Practical Knowledge and Research I two Academic courses on Information Literacy</v>
      </c>
      <c r="D6725" s="10">
        <f ca="1">IFERROR(__xludf.DUMMYFUNCTION("""COMPUTED_VALUE"""),2013)</f>
        <v>2013</v>
      </c>
      <c r="E6725" s="10" t="str">
        <f ca="1">IFERROR(__xludf.DUMMYFUNCTION("""COMPUTED_VALUE"""),"European Conference on Information Literacy (ECIL) 22-25 October 2013, Istanbul, Turkey. Ankara: Hacettepe University Department of Information Management, 2013, pp. 159-162. ISBN 978-3-319-03919-0")</f>
        <v>European Conference on Information Literacy (ECIL) 22-25 October 2013, Istanbul, Turkey. Ankara: Hacettepe University Department of Information Management, 2013, pp. 159-162. ISBN 978-3-319-03919-0</v>
      </c>
      <c r="F6725" s="10"/>
      <c r="G6725" s="10" t="str">
        <f ca="1">IFERROR(__xludf.DUMMYFUNCTION("""COMPUTED_VALUE"""),"Dobrinka Stoykova")</f>
        <v>Dobrinka Stoykova</v>
      </c>
      <c r="H6725" s="10"/>
      <c r="I6725" s="10"/>
      <c r="J6725" s="10"/>
      <c r="K6725" s="10"/>
      <c r="L6725" s="10"/>
      <c r="M6725" s="10"/>
      <c r="N6725" s="10"/>
      <c r="O6725" s="10"/>
      <c r="P6725" s="10"/>
      <c r="Q6725" s="10"/>
      <c r="R6725" s="10"/>
      <c r="S6725" s="10"/>
      <c r="T6725" s="10"/>
      <c r="U6725" s="10"/>
      <c r="V6725" s="10"/>
      <c r="W6725" s="10"/>
      <c r="X6725" s="10"/>
      <c r="Y6725" s="10"/>
      <c r="Z6725" s="10"/>
    </row>
    <row r="6726" spans="1:26" ht="12.75">
      <c r="A6726" s="10" t="str">
        <f ca="1">IFERROR(__xludf.DUMMYFUNCTION("""COMPUTED_VALUE"""),"Силвия Станчева Станчева")</f>
        <v>Силвия Станчева Станчева</v>
      </c>
      <c r="B6726" s="10" t="str">
        <f ca="1">IFERROR(__xludf.DUMMYFUNCTION("""COMPUTED_VALUE"""),"Книга")</f>
        <v>Книга</v>
      </c>
      <c r="C6726" s="10" t="str">
        <f ca="1">IFERROR(__xludf.DUMMYFUNCTION("""COMPUTED_VALUE"""),"База данни „Българските градове през Възраждането”: CD")</f>
        <v>База данни „Българските градове през Възраждането”: CD</v>
      </c>
      <c r="D6726" s="10">
        <f ca="1">IFERROR(__xludf.DUMMYFUNCTION("""COMPUTED_VALUE"""),2013)</f>
        <v>2013</v>
      </c>
      <c r="E6726" s="10" t="str">
        <f ca="1">IFERROR(__xludf.DUMMYFUNCTION("""COMPUTED_VALUE"""),"София: За буквите-о писменехь, 2013, с. 15-25. ISBN 978-954-2946-64-9")</f>
        <v>София: За буквите-о писменехь, 2013, с. 15-25. ISBN 978-954-2946-64-9</v>
      </c>
      <c r="F672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6" s="10" t="str">
        <f ca="1">IFERROR(__xludf.DUMMYFUNCTION("""COMPUTED_VALUE"""),"Иванка Янкова, Румелина Василева")</f>
        <v>Иванка Янкова, Румелина Василева</v>
      </c>
      <c r="H6726" s="10"/>
      <c r="I6726" s="10"/>
      <c r="J6726" s="10"/>
      <c r="K6726" s="10"/>
      <c r="L6726" s="10"/>
      <c r="M6726" s="10"/>
      <c r="N6726" s="10"/>
      <c r="O6726" s="10"/>
      <c r="P6726" s="10"/>
      <c r="Q6726" s="10"/>
      <c r="R6726" s="10"/>
      <c r="S6726" s="10"/>
      <c r="T6726" s="10"/>
      <c r="U6726" s="10"/>
      <c r="V6726" s="10"/>
      <c r="W6726" s="10"/>
      <c r="X6726" s="10"/>
      <c r="Y6726" s="10"/>
      <c r="Z6726" s="10"/>
    </row>
    <row r="6727" spans="1:26" ht="12.75">
      <c r="A6727" s="10" t="str">
        <f ca="1">IFERROR(__xludf.DUMMYFUNCTION("""COMPUTED_VALUE"""),"Силвия Станчева Станчева")</f>
        <v>Силвия Станчева Станчева</v>
      </c>
      <c r="B6727" s="10" t="str">
        <f ca="1">IFERROR(__xludf.DUMMYFUNCTION("""COMPUTED_VALUE"""),"Доклад от конференция")</f>
        <v>Доклад от конференция</v>
      </c>
      <c r="C6727" s="10" t="str">
        <f ca="1">IFERROR(__xludf.DUMMYFUNCTION("""COMPUTED_VALUE"""),"A Bibliographical Overview of Copyright Literacy as a Key Issue in Memory Institution Management")</f>
        <v>A Bibliographical Overview of Copyright Literacy as a Key Issue in Memory Institution Management</v>
      </c>
      <c r="D6727" s="10">
        <f ca="1">IFERROR(__xludf.DUMMYFUNCTION("""COMPUTED_VALUE"""),2013)</f>
        <v>2013</v>
      </c>
      <c r="E6727" s="10" t="str">
        <f ca="1">IFERROR(__xludf.DUMMYFUNCTION("""COMPUTED_VALUE"""),"European Conference on Information Literacy (ECIL) 22-25 October 2013, Istanbul, Turkey. Ankara: Hacettepe University Department of Information Management, 2013. pp.62-63.")</f>
        <v>European Conference on Information Literacy (ECIL) 22-25 October 2013, Istanbul, Turkey. Ankara: Hacettepe University Department of Information Management, 2013. pp.62-63.</v>
      </c>
      <c r="F6727" s="10" t="str">
        <f ca="1">IFERROR(__xludf.DUMMYFUNCTION("""COMPUTED_VALUE"""),"ISI Conference Proceedings Citation Index (ISI CPCI), Crossref, Clarivate Analytics, Web of Science")</f>
        <v>ISI Conference Proceedings Citation Index (ISI CPCI), Crossref, Clarivate Analytics, Web of Science</v>
      </c>
      <c r="G6727" s="10" t="str">
        <f ca="1">IFERROR(__xludf.DUMMYFUNCTION("""COMPUTED_VALUE"""),"Ivanka Yankova, Rumelina Vasileva, Plamen Miltenoff")</f>
        <v>Ivanka Yankova, Rumelina Vasileva, Plamen Miltenoff</v>
      </c>
      <c r="H6727" s="10"/>
      <c r="I6727" s="10"/>
      <c r="J6727" s="10"/>
      <c r="K6727" s="10"/>
      <c r="L6727" s="10"/>
      <c r="M6727" s="10"/>
      <c r="N6727" s="10"/>
      <c r="O6727" s="10"/>
      <c r="P6727" s="10"/>
      <c r="Q6727" s="10"/>
      <c r="R6727" s="10"/>
      <c r="S6727" s="10"/>
      <c r="T6727" s="10"/>
      <c r="U6727" s="10"/>
      <c r="V6727" s="10"/>
      <c r="W6727" s="10"/>
      <c r="X6727" s="10"/>
      <c r="Y6727" s="10"/>
      <c r="Z6727" s="10"/>
    </row>
    <row r="6728" spans="1:26" ht="12.75">
      <c r="A6728" s="10" t="str">
        <f ca="1">IFERROR(__xludf.DUMMYFUNCTION("""COMPUTED_VALUE"""),"Силвия Станчева Станчева")</f>
        <v>Силвия Станчева Станчева</v>
      </c>
      <c r="B6728" s="10" t="str">
        <f ca="1">IFERROR(__xludf.DUMMYFUNCTION("""COMPUTED_VALUE"""),"Статия в списания и поредици")</f>
        <v>Статия в списания и поредици</v>
      </c>
      <c r="C6728" s="10" t="str">
        <f ca="1">IFERROR(__xludf.DUMMYFUNCTION("""COMPUTED_VALUE"""),"Инициативи на Асоциацията на университетските библиотеки за насърчаване на четенето")</f>
        <v>Инициативи на Асоциацията на университетските библиотеки за насърчаване на четенето</v>
      </c>
      <c r="D6728" s="10">
        <f ca="1">IFERROR(__xludf.DUMMYFUNCTION("""COMPUTED_VALUE"""),2013)</f>
        <v>2013</v>
      </c>
      <c r="E6728" s="10" t="str">
        <f ca="1">IFERROR(__xludf.DUMMYFUNCTION("""COMPUTED_VALUE"""),"София: За буквите – О писменехь, 2013, с. 99-108 1314-7323 (print)")</f>
        <v>София: За буквите – О писменехь, 2013, с. 99-108 1314-7323 (print)</v>
      </c>
      <c r="F672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8" s="10"/>
      <c r="H6728" s="10"/>
      <c r="I6728" s="10"/>
      <c r="J6728" s="10"/>
      <c r="K6728" s="10"/>
      <c r="L6728" s="10"/>
      <c r="M6728" s="10"/>
      <c r="N6728" s="10"/>
      <c r="O6728" s="10"/>
      <c r="P6728" s="10"/>
      <c r="Q6728" s="10"/>
      <c r="R6728" s="10"/>
      <c r="S6728" s="10"/>
      <c r="T6728" s="10"/>
      <c r="U6728" s="10"/>
      <c r="V6728" s="10"/>
      <c r="W6728" s="10"/>
      <c r="X6728" s="10"/>
      <c r="Y6728" s="10"/>
      <c r="Z6728" s="10"/>
    </row>
    <row r="6729" spans="1:26" ht="12.75">
      <c r="A6729" s="10" t="str">
        <f ca="1">IFERROR(__xludf.DUMMYFUNCTION("""COMPUTED_VALUE"""),"Силвия Станчева Станчева")</f>
        <v>Силвия Станчева Станчева</v>
      </c>
      <c r="B6729" s="10" t="str">
        <f ca="1">IFERROR(__xludf.DUMMYFUNCTION("""COMPUTED_VALUE"""),"Статия в списания и поредици")</f>
        <v>Статия в списания и поредици</v>
      </c>
      <c r="C6729" s="10" t="str">
        <f ca="1">IFERROR(__xludf.DUMMYFUNCTION("""COMPUTED_VALUE"""),"База данни „Българските градове през Възраждането”. Демонстрация")</f>
        <v>База данни „Българските градове през Възраждането”. Демонстрация</v>
      </c>
      <c r="D6729" s="10">
        <f ca="1">IFERROR(__xludf.DUMMYFUNCTION("""COMPUTED_VALUE"""),2013)</f>
        <v>2013</v>
      </c>
      <c r="E6729" s="10" t="str">
        <f ca="1">IFERROR(__xludf.DUMMYFUNCTION("""COMPUTED_VALUE"""),"Дигиталното настояще и дигиталното бъдеще: Икономически, културни, образователни, правни и технологични въздействия”; Научна конференция с международно участие, 9-10 април 2013 г., Метрополитън Хотел София. София: За буквите-о писменехь, 2013, с. 15-25. I"&amp;"SBN 978-954-2946-64-9")</f>
        <v>Дигиталното настояще и дигиталното бъдеще: Икономически, културни, образователни, правни и технологични въздействия”; Научна конференция с международно участие, 9-10 април 2013 г., Метрополитън Хотел София. София: За буквите-о писменехь, 2013, с. 15-25. ISBN 978-954-2946-64-9</v>
      </c>
      <c r="F672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29" s="10" t="str">
        <f ca="1">IFERROR(__xludf.DUMMYFUNCTION("""COMPUTED_VALUE"""),"Иванка Янкова, Румелина Василева")</f>
        <v>Иванка Янкова, Румелина Василева</v>
      </c>
      <c r="H6729" s="10"/>
      <c r="I6729" s="10"/>
      <c r="J6729" s="10"/>
      <c r="K6729" s="10"/>
      <c r="L6729" s="10"/>
      <c r="M6729" s="10"/>
      <c r="N6729" s="10"/>
      <c r="O6729" s="10"/>
      <c r="P6729" s="10"/>
      <c r="Q6729" s="10"/>
      <c r="R6729" s="10"/>
      <c r="S6729" s="10"/>
      <c r="T6729" s="10"/>
      <c r="U6729" s="10"/>
      <c r="V6729" s="10"/>
      <c r="W6729" s="10"/>
      <c r="X6729" s="10"/>
      <c r="Y6729" s="10"/>
      <c r="Z6729" s="10"/>
    </row>
    <row r="6730" spans="1:26" ht="12.75">
      <c r="A6730" s="10" t="str">
        <f ca="1">IFERROR(__xludf.DUMMYFUNCTION("""COMPUTED_VALUE"""),"Силвия Станчева Станчева")</f>
        <v>Силвия Станчева Станчева</v>
      </c>
      <c r="B6730" s="10" t="str">
        <f ca="1">IFERROR(__xludf.DUMMYFUNCTION("""COMPUTED_VALUE"""),"Статия в списания и поредици")</f>
        <v>Статия в списания и поредици</v>
      </c>
      <c r="C6730" s="10" t="str">
        <f ca="1">IFERROR(__xludf.DUMMYFUNCTION("""COMPUTED_VALUE"""),"Методи за обучение на студентите от специалността „Библиотечно-информационен мениджмънт”")</f>
        <v>Методи за обучение на студентите от специалността „Библиотечно-информационен мениджмънт”</v>
      </c>
      <c r="D6730" s="10">
        <f ca="1">IFERROR(__xludf.DUMMYFUNCTION("""COMPUTED_VALUE"""),2012)</f>
        <v>2012</v>
      </c>
      <c r="E6730" s="10" t="str">
        <f ca="1">IFERROR(__xludf.DUMMYFUNCTION("""COMPUTED_VALUE"""),"Научни трудове на УниБИТ, 2012, т.10, с. 83-98. 1314-2623 (print)")</f>
        <v>Научни трудове на УниБИТ, 2012, т.10, с. 83-98. 1314-2623 (print)</v>
      </c>
      <c r="F673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0" s="10" t="str">
        <f ca="1">IFERROR(__xludf.DUMMYFUNCTION("""COMPUTED_VALUE"""),"Добринка Стойкова")</f>
        <v>Добринка Стойкова</v>
      </c>
      <c r="H6730" s="10"/>
      <c r="I6730" s="10"/>
      <c r="J6730" s="10"/>
      <c r="K6730" s="10"/>
      <c r="L6730" s="10"/>
      <c r="M6730" s="10"/>
      <c r="N6730" s="10"/>
      <c r="O6730" s="10"/>
      <c r="P6730" s="10"/>
      <c r="Q6730" s="10"/>
      <c r="R6730" s="10"/>
      <c r="S6730" s="10"/>
      <c r="T6730" s="10"/>
      <c r="U6730" s="10"/>
      <c r="V6730" s="10"/>
      <c r="W6730" s="10"/>
      <c r="X6730" s="10"/>
      <c r="Y6730" s="10"/>
      <c r="Z6730" s="10"/>
    </row>
    <row r="6731" spans="1:26" ht="12.75">
      <c r="A6731" s="10" t="str">
        <f ca="1">IFERROR(__xludf.DUMMYFUNCTION("""COMPUTED_VALUE"""),"Силвия Станчева Станчева")</f>
        <v>Силвия Станчева Станчева</v>
      </c>
      <c r="B6731" s="10" t="str">
        <f ca="1">IFERROR(__xludf.DUMMYFUNCTION("""COMPUTED_VALUE"""),"Доклад от конференция")</f>
        <v>Доклад от конференция</v>
      </c>
      <c r="C6731" s="10" t="str">
        <f ca="1">IFERROR(__xludf.DUMMYFUNCTION("""COMPUTED_VALUE"""),"Книгите и потребителите на университетските библиотеки")</f>
        <v>Книгите и потребителите на университетските библиотеки</v>
      </c>
      <c r="D6731" s="10">
        <f ca="1">IFERROR(__xludf.DUMMYFUNCTION("""COMPUTED_VALUE"""),2012)</f>
        <v>2012</v>
      </c>
      <c r="E6731" s="10" t="str">
        <f ca="1">IFERROR(__xludf.DUMMYFUNCTION("""COMPUTED_VALUE"""),"Книгата – нашето по-смислено настояще и бъдеще: Сборник с доклади от форума „Дни на книгата и авторското право в УниБит“, София: За буквите – О писменехь, 2012, с. 112-121. 1314-7323 (print)")</f>
        <v>Книгата – нашето по-смислено настояще и бъдеще: Сборник с доклади от форума „Дни на книгата и авторското право в УниБит“, София: За буквите – О писменехь, 2012, с. 112-121. 1314-7323 (print)</v>
      </c>
      <c r="F673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1" s="10"/>
      <c r="H6731" s="10"/>
      <c r="I6731" s="10"/>
      <c r="J6731" s="10"/>
      <c r="K6731" s="10"/>
      <c r="L6731" s="10"/>
      <c r="M6731" s="10"/>
      <c r="N6731" s="10"/>
      <c r="O6731" s="10"/>
      <c r="P6731" s="10"/>
      <c r="Q6731" s="10"/>
      <c r="R6731" s="10"/>
      <c r="S6731" s="10"/>
      <c r="T6731" s="10"/>
      <c r="U6731" s="10"/>
      <c r="V6731" s="10"/>
      <c r="W6731" s="10"/>
      <c r="X6731" s="10"/>
      <c r="Y6731" s="10"/>
      <c r="Z6731" s="10"/>
    </row>
    <row r="6732" spans="1:26" ht="12.75">
      <c r="A6732" s="10" t="str">
        <f ca="1">IFERROR(__xludf.DUMMYFUNCTION("""COMPUTED_VALUE"""),"Силвия Станчева Станчева")</f>
        <v>Силвия Станчева Станчева</v>
      </c>
      <c r="B6732" s="10" t="str">
        <f ca="1">IFERROR(__xludf.DUMMYFUNCTION("""COMPUTED_VALUE"""),"Доклад от конференция")</f>
        <v>Доклад от конференция</v>
      </c>
      <c r="C6732" s="10" t="str">
        <f ca="1">IFERROR(__xludf.DUMMYFUNCTION("""COMPUTED_VALUE"""),"Техники за работа с групи за потребителска оценка на ресурсите в университетските библиотеки")</f>
        <v>Техники за работа с групи за потребителска оценка на ресурсите в университетските библиотеки</v>
      </c>
      <c r="D6732" s="10">
        <f ca="1">IFERROR(__xludf.DUMMYFUNCTION("""COMPUTED_VALUE"""),2012)</f>
        <v>2012</v>
      </c>
      <c r="E6732" s="10" t="str">
        <f ca="1">IFERROR(__xludf.DUMMYFUNCTION("""COMPUTED_VALUE"""),"Нови информационни технологии в образователния процес. Доклади и съобщения от Шестия научен семинар на УНИБИТ, Костенец, 24-26 март, 2011. София: Издателство „За буквите – О писменехь“, 2012, с. 329-348. ISSN 1313-2768")</f>
        <v>Нови информационни технологии в образователния процес. Доклади и съобщения от Шестия научен семинар на УНИБИТ, Костенец, 24-26 март, 2011. София: Издателство „За буквите – О писменехь“, 2012, с. 329-348. ISSN 1313-2768</v>
      </c>
      <c r="F673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2" s="10"/>
      <c r="H6732" s="10"/>
      <c r="I6732" s="10"/>
      <c r="J6732" s="10"/>
      <c r="K6732" s="10"/>
      <c r="L6732" s="10"/>
      <c r="M6732" s="10"/>
      <c r="N6732" s="10"/>
      <c r="O6732" s="10"/>
      <c r="P6732" s="10"/>
      <c r="Q6732" s="10"/>
      <c r="R6732" s="10"/>
      <c r="S6732" s="10"/>
      <c r="T6732" s="10"/>
      <c r="U6732" s="10"/>
      <c r="V6732" s="10"/>
      <c r="W6732" s="10"/>
      <c r="X6732" s="10"/>
      <c r="Y6732" s="10"/>
      <c r="Z6732" s="10"/>
    </row>
    <row r="6733" spans="1:26" ht="12.75">
      <c r="A6733" s="10" t="str">
        <f ca="1">IFERROR(__xludf.DUMMYFUNCTION("""COMPUTED_VALUE"""),"Силвия Станчева Станчева")</f>
        <v>Силвия Станчева Станчева</v>
      </c>
      <c r="B6733" s="10" t="str">
        <f ca="1">IFERROR(__xludf.DUMMYFUNCTION("""COMPUTED_VALUE"""),"Доклад от конференция")</f>
        <v>Доклад от конференция</v>
      </c>
      <c r="C6733" s="10" t="str">
        <f ca="1">IFERROR(__xludf.DUMMYFUNCTION("""COMPUTED_VALUE"""),"Learning by Doing in the Context of Modern Information and Media Literacy of Students in “Library and Information Management” in SULSIT Using the Digital Collection “Bulgarian Revival”")</f>
        <v>Learning by Doing in the Context of Modern Information and Media Literacy of Students in “Library and Information Management” in SULSIT Using the Digital Collection “Bulgarian Revival”</v>
      </c>
      <c r="D6733" s="10">
        <f ca="1">IFERROR(__xludf.DUMMYFUNCTION("""COMPUTED_VALUE"""),2012)</f>
        <v>2012</v>
      </c>
      <c r="E6733" s="10" t="str">
        <f ca="1">IFERROR(__xludf.DUMMYFUNCTION("""COMPUTED_VALUE"""),"Learning by Doing in the Context of Modern Information and Media Literacy of Students in “Library and Information Management” in SULSIT Using the Digital Collection “Bulgarian Revival” Sofia: Institute of Mathematics and Informatics, 2012, p. 112-123. ISS"&amp;"N 1314-4006")</f>
        <v>Learning by Doing in the Context of Modern Information and Media Literacy of Students in “Library and Information Management” in SULSIT Using the Digital Collection “Bulgarian Revival” Sofia: Institute of Mathematics and Informatics, 2012, p. 112-123. ISSN 1314-4006</v>
      </c>
      <c r="F6733" s="10" t="str">
        <f ca="1">IFERROR(__xludf.DUMMYFUNCTION("""COMPUTED_VALUE"""),"ISI Conference Proceedings Citation Index (ISI CPCI), Crossref, Clarivate Analytics, Web of Science")</f>
        <v>ISI Conference Proceedings Citation Index (ISI CPCI), Crossref, Clarivate Analytics, Web of Science</v>
      </c>
      <c r="G6733" s="10" t="str">
        <f ca="1">IFERROR(__xludf.DUMMYFUNCTION("""COMPUTED_VALUE"""),"Ivanka Yankova, Rumelina Vasileva")</f>
        <v>Ivanka Yankova, Rumelina Vasileva</v>
      </c>
      <c r="H6733" s="10"/>
      <c r="I6733" s="10"/>
      <c r="J6733" s="10"/>
      <c r="K6733" s="10"/>
      <c r="L6733" s="10"/>
      <c r="M6733" s="10"/>
      <c r="N6733" s="10"/>
      <c r="O6733" s="10"/>
      <c r="P6733" s="10"/>
      <c r="Q6733" s="10"/>
      <c r="R6733" s="10"/>
      <c r="S6733" s="10"/>
      <c r="T6733" s="10"/>
      <c r="U6733" s="10"/>
      <c r="V6733" s="10"/>
      <c r="W6733" s="10"/>
      <c r="X6733" s="10"/>
      <c r="Y6733" s="10"/>
      <c r="Z6733" s="10"/>
    </row>
    <row r="6734" spans="1:26" ht="12.75">
      <c r="A6734" s="10" t="str">
        <f ca="1">IFERROR(__xludf.DUMMYFUNCTION("""COMPUTED_VALUE"""),"Силвия Станчева Станчева")</f>
        <v>Силвия Станчева Станчева</v>
      </c>
      <c r="B6734" s="10"/>
      <c r="C6734" s="10" t="str">
        <f ca="1">IFERROR(__xludf.DUMMYFUNCTION("""COMPUTED_VALUE"""),"Assessment of the abilities of the students to search information and to communicate")</f>
        <v>Assessment of the abilities of the students to search information and to communicate</v>
      </c>
      <c r="D6734" s="10">
        <f ca="1">IFERROR(__xludf.DUMMYFUNCTION("""COMPUTED_VALUE"""),2012)</f>
        <v>2012</v>
      </c>
      <c r="E6734" s="10"/>
      <c r="F6734" s="10"/>
      <c r="G6734" s="10"/>
      <c r="H6734" s="10"/>
      <c r="I6734" s="10"/>
      <c r="J6734" s="10"/>
      <c r="K6734" s="10"/>
      <c r="L6734" s="10"/>
      <c r="M6734" s="10"/>
      <c r="N6734" s="10"/>
      <c r="O6734" s="10"/>
      <c r="P6734" s="10"/>
      <c r="Q6734" s="10"/>
      <c r="R6734" s="10"/>
      <c r="S6734" s="10"/>
      <c r="T6734" s="10"/>
      <c r="U6734" s="10"/>
      <c r="V6734" s="10"/>
      <c r="W6734" s="10"/>
      <c r="X6734" s="10"/>
      <c r="Y6734" s="10"/>
      <c r="Z6734" s="10"/>
    </row>
    <row r="6735" spans="1:26" ht="12.75">
      <c r="A6735" s="10" t="str">
        <f ca="1">IFERROR(__xludf.DUMMYFUNCTION("""COMPUTED_VALUE"""),"Силвия Станчева Станчева")</f>
        <v>Силвия Станчева Станчева</v>
      </c>
      <c r="B6735" s="10" t="str">
        <f ca="1">IFERROR(__xludf.DUMMYFUNCTION("""COMPUTED_VALUE"""),"Доклад от конференция")</f>
        <v>Доклад от конференция</v>
      </c>
      <c r="C6735" s="10" t="str">
        <f ca="1">IFERROR(__xludf.DUMMYFUNCTION("""COMPUTED_VALUE"""),"Опитът на университетските библиотеки в прилагане на информационната грамотност спрямо потребителите и библиотечните служители")</f>
        <v>Опитът на университетските библиотеки в прилагане на информационната грамотност спрямо потребителите и библиотечните служители</v>
      </c>
      <c r="D6735" s="10">
        <f ca="1">IFERROR(__xludf.DUMMYFUNCTION("""COMPUTED_VALUE"""),2012)</f>
        <v>2012</v>
      </c>
      <c r="E6735" s="10" t="str">
        <f ca="1">IFERROR(__xludf.DUMMYFUNCTION("""COMPUTED_VALUE"""),"Информационна грамотност – изследване на модели и добри практики. Доклади от трета науч. конф. с межд. участие, Варна, 18-19 окт. 2012, с. 326-335 ISBN 978-954-2946-30-4")</f>
        <v>Информационна грамотност – изследване на модели и добри практики. Доклади от трета науч. конф. с межд. участие, Варна, 18-19 окт. 2012, с. 326-335 ISBN 978-954-2946-30-4</v>
      </c>
      <c r="F673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5" s="10"/>
      <c r="H6735" s="10"/>
      <c r="I6735" s="10"/>
      <c r="J6735" s="10"/>
      <c r="K6735" s="10"/>
      <c r="L6735" s="10"/>
      <c r="M6735" s="10"/>
      <c r="N6735" s="10"/>
      <c r="O6735" s="10"/>
      <c r="P6735" s="10"/>
      <c r="Q6735" s="10"/>
      <c r="R6735" s="10"/>
      <c r="S6735" s="10"/>
      <c r="T6735" s="10"/>
      <c r="U6735" s="10"/>
      <c r="V6735" s="10"/>
      <c r="W6735" s="10"/>
      <c r="X6735" s="10"/>
      <c r="Y6735" s="10"/>
      <c r="Z6735" s="10"/>
    </row>
    <row r="6736" spans="1:26" ht="12.75">
      <c r="A6736" s="10" t="str">
        <f ca="1">IFERROR(__xludf.DUMMYFUNCTION("""COMPUTED_VALUE"""),"Силвия Станчева Станчева")</f>
        <v>Силвия Станчева Станчева</v>
      </c>
      <c r="B6736" s="10" t="str">
        <f ca="1">IFERROR(__xludf.DUMMYFUNCTION("""COMPUTED_VALUE"""),"Доклад от конференция")</f>
        <v>Доклад от конференция</v>
      </c>
      <c r="C6736" s="10" t="str">
        <f ca="1">IFERROR(__xludf.DUMMYFUNCTION("""COMPUTED_VALUE"""),"Потребителите и университетските библиотеки")</f>
        <v>Потребителите и университетските библиотеки</v>
      </c>
      <c r="D6736" s="10">
        <f ca="1">IFERROR(__xludf.DUMMYFUNCTION("""COMPUTED_VALUE"""),2011)</f>
        <v>2011</v>
      </c>
      <c r="E6736" s="10" t="str">
        <f ca="1">IFERROR(__xludf.DUMMYFUNCTION("""COMPUTED_VALUE"""),"Библиотеки – четене – комуникации. Девета нац. научна конф. с междунар. участие, В. Търново, 17-18 ноември 2010. – В. Търново: УИ „Св. св. Кирил и Методий“, 2011, с. 302-309. ISSN 1313-8138")</f>
        <v>Библиотеки – четене – комуникации. Девета нац. научна конф. с междунар. участие, В. Търново, 17-18 ноември 2010. – В. Търново: УИ „Св. св. Кирил и Методий“, 2011, с. 302-309. ISSN 1313-8138</v>
      </c>
      <c r="F673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6" s="10"/>
      <c r="H6736" s="10"/>
      <c r="I6736" s="10"/>
      <c r="J6736" s="10"/>
      <c r="K6736" s="10"/>
      <c r="L6736" s="10"/>
      <c r="M6736" s="10"/>
      <c r="N6736" s="10"/>
      <c r="O6736" s="10"/>
      <c r="P6736" s="10"/>
      <c r="Q6736" s="10"/>
      <c r="R6736" s="10"/>
      <c r="S6736" s="10"/>
      <c r="T6736" s="10"/>
      <c r="U6736" s="10"/>
      <c r="V6736" s="10"/>
      <c r="W6736" s="10"/>
      <c r="X6736" s="10"/>
      <c r="Y6736" s="10"/>
      <c r="Z6736" s="10"/>
    </row>
    <row r="6737" spans="1:26" ht="12.75">
      <c r="A6737" s="10" t="str">
        <f ca="1">IFERROR(__xludf.DUMMYFUNCTION("""COMPUTED_VALUE"""),"Силвия Станчева Станчева")</f>
        <v>Силвия Станчева Станчева</v>
      </c>
      <c r="B6737" s="10" t="str">
        <f ca="1">IFERROR(__xludf.DUMMYFUNCTION("""COMPUTED_VALUE"""),"Доклад от конференция")</f>
        <v>Доклад от конференция</v>
      </c>
      <c r="C6737" s="10" t="str">
        <f ca="1">IFERROR(__xludf.DUMMYFUNCTION("""COMPUTED_VALUE"""),"Електронните ресурси на университетските библиотеки и достъпът до тях")</f>
        <v>Електронните ресурси на университетските библиотеки и достъпът до тях</v>
      </c>
      <c r="D6737" s="10">
        <f ca="1">IFERROR(__xludf.DUMMYFUNCTION("""COMPUTED_VALUE"""),2011)</f>
        <v>2011</v>
      </c>
      <c r="E6737" s="10" t="str">
        <f ca="1">IFERROR(__xludf.DUMMYFUNCTION("""COMPUTED_VALUE"""),"Научна конференция с международно участие „Библиотечният и културен мениджмънт и информационно-комуникационните технологии” (“Library and Cultural Management and ICT”) 3-4 септември 2011г., Бургаски свободен университет, гр. Бургас. София: За буквите-о пи"&amp;"сменехь, 2011, c.167-182. ISBN 978-954-2946-14-4")</f>
        <v>Научна конференция с международно участие „Библиотечният и културен мениджмънт и информационно-комуникационните технологии” (“Library and Cultural Management and ICT”) 3-4 септември 2011г., Бургаски свободен университет, гр. Бургас. София: За буквите-о писменехь, 2011, c.167-182. ISBN 978-954-2946-14-4</v>
      </c>
      <c r="F673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7" s="10"/>
      <c r="H6737" s="10"/>
      <c r="I6737" s="10"/>
      <c r="J6737" s="10"/>
      <c r="K6737" s="10"/>
      <c r="L6737" s="10"/>
      <c r="M6737" s="10"/>
      <c r="N6737" s="10"/>
      <c r="O6737" s="10"/>
      <c r="P6737" s="10"/>
      <c r="Q6737" s="10"/>
      <c r="R6737" s="10"/>
      <c r="S6737" s="10"/>
      <c r="T6737" s="10"/>
      <c r="U6737" s="10"/>
      <c r="V6737" s="10"/>
      <c r="W6737" s="10"/>
      <c r="X6737" s="10"/>
      <c r="Y6737" s="10"/>
      <c r="Z6737" s="10"/>
    </row>
    <row r="6738" spans="1:26" ht="12.75">
      <c r="A6738" s="10" t="str">
        <f ca="1">IFERROR(__xludf.DUMMYFUNCTION("""COMPUTED_VALUE"""),"Силвия Станчева Станчева")</f>
        <v>Силвия Станчева Станчева</v>
      </c>
      <c r="B6738" s="10" t="str">
        <f ca="1">IFERROR(__xludf.DUMMYFUNCTION("""COMPUTED_VALUE"""),"Студия")</f>
        <v>Студия</v>
      </c>
      <c r="C6738" s="10" t="str">
        <f ca="1">IFERROR(__xludf.DUMMYFUNCTION("""COMPUTED_VALUE"""),"Приложение на електронните библиографски ресурси в преподаването на дисциплината “Информационно обслужване в библиотеките”")</f>
        <v>Приложение на електронните библиографски ресурси в преподаването на дисциплината “Информационно обслужване в библиотеките”</v>
      </c>
      <c r="D6738" s="10">
        <f ca="1">IFERROR(__xludf.DUMMYFUNCTION("""COMPUTED_VALUE"""),2011)</f>
        <v>2011</v>
      </c>
      <c r="E6738" s="10" t="str">
        <f ca="1">IFERROR(__xludf.DUMMYFUNCTION("""COMPUTED_VALUE"""),"Актуальные вопросы библиографии. Болгария и Россия: теоретические и прикладные исследования: Сборник научных докладов и сообщений. – Москва – София: МГУ, 2011, с. 50-65. ISBN 978-5-8122-1142-4")</f>
        <v>Актуальные вопросы библиографии. Болгария и Россия: теоретические и прикладные исследования: Сборник научных докладов и сообщений. – Москва – София: МГУ, 2011, с. 50-65. ISBN 978-5-8122-1142-4</v>
      </c>
      <c r="F673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8" s="10" t="str">
        <f ca="1">IFERROR(__xludf.DUMMYFUNCTION("""COMPUTED_VALUE"""),"Добринка Стойкова")</f>
        <v>Добринка Стойкова</v>
      </c>
      <c r="H6738" s="10"/>
      <c r="I6738" s="10"/>
      <c r="J6738" s="10"/>
      <c r="K6738" s="10"/>
      <c r="L6738" s="10"/>
      <c r="M6738" s="10"/>
      <c r="N6738" s="10"/>
      <c r="O6738" s="10"/>
      <c r="P6738" s="10"/>
      <c r="Q6738" s="10"/>
      <c r="R6738" s="10"/>
      <c r="S6738" s="10"/>
      <c r="T6738" s="10"/>
      <c r="U6738" s="10"/>
      <c r="V6738" s="10"/>
      <c r="W6738" s="10"/>
      <c r="X6738" s="10"/>
      <c r="Y6738" s="10"/>
      <c r="Z6738" s="10"/>
    </row>
    <row r="6739" spans="1:26" ht="12.75">
      <c r="A6739" s="10" t="str">
        <f ca="1">IFERROR(__xludf.DUMMYFUNCTION("""COMPUTED_VALUE"""),"Силвия Станчева Станчева")</f>
        <v>Силвия Станчева Станчева</v>
      </c>
      <c r="B6739" s="10" t="str">
        <f ca="1">IFERROR(__xludf.DUMMYFUNCTION("""COMPUTED_VALUE"""),"Студия")</f>
        <v>Студия</v>
      </c>
      <c r="C6739" s="10" t="str">
        <f ca="1">IFERROR(__xludf.DUMMYFUNCTION("""COMPUTED_VALUE"""),"Application of Electronic Bibliographic Resources in Teaching the Course “Information Services in Libraries”")</f>
        <v>Application of Electronic Bibliographic Resources in Teaching the Course “Information Services in Libraries”</v>
      </c>
      <c r="D6739" s="10">
        <f ca="1">IFERROR(__xludf.DUMMYFUNCTION("""COMPUTED_VALUE"""),2011)</f>
        <v>2011</v>
      </c>
      <c r="E6739" s="10" t="str">
        <f ca="1">IFERROR(__xludf.DUMMYFUNCTION("""COMPUTED_VALUE"""),"Topical Issues of the Bibliography. Bulgaria and Russia. Theoretical and Applied")</f>
        <v>Topical Issues of the Bibliography. Bulgaria and Russia. Theoretical and Applied</v>
      </c>
      <c r="F673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39" s="10" t="str">
        <f ca="1">IFERROR(__xludf.DUMMYFUNCTION("""COMPUTED_VALUE"""),"D. Stoykova")</f>
        <v>D. Stoykova</v>
      </c>
      <c r="H6739" s="10"/>
      <c r="I6739" s="10"/>
      <c r="J6739" s="10"/>
      <c r="K6739" s="10"/>
      <c r="L6739" s="10"/>
      <c r="M6739" s="10"/>
      <c r="N6739" s="10"/>
      <c r="O6739" s="10"/>
      <c r="P6739" s="10"/>
      <c r="Q6739" s="10"/>
      <c r="R6739" s="10"/>
      <c r="S6739" s="10"/>
      <c r="T6739" s="10"/>
      <c r="U6739" s="10"/>
      <c r="V6739" s="10"/>
      <c r="W6739" s="10"/>
      <c r="X6739" s="10"/>
      <c r="Y6739" s="10"/>
      <c r="Z6739" s="10"/>
    </row>
    <row r="6740" spans="1:26" ht="12.75">
      <c r="A6740" s="10" t="str">
        <f ca="1">IFERROR(__xludf.DUMMYFUNCTION("""COMPUTED_VALUE"""),"Силвия Станчева Станчева")</f>
        <v>Силвия Станчева Станчева</v>
      </c>
      <c r="B6740" s="10" t="str">
        <f ca="1">IFERROR(__xludf.DUMMYFUNCTION("""COMPUTED_VALUE"""),"Доклад от конференция")</f>
        <v>Доклад от конференция</v>
      </c>
      <c r="C6740" s="10" t="str">
        <f ca="1">IFERROR(__xludf.DUMMYFUNCTION("""COMPUTED_VALUE"""),"Университетската библиотека – културен и информационен център на нашето съвремие")</f>
        <v>Университетската библиотека – културен и информационен център на нашето съвремие</v>
      </c>
      <c r="D6740" s="10">
        <f ca="1">IFERROR(__xludf.DUMMYFUNCTION("""COMPUTED_VALUE"""),2010)</f>
        <v>2010</v>
      </c>
      <c r="E6740" s="10" t="str">
        <f ca="1">IFERROR(__xludf.DUMMYFUNCTION("""COMPUTED_VALUE"""),"Библиотеки, четене, комуникации. Осма нац. науч. конф., посветена на 120-год. от основаването на НБ “П. Р. Славейков”, Велико Търново, 17-18 ноември 2009 г. В.Търново, 2010, с. 475-480. ISSN 1313-8138")</f>
        <v>Библиотеки, четене, комуникации. Осма нац. науч. конф., посветена на 120-год. от основаването на НБ “П. Р. Славейков”, Велико Търново, 17-18 ноември 2009 г. В.Търново, 2010, с. 475-480. ISSN 1313-8138</v>
      </c>
      <c r="F674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40" s="10"/>
      <c r="H6740" s="10"/>
      <c r="I6740" s="10"/>
      <c r="J6740" s="10"/>
      <c r="K6740" s="10"/>
      <c r="L6740" s="10"/>
      <c r="M6740" s="10"/>
      <c r="N6740" s="10"/>
      <c r="O6740" s="10"/>
      <c r="P6740" s="10"/>
      <c r="Q6740" s="10"/>
      <c r="R6740" s="10"/>
      <c r="S6740" s="10"/>
      <c r="T6740" s="10"/>
      <c r="U6740" s="10"/>
      <c r="V6740" s="10"/>
      <c r="W6740" s="10"/>
      <c r="X6740" s="10"/>
      <c r="Y6740" s="10"/>
      <c r="Z6740" s="10"/>
    </row>
    <row r="6741" spans="1:26" ht="12.75">
      <c r="A6741" s="10" t="str">
        <f ca="1">IFERROR(__xludf.DUMMYFUNCTION("""COMPUTED_VALUE"""),"Силвия Станчева Станчева")</f>
        <v>Силвия Станчева Станчева</v>
      </c>
      <c r="B6741" s="10" t="str">
        <f ca="1">IFERROR(__xludf.DUMMYFUNCTION("""COMPUTED_VALUE"""),"Доклад от конференция")</f>
        <v>Доклад от конференция</v>
      </c>
      <c r="C6741" s="10" t="str">
        <f ca="1">IFERROR(__xludf.DUMMYFUNCTION("""COMPUTED_VALUE"""),"Ролята на библиотечния мениджмънт в дейността на университетските библиотеки")</f>
        <v>Ролята на библиотечния мениджмънт в дейността на университетските библиотеки</v>
      </c>
      <c r="D6741" s="10">
        <f ca="1">IFERROR(__xludf.DUMMYFUNCTION("""COMPUTED_VALUE"""),2010)</f>
        <v>2010</v>
      </c>
      <c r="E6741" s="10" t="str">
        <f ca="1">IFERROR(__xludf.DUMMYFUNCTION("""COMPUTED_VALUE"""),"Научна конференция с международно участие, II: „Библиотечният мениджмънт – научни и практически аспекти” Варна, ДИПКУ, 26-27 ноември 2009 г. Шумен: Фабер, 2010, с. 185-195. ISBN 978-954-400-249-7")</f>
        <v>Научна конференция с международно участие, II: „Библиотечният мениджмънт – научни и практически аспекти” Варна, ДИПКУ, 26-27 ноември 2009 г. Шумен: Фабер, 2010, с. 185-195. ISBN 978-954-400-249-7</v>
      </c>
      <c r="F674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41" s="10"/>
      <c r="H6741" s="10"/>
      <c r="I6741" s="10"/>
      <c r="J6741" s="10"/>
      <c r="K6741" s="10"/>
      <c r="L6741" s="10"/>
      <c r="M6741" s="10"/>
      <c r="N6741" s="10"/>
      <c r="O6741" s="10"/>
      <c r="P6741" s="10"/>
      <c r="Q6741" s="10"/>
      <c r="R6741" s="10"/>
      <c r="S6741" s="10"/>
      <c r="T6741" s="10"/>
      <c r="U6741" s="10"/>
      <c r="V6741" s="10"/>
      <c r="W6741" s="10"/>
      <c r="X6741" s="10"/>
      <c r="Y6741" s="10"/>
      <c r="Z6741" s="10"/>
    </row>
    <row r="6742" spans="1:26" ht="12.75">
      <c r="A6742" s="10" t="str">
        <f ca="1">IFERROR(__xludf.DUMMYFUNCTION("""COMPUTED_VALUE"""),"Силвия Станчева Станчева")</f>
        <v>Силвия Станчева Станчева</v>
      </c>
      <c r="B6742" s="10" t="str">
        <f ca="1">IFERROR(__xludf.DUMMYFUNCTION("""COMPUTED_VALUE"""),"Книга")</f>
        <v>Книга</v>
      </c>
      <c r="C6742" s="10" t="str">
        <f ca="1">IFERROR(__xludf.DUMMYFUNCTION("""COMPUTED_VALUE"""),"Българските градове през Възраждането: Историческо, социологическо и политологическо изследване. Ч. 2.")</f>
        <v>Българските градове през Възраждането: Историческо, социологическо и политологическо изследване. Ч. 2.</v>
      </c>
      <c r="D6742" s="10">
        <f ca="1">IFERROR(__xludf.DUMMYFUNCTION("""COMPUTED_VALUE"""),2010)</f>
        <v>2010</v>
      </c>
      <c r="E6742" s="10" t="str">
        <f ca="1">IFERROR(__xludf.DUMMYFUNCTION("""COMPUTED_VALUE"""),"София: УИ “Св. Климент Охридски”, 2010, 816 с. ISBN 978-954-07-3103-2")</f>
        <v>София: УИ “Св. Климент Охридски”, 2010, 816 с. ISBN 978-954-07-3103-2</v>
      </c>
      <c r="F674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42" s="10" t="str">
        <f ca="1">IFERROR(__xludf.DUMMYFUNCTION("""COMPUTED_VALUE"""),"Иванка Янкова, М. Семов, Р. Минчева, С. Станчева, Р. Василева, Т. Тодорова, Т. Дочева, Б. Драголова, С. Бояджиева")</f>
        <v>Иванка Янкова, М. Семов, Р. Минчева, С. Станчева, Р. Василева, Т. Тодорова, Т. Дочева, Б. Драголова, С. Бояджиева</v>
      </c>
      <c r="H6742" s="10"/>
      <c r="I6742" s="10"/>
      <c r="J6742" s="10"/>
      <c r="K6742" s="10"/>
      <c r="L6742" s="10"/>
      <c r="M6742" s="10"/>
      <c r="N6742" s="10"/>
      <c r="O6742" s="10"/>
      <c r="P6742" s="10"/>
      <c r="Q6742" s="10"/>
      <c r="R6742" s="10"/>
      <c r="S6742" s="10"/>
      <c r="T6742" s="10"/>
      <c r="U6742" s="10"/>
      <c r="V6742" s="10"/>
      <c r="W6742" s="10"/>
      <c r="X6742" s="10"/>
      <c r="Y6742" s="10"/>
      <c r="Z6742" s="10"/>
    </row>
    <row r="6743" spans="1:26" ht="12.75">
      <c r="A6743" s="10" t="str">
        <f ca="1">IFERROR(__xludf.DUMMYFUNCTION("""COMPUTED_VALUE"""),"Силвия Станчева Станчева")</f>
        <v>Силвия Станчева Станчева</v>
      </c>
      <c r="B6743" s="10" t="str">
        <f ca="1">IFERROR(__xludf.DUMMYFUNCTION("""COMPUTED_VALUE"""),"Статия в списания и поредици")</f>
        <v>Статия в списания и поредици</v>
      </c>
      <c r="C6743" s="10" t="str">
        <f ca="1">IFERROR(__xludf.DUMMYFUNCTION("""COMPUTED_VALUE"""),"Обучение на потребителите за работа с електронен каталог ALEPH на Университетската библиотека „Св. Кл. Охридски“")</f>
        <v>Обучение на потребителите за работа с електронен каталог ALEPH на Университетската библиотека „Св. Кл. Охридски“</v>
      </c>
      <c r="D6743" s="10">
        <f ca="1">IFERROR(__xludf.DUMMYFUNCTION("""COMPUTED_VALUE"""),2009)</f>
        <v>2009</v>
      </c>
      <c r="E6743" s="10" t="str">
        <f ca="1">IFERROR(__xludf.DUMMYFUNCTION("""COMPUTED_VALUE"""),"Връзки с обществеността и промоционални техники: Сборник. София: Wini - 1837, 2009, с. 90-96. ISBN 978-954-9437-07-2")</f>
        <v>Връзки с обществеността и промоционални техники: Сборник. София: Wini - 1837, 2009, с. 90-96. ISBN 978-954-9437-07-2</v>
      </c>
      <c r="F674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43" s="10"/>
      <c r="H6743" s="10"/>
      <c r="I6743" s="10"/>
      <c r="J6743" s="10"/>
      <c r="K6743" s="10"/>
      <c r="L6743" s="10"/>
      <c r="M6743" s="10"/>
      <c r="N6743" s="10"/>
      <c r="O6743" s="10"/>
      <c r="P6743" s="10"/>
      <c r="Q6743" s="10"/>
      <c r="R6743" s="10"/>
      <c r="S6743" s="10"/>
      <c r="T6743" s="10"/>
      <c r="U6743" s="10"/>
      <c r="V6743" s="10"/>
      <c r="W6743" s="10"/>
      <c r="X6743" s="10"/>
      <c r="Y6743" s="10"/>
      <c r="Z6743" s="10"/>
    </row>
    <row r="6744" spans="1:26" ht="12.75">
      <c r="A6744" s="10" t="str">
        <f ca="1">IFERROR(__xludf.DUMMYFUNCTION("""COMPUTED_VALUE"""),"Силвия Станчева Станчева")</f>
        <v>Силвия Станчева Станчева</v>
      </c>
      <c r="B6744" s="10" t="str">
        <f ca="1">IFERROR(__xludf.DUMMYFUNCTION("""COMPUTED_VALUE"""),"Статия в списания и поредици")</f>
        <v>Статия в списания и поредици</v>
      </c>
      <c r="C6744" s="10" t="str">
        <f ca="1">IFERROR(__xludf.DUMMYFUNCTION("""COMPUTED_VALUE"""),"Обучителни сесии за новопостъпващи библиотекари. (На база опита на Университетската библиотека „Св. Климент Охридски“)")</f>
        <v>Обучителни сесии за новопостъпващи библиотекари. (На база опита на Университетската библиотека „Св. Климент Охридски“)</v>
      </c>
      <c r="D6744" s="10">
        <f ca="1">IFERROR(__xludf.DUMMYFUNCTION("""COMPUTED_VALUE"""),2009)</f>
        <v>2009</v>
      </c>
      <c r="E6744" s="10" t="str">
        <f ca="1">IFERROR(__xludf.DUMMYFUNCTION("""COMPUTED_VALUE"""),"Добри библиотечни практики: Сборник. София: Wini - 1837, 2009, с. 121-124. ISBN 978-954-9437-09-6")</f>
        <v>Добри библиотечни практики: Сборник. София: Wini - 1837, 2009, с. 121-124. ISBN 978-954-9437-09-6</v>
      </c>
      <c r="F674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6744" s="10"/>
      <c r="H6744" s="10"/>
      <c r="I6744" s="10"/>
      <c r="J6744" s="10"/>
      <c r="K6744" s="10"/>
      <c r="L6744" s="10"/>
      <c r="M6744" s="10"/>
      <c r="N6744" s="10"/>
      <c r="O6744" s="10"/>
      <c r="P6744" s="10"/>
      <c r="Q6744" s="10"/>
      <c r="R6744" s="10"/>
      <c r="S6744" s="10"/>
      <c r="T6744" s="10"/>
      <c r="U6744" s="10"/>
      <c r="V6744" s="10"/>
      <c r="W6744" s="10"/>
      <c r="X6744" s="10"/>
      <c r="Y6744" s="10"/>
      <c r="Z6744" s="10"/>
    </row>
    <row r="6745" spans="1:26" ht="12.75">
      <c r="A6745" s="10" t="str">
        <f ca="1">IFERROR(__xludf.DUMMYFUNCTION("""COMPUTED_VALUE"""),"Соня Борисова Пенкова (Димитрова)")</f>
        <v>Соня Борисова Пенкова (Димитрова)</v>
      </c>
      <c r="B6745" s="10" t="str">
        <f ca="1">IFERROR(__xludf.DUMMYFUNCTION("""COMPUTED_VALUE"""),"Статия в списания и поредици")</f>
        <v>Статия в списания и поредици</v>
      </c>
      <c r="C6745" s="10" t="str">
        <f ca="1">IFERROR(__xludf.DUMMYFUNCTION("""COMPUTED_VALUE"""),"Музеят и „културата на участие“ – проекции в български образователен контекст")</f>
        <v>Музеят и „културата на участие“ – проекции в български образователен контекст</v>
      </c>
      <c r="D6745" s="10">
        <f ca="1">IFERROR(__xludf.DUMMYFUNCTION("""COMPUTED_VALUE"""),2018)</f>
        <v>2018</v>
      </c>
      <c r="E6745" s="10" t="str">
        <f ca="1">IFERROR(__xludf.DUMMYFUNCTION("""COMPUTED_VALUE"""),"Педагогика, 2018, № 7 с. 899")</f>
        <v>Педагогика, 2018, № 7 с. 899</v>
      </c>
      <c r="F6745" s="10"/>
      <c r="G6745" s="10"/>
      <c r="H6745" s="10"/>
      <c r="I6745" s="10"/>
      <c r="J6745" s="10"/>
      <c r="K6745" s="10"/>
      <c r="L6745" s="10"/>
      <c r="M6745" s="10"/>
      <c r="N6745" s="10"/>
      <c r="O6745" s="10"/>
      <c r="P6745" s="10"/>
      <c r="Q6745" s="10"/>
      <c r="R6745" s="10"/>
      <c r="S6745" s="10"/>
      <c r="T6745" s="10"/>
      <c r="U6745" s="10"/>
      <c r="V6745" s="10"/>
      <c r="W6745" s="10"/>
      <c r="X6745" s="10"/>
      <c r="Y6745" s="10"/>
      <c r="Z6745" s="10"/>
    </row>
    <row r="6746" spans="1:26" ht="12.75">
      <c r="A6746" s="10" t="str">
        <f ca="1">IFERROR(__xludf.DUMMYFUNCTION("""COMPUTED_VALUE"""),"Соня Борисова Пенкова (Димитрова)")</f>
        <v>Соня Борисова Пенкова (Димитрова)</v>
      </c>
      <c r="B6746" s="10" t="str">
        <f ca="1">IFERROR(__xludf.DUMMYFUNCTION("""COMPUTED_VALUE"""),"Книга")</f>
        <v>Книга</v>
      </c>
      <c r="C6746" s="10" t="str">
        <f ca="1">IFERROR(__xludf.DUMMYFUNCTION("""COMPUTED_VALUE"""),"Между войната и мира. Съхраненото наследство на Българската армия. Каталог")</f>
        <v>Между войната и мира. Съхраненото наследство на Българската армия. Каталог</v>
      </c>
      <c r="D6746" s="10">
        <f ca="1">IFERROR(__xludf.DUMMYFUNCTION("""COMPUTED_VALUE"""),2018)</f>
        <v>2018</v>
      </c>
      <c r="E6746" s="10" t="str">
        <f ca="1">IFERROR(__xludf.DUMMYFUNCTION("""COMPUTED_VALUE"""),"София, Национален военноисторически музей, 196 с., ISBN 978-619-7039-05-04")</f>
        <v>София, Национален военноисторически музей, 196 с., ISBN 978-619-7039-05-04</v>
      </c>
      <c r="F6746" s="10"/>
      <c r="G6746" s="10"/>
      <c r="H6746" s="10"/>
      <c r="I6746" s="10"/>
      <c r="J6746" s="10"/>
      <c r="K6746" s="10"/>
      <c r="L6746" s="10"/>
      <c r="M6746" s="10"/>
      <c r="N6746" s="10"/>
      <c r="O6746" s="10"/>
      <c r="P6746" s="10"/>
      <c r="Q6746" s="10"/>
      <c r="R6746" s="10"/>
      <c r="S6746" s="10"/>
      <c r="T6746" s="10"/>
      <c r="U6746" s="10"/>
      <c r="V6746" s="10"/>
      <c r="W6746" s="10"/>
      <c r="X6746" s="10"/>
      <c r="Y6746" s="10"/>
      <c r="Z6746" s="10"/>
    </row>
    <row r="6747" spans="1:26" ht="12.75">
      <c r="A6747" s="10" t="str">
        <f ca="1">IFERROR(__xludf.DUMMYFUNCTION("""COMPUTED_VALUE"""),"Соня Борисова Пенкова (Димитрова)")</f>
        <v>Соня Борисова Пенкова (Димитрова)</v>
      </c>
      <c r="B6747" s="10" t="str">
        <f ca="1">IFERROR(__xludf.DUMMYFUNCTION("""COMPUTED_VALUE"""),"Доклад от конференция")</f>
        <v>Доклад от конференция</v>
      </c>
      <c r="C6747" s="10" t="str">
        <f ca="1">IFERROR(__xludf.DUMMYFUNCTION("""COMPUTED_VALUE"""),"Българските художници в Първата световна война или накратко за темите в творчеството на военните художници")</f>
        <v>Българските художници в Първата световна война или накратко за темите в творчеството на военните художници</v>
      </c>
      <c r="D6747" s="10">
        <f ca="1">IFERROR(__xludf.DUMMYFUNCTION("""COMPUTED_VALUE"""),2017)</f>
        <v>2017</v>
      </c>
      <c r="E6747" s="10" t="str">
        <f ca="1">IFERROR(__xludf.DUMMYFUNCTION("""COMPUTED_VALUE"""),"В: Годишник на Военноморския музей – Варна. Т. Х. Доклади от националната научна конференция България и войната на море (Отбраната на българските брегове в Първата световна война) Варна, 1 – 2 ноември 2016 г. С., 2017, с. 135 – 143, ISSN-1311-8587.")</f>
        <v>В: Годишник на Военноморския музей – Варна. Т. Х. Доклади от националната научна конференция България и войната на море (Отбраната на българските брегове в Първата световна война) Варна, 1 – 2 ноември 2016 г. С., 2017, с. 135 – 143, ISSN-1311-8587.</v>
      </c>
      <c r="F6747" s="10"/>
      <c r="G6747" s="10"/>
      <c r="H6747" s="10"/>
      <c r="I6747" s="10"/>
      <c r="J6747" s="10"/>
      <c r="K6747" s="10"/>
      <c r="L6747" s="10"/>
      <c r="M6747" s="10"/>
      <c r="N6747" s="10"/>
      <c r="O6747" s="10"/>
      <c r="P6747" s="10"/>
      <c r="Q6747" s="10"/>
      <c r="R6747" s="10"/>
      <c r="S6747" s="10"/>
      <c r="T6747" s="10"/>
      <c r="U6747" s="10"/>
      <c r="V6747" s="10"/>
      <c r="W6747" s="10"/>
      <c r="X6747" s="10"/>
      <c r="Y6747" s="10"/>
      <c r="Z6747" s="10"/>
    </row>
    <row r="6748" spans="1:26" ht="12.75">
      <c r="A6748" s="10" t="str">
        <f ca="1">IFERROR(__xludf.DUMMYFUNCTION("""COMPUTED_VALUE"""),"Соня Борисова Пенкова (Димитрова)")</f>
        <v>Соня Борисова Пенкова (Димитрова)</v>
      </c>
      <c r="B6748" s="10" t="str">
        <f ca="1">IFERROR(__xludf.DUMMYFUNCTION("""COMPUTED_VALUE"""),"Глава от колективна монография")</f>
        <v>Глава от колективна монография</v>
      </c>
      <c r="C6748" s="10" t="str">
        <f ca="1">IFERROR(__xludf.DUMMYFUNCTION("""COMPUTED_VALUE"""),"Променящият се музей или накратко за интерактивността")</f>
        <v>Променящият се музей или накратко за интерактивността</v>
      </c>
      <c r="D6748" s="10">
        <f ca="1">IFERROR(__xludf.DUMMYFUNCTION("""COMPUTED_VALUE"""),2016)</f>
        <v>2016</v>
      </c>
      <c r="E6748" s="10" t="str">
        <f ca="1">IFERROR(__xludf.DUMMYFUNCTION("""COMPUTED_VALUE"""),"Дизайн на музейни образователни програми. София, Университетско издателство „Св. Климент Охридски“, 108 с., ISBN 978-954-07-4176-5")</f>
        <v>Дизайн на музейни образователни програми. София, Университетско издателство „Св. Климент Охридски“, 108 с., ISBN 978-954-07-4176-5</v>
      </c>
      <c r="F6748" s="10"/>
      <c r="G6748" s="10"/>
      <c r="H6748" s="10"/>
      <c r="I6748" s="10"/>
      <c r="J6748" s="10"/>
      <c r="K6748" s="10"/>
      <c r="L6748" s="10"/>
      <c r="M6748" s="10"/>
      <c r="N6748" s="10"/>
      <c r="O6748" s="10"/>
      <c r="P6748" s="10"/>
      <c r="Q6748" s="10"/>
      <c r="R6748" s="10"/>
      <c r="S6748" s="10"/>
      <c r="T6748" s="10"/>
      <c r="U6748" s="10"/>
      <c r="V6748" s="10"/>
      <c r="W6748" s="10"/>
      <c r="X6748" s="10"/>
      <c r="Y6748" s="10"/>
      <c r="Z6748" s="10"/>
    </row>
    <row r="6749" spans="1:26" ht="12.75">
      <c r="A6749" s="10" t="str">
        <f ca="1">IFERROR(__xludf.DUMMYFUNCTION("""COMPUTED_VALUE"""),"Соня Борисова Пенкова (Димитрова)")</f>
        <v>Соня Борисова Пенкова (Димитрова)</v>
      </c>
      <c r="B6749" s="10" t="str">
        <f ca="1">IFERROR(__xludf.DUMMYFUNCTION("""COMPUTED_VALUE"""),"Книга")</f>
        <v>Книга</v>
      </c>
      <c r="C6749" s="10" t="str">
        <f ca="1">IFERROR(__xludf.DUMMYFUNCTION("""COMPUTED_VALUE"""),"Българските художници в Първата световна война. Т. I")</f>
        <v>Българските художници в Първата световна война. Т. I</v>
      </c>
      <c r="D6749" s="10">
        <f ca="1">IFERROR(__xludf.DUMMYFUNCTION("""COMPUTED_VALUE"""),2015)</f>
        <v>2015</v>
      </c>
      <c r="E6749" s="10" t="str">
        <f ca="1">IFERROR(__xludf.DUMMYFUNCTION("""COMPUTED_VALUE"""),"София, Национален военноисторически музей, 240 с., Български и английски език, ISBN 978-619-7039-03-0")</f>
        <v>София, Национален военноисторически музей, 240 с., Български и английски език, ISBN 978-619-7039-03-0</v>
      </c>
      <c r="F6749" s="10"/>
      <c r="G6749" s="10"/>
      <c r="H6749" s="10"/>
      <c r="I6749" s="10"/>
      <c r="J6749" s="10"/>
      <c r="K6749" s="10"/>
      <c r="L6749" s="10"/>
      <c r="M6749" s="10"/>
      <c r="N6749" s="10"/>
      <c r="O6749" s="10"/>
      <c r="P6749" s="10"/>
      <c r="Q6749" s="10"/>
      <c r="R6749" s="10"/>
      <c r="S6749" s="10"/>
      <c r="T6749" s="10"/>
      <c r="U6749" s="10"/>
      <c r="V6749" s="10"/>
      <c r="W6749" s="10"/>
      <c r="X6749" s="10"/>
      <c r="Y6749" s="10"/>
      <c r="Z6749" s="10"/>
    </row>
    <row r="6750" spans="1:26" ht="12.75">
      <c r="A6750" s="10" t="str">
        <f ca="1">IFERROR(__xludf.DUMMYFUNCTION("""COMPUTED_VALUE"""),"Соня Борисова Пенкова (Димитрова)")</f>
        <v>Соня Борисова Пенкова (Димитрова)</v>
      </c>
      <c r="B6750" s="10" t="str">
        <f ca="1">IFERROR(__xludf.DUMMYFUNCTION("""COMPUTED_VALUE"""),"Книга")</f>
        <v>Книга</v>
      </c>
      <c r="C6750" s="10" t="str">
        <f ca="1">IFERROR(__xludf.DUMMYFUNCTION("""COMPUTED_VALUE"""),"Българските художници в Първата световна война. Т. II")</f>
        <v>Българските художници в Първата световна война. Т. II</v>
      </c>
      <c r="D6750" s="10">
        <f ca="1">IFERROR(__xludf.DUMMYFUNCTION("""COMPUTED_VALUE"""),2015)</f>
        <v>2015</v>
      </c>
      <c r="E6750" s="10" t="str">
        <f ca="1">IFERROR(__xludf.DUMMYFUNCTION("""COMPUTED_VALUE"""),"София, Национален военноисторически музей, 170 с., Български и английски език, ISBN 978-619-7039-04-7")</f>
        <v>София, Национален военноисторически музей, 170 с., Български и английски език, ISBN 978-619-7039-04-7</v>
      </c>
      <c r="F6750" s="10"/>
      <c r="G6750" s="10"/>
      <c r="H6750" s="10"/>
      <c r="I6750" s="10"/>
      <c r="J6750" s="10"/>
      <c r="K6750" s="10"/>
      <c r="L6750" s="10"/>
      <c r="M6750" s="10"/>
      <c r="N6750" s="10"/>
      <c r="O6750" s="10"/>
      <c r="P6750" s="10"/>
      <c r="Q6750" s="10"/>
      <c r="R6750" s="10"/>
      <c r="S6750" s="10"/>
      <c r="T6750" s="10"/>
      <c r="U6750" s="10"/>
      <c r="V6750" s="10"/>
      <c r="W6750" s="10"/>
      <c r="X6750" s="10"/>
      <c r="Y6750" s="10"/>
      <c r="Z6750" s="10"/>
    </row>
    <row r="6751" spans="1:26" ht="12.75">
      <c r="A6751" s="10" t="str">
        <f ca="1">IFERROR(__xludf.DUMMYFUNCTION("""COMPUTED_VALUE"""),"Соня Борисова Пенкова (Димитрова)")</f>
        <v>Соня Борисова Пенкова (Димитрова)</v>
      </c>
      <c r="B6751" s="10" t="str">
        <f ca="1">IFERROR(__xludf.DUMMYFUNCTION("""COMPUTED_VALUE"""),"Монография")</f>
        <v>Монография</v>
      </c>
      <c r="C6751" s="10" t="str">
        <f ca="1">IFERROR(__xludf.DUMMYFUNCTION("""COMPUTED_VALUE"""),"Музейната мрежа в България. Последните двадесет години 1989 – 2012")</f>
        <v>Музейната мрежа в България. Последните двадесет години 1989 – 2012</v>
      </c>
      <c r="D6751" s="10">
        <f ca="1">IFERROR(__xludf.DUMMYFUNCTION("""COMPUTED_VALUE"""),2012)</f>
        <v>2012</v>
      </c>
      <c r="E6751" s="10" t="str">
        <f ca="1">IFERROR(__xludf.DUMMYFUNCTION("""COMPUTED_VALUE"""),"София, Национален военноисторически музей, 269 с., ISBN 978-954-92777-6-0")</f>
        <v>София, Национален военноисторически музей, 269 с., ISBN 978-954-92777-6-0</v>
      </c>
      <c r="F6751" s="10"/>
      <c r="G6751" s="10"/>
      <c r="H6751" s="10"/>
      <c r="I6751" s="10"/>
      <c r="J6751" s="10"/>
      <c r="K6751" s="10"/>
      <c r="L6751" s="10"/>
      <c r="M6751" s="10"/>
      <c r="N6751" s="10"/>
      <c r="O6751" s="10"/>
      <c r="P6751" s="10"/>
      <c r="Q6751" s="10"/>
      <c r="R6751" s="10"/>
      <c r="S6751" s="10"/>
      <c r="T6751" s="10"/>
      <c r="U6751" s="10"/>
      <c r="V6751" s="10"/>
      <c r="W6751" s="10"/>
      <c r="X6751" s="10"/>
      <c r="Y6751" s="10"/>
      <c r="Z6751" s="10"/>
    </row>
    <row r="6752" spans="1:26" ht="12.75">
      <c r="A6752" s="10" t="str">
        <f ca="1">IFERROR(__xludf.DUMMYFUNCTION("""COMPUTED_VALUE"""),"Соня Борисова Пенкова (Димитрова)")</f>
        <v>Соня Борисова Пенкова (Димитрова)</v>
      </c>
      <c r="B6752" s="10" t="str">
        <f ca="1">IFERROR(__xludf.DUMMYFUNCTION("""COMPUTED_VALUE"""),"Книга")</f>
        <v>Книга</v>
      </c>
      <c r="C6752" s="10" t="str">
        <f ca="1">IFERROR(__xludf.DUMMYFUNCTION("""COMPUTED_VALUE"""),"Алманах на Сухопътните войски в България. Българска пехота. Книга 1")</f>
        <v>Алманах на Сухопътните войски в България. Българска пехота. Книга 1</v>
      </c>
      <c r="D6752" s="10">
        <f ca="1">IFERROR(__xludf.DUMMYFUNCTION("""COMPUTED_VALUE"""),2012)</f>
        <v>2012</v>
      </c>
      <c r="E6752" s="10" t="str">
        <f ca="1">IFERROR(__xludf.DUMMYFUNCTION("""COMPUTED_VALUE"""),"София, Национален военноисторически музей, Асоциация на Сухопътните войски на България, Фондация „Българско военно историческо наследство“, 232 с., ISBN 978-954-92859-1-8")</f>
        <v>София, Национален военноисторически музей, Асоциация на Сухопътните войски на България, Фондация „Българско военно историческо наследство“, 232 с., ISBN 978-954-92859-1-8</v>
      </c>
      <c r="F6752" s="10"/>
      <c r="G6752" s="10"/>
      <c r="H6752" s="10"/>
      <c r="I6752" s="10"/>
      <c r="J6752" s="10"/>
      <c r="K6752" s="10"/>
      <c r="L6752" s="10"/>
      <c r="M6752" s="10"/>
      <c r="N6752" s="10"/>
      <c r="O6752" s="10"/>
      <c r="P6752" s="10"/>
      <c r="Q6752" s="10"/>
      <c r="R6752" s="10"/>
      <c r="S6752" s="10"/>
      <c r="T6752" s="10"/>
      <c r="U6752" s="10"/>
      <c r="V6752" s="10"/>
      <c r="W6752" s="10"/>
      <c r="X6752" s="10"/>
      <c r="Y6752" s="10"/>
      <c r="Z6752" s="10"/>
    </row>
    <row r="6753" spans="1:26" ht="12.75">
      <c r="A6753" s="10" t="str">
        <f ca="1">IFERROR(__xludf.DUMMYFUNCTION("""COMPUTED_VALUE"""),"Соня Борисова Пенкова (Димитрова)")</f>
        <v>Соня Борисова Пенкова (Димитрова)</v>
      </c>
      <c r="B6753" s="10" t="str">
        <f ca="1">IFERROR(__xludf.DUMMYFUNCTION("""COMPUTED_VALUE"""),"Статия в списания и поредици")</f>
        <v>Статия в списания и поредици</v>
      </c>
      <c r="C6753" s="10" t="str">
        <f ca="1">IFERROR(__xludf.DUMMYFUNCTION("""COMPUTED_VALUE"""),"Модели на музейни мрежи в Европа")</f>
        <v>Модели на музейни мрежи в Европа</v>
      </c>
      <c r="D6753" s="10">
        <f ca="1">IFERROR(__xludf.DUMMYFUNCTION("""COMPUTED_VALUE"""),2012)</f>
        <v>2012</v>
      </c>
      <c r="E6753" s="10" t="str">
        <f ca="1">IFERROR(__xludf.DUMMYFUNCTION("""COMPUTED_VALUE"""),"В: Електронен вестник за музеология и военна история, бр. 2, 2012 г., ISSN 1314 – 6726.")</f>
        <v>В: Електронен вестник за музеология и военна история, бр. 2, 2012 г., ISSN 1314 – 6726.</v>
      </c>
      <c r="F6753" s="10"/>
      <c r="G6753" s="10"/>
      <c r="H6753" s="10"/>
      <c r="I6753" s="10"/>
      <c r="J6753" s="10"/>
      <c r="K6753" s="10"/>
      <c r="L6753" s="10"/>
      <c r="M6753" s="10"/>
      <c r="N6753" s="10"/>
      <c r="O6753" s="10"/>
      <c r="P6753" s="10"/>
      <c r="Q6753" s="10"/>
      <c r="R6753" s="10"/>
      <c r="S6753" s="10"/>
      <c r="T6753" s="10"/>
      <c r="U6753" s="10"/>
      <c r="V6753" s="10"/>
      <c r="W6753" s="10"/>
      <c r="X6753" s="10"/>
      <c r="Y6753" s="10"/>
      <c r="Z6753" s="10"/>
    </row>
    <row r="6754" spans="1:26" ht="12.75">
      <c r="A6754" s="10" t="str">
        <f ca="1">IFERROR(__xludf.DUMMYFUNCTION("""COMPUTED_VALUE"""),"Соня Борисова Пенкова (Димитрова)")</f>
        <v>Соня Борисова Пенкова (Димитрова)</v>
      </c>
      <c r="B6754" s="10" t="str">
        <f ca="1">IFERROR(__xludf.DUMMYFUNCTION("""COMPUTED_VALUE"""),"Статия в списания и поредици")</f>
        <v>Статия в списания и поредици</v>
      </c>
      <c r="C6754" s="10" t="str">
        <f ca="1">IFERROR(__xludf.DUMMYFUNCTION("""COMPUTED_VALUE"""),"Съвременни трансформации на понятието „музейна мрежа“")</f>
        <v>Съвременни трансформации на понятието „музейна мрежа“</v>
      </c>
      <c r="D6754" s="10">
        <f ca="1">IFERROR(__xludf.DUMMYFUNCTION("""COMPUTED_VALUE"""),2012)</f>
        <v>2012</v>
      </c>
      <c r="E6754" s="10" t="str">
        <f ca="1">IFERROR(__xludf.DUMMYFUNCTION("""COMPUTED_VALUE"""),"Електронен вестник за музеология и военна история. Издание на Националния военноисторически музей, бр. 1/2012, ISNN 1314 – 6726, интернет адрес: &lt;http://www.militarymuseum.bg/Pages/Publications/Electronic%20journal/broeve/2012_01.pdf&gt;")</f>
        <v>Електронен вестник за музеология и военна история. Издание на Националния военноисторически музей, бр. 1/2012, ISNN 1314 – 6726, интернет адрес: &lt;http://www.militarymuseum.bg/Pages/Publications/Electronic%20journal/broeve/2012_01.pdf&gt;</v>
      </c>
      <c r="F6754" s="10"/>
      <c r="G6754" s="10"/>
      <c r="H6754" s="10"/>
      <c r="I6754" s="10"/>
      <c r="J6754" s="10"/>
      <c r="K6754" s="10"/>
      <c r="L6754" s="10"/>
      <c r="M6754" s="10"/>
      <c r="N6754" s="10"/>
      <c r="O6754" s="10"/>
      <c r="P6754" s="10"/>
      <c r="Q6754" s="10"/>
      <c r="R6754" s="10"/>
      <c r="S6754" s="10"/>
      <c r="T6754" s="10"/>
      <c r="U6754" s="10"/>
      <c r="V6754" s="10"/>
      <c r="W6754" s="10"/>
      <c r="X6754" s="10"/>
      <c r="Y6754" s="10"/>
      <c r="Z6754" s="10"/>
    </row>
    <row r="6755" spans="1:26" ht="12.75">
      <c r="A6755" s="10" t="str">
        <f ca="1">IFERROR(__xludf.DUMMYFUNCTION("""COMPUTED_VALUE"""),"Соня Борисова Пенкова (Димитрова)")</f>
        <v>Соня Борисова Пенкова (Димитрова)</v>
      </c>
      <c r="B6755" s="10" t="str">
        <f ca="1">IFERROR(__xludf.DUMMYFUNCTION("""COMPUTED_VALUE"""),"Монография")</f>
        <v>Монография</v>
      </c>
      <c r="C6755" s="10" t="str">
        <f ca="1">IFERROR(__xludf.DUMMYFUNCTION("""COMPUTED_VALUE"""),"Военните музеи в България. Общата история на първите години")</f>
        <v>Военните музеи в България. Общата история на първите години</v>
      </c>
      <c r="D6755" s="10">
        <f ca="1">IFERROR(__xludf.DUMMYFUNCTION("""COMPUTED_VALUE"""),2011)</f>
        <v>2011</v>
      </c>
      <c r="E6755" s="10" t="str">
        <f ca="1">IFERROR(__xludf.DUMMYFUNCTION("""COMPUTED_VALUE"""),"София, Национален военноисторически музей, 326 с., ISBN 978-95492777-1-5")</f>
        <v>София, Национален военноисторически музей, 326 с., ISBN 978-95492777-1-5</v>
      </c>
      <c r="F6755" s="10"/>
      <c r="G6755" s="10"/>
      <c r="H6755" s="10"/>
      <c r="I6755" s="10"/>
      <c r="J6755" s="10"/>
      <c r="K6755" s="10"/>
      <c r="L6755" s="10"/>
      <c r="M6755" s="10"/>
      <c r="N6755" s="10"/>
      <c r="O6755" s="10"/>
      <c r="P6755" s="10"/>
      <c r="Q6755" s="10"/>
      <c r="R6755" s="10"/>
      <c r="S6755" s="10"/>
      <c r="T6755" s="10"/>
      <c r="U6755" s="10"/>
      <c r="V6755" s="10"/>
      <c r="W6755" s="10"/>
      <c r="X6755" s="10"/>
      <c r="Y6755" s="10"/>
      <c r="Z6755" s="10"/>
    </row>
    <row r="6756" spans="1:26" ht="12.75">
      <c r="A6756" s="10" t="str">
        <f ca="1">IFERROR(__xludf.DUMMYFUNCTION("""COMPUTED_VALUE"""),"Соня Борисова Пенкова (Димитрова)")</f>
        <v>Соня Борисова Пенкова (Димитрова)</v>
      </c>
      <c r="B6756" s="10" t="str">
        <f ca="1">IFERROR(__xludf.DUMMYFUNCTION("""COMPUTED_VALUE"""),"Доклад от конференция")</f>
        <v>Доклад от конференция</v>
      </c>
      <c r="C6756" s="10" t="str">
        <f ca="1">IFERROR(__xludf.DUMMYFUNCTION("""COMPUTED_VALUE"""),"Проблеми в социализацията на културно-историческото наследство с военен профил")</f>
        <v>Проблеми в социализацията на културно-историческото наследство с военен профил</v>
      </c>
      <c r="D6756" s="10">
        <f ca="1">IFERROR(__xludf.DUMMYFUNCTION("""COMPUTED_VALUE"""),2011)</f>
        <v>2011</v>
      </c>
      <c r="E6756" s="10" t="str">
        <f ca="1">IFERROR(__xludf.DUMMYFUNCTION("""COMPUTED_VALUE"""),"Социализация на българското културно-историческо наследство. Първа научна конференция по проблемите на културно-историческото наследство, проведена в Големия салон на БАН, София, 31 ян. 2011 г. Бюлетин на Фондация „Арете-Фол“, год. 3, бр. 4, с. 93 – 101, "&amp;"ISSN 1314-5517")</f>
        <v>Социализация на българското културно-историческо наследство. Първа научна конференция по проблемите на културно-историческото наследство, проведена в Големия салон на БАН, София, 31 ян. 2011 г. Бюлетин на Фондация „Арете-Фол“, год. 3, бр. 4, с. 93 – 101, ISSN 1314-5517</v>
      </c>
      <c r="F6756" s="10"/>
      <c r="G6756" s="10"/>
      <c r="H6756" s="10"/>
      <c r="I6756" s="10"/>
      <c r="J6756" s="10"/>
      <c r="K6756" s="10"/>
      <c r="L6756" s="10"/>
      <c r="M6756" s="10"/>
      <c r="N6756" s="10"/>
      <c r="O6756" s="10"/>
      <c r="P6756" s="10"/>
      <c r="Q6756" s="10"/>
      <c r="R6756" s="10"/>
      <c r="S6756" s="10"/>
      <c r="T6756" s="10"/>
      <c r="U6756" s="10"/>
      <c r="V6756" s="10"/>
      <c r="W6756" s="10"/>
      <c r="X6756" s="10"/>
      <c r="Y6756" s="10"/>
      <c r="Z6756" s="10"/>
    </row>
    <row r="6757" spans="1:26" ht="12.75">
      <c r="A6757" s="10" t="str">
        <f ca="1">IFERROR(__xludf.DUMMYFUNCTION("""COMPUTED_VALUE"""),"Соня Борисова Пенкова (Димитрова)")</f>
        <v>Соня Борисова Пенкова (Димитрова)</v>
      </c>
      <c r="B6757" s="10" t="str">
        <f ca="1">IFERROR(__xludf.DUMMYFUNCTION("""COMPUTED_VALUE"""),"Глава от колективна монография")</f>
        <v>Глава от колективна монография</v>
      </c>
      <c r="C6757" s="10" t="str">
        <f ca="1">IFERROR(__xludf.DUMMYFUNCTION("""COMPUTED_VALUE"""),"Държавната културна политика в годините на Втората световна война и Главният военен музей (1939 – септември 1944)")</f>
        <v>Държавната културна политика в годините на Втората световна война и Главният военен музей (1939 – септември 1944)</v>
      </c>
      <c r="D6757" s="10">
        <f ca="1">IFERROR(__xludf.DUMMYFUNCTION("""COMPUTED_VALUE"""),2010)</f>
        <v>2010</v>
      </c>
      <c r="E6757" s="10" t="str">
        <f ca="1">IFERROR(__xludf.DUMMYFUNCTION("""COMPUTED_VALUE"""),"Стратегия за национална сигурност на Република България. София, с. 307 – 312, ISBN 978-954-9348-23-1")</f>
        <v>Стратегия за национална сигурност на Република България. София, с. 307 – 312, ISBN 978-954-9348-23-1</v>
      </c>
      <c r="F6757" s="10"/>
      <c r="G6757" s="10"/>
      <c r="H6757" s="10"/>
      <c r="I6757" s="10"/>
      <c r="J6757" s="10"/>
      <c r="K6757" s="10"/>
      <c r="L6757" s="10"/>
      <c r="M6757" s="10"/>
      <c r="N6757" s="10"/>
      <c r="O6757" s="10"/>
      <c r="P6757" s="10"/>
      <c r="Q6757" s="10"/>
      <c r="R6757" s="10"/>
      <c r="S6757" s="10"/>
      <c r="T6757" s="10"/>
      <c r="U6757" s="10"/>
      <c r="V6757" s="10"/>
      <c r="W6757" s="10"/>
      <c r="X6757" s="10"/>
      <c r="Y6757" s="10"/>
      <c r="Z6757" s="10"/>
    </row>
    <row r="6758" spans="1:26" ht="12.75">
      <c r="A6758" s="10" t="str">
        <f ca="1">IFERROR(__xludf.DUMMYFUNCTION("""COMPUTED_VALUE"""),"Соня Борисова Пенкова (Димитрова)")</f>
        <v>Соня Борисова Пенкова (Димитрова)</v>
      </c>
      <c r="B6758" s="10" t="str">
        <f ca="1">IFERROR(__xludf.DUMMYFUNCTION("""COMPUTED_VALUE"""),"Книга")</f>
        <v>Книга</v>
      </c>
      <c r="C6758" s="10" t="str">
        <f ca="1">IFERROR(__xludf.DUMMYFUNCTION("""COMPUTED_VALUE"""),"Българските бойни знамена. За честта и славата на България")</f>
        <v>Българските бойни знамена. За честта и славата на България</v>
      </c>
      <c r="D6758" s="10">
        <f ca="1">IFERROR(__xludf.DUMMYFUNCTION("""COMPUTED_VALUE"""),2009)</f>
        <v>2009</v>
      </c>
      <c r="E6758" s="10" t="str">
        <f ca="1">IFERROR(__xludf.DUMMYFUNCTION("""COMPUTED_VALUE"""),"София, Студио „Витамин Арт“, 224 с., ISBN 978-954-92450-1-1")</f>
        <v>София, Студио „Витамин Арт“, 224 с., ISBN 978-954-92450-1-1</v>
      </c>
      <c r="F6758" s="10"/>
      <c r="G6758" s="10"/>
      <c r="H6758" s="10"/>
      <c r="I6758" s="10"/>
      <c r="J6758" s="10"/>
      <c r="K6758" s="10"/>
      <c r="L6758" s="10"/>
      <c r="M6758" s="10"/>
      <c r="N6758" s="10"/>
      <c r="O6758" s="10"/>
      <c r="P6758" s="10"/>
      <c r="Q6758" s="10"/>
      <c r="R6758" s="10"/>
      <c r="S6758" s="10"/>
      <c r="T6758" s="10"/>
      <c r="U6758" s="10"/>
      <c r="V6758" s="10"/>
      <c r="W6758" s="10"/>
      <c r="X6758" s="10"/>
      <c r="Y6758" s="10"/>
      <c r="Z6758" s="10"/>
    </row>
    <row r="6759" spans="1:26" ht="12.75">
      <c r="A6759" s="10" t="str">
        <f ca="1">IFERROR(__xludf.DUMMYFUNCTION("""COMPUTED_VALUE"""),"Соня Борисова Пенкова (Димитрова)")</f>
        <v>Соня Борисова Пенкова (Димитрова)</v>
      </c>
      <c r="B6759" s="10" t="str">
        <f ca="1">IFERROR(__xludf.DUMMYFUNCTION("""COMPUTED_VALUE"""),"Статия в списания и поредици")</f>
        <v>Статия в списания и поредици</v>
      </c>
      <c r="C6759" s="10" t="str">
        <f ca="1">IFERROR(__xludf.DUMMYFUNCTION("""COMPUTED_VALUE"""),"Откриване на експозицията на Главния военен музей през 1937 г.")</f>
        <v>Откриване на експозицията на Главния военен музей през 1937 г.</v>
      </c>
      <c r="D6759" s="10">
        <f ca="1">IFERROR(__xludf.DUMMYFUNCTION("""COMPUTED_VALUE"""),2008)</f>
        <v>2008</v>
      </c>
      <c r="E6759" s="10" t="str">
        <f ca="1">IFERROR(__xludf.DUMMYFUNCTION("""COMPUTED_VALUE"""),"Военноисторически сборник, 2008, № 1, с. 63 – 68, ISSN 0204-4080")</f>
        <v>Военноисторически сборник, 2008, № 1, с. 63 – 68, ISSN 0204-4080</v>
      </c>
      <c r="F6759" s="10"/>
      <c r="G6759" s="10"/>
      <c r="H6759" s="10"/>
      <c r="I6759" s="10"/>
      <c r="J6759" s="10"/>
      <c r="K6759" s="10"/>
      <c r="L6759" s="10"/>
      <c r="M6759" s="10"/>
      <c r="N6759" s="10"/>
      <c r="O6759" s="10"/>
      <c r="P6759" s="10"/>
      <c r="Q6759" s="10"/>
      <c r="R6759" s="10"/>
      <c r="S6759" s="10"/>
      <c r="T6759" s="10"/>
      <c r="U6759" s="10"/>
      <c r="V6759" s="10"/>
      <c r="W6759" s="10"/>
      <c r="X6759" s="10"/>
      <c r="Y6759" s="10"/>
      <c r="Z6759" s="10"/>
    </row>
    <row r="6760" spans="1:26" ht="12.75">
      <c r="A6760" s="10" t="str">
        <f ca="1">IFERROR(__xludf.DUMMYFUNCTION("""COMPUTED_VALUE"""),"Соня Борисова Пенкова (Димитрова)")</f>
        <v>Соня Борисова Пенкова (Димитрова)</v>
      </c>
      <c r="B6760" s="10" t="str">
        <f ca="1">IFERROR(__xludf.DUMMYFUNCTION("""COMPUTED_VALUE"""),"Статия в списания и поредици")</f>
        <v>Статия в списания и поредици</v>
      </c>
      <c r="C6760" s="10" t="str">
        <f ca="1">IFERROR(__xludf.DUMMYFUNCTION("""COMPUTED_VALUE"""),"Нормативно-административни рамки на военните музеи във войската от края на ХІХ в. до началото на 30-те години на ХХ в.")</f>
        <v>Нормативно-административни рамки на военните музеи във войската от края на ХІХ в. до началото на 30-те години на ХХ в.</v>
      </c>
      <c r="D6760" s="10">
        <f ca="1">IFERROR(__xludf.DUMMYFUNCTION("""COMPUTED_VALUE"""),2006)</f>
        <v>2006</v>
      </c>
      <c r="E6760" s="10" t="str">
        <f ca="1">IFERROR(__xludf.DUMMYFUNCTION("""COMPUTED_VALUE"""),"Известия на Националния военноисторически музей, 2006, № 16, с. 9 – 26")</f>
        <v>Известия на Националния военноисторически музей, 2006, № 16, с. 9 – 26</v>
      </c>
      <c r="F6760" s="10"/>
      <c r="G6760" s="10"/>
      <c r="H6760" s="10"/>
      <c r="I6760" s="10"/>
      <c r="J6760" s="10"/>
      <c r="K6760" s="10"/>
      <c r="L6760" s="10"/>
      <c r="M6760" s="10"/>
      <c r="N6760" s="10"/>
      <c r="O6760" s="10"/>
      <c r="P6760" s="10"/>
      <c r="Q6760" s="10"/>
      <c r="R6760" s="10"/>
      <c r="S6760" s="10"/>
      <c r="T6760" s="10"/>
      <c r="U6760" s="10"/>
      <c r="V6760" s="10"/>
      <c r="W6760" s="10"/>
      <c r="X6760" s="10"/>
      <c r="Y6760" s="10"/>
      <c r="Z6760" s="10"/>
    </row>
    <row r="6761" spans="1:26" ht="12.75">
      <c r="A6761" s="10" t="str">
        <f ca="1">IFERROR(__xludf.DUMMYFUNCTION("""COMPUTED_VALUE"""),"Соня Борисова Пенкова (Димитрова)")</f>
        <v>Соня Борисова Пенкова (Димитрова)</v>
      </c>
      <c r="B6761" s="10" t="str">
        <f ca="1">IFERROR(__xludf.DUMMYFUNCTION("""COMPUTED_VALUE"""),"Статия в списания и поредици")</f>
        <v>Статия в списания и поредици</v>
      </c>
      <c r="C6761" s="10" t="str">
        <f ca="1">IFERROR(__xludf.DUMMYFUNCTION("""COMPUTED_VALUE"""),"Сръбско–българската война и първите отличия на Червения кръст")</f>
        <v>Сръбско–българската война и първите отличия на Червения кръст</v>
      </c>
      <c r="D6761" s="10">
        <f ca="1">IFERROR(__xludf.DUMMYFUNCTION("""COMPUTED_VALUE"""),2005)</f>
        <v>2005</v>
      </c>
      <c r="E6761" s="10" t="str">
        <f ca="1">IFERROR(__xludf.DUMMYFUNCTION("""COMPUTED_VALUE"""),"Военноисторически сборник, 2005, № 4, с. 64,ISSN 0204-4080")</f>
        <v>Военноисторически сборник, 2005, № 4, с. 64,ISSN 0204-4080</v>
      </c>
      <c r="F6761" s="10"/>
      <c r="G6761" s="10"/>
      <c r="H6761" s="10"/>
      <c r="I6761" s="10"/>
      <c r="J6761" s="10"/>
      <c r="K6761" s="10"/>
      <c r="L6761" s="10"/>
      <c r="M6761" s="10"/>
      <c r="N6761" s="10"/>
      <c r="O6761" s="10"/>
      <c r="P6761" s="10"/>
      <c r="Q6761" s="10"/>
      <c r="R6761" s="10"/>
      <c r="S6761" s="10"/>
      <c r="T6761" s="10"/>
      <c r="U6761" s="10"/>
      <c r="V6761" s="10"/>
      <c r="W6761" s="10"/>
      <c r="X6761" s="10"/>
      <c r="Y6761" s="10"/>
      <c r="Z6761" s="10"/>
    </row>
    <row r="6762" spans="1:26" ht="12.75">
      <c r="A6762" s="10" t="str">
        <f ca="1">IFERROR(__xludf.DUMMYFUNCTION("""COMPUTED_VALUE"""),"Соня Борисова Пенкова (Димитрова)")</f>
        <v>Соня Борисова Пенкова (Димитрова)</v>
      </c>
      <c r="B6762" s="10" t="str">
        <f ca="1">IFERROR(__xludf.DUMMYFUNCTION("""COMPUTED_VALUE"""),"Статия в списания и поредици")</f>
        <v>Статия в списания и поредици</v>
      </c>
      <c r="C6762" s="10" t="str">
        <f ca="1">IFERROR(__xludf.DUMMYFUNCTION("""COMPUTED_VALUE"""),"Първата световна война и създаването на Военноисторическия музей")</f>
        <v>Първата световна война и създаването на Военноисторическия музей</v>
      </c>
      <c r="D6762" s="10">
        <f ca="1">IFERROR(__xludf.DUMMYFUNCTION("""COMPUTED_VALUE"""),2005)</f>
        <v>2005</v>
      </c>
      <c r="E6762" s="10" t="str">
        <f ca="1">IFERROR(__xludf.DUMMYFUNCTION("""COMPUTED_VALUE"""),"Военноисторически сборник, 2005, № 4, с. 32–37, ISSN 0204-4080")</f>
        <v>Военноисторически сборник, 2005, № 4, с. 32–37, ISSN 0204-4080</v>
      </c>
      <c r="F6762" s="10"/>
      <c r="G6762" s="10"/>
      <c r="H6762" s="10"/>
      <c r="I6762" s="10"/>
      <c r="J6762" s="10"/>
      <c r="K6762" s="10"/>
      <c r="L6762" s="10"/>
      <c r="M6762" s="10"/>
      <c r="N6762" s="10"/>
      <c r="O6762" s="10"/>
      <c r="P6762" s="10"/>
      <c r="Q6762" s="10"/>
      <c r="R6762" s="10"/>
      <c r="S6762" s="10"/>
      <c r="T6762" s="10"/>
      <c r="U6762" s="10"/>
      <c r="V6762" s="10"/>
      <c r="W6762" s="10"/>
      <c r="X6762" s="10"/>
      <c r="Y6762" s="10"/>
      <c r="Z6762" s="10"/>
    </row>
    <row r="6763" spans="1:26" ht="12.75">
      <c r="A6763" s="10" t="str">
        <f ca="1">IFERROR(__xludf.DUMMYFUNCTION("""COMPUTED_VALUE"""),"Соня Борисова Пенкова (Димитрова)")</f>
        <v>Соня Борисова Пенкова (Димитрова)</v>
      </c>
      <c r="B6763" s="10" t="str">
        <f ca="1">IFERROR(__xludf.DUMMYFUNCTION("""COMPUTED_VALUE"""),"Статия в списания и поредици")</f>
        <v>Статия в списания и поредици</v>
      </c>
      <c r="C6763" s="10" t="str">
        <f ca="1">IFERROR(__xludf.DUMMYFUNCTION("""COMPUTED_VALUE"""),"Български военни музеи. Непознатото богатство")</f>
        <v>Български военни музеи. Непознатото богатство</v>
      </c>
      <c r="D6763" s="10">
        <f ca="1">IFERROR(__xludf.DUMMYFUNCTION("""COMPUTED_VALUE"""),2004)</f>
        <v>2004</v>
      </c>
      <c r="E6763" s="10" t="str">
        <f ca="1">IFERROR(__xludf.DUMMYFUNCTION("""COMPUTED_VALUE"""),"Военноисторически сборник, 2004, № 2, с. 63 – 69.")</f>
        <v>Военноисторически сборник, 2004, № 2, с. 63 – 69.</v>
      </c>
      <c r="F6763" s="10"/>
      <c r="G6763" s="10"/>
      <c r="H6763" s="10"/>
      <c r="I6763" s="10"/>
      <c r="J6763" s="10"/>
      <c r="K6763" s="10"/>
      <c r="L6763" s="10"/>
      <c r="M6763" s="10"/>
      <c r="N6763" s="10"/>
      <c r="O6763" s="10"/>
      <c r="P6763" s="10"/>
      <c r="Q6763" s="10"/>
      <c r="R6763" s="10"/>
      <c r="S6763" s="10"/>
      <c r="T6763" s="10"/>
      <c r="U6763" s="10"/>
      <c r="V6763" s="10"/>
      <c r="W6763" s="10"/>
      <c r="X6763" s="10"/>
      <c r="Y6763" s="10"/>
      <c r="Z6763" s="10"/>
    </row>
    <row r="6764" spans="1:26" ht="12.75">
      <c r="A6764" s="10" t="str">
        <f ca="1">IFERROR(__xludf.DUMMYFUNCTION("""COMPUTED_VALUE"""),"Соня Борисова Пенкова (Димитрова)")</f>
        <v>Соня Борисова Пенкова (Димитрова)</v>
      </c>
      <c r="B6764" s="10" t="str">
        <f ca="1">IFERROR(__xludf.DUMMYFUNCTION("""COMPUTED_VALUE"""),"Статия в списания и поредици")</f>
        <v>Статия в списания и поредици</v>
      </c>
      <c r="C6764" s="10" t="str">
        <f ca="1">IFERROR(__xludf.DUMMYFUNCTION("""COMPUTED_VALUE"""),"Български военни музеи. Националният военноисторически музей – една достойна 88-годишна история")</f>
        <v>Български военни музеи. Националният военноисторически музей – една достойна 88-годишна история</v>
      </c>
      <c r="D6764" s="10">
        <f ca="1">IFERROR(__xludf.DUMMYFUNCTION("""COMPUTED_VALUE"""),2004)</f>
        <v>2004</v>
      </c>
      <c r="E6764" s="10" t="str">
        <f ca="1">IFERROR(__xludf.DUMMYFUNCTION("""COMPUTED_VALUE"""),"Военноисторически сборник. 2004, № 1, с. 37 – 40, ISSN 0204-4080")</f>
        <v>Военноисторически сборник. 2004, № 1, с. 37 – 40, ISSN 0204-4080</v>
      </c>
      <c r="F6764" s="10"/>
      <c r="G6764" s="10"/>
      <c r="H6764" s="10"/>
      <c r="I6764" s="10"/>
      <c r="J6764" s="10"/>
      <c r="K6764" s="10"/>
      <c r="L6764" s="10"/>
      <c r="M6764" s="10"/>
      <c r="N6764" s="10"/>
      <c r="O6764" s="10"/>
      <c r="P6764" s="10"/>
      <c r="Q6764" s="10"/>
      <c r="R6764" s="10"/>
      <c r="S6764" s="10"/>
      <c r="T6764" s="10"/>
      <c r="U6764" s="10"/>
      <c r="V6764" s="10"/>
      <c r="W6764" s="10"/>
      <c r="X6764" s="10"/>
      <c r="Y6764" s="10"/>
      <c r="Z6764" s="10"/>
    </row>
    <row r="6765" spans="1:26" ht="12.75">
      <c r="A6765" s="10" t="str">
        <f ca="1">IFERROR(__xludf.DUMMYFUNCTION("""COMPUTED_VALUE"""),"Соня Борисова Пенкова (Димитрова)")</f>
        <v>Соня Борисова Пенкова (Димитрова)</v>
      </c>
      <c r="B6765" s="10" t="str">
        <f ca="1">IFERROR(__xludf.DUMMYFUNCTION("""COMPUTED_VALUE"""),"Книга")</f>
        <v>Книга</v>
      </c>
      <c r="C6765" s="10" t="str">
        <f ca="1">IFERROR(__xludf.DUMMYFUNCTION("""COMPUTED_VALUE"""),"Военни паметници в България")</f>
        <v>Военни паметници в България</v>
      </c>
      <c r="D6765" s="10">
        <f ca="1">IFERROR(__xludf.DUMMYFUNCTION("""COMPUTED_VALUE"""),2004)</f>
        <v>2004</v>
      </c>
      <c r="E6765" s="10" t="str">
        <f ca="1">IFERROR(__xludf.DUMMYFUNCTION("""COMPUTED_VALUE"""),"София, Издателство „Юруков“, 304 с., ISBN 954-8762-03-X")</f>
        <v>София, Издателство „Юруков“, 304 с., ISBN 954-8762-03-X</v>
      </c>
      <c r="F6765" s="10"/>
      <c r="G6765" s="10" t="str">
        <f ca="1">IFERROR(__xludf.DUMMYFUNCTION("""COMPUTED_VALUE"""),"Петко Йотов, Даниела Цанкова-Ганчева")</f>
        <v>Петко Йотов, Даниела Цанкова-Ганчева</v>
      </c>
      <c r="H6765" s="10"/>
      <c r="I6765" s="10"/>
      <c r="J6765" s="10"/>
      <c r="K6765" s="10"/>
      <c r="L6765" s="10"/>
      <c r="M6765" s="10"/>
      <c r="N6765" s="10"/>
      <c r="O6765" s="10"/>
      <c r="P6765" s="10"/>
      <c r="Q6765" s="10"/>
      <c r="R6765" s="10"/>
      <c r="S6765" s="10"/>
      <c r="T6765" s="10"/>
      <c r="U6765" s="10"/>
      <c r="V6765" s="10"/>
      <c r="W6765" s="10"/>
      <c r="X6765" s="10"/>
      <c r="Y6765" s="10"/>
      <c r="Z6765" s="10"/>
    </row>
    <row r="6766" spans="1:26" ht="12.75">
      <c r="A6766" s="10" t="str">
        <f ca="1">IFERROR(__xludf.DUMMYFUNCTION("""COMPUTED_VALUE"""),"Соня Борисова Пенкова (Димитрова)")</f>
        <v>Соня Борисова Пенкова (Димитрова)</v>
      </c>
      <c r="B6766" s="10" t="str">
        <f ca="1">IFERROR(__xludf.DUMMYFUNCTION("""COMPUTED_VALUE"""),"Глава от колективна монография")</f>
        <v>Глава от колективна монография</v>
      </c>
      <c r="C6766" s="10" t="str">
        <f ca="1">IFERROR(__xludf.DUMMYFUNCTION("""COMPUTED_VALUE"""),"Колекции с отличия на управлявалите България владетели на Третото българско царство в Националния военноисторически музей")</f>
        <v>Колекции с отличия на управлявалите България владетели на Третото българско царство в Националния военноисторически музей</v>
      </c>
      <c r="D6766" s="10">
        <f ca="1">IFERROR(__xludf.DUMMYFUNCTION("""COMPUTED_VALUE"""),2004)</f>
        <v>2004</v>
      </c>
      <c r="E6766" s="10" t="str">
        <f ca="1">IFERROR(__xludf.DUMMYFUNCTION("""COMPUTED_VALUE"""),"Царските колекции в българските музеи, архиви и библиотеки. София, Български бестселър. Национален музей на българската книга и полиграфия, с. 64 – 79, ISBN 954-9308-32-4")</f>
        <v>Царските колекции в българските музеи, архиви и библиотеки. София, Български бестселър. Национален музей на българската книга и полиграфия, с. 64 – 79, ISBN 954-9308-32-4</v>
      </c>
      <c r="F6766" s="10"/>
      <c r="G6766" s="10"/>
      <c r="H6766" s="10"/>
      <c r="I6766" s="10"/>
      <c r="J6766" s="10"/>
      <c r="K6766" s="10"/>
      <c r="L6766" s="10"/>
      <c r="M6766" s="10"/>
      <c r="N6766" s="10"/>
      <c r="O6766" s="10"/>
      <c r="P6766" s="10"/>
      <c r="Q6766" s="10"/>
      <c r="R6766" s="10"/>
      <c r="S6766" s="10"/>
      <c r="T6766" s="10"/>
      <c r="U6766" s="10"/>
      <c r="V6766" s="10"/>
      <c r="W6766" s="10"/>
      <c r="X6766" s="10"/>
      <c r="Y6766" s="10"/>
      <c r="Z6766" s="10"/>
    </row>
    <row r="6767" spans="1:26" ht="12.75">
      <c r="A6767" s="10" t="str">
        <f ca="1">IFERROR(__xludf.DUMMYFUNCTION("""COMPUTED_VALUE"""),"Соня Борисова Пенкова (Димитрова)")</f>
        <v>Соня Борисова Пенкова (Димитрова)</v>
      </c>
      <c r="B6767" s="10" t="str">
        <f ca="1">IFERROR(__xludf.DUMMYFUNCTION("""COMPUTED_VALUE"""),"Статия в списания и поредици")</f>
        <v>Статия в списания и поредици</v>
      </c>
      <c r="C6767" s="10" t="str">
        <f ca="1">IFERROR(__xludf.DUMMYFUNCTION("""COMPUTED_VALUE"""),"Първите идеи за експозиция на Военноисторическия музей")</f>
        <v>Първите идеи за експозиция на Военноисторическия музей</v>
      </c>
      <c r="D6767" s="10">
        <f ca="1">IFERROR(__xludf.DUMMYFUNCTION("""COMPUTED_VALUE"""),2004)</f>
        <v>2004</v>
      </c>
      <c r="E6767" s="10" t="str">
        <f ca="1">IFERROR(__xludf.DUMMYFUNCTION("""COMPUTED_VALUE"""),"Военноисторически сборник, 2004, № 3, с.72 – 89, ISSN 0204-4080")</f>
        <v>Военноисторически сборник, 2004, № 3, с.72 – 89, ISSN 0204-4080</v>
      </c>
      <c r="F6767" s="10"/>
      <c r="G6767" s="10"/>
      <c r="H6767" s="10"/>
      <c r="I6767" s="10"/>
      <c r="J6767" s="10"/>
      <c r="K6767" s="10"/>
      <c r="L6767" s="10"/>
      <c r="M6767" s="10"/>
      <c r="N6767" s="10"/>
      <c r="O6767" s="10"/>
      <c r="P6767" s="10"/>
      <c r="Q6767" s="10"/>
      <c r="R6767" s="10"/>
      <c r="S6767" s="10"/>
      <c r="T6767" s="10"/>
      <c r="U6767" s="10"/>
      <c r="V6767" s="10"/>
      <c r="W6767" s="10"/>
      <c r="X6767" s="10"/>
      <c r="Y6767" s="10"/>
      <c r="Z6767" s="10"/>
    </row>
    <row r="6768" spans="1:26" ht="12.75">
      <c r="A6768" s="10" t="str">
        <f ca="1">IFERROR(__xludf.DUMMYFUNCTION("""COMPUTED_VALUE"""),"Соня Борисова Пенкова (Димитрова)")</f>
        <v>Соня Борисова Пенкова (Димитрова)</v>
      </c>
      <c r="B6768" s="10" t="str">
        <f ca="1">IFERROR(__xludf.DUMMYFUNCTION("""COMPUTED_VALUE"""),"Статия в списания и поредици")</f>
        <v>Статия в списания и поредици</v>
      </c>
      <c r="C6768" s="10" t="str">
        <f ca="1">IFERROR(__xludf.DUMMYFUNCTION("""COMPUTED_VALUE"""),"Първи стъпки на военномузейното дело в България и Комитетът „Цар Освободител Александър ІІ“.")</f>
        <v>Първи стъпки на военномузейното дело в България и Комитетът „Цар Освободител Александър ІІ“.</v>
      </c>
      <c r="D6768" s="10">
        <f ca="1">IFERROR(__xludf.DUMMYFUNCTION("""COMPUTED_VALUE"""),2003)</f>
        <v>2003</v>
      </c>
      <c r="E6768" s="10" t="str">
        <f ca="1">IFERROR(__xludf.DUMMYFUNCTION("""COMPUTED_VALUE"""),"Известия на Националния военноисторически музей, 2003, № 15, с. 78 – 120, ISSN 0204-4080")</f>
        <v>Известия на Националния военноисторически музей, 2003, № 15, с. 78 – 120, ISSN 0204-4080</v>
      </c>
      <c r="F6768" s="10"/>
      <c r="G6768" s="10"/>
      <c r="H6768" s="10"/>
      <c r="I6768" s="10"/>
      <c r="J6768" s="10"/>
      <c r="K6768" s="10"/>
      <c r="L6768" s="10"/>
      <c r="M6768" s="10"/>
      <c r="N6768" s="10"/>
      <c r="O6768" s="10"/>
      <c r="P6768" s="10"/>
      <c r="Q6768" s="10"/>
      <c r="R6768" s="10"/>
      <c r="S6768" s="10"/>
      <c r="T6768" s="10"/>
      <c r="U6768" s="10"/>
      <c r="V6768" s="10"/>
      <c r="W6768" s="10"/>
      <c r="X6768" s="10"/>
      <c r="Y6768" s="10"/>
      <c r="Z6768" s="10"/>
    </row>
    <row r="6769" spans="1:26" ht="12.75">
      <c r="A6769" s="10" t="str">
        <f ca="1">IFERROR(__xludf.DUMMYFUNCTION("""COMPUTED_VALUE"""),"Соня Борисова Пенкова (Димитрова)")</f>
        <v>Соня Борисова Пенкова (Димитрова)</v>
      </c>
      <c r="B6769" s="10" t="str">
        <f ca="1">IFERROR(__xludf.DUMMYFUNCTION("""COMPUTED_VALUE"""),"Статия в списания и поредици")</f>
        <v>Статия в списания и поредици</v>
      </c>
      <c r="C6769" s="10" t="str">
        <f ca="1">IFERROR(__xludf.DUMMYFUNCTION("""COMPUTED_VALUE"""),"Ex Oriente lux. Опит за прочит на символите в най-високото отличие на Царство България")</f>
        <v>Ex Oriente lux. Опит за прочит на символите в най-високото отличие на Царство България</v>
      </c>
      <c r="D6769" s="10">
        <f ca="1">IFERROR(__xludf.DUMMYFUNCTION("""COMPUTED_VALUE"""),2002)</f>
        <v>2002</v>
      </c>
      <c r="E6769" s="10" t="str">
        <f ca="1">IFERROR(__xludf.DUMMYFUNCTION("""COMPUTED_VALUE"""),"Минало, год. IX, кн. 2, с. 67 – 73, ISSN 1310-3415")</f>
        <v>Минало, год. IX, кн. 2, с. 67 – 73, ISSN 1310-3415</v>
      </c>
      <c r="F6769" s="10"/>
      <c r="G6769" s="10"/>
      <c r="H6769" s="10"/>
      <c r="I6769" s="10"/>
      <c r="J6769" s="10"/>
      <c r="K6769" s="10"/>
      <c r="L6769" s="10"/>
      <c r="M6769" s="10"/>
      <c r="N6769" s="10"/>
      <c r="O6769" s="10"/>
      <c r="P6769" s="10"/>
      <c r="Q6769" s="10"/>
      <c r="R6769" s="10"/>
      <c r="S6769" s="10"/>
      <c r="T6769" s="10"/>
      <c r="U6769" s="10"/>
      <c r="V6769" s="10"/>
      <c r="W6769" s="10"/>
      <c r="X6769" s="10"/>
      <c r="Y6769" s="10"/>
      <c r="Z6769" s="10"/>
    </row>
    <row r="6770" spans="1:26" ht="12.75">
      <c r="A6770" s="10" t="str">
        <f ca="1">IFERROR(__xludf.DUMMYFUNCTION("""COMPUTED_VALUE"""),"Соня Борисова Пенкова (Димитрова)")</f>
        <v>Соня Борисова Пенкова (Димитрова)</v>
      </c>
      <c r="B6770" s="10" t="str">
        <f ca="1">IFERROR(__xludf.DUMMYFUNCTION("""COMPUTED_VALUE"""),"Статия в списания и поредици")</f>
        <v>Статия в списания и поредици</v>
      </c>
      <c r="C6770" s="10" t="str">
        <f ca="1">IFERROR(__xludf.DUMMYFUNCTION("""COMPUTED_VALUE"""),"Награждавания с български държавни отличия по повод възвръщането на Южна Добруджа")</f>
        <v>Награждавания с български държавни отличия по повод възвръщането на Южна Добруджа</v>
      </c>
      <c r="D6770" s="10">
        <f ca="1">IFERROR(__xludf.DUMMYFUNCTION("""COMPUTED_VALUE"""),2000)</f>
        <v>2000</v>
      </c>
      <c r="E6770" s="10" t="str">
        <f ca="1">IFERROR(__xludf.DUMMYFUNCTION("""COMPUTED_VALUE"""),"Известия на Националния военноисторически музей, 2000, № 14, с. 85 – 95")</f>
        <v>Известия на Националния военноисторически музей, 2000, № 14, с. 85 – 95</v>
      </c>
      <c r="F6770" s="10"/>
      <c r="G6770" s="10"/>
      <c r="H6770" s="10"/>
      <c r="I6770" s="10"/>
      <c r="J6770" s="10"/>
      <c r="K6770" s="10"/>
      <c r="L6770" s="10"/>
      <c r="M6770" s="10"/>
      <c r="N6770" s="10"/>
      <c r="O6770" s="10"/>
      <c r="P6770" s="10"/>
      <c r="Q6770" s="10"/>
      <c r="R6770" s="10"/>
      <c r="S6770" s="10"/>
      <c r="T6770" s="10"/>
      <c r="U6770" s="10"/>
      <c r="V6770" s="10"/>
      <c r="W6770" s="10"/>
      <c r="X6770" s="10"/>
      <c r="Y6770" s="10"/>
      <c r="Z6770" s="10"/>
    </row>
    <row r="6771" spans="1:26" ht="12.75">
      <c r="A6771" s="10" t="str">
        <f ca="1">IFERROR(__xludf.DUMMYFUNCTION("""COMPUTED_VALUE"""),"Соня Борисова Пенкова (Димитрова)")</f>
        <v>Соня Борисова Пенкова (Димитрова)</v>
      </c>
      <c r="B6771" s="10" t="str">
        <f ca="1">IFERROR(__xludf.DUMMYFUNCTION("""COMPUTED_VALUE"""),"Статия в списания и поредици")</f>
        <v>Статия в списания и поредици</v>
      </c>
      <c r="C6771" s="10" t="str">
        <f ca="1">IFERROR(__xludf.DUMMYFUNCTION("""COMPUTED_VALUE"""),"Политически нюанси между България и Европа през 70–те и 80–те години на ХІХ в. чрез фалеристиката.")</f>
        <v>Политически нюанси между България и Европа през 70–те и 80–те години на ХІХ в. чрез фалеристиката.</v>
      </c>
      <c r="D6771" s="10">
        <f ca="1">IFERROR(__xludf.DUMMYFUNCTION("""COMPUTED_VALUE"""),1999)</f>
        <v>1999</v>
      </c>
      <c r="E6771" s="10" t="str">
        <f ca="1">IFERROR(__xludf.DUMMYFUNCTION("""COMPUTED_VALUE"""),"Известия на Националния военноисторически музей, 1999, № 13, с. 75 – 97")</f>
        <v>Известия на Националния военноисторически музей, 1999, № 13, с. 75 – 97</v>
      </c>
      <c r="F6771" s="10"/>
      <c r="G6771" s="10"/>
      <c r="H6771" s="10"/>
      <c r="I6771" s="10"/>
      <c r="J6771" s="10"/>
      <c r="K6771" s="10"/>
      <c r="L6771" s="10"/>
      <c r="M6771" s="10"/>
      <c r="N6771" s="10"/>
      <c r="O6771" s="10"/>
      <c r="P6771" s="10"/>
      <c r="Q6771" s="10"/>
      <c r="R6771" s="10"/>
      <c r="S6771" s="10"/>
      <c r="T6771" s="10"/>
      <c r="U6771" s="10"/>
      <c r="V6771" s="10"/>
      <c r="W6771" s="10"/>
      <c r="X6771" s="10"/>
      <c r="Y6771" s="10"/>
      <c r="Z6771" s="10"/>
    </row>
    <row r="6772" spans="1:26" ht="12.75">
      <c r="A6772" s="10" t="str">
        <f ca="1">IFERROR(__xludf.DUMMYFUNCTION("""COMPUTED_VALUE"""),"Соня Борисова Пенкова (Димитрова)")</f>
        <v>Соня Борисова Пенкова (Димитрова)</v>
      </c>
      <c r="B6772" s="10" t="str">
        <f ca="1">IFERROR(__xludf.DUMMYFUNCTION("""COMPUTED_VALUE"""),"Статия в списания и поредици")</f>
        <v>Статия в списания и поредици</v>
      </c>
      <c r="C6772" s="10" t="str">
        <f ca="1">IFERROR(__xludf.DUMMYFUNCTION("""COMPUTED_VALUE"""),"Създаването на възпоменателните медали за войните от началото на ХХ в. – опит за набиране на средства за сграда на военния музей")</f>
        <v>Създаването на възпоменателните медали за войните от началото на ХХ в. – опит за набиране на средства за сграда на военния музей</v>
      </c>
      <c r="D6772" s="10">
        <f ca="1">IFERROR(__xludf.DUMMYFUNCTION("""COMPUTED_VALUE"""),1998)</f>
        <v>1998</v>
      </c>
      <c r="E6772" s="10" t="str">
        <f ca="1">IFERROR(__xludf.DUMMYFUNCTION("""COMPUTED_VALUE"""),"Известия на Националния военноисторически музей, 1998, № 12, с. 168 – 173")</f>
        <v>Известия на Националния военноисторически музей, 1998, № 12, с. 168 – 173</v>
      </c>
      <c r="F6772" s="10"/>
      <c r="G6772" s="10"/>
      <c r="H6772" s="10"/>
      <c r="I6772" s="10"/>
      <c r="J6772" s="10"/>
      <c r="K6772" s="10"/>
      <c r="L6772" s="10"/>
      <c r="M6772" s="10"/>
      <c r="N6772" s="10"/>
      <c r="O6772" s="10"/>
      <c r="P6772" s="10"/>
      <c r="Q6772" s="10"/>
      <c r="R6772" s="10"/>
      <c r="S6772" s="10"/>
      <c r="T6772" s="10"/>
      <c r="U6772" s="10"/>
      <c r="V6772" s="10"/>
      <c r="W6772" s="10"/>
      <c r="X6772" s="10"/>
      <c r="Y6772" s="10"/>
      <c r="Z6772" s="10"/>
    </row>
    <row r="6773" spans="1:26" ht="12.75">
      <c r="A6773" s="10" t="str">
        <f ca="1">IFERROR(__xludf.DUMMYFUNCTION("""COMPUTED_VALUE"""),"Соня Борисова Пенкова (Димитрова)")</f>
        <v>Соня Борисова Пенкова (Димитрова)</v>
      </c>
      <c r="B6773" s="10" t="str">
        <f ca="1">IFERROR(__xludf.DUMMYFUNCTION("""COMPUTED_VALUE"""),"Книга")</f>
        <v>Книга</v>
      </c>
      <c r="C6773" s="10" t="str">
        <f ca="1">IFERROR(__xludf.DUMMYFUNCTION("""COMPUTED_VALUE"""),"Каталог на архива на Националния военноисторически музей. Т. I")</f>
        <v>Каталог на архива на Националния военноисторически музей. Т. I</v>
      </c>
      <c r="D6773" s="10">
        <f ca="1">IFERROR(__xludf.DUMMYFUNCTION("""COMPUTED_VALUE"""),1996)</f>
        <v>1996</v>
      </c>
      <c r="E6773" s="10" t="str">
        <f ca="1">IFERROR(__xludf.DUMMYFUNCTION("""COMPUTED_VALUE"""),"София, Издателство на Министерство на отбраната „Св. Георги Победоносец“, 392 с.")</f>
        <v>София, Издателство на Министерство на отбраната „Св. Георги Победоносец“, 392 с.</v>
      </c>
      <c r="F6773" s="10"/>
      <c r="G6773" s="10"/>
      <c r="H6773" s="10"/>
      <c r="I6773" s="10"/>
      <c r="J6773" s="10"/>
      <c r="K6773" s="10"/>
      <c r="L6773" s="10"/>
      <c r="M6773" s="10"/>
      <c r="N6773" s="10"/>
      <c r="O6773" s="10"/>
      <c r="P6773" s="10"/>
      <c r="Q6773" s="10"/>
      <c r="R6773" s="10"/>
      <c r="S6773" s="10"/>
      <c r="T6773" s="10"/>
      <c r="U6773" s="10"/>
      <c r="V6773" s="10"/>
      <c r="W6773" s="10"/>
      <c r="X6773" s="10"/>
      <c r="Y6773" s="10"/>
      <c r="Z6773" s="10"/>
    </row>
    <row r="6774" spans="1:26" ht="12.75">
      <c r="A6774" s="10" t="str">
        <f ca="1">IFERROR(__xludf.DUMMYFUNCTION("""COMPUTED_VALUE"""),"Соня Борисова Пенкова (Димитрова)")</f>
        <v>Соня Борисова Пенкова (Димитрова)</v>
      </c>
      <c r="B6774" s="10" t="str">
        <f ca="1">IFERROR(__xludf.DUMMYFUNCTION("""COMPUTED_VALUE"""),"Статия в списания и поредици")</f>
        <v>Статия в списания и поредици</v>
      </c>
      <c r="C6774" s="10" t="str">
        <f ca="1">IFERROR(__xludf.DUMMYFUNCTION("""COMPUTED_VALUE"""),"Бойни знамена, дарени от цар Борис III, в Националния военноисторически музей")</f>
        <v>Бойни знамена, дарени от цар Борис III, в Националния военноисторически музей</v>
      </c>
      <c r="D6774" s="10">
        <f ca="1">IFERROR(__xludf.DUMMYFUNCTION("""COMPUTED_VALUE"""),1995)</f>
        <v>1995</v>
      </c>
      <c r="E6774" s="10" t="str">
        <f ca="1">IFERROR(__xludf.DUMMYFUNCTION("""COMPUTED_VALUE"""),"Известия на Националния военноисторически музей, 1995, № 10, с. 113 – 123")</f>
        <v>Известия на Националния военноисторически музей, 1995, № 10, с. 113 – 123</v>
      </c>
      <c r="F6774" s="10"/>
      <c r="G6774" s="10"/>
      <c r="H6774" s="10"/>
      <c r="I6774" s="10"/>
      <c r="J6774" s="10"/>
      <c r="K6774" s="10"/>
      <c r="L6774" s="10"/>
      <c r="M6774" s="10"/>
      <c r="N6774" s="10"/>
      <c r="O6774" s="10"/>
      <c r="P6774" s="10"/>
      <c r="Q6774" s="10"/>
      <c r="R6774" s="10"/>
      <c r="S6774" s="10"/>
      <c r="T6774" s="10"/>
      <c r="U6774" s="10"/>
      <c r="V6774" s="10"/>
      <c r="W6774" s="10"/>
      <c r="X6774" s="10"/>
      <c r="Y6774" s="10"/>
      <c r="Z6774" s="10"/>
    </row>
    <row r="6775" spans="1:26" ht="12.75">
      <c r="A6775" s="10" t="str">
        <f ca="1">IFERROR(__xludf.DUMMYFUNCTION("""COMPUTED_VALUE"""),"Соня Борисова Пенкова (Димитрова)")</f>
        <v>Соня Борисова Пенкова (Димитрова)</v>
      </c>
      <c r="B6775" s="10" t="str">
        <f ca="1">IFERROR(__xludf.DUMMYFUNCTION("""COMPUTED_VALUE"""),"Статия в списания и поредици")</f>
        <v>Статия в списания и поредици</v>
      </c>
      <c r="C6775" s="10" t="str">
        <f ca="1">IFERROR(__xludf.DUMMYFUNCTION("""COMPUTED_VALUE"""),"Медали и знаци, посветени на монархическия институт в България 1879 – 1944 г., съхранени в Националния военноисторически музей")</f>
        <v>Медали и знаци, посветени на монархическия институт в България 1879 – 1944 г., съхранени в Националния военноисторически музей</v>
      </c>
      <c r="D6775" s="10">
        <f ca="1">IFERROR(__xludf.DUMMYFUNCTION("""COMPUTED_VALUE"""),1991)</f>
        <v>1991</v>
      </c>
      <c r="E6775" s="10" t="str">
        <f ca="1">IFERROR(__xludf.DUMMYFUNCTION("""COMPUTED_VALUE"""),"Известия на Националния военноисторически музей, 1991, № 9, с. 70–83")</f>
        <v>Известия на Националния военноисторически музей, 1991, № 9, с. 70–83</v>
      </c>
      <c r="F6775" s="10"/>
      <c r="G6775" s="10"/>
      <c r="H6775" s="10"/>
      <c r="I6775" s="10"/>
      <c r="J6775" s="10"/>
      <c r="K6775" s="10"/>
      <c r="L6775" s="10"/>
      <c r="M6775" s="10"/>
      <c r="N6775" s="10"/>
      <c r="O6775" s="10"/>
      <c r="P6775" s="10"/>
      <c r="Q6775" s="10"/>
      <c r="R6775" s="10"/>
      <c r="S6775" s="10"/>
      <c r="T6775" s="10"/>
      <c r="U6775" s="10"/>
      <c r="V6775" s="10"/>
      <c r="W6775" s="10"/>
      <c r="X6775" s="10"/>
      <c r="Y6775" s="10"/>
      <c r="Z6775" s="10"/>
    </row>
    <row r="6776" spans="1:26" ht="12.75">
      <c r="A6776" s="10" t="str">
        <f ca="1">IFERROR(__xludf.DUMMYFUNCTION("""COMPUTED_VALUE"""),"Соня Любомирова Спасова")</f>
        <v>Соня Любомирова Спасова</v>
      </c>
      <c r="B6776" s="10" t="str">
        <f ca="1">IFERROR(__xludf.DUMMYFUNCTION("""COMPUTED_VALUE"""),"Доклад от конференция")</f>
        <v>Доклад от конференция</v>
      </c>
      <c r="C6776" s="10" t="str">
        <f ca="1">IFERROR(__xludf.DUMMYFUNCTION("""COMPUTED_VALUE"""),"Пролетният празничен календар в училищния живот (по примера на едно столично училище)")</f>
        <v>Пролетният празничен календар в училищния живот (по примера на едно столично училище)</v>
      </c>
      <c r="D6776" s="10">
        <f ca="1">IFERROR(__xludf.DUMMYFUNCTION("""COMPUTED_VALUE"""),2019)</f>
        <v>2019</v>
      </c>
      <c r="E6776" s="10" t="str">
        <f ca="1">IFERROR(__xludf.DUMMYFUNCTION("""COMPUTED_VALUE"""),"Пролетта в празничния обреден календар: Традиция и модерност: Сборник с доклади от научна конференция, София 17-18 април 2019 г. – София: За буквите – О писменехь, 2019, с. 210-217. ISBN 978-619-185-388-5")</f>
        <v>Пролетта в празничния обреден календар: Традиция и модерност: Сборник с доклади от научна конференция, София 17-18 април 2019 г. – София: За буквите – О писменехь, 2019, с. 210-217. ISBN 978-619-185-388-5</v>
      </c>
      <c r="F6776" s="10"/>
      <c r="G6776" s="10"/>
      <c r="H6776" s="10"/>
      <c r="I6776" s="10"/>
      <c r="J6776" s="10"/>
      <c r="K6776" s="10"/>
      <c r="L6776" s="10"/>
      <c r="M6776" s="10"/>
      <c r="N6776" s="10"/>
      <c r="O6776" s="10"/>
      <c r="P6776" s="10"/>
      <c r="Q6776" s="10"/>
      <c r="R6776" s="10"/>
      <c r="S6776" s="10"/>
      <c r="T6776" s="10"/>
      <c r="U6776" s="10"/>
      <c r="V6776" s="10"/>
      <c r="W6776" s="10"/>
      <c r="X6776" s="10"/>
      <c r="Y6776" s="10"/>
      <c r="Z6776" s="10"/>
    </row>
    <row r="6777" spans="1:26" ht="12.75">
      <c r="A6777" s="10" t="str">
        <f ca="1">IFERROR(__xludf.DUMMYFUNCTION("""COMPUTED_VALUE"""),"Соня Любомирова Спасова")</f>
        <v>Соня Любомирова Спасова</v>
      </c>
      <c r="B6777" s="10" t="str">
        <f ca="1">IFERROR(__xludf.DUMMYFUNCTION("""COMPUTED_VALUE"""),"Статия в списания и поредици")</f>
        <v>Статия в списания и поредици</v>
      </c>
      <c r="C6777" s="10" t="str">
        <f ca="1">IFERROR(__xludf.DUMMYFUNCTION("""COMPUTED_VALUE"""),"Приемственост в познанието: За томове І-ХV на Трудове на Студентското научно общество при Университета по библиотекознание и информационни")</f>
        <v>Приемственост в познанието: За томове І-ХV на Трудове на Студентското научно общество при Университета по библиотекознание и информационни</v>
      </c>
      <c r="D6777" s="10">
        <f ca="1">IFERROR(__xludf.DUMMYFUNCTION("""COMPUTED_VALUE"""),2019)</f>
        <v>2019</v>
      </c>
      <c r="E6777" s="10" t="str">
        <f ca="1">IFERROR(__xludf.DUMMYFUNCTION("""COMPUTED_VALUE"""),"Sogdiana: Game- и play-феноменология на информационната среда . – София: За буквите – О писменехь, 2019, 210-225 с. ISBN 978-619-185-318-2 (мека подв.) ISBN 978-619-185-319-9 (твърда подв.) ISBN 978-619-185-320-5 online (e-book, pdf)")</f>
        <v>Sogdiana: Game- и play-феноменология на информационната среда . – София: За буквите – О писменехь, 2019, 210-225 с. ISBN 978-619-185-318-2 (мека подв.) ISBN 978-619-185-319-9 (твърда подв.) ISBN 978-619-185-320-5 online (e-book, pdf)</v>
      </c>
      <c r="F6777" s="10"/>
      <c r="G6777" s="10"/>
      <c r="H6777" s="10"/>
      <c r="I6777" s="10"/>
      <c r="J6777" s="10"/>
      <c r="K6777" s="10"/>
      <c r="L6777" s="10"/>
      <c r="M6777" s="10"/>
      <c r="N6777" s="10"/>
      <c r="O6777" s="10"/>
      <c r="P6777" s="10"/>
      <c r="Q6777" s="10"/>
      <c r="R6777" s="10"/>
      <c r="S6777" s="10"/>
      <c r="T6777" s="10"/>
      <c r="U6777" s="10"/>
      <c r="V6777" s="10"/>
      <c r="W6777" s="10"/>
      <c r="X6777" s="10"/>
      <c r="Y6777" s="10"/>
      <c r="Z6777" s="10"/>
    </row>
    <row r="6778" spans="1:26" ht="12.75">
      <c r="A6778" s="10" t="str">
        <f ca="1">IFERROR(__xludf.DUMMYFUNCTION("""COMPUTED_VALUE"""),"Соня Любомирова Спасова")</f>
        <v>Соня Любомирова Спасова</v>
      </c>
      <c r="B6778" s="10" t="str">
        <f ca="1">IFERROR(__xludf.DUMMYFUNCTION("""COMPUTED_VALUE"""),"Статия в списания и поредици")</f>
        <v>Статия в списания и поредици</v>
      </c>
      <c r="C6778" s="10" t="str">
        <f ca="1">IFERROR(__xludf.DUMMYFUNCTION("""COMPUTED_VALUE"""),"Четенето в дигиталната ера - резултати от проведени инициативи")</f>
        <v>Четенето в дигиталната ера - резултати от проведени инициативи</v>
      </c>
      <c r="D6778" s="10">
        <f ca="1">IFERROR(__xludf.DUMMYFUNCTION("""COMPUTED_VALUE"""),2019)</f>
        <v>2019</v>
      </c>
      <c r="E6778" s="10" t="str">
        <f ca="1">IFERROR(__xludf.DUMMYFUNCTION("""COMPUTED_VALUE"""),"Образование и технологии: Годишно научно-методическо списание, 2019, VOL.10/2019, ISSUE 1, с. 27-33. ISSN 1314-1791 (print)")</f>
        <v>Образование и технологии: Годишно научно-методическо списание, 2019, VOL.10/2019, ISSUE 1, с. 27-33. ISSN 1314-1791 (print)</v>
      </c>
      <c r="F6778" s="10"/>
      <c r="G6778" s="10" t="str">
        <f ca="1">IFERROR(__xludf.DUMMYFUNCTION("""COMPUTED_VALUE"""),"Любомира Парижкова")</f>
        <v>Любомира Парижкова</v>
      </c>
      <c r="H6778" s="10"/>
      <c r="I6778" s="10"/>
      <c r="J6778" s="10"/>
      <c r="K6778" s="10"/>
      <c r="L6778" s="10"/>
      <c r="M6778" s="10"/>
      <c r="N6778" s="10"/>
      <c r="O6778" s="10"/>
      <c r="P6778" s="10"/>
      <c r="Q6778" s="10"/>
      <c r="R6778" s="10"/>
      <c r="S6778" s="10"/>
      <c r="T6778" s="10"/>
      <c r="U6778" s="10"/>
      <c r="V6778" s="10"/>
      <c r="W6778" s="10"/>
      <c r="X6778" s="10"/>
      <c r="Y6778" s="10"/>
      <c r="Z6778" s="10"/>
    </row>
    <row r="6779" spans="1:26" ht="12.75">
      <c r="A6779" s="10" t="str">
        <f ca="1">IFERROR(__xludf.DUMMYFUNCTION("""COMPUTED_VALUE"""),"Соня Любомирова Спасова")</f>
        <v>Соня Любомирова Спасова</v>
      </c>
      <c r="B6779" s="10" t="str">
        <f ca="1">IFERROR(__xludf.DUMMYFUNCTION("""COMPUTED_VALUE"""),"Доклад от конференция")</f>
        <v>Доклад от конференция</v>
      </c>
      <c r="C6779" s="10" t="str">
        <f ca="1">IFERROR(__xludf.DUMMYFUNCTION("""COMPUTED_VALUE"""),"Дигиталната мрежа в подкрепа на четенето на исторически романи")</f>
        <v>Дигиталната мрежа в подкрепа на четенето на исторически романи</v>
      </c>
      <c r="D6779" s="10">
        <f ca="1">IFERROR(__xludf.DUMMYFUNCTION("""COMPUTED_VALUE"""),2019)</f>
        <v>2019</v>
      </c>
      <c r="E6779" s="10" t="str">
        <f ca="1">IFERROR(__xludf.DUMMYFUNCTION("""COMPUTED_VALUE"""),"Книгата – нашето по-смислено настояще: Сборник с доклади от форума „Дни на книгата и авторското право в УниБИТ“ 6/2019. - София: За буквите – О писменехь, 2019, с. 119-124. ISSN 1314-7323")</f>
        <v>Книгата – нашето по-смислено настояще: Сборник с доклади от форума „Дни на книгата и авторското право в УниБИТ“ 6/2019. - София: За буквите – О писменехь, 2019, с. 119-124. ISSN 1314-7323</v>
      </c>
      <c r="F6779" s="10"/>
      <c r="G6779" s="10"/>
      <c r="H6779" s="10"/>
      <c r="I6779" s="10"/>
      <c r="J6779" s="10"/>
      <c r="K6779" s="10"/>
      <c r="L6779" s="10"/>
      <c r="M6779" s="10"/>
      <c r="N6779" s="10"/>
      <c r="O6779" s="10"/>
      <c r="P6779" s="10"/>
      <c r="Q6779" s="10"/>
      <c r="R6779" s="10"/>
      <c r="S6779" s="10"/>
      <c r="T6779" s="10"/>
      <c r="U6779" s="10"/>
      <c r="V6779" s="10"/>
      <c r="W6779" s="10"/>
      <c r="X6779" s="10"/>
      <c r="Y6779" s="10"/>
      <c r="Z6779" s="10"/>
    </row>
    <row r="6780" spans="1:26" ht="12.75">
      <c r="A6780" s="10" t="str">
        <f ca="1">IFERROR(__xludf.DUMMYFUNCTION("""COMPUTED_VALUE"""),"Соня Любомирова Спасова")</f>
        <v>Соня Любомирова Спасова</v>
      </c>
      <c r="B6780" s="10" t="str">
        <f ca="1">IFERROR(__xludf.DUMMYFUNCTION("""COMPUTED_VALUE"""),"Доклад от конференция")</f>
        <v>Доклад от конференция</v>
      </c>
      <c r="C6780" s="10" t="str">
        <f ca="1">IFERROR(__xludf.DUMMYFUNCTION("""COMPUTED_VALUE"""),"Interinstitutional collaboration for integration and socialization of cultural heritage in school")</f>
        <v>Interinstitutional collaboration for integration and socialization of cultural heritage in school</v>
      </c>
      <c r="D6780" s="10">
        <f ca="1">IFERROR(__xludf.DUMMYFUNCTION("""COMPUTED_VALUE"""),2018)</f>
        <v>2018</v>
      </c>
      <c r="E6780" s="10" t="str">
        <f ca="1">IFERROR(__xludf.DUMMYFUNCTION("""COMPUTED_VALUE"""),"Contemporary strategies and innovations in the knowledge management. – Sofia: За буквите – О Писменехь, 2018, № 4, pp 42-47. ISSN 2535-0250")</f>
        <v>Contemporary strategies and innovations in the knowledge management. – Sofia: За буквите – О Писменехь, 2018, № 4, pp 42-47. ISSN 2535-0250</v>
      </c>
      <c r="F6780" s="10"/>
      <c r="G6780" s="10"/>
      <c r="H6780" s="10"/>
      <c r="I6780" s="10"/>
      <c r="J6780" s="10"/>
      <c r="K6780" s="10"/>
      <c r="L6780" s="10"/>
      <c r="M6780" s="10"/>
      <c r="N6780" s="10"/>
      <c r="O6780" s="10"/>
      <c r="P6780" s="10"/>
      <c r="Q6780" s="10"/>
      <c r="R6780" s="10"/>
      <c r="S6780" s="10"/>
      <c r="T6780" s="10"/>
      <c r="U6780" s="10"/>
      <c r="V6780" s="10"/>
      <c r="W6780" s="10"/>
      <c r="X6780" s="10"/>
      <c r="Y6780" s="10"/>
      <c r="Z6780" s="10"/>
    </row>
    <row r="6781" spans="1:26" ht="12.75">
      <c r="A6781" s="10" t="str">
        <f ca="1">IFERROR(__xludf.DUMMYFUNCTION("""COMPUTED_VALUE"""),"Соня Любомирова Спасова")</f>
        <v>Соня Любомирова Спасова</v>
      </c>
      <c r="B6781" s="10" t="str">
        <f ca="1">IFERROR(__xludf.DUMMYFUNCTION("""COMPUTED_VALUE"""),"Доклад от конференция")</f>
        <v>Доклад от конференция</v>
      </c>
      <c r="C6781" s="10" t="str">
        <f ca="1">IFERROR(__xludf.DUMMYFUNCTION("""COMPUTED_VALUE"""),"Основни принципи за взаимодействие на системите на училищно образование и на социализация на културно-историческото наследство")</f>
        <v>Основни принципи за взаимодействие на системите на училищно образование и на социализация на културно-историческото наследство</v>
      </c>
      <c r="D6781" s="10">
        <f ca="1">IFERROR(__xludf.DUMMYFUNCTION("""COMPUTED_VALUE"""),2018)</f>
        <v>2018</v>
      </c>
      <c r="E6781" s="10" t="str">
        <f ca="1">IFERROR(__xludf.DUMMYFUNCTION("""COMPUTED_VALUE"""),"Политики и практики в образованието по изкуство и култура: Сборник с доклади 2015-2018. – София: За буквите – О писменехь, 2018, с. 404-415. ISBN 978-619-185-213-0")</f>
        <v>Политики и практики в образованието по изкуство и култура: Сборник с доклади 2015-2018. – София: За буквите – О писменехь, 2018, с. 404-415. ISBN 978-619-185-213-0</v>
      </c>
      <c r="F6781" s="10"/>
      <c r="G6781" s="10"/>
      <c r="H6781" s="10"/>
      <c r="I6781" s="10"/>
      <c r="J6781" s="10"/>
      <c r="K6781" s="10"/>
      <c r="L6781" s="10"/>
      <c r="M6781" s="10"/>
      <c r="N6781" s="10"/>
      <c r="O6781" s="10"/>
      <c r="P6781" s="10"/>
      <c r="Q6781" s="10"/>
      <c r="R6781" s="10"/>
      <c r="S6781" s="10"/>
      <c r="T6781" s="10"/>
      <c r="U6781" s="10"/>
      <c r="V6781" s="10"/>
      <c r="W6781" s="10"/>
      <c r="X6781" s="10"/>
      <c r="Y6781" s="10"/>
      <c r="Z6781" s="10"/>
    </row>
    <row r="6782" spans="1:26" ht="12.75">
      <c r="A6782" s="10" t="str">
        <f ca="1">IFERROR(__xludf.DUMMYFUNCTION("""COMPUTED_VALUE"""),"Соня Любомирова Спасова")</f>
        <v>Соня Любомирова Спасова</v>
      </c>
      <c r="B6782" s="10" t="str">
        <f ca="1">IFERROR(__xludf.DUMMYFUNCTION("""COMPUTED_VALUE"""),"Доклад от конференция")</f>
        <v>Доклад от конференция</v>
      </c>
      <c r="C6782" s="10" t="str">
        <f ca="1">IFERROR(__xludf.DUMMYFUNCTION("""COMPUTED_VALUE"""),"Международна правна основа за социализация на културно-историческото наследство в системата на образованието")</f>
        <v>Международна правна основа за социализация на културно-историческото наследство в системата на образованието</v>
      </c>
      <c r="D6782" s="10">
        <f ca="1">IFERROR(__xludf.DUMMYFUNCTION("""COMPUTED_VALUE"""),2017)</f>
        <v>2017</v>
      </c>
      <c r="E6782" s="10" t="str">
        <f ca="1">IFERROR(__xludf.DUMMYFUNCTION("""COMPUTED_VALUE"""),"Културни коридори – юбилей и памет. – София: За буквите – О писменехь, 2017, с. 81-88. ISBN 978-619-185-307-6")</f>
        <v>Културни коридори – юбилей и памет. – София: За буквите – О писменехь, 2017, с. 81-88. ISBN 978-619-185-307-6</v>
      </c>
      <c r="F6782" s="10"/>
      <c r="G6782" s="10"/>
      <c r="H6782" s="10"/>
      <c r="I6782" s="10"/>
      <c r="J6782" s="10"/>
      <c r="K6782" s="10"/>
      <c r="L6782" s="10"/>
      <c r="M6782" s="10"/>
      <c r="N6782" s="10"/>
      <c r="O6782" s="10"/>
      <c r="P6782" s="10"/>
      <c r="Q6782" s="10"/>
      <c r="R6782" s="10"/>
      <c r="S6782" s="10"/>
      <c r="T6782" s="10"/>
      <c r="U6782" s="10"/>
      <c r="V6782" s="10"/>
      <c r="W6782" s="10"/>
      <c r="X6782" s="10"/>
      <c r="Y6782" s="10"/>
      <c r="Z6782" s="10"/>
    </row>
    <row r="6783" spans="1:26" ht="12.75">
      <c r="A6783" s="10" t="str">
        <f ca="1">IFERROR(__xludf.DUMMYFUNCTION("""COMPUTED_VALUE"""),"Соня Любомирова Спасова")</f>
        <v>Соня Любомирова Спасова</v>
      </c>
      <c r="B6783" s="10" t="str">
        <f ca="1">IFERROR(__xludf.DUMMYFUNCTION("""COMPUTED_VALUE"""),"Доклад от конференция")</f>
        <v>Доклад от конференция</v>
      </c>
      <c r="C6783" s="10" t="str">
        <f ca="1">IFERROR(__xludf.DUMMYFUNCTION("""COMPUTED_VALUE"""),"Културното наследство в училищната дейност: Някои добри практики")</f>
        <v>Културното наследство в училищната дейност: Някои добри практики</v>
      </c>
      <c r="D6783" s="10">
        <f ca="1">IFERROR(__xludf.DUMMYFUNCTION("""COMPUTED_VALUE"""),2014)</f>
        <v>2014</v>
      </c>
      <c r="E6783" s="10" t="str">
        <f ca="1">IFERROR(__xludf.DUMMYFUNCTION("""COMPUTED_VALUE"""),"Публично-частното партньорство и устойчивото развитие на културното наследство. – София: Земя, 2014, с. 205-211. ISSN 1312-1715")</f>
        <v>Публично-частното партньорство и устойчивото развитие на културното наследство. – София: Земя, 2014, с. 205-211. ISSN 1312-1715</v>
      </c>
      <c r="F6783" s="10"/>
      <c r="G6783" s="10"/>
      <c r="H6783" s="10"/>
      <c r="I6783" s="10"/>
      <c r="J6783" s="10"/>
      <c r="K6783" s="10"/>
      <c r="L6783" s="10"/>
      <c r="M6783" s="10"/>
      <c r="N6783" s="10"/>
      <c r="O6783" s="10"/>
      <c r="P6783" s="10"/>
      <c r="Q6783" s="10"/>
      <c r="R6783" s="10"/>
      <c r="S6783" s="10"/>
      <c r="T6783" s="10"/>
      <c r="U6783" s="10"/>
      <c r="V6783" s="10"/>
      <c r="W6783" s="10"/>
      <c r="X6783" s="10"/>
      <c r="Y6783" s="10"/>
      <c r="Z6783" s="10"/>
    </row>
    <row r="6784" spans="1:26" ht="12.75">
      <c r="A6784" s="10" t="str">
        <f ca="1">IFERROR(__xludf.DUMMYFUNCTION("""COMPUTED_VALUE"""),"Соня Любомирова Спасова")</f>
        <v>Соня Любомирова Спасова</v>
      </c>
      <c r="B6784" s="10" t="str">
        <f ca="1">IFERROR(__xludf.DUMMYFUNCTION("""COMPUTED_VALUE"""),"Доклад от конференция")</f>
        <v>Доклад от конференция</v>
      </c>
      <c r="C6784" s="10" t="str">
        <f ca="1">IFERROR(__xludf.DUMMYFUNCTION("""COMPUTED_VALUE"""),"Културното наследство в училищната дейност: добри практики")</f>
        <v>Културното наследство в училищната дейност: добри практики</v>
      </c>
      <c r="D6784" s="10">
        <f ca="1">IFERROR(__xludf.DUMMYFUNCTION("""COMPUTED_VALUE"""),2014)</f>
        <v>2014</v>
      </c>
      <c r="E6784" s="10" t="str">
        <f ca="1">IFERROR(__xludf.DUMMYFUNCTION("""COMPUTED_VALUE"""),"Създаване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 София: За буквите - О писменехь, 2014, с. 271-275. ISBN 978-619-185-131-7")</f>
        <v>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 София: За буквите - О писменехь, 2014, с. 271-275. ISBN 978-619-185-131-7</v>
      </c>
      <c r="F6784" s="10"/>
      <c r="G6784" s="10"/>
      <c r="H6784" s="10"/>
      <c r="I6784" s="10"/>
      <c r="J6784" s="10"/>
      <c r="K6784" s="10"/>
      <c r="L6784" s="10"/>
      <c r="M6784" s="10"/>
      <c r="N6784" s="10"/>
      <c r="O6784" s="10"/>
      <c r="P6784" s="10"/>
      <c r="Q6784" s="10"/>
      <c r="R6784" s="10"/>
      <c r="S6784" s="10"/>
      <c r="T6784" s="10"/>
      <c r="U6784" s="10"/>
      <c r="V6784" s="10"/>
      <c r="W6784" s="10"/>
      <c r="X6784" s="10"/>
      <c r="Y6784" s="10"/>
      <c r="Z6784" s="10"/>
    </row>
    <row r="6785" spans="1:26" ht="12.75">
      <c r="A6785" s="10" t="str">
        <f ca="1">IFERROR(__xludf.DUMMYFUNCTION("""COMPUTED_VALUE"""),"Соня Любомирова Спасова")</f>
        <v>Соня Любомирова Спасова</v>
      </c>
      <c r="B6785" s="10" t="str">
        <f ca="1">IFERROR(__xludf.DUMMYFUNCTION("""COMPUTED_VALUE"""),"Доклад от конференция")</f>
        <v>Доклад от конференция</v>
      </c>
      <c r="C6785" s="10" t="str">
        <f ca="1">IFERROR(__xludf.DUMMYFUNCTION("""COMPUTED_VALUE"""),"Институционално и междуличностно сътрудничество при изследване на културно-историческото наследство – някои добри примери от практиката")</f>
        <v>Институционално и междуличностно сътрудничество при изследване на културно-историческото наследство – някои добри примери от практиката</v>
      </c>
      <c r="D6785" s="10">
        <f ca="1">IFERROR(__xludf.DUMMYFUNCTION("""COMPUTED_VALUE"""),2014)</f>
        <v>2014</v>
      </c>
      <c r="E6785" s="10" t="str">
        <f ca="1">IFERROR(__xludf.DUMMYFUNCTION("""COMPUTED_VALUE"""),"Науката за културно-историческото наследство – Scientia „Incognita” – София: За буквите – О писменехь, 2014, с. 299-308. ISBN 978-619-185-150-8")</f>
        <v>Науката за културно-историческото наследство – Scientia „Incognita” – София: За буквите – О писменехь, 2014, с. 299-308. ISBN 978-619-185-150-8</v>
      </c>
      <c r="F6785" s="10"/>
      <c r="G6785" s="10"/>
      <c r="H6785" s="10"/>
      <c r="I6785" s="10"/>
      <c r="J6785" s="10"/>
      <c r="K6785" s="10"/>
      <c r="L6785" s="10"/>
      <c r="M6785" s="10"/>
      <c r="N6785" s="10"/>
      <c r="O6785" s="10"/>
      <c r="P6785" s="10"/>
      <c r="Q6785" s="10"/>
      <c r="R6785" s="10"/>
      <c r="S6785" s="10"/>
      <c r="T6785" s="10"/>
      <c r="U6785" s="10"/>
      <c r="V6785" s="10"/>
      <c r="W6785" s="10"/>
      <c r="X6785" s="10"/>
      <c r="Y6785" s="10"/>
      <c r="Z6785" s="10"/>
    </row>
    <row r="6786" spans="1:26" ht="12.75">
      <c r="A6786" s="10" t="str">
        <f ca="1">IFERROR(__xludf.DUMMYFUNCTION("""COMPUTED_VALUE"""),"Соня Любомирова Спасова")</f>
        <v>Соня Любомирова Спасова</v>
      </c>
      <c r="B6786" s="10" t="str">
        <f ca="1">IFERROR(__xludf.DUMMYFUNCTION("""COMPUTED_VALUE"""),"Доклад от конференция")</f>
        <v>Доклад от конференция</v>
      </c>
      <c r="C6786" s="10" t="str">
        <f ca="1">IFERROR(__xludf.DUMMYFUNCTION("""COMPUTED_VALUE"""),"Културно-историческото наследство в проектната политика на МОН: Проект УСПЕХ 2012-2014")</f>
        <v>Културно-историческото наследство в проектната политика на МОН: Проект УСПЕХ 2012-2014</v>
      </c>
      <c r="D6786" s="10">
        <f ca="1">IFERROR(__xludf.DUMMYFUNCTION("""COMPUTED_VALUE"""),2014)</f>
        <v>2014</v>
      </c>
      <c r="E6786" s="10" t="str">
        <f ca="1">IFERROR(__xludf.DUMMYFUNCTION("""COMPUTED_VALUE"""),"Съвременни стратегии и иновации в управление на знанието. - София: За буквите - О писменехь, 2014, с. 179-184. ISBN 978-619-185-140-9")</f>
        <v>Съвременни стратегии и иновации в управление на знанието. - София: За буквите - О писменехь, 2014, с. 179-184. ISBN 978-619-185-140-9</v>
      </c>
      <c r="F6786" s="10"/>
      <c r="G6786" s="10"/>
      <c r="H6786" s="10"/>
      <c r="I6786" s="10"/>
      <c r="J6786" s="10"/>
      <c r="K6786" s="10"/>
      <c r="L6786" s="10"/>
      <c r="M6786" s="10"/>
      <c r="N6786" s="10"/>
      <c r="O6786" s="10"/>
      <c r="P6786" s="10"/>
      <c r="Q6786" s="10"/>
      <c r="R6786" s="10"/>
      <c r="S6786" s="10"/>
      <c r="T6786" s="10"/>
      <c r="U6786" s="10"/>
      <c r="V6786" s="10"/>
      <c r="W6786" s="10"/>
      <c r="X6786" s="10"/>
      <c r="Y6786" s="10"/>
      <c r="Z6786" s="10"/>
    </row>
    <row r="6787" spans="1:26" ht="12.75">
      <c r="A6787" s="10" t="str">
        <f ca="1">IFERROR(__xludf.DUMMYFUNCTION("""COMPUTED_VALUE"""),"Соня Любомирова Спасова")</f>
        <v>Соня Любомирова Спасова</v>
      </c>
      <c r="B6787" s="10" t="str">
        <f ca="1">IFERROR(__xludf.DUMMYFUNCTION("""COMPUTED_VALUE"""),"Доклад от конференция")</f>
        <v>Доклад от конференция</v>
      </c>
      <c r="C6787" s="10" t="str">
        <f ca="1">IFERROR(__xludf.DUMMYFUNCTION("""COMPUTED_VALUE"""),"Ролята на културно-историческото наследство за качествено обучение в културно-образователна област: Обществени науки и гражданско образование")</f>
        <v>Ролята на културно-историческото наследство за качествено обучение в културно-образователна област: Обществени науки и гражданско образование</v>
      </c>
      <c r="D6787" s="10">
        <f ca="1">IFERROR(__xludf.DUMMYFUNCTION("""COMPUTED_VALUE"""),2014)</f>
        <v>2014</v>
      </c>
      <c r="E6787" s="10" t="str">
        <f ca="1">IFERROR(__xludf.DUMMYFUNCTION("""COMPUTED_VALUE"""),"Младите в науката – инвестиция в бъдещето. – София: За буквите – О писменехь, 2014, с. 432-440. ISBN 978-619-185-132-4")</f>
        <v>Младите в науката – инвестиция в бъдещето. – София: За буквите – О писменехь, 2014, с. 432-440. ISBN 978-619-185-132-4</v>
      </c>
      <c r="F6787" s="10"/>
      <c r="G6787" s="10"/>
      <c r="H6787" s="10"/>
      <c r="I6787" s="10"/>
      <c r="J6787" s="10"/>
      <c r="K6787" s="10"/>
      <c r="L6787" s="10"/>
      <c r="M6787" s="10"/>
      <c r="N6787" s="10"/>
      <c r="O6787" s="10"/>
      <c r="P6787" s="10"/>
      <c r="Q6787" s="10"/>
      <c r="R6787" s="10"/>
      <c r="S6787" s="10"/>
      <c r="T6787" s="10"/>
      <c r="U6787" s="10"/>
      <c r="V6787" s="10"/>
      <c r="W6787" s="10"/>
      <c r="X6787" s="10"/>
      <c r="Y6787" s="10"/>
      <c r="Z6787" s="10"/>
    </row>
    <row r="6788" spans="1:26" ht="12.75">
      <c r="A6788" s="10" t="str">
        <f ca="1">IFERROR(__xludf.DUMMYFUNCTION("""COMPUTED_VALUE"""),"Соня Любомирова Спасова")</f>
        <v>Соня Любомирова Спасова</v>
      </c>
      <c r="B6788" s="10" t="str">
        <f ca="1">IFERROR(__xludf.DUMMYFUNCTION("""COMPUTED_VALUE"""),"Доклад от конференция")</f>
        <v>Доклад от конференция</v>
      </c>
      <c r="C6788" s="10" t="str">
        <f ca="1">IFERROR(__xludf.DUMMYFUNCTION("""COMPUTED_VALUE"""),"Културното наследство в образователния процес /Анкетно проучване сред учители/")</f>
        <v>Културното наследство в образователния процес /Анкетно проучване сред учители/</v>
      </c>
      <c r="D6788" s="10">
        <f ca="1">IFERROR(__xludf.DUMMYFUNCTION("""COMPUTED_VALUE"""),2014)</f>
        <v>2014</v>
      </c>
      <c r="E6788" s="10" t="str">
        <f ca="1">IFERROR(__xludf.DUMMYFUNCTION("""COMPUTED_VALUE"""),"Създаване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 София: За буквите - О писменехь, 2014, с. 276 - 282. ISBN 978-619-185-131-7")</f>
        <v>Създаване на информационна среда за мотивация и стимулиране на младите изследователи в УниБИТ : Сборник с доклади и публикации на докторантите и постдокторантите. – София: За буквите - О писменехь, 2014, с. 276 - 282. ISBN 978-619-185-131-7</v>
      </c>
      <c r="F6788" s="10"/>
      <c r="G6788" s="10"/>
      <c r="H6788" s="10"/>
      <c r="I6788" s="10"/>
      <c r="J6788" s="10"/>
      <c r="K6788" s="10"/>
      <c r="L6788" s="10"/>
      <c r="M6788" s="10"/>
      <c r="N6788" s="10"/>
      <c r="O6788" s="10"/>
      <c r="P6788" s="10"/>
      <c r="Q6788" s="10"/>
      <c r="R6788" s="10"/>
      <c r="S6788" s="10"/>
      <c r="T6788" s="10"/>
      <c r="U6788" s="10"/>
      <c r="V6788" s="10"/>
      <c r="W6788" s="10"/>
      <c r="X6788" s="10"/>
      <c r="Y6788" s="10"/>
      <c r="Z6788" s="10"/>
    </row>
    <row r="6789" spans="1:26" ht="12.75">
      <c r="A6789" s="10" t="str">
        <f ca="1">IFERROR(__xludf.DUMMYFUNCTION("""COMPUTED_VALUE"""),"Соня Любомирова Спасова")</f>
        <v>Соня Любомирова Спасова</v>
      </c>
      <c r="B6789" s="10" t="str">
        <f ca="1">IFERROR(__xludf.DUMMYFUNCTION("""COMPUTED_VALUE"""),"Доклад от конференция")</f>
        <v>Доклад от конференция</v>
      </c>
      <c r="C6789" s="10" t="str">
        <f ca="1">IFERROR(__xludf.DUMMYFUNCTION("""COMPUTED_VALUE"""),"Социализация на културното наследство в образователната система: Извънкласни дейности")</f>
        <v>Социализация на културното наследство в образователната система: Извънкласни дейности</v>
      </c>
      <c r="D6789" s="10">
        <f ca="1">IFERROR(__xludf.DUMMYFUNCTION("""COMPUTED_VALUE"""),2014)</f>
        <v>2014</v>
      </c>
      <c r="E6789" s="10" t="str">
        <f ca="1">IFERROR(__xludf.DUMMYFUNCTION("""COMPUTED_VALUE"""),"Съвременни измерения на европейското образователно и научно пространство : Сборник с доклади от международните пътуващи семинари на УниБИТ. – София: За буквите - О писменехь, 2014, с. 258-266. ISBN 978-619-185-133-1")</f>
        <v>Съвременни измерения на европейското образователно и научно пространство : Сборник с доклади от международните пътуващи семинари на УниБИТ. – София: За буквите - О писменехь, 2014, с. 258-266. ISBN 978-619-185-133-1</v>
      </c>
      <c r="F6789" s="10"/>
      <c r="G6789" s="10"/>
      <c r="H6789" s="10"/>
      <c r="I6789" s="10"/>
      <c r="J6789" s="10"/>
      <c r="K6789" s="10"/>
      <c r="L6789" s="10"/>
      <c r="M6789" s="10"/>
      <c r="N6789" s="10"/>
      <c r="O6789" s="10"/>
      <c r="P6789" s="10"/>
      <c r="Q6789" s="10"/>
      <c r="R6789" s="10"/>
      <c r="S6789" s="10"/>
      <c r="T6789" s="10"/>
      <c r="U6789" s="10"/>
      <c r="V6789" s="10"/>
      <c r="W6789" s="10"/>
      <c r="X6789" s="10"/>
      <c r="Y6789" s="10"/>
      <c r="Z6789" s="10"/>
    </row>
    <row r="6790" spans="1:26" ht="12.75">
      <c r="A6790" s="10" t="str">
        <f ca="1">IFERROR(__xludf.DUMMYFUNCTION("""COMPUTED_VALUE"""),"Соня Любомирова Спасова")</f>
        <v>Соня Любомирова Спасова</v>
      </c>
      <c r="B6790" s="10" t="str">
        <f ca="1">IFERROR(__xludf.DUMMYFUNCTION("""COMPUTED_VALUE"""),"Статия в списания и поредици")</f>
        <v>Статия в списания и поредици</v>
      </c>
      <c r="C6790" s="10" t="str">
        <f ca="1">IFERROR(__xludf.DUMMYFUNCTION("""COMPUTED_VALUE"""),"Културното наследство в образователния процес: Анкетно проучване сред учители")</f>
        <v>Културното наследство в образователния процес: Анкетно проучване сред учители</v>
      </c>
      <c r="D6790" s="10">
        <f ca="1">IFERROR(__xludf.DUMMYFUNCTION("""COMPUTED_VALUE"""),2013)</f>
        <v>2013</v>
      </c>
      <c r="E6790" s="10" t="str">
        <f ca="1">IFERROR(__xludf.DUMMYFUNCTION("""COMPUTED_VALUE"""),"Образование и технологии: Научно – методическо списание, 2013, №4, с. 236-240. ISSN 1314–1791")</f>
        <v>Образование и технологии: Научно – методическо списание, 2013, №4, с. 236-240. ISSN 1314–1791</v>
      </c>
      <c r="F6790" s="10"/>
      <c r="G6790" s="10"/>
      <c r="H6790" s="10"/>
      <c r="I6790" s="10"/>
      <c r="J6790" s="10"/>
      <c r="K6790" s="10"/>
      <c r="L6790" s="10"/>
      <c r="M6790" s="10"/>
      <c r="N6790" s="10"/>
      <c r="O6790" s="10"/>
      <c r="P6790" s="10"/>
      <c r="Q6790" s="10"/>
      <c r="R6790" s="10"/>
      <c r="S6790" s="10"/>
      <c r="T6790" s="10"/>
      <c r="U6790" s="10"/>
      <c r="V6790" s="10"/>
      <c r="W6790" s="10"/>
      <c r="X6790" s="10"/>
      <c r="Y6790" s="10"/>
      <c r="Z6790" s="10"/>
    </row>
    <row r="6791" spans="1:26" ht="12.75">
      <c r="A6791" s="10" t="str">
        <f ca="1">IFERROR(__xludf.DUMMYFUNCTION("""COMPUTED_VALUE"""),"Соня Любомирова Спасова")</f>
        <v>Соня Любомирова Спасова</v>
      </c>
      <c r="B6791" s="10" t="str">
        <f ca="1">IFERROR(__xludf.DUMMYFUNCTION("""COMPUTED_VALUE"""),"Доклад от конференция")</f>
        <v>Доклад от конференция</v>
      </c>
      <c r="C6791" s="10" t="str">
        <f ca="1">IFERROR(__xludf.DUMMYFUNCTION("""COMPUTED_VALUE"""),"Анализ на резултатите от научноизследователските експедиции в с. Емона и с. Сухаче")</f>
        <v>Анализ на резултатите от научноизследователските експедиции в с. Емона и с. Сухаче</v>
      </c>
      <c r="D6791" s="10">
        <f ca="1">IFERROR(__xludf.DUMMYFUNCTION("""COMPUTED_VALUE"""),2013)</f>
        <v>2013</v>
      </c>
      <c r="E6791" s="10" t="str">
        <f ca="1">IFERROR(__xludf.DUMMYFUNCTION("""COMPUTED_VALUE"""),"Материали от научноизследователските проекти за документиране на културно-историческото наследство на териториите на с. Емона, обл. Бургас и с. Сухаче, обл. Плевен 2013, София: : За Буквите - О писменехь, 2013, с. 210-213. ISBN 978-954-2946-99-1")</f>
        <v>Материали от научноизследователските проекти за документиране на културно-историческото наследство на териториите на с. Емона, обл. Бургас и с. Сухаче, обл. Плевен 2013, София: : За Буквите - О писменехь, 2013, с. 210-213. ISBN 978-954-2946-99-1</v>
      </c>
      <c r="F6791" s="10"/>
      <c r="G6791" s="10"/>
      <c r="H6791" s="10"/>
      <c r="I6791" s="10"/>
      <c r="J6791" s="10"/>
      <c r="K6791" s="10"/>
      <c r="L6791" s="10"/>
      <c r="M6791" s="10"/>
      <c r="N6791" s="10"/>
      <c r="O6791" s="10"/>
      <c r="P6791" s="10"/>
      <c r="Q6791" s="10"/>
      <c r="R6791" s="10"/>
      <c r="S6791" s="10"/>
      <c r="T6791" s="10"/>
      <c r="U6791" s="10"/>
      <c r="V6791" s="10"/>
      <c r="W6791" s="10"/>
      <c r="X6791" s="10"/>
      <c r="Y6791" s="10"/>
      <c r="Z6791" s="10"/>
    </row>
    <row r="6792" spans="1:26" ht="12.75">
      <c r="A6792" s="10" t="str">
        <f ca="1">IFERROR(__xludf.DUMMYFUNCTION("""COMPUTED_VALUE"""),"Соня Любомирова Спасова")</f>
        <v>Соня Любомирова Спасова</v>
      </c>
      <c r="B6792" s="10" t="str">
        <f ca="1">IFERROR(__xludf.DUMMYFUNCTION("""COMPUTED_VALUE"""),"Доклад от конференция")</f>
        <v>Доклад от конференция</v>
      </c>
      <c r="C6792" s="10" t="str">
        <f ca="1">IFERROR(__xludf.DUMMYFUNCTION("""COMPUTED_VALUE"""),"Добри практики в статията на Нийлам Прасад „Взаимодействие между библиотеки, архиви и музеи за подобряване обслужването на потребителите” (Neelam Prassad. Synergizing the Collections of Libraries Archives and Museums for Better User Services)")</f>
        <v>Добри практики в статията на Нийлам Прасад „Взаимодействие между библиотеки, архиви и музеи за подобряване обслужването на потребителите” (Neelam Prassad. Synergizing the Collections of Libraries Archives and Museums for Better User Services)</v>
      </c>
      <c r="D6792" s="10">
        <f ca="1">IFERROR(__xludf.DUMMYFUNCTION("""COMPUTED_VALUE"""),2012)</f>
        <v>2012</v>
      </c>
      <c r="E6792" s="10" t="str">
        <f ca="1">IFERROR(__xludf.DUMMYFUNCTION("""COMPUTED_VALUE"""),"Чуждестранни и иновативни модели и добри практики от областта на библиотекознанието, печатните комуникации и културно-историческото наследство: Научно ателие за млади учени и докторанти. - София: За буквите - О писменехь, 2012, с. 61-68. ISBN 978-954-2946"&amp;"-39-7")</f>
        <v>Чуждестранни и иновативни модели и добри практики от областта на библиотекознанието, печатните комуникации и културно-историческото наследство: Научно ателие за млади учени и докторанти. - София: За буквите - О писменехь, 2012, с. 61-68. ISBN 978-954-2946-39-7</v>
      </c>
      <c r="F6792" s="10"/>
      <c r="G6792" s="10"/>
      <c r="H6792" s="10"/>
      <c r="I6792" s="10"/>
      <c r="J6792" s="10"/>
      <c r="K6792" s="10"/>
      <c r="L6792" s="10"/>
      <c r="M6792" s="10"/>
      <c r="N6792" s="10"/>
      <c r="O6792" s="10"/>
      <c r="P6792" s="10"/>
      <c r="Q6792" s="10"/>
      <c r="R6792" s="10"/>
      <c r="S6792" s="10"/>
      <c r="T6792" s="10"/>
      <c r="U6792" s="10"/>
      <c r="V6792" s="10"/>
      <c r="W6792" s="10"/>
      <c r="X6792" s="10"/>
      <c r="Y6792" s="10"/>
      <c r="Z6792" s="10"/>
    </row>
    <row r="6793" spans="1:26" ht="12.75">
      <c r="A6793" s="10" t="str">
        <f ca="1">IFERROR(__xludf.DUMMYFUNCTION("""COMPUTED_VALUE"""),"Соня Любомирова Спасова")</f>
        <v>Соня Любомирова Спасова</v>
      </c>
      <c r="B6793" s="10" t="str">
        <f ca="1">IFERROR(__xludf.DUMMYFUNCTION("""COMPUTED_VALUE"""),"Доклад от конференция")</f>
        <v>Доклад от конференция</v>
      </c>
      <c r="C6793" s="10" t="str">
        <f ca="1">IFERROR(__xludf.DUMMYFUNCTION("""COMPUTED_VALUE"""),"Ролята на Българската православна църковна община в гр. Хамбург за съхранение на националната идентичност на българите зад граница")</f>
        <v>Ролята на Българската православна църковна община в гр. Хамбург за съхранение на националната идентичност на българите зад граница</v>
      </c>
      <c r="D6793" s="10">
        <f ca="1">IFERROR(__xludf.DUMMYFUNCTION("""COMPUTED_VALUE"""),2012)</f>
        <v>2012</v>
      </c>
      <c r="E6793" s="10" t="str">
        <f ca="1">IFERROR(__xludf.DUMMYFUNCTION("""COMPUTED_VALUE"""),"Национална културна стратегия и европейска духовна интеграция. - София: Земя, 2012, с.145-149. ISSN 1312-1715")</f>
        <v>Национална културна стратегия и европейска духовна интеграция. - София: Земя, 2012, с.145-149. ISSN 1312-1715</v>
      </c>
      <c r="F6793" s="10"/>
      <c r="G6793" s="10"/>
      <c r="H6793" s="10"/>
      <c r="I6793" s="10"/>
      <c r="J6793" s="10"/>
      <c r="K6793" s="10"/>
      <c r="L6793" s="10"/>
      <c r="M6793" s="10"/>
      <c r="N6793" s="10"/>
      <c r="O6793" s="10"/>
      <c r="P6793" s="10"/>
      <c r="Q6793" s="10"/>
      <c r="R6793" s="10"/>
      <c r="S6793" s="10"/>
      <c r="T6793" s="10"/>
      <c r="U6793" s="10"/>
      <c r="V6793" s="10"/>
      <c r="W6793" s="10"/>
      <c r="X6793" s="10"/>
      <c r="Y6793" s="10"/>
      <c r="Z6793" s="10"/>
    </row>
    <row r="6794" spans="1:26" ht="12.75">
      <c r="A6794" s="10" t="str">
        <f ca="1">IFERROR(__xludf.DUMMYFUNCTION("""COMPUTED_VALUE"""),"Соня Любомирова Спасова")</f>
        <v>Соня Любомирова Спасова</v>
      </c>
      <c r="B6794" s="10" t="str">
        <f ca="1">IFERROR(__xludf.DUMMYFUNCTION("""COMPUTED_VALUE"""),"Доклад от конференция")</f>
        <v>Доклад от конференция</v>
      </c>
      <c r="C6794" s="10" t="str">
        <f ca="1">IFERROR(__xludf.DUMMYFUNCTION("""COMPUTED_VALUE"""),"Живот, посветен на книгата и на духовността българска")</f>
        <v>Живот, посветен на книгата и на духовността българска</v>
      </c>
      <c r="D6794" s="10">
        <f ca="1">IFERROR(__xludf.DUMMYFUNCTION("""COMPUTED_VALUE"""),2012)</f>
        <v>2012</v>
      </c>
      <c r="E6794" s="10" t="str">
        <f ca="1">IFERROR(__xludf.DUMMYFUNCTION("""COMPUTED_VALUE"""),"Книгата: Нашето по-смислено настояще. - София: За буквите - О писминех, 2012, с. 15-20. ISSN 1314-7323")</f>
        <v>Книгата: Нашето по-смислено настояще. - София: За буквите - О писминех, 2012, с. 15-20. ISSN 1314-7323</v>
      </c>
      <c r="F6794" s="10"/>
      <c r="G6794" s="10" t="str">
        <f ca="1">IFERROR(__xludf.DUMMYFUNCTION("""COMPUTED_VALUE"""),"Любомира Парижкова, Събина Ефтимова")</f>
        <v>Любомира Парижкова, Събина Ефтимова</v>
      </c>
      <c r="H6794" s="10"/>
      <c r="I6794" s="10"/>
      <c r="J6794" s="10"/>
      <c r="K6794" s="10"/>
      <c r="L6794" s="10"/>
      <c r="M6794" s="10"/>
      <c r="N6794" s="10"/>
      <c r="O6794" s="10"/>
      <c r="P6794" s="10"/>
      <c r="Q6794" s="10"/>
      <c r="R6794" s="10"/>
      <c r="S6794" s="10"/>
      <c r="T6794" s="10"/>
      <c r="U6794" s="10"/>
      <c r="V6794" s="10"/>
      <c r="W6794" s="10"/>
      <c r="X6794" s="10"/>
      <c r="Y6794" s="10"/>
      <c r="Z6794" s="10"/>
    </row>
    <row r="6795" spans="1:26" ht="12.75">
      <c r="A6795" s="10" t="str">
        <f ca="1">IFERROR(__xludf.DUMMYFUNCTION("""COMPUTED_VALUE"""),"Соня Любомирова Спасова")</f>
        <v>Соня Любомирова Спасова</v>
      </c>
      <c r="B6795" s="10" t="str">
        <f ca="1">IFERROR(__xludf.DUMMYFUNCTION("""COMPUTED_VALUE"""),"Статия в списания и поредици")</f>
        <v>Статия в списания и поредици</v>
      </c>
      <c r="C6795" s="10" t="str">
        <f ca="1">IFERROR(__xludf.DUMMYFUNCTION("""COMPUTED_VALUE"""),"Освободените книги")</f>
        <v>Освободените книги</v>
      </c>
      <c r="D6795" s="10">
        <f ca="1">IFERROR(__xludf.DUMMYFUNCTION("""COMPUTED_VALUE"""),2012)</f>
        <v>2012</v>
      </c>
      <c r="E6795" s="10" t="str">
        <f ca="1">IFERROR(__xludf.DUMMYFUNCTION("""COMPUTED_VALUE"""),"Образование и технологии: Научно – методическо списание. 2012, № 3, 349-352. ISSN 1314–1791")</f>
        <v>Образование и технологии: Научно – методическо списание. 2012, № 3, 349-352. ISSN 1314–1791</v>
      </c>
      <c r="F6795" s="10"/>
      <c r="G6795" s="10" t="str">
        <f ca="1">IFERROR(__xludf.DUMMYFUNCTION("""COMPUTED_VALUE"""),"Събина Ефтимова")</f>
        <v>Събина Ефтимова</v>
      </c>
      <c r="H6795" s="10"/>
      <c r="I6795" s="10"/>
      <c r="J6795" s="10"/>
      <c r="K6795" s="10"/>
      <c r="L6795" s="10"/>
      <c r="M6795" s="10"/>
      <c r="N6795" s="10"/>
      <c r="O6795" s="10"/>
      <c r="P6795" s="10"/>
      <c r="Q6795" s="10"/>
      <c r="R6795" s="10"/>
      <c r="S6795" s="10"/>
      <c r="T6795" s="10"/>
      <c r="U6795" s="10"/>
      <c r="V6795" s="10"/>
      <c r="W6795" s="10"/>
      <c r="X6795" s="10"/>
      <c r="Y6795" s="10"/>
      <c r="Z6795" s="10"/>
    </row>
    <row r="6796" spans="1:26" ht="12.75">
      <c r="A6796" s="10" t="str">
        <f ca="1">IFERROR(__xludf.DUMMYFUNCTION("""COMPUTED_VALUE"""),"Соня Любомирова Спасова")</f>
        <v>Соня Любомирова Спасова</v>
      </c>
      <c r="B6796" s="10" t="str">
        <f ca="1">IFERROR(__xludf.DUMMYFUNCTION("""COMPUTED_VALUE"""),"Доклад от конференция")</f>
        <v>Доклад от конференция</v>
      </c>
      <c r="C6796" s="10" t="str">
        <f ca="1">IFERROR(__xludf.DUMMYFUNCTION("""COMPUTED_VALUE"""),"Културното наследство в учебната програма по История и цивилизация (Х-ХІ клас)")</f>
        <v>Културното наследство в учебната програма по История и цивилизация (Х-ХІ клас)</v>
      </c>
      <c r="D6796" s="10">
        <f ca="1">IFERROR(__xludf.DUMMYFUNCTION("""COMPUTED_VALUE"""),2012)</f>
        <v>2012</v>
      </c>
      <c r="E6796" s="10" t="str">
        <f ca="1">IFERROR(__xludf.DUMMYFUNCTION("""COMPUTED_VALUE"""),"Информационната грамотност – модели за обучение и добри практики. - София: За Буквите - О писменехь, 2012, с. 321-325. ISBN 978-954-2946-30-4")</f>
        <v>Информационната грамотност – модели за обучение и добри практики. - София: За Буквите - О писменехь, 2012, с. 321-325. ISBN 978-954-2946-30-4</v>
      </c>
      <c r="F6796" s="10"/>
      <c r="G6796" s="10"/>
      <c r="H6796" s="10"/>
      <c r="I6796" s="10"/>
      <c r="J6796" s="10"/>
      <c r="K6796" s="10"/>
      <c r="L6796" s="10"/>
      <c r="M6796" s="10"/>
      <c r="N6796" s="10"/>
      <c r="O6796" s="10"/>
      <c r="P6796" s="10"/>
      <c r="Q6796" s="10"/>
      <c r="R6796" s="10"/>
      <c r="S6796" s="10"/>
      <c r="T6796" s="10"/>
      <c r="U6796" s="10"/>
      <c r="V6796" s="10"/>
      <c r="W6796" s="10"/>
      <c r="X6796" s="10"/>
      <c r="Y6796" s="10"/>
      <c r="Z6796" s="10"/>
    </row>
    <row r="6797" spans="1:26" ht="12.75">
      <c r="A6797" s="10" t="str">
        <f ca="1">IFERROR(__xludf.DUMMYFUNCTION("""COMPUTED_VALUE"""),"Соня Любомирова Спасова")</f>
        <v>Соня Любомирова Спасова</v>
      </c>
      <c r="B6797" s="10" t="str">
        <f ca="1">IFERROR(__xludf.DUMMYFUNCTION("""COMPUTED_VALUE"""),"Статия в списания и поредици")</f>
        <v>Статия в списания и поредици</v>
      </c>
      <c r="C6797" s="10" t="str">
        <f ca="1">IFERROR(__xludf.DUMMYFUNCTION("""COMPUTED_VALUE"""),"Учебната дисциплина „Образователни концепции за социализация на културно-историческото наследство”")</f>
        <v>Учебната дисциплина „Образователни концепции за социализация на културно-историческото наследство”</v>
      </c>
      <c r="D6797" s="10">
        <f ca="1">IFERROR(__xludf.DUMMYFUNCTION("""COMPUTED_VALUE"""),2012)</f>
        <v>2012</v>
      </c>
      <c r="E6797" s="10" t="str">
        <f ca="1">IFERROR(__xludf.DUMMYFUNCTION("""COMPUTED_VALUE"""),"Образование и технологии: Научно – методическо списание, 2012, № 3, с. 361-366. ISSN 1314–1791")</f>
        <v>Образование и технологии: Научно – методическо списание, 2012, № 3, с. 361-366. ISSN 1314–1791</v>
      </c>
      <c r="F6797" s="10"/>
      <c r="G6797" s="10"/>
      <c r="H6797" s="10"/>
      <c r="I6797" s="10"/>
      <c r="J6797" s="10"/>
      <c r="K6797" s="10"/>
      <c r="L6797" s="10"/>
      <c r="M6797" s="10"/>
      <c r="N6797" s="10"/>
      <c r="O6797" s="10"/>
      <c r="P6797" s="10"/>
      <c r="Q6797" s="10"/>
      <c r="R6797" s="10"/>
      <c r="S6797" s="10"/>
      <c r="T6797" s="10"/>
      <c r="U6797" s="10"/>
      <c r="V6797" s="10"/>
      <c r="W6797" s="10"/>
      <c r="X6797" s="10"/>
      <c r="Y6797" s="10"/>
      <c r="Z6797" s="10"/>
    </row>
    <row r="6798" spans="1:26" ht="12.75">
      <c r="A6798" s="10" t="str">
        <f ca="1">IFERROR(__xludf.DUMMYFUNCTION("""COMPUTED_VALUE"""),"Соня Любомирова Спасова")</f>
        <v>Соня Любомирова Спасова</v>
      </c>
      <c r="B6798" s="10" t="str">
        <f ca="1">IFERROR(__xludf.DUMMYFUNCTION("""COMPUTED_VALUE"""),"Доклад от конференция")</f>
        <v>Доклад от конференция</v>
      </c>
      <c r="C6798" s="10" t="str">
        <f ca="1">IFERROR(__xludf.DUMMYFUNCTION("""COMPUTED_VALUE"""),"Българските книги във фонда на библиотеката на Хамбургския университет, Германия")</f>
        <v>Българските книги във фонда на библиотеката на Хамбургския университет, Германия</v>
      </c>
      <c r="D6798" s="10">
        <f ca="1">IFERROR(__xludf.DUMMYFUNCTION("""COMPUTED_VALUE"""),2012)</f>
        <v>2012</v>
      </c>
      <c r="E6798" s="10" t="str">
        <f ca="1">IFERROR(__xludf.DUMMYFUNCTION("""COMPUTED_VALUE"""),"Книгата: Нашето по-смислено настояще. - София: За буквите - О писминех, 2012, с. 177-180. ISSN 1314-7323")</f>
        <v>Книгата: Нашето по-смислено настояще. - София: За буквите - О писминех, 2012, с. 177-180. ISSN 1314-7323</v>
      </c>
      <c r="F6798" s="10"/>
      <c r="G6798" s="10"/>
      <c r="H6798" s="10"/>
      <c r="I6798" s="10"/>
      <c r="J6798" s="10"/>
      <c r="K6798" s="10"/>
      <c r="L6798" s="10"/>
      <c r="M6798" s="10"/>
      <c r="N6798" s="10"/>
      <c r="O6798" s="10"/>
      <c r="P6798" s="10"/>
      <c r="Q6798" s="10"/>
      <c r="R6798" s="10"/>
      <c r="S6798" s="10"/>
      <c r="T6798" s="10"/>
      <c r="U6798" s="10"/>
      <c r="V6798" s="10"/>
      <c r="W6798" s="10"/>
      <c r="X6798" s="10"/>
      <c r="Y6798" s="10"/>
      <c r="Z6798" s="10"/>
    </row>
    <row r="6799" spans="1:26" ht="12.75">
      <c r="A6799" s="10" t="str">
        <f ca="1">IFERROR(__xludf.DUMMYFUNCTION("""COMPUTED_VALUE"""),"Соня Любомирова Спасова")</f>
        <v>Соня Любомирова Спасова</v>
      </c>
      <c r="B6799" s="10" t="str">
        <f ca="1">IFERROR(__xludf.DUMMYFUNCTION("""COMPUTED_VALUE"""),"Статия в списания и поредици")</f>
        <v>Статия в списания и поредици</v>
      </c>
      <c r="C6799" s="10" t="str">
        <f ca="1">IFERROR(__xludf.DUMMYFUNCTION("""COMPUTED_VALUE"""),"Културно наследство и интелектуална собственост")</f>
        <v>Културно наследство и интелектуална собственост</v>
      </c>
      <c r="D6799" s="10">
        <f ca="1">IFERROR(__xludf.DUMMYFUNCTION("""COMPUTED_VALUE"""),2012)</f>
        <v>2012</v>
      </c>
      <c r="E6799" s="10" t="str">
        <f ca="1">IFERROR(__xludf.DUMMYFUNCTION("""COMPUTED_VALUE"""),"Издател: Научно списание за книгата, 2012, № 3-4, с.42-44. 1310-4624 (Print)")</f>
        <v>Издател: Научно списание за книгата, 2012, № 3-4, с.42-44. 1310-4624 (Print)</v>
      </c>
      <c r="F6799" s="10"/>
      <c r="G6799" s="10"/>
      <c r="H6799" s="10"/>
      <c r="I6799" s="10"/>
      <c r="J6799" s="10"/>
      <c r="K6799" s="10"/>
      <c r="L6799" s="10"/>
      <c r="M6799" s="10"/>
      <c r="N6799" s="10"/>
      <c r="O6799" s="10"/>
      <c r="P6799" s="10"/>
      <c r="Q6799" s="10"/>
      <c r="R6799" s="10"/>
      <c r="S6799" s="10"/>
      <c r="T6799" s="10"/>
      <c r="U6799" s="10"/>
      <c r="V6799" s="10"/>
      <c r="W6799" s="10"/>
      <c r="X6799" s="10"/>
      <c r="Y6799" s="10"/>
      <c r="Z6799" s="10"/>
    </row>
    <row r="6800" spans="1:26" ht="12.75">
      <c r="A6800" s="10" t="str">
        <f ca="1">IFERROR(__xludf.DUMMYFUNCTION("""COMPUTED_VALUE"""),"Соня Любомирова Спасова")</f>
        <v>Соня Любомирова Спасова</v>
      </c>
      <c r="B6800" s="10" t="str">
        <f ca="1">IFERROR(__xludf.DUMMYFUNCTION("""COMPUTED_VALUE"""),"Доклад от конференция")</f>
        <v>Доклад от конференция</v>
      </c>
      <c r="C6800" s="10" t="str">
        <f ca="1">IFERROR(__xludf.DUMMYFUNCTION("""COMPUTED_VALUE"""),"Културно-историческото наследство в учебните програми по История и цивилизация (V-VІІІ клас).")</f>
        <v>Културно-историческото наследство в учебните програми по История и цивилизация (V-VІІІ клас).</v>
      </c>
      <c r="D6800" s="10">
        <f ca="1">IFERROR(__xludf.DUMMYFUNCTION("""COMPUTED_VALUE"""),2011)</f>
        <v>2011</v>
      </c>
      <c r="E6800" s="10" t="str">
        <f ca="1">IFERROR(__xludf.DUMMYFUNCTION("""COMPUTED_VALUE"""),"Културно-историческото наследство – образователни и научно-изследователски аспекти. – София: За Буквите - О писменехь, 2011, с. 30-46. ISBN 978-954-2946-01-4")</f>
        <v>Културно-историческото наследство – образователни и научно-изследователски аспекти. – София: За Буквите - О писменехь, 2011, с. 30-46. ISBN 978-954-2946-01-4</v>
      </c>
      <c r="F6800" s="10"/>
      <c r="G6800" s="10"/>
      <c r="H6800" s="10"/>
      <c r="I6800" s="10"/>
      <c r="J6800" s="10"/>
      <c r="K6800" s="10"/>
      <c r="L6800" s="10"/>
      <c r="M6800" s="10"/>
      <c r="N6800" s="10"/>
      <c r="O6800" s="10"/>
      <c r="P6800" s="10"/>
      <c r="Q6800" s="10"/>
      <c r="R6800" s="10"/>
      <c r="S6800" s="10"/>
      <c r="T6800" s="10"/>
      <c r="U6800" s="10"/>
      <c r="V6800" s="10"/>
      <c r="W6800" s="10"/>
      <c r="X6800" s="10"/>
      <c r="Y6800" s="10"/>
      <c r="Z6800" s="10"/>
    </row>
    <row r="6801" spans="1:26" ht="12.75">
      <c r="A6801" s="10" t="str">
        <f ca="1">IFERROR(__xludf.DUMMYFUNCTION("""COMPUTED_VALUE"""),"Соня Любомирова Спасова")</f>
        <v>Соня Любомирова Спасова</v>
      </c>
      <c r="B6801" s="10" t="str">
        <f ca="1">IFERROR(__xludf.DUMMYFUNCTION("""COMPUTED_VALUE"""),"Доклад от конференция")</f>
        <v>Доклад от конференция</v>
      </c>
      <c r="C6801" s="10" t="str">
        <f ca="1">IFERROR(__xludf.DUMMYFUNCTION("""COMPUTED_VALUE"""),"Учителите по история за мястото на КИН в съвременното образование по История и цивилизация")</f>
        <v>Учителите по история за мястото на КИН в съвременното образование по История и цивилизация</v>
      </c>
      <c r="D6801" s="10">
        <f ca="1">IFERROR(__xludf.DUMMYFUNCTION("""COMPUTED_VALUE"""),2011)</f>
        <v>2011</v>
      </c>
      <c r="E6801" s="10" t="str">
        <f ca="1">IFERROR(__xludf.DUMMYFUNCTION("""COMPUTED_VALUE"""),"Културно-историческото наследство – образователни и научно-изследователски аспекти. – София: За Буквите - О писменехь, 2011, с. 55-65. ISBN 978-954-2946-01-4")</f>
        <v>Културно-историческото наследство – образователни и научно-изследователски аспекти. – София: За Буквите - О писменехь, 2011, с. 55-65. ISBN 978-954-2946-01-4</v>
      </c>
      <c r="F6801" s="10"/>
      <c r="G6801" s="10"/>
      <c r="H6801" s="10"/>
      <c r="I6801" s="10"/>
      <c r="J6801" s="10"/>
      <c r="K6801" s="10"/>
      <c r="L6801" s="10"/>
      <c r="M6801" s="10"/>
      <c r="N6801" s="10"/>
      <c r="O6801" s="10"/>
      <c r="P6801" s="10"/>
      <c r="Q6801" s="10"/>
      <c r="R6801" s="10"/>
      <c r="S6801" s="10"/>
      <c r="T6801" s="10"/>
      <c r="U6801" s="10"/>
      <c r="V6801" s="10"/>
      <c r="W6801" s="10"/>
      <c r="X6801" s="10"/>
      <c r="Y6801" s="10"/>
      <c r="Z6801" s="10"/>
    </row>
    <row r="6802" spans="1:26" ht="12.75">
      <c r="A6802" s="10" t="str">
        <f ca="1">IFERROR(__xludf.DUMMYFUNCTION("""COMPUTED_VALUE"""),"Соня Любомирова Спасова")</f>
        <v>Соня Любомирова Спасова</v>
      </c>
      <c r="B6802" s="10" t="str">
        <f ca="1">IFERROR(__xludf.DUMMYFUNCTION("""COMPUTED_VALUE"""),"Доклад от конференция")</f>
        <v>Доклад от конференция</v>
      </c>
      <c r="C6802" s="10" t="str">
        <f ca="1">IFERROR(__xludf.DUMMYFUNCTION("""COMPUTED_VALUE"""),"Принципи за разработване на маркетингова стратегия за разширяване на целевите групи при дейността на културните институции")</f>
        <v>Принципи за разработване на маркетингова стратегия за разширяване на целевите групи при дейността на културните институции</v>
      </c>
      <c r="D6802" s="10">
        <f ca="1">IFERROR(__xludf.DUMMYFUNCTION("""COMPUTED_VALUE"""),2011)</f>
        <v>2011</v>
      </c>
      <c r="E6802" s="10" t="str">
        <f ca="1">IFERROR(__xludf.DUMMYFUNCTION("""COMPUTED_VALUE"""),"Библиотечният и културен мениджмънт и информационно-комуникационните технологии. - София: За буквите - О писменехь, с. 79-88. ISBN 978-954-2946-14-4")</f>
        <v>Библиотечният и културен мениджмънт и информационно-комуникационните технологии. - София: За буквите - О писменехь, с. 79-88. ISBN 978-954-2946-14-4</v>
      </c>
      <c r="F6802" s="10"/>
      <c r="G6802" s="10"/>
      <c r="H6802" s="10"/>
      <c r="I6802" s="10"/>
      <c r="J6802" s="10"/>
      <c r="K6802" s="10"/>
      <c r="L6802" s="10"/>
      <c r="M6802" s="10"/>
      <c r="N6802" s="10"/>
      <c r="O6802" s="10"/>
      <c r="P6802" s="10"/>
      <c r="Q6802" s="10"/>
      <c r="R6802" s="10"/>
      <c r="S6802" s="10"/>
      <c r="T6802" s="10"/>
      <c r="U6802" s="10"/>
      <c r="V6802" s="10"/>
      <c r="W6802" s="10"/>
      <c r="X6802" s="10"/>
      <c r="Y6802" s="10"/>
      <c r="Z6802" s="10"/>
    </row>
    <row r="6803" spans="1:26" ht="12.75">
      <c r="A6803" s="10" t="str">
        <f ca="1">IFERROR(__xludf.DUMMYFUNCTION("""COMPUTED_VALUE"""),"Соня Любомирова Спасова")</f>
        <v>Соня Любомирова Спасова</v>
      </c>
      <c r="B6803" s="10" t="str">
        <f ca="1">IFERROR(__xludf.DUMMYFUNCTION("""COMPUTED_VALUE"""),"Доклад от конференция")</f>
        <v>Доклад от конференция</v>
      </c>
      <c r="C6803" s="10" t="str">
        <f ca="1">IFERROR(__xludf.DUMMYFUNCTION("""COMPUTED_VALUE"""),"Учебниците по История и цивилизация – средство за социализация на националното културно-историческо наследство сред подрастващите")</f>
        <v>Учебниците по История и цивилизация – средство за социализация на националното културно-историческо наследство сред подрастващите</v>
      </c>
      <c r="D6803" s="10">
        <f ca="1">IFERROR(__xludf.DUMMYFUNCTION("""COMPUTED_VALUE"""),2011)</f>
        <v>2011</v>
      </c>
      <c r="E6803" s="10" t="str">
        <f ca="1">IFERROR(__xludf.DUMMYFUNCTION("""COMPUTED_VALUE"""),"Социализация на българското културно-историческо наследство. - София: Земя, 2012, с. 221-232. ISSN 1314-5517")</f>
        <v>Социализация на българското културно-историческо наследство. - София: Земя, 2012, с. 221-232. ISSN 1314-5517</v>
      </c>
      <c r="F6803" s="10"/>
      <c r="G6803" s="10"/>
      <c r="H6803" s="10"/>
      <c r="I6803" s="10"/>
      <c r="J6803" s="10"/>
      <c r="K6803" s="10"/>
      <c r="L6803" s="10"/>
      <c r="M6803" s="10"/>
      <c r="N6803" s="10"/>
      <c r="O6803" s="10"/>
      <c r="P6803" s="10"/>
      <c r="Q6803" s="10"/>
      <c r="R6803" s="10"/>
      <c r="S6803" s="10"/>
      <c r="T6803" s="10"/>
      <c r="U6803" s="10"/>
      <c r="V6803" s="10"/>
      <c r="W6803" s="10"/>
      <c r="X6803" s="10"/>
      <c r="Y6803" s="10"/>
      <c r="Z6803" s="10"/>
    </row>
    <row r="6804" spans="1:26" ht="12.75">
      <c r="A6804" s="10" t="str">
        <f ca="1">IFERROR(__xludf.DUMMYFUNCTION("""COMPUTED_VALUE"""),"Соня Любомирова Спасова")</f>
        <v>Соня Любомирова Спасова</v>
      </c>
      <c r="B6804" s="10" t="str">
        <f ca="1">IFERROR(__xludf.DUMMYFUNCTION("""COMPUTED_VALUE"""),"Статия в списания и поредици")</f>
        <v>Статия в списания и поредици</v>
      </c>
      <c r="C6804" s="10" t="str">
        <f ca="1">IFERROR(__xludf.DUMMYFUNCTION("""COMPUTED_VALUE"""),"Да съхраним историческата памет чрез обучението по „История и цивилизация”")</f>
        <v>Да съхраним историческата памет чрез обучението по „История и цивилизация”</v>
      </c>
      <c r="D6804" s="10">
        <f ca="1">IFERROR(__xludf.DUMMYFUNCTION("""COMPUTED_VALUE"""),2010)</f>
        <v>2010</v>
      </c>
      <c r="E6804" s="10" t="str">
        <f ca="1">IFERROR(__xludf.DUMMYFUNCTION("""COMPUTED_VALUE"""),"Будител, 2010, № 2 (16), с. 95-97. ISSN 1312-7829")</f>
        <v>Будител, 2010, № 2 (16), с. 95-97. ISSN 1312-7829</v>
      </c>
      <c r="F6804" s="10"/>
      <c r="G6804" s="10"/>
      <c r="H6804" s="10"/>
      <c r="I6804" s="10"/>
      <c r="J6804" s="10"/>
      <c r="K6804" s="10"/>
      <c r="L6804" s="10"/>
      <c r="M6804" s="10"/>
      <c r="N6804" s="10"/>
      <c r="O6804" s="10"/>
      <c r="P6804" s="10"/>
      <c r="Q6804" s="10"/>
      <c r="R6804" s="10"/>
      <c r="S6804" s="10"/>
      <c r="T6804" s="10"/>
      <c r="U6804" s="10"/>
      <c r="V6804" s="10"/>
      <c r="W6804" s="10"/>
      <c r="X6804" s="10"/>
      <c r="Y6804" s="10"/>
      <c r="Z6804" s="10"/>
    </row>
    <row r="6805" spans="1:26" ht="12.75">
      <c r="A6805" s="10" t="str">
        <f ca="1">IFERROR(__xludf.DUMMYFUNCTION("""COMPUTED_VALUE"""),"Соня Любомирова Спасова")</f>
        <v>Соня Любомирова Спасова</v>
      </c>
      <c r="B6805" s="10" t="str">
        <f ca="1">IFERROR(__xludf.DUMMYFUNCTION("""COMPUTED_VALUE"""),"Доклад от конференция")</f>
        <v>Доклад от конференция</v>
      </c>
      <c r="C6805" s="10" t="str">
        <f ca="1">IFERROR(__xludf.DUMMYFUNCTION("""COMPUTED_VALUE"""),"Културно-историческото наследство в съвременното обучение по дисциплината „История и цивилизация”")</f>
        <v>Културно-историческото наследство в съвременното обучение по дисциплината „История и цивилизация”</v>
      </c>
      <c r="D6805" s="10">
        <f ca="1">IFERROR(__xludf.DUMMYFUNCTION("""COMPUTED_VALUE"""),2010)</f>
        <v>2010</v>
      </c>
      <c r="E6805" s="10" t="str">
        <f ca="1">IFERROR(__xludf.DUMMYFUNCTION("""COMPUTED_VALUE"""),"България – кръстопът на култури и цивилизации: Седма национална научна конференция с международно участие, София, 1 ноември 2009 г. – София: За Буквите - О писменехь, 2010, с. 730-739. ISBN 978-954-8887-91-5")</f>
        <v>България – кръстопът на култури и цивилизации: Седма национална научна конференция с международно участие, София, 1 ноември 2009 г. – София: За Буквите - О писменехь, 2010, с. 730-739. ISBN 978-954-8887-91-5</v>
      </c>
      <c r="F6805" s="10"/>
      <c r="G6805" s="10"/>
      <c r="H6805" s="10"/>
      <c r="I6805" s="10"/>
      <c r="J6805" s="10"/>
      <c r="K6805" s="10"/>
      <c r="L6805" s="10"/>
      <c r="M6805" s="10"/>
      <c r="N6805" s="10"/>
      <c r="O6805" s="10"/>
      <c r="P6805" s="10"/>
      <c r="Q6805" s="10"/>
      <c r="R6805" s="10"/>
      <c r="S6805" s="10"/>
      <c r="T6805" s="10"/>
      <c r="U6805" s="10"/>
      <c r="V6805" s="10"/>
      <c r="W6805" s="10"/>
      <c r="X6805" s="10"/>
      <c r="Y6805" s="10"/>
      <c r="Z6805" s="10"/>
    </row>
    <row r="6806" spans="1:26" ht="12.75">
      <c r="A6806" s="10" t="str">
        <f ca="1">IFERROR(__xludf.DUMMYFUNCTION("""COMPUTED_VALUE"""),"Соня Любомирова Спасова")</f>
        <v>Соня Любомирова Спасова</v>
      </c>
      <c r="B6806" s="10" t="str">
        <f ca="1">IFERROR(__xludf.DUMMYFUNCTION("""COMPUTED_VALUE"""),"Доклад от конференция")</f>
        <v>Доклад от конференция</v>
      </c>
      <c r="C6806" s="10" t="str">
        <f ca="1">IFERROR(__xludf.DUMMYFUNCTION("""COMPUTED_VALUE"""),"Културно-историческото наследство като фактор за устойчивото развитие на гражданското образование")</f>
        <v>Културно-историческото наследство като фактор за устойчивото развитие на гражданското образование</v>
      </c>
      <c r="D6806" s="10">
        <f ca="1">IFERROR(__xludf.DUMMYFUNCTION("""COMPUTED_VALUE"""),2010)</f>
        <v>2010</v>
      </c>
      <c r="E6806" s="10" t="str">
        <f ca="1">IFERROR(__xludf.DUMMYFUNCTION("""COMPUTED_VALUE"""),"Обществото на знанието и хуманизмът на ХХI век: Осма национална научна конференция с международно участие, София, 1 ноември 2010 г. - София: За буквите - О писменехь, с. 692-697. ISBN 978-954-2946-09-0")</f>
        <v>Обществото на знанието и хуманизмът на ХХI век: Осма национална научна конференция с международно участие, София, 1 ноември 2010 г. - София: За буквите - О писменехь, с. 692-697. ISBN 978-954-2946-09-0</v>
      </c>
      <c r="F6806" s="10"/>
      <c r="G6806" s="10"/>
      <c r="H6806" s="10"/>
      <c r="I6806" s="10"/>
      <c r="J6806" s="10"/>
      <c r="K6806" s="10"/>
      <c r="L6806" s="10"/>
      <c r="M6806" s="10"/>
      <c r="N6806" s="10"/>
      <c r="O6806" s="10"/>
      <c r="P6806" s="10"/>
      <c r="Q6806" s="10"/>
      <c r="R6806" s="10"/>
      <c r="S6806" s="10"/>
      <c r="T6806" s="10"/>
      <c r="U6806" s="10"/>
      <c r="V6806" s="10"/>
      <c r="W6806" s="10"/>
      <c r="X6806" s="10"/>
      <c r="Y6806" s="10"/>
      <c r="Z6806" s="10"/>
    </row>
    <row r="6807" spans="1:26" ht="12.75">
      <c r="A6807" s="10" t="str">
        <f ca="1">IFERROR(__xludf.DUMMYFUNCTION("""COMPUTED_VALUE"""),"София Илиева Василева-Вълчева")</f>
        <v>София Илиева Василева-Вълчева</v>
      </c>
      <c r="B6807" s="10" t="str">
        <f ca="1">IFERROR(__xludf.DUMMYFUNCTION("""COMPUTED_VALUE"""),"Доклад от конференция")</f>
        <v>Доклад от конференция</v>
      </c>
      <c r="C6807" s="10" t="str">
        <f ca="1">IFERROR(__xludf.DUMMYFUNCTION("""COMPUTED_VALUE"""),"Модели за социализация на културно-историческото наследство в „интелигентен град“")</f>
        <v>Модели за социализация на културно-историческото наследство в „интелигентен град“</v>
      </c>
      <c r="D6807" s="10">
        <f ca="1">IFERROR(__xludf.DUMMYFUNCTION("""COMPUTED_VALUE"""),2020)</f>
        <v>2020</v>
      </c>
      <c r="E6807" s="10" t="str">
        <f ca="1">IFERROR(__xludf.DUMMYFUNCTION("""COMPUTED_VALUE"""),"Културно наследство и съвременни информационни технологии. София, За буквите – О писменехь. с. 23-46. 
 ISBN 978-619-185-402-8 
 Е ISBN 978-619-185-403-5")</f>
        <v>Културно наследство и съвременни информационни технологии. София, За буквите – О писменехь. с. 23-46. 
 ISBN 978-619-185-402-8 
 Е ISBN 978-619-185-403-5</v>
      </c>
      <c r="F6807" s="10" t="str">
        <f ca="1">IFERROR(__xludf.DUMMYFUNCTION("""COMPUTED_VALUE"""),"Рефериран списък на НАЦИД")</f>
        <v>Рефериран списък на НАЦИД</v>
      </c>
      <c r="G6807" s="10"/>
      <c r="H6807" s="10"/>
      <c r="I6807" s="10"/>
      <c r="J6807" s="10"/>
      <c r="K6807" s="10"/>
      <c r="L6807" s="10"/>
      <c r="M6807" s="10"/>
      <c r="N6807" s="10"/>
      <c r="O6807" s="10"/>
      <c r="P6807" s="10"/>
      <c r="Q6807" s="10"/>
      <c r="R6807" s="10"/>
      <c r="S6807" s="10"/>
      <c r="T6807" s="10"/>
      <c r="U6807" s="10"/>
      <c r="V6807" s="10"/>
      <c r="W6807" s="10"/>
      <c r="X6807" s="10"/>
      <c r="Y6807" s="10"/>
      <c r="Z6807" s="10"/>
    </row>
    <row r="6808" spans="1:26" ht="12.75">
      <c r="A6808" s="10" t="str">
        <f ca="1">IFERROR(__xludf.DUMMYFUNCTION("""COMPUTED_VALUE"""),"София Илиева Василева-Вълчева")</f>
        <v>София Илиева Василева-Вълчева</v>
      </c>
      <c r="B6808" s="10" t="str">
        <f ca="1">IFERROR(__xludf.DUMMYFUNCTION("""COMPUTED_VALUE"""),"Статия в списания и поредици")</f>
        <v>Статия в списания и поредици</v>
      </c>
      <c r="C6808" s="10" t="str">
        <f ca="1">IFERROR(__xludf.DUMMYFUNCTION("""COMPUTED_VALUE"""),"Художествено пресъздаване на образите на българските царе, духовни водачи и исторически личности през периода между двете световни войни")</f>
        <v>Художествено пресъздаване на образите на българските царе, духовни водачи и исторически личности през периода между двете световни войни</v>
      </c>
      <c r="D6808" s="10">
        <f ca="1">IFERROR(__xludf.DUMMYFUNCTION("""COMPUTED_VALUE"""),2020)</f>
        <v>2020</v>
      </c>
      <c r="E6808" s="10" t="str">
        <f ca="1">IFERROR(__xludf.DUMMYFUNCTION("""COMPUTED_VALUE"""),"Модерният историк 3. Баланс, атрактивност, въображение. Юбилеен сборник в чест на проф. Андрей Пантев. С. 2020. ISBN 978-619-185-394-6")</f>
        <v>Модерният историк 3. Баланс, атрактивност, въображение. Юбилеен сборник в чест на проф. Андрей Пантев. С. 2020. ISBN 978-619-185-394-6</v>
      </c>
      <c r="F6808" s="10"/>
      <c r="G6808" s="10"/>
      <c r="H6808" s="10"/>
      <c r="I6808" s="10"/>
      <c r="J6808" s="10"/>
      <c r="K6808" s="10"/>
      <c r="L6808" s="10"/>
      <c r="M6808" s="10"/>
      <c r="N6808" s="10"/>
      <c r="O6808" s="10"/>
      <c r="P6808" s="10"/>
      <c r="Q6808" s="10"/>
      <c r="R6808" s="10"/>
      <c r="S6808" s="10"/>
      <c r="T6808" s="10"/>
      <c r="U6808" s="10"/>
      <c r="V6808" s="10"/>
      <c r="W6808" s="10"/>
      <c r="X6808" s="10"/>
      <c r="Y6808" s="10"/>
      <c r="Z6808" s="10"/>
    </row>
    <row r="6809" spans="1:26" ht="12.75">
      <c r="A6809" s="10" t="str">
        <f ca="1">IFERROR(__xludf.DUMMYFUNCTION("""COMPUTED_VALUE"""),"София Илиева Василева-Вълчева")</f>
        <v>София Илиева Василева-Вълчева</v>
      </c>
      <c r="B6809" s="10" t="str">
        <f ca="1">IFERROR(__xludf.DUMMYFUNCTION("""COMPUTED_VALUE"""),"Статия в списания и поредици")</f>
        <v>Статия в списания и поредици</v>
      </c>
      <c r="C6809" s="10" t="str">
        <f ca="1">IFERROR(__xludf.DUMMYFUNCTION("""COMPUTED_VALUE"""),"Приносите на проф. Иван Шишманов за развитието на българските културни институции")</f>
        <v>Приносите на проф. Иван Шишманов за развитието на българските културни институции</v>
      </c>
      <c r="D6809" s="10">
        <f ca="1">IFERROR(__xludf.DUMMYFUNCTION("""COMPUTED_VALUE"""),2020)</f>
        <v>2020</v>
      </c>
      <c r="E6809" s="10" t="str">
        <f ca="1">IFERROR(__xludf.DUMMYFUNCTION("""COMPUTED_VALUE"""),"Научни трудове на Съюза на учените в България – Пловдив. Серия A. Обществени науки, изкуство и култура. Том VI, ISSN 1311-9400 (Print); ISSN 2534-9368 (Online), 2020, с. 222-226")</f>
        <v>Научни трудове на Съюза на учените в България – Пловдив. Серия A. Обществени науки, изкуство и култура. Том VI, ISSN 1311-9400 (Print); ISSN 2534-9368 (Online), 2020, с. 222-226</v>
      </c>
      <c r="F6809" s="10"/>
      <c r="G6809" s="10"/>
      <c r="H6809" s="10"/>
      <c r="I6809" s="10"/>
      <c r="J6809" s="10"/>
      <c r="K6809" s="10"/>
      <c r="L6809" s="10"/>
      <c r="M6809" s="10"/>
      <c r="N6809" s="10"/>
      <c r="O6809" s="10"/>
      <c r="P6809" s="10"/>
      <c r="Q6809" s="10"/>
      <c r="R6809" s="10"/>
      <c r="S6809" s="10"/>
      <c r="T6809" s="10"/>
      <c r="U6809" s="10"/>
      <c r="V6809" s="10"/>
      <c r="W6809" s="10"/>
      <c r="X6809" s="10"/>
      <c r="Y6809" s="10"/>
      <c r="Z6809" s="10"/>
    </row>
    <row r="6810" spans="1:26" ht="12.75">
      <c r="A6810" s="10" t="str">
        <f ca="1">IFERROR(__xludf.DUMMYFUNCTION("""COMPUTED_VALUE"""),"София Илиева Василева-Вълчева")</f>
        <v>София Илиева Василева-Вълчева</v>
      </c>
      <c r="B6810" s="10" t="str">
        <f ca="1">IFERROR(__xludf.DUMMYFUNCTION("""COMPUTED_VALUE"""),"Статия в списания и поредици")</f>
        <v>Статия в списания и поредици</v>
      </c>
      <c r="C6810" s="10" t="str">
        <f ca="1">IFERROR(__xludf.DUMMYFUNCTION("""COMPUTED_VALUE"""),"Музеите и управлението на културното наследство през 70-те години на ХХ век")</f>
        <v>Музеите и управлението на културното наследство през 70-те години на ХХ век</v>
      </c>
      <c r="D6810" s="10">
        <f ca="1">IFERROR(__xludf.DUMMYFUNCTION("""COMPUTED_VALUE"""),2019)</f>
        <v>2019</v>
      </c>
      <c r="E6810" s="10" t="str">
        <f ca="1">IFERROR(__xludf.DUMMYFUNCTION("""COMPUTED_VALUE"""),"LiterNet. Списание за литература, изкуства, хуманитарни и социални изследвания, бр. 12, 2019. ISSN 1312-2282. https://liternet.bg/publish19/s_vasileva/muzeite.htm")</f>
        <v>LiterNet. Списание за литература, изкуства, хуманитарни и социални изследвания, бр. 12, 2019. ISSN 1312-2282. https://liternet.bg/publish19/s_vasileva/muzeite.htm</v>
      </c>
      <c r="F6810" s="10"/>
      <c r="G6810" s="10"/>
      <c r="H6810" s="10"/>
      <c r="I6810" s="10"/>
      <c r="J6810" s="10"/>
      <c r="K6810" s="10"/>
      <c r="L6810" s="10"/>
      <c r="M6810" s="10"/>
      <c r="N6810" s="10"/>
      <c r="O6810" s="10"/>
      <c r="P6810" s="10"/>
      <c r="Q6810" s="10"/>
      <c r="R6810" s="10"/>
      <c r="S6810" s="10"/>
      <c r="T6810" s="10"/>
      <c r="U6810" s="10"/>
      <c r="V6810" s="10"/>
      <c r="W6810" s="10"/>
      <c r="X6810" s="10"/>
      <c r="Y6810" s="10"/>
      <c r="Z6810" s="10"/>
    </row>
    <row r="6811" spans="1:26" ht="12.75">
      <c r="A6811" s="10" t="str">
        <f ca="1">IFERROR(__xludf.DUMMYFUNCTION("""COMPUTED_VALUE"""),"София Илиева Василева-Вълчева")</f>
        <v>София Илиева Василева-Вълчева</v>
      </c>
      <c r="B6811" s="10" t="str">
        <f ca="1">IFERROR(__xludf.DUMMYFUNCTION("""COMPUTED_VALUE"""),"Статия в списания и поредици")</f>
        <v>Статия в списания и поредици</v>
      </c>
      <c r="C6811" s="10" t="str">
        <f ca="1">IFERROR(__xludf.DUMMYFUNCTION("""COMPUTED_VALUE"""),"Проф. Александър Фол и създаването на Националния исторически музей")</f>
        <v>Проф. Александър Фол и създаването на Националния исторически музей</v>
      </c>
      <c r="D6811" s="10">
        <f ca="1">IFERROR(__xludf.DUMMYFUNCTION("""COMPUTED_VALUE"""),2019)</f>
        <v>2019</v>
      </c>
      <c r="E6811" s="10" t="str">
        <f ca="1">IFERROR(__xludf.DUMMYFUNCTION("""COMPUTED_VALUE"""),"TRACIA XXIV. София : Институт за балканистика с Център по тракология. БАН 2019. – с.102-116. ISSN: 0204-9872")</f>
        <v>TRACIA XXIV. София : Институт за балканистика с Център по тракология. БАН 2019. – с.102-116. ISSN: 0204-9872</v>
      </c>
      <c r="F6811" s="28" t="str">
        <f ca="1">IFERROR(__xludf.DUMMYFUNCTION("""COMPUTED_VALUE"""),"https://www.ceeol.com/search/journal-detail?id=1588")</f>
        <v>https://www.ceeol.com/search/journal-detail?id=1588</v>
      </c>
      <c r="G6811" s="10" t="str">
        <f ca="1">IFERROR(__xludf.DUMMYFUNCTION("""COMPUTED_VALUE"""),"В. Иванова")</f>
        <v>В. Иванова</v>
      </c>
      <c r="H6811" s="10"/>
      <c r="I6811" s="10"/>
      <c r="J6811" s="10"/>
      <c r="K6811" s="10"/>
      <c r="L6811" s="10"/>
      <c r="M6811" s="10"/>
      <c r="N6811" s="10"/>
      <c r="O6811" s="10"/>
      <c r="P6811" s="10"/>
      <c r="Q6811" s="10"/>
      <c r="R6811" s="10"/>
      <c r="S6811" s="10"/>
      <c r="T6811" s="10"/>
      <c r="U6811" s="10"/>
      <c r="V6811" s="10"/>
      <c r="W6811" s="10"/>
      <c r="X6811" s="10"/>
      <c r="Y6811" s="10"/>
      <c r="Z6811" s="10"/>
    </row>
    <row r="6812" spans="1:26" ht="12.75">
      <c r="A6812" s="10" t="str">
        <f ca="1">IFERROR(__xludf.DUMMYFUNCTION("""COMPUTED_VALUE"""),"София Илиева Василева-Вълчева")</f>
        <v>София Илиева Василева-Вълчева</v>
      </c>
      <c r="B6812" s="10" t="str">
        <f ca="1">IFERROR(__xludf.DUMMYFUNCTION("""COMPUTED_VALUE"""),"Статия в списания и поредици")</f>
        <v>Статия в списания и поредици</v>
      </c>
      <c r="C6812" s="10" t="str">
        <f ca="1">IFERROR(__xludf.DUMMYFUNCTION("""COMPUTED_VALUE"""),"Опазването на обекти на религиозното наследство като част от политиките за културно сътрудничество между Република България и Република Турция")</f>
        <v>Опазването на обекти на религиозното наследство като част от политиките за културно сътрудничество между Република България и Република Турция</v>
      </c>
      <c r="D6812" s="10">
        <f ca="1">IFERROR(__xludf.DUMMYFUNCTION("""COMPUTED_VALUE"""),2019)</f>
        <v>2019</v>
      </c>
      <c r="E6812" s="10" t="str">
        <f ca="1">IFERROR(__xludf.DUMMYFUNCTION("""COMPUTED_VALUE"""),"Научни трудове на Съюза на учените в България – Пловдив. Серия A. Обществени науки, изкуство и култура. Том V, 2019, с. 99-103. ISSN 1311-9400 (Print), ISSN 2534-9368 (Online)")</f>
        <v>Научни трудове на Съюза на учените в България – Пловдив. Серия A. Обществени науки, изкуство и култура. Том V, 2019, с. 99-103. ISSN 1311-9400 (Print), ISSN 2534-9368 (Online)</v>
      </c>
      <c r="F6812" s="10" t="str">
        <f ca="1">IFERROR(__xludf.DUMMYFUNCTION("""COMPUTED_VALUE"""),"РИНЦ
 https://elibrary.ru/item.asp?id=38505647
 https://usb-plovdiv.org/scientific-works/")</f>
        <v>РИНЦ
 https://elibrary.ru/item.asp?id=38505647
 https://usb-plovdiv.org/scientific-works/</v>
      </c>
      <c r="G6812" s="10"/>
      <c r="H6812" s="10"/>
      <c r="I6812" s="10"/>
      <c r="J6812" s="10"/>
      <c r="K6812" s="10"/>
      <c r="L6812" s="10"/>
      <c r="M6812" s="10"/>
      <c r="N6812" s="10"/>
      <c r="O6812" s="10"/>
      <c r="P6812" s="10"/>
      <c r="Q6812" s="10"/>
      <c r="R6812" s="10"/>
      <c r="S6812" s="10"/>
      <c r="T6812" s="10"/>
      <c r="U6812" s="10"/>
      <c r="V6812" s="10"/>
      <c r="W6812" s="10"/>
      <c r="X6812" s="10"/>
      <c r="Y6812" s="10"/>
      <c r="Z6812" s="10"/>
    </row>
    <row r="6813" spans="1:26" ht="12.75">
      <c r="A6813" s="10" t="str">
        <f ca="1">IFERROR(__xludf.DUMMYFUNCTION("""COMPUTED_VALUE"""),"София Илиева Василева-Вълчева")</f>
        <v>София Илиева Василева-Вълчева</v>
      </c>
      <c r="B6813" s="10" t="str">
        <f ca="1">IFERROR(__xludf.DUMMYFUNCTION("""COMPUTED_VALUE"""),"Доклад от конференция")</f>
        <v>Доклад от конференция</v>
      </c>
      <c r="C6813" s="10" t="str">
        <f ca="1">IFERROR(__xludf.DUMMYFUNCTION("""COMPUTED_VALUE"""),"Приложение на Конвенцията на ЮНЕСКО за опазване на нематериалното културно наследство. Приносът на България")</f>
        <v>Приложение на Конвенцията на ЮНЕСКО за опазване на нематериалното културно наследство. Приносът на България</v>
      </c>
      <c r="D6813" s="10">
        <f ca="1">IFERROR(__xludf.DUMMYFUNCTION("""COMPUTED_VALUE"""),2019)</f>
        <v>2019</v>
      </c>
      <c r="E6813" s="10" t="str">
        <f ca="1">IFERROR(__xludf.DUMMYFUNCTION("""COMPUTED_VALUE"""),"Пролетта в празничния обреден календар: традиция и модерност. София: За буквите - О писменехь, 2019. ISBN 978-619-185-388-5")</f>
        <v>Пролетта в празничния обреден календар: традиция и модерност. София: За буквите - О писменехь, 2019. ISBN 978-619-185-388-5</v>
      </c>
      <c r="F6813" s="10"/>
      <c r="G6813" s="10"/>
      <c r="H6813" s="10"/>
      <c r="I6813" s="10"/>
      <c r="J6813" s="10"/>
      <c r="K6813" s="10"/>
      <c r="L6813" s="10"/>
      <c r="M6813" s="10"/>
      <c r="N6813" s="10"/>
      <c r="O6813" s="10"/>
      <c r="P6813" s="10"/>
      <c r="Q6813" s="10"/>
      <c r="R6813" s="10"/>
      <c r="S6813" s="10"/>
      <c r="T6813" s="10"/>
      <c r="U6813" s="10"/>
      <c r="V6813" s="10"/>
      <c r="W6813" s="10"/>
      <c r="X6813" s="10"/>
      <c r="Y6813" s="10"/>
      <c r="Z6813" s="10"/>
    </row>
    <row r="6814" spans="1:26" ht="12.75">
      <c r="A6814" s="10" t="str">
        <f ca="1">IFERROR(__xludf.DUMMYFUNCTION("""COMPUTED_VALUE"""),"София Илиева Василева-Вълчева")</f>
        <v>София Илиева Василева-Вълчева</v>
      </c>
      <c r="B6814" s="10" t="str">
        <f ca="1">IFERROR(__xludf.DUMMYFUNCTION("""COMPUTED_VALUE"""),"Доклад от конференция")</f>
        <v>Доклад от конференция</v>
      </c>
      <c r="C6814" s="10" t="str">
        <f ca="1">IFERROR(__xludf.DUMMYFUNCTION("""COMPUTED_VALUE"""),"Добри практики на сътрудничество между Българската православна църква и общини в България")</f>
        <v>Добри практики на сътрудничество между Българската православна църква и общини в България</v>
      </c>
      <c r="D6814" s="10">
        <f ca="1">IFERROR(__xludf.DUMMYFUNCTION("""COMPUTED_VALUE"""),2019)</f>
        <v>2019</v>
      </c>
      <c r="E6814" s="10" t="str">
        <f ca="1">IFERROR(__xludf.DUMMYFUNCTION("""COMPUTED_VALUE"""),"Обществото на знанието и хуманизма на 21 век. Сборник с XI Национална научна конференция, том ХVIII, София 2019, с. 387-393 (резюме - английски, текст - български). ISSN 2683-0094")</f>
        <v>Обществото на знанието и хуманизма на 21 век. Сборник с XI Национална научна конференция, том ХVIII, София 2019, с. 387-393 (резюме - английски, текст - български). ISSN 2683-0094</v>
      </c>
      <c r="F6814" s="10"/>
      <c r="G6814" s="10"/>
      <c r="H6814" s="10"/>
      <c r="I6814" s="10"/>
      <c r="J6814" s="10"/>
      <c r="K6814" s="10"/>
      <c r="L6814" s="10"/>
      <c r="M6814" s="10"/>
      <c r="N6814" s="10"/>
      <c r="O6814" s="10"/>
      <c r="P6814" s="10"/>
      <c r="Q6814" s="10"/>
      <c r="R6814" s="10"/>
      <c r="S6814" s="10"/>
      <c r="T6814" s="10"/>
      <c r="U6814" s="10"/>
      <c r="V6814" s="10"/>
      <c r="W6814" s="10"/>
      <c r="X6814" s="10"/>
      <c r="Y6814" s="10"/>
      <c r="Z6814" s="10"/>
    </row>
    <row r="6815" spans="1:26" ht="12.75">
      <c r="A6815" s="10" t="str">
        <f ca="1">IFERROR(__xludf.DUMMYFUNCTION("""COMPUTED_VALUE"""),"София Илиева Василева-Вълчева")</f>
        <v>София Илиева Василева-Вълчева</v>
      </c>
      <c r="B6815" s="10" t="str">
        <f ca="1">IFERROR(__xludf.DUMMYFUNCTION("""COMPUTED_VALUE"""),"Доклад от конференция")</f>
        <v>Доклад от конференция</v>
      </c>
      <c r="C6815" s="10" t="str">
        <f ca="1">IFERROR(__xludf.DUMMYFUNCTION("""COMPUTED_VALUE"""),"Application Of Virtual Reality In Cultural Heritage Education and in Heritage Socialization. Academic Research Project Results")</f>
        <v>Application Of Virtual Reality In Cultural Heritage Education and in Heritage Socialization. Academic Research Project Results</v>
      </c>
      <c r="D6815" s="10">
        <f ca="1">IFERROR(__xludf.DUMMYFUNCTION("""COMPUTED_VALUE"""),2019)</f>
        <v>2019</v>
      </c>
      <c r="E6815" s="10" t="str">
        <f ca="1">IFERROR(__xludf.DUMMYFUNCTION("""COMPUTED_VALUE"""),"Proceedings of ICERI2019 Conference11th-13th November 2019, Seville, Spain. ISBN: 978-84-09-14755-7")</f>
        <v>Proceedings of ICERI2019 Conference11th-13th November 2019, Seville, Spain. ISBN: 978-84-09-14755-7</v>
      </c>
      <c r="F6815" s="10" t="str">
        <f ca="1">IFERROR(__xludf.DUMMYFUNCTION("""COMPUTED_VALUE"""),"Web of science")</f>
        <v>Web of science</v>
      </c>
      <c r="G6815" s="10" t="str">
        <f ca="1">IFERROR(__xludf.DUMMYFUNCTION("""COMPUTED_VALUE"""),"T. Petrova")</f>
        <v>T. Petrova</v>
      </c>
      <c r="H6815" s="10"/>
      <c r="I6815" s="10"/>
      <c r="J6815" s="10"/>
      <c r="K6815" s="10"/>
      <c r="L6815" s="10"/>
      <c r="M6815" s="10"/>
      <c r="N6815" s="10"/>
      <c r="O6815" s="10"/>
      <c r="P6815" s="10"/>
      <c r="Q6815" s="10"/>
      <c r="R6815" s="10"/>
      <c r="S6815" s="10"/>
      <c r="T6815" s="10"/>
      <c r="U6815" s="10"/>
      <c r="V6815" s="10"/>
      <c r="W6815" s="10"/>
      <c r="X6815" s="10"/>
      <c r="Y6815" s="10"/>
      <c r="Z6815" s="10"/>
    </row>
    <row r="6816" spans="1:26" ht="12.75">
      <c r="A6816" s="10" t="str">
        <f ca="1">IFERROR(__xludf.DUMMYFUNCTION("""COMPUTED_VALUE"""),"София Илиева Василева-Вълчева")</f>
        <v>София Илиева Василева-Вълчева</v>
      </c>
      <c r="B6816" s="10" t="str">
        <f ca="1">IFERROR(__xludf.DUMMYFUNCTION("""COMPUTED_VALUE"""),"Доклад от конференция")</f>
        <v>Доклад от конференция</v>
      </c>
      <c r="C6816" s="10" t="str">
        <f ca="1">IFERROR(__xludf.DUMMYFUNCTION("""COMPUTED_VALUE"""),"The experience of the University of library studies and information technologies with the expansion of the university education in the sphere of cultural heritage by studying local cultural policies")</f>
        <v>The experience of the University of library studies and information technologies with the expansion of the university education in the sphere of cultural heritage by studying local cultural policies</v>
      </c>
      <c r="D6816" s="10">
        <f ca="1">IFERROR(__xludf.DUMMYFUNCTION("""COMPUTED_VALUE"""),2019)</f>
        <v>2019</v>
      </c>
      <c r="E6816" s="10" t="str">
        <f ca="1">IFERROR(__xludf.DUMMYFUNCTION("""COMPUTED_VALUE"""),"Proceedings of EDULEARN19 Conference 1st-3rd July 2019, Palma, Mallorca, Spain. –pp. 2346-2348 ISBN: 978-84-09-12031-4")</f>
        <v>Proceedings of EDULEARN19 Conference 1st-3rd July 2019, Palma, Mallorca, Spain. –pp. 2346-2348 ISBN: 978-84-09-12031-4</v>
      </c>
      <c r="F6816" s="10" t="str">
        <f ca="1">IFERROR(__xludf.DUMMYFUNCTION("""COMPUTED_VALUE"""),"Web of science")</f>
        <v>Web of science</v>
      </c>
      <c r="G6816" s="10" t="str">
        <f ca="1">IFERROR(__xludf.DUMMYFUNCTION("""COMPUTED_VALUE"""),"M.S. Nikolova, S. Stancheva, V. Nikolova")</f>
        <v>M.S. Nikolova, S. Stancheva, V. Nikolova</v>
      </c>
      <c r="H6816" s="10"/>
      <c r="I6816" s="10"/>
      <c r="J6816" s="10"/>
      <c r="K6816" s="10"/>
      <c r="L6816" s="10"/>
      <c r="M6816" s="10"/>
      <c r="N6816" s="10"/>
      <c r="O6816" s="10"/>
      <c r="P6816" s="10"/>
      <c r="Q6816" s="10"/>
      <c r="R6816" s="10"/>
      <c r="S6816" s="10"/>
      <c r="T6816" s="10"/>
      <c r="U6816" s="10"/>
      <c r="V6816" s="10"/>
      <c r="W6816" s="10"/>
      <c r="X6816" s="10"/>
      <c r="Y6816" s="10"/>
      <c r="Z6816" s="10"/>
    </row>
    <row r="6817" spans="1:26" ht="12.75">
      <c r="A6817" s="10" t="str">
        <f ca="1">IFERROR(__xludf.DUMMYFUNCTION("""COMPUTED_VALUE"""),"София Илиева Василева-Вълчева")</f>
        <v>София Илиева Василева-Вълчева</v>
      </c>
      <c r="B6817" s="10" t="str">
        <f ca="1">IFERROR(__xludf.DUMMYFUNCTION("""COMPUTED_VALUE"""),"Статия в списания и поредици")</f>
        <v>Статия в списания и поредици</v>
      </c>
      <c r="C6817" s="10" t="str">
        <f ca="1">IFERROR(__xludf.DUMMYFUNCTION("""COMPUTED_VALUE"""),"UNESCO activity for enhancing cultural cooperation in the Balkan region of Europe")</f>
        <v>UNESCO activity for enhancing cultural cooperation in the Balkan region of Europe</v>
      </c>
      <c r="D6817" s="10">
        <f ca="1">IFERROR(__xludf.DUMMYFUNCTION("""COMPUTED_VALUE"""),2019)</f>
        <v>2019</v>
      </c>
      <c r="E6817" s="10" t="str">
        <f ca="1">IFERROR(__xludf.DUMMYFUNCTION("""COMPUTED_VALUE"""),"Политика и культура: проблемы взаимодействия в современном мире. – Будапешт: Изд-во Selmeczi Bt.; Киров: ООО «Издательство «Радуга-Пресс», 2019, с. 65-72 ISBN 978-5-6042991-7-3")</f>
        <v>Политика и культура: проблемы взаимодействия в современном мире. – Будапешт: Изд-во Selmeczi Bt.; Киров: ООО «Издательство «Радуга-Пресс», 2019, с. 65-72 ISBN 978-5-6042991-7-3</v>
      </c>
      <c r="F6817" s="10" t="str">
        <f ca="1">IFERROR(__xludf.DUMMYFUNCTION("""COMPUTED_VALUE"""),"РИНЦ https://elibrary.ru/item.asp?id=41267894")</f>
        <v>РИНЦ https://elibrary.ru/item.asp?id=41267894</v>
      </c>
      <c r="G6817" s="10"/>
      <c r="H6817" s="10"/>
      <c r="I6817" s="10"/>
      <c r="J6817" s="10"/>
      <c r="K6817" s="10"/>
      <c r="L6817" s="10"/>
      <c r="M6817" s="10"/>
      <c r="N6817" s="10"/>
      <c r="O6817" s="10"/>
      <c r="P6817" s="10"/>
      <c r="Q6817" s="10"/>
      <c r="R6817" s="10"/>
      <c r="S6817" s="10"/>
      <c r="T6817" s="10"/>
      <c r="U6817" s="10"/>
      <c r="V6817" s="10"/>
      <c r="W6817" s="10"/>
      <c r="X6817" s="10"/>
      <c r="Y6817" s="10"/>
      <c r="Z6817" s="10"/>
    </row>
    <row r="6818" spans="1:26" ht="12.75">
      <c r="A6818" s="10" t="str">
        <f ca="1">IFERROR(__xludf.DUMMYFUNCTION("""COMPUTED_VALUE"""),"София Илиева Василева-Вълчева")</f>
        <v>София Илиева Василева-Вълчева</v>
      </c>
      <c r="B6818" s="10" t="str">
        <f ca="1">IFERROR(__xludf.DUMMYFUNCTION("""COMPUTED_VALUE"""),"Доклад от конференция")</f>
        <v>Доклад от конференция</v>
      </c>
      <c r="C6818" s="10" t="str">
        <f ca="1">IFERROR(__xludf.DUMMYFUNCTION("""COMPUTED_VALUE"""),"Virtual relity development and the cotsialization of Bulgarian cultural heritage")</f>
        <v>Virtual relity development and the cotsialization of Bulgarian cultural heritage</v>
      </c>
      <c r="D6818" s="10">
        <f ca="1">IFERROR(__xludf.DUMMYFUNCTION("""COMPUTED_VALUE"""),2019)</f>
        <v>2019</v>
      </c>
      <c r="E6818" s="10" t="str">
        <f ca="1">IFERROR(__xludf.DUMMYFUNCTION("""COMPUTED_VALUE"""),"Jurnal of International Cooperation and Development, Vol.2, N 1, May 2019, pp. 34-39. E-ISSN: 2612-4793 / Print-ISSN: 2612-4815")</f>
        <v>Jurnal of International Cooperation and Development, Vol.2, N 1, May 2019, pp. 34-39. E-ISSN: 2612-4793 / Print-ISSN: 2612-4815</v>
      </c>
      <c r="F6818" s="28" t="str">
        <f ca="1">IFERROR(__xludf.DUMMYFUNCTION("""COMPUTED_VALUE"""),"https://www.icdsapienza.org/journal/index.php/jicd")</f>
        <v>https://www.icdsapienza.org/journal/index.php/jicd</v>
      </c>
      <c r="G6818" s="10" t="str">
        <f ca="1">IFERROR(__xludf.DUMMYFUNCTION("""COMPUTED_VALUE"""),"Tina Petrova")</f>
        <v>Tina Petrova</v>
      </c>
      <c r="H6818" s="10"/>
      <c r="I6818" s="10"/>
      <c r="J6818" s="10"/>
      <c r="K6818" s="10"/>
      <c r="L6818" s="10"/>
      <c r="M6818" s="10"/>
      <c r="N6818" s="10"/>
      <c r="O6818" s="10"/>
      <c r="P6818" s="10"/>
      <c r="Q6818" s="10"/>
      <c r="R6818" s="10"/>
      <c r="S6818" s="10"/>
      <c r="T6818" s="10"/>
      <c r="U6818" s="10"/>
      <c r="V6818" s="10"/>
      <c r="W6818" s="10"/>
      <c r="X6818" s="10"/>
      <c r="Y6818" s="10"/>
      <c r="Z6818" s="10"/>
    </row>
    <row r="6819" spans="1:26" ht="12.75">
      <c r="A6819" s="10" t="str">
        <f ca="1">IFERROR(__xludf.DUMMYFUNCTION("""COMPUTED_VALUE"""),"София Илиева Василева-Вълчева")</f>
        <v>София Илиева Василева-Вълчева</v>
      </c>
      <c r="B6819" s="10" t="str">
        <f ca="1">IFERROR(__xludf.DUMMYFUNCTION("""COMPUTED_VALUE"""),"Доклад от конференция")</f>
        <v>Доклад от конференция</v>
      </c>
      <c r="C6819" s="10" t="str">
        <f ca="1">IFERROR(__xludf.DUMMYFUNCTION("""COMPUTED_VALUE"""),"Cultural and historical heritage in virtual environments. Creation of virtual learning collections")</f>
        <v>Cultural and historical heritage in virtual environments. Creation of virtual learning collections</v>
      </c>
      <c r="D6819" s="10">
        <f ca="1">IFERROR(__xludf.DUMMYFUNCTION("""COMPUTED_VALUE"""),2019)</f>
        <v>2019</v>
      </c>
      <c r="E6819" s="10" t="str">
        <f ca="1">IFERROR(__xludf.DUMMYFUNCTION("""COMPUTED_VALUE"""),"Proceedings of EDULEARN19 Conference 1st-3rd July 2019, Palma, Mallorca, Spain. –pp. 4219-4322. ISBN: 978-84-09-12031-4")</f>
        <v>Proceedings of EDULEARN19 Conference 1st-3rd July 2019, Palma, Mallorca, Spain. –pp. 4219-4322. ISBN: 978-84-09-12031-4</v>
      </c>
      <c r="F6819" s="10" t="str">
        <f ca="1">IFERROR(__xludf.DUMMYFUNCTION("""COMPUTED_VALUE"""),"Web of science")</f>
        <v>Web of science</v>
      </c>
      <c r="G6819" s="10" t="str">
        <f ca="1">IFERROR(__xludf.DUMMYFUNCTION("""COMPUTED_VALUE"""),"M. Nikolova")</f>
        <v>M. Nikolova</v>
      </c>
      <c r="H6819" s="10"/>
      <c r="I6819" s="10"/>
      <c r="J6819" s="10"/>
      <c r="K6819" s="10"/>
      <c r="L6819" s="10"/>
      <c r="M6819" s="10"/>
      <c r="N6819" s="10"/>
      <c r="O6819" s="10"/>
      <c r="P6819" s="10"/>
      <c r="Q6819" s="10"/>
      <c r="R6819" s="10"/>
      <c r="S6819" s="10"/>
      <c r="T6819" s="10"/>
      <c r="U6819" s="10"/>
      <c r="V6819" s="10"/>
      <c r="W6819" s="10"/>
      <c r="X6819" s="10"/>
      <c r="Y6819" s="10"/>
      <c r="Z6819" s="10"/>
    </row>
    <row r="6820" spans="1:26" ht="12.75">
      <c r="A6820" s="10" t="str">
        <f ca="1">IFERROR(__xludf.DUMMYFUNCTION("""COMPUTED_VALUE"""),"София Илиева Василева-Вълчева")</f>
        <v>София Илиева Василева-Вълчева</v>
      </c>
      <c r="B6820" s="10" t="str">
        <f ca="1">IFERROR(__xludf.DUMMYFUNCTION("""COMPUTED_VALUE"""),"Доклад от конференция")</f>
        <v>Доклад от конференция</v>
      </c>
      <c r="C6820" s="10" t="str">
        <f ca="1">IFERROR(__xludf.DUMMYFUNCTION("""COMPUTED_VALUE"""),"Развитието на виртуалната реалност и социализацията на българското културно наследство. Резултати от научноизследователски проект")</f>
        <v>Развитието на виртуалната реалност и социализацията на българското културно наследство. Резултати от научноизследователски проект</v>
      </c>
      <c r="D6820" s="10">
        <f ca="1">IFERROR(__xludf.DUMMYFUNCTION("""COMPUTED_VALUE"""),2019)</f>
        <v>2019</v>
      </c>
      <c r="E6820" s="10" t="str">
        <f ca="1">IFERROR(__xludf.DUMMYFUNCTION("""COMPUTED_VALUE"""),"Обществото на знанието и хуманизмът на ХХІ век. ХVII национална научна конференцияс международно участие София, 1 ноември 2019 г., София, АИ „За буквите О писменехь“, 2019, с. 316-323. ISSN 2683-0094")</f>
        <v>Обществото на знанието и хуманизмът на ХХІ век. ХVII национална научна конференцияс международно участие София, 1 ноември 2019 г., София, АИ „За буквите О писменехь“, 2019, с. 316-323. ISSN 2683-0094</v>
      </c>
      <c r="F6820" s="10"/>
      <c r="G6820" s="10"/>
      <c r="H6820" s="10"/>
      <c r="I6820" s="10"/>
      <c r="J6820" s="10"/>
      <c r="K6820" s="10"/>
      <c r="L6820" s="10"/>
      <c r="M6820" s="10"/>
      <c r="N6820" s="10"/>
      <c r="O6820" s="10"/>
      <c r="P6820" s="10"/>
      <c r="Q6820" s="10"/>
      <c r="R6820" s="10"/>
      <c r="S6820" s="10"/>
      <c r="T6820" s="10"/>
      <c r="U6820" s="10"/>
      <c r="V6820" s="10"/>
      <c r="W6820" s="10"/>
      <c r="X6820" s="10"/>
      <c r="Y6820" s="10"/>
      <c r="Z6820" s="10"/>
    </row>
    <row r="6821" spans="1:26" ht="12.75">
      <c r="A6821" s="10" t="str">
        <f ca="1">IFERROR(__xludf.DUMMYFUNCTION("""COMPUTED_VALUE"""),"София Илиева Василева-Вълчева")</f>
        <v>София Илиева Василева-Вълчева</v>
      </c>
      <c r="B6821" s="10" t="str">
        <f ca="1">IFERROR(__xludf.DUMMYFUNCTION("""COMPUTED_VALUE"""),"Доклад от конференция")</f>
        <v>Доклад от конференция</v>
      </c>
      <c r="C6821" s="10" t="str">
        <f ca="1">IFERROR(__xludf.DUMMYFUNCTION("""COMPUTED_VALUE"""),"Международният комитет за интелектуално сътрудничество към Обществото на народите и българското участие в него в периода между двете световни войни")</f>
        <v>Международният комитет за интелектуално сътрудничество към Обществото на народите и българското участие в него в периода между двете световни войни</v>
      </c>
      <c r="D6821" s="10">
        <f ca="1">IFERROR(__xludf.DUMMYFUNCTION("""COMPUTED_VALUE"""),2019)</f>
        <v>2019</v>
      </c>
      <c r="E6821" s="10" t="str">
        <f ca="1">IFERROR(__xludf.DUMMYFUNCTION("""COMPUTED_VALUE"""),"Обществото на знанието и хуманизмът на ХХІ век. ХVII национална научна конференцияс международно участие София, 1 ноември 2019 г., София, АИ „За буквите О писменехь“, 2019, с. 192-201. ISSN 2683-0094")</f>
        <v>Обществото на знанието и хуманизмът на ХХІ век. ХVII национална научна конференцияс международно участие София, 1 ноември 2019 г., София, АИ „За буквите О писменехь“, 2019, с. 192-201. ISSN 2683-0094</v>
      </c>
      <c r="F6821" s="10"/>
      <c r="G6821" s="10"/>
      <c r="H6821" s="10"/>
      <c r="I6821" s="10"/>
      <c r="J6821" s="10"/>
      <c r="K6821" s="10"/>
      <c r="L6821" s="10"/>
      <c r="M6821" s="10"/>
      <c r="N6821" s="10"/>
      <c r="O6821" s="10"/>
      <c r="P6821" s="10"/>
      <c r="Q6821" s="10"/>
      <c r="R6821" s="10"/>
      <c r="S6821" s="10"/>
      <c r="T6821" s="10"/>
      <c r="U6821" s="10"/>
      <c r="V6821" s="10"/>
      <c r="W6821" s="10"/>
      <c r="X6821" s="10"/>
      <c r="Y6821" s="10"/>
      <c r="Z6821" s="10"/>
    </row>
    <row r="6822" spans="1:26" ht="12.75">
      <c r="A6822" s="10" t="str">
        <f ca="1">IFERROR(__xludf.DUMMYFUNCTION("""COMPUTED_VALUE"""),"София Илиева Василева-Вълчева")</f>
        <v>София Илиева Василева-Вълчева</v>
      </c>
      <c r="B6822" s="10" t="str">
        <f ca="1">IFERROR(__xludf.DUMMYFUNCTION("""COMPUTED_VALUE"""),"Доклад от конференция")</f>
        <v>Доклад от конференция</v>
      </c>
      <c r="C6822" s="10" t="str">
        <f ca="1">IFERROR(__xludf.DUMMYFUNCTION("""COMPUTED_VALUE"""),"Widening the professional competences of students by including them in academic research projects")</f>
        <v>Widening the professional competences of students by including them in academic research projects</v>
      </c>
      <c r="D6822" s="10">
        <f ca="1">IFERROR(__xludf.DUMMYFUNCTION("""COMPUTED_VALUE"""),2018)</f>
        <v>2018</v>
      </c>
      <c r="E6822" s="10" t="str">
        <f ca="1">IFERROR(__xludf.DUMMYFUNCTION("""COMPUTED_VALUE"""),"ICERI2018 Proceedings [11th annual International Conference of Education, Research and Innovation Dates: 12-14 November, 2018, Seville, Spain] Pages: 1757-1760. ISBN: 978-84-09-05948-5, ISSN: 2340-1095, doi: 10.21125/iceri.2018.1391.")</f>
        <v>ICERI2018 Proceedings [11th annual International Conference of Education, Research and Innovation Dates: 12-14 November, 2018, Seville, Spain] Pages: 1757-1760. ISBN: 978-84-09-05948-5, ISSN: 2340-1095, doi: 10.21125/iceri.2018.1391.</v>
      </c>
      <c r="F6822" s="10" t="str">
        <f ca="1">IFERROR(__xludf.DUMMYFUNCTION("""COMPUTED_VALUE"""),"Web of Science")</f>
        <v>Web of Science</v>
      </c>
      <c r="G6822" s="10" t="str">
        <f ca="1">IFERROR(__xludf.DUMMYFUNCTION("""COMPUTED_VALUE"""),"M.S. Nikolova, S. Denchev, V. Nikolova")</f>
        <v>M.S. Nikolova, S. Denchev, V. Nikolova</v>
      </c>
      <c r="H6822" s="10"/>
      <c r="I6822" s="10"/>
      <c r="J6822" s="10"/>
      <c r="K6822" s="10"/>
      <c r="L6822" s="10"/>
      <c r="M6822" s="10"/>
      <c r="N6822" s="10"/>
      <c r="O6822" s="10"/>
      <c r="P6822" s="10"/>
      <c r="Q6822" s="10"/>
      <c r="R6822" s="10"/>
      <c r="S6822" s="10"/>
      <c r="T6822" s="10"/>
      <c r="U6822" s="10"/>
      <c r="V6822" s="10"/>
      <c r="W6822" s="10"/>
      <c r="X6822" s="10"/>
      <c r="Y6822" s="10"/>
      <c r="Z6822" s="10"/>
    </row>
    <row r="6823" spans="1:26" ht="12.75">
      <c r="A6823" s="10" t="str">
        <f ca="1">IFERROR(__xludf.DUMMYFUNCTION("""COMPUTED_VALUE"""),"София Илиева Василева-Вълчева")</f>
        <v>София Илиева Василева-Вълчева</v>
      </c>
      <c r="B6823" s="10" t="str">
        <f ca="1">IFERROR(__xludf.DUMMYFUNCTION("""COMPUTED_VALUE"""),"Статия в списания и поредици")</f>
        <v>Статия в списания и поредици</v>
      </c>
      <c r="C6823" s="10" t="str">
        <f ca="1">IFERROR(__xludf.DUMMYFUNCTION("""COMPUTED_VALUE"""),"Дейност на ЮНЕСКО за стимулиране на културното сътрудничество в Балканския регион на Европа")</f>
        <v>Дейност на ЮНЕСКО за стимулиране на културното сътрудничество в Балканския регион на Европа</v>
      </c>
      <c r="D6823" s="10">
        <f ca="1">IFERROR(__xludf.DUMMYFUNCTION("""COMPUTED_VALUE"""),2018)</f>
        <v>2018</v>
      </c>
      <c r="E6823" s="10" t="str">
        <f ca="1">IFERROR(__xludf.DUMMYFUNCTION("""COMPUTED_VALUE"""),"Културната памет във времето и пространството. Сборник посветен на проф. д.изк.н. Симеон Недков. София : УИ „Св. Климент Охридски“, 2018, с. 735-744. ISBN 978-954-07-4426-1.")</f>
        <v>Културната памет във времето и пространството. Сборник посветен на проф. д.изк.н. Симеон Недков. София : УИ „Св. Климент Охридски“, 2018, с. 735-744. ISBN 978-954-07-4426-1.</v>
      </c>
      <c r="F6823" s="10" t="str">
        <f ca="1">IFERROR(__xludf.DUMMYFUNCTION("""COMPUTED_VALUE"""),"knigabg.com/index.php?page=book&amp;id=48806 
 https://unipress.bg/index.php?route=product/product&amp;product_id=402")</f>
        <v>knigabg.com/index.php?page=book&amp;id=48806 
 https://unipress.bg/index.php?route=product/product&amp;product_id=402</v>
      </c>
      <c r="G6823" s="10"/>
      <c r="H6823" s="10"/>
      <c r="I6823" s="10"/>
      <c r="J6823" s="10"/>
      <c r="K6823" s="10"/>
      <c r="L6823" s="10"/>
      <c r="M6823" s="10"/>
      <c r="N6823" s="10"/>
      <c r="O6823" s="10"/>
      <c r="P6823" s="10"/>
      <c r="Q6823" s="10"/>
      <c r="R6823" s="10"/>
      <c r="S6823" s="10"/>
      <c r="T6823" s="10"/>
      <c r="U6823" s="10"/>
      <c r="V6823" s="10"/>
      <c r="W6823" s="10"/>
      <c r="X6823" s="10"/>
      <c r="Y6823" s="10"/>
      <c r="Z6823" s="10"/>
    </row>
    <row r="6824" spans="1:26" ht="12.75">
      <c r="A6824" s="10" t="str">
        <f ca="1">IFERROR(__xludf.DUMMYFUNCTION("""COMPUTED_VALUE"""),"София Илиева Василева-Вълчева")</f>
        <v>София Илиева Василева-Вълчева</v>
      </c>
      <c r="B6824" s="10" t="str">
        <f ca="1">IFERROR(__xludf.DUMMYFUNCTION("""COMPUTED_VALUE"""),"Книга")</f>
        <v>Книга</v>
      </c>
      <c r="C6824" s="10" t="str">
        <f ca="1">IFERROR(__xludf.DUMMYFUNCTION("""COMPUTED_VALUE"""),"Международни правителствени и неправителствени организации с дейност в областта на културното наследство. Механизми на въздействие в Югоизточна Европа.")</f>
        <v>Международни правителствени и неправителствени организации с дейност в областта на културното наследство. Механизми на въздействие в Югоизточна Европа.</v>
      </c>
      <c r="D6824" s="10">
        <f ca="1">IFERROR(__xludf.DUMMYFUNCTION("""COMPUTED_VALUE"""),2018)</f>
        <v>2018</v>
      </c>
      <c r="E6824" s="10" t="str">
        <f ca="1">IFERROR(__xludf.DUMMYFUNCTION("""COMPUTED_VALUE"""),"София, Академично издателство „За буквите-О писменехь“, 2018. -135 стр. ISBN 978-619-185-317-5")</f>
        <v>София, Академично издателство „За буквите-О писменехь“, 2018. -135 стр. ISBN 978-619-185-317-5</v>
      </c>
      <c r="F6824" s="28" t="str">
        <f ca="1">IFERROR(__xludf.DUMMYFUNCTION("""COMPUTED_VALUE"""),"https://scholar.google.bg/citations?user=AlGKo-gAAAAJ&amp;hl=bg")</f>
        <v>https://scholar.google.bg/citations?user=AlGKo-gAAAAJ&amp;hl=bg</v>
      </c>
      <c r="G6824" s="10"/>
      <c r="H6824" s="10"/>
      <c r="I6824" s="10"/>
      <c r="J6824" s="10"/>
      <c r="K6824" s="10"/>
      <c r="L6824" s="10"/>
      <c r="M6824" s="10"/>
      <c r="N6824" s="10"/>
      <c r="O6824" s="10"/>
      <c r="P6824" s="10"/>
      <c r="Q6824" s="10"/>
      <c r="R6824" s="10"/>
      <c r="S6824" s="10"/>
      <c r="T6824" s="10"/>
      <c r="U6824" s="10"/>
      <c r="V6824" s="10"/>
      <c r="W6824" s="10"/>
      <c r="X6824" s="10"/>
      <c r="Y6824" s="10"/>
      <c r="Z6824" s="10"/>
    </row>
    <row r="6825" spans="1:26" ht="12.75">
      <c r="A6825" s="10" t="str">
        <f ca="1">IFERROR(__xludf.DUMMYFUNCTION("""COMPUTED_VALUE"""),"София Илиева Василева-Вълчева")</f>
        <v>София Илиева Василева-Вълчева</v>
      </c>
      <c r="B6825" s="10" t="str">
        <f ca="1">IFERROR(__xludf.DUMMYFUNCTION("""COMPUTED_VALUE"""),"Статия в списания и поредици")</f>
        <v>Статия в списания и поредици</v>
      </c>
      <c r="C6825" s="10" t="str">
        <f ca="1">IFERROR(__xludf.DUMMYFUNCTION("""COMPUTED_VALUE"""),"Development On The Heritage Management System In Bulgaria In The European Union Membership. Strategic Framework.")</f>
        <v>Development On The Heritage Management System In Bulgaria In The European Union Membership. Strategic Framework.</v>
      </c>
      <c r="D6825" s="10">
        <f ca="1">IFERROR(__xludf.DUMMYFUNCTION("""COMPUTED_VALUE"""),2018)</f>
        <v>2018</v>
      </c>
      <c r="E6825" s="10" t="str">
        <f ca="1">IFERROR(__xludf.DUMMYFUNCTION("""COMPUTED_VALUE"""),"Scientific Works of the Union of Scientists in Bulgaria – Plovdiv, Series А. Public sciences, art and culture, Volume 5, pp. 320-324.")</f>
        <v>Scientific Works of the Union of Scientists in Bulgaria – Plovdiv, Series А. Public sciences, art and culture, Volume 5, pp. 320-324.</v>
      </c>
      <c r="F6825" s="28" t="str">
        <f ca="1">IFERROR(__xludf.DUMMYFUNCTION("""COMPUTED_VALUE"""),"http://www.subplovdiv.com/nauchni-trudove-na-sub-plovdiv/nauchni-trudove-pdf")</f>
        <v>http://www.subplovdiv.com/nauchni-trudove-na-sub-plovdiv/nauchni-trudove-pdf</v>
      </c>
      <c r="G6825" s="10"/>
      <c r="H6825" s="10"/>
      <c r="I6825" s="10"/>
      <c r="J6825" s="10"/>
      <c r="K6825" s="10"/>
      <c r="L6825" s="10"/>
      <c r="M6825" s="10"/>
      <c r="N6825" s="10"/>
      <c r="O6825" s="10"/>
      <c r="P6825" s="10"/>
      <c r="Q6825" s="10"/>
      <c r="R6825" s="10"/>
      <c r="S6825" s="10"/>
      <c r="T6825" s="10"/>
      <c r="U6825" s="10"/>
      <c r="V6825" s="10"/>
      <c r="W6825" s="10"/>
      <c r="X6825" s="10"/>
      <c r="Y6825" s="10"/>
      <c r="Z6825" s="10"/>
    </row>
    <row r="6826" spans="1:26" ht="12.75">
      <c r="A6826" s="10" t="str">
        <f ca="1">IFERROR(__xludf.DUMMYFUNCTION("""COMPUTED_VALUE"""),"София Илиева Василева-Вълчева")</f>
        <v>София Илиева Василева-Вълчева</v>
      </c>
      <c r="B6826" s="10" t="str">
        <f ca="1">IFERROR(__xludf.DUMMYFUNCTION("""COMPUTED_VALUE"""),"Доклад от конференция")</f>
        <v>Доклад от конференция</v>
      </c>
      <c r="C6826" s="10" t="str">
        <f ca="1">IFERROR(__xludf.DUMMYFUNCTION("""COMPUTED_VALUE"""),"„Упътвание за събирание на географически и археологически материяли“ на Константин Иречек и неговото значение за поставянето на основите на нормативна система за опазването и системното проучване на културното наследство в България")</f>
        <v>„Упътвание за събирание на географически и археологически материяли“ на Константин Иречек и неговото значение за поставянето на основите на нормативна система за опазването и системното проучване на културното наследство в България</v>
      </c>
      <c r="D6826" s="10">
        <f ca="1">IFERROR(__xludf.DUMMYFUNCTION("""COMPUTED_VALUE"""),2017)</f>
        <v>2017</v>
      </c>
      <c r="E6826" s="10" t="str">
        <f ca="1">IFERROR(__xludf.DUMMYFUNCTION("""COMPUTED_VALUE"""),"Обществото на знанието и хуманизмът на 21 век Сборник от ХІ национална научна конференция, т. ХІV, София, 2017, с. 288-294. ISSN 1314-7099.")</f>
        <v>Обществото на знанието и хуманизмът на 21 век Сборник от ХІ национална научна конференция, т. ХІV, София, 2017, с. 288-294. ISSN 1314-7099.</v>
      </c>
      <c r="F6826" s="10"/>
      <c r="G6826" s="10"/>
      <c r="H6826" s="10"/>
      <c r="I6826" s="10"/>
      <c r="J6826" s="10"/>
      <c r="K6826" s="10"/>
      <c r="L6826" s="10"/>
      <c r="M6826" s="10"/>
      <c r="N6826" s="10"/>
      <c r="O6826" s="10"/>
      <c r="P6826" s="10"/>
      <c r="Q6826" s="10"/>
      <c r="R6826" s="10"/>
      <c r="S6826" s="10"/>
      <c r="T6826" s="10"/>
      <c r="U6826" s="10"/>
      <c r="V6826" s="10"/>
      <c r="W6826" s="10"/>
      <c r="X6826" s="10"/>
      <c r="Y6826" s="10"/>
      <c r="Z6826" s="10"/>
    </row>
    <row r="6827" spans="1:26" ht="12.75">
      <c r="A6827" s="10" t="str">
        <f ca="1">IFERROR(__xludf.DUMMYFUNCTION("""COMPUTED_VALUE"""),"София Илиева Василева-Вълчева")</f>
        <v>София Илиева Василева-Вълчева</v>
      </c>
      <c r="B6827" s="10" t="str">
        <f ca="1">IFERROR(__xludf.DUMMYFUNCTION("""COMPUTED_VALUE"""),"Доклад от конференция")</f>
        <v>Доклад от конференция</v>
      </c>
      <c r="C6827" s="10" t="str">
        <f ca="1">IFERROR(__xludf.DUMMYFUNCTION("""COMPUTED_VALUE"""),"Роля на неправителствените организации в политиките за културно наследство в Югоизточния регион на Европа.")</f>
        <v>Роля на неправителствените организации в политиките за културно наследство в Югоизточния регион на Европа.</v>
      </c>
      <c r="D6827" s="10">
        <f ca="1">IFERROR(__xludf.DUMMYFUNCTION("""COMPUTED_VALUE"""),2017)</f>
        <v>2017</v>
      </c>
      <c r="E6827" s="10" t="str">
        <f ca="1">IFERROR(__xludf.DUMMYFUNCTION("""COMPUTED_VALUE"""),"СЪВРЕМЕННИ измерения на европейското образователно и научно пространство = Modern dimensions in European education and research area: сборник с доклади. - София: За буквите – О писменехь, 2017, с. 168-175. ISSN 2367-7988.")</f>
        <v>СЪВРЕМЕННИ измерения на европейското образователно и научно пространство = Modern dimensions in European education and research area: сборник с доклади. - София: За буквите – О писменехь, 2017, с. 168-175. ISSN 2367-7988.</v>
      </c>
      <c r="F6827" s="10"/>
      <c r="G6827" s="10"/>
      <c r="H6827" s="10"/>
      <c r="I6827" s="10"/>
      <c r="J6827" s="10"/>
      <c r="K6827" s="10"/>
      <c r="L6827" s="10"/>
      <c r="M6827" s="10"/>
      <c r="N6827" s="10"/>
      <c r="O6827" s="10"/>
      <c r="P6827" s="10"/>
      <c r="Q6827" s="10"/>
      <c r="R6827" s="10"/>
      <c r="S6827" s="10"/>
      <c r="T6827" s="10"/>
      <c r="U6827" s="10"/>
      <c r="V6827" s="10"/>
      <c r="W6827" s="10"/>
      <c r="X6827" s="10"/>
      <c r="Y6827" s="10"/>
      <c r="Z6827" s="10"/>
    </row>
    <row r="6828" spans="1:26" ht="12.75">
      <c r="A6828" s="10" t="str">
        <f ca="1">IFERROR(__xludf.DUMMYFUNCTION("""COMPUTED_VALUE"""),"София Илиева Василева-Вълчева")</f>
        <v>София Илиева Василева-Вълчева</v>
      </c>
      <c r="B6828" s="10" t="str">
        <f ca="1">IFERROR(__xludf.DUMMYFUNCTION("""COMPUTED_VALUE"""),"Доклад от конференция")</f>
        <v>Доклад от конференция</v>
      </c>
      <c r="C6828" s="10" t="str">
        <f ca="1">IFERROR(__xludf.DUMMYFUNCTION("""COMPUTED_VALUE"""),"Управлението на културното наследство в България в условията на членство в ЕС. Концептуални и стратегически аспекти.")</f>
        <v>Управлението на културното наследство в България в условията на членство в ЕС. Концептуални и стратегически аспекти.</v>
      </c>
      <c r="D6828" s="10">
        <f ca="1">IFERROR(__xludf.DUMMYFUNCTION("""COMPUTED_VALUE"""),2017)</f>
        <v>2017</v>
      </c>
      <c r="E6828" s="10" t="str">
        <f ca="1">IFERROR(__xludf.DUMMYFUNCTION("""COMPUTED_VALUE"""),"ОБЩЕСТВОТО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 2010 г. - София: За буквите – О писменехь, 2017, Т. XV"&amp;", с. 291-297. ISBN 978-954-2946-09-0.")</f>
        <v>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 2010 г. - София: За буквите – О писменехь, 2017, Т. XV, с. 291-297. ISBN 978-954-2946-09-0.</v>
      </c>
      <c r="F6828" s="10"/>
      <c r="G6828" s="10"/>
      <c r="H6828" s="10"/>
      <c r="I6828" s="10"/>
      <c r="J6828" s="10"/>
      <c r="K6828" s="10"/>
      <c r="L6828" s="10"/>
      <c r="M6828" s="10"/>
      <c r="N6828" s="10"/>
      <c r="O6828" s="10"/>
      <c r="P6828" s="10"/>
      <c r="Q6828" s="10"/>
      <c r="R6828" s="10"/>
      <c r="S6828" s="10"/>
      <c r="T6828" s="10"/>
      <c r="U6828" s="10"/>
      <c r="V6828" s="10"/>
      <c r="W6828" s="10"/>
      <c r="X6828" s="10"/>
      <c r="Y6828" s="10"/>
      <c r="Z6828" s="10"/>
    </row>
    <row r="6829" spans="1:26" ht="12.75">
      <c r="A6829" s="10" t="str">
        <f ca="1">IFERROR(__xludf.DUMMYFUNCTION("""COMPUTED_VALUE"""),"София Илиева Василева-Вълчева")</f>
        <v>София Илиева Василева-Вълчева</v>
      </c>
      <c r="B6829" s="10" t="str">
        <f ca="1">IFERROR(__xludf.DUMMYFUNCTION("""COMPUTED_VALUE"""),"Доклад от конференция")</f>
        <v>Доклад от конференция</v>
      </c>
      <c r="C6829" s="10" t="str">
        <f ca="1">IFERROR(__xludf.DUMMYFUNCTION("""COMPUTED_VALUE"""),"Роля на ЮНЕСКО за засилване на културното сътрудничество в Балканския регион на Европа")</f>
        <v>Роля на ЮНЕСКО за засилване на културното сътрудничество в Балканския регион на Европа</v>
      </c>
      <c r="D6829" s="10">
        <f ca="1">IFERROR(__xludf.DUMMYFUNCTION("""COMPUTED_VALUE"""),2017)</f>
        <v>2017</v>
      </c>
      <c r="E6829" s="10" t="str">
        <f ca="1">IFERROR(__xludf.DUMMYFUNCTION("""COMPUTED_VALUE"""),"Световното наследство на ЮНЕСКО. Средновековни обекти в Североизточна България. Сборник с доклади от пътуваща конференция-семинар, Шумен, 24-25 март 2017. ISBN 978-619-00-0637-4.")</f>
        <v>Световното наследство на ЮНЕСКО. Средновековни обекти в Североизточна България. Сборник с доклади от пътуваща конференция-семинар, Шумен, 24-25 март 2017. ISBN 978-619-00-0637-4.</v>
      </c>
      <c r="F6829" s="10"/>
      <c r="G6829" s="10"/>
      <c r="H6829" s="10"/>
      <c r="I6829" s="10"/>
      <c r="J6829" s="10"/>
      <c r="K6829" s="10"/>
      <c r="L6829" s="10"/>
      <c r="M6829" s="10"/>
      <c r="N6829" s="10"/>
      <c r="O6829" s="10"/>
      <c r="P6829" s="10"/>
      <c r="Q6829" s="10"/>
      <c r="R6829" s="10"/>
      <c r="S6829" s="10"/>
      <c r="T6829" s="10"/>
      <c r="U6829" s="10"/>
      <c r="V6829" s="10"/>
      <c r="W6829" s="10"/>
      <c r="X6829" s="10"/>
      <c r="Y6829" s="10"/>
      <c r="Z6829" s="10"/>
    </row>
    <row r="6830" spans="1:26" ht="12.75">
      <c r="A6830" s="10" t="str">
        <f ca="1">IFERROR(__xludf.DUMMYFUNCTION("""COMPUTED_VALUE"""),"София Илиева Василева-Вълчева")</f>
        <v>София Илиева Василева-Вълчева</v>
      </c>
      <c r="B6830" s="10" t="str">
        <f ca="1">IFERROR(__xludf.DUMMYFUNCTION("""COMPUTED_VALUE"""),"Статия в списания и поредици")</f>
        <v>Статия в списания и поредици</v>
      </c>
      <c r="C6830" s="10" t="str">
        <f ca="1">IFERROR(__xludf.DUMMYFUNCTION("""COMPUTED_VALUE"""),"Приносът на Студентското научно общество при УНИБИТ в обучението в областта на културното наследство")</f>
        <v>Приносът на Студентското научно общество при УНИБИТ в обучението в областта на културното наследство</v>
      </c>
      <c r="D6830" s="10">
        <f ca="1">IFERROR(__xludf.DUMMYFUNCTION("""COMPUTED_VALUE"""),2017)</f>
        <v>2017</v>
      </c>
      <c r="E6830" s="10" t="str">
        <f ca="1">IFERROR(__xludf.DUMMYFUNCTION("""COMPUTED_VALUE"""),"Трудове на студентското научно общество при УНИБИТ, т. ХІІ, 2017, с. 212-221")</f>
        <v>Трудове на студентското научно общество при УНИБИТ, т. ХІІ, 2017, с. 212-221</v>
      </c>
      <c r="F6830" s="10"/>
      <c r="G6830" s="10"/>
      <c r="H6830" s="10"/>
      <c r="I6830" s="10"/>
      <c r="J6830" s="10"/>
      <c r="K6830" s="10"/>
      <c r="L6830" s="10"/>
      <c r="M6830" s="10"/>
      <c r="N6830" s="10"/>
      <c r="O6830" s="10"/>
      <c r="P6830" s="10"/>
      <c r="Q6830" s="10"/>
      <c r="R6830" s="10"/>
      <c r="S6830" s="10"/>
      <c r="T6830" s="10"/>
      <c r="U6830" s="10"/>
      <c r="V6830" s="10"/>
      <c r="W6830" s="10"/>
      <c r="X6830" s="10"/>
      <c r="Y6830" s="10"/>
      <c r="Z6830" s="10"/>
    </row>
    <row r="6831" spans="1:26" ht="12.75">
      <c r="A6831" s="10" t="str">
        <f ca="1">IFERROR(__xludf.DUMMYFUNCTION("""COMPUTED_VALUE"""),"София Илиева Василева-Вълчева")</f>
        <v>София Илиева Василева-Вълчева</v>
      </c>
      <c r="B6831" s="10" t="str">
        <f ca="1">IFERROR(__xludf.DUMMYFUNCTION("""COMPUTED_VALUE"""),"Статия в списания и поредици")</f>
        <v>Статия в списания и поредици</v>
      </c>
      <c r="C6831" s="10" t="str">
        <f ca="1">IFERROR(__xludf.DUMMYFUNCTION("""COMPUTED_VALUE"""),"Тематични направления на публикуваните материали в областта на информационните технологии представени в трудовете на Студентското научно общество при УНИБИТ")</f>
        <v>Тематични направления на публикуваните материали в областта на информационните технологии представени в трудовете на Студентското научно общество при УНИБИТ</v>
      </c>
      <c r="D6831" s="10">
        <f ca="1">IFERROR(__xludf.DUMMYFUNCTION("""COMPUTED_VALUE"""),2017)</f>
        <v>2017</v>
      </c>
      <c r="E6831" s="10" t="str">
        <f ca="1">IFERROR(__xludf.DUMMYFUNCTION("""COMPUTED_VALUE"""),"Трудове на студентското научно общество при УНИБИТ, т. ХІІ, 2017, с. 207-211")</f>
        <v>Трудове на студентското научно общество при УНИБИТ, т. ХІІ, 2017, с. 207-211</v>
      </c>
      <c r="F6831" s="10"/>
      <c r="G6831" s="10"/>
      <c r="H6831" s="10"/>
      <c r="I6831" s="10"/>
      <c r="J6831" s="10"/>
      <c r="K6831" s="10"/>
      <c r="L6831" s="10"/>
      <c r="M6831" s="10"/>
      <c r="N6831" s="10"/>
      <c r="O6831" s="10"/>
      <c r="P6831" s="10"/>
      <c r="Q6831" s="10"/>
      <c r="R6831" s="10"/>
      <c r="S6831" s="10"/>
      <c r="T6831" s="10"/>
      <c r="U6831" s="10"/>
      <c r="V6831" s="10"/>
      <c r="W6831" s="10"/>
      <c r="X6831" s="10"/>
      <c r="Y6831" s="10"/>
      <c r="Z6831" s="10"/>
    </row>
    <row r="6832" spans="1:26" ht="12.75">
      <c r="A6832" s="10" t="str">
        <f ca="1">IFERROR(__xludf.DUMMYFUNCTION("""COMPUTED_VALUE"""),"София Илиева Василева-Вълчева")</f>
        <v>София Илиева Василева-Вълчева</v>
      </c>
      <c r="B6832" s="10" t="str">
        <f ca="1">IFERROR(__xludf.DUMMYFUNCTION("""COMPUTED_VALUE"""),"Книга")</f>
        <v>Книга</v>
      </c>
      <c r="C6832" s="10" t="str">
        <f ca="1">IFERROR(__xludf.DUMMYFUNCTION("""COMPUTED_VALUE"""),"Международните контакти на Стара Загора с побратимените й градове")</f>
        <v>Международните контакти на Стара Загора с побратимените й градове</v>
      </c>
      <c r="D6832" s="10">
        <f ca="1">IFERROR(__xludf.DUMMYFUNCTION("""COMPUTED_VALUE"""),2017)</f>
        <v>2017</v>
      </c>
      <c r="E6832" s="10"/>
      <c r="F6832" s="10"/>
      <c r="G6832" s="10" t="str">
        <f ca="1">IFERROR(__xludf.DUMMYFUNCTION("""COMPUTED_VALUE"""),"Светла Димитрова")</f>
        <v>Светла Димитрова</v>
      </c>
      <c r="H6832" s="10"/>
      <c r="I6832" s="10"/>
      <c r="J6832" s="10"/>
      <c r="K6832" s="10"/>
      <c r="L6832" s="10"/>
      <c r="M6832" s="10"/>
      <c r="N6832" s="10"/>
      <c r="O6832" s="10"/>
      <c r="P6832" s="10"/>
      <c r="Q6832" s="10"/>
      <c r="R6832" s="10"/>
      <c r="S6832" s="10"/>
      <c r="T6832" s="10"/>
      <c r="U6832" s="10"/>
      <c r="V6832" s="10"/>
      <c r="W6832" s="10"/>
      <c r="X6832" s="10"/>
      <c r="Y6832" s="10"/>
      <c r="Z6832" s="10"/>
    </row>
    <row r="6833" spans="1:26" ht="12.75">
      <c r="A6833" s="10" t="str">
        <f ca="1">IFERROR(__xludf.DUMMYFUNCTION("""COMPUTED_VALUE"""),"София Илиева Василева-Вълчева")</f>
        <v>София Илиева Василева-Вълчева</v>
      </c>
      <c r="B6833" s="10" t="str">
        <f ca="1">IFERROR(__xludf.DUMMYFUNCTION("""COMPUTED_VALUE"""),"Книга")</f>
        <v>Книга</v>
      </c>
      <c r="C6833" s="10" t="str">
        <f ca="1">IFERROR(__xludf.DUMMYFUNCTION("""COMPUTED_VALUE"""),"Cultural and Historical Heritage of Bulgaria. Priorities of State Policy")</f>
        <v>Cultural and Historical Heritage of Bulgaria. Priorities of State Policy</v>
      </c>
      <c r="D6833" s="10">
        <f ca="1">IFERROR(__xludf.DUMMYFUNCTION("""COMPUTED_VALUE"""),2017)</f>
        <v>2017</v>
      </c>
      <c r="E6833" s="10" t="str">
        <f ca="1">IFERROR(__xludf.DUMMYFUNCTION("""COMPUTED_VALUE"""),"Sofia : Avangard Prima. -462 p. ISBN 978-619-160-733-4")</f>
        <v>Sofia : Avangard Prima. -462 p. ISBN 978-619-160-733-4</v>
      </c>
      <c r="F6833" s="28" t="str">
        <f ca="1">IFERROR(__xludf.DUMMYFUNCTION("""COMPUTED_VALUE"""),"https://scholar.google.bg/citations?user=AlGKo-gAAAAJ&amp;hl=bg")</f>
        <v>https://scholar.google.bg/citations?user=AlGKo-gAAAAJ&amp;hl=bg</v>
      </c>
      <c r="G6833" s="10" t="str">
        <f ca="1">IFERROR(__xludf.DUMMYFUNCTION("""COMPUTED_VALUE"""),"Стоян Денчев")</f>
        <v>Стоян Денчев</v>
      </c>
      <c r="H6833" s="10"/>
      <c r="I6833" s="10"/>
      <c r="J6833" s="10"/>
      <c r="K6833" s="10"/>
      <c r="L6833" s="10"/>
      <c r="M6833" s="10"/>
      <c r="N6833" s="10"/>
      <c r="O6833" s="10"/>
      <c r="P6833" s="10"/>
      <c r="Q6833" s="10"/>
      <c r="R6833" s="10"/>
      <c r="S6833" s="10"/>
      <c r="T6833" s="10"/>
      <c r="U6833" s="10"/>
      <c r="V6833" s="10"/>
      <c r="W6833" s="10"/>
      <c r="X6833" s="10"/>
      <c r="Y6833" s="10"/>
      <c r="Z6833" s="10"/>
    </row>
    <row r="6834" spans="1:26" ht="12.75">
      <c r="A6834" s="10" t="str">
        <f ca="1">IFERROR(__xludf.DUMMYFUNCTION("""COMPUTED_VALUE"""),"София Илиева Василева-Вълчева")</f>
        <v>София Илиева Василева-Вълчева</v>
      </c>
      <c r="B6834" s="10" t="str">
        <f ca="1">IFERROR(__xludf.DUMMYFUNCTION("""COMPUTED_VALUE"""),"Доклад от конференция")</f>
        <v>Доклад от конференция</v>
      </c>
      <c r="C6834" s="10" t="str">
        <f ca="1">IFERROR(__xludf.DUMMYFUNCTION("""COMPUTED_VALUE"""),"The Innovative Model For Interactivity In Bulgarian Museums")</f>
        <v>The Innovative Model For Interactivity In Bulgarian Museums</v>
      </c>
      <c r="D6834" s="10">
        <f ca="1">IFERROR(__xludf.DUMMYFUNCTION("""COMPUTED_VALUE"""),2017)</f>
        <v>2017</v>
      </c>
      <c r="E6834" s="10" t="str">
        <f ca="1">IFERROR(__xludf.DUMMYFUNCTION("""COMPUTED_VALUE"""),"Proceedings of ICERI2017 Conference 16th-18th November 2017, Seville, Spain, pp. 5407-5412. ISBN: 978-84-697-6957-7 / ISSN: 2340-1095.")</f>
        <v>Proceedings of ICERI2017 Conference 16th-18th November 2017, Seville, Spain, pp. 5407-5412. ISBN: 978-84-697-6957-7 / ISSN: 2340-1095.</v>
      </c>
      <c r="F6834" s="10" t="str">
        <f ca="1">IFERROR(__xludf.DUMMYFUNCTION("""COMPUTED_VALUE"""),"Web of Science
 https://library.iated.org/view/VASSILEVA2017INN
 https://www.researchgate.net/publication/321762853_THE_INNOVATIVE_MODEL_FOR_INTERACTIVITY_IN_BULGARIAN_MUSEUMS")</f>
        <v>Web of Science
 https://library.iated.org/view/VASSILEVA2017INN
 https://www.researchgate.net/publication/321762853_THE_INNOVATIVE_MODEL_FOR_INTERACTIVITY_IN_BULGARIAN_MUSEUMS</v>
      </c>
      <c r="G6834" s="10" t="str">
        <f ca="1">IFERROR(__xludf.DUMMYFUNCTION("""COMPUTED_VALUE"""),"E. Kovatcheva")</f>
        <v>E. Kovatcheva</v>
      </c>
      <c r="H6834" s="10"/>
      <c r="I6834" s="10"/>
      <c r="J6834" s="10"/>
      <c r="K6834" s="10"/>
      <c r="L6834" s="10"/>
      <c r="M6834" s="10"/>
      <c r="N6834" s="10"/>
      <c r="O6834" s="10"/>
      <c r="P6834" s="10"/>
      <c r="Q6834" s="10"/>
      <c r="R6834" s="10"/>
      <c r="S6834" s="10"/>
      <c r="T6834" s="10"/>
      <c r="U6834" s="10"/>
      <c r="V6834" s="10"/>
      <c r="W6834" s="10"/>
      <c r="X6834" s="10"/>
      <c r="Y6834" s="10"/>
      <c r="Z6834" s="10"/>
    </row>
    <row r="6835" spans="1:26" ht="12.75">
      <c r="A6835" s="10" t="str">
        <f ca="1">IFERROR(__xludf.DUMMYFUNCTION("""COMPUTED_VALUE"""),"София Илиева Василева-Вълчева")</f>
        <v>София Илиева Василева-Вълчева</v>
      </c>
      <c r="B6835" s="10" t="str">
        <f ca="1">IFERROR(__xludf.DUMMYFUNCTION("""COMPUTED_VALUE"""),"Статия в списания и поредици")</f>
        <v>Статия в списания и поредици</v>
      </c>
      <c r="C6835" s="10" t="str">
        <f ca="1">IFERROR(__xludf.DUMMYFUNCTION("""COMPUTED_VALUE"""),"Тенденции в опазването на архивите в новата информационна реалност")</f>
        <v>Тенденции в опазването на архивите в новата информационна реалност</v>
      </c>
      <c r="D6835" s="10">
        <f ca="1">IFERROR(__xludf.DUMMYFUNCTION("""COMPUTED_VALUE"""),2016)</f>
        <v>2016</v>
      </c>
      <c r="E6835" s="10" t="str">
        <f ca="1">IFERROR(__xludf.DUMMYFUNCTION("""COMPUTED_VALUE"""),"Сп. Архивен преглед, 2016, бр. 2, с. 113-117. ISBN: 0204-8132.")</f>
        <v>Сп. Архивен преглед, 2016, бр. 2, с. 113-117. ISBN: 0204-8132.</v>
      </c>
      <c r="F6835" s="28" t="str">
        <f ca="1">IFERROR(__xludf.DUMMYFUNCTION("""COMPUTED_VALUE"""),"https://scholar.google.bg/citations?user=AlGKo-gAAAAJ&amp;hl=bg")</f>
        <v>https://scholar.google.bg/citations?user=AlGKo-gAAAAJ&amp;hl=bg</v>
      </c>
      <c r="G6835" s="10" t="str">
        <f ca="1">IFERROR(__xludf.DUMMYFUNCTION("""COMPUTED_VALUE"""),"Т. Петрова")</f>
        <v>Т. Петрова</v>
      </c>
      <c r="H6835" s="10"/>
      <c r="I6835" s="10"/>
      <c r="J6835" s="10"/>
      <c r="K6835" s="10"/>
      <c r="L6835" s="10"/>
      <c r="M6835" s="10"/>
      <c r="N6835" s="10"/>
      <c r="O6835" s="10"/>
      <c r="P6835" s="10"/>
      <c r="Q6835" s="10"/>
      <c r="R6835" s="10"/>
      <c r="S6835" s="10"/>
      <c r="T6835" s="10"/>
      <c r="U6835" s="10"/>
      <c r="V6835" s="10"/>
      <c r="W6835" s="10"/>
      <c r="X6835" s="10"/>
      <c r="Y6835" s="10"/>
      <c r="Z6835" s="10"/>
    </row>
    <row r="6836" spans="1:26" ht="12.75">
      <c r="A6836" s="10" t="str">
        <f ca="1">IFERROR(__xludf.DUMMYFUNCTION("""COMPUTED_VALUE"""),"София Илиева Василева-Вълчева")</f>
        <v>София Илиева Василева-Вълчева</v>
      </c>
      <c r="B6836" s="10" t="str">
        <f ca="1">IFERROR(__xludf.DUMMYFUNCTION("""COMPUTED_VALUE"""),"Доклад от конференция")</f>
        <v>Доклад от конференция</v>
      </c>
      <c r="C6836" s="10" t="str">
        <f ca="1">IFERROR(__xludf.DUMMYFUNCTION("""COMPUTED_VALUE"""),"Механизми на политиките за сътрудничество между Република България и Република Турция за опазване на недвижимото културно наследство")</f>
        <v>Механизми на политиките за сътрудничество между Република България и Република Турция за опазване на недвижимото културно наследство</v>
      </c>
      <c r="D6836" s="10">
        <f ca="1">IFERROR(__xludf.DUMMYFUNCTION("""COMPUTED_VALUE"""),2016)</f>
        <v>2016</v>
      </c>
      <c r="E6836" s="10" t="str">
        <f ca="1">IFERROR(__xludf.DUMMYFUNCTION("""COMPUTED_VALUE"""),"Сборник с научни доклади и съобщения от 10-ти научен семинар на УНИБИТ, проведен в Истанбул, 4-8 април 2015 г. София : За буквите. ISSN 1313-2768.")</f>
        <v>Сборник с научни доклади и съобщения от 10-ти научен семинар на УНИБИТ, проведен в Истанбул, 4-8 април 2015 г. София : За буквите. ISSN 1313-2768.</v>
      </c>
      <c r="F6836" s="10"/>
      <c r="G6836" s="10"/>
      <c r="H6836" s="10"/>
      <c r="I6836" s="10"/>
      <c r="J6836" s="10"/>
      <c r="K6836" s="10"/>
      <c r="L6836" s="10"/>
      <c r="M6836" s="10"/>
      <c r="N6836" s="10"/>
      <c r="O6836" s="10"/>
      <c r="P6836" s="10"/>
      <c r="Q6836" s="10"/>
      <c r="R6836" s="10"/>
      <c r="S6836" s="10"/>
      <c r="T6836" s="10"/>
      <c r="U6836" s="10"/>
      <c r="V6836" s="10"/>
      <c r="W6836" s="10"/>
      <c r="X6836" s="10"/>
      <c r="Y6836" s="10"/>
      <c r="Z6836" s="10"/>
    </row>
    <row r="6837" spans="1:26" ht="12.75">
      <c r="A6837" s="10" t="str">
        <f ca="1">IFERROR(__xludf.DUMMYFUNCTION("""COMPUTED_VALUE"""),"София Илиева Василева-Вълчева")</f>
        <v>София Илиева Василева-Вълчева</v>
      </c>
      <c r="B6837" s="10" t="str">
        <f ca="1">IFERROR(__xludf.DUMMYFUNCTION("""COMPUTED_VALUE"""),"Доклад от конференция")</f>
        <v>Доклад от конференция</v>
      </c>
      <c r="C6837" s="10" t="str">
        <f ca="1">IFERROR(__xludf.DUMMYFUNCTION("""COMPUTED_VALUE"""),"Музеите и управлението на културното наследство през 70-те години на ХХ век.")</f>
        <v>Музеите и управлението на културното наследство през 70-те години на ХХ век.</v>
      </c>
      <c r="D6837" s="10">
        <f ca="1">IFERROR(__xludf.DUMMYFUNCTION("""COMPUTED_VALUE"""),2016)</f>
        <v>2016</v>
      </c>
      <c r="E6837" s="10" t="str">
        <f ca="1">IFERROR(__xludf.DUMMYFUNCTION("""COMPUTED_VALUE"""),"История и развитие на музеите в България. 80 години Исторически музей Самоков. Самоков, 2016, с. 29-40. ISBN 978-954-8623-16-2.")</f>
        <v>История и развитие на музеите в България. 80 години Исторически музей Самоков. Самоков, 2016, с. 29-40. ISBN 978-954-8623-16-2.</v>
      </c>
      <c r="F6837" s="10"/>
      <c r="G6837" s="10"/>
      <c r="H6837" s="10"/>
      <c r="I6837" s="10"/>
      <c r="J6837" s="10"/>
      <c r="K6837" s="10"/>
      <c r="L6837" s="10"/>
      <c r="M6837" s="10"/>
      <c r="N6837" s="10"/>
      <c r="O6837" s="10"/>
      <c r="P6837" s="10"/>
      <c r="Q6837" s="10"/>
      <c r="R6837" s="10"/>
      <c r="S6837" s="10"/>
      <c r="T6837" s="10"/>
      <c r="U6837" s="10"/>
      <c r="V6837" s="10"/>
      <c r="W6837" s="10"/>
      <c r="X6837" s="10"/>
      <c r="Y6837" s="10"/>
      <c r="Z6837" s="10"/>
    </row>
    <row r="6838" spans="1:26" ht="12.75">
      <c r="A6838" s="10" t="str">
        <f ca="1">IFERROR(__xludf.DUMMYFUNCTION("""COMPUTED_VALUE"""),"София Илиева Василева-Вълчева")</f>
        <v>София Илиева Василева-Вълчева</v>
      </c>
      <c r="B6838" s="10" t="str">
        <f ca="1">IFERROR(__xludf.DUMMYFUNCTION("""COMPUTED_VALUE"""),"Доклад от конференция")</f>
        <v>Доклад от конференция</v>
      </c>
      <c r="C6838" s="10" t="str">
        <f ca="1">IFERROR(__xludf.DUMMYFUNCTION("""COMPUTED_VALUE"""),"Role of education in the field of Intangible Cultural Heritage. Good practices at the University of Library Studies and Information Technologies (UNIBIT)")</f>
        <v>Role of education in the field of Intangible Cultural Heritage. Good practices at the University of Library Studies and Information Technologies (UNIBIT)</v>
      </c>
      <c r="D6838" s="10">
        <f ca="1">IFERROR(__xludf.DUMMYFUNCTION("""COMPUTED_VALUE"""),2016)</f>
        <v>2016</v>
      </c>
      <c r="E6838" s="10" t="str">
        <f ca="1">IFERROR(__xludf.DUMMYFUNCTION("""COMPUTED_VALUE"""),"Proceedings of the Travelling University Seminar for sharing knowledge on the Intangible Cultural Heritage of South-Eastern Europe, 24, 2016, Nis, Serbia. Conference papers, Sofia : Za bukvite O pismeneh, Publishing house, 2016, Том 2, с. 15-28.")</f>
        <v>Proceedings of the Travelling University Seminar for sharing knowledge on the Intangible Cultural Heritage of South-Eastern Europe, 24, 2016, Nis, Serbia. Conference papers, Sofia : Za bukvite O pismeneh, Publishing house, 2016, Том 2, с. 15-28.</v>
      </c>
      <c r="F6838" s="10"/>
      <c r="G6838" s="10"/>
      <c r="H6838" s="10"/>
      <c r="I6838" s="10"/>
      <c r="J6838" s="10"/>
      <c r="K6838" s="10"/>
      <c r="L6838" s="10"/>
      <c r="M6838" s="10"/>
      <c r="N6838" s="10"/>
      <c r="O6838" s="10"/>
      <c r="P6838" s="10"/>
      <c r="Q6838" s="10"/>
      <c r="R6838" s="10"/>
      <c r="S6838" s="10"/>
      <c r="T6838" s="10"/>
      <c r="U6838" s="10"/>
      <c r="V6838" s="10"/>
      <c r="W6838" s="10"/>
      <c r="X6838" s="10"/>
      <c r="Y6838" s="10"/>
      <c r="Z6838" s="10"/>
    </row>
    <row r="6839" spans="1:26" ht="12.75">
      <c r="A6839" s="10" t="str">
        <f ca="1">IFERROR(__xludf.DUMMYFUNCTION("""COMPUTED_VALUE"""),"София Илиева Василева-Вълчева")</f>
        <v>София Илиева Василева-Вълчева</v>
      </c>
      <c r="B6839" s="10" t="str">
        <f ca="1">IFERROR(__xludf.DUMMYFUNCTION("""COMPUTED_VALUE"""),"Доклад от конференция")</f>
        <v>Доклад от конференция</v>
      </c>
      <c r="C6839" s="10" t="str">
        <f ca="1">IFERROR(__xludf.DUMMYFUNCTION("""COMPUTED_VALUE"""),"Role of education for implementation of the UNESCO convention for the safeguarding of the Intangible Cultural Heritage")</f>
        <v>Role of education for implementation of the UNESCO convention for the safeguarding of the Intangible Cultural Heritage</v>
      </c>
      <c r="D6839" s="10">
        <f ca="1">IFERROR(__xludf.DUMMYFUNCTION("""COMPUTED_VALUE"""),2016)</f>
        <v>2016</v>
      </c>
      <c r="E6839" s="10" t="str">
        <f ca="1">IFERROR(__xludf.DUMMYFUNCTION("""COMPUTED_VALUE"""),"Proceedings of the Travelling University Seminar for sharing knowledge on the Intangible Cultural Heritage of South-Eastern Euro")</f>
        <v>Proceedings of the Travelling University Seminar for sharing knowledge on the Intangible Cultural Heritage of South-Eastern Euro</v>
      </c>
      <c r="F6839" s="10"/>
      <c r="G6839" s="10"/>
      <c r="H6839" s="10"/>
      <c r="I6839" s="10"/>
      <c r="J6839" s="10"/>
      <c r="K6839" s="10"/>
      <c r="L6839" s="10"/>
      <c r="M6839" s="10"/>
      <c r="N6839" s="10"/>
      <c r="O6839" s="10"/>
      <c r="P6839" s="10"/>
      <c r="Q6839" s="10"/>
      <c r="R6839" s="10"/>
      <c r="S6839" s="10"/>
      <c r="T6839" s="10"/>
      <c r="U6839" s="10"/>
      <c r="V6839" s="10"/>
      <c r="W6839" s="10"/>
      <c r="X6839" s="10"/>
      <c r="Y6839" s="10"/>
      <c r="Z6839" s="10"/>
    </row>
    <row r="6840" spans="1:26" ht="12.75">
      <c r="A6840" s="10" t="str">
        <f ca="1">IFERROR(__xludf.DUMMYFUNCTION("""COMPUTED_VALUE"""),"София Илиева Василева-Вълчева")</f>
        <v>София Илиева Василева-Вълчева</v>
      </c>
      <c r="B6840" s="10" t="str">
        <f ca="1">IFERROR(__xludf.DUMMYFUNCTION("""COMPUTED_VALUE"""),"Доклад от конференция")</f>
        <v>Доклад от конференция</v>
      </c>
      <c r="C6840" s="10" t="str">
        <f ca="1">IFERROR(__xludf.DUMMYFUNCTION("""COMPUTED_VALUE"""),"Организационни управленски подходи и практики на неправителствени организации в областта на културата и изкуството в Югоизточния европейски регион")</f>
        <v>Организационни управленски подходи и практики на неправителствени организации в областта на културата и изкуството в Югоизточния европейски регион</v>
      </c>
      <c r="D6840" s="10">
        <f ca="1">IFERROR(__xludf.DUMMYFUNCTION("""COMPUTED_VALUE"""),2016)</f>
        <v>2016</v>
      </c>
      <c r="E6840" s="10" t="str">
        <f ca="1">IFERROR(__xludf.DUMMYFUNCTION("""COMPUTED_VALUE"""),"Обществото на знанието и хуманизмът на 21 век Сборник от ХІ национална научна конференция, т. ХІІІ, София 2016, с. 295-304. ISSN 1314-7099.")</f>
        <v>Обществото на знанието и хуманизмът на 21 век Сборник от ХІ национална научна конференция, т. ХІІІ, София 2016, с. 295-304. ISSN 1314-7099.</v>
      </c>
      <c r="F6840" s="10"/>
      <c r="G6840" s="10"/>
      <c r="H6840" s="10"/>
      <c r="I6840" s="10"/>
      <c r="J6840" s="10"/>
      <c r="K6840" s="10"/>
      <c r="L6840" s="10"/>
      <c r="M6840" s="10"/>
      <c r="N6840" s="10"/>
      <c r="O6840" s="10"/>
      <c r="P6840" s="10"/>
      <c r="Q6840" s="10"/>
      <c r="R6840" s="10"/>
      <c r="S6840" s="10"/>
      <c r="T6840" s="10"/>
      <c r="U6840" s="10"/>
      <c r="V6840" s="10"/>
      <c r="W6840" s="10"/>
      <c r="X6840" s="10"/>
      <c r="Y6840" s="10"/>
      <c r="Z6840" s="10"/>
    </row>
    <row r="6841" spans="1:26" ht="12.75">
      <c r="A6841" s="10" t="str">
        <f ca="1">IFERROR(__xludf.DUMMYFUNCTION("""COMPUTED_VALUE"""),"София Илиева Василева-Вълчева")</f>
        <v>София Илиева Василева-Вълчева</v>
      </c>
      <c r="B6841" s="10" t="str">
        <f ca="1">IFERROR(__xludf.DUMMYFUNCTION("""COMPUTED_VALUE"""),"Доклад от конференция")</f>
        <v>Доклад от конференция</v>
      </c>
      <c r="C6841" s="10" t="str">
        <f ca="1">IFERROR(__xludf.DUMMYFUNCTION("""COMPUTED_VALUE"""),"Механизми на политиките за сътрудничество между Република България и Република Турция за опазване на недвижимото културно наследство")</f>
        <v>Механизми на политиките за сътрудничество между Република България и Република Турция за опазване на недвижимото културно наследство</v>
      </c>
      <c r="D6841" s="10">
        <f ca="1">IFERROR(__xludf.DUMMYFUNCTION("""COMPUTED_VALUE"""),2016)</f>
        <v>2016</v>
      </c>
      <c r="E6841" s="10" t="str">
        <f ca="1">IFERROR(__xludf.DUMMYFUNCTION("""COMPUTED_VALUE"""),"Сборник с научни доклади и съобщения от 10-ти научен семинар на УНИБИТ, проведен в Истанбул, 4-8 април 2015 г. София : За буквитe. ISSN 1313-2768.")</f>
        <v>Сборник с научни доклади и съобщения от 10-ти научен семинар на УНИБИТ, проведен в Истанбул, 4-8 април 2015 г. София : За буквитe. ISSN 1313-2768.</v>
      </c>
      <c r="F6841" s="10"/>
      <c r="G6841" s="10"/>
      <c r="H6841" s="10"/>
      <c r="I6841" s="10"/>
      <c r="J6841" s="10"/>
      <c r="K6841" s="10"/>
      <c r="L6841" s="10"/>
      <c r="M6841" s="10"/>
      <c r="N6841" s="10"/>
      <c r="O6841" s="10"/>
      <c r="P6841" s="10"/>
      <c r="Q6841" s="10"/>
      <c r="R6841" s="10"/>
      <c r="S6841" s="10"/>
      <c r="T6841" s="10"/>
      <c r="U6841" s="10"/>
      <c r="V6841" s="10"/>
      <c r="W6841" s="10"/>
      <c r="X6841" s="10"/>
      <c r="Y6841" s="10"/>
      <c r="Z6841" s="10"/>
    </row>
    <row r="6842" spans="1:26" ht="12.75">
      <c r="A6842" s="10" t="str">
        <f ca="1">IFERROR(__xludf.DUMMYFUNCTION("""COMPUTED_VALUE"""),"София Илиева Василева-Вълчева")</f>
        <v>София Илиева Василева-Вълчева</v>
      </c>
      <c r="B6842" s="10" t="str">
        <f ca="1">IFERROR(__xludf.DUMMYFUNCTION("""COMPUTED_VALUE"""),"Доклад от конференция")</f>
        <v>Доклад от конференция</v>
      </c>
      <c r="C6842" s="10" t="str">
        <f ca="1">IFERROR(__xludf.DUMMYFUNCTION("""COMPUTED_VALUE"""),"Възстановяване на образите на българските царе, духовни водачи и исторически личности през периода между двете световни войни")</f>
        <v>Възстановяване на образите на българските царе, духовни водачи и исторически личности през периода между двете световни войни</v>
      </c>
      <c r="D6842" s="10">
        <f ca="1">IFERROR(__xludf.DUMMYFUNCTION("""COMPUTED_VALUE"""),2016)</f>
        <v>2016</v>
      </c>
      <c r="E6842" s="10" t="str">
        <f ca="1">IFERROR(__xludf.DUMMYFUNCTION("""COMPUTED_VALUE"""),"Сборник с доклади от Национална научна конференция с международно участие „Обществото на знанието и хуманизмът на ХХІ век. София. ISSN 1314-7099.")</f>
        <v>Сборник с доклади от Национална научна конференция с международно участие „Обществото на знанието и хуманизмът на ХХІ век. София. ISSN 1314-7099.</v>
      </c>
      <c r="F6842" s="10"/>
      <c r="G6842" s="10"/>
      <c r="H6842" s="10"/>
      <c r="I6842" s="10"/>
      <c r="J6842" s="10"/>
      <c r="K6842" s="10"/>
      <c r="L6842" s="10"/>
      <c r="M6842" s="10"/>
      <c r="N6842" s="10"/>
      <c r="O6842" s="10"/>
      <c r="P6842" s="10"/>
      <c r="Q6842" s="10"/>
      <c r="R6842" s="10"/>
      <c r="S6842" s="10"/>
      <c r="T6842" s="10"/>
      <c r="U6842" s="10"/>
      <c r="V6842" s="10"/>
      <c r="W6842" s="10"/>
      <c r="X6842" s="10"/>
      <c r="Y6842" s="10"/>
      <c r="Z6842" s="10"/>
    </row>
    <row r="6843" spans="1:26" ht="12.75">
      <c r="A6843" s="10" t="str">
        <f ca="1">IFERROR(__xludf.DUMMYFUNCTION("""COMPUTED_VALUE"""),"София Илиева Василева-Вълчева")</f>
        <v>София Илиева Василева-Вълчева</v>
      </c>
      <c r="B6843" s="10" t="str">
        <f ca="1">IFERROR(__xludf.DUMMYFUNCTION("""COMPUTED_VALUE"""),"Статия в списания и поредици")</f>
        <v>Статия в списания и поредици</v>
      </c>
      <c r="C6843" s="10" t="str">
        <f ca="1">IFERROR(__xludf.DUMMYFUNCTION("""COMPUTED_VALUE"""),"Културни измерения на политиките за развитие. Международни инициативи за засилване на културното сътрудничество в Балканския регион на Европа")</f>
        <v>Културни измерения на политиките за развитие. Международни инициативи за засилване на културното сътрудничество в Балканския регион на Европа</v>
      </c>
      <c r="D6843" s="10">
        <f ca="1">IFERROR(__xludf.DUMMYFUNCTION("""COMPUTED_VALUE"""),2016)</f>
        <v>2016</v>
      </c>
      <c r="E6843" s="10" t="str">
        <f ca="1">IFERROR(__xludf.DUMMYFUNCTION("""COMPUTED_VALUE"""),"Научни трудове на Университета по библиотекознание и информационни технологии, т. ХІІI, София : 2016, с. 181-198. ISSN 1314-2623.")</f>
        <v>Научни трудове на Университета по библиотекознание и информационни технологии, т. ХІІI, София : 2016, с. 181-198. ISSN 1314-2623.</v>
      </c>
      <c r="F6843" s="10"/>
      <c r="G6843" s="10"/>
      <c r="H6843" s="10"/>
      <c r="I6843" s="10"/>
      <c r="J6843" s="10"/>
      <c r="K6843" s="10"/>
      <c r="L6843" s="10"/>
      <c r="M6843" s="10"/>
      <c r="N6843" s="10"/>
      <c r="O6843" s="10"/>
      <c r="P6843" s="10"/>
      <c r="Q6843" s="10"/>
      <c r="R6843" s="10"/>
      <c r="S6843" s="10"/>
      <c r="T6843" s="10"/>
      <c r="U6843" s="10"/>
      <c r="V6843" s="10"/>
      <c r="W6843" s="10"/>
      <c r="X6843" s="10"/>
      <c r="Y6843" s="10"/>
      <c r="Z6843" s="10"/>
    </row>
    <row r="6844" spans="1:26" ht="12.75">
      <c r="A6844" s="10" t="str">
        <f ca="1">IFERROR(__xludf.DUMMYFUNCTION("""COMPUTED_VALUE"""),"София Илиева Василева-Вълчева")</f>
        <v>София Илиева Василева-Вълчева</v>
      </c>
      <c r="B6844" s="10" t="str">
        <f ca="1">IFERROR(__xludf.DUMMYFUNCTION("""COMPUTED_VALUE"""),"Книга")</f>
        <v>Книга</v>
      </c>
      <c r="C6844" s="10" t="str">
        <f ca="1">IFERROR(__xludf.DUMMYFUNCTION("""COMPUTED_VALUE"""),"Приносът на студентското научно общество при УНИБИТ в обучението в областта на културното наследство 2005 – 2015 г.")</f>
        <v>Приносът на студентското научно общество при УНИБИТ в обучението в областта на културното наследство 2005 – 2015 г.</v>
      </c>
      <c r="D6844" s="10">
        <f ca="1">IFERROR(__xludf.DUMMYFUNCTION("""COMPUTED_VALUE"""),2016)</f>
        <v>2016</v>
      </c>
      <c r="E6844" s="10" t="str">
        <f ca="1">IFERROR(__xludf.DUMMYFUNCTION("""COMPUTED_VALUE"""),"GLORIA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2016. ISBN 978-619-185-211-6.")</f>
        <v>GLORIA BIBLIOSPHERAE (Нишката на Ариадна) : Изследвания в чест на акад. проф. Александра Куманова : Юбилеен сборник по случай 65 години от основаването на УниБИТ. - София : За буквите - О писменехь, 2016. ISBN 978-619-185-211-6.</v>
      </c>
      <c r="F6844" s="10"/>
      <c r="G6844" s="10"/>
      <c r="H6844" s="10"/>
      <c r="I6844" s="10"/>
      <c r="J6844" s="10"/>
      <c r="K6844" s="10"/>
      <c r="L6844" s="10"/>
      <c r="M6844" s="10"/>
      <c r="N6844" s="10"/>
      <c r="O6844" s="10"/>
      <c r="P6844" s="10"/>
      <c r="Q6844" s="10"/>
      <c r="R6844" s="10"/>
      <c r="S6844" s="10"/>
      <c r="T6844" s="10"/>
      <c r="U6844" s="10"/>
      <c r="V6844" s="10"/>
      <c r="W6844" s="10"/>
      <c r="X6844" s="10"/>
      <c r="Y6844" s="10"/>
      <c r="Z6844" s="10"/>
    </row>
    <row r="6845" spans="1:26" ht="12.75">
      <c r="A6845" s="10" t="str">
        <f ca="1">IFERROR(__xludf.DUMMYFUNCTION("""COMPUTED_VALUE"""),"София Илиева Василева-Вълчева")</f>
        <v>София Илиева Василева-Вълчева</v>
      </c>
      <c r="B6845" s="10" t="str">
        <f ca="1">IFERROR(__xludf.DUMMYFUNCTION("""COMPUTED_VALUE"""),"Доклад от конференция")</f>
        <v>Доклад от конференция</v>
      </c>
      <c r="C6845" s="10" t="str">
        <f ca="1">IFERROR(__xludf.DUMMYFUNCTION("""COMPUTED_VALUE"""),"Implementation of the UNESCO Convention for the Safeguarding of the Intangible Cultural Heritage through the Expanding Space for Education and Training")</f>
        <v>Implementation of the UNESCO Convention for the Safeguarding of the Intangible Cultural Heritage through the Expanding Space for Education and Training</v>
      </c>
      <c r="D6845" s="10">
        <f ca="1">IFERROR(__xludf.DUMMYFUNCTION("""COMPUTED_VALUE"""),2016)</f>
        <v>2016</v>
      </c>
      <c r="E6845" s="10" t="str">
        <f ca="1">IFERROR(__xludf.DUMMYFUNCTION("""COMPUTED_VALUE"""),"The contribution of UNESCO Member States of South-Eastern Europe for the Implementation of the Convention for the Safeguarding of the Intangible Cultural Heritage. A Jubilee Edition Dedicated to the 70th Anniversary of UNESCO. Sofia, 2016, pp. 85-96")</f>
        <v>The contribution of UNESCO Member States of South-Eastern Europe for the Implementation of the Convention for the Safeguarding of the Intangible Cultural Heritage. A Jubilee Edition Dedicated to the 70th Anniversary of UNESCO. Sofia, 2016, pp. 85-96</v>
      </c>
      <c r="F6845" s="28" t="str">
        <f ca="1">IFERROR(__xludf.DUMMYFUNCTION("""COMPUTED_VALUE"""),"www.unesco-centerbg.org/wp-new/wp-content/.../izdanie_UNESCO_interavtive.pdf")</f>
        <v>www.unesco-centerbg.org/wp-new/wp-content/.../izdanie_UNESCO_interavtive.pdf</v>
      </c>
      <c r="G6845" s="10"/>
      <c r="H6845" s="10"/>
      <c r="I6845" s="10"/>
      <c r="J6845" s="10"/>
      <c r="K6845" s="10"/>
      <c r="L6845" s="10"/>
      <c r="M6845" s="10"/>
      <c r="N6845" s="10"/>
      <c r="O6845" s="10"/>
      <c r="P6845" s="10"/>
      <c r="Q6845" s="10"/>
      <c r="R6845" s="10"/>
      <c r="S6845" s="10"/>
      <c r="T6845" s="10"/>
      <c r="U6845" s="10"/>
      <c r="V6845" s="10"/>
      <c r="W6845" s="10"/>
      <c r="X6845" s="10"/>
      <c r="Y6845" s="10"/>
      <c r="Z6845" s="10"/>
    </row>
    <row r="6846" spans="1:26" ht="12.75">
      <c r="A6846" s="10" t="str">
        <f ca="1">IFERROR(__xludf.DUMMYFUNCTION("""COMPUTED_VALUE"""),"София Илиева Василева-Вълчева")</f>
        <v>София Илиева Василева-Вълчева</v>
      </c>
      <c r="B6846" s="10" t="str">
        <f ca="1">IFERROR(__xludf.DUMMYFUNCTION("""COMPUTED_VALUE"""),"Доклад от конференция")</f>
        <v>Доклад от конференция</v>
      </c>
      <c r="C6846" s="10" t="str">
        <f ca="1">IFERROR(__xludf.DUMMYFUNCTION("""COMPUTED_VALUE"""),"Промени в системата на управление на културното наследство в България 2007 - 2017.")</f>
        <v>Промени в системата на управление на културното наследство в България 2007 - 2017.</v>
      </c>
      <c r="D6846" s="10">
        <f ca="1">IFERROR(__xludf.DUMMYFUNCTION("""COMPUTED_VALUE"""),2016)</f>
        <v>2016</v>
      </c>
      <c r="E6846" s="10" t="str">
        <f ca="1">IFERROR(__xludf.DUMMYFUNCTION("""COMPUTED_VALUE"""),"СЪВРЕМЕННИ измерения на европейското образователно и научно пространство = Modern dimensions in European education and research area: сборник с доклади. [Българо-унгарски културни общувания: Десети междунар. пътуващ семинар на УниБИТ, 30 май – 5 юни 2016 "&amp;"г., Будапеща, Унгария]. - София: За буквите – О писменехь, т. 4, с. 193-201. ISSN 2367-7988.")</f>
        <v>СЪВРЕМЕННИ измерения на европейското образователно и научно пространство = Modern dimensions in European education and research area: сборник с доклади. [Българо-унгарски културни общувания: Десети междунар. пътуващ семинар на УниБИТ, 30 май – 5 юни 2016 г., Будапеща, Унгария]. - София: За буквите – О писменехь, т. 4, с. 193-201. ISSN 2367-7988.</v>
      </c>
      <c r="F6846" s="10"/>
      <c r="G6846" s="10"/>
      <c r="H6846" s="10"/>
      <c r="I6846" s="10"/>
      <c r="J6846" s="10"/>
      <c r="K6846" s="10"/>
      <c r="L6846" s="10"/>
      <c r="M6846" s="10"/>
      <c r="N6846" s="10"/>
      <c r="O6846" s="10"/>
      <c r="P6846" s="10"/>
      <c r="Q6846" s="10"/>
      <c r="R6846" s="10"/>
      <c r="S6846" s="10"/>
      <c r="T6846" s="10"/>
      <c r="U6846" s="10"/>
      <c r="V6846" s="10"/>
      <c r="W6846" s="10"/>
      <c r="X6846" s="10"/>
      <c r="Y6846" s="10"/>
      <c r="Z6846" s="10"/>
    </row>
    <row r="6847" spans="1:26" ht="12.75">
      <c r="A6847" s="10" t="str">
        <f ca="1">IFERROR(__xludf.DUMMYFUNCTION("""COMPUTED_VALUE"""),"София Илиева Василева-Вълчева")</f>
        <v>София Илиева Василева-Вълчева</v>
      </c>
      <c r="B6847" s="10" t="str">
        <f ca="1">IFERROR(__xludf.DUMMYFUNCTION("""COMPUTED_VALUE"""),"Книга")</f>
        <v>Книга</v>
      </c>
      <c r="C6847" s="10" t="str">
        <f ca="1">IFERROR(__xludf.DUMMYFUNCTION("""COMPUTED_VALUE"""),"Proceedings of the Travelling University Seminar for sharing knowledge on the Intangible Cultural Heritage of South-Eastern Europe. November 24, 2016, Nis, Serbia")</f>
        <v>Proceedings of the Travelling University Seminar for sharing knowledge on the Intangible Cultural Heritage of South-Eastern Europe. November 24, 2016, Nis, Serbia</v>
      </c>
      <c r="D6847" s="10">
        <f ca="1">IFERROR(__xludf.DUMMYFUNCTION("""COMPUTED_VALUE"""),2016)</f>
        <v>2016</v>
      </c>
      <c r="E6847" s="10" t="str">
        <f ca="1">IFERROR(__xludf.DUMMYFUNCTION("""COMPUTED_VALUE"""),"Sofia : Za bukvite O pismeneh, Publishing house, 2016, Volume 2. -160 с.")</f>
        <v>Sofia : Za bukvite O pismeneh, Publishing house, 2016, Volume 2. -160 с.</v>
      </c>
      <c r="F6847" s="28" t="str">
        <f ca="1">IFERROR(__xludf.DUMMYFUNCTION("""COMPUTED_VALUE"""),"https://scholar.google.bg/citations?user=AlGKo-gAAAAJ&amp;hl=bg")</f>
        <v>https://scholar.google.bg/citations?user=AlGKo-gAAAAJ&amp;hl=bg</v>
      </c>
      <c r="G6847" s="10" t="str">
        <f ca="1">IFERROR(__xludf.DUMMYFUNCTION("""COMPUTED_VALUE"""),"D. Stoianova, E, Velev")</f>
        <v>D. Stoianova, E, Velev</v>
      </c>
      <c r="H6847" s="10"/>
      <c r="I6847" s="10"/>
      <c r="J6847" s="10"/>
      <c r="K6847" s="10"/>
      <c r="L6847" s="10"/>
      <c r="M6847" s="10"/>
      <c r="N6847" s="10"/>
      <c r="O6847" s="10"/>
      <c r="P6847" s="10"/>
      <c r="Q6847" s="10"/>
      <c r="R6847" s="10"/>
      <c r="S6847" s="10"/>
      <c r="T6847" s="10"/>
      <c r="U6847" s="10"/>
      <c r="V6847" s="10"/>
      <c r="W6847" s="10"/>
      <c r="X6847" s="10"/>
      <c r="Y6847" s="10"/>
      <c r="Z6847" s="10"/>
    </row>
    <row r="6848" spans="1:26" ht="12.75">
      <c r="A6848" s="10" t="str">
        <f ca="1">IFERROR(__xludf.DUMMYFUNCTION("""COMPUTED_VALUE"""),"София Илиева Василева-Вълчева")</f>
        <v>София Илиева Василева-Вълчева</v>
      </c>
      <c r="B6848" s="10" t="str">
        <f ca="1">IFERROR(__xludf.DUMMYFUNCTION("""COMPUTED_VALUE"""),"Книга")</f>
        <v>Книга</v>
      </c>
      <c r="C6848" s="10" t="str">
        <f ca="1">IFERROR(__xludf.DUMMYFUNCTION("""COMPUTED_VALUE"""),"Proceedings of the Travelling University Seminar for sharing knowledge on the Intangible Cultural Heritage of South-Eastern Europe. October 27, 2016, Edirne, Turkey")</f>
        <v>Proceedings of the Travelling University Seminar for sharing knowledge on the Intangible Cultural Heritage of South-Eastern Europe. October 27, 2016, Edirne, Turkey</v>
      </c>
      <c r="D6848" s="10">
        <f ca="1">IFERROR(__xludf.DUMMYFUNCTION("""COMPUTED_VALUE"""),2016)</f>
        <v>2016</v>
      </c>
      <c r="E6848" s="10" t="str">
        <f ca="1">IFERROR(__xludf.DUMMYFUNCTION("""COMPUTED_VALUE"""),"Sofia : Za bukvite O pismeneh, Publishing house, 2016. Volume 1. -188 c.")</f>
        <v>Sofia : Za bukvite O pismeneh, Publishing house, 2016. Volume 1. -188 c.</v>
      </c>
      <c r="F6848" s="28" t="str">
        <f ca="1">IFERROR(__xludf.DUMMYFUNCTION("""COMPUTED_VALUE"""),"https://scholar.google.bg/citations?user=AlGKo-gAAAAJ&amp;hl=bg")</f>
        <v>https://scholar.google.bg/citations?user=AlGKo-gAAAAJ&amp;hl=bg</v>
      </c>
      <c r="G6848" s="10" t="str">
        <f ca="1">IFERROR(__xludf.DUMMYFUNCTION("""COMPUTED_VALUE"""),"D. Stoianova, E, Velev")</f>
        <v>D. Stoianova, E, Velev</v>
      </c>
      <c r="H6848" s="10"/>
      <c r="I6848" s="10"/>
      <c r="J6848" s="10"/>
      <c r="K6848" s="10"/>
      <c r="L6848" s="10"/>
      <c r="M6848" s="10"/>
      <c r="N6848" s="10"/>
      <c r="O6848" s="10"/>
      <c r="P6848" s="10"/>
      <c r="Q6848" s="10"/>
      <c r="R6848" s="10"/>
      <c r="S6848" s="10"/>
      <c r="T6848" s="10"/>
      <c r="U6848" s="10"/>
      <c r="V6848" s="10"/>
      <c r="W6848" s="10"/>
      <c r="X6848" s="10"/>
      <c r="Y6848" s="10"/>
      <c r="Z6848" s="10"/>
    </row>
    <row r="6849" spans="1:26" ht="12.75">
      <c r="A6849" s="10" t="str">
        <f ca="1">IFERROR(__xludf.DUMMYFUNCTION("""COMPUTED_VALUE"""),"София Илиева Василева-Вълчева")</f>
        <v>София Илиева Василева-Вълчева</v>
      </c>
      <c r="B6849" s="10" t="str">
        <f ca="1">IFERROR(__xludf.DUMMYFUNCTION("""COMPUTED_VALUE"""),"Статия в списания и поредици")</f>
        <v>Статия в списания и поредици</v>
      </c>
      <c r="C6849" s="10" t="str">
        <f ca="1">IFERROR(__xludf.DUMMYFUNCTION("""COMPUTED_VALUE"""),"Студентски практики в областта на културно-историческото наследство")</f>
        <v>Студентски практики в областта на културно-историческото наследство</v>
      </c>
      <c r="D6849" s="10">
        <f ca="1">IFERROR(__xludf.DUMMYFUNCTION("""COMPUTED_VALUE"""),2015)</f>
        <v>2015</v>
      </c>
      <c r="E6849" s="10" t="str">
        <f ca="1">IFERROR(__xludf.DUMMYFUNCTION("""COMPUTED_VALUE"""),"Музеи и музеология - електронно списание - http://museite.com/index.php/issue1")</f>
        <v>Музеи и музеология - електронно списание - http://museite.com/index.php/issue1</v>
      </c>
      <c r="F6849" s="28" t="str">
        <f ca="1">IFERROR(__xludf.DUMMYFUNCTION("""COMPUTED_VALUE"""),"http://www.museite.com/bg/index.php/musei/ot-bulgarski-musei/85-2013-04-25-20-28-24")</f>
        <v>http://www.museite.com/bg/index.php/musei/ot-bulgarski-musei/85-2013-04-25-20-28-24</v>
      </c>
      <c r="G6849" s="10"/>
      <c r="H6849" s="10"/>
      <c r="I6849" s="10"/>
      <c r="J6849" s="10"/>
      <c r="K6849" s="10"/>
      <c r="L6849" s="10"/>
      <c r="M6849" s="10"/>
      <c r="N6849" s="10"/>
      <c r="O6849" s="10"/>
      <c r="P6849" s="10"/>
      <c r="Q6849" s="10"/>
      <c r="R6849" s="10"/>
      <c r="S6849" s="10"/>
      <c r="T6849" s="10"/>
      <c r="U6849" s="10"/>
      <c r="V6849" s="10"/>
      <c r="W6849" s="10"/>
      <c r="X6849" s="10"/>
      <c r="Y6849" s="10"/>
      <c r="Z6849" s="10"/>
    </row>
    <row r="6850" spans="1:26" ht="12.75">
      <c r="A6850" s="10" t="str">
        <f ca="1">IFERROR(__xludf.DUMMYFUNCTION("""COMPUTED_VALUE"""),"София Илиева Василева-Вълчева")</f>
        <v>София Илиева Василева-Вълчева</v>
      </c>
      <c r="B6850" s="10" t="str">
        <f ca="1">IFERROR(__xludf.DUMMYFUNCTION("""COMPUTED_VALUE"""),"Доклад от конференция")</f>
        <v>Доклад от конференция</v>
      </c>
      <c r="C6850" s="10" t="str">
        <f ca="1">IFERROR(__xludf.DUMMYFUNCTION("""COMPUTED_VALUE"""),"Арнолдо Дзоки и строителството на паметници в следосвобожденска България.")</f>
        <v>Арнолдо Дзоки и строителството на паметници в следосвобожденска България.</v>
      </c>
      <c r="D6850" s="10">
        <f ca="1">IFERROR(__xludf.DUMMYFUNCTION("""COMPUTED_VALUE"""),2015)</f>
        <v>2015</v>
      </c>
      <c r="E6850" s="10" t="str">
        <f ca="1">IFERROR(__xludf.DUMMYFUNCTION("""COMPUTED_VALUE"""),"СЪВРЕМЕННИ измерения на европейското образователно и научно пространство = Modern dimensions in European education and research area: сборник с доклади. -София : За буквите О писменехь, 2015, т. 1, с. 237-239. ISSN 2367-7988.")</f>
        <v>СЪВРЕМЕННИ измерения на европейското образователно и научно пространство = Modern dimensions in European education and research area: сборник с доклади. -София : За буквите О писменехь, 2015, т. 1, с. 237-239. ISSN 2367-7988.</v>
      </c>
      <c r="F6850" s="10"/>
      <c r="G6850" s="10"/>
      <c r="H6850" s="10"/>
      <c r="I6850" s="10"/>
      <c r="J6850" s="10"/>
      <c r="K6850" s="10"/>
      <c r="L6850" s="10"/>
      <c r="M6850" s="10"/>
      <c r="N6850" s="10"/>
      <c r="O6850" s="10"/>
      <c r="P6850" s="10"/>
      <c r="Q6850" s="10"/>
      <c r="R6850" s="10"/>
      <c r="S6850" s="10"/>
      <c r="T6850" s="10"/>
      <c r="U6850" s="10"/>
      <c r="V6850" s="10"/>
      <c r="W6850" s="10"/>
      <c r="X6850" s="10"/>
      <c r="Y6850" s="10"/>
      <c r="Z6850" s="10"/>
    </row>
    <row r="6851" spans="1:26" ht="12.75">
      <c r="A6851" s="10" t="str">
        <f ca="1">IFERROR(__xludf.DUMMYFUNCTION("""COMPUTED_VALUE"""),"София Илиева Василева-Вълчева")</f>
        <v>София Илиева Василева-Вълчева</v>
      </c>
      <c r="B6851" s="10" t="str">
        <f ca="1">IFERROR(__xludf.DUMMYFUNCTION("""COMPUTED_VALUE"""),"Доклад от конференция")</f>
        <v>Доклад от конференция</v>
      </c>
      <c r="C6851" s="10" t="str">
        <f ca="1">IFERROR(__xludf.DUMMYFUNCTION("""COMPUTED_VALUE"""),"Европейски влияния и национални приоритети в културната политика на БЗНС при мандата на просветния министър Стоян Омарчевски 1920 – 1923 г.")</f>
        <v>Европейски влияния и национални приоритети в културната политика на БЗНС при мандата на просветния министър Стоян Омарчевски 1920 – 1923 г.</v>
      </c>
      <c r="D6851" s="10">
        <f ca="1">IFERROR(__xludf.DUMMYFUNCTION("""COMPUTED_VALUE"""),2015)</f>
        <v>2015</v>
      </c>
      <c r="E6851" s="10" t="str">
        <f ca="1">IFERROR(__xludf.DUMMYFUNCTION("""COMPUTED_VALUE"""),"Сборник с доклади от ХІІ Национална научна конференция с международно участие „Обществото на знанието и хуманизмът на ХХІ век. ISSN 1314-7099.")</f>
        <v>Сборник с доклади от ХІІ Национална научна конференция с международно участие „Обществото на знанието и хуманизмът на ХХІ век. ISSN 1314-7099.</v>
      </c>
      <c r="F6851" s="10"/>
      <c r="G6851" s="10"/>
      <c r="H6851" s="10"/>
      <c r="I6851" s="10"/>
      <c r="J6851" s="10"/>
      <c r="K6851" s="10"/>
      <c r="L6851" s="10"/>
      <c r="M6851" s="10"/>
      <c r="N6851" s="10"/>
      <c r="O6851" s="10"/>
      <c r="P6851" s="10"/>
      <c r="Q6851" s="10"/>
      <c r="R6851" s="10"/>
      <c r="S6851" s="10"/>
      <c r="T6851" s="10"/>
      <c r="U6851" s="10"/>
      <c r="V6851" s="10"/>
      <c r="W6851" s="10"/>
      <c r="X6851" s="10"/>
      <c r="Y6851" s="10"/>
      <c r="Z6851" s="10"/>
    </row>
    <row r="6852" spans="1:26" ht="12.75">
      <c r="A6852" s="10" t="str">
        <f ca="1">IFERROR(__xludf.DUMMYFUNCTION("""COMPUTED_VALUE"""),"София Илиева Василева-Вълчева")</f>
        <v>София Илиева Василева-Вълчева</v>
      </c>
      <c r="B6852" s="10" t="str">
        <f ca="1">IFERROR(__xludf.DUMMYFUNCTION("""COMPUTED_VALUE"""),"Доклад от конференция")</f>
        <v>Доклад от конференция</v>
      </c>
      <c r="C6852" s="10" t="str">
        <f ca="1">IFERROR(__xludf.DUMMYFUNCTION("""COMPUTED_VALUE"""),"Приносът на България в международното сътрудничество за защита на нематериалното културно наследство")</f>
        <v>Приносът на България в международното сътрудничество за защита на нематериалното културно наследство</v>
      </c>
      <c r="D6852" s="10">
        <f ca="1">IFERROR(__xludf.DUMMYFUNCTION("""COMPUTED_VALUE"""),2015)</f>
        <v>2015</v>
      </c>
      <c r="E6852" s="10" t="str">
        <f ca="1">IFERROR(__xludf.DUMMYFUNCTION("""COMPUTED_VALUE"""),"СЪВРЕМЕННИ измерения на европейското образователно и научно пространство = Modern dimensions in European education and research area: сборник с доклади. - София: За буквите – О писменехь, София 2015, т. 2, с. 153-157. ISSN 2367-7988.")</f>
        <v>СЪВРЕМЕННИ измерения на европейското образователно и научно пространство = Modern dimensions in European education and research area: сборник с доклади. - София: За буквите – О писменехь, София 2015, т. 2, с. 153-157. ISSN 2367-7988.</v>
      </c>
      <c r="F6852" s="10"/>
      <c r="G6852" s="10"/>
      <c r="H6852" s="10"/>
      <c r="I6852" s="10"/>
      <c r="J6852" s="10"/>
      <c r="K6852" s="10"/>
      <c r="L6852" s="10"/>
      <c r="M6852" s="10"/>
      <c r="N6852" s="10"/>
      <c r="O6852" s="10"/>
      <c r="P6852" s="10"/>
      <c r="Q6852" s="10"/>
      <c r="R6852" s="10"/>
      <c r="S6852" s="10"/>
      <c r="T6852" s="10"/>
      <c r="U6852" s="10"/>
      <c r="V6852" s="10"/>
      <c r="W6852" s="10"/>
      <c r="X6852" s="10"/>
      <c r="Y6852" s="10"/>
      <c r="Z6852" s="10"/>
    </row>
    <row r="6853" spans="1:26" ht="12.75">
      <c r="A6853" s="10" t="str">
        <f ca="1">IFERROR(__xludf.DUMMYFUNCTION("""COMPUTED_VALUE"""),"София Илиева Василева-Вълчева")</f>
        <v>София Илиева Василева-Вълчева</v>
      </c>
      <c r="B6853" s="10" t="str">
        <f ca="1">IFERROR(__xludf.DUMMYFUNCTION("""COMPUTED_VALUE"""),"Доклад от конференция")</f>
        <v>Доклад от конференция</v>
      </c>
      <c r="C6853" s="10" t="str">
        <f ca="1">IFERROR(__xludf.DUMMYFUNCTION("""COMPUTED_VALUE"""),"Major projects and initiatives of the Council of Europe for expanding the cultural cooperation in the conditions of information society and european integration")</f>
        <v>Major projects and initiatives of the Council of Europe for expanding the cultural cooperation in the conditions of information society and european integration</v>
      </c>
      <c r="D6853" s="10">
        <f ca="1">IFERROR(__xludf.DUMMYFUNCTION("""COMPUTED_VALUE"""),2015)</f>
        <v>2015</v>
      </c>
      <c r="E6853" s="10" t="str">
        <f ca="1">IFERROR(__xludf.DUMMYFUNCTION("""COMPUTED_VALUE"""),"Съвременни измерения на европейското образователно и научно пространство. Българо-малтийски културни общувания. Сборник с доклади, 1-6 юни 2015 г. - София: За буквите - О писменехь, Т.3, Ч. IX. ISSN 2367-7988.")</f>
        <v>Съвременни измерения на европейското образователно и научно пространство. Българо-малтийски културни общувания. Сборник с доклади, 1-6 юни 2015 г. - София: За буквите - О писменехь, Т.3, Ч. IX. ISSN 2367-7988.</v>
      </c>
      <c r="F6853" s="10"/>
      <c r="G6853" s="10"/>
      <c r="H6853" s="10"/>
      <c r="I6853" s="10"/>
      <c r="J6853" s="10"/>
      <c r="K6853" s="10"/>
      <c r="L6853" s="10"/>
      <c r="M6853" s="10"/>
      <c r="N6853" s="10"/>
      <c r="O6853" s="10"/>
      <c r="P6853" s="10"/>
      <c r="Q6853" s="10"/>
      <c r="R6853" s="10"/>
      <c r="S6853" s="10"/>
      <c r="T6853" s="10"/>
      <c r="U6853" s="10"/>
      <c r="V6853" s="10"/>
      <c r="W6853" s="10"/>
      <c r="X6853" s="10"/>
      <c r="Y6853" s="10"/>
      <c r="Z6853" s="10"/>
    </row>
    <row r="6854" spans="1:26" ht="12.75">
      <c r="A6854" s="10" t="str">
        <f ca="1">IFERROR(__xludf.DUMMYFUNCTION("""COMPUTED_VALUE"""),"София Илиева Василева-Вълчева")</f>
        <v>София Илиева Василева-Вълчева</v>
      </c>
      <c r="B6854" s="10" t="str">
        <f ca="1">IFERROR(__xludf.DUMMYFUNCTION("""COMPUTED_VALUE"""),"Доклад от конференция")</f>
        <v>Доклад от конференция</v>
      </c>
      <c r="C6854" s="10" t="str">
        <f ca="1">IFERROR(__xludf.DUMMYFUNCTION("""COMPUTED_VALUE"""),"София – малката Виена. Маркери на модернизацията и културно-историческото наследство от края на ХІХ и началото на ХХ век.")</f>
        <v>София – малката Виена. Маркери на модернизацията и културно-историческото наследство от края на ХІХ и началото на ХХ век.</v>
      </c>
      <c r="D6854" s="10">
        <f ca="1">IFERROR(__xludf.DUMMYFUNCTION("""COMPUTED_VALUE"""),2015)</f>
        <v>2015</v>
      </c>
      <c r="E6854" s="10" t="str">
        <f ca="1">IFERROR(__xludf.DUMMYFUNCTION("""COMPUTED_VALUE"""),"СЪВРЕМЕННИ измерения на европейското образователно и научно пространство = Modern dimensions in European education and research area: сборник с доклади. - София 2015, т. 1, с. 360-363. ISSN 2367-7988.")</f>
        <v>СЪВРЕМЕННИ измерения на европейското образователно и научно пространство = Modern dimensions in European education and research area: сборник с доклади. - София 2015, т. 1, с. 360-363. ISSN 2367-7988.</v>
      </c>
      <c r="F6854" s="10"/>
      <c r="G6854" s="10"/>
      <c r="H6854" s="10"/>
      <c r="I6854" s="10"/>
      <c r="J6854" s="10"/>
      <c r="K6854" s="10"/>
      <c r="L6854" s="10"/>
      <c r="M6854" s="10"/>
      <c r="N6854" s="10"/>
      <c r="O6854" s="10"/>
      <c r="P6854" s="10"/>
      <c r="Q6854" s="10"/>
      <c r="R6854" s="10"/>
      <c r="S6854" s="10"/>
      <c r="T6854" s="10"/>
      <c r="U6854" s="10"/>
      <c r="V6854" s="10"/>
      <c r="W6854" s="10"/>
      <c r="X6854" s="10"/>
      <c r="Y6854" s="10"/>
      <c r="Z6854" s="10"/>
    </row>
    <row r="6855" spans="1:26" ht="12.75">
      <c r="A6855" s="10" t="str">
        <f ca="1">IFERROR(__xludf.DUMMYFUNCTION("""COMPUTED_VALUE"""),"София Илиева Василева-Вълчева")</f>
        <v>София Илиева Василева-Вълчева</v>
      </c>
      <c r="B6855" s="10" t="str">
        <f ca="1">IFERROR(__xludf.DUMMYFUNCTION("""COMPUTED_VALUE"""),"Доклад от конференция")</f>
        <v>Доклад от конференция</v>
      </c>
      <c r="C6855" s="10" t="str">
        <f ca="1">IFERROR(__xludf.DUMMYFUNCTION("""COMPUTED_VALUE"""),"Cultural Heritage. Multimedia lectures and learning materials")</f>
        <v>Cultural Heritage. Multimedia lectures and learning materials</v>
      </c>
      <c r="D6855" s="10">
        <f ca="1">IFERROR(__xludf.DUMMYFUNCTION("""COMPUTED_VALUE"""),2015)</f>
        <v>2015</v>
      </c>
      <c r="E6855" s="10" t="str">
        <f ca="1">IFERROR(__xludf.DUMMYFUNCTION("""COMPUTED_VALUE"""),"UNESCO International Workshop Quality of Education and Challenges in a Digitally Networked World 2015, Sofia, Bulgaria. Pp. 13")</f>
        <v>UNESCO International Workshop Quality of Education and Challenges in a Digitally Networked World 2015, Sofia, Bulgaria. Pp. 13</v>
      </c>
      <c r="F6855" s="10"/>
      <c r="G6855" s="10"/>
      <c r="H6855" s="10"/>
      <c r="I6855" s="10"/>
      <c r="J6855" s="10"/>
      <c r="K6855" s="10"/>
      <c r="L6855" s="10"/>
      <c r="M6855" s="10"/>
      <c r="N6855" s="10"/>
      <c r="O6855" s="10"/>
      <c r="P6855" s="10"/>
      <c r="Q6855" s="10"/>
      <c r="R6855" s="10"/>
      <c r="S6855" s="10"/>
      <c r="T6855" s="10"/>
      <c r="U6855" s="10"/>
      <c r="V6855" s="10"/>
      <c r="W6855" s="10"/>
      <c r="X6855" s="10"/>
      <c r="Y6855" s="10"/>
      <c r="Z6855" s="10"/>
    </row>
    <row r="6856" spans="1:26" ht="12.75">
      <c r="A6856" s="10" t="str">
        <f ca="1">IFERROR(__xludf.DUMMYFUNCTION("""COMPUTED_VALUE"""),"София Илиева Василева-Вълчева")</f>
        <v>София Илиева Василева-Вълчева</v>
      </c>
      <c r="B6856" s="10" t="str">
        <f ca="1">IFERROR(__xludf.DUMMYFUNCTION("""COMPUTED_VALUE"""),"Статия в списания и поредици")</f>
        <v>Статия в списания и поредици</v>
      </c>
      <c r="C6856" s="10" t="str">
        <f ca="1">IFERROR(__xludf.DUMMYFUNCTION("""COMPUTED_VALUE"""),"Модели за културни политики прилагани в държави от Балканския регион")</f>
        <v>Модели за културни политики прилагани в държави от Балканския регион</v>
      </c>
      <c r="D6856" s="10">
        <f ca="1">IFERROR(__xludf.DUMMYFUNCTION("""COMPUTED_VALUE"""),2015)</f>
        <v>2015</v>
      </c>
      <c r="E6856" s="10" t="str">
        <f ca="1">IFERROR(__xludf.DUMMYFUNCTION("""COMPUTED_VALUE"""),"Научни трудове на Университета по библиотекознание и информационни технологии, т. ХІІ, София : 2015, с. 181-198. 1314-2623.")</f>
        <v>Научни трудове на Университета по библиотекознание и информационни технологии, т. ХІІ, София : 2015, с. 181-198. 1314-2623.</v>
      </c>
      <c r="F6856" s="10"/>
      <c r="G6856" s="10"/>
      <c r="H6856" s="10"/>
      <c r="I6856" s="10"/>
      <c r="J6856" s="10"/>
      <c r="K6856" s="10"/>
      <c r="L6856" s="10"/>
      <c r="M6856" s="10"/>
      <c r="N6856" s="10"/>
      <c r="O6856" s="10"/>
      <c r="P6856" s="10"/>
      <c r="Q6856" s="10"/>
      <c r="R6856" s="10"/>
      <c r="S6856" s="10"/>
      <c r="T6856" s="10"/>
      <c r="U6856" s="10"/>
      <c r="V6856" s="10"/>
      <c r="W6856" s="10"/>
      <c r="X6856" s="10"/>
      <c r="Y6856" s="10"/>
      <c r="Z6856" s="10"/>
    </row>
    <row r="6857" spans="1:26" ht="12.75">
      <c r="A6857" s="10" t="str">
        <f ca="1">IFERROR(__xludf.DUMMYFUNCTION("""COMPUTED_VALUE"""),"София Илиева Василева-Вълчева")</f>
        <v>София Илиева Василева-Вълчева</v>
      </c>
      <c r="B6857" s="10" t="str">
        <f ca="1">IFERROR(__xludf.DUMMYFUNCTION("""COMPUTED_VALUE"""),"Статия в списания и поредици")</f>
        <v>Статия в списания и поредици</v>
      </c>
      <c r="C6857" s="10" t="str">
        <f ca="1">IFERROR(__xludf.DUMMYFUNCTION("""COMPUTED_VALUE"""),"Международни документи, проекти и инициативи свързани с недвижимото културно наследство и влиянието им върху реформите в националното законодателство.")</f>
        <v>Международни документи, проекти и инициативи свързани с недвижимото културно наследство и влиянието им върху реформите в националното законодателство.</v>
      </c>
      <c r="D6857" s="10">
        <f ca="1">IFERROR(__xludf.DUMMYFUNCTION("""COMPUTED_VALUE"""),2014)</f>
        <v>2014</v>
      </c>
      <c r="E6857" s="10" t="str">
        <f ca="1">IFERROR(__xludf.DUMMYFUNCTION("""COMPUTED_VALUE"""),"Сборник с научни публикации, разработени в рамките на проект „Модерният град и съхраняване на националната идентичност“, финан")</f>
        <v>Сборник с научни публикации, разработени в рамките на проект „Модерният град и съхраняване на националната идентичност“, финан</v>
      </c>
      <c r="F6857" s="10"/>
      <c r="G6857" s="10"/>
      <c r="H6857" s="10"/>
      <c r="I6857" s="10"/>
      <c r="J6857" s="10"/>
      <c r="K6857" s="10"/>
      <c r="L6857" s="10"/>
      <c r="M6857" s="10"/>
      <c r="N6857" s="10"/>
      <c r="O6857" s="10"/>
      <c r="P6857" s="10"/>
      <c r="Q6857" s="10"/>
      <c r="R6857" s="10"/>
      <c r="S6857" s="10"/>
      <c r="T6857" s="10"/>
      <c r="U6857" s="10"/>
      <c r="V6857" s="10"/>
      <c r="W6857" s="10"/>
      <c r="X6857" s="10"/>
      <c r="Y6857" s="10"/>
      <c r="Z6857" s="10"/>
    </row>
    <row r="6858" spans="1:26" ht="12.75">
      <c r="A6858" s="10" t="str">
        <f ca="1">IFERROR(__xludf.DUMMYFUNCTION("""COMPUTED_VALUE"""),"София Илиева Василева-Вълчева")</f>
        <v>София Илиева Василева-Вълчева</v>
      </c>
      <c r="B6858" s="10" t="str">
        <f ca="1">IFERROR(__xludf.DUMMYFUNCTION("""COMPUTED_VALUE"""),"Книга")</f>
        <v>Книга</v>
      </c>
      <c r="C6858" s="10" t="str">
        <f ca="1">IFERROR(__xludf.DUMMYFUNCTION("""COMPUTED_VALUE"""),"Международни правителствени и неправителствени организации в областта на културата и изкуството с дейност в Югоизточния европейски регион")</f>
        <v>Международни правителствени и неправителствени организации в областта на културата и изкуството с дейност в Югоизточния европейски регион</v>
      </c>
      <c r="D6858" s="10">
        <f ca="1">IFERROR(__xludf.DUMMYFUNCTION("""COMPUTED_VALUE"""),2014)</f>
        <v>2014</v>
      </c>
      <c r="E6858" s="10" t="str">
        <f ca="1">IFERROR(__xludf.DUMMYFUNCTION("""COMPUTED_VALUE"""),"За буквите-О писменехь")</f>
        <v>За буквите-О писменехь</v>
      </c>
      <c r="F6858" s="10"/>
      <c r="G6858" s="10"/>
      <c r="H6858" s="10"/>
      <c r="I6858" s="10"/>
      <c r="J6858" s="10"/>
      <c r="K6858" s="10"/>
      <c r="L6858" s="10"/>
      <c r="M6858" s="10"/>
      <c r="N6858" s="10"/>
      <c r="O6858" s="10"/>
      <c r="P6858" s="10"/>
      <c r="Q6858" s="10"/>
      <c r="R6858" s="10"/>
      <c r="S6858" s="10"/>
      <c r="T6858" s="10"/>
      <c r="U6858" s="10"/>
      <c r="V6858" s="10"/>
      <c r="W6858" s="10"/>
      <c r="X6858" s="10"/>
      <c r="Y6858" s="10"/>
      <c r="Z6858" s="10"/>
    </row>
    <row r="6859" spans="1:26" ht="12.75">
      <c r="A6859" s="10" t="str">
        <f ca="1">IFERROR(__xludf.DUMMYFUNCTION("""COMPUTED_VALUE"""),"София Илиева Василева-Вълчева")</f>
        <v>София Илиева Василева-Вълчева</v>
      </c>
      <c r="B6859" s="10" t="str">
        <f ca="1">IFERROR(__xludf.DUMMYFUNCTION("""COMPUTED_VALUE"""),"Статия в списания и поредици")</f>
        <v>Статия в списания и поредици</v>
      </c>
      <c r="C6859" s="10" t="str">
        <f ca="1">IFERROR(__xludf.DUMMYFUNCTION("""COMPUTED_VALUE"""),"Модели за студентски практики и културни маршрути с учебна цел в областта на културно-историческото, реализирани в сътрудничество с музеи и общини")</f>
        <v>Модели за студентски практики и културни маршрути с учебна цел в областта на културно-историческото, реализирани в сътрудничество с музеи и общини</v>
      </c>
      <c r="D6859" s="10">
        <f ca="1">IFERROR(__xludf.DUMMYFUNCTION("""COMPUTED_VALUE"""),2014)</f>
        <v>2014</v>
      </c>
      <c r="E6859" s="10" t="str">
        <f ca="1">IFERROR(__xludf.DUMMYFUNCTION("""COMPUTED_VALUE"""),"Известия на Регионален исторически музей Шумен, т. 16, Велико Търново : Фабер, 2014, с. 606-614. ISSN 0861–9581.")</f>
        <v>Известия на Регионален исторически музей Шумен, т. 16, Велико Търново : Фабер, 2014, с. 606-614. ISSN 0861–9581.</v>
      </c>
      <c r="F6859" s="10"/>
      <c r="G6859" s="10"/>
      <c r="H6859" s="10"/>
      <c r="I6859" s="10"/>
      <c r="J6859" s="10"/>
      <c r="K6859" s="10"/>
      <c r="L6859" s="10"/>
      <c r="M6859" s="10"/>
      <c r="N6859" s="10"/>
      <c r="O6859" s="10"/>
      <c r="P6859" s="10"/>
      <c r="Q6859" s="10"/>
      <c r="R6859" s="10"/>
      <c r="S6859" s="10"/>
      <c r="T6859" s="10"/>
      <c r="U6859" s="10"/>
      <c r="V6859" s="10"/>
      <c r="W6859" s="10"/>
      <c r="X6859" s="10"/>
      <c r="Y6859" s="10"/>
      <c r="Z6859" s="10"/>
    </row>
    <row r="6860" spans="1:26" ht="12.75">
      <c r="A6860" s="10" t="str">
        <f ca="1">IFERROR(__xludf.DUMMYFUNCTION("""COMPUTED_VALUE"""),"София Илиева Василева-Вълчева")</f>
        <v>София Илиева Василева-Вълчева</v>
      </c>
      <c r="B6860" s="10" t="str">
        <f ca="1">IFERROR(__xludf.DUMMYFUNCTION("""COMPUTED_VALUE"""),"Доклад от конференция")</f>
        <v>Доклад от конференция</v>
      </c>
      <c r="C6860" s="10" t="str">
        <f ca="1">IFERROR(__xludf.DUMMYFUNCTION("""COMPUTED_VALUE"""),"Културно наследство и устойчиво развитие. Методологическа рамка. Система на ЮНЕСКО за статистика на културата")</f>
        <v>Културно наследство и устойчиво развитие. Методологическа рамка. Система на ЮНЕСКО за статистика на културата</v>
      </c>
      <c r="D6860" s="10">
        <f ca="1">IFERROR(__xludf.DUMMYFUNCTION("""COMPUTED_VALUE"""),2014)</f>
        <v>2014</v>
      </c>
      <c r="E6860" s="10" t="str">
        <f ca="1">IFERROR(__xludf.DUMMYFUNCTION("""COMPUTED_VALUE"""),"Сборник с доклади от Национална научна конференция с международно участие „Обществото на знанието и хуманизмът на ХХІ век. София, 2014.с.220-229. ISSN 1314-7099.")</f>
        <v>Сборник с доклади от Национална научна конференция с международно участие „Обществото на знанието и хуманизмът на ХХІ век. София, 2014.с.220-229. ISSN 1314-7099.</v>
      </c>
      <c r="F6860" s="10"/>
      <c r="G6860" s="10"/>
      <c r="H6860" s="10"/>
      <c r="I6860" s="10"/>
      <c r="J6860" s="10"/>
      <c r="K6860" s="10"/>
      <c r="L6860" s="10"/>
      <c r="M6860" s="10"/>
      <c r="N6860" s="10"/>
      <c r="O6860" s="10"/>
      <c r="P6860" s="10"/>
      <c r="Q6860" s="10"/>
      <c r="R6860" s="10"/>
      <c r="S6860" s="10"/>
      <c r="T6860" s="10"/>
      <c r="U6860" s="10"/>
      <c r="V6860" s="10"/>
      <c r="W6860" s="10"/>
      <c r="X6860" s="10"/>
      <c r="Y6860" s="10"/>
      <c r="Z6860" s="10"/>
    </row>
    <row r="6861" spans="1:26" ht="12.75">
      <c r="A6861" s="10" t="str">
        <f ca="1">IFERROR(__xludf.DUMMYFUNCTION("""COMPUTED_VALUE"""),"София Илиева Василева-Вълчева")</f>
        <v>София Илиева Василева-Вълчева</v>
      </c>
      <c r="B6861" s="10" t="str">
        <f ca="1">IFERROR(__xludf.DUMMYFUNCTION("""COMPUTED_VALUE"""),"Доклад от конференция")</f>
        <v>Доклад от конференция</v>
      </c>
      <c r="C6861" s="10" t="str">
        <f ca="1">IFERROR(__xludf.DUMMYFUNCTION("""COMPUTED_VALUE"""),"Иновативни подходи в обучението в областта на културното наследство. Представяне на добри практики от опита на УНИБИТ за сътрудничество с музейни институции и общини")</f>
        <v>Иновативни подходи в обучението в областта на културното наследство. Представяне на добри практики от опита на УНИБИТ за сътрудничество с музейни институции и общини</v>
      </c>
      <c r="D6861" s="10">
        <f ca="1">IFERROR(__xludf.DUMMYFUNCTION("""COMPUTED_VALUE"""),2014)</f>
        <v>2014</v>
      </c>
      <c r="E6861" s="10" t="str">
        <f ca="1">IFERROR(__xludf.DUMMYFUNCTION("""COMPUTED_VALUE"""),"Сборник с доклади от научен семинар - Приложението на дидактически методи с евристичен характер (интерактивни методи) в академична среда. С. 2014, с. 99-109. Електронно издание ISBN 978-619-185-144-7")</f>
        <v>Сборник с доклади от научен семинар - Приложението на дидактически методи с евристичен характер (интерактивни методи) в академична среда. С. 2014, с. 99-109. Електронно издание ISBN 978-619-185-144-7</v>
      </c>
      <c r="F6861" s="10"/>
      <c r="G6861" s="10"/>
      <c r="H6861" s="10"/>
      <c r="I6861" s="10"/>
      <c r="J6861" s="10"/>
      <c r="K6861" s="10"/>
      <c r="L6861" s="10"/>
      <c r="M6861" s="10"/>
      <c r="N6861" s="10"/>
      <c r="O6861" s="10"/>
      <c r="P6861" s="10"/>
      <c r="Q6861" s="10"/>
      <c r="R6861" s="10"/>
      <c r="S6861" s="10"/>
      <c r="T6861" s="10"/>
      <c r="U6861" s="10"/>
      <c r="V6861" s="10"/>
      <c r="W6861" s="10"/>
      <c r="X6861" s="10"/>
      <c r="Y6861" s="10"/>
      <c r="Z6861" s="10"/>
    </row>
    <row r="6862" spans="1:26" ht="12.75">
      <c r="A6862" s="10" t="str">
        <f ca="1">IFERROR(__xludf.DUMMYFUNCTION("""COMPUTED_VALUE"""),"София Илиева Василева-Вълчева")</f>
        <v>София Илиева Василева-Вълчева</v>
      </c>
      <c r="B6862" s="10" t="str">
        <f ca="1">IFERROR(__xludf.DUMMYFUNCTION("""COMPUTED_VALUE"""),"Статия в списания и поредици")</f>
        <v>Статия в списания и поредици</v>
      </c>
      <c r="C6862" s="10" t="str">
        <f ca="1">IFERROR(__xludf.DUMMYFUNCTION("""COMPUTED_VALUE"""),"Тенденции в международната нормативна система, свързана с културното наследство")</f>
        <v>Тенденции в международната нормативна система, свързана с културното наследство</v>
      </c>
      <c r="D6862" s="10">
        <f ca="1">IFERROR(__xludf.DUMMYFUNCTION("""COMPUTED_VALUE"""),2014)</f>
        <v>2014</v>
      </c>
      <c r="E6862" s="10" t="str">
        <f ca="1">IFERROR(__xludf.DUMMYFUNCTION("""COMPUTED_VALUE"""),"Научни трудове на Университета по библиотекознание и информационни технологии, т. ХІ, София : 2014, с. 183-196. ISSN 1314-2623.")</f>
        <v>Научни трудове на Университета по библиотекознание и информационни технологии, т. ХІ, София : 2014, с. 183-196. ISSN 1314-2623.</v>
      </c>
      <c r="F6862" s="10"/>
      <c r="G6862" s="10"/>
      <c r="H6862" s="10"/>
      <c r="I6862" s="10"/>
      <c r="J6862" s="10"/>
      <c r="K6862" s="10"/>
      <c r="L6862" s="10"/>
      <c r="M6862" s="10"/>
      <c r="N6862" s="10"/>
      <c r="O6862" s="10"/>
      <c r="P6862" s="10"/>
      <c r="Q6862" s="10"/>
      <c r="R6862" s="10"/>
      <c r="S6862" s="10"/>
      <c r="T6862" s="10"/>
      <c r="U6862" s="10"/>
      <c r="V6862" s="10"/>
      <c r="W6862" s="10"/>
      <c r="X6862" s="10"/>
      <c r="Y6862" s="10"/>
      <c r="Z6862" s="10"/>
    </row>
    <row r="6863" spans="1:26" ht="12.75">
      <c r="A6863" s="10" t="str">
        <f ca="1">IFERROR(__xludf.DUMMYFUNCTION("""COMPUTED_VALUE"""),"София Илиева Василева-Вълчева")</f>
        <v>София Илиева Василева-Вълчева</v>
      </c>
      <c r="B6863" s="10" t="str">
        <f ca="1">IFERROR(__xludf.DUMMYFUNCTION("""COMPUTED_VALUE"""),"Книга")</f>
        <v>Книга</v>
      </c>
      <c r="C6863" s="10" t="str">
        <f ca="1">IFERROR(__xludf.DUMMYFUNCTION("""COMPUTED_VALUE"""),"Културно наследство и устойчиво развитие. Концепции, политики, добри практики")</f>
        <v>Културно наследство и устойчиво развитие. Концепции, политики, добри практики</v>
      </c>
      <c r="D6863" s="10">
        <f ca="1">IFERROR(__xludf.DUMMYFUNCTION("""COMPUTED_VALUE"""),2014)</f>
        <v>2014</v>
      </c>
      <c r="E6863" s="10" t="str">
        <f ca="1">IFERROR(__xludf.DUMMYFUNCTION("""COMPUTED_VALUE"""),"София : За буквите - о писменехь, 2013, 279 c. ISBN 978-954-2946-59-5.")</f>
        <v>София : За буквите - о писменехь, 2013, 279 c. ISBN 978-954-2946-59-5.</v>
      </c>
      <c r="F6863" s="10"/>
      <c r="G6863" s="10"/>
      <c r="H6863" s="10"/>
      <c r="I6863" s="10"/>
      <c r="J6863" s="10"/>
      <c r="K6863" s="10"/>
      <c r="L6863" s="10"/>
      <c r="M6863" s="10"/>
      <c r="N6863" s="10"/>
      <c r="O6863" s="10"/>
      <c r="P6863" s="10"/>
      <c r="Q6863" s="10"/>
      <c r="R6863" s="10"/>
      <c r="S6863" s="10"/>
      <c r="T6863" s="10"/>
      <c r="U6863" s="10"/>
      <c r="V6863" s="10"/>
      <c r="W6863" s="10"/>
      <c r="X6863" s="10"/>
      <c r="Y6863" s="10"/>
      <c r="Z6863" s="10"/>
    </row>
    <row r="6864" spans="1:26" ht="12.75">
      <c r="A6864" s="10" t="str">
        <f ca="1">IFERROR(__xludf.DUMMYFUNCTION("""COMPUTED_VALUE"""),"София Илиева Василева-Вълчева")</f>
        <v>София Илиева Василева-Вълчева</v>
      </c>
      <c r="B6864" s="10" t="str">
        <f ca="1">IFERROR(__xludf.DUMMYFUNCTION("""COMPUTED_VALUE"""),"Доклад от конференция")</f>
        <v>Доклад от конференция</v>
      </c>
      <c r="C6864" s="10" t="str">
        <f ca="1">IFERROR(__xludf.DUMMYFUNCTION("""COMPUTED_VALUE"""),"Българският дебат за културно-историческото наследство и европейската интеграция")</f>
        <v>Българският дебат за културно-историческото наследство и европейската интеграция</v>
      </c>
      <c r="D6864" s="10">
        <f ca="1">IFERROR(__xludf.DUMMYFUNCTION("""COMPUTED_VALUE"""),2014)</f>
        <v>2014</v>
      </c>
      <c r="E6864" s="10" t="str">
        <f ca="1">IFERROR(__xludf.DUMMYFUNCTION("""COMPUTED_VALUE"""),"Съвременни визии за изследване, преподаване и популяризиране на българското културно-историческо наследство : сборник с научни изследвания по случай 10-годишния юбилей на катедра ""Културно-историческо наследство"" при Университета по библиотекознание и и"&amp;"нформационни технологии. - София : За буквите - О писменехь, 2014. ISBN 978-619-185-025-9.")</f>
        <v>Съвременни визии за изследване, преподаване и популяризиране на българското културно-историческо наследство : сборник с научни изследвания по случай 10-годишния юбилей на катедра "Културно-историческо наследство" при Университета по библиотекознание и информационни технологии. - София : За буквите - О писменехь, 2014. ISBN 978-619-185-025-9.</v>
      </c>
      <c r="F6864" s="10"/>
      <c r="G6864" s="10"/>
      <c r="H6864" s="10"/>
      <c r="I6864" s="10"/>
      <c r="J6864" s="10"/>
      <c r="K6864" s="10"/>
      <c r="L6864" s="10"/>
      <c r="M6864" s="10"/>
      <c r="N6864" s="10"/>
      <c r="O6864" s="10"/>
      <c r="P6864" s="10"/>
      <c r="Q6864" s="10"/>
      <c r="R6864" s="10"/>
      <c r="S6864" s="10"/>
      <c r="T6864" s="10"/>
      <c r="U6864" s="10"/>
      <c r="V6864" s="10"/>
      <c r="W6864" s="10"/>
      <c r="X6864" s="10"/>
      <c r="Y6864" s="10"/>
      <c r="Z6864" s="10"/>
    </row>
    <row r="6865" spans="1:26" ht="12.75">
      <c r="A6865" s="10" t="str">
        <f ca="1">IFERROR(__xludf.DUMMYFUNCTION("""COMPUTED_VALUE"""),"София Илиева Василева-Вълчева")</f>
        <v>София Илиева Василева-Вълчева</v>
      </c>
      <c r="B6865" s="10" t="str">
        <f ca="1">IFERROR(__xludf.DUMMYFUNCTION("""COMPUTED_VALUE"""),"Статия в списания и поредици")</f>
        <v>Статия в списания и поредици</v>
      </c>
      <c r="C6865" s="10" t="str">
        <f ca="1">IFERROR(__xludf.DUMMYFUNCTION("""COMPUTED_VALUE"""),"Тенденции в опазването на архивите в новата информационна среда")</f>
        <v>Тенденции в опазването на архивите в новата информационна среда</v>
      </c>
      <c r="D6865" s="10">
        <f ca="1">IFERROR(__xludf.DUMMYFUNCTION("""COMPUTED_VALUE"""),2014)</f>
        <v>2014</v>
      </c>
      <c r="E6865" s="10" t="str">
        <f ca="1">IFERROR(__xludf.DUMMYFUNCTION("""COMPUTED_VALUE"""),"сп. Издател, 2014, бр. 3-4, с. 9-12. ISSN 1310-4624.")</f>
        <v>сп. Издател, 2014, бр. 3-4, с. 9-12. ISSN 1310-4624.</v>
      </c>
      <c r="F6865" s="10"/>
      <c r="G6865" s="10" t="str">
        <f ca="1">IFERROR(__xludf.DUMMYFUNCTION("""COMPUTED_VALUE"""),"Т. Дамянова")</f>
        <v>Т. Дамянова</v>
      </c>
      <c r="H6865" s="10"/>
      <c r="I6865" s="10"/>
      <c r="J6865" s="10"/>
      <c r="K6865" s="10"/>
      <c r="L6865" s="10"/>
      <c r="M6865" s="10"/>
      <c r="N6865" s="10"/>
      <c r="O6865" s="10"/>
      <c r="P6865" s="10"/>
      <c r="Q6865" s="10"/>
      <c r="R6865" s="10"/>
      <c r="S6865" s="10"/>
      <c r="T6865" s="10"/>
      <c r="U6865" s="10"/>
      <c r="V6865" s="10"/>
      <c r="W6865" s="10"/>
      <c r="X6865" s="10"/>
      <c r="Y6865" s="10"/>
      <c r="Z6865" s="10"/>
    </row>
    <row r="6866" spans="1:26" ht="12.75">
      <c r="A6866" s="10" t="str">
        <f ca="1">IFERROR(__xludf.DUMMYFUNCTION("""COMPUTED_VALUE"""),"София Илиева Василева-Вълчева")</f>
        <v>София Илиева Василева-Вълчева</v>
      </c>
      <c r="B6866" s="10" t="str">
        <f ca="1">IFERROR(__xludf.DUMMYFUNCTION("""COMPUTED_VALUE"""),"Доклад от конференция")</f>
        <v>Доклад от конференция</v>
      </c>
      <c r="C6866" s="10" t="str">
        <f ca="1">IFERROR(__xludf.DUMMYFUNCTION("""COMPUTED_VALUE"""),"Просветителска, публицистична и обществено-политическа дейност на Димитър Драгиев")</f>
        <v>Просветителска, публицистична и обществено-политическа дейност на Димитър Драгиев</v>
      </c>
      <c r="D6866" s="10">
        <f ca="1">IFERROR(__xludf.DUMMYFUNCTION("""COMPUTED_VALUE"""),2013)</f>
        <v>2013</v>
      </c>
      <c r="E6866" s="10" t="str">
        <f ca="1">IFERROR(__xludf.DUMMYFUNCTION("""COMPUTED_VALUE"""),"История и култура на Раднево и Радневския край XV-XX в. : научна конференция, Стара Загора, 2004 / [ред., състав., предг. Пламен Караилиев]. Стара Загора : ИК „Кота“, 2013, с. 69-82. ISBN 978-954-305-348-3.")</f>
        <v>История и култура на Раднево и Радневския край XV-XX в. : научна конференция, Стара Загора, 2004 / [ред., състав., предг. Пламен Караилиев]. Стара Загора : ИК „Кота“, 2013, с. 69-82. ISBN 978-954-305-348-3.</v>
      </c>
      <c r="F6866" s="10"/>
      <c r="G6866" s="10"/>
      <c r="H6866" s="10"/>
      <c r="I6866" s="10"/>
      <c r="J6866" s="10"/>
      <c r="K6866" s="10"/>
      <c r="L6866" s="10"/>
      <c r="M6866" s="10"/>
      <c r="N6866" s="10"/>
      <c r="O6866" s="10"/>
      <c r="P6866" s="10"/>
      <c r="Q6866" s="10"/>
      <c r="R6866" s="10"/>
      <c r="S6866" s="10"/>
      <c r="T6866" s="10"/>
      <c r="U6866" s="10"/>
      <c r="V6866" s="10"/>
      <c r="W6866" s="10"/>
      <c r="X6866" s="10"/>
      <c r="Y6866" s="10"/>
      <c r="Z6866" s="10"/>
    </row>
    <row r="6867" spans="1:26" ht="12.75">
      <c r="A6867" s="10" t="str">
        <f ca="1">IFERROR(__xludf.DUMMYFUNCTION("""COMPUTED_VALUE"""),"София Илиева Василева-Вълчева")</f>
        <v>София Илиева Василева-Вълчева</v>
      </c>
      <c r="B6867" s="10" t="str">
        <f ca="1">IFERROR(__xludf.DUMMYFUNCTION("""COMPUTED_VALUE"""),"Монография")</f>
        <v>Монография</v>
      </c>
      <c r="C6867" s="10" t="str">
        <f ca="1">IFERROR(__xludf.DUMMYFUNCTION("""COMPUTED_VALUE"""),"Културно наследство и устойчиво развитие. Концепции, политики, добри практики.")</f>
        <v>Културно наследство и устойчиво развитие. Концепции, политики, добри практики.</v>
      </c>
      <c r="D6867" s="10">
        <f ca="1">IFERROR(__xludf.DUMMYFUNCTION("""COMPUTED_VALUE"""),2013)</f>
        <v>2013</v>
      </c>
      <c r="E6867" s="10" t="str">
        <f ca="1">IFERROR(__xludf.DUMMYFUNCTION("""COMPUTED_VALUE"""),"Научна монография. [Рецензент: проф. д.изк. Симеон Недков]. София : За буквите О писменехь., 2013. -278 с. ISBN 978-954-2946-59-5.")</f>
        <v>Научна монография. [Рецензент: проф. д.изк. Симеон Недков]. София : За буквите О писменехь., 2013. -278 с. ISBN 978-954-2946-59-5.</v>
      </c>
      <c r="F6867" s="10"/>
      <c r="G6867" s="10"/>
      <c r="H6867" s="10"/>
      <c r="I6867" s="10"/>
      <c r="J6867" s="10"/>
      <c r="K6867" s="10"/>
      <c r="L6867" s="10"/>
      <c r="M6867" s="10"/>
      <c r="N6867" s="10"/>
      <c r="O6867" s="10"/>
      <c r="P6867" s="10"/>
      <c r="Q6867" s="10"/>
      <c r="R6867" s="10"/>
      <c r="S6867" s="10"/>
      <c r="T6867" s="10"/>
      <c r="U6867" s="10"/>
      <c r="V6867" s="10"/>
      <c r="W6867" s="10"/>
      <c r="X6867" s="10"/>
      <c r="Y6867" s="10"/>
      <c r="Z6867" s="10"/>
    </row>
    <row r="6868" spans="1:26" ht="12.75">
      <c r="A6868" s="10" t="str">
        <f ca="1">IFERROR(__xludf.DUMMYFUNCTION("""COMPUTED_VALUE"""),"София Илиева Василева-Вълчева")</f>
        <v>София Илиева Василева-Вълчева</v>
      </c>
      <c r="B6868" s="10" t="str">
        <f ca="1">IFERROR(__xludf.DUMMYFUNCTION("""COMPUTED_VALUE"""),"Книга")</f>
        <v>Книга</v>
      </c>
      <c r="C6868" s="10" t="str">
        <f ca="1">IFERROR(__xludf.DUMMYFUNCTION("""COMPUTED_VALUE"""),"[Осма] VIII Студентска научна конференция : Трудове")</f>
        <v>[Осма] VIII Студентска научна конференция : Трудове</v>
      </c>
      <c r="D6868" s="10">
        <f ca="1">IFERROR(__xludf.DUMMYFUNCTION("""COMPUTED_VALUE"""),2013)</f>
        <v>2013</v>
      </c>
      <c r="E6868" s="10" t="str">
        <f ca="1">IFERROR(__xludf.DUMMYFUNCTION("""COMPUTED_VALUE"""),"Трудове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8. -672 с. ISSN 1314-2526 online ISSN 1314-6793.")</f>
        <v>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8. -672 с. ISSN 1314-2526 online ISSN 1314-6793.</v>
      </c>
      <c r="F6868" s="10"/>
      <c r="G6868" s="10" t="str">
        <f ca="1">IFERROR(__xludf.DUMMYFUNCTION("""COMPUTED_VALUE"""),"Куманова,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Н"&amp;"анкова(ред.),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f>
        <v>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v>
      </c>
      <c r="H6868" s="10"/>
      <c r="I6868" s="10"/>
      <c r="J6868" s="10"/>
      <c r="K6868" s="10"/>
      <c r="L6868" s="10"/>
      <c r="M6868" s="10"/>
      <c r="N6868" s="10"/>
      <c r="O6868" s="10"/>
      <c r="P6868" s="10"/>
      <c r="Q6868" s="10"/>
      <c r="R6868" s="10"/>
      <c r="S6868" s="10"/>
      <c r="T6868" s="10"/>
      <c r="U6868" s="10"/>
      <c r="V6868" s="10"/>
      <c r="W6868" s="10"/>
      <c r="X6868" s="10"/>
      <c r="Y6868" s="10"/>
      <c r="Z6868" s="10"/>
    </row>
    <row r="6869" spans="1:26" ht="12.75">
      <c r="A6869" s="10" t="str">
        <f ca="1">IFERROR(__xludf.DUMMYFUNCTION("""COMPUTED_VALUE"""),"София Илиева Василева-Вълчева")</f>
        <v>София Илиева Василева-Вълчева</v>
      </c>
      <c r="B6869" s="10" t="str">
        <f ca="1">IFERROR(__xludf.DUMMYFUNCTION("""COMPUTED_VALUE"""),"Учебник")</f>
        <v>Учебник</v>
      </c>
      <c r="C6869" s="10" t="str">
        <f ca="1">IFERROR(__xludf.DUMMYFUNCTION("""COMPUTED_VALUE"""),"Държавна политика за културното наследство на България. 1990-2012.")</f>
        <v>Държавна политика за културното наследство на България. 1990-2012.</v>
      </c>
      <c r="D6869" s="10">
        <f ca="1">IFERROR(__xludf.DUMMYFUNCTION("""COMPUTED_VALUE"""),2013)</f>
        <v>2013</v>
      </c>
      <c r="E6869" s="10" t="str">
        <f ca="1">IFERROR(__xludf.DUMMYFUNCTION("""COMPUTED_VALUE"""),"Културно-историческо наследство. Мултимедийни лекционни курсове и учебни материали. София : За буквите – О писменехь, 2013. – с. 31-74. ISBN 978-954-2946-71-7.")</f>
        <v>Културно-историческо наследство. Мултимедийни лекционни курсове и учебни материали. София : За буквите – О писменехь, 2013. – с. 31-74. ISBN 978-954-2946-71-7.</v>
      </c>
      <c r="F6869" s="10"/>
      <c r="G6869" s="10" t="str">
        <f ca="1">IFERROR(__xludf.DUMMYFUNCTION("""COMPUTED_VALUE"""),"Стоян Денчев")</f>
        <v>Стоян Денчев</v>
      </c>
      <c r="H6869" s="10"/>
      <c r="I6869" s="10"/>
      <c r="J6869" s="10"/>
      <c r="K6869" s="10"/>
      <c r="L6869" s="10"/>
      <c r="M6869" s="10"/>
      <c r="N6869" s="10"/>
      <c r="O6869" s="10"/>
      <c r="P6869" s="10"/>
      <c r="Q6869" s="10"/>
      <c r="R6869" s="10"/>
      <c r="S6869" s="10"/>
      <c r="T6869" s="10"/>
      <c r="U6869" s="10"/>
      <c r="V6869" s="10"/>
      <c r="W6869" s="10"/>
      <c r="X6869" s="10"/>
      <c r="Y6869" s="10"/>
      <c r="Z6869" s="10"/>
    </row>
    <row r="6870" spans="1:26" ht="12.75">
      <c r="A6870" s="10" t="str">
        <f ca="1">IFERROR(__xludf.DUMMYFUNCTION("""COMPUTED_VALUE"""),"София Илиева Василева-Вълчева")</f>
        <v>София Илиева Василева-Вълчева</v>
      </c>
      <c r="B6870" s="10" t="str">
        <f ca="1">IFERROR(__xludf.DUMMYFUNCTION("""COMPUTED_VALUE"""),"Книга")</f>
        <v>Книга</v>
      </c>
      <c r="C6870" s="10" t="str">
        <f ca="1">IFERROR(__xludf.DUMMYFUNCTION("""COMPUTED_VALUE"""),"Политики за управление на културно-историческото наследство – комуникация и социализация чрез образование. Библиографски указател.")</f>
        <v>Политики за управление на културно-историческото наследство – комуникация и социализация чрез образование. Библиографски указател.</v>
      </c>
      <c r="D6870" s="10">
        <f ca="1">IFERROR(__xludf.DUMMYFUNCTION("""COMPUTED_VALUE"""),2013)</f>
        <v>2013</v>
      </c>
      <c r="E6870" s="10" t="str">
        <f ca="1">IFERROR(__xludf.DUMMYFUNCTION("""COMPUTED_VALUE"""),"София : За буквите О писменехь, 2013, 300 с. ISBN: 978-954-2946-97-7")</f>
        <v>София : За буквите О писменехь, 2013, 300 с. ISBN: 978-954-2946-97-7</v>
      </c>
      <c r="F6870" s="10"/>
      <c r="G6870" s="10" t="str">
        <f ca="1">IFERROR(__xludf.DUMMYFUNCTION("""COMPUTED_VALUE"""),"Стоян Денчев, Диана Стоянова, Елена Игнатова.")</f>
        <v>Стоян Денчев, Диана Стоянова, Елена Игнатова.</v>
      </c>
      <c r="H6870" s="10"/>
      <c r="I6870" s="10"/>
      <c r="J6870" s="10"/>
      <c r="K6870" s="10"/>
      <c r="L6870" s="10"/>
      <c r="M6870" s="10"/>
      <c r="N6870" s="10"/>
      <c r="O6870" s="10"/>
      <c r="P6870" s="10"/>
      <c r="Q6870" s="10"/>
      <c r="R6870" s="10"/>
      <c r="S6870" s="10"/>
      <c r="T6870" s="10"/>
      <c r="U6870" s="10"/>
      <c r="V6870" s="10"/>
      <c r="W6870" s="10"/>
      <c r="X6870" s="10"/>
      <c r="Y6870" s="10"/>
      <c r="Z6870" s="10"/>
    </row>
    <row r="6871" spans="1:26" ht="12.75">
      <c r="A6871" s="10" t="str">
        <f ca="1">IFERROR(__xludf.DUMMYFUNCTION("""COMPUTED_VALUE"""),"София Илиева Василева-Вълчева")</f>
        <v>София Илиева Василева-Вълчева</v>
      </c>
      <c r="B6871" s="10" t="str">
        <f ca="1">IFERROR(__xludf.DUMMYFUNCTION("""COMPUTED_VALUE"""),"Статия в списания и поредици")</f>
        <v>Статия в списания и поредици</v>
      </c>
      <c r="C6871" s="10" t="str">
        <f ca="1">IFERROR(__xludf.DUMMYFUNCTION("""COMPUTED_VALUE"""),"Модел за създаване на информационна среда за стимулиране на научните изследвания в областта на културно-историческото наследство. Научно-изследователски проект към Фонд научни изследвания.")</f>
        <v>Модел за създаване на информационна среда за стимулиране на научните изследвания в областта на културно-историческото наследство. Научно-изследователски проект към Фонд научни изследвания.</v>
      </c>
      <c r="D6871" s="10">
        <f ca="1">IFERROR(__xludf.DUMMYFUNCTION("""COMPUTED_VALUE"""),2013)</f>
        <v>2013</v>
      </c>
      <c r="E6871" s="10" t="str">
        <f ca="1">IFERROR(__xludf.DUMMYFUNCTION("""COMPUTED_VALUE"""),"Културно-историческо наследство. Мултимедийни лекционни курсове и учебни материали. София : За буквите – О писменехь, 2013, с. 13-30. ISBN 978-954-2946-71-7.")</f>
        <v>Културно-историческо наследство. Мултимедийни лекционни курсове и учебни материали. София : За буквите – О писменехь, 2013, с. 13-30. ISBN 978-954-2946-71-7.</v>
      </c>
      <c r="F6871" s="10"/>
      <c r="G6871" s="10"/>
      <c r="H6871" s="10"/>
      <c r="I6871" s="10"/>
      <c r="J6871" s="10"/>
      <c r="K6871" s="10"/>
      <c r="L6871" s="10"/>
      <c r="M6871" s="10"/>
      <c r="N6871" s="10"/>
      <c r="O6871" s="10"/>
      <c r="P6871" s="10"/>
      <c r="Q6871" s="10"/>
      <c r="R6871" s="10"/>
      <c r="S6871" s="10"/>
      <c r="T6871" s="10"/>
      <c r="U6871" s="10"/>
      <c r="V6871" s="10"/>
      <c r="W6871" s="10"/>
      <c r="X6871" s="10"/>
      <c r="Y6871" s="10"/>
      <c r="Z6871" s="10"/>
    </row>
    <row r="6872" spans="1:26" ht="12.75">
      <c r="A6872" s="10" t="str">
        <f ca="1">IFERROR(__xludf.DUMMYFUNCTION("""COMPUTED_VALUE"""),"София Илиева Василева-Вълчева")</f>
        <v>София Илиева Василева-Вълчева</v>
      </c>
      <c r="B6872" s="10" t="str">
        <f ca="1">IFERROR(__xludf.DUMMYFUNCTION("""COMPUTED_VALUE"""),"Учебник")</f>
        <v>Учебник</v>
      </c>
      <c r="C6872" s="10" t="str">
        <f ca="1">IFERROR(__xludf.DUMMYFUNCTION("""COMPUTED_VALUE"""),"Културно-историческо наследство. Мултимедийни лекционни курсове и учебни материали.")</f>
        <v>Културно-историческо наследство. Мултимедийни лекционни курсове и учебни материали.</v>
      </c>
      <c r="D6872" s="10">
        <f ca="1">IFERROR(__xludf.DUMMYFUNCTION("""COMPUTED_VALUE"""),2013)</f>
        <v>2013</v>
      </c>
      <c r="E6872" s="10" t="str">
        <f ca="1">IFERROR(__xludf.DUMMYFUNCTION("""COMPUTED_VALUE"""),"[Съставител и редактор: София Василева]. -София : За буквите О писменехь, 2013, -224 с. ISBN 978-954-2946-71-7.")</f>
        <v>[Съставител и редактор: София Василева]. -София : За буквите О писменехь, 2013, -224 с. ISBN 978-954-2946-71-7.</v>
      </c>
      <c r="F6872" s="10"/>
      <c r="G6872" s="10" t="str">
        <f ca="1">IFERROR(__xludf.DUMMYFUNCTION("""COMPUTED_VALUE"""),"Стоян Денчев, Валерия Фол, Иванка Янкова, Свободна Вранчева, Добри Бояджиев.")</f>
        <v>Стоян Денчев, Валерия Фол, Иванка Янкова, Свободна Вранчева, Добри Бояджиев.</v>
      </c>
      <c r="H6872" s="10"/>
      <c r="I6872" s="10"/>
      <c r="J6872" s="10"/>
      <c r="K6872" s="10"/>
      <c r="L6872" s="10"/>
      <c r="M6872" s="10"/>
      <c r="N6872" s="10"/>
      <c r="O6872" s="10"/>
      <c r="P6872" s="10"/>
      <c r="Q6872" s="10"/>
      <c r="R6872" s="10"/>
      <c r="S6872" s="10"/>
      <c r="T6872" s="10"/>
      <c r="U6872" s="10"/>
      <c r="V6872" s="10"/>
      <c r="W6872" s="10"/>
      <c r="X6872" s="10"/>
      <c r="Y6872" s="10"/>
      <c r="Z6872" s="10"/>
    </row>
    <row r="6873" spans="1:26" ht="12.75">
      <c r="A6873" s="10" t="str">
        <f ca="1">IFERROR(__xludf.DUMMYFUNCTION("""COMPUTED_VALUE"""),"София Илиева Василева-Вълчева")</f>
        <v>София Илиева Василева-Вълчева</v>
      </c>
      <c r="B6873" s="10" t="str">
        <f ca="1">IFERROR(__xludf.DUMMYFUNCTION("""COMPUTED_VALUE"""),"Учебно пособие")</f>
        <v>Учебно пособие</v>
      </c>
      <c r="C6873" s="10" t="str">
        <f ca="1">IFERROR(__xludf.DUMMYFUNCTION("""COMPUTED_VALUE"""),"Държавна политика за културното наследство на България 1990-2012 г. [Електронен ресурс] : мултимедиен лекционен курс / = State policy on the cultural heritage of Bulgaria 1990-2012.")</f>
        <v>Държавна политика за културното наследство на България 1990-2012 г. [Електронен ресурс] : мултимедиен лекционен курс / = State policy on the cultural heritage of Bulgaria 1990-2012.</v>
      </c>
      <c r="D6873" s="10">
        <f ca="1">IFERROR(__xludf.DUMMYFUNCTION("""COMPUTED_VALUE"""),2013)</f>
        <v>2013</v>
      </c>
      <c r="E6873" s="10" t="str">
        <f ca="1">IFERROR(__xludf.DUMMYFUNCTION("""COMPUTED_VALUE"""),"София : За буквите - О писменехь, 2013. [e-book]. Език - български, английски. / engl. transl. Veselin Chantov. ISBN 978-954-2946-49-6.")</f>
        <v>София : За буквите - О писменехь, 2013. [e-book]. Език - български, английски. / engl. transl. Veselin Chantov. ISBN 978-954-2946-49-6.</v>
      </c>
      <c r="F6873" s="10"/>
      <c r="G6873" s="10" t="str">
        <f ca="1">IFERROR(__xludf.DUMMYFUNCTION("""COMPUTED_VALUE"""),"Stoyan Denchev")</f>
        <v>Stoyan Denchev</v>
      </c>
      <c r="H6873" s="10"/>
      <c r="I6873" s="10"/>
      <c r="J6873" s="10"/>
      <c r="K6873" s="10"/>
      <c r="L6873" s="10"/>
      <c r="M6873" s="10"/>
      <c r="N6873" s="10"/>
      <c r="O6873" s="10"/>
      <c r="P6873" s="10"/>
      <c r="Q6873" s="10"/>
      <c r="R6873" s="10"/>
      <c r="S6873" s="10"/>
      <c r="T6873" s="10"/>
      <c r="U6873" s="10"/>
      <c r="V6873" s="10"/>
      <c r="W6873" s="10"/>
      <c r="X6873" s="10"/>
      <c r="Y6873" s="10"/>
      <c r="Z6873" s="10"/>
    </row>
    <row r="6874" spans="1:26" ht="12.75">
      <c r="A6874" s="10" t="str">
        <f ca="1">IFERROR(__xludf.DUMMYFUNCTION("""COMPUTED_VALUE"""),"София Илиева Василева-Вълчева")</f>
        <v>София Илиева Василева-Вълчева</v>
      </c>
      <c r="B6874" s="10" t="str">
        <f ca="1">IFERROR(__xludf.DUMMYFUNCTION("""COMPUTED_VALUE"""),"Доклад от конференция")</f>
        <v>Доклад от конференция</v>
      </c>
      <c r="C6874" s="10" t="str">
        <f ca="1">IFERROR(__xludf.DUMMYFUNCTION("""COMPUTED_VALUE"""),"Образованието в политиките за устойчиво развитие и социализация на културното наследство.")</f>
        <v>Образованието в политиките за устойчиво развитие и социализация на културното наследство.</v>
      </c>
      <c r="D6874" s="10">
        <f ca="1">IFERROR(__xludf.DUMMYFUNCTION("""COMPUTED_VALUE"""),2013)</f>
        <v>2013</v>
      </c>
      <c r="E6874" s="10" t="str">
        <f ca="1">IFERROR(__xludf.DUMMYFUNCTION("""COMPUTED_VALUE"""),"ОБЩЕСТВОТО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ноември 2012. София : За буквите – О писменехь, 2013. с. 220"&amp;"-226. ISSN 1314-7099.")</f>
        <v>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ноември 2012. София : За буквите – О писменехь, 2013. с. 220-226. ISSN 1314-7099.</v>
      </c>
      <c r="F6874" s="10"/>
      <c r="G6874" s="10"/>
      <c r="H6874" s="10"/>
      <c r="I6874" s="10"/>
      <c r="J6874" s="10"/>
      <c r="K6874" s="10"/>
      <c r="L6874" s="10"/>
      <c r="M6874" s="10"/>
      <c r="N6874" s="10"/>
      <c r="O6874" s="10"/>
      <c r="P6874" s="10"/>
      <c r="Q6874" s="10"/>
      <c r="R6874" s="10"/>
      <c r="S6874" s="10"/>
      <c r="T6874" s="10"/>
      <c r="U6874" s="10"/>
      <c r="V6874" s="10"/>
      <c r="W6874" s="10"/>
      <c r="X6874" s="10"/>
      <c r="Y6874" s="10"/>
      <c r="Z6874" s="10"/>
    </row>
    <row r="6875" spans="1:26" ht="12.75">
      <c r="A6875" s="10" t="str">
        <f ca="1">IFERROR(__xludf.DUMMYFUNCTION("""COMPUTED_VALUE"""),"София Илиева Василева-Вълчева")</f>
        <v>София Илиева Василева-Вълчева</v>
      </c>
      <c r="B6875" s="10" t="str">
        <f ca="1">IFERROR(__xludf.DUMMYFUNCTION("""COMPUTED_VALUE"""),"Доклад от конференция")</f>
        <v>Доклад от конференция</v>
      </c>
      <c r="C6875" s="10" t="str">
        <f ca="1">IFERROR(__xludf.DUMMYFUNCTION("""COMPUTED_VALUE"""),"Development Of Policies For The Socialization Of Cultural Heritage Through University Education. Best Practices of the State University of Library Studies and Information Technologies")</f>
        <v>Development Of Policies For The Socialization Of Cultural Heritage Through University Education. Best Practices of the State University of Library Studies and Information Technologies</v>
      </c>
      <c r="D6875" s="10">
        <f ca="1">IFERROR(__xludf.DUMMYFUNCTION("""COMPUTED_VALUE"""),2013)</f>
        <v>2013</v>
      </c>
      <c r="E6875" s="10" t="str">
        <f ca="1">IFERROR(__xludf.DUMMYFUNCTION("""COMPUTED_VALUE"""),"International Conference „The Future of Education“, June 13-14, 2013, Florence, Italy, pp. 357-362")</f>
        <v>International Conference „The Future of Education“, June 13-14, 2013, Florence, Italy, pp. 357-362</v>
      </c>
      <c r="F6875" s="10" t="str">
        <f ca="1">IFERROR(__xludf.DUMMYFUNCTION("""COMPUTED_VALUE"""),"https://conference.pixel-online.net/.../137-ITL22-FP-Denchev-FOE2013.pdf
 https://pixel-online.net/conferences_lista.php?tipo=OR")</f>
        <v>https://conference.pixel-online.net/.../137-ITL22-FP-Denchev-FOE2013.pdf
 https://pixel-online.net/conferences_lista.php?tipo=OR</v>
      </c>
      <c r="G6875" s="10" t="str">
        <f ca="1">IFERROR(__xludf.DUMMYFUNCTION("""COMPUTED_VALUE"""),"S. Denchev")</f>
        <v>S. Denchev</v>
      </c>
      <c r="H6875" s="10"/>
      <c r="I6875" s="10"/>
      <c r="J6875" s="10"/>
      <c r="K6875" s="10"/>
      <c r="L6875" s="10"/>
      <c r="M6875" s="10"/>
      <c r="N6875" s="10"/>
      <c r="O6875" s="10"/>
      <c r="P6875" s="10"/>
      <c r="Q6875" s="10"/>
      <c r="R6875" s="10"/>
      <c r="S6875" s="10"/>
      <c r="T6875" s="10"/>
      <c r="U6875" s="10"/>
      <c r="V6875" s="10"/>
      <c r="W6875" s="10"/>
      <c r="X6875" s="10"/>
      <c r="Y6875" s="10"/>
      <c r="Z6875" s="10"/>
    </row>
    <row r="6876" spans="1:26" ht="12.75">
      <c r="A6876" s="10" t="str">
        <f ca="1">IFERROR(__xludf.DUMMYFUNCTION("""COMPUTED_VALUE"""),"София Илиева Василева-Вълчева")</f>
        <v>София Илиева Василева-Вълчева</v>
      </c>
      <c r="B6876" s="10" t="str">
        <f ca="1">IFERROR(__xludf.DUMMYFUNCTION("""COMPUTED_VALUE"""),"Статия в списания и поредици")</f>
        <v>Статия в списания и поредици</v>
      </c>
      <c r="C6876" s="10" t="str">
        <f ca="1">IFERROR(__xludf.DUMMYFUNCTION("""COMPUTED_VALUE"""),"Съюз на дружествата на художниците в България")</f>
        <v>Съюз на дружествата на художниците в България</v>
      </c>
      <c r="D6876" s="10">
        <f ca="1">IFERROR(__xludf.DUMMYFUNCTION("""COMPUTED_VALUE"""),2012)</f>
        <v>2012</v>
      </c>
      <c r="E6876" s="10" t="str">
        <f ca="1">IFERROR(__xludf.DUMMYFUNCTION("""COMPUTED_VALUE"""),"120 години българско изкуство. 1892-2012 г. Дружества, съюзи, групи. Издание на СБХ и Фондация „Поддържане на изкуството в България“. С. 2012, с. 141-155. ISBN 978-954-92591-3-1.")</f>
        <v>120 години българско изкуство. 1892-2012 г. Дружества, съюзи, групи. Издание на СБХ и Фондация „Поддържане на изкуството в България“. С. 2012, с. 141-155. ISBN 978-954-92591-3-1.</v>
      </c>
      <c r="F6876" s="10"/>
      <c r="G6876" s="10"/>
      <c r="H6876" s="10"/>
      <c r="I6876" s="10"/>
      <c r="J6876" s="10"/>
      <c r="K6876" s="10"/>
      <c r="L6876" s="10"/>
      <c r="M6876" s="10"/>
      <c r="N6876" s="10"/>
      <c r="O6876" s="10"/>
      <c r="P6876" s="10"/>
      <c r="Q6876" s="10"/>
      <c r="R6876" s="10"/>
      <c r="S6876" s="10"/>
      <c r="T6876" s="10"/>
      <c r="U6876" s="10"/>
      <c r="V6876" s="10"/>
      <c r="W6876" s="10"/>
      <c r="X6876" s="10"/>
      <c r="Y6876" s="10"/>
      <c r="Z6876" s="10"/>
    </row>
    <row r="6877" spans="1:26" ht="12.75">
      <c r="A6877" s="10" t="str">
        <f ca="1">IFERROR(__xludf.DUMMYFUNCTION("""COMPUTED_VALUE"""),"София Илиева Василева-Вълчева")</f>
        <v>София Илиева Василева-Вълчева</v>
      </c>
      <c r="B6877" s="10" t="str">
        <f ca="1">IFERROR(__xludf.DUMMYFUNCTION("""COMPUTED_VALUE"""),"Книга")</f>
        <v>Книга</v>
      </c>
      <c r="C6877" s="10" t="str">
        <f ca="1">IFERROR(__xludf.DUMMYFUNCTION("""COMPUTED_VALUE"""),"[Седма] VII Студентска научна конференция : Трудове.")</f>
        <v>[Седма] VII Студентска научна конференция : Трудове.</v>
      </c>
      <c r="D6877" s="10">
        <f ca="1">IFERROR(__xludf.DUMMYFUNCTION("""COMPUTED_VALUE"""),2012)</f>
        <v>2012</v>
      </c>
      <c r="E6877" s="10" t="str">
        <f ca="1">IFERROR(__xludf.DUMMYFUNCTION("""COMPUTED_VALUE"""),"Трудове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7. -761 с. ISSN 1314-2526 online ISSN 1314-6793.")</f>
        <v>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7. -761 с. ISSN 1314-2526 online ISSN 1314-6793.</v>
      </c>
      <c r="F6877" s="10"/>
      <c r="G6877" s="10" t="str">
        <f ca="1">IFERROR(__xludf.DUMMYFUNCTION("""COMPUTED_VALUE"""),"Куманова,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Н"&amp;"анкова(ред.),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f>
        <v>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v>
      </c>
      <c r="H6877" s="10"/>
      <c r="I6877" s="10"/>
      <c r="J6877" s="10"/>
      <c r="K6877" s="10"/>
      <c r="L6877" s="10"/>
      <c r="M6877" s="10"/>
      <c r="N6877" s="10"/>
      <c r="O6877" s="10"/>
      <c r="P6877" s="10"/>
      <c r="Q6877" s="10"/>
      <c r="R6877" s="10"/>
      <c r="S6877" s="10"/>
      <c r="T6877" s="10"/>
      <c r="U6877" s="10"/>
      <c r="V6877" s="10"/>
      <c r="W6877" s="10"/>
      <c r="X6877" s="10"/>
      <c r="Y6877" s="10"/>
      <c r="Z6877" s="10"/>
    </row>
    <row r="6878" spans="1:26" ht="12.75">
      <c r="A6878" s="10" t="str">
        <f ca="1">IFERROR(__xludf.DUMMYFUNCTION("""COMPUTED_VALUE"""),"София Илиева Василева-Вълчева")</f>
        <v>София Илиева Василева-Вълчева</v>
      </c>
      <c r="B6878" s="10" t="str">
        <f ca="1">IFERROR(__xludf.DUMMYFUNCTION("""COMPUTED_VALUE"""),"Доклад от конференция")</f>
        <v>Доклад от конференция</v>
      </c>
      <c r="C6878" s="10" t="str">
        <f ca="1">IFERROR(__xludf.DUMMYFUNCTION("""COMPUTED_VALUE"""),"Виртуальное университетское образователное пространство как фактор развития и популяризации славянской веб-культуры.")</f>
        <v>Виртуальное университетское образователное пространство как фактор развития и популяризации славянской веб-культуры.</v>
      </c>
      <c r="D6878" s="10">
        <f ca="1">IFERROR(__xludf.DUMMYFUNCTION("""COMPUTED_VALUE"""),2012)</f>
        <v>2012</v>
      </c>
      <c r="E6878" s="10" t="str">
        <f ca="1">IFERROR(__xludf.DUMMYFUNCTION("""COMPUTED_VALUE"""),"Международный форум славянской web – культуры / Российско-болгарский круглы стол. Московский гос. ун-т печати им. И. Федорова (г. Москва), Гос. ун-т библиотековедения и информ. технологий (г. София) ; [отв. редакторы Л. В. Кутыркина, М. Николова]. - Москв"&amp;"а : МГУП, 2012. - 153, [1] с. Москва, 2012, с. 11-17.")</f>
        <v>Международный форум славянской web – культуры / Российско-болгарский круглы стол. Московский гос. ун-т печати им. И. Федорова (г. Москва), Гос. ун-т библиотековедения и информ. технологий (г. София) ; [отв. редакторы Л. В. Кутыркина, М. Николова]. - Москва : МГУП, 2012. - 153, [1] с. Москва, 2012, с. 11-17.</v>
      </c>
      <c r="F6878" s="10"/>
      <c r="G6878" s="10"/>
      <c r="H6878" s="10"/>
      <c r="I6878" s="10"/>
      <c r="J6878" s="10"/>
      <c r="K6878" s="10"/>
      <c r="L6878" s="10"/>
      <c r="M6878" s="10"/>
      <c r="N6878" s="10"/>
      <c r="O6878" s="10"/>
      <c r="P6878" s="10"/>
      <c r="Q6878" s="10"/>
      <c r="R6878" s="10"/>
      <c r="S6878" s="10"/>
      <c r="T6878" s="10"/>
      <c r="U6878" s="10"/>
      <c r="V6878" s="10"/>
      <c r="W6878" s="10"/>
      <c r="X6878" s="10"/>
      <c r="Y6878" s="10"/>
      <c r="Z6878" s="10"/>
    </row>
    <row r="6879" spans="1:26" ht="12.75">
      <c r="A6879" s="10" t="str">
        <f ca="1">IFERROR(__xludf.DUMMYFUNCTION("""COMPUTED_VALUE"""),"София Илиева Василева-Вълчева")</f>
        <v>София Илиева Василева-Вълчева</v>
      </c>
      <c r="B6879" s="10" t="str">
        <f ca="1">IFERROR(__xludf.DUMMYFUNCTION("""COMPUTED_VALUE"""),"Книга")</f>
        <v>Книга</v>
      </c>
      <c r="C6879" s="10" t="str">
        <f ca="1">IFERROR(__xludf.DUMMYFUNCTION("""COMPUTED_VALUE"""),"Културно-историческото наследство в съвременна информационна среда. Тематичен библиографски справочник.")</f>
        <v>Културно-историческото наследство в съвременна информационна среда. Тематичен библиографски справочник.</v>
      </c>
      <c r="D6879" s="10">
        <f ca="1">IFERROR(__xludf.DUMMYFUNCTION("""COMPUTED_VALUE"""),2012)</f>
        <v>2012</v>
      </c>
      <c r="E6879" s="10" t="str">
        <f ca="1">IFERROR(__xludf.DUMMYFUNCTION("""COMPUTED_VALUE"""),"София : За буквите - О Писменехь, 2012, 280 с. ISBN: 978-954-8887-99-1.")</f>
        <v>София : За буквите - О Писменехь, 2012, 280 с. ISBN: 978-954-8887-99-1.</v>
      </c>
      <c r="F6879" s="10"/>
      <c r="G6879" s="10" t="str">
        <f ca="1">IFERROR(__xludf.DUMMYFUNCTION("""COMPUTED_VALUE"""),"Диана Стоянова, Елена Игнатова.")</f>
        <v>Диана Стоянова, Елена Игнатова.</v>
      </c>
      <c r="H6879" s="10"/>
      <c r="I6879" s="10"/>
      <c r="J6879" s="10"/>
      <c r="K6879" s="10"/>
      <c r="L6879" s="10"/>
      <c r="M6879" s="10"/>
      <c r="N6879" s="10"/>
      <c r="O6879" s="10"/>
      <c r="P6879" s="10"/>
      <c r="Q6879" s="10"/>
      <c r="R6879" s="10"/>
      <c r="S6879" s="10"/>
      <c r="T6879" s="10"/>
      <c r="U6879" s="10"/>
      <c r="V6879" s="10"/>
      <c r="W6879" s="10"/>
      <c r="X6879" s="10"/>
      <c r="Y6879" s="10"/>
      <c r="Z6879" s="10"/>
    </row>
    <row r="6880" spans="1:26" ht="12.75">
      <c r="A6880" s="10" t="str">
        <f ca="1">IFERROR(__xludf.DUMMYFUNCTION("""COMPUTED_VALUE"""),"София Илиева Василева-Вълчева")</f>
        <v>София Илиева Василева-Вълчева</v>
      </c>
      <c r="B6880" s="10" t="str">
        <f ca="1">IFERROR(__xludf.DUMMYFUNCTION("""COMPUTED_VALUE"""),"Статия в списания и поредици")</f>
        <v>Статия в списания и поредици</v>
      </c>
      <c r="C6880" s="10" t="str">
        <f ca="1">IFERROR(__xludf.DUMMYFUNCTION("""COMPUTED_VALUE"""),"Информационна картина на представяне на проблематиката по културно-историческо наследство на Студентското научно общество при УНИБИТ 2005-2010 г.")</f>
        <v>Информационна картина на представяне на проблематиката по културно-историческо наследство на Студентското научно общество при УНИБИТ 2005-2010 г.</v>
      </c>
      <c r="D6880" s="10">
        <f ca="1">IFERROR(__xludf.DUMMYFUNCTION("""COMPUTED_VALUE"""),2012)</f>
        <v>2012</v>
      </c>
      <c r="E6880" s="10" t="str">
        <f ca="1">IFERROR(__xludf.DUMMYFUNCTION("""COMPUTED_VALUE"""),"Трудове на студентското научно общество при УНИБИТ. [Редакционна колегия: проф. д.ик.н. Стоян Денчев, проф. д.п.н. Ал. Куманова, доц. д-р Никола Казански, доц. д-р Ружа Симеонова, гл. ас. Диана Ралева, гл. ас. Татяна Дерменджиева, Мариана Максимова, проф."&amp;" д-р София Василева, проф. д-р Галина Панайотова, доц. д-р Жоржета Назърска, доц. д-р Таня Тодорова, проф. д-р Иван Гарванов, доц. д-р Мариела Нанкова, доц. д-р Любомира Парижкова, д-р Марина Енчева, д-р Иглика Гетова, д-р Красимира Александрова]. [Реценз"&amp;"енти: проф. д.ф.н. Иванка Янкова, проф. д.ф.н. Желязко Стоянов, проф. д.т.н. Димитър Христозов, проф. д-р Ирена Петева, проф. д-р Иванка Павлова], София : За буквите – О писменехь, 2012, т. VІІ, с.170-176. ISSN 1314-2526, online ISSN 1314-6793.")</f>
        <v>Трудове на студентското научно общество при УНИБИТ. [Редакционна колегия: проф. д.ик.н. Стоян Денчев, проф. д.п.н. Ал. Куманова, доц. д-р Никола Казански, доц. д-р Ружа Симеонова, гл. ас. Диана Ралева, гл. ас. Татяна Дерменджиева, Мариана Максимова, проф. д-р София Василева, проф. д-р Галина Панайотова, доц. д-р Жоржета Назърска, доц. д-р Таня Тодорова, проф. д-р Иван Гарванов, доц. д-р Мариела Нанкова, доц. д-р Любомира Парижкова, д-р Марина Енчева, д-р Иглика Гетова, д-р Красимира Александрова]. [Рецензенти: проф. д.ф.н. Иванка Янкова, проф. д.ф.н. Желязко Стоянов, проф. д.т.н. Димитър Христозов, проф. д-р Ирена Петева, проф. д-р Иванка Павлова], София : За буквите – О писменехь, 2012, т. VІІ, с.170-176. ISSN 1314-2526, online ISSN 1314-6793.</v>
      </c>
      <c r="F6880" s="10"/>
      <c r="G6880" s="10"/>
      <c r="H6880" s="10"/>
      <c r="I6880" s="10"/>
      <c r="J6880" s="10"/>
      <c r="K6880" s="10"/>
      <c r="L6880" s="10"/>
      <c r="M6880" s="10"/>
      <c r="N6880" s="10"/>
      <c r="O6880" s="10"/>
      <c r="P6880" s="10"/>
      <c r="Q6880" s="10"/>
      <c r="R6880" s="10"/>
      <c r="S6880" s="10"/>
      <c r="T6880" s="10"/>
      <c r="U6880" s="10"/>
      <c r="V6880" s="10"/>
      <c r="W6880" s="10"/>
      <c r="X6880" s="10"/>
      <c r="Y6880" s="10"/>
      <c r="Z6880" s="10"/>
    </row>
    <row r="6881" spans="1:26" ht="12.75">
      <c r="A6881" s="10" t="str">
        <f ca="1">IFERROR(__xludf.DUMMYFUNCTION("""COMPUTED_VALUE"""),"София Илиева Василева-Вълчева")</f>
        <v>София Илиева Василева-Вълчева</v>
      </c>
      <c r="B6881" s="10" t="str">
        <f ca="1">IFERROR(__xludf.DUMMYFUNCTION("""COMPUTED_VALUE"""),"Статия в списания и поредици")</f>
        <v>Статия в списания и поредици</v>
      </c>
      <c r="C6881" s="10" t="str">
        <f ca="1">IFERROR(__xludf.DUMMYFUNCTION("""COMPUTED_VALUE"""),"Union of the Societies of Artists of Bulgaria.")</f>
        <v>Union of the Societies of Artists of Bulgaria.</v>
      </c>
      <c r="D6881" s="10">
        <f ca="1">IFERROR(__xludf.DUMMYFUNCTION("""COMPUTED_VALUE"""),2012)</f>
        <v>2012</v>
      </c>
      <c r="E6881" s="10" t="str">
        <f ca="1">IFERROR(__xludf.DUMMYFUNCTION("""COMPUTED_VALUE"""),"120 Years Bulgarian Art : 1892 - 2012 : Unions, Societies and Groups. Sofia : Support for the Art in Bulgaria Foundation, 2012. -pp. 141-155. ISBN 978-954-92591-3-1.")</f>
        <v>120 Years Bulgarian Art : 1892 - 2012 : Unions, Societies and Groups. Sofia : Support for the Art in Bulgaria Foundation, 2012. -pp. 141-155. ISBN 978-954-92591-3-1.</v>
      </c>
      <c r="F6881" s="10"/>
      <c r="G6881" s="10"/>
      <c r="H6881" s="10"/>
      <c r="I6881" s="10"/>
      <c r="J6881" s="10"/>
      <c r="K6881" s="10"/>
      <c r="L6881" s="10"/>
      <c r="M6881" s="10"/>
      <c r="N6881" s="10"/>
      <c r="O6881" s="10"/>
      <c r="P6881" s="10"/>
      <c r="Q6881" s="10"/>
      <c r="R6881" s="10"/>
      <c r="S6881" s="10"/>
      <c r="T6881" s="10"/>
      <c r="U6881" s="10"/>
      <c r="V6881" s="10"/>
      <c r="W6881" s="10"/>
      <c r="X6881" s="10"/>
      <c r="Y6881" s="10"/>
      <c r="Z6881" s="10"/>
    </row>
    <row r="6882" spans="1:26" ht="12.75">
      <c r="A6882" s="10" t="str">
        <f ca="1">IFERROR(__xludf.DUMMYFUNCTION("""COMPUTED_VALUE"""),"София Илиева Василева-Вълчева")</f>
        <v>София Илиева Василева-Вълчева</v>
      </c>
      <c r="B6882" s="10" t="str">
        <f ca="1">IFERROR(__xludf.DUMMYFUNCTION("""COMPUTED_VALUE"""),"Книга")</f>
        <v>Книга</v>
      </c>
      <c r="C6882" s="10" t="str">
        <f ca="1">IFERROR(__xludf.DUMMYFUNCTION("""COMPUTED_VALUE"""),"Съюз на дружествата на художниците в България. Предистория, организация и дейност 1919 – 1945")</f>
        <v>Съюз на дружествата на художниците в България. Предистория, организация и дейност 1919 – 1945</v>
      </c>
      <c r="D6882" s="10">
        <f ca="1">IFERROR(__xludf.DUMMYFUNCTION("""COMPUTED_VALUE"""),2012)</f>
        <v>2012</v>
      </c>
      <c r="E6882" s="10" t="str">
        <f ca="1">IFERROR(__xludf.DUMMYFUNCTION("""COMPUTED_VALUE"""),"София : За буквите О писменехь, 2012. -270 с. ISBN 978-954-2946-20-5")</f>
        <v>София : За буквите О писменехь, 2012. -270 с. ISBN 978-954-2946-20-5</v>
      </c>
      <c r="F6882" s="10" t="str">
        <f ca="1">IFERROR(__xludf.DUMMYFUNCTION("""COMPUTED_VALUE"""),"https://www.ceeol.com/search/article-detail?id=419035
 cl.bas.bg/hosted-journals-of-the-bulgarian-academy-of.../bulgarica_25.pdf
 lib-shumen.iservice.bg/abnb/K1301/K22_130205.HTM")</f>
        <v>https://www.ceeol.com/search/article-detail?id=419035
 cl.bas.bg/hosted-journals-of-the-bulgarian-academy-of.../bulgarica_25.pdf
 lib-shumen.iservice.bg/abnb/K1301/K22_130205.HTM</v>
      </c>
      <c r="G6882" s="10"/>
      <c r="H6882" s="10"/>
      <c r="I6882" s="10"/>
      <c r="J6882" s="10"/>
      <c r="K6882" s="10"/>
      <c r="L6882" s="10"/>
      <c r="M6882" s="10"/>
      <c r="N6882" s="10"/>
      <c r="O6882" s="10"/>
      <c r="P6882" s="10"/>
      <c r="Q6882" s="10"/>
      <c r="R6882" s="10"/>
      <c r="S6882" s="10"/>
      <c r="T6882" s="10"/>
      <c r="U6882" s="10"/>
      <c r="V6882" s="10"/>
      <c r="W6882" s="10"/>
      <c r="X6882" s="10"/>
      <c r="Y6882" s="10"/>
      <c r="Z6882" s="10"/>
    </row>
    <row r="6883" spans="1:26" ht="12.75">
      <c r="A6883" s="10" t="str">
        <f ca="1">IFERROR(__xludf.DUMMYFUNCTION("""COMPUTED_VALUE"""),"София Илиева Василева-Вълчева")</f>
        <v>София Илиева Василева-Вълчева</v>
      </c>
      <c r="B6883" s="10" t="str">
        <f ca="1">IFERROR(__xludf.DUMMYFUNCTION("""COMPUTED_VALUE"""),"Доклад от конференция")</f>
        <v>Доклад от конференция</v>
      </c>
      <c r="C6883" s="10" t="str">
        <f ca="1">IFERROR(__xludf.DUMMYFUNCTION("""COMPUTED_VALUE"""),"Образованието в политиките за устойчиво развитие и социализация на културното наследство")</f>
        <v>Образованието в политиките за устойчиво развитие и социализация на културното наследство</v>
      </c>
      <c r="D6883" s="10">
        <f ca="1">IFERROR(__xludf.DUMMYFUNCTION("""COMPUTED_VALUE"""),2012)</f>
        <v>2012</v>
      </c>
      <c r="E6883" s="10" t="str">
        <f ca="1">IFERROR(__xludf.DUMMYFUNCTION("""COMPUTED_VALUE"""),"ОБЩЕСТВОТО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 2012 г. - София: За буквите – О писменехь, 2013. с. 22"&amp;"0-226. ISSN 1314-7099.")</f>
        <v>ОБЩЕСТВОТО на знанието и хуманизмът на XXI век = Общество знания и гуманизм XXI века = Knowledge society and 21st century humanism: национална научна конференция с международно участие, София, 1 ноем. 2012 г. - София: За буквите – О писменехь, 2013. с. 220-226. ISSN 1314-7099.</v>
      </c>
      <c r="F6883" s="10"/>
      <c r="G6883" s="10"/>
      <c r="H6883" s="10"/>
      <c r="I6883" s="10"/>
      <c r="J6883" s="10"/>
      <c r="K6883" s="10"/>
      <c r="L6883" s="10"/>
      <c r="M6883" s="10"/>
      <c r="N6883" s="10"/>
      <c r="O6883" s="10"/>
      <c r="P6883" s="10"/>
      <c r="Q6883" s="10"/>
      <c r="R6883" s="10"/>
      <c r="S6883" s="10"/>
      <c r="T6883" s="10"/>
      <c r="U6883" s="10"/>
      <c r="V6883" s="10"/>
      <c r="W6883" s="10"/>
      <c r="X6883" s="10"/>
      <c r="Y6883" s="10"/>
      <c r="Z6883" s="10"/>
    </row>
    <row r="6884" spans="1:26" ht="12.75">
      <c r="A6884" s="10" t="str">
        <f ca="1">IFERROR(__xludf.DUMMYFUNCTION("""COMPUTED_VALUE"""),"София Илиева Василева-Вълчева")</f>
        <v>София Илиева Василева-Вълчева</v>
      </c>
      <c r="B6884" s="10" t="str">
        <f ca="1">IFERROR(__xludf.DUMMYFUNCTION("""COMPUTED_VALUE"""),"Доклад от конференция")</f>
        <v>Доклад от конференция</v>
      </c>
      <c r="C6884" s="10" t="str">
        <f ca="1">IFERROR(__xludf.DUMMYFUNCTION("""COMPUTED_VALUE"""),"Българският дебат за културното наследство и европейската интеграция.")</f>
        <v>Българският дебат за културното наследство и европейската интеграция.</v>
      </c>
      <c r="D6884" s="10">
        <f ca="1">IFERROR(__xludf.DUMMYFUNCTION("""COMPUTED_VALUE"""),2012)</f>
        <v>2012</v>
      </c>
      <c r="E6884" s="10" t="str">
        <f ca="1">IFERROR(__xludf.DUMMYFUNCTION("""COMPUTED_VALUE"""),"Доклади от Национална научна конференция „Социализация на българското културно-историческо наследство”, 01.02.2011, гр. София, БАН. [Редактор: д-р Нина Дебрюне]. София : Издателство „Земя“, 2012, с. 109-118. ISSN 1314-5517.")</f>
        <v>Доклади от Национална научна конференция „Социализация на българското културно-историческо наследство”, 01.02.2011, гр. София, БАН. [Редактор: д-р Нина Дебрюне]. София : Издателство „Земя“, 2012, с. 109-118. ISSN 1314-5517.</v>
      </c>
      <c r="F6884" s="10"/>
      <c r="G6884" s="10"/>
      <c r="H6884" s="10"/>
      <c r="I6884" s="10"/>
      <c r="J6884" s="10"/>
      <c r="K6884" s="10"/>
      <c r="L6884" s="10"/>
      <c r="M6884" s="10"/>
      <c r="N6884" s="10"/>
      <c r="O6884" s="10"/>
      <c r="P6884" s="10"/>
      <c r="Q6884" s="10"/>
      <c r="R6884" s="10"/>
      <c r="S6884" s="10"/>
      <c r="T6884" s="10"/>
      <c r="U6884" s="10"/>
      <c r="V6884" s="10"/>
      <c r="W6884" s="10"/>
      <c r="X6884" s="10"/>
      <c r="Y6884" s="10"/>
      <c r="Z6884" s="10"/>
    </row>
    <row r="6885" spans="1:26" ht="12.75">
      <c r="A6885" s="10" t="str">
        <f ca="1">IFERROR(__xludf.DUMMYFUNCTION("""COMPUTED_VALUE"""),"София Илиева Василева-Вълчева")</f>
        <v>София Илиева Василева-Вълчева</v>
      </c>
      <c r="B6885" s="10" t="str">
        <f ca="1">IFERROR(__xludf.DUMMYFUNCTION("""COMPUTED_VALUE"""),"Доклад от конференция")</f>
        <v>Доклад от конференция</v>
      </c>
      <c r="C6885" s="10" t="str">
        <f ca="1">IFERROR(__xludf.DUMMYFUNCTION("""COMPUTED_VALUE"""),"Европейски аспекти на мултикултурната среда през ХХІ век.")</f>
        <v>Европейски аспекти на мултикултурната среда през ХХІ век.</v>
      </c>
      <c r="D6885" s="10">
        <f ca="1">IFERROR(__xludf.DUMMYFUNCTION("""COMPUTED_VALUE"""),2011)</f>
        <v>2011</v>
      </c>
      <c r="E6885" s="10" t="str">
        <f ca="1">IFERROR(__xludf.DUMMYFUNCTION("""COMPUTED_VALUE"""),"Пета научна сесия Лидерството пред новите предизвикателства на мултикултурната среда / [състав. и ред. Димитър Иванов]. София : Институт по теория и практика на лидерството ""Ст. Стамболов"", 2011 ([София] : ИД принт) Серия Бюлетин - Институт по теория и "&amp;"практика на лидерството ""Стефан Стамболов"", Nо 5, 2011 с. 97-100 ISSN 1313-8782.")</f>
        <v>Пета научна сесия Лидерството пред новите предизвикателства на мултикултурната среда / [състав. и ред. Димитър Иванов]. София : Институт по теория и практика на лидерството "Ст. Стамболов", 2011 ([София] : ИД принт) Серия Бюлетин - Институт по теория и практика на лидерството "Стефан Стамболов", Nо 5, 2011 с. 97-100 ISSN 1313-8782.</v>
      </c>
      <c r="F6885" s="10"/>
      <c r="G6885" s="10"/>
      <c r="H6885" s="10"/>
      <c r="I6885" s="10"/>
      <c r="J6885" s="10"/>
      <c r="K6885" s="10"/>
      <c r="L6885" s="10"/>
      <c r="M6885" s="10"/>
      <c r="N6885" s="10"/>
      <c r="O6885" s="10"/>
      <c r="P6885" s="10"/>
      <c r="Q6885" s="10"/>
      <c r="R6885" s="10"/>
      <c r="S6885" s="10"/>
      <c r="T6885" s="10"/>
      <c r="U6885" s="10"/>
      <c r="V6885" s="10"/>
      <c r="W6885" s="10"/>
      <c r="X6885" s="10"/>
      <c r="Y6885" s="10"/>
      <c r="Z6885" s="10"/>
    </row>
    <row r="6886" spans="1:26" ht="12.75">
      <c r="A6886" s="10" t="str">
        <f ca="1">IFERROR(__xludf.DUMMYFUNCTION("""COMPUTED_VALUE"""),"София Илиева Василева-Вълчева")</f>
        <v>София Илиева Василева-Вълчева</v>
      </c>
      <c r="B6886" s="10" t="str">
        <f ca="1">IFERROR(__xludf.DUMMYFUNCTION("""COMPUTED_VALUE"""),"Доклад от конференция")</f>
        <v>Доклад от конференция</v>
      </c>
      <c r="C6886" s="10" t="str">
        <f ca="1">IFERROR(__xludf.DUMMYFUNCTION("""COMPUTED_VALUE"""),"Културно-историческото наследство в съвременните политики на Съвета на Европа и Европейския съюз")</f>
        <v>Културно-историческото наследство в съвременните политики на Съвета на Европа и Европейския съюз</v>
      </c>
      <c r="D6886" s="10">
        <f ca="1">IFERROR(__xludf.DUMMYFUNCTION("""COMPUTED_VALUE"""),2011)</f>
        <v>2011</v>
      </c>
      <c r="E6886" s="10" t="str">
        <f ca="1">IFERROR(__xludf.DUMMYFUNCTION("""COMPUTED_VALUE"""),"ОБЩЕСТВОТО на знанието и хуманизмът на XXI век = Общество знания и гуманизм XXI века = Knowledge society and 21st century humanism: осма национална научна конференция с международно участие, София, 1 ноем. 2010 г. - София: За буквите – О писменехь, 2011, "&amp;"с. 386-392 ISBN 978-954-2946-09-0.")</f>
        <v>ОБЩЕСТВОТО на знанието и хуманизмът на XXI век = Общество знания и гуманизм XXI века = Knowledge society and 21st century humanism: осма национална научна конференция с международно участие, София, 1 ноем. 2010 г. - София: За буквите – О писменехь, 2011, с. 386-392 ISBN 978-954-2946-09-0.</v>
      </c>
      <c r="F6886" s="10"/>
      <c r="G6886" s="10"/>
      <c r="H6886" s="10"/>
      <c r="I6886" s="10"/>
      <c r="J6886" s="10"/>
      <c r="K6886" s="10"/>
      <c r="L6886" s="10"/>
      <c r="M6886" s="10"/>
      <c r="N6886" s="10"/>
      <c r="O6886" s="10"/>
      <c r="P6886" s="10"/>
      <c r="Q6886" s="10"/>
      <c r="R6886" s="10"/>
      <c r="S6886" s="10"/>
      <c r="T6886" s="10"/>
      <c r="U6886" s="10"/>
      <c r="V6886" s="10"/>
      <c r="W6886" s="10"/>
      <c r="X6886" s="10"/>
      <c r="Y6886" s="10"/>
      <c r="Z6886" s="10"/>
    </row>
    <row r="6887" spans="1:26" ht="12.75">
      <c r="A6887" s="10" t="str">
        <f ca="1">IFERROR(__xludf.DUMMYFUNCTION("""COMPUTED_VALUE"""),"София Илиева Василева-Вълчева")</f>
        <v>София Илиева Василева-Вълчева</v>
      </c>
      <c r="B6887" s="10" t="str">
        <f ca="1">IFERROR(__xludf.DUMMYFUNCTION("""COMPUTED_VALUE"""),"Доклад от конференция")</f>
        <v>Доклад от конференция</v>
      </c>
      <c r="C6887" s="10" t="str">
        <f ca="1">IFERROR(__xludf.DUMMYFUNCTION("""COMPUTED_VALUE"""),"Интеркултурното образование в България в условията на европейска интеграция. Добри практики и проблемни области.")</f>
        <v>Интеркултурното образование в България в условията на европейска интеграция. Добри практики и проблемни области.</v>
      </c>
      <c r="D6887" s="10">
        <f ca="1">IFERROR(__xludf.DUMMYFUNCTION("""COMPUTED_VALUE"""),2011)</f>
        <v>2011</v>
      </c>
      <c r="E6887" s="10" t="str">
        <f ca="1">IFERROR(__xludf.DUMMYFUNCTION("""COMPUTED_VALUE"""),"ОБЩЕСТВОТО на знанието и хуманизмът на XXI век = Общество знания и гуманизм XXI века = Knowledge society and 21st century humanism: ІХ-а национална научна конференция с международно участие. София 1.ХІ.2010. София : За буквите – О писменехь, 2011, с. 235-"&amp;"242. ISBN 978-954-2946-09-0.")</f>
        <v>ОБЩЕСТВОТО на знанието и хуманизмът на XXI век = Общество знания и гуманизм XXI века = Knowledge society and 21st century humanism: ІХ-а национална научна конференция с международно участие. София 1.ХІ.2010. София : За буквите – О писменехь, 2011, с. 235-242. ISBN 978-954-2946-09-0.</v>
      </c>
      <c r="F6887" s="10"/>
      <c r="G6887" s="10"/>
      <c r="H6887" s="10"/>
      <c r="I6887" s="10"/>
      <c r="J6887" s="10"/>
      <c r="K6887" s="10"/>
      <c r="L6887" s="10"/>
      <c r="M6887" s="10"/>
      <c r="N6887" s="10"/>
      <c r="O6887" s="10"/>
      <c r="P6887" s="10"/>
      <c r="Q6887" s="10"/>
      <c r="R6887" s="10"/>
      <c r="S6887" s="10"/>
      <c r="T6887" s="10"/>
      <c r="U6887" s="10"/>
      <c r="V6887" s="10"/>
      <c r="W6887" s="10"/>
      <c r="X6887" s="10"/>
      <c r="Y6887" s="10"/>
      <c r="Z6887" s="10"/>
    </row>
    <row r="6888" spans="1:26" ht="12.75">
      <c r="A6888" s="10" t="str">
        <f ca="1">IFERROR(__xludf.DUMMYFUNCTION("""COMPUTED_VALUE"""),"София Илиева Василева-Вълчева")</f>
        <v>София Илиева Василева-Вълчева</v>
      </c>
      <c r="B6888" s="10" t="str">
        <f ca="1">IFERROR(__xludf.DUMMYFUNCTION("""COMPUTED_VALUE"""),"Доклад от конференция")</f>
        <v>Доклад от конференция</v>
      </c>
      <c r="C6888" s="10" t="str">
        <f ca="1">IFERROR(__xludf.DUMMYFUNCTION("""COMPUTED_VALUE"""),"Личные библиотеки и Болгарское возрождение ХІХ века.")</f>
        <v>Личные библиотеки и Болгарское возрождение ХІХ века.</v>
      </c>
      <c r="D6888" s="10">
        <f ca="1">IFERROR(__xludf.DUMMYFUNCTION("""COMPUTED_VALUE"""),2011)</f>
        <v>2011</v>
      </c>
      <c r="E6888" s="10" t="str">
        <f ca="1">IFERROR(__xludf.DUMMYFUNCTION("""COMPUTED_VALUE"""),"Личные библиотеки и Болгарское возрождение ХІХ века // Библиофильство и личные собрания = Bibliolatry and private collections / [Федеральное агентство по печати и массовым коммуникациям, Российская гос. б-ка, Нац. союз библиофилов / Первая международная к"&amp;"онференция. Москва : НП ""Нац. союз библиофилов"", 2011, с. 453-462. ISBN 978-5-7510-05-07-8.")</f>
        <v>Личные библиотеки и Болгарское возрождение ХІХ века // Библиофильство и личные собрания = Bibliolatry and private collections / [Федеральное агентство по печати и массовым коммуникациям, Российская гос. б-ка, Нац. союз библиофилов / Первая международная конференция. Москва : НП "Нац. союз библиофилов", 2011, с. 453-462. ISBN 978-5-7510-05-07-8.</v>
      </c>
      <c r="F6888" s="10"/>
      <c r="G6888" s="10" t="str">
        <f ca="1">IFERROR(__xludf.DUMMYFUNCTION("""COMPUTED_VALUE"""),"Иванка Янкова")</f>
        <v>Иванка Янкова</v>
      </c>
      <c r="H6888" s="10"/>
      <c r="I6888" s="10"/>
      <c r="J6888" s="10"/>
      <c r="K6888" s="10"/>
      <c r="L6888" s="10"/>
      <c r="M6888" s="10"/>
      <c r="N6888" s="10"/>
      <c r="O6888" s="10"/>
      <c r="P6888" s="10"/>
      <c r="Q6888" s="10"/>
      <c r="R6888" s="10"/>
      <c r="S6888" s="10"/>
      <c r="T6888" s="10"/>
      <c r="U6888" s="10"/>
      <c r="V6888" s="10"/>
      <c r="W6888" s="10"/>
      <c r="X6888" s="10"/>
      <c r="Y6888" s="10"/>
      <c r="Z6888" s="10"/>
    </row>
    <row r="6889" spans="1:26" ht="12.75">
      <c r="A6889" s="10" t="str">
        <f ca="1">IFERROR(__xludf.DUMMYFUNCTION("""COMPUTED_VALUE"""),"София Илиева Василева-Вълчева")</f>
        <v>София Илиева Василева-Вълчева</v>
      </c>
      <c r="B6889" s="10" t="str">
        <f ca="1">IFERROR(__xludf.DUMMYFUNCTION("""COMPUTED_VALUE"""),"Доклад от конференция")</f>
        <v>Доклад от конференция</v>
      </c>
      <c r="C6889" s="10" t="str">
        <f ca="1">IFERROR(__xludf.DUMMYFUNCTION("""COMPUTED_VALUE"""),"Проф. Иван Шишманов – интелектуалният лидер")</f>
        <v>Проф. Иван Шишманов – интелектуалният лидер</v>
      </c>
      <c r="D6889" s="10">
        <f ca="1">IFERROR(__xludf.DUMMYFUNCTION("""COMPUTED_VALUE"""),2011)</f>
        <v>2011</v>
      </c>
      <c r="E6889" s="10" t="str">
        <f ca="1">IFERROR(__xludf.DUMMYFUNCTION("""COMPUTED_VALUE"""),"Политическото лидерство: уроци от българската история (Лидерство и национална сигурност) : четвърта научна сесия 6 юли 2010 г., БАН, София : Институт за теория и практика на лидерството ""Стефан Стамболов"", 2010 ([София] : Унив. изд. ""Св. Климент Охридс"&amp;"ки"") Серия: Бюлетин Институт по теория и практика на лидерството „Ст. Стамболов“ [Съставител и редактор – проф. Димитър Иванов д.н.], № 5, 2011, с. 35-42 ISSN 1313-8782.")</f>
        <v>Политическото лидерство: уроци от българската история (Лидерство и национална сигурност) : четвърта научна сесия 6 юли 2010 г., БАН, София : Институт за теория и практика на лидерството "Стефан Стамболов", 2010 ([София] : Унив. изд. "Св. Климент Охридски") Серия: Бюлетин Институт по теория и практика на лидерството „Ст. Стамболов“ [Съставител и редактор – проф. Димитър Иванов д.н.], № 5, 2011, с. 35-42 ISSN 1313-8782.</v>
      </c>
      <c r="F6889" s="10"/>
      <c r="G6889" s="10"/>
      <c r="H6889" s="10"/>
      <c r="I6889" s="10"/>
      <c r="J6889" s="10"/>
      <c r="K6889" s="10"/>
      <c r="L6889" s="10"/>
      <c r="M6889" s="10"/>
      <c r="N6889" s="10"/>
      <c r="O6889" s="10"/>
      <c r="P6889" s="10"/>
      <c r="Q6889" s="10"/>
      <c r="R6889" s="10"/>
      <c r="S6889" s="10"/>
      <c r="T6889" s="10"/>
      <c r="U6889" s="10"/>
      <c r="V6889" s="10"/>
      <c r="W6889" s="10"/>
      <c r="X6889" s="10"/>
      <c r="Y6889" s="10"/>
      <c r="Z6889" s="10"/>
    </row>
    <row r="6890" spans="1:26" ht="12.75">
      <c r="A6890" s="10" t="str">
        <f ca="1">IFERROR(__xludf.DUMMYFUNCTION("""COMPUTED_VALUE"""),"София Илиева Василева-Вълчева")</f>
        <v>София Илиева Василева-Вълчева</v>
      </c>
      <c r="B6890" s="10" t="str">
        <f ca="1">IFERROR(__xludf.DUMMYFUNCTION("""COMPUTED_VALUE"""),"Статия в списания и поредици")</f>
        <v>Статия в списания и поредици</v>
      </c>
      <c r="C6890" s="10" t="str">
        <f ca="1">IFERROR(__xludf.DUMMYFUNCTION("""COMPUTED_VALUE"""),"Съвременни политики на Съвета на Европа и Европейския съюз в областта на културно-историческото наследство.")</f>
        <v>Съвременни политики на Съвета на Европа и Европейския съюз в областта на културно-историческото наследство.</v>
      </c>
      <c r="D6890" s="10">
        <f ca="1">IFERROR(__xludf.DUMMYFUNCTION("""COMPUTED_VALUE"""),2011)</f>
        <v>2011</v>
      </c>
      <c r="E6890" s="10" t="str">
        <f ca="1">IFERROR(__xludf.DUMMYFUNCTION("""COMPUTED_VALUE"""),"Културно-историческото наследство – образователни и научноизследователски аспекти. София : = Cultural and historical heritage : educational and research aspects. За буквите О Писменехь, 2011, с. 72-79 ISBN 978-954-2946-01-4.")</f>
        <v>Културно-историческото наследство – образователни и научноизследователски аспекти. София : = Cultural and historical heritage : educational and research aspects. За буквите О Писменехь, 2011, с. 72-79 ISBN 978-954-2946-01-4.</v>
      </c>
      <c r="F6890" s="10" t="str">
        <f ca="1">IFERROR(__xludf.DUMMYFUNCTION("""COMPUTED_VALUE"""),"Intangible cultural heritage presented in educational programes of National Museum of History in Sofia. / Veselina Ivanova, author // Tomsk State University Journal of Cultural Studies and Art History. 2015. N 3(19) - http://journals.tsu.ru///culture/en/&amp;"&amp;"journal_page=archive&amp;id=1305&amp;article_id=23295
 /Цитиране индексирано в Web of Science/")</f>
        <v>Intangible cultural heritage presented in educational programes of National Museum of History in Sofia. / Veselina Ivanova, author // Tomsk State University Journal of Cultural Studies and Art History. 2015. N 3(19) - http://journals.tsu.ru///culture/en/&amp;journal_page=archive&amp;id=1305&amp;article_id=23295
 /Цитиране индексирано в Web of Science/</v>
      </c>
      <c r="G6890" s="10"/>
      <c r="H6890" s="10"/>
      <c r="I6890" s="10"/>
      <c r="J6890" s="10"/>
      <c r="K6890" s="10"/>
      <c r="L6890" s="10"/>
      <c r="M6890" s="10"/>
      <c r="N6890" s="10"/>
      <c r="O6890" s="10"/>
      <c r="P6890" s="10"/>
      <c r="Q6890" s="10"/>
      <c r="R6890" s="10"/>
      <c r="S6890" s="10"/>
      <c r="T6890" s="10"/>
      <c r="U6890" s="10"/>
      <c r="V6890" s="10"/>
      <c r="W6890" s="10"/>
      <c r="X6890" s="10"/>
      <c r="Y6890" s="10"/>
      <c r="Z6890" s="10"/>
    </row>
    <row r="6891" spans="1:26" ht="12.75">
      <c r="A6891" s="10" t="str">
        <f ca="1">IFERROR(__xludf.DUMMYFUNCTION("""COMPUTED_VALUE"""),"София Илиева Василева-Вълчева")</f>
        <v>София Илиева Василева-Вълчева</v>
      </c>
      <c r="B6891" s="10" t="str">
        <f ca="1">IFERROR(__xludf.DUMMYFUNCTION("""COMPUTED_VALUE"""),"Книга")</f>
        <v>Книга</v>
      </c>
      <c r="C6891" s="10" t="str">
        <f ca="1">IFERROR(__xludf.DUMMYFUNCTION("""COMPUTED_VALUE"""),"Културно-историческото наследство – образователни и научноизследователски аспекти.")</f>
        <v>Културно-историческото наследство – образователни и научноизследователски аспекти.</v>
      </c>
      <c r="D6891" s="10">
        <f ca="1">IFERROR(__xludf.DUMMYFUNCTION("""COMPUTED_VALUE"""),2011)</f>
        <v>2011</v>
      </c>
      <c r="E6891" s="10" t="str">
        <f ca="1">IFERROR(__xludf.DUMMYFUNCTION("""COMPUTED_VALUE"""),"Сборник с научни публикации. [София Василева – съставител и редактор]. [Редакционна колегия: проф. д.ик.н. Стоян Денчев, проф. д.ф.н. Иванка Янкова, доц. д-р арх. Свободна Вранчева, проф. д.ик.н. Сево Явашчев]. София : За буквите - О Писменехь, 2011. -250"&amp;" с. ISBN: 978-954-2946-01-4.")</f>
        <v>Сборник с научни публикации. [София Василева – съставител и редактор]. [Редакционна колегия: проф. д.ик.н. Стоян Денчев, проф. д.ф.н. Иванка Янкова, доц. д-р арх. Свободна Вранчева, проф. д.ик.н. Сево Явашчев]. София : За буквите - О Писменехь, 2011. -250 с. ISBN: 978-954-2946-01-4.</v>
      </c>
      <c r="F6891" s="10"/>
      <c r="G6891" s="10"/>
      <c r="H6891" s="10"/>
      <c r="I6891" s="10"/>
      <c r="J6891" s="10"/>
      <c r="K6891" s="10"/>
      <c r="L6891" s="10"/>
      <c r="M6891" s="10"/>
      <c r="N6891" s="10"/>
      <c r="O6891" s="10"/>
      <c r="P6891" s="10"/>
      <c r="Q6891" s="10"/>
      <c r="R6891" s="10"/>
      <c r="S6891" s="10"/>
      <c r="T6891" s="10"/>
      <c r="U6891" s="10"/>
      <c r="V6891" s="10"/>
      <c r="W6891" s="10"/>
      <c r="X6891" s="10"/>
      <c r="Y6891" s="10"/>
      <c r="Z6891" s="10"/>
    </row>
    <row r="6892" spans="1:26" ht="12.75">
      <c r="A6892" s="10" t="str">
        <f ca="1">IFERROR(__xludf.DUMMYFUNCTION("""COMPUTED_VALUE"""),"София Илиева Василева-Вълчева")</f>
        <v>София Илиева Василева-Вълчева</v>
      </c>
      <c r="B6892" s="10" t="str">
        <f ca="1">IFERROR(__xludf.DUMMYFUNCTION("""COMPUTED_VALUE"""),"Книга")</f>
        <v>Книга</v>
      </c>
      <c r="C6892" s="10" t="str">
        <f ca="1">IFERROR(__xludf.DUMMYFUNCTION("""COMPUTED_VALUE"""),"[Шеста] VI Студентска научна конференция : Трудове.")</f>
        <v>[Шеста] VI Студентска научна конференция : Трудове.</v>
      </c>
      <c r="D6892" s="10">
        <f ca="1">IFERROR(__xludf.DUMMYFUNCTION("""COMPUTED_VALUE"""),2010)</f>
        <v>2010</v>
      </c>
      <c r="E6892" s="10" t="str">
        <f ca="1">IFERROR(__xludf.DUMMYFUNCTION("""COMPUTED_VALUE"""),"Трудове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6. -761 с. ISSN 1314-2526 online ISSN 1314-6793; ISBN 978-954-8887-92-2.")</f>
        <v>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6. -761 с. ISSN 1314-2526 online ISSN 1314-6793; ISBN 978-954-8887-92-2.</v>
      </c>
      <c r="F6892" s="10"/>
      <c r="G6892" s="10" t="str">
        <f ca="1">IFERROR(__xludf.DUMMYFUNCTION("""COMPUTED_VALUE"""),"Куманова,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Н"&amp;"анкова(ред.),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f>
        <v>Куманова, Александра Венкова (ред.), Василева-Вълчева, София Илиева (ред.), Бойчева, Светла Николова (ред.), Цветкова, Люба Дражева (ред.), Тодорова, Таня Йорданова (ред.), Гарванов, Иван Георгиев (ред.), Велев, Венцислав Иванов (ред.), Нанкова, Мариела Нанкова(ред.), Енчева, Марина Енчева (ред.), Парижкова, Любомира Петрова (ред.), Тренчева, Тереза (ред.), Шапкалова, Светла Ангелова (състав.), Генова, Теодора (състав.), Златкова, Пламена(състав.)</v>
      </c>
      <c r="H6892" s="10"/>
      <c r="I6892" s="10"/>
      <c r="J6892" s="10"/>
      <c r="K6892" s="10"/>
      <c r="L6892" s="10"/>
      <c r="M6892" s="10"/>
      <c r="N6892" s="10"/>
      <c r="O6892" s="10"/>
      <c r="P6892" s="10"/>
      <c r="Q6892" s="10"/>
      <c r="R6892" s="10"/>
      <c r="S6892" s="10"/>
      <c r="T6892" s="10"/>
      <c r="U6892" s="10"/>
      <c r="V6892" s="10"/>
      <c r="W6892" s="10"/>
      <c r="X6892" s="10"/>
      <c r="Y6892" s="10"/>
      <c r="Z6892" s="10"/>
    </row>
    <row r="6893" spans="1:26" ht="12.75">
      <c r="A6893" s="10" t="str">
        <f ca="1">IFERROR(__xludf.DUMMYFUNCTION("""COMPUTED_VALUE"""),"София Илиева Василева-Вълчева")</f>
        <v>София Илиева Василева-Вълчева</v>
      </c>
      <c r="B6893" s="10" t="str">
        <f ca="1">IFERROR(__xludf.DUMMYFUNCTION("""COMPUTED_VALUE"""),"Книга")</f>
        <v>Книга</v>
      </c>
      <c r="C6893" s="10" t="str">
        <f ca="1">IFERROR(__xludf.DUMMYFUNCTION("""COMPUTED_VALUE"""),"Държавна политика за културно-историческото наследство на България 1878-2009. Лекции. Второ доп. издание")</f>
        <v>Държавна политика за културно-историческото наследство на България 1878-2009. Лекции. Второ доп. издание</v>
      </c>
      <c r="D6893" s="10">
        <f ca="1">IFERROR(__xludf.DUMMYFUNCTION("""COMPUTED_VALUE"""),2010)</f>
        <v>2010</v>
      </c>
      <c r="E6893" s="10" t="str">
        <f ca="1">IFERROR(__xludf.DUMMYFUNCTION("""COMPUTED_VALUE"""),"София : Издателство “За буквите – О писменехь”, 2010. -432 с., със 100 цв. ил., ISBN – 10 : 954-8887-13-4 [съдържание и резюмета на английски и руски език]")</f>
        <v>София : Издателство “За буквите – О писменехь”, 2010. -432 с., със 100 цв. ил., ISBN – 10 : 954-8887-13-4 [съдържание и резюмета на английски и руски език]</v>
      </c>
      <c r="F6893" s="10" t="str">
        <f ca="1">IFERROR(__xludf.DUMMYFUNCTION("""COMPUTED_VALUE"""),"www.sudoc.fr/153229713
 www.worldcat.org/title/durzhavna-politika-za...na...1878-2009.../editions
 http://vbbgw.izum.si/scripts/cobiss?command=DISPLAY&amp;base=COBIB&amp;RID=1234723812
 https://trove.nla.gov.au/work/38963667?q&amp;versionId=51752576
 http://www.bki.c"&amp;"z/cz
 https://search.rsl.ru/ru/record/01004924133
 www.ihist.bas.bg/sekcii/Naj-nova/files/Katalog-literatura-prehoda-lv-corr.pdf
 https://copac.jisc.ac.uk/collection/popular-searches/2016-07-18/title-cultural-heritage/page109.html")</f>
        <v>www.sudoc.fr/153229713
 www.worldcat.org/title/durzhavna-politika-za...na...1878-2009.../editions
 http://vbbgw.izum.si/scripts/cobiss?command=DISPLAY&amp;base=COBIB&amp;RID=1234723812
 https://trove.nla.gov.au/work/38963667?q&amp;versionId=51752576
 http://www.bki.cz/cz
 https://search.rsl.ru/ru/record/01004924133
 www.ihist.bas.bg/sekcii/Naj-nova/files/Katalog-literatura-prehoda-lv-corr.pdf
 https://copac.jisc.ac.uk/collection/popular-searches/2016-07-18/title-cultural-heritage/page109.html</v>
      </c>
      <c r="G6893" s="10" t="str">
        <f ca="1">IFERROR(__xludf.DUMMYFUNCTION("""COMPUTED_VALUE"""),"С. Денчев")</f>
        <v>С. Денчев</v>
      </c>
      <c r="H6893" s="10"/>
      <c r="I6893" s="10"/>
      <c r="J6893" s="10"/>
      <c r="K6893" s="10"/>
      <c r="L6893" s="10"/>
      <c r="M6893" s="10"/>
      <c r="N6893" s="10"/>
      <c r="O6893" s="10"/>
      <c r="P6893" s="10"/>
      <c r="Q6893" s="10"/>
      <c r="R6893" s="10"/>
      <c r="S6893" s="10"/>
      <c r="T6893" s="10"/>
      <c r="U6893" s="10"/>
      <c r="V6893" s="10"/>
      <c r="W6893" s="10"/>
      <c r="X6893" s="10"/>
      <c r="Y6893" s="10"/>
      <c r="Z6893" s="10"/>
    </row>
    <row r="6894" spans="1:26" ht="12.75">
      <c r="A6894" s="10" t="str">
        <f ca="1">IFERROR(__xludf.DUMMYFUNCTION("""COMPUTED_VALUE"""),"София Илиева Василева-Вълчева")</f>
        <v>София Илиева Василева-Вълчева</v>
      </c>
      <c r="B6894" s="10" t="str">
        <f ca="1">IFERROR(__xludf.DUMMYFUNCTION("""COMPUTED_VALUE"""),"Книга")</f>
        <v>Книга</v>
      </c>
      <c r="C6894" s="10" t="str">
        <f ca="1">IFERROR(__xludf.DUMMYFUNCTION("""COMPUTED_VALUE"""),"[Пета] V Студентска научна конференция : Трудове.")</f>
        <v>[Пета] V Студентска научна конференция : Трудове.</v>
      </c>
      <c r="D6894" s="10">
        <f ca="1">IFERROR(__xludf.DUMMYFUNCTION("""COMPUTED_VALUE"""),2010)</f>
        <v>2010</v>
      </c>
      <c r="E6894" s="10" t="str">
        <f ca="1">IFERROR(__xludf.DUMMYFUNCTION("""COMPUTED_VALUE"""),"Трудове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5. -894 с. ISSN 1313-4566.")</f>
        <v>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5. -894 с. ISSN 1313-4566.</v>
      </c>
      <c r="F6894" s="10"/>
      <c r="G6894" s="10" t="str">
        <f ca="1">IFERROR(__xludf.DUMMYFUNCTION("""COMPUTED_VALUE"""),"Денчев, Стоян Георгиев (ред.), Василева-Вълчева, София Илиева (ред.), Бойчева, Светла Николова (ред.), Цветкова, Люба Дражева (ред.), Тодорова, Таня Йорданова (ред.), Шапкалова, Светла Ангелова (състав.), Генова, Теодора (състав.), Златкова, Пламена Емило"&amp;"ва (състав.), Попова, Пламена Петрова (състав.)")</f>
        <v>Денчев, Стоян Георгиев (ред.), Василева-Вълчева, София Илиева (ред.), Бойчева, Светла Николова (ред.), Цветкова, Люба Дражева (ред.), Тодорова, Таня Йорданова (ред.), Шапкалова, Светла Ангелова (състав.), Генова, Теодора (състав.), Златкова, Пламена Емилова (състав.), Попова, Пламена Петрова (състав.)</v>
      </c>
      <c r="H6894" s="10"/>
      <c r="I6894" s="10"/>
      <c r="J6894" s="10"/>
      <c r="K6894" s="10"/>
      <c r="L6894" s="10"/>
      <c r="M6894" s="10"/>
      <c r="N6894" s="10"/>
      <c r="O6894" s="10"/>
      <c r="P6894" s="10"/>
      <c r="Q6894" s="10"/>
      <c r="R6894" s="10"/>
      <c r="S6894" s="10"/>
      <c r="T6894" s="10"/>
      <c r="U6894" s="10"/>
      <c r="V6894" s="10"/>
      <c r="W6894" s="10"/>
      <c r="X6894" s="10"/>
      <c r="Y6894" s="10"/>
      <c r="Z6894" s="10"/>
    </row>
    <row r="6895" spans="1:26" ht="12.75">
      <c r="A6895" s="10" t="str">
        <f ca="1">IFERROR(__xludf.DUMMYFUNCTION("""COMPUTED_VALUE"""),"София Илиева Василева-Вълчева")</f>
        <v>София Илиева Василева-Вълчева</v>
      </c>
      <c r="B6895" s="10" t="str">
        <f ca="1">IFERROR(__xludf.DUMMYFUNCTION("""COMPUTED_VALUE"""),"Статия в списания и поредици")</f>
        <v>Статия в списания и поредици</v>
      </c>
      <c r="C6895" s="10" t="str">
        <f ca="1">IFERROR(__xludf.DUMMYFUNCTION("""COMPUTED_VALUE"""),"Пловдив – културно-историческо наследство в риск. Информационни аспекти")</f>
        <v>Пловдив – културно-историческо наследство в риск. Информационни аспекти</v>
      </c>
      <c r="D6895" s="10">
        <f ca="1">IFERROR(__xludf.DUMMYFUNCTION("""COMPUTED_VALUE"""),2010)</f>
        <v>2010</v>
      </c>
      <c r="E6895" s="10" t="str">
        <f ca="1">IFERROR(__xludf.DUMMYFUNCTION("""COMPUTED_VALUE"""),"Т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2010, т. 8., с. 313-327 ISSN 1312-5834.")</f>
        <v>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2010, т. 8., с. 313-327 ISSN 1312-5834.</v>
      </c>
      <c r="F6895" s="10"/>
      <c r="G6895" s="10"/>
      <c r="H6895" s="10"/>
      <c r="I6895" s="10"/>
      <c r="J6895" s="10"/>
      <c r="K6895" s="10"/>
      <c r="L6895" s="10"/>
      <c r="M6895" s="10"/>
      <c r="N6895" s="10"/>
      <c r="O6895" s="10"/>
      <c r="P6895" s="10"/>
      <c r="Q6895" s="10"/>
      <c r="R6895" s="10"/>
      <c r="S6895" s="10"/>
      <c r="T6895" s="10"/>
      <c r="U6895" s="10"/>
      <c r="V6895" s="10"/>
      <c r="W6895" s="10"/>
      <c r="X6895" s="10"/>
      <c r="Y6895" s="10"/>
      <c r="Z6895" s="10"/>
    </row>
    <row r="6896" spans="1:26" ht="12.75">
      <c r="A6896" s="10" t="str">
        <f ca="1">IFERROR(__xludf.DUMMYFUNCTION("""COMPUTED_VALUE"""),"София Илиева Василева-Вълчева")</f>
        <v>София Илиева Василева-Вълчева</v>
      </c>
      <c r="B6896" s="10" t="str">
        <f ca="1">IFERROR(__xludf.DUMMYFUNCTION("""COMPUTED_VALUE"""),"Учебник")</f>
        <v>Учебник</v>
      </c>
      <c r="C6896" s="10" t="str">
        <f ca="1">IFERROR(__xludf.DUMMYFUNCTION("""COMPUTED_VALUE"""),"Роля и значение на НПО за защита на културните ценности. (Част от учебник)")</f>
        <v>Роля и значение на НПО за защита на културните ценности. (Част от учебник)</v>
      </c>
      <c r="D6896" s="10">
        <f ca="1">IFERROR(__xludf.DUMMYFUNCTION("""COMPUTED_VALUE"""),2010)</f>
        <v>2010</v>
      </c>
      <c r="E6896" s="10" t="str">
        <f ca="1">IFERROR(__xludf.DUMMYFUNCTION("""COMPUTED_VALUE"""),"В: ЗАЩИТА на културно-историческото наследство в Република България : интегративна магистърска програма на СВУБИТ и Академията на МВР - III семестър на учебната 2010/2011 година : дистанционно обучение / [ред. Славянка Мундрова]. - София : За буквите - О "&amp;"писменехь, 2010, стр.189 – 206 ISBN 978-954-8887-85-4.")</f>
        <v>В: ЗАЩИТА на културно-историческото наследство в Република България : интегративна магистърска програма на СВУБИТ и Академията на МВР - III семестър на учебната 2010/2011 година : дистанционно обучение / [ред. Славянка Мундрова]. - София : За буквите - О писменехь, 2010, стр.189 – 206 ISBN 978-954-8887-85-4.</v>
      </c>
      <c r="F6896" s="10"/>
      <c r="G6896" s="10"/>
      <c r="H6896" s="10"/>
      <c r="I6896" s="10"/>
      <c r="J6896" s="10"/>
      <c r="K6896" s="10"/>
      <c r="L6896" s="10"/>
      <c r="M6896" s="10"/>
      <c r="N6896" s="10"/>
      <c r="O6896" s="10"/>
      <c r="P6896" s="10"/>
      <c r="Q6896" s="10"/>
      <c r="R6896" s="10"/>
      <c r="S6896" s="10"/>
      <c r="T6896" s="10"/>
      <c r="U6896" s="10"/>
      <c r="V6896" s="10"/>
      <c r="W6896" s="10"/>
      <c r="X6896" s="10"/>
      <c r="Y6896" s="10"/>
      <c r="Z6896" s="10"/>
    </row>
    <row r="6897" spans="1:26" ht="12.75">
      <c r="A6897" s="10" t="str">
        <f ca="1">IFERROR(__xludf.DUMMYFUNCTION("""COMPUTED_VALUE"""),"София Илиева Василева-Вълчева")</f>
        <v>София Илиева Василева-Вълчева</v>
      </c>
      <c r="B6897" s="10" t="str">
        <f ca="1">IFERROR(__xludf.DUMMYFUNCTION("""COMPUTED_VALUE"""),"Книга")</f>
        <v>Книга</v>
      </c>
      <c r="C6897" s="10" t="str">
        <f ca="1">IFERROR(__xludf.DUMMYFUNCTION("""COMPUTED_VALUE"""),"Тракия – кръстопът на цивилизации. Студентски практики в областта на културно-историческото наследство. Споделен опит.")</f>
        <v>Тракия – кръстопът на цивилизации. Студентски практики в областта на културно-историческото наследство. Споделен опит.</v>
      </c>
      <c r="D6897" s="10">
        <f ca="1">IFERROR(__xludf.DUMMYFUNCTION("""COMPUTED_VALUE"""),2009)</f>
        <v>2009</v>
      </c>
      <c r="E6897" s="10" t="str">
        <f ca="1">IFERROR(__xludf.DUMMYFUNCTION("""COMPUTED_VALUE"""),"Сборник с научни публикации. [София Василева – съставител и редактор. Редакционна колегия: доц. д-р Светла Димитрова, ст.н.с. д-р Косьо Зарев, доц. д-р Лизбет Любенова]. –София : “WINI-1837”, 2009. – 144 с. ISBN 978-954-9437-20-1.")</f>
        <v>Сборник с научни публикации. [София Василева – съставител и редактор. Редакционна колегия: доц. д-р Светла Димитрова, ст.н.с. д-р Косьо Зарев, доц. д-р Лизбет Любенова]. –София : “WINI-1837”, 2009. – 144 с. ISBN 978-954-9437-20-1.</v>
      </c>
      <c r="F6897" s="10"/>
      <c r="G6897" s="10"/>
      <c r="H6897" s="10"/>
      <c r="I6897" s="10"/>
      <c r="J6897" s="10"/>
      <c r="K6897" s="10"/>
      <c r="L6897" s="10"/>
      <c r="M6897" s="10"/>
      <c r="N6897" s="10"/>
      <c r="O6897" s="10"/>
      <c r="P6897" s="10"/>
      <c r="Q6897" s="10"/>
      <c r="R6897" s="10"/>
      <c r="S6897" s="10"/>
      <c r="T6897" s="10"/>
      <c r="U6897" s="10"/>
      <c r="V6897" s="10"/>
      <c r="W6897" s="10"/>
      <c r="X6897" s="10"/>
      <c r="Y6897" s="10"/>
      <c r="Z6897" s="10"/>
    </row>
    <row r="6898" spans="1:26" ht="12.75">
      <c r="A6898" s="10" t="str">
        <f ca="1">IFERROR(__xludf.DUMMYFUNCTION("""COMPUTED_VALUE"""),"София Илиева Василева-Вълчева")</f>
        <v>София Илиева Василева-Вълчева</v>
      </c>
      <c r="B6898" s="10" t="str">
        <f ca="1">IFERROR(__xludf.DUMMYFUNCTION("""COMPUTED_VALUE"""),"Книга")</f>
        <v>Книга</v>
      </c>
      <c r="C6898" s="10" t="str">
        <f ca="1">IFERROR(__xludf.DUMMYFUNCTION("""COMPUTED_VALUE"""),"[Четвърта] ІV Студентска научна конференция : Трудове")</f>
        <v>[Четвърта] ІV Студентска научна конференция : Трудове</v>
      </c>
      <c r="D6898" s="10">
        <f ca="1">IFERROR(__xludf.DUMMYFUNCTION("""COMPUTED_VALUE"""),2009)</f>
        <v>2009</v>
      </c>
      <c r="E6898" s="10" t="str">
        <f ca="1">IFERROR(__xludf.DUMMYFUNCTION("""COMPUTED_VALUE"""),"Трудове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4. -646 с. ISSN 1313-4566.")</f>
        <v>Трудове на Студентското научно общество при Университета по библиотекознание и информационни технологии Студентски научни конференции. София : За буквите О писменехь, T. 4. -646 с. ISSN 1313-4566.</v>
      </c>
      <c r="F6898" s="10"/>
      <c r="G6898" s="10" t="str">
        <f ca="1">IFERROR(__xludf.DUMMYFUNCTION("""COMPUTED_VALUE"""),"Денчев, Стоян (ред.), Куманова, Александра (ред.), Василева-Вълчева, София (ред.), Бойчева, Светла (ред.), Шапкалова, Светла (състав.), Генова, Теодора (състав.), Златкова, Пламена (състав.), Гетова, Иглика (състав.), Попова, Пламена (състав.)")</f>
        <v>Денчев, Стоян (ред.), Куманова, Александра (ред.), Василева-Вълчева, София (ред.), Бойчева, Светла (ред.), Шапкалова, Светла (състав.), Генова, Теодора (състав.), Златкова, Пламена (състав.), Гетова, Иглика (състав.), Попова, Пламена (състав.)</v>
      </c>
      <c r="H6898" s="10"/>
      <c r="I6898" s="10"/>
      <c r="J6898" s="10"/>
      <c r="K6898" s="10"/>
      <c r="L6898" s="10"/>
      <c r="M6898" s="10"/>
      <c r="N6898" s="10"/>
      <c r="O6898" s="10"/>
      <c r="P6898" s="10"/>
      <c r="Q6898" s="10"/>
      <c r="R6898" s="10"/>
      <c r="S6898" s="10"/>
      <c r="T6898" s="10"/>
      <c r="U6898" s="10"/>
      <c r="V6898" s="10"/>
      <c r="W6898" s="10"/>
      <c r="X6898" s="10"/>
      <c r="Y6898" s="10"/>
      <c r="Z6898" s="10"/>
    </row>
    <row r="6899" spans="1:26" ht="12.75">
      <c r="A6899" s="10" t="str">
        <f ca="1">IFERROR(__xludf.DUMMYFUNCTION("""COMPUTED_VALUE"""),"София Илиева Василева-Вълчева")</f>
        <v>София Илиева Василева-Вълчева</v>
      </c>
      <c r="B6899" s="10" t="str">
        <f ca="1">IFERROR(__xludf.DUMMYFUNCTION("""COMPUTED_VALUE"""),"Книга")</f>
        <v>Книга</v>
      </c>
      <c r="C6899" s="10" t="str">
        <f ca="1">IFERROR(__xludf.DUMMYFUNCTION("""COMPUTED_VALUE"""),"На този ден. 130 години от живота на Стара Загора.")</f>
        <v>На този ден. 130 години от живота на Стара Загора.</v>
      </c>
      <c r="D6899" s="10">
        <f ca="1">IFERROR(__xludf.DUMMYFUNCTION("""COMPUTED_VALUE"""),2009)</f>
        <v>2009</v>
      </c>
      <c r="E6899" s="10" t="str">
        <f ca="1">IFERROR(__xludf.DUMMYFUNCTION("""COMPUTED_VALUE"""),"Стара Загора : Издателство „Лаген”. -228 с. ISBN 978-954-346-027-4.")</f>
        <v>Стара Загора : Издателство „Лаген”. -228 с. ISBN 978-954-346-027-4.</v>
      </c>
      <c r="F6899" s="10" t="str">
        <f ca="1">IFERROR(__xludf.DUMMYFUNCTION("""COMPUTED_VALUE"""),"Web of Science")</f>
        <v>Web of Science</v>
      </c>
      <c r="G6899" s="10" t="str">
        <f ca="1">IFERROR(__xludf.DUMMYFUNCTION("""COMPUTED_VALUE"""),"Светла Димитрова, Снежана Маринова, Малина Николова.")</f>
        <v>Светла Димитрова, Снежана Маринова, Малина Николова.</v>
      </c>
      <c r="H6899" s="10"/>
      <c r="I6899" s="10"/>
      <c r="J6899" s="10"/>
      <c r="K6899" s="10"/>
      <c r="L6899" s="10"/>
      <c r="M6899" s="10"/>
      <c r="N6899" s="10"/>
      <c r="O6899" s="10"/>
      <c r="P6899" s="10"/>
      <c r="Q6899" s="10"/>
      <c r="R6899" s="10"/>
      <c r="S6899" s="10"/>
      <c r="T6899" s="10"/>
      <c r="U6899" s="10"/>
      <c r="V6899" s="10"/>
      <c r="W6899" s="10"/>
      <c r="X6899" s="10"/>
      <c r="Y6899" s="10"/>
      <c r="Z6899" s="10"/>
    </row>
    <row r="6900" spans="1:26" ht="12.75">
      <c r="A6900" s="10" t="str">
        <f ca="1">IFERROR(__xludf.DUMMYFUNCTION("""COMPUTED_VALUE"""),"София Илиева Василева-Вълчева")</f>
        <v>София Илиева Василева-Вълчева</v>
      </c>
      <c r="B6900" s="10" t="str">
        <f ca="1">IFERROR(__xludf.DUMMYFUNCTION("""COMPUTED_VALUE"""),"Доклад от конференция")</f>
        <v>Доклад от конференция</v>
      </c>
      <c r="C6900" s="10" t="str">
        <f ca="1">IFERROR(__xludf.DUMMYFUNCTION("""COMPUTED_VALUE"""),"Културното наследство и връщането към ценностите на националната култура.")</f>
        <v>Културното наследство и връщането към ценностите на националната култура.</v>
      </c>
      <c r="D6900" s="10">
        <f ca="1">IFERROR(__xludf.DUMMYFUNCTION("""COMPUTED_VALUE"""),2008)</f>
        <v>2008</v>
      </c>
      <c r="E6900" s="10" t="str">
        <f ca="1">IFERROR(__xludf.DUMMYFUNCTION("""COMPUTED_VALUE"""),"Кирилицата в духовността на европейската информационна цивилизация. Пета национална конференция с международно участие, посветена на 100-годишнината от рождението на акад. Дмитрий Лихачов. –София, 1 ноември 2007. –София : За буквите О писменехь, 2008, с. "&amp;"752-756 ISBN 978-954-8887-42-7.")</f>
        <v>Кирилицата в духовността на европейската информационна цивилизация. Пета национална конференция с международно участие, посветена на 100-годишнината от рождението на акад. Дмитрий Лихачов. –София, 1 ноември 2007. –София : За буквите О писменехь, 2008, с. 752-756 ISBN 978-954-8887-42-7.</v>
      </c>
      <c r="F6900" s="10"/>
      <c r="G6900" s="10"/>
      <c r="H6900" s="10"/>
      <c r="I6900" s="10"/>
      <c r="J6900" s="10"/>
      <c r="K6900" s="10"/>
      <c r="L6900" s="10"/>
      <c r="M6900" s="10"/>
      <c r="N6900" s="10"/>
      <c r="O6900" s="10"/>
      <c r="P6900" s="10"/>
      <c r="Q6900" s="10"/>
      <c r="R6900" s="10"/>
      <c r="S6900" s="10"/>
      <c r="T6900" s="10"/>
      <c r="U6900" s="10"/>
      <c r="V6900" s="10"/>
      <c r="W6900" s="10"/>
      <c r="X6900" s="10"/>
      <c r="Y6900" s="10"/>
      <c r="Z6900" s="10"/>
    </row>
    <row r="6901" spans="1:26" ht="12.75">
      <c r="A6901" s="10" t="str">
        <f ca="1">IFERROR(__xludf.DUMMYFUNCTION("""COMPUTED_VALUE"""),"София Илиева Василева-Вълчева")</f>
        <v>София Илиева Василева-Вълчева</v>
      </c>
      <c r="B6901" s="10" t="str">
        <f ca="1">IFERROR(__xludf.DUMMYFUNCTION("""COMPUTED_VALUE"""),"Доклад от конференция")</f>
        <v>Доклад от конференция</v>
      </c>
      <c r="C6901" s="10" t="str">
        <f ca="1">IFERROR(__xludf.DUMMYFUNCTION("""COMPUTED_VALUE"""),"The Ethnographic Expositions of Bulgarian Museums – Preserved Traditions and Perspective in the Circumstances of European Integration.")</f>
        <v>The Ethnographic Expositions of Bulgarian Museums – Preserved Traditions and Perspective in the Circumstances of European Integration.</v>
      </c>
      <c r="D6901" s="10">
        <f ca="1">IFERROR(__xludf.DUMMYFUNCTION("""COMPUTED_VALUE"""),2008)</f>
        <v>2008</v>
      </c>
      <c r="E6901" s="10" t="str">
        <f ca="1">IFERROR(__xludf.DUMMYFUNCTION("""COMPUTED_VALUE"""),"International Conference, Aspects of Material Social and Spiritual Culture, Ohrid, Macedonia, 2008.")</f>
        <v>International Conference, Aspects of Material Social and Spiritual Culture, Ohrid, Macedonia, 2008.</v>
      </c>
      <c r="F6901" s="10"/>
      <c r="G6901" s="10"/>
      <c r="H6901" s="10"/>
      <c r="I6901" s="10"/>
      <c r="J6901" s="10"/>
      <c r="K6901" s="10"/>
      <c r="L6901" s="10"/>
      <c r="M6901" s="10"/>
      <c r="N6901" s="10"/>
      <c r="O6901" s="10"/>
      <c r="P6901" s="10"/>
      <c r="Q6901" s="10"/>
      <c r="R6901" s="10"/>
      <c r="S6901" s="10"/>
      <c r="T6901" s="10"/>
      <c r="U6901" s="10"/>
      <c r="V6901" s="10"/>
      <c r="W6901" s="10"/>
      <c r="X6901" s="10"/>
      <c r="Y6901" s="10"/>
      <c r="Z6901" s="10"/>
    </row>
    <row r="6902" spans="1:26" ht="12.75">
      <c r="A6902" s="10" t="str">
        <f ca="1">IFERROR(__xludf.DUMMYFUNCTION("""COMPUTED_VALUE"""),"София Илиева Василева-Вълчева")</f>
        <v>София Илиева Василева-Вълчева</v>
      </c>
      <c r="B6902" s="10" t="str">
        <f ca="1">IFERROR(__xludf.DUMMYFUNCTION("""COMPUTED_VALUE"""),"Доклад от конференция")</f>
        <v>Доклад от конференция</v>
      </c>
      <c r="C6902" s="10" t="str">
        <f ca="1">IFERROR(__xludf.DUMMYFUNCTION("""COMPUTED_VALUE"""),"Possibilities for Sustainable Religious Tourism in Shumen Region.")</f>
        <v>Possibilities for Sustainable Religious Tourism in Shumen Region.</v>
      </c>
      <c r="D6902" s="10">
        <f ca="1">IFERROR(__xludf.DUMMYFUNCTION("""COMPUTED_VALUE"""),2008)</f>
        <v>2008</v>
      </c>
      <c r="E6902" s="10" t="str">
        <f ca="1">IFERROR(__xludf.DUMMYFUNCTION("""COMPUTED_VALUE"""),"International tourism conference 2008 : 05-09 November 2008, Alanya, Turkey : ""cultural and event tourism : issues and debates"". Akdeniz University Alanya Faculty of Business. Detay Yayınları, 2008, Seri: Detay yayınları ; 266, pp. 728-739.")</f>
        <v>International tourism conference 2008 : 05-09 November 2008, Alanya, Turkey : "cultural and event tourism : issues and debates". Akdeniz University Alanya Faculty of Business. Detay Yayınları, 2008, Seri: Detay yayınları ; 266, pp. 728-739.</v>
      </c>
      <c r="F6902" s="10"/>
      <c r="G6902" s="10" t="str">
        <f ca="1">IFERROR(__xludf.DUMMYFUNCTION("""COMPUTED_VALUE"""),"Daniel Rumenov")</f>
        <v>Daniel Rumenov</v>
      </c>
      <c r="H6902" s="10"/>
      <c r="I6902" s="10"/>
      <c r="J6902" s="10"/>
      <c r="K6902" s="10"/>
      <c r="L6902" s="10"/>
      <c r="M6902" s="10"/>
      <c r="N6902" s="10"/>
      <c r="O6902" s="10"/>
      <c r="P6902" s="10"/>
      <c r="Q6902" s="10"/>
      <c r="R6902" s="10"/>
      <c r="S6902" s="10"/>
      <c r="T6902" s="10"/>
      <c r="U6902" s="10"/>
      <c r="V6902" s="10"/>
      <c r="W6902" s="10"/>
      <c r="X6902" s="10"/>
      <c r="Y6902" s="10"/>
      <c r="Z6902" s="10"/>
    </row>
    <row r="6903" spans="1:26" ht="12.75">
      <c r="A6903" s="10" t="str">
        <f ca="1">IFERROR(__xludf.DUMMYFUNCTION("""COMPUTED_VALUE"""),"София Илиева Василева-Вълчева")</f>
        <v>София Илиева Василева-Вълчева</v>
      </c>
      <c r="B6903" s="10" t="str">
        <f ca="1">IFERROR(__xludf.DUMMYFUNCTION("""COMPUTED_VALUE"""),"Доклад от конференция")</f>
        <v>Доклад от конференция</v>
      </c>
      <c r="C6903" s="10" t="str">
        <f ca="1">IFERROR(__xludf.DUMMYFUNCTION("""COMPUTED_VALUE"""),"The Role of the Museum's Libraries in Bulgaria for the Formation of the Global Information Space.")</f>
        <v>The Role of the Museum's Libraries in Bulgaria for the Formation of the Global Information Space.</v>
      </c>
      <c r="D6903" s="10">
        <f ca="1">IFERROR(__xludf.DUMMYFUNCTION("""COMPUTED_VALUE"""),2008)</f>
        <v>2008</v>
      </c>
      <c r="E6903" s="10" t="str">
        <f ca="1">IFERROR(__xludf.DUMMYFUNCTION("""COMPUTED_VALUE"""),"Balkan Ülkeleri kütüphaneler arası bilgi-belge yönetimi ve işbirliği"" sempozyumu bildirileri, 5-7 Haziran 2008, Edirne/Türkiye = ""Information-documentation management and cooperation among the libraries in the Balkan Countries"", 5-7 June 2008, E"&amp;"dirne/Turkey' Conference papers and proceedings. Language Turkish and English. Publisher : Edirne : Trakya Üniversitesi, 2008. Series Title: Trakya Üniversitesi yayınları, No.87., pp. 164-167.")</f>
        <v>Balkan Ülkeleri kütüphaneler arası bilgi-belge yönetimi ve işbirliği" sempozyumu bildirileri, 5-7 Haziran 2008, Edirne/Türkiye = "Information-documentation management and cooperation among the libraries in the Balkan Countries", 5-7 June 2008, Edirne/Turkey' Conference papers and proceedings. Language Turkish and English. Publisher : Edirne : Trakya Üniversitesi, 2008. Series Title: Trakya Üniversitesi yayınları, No.87., pp. 164-167.</v>
      </c>
      <c r="F6903" s="10"/>
      <c r="G6903" s="10"/>
      <c r="H6903" s="10"/>
      <c r="I6903" s="10"/>
      <c r="J6903" s="10"/>
      <c r="K6903" s="10"/>
      <c r="L6903" s="10"/>
      <c r="M6903" s="10"/>
      <c r="N6903" s="10"/>
      <c r="O6903" s="10"/>
      <c r="P6903" s="10"/>
      <c r="Q6903" s="10"/>
      <c r="R6903" s="10"/>
      <c r="S6903" s="10"/>
      <c r="T6903" s="10"/>
      <c r="U6903" s="10"/>
      <c r="V6903" s="10"/>
      <c r="W6903" s="10"/>
      <c r="X6903" s="10"/>
      <c r="Y6903" s="10"/>
      <c r="Z6903" s="10"/>
    </row>
    <row r="6904" spans="1:26" ht="12.75">
      <c r="A6904" s="10" t="str">
        <f ca="1">IFERROR(__xludf.DUMMYFUNCTION("""COMPUTED_VALUE"""),"София Илиева Василева-Вълчева")</f>
        <v>София Илиева Василева-Вълчева</v>
      </c>
      <c r="B6904" s="10" t="str">
        <f ca="1">IFERROR(__xludf.DUMMYFUNCTION("""COMPUTED_VALUE"""),"Статия в списания и поредици")</f>
        <v>Статия в списания и поредици</v>
      </c>
      <c r="C6904" s="10" t="str">
        <f ca="1">IFERROR(__xludf.DUMMYFUNCTION("""COMPUTED_VALUE"""),"Тракия – кръстопът на цивилизации. Лятна студентска практика в областта на културно-историческото наследство на територията на Старозагорска област – юли-август 2008 г.")</f>
        <v>Тракия – кръстопът на цивилизации. Лятна студентска практика в областта на културно-историческото наследство на територията на Старозагорска област – юли-август 2008 г.</v>
      </c>
      <c r="D6904" s="10">
        <f ca="1">IFERROR(__xludf.DUMMYFUNCTION("""COMPUTED_VALUE"""),2008)</f>
        <v>2008</v>
      </c>
      <c r="E6904" s="10" t="str">
        <f ca="1">IFERROR(__xludf.DUMMYFUNCTION("""COMPUTED_VALUE"""),"Т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2008, с. 407-414 ISBN 1312-5834.")</f>
        <v>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2008, с. 407-414 ISBN 1312-5834.</v>
      </c>
      <c r="F6904" s="10"/>
      <c r="G6904" s="10"/>
      <c r="H6904" s="10"/>
      <c r="I6904" s="10"/>
      <c r="J6904" s="10"/>
      <c r="K6904" s="10"/>
      <c r="L6904" s="10"/>
      <c r="M6904" s="10"/>
      <c r="N6904" s="10"/>
      <c r="O6904" s="10"/>
      <c r="P6904" s="10"/>
      <c r="Q6904" s="10"/>
      <c r="R6904" s="10"/>
      <c r="S6904" s="10"/>
      <c r="T6904" s="10"/>
      <c r="U6904" s="10"/>
      <c r="V6904" s="10"/>
      <c r="W6904" s="10"/>
      <c r="X6904" s="10"/>
      <c r="Y6904" s="10"/>
      <c r="Z6904" s="10"/>
    </row>
    <row r="6905" spans="1:26" ht="12.75">
      <c r="A6905" s="10" t="str">
        <f ca="1">IFERROR(__xludf.DUMMYFUNCTION("""COMPUTED_VALUE"""),"София Илиева Василева-Вълчева")</f>
        <v>София Илиева Василева-Вълчева</v>
      </c>
      <c r="B6905" s="10" t="str">
        <f ca="1">IFERROR(__xludf.DUMMYFUNCTION("""COMPUTED_VALUE"""),"Учебно пособие")</f>
        <v>Учебно пособие</v>
      </c>
      <c r="C6905" s="10" t="str">
        <f ca="1">IFERROR(__xludf.DUMMYFUNCTION("""COMPUTED_VALUE"""),"Примерни въпроси за кандидатстудентски тестове.")</f>
        <v>Примерни въпроси за кандидатстудентски тестове.</v>
      </c>
      <c r="D6905" s="10">
        <f ca="1">IFERROR(__xludf.DUMMYFUNCTION("""COMPUTED_VALUE"""),2008)</f>
        <v>2008</v>
      </c>
      <c r="E6905" s="10" t="str">
        <f ca="1">IFERROR(__xludf.DUMMYFUNCTION("""COMPUTED_VALUE"""),"София : За буквите - О писменехь, 2008 ([София] : Wini 1837). -324 с. ISBN 978-954-8887-35-9.")</f>
        <v>София : За буквите - О писменехь, 2008 ([София] : Wini 1837). -324 с. ISBN 978-954-8887-35-9.</v>
      </c>
      <c r="F6905" s="10"/>
      <c r="G6905" s="10" t="str">
        <f ca="1">IFERROR(__xludf.DUMMYFUNCTION("""COMPUTED_VALUE"""),"Габровска, Свободозаря , Гълъбова, Севдалина , Паргов, Драгомир, Василева, София, Петева, Ирена, Георгиева Цветанка, Парижков, Петър ,Тодорова, А., Коларов, Стефан, Назърска, Жоржета, Явашчев, Сево, Костадинова, Стойка, Карабельова, Соня, Митевска-Енчева,"&amp;" Майяна, Йоцов, Владимир, Милков Михаил, Славова, Славка Пеев, Станислав, Арсенян, Еди, Гетова, Иглика.")</f>
        <v>Габровска, Свободозаря , Гълъбова, Севдалина , Паргов, Драгомир, Василева, София, Петева, Ирена, Георгиева Цветанка, Парижков, Петър ,Тодорова, А., Коларов, Стефан, Назърска, Жоржета, Явашчев, Сево, Костадинова, Стойка, Карабельова, Соня, Митевска-Енчева, Майяна, Йоцов, Владимир, Милков Михаил, Славова, Славка Пеев, Станислав, Арсенян, Еди, Гетова, Иглика.</v>
      </c>
      <c r="H6905" s="10"/>
      <c r="I6905" s="10"/>
      <c r="J6905" s="10"/>
      <c r="K6905" s="10"/>
      <c r="L6905" s="10"/>
      <c r="M6905" s="10"/>
      <c r="N6905" s="10"/>
      <c r="O6905" s="10"/>
      <c r="P6905" s="10"/>
      <c r="Q6905" s="10"/>
      <c r="R6905" s="10"/>
      <c r="S6905" s="10"/>
      <c r="T6905" s="10"/>
      <c r="U6905" s="10"/>
      <c r="V6905" s="10"/>
      <c r="W6905" s="10"/>
      <c r="X6905" s="10"/>
      <c r="Y6905" s="10"/>
      <c r="Z6905" s="10"/>
    </row>
    <row r="6906" spans="1:26" ht="12.75">
      <c r="A6906" s="10" t="str">
        <f ca="1">IFERROR(__xludf.DUMMYFUNCTION("""COMPUTED_VALUE"""),"София Илиева Василева-Вълчева")</f>
        <v>София Илиева Василева-Вълчева</v>
      </c>
      <c r="B6906" s="10" t="str">
        <f ca="1">IFERROR(__xludf.DUMMYFUNCTION("""COMPUTED_VALUE"""),"Статия в списания и поредици")</f>
        <v>Статия в списания и поредици</v>
      </c>
      <c r="C6906" s="10" t="str">
        <f ca="1">IFERROR(__xludf.DUMMYFUNCTION("""COMPUTED_VALUE"""),"„Регионално” и „локално” културно-историческо наследство в Старозагорска област.")</f>
        <v>„Регионално” и „локално” културно-историческо наследство в Старозагорска област.</v>
      </c>
      <c r="D6906" s="10">
        <f ca="1">IFERROR(__xludf.DUMMYFUNCTION("""COMPUTED_VALUE"""),2008)</f>
        <v>2008</v>
      </c>
      <c r="E6906" s="10" t="str">
        <f ca="1">IFERROR(__xludf.DUMMYFUNCTION("""COMPUTED_VALUE"""),"Известия на Старозагорския исторически музей = Bulletin of the Stara Zagora Historical Museum. Стара Загора : Старозагор. ист. Музей, т. ІІІ, 2008, с. 369-374. ISSN C610-553X. - 1313-7352.")</f>
        <v>Известия на Старозагорския исторически музей = Bulletin of the Stara Zagora Historical Museum. Стара Загора : Старозагор. ист. Музей, т. ІІІ, 2008, с. 369-374. ISSN C610-553X. - 1313-7352.</v>
      </c>
      <c r="F6906" s="10"/>
      <c r="G6906" s="10"/>
      <c r="H6906" s="10"/>
      <c r="I6906" s="10"/>
      <c r="J6906" s="10"/>
      <c r="K6906" s="10"/>
      <c r="L6906" s="10"/>
      <c r="M6906" s="10"/>
      <c r="N6906" s="10"/>
      <c r="O6906" s="10"/>
      <c r="P6906" s="10"/>
      <c r="Q6906" s="10"/>
      <c r="R6906" s="10"/>
      <c r="S6906" s="10"/>
      <c r="T6906" s="10"/>
      <c r="U6906" s="10"/>
      <c r="V6906" s="10"/>
      <c r="W6906" s="10"/>
      <c r="X6906" s="10"/>
      <c r="Y6906" s="10"/>
      <c r="Z6906" s="10"/>
    </row>
    <row r="6907" spans="1:26" ht="12.75">
      <c r="A6907" s="10" t="str">
        <f ca="1">IFERROR(__xludf.DUMMYFUNCTION("""COMPUTED_VALUE"""),"София Илиева Василева-Вълчева")</f>
        <v>София Илиева Василева-Вълчева</v>
      </c>
      <c r="B6907" s="10" t="str">
        <f ca="1">IFERROR(__xludf.DUMMYFUNCTION("""COMPUTED_VALUE"""),"Доклад от конференция")</f>
        <v>Доклад от конференция</v>
      </c>
      <c r="C6907" s="10" t="str">
        <f ca="1">IFERROR(__xludf.DUMMYFUNCTION("""COMPUTED_VALUE"""),"Предизвикателствата пред българското музеeзнание в началото на ХХІ век.")</f>
        <v>Предизвикателствата пред българското музеeзнание в началото на ХХІ век.</v>
      </c>
      <c r="D6907" s="10">
        <f ca="1">IFERROR(__xludf.DUMMYFUNCTION("""COMPUTED_VALUE"""),2007)</f>
        <v>2007</v>
      </c>
      <c r="E6907" s="10" t="str">
        <f ca="1">IFERROR(__xludf.DUMMYFUNCTION("""COMPUTED_VALUE"""),"Музеологията в България днес : Доклади и съобщения от Националната научна конференция, Хасково, 15-16 ноември 2007 г. Организирана от Министерство на културата и Рег. Ист. Музей Хасково. / Симеон Недков и др. ; Състав., ред. Тина Арнаудова ; [Предг. Георг"&amp;"и Граматиков] Хасково : Регионален ист. музей, 2007 ([Хасково : Полиграфюг ISBN 978-954-92042-2-3.")</f>
        <v>Музеологията в България днес : Доклади и съобщения от Националната научна конференция, Хасково, 15-16 ноември 2007 г. Организирана от Министерство на културата и Рег. Ист. Музей Хасково. / Симеон Недков и др. ; Състав., ред. Тина Арнаудова ; [Предг. Георги Граматиков] Хасково : Регионален ист. музей, 2007 ([Хасково : Полиграфюг ISBN 978-954-92042-2-3.</v>
      </c>
      <c r="F6907" s="10"/>
      <c r="G6907" s="10"/>
      <c r="H6907" s="10"/>
      <c r="I6907" s="10"/>
      <c r="J6907" s="10"/>
      <c r="K6907" s="10"/>
      <c r="L6907" s="10"/>
      <c r="M6907" s="10"/>
      <c r="N6907" s="10"/>
      <c r="O6907" s="10"/>
      <c r="P6907" s="10"/>
      <c r="Q6907" s="10"/>
      <c r="R6907" s="10"/>
      <c r="S6907" s="10"/>
      <c r="T6907" s="10"/>
      <c r="U6907" s="10"/>
      <c r="V6907" s="10"/>
      <c r="W6907" s="10"/>
      <c r="X6907" s="10"/>
      <c r="Y6907" s="10"/>
      <c r="Z6907" s="10"/>
    </row>
    <row r="6908" spans="1:26" ht="12.75">
      <c r="A6908" s="10" t="str">
        <f ca="1">IFERROR(__xludf.DUMMYFUNCTION("""COMPUTED_VALUE"""),"София Илиева Василева-Вълчева")</f>
        <v>София Илиева Василева-Вълчева</v>
      </c>
      <c r="B6908" s="10" t="str">
        <f ca="1">IFERROR(__xludf.DUMMYFUNCTION("""COMPUTED_VALUE"""),"Доклад от конференция")</f>
        <v>Доклад от конференция</v>
      </c>
      <c r="C6908" s="10" t="str">
        <f ca="1">IFERROR(__xludf.DUMMYFUNCTION("""COMPUTED_VALUE"""),"Тенденции в държавната политика за паметниците")</f>
        <v>Тенденции в държавната политика за паметниците</v>
      </c>
      <c r="D6908" s="10">
        <f ca="1">IFERROR(__xludf.DUMMYFUNCTION("""COMPUTED_VALUE"""),2007)</f>
        <v>2007</v>
      </c>
      <c r="E6908" s="10" t="str">
        <f ca="1">IFERROR(__xludf.DUMMYFUNCTION("""COMPUTED_VALUE"""),"Модернизацията на България и Габрово. Сборник с доклади от международна научна конференция, 18-19 септември 2006 г. Велико Търново : Издателство „Фабер“, 2007, с. 408-414 ISBN 978-954-775-665-6.")</f>
        <v>Модернизацията на България и Габрово. Сборник с доклади от международна научна конференция, 18-19 септември 2006 г. Велико Търново : Издателство „Фабер“, 2007, с. 408-414 ISBN 978-954-775-665-6.</v>
      </c>
      <c r="F6908" s="10"/>
      <c r="G6908" s="10"/>
      <c r="H6908" s="10"/>
      <c r="I6908" s="10"/>
      <c r="J6908" s="10"/>
      <c r="K6908" s="10"/>
      <c r="L6908" s="10"/>
      <c r="M6908" s="10"/>
      <c r="N6908" s="10"/>
      <c r="O6908" s="10"/>
      <c r="P6908" s="10"/>
      <c r="Q6908" s="10"/>
      <c r="R6908" s="10"/>
      <c r="S6908" s="10"/>
      <c r="T6908" s="10"/>
      <c r="U6908" s="10"/>
      <c r="V6908" s="10"/>
      <c r="W6908" s="10"/>
      <c r="X6908" s="10"/>
      <c r="Y6908" s="10"/>
      <c r="Z6908" s="10"/>
    </row>
    <row r="6909" spans="1:26" ht="12.75">
      <c r="A6909" s="10" t="str">
        <f ca="1">IFERROR(__xludf.DUMMYFUNCTION("""COMPUTED_VALUE"""),"София Илиева Василева-Вълчева")</f>
        <v>София Илиева Василева-Вълчева</v>
      </c>
      <c r="B6909" s="10" t="str">
        <f ca="1">IFERROR(__xludf.DUMMYFUNCTION("""COMPUTED_VALUE"""),"Доклад от конференция")</f>
        <v>Доклад от конференция</v>
      </c>
      <c r="C6909" s="10" t="str">
        <f ca="1">IFERROR(__xludf.DUMMYFUNCTION("""COMPUTED_VALUE"""),"Старозагорска епархия в годините на Втората световна война.")</f>
        <v>Старозагорска епархия в годините на Втората световна война.</v>
      </c>
      <c r="D6909" s="10">
        <f ca="1">IFERROR(__xludf.DUMMYFUNCTION("""COMPUTED_VALUE"""),2007)</f>
        <v>2007</v>
      </c>
      <c r="E6909" s="10" t="str">
        <f ca="1">IFERROR(__xludf.DUMMYFUNCTION("""COMPUTED_VALUE"""),"130 години Старозагорска епархия. : Сборник доклади от научна конференция, 2-3 октомври 2001 г., Стара Загора / Ред. кол. Лизбет Любенова - науч. ред. Редакционна колегия: Лилия Филипова, д-р Евгения Иванова, доц. д-р Светла Димитрова]. Стара Загора, 2007"&amp;", с. 61-68 ISBN 978-954-305-225-7.")</f>
        <v>130 години Старозагорска епархия. : Сборник доклади от научна конференция, 2-3 октомври 2001 г., Стара Загора / Ред. кол. Лизбет Любенова - науч. ред. Редакционна колегия: Лилия Филипова, д-р Евгения Иванова, доц. д-р Светла Димитрова]. Стара Загора, 2007, с. 61-68 ISBN 978-954-305-225-7.</v>
      </c>
      <c r="F6909" s="10"/>
      <c r="G6909" s="10"/>
      <c r="H6909" s="10"/>
      <c r="I6909" s="10"/>
      <c r="J6909" s="10"/>
      <c r="K6909" s="10"/>
      <c r="L6909" s="10"/>
      <c r="M6909" s="10"/>
      <c r="N6909" s="10"/>
      <c r="O6909" s="10"/>
      <c r="P6909" s="10"/>
      <c r="Q6909" s="10"/>
      <c r="R6909" s="10"/>
      <c r="S6909" s="10"/>
      <c r="T6909" s="10"/>
      <c r="U6909" s="10"/>
      <c r="V6909" s="10"/>
      <c r="W6909" s="10"/>
      <c r="X6909" s="10"/>
      <c r="Y6909" s="10"/>
      <c r="Z6909" s="10"/>
    </row>
    <row r="6910" spans="1:26" ht="12.75">
      <c r="A6910" s="10" t="str">
        <f ca="1">IFERROR(__xludf.DUMMYFUNCTION("""COMPUTED_VALUE"""),"София Илиева Василева-Вълчева")</f>
        <v>София Илиева Василева-Вълчева</v>
      </c>
      <c r="B6910" s="10" t="str">
        <f ca="1">IFERROR(__xludf.DUMMYFUNCTION("""COMPUTED_VALUE"""),"Доклад от конференция")</f>
        <v>Доклад от конференция</v>
      </c>
      <c r="C6910" s="10" t="str">
        <f ca="1">IFERROR(__xludf.DUMMYFUNCTION("""COMPUTED_VALUE"""),"Старозагорска епархия в годините на Втората световна война.")</f>
        <v>Старозагорска епархия в годините на Втората световна война.</v>
      </c>
      <c r="D6910" s="10">
        <f ca="1">IFERROR(__xludf.DUMMYFUNCTION("""COMPUTED_VALUE"""),2007)</f>
        <v>2007</v>
      </c>
      <c r="E6910" s="10" t="str">
        <f ca="1">IFERROR(__xludf.DUMMYFUNCTION("""COMPUTED_VALUE"""),"130 години Старозагорска епархия. Сборник с доклади от национална научна конференция. [Научен редактор: доц. д-р Лизбет Любенова. Редакционна колегия: Лилия Филипова, д-р Евгения Иванова, доц. д-р Светла Димитрова]. Стара Загора, 2007, с. 61-68 ISBN 978-9"&amp;"54-305-225-7.")</f>
        <v>130 години Старозагорска епархия. Сборник с доклади от национална научна конференция. [Научен редактор: доц. д-р Лизбет Любенова. Редакционна колегия: Лилия Филипова, д-р Евгения Иванова, доц. д-р Светла Димитрова]. Стара Загора, 2007, с. 61-68 ISBN 978-954-305-225-7.</v>
      </c>
      <c r="F6910" s="10"/>
      <c r="G6910" s="10"/>
      <c r="H6910" s="10"/>
      <c r="I6910" s="10"/>
      <c r="J6910" s="10"/>
      <c r="K6910" s="10"/>
      <c r="L6910" s="10"/>
      <c r="M6910" s="10"/>
      <c r="N6910" s="10"/>
      <c r="O6910" s="10"/>
      <c r="P6910" s="10"/>
      <c r="Q6910" s="10"/>
      <c r="R6910" s="10"/>
      <c r="S6910" s="10"/>
      <c r="T6910" s="10"/>
      <c r="U6910" s="10"/>
      <c r="V6910" s="10"/>
      <c r="W6910" s="10"/>
      <c r="X6910" s="10"/>
      <c r="Y6910" s="10"/>
      <c r="Z6910" s="10"/>
    </row>
    <row r="6911" spans="1:26" ht="12.75">
      <c r="A6911" s="10" t="str">
        <f ca="1">IFERROR(__xludf.DUMMYFUNCTION("""COMPUTED_VALUE"""),"София Илиева Василева-Вълчева")</f>
        <v>София Илиева Василева-Вълчева</v>
      </c>
      <c r="B6911" s="10" t="str">
        <f ca="1">IFERROR(__xludf.DUMMYFUNCTION("""COMPUTED_VALUE"""),"Статия в списания и поредици")</f>
        <v>Статия в списания и поредици</v>
      </c>
      <c r="C6911" s="10" t="str">
        <f ca="1">IFERROR(__xludf.DUMMYFUNCTION("""COMPUTED_VALUE"""),"Културното наследство в политиките на Съвета на Европа и Европейския съюз. Влияние върху законодателните инициативи на българската държавна културна политика.")</f>
        <v>Културното наследство в политиките на Съвета на Европа и Европейския съюз. Влияние върху законодателните инициативи на българската държавна културна политика.</v>
      </c>
      <c r="D6911" s="10">
        <f ca="1">IFERROR(__xludf.DUMMYFUNCTION("""COMPUTED_VALUE"""),2007)</f>
        <v>2007</v>
      </c>
      <c r="E6911" s="10" t="str">
        <f ca="1">IFERROR(__xludf.DUMMYFUNCTION("""COMPUTED_VALUE"""),"Т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кн. 6. София 2007, с. 347-360 ISSN 1312"&amp;"-5834.")</f>
        <v>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кн. 6. София 2007, с. 347-360 ISSN 1312-5834.</v>
      </c>
      <c r="F6911" s="10"/>
      <c r="G6911" s="10"/>
      <c r="H6911" s="10"/>
      <c r="I6911" s="10"/>
      <c r="J6911" s="10"/>
      <c r="K6911" s="10"/>
      <c r="L6911" s="10"/>
      <c r="M6911" s="10"/>
      <c r="N6911" s="10"/>
      <c r="O6911" s="10"/>
      <c r="P6911" s="10"/>
      <c r="Q6911" s="10"/>
      <c r="R6911" s="10"/>
      <c r="S6911" s="10"/>
      <c r="T6911" s="10"/>
      <c r="U6911" s="10"/>
      <c r="V6911" s="10"/>
      <c r="W6911" s="10"/>
      <c r="X6911" s="10"/>
      <c r="Y6911" s="10"/>
      <c r="Z6911" s="10"/>
    </row>
    <row r="6912" spans="1:26" ht="12.75">
      <c r="A6912" s="10" t="str">
        <f ca="1">IFERROR(__xludf.DUMMYFUNCTION("""COMPUTED_VALUE"""),"София Илиева Василева-Вълчева")</f>
        <v>София Илиева Василева-Вълчева</v>
      </c>
      <c r="B6912" s="10" t="str">
        <f ca="1">IFERROR(__xludf.DUMMYFUNCTION("""COMPUTED_VALUE"""),"Статия в списания и поредици")</f>
        <v>Статия в списания и поредици</v>
      </c>
      <c r="C6912" s="10" t="str">
        <f ca="1">IFERROR(__xludf.DUMMYFUNCTION("""COMPUTED_VALUE"""),"Съвременни проблеми на културното наследство и влиянието им върху законодателните инициативи на държавната културна политика.")</f>
        <v>Съвременни проблеми на културното наследство и влиянието им върху законодателните инициативи на държавната културна политика.</v>
      </c>
      <c r="D6912" s="10">
        <f ca="1">IFERROR(__xludf.DUMMYFUNCTION("""COMPUTED_VALUE"""),2007)</f>
        <v>2007</v>
      </c>
      <c r="E6912" s="10" t="str">
        <f ca="1">IFERROR(__xludf.DUMMYFUNCTION("""COMPUTED_VALUE"""),"Известия на Старозагорския исторически музей = Bulletin of the Stara Zagora Historical Museum, т. ІІІ, Ст. Загора, 2007, с. 438-448 ISSN C610-553X.")</f>
        <v>Известия на Старозагорския исторически музей = Bulletin of the Stara Zagora Historical Museum, т. ІІІ, Ст. Загора, 2007, с. 438-448 ISSN C610-553X.</v>
      </c>
      <c r="F6912" s="10"/>
      <c r="G6912" s="10"/>
      <c r="H6912" s="10"/>
      <c r="I6912" s="10"/>
      <c r="J6912" s="10"/>
      <c r="K6912" s="10"/>
      <c r="L6912" s="10"/>
      <c r="M6912" s="10"/>
      <c r="N6912" s="10"/>
      <c r="O6912" s="10"/>
      <c r="P6912" s="10"/>
      <c r="Q6912" s="10"/>
      <c r="R6912" s="10"/>
      <c r="S6912" s="10"/>
      <c r="T6912" s="10"/>
      <c r="U6912" s="10"/>
      <c r="V6912" s="10"/>
      <c r="W6912" s="10"/>
      <c r="X6912" s="10"/>
      <c r="Y6912" s="10"/>
      <c r="Z6912" s="10"/>
    </row>
    <row r="6913" spans="1:26" ht="12.75">
      <c r="A6913" s="10" t="str">
        <f ca="1">IFERROR(__xludf.DUMMYFUNCTION("""COMPUTED_VALUE"""),"София Илиева Василева-Вълчева")</f>
        <v>София Илиева Василева-Вълчева</v>
      </c>
      <c r="B6913" s="10" t="str">
        <f ca="1">IFERROR(__xludf.DUMMYFUNCTION("""COMPUTED_VALUE"""),"Статия в списания и поредици")</f>
        <v>Статия в списания и поредици</v>
      </c>
      <c r="C6913" s="10" t="str">
        <f ca="1">IFERROR(__xludf.DUMMYFUNCTION("""COMPUTED_VALUE"""),"Съвременни проблеми на културното наследство и влиянието им върху законодателните инициативи на държавната културна политика.")</f>
        <v>Съвременни проблеми на културното наследство и влиянието им върху законодателните инициативи на държавната културна политика.</v>
      </c>
      <c r="D6913" s="10">
        <f ca="1">IFERROR(__xludf.DUMMYFUNCTION("""COMPUTED_VALUE"""),2007)</f>
        <v>2007</v>
      </c>
      <c r="E6913" s="10" t="str">
        <f ca="1">IFERROR(__xludf.DUMMYFUNCTION("""COMPUTED_VALUE"""),"Известия на Старозагорския исторически музей = Bulletin of the Stara Zagora Historical Museum, T. 2 (2007), s. 438-448 ISSN: C610-553X ; 1313-7352.")</f>
        <v>Известия на Старозагорския исторически музей = Bulletin of the Stara Zagora Historical Museum, T. 2 (2007), s. 438-448 ISSN: C610-553X ; 1313-7352.</v>
      </c>
      <c r="F6913" s="10"/>
      <c r="G6913" s="10"/>
      <c r="H6913" s="10"/>
      <c r="I6913" s="10"/>
      <c r="J6913" s="10"/>
      <c r="K6913" s="10"/>
      <c r="L6913" s="10"/>
      <c r="M6913" s="10"/>
      <c r="N6913" s="10"/>
      <c r="O6913" s="10"/>
      <c r="P6913" s="10"/>
      <c r="Q6913" s="10"/>
      <c r="R6913" s="10"/>
      <c r="S6913" s="10"/>
      <c r="T6913" s="10"/>
      <c r="U6913" s="10"/>
      <c r="V6913" s="10"/>
      <c r="W6913" s="10"/>
      <c r="X6913" s="10"/>
      <c r="Y6913" s="10"/>
      <c r="Z6913" s="10"/>
    </row>
    <row r="6914" spans="1:26" ht="12.75">
      <c r="A6914" s="10" t="str">
        <f ca="1">IFERROR(__xludf.DUMMYFUNCTION("""COMPUTED_VALUE"""),"София Илиева Василева-Вълчева")</f>
        <v>София Илиева Василева-Вълчева</v>
      </c>
      <c r="B6914" s="10" t="str">
        <f ca="1">IFERROR(__xludf.DUMMYFUNCTION("""COMPUTED_VALUE"""),"Статия в списания и поредици")</f>
        <v>Статия в списания и поредици</v>
      </c>
      <c r="C6914" s="10" t="str">
        <f ca="1">IFERROR(__xludf.DUMMYFUNCTION("""COMPUTED_VALUE"""),"Богдан Филов и държавната културна политика 1919-1944.")</f>
        <v>Богдан Филов и държавната културна политика 1919-1944.</v>
      </c>
      <c r="D6914" s="10">
        <f ca="1">IFERROR(__xludf.DUMMYFUNCTION("""COMPUTED_VALUE"""),2006)</f>
        <v>2006</v>
      </c>
      <c r="E6914" s="10" t="str">
        <f ca="1">IFERROR(__xludf.DUMMYFUNCTION("""COMPUTED_VALUE"""),"Т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 Кн. 5, София 2006, с. 481-492. ISSN 13"&amp;"12-5834.")</f>
        <v>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 Кн. 5, София 2006, с. 481-492. ISSN 1312-5834.</v>
      </c>
      <c r="F6914" s="10"/>
      <c r="G6914" s="10"/>
      <c r="H6914" s="10"/>
      <c r="I6914" s="10"/>
      <c r="J6914" s="10"/>
      <c r="K6914" s="10"/>
      <c r="L6914" s="10"/>
      <c r="M6914" s="10"/>
      <c r="N6914" s="10"/>
      <c r="O6914" s="10"/>
      <c r="P6914" s="10"/>
      <c r="Q6914" s="10"/>
      <c r="R6914" s="10"/>
      <c r="S6914" s="10"/>
      <c r="T6914" s="10"/>
      <c r="U6914" s="10"/>
      <c r="V6914" s="10"/>
      <c r="W6914" s="10"/>
      <c r="X6914" s="10"/>
      <c r="Y6914" s="10"/>
      <c r="Z6914" s="10"/>
    </row>
    <row r="6915" spans="1:26" ht="12.75">
      <c r="A6915" s="10" t="str">
        <f ca="1">IFERROR(__xludf.DUMMYFUNCTION("""COMPUTED_VALUE"""),"София Илиева Василева-Вълчева")</f>
        <v>София Илиева Василева-Вълчева</v>
      </c>
      <c r="B6915" s="10" t="str">
        <f ca="1">IFERROR(__xludf.DUMMYFUNCTION("""COMPUTED_VALUE"""),"Книга")</f>
        <v>Книга</v>
      </c>
      <c r="C6915" s="10" t="str">
        <f ca="1">IFERROR(__xludf.DUMMYFUNCTION("""COMPUTED_VALUE"""),"Държавна политика за културно-историческото наследство на България 1878-2005. Лекции. Документи")</f>
        <v>Държавна политика за културно-историческото наследство на България 1878-2005. Лекции. Документи</v>
      </c>
      <c r="D6915" s="10">
        <f ca="1">IFERROR(__xludf.DUMMYFUNCTION("""COMPUTED_VALUE"""),2006)</f>
        <v>2006</v>
      </c>
      <c r="E6915" s="10" t="str">
        <f ca="1">IFERROR(__xludf.DUMMYFUNCTION("""COMPUTED_VALUE"""),"София : АИ “Проф. Марин Дринов” ISBN-13 : 978-954-322-143-1; Издателство “За буквите – О писменехь” 2006, -353 с. ISBN-13 : 978-954-8887-13-7")</f>
        <v>София : АИ “Проф. Марин Дринов” ISBN-13 : 978-954-322-143-1; Издателство “За буквите – О писменехь” 2006, -353 с. ISBN-13 : 978-954-8887-13-7</v>
      </c>
      <c r="F6915" s="10" t="str">
        <f ca="1">IFERROR(__xludf.DUMMYFUNCTION("""COMPUTED_VALUE"""),"https://arcsofia.org/sites/default/files/May_2013.pdf
 www.lib.bg/novini/2008/novi_%20dok_07.doc")</f>
        <v>https://arcsofia.org/sites/default/files/May_2013.pdf
 www.lib.bg/novini/2008/novi_%20dok_07.doc</v>
      </c>
      <c r="G6915" s="10" t="str">
        <f ca="1">IFERROR(__xludf.DUMMYFUNCTION("""COMPUTED_VALUE"""),"С. Денчев")</f>
        <v>С. Денчев</v>
      </c>
      <c r="H6915" s="10"/>
      <c r="I6915" s="10"/>
      <c r="J6915" s="10"/>
      <c r="K6915" s="10"/>
      <c r="L6915" s="10"/>
      <c r="M6915" s="10"/>
      <c r="N6915" s="10"/>
      <c r="O6915" s="10"/>
      <c r="P6915" s="10"/>
      <c r="Q6915" s="10"/>
      <c r="R6915" s="10"/>
      <c r="S6915" s="10"/>
      <c r="T6915" s="10"/>
      <c r="U6915" s="10"/>
      <c r="V6915" s="10"/>
      <c r="W6915" s="10"/>
      <c r="X6915" s="10"/>
      <c r="Y6915" s="10"/>
      <c r="Z6915" s="10"/>
    </row>
    <row r="6916" spans="1:26" ht="12.75">
      <c r="A6916" s="10" t="str">
        <f ca="1">IFERROR(__xludf.DUMMYFUNCTION("""COMPUTED_VALUE"""),"София Илиева Василева-Вълчева")</f>
        <v>София Илиева Василева-Вълчева</v>
      </c>
      <c r="B6916" s="10" t="str">
        <f ca="1">IFERROR(__xludf.DUMMYFUNCTION("""COMPUTED_VALUE"""),"Статия в списания и поредици")</f>
        <v>Статия в списания и поредици</v>
      </c>
      <c r="C6916" s="10" t="str">
        <f ca="1">IFERROR(__xludf.DUMMYFUNCTION("""COMPUTED_VALUE"""),"Културно дружество “Българско родно изкуство”. 1929–1939 г.")</f>
        <v>Културно дружество “Българско родно изкуство”. 1929–1939 г.</v>
      </c>
      <c r="D6916" s="10">
        <f ca="1">IFERROR(__xludf.DUMMYFUNCTION("""COMPUTED_VALUE"""),2006)</f>
        <v>2006</v>
      </c>
      <c r="E6916" s="10" t="str">
        <f ca="1">IFERROR(__xludf.DUMMYFUNCTION("""COMPUTED_VALUE"""),"ИЗДАТЕЛ: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2006, кн. 1-2, с. 22-24. ISSN 1310-4624.")</f>
        <v>ИЗДАТЕЛ: научно списание за книгата /Великотърновски унив. "Св. Св. Кирил и Методий", Специализирано висше училище по библиотекознание и информационни технологии - София. – В. Търново. 2006, кн. 1-2, с. 22-24. ISSN 1310-4624.</v>
      </c>
      <c r="F6916" s="10"/>
      <c r="G6916" s="10"/>
      <c r="H6916" s="10"/>
      <c r="I6916" s="10"/>
      <c r="J6916" s="10"/>
      <c r="K6916" s="10"/>
      <c r="L6916" s="10"/>
      <c r="M6916" s="10"/>
      <c r="N6916" s="10"/>
      <c r="O6916" s="10"/>
      <c r="P6916" s="10"/>
      <c r="Q6916" s="10"/>
      <c r="R6916" s="10"/>
      <c r="S6916" s="10"/>
      <c r="T6916" s="10"/>
      <c r="U6916" s="10"/>
      <c r="V6916" s="10"/>
      <c r="W6916" s="10"/>
      <c r="X6916" s="10"/>
      <c r="Y6916" s="10"/>
      <c r="Z6916" s="10"/>
    </row>
    <row r="6917" spans="1:26" ht="12.75">
      <c r="A6917" s="10" t="str">
        <f ca="1">IFERROR(__xludf.DUMMYFUNCTION("""COMPUTED_VALUE"""),"София Илиева Василева-Вълчева")</f>
        <v>София Илиева Василева-Вълчева</v>
      </c>
      <c r="B6917" s="10" t="str">
        <f ca="1">IFERROR(__xludf.DUMMYFUNCTION("""COMPUTED_VALUE"""),"Статия в списания и поредици")</f>
        <v>Статия в списания и поредици</v>
      </c>
      <c r="C6917" s="10" t="str">
        <f ca="1">IFERROR(__xludf.DUMMYFUNCTION("""COMPUTED_VALUE"""),"Приоритети на държавната политика в областта на културно-историческото наследство между двете световни войни")</f>
        <v>Приоритети на държавната политика в областта на културно-историческото наследство между двете световни войни</v>
      </c>
      <c r="D6917" s="10">
        <f ca="1">IFERROR(__xludf.DUMMYFUNCTION("""COMPUTED_VALUE"""),2005)</f>
        <v>2005</v>
      </c>
      <c r="E6917" s="10" t="str">
        <f ca="1">IFERROR(__xludf.DUMMYFUNCTION("""COMPUTED_VALUE"""),"Т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2005, кн. 4, с. 273-282 ISSN 1312-5834.")</f>
        <v>Т р у д о в е на Специализираното висше училище по библиотекознание и информационни технологии = Proceedings of the State Institute of Library Studies and Information Technologies, - София: За буквите – О писменехь, 2005, кн. 4, с. 273-282 ISSN 1312-5834.</v>
      </c>
      <c r="F6917" s="10"/>
      <c r="G6917" s="10"/>
      <c r="H6917" s="10"/>
      <c r="I6917" s="10"/>
      <c r="J6917" s="10"/>
      <c r="K6917" s="10"/>
      <c r="L6917" s="10"/>
      <c r="M6917" s="10"/>
      <c r="N6917" s="10"/>
      <c r="O6917" s="10"/>
      <c r="P6917" s="10"/>
      <c r="Q6917" s="10"/>
      <c r="R6917" s="10"/>
      <c r="S6917" s="10"/>
      <c r="T6917" s="10"/>
      <c r="U6917" s="10"/>
      <c r="V6917" s="10"/>
      <c r="W6917" s="10"/>
      <c r="X6917" s="10"/>
      <c r="Y6917" s="10"/>
      <c r="Z6917" s="10"/>
    </row>
    <row r="6918" spans="1:26" ht="12.75">
      <c r="A6918" s="10" t="str">
        <f ca="1">IFERROR(__xludf.DUMMYFUNCTION("""COMPUTED_VALUE"""),"София Илиева Василева-Вълчева")</f>
        <v>София Илиева Василева-Вълчева</v>
      </c>
      <c r="B6918" s="10" t="str">
        <f ca="1">IFERROR(__xludf.DUMMYFUNCTION("""COMPUTED_VALUE"""),"Студия")</f>
        <v>Студия</v>
      </c>
      <c r="C6918" s="10" t="str">
        <f ca="1">IFERROR(__xludf.DUMMYFUNCTION("""COMPUTED_VALUE"""),"Съюз на учените в България /СУБ/ - клон Стара Загора в периода 1989-2001 г.")</f>
        <v>Съюз на учените в България /СУБ/ - клон Стара Загора в периода 1989-2001 г.</v>
      </c>
      <c r="D6918" s="10">
        <f ca="1">IFERROR(__xludf.DUMMYFUNCTION("""COMPUTED_VALUE"""),2005)</f>
        <v>2005</v>
      </c>
      <c r="E6918" s="10" t="str">
        <f ca="1">IFERROR(__xludf.DUMMYFUNCTION("""COMPUTED_VALUE"""),"45 години Съюз на учените – Стара Загора. Стара Загора : УИ “Тракийски университет”, второ прераб. и доп. изд. 2005, с. 39-64. [Рецензенти: проф. дсн Видьо Видев, проф. д-р Иван Божков, доц. д-р Станчо Червенков, доц. д-р Христо Буюклиев, ст.н.с. II ст. д"&amp;"-р Косьо Зарев, доц. д-р Цонка Каснакова]. ISBN 954-9329-26-7 ISBN 978-954-9329-26-1.")</f>
        <v>45 години Съюз на учените – Стара Загора. Стара Загора : УИ “Тракийски университет”, второ прераб. и доп. изд. 2005, с. 39-64. [Рецензенти: проф. дсн Видьо Видев, проф. д-р Иван Божков, доц. д-р Станчо Червенков, доц. д-р Христо Буюклиев, ст.н.с. II ст. д-р Косьо Зарев, доц. д-р Цонка Каснакова]. ISBN 954-9329-26-7 ISBN 978-954-9329-26-1.</v>
      </c>
      <c r="F6918" s="10"/>
      <c r="G6918" s="10"/>
      <c r="H6918" s="10"/>
      <c r="I6918" s="10"/>
      <c r="J6918" s="10"/>
      <c r="K6918" s="10"/>
      <c r="L6918" s="10"/>
      <c r="M6918" s="10"/>
      <c r="N6918" s="10"/>
      <c r="O6918" s="10"/>
      <c r="P6918" s="10"/>
      <c r="Q6918" s="10"/>
      <c r="R6918" s="10"/>
      <c r="S6918" s="10"/>
      <c r="T6918" s="10"/>
      <c r="U6918" s="10"/>
      <c r="V6918" s="10"/>
      <c r="W6918" s="10"/>
      <c r="X6918" s="10"/>
      <c r="Y6918" s="10"/>
      <c r="Z6918" s="10"/>
    </row>
    <row r="6919" spans="1:26" ht="12.75">
      <c r="A6919" s="10" t="str">
        <f ca="1">IFERROR(__xludf.DUMMYFUNCTION("""COMPUTED_VALUE"""),"София Илиева Василева-Вълчева")</f>
        <v>София Илиева Василева-Вълчева</v>
      </c>
      <c r="B6919" s="10" t="str">
        <f ca="1">IFERROR(__xludf.DUMMYFUNCTION("""COMPUTED_VALUE"""),"Доклад от конференция")</f>
        <v>Доклад от конференция</v>
      </c>
      <c r="C6919" s="10" t="str">
        <f ca="1">IFERROR(__xludf.DUMMYFUNCTION("""COMPUTED_VALUE"""),"Опозицията в Старозагорска област. Илюзии и реалности.")</f>
        <v>Опозицията в Старозагорска област. Илюзии и реалности.</v>
      </c>
      <c r="D6919" s="10">
        <f ca="1">IFERROR(__xludf.DUMMYFUNCTION("""COMPUTED_VALUE"""),2005)</f>
        <v>2005</v>
      </c>
      <c r="E6919" s="10" t="str">
        <f ca="1">IFERROR(__xludf.DUMMYFUNCTION("""COMPUTED_VALUE"""),"Следвоенна България между Изтока и Запада. : Нац. науч. конф., Хасково, 27-28.02.2004 г. / Ред. кол. Георги Марков и др. Сборник. [Ст. Загора] : Кота, 2005, с. 217-229. ISBN 954-305-159-3 ISBN 978-954-305-159-5.")</f>
        <v>Следвоенна България между Изтока и Запада. : Нац. науч. конф., Хасково, 27-28.02.2004 г. / Ред. кол. Георги Марков и др. Сборник. [Ст. Загора] : Кота, 2005, с. 217-229. ISBN 954-305-159-3 ISBN 978-954-305-159-5.</v>
      </c>
      <c r="F6919" s="10"/>
      <c r="G6919" s="10"/>
      <c r="H6919" s="10"/>
      <c r="I6919" s="10"/>
      <c r="J6919" s="10"/>
      <c r="K6919" s="10"/>
      <c r="L6919" s="10"/>
      <c r="M6919" s="10"/>
      <c r="N6919" s="10"/>
      <c r="O6919" s="10"/>
      <c r="P6919" s="10"/>
      <c r="Q6919" s="10"/>
      <c r="R6919" s="10"/>
      <c r="S6919" s="10"/>
      <c r="T6919" s="10"/>
      <c r="U6919" s="10"/>
      <c r="V6919" s="10"/>
      <c r="W6919" s="10"/>
      <c r="X6919" s="10"/>
      <c r="Y6919" s="10"/>
      <c r="Z6919" s="10"/>
    </row>
    <row r="6920" spans="1:26" ht="12.75">
      <c r="A6920" s="10" t="str">
        <f ca="1">IFERROR(__xludf.DUMMYFUNCTION("""COMPUTED_VALUE"""),"София Илиева Василева-Вълчева")</f>
        <v>София Илиева Василева-Вълчева</v>
      </c>
      <c r="B6920" s="10" t="str">
        <f ca="1">IFERROR(__xludf.DUMMYFUNCTION("""COMPUTED_VALUE"""),"Статия в списания и поредици")</f>
        <v>Статия в списания и поредици</v>
      </c>
      <c r="C6920" s="10" t="str">
        <f ca="1">IFERROR(__xludf.DUMMYFUNCTION("""COMPUTED_VALUE"""),"Домовете на изкуствата 1920-1944 г.")</f>
        <v>Домовете на изкуствата 1920-1944 г.</v>
      </c>
      <c r="D6920" s="10">
        <f ca="1">IFERROR(__xludf.DUMMYFUNCTION("""COMPUTED_VALUE"""),2005)</f>
        <v>2005</v>
      </c>
      <c r="E6920" s="10" t="str">
        <f ca="1">IFERROR(__xludf.DUMMYFUNCTION("""COMPUTED_VALUE"""),"ИЗДАТЕЛ: научно списание за книгата /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2005, кн.2-3, с."&amp;" 84-87 ISSN 1310-4624.")</f>
        <v>ИЗДАТЕЛ: научно списание за книгата / Великотърновски унив. "Св. Св. Кирил и Методий", Специализирано висше училище по библиотекознание и информационни технологии - София. – В. Търново: Великотърновски унив. "Св. св. Кирил и Методий", 2005, кн.2-3, с. 84-87 ISSN 1310-4624.</v>
      </c>
      <c r="F6920" s="10"/>
      <c r="G6920" s="10"/>
      <c r="H6920" s="10"/>
      <c r="I6920" s="10"/>
      <c r="J6920" s="10"/>
      <c r="K6920" s="10"/>
      <c r="L6920" s="10"/>
      <c r="M6920" s="10"/>
      <c r="N6920" s="10"/>
      <c r="O6920" s="10"/>
      <c r="P6920" s="10"/>
      <c r="Q6920" s="10"/>
      <c r="R6920" s="10"/>
      <c r="S6920" s="10"/>
      <c r="T6920" s="10"/>
      <c r="U6920" s="10"/>
      <c r="V6920" s="10"/>
      <c r="W6920" s="10"/>
      <c r="X6920" s="10"/>
      <c r="Y6920" s="10"/>
      <c r="Z6920" s="10"/>
    </row>
    <row r="6921" spans="1:26" ht="12.75">
      <c r="A6921" s="10" t="str">
        <f ca="1">IFERROR(__xludf.DUMMYFUNCTION("""COMPUTED_VALUE"""),"София Илиева Василева-Вълчева")</f>
        <v>София Илиева Василева-Вълчева</v>
      </c>
      <c r="B6921" s="10" t="str">
        <f ca="1">IFERROR(__xludf.DUMMYFUNCTION("""COMPUTED_VALUE"""),"Статия в списания и поредици")</f>
        <v>Статия в списания и поредици</v>
      </c>
      <c r="C6921" s="10" t="str">
        <f ca="1">IFERROR(__xludf.DUMMYFUNCTION("""COMPUTED_VALUE"""),"Законодателни инициативи в държавната културна политика 1935-1939 г.")</f>
        <v>Законодателни инициативи в държавната културна политика 1935-1939 г.</v>
      </c>
      <c r="D6921" s="10">
        <f ca="1">IFERROR(__xludf.DUMMYFUNCTION("""COMPUTED_VALUE"""),2004)</f>
        <v>2004</v>
      </c>
      <c r="E6921" s="10" t="str">
        <f ca="1">IFERROR(__xludf.DUMMYFUNCTION("""COMPUTED_VALUE"""),"НАУЧНИ трудове на Съюза на учените - Пловдив. Серия. В. Естествени и хуманитарни науки = Scientific researches of the Union of scientists in Bulgaria - Plovdiv. Series B Natural sciences and humanities – Пловдив, 2004, т. ІV, с. 249 – 256. ISSN 1311-9192 "&amp;"(print) 2534-9376 (online).")</f>
        <v>НАУЧНИ трудове на Съюза на учените - Пловдив. Серия. В. Естествени и хуманитарни науки = Scientific researches of the Union of scientists in Bulgaria - Plovdiv. Series B Natural sciences and humanities – Пловдив, 2004, т. ІV, с. 249 – 256. ISSN 1311-9192 (print) 2534-9376 (online).</v>
      </c>
      <c r="F6921" s="10"/>
      <c r="G6921" s="10"/>
      <c r="H6921" s="10"/>
      <c r="I6921" s="10"/>
      <c r="J6921" s="10"/>
      <c r="K6921" s="10"/>
      <c r="L6921" s="10"/>
      <c r="M6921" s="10"/>
      <c r="N6921" s="10"/>
      <c r="O6921" s="10"/>
      <c r="P6921" s="10"/>
      <c r="Q6921" s="10"/>
      <c r="R6921" s="10"/>
      <c r="S6921" s="10"/>
      <c r="T6921" s="10"/>
      <c r="U6921" s="10"/>
      <c r="V6921" s="10"/>
      <c r="W6921" s="10"/>
      <c r="X6921" s="10"/>
      <c r="Y6921" s="10"/>
      <c r="Z6921" s="10"/>
    </row>
    <row r="6922" spans="1:26" ht="12.75">
      <c r="A6922" s="10" t="str">
        <f ca="1">IFERROR(__xludf.DUMMYFUNCTION("""COMPUTED_VALUE"""),"София Илиева Василева-Вълчева")</f>
        <v>София Илиева Василева-Вълчева</v>
      </c>
      <c r="B6922" s="10" t="str">
        <f ca="1">IFERROR(__xludf.DUMMYFUNCTION("""COMPUTED_VALUE"""),"Студия")</f>
        <v>Студия</v>
      </c>
      <c r="C6922" s="10" t="str">
        <f ca="1">IFERROR(__xludf.DUMMYFUNCTION("""COMPUTED_VALUE"""),"L’Union des peintres en Bulgarie, les institutions d’Etat et les autres organizations sociales durant les ans 1934-1944.")</f>
        <v>L’Union des peintres en Bulgarie, les institutions d’Etat et les autres organizations sociales durant les ans 1934-1944.</v>
      </c>
      <c r="D6922" s="10">
        <f ca="1">IFERROR(__xludf.DUMMYFUNCTION("""COMPUTED_VALUE"""),2004)</f>
        <v>2004</v>
      </c>
      <c r="E6922" s="10" t="str">
        <f ca="1">IFERROR(__xludf.DUMMYFUNCTION("""COMPUTED_VALUE"""),"BULGARIAN Historical Review = Revue bulgare d'Histoire: research quarterly.- Sofia: Bulg. Acad. Of Sciences, 2004, № 1-2, 101-138. ISSN 0204-8906.")</f>
        <v>BULGARIAN Historical Review = Revue bulgare d'Histoire: research quarterly.- Sofia: Bulg. Acad. Of Sciences, 2004, № 1-2, 101-138. ISSN 0204-8906.</v>
      </c>
      <c r="F6922" s="10" t="str">
        <f ca="1">IFERROR(__xludf.DUMMYFUNCTION("""COMPUTED_VALUE"""),"SCOPUS ( 2001 -2007, 2009-2011)
 SJR 2013 - 0.101 (Scopus)
 CEEOL 
 EBSCOHost- Historical Abstracts
 ERIH Plus
 EastView
 eLIBRARY.ru
 HathiTrust’s digital library
 Thomson Reuters – Arts and Humanities Citation Index")</f>
        <v>SCOPUS ( 2001 -2007, 2009-2011)
 SJR 2013 - 0.101 (Scopus)
 CEEOL 
 EBSCOHost- Historical Abstracts
 ERIH Plus
 EastView
 eLIBRARY.ru
 HathiTrust’s digital library
 Thomson Reuters – Arts and Humanities Citation Index</v>
      </c>
      <c r="G6922" s="10"/>
      <c r="H6922" s="10"/>
      <c r="I6922" s="10"/>
      <c r="J6922" s="10"/>
      <c r="K6922" s="10"/>
      <c r="L6922" s="10"/>
      <c r="M6922" s="10"/>
      <c r="N6922" s="10"/>
      <c r="O6922" s="10"/>
      <c r="P6922" s="10"/>
      <c r="Q6922" s="10"/>
      <c r="R6922" s="10"/>
      <c r="S6922" s="10"/>
      <c r="T6922" s="10"/>
      <c r="U6922" s="10"/>
      <c r="V6922" s="10"/>
      <c r="W6922" s="10"/>
      <c r="X6922" s="10"/>
      <c r="Y6922" s="10"/>
      <c r="Z6922" s="10"/>
    </row>
    <row r="6923" spans="1:26" ht="12.75">
      <c r="A6923" s="10" t="str">
        <f ca="1">IFERROR(__xludf.DUMMYFUNCTION("""COMPUTED_VALUE"""),"София Илиева Василева-Вълчева")</f>
        <v>София Илиева Василева-Вълчева</v>
      </c>
      <c r="B6923" s="10" t="str">
        <f ca="1">IFERROR(__xludf.DUMMYFUNCTION("""COMPUTED_VALUE"""),"Доклад от конференция")</f>
        <v>Доклад от конференция</v>
      </c>
      <c r="C6923" s="10" t="str">
        <f ca="1">IFERROR(__xludf.DUMMYFUNCTION("""COMPUTED_VALUE"""),"Втората световна война в човешките съдби на командири и офицери от Старозагорска област.")</f>
        <v>Втората световна война в човешките съдби на командири и офицери от Старозагорска област.</v>
      </c>
      <c r="D6923" s="10">
        <f ca="1">IFERROR(__xludf.DUMMYFUNCTION("""COMPUTED_VALUE"""),2002)</f>
        <v>2002</v>
      </c>
      <c r="E6923" s="10" t="str">
        <f ca="1">IFERROR(__xludf.DUMMYFUNCTION("""COMPUTED_VALUE"""),"Международна научна конференция Втората световна война и Балканите. 20-21 юни 2001 г Издание на Военна академия “Г. С. Раковски” и Център “Военна история”. София, 2002, с. 404-409. ISBN 954-509-230-9.")</f>
        <v>Международна научна конференция Втората световна война и Балканите. 20-21 юни 2001 г Издание на Военна академия “Г. С. Раковски” и Център “Военна история”. София, 2002, с. 404-409. ISBN 954-509-230-9.</v>
      </c>
      <c r="F6923" s="10"/>
      <c r="G6923" s="10"/>
      <c r="H6923" s="10"/>
      <c r="I6923" s="10"/>
      <c r="J6923" s="10"/>
      <c r="K6923" s="10"/>
      <c r="L6923" s="10"/>
      <c r="M6923" s="10"/>
      <c r="N6923" s="10"/>
      <c r="O6923" s="10"/>
      <c r="P6923" s="10"/>
      <c r="Q6923" s="10"/>
      <c r="R6923" s="10"/>
      <c r="S6923" s="10"/>
      <c r="T6923" s="10"/>
      <c r="U6923" s="10"/>
      <c r="V6923" s="10"/>
      <c r="W6923" s="10"/>
      <c r="X6923" s="10"/>
      <c r="Y6923" s="10"/>
      <c r="Z6923" s="10"/>
    </row>
    <row r="6924" spans="1:26" ht="12.75">
      <c r="A6924" s="10" t="str">
        <f ca="1">IFERROR(__xludf.DUMMYFUNCTION("""COMPUTED_VALUE"""),"София Илиева Василева-Вълчева")</f>
        <v>София Илиева Василева-Вълчева</v>
      </c>
      <c r="B6924" s="10" t="str">
        <f ca="1">IFERROR(__xludf.DUMMYFUNCTION("""COMPUTED_VALUE"""),"Доклад от конференция")</f>
        <v>Доклад от конференция</v>
      </c>
      <c r="C6924" s="10" t="str">
        <f ca="1">IFERROR(__xludf.DUMMYFUNCTION("""COMPUTED_VALUE"""),"Власт и опозиция в Старозагорска област 1944-1949 г.")</f>
        <v>Власт и опозиция в Старозагорска област 1944-1949 г.</v>
      </c>
      <c r="D6924" s="10">
        <f ca="1">IFERROR(__xludf.DUMMYFUNCTION("""COMPUTED_VALUE"""),2002)</f>
        <v>2002</v>
      </c>
      <c r="E6924" s="10" t="str">
        <f ca="1">IFERROR(__xludf.DUMMYFUNCTION("""COMPUTED_VALUE"""),"България след 1944. История, проблеми, тенденции. Доклади и научни съобщения, изнесени на Национална научна конференция, Шумен, 14-15 май 2002 / Състав. Бета Хараланова ; Ред. кол. Стоян Танев и др.. Шумен : Антос, 2002, с. 105-113. ISBN 954-8665-35-3.")</f>
        <v>България след 1944. История, проблеми, тенденции. Доклади и научни съобщения, изнесени на Национална научна конференция, Шумен, 14-15 май 2002 / Състав. Бета Хараланова ; Ред. кол. Стоян Танев и др.. Шумен : Антос, 2002, с. 105-113. ISBN 954-8665-35-3.</v>
      </c>
      <c r="F6924" s="10"/>
      <c r="G6924" s="10"/>
      <c r="H6924" s="10"/>
      <c r="I6924" s="10"/>
      <c r="J6924" s="10"/>
      <c r="K6924" s="10"/>
      <c r="L6924" s="10"/>
      <c r="M6924" s="10"/>
      <c r="N6924" s="10"/>
      <c r="O6924" s="10"/>
      <c r="P6924" s="10"/>
      <c r="Q6924" s="10"/>
      <c r="R6924" s="10"/>
      <c r="S6924" s="10"/>
      <c r="T6924" s="10"/>
      <c r="U6924" s="10"/>
      <c r="V6924" s="10"/>
      <c r="W6924" s="10"/>
      <c r="X6924" s="10"/>
      <c r="Y6924" s="10"/>
      <c r="Z6924" s="10"/>
    </row>
    <row r="6925" spans="1:26" ht="12.75">
      <c r="A6925" s="10" t="str">
        <f ca="1">IFERROR(__xludf.DUMMYFUNCTION("""COMPUTED_VALUE"""),"София Илиева Василева-Вълчева")</f>
        <v>София Илиева Василева-Вълчева</v>
      </c>
      <c r="B6925" s="10" t="str">
        <f ca="1">IFERROR(__xludf.DUMMYFUNCTION("""COMPUTED_VALUE"""),"Статия в списания и поредици")</f>
        <v>Статия в списания и поредици</v>
      </c>
      <c r="C6925" s="10" t="str">
        <f ca="1">IFERROR(__xludf.DUMMYFUNCTION("""COMPUTED_VALUE"""),"Династията [старозагорския род] Азманови – рицари, строители и творци на своето време 1878-1944.")</f>
        <v>Династията [старозагорския род] Азманови – рицари, строители и творци на своето време 1878-1944.</v>
      </c>
      <c r="D6925" s="10">
        <f ca="1">IFERROR(__xludf.DUMMYFUNCTION("""COMPUTED_VALUE"""),2002)</f>
        <v>2002</v>
      </c>
      <c r="E6925" s="10" t="str">
        <f ca="1">IFERROR(__xludf.DUMMYFUNCTION("""COMPUTED_VALUE"""),"Известия на Старозагорския исторически музей = Bulletin of the Stara Zagora Historical Museum. Стара Загора : Старозагор. ист. Музей, т.І, 2002, с.193-200. ISSN C610-553X. - 1313-7352.")</f>
        <v>Известия на Старозагорския исторически музей = Bulletin of the Stara Zagora Historical Museum. Стара Загора : Старозагор. ист. Музей, т.І, 2002, с.193-200. ISSN C610-553X. - 1313-7352.</v>
      </c>
      <c r="F6925" s="10"/>
      <c r="G6925" s="10"/>
      <c r="H6925" s="10"/>
      <c r="I6925" s="10"/>
      <c r="J6925" s="10"/>
      <c r="K6925" s="10"/>
      <c r="L6925" s="10"/>
      <c r="M6925" s="10"/>
      <c r="N6925" s="10"/>
      <c r="O6925" s="10"/>
      <c r="P6925" s="10"/>
      <c r="Q6925" s="10"/>
      <c r="R6925" s="10"/>
      <c r="S6925" s="10"/>
      <c r="T6925" s="10"/>
      <c r="U6925" s="10"/>
      <c r="V6925" s="10"/>
      <c r="W6925" s="10"/>
      <c r="X6925" s="10"/>
      <c r="Y6925" s="10"/>
      <c r="Z6925" s="10"/>
    </row>
    <row r="6926" spans="1:26" ht="12.75">
      <c r="A6926" s="10" t="str">
        <f ca="1">IFERROR(__xludf.DUMMYFUNCTION("""COMPUTED_VALUE"""),"София Илиева Василева-Вълчева")</f>
        <v>София Илиева Василева-Вълчева</v>
      </c>
      <c r="B6926" s="10" t="str">
        <f ca="1">IFERROR(__xludf.DUMMYFUNCTION("""COMPUTED_VALUE"""),"Статия в списания и поредици")</f>
        <v>Статия в списания и поредици</v>
      </c>
      <c r="C6926" s="10" t="str">
        <f ca="1">IFERROR(__xludf.DUMMYFUNCTION("""COMPUTED_VALUE"""),"Земеделски апостоли – просветители и политически дейци в Старозагорско от Освобождението до Първата световна война.")</f>
        <v>Земеделски апостоли – просветители и политически дейци в Старозагорско от Освобождението до Първата световна война.</v>
      </c>
      <c r="D6926" s="10">
        <f ca="1">IFERROR(__xludf.DUMMYFUNCTION("""COMPUTED_VALUE"""),2002)</f>
        <v>2002</v>
      </c>
      <c r="E6926" s="10" t="str">
        <f ca="1">IFERROR(__xludf.DUMMYFUNCTION("""COMPUTED_VALUE"""),"Известия на Старозагорския исторически музей = Bulletin of the Stara Zagora Historical Museum. т. І, 2002, с. 169-180 ISSN C610-553X.")</f>
        <v>Известия на Старозагорския исторически музей = Bulletin of the Stara Zagora Historical Museum. т. І, 2002, с. 169-180 ISSN C610-553X.</v>
      </c>
      <c r="F6926" s="10"/>
      <c r="G6926" s="10"/>
      <c r="H6926" s="10"/>
      <c r="I6926" s="10"/>
      <c r="J6926" s="10"/>
      <c r="K6926" s="10"/>
      <c r="L6926" s="10"/>
      <c r="M6926" s="10"/>
      <c r="N6926" s="10"/>
      <c r="O6926" s="10"/>
      <c r="P6926" s="10"/>
      <c r="Q6926" s="10"/>
      <c r="R6926" s="10"/>
      <c r="S6926" s="10"/>
      <c r="T6926" s="10"/>
      <c r="U6926" s="10"/>
      <c r="V6926" s="10"/>
      <c r="W6926" s="10"/>
      <c r="X6926" s="10"/>
      <c r="Y6926" s="10"/>
      <c r="Z6926" s="10"/>
    </row>
    <row r="6927" spans="1:26" ht="12.75">
      <c r="A6927" s="10" t="str">
        <f ca="1">IFERROR(__xludf.DUMMYFUNCTION("""COMPUTED_VALUE"""),"София Илиева Василева-Вълчева")</f>
        <v>София Илиева Василева-Вълчева</v>
      </c>
      <c r="B6927" s="10" t="str">
        <f ca="1">IFERROR(__xludf.DUMMYFUNCTION("""COMPUTED_VALUE"""),"Статия в списания и поредици")</f>
        <v>Статия в списания и поредици</v>
      </c>
      <c r="C6927" s="10" t="str">
        <f ca="1">IFERROR(__xludf.DUMMYFUNCTION("""COMPUTED_VALUE"""),"150 години от рождението на академик Атанас Трифонов Илиев 1852-1927.")</f>
        <v>150 години от рождението на академик Атанас Трифонов Илиев 1852-1927.</v>
      </c>
      <c r="D6927" s="10">
        <f ca="1">IFERROR(__xludf.DUMMYFUNCTION("""COMPUTED_VALUE"""),2002)</f>
        <v>2002</v>
      </c>
      <c r="E6927" s="10" t="str">
        <f ca="1">IFERROR(__xludf.DUMMYFUNCTION("""COMPUTED_VALUE"""),"Участие : литература и социален живот : периодично издание на писателите от Стара Загора. Година X, 1-2 (2002), кн.1-2, с. 23-24 ISSN: 1310-4896.")</f>
        <v>Участие : литература и социален живот : периодично издание на писателите от Стара Загора. Година X, 1-2 (2002), кн.1-2, с. 23-24 ISSN: 1310-4896.</v>
      </c>
      <c r="F6927" s="10"/>
      <c r="G6927" s="10"/>
      <c r="H6927" s="10"/>
      <c r="I6927" s="10"/>
      <c r="J6927" s="10"/>
      <c r="K6927" s="10"/>
      <c r="L6927" s="10"/>
      <c r="M6927" s="10"/>
      <c r="N6927" s="10"/>
      <c r="O6927" s="10"/>
      <c r="P6927" s="10"/>
      <c r="Q6927" s="10"/>
      <c r="R6927" s="10"/>
      <c r="S6927" s="10"/>
      <c r="T6927" s="10"/>
      <c r="U6927" s="10"/>
      <c r="V6927" s="10"/>
      <c r="W6927" s="10"/>
      <c r="X6927" s="10"/>
      <c r="Y6927" s="10"/>
      <c r="Z6927" s="10"/>
    </row>
    <row r="6928" spans="1:26" ht="12.75">
      <c r="A6928" s="10" t="str">
        <f ca="1">IFERROR(__xludf.DUMMYFUNCTION("""COMPUTED_VALUE"""),"София Илиева Василева-Вълчева")</f>
        <v>София Илиева Василева-Вълчева</v>
      </c>
      <c r="B6928" s="10" t="str">
        <f ca="1">IFERROR(__xludf.DUMMYFUNCTION("""COMPUTED_VALUE"""),"Доклад от конференция")</f>
        <v>Доклад от конференция</v>
      </c>
      <c r="C6928" s="10" t="str">
        <f ca="1">IFERROR(__xludf.DUMMYFUNCTION("""COMPUTED_VALUE"""),"Сирак Скитник и “разделното време” за българското изкуство (за периода след края на Първата световна война).")</f>
        <v>Сирак Скитник и “разделното време” за българското изкуство (за периода след края на Първата световна война).</v>
      </c>
      <c r="D6928" s="10">
        <f ca="1">IFERROR(__xludf.DUMMYFUNCTION("""COMPUTED_VALUE"""),2001)</f>
        <v>2001</v>
      </c>
      <c r="E6928" s="10" t="str">
        <f ca="1">IFERROR(__xludf.DUMMYFUNCTION("""COMPUTED_VALUE"""),"BALKANISTIC forum = Балканистичен форум / Mеждународен унив. семинар за балканистични проучвания и специализации при Югозападен унив. ""Неофит Рилски"" – Благоевград. - Благоевград,. Рицари и миротворци. Благоевград, 2001, с. 214-220. ISSN 1310-3970 (prin"&amp;"t) 2535-1265 (online).")</f>
        <v>BALKANISTIC forum = Балканистичен форум / Mеждународен унив. семинар за балканистични проучвания и специализации при Югозападен унив. "Неофит Рилски" – Благоевград. - Благоевград,. Рицари и миротворци. Благоевград, 2001, с. 214-220. ISSN 1310-3970 (print) 2535-1265 (online).</v>
      </c>
      <c r="F6928" s="10"/>
      <c r="G6928" s="10"/>
      <c r="H6928" s="10"/>
      <c r="I6928" s="10"/>
      <c r="J6928" s="10"/>
      <c r="K6928" s="10"/>
      <c r="L6928" s="10"/>
      <c r="M6928" s="10"/>
      <c r="N6928" s="10"/>
      <c r="O6928" s="10"/>
      <c r="P6928" s="10"/>
      <c r="Q6928" s="10"/>
      <c r="R6928" s="10"/>
      <c r="S6928" s="10"/>
      <c r="T6928" s="10"/>
      <c r="U6928" s="10"/>
      <c r="V6928" s="10"/>
      <c r="W6928" s="10"/>
      <c r="X6928" s="10"/>
      <c r="Y6928" s="10"/>
      <c r="Z6928" s="10"/>
    </row>
    <row r="6929" spans="1:26" ht="12.75">
      <c r="A6929" s="10" t="str">
        <f ca="1">IFERROR(__xludf.DUMMYFUNCTION("""COMPUTED_VALUE"""),"София Илиева Василева-Вълчева")</f>
        <v>София Илиева Василева-Вълчева</v>
      </c>
      <c r="B6929" s="10" t="str">
        <f ca="1">IFERROR(__xludf.DUMMYFUNCTION("""COMPUTED_VALUE"""),"Доклад от конференция")</f>
        <v>Доклад от конференция</v>
      </c>
      <c r="C6929" s="10" t="str">
        <f ca="1">IFERROR(__xludf.DUMMYFUNCTION("""COMPUTED_VALUE"""),"Женските дружества в Стара Загора и приносът им за изграждането на модерния град. 1869-1944.")</f>
        <v>Женските дружества в Стара Загора и приносът им за изграждането на модерния град. 1869-1944.</v>
      </c>
      <c r="D6929" s="10">
        <f ca="1">IFERROR(__xludf.DUMMYFUNCTION("""COMPUTED_VALUE"""),2001)</f>
        <v>2001</v>
      </c>
      <c r="E6929" s="10" t="str">
        <f ca="1">IFERROR(__xludf.DUMMYFUNCTION("""COMPUTED_VALUE"""),"Тя на Балканите. Сборник с доклади от международна научна конференция. Благоевград, 2001, с. 215-225.")</f>
        <v>Тя на Балканите. Сборник с доклади от международна научна конференция. Благоевград, 2001, с. 215-225.</v>
      </c>
      <c r="F6929" s="10" t="str">
        <f ca="1">IFERROR(__xludf.DUMMYFUNCTION("""COMPUTED_VALUE"""),"Bulgarian women medical doctors in the social modernization of the Bulgarian Nation State (1878-1944) / Nazarska, Georgeta // Conference: International Conference on Elite Formation, Modernization and Nation Building Location: Cent European Univ, Budapest"&amp;", HUNGARY Date: MAY 04-06, 2007. HISTORICAL SOCIAL RESEARCH-HISTORISCHE SOZIALFORSCHUNG Volume: 33 Issue: 2 Pages: 232-246 Published: 2008
 /Цитиране индексирано в Web of Science/")</f>
        <v>Bulgarian women medical doctors in the social modernization of the Bulgarian Nation State (1878-1944) / Nazarska, Georgeta // Conference: International Conference on Elite Formation, Modernization and Nation Building Location: Cent European Univ, Budapest, HUNGARY Date: MAY 04-06, 2007. HISTORICAL SOCIAL RESEARCH-HISTORISCHE SOZIALFORSCHUNG Volume: 33 Issue: 2 Pages: 232-246 Published: 2008
 /Цитиране индексирано в Web of Science/</v>
      </c>
      <c r="G6929" s="10"/>
      <c r="H6929" s="10"/>
      <c r="I6929" s="10"/>
      <c r="J6929" s="10"/>
      <c r="K6929" s="10"/>
      <c r="L6929" s="10"/>
      <c r="M6929" s="10"/>
      <c r="N6929" s="10"/>
      <c r="O6929" s="10"/>
      <c r="P6929" s="10"/>
      <c r="Q6929" s="10"/>
      <c r="R6929" s="10"/>
      <c r="S6929" s="10"/>
      <c r="T6929" s="10"/>
      <c r="U6929" s="10"/>
      <c r="V6929" s="10"/>
      <c r="W6929" s="10"/>
      <c r="X6929" s="10"/>
      <c r="Y6929" s="10"/>
      <c r="Z6929" s="10"/>
    </row>
    <row r="6930" spans="1:26" ht="12.75">
      <c r="A6930" s="10" t="str">
        <f ca="1">IFERROR(__xludf.DUMMYFUNCTION("""COMPUTED_VALUE"""),"София Илиева Василева-Вълчева")</f>
        <v>София Илиева Василева-Вълчева</v>
      </c>
      <c r="B6930" s="10" t="str">
        <f ca="1">IFERROR(__xludf.DUMMYFUNCTION("""COMPUTED_VALUE"""),"Доклад от конференция")</f>
        <v>Доклад от конференция</v>
      </c>
      <c r="C6930" s="10" t="str">
        <f ca="1">IFERROR(__xludf.DUMMYFUNCTION("""COMPUTED_VALUE"""),"Опозиционният депутат от Старозагорска област Иван Копринков във Великото народно събрание 1946-1948.")</f>
        <v>Опозиционният депутат от Старозагорска област Иван Копринков във Великото народно събрание 1946-1948.</v>
      </c>
      <c r="D6930" s="10">
        <f ca="1">IFERROR(__xludf.DUMMYFUNCTION("""COMPUTED_VALUE"""),2001)</f>
        <v>2001</v>
      </c>
      <c r="E6930" s="10" t="str">
        <f ca="1">IFERROR(__xludf.DUMMYFUNCTION("""COMPUTED_VALUE"""),"40 години Съюз на учените – Стара Загора. Научна канференция с международно участие. Ст. Загора, 2001, т. ІV, с.189-192. ISBN 954-8180-84-7 (т. 4).")</f>
        <v>40 години Съюз на учените – Стара Загора. Научна канференция с международно участие. Ст. Загора, 2001, т. ІV, с.189-192. ISBN 954-8180-84-7 (т. 4).</v>
      </c>
      <c r="F6930" s="10"/>
      <c r="G6930" s="10"/>
      <c r="H6930" s="10"/>
      <c r="I6930" s="10"/>
      <c r="J6930" s="10"/>
      <c r="K6930" s="10"/>
      <c r="L6930" s="10"/>
      <c r="M6930" s="10"/>
      <c r="N6930" s="10"/>
      <c r="O6930" s="10"/>
      <c r="P6930" s="10"/>
      <c r="Q6930" s="10"/>
      <c r="R6930" s="10"/>
      <c r="S6930" s="10"/>
      <c r="T6930" s="10"/>
      <c r="U6930" s="10"/>
      <c r="V6930" s="10"/>
      <c r="W6930" s="10"/>
      <c r="X6930" s="10"/>
      <c r="Y6930" s="10"/>
      <c r="Z6930" s="10"/>
    </row>
    <row r="6931" spans="1:26" ht="12.75">
      <c r="A6931" s="10" t="str">
        <f ca="1">IFERROR(__xludf.DUMMYFUNCTION("""COMPUTED_VALUE"""),"София Илиева Василева-Вълчева")</f>
        <v>София Илиева Василева-Вълчева</v>
      </c>
      <c r="B6931" s="10" t="str">
        <f ca="1">IFERROR(__xludf.DUMMYFUNCTION("""COMPUTED_VALUE"""),"Статия в списания и поредици")</f>
        <v>Статия в списания и поредици</v>
      </c>
      <c r="C6931" s="10" t="str">
        <f ca="1">IFERROR(__xludf.DUMMYFUNCTION("""COMPUTED_VALUE"""),"“Т а м дето ралата са светливи, а саблите ръждиви, там Цар и Народ са щастливи” (150 години от рождението на Димитър Наумов 1851-1884).")</f>
        <v>“Т а м дето ралата са светливи, а саблите ръждиви, там Цар и Народ са щастливи” (150 години от рождението на Димитър Наумов 1851-1884).</v>
      </c>
      <c r="D6931" s="10">
        <f ca="1">IFERROR(__xludf.DUMMYFUNCTION("""COMPUTED_VALUE"""),2001)</f>
        <v>2001</v>
      </c>
      <c r="E6931" s="10" t="str">
        <f ca="1">IFERROR(__xludf.DUMMYFUNCTION("""COMPUTED_VALUE"""),"Участие : литература и социален живот : периодично издание на писателите от Стара Загора. Година IX, 1-2 (2001), кн.1-2, с. 16-18 ISSN: 1310-4896.")</f>
        <v>Участие : литература и социален живот : периодично издание на писателите от Стара Загора. Година IX, 1-2 (2001), кн.1-2, с. 16-18 ISSN: 1310-4896.</v>
      </c>
      <c r="F6931" s="10"/>
      <c r="G6931" s="10"/>
      <c r="H6931" s="10"/>
      <c r="I6931" s="10"/>
      <c r="J6931" s="10"/>
      <c r="K6931" s="10"/>
      <c r="L6931" s="10"/>
      <c r="M6931" s="10"/>
      <c r="N6931" s="10"/>
      <c r="O6931" s="10"/>
      <c r="P6931" s="10"/>
      <c r="Q6931" s="10"/>
      <c r="R6931" s="10"/>
      <c r="S6931" s="10"/>
      <c r="T6931" s="10"/>
      <c r="U6931" s="10"/>
      <c r="V6931" s="10"/>
      <c r="W6931" s="10"/>
      <c r="X6931" s="10"/>
      <c r="Y6931" s="10"/>
      <c r="Z6931" s="10"/>
    </row>
    <row r="6932" spans="1:26" ht="12.75">
      <c r="A6932" s="10" t="str">
        <f ca="1">IFERROR(__xludf.DUMMYFUNCTION("""COMPUTED_VALUE"""),"София Илиева Василева-Вълчева")</f>
        <v>София Илиева Василева-Вълчева</v>
      </c>
      <c r="B6932" s="10" t="str">
        <f ca="1">IFERROR(__xludf.DUMMYFUNCTION("""COMPUTED_VALUE"""),"Доклад от конференция")</f>
        <v>Доклад от конференция</v>
      </c>
      <c r="C6932" s="10" t="str">
        <f ca="1">IFERROR(__xludf.DUMMYFUNCTION("""COMPUTED_VALUE"""),"Формиране на опозиционните политически сили в Старозагорска област 1944-1945 г.")</f>
        <v>Формиране на опозиционните политически сили в Старозагорска област 1944-1945 г.</v>
      </c>
      <c r="D6932" s="10">
        <f ca="1">IFERROR(__xludf.DUMMYFUNCTION("""COMPUTED_VALUE"""),2001)</f>
        <v>2001</v>
      </c>
      <c r="E6932" s="10" t="str">
        <f ca="1">IFERROR(__xludf.DUMMYFUNCTION("""COMPUTED_VALUE"""),"40 години Съюз на учените – Стара Загора. Научна конференция с международно участие. Ст. Загора 2001, т. ІV, с.184-188. ISBN 954-8180-84-7 (т. 4).")</f>
        <v>40 години Съюз на учените – Стара Загора. Научна конференция с международно участие. Ст. Загора 2001, т. ІV, с.184-188. ISBN 954-8180-84-7 (т. 4).</v>
      </c>
      <c r="F6932" s="10"/>
      <c r="G6932" s="10"/>
      <c r="H6932" s="10"/>
      <c r="I6932" s="10"/>
      <c r="J6932" s="10"/>
      <c r="K6932" s="10"/>
      <c r="L6932" s="10"/>
      <c r="M6932" s="10"/>
      <c r="N6932" s="10"/>
      <c r="O6932" s="10"/>
      <c r="P6932" s="10"/>
      <c r="Q6932" s="10"/>
      <c r="R6932" s="10"/>
      <c r="S6932" s="10"/>
      <c r="T6932" s="10"/>
      <c r="U6932" s="10"/>
      <c r="V6932" s="10"/>
      <c r="W6932" s="10"/>
      <c r="X6932" s="10"/>
      <c r="Y6932" s="10"/>
      <c r="Z6932" s="10"/>
    </row>
    <row r="6933" spans="1:26" ht="12.75">
      <c r="A6933" s="10" t="str">
        <f ca="1">IFERROR(__xludf.DUMMYFUNCTION("""COMPUTED_VALUE"""),"София Илиева Василева-Вълчева")</f>
        <v>София Илиева Василева-Вълчева</v>
      </c>
      <c r="B6933" s="10" t="str">
        <f ca="1">IFERROR(__xludf.DUMMYFUNCTION("""COMPUTED_VALUE"""),"Статия в списания и поредици")</f>
        <v>Статия в списания и поредици</v>
      </c>
      <c r="C6933" s="10" t="str">
        <f ca="1">IFERROR(__xludf.DUMMYFUNCTION("""COMPUTED_VALUE"""),"Старозагорските родове")</f>
        <v>Старозагорските родове</v>
      </c>
      <c r="D6933" s="10">
        <f ca="1">IFERROR(__xludf.DUMMYFUNCTION("""COMPUTED_VALUE"""),2001)</f>
        <v>2001</v>
      </c>
      <c r="E6933" s="10" t="str">
        <f ca="1">IFERROR(__xludf.DUMMYFUNCTION("""COMPUTED_VALUE"""),"Везни : месечно издание за литература, изкуство, критика и философия, бр. 8, с. 103-107 ISSN: 0861-606X.- XI, 8 (2001).")</f>
        <v>Везни : месечно издание за литература, изкуство, критика и философия, бр. 8, с. 103-107 ISSN: 0861-606X.- XI, 8 (2001).</v>
      </c>
      <c r="F6933" s="10"/>
      <c r="G6933" s="10"/>
      <c r="H6933" s="10"/>
      <c r="I6933" s="10"/>
      <c r="J6933" s="10"/>
      <c r="K6933" s="10"/>
      <c r="L6933" s="10"/>
      <c r="M6933" s="10"/>
      <c r="N6933" s="10"/>
      <c r="O6933" s="10"/>
      <c r="P6933" s="10"/>
      <c r="Q6933" s="10"/>
      <c r="R6933" s="10"/>
      <c r="S6933" s="10"/>
      <c r="T6933" s="10"/>
      <c r="U6933" s="10"/>
      <c r="V6933" s="10"/>
      <c r="W6933" s="10"/>
      <c r="X6933" s="10"/>
      <c r="Y6933" s="10"/>
      <c r="Z6933" s="10"/>
    </row>
    <row r="6934" spans="1:26" ht="12.75">
      <c r="A6934" s="10" t="str">
        <f ca="1">IFERROR(__xludf.DUMMYFUNCTION("""COMPUTED_VALUE"""),"София Илиева Василева-Вълчева")</f>
        <v>София Илиева Василева-Вълчева</v>
      </c>
      <c r="B6934" s="10" t="str">
        <f ca="1">IFERROR(__xludf.DUMMYFUNCTION("""COMPUTED_VALUE"""),"Статия в списания и поредици")</f>
        <v>Статия в списания и поредици</v>
      </c>
      <c r="C6934" s="10" t="str">
        <f ca="1">IFERROR(__xludf.DUMMYFUNCTION("""COMPUTED_VALUE"""),"Съюзът на дружествата на художниците в България в годините на Втората световна война.")</f>
        <v>Съюзът на дружествата на художниците в България в годините на Втората световна война.</v>
      </c>
      <c r="D6934" s="10">
        <f ca="1">IFERROR(__xludf.DUMMYFUNCTION("""COMPUTED_VALUE"""),2001)</f>
        <v>2001</v>
      </c>
      <c r="E6934" s="10" t="str">
        <f ca="1">IFERROR(__xludf.DUMMYFUNCTION("""COMPUTED_VALUE"""),"Сп. Минало [тримесечно списание за история] [Редакционна Колегия: Стефан Александров, Костадин Грозев, Валери Колев, Георги Николов, Тодор Попнеделев, Димитър Цанов, Веселин Янчев], 2001, кн. 4, с. 57-68. ISSN 1310-3415.")</f>
        <v>Сп. Минало [тримесечно списание за история] [Редакционна Колегия: Стефан Александров, Костадин Грозев, Валери Колев, Георги Николов, Тодор Попнеделев, Димитър Цанов, Веселин Янчев], 2001, кн. 4, с. 57-68. ISSN 1310-3415.</v>
      </c>
      <c r="F6934" s="10"/>
      <c r="G6934" s="10"/>
      <c r="H6934" s="10"/>
      <c r="I6934" s="10"/>
      <c r="J6934" s="10"/>
      <c r="K6934" s="10"/>
      <c r="L6934" s="10"/>
      <c r="M6934" s="10"/>
      <c r="N6934" s="10"/>
      <c r="O6934" s="10"/>
      <c r="P6934" s="10"/>
      <c r="Q6934" s="10"/>
      <c r="R6934" s="10"/>
      <c r="S6934" s="10"/>
      <c r="T6934" s="10"/>
      <c r="U6934" s="10"/>
      <c r="V6934" s="10"/>
      <c r="W6934" s="10"/>
      <c r="X6934" s="10"/>
      <c r="Y6934" s="10"/>
      <c r="Z6934" s="10"/>
    </row>
    <row r="6935" spans="1:26" ht="12.75">
      <c r="A6935" s="10" t="str">
        <f ca="1">IFERROR(__xludf.DUMMYFUNCTION("""COMPUTED_VALUE"""),"София Илиева Василева-Вълчева")</f>
        <v>София Илиева Василева-Вълчева</v>
      </c>
      <c r="B6935" s="10" t="str">
        <f ca="1">IFERROR(__xludf.DUMMYFUNCTION("""COMPUTED_VALUE"""),"Статия в списания и поредици")</f>
        <v>Статия в списания и поредици</v>
      </c>
      <c r="C6935" s="10" t="str">
        <f ca="1">IFERROR(__xludf.DUMMYFUNCTION("""COMPUTED_VALUE"""),"Съюз на дружествата на художниците в България. Образуване, организационна структура и дейност 1931-1939.")</f>
        <v>Съюз на дружествата на художниците в България. Образуване, организационна структура и дейност 1931-1939.</v>
      </c>
      <c r="D6935" s="10">
        <f ca="1">IFERROR(__xludf.DUMMYFUNCTION("""COMPUTED_VALUE"""),2000)</f>
        <v>2000</v>
      </c>
      <c r="E6935" s="10" t="str">
        <f ca="1">IFERROR(__xludf.DUMMYFUNCTION("""COMPUTED_VALUE"""),"Сп. Минало [тримесечно списание за история] [Редакционна Колегия: Стефан Александров, Костадин Грозев, Валери Колев, Георги Николов, Тодор Попнеделев, Димитър Цанов, Веселин Янчев], 2000, кн. 3, с. 59-74. ISSN 1310-3415.")</f>
        <v>Сп. Минало [тримесечно списание за история] [Редакционна Колегия: Стефан Александров, Костадин Грозев, Валери Колев, Георги Николов, Тодор Попнеделев, Димитър Цанов, Веселин Янчев], 2000, кн. 3, с. 59-74. ISSN 1310-3415.</v>
      </c>
      <c r="F6935" s="10"/>
      <c r="G6935" s="10"/>
      <c r="H6935" s="10"/>
      <c r="I6935" s="10"/>
      <c r="J6935" s="10"/>
      <c r="K6935" s="10"/>
      <c r="L6935" s="10"/>
      <c r="M6935" s="10"/>
      <c r="N6935" s="10"/>
      <c r="O6935" s="10"/>
      <c r="P6935" s="10"/>
      <c r="Q6935" s="10"/>
      <c r="R6935" s="10"/>
      <c r="S6935" s="10"/>
      <c r="T6935" s="10"/>
      <c r="U6935" s="10"/>
      <c r="V6935" s="10"/>
      <c r="W6935" s="10"/>
      <c r="X6935" s="10"/>
      <c r="Y6935" s="10"/>
      <c r="Z6935" s="10"/>
    </row>
    <row r="6936" spans="1:26" ht="12.75">
      <c r="A6936" s="10" t="str">
        <f ca="1">IFERROR(__xludf.DUMMYFUNCTION("""COMPUTED_VALUE"""),"София Илиева Василева-Вълчева")</f>
        <v>София Илиева Василева-Вълчева</v>
      </c>
      <c r="B6936" s="10" t="str">
        <f ca="1">IFERROR(__xludf.DUMMYFUNCTION("""COMPUTED_VALUE"""),"Статия в списания и поредици")</f>
        <v>Статия в списания и поредици</v>
      </c>
      <c r="C6936" s="10" t="str">
        <f ca="1">IFERROR(__xludf.DUMMYFUNCTION("""COMPUTED_VALUE"""),"Историческите стенописи в катедралния храм “Св. Димитър” в Стара Загора.")</f>
        <v>Историческите стенописи в катедралния храм “Св. Димитър” в Стара Загора.</v>
      </c>
      <c r="D6936" s="10">
        <f ca="1">IFERROR(__xludf.DUMMYFUNCTION("""COMPUTED_VALUE"""),2000)</f>
        <v>2000</v>
      </c>
      <c r="E6936" s="10" t="str">
        <f ca="1">IFERROR(__xludf.DUMMYFUNCTION("""COMPUTED_VALUE"""),"И з в е с т и я на РИМ Шумен, 2000, с. 119-124.")</f>
        <v>И з в е с т и я на РИМ Шумен, 2000, с. 119-124.</v>
      </c>
      <c r="F6936" s="10"/>
      <c r="G6936" s="10"/>
      <c r="H6936" s="10"/>
      <c r="I6936" s="10"/>
      <c r="J6936" s="10"/>
      <c r="K6936" s="10"/>
      <c r="L6936" s="10"/>
      <c r="M6936" s="10"/>
      <c r="N6936" s="10"/>
      <c r="O6936" s="10"/>
      <c r="P6936" s="10"/>
      <c r="Q6936" s="10"/>
      <c r="R6936" s="10"/>
      <c r="S6936" s="10"/>
      <c r="T6936" s="10"/>
      <c r="U6936" s="10"/>
      <c r="V6936" s="10"/>
      <c r="W6936" s="10"/>
      <c r="X6936" s="10"/>
      <c r="Y6936" s="10"/>
      <c r="Z6936" s="10"/>
    </row>
    <row r="6937" spans="1:26" ht="12.75">
      <c r="A6937" s="10" t="str">
        <f ca="1">IFERROR(__xludf.DUMMYFUNCTION("""COMPUTED_VALUE"""),"София Илиева Василева-Вълчева")</f>
        <v>София Илиева Василева-Вълчева</v>
      </c>
      <c r="B6937" s="10" t="str">
        <f ca="1">IFERROR(__xludf.DUMMYFUNCTION("""COMPUTED_VALUE"""),"Книга")</f>
        <v>Книга</v>
      </c>
      <c r="C6937" s="10" t="str">
        <f ca="1">IFERROR(__xludf.DUMMYFUNCTION("""COMPUTED_VALUE"""),"150 години Община Стара Загора. Документален летопис 1849-1999.")</f>
        <v>150 години Община Стара Загора. Документален летопис 1849-1999.</v>
      </c>
      <c r="D6937" s="10">
        <f ca="1">IFERROR(__xludf.DUMMYFUNCTION("""COMPUTED_VALUE"""),1999)</f>
        <v>1999</v>
      </c>
      <c r="E6937" s="10" t="str">
        <f ca="1">IFERROR(__xludf.DUMMYFUNCTION("""COMPUTED_VALUE"""),"Стара Загора : Тракийски свят АД, 1999. - 286 с. ISBN 954-9848-02-9.")</f>
        <v>Стара Загора : Тракийски свят АД, 1999. - 286 с. ISBN 954-9848-02-9.</v>
      </c>
      <c r="F6937" s="10" t="str">
        <f ca="1">IFERROR(__xludf.DUMMYFUNCTION("""COMPUTED_VALUE"""),"CEEOL")</f>
        <v>CEEOL</v>
      </c>
      <c r="G6937" s="10" t="str">
        <f ca="1">IFERROR(__xludf.DUMMYFUNCTION("""COMPUTED_VALUE"""),"Н. Кънев, Л. Филипова, Св. Димитрова.")</f>
        <v>Н. Кънев, Л. Филипова, Св. Димитрова.</v>
      </c>
      <c r="H6937" s="10"/>
      <c r="I6937" s="10"/>
      <c r="J6937" s="10"/>
      <c r="K6937" s="10"/>
      <c r="L6937" s="10"/>
      <c r="M6937" s="10"/>
      <c r="N6937" s="10"/>
      <c r="O6937" s="10"/>
      <c r="P6937" s="10"/>
      <c r="Q6937" s="10"/>
      <c r="R6937" s="10"/>
      <c r="S6937" s="10"/>
      <c r="T6937" s="10"/>
      <c r="U6937" s="10"/>
      <c r="V6937" s="10"/>
      <c r="W6937" s="10"/>
      <c r="X6937" s="10"/>
      <c r="Y6937" s="10"/>
      <c r="Z6937" s="10"/>
    </row>
    <row r="6938" spans="1:26" ht="12.75">
      <c r="A6938" s="10" t="str">
        <f ca="1">IFERROR(__xludf.DUMMYFUNCTION("""COMPUTED_VALUE"""),"София Илиева Василева-Вълчева")</f>
        <v>София Илиева Василева-Вълчева</v>
      </c>
      <c r="B6938" s="10" t="str">
        <f ca="1">IFERROR(__xludf.DUMMYFUNCTION("""COMPUTED_VALUE"""),"Статия в списания и поредици")</f>
        <v>Статия в списания и поредици</v>
      </c>
      <c r="C6938" s="10" t="str">
        <f ca="1">IFERROR(__xludf.DUMMYFUNCTION("""COMPUTED_VALUE"""),"150 години община Стара Загора. Документален летопис 1849-1999.")</f>
        <v>150 години община Стара Загора. Документален летопис 1849-1999.</v>
      </c>
      <c r="D6938" s="10">
        <f ca="1">IFERROR(__xludf.DUMMYFUNCTION("""COMPUTED_VALUE"""),1998)</f>
        <v>1998</v>
      </c>
      <c r="E6938" s="10" t="str">
        <f ca="1">IFERROR(__xludf.DUMMYFUNCTION("""COMPUTED_VALUE"""),"BALKANISTIC forum = Балканистичен форум / Mеждународен унив. семинар за балканистични проучвания и специализации при Югозападен унив. ""Неофит Рилски"" – Благоевград. - Благоевград, 1998, кн. 1,2,3, с. 229-230 ISSN 1310-3970 (print) 2535-1265 (online).")</f>
        <v>BALKANISTIC forum = Балканистичен форум / Mеждународен унив. семинар за балканистични проучвания и специализации при Югозападен унив. "Неофит Рилски" – Благоевград. - Благоевград, 1998, кн. 1,2,3, с. 229-230 ISSN 1310-3970 (print) 2535-1265 (online).</v>
      </c>
      <c r="F6938" s="10"/>
      <c r="G6938" s="10"/>
      <c r="H6938" s="10"/>
      <c r="I6938" s="10"/>
      <c r="J6938" s="10"/>
      <c r="K6938" s="10"/>
      <c r="L6938" s="10"/>
      <c r="M6938" s="10"/>
      <c r="N6938" s="10"/>
      <c r="O6938" s="10"/>
      <c r="P6938" s="10"/>
      <c r="Q6938" s="10"/>
      <c r="R6938" s="10"/>
      <c r="S6938" s="10"/>
      <c r="T6938" s="10"/>
      <c r="U6938" s="10"/>
      <c r="V6938" s="10"/>
      <c r="W6938" s="10"/>
      <c r="X6938" s="10"/>
      <c r="Y6938" s="10"/>
      <c r="Z6938" s="10"/>
    </row>
    <row r="6939" spans="1:26" ht="12.75">
      <c r="A6939" s="10" t="str">
        <f ca="1">IFERROR(__xludf.DUMMYFUNCTION("""COMPUTED_VALUE"""),"София Илиева Василева-Вълчева")</f>
        <v>София Илиева Василева-Вълчева</v>
      </c>
      <c r="B6939" s="10" t="str">
        <f ca="1">IFERROR(__xludf.DUMMYFUNCTION("""COMPUTED_VALUE"""),"Статия в списания и поредици")</f>
        <v>Статия в списания и поредици</v>
      </c>
      <c r="C6939" s="10" t="str">
        <f ca="1">IFERROR(__xludf.DUMMYFUNCTION("""COMPUTED_VALUE"""),"Сага за [старозагорския род] Шаханови.")</f>
        <v>Сага за [старозагорския род] Шаханови.</v>
      </c>
      <c r="D6939" s="10">
        <f ca="1">IFERROR(__xludf.DUMMYFUNCTION("""COMPUTED_VALUE"""),1998)</f>
        <v>1998</v>
      </c>
      <c r="E6939" s="10" t="str">
        <f ca="1">IFERROR(__xludf.DUMMYFUNCTION("""COMPUTED_VALUE"""),"Участие : литература и социален живот : периодично издание на писателите от Стара ЗагораСтара Загора, 1998, кн. 4, с. 12-14 ISSN 1310.")</f>
        <v>Участие : литература и социален живот : периодично издание на писателите от Стара ЗагораСтара Загора, 1998, кн. 4, с. 12-14 ISSN 1310.</v>
      </c>
      <c r="F6939" s="10"/>
      <c r="G6939" s="10"/>
      <c r="H6939" s="10"/>
      <c r="I6939" s="10"/>
      <c r="J6939" s="10"/>
      <c r="K6939" s="10"/>
      <c r="L6939" s="10"/>
      <c r="M6939" s="10"/>
      <c r="N6939" s="10"/>
      <c r="O6939" s="10"/>
      <c r="P6939" s="10"/>
      <c r="Q6939" s="10"/>
      <c r="R6939" s="10"/>
      <c r="S6939" s="10"/>
      <c r="T6939" s="10"/>
      <c r="U6939" s="10"/>
      <c r="V6939" s="10"/>
      <c r="W6939" s="10"/>
      <c r="X6939" s="10"/>
      <c r="Y6939" s="10"/>
      <c r="Z6939" s="10"/>
    </row>
    <row r="6940" spans="1:26" ht="12.75">
      <c r="A6940" s="10" t="str">
        <f ca="1">IFERROR(__xludf.DUMMYFUNCTION("""COMPUTED_VALUE"""),"София Илиева Василева-Вълчева")</f>
        <v>София Илиева Василева-Вълчева</v>
      </c>
      <c r="B6940" s="10" t="str">
        <f ca="1">IFERROR(__xludf.DUMMYFUNCTION("""COMPUTED_VALUE"""),"Студия")</f>
        <v>Студия</v>
      </c>
      <c r="C6940" s="10" t="str">
        <f ca="1">IFERROR(__xludf.DUMMYFUNCTION("""COMPUTED_VALUE"""),"Алманах Старозагорски индустриалци 1878-1947.")</f>
        <v>Алманах Старозагорски индустриалци 1878-1947.</v>
      </c>
      <c r="D6940" s="10">
        <f ca="1">IFERROR(__xludf.DUMMYFUNCTION("""COMPUTED_VALUE"""),1998)</f>
        <v>1998</v>
      </c>
      <c r="E6940" s="10" t="str">
        <f ca="1">IFERROR(__xludf.DUMMYFUNCTION("""COMPUTED_VALUE"""),"[Рецензент: доц. д-р Христо Буюклиев]. Стара Загора : Тракийски свят АД, 1998. -96 с. ISBN 954-9848-01-9.")</f>
        <v>[Рецензент: доц. д-р Христо Буюклиев]. Стара Загора : Тракийски свят АД, 1998. -96 с. ISBN 954-9848-01-9.</v>
      </c>
      <c r="F6940" s="10"/>
      <c r="G6940" s="10" t="str">
        <f ca="1">IFERROR(__xludf.DUMMYFUNCTION("""COMPUTED_VALUE"""),"Евгения Иванова")</f>
        <v>Евгения Иванова</v>
      </c>
      <c r="H6940" s="10"/>
      <c r="I6940" s="10"/>
      <c r="J6940" s="10"/>
      <c r="K6940" s="10"/>
      <c r="L6940" s="10"/>
      <c r="M6940" s="10"/>
      <c r="N6940" s="10"/>
      <c r="O6940" s="10"/>
      <c r="P6940" s="10"/>
      <c r="Q6940" s="10"/>
      <c r="R6940" s="10"/>
      <c r="S6940" s="10"/>
      <c r="T6940" s="10"/>
      <c r="U6940" s="10"/>
      <c r="V6940" s="10"/>
      <c r="W6940" s="10"/>
      <c r="X6940" s="10"/>
      <c r="Y6940" s="10"/>
      <c r="Z6940" s="10"/>
    </row>
    <row r="6941" spans="1:26" ht="12.75">
      <c r="A6941" s="10" t="str">
        <f ca="1">IFERROR(__xludf.DUMMYFUNCTION("""COMPUTED_VALUE"""),"София Илиева Василева-Вълчева")</f>
        <v>София Илиева Василева-Вълчева</v>
      </c>
      <c r="B6941" s="10" t="str">
        <f ca="1">IFERROR(__xludf.DUMMYFUNCTION("""COMPUTED_VALUE"""),"Статия в списания и поредици")</f>
        <v>Статия в списания и поредици</v>
      </c>
      <c r="C6941" s="10" t="str">
        <f ca="1">IFERROR(__xludf.DUMMYFUNCTION("""COMPUTED_VALUE"""),"Демографски изменения в Стара Загора 1944 – 1956 г. и отражението им върху социалната структура на населението.")</f>
        <v>Демографски изменения в Стара Загора 1944 – 1956 г. и отражението им върху социалната структура на населението.</v>
      </c>
      <c r="D6941" s="10">
        <f ca="1">IFERROR(__xludf.DUMMYFUNCTION("""COMPUTED_VALUE"""),1996)</f>
        <v>1996</v>
      </c>
      <c r="E6941" s="10" t="str">
        <f ca="1">IFERROR(__xludf.DUMMYFUNCTION("""COMPUTED_VALUE"""),"125 години с името Стара Загора. : Материали за историята на Ст. Загора / Ред. кол. Христо Буюклиев - отг. ред. и др. Издание на Исторически музей Стара Загора, 1996, с. 105-112 ISBN 954-703-013-2.")</f>
        <v>125 години с името Стара Загора. : Материали за историята на Ст. Загора / Ред. кол. Христо Буюклиев - отг. ред. и др. Издание на Исторически музей Стара Загора, 1996, с. 105-112 ISBN 954-703-013-2.</v>
      </c>
      <c r="F6941" s="10"/>
      <c r="G6941" s="10"/>
      <c r="H6941" s="10"/>
      <c r="I6941" s="10"/>
      <c r="J6941" s="10"/>
      <c r="K6941" s="10"/>
      <c r="L6941" s="10"/>
      <c r="M6941" s="10"/>
      <c r="N6941" s="10"/>
      <c r="O6941" s="10"/>
      <c r="P6941" s="10"/>
      <c r="Q6941" s="10"/>
      <c r="R6941" s="10"/>
      <c r="S6941" s="10"/>
      <c r="T6941" s="10"/>
      <c r="U6941" s="10"/>
      <c r="V6941" s="10"/>
      <c r="W6941" s="10"/>
      <c r="X6941" s="10"/>
      <c r="Y6941" s="10"/>
      <c r="Z6941" s="10"/>
    </row>
    <row r="6942" spans="1:26" ht="12.75">
      <c r="A6942" s="10" t="str">
        <f ca="1">IFERROR(__xludf.DUMMYFUNCTION("""COMPUTED_VALUE"""),"Стефан Ангелов Симеонов")</f>
        <v>Стефан Ангелов Симеонов</v>
      </c>
      <c r="B6942" s="10" t="str">
        <f ca="1">IFERROR(__xludf.DUMMYFUNCTION("""COMPUTED_VALUE"""),"Доклад от конференция")</f>
        <v>Доклад от конференция</v>
      </c>
      <c r="C6942" s="10" t="str">
        <f ca="1">IFERROR(__xludf.DUMMYFUNCTION("""COMPUTED_VALUE"""),"Признаци и определение на обществената сигурност.")</f>
        <v>Признаци и определение на обществената сигурност.</v>
      </c>
      <c r="D6942" s="10">
        <f ca="1">IFERROR(__xludf.DUMMYFUNCTION("""COMPUTED_VALUE"""),2019)</f>
        <v>2019</v>
      </c>
      <c r="E6942" s="10" t="str">
        <f ca="1">IFERROR(__xludf.DUMMYFUNCTION("""COMPUTED_VALUE"""),"Обществото на знанието и хуманизмът на XXI век; ХVI-та национална научна конференция с международно участие, 1 ноември 2018 г. С.,“ За буквите - О писменех“, 2019, с. 715-724; ISSN 13-14-7099")</f>
        <v>Обществото на знанието и хуманизмът на XXI век; ХVI-та национална научна конференция с международно участие, 1 ноември 2018 г. С.,“ За буквите - О писменех“, 2019, с. 715-724; ISSN 13-14-7099</v>
      </c>
      <c r="F6942" s="10"/>
      <c r="G6942" s="10"/>
      <c r="H6942" s="10"/>
      <c r="I6942" s="10"/>
      <c r="J6942" s="10"/>
      <c r="K6942" s="10"/>
      <c r="L6942" s="10"/>
      <c r="M6942" s="10"/>
      <c r="N6942" s="10"/>
      <c r="O6942" s="10"/>
      <c r="P6942" s="10"/>
      <c r="Q6942" s="10"/>
      <c r="R6942" s="10"/>
      <c r="S6942" s="10"/>
      <c r="T6942" s="10"/>
      <c r="U6942" s="10"/>
      <c r="V6942" s="10"/>
      <c r="W6942" s="10"/>
      <c r="X6942" s="10"/>
      <c r="Y6942" s="10"/>
      <c r="Z6942" s="10"/>
    </row>
    <row r="6943" spans="1:26" ht="12.75">
      <c r="A6943" s="10" t="str">
        <f ca="1">IFERROR(__xludf.DUMMYFUNCTION("""COMPUTED_VALUE"""),"Стефан Ангелов Симеонов")</f>
        <v>Стефан Ангелов Симеонов</v>
      </c>
      <c r="B6943" s="10" t="str">
        <f ca="1">IFERROR(__xludf.DUMMYFUNCTION("""COMPUTED_VALUE"""),"Статия в списания и поредици")</f>
        <v>Статия в списания и поредици</v>
      </c>
      <c r="C6943" s="10" t="str">
        <f ca="1">IFERROR(__xludf.DUMMYFUNCTION("""COMPUTED_VALUE"""),"Руското военно разузнаване в България (1879-1912).")</f>
        <v>Руското военно разузнаване в България (1879-1912).</v>
      </c>
      <c r="D6943" s="10">
        <f ca="1">IFERROR(__xludf.DUMMYFUNCTION("""COMPUTED_VALUE"""),2018)</f>
        <v>2018</v>
      </c>
      <c r="E6943" s="10" t="str">
        <f ca="1">IFERROR(__xludf.DUMMYFUNCTION("""COMPUTED_VALUE"""),"Културната памет във времето и пространството. Сб, посветен на 65-годишния юбилей на проф.д.изк.н. С. Недков. С., 2018, с. 608-614; ISBN 978-954-07-4426-1")</f>
        <v>Културната памет във времето и пространството. Сб, посветен на 65-годишния юбилей на проф.д.изк.н. С. Недков. С., 2018, с. 608-614; ISBN 978-954-07-4426-1</v>
      </c>
      <c r="F6943" s="10"/>
      <c r="G6943" s="10"/>
      <c r="H6943" s="10"/>
      <c r="I6943" s="10"/>
      <c r="J6943" s="10"/>
      <c r="K6943" s="10"/>
      <c r="L6943" s="10"/>
      <c r="M6943" s="10"/>
      <c r="N6943" s="10"/>
      <c r="O6943" s="10"/>
      <c r="P6943" s="10"/>
      <c r="Q6943" s="10"/>
      <c r="R6943" s="10"/>
      <c r="S6943" s="10"/>
      <c r="T6943" s="10"/>
      <c r="U6943" s="10"/>
      <c r="V6943" s="10"/>
      <c r="W6943" s="10"/>
      <c r="X6943" s="10"/>
      <c r="Y6943" s="10"/>
      <c r="Z6943" s="10"/>
    </row>
    <row r="6944" spans="1:26" ht="12.75">
      <c r="A6944" s="10" t="str">
        <f ca="1">IFERROR(__xludf.DUMMYFUNCTION("""COMPUTED_VALUE"""),"Стефан Ангелов Симеонов")</f>
        <v>Стефан Ангелов Симеонов</v>
      </c>
      <c r="B6944" s="10" t="str">
        <f ca="1">IFERROR(__xludf.DUMMYFUNCTION("""COMPUTED_VALUE"""),"Статия в списания и поредици")</f>
        <v>Статия в списания и поредици</v>
      </c>
      <c r="C6944" s="10" t="str">
        <f ca="1">IFERROR(__xludf.DUMMYFUNCTION("""COMPUTED_VALUE"""),"Public security in the system of national security")</f>
        <v>Public security in the system of national security</v>
      </c>
      <c r="D6944" s="10">
        <f ca="1">IFERROR(__xludf.DUMMYFUNCTION("""COMPUTED_VALUE"""),2018)</f>
        <v>2018</v>
      </c>
      <c r="E6944" s="10" t="str">
        <f ca="1">IFERROR(__xludf.DUMMYFUNCTION("""COMPUTED_VALUE"""),"International Scientific Journal, №2(18)/2018")</f>
        <v>International Scientific Journal, №2(18)/2018</v>
      </c>
      <c r="F6944" s="10"/>
      <c r="G6944" s="10"/>
      <c r="H6944" s="10"/>
      <c r="I6944" s="10"/>
      <c r="J6944" s="10"/>
      <c r="K6944" s="10"/>
      <c r="L6944" s="10"/>
      <c r="M6944" s="10"/>
      <c r="N6944" s="10"/>
      <c r="O6944" s="10"/>
      <c r="P6944" s="10"/>
      <c r="Q6944" s="10"/>
      <c r="R6944" s="10"/>
      <c r="S6944" s="10"/>
      <c r="T6944" s="10"/>
      <c r="U6944" s="10"/>
      <c r="V6944" s="10"/>
      <c r="W6944" s="10"/>
      <c r="X6944" s="10"/>
      <c r="Y6944" s="10"/>
      <c r="Z6944" s="10"/>
    </row>
    <row r="6945" spans="1:26" ht="12.75">
      <c r="A6945" s="10" t="str">
        <f ca="1">IFERROR(__xludf.DUMMYFUNCTION("""COMPUTED_VALUE"""),"Стефан Ангелов Симеонов")</f>
        <v>Стефан Ангелов Симеонов</v>
      </c>
      <c r="B6945" s="10" t="str">
        <f ca="1">IFERROR(__xludf.DUMMYFUNCTION("""COMPUTED_VALUE"""),"Статия в списания и поредици")</f>
        <v>Статия в списания и поредици</v>
      </c>
      <c r="C6945" s="10" t="str">
        <f ca="1">IFERROR(__xludf.DUMMYFUNCTION("""COMPUTED_VALUE"""),"Public security in the system of National Security")</f>
        <v>Public security in the system of National Security</v>
      </c>
      <c r="D6945" s="10">
        <f ca="1">IFERROR(__xludf.DUMMYFUNCTION("""COMPUTED_VALUE"""),2018)</f>
        <v>2018</v>
      </c>
      <c r="E6945" s="10" t="str">
        <f ca="1">IFERROR(__xludf.DUMMYFUNCTION("""COMPUTED_VALUE"""),"Internatonal Scientific Journal, № 2(18), 2018, p. 177-183; ISSN-2367-4555")</f>
        <v>Internatonal Scientific Journal, № 2(18), 2018, p. 177-183; ISSN-2367-4555</v>
      </c>
      <c r="F6945" s="10"/>
      <c r="G6945" s="10"/>
      <c r="H6945" s="10"/>
      <c r="I6945" s="10"/>
      <c r="J6945" s="10"/>
      <c r="K6945" s="10"/>
      <c r="L6945" s="10"/>
      <c r="M6945" s="10"/>
      <c r="N6945" s="10"/>
      <c r="O6945" s="10"/>
      <c r="P6945" s="10"/>
      <c r="Q6945" s="10"/>
      <c r="R6945" s="10"/>
      <c r="S6945" s="10"/>
      <c r="T6945" s="10"/>
      <c r="U6945" s="10"/>
      <c r="V6945" s="10"/>
      <c r="W6945" s="10"/>
      <c r="X6945" s="10"/>
      <c r="Y6945" s="10"/>
      <c r="Z6945" s="10"/>
    </row>
    <row r="6946" spans="1:26" ht="12.75">
      <c r="A6946" s="10" t="str">
        <f ca="1">IFERROR(__xludf.DUMMYFUNCTION("""COMPUTED_VALUE"""),"Стефан Ангелов Симеонов")</f>
        <v>Стефан Ангелов Симеонов</v>
      </c>
      <c r="B6946" s="10" t="str">
        <f ca="1">IFERROR(__xludf.DUMMYFUNCTION("""COMPUTED_VALUE"""),"Доклад от конференция")</f>
        <v>Доклад от конференция</v>
      </c>
      <c r="C6946" s="10" t="str">
        <f ca="1">IFERROR(__xludf.DUMMYFUNCTION("""COMPUTED_VALUE"""),"Поява и развитие на понятието за сигурност в България.")</f>
        <v>Поява и развитие на понятието за сигурност в България.</v>
      </c>
      <c r="D6946" s="10">
        <f ca="1">IFERROR(__xludf.DUMMYFUNCTION("""COMPUTED_VALUE"""),2017)</f>
        <v>2017</v>
      </c>
      <c r="E6946" s="10" t="str">
        <f ca="1">IFERROR(__xludf.DUMMYFUNCTION("""COMPUTED_VALUE"""),"""Сборник с доклади. Правото на сигурност. Лятна научна сесия на Юридическия университет, ВСУ. В., 2017, с. 9-17; ISNN 1313-7263 """)</f>
        <v>"Сборник с доклади. Правото на сигурност. Лятна научна сесия на Юридическия университет, ВСУ. В., 2017, с. 9-17; ISNN 1313-7263 "</v>
      </c>
      <c r="F6946" s="10"/>
      <c r="G6946" s="10"/>
      <c r="H6946" s="10"/>
      <c r="I6946" s="10"/>
      <c r="J6946" s="10"/>
      <c r="K6946" s="10"/>
      <c r="L6946" s="10"/>
      <c r="M6946" s="10"/>
      <c r="N6946" s="10"/>
      <c r="O6946" s="10"/>
      <c r="P6946" s="10"/>
      <c r="Q6946" s="10"/>
      <c r="R6946" s="10"/>
      <c r="S6946" s="10"/>
      <c r="T6946" s="10"/>
      <c r="U6946" s="10"/>
      <c r="V6946" s="10"/>
      <c r="W6946" s="10"/>
      <c r="X6946" s="10"/>
      <c r="Y6946" s="10"/>
      <c r="Z6946" s="10"/>
    </row>
    <row r="6947" spans="1:26" ht="12.75">
      <c r="A6947" s="10" t="str">
        <f ca="1">IFERROR(__xludf.DUMMYFUNCTION("""COMPUTED_VALUE"""),"Стефан Ангелов Симеонов")</f>
        <v>Стефан Ангелов Симеонов</v>
      </c>
      <c r="B6947" s="10" t="str">
        <f ca="1">IFERROR(__xludf.DUMMYFUNCTION("""COMPUTED_VALUE"""),"Доклад от конференция")</f>
        <v>Доклад от конференция</v>
      </c>
      <c r="C6947" s="10" t="str">
        <f ca="1">IFERROR(__xludf.DUMMYFUNCTION("""COMPUTED_VALUE"""),"Към въпроса за установяването на републиката в България")</f>
        <v>Към въпроса за установяването на републиката в България</v>
      </c>
      <c r="D6947" s="10">
        <f ca="1">IFERROR(__xludf.DUMMYFUNCTION("""COMPUTED_VALUE"""),2016)</f>
        <v>2016</v>
      </c>
      <c r="E6947" s="10" t="str">
        <f ca="1">IFERROR(__xludf.DUMMYFUNCTION("""COMPUTED_VALUE"""),"Лятна научна сесия на Юридическия факултат, ВСУ, 24-25 юни 2016, 8 с.")</f>
        <v>Лятна научна сесия на Юридическия факултат, ВСУ, 24-25 юни 2016, 8 с.</v>
      </c>
      <c r="F6947" s="10"/>
      <c r="G6947" s="10"/>
      <c r="H6947" s="10"/>
      <c r="I6947" s="10"/>
      <c r="J6947" s="10"/>
      <c r="K6947" s="10"/>
      <c r="L6947" s="10"/>
      <c r="M6947" s="10"/>
      <c r="N6947" s="10"/>
      <c r="O6947" s="10"/>
      <c r="P6947" s="10"/>
      <c r="Q6947" s="10"/>
      <c r="R6947" s="10"/>
      <c r="S6947" s="10"/>
      <c r="T6947" s="10"/>
      <c r="U6947" s="10"/>
      <c r="V6947" s="10"/>
      <c r="W6947" s="10"/>
      <c r="X6947" s="10"/>
      <c r="Y6947" s="10"/>
      <c r="Z6947" s="10"/>
    </row>
    <row r="6948" spans="1:26" ht="12.75">
      <c r="A6948" s="10" t="str">
        <f ca="1">IFERROR(__xludf.DUMMYFUNCTION("""COMPUTED_VALUE"""),"Стефан Ангелов Симеонов")</f>
        <v>Стефан Ангелов Симеонов</v>
      </c>
      <c r="B6948" s="10" t="str">
        <f ca="1">IFERROR(__xludf.DUMMYFUNCTION("""COMPUTED_VALUE"""),"Статия в списания и поредици")</f>
        <v>Статия в списания и поредици</v>
      </c>
      <c r="C6948" s="10" t="str">
        <f ca="1">IFERROR(__xludf.DUMMYFUNCTION("""COMPUTED_VALUE"""),"Променената образователна среда и конкурентноспособността на обучението в ПН 9.1. Национална сигурност във ВСУ ""Ч. Храбър""")</f>
        <v>Променената образователна среда и конкурентноспособността на обучението в ПН 9.1. Национална сигурност във ВСУ "Ч. Храбър"</v>
      </c>
      <c r="D6948" s="10">
        <f ca="1">IFERROR(__xludf.DUMMYFUNCTION("""COMPUTED_VALUE"""),2016)</f>
        <v>2016</v>
      </c>
      <c r="E6948" s="10" t="str">
        <f ca="1">IFERROR(__xludf.DUMMYFUNCTION("""COMPUTED_VALUE"""),"Сб. ""Промени в средата на сигурност"". ВСУ, ЛНС, 2016, с. 23-36 ; ISSN 1313-7273")</f>
        <v>Сб. "Промени в средата на сигурност". ВСУ, ЛНС, 2016, с. 23-36 ; ISSN 1313-7273</v>
      </c>
      <c r="F6948" s="10"/>
      <c r="G6948" s="10"/>
      <c r="H6948" s="10"/>
      <c r="I6948" s="10"/>
      <c r="J6948" s="10"/>
      <c r="K6948" s="10"/>
      <c r="L6948" s="10"/>
      <c r="M6948" s="10"/>
      <c r="N6948" s="10"/>
      <c r="O6948" s="10"/>
      <c r="P6948" s="10"/>
      <c r="Q6948" s="10"/>
      <c r="R6948" s="10"/>
      <c r="S6948" s="10"/>
      <c r="T6948" s="10"/>
      <c r="U6948" s="10"/>
      <c r="V6948" s="10"/>
      <c r="W6948" s="10"/>
      <c r="X6948" s="10"/>
      <c r="Y6948" s="10"/>
      <c r="Z6948" s="10"/>
    </row>
    <row r="6949" spans="1:26" ht="12.75">
      <c r="A6949" s="10" t="str">
        <f ca="1">IFERROR(__xludf.DUMMYFUNCTION("""COMPUTED_VALUE"""),"Стефан Ангелов Симеонов")</f>
        <v>Стефан Ангелов Симеонов</v>
      </c>
      <c r="B6949" s="10" t="str">
        <f ca="1">IFERROR(__xludf.DUMMYFUNCTION("""COMPUTED_VALUE"""),"Статия в списания и поредици")</f>
        <v>Статия в списания и поредици</v>
      </c>
      <c r="C6949" s="10" t="str">
        <f ca="1">IFERROR(__xludf.DUMMYFUNCTION("""COMPUTED_VALUE"""),"On the Public Security Issus")</f>
        <v>On the Public Security Issus</v>
      </c>
      <c r="D6949" s="10">
        <f ca="1">IFERROR(__xludf.DUMMYFUNCTION("""COMPUTED_VALUE"""),2016)</f>
        <v>2016</v>
      </c>
      <c r="E6949" s="10" t="str">
        <f ca="1">IFERROR(__xludf.DUMMYFUNCTION("""COMPUTED_VALUE"""),"Development of Jurisprudence: problems and Prospects. London, 2016; ISBN978-1-909137-92-9")</f>
        <v>Development of Jurisprudence: problems and Prospects. London, 2016; ISBN978-1-909137-92-9</v>
      </c>
      <c r="F6949" s="10"/>
      <c r="G6949" s="10"/>
      <c r="H6949" s="10"/>
      <c r="I6949" s="10"/>
      <c r="J6949" s="10"/>
      <c r="K6949" s="10"/>
      <c r="L6949" s="10"/>
      <c r="M6949" s="10"/>
      <c r="N6949" s="10"/>
      <c r="O6949" s="10"/>
      <c r="P6949" s="10"/>
      <c r="Q6949" s="10"/>
      <c r="R6949" s="10"/>
      <c r="S6949" s="10"/>
      <c r="T6949" s="10"/>
      <c r="U6949" s="10"/>
      <c r="V6949" s="10"/>
      <c r="W6949" s="10"/>
      <c r="X6949" s="10"/>
      <c r="Y6949" s="10"/>
      <c r="Z6949" s="10"/>
    </row>
    <row r="6950" spans="1:26" ht="12.75">
      <c r="A6950" s="10" t="str">
        <f ca="1">IFERROR(__xludf.DUMMYFUNCTION("""COMPUTED_VALUE"""),"Стефан Ангелов Симеонов")</f>
        <v>Стефан Ангелов Симеонов</v>
      </c>
      <c r="B6950" s="10" t="str">
        <f ca="1">IFERROR(__xludf.DUMMYFUNCTION("""COMPUTED_VALUE"""),"Статия в списания и поредици")</f>
        <v>Статия в списания и поредици</v>
      </c>
      <c r="C6950" s="10" t="str">
        <f ca="1">IFERROR(__xludf.DUMMYFUNCTION("""COMPUTED_VALUE"""),"Променената образователна среда и конкурентноспособността на обучението в ПН 9.1. ""Национална сигурност"" във ВСУ ""Ч. Храбър""")</f>
        <v>Променената образователна среда и конкурентноспособността на обучението в ПН 9.1. "Национална сигурност" във ВСУ "Ч. Храбър"</v>
      </c>
      <c r="D6950" s="10">
        <f ca="1">IFERROR(__xludf.DUMMYFUNCTION("""COMPUTED_VALUE"""),2016)</f>
        <v>2016</v>
      </c>
      <c r="E6950" s="10" t="str">
        <f ca="1">IFERROR(__xludf.DUMMYFUNCTION("""COMPUTED_VALUE"""),"Сб. ""Промени в средата на сигурност"". ВСУ, 2016")</f>
        <v>Сб. "Промени в средата на сигурност". ВСУ, 2016</v>
      </c>
      <c r="F6950" s="10"/>
      <c r="G6950" s="10"/>
      <c r="H6950" s="10"/>
      <c r="I6950" s="10"/>
      <c r="J6950" s="10"/>
      <c r="K6950" s="10"/>
      <c r="L6950" s="10"/>
      <c r="M6950" s="10"/>
      <c r="N6950" s="10"/>
      <c r="O6950" s="10"/>
      <c r="P6950" s="10"/>
      <c r="Q6950" s="10"/>
      <c r="R6950" s="10"/>
      <c r="S6950" s="10"/>
      <c r="T6950" s="10"/>
      <c r="U6950" s="10"/>
      <c r="V6950" s="10"/>
      <c r="W6950" s="10"/>
      <c r="X6950" s="10"/>
      <c r="Y6950" s="10"/>
      <c r="Z6950" s="10"/>
    </row>
    <row r="6951" spans="1:26" ht="12.75">
      <c r="A6951" s="10" t="str">
        <f ca="1">IFERROR(__xludf.DUMMYFUNCTION("""COMPUTED_VALUE"""),"Стефан Ангелов Симеонов")</f>
        <v>Стефан Ангелов Симеонов</v>
      </c>
      <c r="B6951" s="10" t="str">
        <f ca="1">IFERROR(__xludf.DUMMYFUNCTION("""COMPUTED_VALUE"""),"Статия в списания и поредици")</f>
        <v>Статия в списания и поредици</v>
      </c>
      <c r="C6951" s="10" t="str">
        <f ca="1">IFERROR(__xludf.DUMMYFUNCTION("""COMPUTED_VALUE"""),"К проблемам общественной безопасности")</f>
        <v>К проблемам общественной безопасности</v>
      </c>
      <c r="D6951" s="10">
        <f ca="1">IFERROR(__xludf.DUMMYFUNCTION("""COMPUTED_VALUE"""),2016)</f>
        <v>2016</v>
      </c>
      <c r="E6951" s="10" t="str">
        <f ca="1">IFERROR(__xludf.DUMMYFUNCTION("""COMPUTED_VALUE"""),"Development of Jurisprudence: problems and Prospects. Londonq 2016")</f>
        <v>Development of Jurisprudence: problems and Prospects. Londonq 2016</v>
      </c>
      <c r="F6951" s="10"/>
      <c r="G6951" s="10"/>
      <c r="H6951" s="10"/>
      <c r="I6951" s="10"/>
      <c r="J6951" s="10"/>
      <c r="K6951" s="10"/>
      <c r="L6951" s="10"/>
      <c r="M6951" s="10"/>
      <c r="N6951" s="10"/>
      <c r="O6951" s="10"/>
      <c r="P6951" s="10"/>
      <c r="Q6951" s="10"/>
      <c r="R6951" s="10"/>
      <c r="S6951" s="10"/>
      <c r="T6951" s="10"/>
      <c r="U6951" s="10"/>
      <c r="V6951" s="10"/>
      <c r="W6951" s="10"/>
      <c r="X6951" s="10"/>
      <c r="Y6951" s="10"/>
      <c r="Z6951" s="10"/>
    </row>
    <row r="6952" spans="1:26" ht="12.75">
      <c r="A6952" s="10" t="str">
        <f ca="1">IFERROR(__xludf.DUMMYFUNCTION("""COMPUTED_VALUE"""),"Стефан Ангелов Симеонов")</f>
        <v>Стефан Ангелов Симеонов</v>
      </c>
      <c r="B6952" s="10" t="str">
        <f ca="1">IFERROR(__xludf.DUMMYFUNCTION("""COMPUTED_VALUE"""),"Статия в списания и поредици")</f>
        <v>Статия в списания и поредици</v>
      </c>
      <c r="C6952" s="10" t="str">
        <f ca="1">IFERROR(__xludf.DUMMYFUNCTION("""COMPUTED_VALUE"""),"Актуални проблеми на българо-албанското културно общуване")</f>
        <v>Актуални проблеми на българо-албанското културно общуване</v>
      </c>
      <c r="D6952" s="10">
        <f ca="1">IFERROR(__xludf.DUMMYFUNCTION("""COMPUTED_VALUE"""),2015)</f>
        <v>2015</v>
      </c>
      <c r="E6952" s="10" t="str">
        <f ca="1">IFERROR(__xludf.DUMMYFUNCTION("""COMPUTED_VALUE"""),"""За буквите-о писменехъ"", Съвременни измерения на европеското образователно и научно пространство,2015")</f>
        <v>"За буквите-о писменехъ", Съвременни измерения на европеското образователно и научно пространство,2015</v>
      </c>
      <c r="F6952" s="10"/>
      <c r="G6952" s="10"/>
      <c r="H6952" s="10"/>
      <c r="I6952" s="10"/>
      <c r="J6952" s="10"/>
      <c r="K6952" s="10"/>
      <c r="L6952" s="10"/>
      <c r="M6952" s="10"/>
      <c r="N6952" s="10"/>
      <c r="O6952" s="10"/>
      <c r="P6952" s="10"/>
      <c r="Q6952" s="10"/>
      <c r="R6952" s="10"/>
      <c r="S6952" s="10"/>
      <c r="T6952" s="10"/>
      <c r="U6952" s="10"/>
      <c r="V6952" s="10"/>
      <c r="W6952" s="10"/>
      <c r="X6952" s="10"/>
      <c r="Y6952" s="10"/>
      <c r="Z6952" s="10"/>
    </row>
    <row r="6953" spans="1:26" ht="12.75">
      <c r="A6953" s="10" t="str">
        <f ca="1">IFERROR(__xludf.DUMMYFUNCTION("""COMPUTED_VALUE"""),"Стефан Ангелов Симеонов")</f>
        <v>Стефан Ангелов Симеонов</v>
      </c>
      <c r="B6953" s="10" t="str">
        <f ca="1">IFERROR(__xludf.DUMMYFUNCTION("""COMPUTED_VALUE"""),"Статия в списания и поредици")</f>
        <v>Статия в списания и поредици</v>
      </c>
      <c r="C6953" s="10" t="str">
        <f ca="1">IFERROR(__xludf.DUMMYFUNCTION("""COMPUTED_VALUE"""),"Руското военно разузнаване в България (1789-1912)")</f>
        <v>Руското военно разузнаване в България (1789-1912)</v>
      </c>
      <c r="D6953" s="10">
        <f ca="1">IFERROR(__xludf.DUMMYFUNCTION("""COMPUTED_VALUE"""),2015)</f>
        <v>2015</v>
      </c>
      <c r="E6953" s="10" t="str">
        <f ca="1">IFERROR(__xludf.DUMMYFUNCTION("""COMPUTED_VALUE"""),"Сп. Епохи, Изд. на ИФ на ВТУ ""Св.св. Кирил и Методий"", т.23, 2015, с. 459-462; ISSN 2534-8418; ISSN 1310-0141")</f>
        <v>Сп. Епохи, Изд. на ИФ на ВТУ "Св.св. Кирил и Методий", т.23, 2015, с. 459-462; ISSN 2534-8418; ISSN 1310-0141</v>
      </c>
      <c r="F6953" s="10"/>
      <c r="G6953" s="10"/>
      <c r="H6953" s="10"/>
      <c r="I6953" s="10"/>
      <c r="J6953" s="10"/>
      <c r="K6953" s="10"/>
      <c r="L6953" s="10"/>
      <c r="M6953" s="10"/>
      <c r="N6953" s="10"/>
      <c r="O6953" s="10"/>
      <c r="P6953" s="10"/>
      <c r="Q6953" s="10"/>
      <c r="R6953" s="10"/>
      <c r="S6953" s="10"/>
      <c r="T6953" s="10"/>
      <c r="U6953" s="10"/>
      <c r="V6953" s="10"/>
      <c r="W6953" s="10"/>
      <c r="X6953" s="10"/>
      <c r="Y6953" s="10"/>
      <c r="Z6953" s="10"/>
    </row>
    <row r="6954" spans="1:26" ht="12.75">
      <c r="A6954" s="10" t="str">
        <f ca="1">IFERROR(__xludf.DUMMYFUNCTION("""COMPUTED_VALUE"""),"Стефан Ангелов Симеонов")</f>
        <v>Стефан Ангелов Симеонов</v>
      </c>
      <c r="B6954" s="10" t="str">
        <f ca="1">IFERROR(__xludf.DUMMYFUNCTION("""COMPUTED_VALUE"""),"Доклад от конференция")</f>
        <v>Доклад от конференция</v>
      </c>
      <c r="C6954" s="10" t="str">
        <f ca="1">IFERROR(__xludf.DUMMYFUNCTION("""COMPUTED_VALUE"""),"Историческа ретроспектива и еволюция на понятието „обществен ред“ като полицейска категория")</f>
        <v>Историческа ретроспектива и еволюция на понятието „обществен ред“ като полицейска категория</v>
      </c>
      <c r="D6954" s="10">
        <f ca="1">IFERROR(__xludf.DUMMYFUNCTION("""COMPUTED_VALUE"""),2015)</f>
        <v>2015</v>
      </c>
      <c r="E6954" s="10" t="str">
        <f ca="1">IFERROR(__xludf.DUMMYFUNCTION("""COMPUTED_VALUE"""),"Лятна научна сесия на ВСУ, 26-27 юни 2015, 10 с.")</f>
        <v>Лятна научна сесия на ВСУ, 26-27 юни 2015, 10 с.</v>
      </c>
      <c r="F6954" s="10"/>
      <c r="G6954" s="10"/>
      <c r="H6954" s="10"/>
      <c r="I6954" s="10"/>
      <c r="J6954" s="10"/>
      <c r="K6954" s="10"/>
      <c r="L6954" s="10"/>
      <c r="M6954" s="10"/>
      <c r="N6954" s="10"/>
      <c r="O6954" s="10"/>
      <c r="P6954" s="10"/>
      <c r="Q6954" s="10"/>
      <c r="R6954" s="10"/>
      <c r="S6954" s="10"/>
      <c r="T6954" s="10"/>
      <c r="U6954" s="10"/>
      <c r="V6954" s="10"/>
      <c r="W6954" s="10"/>
      <c r="X6954" s="10"/>
      <c r="Y6954" s="10"/>
      <c r="Z6954" s="10"/>
    </row>
    <row r="6955" spans="1:26" ht="12.75">
      <c r="A6955" s="10" t="str">
        <f ca="1">IFERROR(__xludf.DUMMYFUNCTION("""COMPUTED_VALUE"""),"Стефан Ангелов Симеонов")</f>
        <v>Стефан Ангелов Симеонов</v>
      </c>
      <c r="B6955" s="10" t="str">
        <f ca="1">IFERROR(__xludf.DUMMYFUNCTION("""COMPUTED_VALUE"""),"Статия в списания и поредици")</f>
        <v>Статия в списания и поредици</v>
      </c>
      <c r="C6955" s="10" t="str">
        <f ca="1">IFERROR(__xludf.DUMMYFUNCTION("""COMPUTED_VALUE"""),"Историческа ретроспектива и еволюция на понятието ""обществен ред"" като полицейска категория")</f>
        <v>Историческа ретроспектива и еволюция на понятието "обществен ред" като полицейска категория</v>
      </c>
      <c r="D6955" s="10">
        <f ca="1">IFERROR(__xludf.DUMMYFUNCTION("""COMPUTED_VALUE"""),2015)</f>
        <v>2015</v>
      </c>
      <c r="E6955" s="10" t="str">
        <f ca="1">IFERROR(__xludf.DUMMYFUNCTION("""COMPUTED_VALUE"""),"Сб. ""Технологии и сигурност"", ЛНС, ВСУ, 2015, с. 81-98; ISSN 1313-7263")</f>
        <v>Сб. "Технологии и сигурност", ЛНС, ВСУ, 2015, с. 81-98; ISSN 1313-7263</v>
      </c>
      <c r="F6955" s="10"/>
      <c r="G6955" s="10"/>
      <c r="H6955" s="10"/>
      <c r="I6955" s="10"/>
      <c r="J6955" s="10"/>
      <c r="K6955" s="10"/>
      <c r="L6955" s="10"/>
      <c r="M6955" s="10"/>
      <c r="N6955" s="10"/>
      <c r="O6955" s="10"/>
      <c r="P6955" s="10"/>
      <c r="Q6955" s="10"/>
      <c r="R6955" s="10"/>
      <c r="S6955" s="10"/>
      <c r="T6955" s="10"/>
      <c r="U6955" s="10"/>
      <c r="V6955" s="10"/>
      <c r="W6955" s="10"/>
      <c r="X6955" s="10"/>
      <c r="Y6955" s="10"/>
      <c r="Z6955" s="10"/>
    </row>
    <row r="6956" spans="1:26" ht="12.75">
      <c r="A6956" s="10" t="str">
        <f ca="1">IFERROR(__xludf.DUMMYFUNCTION("""COMPUTED_VALUE"""),"Стефан Ангелов Симеонов")</f>
        <v>Стефан Ангелов Симеонов</v>
      </c>
      <c r="B6956" s="10" t="str">
        <f ca="1">IFERROR(__xludf.DUMMYFUNCTION("""COMPUTED_VALUE"""),"Статия в списания и поредици")</f>
        <v>Статия в списания и поредици</v>
      </c>
      <c r="C6956" s="10" t="str">
        <f ca="1">IFERROR(__xludf.DUMMYFUNCTION("""COMPUTED_VALUE"""),"Сър Робърт Пийл - лидерът в модерното поддържане на обществения ред.")</f>
        <v>Сър Робърт Пийл - лидерът в модерното поддържане на обществения ред.</v>
      </c>
      <c r="D6956" s="10">
        <f ca="1">IFERROR(__xludf.DUMMYFUNCTION("""COMPUTED_VALUE"""),2014)</f>
        <v>2014</v>
      </c>
      <c r="E6956" s="10" t="str">
        <f ca="1">IFERROR(__xludf.DUMMYFUNCTION("""COMPUTED_VALUE"""),"Годишник на ВСУ, т. XX, 2014")</f>
        <v>Годишник на ВСУ, т. XX, 2014</v>
      </c>
      <c r="F6956" s="10"/>
      <c r="G6956" s="10"/>
      <c r="H6956" s="10"/>
      <c r="I6956" s="10"/>
      <c r="J6956" s="10"/>
      <c r="K6956" s="10"/>
      <c r="L6956" s="10"/>
      <c r="M6956" s="10"/>
      <c r="N6956" s="10"/>
      <c r="O6956" s="10"/>
      <c r="P6956" s="10"/>
      <c r="Q6956" s="10"/>
      <c r="R6956" s="10"/>
      <c r="S6956" s="10"/>
      <c r="T6956" s="10"/>
      <c r="U6956" s="10"/>
      <c r="V6956" s="10"/>
      <c r="W6956" s="10"/>
      <c r="X6956" s="10"/>
      <c r="Y6956" s="10"/>
      <c r="Z6956" s="10"/>
    </row>
    <row r="6957" spans="1:26" ht="12.75">
      <c r="A6957" s="10" t="str">
        <f ca="1">IFERROR(__xludf.DUMMYFUNCTION("""COMPUTED_VALUE"""),"Стефан Ангелов Симеонов")</f>
        <v>Стефан Ангелов Симеонов</v>
      </c>
      <c r="B6957" s="10" t="str">
        <f ca="1">IFERROR(__xludf.DUMMYFUNCTION("""COMPUTED_VALUE"""),"Доклад от конференция")</f>
        <v>Доклад от конференция</v>
      </c>
      <c r="C6957" s="10" t="str">
        <f ca="1">IFERROR(__xludf.DUMMYFUNCTION("""COMPUTED_VALUE"""),"Разумната реорганизация на МВРНЗ в годините на Първата световна война")</f>
        <v>Разумната реорганизация на МВРНЗ в годините на Първата световна война</v>
      </c>
      <c r="D6957" s="10">
        <f ca="1">IFERROR(__xludf.DUMMYFUNCTION("""COMPUTED_VALUE"""),2014)</f>
        <v>2014</v>
      </c>
      <c r="E6957" s="10" t="str">
        <f ca="1">IFERROR(__xludf.DUMMYFUNCTION("""COMPUTED_VALUE"""),"""Ан-Ди"". Международна научна конференция ""ПСВ"":памет на поколенията"", 2014")</f>
        <v>"Ан-Ди". Международна научна конференция "ПСВ":памет на поколенията", 2014</v>
      </c>
      <c r="F6957" s="10"/>
      <c r="G6957" s="10"/>
      <c r="H6957" s="10"/>
      <c r="I6957" s="10"/>
      <c r="J6957" s="10"/>
      <c r="K6957" s="10"/>
      <c r="L6957" s="10"/>
      <c r="M6957" s="10"/>
      <c r="N6957" s="10"/>
      <c r="O6957" s="10"/>
      <c r="P6957" s="10"/>
      <c r="Q6957" s="10"/>
      <c r="R6957" s="10"/>
      <c r="S6957" s="10"/>
      <c r="T6957" s="10"/>
      <c r="U6957" s="10"/>
      <c r="V6957" s="10"/>
      <c r="W6957" s="10"/>
      <c r="X6957" s="10"/>
      <c r="Y6957" s="10"/>
      <c r="Z6957" s="10"/>
    </row>
    <row r="6958" spans="1:26" ht="12.75">
      <c r="A6958" s="10" t="str">
        <f ca="1">IFERROR(__xludf.DUMMYFUNCTION("""COMPUTED_VALUE"""),"Стефан Ангелов Симеонов")</f>
        <v>Стефан Ангелов Симеонов</v>
      </c>
      <c r="B6958" s="10" t="str">
        <f ca="1">IFERROR(__xludf.DUMMYFUNCTION("""COMPUTED_VALUE"""),"Статия в списания и поредици")</f>
        <v>Статия в списания и поредици</v>
      </c>
      <c r="C6958" s="10" t="str">
        <f ca="1">IFERROR(__xludf.DUMMYFUNCTION("""COMPUTED_VALUE"""),"""Разумната реорганизация"" на МВРНЗ в годините на Първата световна война")</f>
        <v>"Разумната реорганизация" на МВРНЗ в годините на Първата световна война</v>
      </c>
      <c r="D6958" s="10">
        <f ca="1">IFERROR(__xludf.DUMMYFUNCTION("""COMPUTED_VALUE"""),2014)</f>
        <v>2014</v>
      </c>
      <c r="E6958" s="10" t="str">
        <f ca="1">IFERROR(__xludf.DUMMYFUNCTION("""COMPUTED_VALUE"""),"Първата световна война: памет на поколенията.С., 2014")</f>
        <v>Първата световна война: памет на поколенията.С., 2014</v>
      </c>
      <c r="F6958" s="10"/>
      <c r="G6958" s="10"/>
      <c r="H6958" s="10"/>
      <c r="I6958" s="10"/>
      <c r="J6958" s="10"/>
      <c r="K6958" s="10"/>
      <c r="L6958" s="10"/>
      <c r="M6958" s="10"/>
      <c r="N6958" s="10"/>
      <c r="O6958" s="10"/>
      <c r="P6958" s="10"/>
      <c r="Q6958" s="10"/>
      <c r="R6958" s="10"/>
      <c r="S6958" s="10"/>
      <c r="T6958" s="10"/>
      <c r="U6958" s="10"/>
      <c r="V6958" s="10"/>
      <c r="W6958" s="10"/>
      <c r="X6958" s="10"/>
      <c r="Y6958" s="10"/>
      <c r="Z6958" s="10"/>
    </row>
    <row r="6959" spans="1:26" ht="12.75">
      <c r="A6959" s="10" t="str">
        <f ca="1">IFERROR(__xludf.DUMMYFUNCTION("""COMPUTED_VALUE"""),"Стефан Ангелов Симеонов")</f>
        <v>Стефан Ангелов Симеонов</v>
      </c>
      <c r="B6959" s="10" t="str">
        <f ca="1">IFERROR(__xludf.DUMMYFUNCTION("""COMPUTED_VALUE"""),"Статия в списания и поредици")</f>
        <v>Статия в списания и поредици</v>
      </c>
      <c r="C6959" s="10" t="str">
        <f ca="1">IFERROR(__xludf.DUMMYFUNCTION("""COMPUTED_VALUE"""),"Сър Робърт Пийл - лидерът в модерното поддържане на обществения ред.")</f>
        <v>Сър Робърт Пийл - лидерът в модерното поддържане на обществения ред.</v>
      </c>
      <c r="D6959" s="10">
        <f ca="1">IFERROR(__xludf.DUMMYFUNCTION("""COMPUTED_VALUE"""),2014)</f>
        <v>2014</v>
      </c>
      <c r="E6959" s="10" t="str">
        <f ca="1">IFERROR(__xludf.DUMMYFUNCTION("""COMPUTED_VALUE"""),"Годишник на ВСУ, т. XX, с. 25-32, 2014; ISSN 1310-800 X")</f>
        <v>Годишник на ВСУ, т. XX, с. 25-32, 2014; ISSN 1310-800 X</v>
      </c>
      <c r="F6959" s="10"/>
      <c r="G6959" s="10"/>
      <c r="H6959" s="10"/>
      <c r="I6959" s="10"/>
      <c r="J6959" s="10"/>
      <c r="K6959" s="10"/>
      <c r="L6959" s="10"/>
      <c r="M6959" s="10"/>
      <c r="N6959" s="10"/>
      <c r="O6959" s="10"/>
      <c r="P6959" s="10"/>
      <c r="Q6959" s="10"/>
      <c r="R6959" s="10"/>
      <c r="S6959" s="10"/>
      <c r="T6959" s="10"/>
      <c r="U6959" s="10"/>
      <c r="V6959" s="10"/>
      <c r="W6959" s="10"/>
      <c r="X6959" s="10"/>
      <c r="Y6959" s="10"/>
      <c r="Z6959" s="10"/>
    </row>
    <row r="6960" spans="1:26" ht="12.75">
      <c r="A6960" s="10" t="str">
        <f ca="1">IFERROR(__xludf.DUMMYFUNCTION("""COMPUTED_VALUE"""),"Стефан Ангелов Симеонов")</f>
        <v>Стефан Ангелов Симеонов</v>
      </c>
      <c r="B6960" s="10" t="str">
        <f ca="1">IFERROR(__xludf.DUMMYFUNCTION("""COMPUTED_VALUE"""),"Доклад от конференция")</f>
        <v>Доклад от конференция</v>
      </c>
      <c r="C6960" s="10" t="str">
        <f ca="1">IFERROR(__xludf.DUMMYFUNCTION("""COMPUTED_VALUE"""),"Институции за национална сигурност")</f>
        <v>Институции за национална сигурност</v>
      </c>
      <c r="D6960" s="10">
        <f ca="1">IFERROR(__xludf.DUMMYFUNCTION("""COMPUTED_VALUE"""),2013)</f>
        <v>2013</v>
      </c>
      <c r="E6960" s="10" t="str">
        <f ca="1">IFERROR(__xludf.DUMMYFUNCTION("""COMPUTED_VALUE"""),"ИТПЛ ""Ст. Стамболов"", Седма научна сесия ""Национална сигурност: духовност и лидерство"", Бюлетин № 7, 2013, с. 73-78; ISSN 1313-8782")</f>
        <v>ИТПЛ "Ст. Стамболов", Седма научна сесия "Национална сигурност: духовност и лидерство", Бюлетин № 7, 2013, с. 73-78; ISSN 1313-8782</v>
      </c>
      <c r="F6960" s="10"/>
      <c r="G6960" s="10"/>
      <c r="H6960" s="10"/>
      <c r="I6960" s="10"/>
      <c r="J6960" s="10"/>
      <c r="K6960" s="10"/>
      <c r="L6960" s="10"/>
      <c r="M6960" s="10"/>
      <c r="N6960" s="10"/>
      <c r="O6960" s="10"/>
      <c r="P6960" s="10"/>
      <c r="Q6960" s="10"/>
      <c r="R6960" s="10"/>
      <c r="S6960" s="10"/>
      <c r="T6960" s="10"/>
      <c r="U6960" s="10"/>
      <c r="V6960" s="10"/>
      <c r="W6960" s="10"/>
      <c r="X6960" s="10"/>
      <c r="Y6960" s="10"/>
      <c r="Z6960" s="10"/>
    </row>
    <row r="6961" spans="1:26" ht="12.75">
      <c r="A6961" s="10" t="str">
        <f ca="1">IFERROR(__xludf.DUMMYFUNCTION("""COMPUTED_VALUE"""),"Стефан Ангелов Симеонов")</f>
        <v>Стефан Ангелов Симеонов</v>
      </c>
      <c r="B6961" s="10" t="str">
        <f ca="1">IFERROR(__xludf.DUMMYFUNCTION("""COMPUTED_VALUE"""),"Глава от колективна монография")</f>
        <v>Глава от колективна монография</v>
      </c>
      <c r="C6961" s="10" t="str">
        <f ca="1">IFERROR(__xludf.DUMMYFUNCTION("""COMPUTED_VALUE"""),"Към въпроса за кризата на обществената сигурност")</f>
        <v>Към въпроса за кризата на обществената сигурност</v>
      </c>
      <c r="D6961" s="10">
        <f ca="1">IFERROR(__xludf.DUMMYFUNCTION("""COMPUTED_VALUE"""),2013)</f>
        <v>2013</v>
      </c>
      <c r="E6961" s="10" t="str">
        <f ca="1">IFERROR(__xludf.DUMMYFUNCTION("""COMPUTED_VALUE"""),"Автооказион, С., 2013, с. 175-183; ISBN 978-954-92285-2-6")</f>
        <v>Автооказион, С., 2013, с. 175-183; ISBN 978-954-92285-2-6</v>
      </c>
      <c r="F6961" s="10"/>
      <c r="G6961" s="10" t="str">
        <f ca="1">IFERROR(__xludf.DUMMYFUNCTION("""COMPUTED_VALUE"""),"Семерджиев, Цв., Вл. Йоцов,Хр. Иванов, Ив. Гарванов, Е. Илиев")</f>
        <v>Семерджиев, Цв., Вл. Йоцов,Хр. Иванов, Ив. Гарванов, Е. Илиев</v>
      </c>
      <c r="H6961" s="10"/>
      <c r="I6961" s="10"/>
      <c r="J6961" s="10"/>
      <c r="K6961" s="10"/>
      <c r="L6961" s="10"/>
      <c r="M6961" s="10"/>
      <c r="N6961" s="10"/>
      <c r="O6961" s="10"/>
      <c r="P6961" s="10"/>
      <c r="Q6961" s="10"/>
      <c r="R6961" s="10"/>
      <c r="S6961" s="10"/>
      <c r="T6961" s="10"/>
      <c r="U6961" s="10"/>
      <c r="V6961" s="10"/>
      <c r="W6961" s="10"/>
      <c r="X6961" s="10"/>
      <c r="Y6961" s="10"/>
      <c r="Z6961" s="10"/>
    </row>
    <row r="6962" spans="1:26" ht="12.75">
      <c r="A6962" s="10" t="str">
        <f ca="1">IFERROR(__xludf.DUMMYFUNCTION("""COMPUTED_VALUE"""),"Стефан Ангелов Симеонов")</f>
        <v>Стефан Ангелов Симеонов</v>
      </c>
      <c r="B6962" s="10" t="str">
        <f ca="1">IFERROR(__xludf.DUMMYFUNCTION("""COMPUTED_VALUE"""),"Статия в списания и поредици")</f>
        <v>Статия в списания и поредици</v>
      </c>
      <c r="C6962" s="10" t="str">
        <f ca="1">IFERROR(__xludf.DUMMYFUNCTION("""COMPUTED_VALUE"""),"Разбойничеството в североизточните български земи през 1877-1889 г.")</f>
        <v>Разбойничеството в североизточните български земи през 1877-1889 г.</v>
      </c>
      <c r="D6962" s="10">
        <f ca="1">IFERROR(__xludf.DUMMYFUNCTION("""COMPUTED_VALUE"""),2013)</f>
        <v>2013</v>
      </c>
      <c r="E6962" s="10" t="str">
        <f ca="1">IFERROR(__xludf.DUMMYFUNCTION("""COMPUTED_VALUE"""),"Алманах за историята на Русе, 2013, т. XV, c. 58-75; ISSN 1312-0980")</f>
        <v>Алманах за историята на Русе, 2013, т. XV, c. 58-75; ISSN 1312-0980</v>
      </c>
      <c r="F6962" s="10"/>
      <c r="G6962" s="10"/>
      <c r="H6962" s="10"/>
      <c r="I6962" s="10"/>
      <c r="J6962" s="10"/>
      <c r="K6962" s="10"/>
      <c r="L6962" s="10"/>
      <c r="M6962" s="10"/>
      <c r="N6962" s="10"/>
      <c r="O6962" s="10"/>
      <c r="P6962" s="10"/>
      <c r="Q6962" s="10"/>
      <c r="R6962" s="10"/>
      <c r="S6962" s="10"/>
      <c r="T6962" s="10"/>
      <c r="U6962" s="10"/>
      <c r="V6962" s="10"/>
      <c r="W6962" s="10"/>
      <c r="X6962" s="10"/>
      <c r="Y6962" s="10"/>
      <c r="Z6962" s="10"/>
    </row>
    <row r="6963" spans="1:26" ht="12.75">
      <c r="A6963" s="10" t="str">
        <f ca="1">IFERROR(__xludf.DUMMYFUNCTION("""COMPUTED_VALUE"""),"Стефан Ангелов Симеонов")</f>
        <v>Стефан Ангелов Симеонов</v>
      </c>
      <c r="B6963" s="10" t="str">
        <f ca="1">IFERROR(__xludf.DUMMYFUNCTION("""COMPUTED_VALUE"""),"Статия в списания и поредици")</f>
        <v>Статия в списания и поредици</v>
      </c>
      <c r="C6963" s="10" t="str">
        <f ca="1">IFERROR(__xludf.DUMMYFUNCTION("""COMPUTED_VALUE"""),"Проблеми на обучението в професионално направление ""Национална сигурност""")</f>
        <v>Проблеми на обучението в професионално направление "Национална сигурност"</v>
      </c>
      <c r="D6963" s="10">
        <f ca="1">IFERROR(__xludf.DUMMYFUNCTION("""COMPUTED_VALUE"""),2012)</f>
        <v>2012</v>
      </c>
      <c r="E6963" s="10" t="str">
        <f ca="1">IFERROR(__xludf.DUMMYFUNCTION("""COMPUTED_VALUE"""),"Научен алманах на ВСУ ""Ч. Храбър"", кн. 20, 2012")</f>
        <v>Научен алманах на ВСУ "Ч. Храбър", кн. 20, 2012</v>
      </c>
      <c r="F6963" s="10"/>
      <c r="G6963" s="10"/>
      <c r="H6963" s="10"/>
      <c r="I6963" s="10"/>
      <c r="J6963" s="10"/>
      <c r="K6963" s="10"/>
      <c r="L6963" s="10"/>
      <c r="M6963" s="10"/>
      <c r="N6963" s="10"/>
      <c r="O6963" s="10"/>
      <c r="P6963" s="10"/>
      <c r="Q6963" s="10"/>
      <c r="R6963" s="10"/>
      <c r="S6963" s="10"/>
      <c r="T6963" s="10"/>
      <c r="U6963" s="10"/>
      <c r="V6963" s="10"/>
      <c r="W6963" s="10"/>
      <c r="X6963" s="10"/>
      <c r="Y6963" s="10"/>
      <c r="Z6963" s="10"/>
    </row>
    <row r="6964" spans="1:26" ht="12.75">
      <c r="A6964" s="10" t="str">
        <f ca="1">IFERROR(__xludf.DUMMYFUNCTION("""COMPUTED_VALUE"""),"Стефан Ангелов Симеонов")</f>
        <v>Стефан Ангелов Симеонов</v>
      </c>
      <c r="B6964" s="10" t="str">
        <f ca="1">IFERROR(__xludf.DUMMYFUNCTION("""COMPUTED_VALUE"""),"Статия в списания и поредици")</f>
        <v>Статия в списания и поредици</v>
      </c>
      <c r="C6964" s="10" t="str">
        <f ca="1">IFERROR(__xludf.DUMMYFUNCTION("""COMPUTED_VALUE"""),"Проблеми на обучението в професионално направление ""Национална сигурност""")</f>
        <v>Проблеми на обучението в професионално направление "Национална сигурност"</v>
      </c>
      <c r="D6964" s="10">
        <f ca="1">IFERROR(__xludf.DUMMYFUNCTION("""COMPUTED_VALUE"""),2012)</f>
        <v>2012</v>
      </c>
      <c r="E6964" s="10" t="str">
        <f ca="1">IFERROR(__xludf.DUMMYFUNCTION("""COMPUTED_VALUE"""),"Научен алманах на ВСУ ""Ч. Храбър"", серия ЮНОС, кн. 20, 2012, с. 21-31, ISSN 1322-9222")</f>
        <v>Научен алманах на ВСУ "Ч. Храбър", серия ЮНОС, кн. 20, 2012, с. 21-31, ISSN 1322-9222</v>
      </c>
      <c r="F6964" s="10"/>
      <c r="G6964" s="10"/>
      <c r="H6964" s="10"/>
      <c r="I6964" s="10"/>
      <c r="J6964" s="10"/>
      <c r="K6964" s="10"/>
      <c r="L6964" s="10"/>
      <c r="M6964" s="10"/>
      <c r="N6964" s="10"/>
      <c r="O6964" s="10"/>
      <c r="P6964" s="10"/>
      <c r="Q6964" s="10"/>
      <c r="R6964" s="10"/>
      <c r="S6964" s="10"/>
      <c r="T6964" s="10"/>
      <c r="U6964" s="10"/>
      <c r="V6964" s="10"/>
      <c r="W6964" s="10"/>
      <c r="X6964" s="10"/>
      <c r="Y6964" s="10"/>
      <c r="Z6964" s="10"/>
    </row>
    <row r="6965" spans="1:26" ht="12.75">
      <c r="A6965" s="10" t="str">
        <f ca="1">IFERROR(__xludf.DUMMYFUNCTION("""COMPUTED_VALUE"""),"Стефан Ангелов Симеонов")</f>
        <v>Стефан Ангелов Симеонов</v>
      </c>
      <c r="B6965" s="10" t="str">
        <f ca="1">IFERROR(__xludf.DUMMYFUNCTION("""COMPUTED_VALUE"""),"Книга")</f>
        <v>Книга</v>
      </c>
      <c r="C6965" s="10" t="str">
        <f ca="1">IFERROR(__xludf.DUMMYFUNCTION("""COMPUTED_VALUE"""),"Организация на службите за опазване на обществения ред в България (1879-1991)")</f>
        <v>Организация на службите за опазване на обществения ред в България (1879-1991)</v>
      </c>
      <c r="D6965" s="10">
        <f ca="1">IFERROR(__xludf.DUMMYFUNCTION("""COMPUTED_VALUE"""),2011)</f>
        <v>2011</v>
      </c>
      <c r="E6965" s="10" t="str">
        <f ca="1">IFERROR(__xludf.DUMMYFUNCTION("""COMPUTED_VALUE"""),"""Академия на МВР, София : Акад. на МВР, 2011 Физическо описание 400 с. : с табл. ; 20 см, ISBN 978-954-348-050-0""")</f>
        <v>"Академия на МВР, София : Акад. на МВР, 2011 Физическо описание 400 с. : с табл. ; 20 см, ISBN 978-954-348-050-0"</v>
      </c>
      <c r="F6965" s="10"/>
      <c r="G6965" s="10"/>
      <c r="H6965" s="10"/>
      <c r="I6965" s="10"/>
      <c r="J6965" s="10"/>
      <c r="K6965" s="10"/>
      <c r="L6965" s="10"/>
      <c r="M6965" s="10"/>
      <c r="N6965" s="10"/>
      <c r="O6965" s="10"/>
      <c r="P6965" s="10"/>
      <c r="Q6965" s="10"/>
      <c r="R6965" s="10"/>
      <c r="S6965" s="10"/>
      <c r="T6965" s="10"/>
      <c r="U6965" s="10"/>
      <c r="V6965" s="10"/>
      <c r="W6965" s="10"/>
      <c r="X6965" s="10"/>
      <c r="Y6965" s="10"/>
      <c r="Z6965" s="10"/>
    </row>
    <row r="6966" spans="1:26" ht="12.75">
      <c r="A6966" s="10" t="str">
        <f ca="1">IFERROR(__xludf.DUMMYFUNCTION("""COMPUTED_VALUE"""),"Стефан Ангелов Симеонов")</f>
        <v>Стефан Ангелов Симеонов</v>
      </c>
      <c r="B6966" s="10" t="str">
        <f ca="1">IFERROR(__xludf.DUMMYFUNCTION("""COMPUTED_VALUE"""),"Студия")</f>
        <v>Студия</v>
      </c>
      <c r="C6966" s="10" t="str">
        <f ca="1">IFERROR(__xludf.DUMMYFUNCTION("""COMPUTED_VALUE"""),"Транспортната полиция")</f>
        <v>Транспортната полиция</v>
      </c>
      <c r="D6966" s="10">
        <f ca="1">IFERROR(__xludf.DUMMYFUNCTION("""COMPUTED_VALUE"""),2011)</f>
        <v>2011</v>
      </c>
      <c r="E6966" s="10" t="str">
        <f ca="1">IFERROR(__xludf.DUMMYFUNCTION("""COMPUTED_VALUE"""),"Годишник на АМВР, С., 2011, т. 25, с. 147-180; ISBN 1312-6415")</f>
        <v>Годишник на АМВР, С., 2011, т. 25, с. 147-180; ISBN 1312-6415</v>
      </c>
      <c r="F6966" s="10"/>
      <c r="G6966" s="10"/>
      <c r="H6966" s="10"/>
      <c r="I6966" s="10"/>
      <c r="J6966" s="10"/>
      <c r="K6966" s="10"/>
      <c r="L6966" s="10"/>
      <c r="M6966" s="10"/>
      <c r="N6966" s="10"/>
      <c r="O6966" s="10"/>
      <c r="P6966" s="10"/>
      <c r="Q6966" s="10"/>
      <c r="R6966" s="10"/>
      <c r="S6966" s="10"/>
      <c r="T6966" s="10"/>
      <c r="U6966" s="10"/>
      <c r="V6966" s="10"/>
      <c r="W6966" s="10"/>
      <c r="X6966" s="10"/>
      <c r="Y6966" s="10"/>
      <c r="Z6966" s="10"/>
    </row>
    <row r="6967" spans="1:26" ht="12.75">
      <c r="A6967" s="10" t="str">
        <f ca="1">IFERROR(__xludf.DUMMYFUNCTION("""COMPUTED_VALUE"""),"Стефан Ангелов Симеонов")</f>
        <v>Стефан Ангелов Симеонов</v>
      </c>
      <c r="B6967" s="10" t="str">
        <f ca="1">IFERROR(__xludf.DUMMYFUNCTION("""COMPUTED_VALUE"""),"Статия в списания и поредици")</f>
        <v>Статия в списания и поредици</v>
      </c>
      <c r="C6967" s="10" t="str">
        <f ca="1">IFERROR(__xludf.DUMMYFUNCTION("""COMPUTED_VALUE"""),"За държавността и сигурността в творчеството на проф. Д. Иванов")</f>
        <v>За държавността и сигурността в творчеството на проф. Д. Иванов</v>
      </c>
      <c r="D6967" s="10">
        <f ca="1">IFERROR(__xludf.DUMMYFUNCTION("""COMPUTED_VALUE"""),2011)</f>
        <v>2011</v>
      </c>
      <c r="E6967" s="10" t="str">
        <f ca="1">IFERROR(__xludf.DUMMYFUNCTION("""COMPUTED_VALUE"""),"Ценности и добродетели на индивида, личността, лидера. Юбилеен сборник за проф. Д. Иванов, съст. Д. Томов. УИ ""За буквите-о писменех"", С., 2011, с. 160-163; ISBN 978-954-8887-88-4")</f>
        <v>Ценности и добродетели на индивида, личността, лидера. Юбилеен сборник за проф. Д. Иванов, съст. Д. Томов. УИ "За буквите-о писменех", С., 2011, с. 160-163; ISBN 978-954-8887-88-4</v>
      </c>
      <c r="F6967" s="10"/>
      <c r="G6967" s="10"/>
      <c r="H6967" s="10"/>
      <c r="I6967" s="10"/>
      <c r="J6967" s="10"/>
      <c r="K6967" s="10"/>
      <c r="L6967" s="10"/>
      <c r="M6967" s="10"/>
      <c r="N6967" s="10"/>
      <c r="O6967" s="10"/>
      <c r="P6967" s="10"/>
      <c r="Q6967" s="10"/>
      <c r="R6967" s="10"/>
      <c r="S6967" s="10"/>
      <c r="T6967" s="10"/>
      <c r="U6967" s="10"/>
      <c r="V6967" s="10"/>
      <c r="W6967" s="10"/>
      <c r="X6967" s="10"/>
      <c r="Y6967" s="10"/>
      <c r="Z6967" s="10"/>
    </row>
    <row r="6968" spans="1:26" ht="12.75">
      <c r="A6968" s="10" t="str">
        <f ca="1">IFERROR(__xludf.DUMMYFUNCTION("""COMPUTED_VALUE"""),"Стефан Ангелов Симеонов")</f>
        <v>Стефан Ангелов Симеонов</v>
      </c>
      <c r="B6968" s="10" t="str">
        <f ca="1">IFERROR(__xludf.DUMMYFUNCTION("""COMPUTED_VALUE"""),"Доклад от конференция")</f>
        <v>Доклад от конференция</v>
      </c>
      <c r="C6968" s="10" t="str">
        <f ca="1">IFERROR(__xludf.DUMMYFUNCTION("""COMPUTED_VALUE"""),"Особености на сигурността и реда в мултикултурните общества")</f>
        <v>Особености на сигурността и реда в мултикултурните общества</v>
      </c>
      <c r="D6968" s="10">
        <f ca="1">IFERROR(__xludf.DUMMYFUNCTION("""COMPUTED_VALUE"""),2011)</f>
        <v>2011</v>
      </c>
      <c r="E6968" s="10" t="str">
        <f ca="1">IFERROR(__xludf.DUMMYFUNCTION("""COMPUTED_VALUE"""),"ИТПЛ ""Ст. Стамболов"", Бюлетин № 5, Пета научна сесия ""Лидерството пред новите предизвикателства на мултикултурната среда"", Бюлетин № 5, с. 86-91 С., 2011, ISSN 1313-8782")</f>
        <v>ИТПЛ "Ст. Стамболов", Бюлетин № 5, Пета научна сесия "Лидерството пред новите предизвикателства на мултикултурната среда", Бюлетин № 5, с. 86-91 С., 2011, ISSN 1313-8782</v>
      </c>
      <c r="F6968" s="10"/>
      <c r="G6968" s="10"/>
      <c r="H6968" s="10"/>
      <c r="I6968" s="10"/>
      <c r="J6968" s="10"/>
      <c r="K6968" s="10"/>
      <c r="L6968" s="10"/>
      <c r="M6968" s="10"/>
      <c r="N6968" s="10"/>
      <c r="O6968" s="10"/>
      <c r="P6968" s="10"/>
      <c r="Q6968" s="10"/>
      <c r="R6968" s="10"/>
      <c r="S6968" s="10"/>
      <c r="T6968" s="10"/>
      <c r="U6968" s="10"/>
      <c r="V6968" s="10"/>
      <c r="W6968" s="10"/>
      <c r="X6968" s="10"/>
      <c r="Y6968" s="10"/>
      <c r="Z6968" s="10"/>
    </row>
    <row r="6969" spans="1:26" ht="12.75">
      <c r="A6969" s="10" t="str">
        <f ca="1">IFERROR(__xludf.DUMMYFUNCTION("""COMPUTED_VALUE"""),"Стефан Ангелов Симеонов")</f>
        <v>Стефан Ангелов Симеонов</v>
      </c>
      <c r="B6969" s="10" t="str">
        <f ca="1">IFERROR(__xludf.DUMMYFUNCTION("""COMPUTED_VALUE"""),"Доклад от конференция")</f>
        <v>Доклад от конференция</v>
      </c>
      <c r="C6969" s="10" t="str">
        <f ca="1">IFERROR(__xludf.DUMMYFUNCTION("""COMPUTED_VALUE"""),"Динамика на сигурността - паралел между две събития и две дати")</f>
        <v>Динамика на сигурността - паралел между две събития и две дати</v>
      </c>
      <c r="D6969" s="10">
        <f ca="1">IFERROR(__xludf.DUMMYFUNCTION("""COMPUTED_VALUE"""),2011)</f>
        <v>2011</v>
      </c>
      <c r="E6969" s="10" t="str">
        <f ca="1">IFERROR(__xludf.DUMMYFUNCTION("""COMPUTED_VALUE"""),"Проблеми на националната и международната сигурност, Сб. Доклади от научна конференция, т. 2, съст. В. Бузов. ИВИС, В.Търново, 2011, с. 11-19; ISSN 978-954-8387-90-3")</f>
        <v>Проблеми на националната и международната сигурност, Сб. Доклади от научна конференция, т. 2, съст. В. Бузов. ИВИС, В.Търново, 2011, с. 11-19; ISSN 978-954-8387-90-3</v>
      </c>
      <c r="F6969" s="10"/>
      <c r="G6969" s="10"/>
      <c r="H6969" s="10"/>
      <c r="I6969" s="10"/>
      <c r="J6969" s="10"/>
      <c r="K6969" s="10"/>
      <c r="L6969" s="10"/>
      <c r="M6969" s="10"/>
      <c r="N6969" s="10"/>
      <c r="O6969" s="10"/>
      <c r="P6969" s="10"/>
      <c r="Q6969" s="10"/>
      <c r="R6969" s="10"/>
      <c r="S6969" s="10"/>
      <c r="T6969" s="10"/>
      <c r="U6969" s="10"/>
      <c r="V6969" s="10"/>
      <c r="W6969" s="10"/>
      <c r="X6969" s="10"/>
      <c r="Y6969" s="10"/>
      <c r="Z6969" s="10"/>
    </row>
    <row r="6970" spans="1:26" ht="12.75">
      <c r="A6970" s="10" t="str">
        <f ca="1">IFERROR(__xludf.DUMMYFUNCTION("""COMPUTED_VALUE"""),"Стефан Ангелов Симеонов")</f>
        <v>Стефан Ангелов Симеонов</v>
      </c>
      <c r="B6970" s="10" t="str">
        <f ca="1">IFERROR(__xludf.DUMMYFUNCTION("""COMPUTED_VALUE"""),"Глава от колективна монография")</f>
        <v>Глава от колективна монография</v>
      </c>
      <c r="C6970" s="10" t="str">
        <f ca="1">IFERROR(__xludf.DUMMYFUNCTION("""COMPUTED_VALUE"""),"Тайната полиция в България, В: ""Разузнавателна защита на конституционния ред в демократичната държава""")</f>
        <v>Тайната полиция в България, В: "Разузнавателна защита на конституционния ред в демократичната държава"</v>
      </c>
      <c r="D6970" s="10">
        <f ca="1">IFERROR(__xludf.DUMMYFUNCTION("""COMPUTED_VALUE"""),2011)</f>
        <v>2011</v>
      </c>
      <c r="E6970" s="10" t="str">
        <f ca="1">IFERROR(__xludf.DUMMYFUNCTION("""COMPUTED_VALUE"""),"ВСУ, В., 2011,гл.2, т.2; ISBN 979-954-715-500-8")</f>
        <v>ВСУ, В., 2011,гл.2, т.2; ISBN 979-954-715-500-8</v>
      </c>
      <c r="F6970" s="10"/>
      <c r="G6970" s="10" t="str">
        <f ca="1">IFERROR(__xludf.DUMMYFUNCTION("""COMPUTED_VALUE"""),"Христов, П., В. Христов, В. Попов, Ст. Минева")</f>
        <v>Христов, П., В. Христов, В. Попов, Ст. Минева</v>
      </c>
      <c r="H6970" s="10"/>
      <c r="I6970" s="10"/>
      <c r="J6970" s="10"/>
      <c r="K6970" s="10"/>
      <c r="L6970" s="10"/>
      <c r="M6970" s="10"/>
      <c r="N6970" s="10"/>
      <c r="O6970" s="10"/>
      <c r="P6970" s="10"/>
      <c r="Q6970" s="10"/>
      <c r="R6970" s="10"/>
      <c r="S6970" s="10"/>
      <c r="T6970" s="10"/>
      <c r="U6970" s="10"/>
      <c r="V6970" s="10"/>
      <c r="W6970" s="10"/>
      <c r="X6970" s="10"/>
      <c r="Y6970" s="10"/>
      <c r="Z6970" s="10"/>
    </row>
    <row r="6971" spans="1:26" ht="12.75">
      <c r="A6971" s="10" t="str">
        <f ca="1">IFERROR(__xludf.DUMMYFUNCTION("""COMPUTED_VALUE"""),"Стефан Ангелов Симеонов")</f>
        <v>Стефан Ангелов Симеонов</v>
      </c>
      <c r="B6971" s="10" t="str">
        <f ca="1">IFERROR(__xludf.DUMMYFUNCTION("""COMPUTED_VALUE"""),"Студия")</f>
        <v>Студия</v>
      </c>
      <c r="C6971" s="10" t="str">
        <f ca="1">IFERROR(__xludf.DUMMYFUNCTION("""COMPUTED_VALUE"""),"Транспортната полиция в България")</f>
        <v>Транспортната полиция в България</v>
      </c>
      <c r="D6971" s="10">
        <f ca="1">IFERROR(__xludf.DUMMYFUNCTION("""COMPUTED_VALUE"""),2011)</f>
        <v>2011</v>
      </c>
      <c r="E6971" s="10" t="str">
        <f ca="1">IFERROR(__xludf.DUMMYFUNCTION("""COMPUTED_VALUE"""),"Годишник на АМВР, т. 25, 2011")</f>
        <v>Годишник на АМВР, т. 25, 2011</v>
      </c>
      <c r="F6971" s="10"/>
      <c r="G6971" s="10"/>
      <c r="H6971" s="10"/>
      <c r="I6971" s="10"/>
      <c r="J6971" s="10"/>
      <c r="K6971" s="10"/>
      <c r="L6971" s="10"/>
      <c r="M6971" s="10"/>
      <c r="N6971" s="10"/>
      <c r="O6971" s="10"/>
      <c r="P6971" s="10"/>
      <c r="Q6971" s="10"/>
      <c r="R6971" s="10"/>
      <c r="S6971" s="10"/>
      <c r="T6971" s="10"/>
      <c r="U6971" s="10"/>
      <c r="V6971" s="10"/>
      <c r="W6971" s="10"/>
      <c r="X6971" s="10"/>
      <c r="Y6971" s="10"/>
      <c r="Z6971" s="10"/>
    </row>
    <row r="6972" spans="1:26" ht="12.75">
      <c r="A6972" s="10" t="str">
        <f ca="1">IFERROR(__xludf.DUMMYFUNCTION("""COMPUTED_VALUE"""),"Стефан Ангелов Симеонов")</f>
        <v>Стефан Ангелов Симеонов</v>
      </c>
      <c r="B6972" s="10" t="str">
        <f ca="1">IFERROR(__xludf.DUMMYFUNCTION("""COMPUTED_VALUE"""),"Доклад от конференция")</f>
        <v>Доклад от конференция</v>
      </c>
      <c r="C6972" s="10" t="str">
        <f ca="1">IFERROR(__xludf.DUMMYFUNCTION("""COMPUTED_VALUE"""),"Българската независимост и изграждането на органите за вътрешна сигурност")</f>
        <v>Българската независимост и изграждането на органите за вътрешна сигурност</v>
      </c>
      <c r="D6972" s="10">
        <f ca="1">IFERROR(__xludf.DUMMYFUNCTION("""COMPUTED_VALUE"""),2010)</f>
        <v>2010</v>
      </c>
      <c r="E6972" s="10" t="str">
        <f ca="1">IFERROR(__xludf.DUMMYFUNCTION("""COMPUTED_VALUE"""),"Независимостта на България 1908 г. - поглед от ХХI в. Сб. Доклади от МНК, ИИИ при БАН, С.1 2010, с. 399-408; ISBN 978-954-2903-02-4")</f>
        <v>Независимостта на България 1908 г. - поглед от ХХI в. Сб. Доклади от МНК, ИИИ при БАН, С.1 2010, с. 399-408; ISBN 978-954-2903-02-4</v>
      </c>
      <c r="F6972" s="10"/>
      <c r="G6972" s="10"/>
      <c r="H6972" s="10"/>
      <c r="I6972" s="10"/>
      <c r="J6972" s="10"/>
      <c r="K6972" s="10"/>
      <c r="L6972" s="10"/>
      <c r="M6972" s="10"/>
      <c r="N6972" s="10"/>
      <c r="O6972" s="10"/>
      <c r="P6972" s="10"/>
      <c r="Q6972" s="10"/>
      <c r="R6972" s="10"/>
      <c r="S6972" s="10"/>
      <c r="T6972" s="10"/>
      <c r="U6972" s="10"/>
      <c r="V6972" s="10"/>
      <c r="W6972" s="10"/>
      <c r="X6972" s="10"/>
      <c r="Y6972" s="10"/>
      <c r="Z6972" s="10"/>
    </row>
    <row r="6973" spans="1:26" ht="12.75">
      <c r="A6973" s="10" t="str">
        <f ca="1">IFERROR(__xludf.DUMMYFUNCTION("""COMPUTED_VALUE"""),"Стефан Ангелов Симеонов")</f>
        <v>Стефан Ангелов Симеонов</v>
      </c>
      <c r="B6973" s="10" t="str">
        <f ca="1">IFERROR(__xludf.DUMMYFUNCTION("""COMPUTED_VALUE"""),"Статия в списания и поредици")</f>
        <v>Статия в списания и поредици</v>
      </c>
      <c r="C6973" s="10" t="str">
        <f ca="1">IFERROR(__xludf.DUMMYFUNCTION("""COMPUTED_VALUE"""),"Към 120 годишнината от създаването на Третата българска държава и полицейската институция.")</f>
        <v>Към 120 годишнината от създаването на Третата българска държава и полицейската институция.</v>
      </c>
      <c r="D6973" s="10">
        <f ca="1">IFERROR(__xludf.DUMMYFUNCTION("""COMPUTED_VALUE"""),2010)</f>
        <v>2010</v>
      </c>
      <c r="E6973" s="10" t="str">
        <f ca="1">IFERROR(__xludf.DUMMYFUNCTION("""COMPUTED_VALUE"""),"ВИПОНД-МВР, Бюлетин ""Факултет Полиция"", бр. 10, 2001, с- 5-13; ISSN 1310-47-05")</f>
        <v>ВИПОНД-МВР, Бюлетин "Факултет Полиция", бр. 10, 2001, с- 5-13; ISSN 1310-47-05</v>
      </c>
      <c r="F6973" s="10"/>
      <c r="G6973" s="10"/>
      <c r="H6973" s="10"/>
      <c r="I6973" s="10"/>
      <c r="J6973" s="10"/>
      <c r="K6973" s="10"/>
      <c r="L6973" s="10"/>
      <c r="M6973" s="10"/>
      <c r="N6973" s="10"/>
      <c r="O6973" s="10"/>
      <c r="P6973" s="10"/>
      <c r="Q6973" s="10"/>
      <c r="R6973" s="10"/>
      <c r="S6973" s="10"/>
      <c r="T6973" s="10"/>
      <c r="U6973" s="10"/>
      <c r="V6973" s="10"/>
      <c r="W6973" s="10"/>
      <c r="X6973" s="10"/>
      <c r="Y6973" s="10"/>
      <c r="Z6973" s="10"/>
    </row>
    <row r="6974" spans="1:26" ht="12.75">
      <c r="A6974" s="10" t="str">
        <f ca="1">IFERROR(__xludf.DUMMYFUNCTION("""COMPUTED_VALUE"""),"Стефан Ангелов Симеонов")</f>
        <v>Стефан Ангелов Симеонов</v>
      </c>
      <c r="B6974" s="10" t="str">
        <f ca="1">IFERROR(__xludf.DUMMYFUNCTION("""COMPUTED_VALUE"""),"Статия в списания и поредици")</f>
        <v>Статия в списания и поредици</v>
      </c>
      <c r="C6974" s="10" t="str">
        <f ca="1">IFERROR(__xludf.DUMMYFUNCTION("""COMPUTED_VALUE"""),"Васил Левски и устройствените актове иинституции на държавността")</f>
        <v>Васил Левски и устройствените актове иинституции на държавността</v>
      </c>
      <c r="D6974" s="10">
        <f ca="1">IFERROR(__xludf.DUMMYFUNCTION("""COMPUTED_VALUE"""),2010)</f>
        <v>2010</v>
      </c>
      <c r="E6974" s="10" t="str">
        <f ca="1">IFERROR(__xludf.DUMMYFUNCTION("""COMPUTED_VALUE"""),"Да бъдем равни с другитенароди. СЮБ, С., 2010, ISSN 1311-1337")</f>
        <v>Да бъдем равни с другитенароди. СЮБ, С., 2010, ISSN 1311-1337</v>
      </c>
      <c r="F6974" s="10"/>
      <c r="G6974" s="10"/>
      <c r="H6974" s="10"/>
      <c r="I6974" s="10"/>
      <c r="J6974" s="10"/>
      <c r="K6974" s="10"/>
      <c r="L6974" s="10"/>
      <c r="M6974" s="10"/>
      <c r="N6974" s="10"/>
      <c r="O6974" s="10"/>
      <c r="P6974" s="10"/>
      <c r="Q6974" s="10"/>
      <c r="R6974" s="10"/>
      <c r="S6974" s="10"/>
      <c r="T6974" s="10"/>
      <c r="U6974" s="10"/>
      <c r="V6974" s="10"/>
      <c r="W6974" s="10"/>
      <c r="X6974" s="10"/>
      <c r="Y6974" s="10"/>
      <c r="Z6974" s="10"/>
    </row>
    <row r="6975" spans="1:26" ht="12.75">
      <c r="A6975" s="10" t="str">
        <f ca="1">IFERROR(__xludf.DUMMYFUNCTION("""COMPUTED_VALUE"""),"Стефан Ангелов Симеонов")</f>
        <v>Стефан Ангелов Симеонов</v>
      </c>
      <c r="B6975" s="10" t="str">
        <f ca="1">IFERROR(__xludf.DUMMYFUNCTION("""COMPUTED_VALUE"""),"Статия в списания и поредици")</f>
        <v>Статия в списания и поредици</v>
      </c>
      <c r="C6975" s="10" t="str">
        <f ca="1">IFERROR(__xludf.DUMMYFUNCTION("""COMPUTED_VALUE"""),"Държавна сиурност отвътре (1925-1989 г.)")</f>
        <v>Държавна сиурност отвътре (1925-1989 г.)</v>
      </c>
      <c r="D6975" s="10">
        <f ca="1">IFERROR(__xludf.DUMMYFUNCTION("""COMPUTED_VALUE"""),2009)</f>
        <v>2009</v>
      </c>
      <c r="E6975" s="10" t="str">
        <f ca="1">IFERROR(__xludf.DUMMYFUNCTION("""COMPUTED_VALUE"""),"Проблеми на националната и международната сигурност, Сб. cтатии oт МНК, В. Търново, 2009, т. 1, с. 12-35; ISBN 978-954-8387-62-0")</f>
        <v>Проблеми на националната и международната сигурност, Сб. cтатии oт МНК, В. Търново, 2009, т. 1, с. 12-35; ISBN 978-954-8387-62-0</v>
      </c>
      <c r="F6975" s="10"/>
      <c r="G6975" s="10"/>
      <c r="H6975" s="10"/>
      <c r="I6975" s="10"/>
      <c r="J6975" s="10"/>
      <c r="K6975" s="10"/>
      <c r="L6975" s="10"/>
      <c r="M6975" s="10"/>
      <c r="N6975" s="10"/>
      <c r="O6975" s="10"/>
      <c r="P6975" s="10"/>
      <c r="Q6975" s="10"/>
      <c r="R6975" s="10"/>
      <c r="S6975" s="10"/>
      <c r="T6975" s="10"/>
      <c r="U6975" s="10"/>
      <c r="V6975" s="10"/>
      <c r="W6975" s="10"/>
      <c r="X6975" s="10"/>
      <c r="Y6975" s="10"/>
      <c r="Z6975" s="10"/>
    </row>
    <row r="6976" spans="1:26" ht="12.75">
      <c r="A6976" s="10" t="str">
        <f ca="1">IFERROR(__xludf.DUMMYFUNCTION("""COMPUTED_VALUE"""),"Стефан Ангелов Симеонов")</f>
        <v>Стефан Ангелов Симеонов</v>
      </c>
      <c r="B6976" s="10" t="str">
        <f ca="1">IFERROR(__xludf.DUMMYFUNCTION("""COMPUTED_VALUE"""),"Статия в списания и поредици")</f>
        <v>Статия в списания и поредици</v>
      </c>
      <c r="C6976" s="10" t="str">
        <f ca="1">IFERROR(__xludf.DUMMYFUNCTION("""COMPUTED_VALUE"""),"Софийската полиция")</f>
        <v>Софийската полиция</v>
      </c>
      <c r="D6976" s="10">
        <f ca="1">IFERROR(__xludf.DUMMYFUNCTION("""COMPUTED_VALUE"""),2009)</f>
        <v>2009</v>
      </c>
      <c r="E6976" s="10" t="str">
        <f ca="1">IFERROR(__xludf.DUMMYFUNCTION("""COMPUTED_VALUE"""),"София 130 години столица на България. С., 2009, с. 148-163")</f>
        <v>София 130 години столица на България. С., 2009, с. 148-163</v>
      </c>
      <c r="F6976" s="10"/>
      <c r="G6976" s="10"/>
      <c r="H6976" s="10"/>
      <c r="I6976" s="10"/>
      <c r="J6976" s="10"/>
      <c r="K6976" s="10"/>
      <c r="L6976" s="10"/>
      <c r="M6976" s="10"/>
      <c r="N6976" s="10"/>
      <c r="O6976" s="10"/>
      <c r="P6976" s="10"/>
      <c r="Q6976" s="10"/>
      <c r="R6976" s="10"/>
      <c r="S6976" s="10"/>
      <c r="T6976" s="10"/>
      <c r="U6976" s="10"/>
      <c r="V6976" s="10"/>
      <c r="W6976" s="10"/>
      <c r="X6976" s="10"/>
      <c r="Y6976" s="10"/>
      <c r="Z6976" s="10"/>
    </row>
    <row r="6977" spans="1:26" ht="12.75">
      <c r="A6977" s="10" t="str">
        <f ca="1">IFERROR(__xludf.DUMMYFUNCTION("""COMPUTED_VALUE"""),"Стефан Ангелов Симеонов")</f>
        <v>Стефан Ангелов Симеонов</v>
      </c>
      <c r="B6977" s="10" t="str">
        <f ca="1">IFERROR(__xludf.DUMMYFUNCTION("""COMPUTED_VALUE"""),"Статия в списания и поредици")</f>
        <v>Статия в списания и поредици</v>
      </c>
      <c r="C6977" s="10" t="str">
        <f ca="1">IFERROR(__xludf.DUMMYFUNCTION("""COMPUTED_VALUE"""),"За полицейския жаргон")</f>
        <v>За полицейския жаргон</v>
      </c>
      <c r="D6977" s="10">
        <f ca="1">IFERROR(__xludf.DUMMYFUNCTION("""COMPUTED_VALUE"""),2008)</f>
        <v>2008</v>
      </c>
      <c r="E6977" s="10" t="str">
        <f ca="1">IFERROR(__xludf.DUMMYFUNCTION("""COMPUTED_VALUE"""),"Проблеми на социолингвистиката. Агресията на уличния език. МСЛД, 2008, т.9")</f>
        <v>Проблеми на социолингвистиката. Агресията на уличния език. МСЛД, 2008, т.9</v>
      </c>
      <c r="F6977" s="10"/>
      <c r="G6977" s="10"/>
      <c r="H6977" s="10"/>
      <c r="I6977" s="10"/>
      <c r="J6977" s="10"/>
      <c r="K6977" s="10"/>
      <c r="L6977" s="10"/>
      <c r="M6977" s="10"/>
      <c r="N6977" s="10"/>
      <c r="O6977" s="10"/>
      <c r="P6977" s="10"/>
      <c r="Q6977" s="10"/>
      <c r="R6977" s="10"/>
      <c r="S6977" s="10"/>
      <c r="T6977" s="10"/>
      <c r="U6977" s="10"/>
      <c r="V6977" s="10"/>
      <c r="W6977" s="10"/>
      <c r="X6977" s="10"/>
      <c r="Y6977" s="10"/>
      <c r="Z6977" s="10"/>
    </row>
    <row r="6978" spans="1:26" ht="12.75">
      <c r="A6978" s="10" t="str">
        <f ca="1">IFERROR(__xludf.DUMMYFUNCTION("""COMPUTED_VALUE"""),"Стефан Ангелов Симеонов")</f>
        <v>Стефан Ангелов Симеонов</v>
      </c>
      <c r="B6978" s="10" t="str">
        <f ca="1">IFERROR(__xludf.DUMMYFUNCTION("""COMPUTED_VALUE"""),"Статия в списания и поредици")</f>
        <v>Статия в списания и поредици</v>
      </c>
      <c r="C6978" s="10" t="str">
        <f ca="1">IFERROR(__xludf.DUMMYFUNCTION("""COMPUTED_VALUE"""),"Музейна експозиция при Академията на МВР")</f>
        <v>Музейна експозиция при Академията на МВР</v>
      </c>
      <c r="D6978" s="10">
        <f ca="1">IFERROR(__xludf.DUMMYFUNCTION("""COMPUTED_VALUE"""),2008)</f>
        <v>2008</v>
      </c>
      <c r="E6978" s="10" t="str">
        <f ca="1">IFERROR(__xludf.DUMMYFUNCTION("""COMPUTED_VALUE"""),"ВИС, бр. 2, с. 74; ISSN 0204-4080")</f>
        <v>ВИС, бр. 2, с. 74; ISSN 0204-4080</v>
      </c>
      <c r="F6978" s="10"/>
      <c r="G6978" s="10"/>
      <c r="H6978" s="10"/>
      <c r="I6978" s="10"/>
      <c r="J6978" s="10"/>
      <c r="K6978" s="10"/>
      <c r="L6978" s="10"/>
      <c r="M6978" s="10"/>
      <c r="N6978" s="10"/>
      <c r="O6978" s="10"/>
      <c r="P6978" s="10"/>
      <c r="Q6978" s="10"/>
      <c r="R6978" s="10"/>
      <c r="S6978" s="10"/>
      <c r="T6978" s="10"/>
      <c r="U6978" s="10"/>
      <c r="V6978" s="10"/>
      <c r="W6978" s="10"/>
      <c r="X6978" s="10"/>
      <c r="Y6978" s="10"/>
      <c r="Z6978" s="10"/>
    </row>
    <row r="6979" spans="1:26" ht="12.75">
      <c r="A6979" s="10" t="str">
        <f ca="1">IFERROR(__xludf.DUMMYFUNCTION("""COMPUTED_VALUE"""),"Стефан Ангелов Симеонов")</f>
        <v>Стефан Ангелов Симеонов</v>
      </c>
      <c r="B6979" s="10" t="str">
        <f ca="1">IFERROR(__xludf.DUMMYFUNCTION("""COMPUTED_VALUE"""),"Доклад от конференция")</f>
        <v>Доклад от конференция</v>
      </c>
      <c r="C6979" s="10" t="str">
        <f ca="1">IFERROR(__xludf.DUMMYFUNCTION("""COMPUTED_VALUE"""),"Българските доктрини за сигурност (исторически аспекти)")</f>
        <v>Българските доктрини за сигурност (исторически аспекти)</v>
      </c>
      <c r="D6979" s="10">
        <f ca="1">IFERROR(__xludf.DUMMYFUNCTION("""COMPUTED_VALUE"""),2008)</f>
        <v>2008</v>
      </c>
      <c r="E6979" s="10" t="str">
        <f ca="1">IFERROR(__xludf.DUMMYFUNCTION("""COMPUTED_VALUE"""),"Морски научен форум, т. 5. Военни науки и национална сигурност. Научна сесия ""100 години независима и суверенна България"", Варна, 2008, с. 211-217]; ISSN 1310-9278")</f>
        <v>Морски научен форум, т. 5. Военни науки и национална сигурност. Научна сесия "100 години независима и суверенна България", Варна, 2008, с. 211-217]; ISSN 1310-9278</v>
      </c>
      <c r="F6979" s="10"/>
      <c r="G6979" s="10"/>
      <c r="H6979" s="10"/>
      <c r="I6979" s="10"/>
      <c r="J6979" s="10"/>
      <c r="K6979" s="10"/>
      <c r="L6979" s="10"/>
      <c r="M6979" s="10"/>
      <c r="N6979" s="10"/>
      <c r="O6979" s="10"/>
      <c r="P6979" s="10"/>
      <c r="Q6979" s="10"/>
      <c r="R6979" s="10"/>
      <c r="S6979" s="10"/>
      <c r="T6979" s="10"/>
      <c r="U6979" s="10"/>
      <c r="V6979" s="10"/>
      <c r="W6979" s="10"/>
      <c r="X6979" s="10"/>
      <c r="Y6979" s="10"/>
      <c r="Z6979" s="10"/>
    </row>
    <row r="6980" spans="1:26" ht="12.75">
      <c r="A6980" s="10" t="str">
        <f ca="1">IFERROR(__xludf.DUMMYFUNCTION("""COMPUTED_VALUE"""),"Стефан Ангелов Симеонов")</f>
        <v>Стефан Ангелов Симеонов</v>
      </c>
      <c r="B6980" s="10" t="str">
        <f ca="1">IFERROR(__xludf.DUMMYFUNCTION("""COMPUTED_VALUE"""),"Студия")</f>
        <v>Студия</v>
      </c>
      <c r="C6980" s="10" t="str">
        <f ca="1">IFERROR(__xludf.DUMMYFUNCTION("""COMPUTED_VALUE"""),"Тайната полиция в Третото българско царство (1879-1934)")</f>
        <v>Тайната полиция в Третото българско царство (1879-1934)</v>
      </c>
      <c r="D6980" s="10">
        <f ca="1">IFERROR(__xludf.DUMMYFUNCTION("""COMPUTED_VALUE"""),2007)</f>
        <v>2007</v>
      </c>
      <c r="E6980" s="10" t="str">
        <f ca="1">IFERROR(__xludf.DUMMYFUNCTION("""COMPUTED_VALUE"""),"Сп. ""История"", бр. 5-6, 2007")</f>
        <v>Сп. "История", бр. 5-6, 2007</v>
      </c>
      <c r="F6980" s="10"/>
      <c r="G6980" s="10"/>
      <c r="H6980" s="10"/>
      <c r="I6980" s="10"/>
      <c r="J6980" s="10"/>
      <c r="K6980" s="10"/>
      <c r="L6980" s="10"/>
      <c r="M6980" s="10"/>
      <c r="N6980" s="10"/>
      <c r="O6980" s="10"/>
      <c r="P6980" s="10"/>
      <c r="Q6980" s="10"/>
      <c r="R6980" s="10"/>
      <c r="S6980" s="10"/>
      <c r="T6980" s="10"/>
      <c r="U6980" s="10"/>
      <c r="V6980" s="10"/>
      <c r="W6980" s="10"/>
      <c r="X6980" s="10"/>
      <c r="Y6980" s="10"/>
      <c r="Z6980" s="10"/>
    </row>
    <row r="6981" spans="1:26" ht="12.75">
      <c r="A6981" s="10" t="str">
        <f ca="1">IFERROR(__xludf.DUMMYFUNCTION("""COMPUTED_VALUE"""),"Стефан Ангелов Симеонов")</f>
        <v>Стефан Ангелов Симеонов</v>
      </c>
      <c r="B6981" s="10" t="str">
        <f ca="1">IFERROR(__xludf.DUMMYFUNCTION("""COMPUTED_VALUE"""),"Статия в списания и поредици")</f>
        <v>Статия в списания и поредици</v>
      </c>
      <c r="C6981" s="10" t="str">
        <f ca="1">IFERROR(__xludf.DUMMYFUNCTION("""COMPUTED_VALUE"""),"Беше ли Левски терорист?")</f>
        <v>Беше ли Левски терорист?</v>
      </c>
      <c r="D6981" s="10">
        <f ca="1">IFERROR(__xludf.DUMMYFUNCTION("""COMPUTED_VALUE"""),2007)</f>
        <v>2007</v>
      </c>
      <c r="E6981" s="10" t="str">
        <f ca="1">IFERROR(__xludf.DUMMYFUNCTION("""COMPUTED_VALUE"""),"ОБКФ ""В. Левски"".Годишник Българско Възраждане, т. 9. Българско възраждане, идеи, личности, събития. ОБКВЛ, С., 2007, Годишник, т. 9, с. 259-262; ISSN 1311-1337")</f>
        <v>ОБКФ "В. Левски".Годишник Българско Възраждане, т. 9. Българско възраждане, идеи, личности, събития. ОБКВЛ, С., 2007, Годишник, т. 9, с. 259-262; ISSN 1311-1337</v>
      </c>
      <c r="F6981" s="10"/>
      <c r="G6981" s="10"/>
      <c r="H6981" s="10"/>
      <c r="I6981" s="10"/>
      <c r="J6981" s="10"/>
      <c r="K6981" s="10"/>
      <c r="L6981" s="10"/>
      <c r="M6981" s="10"/>
      <c r="N6981" s="10"/>
      <c r="O6981" s="10"/>
      <c r="P6981" s="10"/>
      <c r="Q6981" s="10"/>
      <c r="R6981" s="10"/>
      <c r="S6981" s="10"/>
      <c r="T6981" s="10"/>
      <c r="U6981" s="10"/>
      <c r="V6981" s="10"/>
      <c r="W6981" s="10"/>
      <c r="X6981" s="10"/>
      <c r="Y6981" s="10"/>
      <c r="Z6981" s="10"/>
    </row>
    <row r="6982" spans="1:26" ht="12.75">
      <c r="A6982" s="10" t="str">
        <f ca="1">IFERROR(__xludf.DUMMYFUNCTION("""COMPUTED_VALUE"""),"Стефан Ангелов Симеонов")</f>
        <v>Стефан Ангелов Симеонов</v>
      </c>
      <c r="B6982" s="10" t="str">
        <f ca="1">IFERROR(__xludf.DUMMYFUNCTION("""COMPUTED_VALUE"""),"Статия в списания и поредици")</f>
        <v>Статия в списания и поредици</v>
      </c>
      <c r="C6982" s="10" t="str">
        <f ca="1">IFERROR(__xludf.DUMMYFUNCTION("""COMPUTED_VALUE"""),"Стефан Стамболов и Министерството на вътрешните работи (1887-1894)")</f>
        <v>Стефан Стамболов и Министерството на вътрешните работи (1887-1894)</v>
      </c>
      <c r="D6982" s="10">
        <f ca="1">IFERROR(__xludf.DUMMYFUNCTION("""COMPUTED_VALUE"""),2007)</f>
        <v>2007</v>
      </c>
      <c r="E6982" s="10" t="str">
        <f ca="1">IFERROR(__xludf.DUMMYFUNCTION("""COMPUTED_VALUE"""),"Стфан Стамболов - държавникът.СЮБ, С.1 2007")</f>
        <v>Стфан Стамболов - държавникът.СЮБ, С.1 2007</v>
      </c>
      <c r="F6982" s="10"/>
      <c r="G6982" s="10"/>
      <c r="H6982" s="10"/>
      <c r="I6982" s="10"/>
      <c r="J6982" s="10"/>
      <c r="K6982" s="10"/>
      <c r="L6982" s="10"/>
      <c r="M6982" s="10"/>
      <c r="N6982" s="10"/>
      <c r="O6982" s="10"/>
      <c r="P6982" s="10"/>
      <c r="Q6982" s="10"/>
      <c r="R6982" s="10"/>
      <c r="S6982" s="10"/>
      <c r="T6982" s="10"/>
      <c r="U6982" s="10"/>
      <c r="V6982" s="10"/>
      <c r="W6982" s="10"/>
      <c r="X6982" s="10"/>
      <c r="Y6982" s="10"/>
      <c r="Z6982" s="10"/>
    </row>
    <row r="6983" spans="1:26" ht="12.75">
      <c r="A6983" s="10" t="str">
        <f ca="1">IFERROR(__xludf.DUMMYFUNCTION("""COMPUTED_VALUE"""),"Стефан Ангелов Симеонов")</f>
        <v>Стефан Ангелов Симеонов</v>
      </c>
      <c r="B6983" s="10" t="str">
        <f ca="1">IFERROR(__xludf.DUMMYFUNCTION("""COMPUTED_VALUE"""),"Студия")</f>
        <v>Студия</v>
      </c>
      <c r="C6983" s="10" t="str">
        <f ca="1">IFERROR(__xludf.DUMMYFUNCTION("""COMPUTED_VALUE"""),"Оперативните дежурни части в системата на българската полиция")</f>
        <v>Оперативните дежурни части в системата на българската полиция</v>
      </c>
      <c r="D6983" s="10">
        <f ca="1">IFERROR(__xludf.DUMMYFUNCTION("""COMPUTED_VALUE"""),2006)</f>
        <v>2006</v>
      </c>
      <c r="E6983" s="10" t="str">
        <f ca="1">IFERROR(__xludf.DUMMYFUNCTION("""COMPUTED_VALUE"""),"Годишник на АМВР, С., 2006 г. т. ХХІ,")</f>
        <v>Годишник на АМВР, С., 2006 г. т. ХХІ,</v>
      </c>
      <c r="F6983" s="10"/>
      <c r="G6983" s="10"/>
      <c r="H6983" s="10"/>
      <c r="I6983" s="10"/>
      <c r="J6983" s="10"/>
      <c r="K6983" s="10"/>
      <c r="L6983" s="10"/>
      <c r="M6983" s="10"/>
      <c r="N6983" s="10"/>
      <c r="O6983" s="10"/>
      <c r="P6983" s="10"/>
      <c r="Q6983" s="10"/>
      <c r="R6983" s="10"/>
      <c r="S6983" s="10"/>
      <c r="T6983" s="10"/>
      <c r="U6983" s="10"/>
      <c r="V6983" s="10"/>
      <c r="W6983" s="10"/>
      <c r="X6983" s="10"/>
      <c r="Y6983" s="10"/>
      <c r="Z6983" s="10"/>
    </row>
    <row r="6984" spans="1:26" ht="12.75">
      <c r="A6984" s="10" t="str">
        <f ca="1">IFERROR(__xludf.DUMMYFUNCTION("""COMPUTED_VALUE"""),"Стефан Ангелов Симеонов")</f>
        <v>Стефан Ангелов Симеонов</v>
      </c>
      <c r="B6984" s="10" t="str">
        <f ca="1">IFERROR(__xludf.DUMMYFUNCTION("""COMPUTED_VALUE"""),"Статия в списания и поредици")</f>
        <v>Статия в списания и поредици</v>
      </c>
      <c r="C6984" s="10" t="str">
        <f ca="1">IFERROR(__xludf.DUMMYFUNCTION("""COMPUTED_VALUE"""),"35 години Академия на МВР")</f>
        <v>35 години Академия на МВР</v>
      </c>
      <c r="D6984" s="10">
        <f ca="1">IFERROR(__xludf.DUMMYFUNCTION("""COMPUTED_VALUE"""),2006)</f>
        <v>2006</v>
      </c>
      <c r="E6984" s="10" t="str">
        <f ca="1">IFERROR(__xludf.DUMMYFUNCTION("""COMPUTED_VALUE"""),"Годишник на АМВР, XVIII, С., 2006")</f>
        <v>Годишник на АМВР, XVIII, С., 2006</v>
      </c>
      <c r="F6984" s="10"/>
      <c r="G6984" s="10"/>
      <c r="H6984" s="10"/>
      <c r="I6984" s="10"/>
      <c r="J6984" s="10"/>
      <c r="K6984" s="10"/>
      <c r="L6984" s="10"/>
      <c r="M6984" s="10"/>
      <c r="N6984" s="10"/>
      <c r="O6984" s="10"/>
      <c r="P6984" s="10"/>
      <c r="Q6984" s="10"/>
      <c r="R6984" s="10"/>
      <c r="S6984" s="10"/>
      <c r="T6984" s="10"/>
      <c r="U6984" s="10"/>
      <c r="V6984" s="10"/>
      <c r="W6984" s="10"/>
      <c r="X6984" s="10"/>
      <c r="Y6984" s="10"/>
      <c r="Z6984" s="10"/>
    </row>
    <row r="6985" spans="1:26" ht="12.75">
      <c r="A6985" s="10" t="str">
        <f ca="1">IFERROR(__xludf.DUMMYFUNCTION("""COMPUTED_VALUE"""),"Стефан Ангелов Симеонов")</f>
        <v>Стефан Ангелов Симеонов</v>
      </c>
      <c r="B6985" s="10" t="str">
        <f ca="1">IFERROR(__xludf.DUMMYFUNCTION("""COMPUTED_VALUE"""),"Статия в списания и поредици")</f>
        <v>Статия в списания и поредици</v>
      </c>
      <c r="C6985" s="10" t="str">
        <f ca="1">IFERROR(__xludf.DUMMYFUNCTION("""COMPUTED_VALUE"""),"Пане Бичев, Тома Васильов, Никола Гешев.")</f>
        <v>Пане Бичев, Тома Васильов, Никола Гешев.</v>
      </c>
      <c r="D6985" s="10">
        <f ca="1">IFERROR(__xludf.DUMMYFUNCTION("""COMPUTED_VALUE"""),2006)</f>
        <v>2006</v>
      </c>
      <c r="E6985" s="10" t="str">
        <f ca="1">IFERROR(__xludf.DUMMYFUNCTION("""COMPUTED_VALUE"""),"Алманах на българското национално освободително движение, С.,2006")</f>
        <v>Алманах на българското национално освободително движение, С.,2006</v>
      </c>
      <c r="F6985" s="10"/>
      <c r="G6985" s="10"/>
      <c r="H6985" s="10"/>
      <c r="I6985" s="10"/>
      <c r="J6985" s="10"/>
      <c r="K6985" s="10"/>
      <c r="L6985" s="10"/>
      <c r="M6985" s="10"/>
      <c r="N6985" s="10"/>
      <c r="O6985" s="10"/>
      <c r="P6985" s="10"/>
      <c r="Q6985" s="10"/>
      <c r="R6985" s="10"/>
      <c r="S6985" s="10"/>
      <c r="T6985" s="10"/>
      <c r="U6985" s="10"/>
      <c r="V6985" s="10"/>
      <c r="W6985" s="10"/>
      <c r="X6985" s="10"/>
      <c r="Y6985" s="10"/>
      <c r="Z6985" s="10"/>
    </row>
    <row r="6986" spans="1:26" ht="12.75">
      <c r="A6986" s="10" t="str">
        <f ca="1">IFERROR(__xludf.DUMMYFUNCTION("""COMPUTED_VALUE"""),"Стефан Ангелов Симеонов")</f>
        <v>Стефан Ангелов Симеонов</v>
      </c>
      <c r="B6986" s="10" t="str">
        <f ca="1">IFERROR(__xludf.DUMMYFUNCTION("""COMPUTED_VALUE"""),"Студия")</f>
        <v>Студия</v>
      </c>
      <c r="C6986" s="10" t="str">
        <f ca="1">IFERROR(__xludf.DUMMYFUNCTION("""COMPUTED_VALUE"""),"Оперативната дежурна част в системата на българскатат полиция (1879-1991)")</f>
        <v>Оперативната дежурна част в системата на българскатат полиция (1879-1991)</v>
      </c>
      <c r="D6986" s="10">
        <f ca="1">IFERROR(__xludf.DUMMYFUNCTION("""COMPUTED_VALUE"""),2006)</f>
        <v>2006</v>
      </c>
      <c r="E6986" s="10" t="str">
        <f ca="1">IFERROR(__xludf.DUMMYFUNCTION("""COMPUTED_VALUE"""),"Годишник на АМВР, С., 2006 г. т. ХХІ, с. 215-267; ISBN 1312-6415")</f>
        <v>Годишник на АМВР, С., 2006 г. т. ХХІ, с. 215-267; ISBN 1312-6415</v>
      </c>
      <c r="F6986" s="10"/>
      <c r="G6986" s="10"/>
      <c r="H6986" s="10"/>
      <c r="I6986" s="10"/>
      <c r="J6986" s="10"/>
      <c r="K6986" s="10"/>
      <c r="L6986" s="10"/>
      <c r="M6986" s="10"/>
      <c r="N6986" s="10"/>
      <c r="O6986" s="10"/>
      <c r="P6986" s="10"/>
      <c r="Q6986" s="10"/>
      <c r="R6986" s="10"/>
      <c r="S6986" s="10"/>
      <c r="T6986" s="10"/>
      <c r="U6986" s="10"/>
      <c r="V6986" s="10"/>
      <c r="W6986" s="10"/>
      <c r="X6986" s="10"/>
      <c r="Y6986" s="10"/>
      <c r="Z6986" s="10"/>
    </row>
    <row r="6987" spans="1:26" ht="12.75">
      <c r="A6987" s="10" t="str">
        <f ca="1">IFERROR(__xludf.DUMMYFUNCTION("""COMPUTED_VALUE"""),"Стефан Ангелов Симеонов")</f>
        <v>Стефан Ангелов Симеонов</v>
      </c>
      <c r="B6987" s="10" t="str">
        <f ca="1">IFERROR(__xludf.DUMMYFUNCTION("""COMPUTED_VALUE"""),"Монография")</f>
        <v>Монография</v>
      </c>
      <c r="C6987" s="10" t="str">
        <f ca="1">IFERROR(__xludf.DUMMYFUNCTION("""COMPUTED_VALUE"""),"Въведение в полицейската етика")</f>
        <v>Въведение в полицейската етика</v>
      </c>
      <c r="D6987" s="10">
        <f ca="1">IFERROR(__xludf.DUMMYFUNCTION("""COMPUTED_VALUE"""),2006)</f>
        <v>2006</v>
      </c>
      <c r="E6987" s="10" t="str">
        <f ca="1">IFERROR(__xludf.DUMMYFUNCTION("""COMPUTED_VALUE"""),"Фенея, София : Фенея, 2006 ([София : ЕТ Е. Райков]) ISBN 978-954-8214-94-0")</f>
        <v>Фенея, София : Фенея, 2006 ([София : ЕТ Е. Райков]) ISBN 978-954-8214-94-0</v>
      </c>
      <c r="F6987" s="10"/>
      <c r="G6987" s="10"/>
      <c r="H6987" s="10"/>
      <c r="I6987" s="10"/>
      <c r="J6987" s="10"/>
      <c r="K6987" s="10"/>
      <c r="L6987" s="10"/>
      <c r="M6987" s="10"/>
      <c r="N6987" s="10"/>
      <c r="O6987" s="10"/>
      <c r="P6987" s="10"/>
      <c r="Q6987" s="10"/>
      <c r="R6987" s="10"/>
      <c r="S6987" s="10"/>
      <c r="T6987" s="10"/>
      <c r="U6987" s="10"/>
      <c r="V6987" s="10"/>
      <c r="W6987" s="10"/>
      <c r="X6987" s="10"/>
      <c r="Y6987" s="10"/>
      <c r="Z6987" s="10"/>
    </row>
    <row r="6988" spans="1:26" ht="12.75">
      <c r="A6988" s="10" t="str">
        <f ca="1">IFERROR(__xludf.DUMMYFUNCTION("""COMPUTED_VALUE"""),"Стефан Ангелов Симеонов")</f>
        <v>Стефан Ангелов Симеонов</v>
      </c>
      <c r="B6988" s="10" t="str">
        <f ca="1">IFERROR(__xludf.DUMMYFUNCTION("""COMPUTED_VALUE"""),"Студия")</f>
        <v>Студия</v>
      </c>
      <c r="C6988" s="10" t="str">
        <f ca="1">IFERROR(__xludf.DUMMYFUNCTION("""COMPUTED_VALUE"""),"„Оперативните дежурни части в системата на българската полиция (1879-1991).")</f>
        <v>„Оперативните дежурни части в системата на българската полиция (1879-1991).</v>
      </c>
      <c r="D6988" s="10">
        <f ca="1">IFERROR(__xludf.DUMMYFUNCTION("""COMPUTED_VALUE"""),2006)</f>
        <v>2006</v>
      </c>
      <c r="E6988" s="10" t="str">
        <f ca="1">IFERROR(__xludf.DUMMYFUNCTION("""COMPUTED_VALUE"""),"Годишник на АМВР, т. 21, 2006, с. 215-267“ ISBN 1312-6415")</f>
        <v>Годишник на АМВР, т. 21, 2006, с. 215-267“ ISBN 1312-6415</v>
      </c>
      <c r="F6988" s="10"/>
      <c r="G6988" s="10"/>
      <c r="H6988" s="10"/>
      <c r="I6988" s="10"/>
      <c r="J6988" s="10"/>
      <c r="K6988" s="10"/>
      <c r="L6988" s="10"/>
      <c r="M6988" s="10"/>
      <c r="N6988" s="10"/>
      <c r="O6988" s="10"/>
      <c r="P6988" s="10"/>
      <c r="Q6988" s="10"/>
      <c r="R6988" s="10"/>
      <c r="S6988" s="10"/>
      <c r="T6988" s="10"/>
      <c r="U6988" s="10"/>
      <c r="V6988" s="10"/>
      <c r="W6988" s="10"/>
      <c r="X6988" s="10"/>
      <c r="Y6988" s="10"/>
      <c r="Z6988" s="10"/>
    </row>
    <row r="6989" spans="1:26" ht="12.75">
      <c r="A6989" s="10" t="str">
        <f ca="1">IFERROR(__xludf.DUMMYFUNCTION("""COMPUTED_VALUE"""),"Стефан Ангелов Симеонов")</f>
        <v>Стефан Ангелов Симеонов</v>
      </c>
      <c r="B6989" s="10" t="str">
        <f ca="1">IFERROR(__xludf.DUMMYFUNCTION("""COMPUTED_VALUE"""),"Монография")</f>
        <v>Монография</v>
      </c>
      <c r="C6989" s="10" t="str">
        <f ca="1">IFERROR(__xludf.DUMMYFUNCTION("""COMPUTED_VALUE"""),"История на държавата и правото на чуждите страни")</f>
        <v>История на държавата и правото на чуждите страни</v>
      </c>
      <c r="D6989" s="10">
        <f ca="1">IFERROR(__xludf.DUMMYFUNCTION("""COMPUTED_VALUE"""),2005)</f>
        <v>2005</v>
      </c>
      <c r="E6989" s="10" t="str">
        <f ca="1">IFERROR(__xludf.DUMMYFUNCTION("""COMPUTED_VALUE"""),"ИВКО, София : Институт за висша квалификация и образование, 2005 ([София : Мултипринт]), ISBN 954-9416-06-2")</f>
        <v>ИВКО, София : Институт за висша квалификация и образование, 2005 ([София : Мултипринт]), ISBN 954-9416-06-2</v>
      </c>
      <c r="F6989" s="10"/>
      <c r="G6989" s="10" t="str">
        <f ca="1">IFERROR(__xludf.DUMMYFUNCTION("""COMPUTED_VALUE"""),"Р.Петков")</f>
        <v>Р.Петков</v>
      </c>
      <c r="H6989" s="10"/>
      <c r="I6989" s="10"/>
      <c r="J6989" s="10"/>
      <c r="K6989" s="10"/>
      <c r="L6989" s="10"/>
      <c r="M6989" s="10"/>
      <c r="N6989" s="10"/>
      <c r="O6989" s="10"/>
      <c r="P6989" s="10"/>
      <c r="Q6989" s="10"/>
      <c r="R6989" s="10"/>
      <c r="S6989" s="10"/>
      <c r="T6989" s="10"/>
      <c r="U6989" s="10"/>
      <c r="V6989" s="10"/>
      <c r="W6989" s="10"/>
      <c r="X6989" s="10"/>
      <c r="Y6989" s="10"/>
      <c r="Z6989" s="10"/>
    </row>
    <row r="6990" spans="1:26" ht="12.75">
      <c r="A6990" s="10" t="str">
        <f ca="1">IFERROR(__xludf.DUMMYFUNCTION("""COMPUTED_VALUE"""),"Стефан Ангелов Симеонов")</f>
        <v>Стефан Ангелов Симеонов</v>
      </c>
      <c r="B6990" s="10" t="str">
        <f ca="1">IFERROR(__xludf.DUMMYFUNCTION("""COMPUTED_VALUE"""),"Статия в списания и поредици")</f>
        <v>Статия в списания и поредици</v>
      </c>
      <c r="C6990" s="10" t="str">
        <f ca="1">IFERROR(__xludf.DUMMYFUNCTION("""COMPUTED_VALUE"""),"Инструментариум за въвеждане на Кодекса на служителите от МВР с полицейски правомощия.")</f>
        <v>Инструментариум за въвеждане на Кодекса на служителите от МВР с полицейски правомощия.</v>
      </c>
      <c r="D6990" s="10">
        <f ca="1">IFERROR(__xludf.DUMMYFUNCTION("""COMPUTED_VALUE"""),2005)</f>
        <v>2005</v>
      </c>
      <c r="E6990" s="10" t="str">
        <f ca="1">IFERROR(__xludf.DUMMYFUNCTION("""COMPUTED_VALUE"""),"“Етичният кодекс на служителите с полицейски правомощия”. ГорексПрес. С., 2005, с.32-39; ISBN 954-616-151-9")</f>
        <v>“Етичният кодекс на служителите с полицейски правомощия”. ГорексПрес. С., 2005, с.32-39; ISBN 954-616-151-9</v>
      </c>
      <c r="F6990" s="10"/>
      <c r="G6990" s="10"/>
      <c r="H6990" s="10"/>
      <c r="I6990" s="10"/>
      <c r="J6990" s="10"/>
      <c r="K6990" s="10"/>
      <c r="L6990" s="10"/>
      <c r="M6990" s="10"/>
      <c r="N6990" s="10"/>
      <c r="O6990" s="10"/>
      <c r="P6990" s="10"/>
      <c r="Q6990" s="10"/>
      <c r="R6990" s="10"/>
      <c r="S6990" s="10"/>
      <c r="T6990" s="10"/>
      <c r="U6990" s="10"/>
      <c r="V6990" s="10"/>
      <c r="W6990" s="10"/>
      <c r="X6990" s="10"/>
      <c r="Y6990" s="10"/>
      <c r="Z6990" s="10"/>
    </row>
    <row r="6991" spans="1:26" ht="12.75">
      <c r="A6991" s="10" t="str">
        <f ca="1">IFERROR(__xludf.DUMMYFUNCTION("""COMPUTED_VALUE"""),"Стефан Ангелов Симеонов")</f>
        <v>Стефан Ангелов Симеонов</v>
      </c>
      <c r="B6991" s="10" t="str">
        <f ca="1">IFERROR(__xludf.DUMMYFUNCTION("""COMPUTED_VALUE"""),"Студия")</f>
        <v>Студия</v>
      </c>
      <c r="C6991" s="10" t="str">
        <f ca="1">IFERROR(__xludf.DUMMYFUNCTION("""COMPUTED_VALUE"""),"Органите за ред и сигурност в България (1944-1991 г.)")</f>
        <v>Органите за ред и сигурност в България (1944-1991 г.)</v>
      </c>
      <c r="D6991" s="10">
        <f ca="1">IFERROR(__xludf.DUMMYFUNCTION("""COMPUTED_VALUE"""),2004)</f>
        <v>2004</v>
      </c>
      <c r="E6991" s="10" t="str">
        <f ca="1">IFERROR(__xludf.DUMMYFUNCTION("""COMPUTED_VALUE"""),"Годишник на АМВР, С., 2004, т. ХVІІ, с. 67-94, 27 стр., ISSN 1310-4691")</f>
        <v>Годишник на АМВР, С., 2004, т. ХVІІ, с. 67-94, 27 стр., ISSN 1310-4691</v>
      </c>
      <c r="F6991" s="10"/>
      <c r="G6991" s="10"/>
      <c r="H6991" s="10"/>
      <c r="I6991" s="10"/>
      <c r="J6991" s="10"/>
      <c r="K6991" s="10"/>
      <c r="L6991" s="10"/>
      <c r="M6991" s="10"/>
      <c r="N6991" s="10"/>
      <c r="O6991" s="10"/>
      <c r="P6991" s="10"/>
      <c r="Q6991" s="10"/>
      <c r="R6991" s="10"/>
      <c r="S6991" s="10"/>
      <c r="T6991" s="10"/>
      <c r="U6991" s="10"/>
      <c r="V6991" s="10"/>
      <c r="W6991" s="10"/>
      <c r="X6991" s="10"/>
      <c r="Y6991" s="10"/>
      <c r="Z6991" s="10"/>
    </row>
    <row r="6992" spans="1:26" ht="12.75">
      <c r="A6992" s="10" t="str">
        <f ca="1">IFERROR(__xludf.DUMMYFUNCTION("""COMPUTED_VALUE"""),"Стефан Ангелов Симеонов")</f>
        <v>Стефан Ангелов Симеонов</v>
      </c>
      <c r="B6992" s="10" t="str">
        <f ca="1">IFERROR(__xludf.DUMMYFUNCTION("""COMPUTED_VALUE"""),"Доклад от конференция")</f>
        <v>Доклад от конференция</v>
      </c>
      <c r="C6992" s="10" t="str">
        <f ca="1">IFERROR(__xludf.DUMMYFUNCTION("""COMPUTED_VALUE"""),"Организационно развитие на опозиционния ЗМС (август 1945-август 1947 г.)")</f>
        <v>Организационно развитие на опозиционния ЗМС (август 1945-август 1947 г.)</v>
      </c>
      <c r="D6992" s="10">
        <f ca="1">IFERROR(__xludf.DUMMYFUNCTION("""COMPUTED_VALUE"""),2004)</f>
        <v>2004</v>
      </c>
      <c r="E6992" s="10" t="str">
        <f ca="1">IFERROR(__xludf.DUMMYFUNCTION("""COMPUTED_VALUE"""),"“Следвоенна България между изтока и запада”, Национална научна конференция, 27-28.ІІ.2004, с. 199-217; ISBN - 10: 954-305-159-3; ISBN – 13: 978-954-305-159-5")</f>
        <v>“Следвоенна България между изтока и запада”, Национална научна конференция, 27-28.ІІ.2004, с. 199-217; ISBN - 10: 954-305-159-3; ISBN – 13: 978-954-305-159-5</v>
      </c>
      <c r="F6992" s="10"/>
      <c r="G6992" s="10"/>
      <c r="H6992" s="10"/>
      <c r="I6992" s="10"/>
      <c r="J6992" s="10"/>
      <c r="K6992" s="10"/>
      <c r="L6992" s="10"/>
      <c r="M6992" s="10"/>
      <c r="N6992" s="10"/>
      <c r="O6992" s="10"/>
      <c r="P6992" s="10"/>
      <c r="Q6992" s="10"/>
      <c r="R6992" s="10"/>
      <c r="S6992" s="10"/>
      <c r="T6992" s="10"/>
      <c r="U6992" s="10"/>
      <c r="V6992" s="10"/>
      <c r="W6992" s="10"/>
      <c r="X6992" s="10"/>
      <c r="Y6992" s="10"/>
      <c r="Z6992" s="10"/>
    </row>
    <row r="6993" spans="1:26" ht="12.75">
      <c r="A6993" s="10" t="str">
        <f ca="1">IFERROR(__xludf.DUMMYFUNCTION("""COMPUTED_VALUE"""),"Стефан Ангелов Симеонов")</f>
        <v>Стефан Ангелов Симеонов</v>
      </c>
      <c r="B6993" s="10" t="str">
        <f ca="1">IFERROR(__xludf.DUMMYFUNCTION("""COMPUTED_VALUE"""),"Статия в списания и поредици")</f>
        <v>Статия в списания и поредици</v>
      </c>
      <c r="C6993" s="10" t="str">
        <f ca="1">IFERROR(__xludf.DUMMYFUNCTION("""COMPUTED_VALUE"""),"Етични измерения на дейността на българската полиция")</f>
        <v>Етични измерения на дейността на българската полиция</v>
      </c>
      <c r="D6993" s="10">
        <f ca="1">IFERROR(__xludf.DUMMYFUNCTION("""COMPUTED_VALUE"""),2004)</f>
        <v>2004</v>
      </c>
      <c r="E6993" s="10" t="str">
        <f ca="1">IFERROR(__xludf.DUMMYFUNCTION("""COMPUTED_VALUE"""),"Полицията в близост до обществото. Горекс Прес, С., 2004")</f>
        <v>Полицията в близост до обществото. Горекс Прес, С., 2004</v>
      </c>
      <c r="F6993" s="10"/>
      <c r="G6993" s="10"/>
      <c r="H6993" s="10"/>
      <c r="I6993" s="10"/>
      <c r="J6993" s="10"/>
      <c r="K6993" s="10"/>
      <c r="L6993" s="10"/>
      <c r="M6993" s="10"/>
      <c r="N6993" s="10"/>
      <c r="O6993" s="10"/>
      <c r="P6993" s="10"/>
      <c r="Q6993" s="10"/>
      <c r="R6993" s="10"/>
      <c r="S6993" s="10"/>
      <c r="T6993" s="10"/>
      <c r="U6993" s="10"/>
      <c r="V6993" s="10"/>
      <c r="W6993" s="10"/>
      <c r="X6993" s="10"/>
      <c r="Y6993" s="10"/>
      <c r="Z6993" s="10"/>
    </row>
    <row r="6994" spans="1:26" ht="12.75">
      <c r="A6994" s="10" t="str">
        <f ca="1">IFERROR(__xludf.DUMMYFUNCTION("""COMPUTED_VALUE"""),"Стефан Ангелов Симеонов")</f>
        <v>Стефан Ангелов Симеонов</v>
      </c>
      <c r="B6994" s="10" t="str">
        <f ca="1">IFERROR(__xludf.DUMMYFUNCTION("""COMPUTED_VALUE"""),"Студия")</f>
        <v>Студия</v>
      </c>
      <c r="C6994" s="10" t="str">
        <f ca="1">IFERROR(__xludf.DUMMYFUNCTION("""COMPUTED_VALUE"""),"Органите за ред и сигурност в България (1944-1991 г.)")</f>
        <v>Органите за ред и сигурност в България (1944-1991 г.)</v>
      </c>
      <c r="D6994" s="10">
        <f ca="1">IFERROR(__xludf.DUMMYFUNCTION("""COMPUTED_VALUE"""),2004)</f>
        <v>2004</v>
      </c>
      <c r="E6994" s="10" t="str">
        <f ca="1">IFERROR(__xludf.DUMMYFUNCTION("""COMPUTED_VALUE"""),"Годишник на АМВР, С., 2004, т. ХVІІ")</f>
        <v>Годишник на АМВР, С., 2004, т. ХVІІ</v>
      </c>
      <c r="F6994" s="10"/>
      <c r="G6994" s="10"/>
      <c r="H6994" s="10"/>
      <c r="I6994" s="10"/>
      <c r="J6994" s="10"/>
      <c r="K6994" s="10"/>
      <c r="L6994" s="10"/>
      <c r="M6994" s="10"/>
      <c r="N6994" s="10"/>
      <c r="O6994" s="10"/>
      <c r="P6994" s="10"/>
      <c r="Q6994" s="10"/>
      <c r="R6994" s="10"/>
      <c r="S6994" s="10"/>
      <c r="T6994" s="10"/>
      <c r="U6994" s="10"/>
      <c r="V6994" s="10"/>
      <c r="W6994" s="10"/>
      <c r="X6994" s="10"/>
      <c r="Y6994" s="10"/>
      <c r="Z6994" s="10"/>
    </row>
    <row r="6995" spans="1:26" ht="12.75">
      <c r="A6995" s="10" t="str">
        <f ca="1">IFERROR(__xludf.DUMMYFUNCTION("""COMPUTED_VALUE"""),"Стефан Ангелов Симеонов")</f>
        <v>Стефан Ангелов Симеонов</v>
      </c>
      <c r="B6995" s="10" t="str">
        <f ca="1">IFERROR(__xludf.DUMMYFUNCTION("""COMPUTED_VALUE"""),"Монография")</f>
        <v>Монография</v>
      </c>
      <c r="C6995" s="10" t="str">
        <f ca="1">IFERROR(__xludf.DUMMYFUNCTION("""COMPUTED_VALUE"""),"Организация и система на българската полиция")</f>
        <v>Организация и система на българската полиция</v>
      </c>
      <c r="D6995" s="10">
        <f ca="1">IFERROR(__xludf.DUMMYFUNCTION("""COMPUTED_VALUE"""),2003)</f>
        <v>2003</v>
      </c>
      <c r="E6995" s="10" t="str">
        <f ca="1">IFERROR(__xludf.DUMMYFUNCTION("""COMPUTED_VALUE"""),"Академия на МВР, COBISS.BG-ID 1263514852")</f>
        <v>Академия на МВР, COBISS.BG-ID 1263514852</v>
      </c>
      <c r="F6995" s="10"/>
      <c r="G6995" s="10"/>
      <c r="H6995" s="10"/>
      <c r="I6995" s="10"/>
      <c r="J6995" s="10"/>
      <c r="K6995" s="10"/>
      <c r="L6995" s="10"/>
      <c r="M6995" s="10"/>
      <c r="N6995" s="10"/>
      <c r="O6995" s="10"/>
      <c r="P6995" s="10"/>
      <c r="Q6995" s="10"/>
      <c r="R6995" s="10"/>
      <c r="S6995" s="10"/>
      <c r="T6995" s="10"/>
      <c r="U6995" s="10"/>
      <c r="V6995" s="10"/>
      <c r="W6995" s="10"/>
      <c r="X6995" s="10"/>
      <c r="Y6995" s="10"/>
      <c r="Z6995" s="10"/>
    </row>
    <row r="6996" spans="1:26" ht="12.75">
      <c r="A6996" s="10" t="str">
        <f ca="1">IFERROR(__xludf.DUMMYFUNCTION("""COMPUTED_VALUE"""),"Стефан Ангелов Симеонов")</f>
        <v>Стефан Ангелов Симеонов</v>
      </c>
      <c r="B6996" s="10" t="str">
        <f ca="1">IFERROR(__xludf.DUMMYFUNCTION("""COMPUTED_VALUE"""),"Книга")</f>
        <v>Книга</v>
      </c>
      <c r="C6996" s="10" t="str">
        <f ca="1">IFERROR(__xludf.DUMMYFUNCTION("""COMPUTED_VALUE"""),"Полицията в България (1879-1944). Исторически, правни и управленски въпроси")</f>
        <v>Полицията в България (1879-1944). Исторически, правни и управленски въпроси</v>
      </c>
      <c r="D6996" s="10">
        <f ca="1">IFERROR(__xludf.DUMMYFUNCTION("""COMPUTED_VALUE"""),2003)</f>
        <v>2003</v>
      </c>
      <c r="E6996" s="10" t="str">
        <f ca="1">IFERROR(__xludf.DUMMYFUNCTION("""COMPUTED_VALUE"""),"""София : Албатрос, 2003 ([София] : Скала) Физическо описание 192 с. : със сх. ; 23 см, ISBN 954-751-049-5""")</f>
        <v>"София : Албатрос, 2003 ([София] : Скала) Физическо описание 192 с. : със сх. ; 23 см, ISBN 954-751-049-5"</v>
      </c>
      <c r="F6996" s="10"/>
      <c r="G6996" s="10"/>
      <c r="H6996" s="10"/>
      <c r="I6996" s="10"/>
      <c r="J6996" s="10"/>
      <c r="K6996" s="10"/>
      <c r="L6996" s="10"/>
      <c r="M6996" s="10"/>
      <c r="N6996" s="10"/>
      <c r="O6996" s="10"/>
      <c r="P6996" s="10"/>
      <c r="Q6996" s="10"/>
      <c r="R6996" s="10"/>
      <c r="S6996" s="10"/>
      <c r="T6996" s="10"/>
      <c r="U6996" s="10"/>
      <c r="V6996" s="10"/>
      <c r="W6996" s="10"/>
      <c r="X6996" s="10"/>
      <c r="Y6996" s="10"/>
      <c r="Z6996" s="10"/>
    </row>
    <row r="6997" spans="1:26" ht="12.75">
      <c r="A6997" s="10" t="str">
        <f ca="1">IFERROR(__xludf.DUMMYFUNCTION("""COMPUTED_VALUE"""),"Стефан Ангелов Симеонов")</f>
        <v>Стефан Ангелов Симеонов</v>
      </c>
      <c r="B6997" s="10" t="str">
        <f ca="1">IFERROR(__xludf.DUMMYFUNCTION("""COMPUTED_VALUE"""),"Статия в списания и поредици")</f>
        <v>Статия в списания и поредици</v>
      </c>
      <c r="C6997" s="10" t="str">
        <f ca="1">IFERROR(__xludf.DUMMYFUNCTION("""COMPUTED_VALUE"""),"Съвременни измерения на тайната полиция на Васил Левски")</f>
        <v>Съвременни измерения на тайната полиция на Васил Левски</v>
      </c>
      <c r="D6997" s="10">
        <f ca="1">IFERROR(__xludf.DUMMYFUNCTION("""COMPUTED_VALUE"""),2003)</f>
        <v>2003</v>
      </c>
      <c r="E6997" s="10" t="str">
        <f ca="1">IFERROR(__xludf.DUMMYFUNCTION("""COMPUTED_VALUE"""),"Годишник на ВСУ, 2003, т. IX, c. 402-407; ISSN 1310-800-X")</f>
        <v>Годишник на ВСУ, 2003, т. IX, c. 402-407; ISSN 1310-800-X</v>
      </c>
      <c r="F6997" s="10"/>
      <c r="G6997" s="10"/>
      <c r="H6997" s="10"/>
      <c r="I6997" s="10"/>
      <c r="J6997" s="10"/>
      <c r="K6997" s="10"/>
      <c r="L6997" s="10"/>
      <c r="M6997" s="10"/>
      <c r="N6997" s="10"/>
      <c r="O6997" s="10"/>
      <c r="P6997" s="10"/>
      <c r="Q6997" s="10"/>
      <c r="R6997" s="10"/>
      <c r="S6997" s="10"/>
      <c r="T6997" s="10"/>
      <c r="U6997" s="10"/>
      <c r="V6997" s="10"/>
      <c r="W6997" s="10"/>
      <c r="X6997" s="10"/>
      <c r="Y6997" s="10"/>
      <c r="Z6997" s="10"/>
    </row>
    <row r="6998" spans="1:26" ht="12.75">
      <c r="A6998" s="10" t="str">
        <f ca="1">IFERROR(__xludf.DUMMYFUNCTION("""COMPUTED_VALUE"""),"Стефан Ангелов Симеонов")</f>
        <v>Стефан Ангелов Симеонов</v>
      </c>
      <c r="B6998" s="10" t="str">
        <f ca="1">IFERROR(__xludf.DUMMYFUNCTION("""COMPUTED_VALUE"""),"Статия в списания и поредици")</f>
        <v>Статия в списания и поредици</v>
      </c>
      <c r="C6998" s="10" t="str">
        <f ca="1">IFERROR(__xludf.DUMMYFUNCTION("""COMPUTED_VALUE"""),"Приемственост и традиции в развитието на жандармерията (историко-правен анализ)")</f>
        <v>Приемственост и традиции в развитието на жандармерията (историко-правен анализ)</v>
      </c>
      <c r="D6998" s="10">
        <f ca="1">IFERROR(__xludf.DUMMYFUNCTION("""COMPUTED_VALUE"""),2002)</f>
        <v>2002</v>
      </c>
      <c r="E6998" s="10" t="str">
        <f ca="1">IFERROR(__xludf.DUMMYFUNCTION("""COMPUTED_VALUE"""),"Национална служба ""Жандармерия"" - междинен етап на преструктуриране. Горекс Прес, С., 2002, с. 25-31; ISBN 954-616-105-5")</f>
        <v>Национална служба "Жандармерия" - междинен етап на преструктуриране. Горекс Прес, С., 2002, с. 25-31; ISBN 954-616-105-5</v>
      </c>
      <c r="F6998" s="10"/>
      <c r="G6998" s="10"/>
      <c r="H6998" s="10"/>
      <c r="I6998" s="10"/>
      <c r="J6998" s="10"/>
      <c r="K6998" s="10"/>
      <c r="L6998" s="10"/>
      <c r="M6998" s="10"/>
      <c r="N6998" s="10"/>
      <c r="O6998" s="10"/>
      <c r="P6998" s="10"/>
      <c r="Q6998" s="10"/>
      <c r="R6998" s="10"/>
      <c r="S6998" s="10"/>
      <c r="T6998" s="10"/>
      <c r="U6998" s="10"/>
      <c r="V6998" s="10"/>
      <c r="W6998" s="10"/>
      <c r="X6998" s="10"/>
      <c r="Y6998" s="10"/>
      <c r="Z6998" s="10"/>
    </row>
    <row r="6999" spans="1:26" ht="12.75">
      <c r="A6999" s="10" t="str">
        <f ca="1">IFERROR(__xludf.DUMMYFUNCTION("""COMPUTED_VALUE"""),"Стефан Ангелов Симеонов")</f>
        <v>Стефан Ангелов Симеонов</v>
      </c>
      <c r="B6999" s="10" t="str">
        <f ca="1">IFERROR(__xludf.DUMMYFUNCTION("""COMPUTED_VALUE"""),"Монография")</f>
        <v>Монография</v>
      </c>
      <c r="C6999" s="10" t="str">
        <f ca="1">IFERROR(__xludf.DUMMYFUNCTION("""COMPUTED_VALUE"""),"Съвременни методи на работа на полицията с населението.")</f>
        <v>Съвременни методи на работа на полицията с населението.</v>
      </c>
      <c r="D6999" s="10">
        <f ca="1">IFERROR(__xludf.DUMMYFUNCTION("""COMPUTED_VALUE"""),2002)</f>
        <v>2002</v>
      </c>
      <c r="E6999" s="10" t="str">
        <f ca="1">IFERROR(__xludf.DUMMYFUNCTION("""COMPUTED_VALUE"""),"Фабер, В. Търново : Фабер, 2002, ISBN 954-775-156-5")</f>
        <v>Фабер, В. Търново : Фабер, 2002, ISBN 954-775-156-5</v>
      </c>
      <c r="F6999" s="10"/>
      <c r="G6999" s="10"/>
      <c r="H6999" s="10"/>
      <c r="I6999" s="10"/>
      <c r="J6999" s="10"/>
      <c r="K6999" s="10"/>
      <c r="L6999" s="10"/>
      <c r="M6999" s="10"/>
      <c r="N6999" s="10"/>
      <c r="O6999" s="10"/>
      <c r="P6999" s="10"/>
      <c r="Q6999" s="10"/>
      <c r="R6999" s="10"/>
      <c r="S6999" s="10"/>
      <c r="T6999" s="10"/>
      <c r="U6999" s="10"/>
      <c r="V6999" s="10"/>
      <c r="W6999" s="10"/>
      <c r="X6999" s="10"/>
      <c r="Y6999" s="10"/>
      <c r="Z6999" s="10"/>
    </row>
    <row r="7000" spans="1:26" ht="12.75">
      <c r="A7000" s="10" t="str">
        <f ca="1">IFERROR(__xludf.DUMMYFUNCTION("""COMPUTED_VALUE"""),"Стефан Ангелов Симеонов")</f>
        <v>Стефан Ангелов Симеонов</v>
      </c>
      <c r="B7000" s="10" t="str">
        <f ca="1">IFERROR(__xludf.DUMMYFUNCTION("""COMPUTED_VALUE"""),"Статия в списания и поредици")</f>
        <v>Статия в списания и поредици</v>
      </c>
      <c r="C7000" s="10" t="str">
        <f ca="1">IFERROR(__xludf.DUMMYFUNCTION("""COMPUTED_VALUE"""),"Добрата полицейска практика и закрилата на детето")</f>
        <v>Добрата полицейска практика и закрилата на детето</v>
      </c>
      <c r="D7000" s="10">
        <f ca="1">IFERROR(__xludf.DUMMYFUNCTION("""COMPUTED_VALUE"""),2001)</f>
        <v>2001</v>
      </c>
      <c r="E7000" s="10" t="str">
        <f ca="1">IFERROR(__xludf.DUMMYFUNCTION("""COMPUTED_VALUE"""),"Закрилата на дедето и новият век. Горекс Прес, 2001")</f>
        <v>Закрилата на дедето и новият век. Горекс Прес, 2001</v>
      </c>
      <c r="F7000" s="10"/>
      <c r="G7000" s="10"/>
      <c r="H7000" s="10"/>
      <c r="I7000" s="10"/>
      <c r="J7000" s="10"/>
      <c r="K7000" s="10"/>
      <c r="L7000" s="10"/>
      <c r="M7000" s="10"/>
      <c r="N7000" s="10"/>
      <c r="O7000" s="10"/>
      <c r="P7000" s="10"/>
      <c r="Q7000" s="10"/>
      <c r="R7000" s="10"/>
      <c r="S7000" s="10"/>
      <c r="T7000" s="10"/>
      <c r="U7000" s="10"/>
      <c r="V7000" s="10"/>
      <c r="W7000" s="10"/>
      <c r="X7000" s="10"/>
      <c r="Y7000" s="10"/>
      <c r="Z7000" s="10"/>
    </row>
    <row r="7001" spans="1:26" ht="12.75">
      <c r="A7001" s="10" t="str">
        <f ca="1">IFERROR(__xludf.DUMMYFUNCTION("""COMPUTED_VALUE"""),"Стефан Ангелов Симеонов")</f>
        <v>Стефан Ангелов Симеонов</v>
      </c>
      <c r="B7001" s="10" t="str">
        <f ca="1">IFERROR(__xludf.DUMMYFUNCTION("""COMPUTED_VALUE"""),"Статия в списания и поредици")</f>
        <v>Статия в списания и поредици</v>
      </c>
      <c r="C7001" s="10" t="str">
        <f ca="1">IFERROR(__xludf.DUMMYFUNCTION("""COMPUTED_VALUE"""),"Беше ли Янко агент на Гешев?")</f>
        <v>Беше ли Янко агент на Гешев?</v>
      </c>
      <c r="D7001" s="10">
        <f ca="1">IFERROR(__xludf.DUMMYFUNCTION("""COMPUTED_VALUE"""),2001)</f>
        <v>2001</v>
      </c>
      <c r="E7001" s="10" t="str">
        <f ca="1">IFERROR(__xludf.DUMMYFUNCTION("""COMPUTED_VALUE"""),"""Историкът, гражданин и учен. "", сборник в чест на академик Илчо Димитров. УИ ""Св. Кл. Охридски"", С., 2001, с. 217-228; ISBN 954-07-1575-N")</f>
        <v>"Историкът, гражданин и учен. ", сборник в чест на академик Илчо Димитров. УИ "Св. Кл. Охридски", С., 2001, с. 217-228; ISBN 954-07-1575-N</v>
      </c>
      <c r="F7001" s="10"/>
      <c r="G7001" s="10"/>
      <c r="H7001" s="10"/>
      <c r="I7001" s="10"/>
      <c r="J7001" s="10"/>
      <c r="K7001" s="10"/>
      <c r="L7001" s="10"/>
      <c r="M7001" s="10"/>
      <c r="N7001" s="10"/>
      <c r="O7001" s="10"/>
      <c r="P7001" s="10"/>
      <c r="Q7001" s="10"/>
      <c r="R7001" s="10"/>
      <c r="S7001" s="10"/>
      <c r="T7001" s="10"/>
      <c r="U7001" s="10"/>
      <c r="V7001" s="10"/>
      <c r="W7001" s="10"/>
      <c r="X7001" s="10"/>
      <c r="Y7001" s="10"/>
      <c r="Z7001" s="10"/>
    </row>
    <row r="7002" spans="1:26" ht="12.75">
      <c r="A7002" s="10" t="str">
        <f ca="1">IFERROR(__xludf.DUMMYFUNCTION("""COMPUTED_VALUE"""),"Стефан Ангелов Симеонов")</f>
        <v>Стефан Ангелов Симеонов</v>
      </c>
      <c r="B7002" s="10" t="str">
        <f ca="1">IFERROR(__xludf.DUMMYFUNCTION("""COMPUTED_VALUE"""),"Книга")</f>
        <v>Книга</v>
      </c>
      <c r="C7002" s="10" t="str">
        <f ca="1">IFERROR(__xludf.DUMMYFUNCTION("""COMPUTED_VALUE"""),"Полиция и закон. Документален сборник за устройството на полицейската институция (1877-1947).")</f>
        <v>Полиция и закон. Документален сборник за устройството на полицейската институция (1877-1947).</v>
      </c>
      <c r="D7002" s="10">
        <f ca="1">IFERROR(__xludf.DUMMYFUNCTION("""COMPUTED_VALUE"""),2001)</f>
        <v>2001</v>
      </c>
      <c r="E7002" s="10" t="str">
        <f ca="1">IFERROR(__xludf.DUMMYFUNCTION("""COMPUTED_VALUE"""),"Университетско издателство ""Св. Кл. Охридски""")</f>
        <v>Университетско издателство "Св. Кл. Охридски"</v>
      </c>
      <c r="F7002" s="10"/>
      <c r="G7002" s="10"/>
      <c r="H7002" s="10"/>
      <c r="I7002" s="10"/>
      <c r="J7002" s="10"/>
      <c r="K7002" s="10"/>
      <c r="L7002" s="10"/>
      <c r="M7002" s="10"/>
      <c r="N7002" s="10"/>
      <c r="O7002" s="10"/>
      <c r="P7002" s="10"/>
      <c r="Q7002" s="10"/>
      <c r="R7002" s="10"/>
      <c r="S7002" s="10"/>
      <c r="T7002" s="10"/>
      <c r="U7002" s="10"/>
      <c r="V7002" s="10"/>
      <c r="W7002" s="10"/>
      <c r="X7002" s="10"/>
      <c r="Y7002" s="10"/>
      <c r="Z7002" s="10"/>
    </row>
    <row r="7003" spans="1:26" ht="12.75">
      <c r="A7003" s="10" t="str">
        <f ca="1">IFERROR(__xludf.DUMMYFUNCTION("""COMPUTED_VALUE"""),"Стефан Ангелов Симеонов")</f>
        <v>Стефан Ангелов Симеонов</v>
      </c>
      <c r="B7003" s="10" t="str">
        <f ca="1">IFERROR(__xludf.DUMMYFUNCTION("""COMPUTED_VALUE"""),"Статия в списания и поредици")</f>
        <v>Статия в списания и поредици</v>
      </c>
      <c r="C7003" s="10" t="str">
        <f ca="1">IFERROR(__xludf.DUMMYFUNCTION("""COMPUTED_VALUE"""),"Исторически аспекти в развитието на жандармерията (1881-1944)")</f>
        <v>Исторически аспекти в развитието на жандармерията (1881-1944)</v>
      </c>
      <c r="D7003" s="10">
        <f ca="1">IFERROR(__xludf.DUMMYFUNCTION("""COMPUTED_VALUE"""),2001)</f>
        <v>2001</v>
      </c>
      <c r="E7003" s="10" t="str">
        <f ca="1">IFERROR(__xludf.DUMMYFUNCTION("""COMPUTED_VALUE"""),"Национална служба ""Жандармерия"" в съвременното общество, Горекс Прес, 2001, с. 28-39; ISBN 954-616-085-7")</f>
        <v>Национална служба "Жандармерия" в съвременното общество, Горекс Прес, 2001, с. 28-39; ISBN 954-616-085-7</v>
      </c>
      <c r="F7003" s="10"/>
      <c r="G7003" s="10"/>
      <c r="H7003" s="10"/>
      <c r="I7003" s="10"/>
      <c r="J7003" s="10"/>
      <c r="K7003" s="10"/>
      <c r="L7003" s="10"/>
      <c r="M7003" s="10"/>
      <c r="N7003" s="10"/>
      <c r="O7003" s="10"/>
      <c r="P7003" s="10"/>
      <c r="Q7003" s="10"/>
      <c r="R7003" s="10"/>
      <c r="S7003" s="10"/>
      <c r="T7003" s="10"/>
      <c r="U7003" s="10"/>
      <c r="V7003" s="10"/>
      <c r="W7003" s="10"/>
      <c r="X7003" s="10"/>
      <c r="Y7003" s="10"/>
      <c r="Z7003" s="10"/>
    </row>
    <row r="7004" spans="1:26" ht="12.75">
      <c r="A7004" s="10" t="str">
        <f ca="1">IFERROR(__xludf.DUMMYFUNCTION("""COMPUTED_VALUE"""),"Стефан Ангелов Симеонов")</f>
        <v>Стефан Ангелов Симеонов</v>
      </c>
      <c r="B7004" s="10" t="str">
        <f ca="1">IFERROR(__xludf.DUMMYFUNCTION("""COMPUTED_VALUE"""),"Статия в списания и поредици")</f>
        <v>Статия в списания и поредици</v>
      </c>
      <c r="C7004" s="10" t="str">
        <f ca="1">IFERROR(__xludf.DUMMYFUNCTION("""COMPUTED_VALUE"""),"Противодействие на футболното хулиганство - социална дейност на полицията")</f>
        <v>Противодействие на футболното хулиганство - социална дейност на полицията</v>
      </c>
      <c r="D7004" s="10">
        <f ca="1">IFERROR(__xludf.DUMMYFUNCTION("""COMPUTED_VALUE"""),2001)</f>
        <v>2001</v>
      </c>
      <c r="E7004" s="10" t="str">
        <f ca="1">IFERROR(__xludf.DUMMYFUNCTION("""COMPUTED_VALUE"""),"Противодействие на футболното хулиганство. Горекс Прес, С., 2001")</f>
        <v>Противодействие на футболното хулиганство. Горекс Прес, С., 2001</v>
      </c>
      <c r="F7004" s="10"/>
      <c r="G7004" s="10"/>
      <c r="H7004" s="10"/>
      <c r="I7004" s="10"/>
      <c r="J7004" s="10"/>
      <c r="K7004" s="10"/>
      <c r="L7004" s="10"/>
      <c r="M7004" s="10"/>
      <c r="N7004" s="10"/>
      <c r="O7004" s="10"/>
      <c r="P7004" s="10"/>
      <c r="Q7004" s="10"/>
      <c r="R7004" s="10"/>
      <c r="S7004" s="10"/>
      <c r="T7004" s="10"/>
      <c r="U7004" s="10"/>
      <c r="V7004" s="10"/>
      <c r="W7004" s="10"/>
      <c r="X7004" s="10"/>
      <c r="Y7004" s="10"/>
      <c r="Z7004" s="10"/>
    </row>
    <row r="7005" spans="1:26" ht="12.75">
      <c r="A7005" s="10" t="str">
        <f ca="1">IFERROR(__xludf.DUMMYFUNCTION("""COMPUTED_VALUE"""),"Стефан Ангелов Симеонов")</f>
        <v>Стефан Ангелов Симеонов</v>
      </c>
      <c r="B7005" s="10" t="str">
        <f ca="1">IFERROR(__xludf.DUMMYFUNCTION("""COMPUTED_VALUE"""),"Статия в списания и поредици")</f>
        <v>Статия в списания и поредици</v>
      </c>
      <c r="C7005" s="10" t="str">
        <f ca="1">IFERROR(__xludf.DUMMYFUNCTION("""COMPUTED_VALUE"""),"Превратът на 19 май 1934 г. и развитието на полицейската институция")</f>
        <v>Превратът на 19 май 1934 г. и развитието на полицейската институция</v>
      </c>
      <c r="D7005" s="10">
        <f ca="1">IFERROR(__xludf.DUMMYFUNCTION("""COMPUTED_VALUE"""),2001)</f>
        <v>2001</v>
      </c>
      <c r="E7005" s="10" t="str">
        <f ca="1">IFERROR(__xludf.DUMMYFUNCTION("""COMPUTED_VALUE"""),"Бюлетин Факултет ""Полиция"", ВИПОНД-МВР, С., 2001, № 11, с. 96-105; ISSN 1310-4705")</f>
        <v>Бюлетин Факултет "Полиция", ВИПОНД-МВР, С., 2001, № 11, с. 96-105; ISSN 1310-4705</v>
      </c>
      <c r="F7005" s="10"/>
      <c r="G7005" s="10"/>
      <c r="H7005" s="10"/>
      <c r="I7005" s="10"/>
      <c r="J7005" s="10"/>
      <c r="K7005" s="10"/>
      <c r="L7005" s="10"/>
      <c r="M7005" s="10"/>
      <c r="N7005" s="10"/>
      <c r="O7005" s="10"/>
      <c r="P7005" s="10"/>
      <c r="Q7005" s="10"/>
      <c r="R7005" s="10"/>
      <c r="S7005" s="10"/>
      <c r="T7005" s="10"/>
      <c r="U7005" s="10"/>
      <c r="V7005" s="10"/>
      <c r="W7005" s="10"/>
      <c r="X7005" s="10"/>
      <c r="Y7005" s="10"/>
      <c r="Z7005" s="10"/>
    </row>
    <row r="7006" spans="1:26" ht="12.75">
      <c r="A7006" s="10" t="str">
        <f ca="1">IFERROR(__xludf.DUMMYFUNCTION("""COMPUTED_VALUE"""),"Стефан Ангелов Симеонов")</f>
        <v>Стефан Ангелов Симеонов</v>
      </c>
      <c r="B7006" s="10" t="str">
        <f ca="1">IFERROR(__xludf.DUMMYFUNCTION("""COMPUTED_VALUE"""),"Статия в списания и поредици")</f>
        <v>Статия в списания и поредици</v>
      </c>
      <c r="C7006" s="10" t="str">
        <f ca="1">IFERROR(__xludf.DUMMYFUNCTION("""COMPUTED_VALUE"""),"Исторически аспекти в развитието на жандармерията (1881-1944)")</f>
        <v>Исторически аспекти в развитието на жандармерията (1881-1944)</v>
      </c>
      <c r="D7006" s="10">
        <f ca="1">IFERROR(__xludf.DUMMYFUNCTION("""COMPUTED_VALUE"""),2001)</f>
        <v>2001</v>
      </c>
      <c r="E7006" s="10" t="str">
        <f ca="1">IFERROR(__xludf.DUMMYFUNCTION("""COMPUTED_VALUE"""),"НС ""Жандармерия"" в съвременното общество, Горекс Прес, 2001")</f>
        <v>НС "Жандармерия" в съвременното общество, Горекс Прес, 2001</v>
      </c>
      <c r="F7006" s="10"/>
      <c r="G7006" s="10"/>
      <c r="H7006" s="10"/>
      <c r="I7006" s="10"/>
      <c r="J7006" s="10"/>
      <c r="K7006" s="10"/>
      <c r="L7006" s="10"/>
      <c r="M7006" s="10"/>
      <c r="N7006" s="10"/>
      <c r="O7006" s="10"/>
      <c r="P7006" s="10"/>
      <c r="Q7006" s="10"/>
      <c r="R7006" s="10"/>
      <c r="S7006" s="10"/>
      <c r="T7006" s="10"/>
      <c r="U7006" s="10"/>
      <c r="V7006" s="10"/>
      <c r="W7006" s="10"/>
      <c r="X7006" s="10"/>
      <c r="Y7006" s="10"/>
      <c r="Z7006" s="10"/>
    </row>
    <row r="7007" spans="1:26" ht="12.75">
      <c r="A7007" s="10" t="str">
        <f ca="1">IFERROR(__xludf.DUMMYFUNCTION("""COMPUTED_VALUE"""),"Стефан Ангелов Симеонов")</f>
        <v>Стефан Ангелов Симеонов</v>
      </c>
      <c r="B7007" s="10" t="str">
        <f ca="1">IFERROR(__xludf.DUMMYFUNCTION("""COMPUTED_VALUE"""),"Статия в списания и поредици")</f>
        <v>Статия в списания и поредици</v>
      </c>
      <c r="C7007" s="10" t="str">
        <f ca="1">IFERROR(__xludf.DUMMYFUNCTION("""COMPUTED_VALUE"""),"Превратът на 19 май 1934 г. и развитиетона полицейската институция")</f>
        <v>Превратът на 19 май 1934 г. и развитиетона полицейската институция</v>
      </c>
      <c r="D7007" s="10">
        <f ca="1">IFERROR(__xludf.DUMMYFUNCTION("""COMPUTED_VALUE"""),2001)</f>
        <v>2001</v>
      </c>
      <c r="E7007" s="10" t="str">
        <f ca="1">IFERROR(__xludf.DUMMYFUNCTION("""COMPUTED_VALUE"""),"Бюлетин Факултет ""Полиция"", ВИПОНД-МВР, С., 2001, № 11")</f>
        <v>Бюлетин Факултет "Полиция", ВИПОНД-МВР, С., 2001, № 11</v>
      </c>
      <c r="F7007" s="10"/>
      <c r="G7007" s="10"/>
      <c r="H7007" s="10"/>
      <c r="I7007" s="10"/>
      <c r="J7007" s="10"/>
      <c r="K7007" s="10"/>
      <c r="L7007" s="10"/>
      <c r="M7007" s="10"/>
      <c r="N7007" s="10"/>
      <c r="O7007" s="10"/>
      <c r="P7007" s="10"/>
      <c r="Q7007" s="10"/>
      <c r="R7007" s="10"/>
      <c r="S7007" s="10"/>
      <c r="T7007" s="10"/>
      <c r="U7007" s="10"/>
      <c r="V7007" s="10"/>
      <c r="W7007" s="10"/>
      <c r="X7007" s="10"/>
      <c r="Y7007" s="10"/>
      <c r="Z7007" s="10"/>
    </row>
    <row r="7008" spans="1:26" ht="12.75">
      <c r="A7008" s="10" t="str">
        <f ca="1">IFERROR(__xludf.DUMMYFUNCTION("""COMPUTED_VALUE"""),"Стефан Ангелов Симеонов")</f>
        <v>Стефан Ангелов Симеонов</v>
      </c>
      <c r="B7008" s="10" t="str">
        <f ca="1">IFERROR(__xludf.DUMMYFUNCTION("""COMPUTED_VALUE"""),"Статия в списания и поредици")</f>
        <v>Статия в списания и поредици</v>
      </c>
      <c r="C7008" s="10" t="str">
        <f ca="1">IFERROR(__xludf.DUMMYFUNCTION("""COMPUTED_VALUE"""),"Доинституционално изграждане на полицейските служби в България (1876-1877)")</f>
        <v>Доинституционално изграждане на полицейските служби в България (1876-1877)</v>
      </c>
      <c r="D7008" s="10">
        <f ca="1">IFERROR(__xludf.DUMMYFUNCTION("""COMPUTED_VALUE"""),2000)</f>
        <v>2000</v>
      </c>
      <c r="E7008" s="10" t="str">
        <f ca="1">IFERROR(__xludf.DUMMYFUNCTION("""COMPUTED_VALUE"""),"Полицияята и предизвикателствата на 21 век. Горекс Прес, 2000")</f>
        <v>Полицияята и предизвикателствата на 21 век. Горекс Прес, 2000</v>
      </c>
      <c r="F7008" s="10"/>
      <c r="G7008" s="10"/>
      <c r="H7008" s="10"/>
      <c r="I7008" s="10"/>
      <c r="J7008" s="10"/>
      <c r="K7008" s="10"/>
      <c r="L7008" s="10"/>
      <c r="M7008" s="10"/>
      <c r="N7008" s="10"/>
      <c r="O7008" s="10"/>
      <c r="P7008" s="10"/>
      <c r="Q7008" s="10"/>
      <c r="R7008" s="10"/>
      <c r="S7008" s="10"/>
      <c r="T7008" s="10"/>
      <c r="U7008" s="10"/>
      <c r="V7008" s="10"/>
      <c r="W7008" s="10"/>
      <c r="X7008" s="10"/>
      <c r="Y7008" s="10"/>
      <c r="Z7008" s="10"/>
    </row>
    <row r="7009" spans="1:26" ht="12.75">
      <c r="A7009" s="10" t="str">
        <f ca="1">IFERROR(__xludf.DUMMYFUNCTION("""COMPUTED_VALUE"""),"Стефан Ангелов Симеонов")</f>
        <v>Стефан Ангелов Симеонов</v>
      </c>
      <c r="B7009" s="10" t="str">
        <f ca="1">IFERROR(__xludf.DUMMYFUNCTION("""COMPUTED_VALUE"""),"Статия в списания и поредици")</f>
        <v>Статия в списания и поредици</v>
      </c>
      <c r="C7009" s="10" t="str">
        <f ca="1">IFERROR(__xludf.DUMMYFUNCTION("""COMPUTED_VALUE"""),"Доинституционално изграждане на полицейските служби в България (1876-1877)")</f>
        <v>Доинституционално изграждане на полицейските служби в България (1876-1877)</v>
      </c>
      <c r="D7009" s="10">
        <f ca="1">IFERROR(__xludf.DUMMYFUNCTION("""COMPUTED_VALUE"""),2000)</f>
        <v>2000</v>
      </c>
      <c r="E7009" s="10" t="str">
        <f ca="1">IFERROR(__xludf.DUMMYFUNCTION("""COMPUTED_VALUE"""),"Полицията и предизвикателствата на 21 век. Горекс Прес, 2000, с. 30-39; ISBN 954-616-063-6")</f>
        <v>Полицията и предизвикателствата на 21 век. Горекс Прес, 2000, с. 30-39; ISBN 954-616-063-6</v>
      </c>
      <c r="F7009" s="10"/>
      <c r="G7009" s="10"/>
      <c r="H7009" s="10"/>
      <c r="I7009" s="10"/>
      <c r="J7009" s="10"/>
      <c r="K7009" s="10"/>
      <c r="L7009" s="10"/>
      <c r="M7009" s="10"/>
      <c r="N7009" s="10"/>
      <c r="O7009" s="10"/>
      <c r="P7009" s="10"/>
      <c r="Q7009" s="10"/>
      <c r="R7009" s="10"/>
      <c r="S7009" s="10"/>
      <c r="T7009" s="10"/>
      <c r="U7009" s="10"/>
      <c r="V7009" s="10"/>
      <c r="W7009" s="10"/>
      <c r="X7009" s="10"/>
      <c r="Y7009" s="10"/>
      <c r="Z7009" s="10"/>
    </row>
    <row r="7010" spans="1:26" ht="12.75">
      <c r="A7010" s="10" t="str">
        <f ca="1">IFERROR(__xludf.DUMMYFUNCTION("""COMPUTED_VALUE"""),"Стефан Ангелов Симеонов")</f>
        <v>Стефан Ангелов Симеонов</v>
      </c>
      <c r="B7010" s="10" t="str">
        <f ca="1">IFERROR(__xludf.DUMMYFUNCTION("""COMPUTED_VALUE"""),"Учебно пособие")</f>
        <v>Учебно пособие</v>
      </c>
      <c r="C7010" s="10" t="str">
        <f ca="1">IFERROR(__xludf.DUMMYFUNCTION("""COMPUTED_VALUE"""),"Девиациите и престъпността сред юношите и девойките")</f>
        <v>Девиациите и престъпността сред юношите и девойките</v>
      </c>
      <c r="D7010" s="10">
        <f ca="1">IFERROR(__xludf.DUMMYFUNCTION("""COMPUTED_VALUE"""),2000)</f>
        <v>2000</v>
      </c>
      <c r="E7010" s="10" t="str">
        <f ca="1">IFERROR(__xludf.DUMMYFUNCTION("""COMPUTED_VALUE"""),"Детска академия по безопасност, София, 2000")</f>
        <v>Детска академия по безопасност, София, 2000</v>
      </c>
      <c r="F7010" s="10"/>
      <c r="G7010" s="10" t="str">
        <f ca="1">IFERROR(__xludf.DUMMYFUNCTION("""COMPUTED_VALUE"""),"Минев,Т. и С. Симеонов")</f>
        <v>Минев,Т. и С. Симеонов</v>
      </c>
      <c r="H7010" s="10"/>
      <c r="I7010" s="10"/>
      <c r="J7010" s="10"/>
      <c r="K7010" s="10"/>
      <c r="L7010" s="10"/>
      <c r="M7010" s="10"/>
      <c r="N7010" s="10"/>
      <c r="O7010" s="10"/>
      <c r="P7010" s="10"/>
      <c r="Q7010" s="10"/>
      <c r="R7010" s="10"/>
      <c r="S7010" s="10"/>
      <c r="T7010" s="10"/>
      <c r="U7010" s="10"/>
      <c r="V7010" s="10"/>
      <c r="W7010" s="10"/>
      <c r="X7010" s="10"/>
      <c r="Y7010" s="10"/>
      <c r="Z7010" s="10"/>
    </row>
    <row r="7011" spans="1:26" ht="12.75">
      <c r="A7011" s="10" t="str">
        <f ca="1">IFERROR(__xludf.DUMMYFUNCTION("""COMPUTED_VALUE"""),"Стефан Ангелов Симеонов")</f>
        <v>Стефан Ангелов Симеонов</v>
      </c>
      <c r="B7011" s="10" t="str">
        <f ca="1">IFERROR(__xludf.DUMMYFUNCTION("""COMPUTED_VALUE"""),"Статия в списания и поредици")</f>
        <v>Статия в списания и поредици</v>
      </c>
      <c r="C7011" s="10" t="str">
        <f ca="1">IFERROR(__xludf.DUMMYFUNCTION("""COMPUTED_VALUE"""),"Историко-правни аспекти на бежанския въпрос в България")</f>
        <v>Историко-правни аспекти на бежанския въпрос в България</v>
      </c>
      <c r="D7011" s="10">
        <f ca="1">IFERROR(__xludf.DUMMYFUNCTION("""COMPUTED_VALUE"""),2000)</f>
        <v>2000</v>
      </c>
      <c r="E7011" s="10" t="str">
        <f ca="1">IFERROR(__xludf.DUMMYFUNCTION("""COMPUTED_VALUE"""),"Бюлетин Факултет ""Полиция"", ВИПОНД-МВР, С., 2000, № 9")</f>
        <v>Бюлетин Факултет "Полиция", ВИПОНД-МВР, С., 2000, № 9</v>
      </c>
      <c r="F7011" s="10"/>
      <c r="G7011" s="10"/>
      <c r="H7011" s="10"/>
      <c r="I7011" s="10"/>
      <c r="J7011" s="10"/>
      <c r="K7011" s="10"/>
      <c r="L7011" s="10"/>
      <c r="M7011" s="10"/>
      <c r="N7011" s="10"/>
      <c r="O7011" s="10"/>
      <c r="P7011" s="10"/>
      <c r="Q7011" s="10"/>
      <c r="R7011" s="10"/>
      <c r="S7011" s="10"/>
      <c r="T7011" s="10"/>
      <c r="U7011" s="10"/>
      <c r="V7011" s="10"/>
      <c r="W7011" s="10"/>
      <c r="X7011" s="10"/>
      <c r="Y7011" s="10"/>
      <c r="Z7011" s="10"/>
    </row>
    <row r="7012" spans="1:26" ht="12.75">
      <c r="A7012" s="10" t="str">
        <f ca="1">IFERROR(__xludf.DUMMYFUNCTION("""COMPUTED_VALUE"""),"Стефан Ангелов Симеонов")</f>
        <v>Стефан Ангелов Симеонов</v>
      </c>
      <c r="B7012" s="10" t="str">
        <f ca="1">IFERROR(__xludf.DUMMYFUNCTION("""COMPUTED_VALUE"""),"Статия в списания и поредици")</f>
        <v>Статия в списания и поредици</v>
      </c>
      <c r="C7012" s="10" t="str">
        <f ca="1">IFERROR(__xludf.DUMMYFUNCTION("""COMPUTED_VALUE"""),"Службите за сигурност в България - поглед в миналото")</f>
        <v>Службите за сигурност в България - поглед в миналото</v>
      </c>
      <c r="D7012" s="10">
        <f ca="1">IFERROR(__xludf.DUMMYFUNCTION("""COMPUTED_VALUE"""),2000)</f>
        <v>2000</v>
      </c>
      <c r="E7012" s="10" t="str">
        <f ca="1">IFERROR(__xludf.DUMMYFUNCTION("""COMPUTED_VALUE"""),"МВР в навечерието на XXI в. - предизвикателствата на реформата. Горекс Прес, С., 2000, с. 73-83; ISBN 954-616-056-3")</f>
        <v>МВР в навечерието на XXI в. - предизвикателствата на реформата. Горекс Прес, С., 2000, с. 73-83; ISBN 954-616-056-3</v>
      </c>
      <c r="F7012" s="10"/>
      <c r="G7012" s="10"/>
      <c r="H7012" s="10"/>
      <c r="I7012" s="10"/>
      <c r="J7012" s="10"/>
      <c r="K7012" s="10"/>
      <c r="L7012" s="10"/>
      <c r="M7012" s="10"/>
      <c r="N7012" s="10"/>
      <c r="O7012" s="10"/>
      <c r="P7012" s="10"/>
      <c r="Q7012" s="10"/>
      <c r="R7012" s="10"/>
      <c r="S7012" s="10"/>
      <c r="T7012" s="10"/>
      <c r="U7012" s="10"/>
      <c r="V7012" s="10"/>
      <c r="W7012" s="10"/>
      <c r="X7012" s="10"/>
      <c r="Y7012" s="10"/>
      <c r="Z7012" s="10"/>
    </row>
    <row r="7013" spans="1:26" ht="12.75">
      <c r="A7013" s="10" t="str">
        <f ca="1">IFERROR(__xludf.DUMMYFUNCTION("""COMPUTED_VALUE"""),"Стефан Ангелов Симеонов")</f>
        <v>Стефан Ангелов Симеонов</v>
      </c>
      <c r="B7013" s="10" t="str">
        <f ca="1">IFERROR(__xludf.DUMMYFUNCTION("""COMPUTED_VALUE"""),"Статия в списания и поредици")</f>
        <v>Статия в списания и поредици</v>
      </c>
      <c r="C7013" s="10" t="str">
        <f ca="1">IFERROR(__xludf.DUMMYFUNCTION("""COMPUTED_VALUE"""),"Исторически аспекти на гражданския контрол върху дейността на полицията")</f>
        <v>Исторически аспекти на гражданския контрол върху дейността на полицията</v>
      </c>
      <c r="D7013" s="10">
        <f ca="1">IFERROR(__xludf.DUMMYFUNCTION("""COMPUTED_VALUE"""),1998)</f>
        <v>1998</v>
      </c>
      <c r="E7013" s="10" t="str">
        <f ca="1">IFERROR(__xludf.DUMMYFUNCTION("""COMPUTED_VALUE"""),"Бюлетин""Национална полици"", ВИПОНД-МВР, С., 1998, № 7")</f>
        <v>Бюлетин"Национална полици", ВИПОНД-МВР, С., 1998, № 7</v>
      </c>
      <c r="F7013" s="10"/>
      <c r="G7013" s="10"/>
      <c r="H7013" s="10"/>
      <c r="I7013" s="10"/>
      <c r="J7013" s="10"/>
      <c r="K7013" s="10"/>
      <c r="L7013" s="10"/>
      <c r="M7013" s="10"/>
      <c r="N7013" s="10"/>
      <c r="O7013" s="10"/>
      <c r="P7013" s="10"/>
      <c r="Q7013" s="10"/>
      <c r="R7013" s="10"/>
      <c r="S7013" s="10"/>
      <c r="T7013" s="10"/>
      <c r="U7013" s="10"/>
      <c r="V7013" s="10"/>
      <c r="W7013" s="10"/>
      <c r="X7013" s="10"/>
      <c r="Y7013" s="10"/>
      <c r="Z7013" s="10"/>
    </row>
    <row r="7014" spans="1:26" ht="12.75">
      <c r="A7014" s="10" t="str">
        <f ca="1">IFERROR(__xludf.DUMMYFUNCTION("""COMPUTED_VALUE"""),"Стефан Ангелов Симеонов")</f>
        <v>Стефан Ангелов Симеонов</v>
      </c>
      <c r="B7014" s="10" t="str">
        <f ca="1">IFERROR(__xludf.DUMMYFUNCTION("""COMPUTED_VALUE"""),"Студия")</f>
        <v>Студия</v>
      </c>
      <c r="C7014" s="10" t="str">
        <f ca="1">IFERROR(__xludf.DUMMYFUNCTION("""COMPUTED_VALUE"""),"Участие на българската войска в защита на вътрешната сигурност на страната (1941/1944).")</f>
        <v>Участие на българската войска в защита на вътрешната сигурност на страната (1941/1944).</v>
      </c>
      <c r="D7014" s="10">
        <f ca="1">IFERROR(__xludf.DUMMYFUNCTION("""COMPUTED_VALUE"""),1997)</f>
        <v>1997</v>
      </c>
      <c r="E7014" s="10" t="str">
        <f ca="1">IFERROR(__xludf.DUMMYFUNCTION("""COMPUTED_VALUE"""),"ИИВИ, 1997, бр. 69")</f>
        <v>ИИВИ, 1997, бр. 69</v>
      </c>
      <c r="F7014" s="10"/>
      <c r="G7014" s="10"/>
      <c r="H7014" s="10"/>
      <c r="I7014" s="10"/>
      <c r="J7014" s="10"/>
      <c r="K7014" s="10"/>
      <c r="L7014" s="10"/>
      <c r="M7014" s="10"/>
      <c r="N7014" s="10"/>
      <c r="O7014" s="10"/>
      <c r="P7014" s="10"/>
      <c r="Q7014" s="10"/>
      <c r="R7014" s="10"/>
      <c r="S7014" s="10"/>
      <c r="T7014" s="10"/>
      <c r="U7014" s="10"/>
      <c r="V7014" s="10"/>
      <c r="W7014" s="10"/>
      <c r="X7014" s="10"/>
      <c r="Y7014" s="10"/>
      <c r="Z7014" s="10"/>
    </row>
    <row r="7015" spans="1:26" ht="12.75">
      <c r="A7015" s="10" t="str">
        <f ca="1">IFERROR(__xludf.DUMMYFUNCTION("""COMPUTED_VALUE"""),"Стефан Ангелов Симеонов")</f>
        <v>Стефан Ангелов Симеонов</v>
      </c>
      <c r="B7015" s="10" t="str">
        <f ca="1">IFERROR(__xludf.DUMMYFUNCTION("""COMPUTED_VALUE"""),"Студия")</f>
        <v>Студия</v>
      </c>
      <c r="C7015" s="10" t="str">
        <f ca="1">IFERROR(__xludf.DUMMYFUNCTION("""COMPUTED_VALUE"""),"Правилник за досиетата и картотеката при българската полиция от 1942 г.,")</f>
        <v>Правилник за досиетата и картотеката при българската полиция от 1942 г.,</v>
      </c>
      <c r="D7015" s="10">
        <f ca="1">IFERROR(__xludf.DUMMYFUNCTION("""COMPUTED_VALUE"""),1995)</f>
        <v>1995</v>
      </c>
      <c r="E7015" s="10" t="str">
        <f ca="1">IFERROR(__xludf.DUMMYFUNCTION("""COMPUTED_VALUE"""),"Известия на държавните архиви, 1995, т. 76")</f>
        <v>Известия на държавните архиви, 1995, т. 76</v>
      </c>
      <c r="F7015" s="10"/>
      <c r="G7015" s="10"/>
      <c r="H7015" s="10"/>
      <c r="I7015" s="10"/>
      <c r="J7015" s="10"/>
      <c r="K7015" s="10"/>
      <c r="L7015" s="10"/>
      <c r="M7015" s="10"/>
      <c r="N7015" s="10"/>
      <c r="O7015" s="10"/>
      <c r="P7015" s="10"/>
      <c r="Q7015" s="10"/>
      <c r="R7015" s="10"/>
      <c r="S7015" s="10"/>
      <c r="T7015" s="10"/>
      <c r="U7015" s="10"/>
      <c r="V7015" s="10"/>
      <c r="W7015" s="10"/>
      <c r="X7015" s="10"/>
      <c r="Y7015" s="10"/>
      <c r="Z7015" s="10"/>
    </row>
    <row r="7016" spans="1:26" ht="12.75">
      <c r="A7016" s="10" t="str">
        <f ca="1">IFERROR(__xludf.DUMMYFUNCTION("""COMPUTED_VALUE"""),"Стефан Ангелов Симеонов")</f>
        <v>Стефан Ангелов Симеонов</v>
      </c>
      <c r="B7016" s="10" t="str">
        <f ca="1">IFERROR(__xludf.DUMMYFUNCTION("""COMPUTED_VALUE"""),"Статия в списания и поредици")</f>
        <v>Статия в списания и поредици</v>
      </c>
      <c r="C7016" s="10" t="str">
        <f ca="1">IFERROR(__xludf.DUMMYFUNCTION("""COMPUTED_VALUE"""),"Досиета, картотека и архив в българската полиция")</f>
        <v>Досиета, картотека и архив в българската полиция</v>
      </c>
      <c r="D7016" s="10">
        <f ca="1">IFERROR(__xludf.DUMMYFUNCTION("""COMPUTED_VALUE"""),1995)</f>
        <v>1995</v>
      </c>
      <c r="E7016" s="10" t="str">
        <f ca="1">IFERROR(__xludf.DUMMYFUNCTION("""COMPUTED_VALUE"""),"ВИПОНД, Бюлетин ""Национална полиция"", С., 1995, бр. 5, с. 109-122; ISSN 1310-4705")</f>
        <v>ВИПОНД, Бюлетин "Национална полиция", С., 1995, бр. 5, с. 109-122; ISSN 1310-4705</v>
      </c>
      <c r="F7016" s="10"/>
      <c r="G7016" s="10"/>
      <c r="H7016" s="10"/>
      <c r="I7016" s="10"/>
      <c r="J7016" s="10"/>
      <c r="K7016" s="10"/>
      <c r="L7016" s="10"/>
      <c r="M7016" s="10"/>
      <c r="N7016" s="10"/>
      <c r="O7016" s="10"/>
      <c r="P7016" s="10"/>
      <c r="Q7016" s="10"/>
      <c r="R7016" s="10"/>
      <c r="S7016" s="10"/>
      <c r="T7016" s="10"/>
      <c r="U7016" s="10"/>
      <c r="V7016" s="10"/>
      <c r="W7016" s="10"/>
      <c r="X7016" s="10"/>
      <c r="Y7016" s="10"/>
      <c r="Z7016" s="10"/>
    </row>
    <row r="7017" spans="1:26" ht="12.75">
      <c r="A7017" s="10" t="str">
        <f ca="1">IFERROR(__xludf.DUMMYFUNCTION("""COMPUTED_VALUE"""),"Стефан Ангелов Симеонов")</f>
        <v>Стефан Ангелов Симеонов</v>
      </c>
      <c r="B7017" s="10" t="str">
        <f ca="1">IFERROR(__xludf.DUMMYFUNCTION("""COMPUTED_VALUE"""),"Статия в списания и поредици")</f>
        <v>Статия в списания и поредици</v>
      </c>
      <c r="C7017" s="10" t="str">
        <f ca="1">IFERROR(__xludf.DUMMYFUNCTION("""COMPUTED_VALUE"""),"Полицейското обучение в България (1879-1944)")</f>
        <v>Полицейското обучение в България (1879-1944)</v>
      </c>
      <c r="D7017" s="10">
        <f ca="1">IFERROR(__xludf.DUMMYFUNCTION("""COMPUTED_VALUE"""),1994)</f>
        <v>1994</v>
      </c>
      <c r="E7017" s="10" t="str">
        <f ca="1">IFERROR(__xludf.DUMMYFUNCTION("""COMPUTED_VALUE"""),"ВИПОНД, Бюлетин ""Национална полиция"", 1994, бр. 3, с. 5-20; ISSN 1310-4705")</f>
        <v>ВИПОНД, Бюлетин "Национална полиция", 1994, бр. 3, с. 5-20; ISSN 1310-4705</v>
      </c>
      <c r="F7017" s="10"/>
      <c r="G7017" s="10"/>
      <c r="H7017" s="10"/>
      <c r="I7017" s="10"/>
      <c r="J7017" s="10"/>
      <c r="K7017" s="10"/>
      <c r="L7017" s="10"/>
      <c r="M7017" s="10"/>
      <c r="N7017" s="10"/>
      <c r="O7017" s="10"/>
      <c r="P7017" s="10"/>
      <c r="Q7017" s="10"/>
      <c r="R7017" s="10"/>
      <c r="S7017" s="10"/>
      <c r="T7017" s="10"/>
      <c r="U7017" s="10"/>
      <c r="V7017" s="10"/>
      <c r="W7017" s="10"/>
      <c r="X7017" s="10"/>
      <c r="Y7017" s="10"/>
      <c r="Z7017" s="10"/>
    </row>
    <row r="7018" spans="1:26" ht="12.75">
      <c r="A7018" s="10" t="str">
        <f ca="1">IFERROR(__xludf.DUMMYFUNCTION("""COMPUTED_VALUE"""),"Стефан Ангелов Симеонов")</f>
        <v>Стефан Ангелов Симеонов</v>
      </c>
      <c r="B7018" s="10" t="str">
        <f ca="1">IFERROR(__xludf.DUMMYFUNCTION("""COMPUTED_VALUE"""),"Статия в списания и поредици")</f>
        <v>Статия в списания и поредици</v>
      </c>
      <c r="C7018" s="10" t="str">
        <f ca="1">IFERROR(__xludf.DUMMYFUNCTION("""COMPUTED_VALUE"""),"Правилник на службите на картотеките и досиетата при българската полиция от 1942 г.")</f>
        <v>Правилник на службите на картотеките и досиетата при българската полиция от 1942 г.</v>
      </c>
      <c r="D7018" s="10">
        <f ca="1">IFERROR(__xludf.DUMMYFUNCTION("""COMPUTED_VALUE"""),1994)</f>
        <v>1994</v>
      </c>
      <c r="E7018" s="10" t="str">
        <f ca="1">IFERROR(__xludf.DUMMYFUNCTION("""COMPUTED_VALUE"""),"Известия на държавните архиви, С., 1994, т. 67, с. 241-260; ISBN 0323-9780")</f>
        <v>Известия на държавните архиви, С., 1994, т. 67, с. 241-260; ISBN 0323-9780</v>
      </c>
      <c r="F7018" s="10"/>
      <c r="G7018" s="10"/>
      <c r="H7018" s="10"/>
      <c r="I7018" s="10"/>
      <c r="J7018" s="10"/>
      <c r="K7018" s="10"/>
      <c r="L7018" s="10"/>
      <c r="M7018" s="10"/>
      <c r="N7018" s="10"/>
      <c r="O7018" s="10"/>
      <c r="P7018" s="10"/>
      <c r="Q7018" s="10"/>
      <c r="R7018" s="10"/>
      <c r="S7018" s="10"/>
      <c r="T7018" s="10"/>
      <c r="U7018" s="10"/>
      <c r="V7018" s="10"/>
      <c r="W7018" s="10"/>
      <c r="X7018" s="10"/>
      <c r="Y7018" s="10"/>
      <c r="Z7018" s="10"/>
    </row>
    <row r="7019" spans="1:26" ht="12.75">
      <c r="A7019" s="10" t="str">
        <f ca="1">IFERROR(__xludf.DUMMYFUNCTION("""COMPUTED_VALUE"""),"Стефан Ангелов Симеонов")</f>
        <v>Стефан Ангелов Симеонов</v>
      </c>
      <c r="B7019" s="10" t="str">
        <f ca="1">IFERROR(__xludf.DUMMYFUNCTION("""COMPUTED_VALUE"""),"Статия в списания и поредици")</f>
        <v>Статия в списания и поредици</v>
      </c>
      <c r="C7019" s="10" t="str">
        <f ca="1">IFERROR(__xludf.DUMMYFUNCTION("""COMPUTED_VALUE"""),"Създаване на жандармерията в България през 80-те години на ХIХ в. като полицейска сила с военна организация.")</f>
        <v>Създаване на жандармерията в България през 80-те години на ХIХ в. като полицейска сила с военна организация.</v>
      </c>
      <c r="D7019" s="10">
        <f ca="1">IFERROR(__xludf.DUMMYFUNCTION("""COMPUTED_VALUE"""),1994)</f>
        <v>1994</v>
      </c>
      <c r="E7019" s="10" t="str">
        <f ca="1">IFERROR(__xludf.DUMMYFUNCTION("""COMPUTED_VALUE"""),"ВИС, 1994, кн. 6, с. 39-53; ISSN 0204-4080")</f>
        <v>ВИС, 1994, кн. 6, с. 39-53; ISSN 0204-4080</v>
      </c>
      <c r="F7019" s="10"/>
      <c r="G7019" s="10"/>
      <c r="H7019" s="10"/>
      <c r="I7019" s="10"/>
      <c r="J7019" s="10"/>
      <c r="K7019" s="10"/>
      <c r="L7019" s="10"/>
      <c r="M7019" s="10"/>
      <c r="N7019" s="10"/>
      <c r="O7019" s="10"/>
      <c r="P7019" s="10"/>
      <c r="Q7019" s="10"/>
      <c r="R7019" s="10"/>
      <c r="S7019" s="10"/>
      <c r="T7019" s="10"/>
      <c r="U7019" s="10"/>
      <c r="V7019" s="10"/>
      <c r="W7019" s="10"/>
      <c r="X7019" s="10"/>
      <c r="Y7019" s="10"/>
      <c r="Z7019" s="10"/>
    </row>
    <row r="7020" spans="1:26" ht="12.75">
      <c r="A7020" s="10" t="str">
        <f ca="1">IFERROR(__xludf.DUMMYFUNCTION("""COMPUTED_VALUE"""),"Стефан Ангелов Симеонов")</f>
        <v>Стефан Ангелов Симеонов</v>
      </c>
      <c r="B7020" s="10" t="str">
        <f ca="1">IFERROR(__xludf.DUMMYFUNCTION("""COMPUTED_VALUE"""),"Статия в списания и поредици")</f>
        <v>Статия в списания и поредици</v>
      </c>
      <c r="C7020" s="10" t="str">
        <f ca="1">IFERROR(__xludf.DUMMYFUNCTION("""COMPUTED_VALUE"""),"Полицейската институция в България (1878-1944 г.)")</f>
        <v>Полицейската институция в България (1878-1944 г.)</v>
      </c>
      <c r="D7020" s="10">
        <f ca="1">IFERROR(__xludf.DUMMYFUNCTION("""COMPUTED_VALUE"""),1992)</f>
        <v>1992</v>
      </c>
      <c r="E7020" s="10" t="str">
        <f ca="1">IFERROR(__xludf.DUMMYFUNCTION("""COMPUTED_VALUE"""),"Сп. История, 1992, кн. 3-4, с. 88-96; ISBN 0861-37-10")</f>
        <v>Сп. История, 1992, кн. 3-4, с. 88-96; ISBN 0861-37-10</v>
      </c>
      <c r="F7020" s="10"/>
      <c r="G7020" s="10"/>
      <c r="H7020" s="10"/>
      <c r="I7020" s="10"/>
      <c r="J7020" s="10"/>
      <c r="K7020" s="10"/>
      <c r="L7020" s="10"/>
      <c r="M7020" s="10"/>
      <c r="N7020" s="10"/>
      <c r="O7020" s="10"/>
      <c r="P7020" s="10"/>
      <c r="Q7020" s="10"/>
      <c r="R7020" s="10"/>
      <c r="S7020" s="10"/>
      <c r="T7020" s="10"/>
      <c r="U7020" s="10"/>
      <c r="V7020" s="10"/>
      <c r="W7020" s="10"/>
      <c r="X7020" s="10"/>
      <c r="Y7020" s="10"/>
      <c r="Z7020" s="10"/>
    </row>
    <row r="7021" spans="1:26" ht="12.75">
      <c r="A7021" s="10" t="str">
        <f ca="1">IFERROR(__xludf.DUMMYFUNCTION("""COMPUTED_VALUE"""),"Стефан Ангелов Симеонов")</f>
        <v>Стефан Ангелов Симеонов</v>
      </c>
      <c r="B7021" s="10" t="str">
        <f ca="1">IFERROR(__xludf.DUMMYFUNCTION("""COMPUTED_VALUE"""),"Статия в списания и поредици")</f>
        <v>Статия в списания и поредици</v>
      </c>
      <c r="C7021" s="10" t="str">
        <f ca="1">IFERROR(__xludf.DUMMYFUNCTION("""COMPUTED_VALUE"""),"Законова уредба на българската полиция (1877-1944)")</f>
        <v>Законова уредба на българската полиция (1877-1944)</v>
      </c>
      <c r="D7021" s="10">
        <f ca="1">IFERROR(__xludf.DUMMYFUNCTION("""COMPUTED_VALUE"""),1991)</f>
        <v>1991</v>
      </c>
      <c r="E7021" s="10" t="str">
        <f ca="1">IFERROR(__xludf.DUMMYFUNCTION("""COMPUTED_VALUE"""),"сп. ""Общество и право"", 1991 бр. 7")</f>
        <v>сп. "Общество и право", 1991 бр. 7</v>
      </c>
      <c r="F7021" s="10"/>
      <c r="G7021" s="10"/>
      <c r="H7021" s="10"/>
      <c r="I7021" s="10"/>
      <c r="J7021" s="10"/>
      <c r="K7021" s="10"/>
      <c r="L7021" s="10"/>
      <c r="M7021" s="10"/>
      <c r="N7021" s="10"/>
      <c r="O7021" s="10"/>
      <c r="P7021" s="10"/>
      <c r="Q7021" s="10"/>
      <c r="R7021" s="10"/>
      <c r="S7021" s="10"/>
      <c r="T7021" s="10"/>
      <c r="U7021" s="10"/>
      <c r="V7021" s="10"/>
      <c r="W7021" s="10"/>
      <c r="X7021" s="10"/>
      <c r="Y7021" s="10"/>
      <c r="Z7021" s="10"/>
    </row>
    <row r="7022" spans="1:26" ht="12.75">
      <c r="A7022" s="10" t="str">
        <f ca="1">IFERROR(__xludf.DUMMYFUNCTION("""COMPUTED_VALUE"""),"Стефан Ангелов Симеонов")</f>
        <v>Стефан Ангелов Симеонов</v>
      </c>
      <c r="B7022" s="10" t="str">
        <f ca="1">IFERROR(__xludf.DUMMYFUNCTION("""COMPUTED_VALUE"""),"Монография")</f>
        <v>Монография</v>
      </c>
      <c r="C7022" s="10" t="str">
        <f ca="1">IFERROR(__xludf.DUMMYFUNCTION("""COMPUTED_VALUE"""),"Българската държавна полиция (1941-1944)")</f>
        <v>Българската държавна полиция (1941-1944)</v>
      </c>
      <c r="D7022" s="10">
        <f ca="1">IFERROR(__xludf.DUMMYFUNCTION("""COMPUTED_VALUE"""),1991)</f>
        <v>1991</v>
      </c>
      <c r="E7022" s="10" t="str">
        <f ca="1">IFERROR(__xludf.DUMMYFUNCTION("""COMPUTED_VALUE"""),"Акадамеия на МВР, COBISS.BG-ID 1024208868")</f>
        <v>Акадамеия на МВР, COBISS.BG-ID 1024208868</v>
      </c>
      <c r="F7022" s="10"/>
      <c r="G7022" s="10"/>
      <c r="H7022" s="10"/>
      <c r="I7022" s="10"/>
      <c r="J7022" s="10"/>
      <c r="K7022" s="10"/>
      <c r="L7022" s="10"/>
      <c r="M7022" s="10"/>
      <c r="N7022" s="10"/>
      <c r="O7022" s="10"/>
      <c r="P7022" s="10"/>
      <c r="Q7022" s="10"/>
      <c r="R7022" s="10"/>
      <c r="S7022" s="10"/>
      <c r="T7022" s="10"/>
      <c r="U7022" s="10"/>
      <c r="V7022" s="10"/>
      <c r="W7022" s="10"/>
      <c r="X7022" s="10"/>
      <c r="Y7022" s="10"/>
      <c r="Z7022" s="10"/>
    </row>
    <row r="7023" spans="1:26" ht="12.75">
      <c r="A7023" s="10" t="str">
        <f ca="1">IFERROR(__xludf.DUMMYFUNCTION("""COMPUTED_VALUE"""),"Стефан Ангелов Симеонов")</f>
        <v>Стефан Ангелов Симеонов</v>
      </c>
      <c r="B7023" s="10" t="str">
        <f ca="1">IFERROR(__xludf.DUMMYFUNCTION("""COMPUTED_VALUE"""),"Статия в списания и поредици")</f>
        <v>Статия в списания и поредици</v>
      </c>
      <c r="C7023" s="10" t="str">
        <f ca="1">IFERROR(__xludf.DUMMYFUNCTION("""COMPUTED_VALUE"""),"Революционните събития през 1923 г. и ген. Вл. Заимов")</f>
        <v>Революционните събития през 1923 г. и ген. Вл. Заимов</v>
      </c>
      <c r="D7023" s="10">
        <f ca="1">IFERROR(__xludf.DUMMYFUNCTION("""COMPUTED_VALUE"""),1989)</f>
        <v>1989</v>
      </c>
      <c r="E7023" s="10" t="str">
        <f ca="1">IFERROR(__xludf.DUMMYFUNCTION("""COMPUTED_VALUE"""),"Годишник на КМЛ при ВУЗ, История на БКП, 1989, кн. 3, год. 23, с. 30-41")</f>
        <v>Годишник на КМЛ при ВУЗ, История на БКП, 1989, кн. 3, год. 23, с. 30-41</v>
      </c>
      <c r="F7023" s="10"/>
      <c r="G7023" s="10"/>
      <c r="H7023" s="10"/>
      <c r="I7023" s="10"/>
      <c r="J7023" s="10"/>
      <c r="K7023" s="10"/>
      <c r="L7023" s="10"/>
      <c r="M7023" s="10"/>
      <c r="N7023" s="10"/>
      <c r="O7023" s="10"/>
      <c r="P7023" s="10"/>
      <c r="Q7023" s="10"/>
      <c r="R7023" s="10"/>
      <c r="S7023" s="10"/>
      <c r="T7023" s="10"/>
      <c r="U7023" s="10"/>
      <c r="V7023" s="10"/>
      <c r="W7023" s="10"/>
      <c r="X7023" s="10"/>
      <c r="Y7023" s="10"/>
      <c r="Z7023" s="10"/>
    </row>
    <row r="7024" spans="1:26" ht="12.75">
      <c r="A7024" s="10" t="str">
        <f ca="1">IFERROR(__xludf.DUMMYFUNCTION("""COMPUTED_VALUE"""),"Стефан Ангелов Симеонов")</f>
        <v>Стефан Ангелов Симеонов</v>
      </c>
      <c r="B7024" s="10" t="str">
        <f ca="1">IFERROR(__xludf.DUMMYFUNCTION("""COMPUTED_VALUE"""),"Статия в списания и поредици")</f>
        <v>Статия в списания и поредици</v>
      </c>
      <c r="C7024" s="10" t="str">
        <f ca="1">IFERROR(__xludf.DUMMYFUNCTION("""COMPUTED_VALUE"""),"""Организационно и идейно-политическо развитие на опозиционния ЗМС (август 1945-август 1947) """)</f>
        <v>"Организационно и идейно-политическо развитие на опозиционния ЗМС (август 1945-август 1947) "</v>
      </c>
      <c r="D7024" s="10">
        <f ca="1">IFERROR(__xludf.DUMMYFUNCTION("""COMPUTED_VALUE"""),1988)</f>
        <v>1988</v>
      </c>
      <c r="E7024" s="10" t="str">
        <f ca="1">IFERROR(__xludf.DUMMYFUNCTION("""COMPUTED_VALUE"""),"ИИИБКП, Партиздат, С., 1988, т.62, с. 58-85;")</f>
        <v>ИИИБКП, Партиздат, С., 1988, т.62, с. 58-85;</v>
      </c>
      <c r="F7024" s="10"/>
      <c r="G7024" s="10"/>
      <c r="H7024" s="10"/>
      <c r="I7024" s="10"/>
      <c r="J7024" s="10"/>
      <c r="K7024" s="10"/>
      <c r="L7024" s="10"/>
      <c r="M7024" s="10"/>
      <c r="N7024" s="10"/>
      <c r="O7024" s="10"/>
      <c r="P7024" s="10"/>
      <c r="Q7024" s="10"/>
      <c r="R7024" s="10"/>
      <c r="S7024" s="10"/>
      <c r="T7024" s="10"/>
      <c r="U7024" s="10"/>
      <c r="V7024" s="10"/>
      <c r="W7024" s="10"/>
      <c r="X7024" s="10"/>
      <c r="Y7024" s="10"/>
      <c r="Z7024" s="10"/>
    </row>
    <row r="7025" spans="1:26" ht="12.75">
      <c r="A7025" s="10" t="str">
        <f ca="1">IFERROR(__xludf.DUMMYFUNCTION("""COMPUTED_VALUE"""),"Стефан Ангелов Симеонов")</f>
        <v>Стефан Ангелов Симеонов</v>
      </c>
      <c r="B7025" s="10" t="str">
        <f ca="1">IFERROR(__xludf.DUMMYFUNCTION("""COMPUTED_VALUE"""),"Статия в списания и поредици")</f>
        <v>Статия в списания и поредици</v>
      </c>
      <c r="C7025" s="10" t="str">
        <f ca="1">IFERROR(__xludf.DUMMYFUNCTION("""COMPUTED_VALUE"""),"ЗМС и изграждането на младежкото единство в България (септември 1944-май1946)")</f>
        <v>ЗМС и изграждането на младежкото единство в България (септември 1944-май1946)</v>
      </c>
      <c r="D7025" s="10">
        <f ca="1">IFERROR(__xludf.DUMMYFUNCTION("""COMPUTED_VALUE"""),1987)</f>
        <v>1987</v>
      </c>
      <c r="E7025" s="10" t="str">
        <f ca="1">IFERROR(__xludf.DUMMYFUNCTION("""COMPUTED_VALUE"""),"Летописи на младежкото революционно движение, С., 1987, т.2, с. 38-50")</f>
        <v>Летописи на младежкото революционно движение, С., 1987, т.2, с. 38-50</v>
      </c>
      <c r="F7025" s="10"/>
      <c r="G7025" s="10"/>
      <c r="H7025" s="10"/>
      <c r="I7025" s="10"/>
      <c r="J7025" s="10"/>
      <c r="K7025" s="10"/>
      <c r="L7025" s="10"/>
      <c r="M7025" s="10"/>
      <c r="N7025" s="10"/>
      <c r="O7025" s="10"/>
      <c r="P7025" s="10"/>
      <c r="Q7025" s="10"/>
      <c r="R7025" s="10"/>
      <c r="S7025" s="10"/>
      <c r="T7025" s="10"/>
      <c r="U7025" s="10"/>
      <c r="V7025" s="10"/>
      <c r="W7025" s="10"/>
      <c r="X7025" s="10"/>
      <c r="Y7025" s="10"/>
      <c r="Z7025" s="10"/>
    </row>
    <row r="7026" spans="1:26" ht="12.75">
      <c r="A7026" s="10" t="str">
        <f ca="1">IFERROR(__xludf.DUMMYFUNCTION("""COMPUTED_VALUE"""),"Стефан Ангелов Симеонов")</f>
        <v>Стефан Ангелов Симеонов</v>
      </c>
      <c r="B7026" s="10" t="str">
        <f ca="1">IFERROR(__xludf.DUMMYFUNCTION("""COMPUTED_VALUE"""),"Статия в списания и поредици")</f>
        <v>Статия в списания и поредици</v>
      </c>
      <c r="C7026" s="10" t="str">
        <f ca="1">IFERROR(__xludf.DUMMYFUNCTION("""COMPUTED_VALUE"""),"ЗМС в борбата за изграждане на единен младежки съюз в България (9 септември 1944-декември 1947)")</f>
        <v>ЗМС в борбата за изграждане на единен младежки съюз в България (9 септември 1944-декември 1947)</v>
      </c>
      <c r="D7026" s="10">
        <f ca="1">IFERROR(__xludf.DUMMYFUNCTION("""COMPUTED_VALUE"""),1985)</f>
        <v>1985</v>
      </c>
      <c r="E7026" s="10" t="str">
        <f ca="1">IFERROR(__xludf.DUMMYFUNCTION("""COMPUTED_VALUE"""),"Сб. ""Победата на социалистическата революция и опитът на БКП"", С., 1985, с. 249-258")</f>
        <v>Сб. "Победата на социалистическата революция и опитът на БКП", С., 1985, с. 249-258</v>
      </c>
      <c r="F7026" s="10"/>
      <c r="G7026" s="10"/>
      <c r="H7026" s="10"/>
      <c r="I7026" s="10"/>
      <c r="J7026" s="10"/>
      <c r="K7026" s="10"/>
      <c r="L7026" s="10"/>
      <c r="M7026" s="10"/>
      <c r="N7026" s="10"/>
      <c r="O7026" s="10"/>
      <c r="P7026" s="10"/>
      <c r="Q7026" s="10"/>
      <c r="R7026" s="10"/>
      <c r="S7026" s="10"/>
      <c r="T7026" s="10"/>
      <c r="U7026" s="10"/>
      <c r="V7026" s="10"/>
      <c r="W7026" s="10"/>
      <c r="X7026" s="10"/>
      <c r="Y7026" s="10"/>
      <c r="Z7026" s="10"/>
    </row>
    <row r="7027" spans="1:26" ht="12.75">
      <c r="A7027" s="10" t="str">
        <f ca="1">IFERROR(__xludf.DUMMYFUNCTION("""COMPUTED_VALUE"""),"Стефан Ангелов Симеонов")</f>
        <v>Стефан Ангелов Симеонов</v>
      </c>
      <c r="B7027" s="10" t="str">
        <f ca="1">IFERROR(__xludf.DUMMYFUNCTION("""COMPUTED_VALUE"""),"Статия в списания и поредици")</f>
        <v>Статия в списания и поредици</v>
      </c>
      <c r="C7027" s="10" t="str">
        <f ca="1">IFERROR(__xludf.DUMMYFUNCTION("""COMPUTED_VALUE"""),"Организационно и идейно-политическо развитие на Земеделския младежки съюз (септември 1944- октомври 1946 г.)")</f>
        <v>Организационно и идейно-политическо развитие на Земеделския младежки съюз (септември 1944- октомври 1946 г.)</v>
      </c>
      <c r="D7027" s="10">
        <f ca="1">IFERROR(__xludf.DUMMYFUNCTION("""COMPUTED_VALUE"""),1984)</f>
        <v>1984</v>
      </c>
      <c r="E7027" s="10" t="str">
        <f ca="1">IFERROR(__xludf.DUMMYFUNCTION("""COMPUTED_VALUE"""),"НТАОНСУ, серия История, 1984, бр. 3, 205-250; ISSN 0204-7578")</f>
        <v>НТАОНСУ, серия История, 1984, бр. 3, 205-250; ISSN 0204-7578</v>
      </c>
      <c r="F7027" s="10"/>
      <c r="G7027" s="10"/>
      <c r="H7027" s="10"/>
      <c r="I7027" s="10"/>
      <c r="J7027" s="10"/>
      <c r="K7027" s="10"/>
      <c r="L7027" s="10"/>
      <c r="M7027" s="10"/>
      <c r="N7027" s="10"/>
      <c r="O7027" s="10"/>
      <c r="P7027" s="10"/>
      <c r="Q7027" s="10"/>
      <c r="R7027" s="10"/>
      <c r="S7027" s="10"/>
      <c r="T7027" s="10"/>
      <c r="U7027" s="10"/>
      <c r="V7027" s="10"/>
      <c r="W7027" s="10"/>
      <c r="X7027" s="10"/>
      <c r="Y7027" s="10"/>
      <c r="Z7027" s="10"/>
    </row>
    <row r="7028" spans="1:26" ht="12.75">
      <c r="A7028" s="10" t="str">
        <f ca="1">IFERROR(__xludf.DUMMYFUNCTION("""COMPUTED_VALUE"""),"Стефан Ангелов Симеонов")</f>
        <v>Стефан Ангелов Симеонов</v>
      </c>
      <c r="B7028" s="10" t="str">
        <f ca="1">IFERROR(__xludf.DUMMYFUNCTION("""COMPUTED_VALUE"""),"Студия")</f>
        <v>Студия</v>
      </c>
      <c r="C7028" s="10" t="str">
        <f ca="1">IFERROR(__xludf.DUMMYFUNCTION("""COMPUTED_VALUE"""),"Организационно и идейно-политическо развитие на Земеделския младежки съюз (септември 1944- октомври 1947 г.),")</f>
        <v>Организационно и идейно-политическо развитие на Земеделския младежки съюз (септември 1944- октомври 1947 г.),</v>
      </c>
      <c r="D7028" s="10">
        <f ca="1">IFERROR(__xludf.DUMMYFUNCTION("""COMPUTED_VALUE"""),1984)</f>
        <v>1984</v>
      </c>
      <c r="E7028" s="10" t="str">
        <f ca="1">IFERROR(__xludf.DUMMYFUNCTION("""COMPUTED_VALUE"""),"НТАОНСУ, серия История, 1984, бр. 3,")</f>
        <v>НТАОНСУ, серия История, 1984, бр. 3,</v>
      </c>
      <c r="F7028" s="10"/>
      <c r="G7028" s="10"/>
      <c r="H7028" s="10"/>
      <c r="I7028" s="10"/>
      <c r="J7028" s="10"/>
      <c r="K7028" s="10"/>
      <c r="L7028" s="10"/>
      <c r="M7028" s="10"/>
      <c r="N7028" s="10"/>
      <c r="O7028" s="10"/>
      <c r="P7028" s="10"/>
      <c r="Q7028" s="10"/>
      <c r="R7028" s="10"/>
      <c r="S7028" s="10"/>
      <c r="T7028" s="10"/>
      <c r="U7028" s="10"/>
      <c r="V7028" s="10"/>
      <c r="W7028" s="10"/>
      <c r="X7028" s="10"/>
      <c r="Y7028" s="10"/>
      <c r="Z7028" s="10"/>
    </row>
    <row r="7029" spans="1:26" ht="12.75">
      <c r="A7029" s="10" t="str">
        <f ca="1">IFERROR(__xludf.DUMMYFUNCTION("""COMPUTED_VALUE"""),"Стефан Иванов Мичев")</f>
        <v>Стефан Иванов Мичев</v>
      </c>
      <c r="B7029" s="10" t="str">
        <f ca="1">IFERROR(__xludf.DUMMYFUNCTION("""COMPUTED_VALUE"""),"Доклад от конференция")</f>
        <v>Доклад от конференция</v>
      </c>
      <c r="C7029" s="10" t="str">
        <f ca="1">IFERROR(__xludf.DUMMYFUNCTION("""COMPUTED_VALUE"""),"Единните европейски пространства – перспектива за развитие на Европейския съюз COMMON EUROPEAN AREAS – A PERSPECTIVE FOR THE DEVELOPMENT OF THE EUROPEAN UNION")</f>
        <v>Единните европейски пространства – перспектива за развитие на Европейския съюз COMMON EUROPEAN AREAS – A PERSPECTIVE FOR THE DEVELOPMENT OF THE EUROPEAN UNION</v>
      </c>
      <c r="D7029" s="10">
        <f ca="1">IFERROR(__xludf.DUMMYFUNCTION("""COMPUTED_VALUE"""),2019)</f>
        <v>2019</v>
      </c>
      <c r="E7029" s="10" t="str">
        <f ca="1">IFERROR(__xludf.DUMMYFUNCTION("""COMPUTED_VALUE"""),"XVIIInternational Scientific Conference „Management and engineering – 19”– 2019, Sozopol, Bulgaria SCIENTIFIC PROCEEDINGS SCIENTIFIC-TECHNICAL UNION OF MECHANICAL ENGINEERING. DAY OF SCIENCE AT TU-SOFIA, 2019,pp775-785 ., ISSN 1310-3946 ISSN 1314-6327")</f>
        <v>XVIIInternational Scientific Conference „Management and engineering – 19”– 2019, Sozopol, Bulgaria SCIENTIFIC PROCEEDINGS SCIENTIFIC-TECHNICAL UNION OF MECHANICAL ENGINEERING. DAY OF SCIENCE AT TU-SOFIA, 2019,pp775-785 ., ISSN 1310-3946 ISSN 1314-6327</v>
      </c>
      <c r="F7029" s="10"/>
      <c r="G7029" s="10"/>
      <c r="H7029" s="10"/>
      <c r="I7029" s="10"/>
      <c r="J7029" s="10"/>
      <c r="K7029" s="10"/>
      <c r="L7029" s="10"/>
      <c r="M7029" s="10"/>
      <c r="N7029" s="10"/>
      <c r="O7029" s="10"/>
      <c r="P7029" s="10"/>
      <c r="Q7029" s="10"/>
      <c r="R7029" s="10"/>
      <c r="S7029" s="10"/>
      <c r="T7029" s="10"/>
      <c r="U7029" s="10"/>
      <c r="V7029" s="10"/>
      <c r="W7029" s="10"/>
      <c r="X7029" s="10"/>
      <c r="Y7029" s="10"/>
      <c r="Z7029" s="10"/>
    </row>
    <row r="7030" spans="1:26" ht="12.75">
      <c r="A7030" s="10" t="str">
        <f ca="1">IFERROR(__xludf.DUMMYFUNCTION("""COMPUTED_VALUE"""),"Стефан Иванов Мичев")</f>
        <v>Стефан Иванов Мичев</v>
      </c>
      <c r="B7030" s="10" t="str">
        <f ca="1">IFERROR(__xludf.DUMMYFUNCTION("""COMPUTED_VALUE"""),"Доклад от конференция")</f>
        <v>Доклад от конференция</v>
      </c>
      <c r="C7030" s="10" t="str">
        <f ca="1">IFERROR(__xludf.DUMMYFUNCTION("""COMPUTED_VALUE"""),"Проблеми на моделирането на сигурността.")</f>
        <v>Проблеми на моделирането на сигурността.</v>
      </c>
      <c r="D7030" s="10">
        <f ca="1">IFERROR(__xludf.DUMMYFUNCTION("""COMPUTED_VALUE"""),2019)</f>
        <v>2019</v>
      </c>
      <c r="E7030" s="10" t="str">
        <f ca="1">IFERROR(__xludf.DUMMYFUNCTION("""COMPUTED_VALUE"""),"„Обществото на знанието и хуманизмът на ХХІ век“ - 1 ноември 2018 г. УНИБИТ и НБ „Св. св. Кирил и Методий“ , Издателство ""ЗА БУКВИТЕ – О ПИСМЕНЕХЬ"" , С., 2019. ISSN 1314-7099.")</f>
        <v>„Обществото на знанието и хуманизмът на ХХІ век“ - 1 ноември 2018 г. УНИБИТ и НБ „Св. св. Кирил и Методий“ , Издателство "ЗА БУКВИТЕ – О ПИСМЕНЕХЬ" , С., 2019. ISSN 1314-7099.</v>
      </c>
      <c r="F7030" s="10"/>
      <c r="G7030" s="10"/>
      <c r="H7030" s="10"/>
      <c r="I7030" s="10"/>
      <c r="J7030" s="10"/>
      <c r="K7030" s="10"/>
      <c r="L7030" s="10"/>
      <c r="M7030" s="10"/>
      <c r="N7030" s="10"/>
      <c r="O7030" s="10"/>
      <c r="P7030" s="10"/>
      <c r="Q7030" s="10"/>
      <c r="R7030" s="10"/>
      <c r="S7030" s="10"/>
      <c r="T7030" s="10"/>
      <c r="U7030" s="10"/>
      <c r="V7030" s="10"/>
      <c r="W7030" s="10"/>
      <c r="X7030" s="10"/>
      <c r="Y7030" s="10"/>
      <c r="Z7030" s="10"/>
    </row>
    <row r="7031" spans="1:26" ht="12.75">
      <c r="A7031" s="10" t="str">
        <f ca="1">IFERROR(__xludf.DUMMYFUNCTION("""COMPUTED_VALUE"""),"Стефан Иванов Мичев")</f>
        <v>Стефан Иванов Мичев</v>
      </c>
      <c r="B7031" s="10" t="str">
        <f ca="1">IFERROR(__xludf.DUMMYFUNCTION("""COMPUTED_VALUE"""),"Доклад от конференция")</f>
        <v>Доклад от конференция</v>
      </c>
      <c r="C7031" s="10" t="str">
        <f ca="1">IFERROR(__xludf.DUMMYFUNCTION("""COMPUTED_VALUE"""),"ITEGRATION OF THE ILEGAL IMIGRANTS – IS IT NECESSARI")</f>
        <v>ITEGRATION OF THE ILEGAL IMIGRANTS – IS IT NECESSARI</v>
      </c>
      <c r="D7031" s="10">
        <f ca="1">IFERROR(__xludf.DUMMYFUNCTION("""COMPUTED_VALUE"""),2019)</f>
        <v>2019</v>
      </c>
      <c r="E7031" s="10" t="str">
        <f ca="1">IFERROR(__xludf.DUMMYFUNCTION("""COMPUTED_VALUE"""),"International Scientific Journal “Globalization, the State and the Individual“, Conference Edition 2019, pp 41-49, Free University of Varna „Chernorizets Hrabar“ , ISSN 2367-4555")</f>
        <v>International Scientific Journal “Globalization, the State and the Individual“, Conference Edition 2019, pp 41-49, Free University of Varna „Chernorizets Hrabar“ , ISSN 2367-4555</v>
      </c>
      <c r="F7031" s="10"/>
      <c r="G7031" s="10"/>
      <c r="H7031" s="10"/>
      <c r="I7031" s="10"/>
      <c r="J7031" s="10"/>
      <c r="K7031" s="10"/>
      <c r="L7031" s="10"/>
      <c r="M7031" s="10"/>
      <c r="N7031" s="10"/>
      <c r="O7031" s="10"/>
      <c r="P7031" s="10"/>
      <c r="Q7031" s="10"/>
      <c r="R7031" s="10"/>
      <c r="S7031" s="10"/>
      <c r="T7031" s="10"/>
      <c r="U7031" s="10"/>
      <c r="V7031" s="10"/>
      <c r="W7031" s="10"/>
      <c r="X7031" s="10"/>
      <c r="Y7031" s="10"/>
      <c r="Z7031" s="10"/>
    </row>
    <row r="7032" spans="1:26" ht="12.75">
      <c r="A7032" s="10" t="str">
        <f ca="1">IFERROR(__xludf.DUMMYFUNCTION("""COMPUTED_VALUE"""),"Стефан Иванов Мичев")</f>
        <v>Стефан Иванов Мичев</v>
      </c>
      <c r="B7032" s="10" t="str">
        <f ca="1">IFERROR(__xludf.DUMMYFUNCTION("""COMPUTED_VALUE"""),"Доклад от конференция")</f>
        <v>Доклад от конференция</v>
      </c>
      <c r="C7032" s="10" t="str">
        <f ca="1">IFERROR(__xludf.DUMMYFUNCTION("""COMPUTED_VALUE"""),"Виртуални етнически общности и реални мигрантски групи")</f>
        <v>Виртуални етнически общности и реални мигрантски групи</v>
      </c>
      <c r="D7032" s="10">
        <f ca="1">IFERROR(__xludf.DUMMYFUNCTION("""COMPUTED_VALUE"""),2019)</f>
        <v>2019</v>
      </c>
      <c r="E7032" s="10" t="str">
        <f ca="1">IFERROR(__xludf.DUMMYFUNCTION("""COMPUTED_VALUE"""),"Научна конференция „Проблеми на миграцията“ в Бургаския свободен университет – май 2019 г. Издателство „БСУ ЦЕНТЪР ПО ЮРИДИЧЕСКИ НАУКИ“, 2019, ISSN 1311-3771")</f>
        <v>Научна конференция „Проблеми на миграцията“ в Бургаския свободен университет – май 2019 г. Издателство „БСУ ЦЕНТЪР ПО ЮРИДИЧЕСКИ НАУКИ“, 2019, ISSN 1311-3771</v>
      </c>
      <c r="F7032" s="10"/>
      <c r="G7032" s="10"/>
      <c r="H7032" s="10"/>
      <c r="I7032" s="10"/>
      <c r="J7032" s="10"/>
      <c r="K7032" s="10"/>
      <c r="L7032" s="10"/>
      <c r="M7032" s="10"/>
      <c r="N7032" s="10"/>
      <c r="O7032" s="10"/>
      <c r="P7032" s="10"/>
      <c r="Q7032" s="10"/>
      <c r="R7032" s="10"/>
      <c r="S7032" s="10"/>
      <c r="T7032" s="10"/>
      <c r="U7032" s="10"/>
      <c r="V7032" s="10"/>
      <c r="W7032" s="10"/>
      <c r="X7032" s="10"/>
      <c r="Y7032" s="10"/>
      <c r="Z7032" s="10"/>
    </row>
    <row r="7033" spans="1:26" ht="12.75">
      <c r="A7033" s="10" t="str">
        <f ca="1">IFERROR(__xludf.DUMMYFUNCTION("""COMPUTED_VALUE"""),"Стефан Иванов Мичев")</f>
        <v>Стефан Иванов Мичев</v>
      </c>
      <c r="B7033" s="10" t="str">
        <f ca="1">IFERROR(__xludf.DUMMYFUNCTION("""COMPUTED_VALUE"""),"Доклад от конференция")</f>
        <v>Доклад от конференция</v>
      </c>
      <c r="C7033" s="10" t="str">
        <f ca="1">IFERROR(__xludf.DUMMYFUNCTION("""COMPUTED_VALUE"""),"Политическият елит и службите за сигурност през Българският преход The political elite and the security services through Bulgarian transition")</f>
        <v>Политическият елит и службите за сигурност през Българският преход The political elite and the security services through Bulgarian transition</v>
      </c>
      <c r="D7033" s="10">
        <f ca="1">IFERROR(__xludf.DUMMYFUNCTION("""COMPUTED_VALUE"""),2018)</f>
        <v>2018</v>
      </c>
      <c r="E7033" s="10" t="str">
        <f ca="1">IFERROR(__xludf.DUMMYFUNCTION("""COMPUTED_VALUE"""),"International Scientific Conference „Management and engineering – 17”– 2018, Sozopol, Bulgaria SCIENTIFIC PROCEEDINGS SCIENTIFIC-TECHNICAL UNION OF MECHANICAL ENGINEERING DAY OF SCIENCE AT TU-SOFIA, 2018 ISSN 1310-3946 ISSN 1314-6327.")</f>
        <v>International Scientific Conference „Management and engineering – 17”– 2018, Sozopol, Bulgaria SCIENTIFIC PROCEEDINGS SCIENTIFIC-TECHNICAL UNION OF MECHANICAL ENGINEERING DAY OF SCIENCE AT TU-SOFIA, 2018 ISSN 1310-3946 ISSN 1314-6327.</v>
      </c>
      <c r="F7033" s="10" t="str">
        <f ca="1">IFERROR(__xludf.DUMMYFUNCTION("""COMPUTED_VALUE"""),"SCOPUS, ISI импакт фактор")</f>
        <v>SCOPUS, ISI импакт фактор</v>
      </c>
      <c r="G7033" s="10"/>
      <c r="H7033" s="10"/>
      <c r="I7033" s="10"/>
      <c r="J7033" s="10"/>
      <c r="K7033" s="10"/>
      <c r="L7033" s="10"/>
      <c r="M7033" s="10"/>
      <c r="N7033" s="10"/>
      <c r="O7033" s="10"/>
      <c r="P7033" s="10"/>
      <c r="Q7033" s="10"/>
      <c r="R7033" s="10"/>
      <c r="S7033" s="10"/>
      <c r="T7033" s="10"/>
      <c r="U7033" s="10"/>
      <c r="V7033" s="10"/>
      <c r="W7033" s="10"/>
      <c r="X7033" s="10"/>
      <c r="Y7033" s="10"/>
      <c r="Z7033" s="10"/>
    </row>
    <row r="7034" spans="1:26" ht="12.75">
      <c r="A7034" s="10" t="str">
        <f ca="1">IFERROR(__xludf.DUMMYFUNCTION("""COMPUTED_VALUE"""),"Стефан Иванов Мичев")</f>
        <v>Стефан Иванов Мичев</v>
      </c>
      <c r="B7034" s="10" t="str">
        <f ca="1">IFERROR(__xludf.DUMMYFUNCTION("""COMPUTED_VALUE"""),"Доклад от конференция")</f>
        <v>Доклад от конференция</v>
      </c>
      <c r="C7034" s="10" t="str">
        <f ca="1">IFERROR(__xludf.DUMMYFUNCTION("""COMPUTED_VALUE"""),"Сигурността като състояние на обществото и човека")</f>
        <v>Сигурността като състояние на обществото и човека</v>
      </c>
      <c r="D7034" s="10">
        <f ca="1">IFERROR(__xludf.DUMMYFUNCTION("""COMPUTED_VALUE"""),2017)</f>
        <v>2017</v>
      </c>
      <c r="E7034" s="10" t="str">
        <f ca="1">IFERROR(__xludf.DUMMYFUNCTION("""COMPUTED_VALUE"""),"Сборник „Докторантите в науката“ Издателство Университетско издателство „Неофит Рилски“, Блг. 2017, с.47-61 ISBN 978-954-00-0135-7.")</f>
        <v>Сборник „Докторантите в науката“ Издателство Университетско издателство „Неофит Рилски“, Блг. 2017, с.47-61 ISBN 978-954-00-0135-7.</v>
      </c>
      <c r="F7034" s="10"/>
      <c r="G7034" s="10"/>
      <c r="H7034" s="10"/>
      <c r="I7034" s="10"/>
      <c r="J7034" s="10"/>
      <c r="K7034" s="10"/>
      <c r="L7034" s="10"/>
      <c r="M7034" s="10"/>
      <c r="N7034" s="10"/>
      <c r="O7034" s="10"/>
      <c r="P7034" s="10"/>
      <c r="Q7034" s="10"/>
      <c r="R7034" s="10"/>
      <c r="S7034" s="10"/>
      <c r="T7034" s="10"/>
      <c r="U7034" s="10"/>
      <c r="V7034" s="10"/>
      <c r="W7034" s="10"/>
      <c r="X7034" s="10"/>
      <c r="Y7034" s="10"/>
      <c r="Z7034" s="10"/>
    </row>
    <row r="7035" spans="1:26" ht="12.75">
      <c r="A7035" s="10" t="str">
        <f ca="1">IFERROR(__xludf.DUMMYFUNCTION("""COMPUTED_VALUE"""),"Стефан Иванов Мичев")</f>
        <v>Стефан Иванов Мичев</v>
      </c>
      <c r="B7035" s="10" t="str">
        <f ca="1">IFERROR(__xludf.DUMMYFUNCTION("""COMPUTED_VALUE"""),"Доклад от конференция")</f>
        <v>Доклад от конференция</v>
      </c>
      <c r="C7035" s="10" t="str">
        <f ca="1">IFERROR(__xludf.DUMMYFUNCTION("""COMPUTED_VALUE"""),"Protection of critical infrastructure – an element of security policy.")</f>
        <v>Protection of critical infrastructure – an element of security policy.</v>
      </c>
      <c r="D7035" s="10">
        <f ca="1">IFERROR(__xludf.DUMMYFUNCTION("""COMPUTED_VALUE"""),2017)</f>
        <v>2017</v>
      </c>
      <c r="E7035" s="10" t="str">
        <f ca="1">IFERROR(__xludf.DUMMYFUNCTION("""COMPUTED_VALUE"""),"International Scientific Conference „Management and engineering – 16”–2017, Sozopol, Bulgaria SCIENTIFIC PROCEEDINGS SCIENTIFIC-TECHNICAL UNION OF MECHANICAL ENGINEERING. DAY OF SCIENCE AT TU-SOFIA, 2017 ISSN 1310-3946 ISSN 1314-6327.")</f>
        <v>International Scientific Conference „Management and engineering – 16”–2017, Sozopol, Bulgaria SCIENTIFIC PROCEEDINGS SCIENTIFIC-TECHNICAL UNION OF MECHANICAL ENGINEERING. DAY OF SCIENCE AT TU-SOFIA, 2017 ISSN 1310-3946 ISSN 1314-6327.</v>
      </c>
      <c r="F7035" s="10" t="str">
        <f ca="1">IFERROR(__xludf.DUMMYFUNCTION("""COMPUTED_VALUE"""),"ISI импакт фактор")</f>
        <v>ISI импакт фактор</v>
      </c>
      <c r="G7035" s="10"/>
      <c r="H7035" s="10"/>
      <c r="I7035" s="10"/>
      <c r="J7035" s="10"/>
      <c r="K7035" s="10"/>
      <c r="L7035" s="10"/>
      <c r="M7035" s="10"/>
      <c r="N7035" s="10"/>
      <c r="O7035" s="10"/>
      <c r="P7035" s="10"/>
      <c r="Q7035" s="10"/>
      <c r="R7035" s="10"/>
      <c r="S7035" s="10"/>
      <c r="T7035" s="10"/>
      <c r="U7035" s="10"/>
      <c r="V7035" s="10"/>
      <c r="W7035" s="10"/>
      <c r="X7035" s="10"/>
      <c r="Y7035" s="10"/>
      <c r="Z7035" s="10"/>
    </row>
    <row r="7036" spans="1:26" ht="12.75">
      <c r="A7036" s="10" t="str">
        <f ca="1">IFERROR(__xludf.DUMMYFUNCTION("""COMPUTED_VALUE"""),"Стефан Иванов Мичев")</f>
        <v>Стефан Иванов Мичев</v>
      </c>
      <c r="B7036" s="10" t="str">
        <f ca="1">IFERROR(__xludf.DUMMYFUNCTION("""COMPUTED_VALUE"""),"Доклад от конференция")</f>
        <v>Доклад от конференция</v>
      </c>
      <c r="C7036" s="10" t="str">
        <f ca="1">IFERROR(__xludf.DUMMYFUNCTION("""COMPUTED_VALUE"""),"Стратегически измерения на културната идентичност и интегритет")</f>
        <v>Стратегически измерения на културната идентичност и интегритет</v>
      </c>
      <c r="D7036" s="10">
        <f ca="1">IFERROR(__xludf.DUMMYFUNCTION("""COMPUTED_VALUE"""),2017)</f>
        <v>2017</v>
      </c>
      <c r="E7036" s="10" t="str">
        <f ca="1">IFERROR(__xludf.DUMMYFUNCTION("""COMPUTED_VALUE"""),"Научна конференция „Право и сигурност“ в Бургаския свободен университет – юни 2017 г. Издателство „БСУ ЦЕНТЪР ПО ЮРИДИЧЕСКИ НАУКИ“, 2017 с.48-56. ISSN 1311-3771.")</f>
        <v>Научна конференция „Право и сигурност“ в Бургаския свободен университет – юни 2017 г. Издателство „БСУ ЦЕНТЪР ПО ЮРИДИЧЕСКИ НАУКИ“, 2017 с.48-56. ISSN 1311-3771.</v>
      </c>
      <c r="F7036" s="10"/>
      <c r="G7036" s="10"/>
      <c r="H7036" s="10"/>
      <c r="I7036" s="10"/>
      <c r="J7036" s="10"/>
      <c r="K7036" s="10"/>
      <c r="L7036" s="10"/>
      <c r="M7036" s="10"/>
      <c r="N7036" s="10"/>
      <c r="O7036" s="10"/>
      <c r="P7036" s="10"/>
      <c r="Q7036" s="10"/>
      <c r="R7036" s="10"/>
      <c r="S7036" s="10"/>
      <c r="T7036" s="10"/>
      <c r="U7036" s="10"/>
      <c r="V7036" s="10"/>
      <c r="W7036" s="10"/>
      <c r="X7036" s="10"/>
      <c r="Y7036" s="10"/>
      <c r="Z7036" s="10"/>
    </row>
    <row r="7037" spans="1:26" ht="12.75">
      <c r="A7037" s="10" t="str">
        <f ca="1">IFERROR(__xludf.DUMMYFUNCTION("""COMPUTED_VALUE"""),"Стефан Иванов Мичев")</f>
        <v>Стефан Иванов Мичев</v>
      </c>
      <c r="B7037" s="10" t="str">
        <f ca="1">IFERROR(__xludf.DUMMYFUNCTION("""COMPUTED_VALUE"""),"Доклад от конференция")</f>
        <v>Доклад от конференция</v>
      </c>
      <c r="C7037" s="10" t="str">
        <f ca="1">IFERROR(__xludf.DUMMYFUNCTION("""COMPUTED_VALUE"""),"Социалните мрежи като генератор на илюзии за сигурност")</f>
        <v>Социалните мрежи като генератор на илюзии за сигурност</v>
      </c>
      <c r="D7037" s="10">
        <f ca="1">IFERROR(__xludf.DUMMYFUNCTION("""COMPUTED_VALUE"""),2017)</f>
        <v>2017</v>
      </c>
      <c r="E7037" s="10" t="str">
        <f ca="1">IFERROR(__xludf.DUMMYFUNCTION("""COMPUTED_VALUE"""),"Първа международна научно-практическа конференция „Дигитални измами и киберсигурност“ Издателство „Издателски комплекс – УНСС. С., 2018, с.74-83. ISBN 978-619-232-064-5.")</f>
        <v>Първа международна научно-практическа конференция „Дигитални измами и киберсигурност“ Издателство „Издателски комплекс – УНСС. С., 2018, с.74-83. ISBN 978-619-232-064-5.</v>
      </c>
      <c r="F7037" s="10"/>
      <c r="G7037" s="10"/>
      <c r="H7037" s="10"/>
      <c r="I7037" s="10"/>
      <c r="J7037" s="10"/>
      <c r="K7037" s="10"/>
      <c r="L7037" s="10"/>
      <c r="M7037" s="10"/>
      <c r="N7037" s="10"/>
      <c r="O7037" s="10"/>
      <c r="P7037" s="10"/>
      <c r="Q7037" s="10"/>
      <c r="R7037" s="10"/>
      <c r="S7037" s="10"/>
      <c r="T7037" s="10"/>
      <c r="U7037" s="10"/>
      <c r="V7037" s="10"/>
      <c r="W7037" s="10"/>
      <c r="X7037" s="10"/>
      <c r="Y7037" s="10"/>
      <c r="Z7037" s="10"/>
    </row>
    <row r="7038" spans="1:26" ht="12.75">
      <c r="A7038" s="10" t="str">
        <f ca="1">IFERROR(__xludf.DUMMYFUNCTION("""COMPUTED_VALUE"""),"Стефан Иванов Мичев")</f>
        <v>Стефан Иванов Мичев</v>
      </c>
      <c r="B7038" s="10" t="str">
        <f ca="1">IFERROR(__xludf.DUMMYFUNCTION("""COMPUTED_VALUE"""),"Доклад от конференция")</f>
        <v>Доклад от конференция</v>
      </c>
      <c r="C7038" s="10" t="str">
        <f ca="1">IFERROR(__xludf.DUMMYFUNCTION("""COMPUTED_VALUE"""),"The new illusions of security")</f>
        <v>The new illusions of security</v>
      </c>
      <c r="D7038" s="10">
        <f ca="1">IFERROR(__xludf.DUMMYFUNCTION("""COMPUTED_VALUE"""),2017)</f>
        <v>2017</v>
      </c>
      <c r="E7038" s="10" t="str">
        <f ca="1">IFERROR(__xludf.DUMMYFUNCTION("""COMPUTED_VALUE"""),"Conference „Globalization, the State and the Individual – Lublin – Varna 2017, INTERNATIONAL SCIENTIFIC JOURNAL – Special number: Conference materials 2 (14)/2017")</f>
        <v>Conference „Globalization, the State and the Individual – Lublin – Varna 2017, INTERNATIONAL SCIENTIFIC JOURNAL – Special number: Conference materials 2 (14)/2017</v>
      </c>
      <c r="F7038" s="10" t="str">
        <f ca="1">IFERROR(__xludf.DUMMYFUNCTION("""COMPUTED_VALUE"""),"INDEKS COPERNICUS INTERNATIONAL")</f>
        <v>INDEKS COPERNICUS INTERNATIONAL</v>
      </c>
      <c r="G7038" s="10" t="str">
        <f ca="1">IFERROR(__xludf.DUMMYFUNCTION("""COMPUTED_VALUE"""),"Desislava Stoeva")</f>
        <v>Desislava Stoeva</v>
      </c>
      <c r="H7038" s="10"/>
      <c r="I7038" s="10"/>
      <c r="J7038" s="10"/>
      <c r="K7038" s="10"/>
      <c r="L7038" s="10"/>
      <c r="M7038" s="10"/>
      <c r="N7038" s="10"/>
      <c r="O7038" s="10"/>
      <c r="P7038" s="10"/>
      <c r="Q7038" s="10"/>
      <c r="R7038" s="10"/>
      <c r="S7038" s="10"/>
      <c r="T7038" s="10"/>
      <c r="U7038" s="10"/>
      <c r="V7038" s="10"/>
      <c r="W7038" s="10"/>
      <c r="X7038" s="10"/>
      <c r="Y7038" s="10"/>
      <c r="Z7038" s="10"/>
    </row>
    <row r="7039" spans="1:26" ht="12.75">
      <c r="A7039" s="10" t="str">
        <f ca="1">IFERROR(__xludf.DUMMYFUNCTION("""COMPUTED_VALUE"""),"Стефан Иванов Мичев")</f>
        <v>Стефан Иванов Мичев</v>
      </c>
      <c r="B7039" s="10" t="str">
        <f ca="1">IFERROR(__xludf.DUMMYFUNCTION("""COMPUTED_VALUE"""),"Доклад от конференция")</f>
        <v>Доклад от конференция</v>
      </c>
      <c r="C7039" s="10" t="str">
        <f ca="1">IFERROR(__xludf.DUMMYFUNCTION("""COMPUTED_VALUE"""),"Защитата на критичната инфраструктура – елемент от политиката за сигурност = Рrotection of critical infrastructure – an element of security policy")</f>
        <v>Защитата на критичната инфраструктура – елемент от политиката за сигурност = Рrotection of critical infrastructure – an element of security policy</v>
      </c>
      <c r="D7039" s="10">
        <f ca="1">IFERROR(__xludf.DUMMYFUNCTION("""COMPUTED_VALUE"""),2016)</f>
        <v>2016</v>
      </c>
      <c r="E7039" s="10" t="str">
        <f ca="1">IFERROR(__xludf.DUMMYFUNCTION("""COMPUTED_VALUE"""),"International Scientific Conference „Management and engineering – 15” – 2016, Sozopol, Bulgaria SCIENTIFIC PROCEEDINGS SCIENTIFIC-TECHNICAL UNION OF MECHANICAL ENGINEERING, DAY OF SCIENCE AT TU-SOFIA, 2015, ISSN 1310-3946 ISSN 1314-6327.")</f>
        <v>International Scientific Conference „Management and engineering – 15” – 2016, Sozopol, Bulgaria SCIENTIFIC PROCEEDINGS SCIENTIFIC-TECHNICAL UNION OF MECHANICAL ENGINEERING, DAY OF SCIENCE AT TU-SOFIA, 2015, ISSN 1310-3946 ISSN 1314-6327.</v>
      </c>
      <c r="F7039" s="10" t="str">
        <f ca="1">IFERROR(__xludf.DUMMYFUNCTION("""COMPUTED_VALUE"""),"SCOPUS")</f>
        <v>SCOPUS</v>
      </c>
      <c r="G7039" s="10"/>
      <c r="H7039" s="10"/>
      <c r="I7039" s="10"/>
      <c r="J7039" s="10"/>
      <c r="K7039" s="10"/>
      <c r="L7039" s="10"/>
      <c r="M7039" s="10"/>
      <c r="N7039" s="10"/>
      <c r="O7039" s="10"/>
      <c r="P7039" s="10"/>
      <c r="Q7039" s="10"/>
      <c r="R7039" s="10"/>
      <c r="S7039" s="10"/>
      <c r="T7039" s="10"/>
      <c r="U7039" s="10"/>
      <c r="V7039" s="10"/>
      <c r="W7039" s="10"/>
      <c r="X7039" s="10"/>
      <c r="Y7039" s="10"/>
      <c r="Z7039" s="10"/>
    </row>
    <row r="7040" spans="1:26" ht="12.75">
      <c r="A7040" s="10" t="str">
        <f ca="1">IFERROR(__xludf.DUMMYFUNCTION("""COMPUTED_VALUE"""),"Стефан Иванов Мичев")</f>
        <v>Стефан Иванов Мичев</v>
      </c>
      <c r="B7040" s="10" t="str">
        <f ca="1">IFERROR(__xludf.DUMMYFUNCTION("""COMPUTED_VALUE"""),"Доклад от конференция")</f>
        <v>Доклад от конференция</v>
      </c>
      <c r="C7040" s="10" t="str">
        <f ca="1">IFERROR(__xludf.DUMMYFUNCTION("""COMPUTED_VALUE"""),"Security by power or security by integration")</f>
        <v>Security by power or security by integration</v>
      </c>
      <c r="D7040" s="10">
        <f ca="1">IFERROR(__xludf.DUMMYFUNCTION("""COMPUTED_VALUE"""),2016)</f>
        <v>2016</v>
      </c>
      <c r="E7040" s="10" t="str">
        <f ca="1">IFERROR(__xludf.DUMMYFUNCTION("""COMPUTED_VALUE"""),"International Scientific Conference „Management and engineering – 15”– 2016, Sozopol, Bulgaria SCIENTIFIC PROCEEDINGS SCIENTIFIC-TECHNICAL UNION OF MECHANICAL ENGINEERING. DAY OF SCIENCE AT TU-SOFIA, 2016, ISSN 1310-3946 ISSN 1314-6327.")</f>
        <v>International Scientific Conference „Management and engineering – 15”– 2016, Sozopol, Bulgaria SCIENTIFIC PROCEEDINGS SCIENTIFIC-TECHNICAL UNION OF MECHANICAL ENGINEERING. DAY OF SCIENCE AT TU-SOFIA, 2016, ISSN 1310-3946 ISSN 1314-6327.</v>
      </c>
      <c r="F7040" s="10" t="str">
        <f ca="1">IFERROR(__xludf.DUMMYFUNCTION("""COMPUTED_VALUE"""),"SCOPUS, ISI импакт фактор")</f>
        <v>SCOPUS, ISI импакт фактор</v>
      </c>
      <c r="G7040" s="10"/>
      <c r="H7040" s="10"/>
      <c r="I7040" s="10"/>
      <c r="J7040" s="10"/>
      <c r="K7040" s="10"/>
      <c r="L7040" s="10"/>
      <c r="M7040" s="10"/>
      <c r="N7040" s="10"/>
      <c r="O7040" s="10"/>
      <c r="P7040" s="10"/>
      <c r="Q7040" s="10"/>
      <c r="R7040" s="10"/>
      <c r="S7040" s="10"/>
      <c r="T7040" s="10"/>
      <c r="U7040" s="10"/>
      <c r="V7040" s="10"/>
      <c r="W7040" s="10"/>
      <c r="X7040" s="10"/>
      <c r="Y7040" s="10"/>
      <c r="Z7040" s="10"/>
    </row>
    <row r="7041" spans="1:26" ht="12.75">
      <c r="A7041" s="10" t="str">
        <f ca="1">IFERROR(__xludf.DUMMYFUNCTION("""COMPUTED_VALUE"""),"Стефан Иванов Мичев")</f>
        <v>Стефан Иванов Мичев</v>
      </c>
      <c r="B7041" s="10" t="str">
        <f ca="1">IFERROR(__xludf.DUMMYFUNCTION("""COMPUTED_VALUE"""),"Учебник")</f>
        <v>Учебник</v>
      </c>
      <c r="C7041" s="10" t="str">
        <f ca="1">IFERROR(__xludf.DUMMYFUNCTION("""COMPUTED_VALUE"""),"Философия на сигурността. Хуманност и насилие")</f>
        <v>Философия на сигурността. Хуманност и насилие</v>
      </c>
      <c r="D7041" s="10">
        <f ca="1">IFERROR(__xludf.DUMMYFUNCTION("""COMPUTED_VALUE"""),2015)</f>
        <v>2015</v>
      </c>
      <c r="E7041" s="10" t="str">
        <f ca="1">IFERROR(__xludf.DUMMYFUNCTION("""COMPUTED_VALUE"""),"„Софтрейд“, С., 2015 ISBN 978-954-334-172-6")</f>
        <v>„Софтрейд“, С., 2015 ISBN 978-954-334-172-6</v>
      </c>
      <c r="F7041" s="10"/>
      <c r="G7041" s="10"/>
      <c r="H7041" s="10"/>
      <c r="I7041" s="10"/>
      <c r="J7041" s="10"/>
      <c r="K7041" s="10"/>
      <c r="L7041" s="10"/>
      <c r="M7041" s="10"/>
      <c r="N7041" s="10"/>
      <c r="O7041" s="10"/>
      <c r="P7041" s="10"/>
      <c r="Q7041" s="10"/>
      <c r="R7041" s="10"/>
      <c r="S7041" s="10"/>
      <c r="T7041" s="10"/>
      <c r="U7041" s="10"/>
      <c r="V7041" s="10"/>
      <c r="W7041" s="10"/>
      <c r="X7041" s="10"/>
      <c r="Y7041" s="10"/>
      <c r="Z7041" s="10"/>
    </row>
    <row r="7042" spans="1:26" ht="12.75">
      <c r="A7042" s="10" t="str">
        <f ca="1">IFERROR(__xludf.DUMMYFUNCTION("""COMPUTED_VALUE"""),"Стефан Иванов Мичев")</f>
        <v>Стефан Иванов Мичев</v>
      </c>
      <c r="B7042" s="10" t="str">
        <f ca="1">IFERROR(__xludf.DUMMYFUNCTION("""COMPUTED_VALUE"""),"Доклад от конференция")</f>
        <v>Доклад от конференция</v>
      </c>
      <c r="C7042" s="10" t="str">
        <f ca="1">IFERROR(__xludf.DUMMYFUNCTION("""COMPUTED_VALUE"""),"Особености на лидерството в сектора за сигурност")</f>
        <v>Особености на лидерството в сектора за сигурност</v>
      </c>
      <c r="D7042" s="10">
        <f ca="1">IFERROR(__xludf.DUMMYFUNCTION("""COMPUTED_VALUE"""),2015)</f>
        <v>2015</v>
      </c>
      <c r="E7042" s="10" t="str">
        <f ca="1">IFERROR(__xludf.DUMMYFUNCTION("""COMPUTED_VALUE"""),"Международна научна конференция „ Лидерство и организационно развитие“- 2015")</f>
        <v>Международна научна конференция „ Лидерство и организационно развитие“- 2015</v>
      </c>
      <c r="F7042" s="10"/>
      <c r="G7042" s="10"/>
      <c r="H7042" s="10"/>
      <c r="I7042" s="10"/>
      <c r="J7042" s="10"/>
      <c r="K7042" s="10"/>
      <c r="L7042" s="10"/>
      <c r="M7042" s="10"/>
      <c r="N7042" s="10"/>
      <c r="O7042" s="10"/>
      <c r="P7042" s="10"/>
      <c r="Q7042" s="10"/>
      <c r="R7042" s="10"/>
      <c r="S7042" s="10"/>
      <c r="T7042" s="10"/>
      <c r="U7042" s="10"/>
      <c r="V7042" s="10"/>
      <c r="W7042" s="10"/>
      <c r="X7042" s="10"/>
      <c r="Y7042" s="10"/>
      <c r="Z7042" s="10"/>
    </row>
    <row r="7043" spans="1:26" ht="12.75">
      <c r="A7043" s="10" t="str">
        <f ca="1">IFERROR(__xludf.DUMMYFUNCTION("""COMPUTED_VALUE"""),"Стефан Иванов Мичев")</f>
        <v>Стефан Иванов Мичев</v>
      </c>
      <c r="B7043" s="10" t="str">
        <f ca="1">IFERROR(__xludf.DUMMYFUNCTION("""COMPUTED_VALUE"""),"Доклад от конференция")</f>
        <v>Доклад от конференция</v>
      </c>
      <c r="C7043" s="10" t="str">
        <f ca="1">IFERROR(__xludf.DUMMYFUNCTION("""COMPUTED_VALUE"""),"Virtual communities and social sets as generators of illusions")</f>
        <v>Virtual communities and social sets as generators of illusions</v>
      </c>
      <c r="D7043" s="10">
        <f ca="1">IFERROR(__xludf.DUMMYFUNCTION("""COMPUTED_VALUE"""),2015)</f>
        <v>2015</v>
      </c>
      <c r="E7043" s="10" t="str">
        <f ca="1">IFERROR(__xludf.DUMMYFUNCTION("""COMPUTED_VALUE"""),"International Scientific Conference „Management and engineering – 14” – 2015, Sozopol, Bulgaria SCIENTIFIC PROCEEDINGS SCIENTIFIC-TECHNICAL UNION OF MECHANICAL ENGINEERING, DAY OF SCIENCE AT TU-SOFIA, 2015, ISSN 1310-3946 ISSN 1314-6327.")</f>
        <v>International Scientific Conference „Management and engineering – 14” – 2015, Sozopol, Bulgaria SCIENTIFIC PROCEEDINGS SCIENTIFIC-TECHNICAL UNION OF MECHANICAL ENGINEERING, DAY OF SCIENCE AT TU-SOFIA, 2015, ISSN 1310-3946 ISSN 1314-6327.</v>
      </c>
      <c r="F7043" s="10"/>
      <c r="G7043" s="10"/>
      <c r="H7043" s="10"/>
      <c r="I7043" s="10"/>
      <c r="J7043" s="10"/>
      <c r="K7043" s="10"/>
      <c r="L7043" s="10"/>
      <c r="M7043" s="10"/>
      <c r="N7043" s="10"/>
      <c r="O7043" s="10"/>
      <c r="P7043" s="10"/>
      <c r="Q7043" s="10"/>
      <c r="R7043" s="10"/>
      <c r="S7043" s="10"/>
      <c r="T7043" s="10"/>
      <c r="U7043" s="10"/>
      <c r="V7043" s="10"/>
      <c r="W7043" s="10"/>
      <c r="X7043" s="10"/>
      <c r="Y7043" s="10"/>
      <c r="Z7043" s="10"/>
    </row>
    <row r="7044" spans="1:26" ht="12.75">
      <c r="A7044" s="10" t="str">
        <f ca="1">IFERROR(__xludf.DUMMYFUNCTION("""COMPUTED_VALUE"""),"Стефан Иванов Мичев")</f>
        <v>Стефан Иванов Мичев</v>
      </c>
      <c r="B7044" s="10" t="str">
        <f ca="1">IFERROR(__xludf.DUMMYFUNCTION("""COMPUTED_VALUE"""),"Студия")</f>
        <v>Студия</v>
      </c>
      <c r="C7044" s="10" t="str">
        <f ca="1">IFERROR(__xludf.DUMMYFUNCTION("""COMPUTED_VALUE"""),"Постмодерният модел на сигурност")</f>
        <v>Постмодерният модел на сигурност</v>
      </c>
      <c r="D7044" s="10">
        <f ca="1">IFERROR(__xludf.DUMMYFUNCTION("""COMPUTED_VALUE"""),2014)</f>
        <v>2014</v>
      </c>
      <c r="E7044" s="10" t="str">
        <f ca="1">IFERROR(__xludf.DUMMYFUNCTION("""COMPUTED_VALUE"""),"Научни трудове, Фондация „Национална и международна сигурност”, С., 2014, ISSN 1314 - 9105. С.31-42")</f>
        <v>Научни трудове, Фондация „Национална и международна сигурност”, С., 2014, ISSN 1314 - 9105. С.31-42</v>
      </c>
      <c r="F7044" s="10"/>
      <c r="G7044" s="10"/>
      <c r="H7044" s="10"/>
      <c r="I7044" s="10"/>
      <c r="J7044" s="10"/>
      <c r="K7044" s="10"/>
      <c r="L7044" s="10"/>
      <c r="M7044" s="10"/>
      <c r="N7044" s="10"/>
      <c r="O7044" s="10"/>
      <c r="P7044" s="10"/>
      <c r="Q7044" s="10"/>
      <c r="R7044" s="10"/>
      <c r="S7044" s="10"/>
      <c r="T7044" s="10"/>
      <c r="U7044" s="10"/>
      <c r="V7044" s="10"/>
      <c r="W7044" s="10"/>
      <c r="X7044" s="10"/>
      <c r="Y7044" s="10"/>
      <c r="Z7044" s="10"/>
    </row>
    <row r="7045" spans="1:26" ht="12.75">
      <c r="A7045" s="10" t="str">
        <f ca="1">IFERROR(__xludf.DUMMYFUNCTION("""COMPUTED_VALUE"""),"Стефан Иванов Мичев")</f>
        <v>Стефан Иванов Мичев</v>
      </c>
      <c r="B7045" s="10" t="str">
        <f ca="1">IFERROR(__xludf.DUMMYFUNCTION("""COMPUTED_VALUE"""),"Доклад от конференция")</f>
        <v>Доклад от конференция</v>
      </c>
      <c r="C7045" s="10" t="str">
        <f ca="1">IFERROR(__xludf.DUMMYFUNCTION("""COMPUTED_VALUE"""),"Features Of Governance In Security Sector.")</f>
        <v>Features Of Governance In Security Sector.</v>
      </c>
      <c r="D7045" s="10">
        <f ca="1">IFERROR(__xludf.DUMMYFUNCTION("""COMPUTED_VALUE"""),2014)</f>
        <v>2014</v>
      </c>
      <c r="E7045" s="10" t="str">
        <f ca="1">IFERROR(__xludf.DUMMYFUNCTION("""COMPUTED_VALUE"""),"International Scientific Conference „Management and engineering – 13” – 2014, Sozopol, Bulgaria SCIENTIFIC PROCEEDINGS SCIENTIFIC-TECHNICAL UNION OF MECHANICAL ENGINEERING, DAY OF SCIENCE AT TU-SOFIA, 2014, ISSN 1310-3946 ISSN 1314-6327.")</f>
        <v>International Scientific Conference „Management and engineering – 13” – 2014, Sozopol, Bulgaria SCIENTIFIC PROCEEDINGS SCIENTIFIC-TECHNICAL UNION OF MECHANICAL ENGINEERING, DAY OF SCIENCE AT TU-SOFIA, 2014, ISSN 1310-3946 ISSN 1314-6327.</v>
      </c>
      <c r="F7045" s="10"/>
      <c r="G7045" s="10"/>
      <c r="H7045" s="10"/>
      <c r="I7045" s="10"/>
      <c r="J7045" s="10"/>
      <c r="K7045" s="10"/>
      <c r="L7045" s="10"/>
      <c r="M7045" s="10"/>
      <c r="N7045" s="10"/>
      <c r="O7045" s="10"/>
      <c r="P7045" s="10"/>
      <c r="Q7045" s="10"/>
      <c r="R7045" s="10"/>
      <c r="S7045" s="10"/>
      <c r="T7045" s="10"/>
      <c r="U7045" s="10"/>
      <c r="V7045" s="10"/>
      <c r="W7045" s="10"/>
      <c r="X7045" s="10"/>
      <c r="Y7045" s="10"/>
      <c r="Z7045" s="10"/>
    </row>
    <row r="7046" spans="1:26" ht="12.75">
      <c r="A7046" s="10" t="str">
        <f ca="1">IFERROR(__xludf.DUMMYFUNCTION("""COMPUTED_VALUE"""),"Стефан Иванов Мичев")</f>
        <v>Стефан Иванов Мичев</v>
      </c>
      <c r="B7046" s="10" t="str">
        <f ca="1">IFERROR(__xludf.DUMMYFUNCTION("""COMPUTED_VALUE"""),"Доклад от конференция")</f>
        <v>Доклад от конференция</v>
      </c>
      <c r="C7046" s="10" t="str">
        <f ca="1">IFERROR(__xludf.DUMMYFUNCTION("""COMPUTED_VALUE"""),"Особености на управлението в сектора за сигурност")</f>
        <v>Особености на управлението в сектора за сигурност</v>
      </c>
      <c r="D7046" s="10">
        <f ca="1">IFERROR(__xludf.DUMMYFUNCTION("""COMPUTED_VALUE"""),2014)</f>
        <v>2014</v>
      </c>
      <c r="E7046" s="10" t="str">
        <f ca="1">IFERROR(__xludf.DUMMYFUNCTION("""COMPUTED_VALUE"""),"ХІІ international Scientific Conference „Management and engineering – 14” – 2014")</f>
        <v>ХІІ international Scientific Conference „Management and engineering – 14” – 2014</v>
      </c>
      <c r="F7046" s="10"/>
      <c r="G7046" s="10"/>
      <c r="H7046" s="10"/>
      <c r="I7046" s="10"/>
      <c r="J7046" s="10"/>
      <c r="K7046" s="10"/>
      <c r="L7046" s="10"/>
      <c r="M7046" s="10"/>
      <c r="N7046" s="10"/>
      <c r="O7046" s="10"/>
      <c r="P7046" s="10"/>
      <c r="Q7046" s="10"/>
      <c r="R7046" s="10"/>
      <c r="S7046" s="10"/>
      <c r="T7046" s="10"/>
      <c r="U7046" s="10"/>
      <c r="V7046" s="10"/>
      <c r="W7046" s="10"/>
      <c r="X7046" s="10"/>
      <c r="Y7046" s="10"/>
      <c r="Z7046" s="10"/>
    </row>
    <row r="7047" spans="1:26" ht="12.75">
      <c r="A7047" s="10" t="str">
        <f ca="1">IFERROR(__xludf.DUMMYFUNCTION("""COMPUTED_VALUE"""),"Стефан Иванов Мичев")</f>
        <v>Стефан Иванов Мичев</v>
      </c>
      <c r="B7047" s="10" t="str">
        <f ca="1">IFERROR(__xludf.DUMMYFUNCTION("""COMPUTED_VALUE"""),"Доклад от конференция")</f>
        <v>Доклад от конференция</v>
      </c>
      <c r="C7047" s="10" t="str">
        <f ca="1">IFERROR(__xludf.DUMMYFUNCTION("""COMPUTED_VALUE"""),"Проблеми на образованието за придобиване на ОКС „бакалавър” в професионалното направление „Национална сигурност”.")</f>
        <v>Проблеми на образованието за придобиване на ОКС „бакалавър” в професионалното направление „Национална сигурност”.</v>
      </c>
      <c r="D7047" s="10">
        <f ca="1">IFERROR(__xludf.DUMMYFUNCTION("""COMPUTED_VALUE"""),2012)</f>
        <v>2012</v>
      </c>
      <c r="E7047" s="10" t="str">
        <f ca="1">IFERROR(__xludf.DUMMYFUNCTION("""COMPUTED_VALUE"""),"Лятна научна сесия на юридическия факултет на Варненски свободен университет „Черноризец Храбър” - „Университетското образование в сферата на сигурността” 22-23 юни 2012. Издателство „ВСУ „Черноризец Храбър“ - Научен алманах на ВСУ, кн. 20, 2012, ISSN 131"&amp;"1-9222.")</f>
        <v>Лятна научна сесия на юридическия факултет на Варненски свободен университет „Черноризец Храбър” - „Университетското образование в сферата на сигурността” 22-23 юни 2012. Издателство „ВСУ „Черноризец Храбър“ - Научен алманах на ВСУ, кн. 20, 2012, ISSN 1311-9222.</v>
      </c>
      <c r="F7047" s="10"/>
      <c r="G7047" s="10"/>
      <c r="H7047" s="10"/>
      <c r="I7047" s="10"/>
      <c r="J7047" s="10"/>
      <c r="K7047" s="10"/>
      <c r="L7047" s="10"/>
      <c r="M7047" s="10"/>
      <c r="N7047" s="10"/>
      <c r="O7047" s="10"/>
      <c r="P7047" s="10"/>
      <c r="Q7047" s="10"/>
      <c r="R7047" s="10"/>
      <c r="S7047" s="10"/>
      <c r="T7047" s="10"/>
      <c r="U7047" s="10"/>
      <c r="V7047" s="10"/>
      <c r="W7047" s="10"/>
      <c r="X7047" s="10"/>
      <c r="Y7047" s="10"/>
      <c r="Z7047" s="10"/>
    </row>
    <row r="7048" spans="1:26" ht="12.75">
      <c r="A7048" s="10" t="str">
        <f ca="1">IFERROR(__xludf.DUMMYFUNCTION("""COMPUTED_VALUE"""),"Стефан Иванов Мичев")</f>
        <v>Стефан Иванов Мичев</v>
      </c>
      <c r="B7048" s="10" t="str">
        <f ca="1">IFERROR(__xludf.DUMMYFUNCTION("""COMPUTED_VALUE"""),"Студия")</f>
        <v>Студия</v>
      </c>
      <c r="C7048" s="10" t="str">
        <f ca="1">IFERROR(__xludf.DUMMYFUNCTION("""COMPUTED_VALUE"""),"Илюзията за сигурност.")</f>
        <v>Илюзията за сигурност.</v>
      </c>
      <c r="D7048" s="10">
        <f ca="1">IFERROR(__xludf.DUMMYFUNCTION("""COMPUTED_VALUE"""),2012)</f>
        <v>2012</v>
      </c>
      <c r="E7048" s="10" t="str">
        <f ca="1">IFERROR(__xludf.DUMMYFUNCTION("""COMPUTED_VALUE"""),"Фондация „Национална и международна сигурност” С., 2012 ISBN 978-954-91927-6-6.")</f>
        <v>Фондация „Национална и международна сигурност” С., 2012 ISBN 978-954-91927-6-6.</v>
      </c>
      <c r="F7048" s="10"/>
      <c r="G7048" s="10"/>
      <c r="H7048" s="10"/>
      <c r="I7048" s="10"/>
      <c r="J7048" s="10"/>
      <c r="K7048" s="10"/>
      <c r="L7048" s="10"/>
      <c r="M7048" s="10"/>
      <c r="N7048" s="10"/>
      <c r="O7048" s="10"/>
      <c r="P7048" s="10"/>
      <c r="Q7048" s="10"/>
      <c r="R7048" s="10"/>
      <c r="S7048" s="10"/>
      <c r="T7048" s="10"/>
      <c r="U7048" s="10"/>
      <c r="V7048" s="10"/>
      <c r="W7048" s="10"/>
      <c r="X7048" s="10"/>
      <c r="Y7048" s="10"/>
      <c r="Z7048" s="10"/>
    </row>
    <row r="7049" spans="1:26" ht="12.75">
      <c r="A7049" s="10" t="str">
        <f ca="1">IFERROR(__xludf.DUMMYFUNCTION("""COMPUTED_VALUE"""),"Стефан Иванов Мичев")</f>
        <v>Стефан Иванов Мичев</v>
      </c>
      <c r="B7049" s="10" t="str">
        <f ca="1">IFERROR(__xludf.DUMMYFUNCTION("""COMPUTED_VALUE"""),"Монография")</f>
        <v>Монография</v>
      </c>
      <c r="C7049" s="10" t="str">
        <f ca="1">IFERROR(__xludf.DUMMYFUNCTION("""COMPUTED_VALUE"""),"Идентичността в постмодерния модел на сигурност")</f>
        <v>Идентичността в постмодерния модел на сигурност</v>
      </c>
      <c r="D7049" s="10">
        <f ca="1">IFERROR(__xludf.DUMMYFUNCTION("""COMPUTED_VALUE"""),2012)</f>
        <v>2012</v>
      </c>
      <c r="E7049" s="10" t="str">
        <f ca="1">IFERROR(__xludf.DUMMYFUNCTION("""COMPUTED_VALUE"""),"Югозападен университет „Неофит Рилски”, Годишник на катедра „Философски и политически науки” Б.,2012 ISSN 1314-5886. с. 260-293")</f>
        <v>Югозападен университет „Неофит Рилски”, Годишник на катедра „Философски и политически науки” Б.,2012 ISSN 1314-5886. с. 260-293</v>
      </c>
      <c r="F7049" s="10"/>
      <c r="G7049" s="10"/>
      <c r="H7049" s="10"/>
      <c r="I7049" s="10"/>
      <c r="J7049" s="10"/>
      <c r="K7049" s="10"/>
      <c r="L7049" s="10"/>
      <c r="M7049" s="10"/>
      <c r="N7049" s="10"/>
      <c r="O7049" s="10"/>
      <c r="P7049" s="10"/>
      <c r="Q7049" s="10"/>
      <c r="R7049" s="10"/>
      <c r="S7049" s="10"/>
      <c r="T7049" s="10"/>
      <c r="U7049" s="10"/>
      <c r="V7049" s="10"/>
      <c r="W7049" s="10"/>
      <c r="X7049" s="10"/>
      <c r="Y7049" s="10"/>
      <c r="Z7049" s="10"/>
    </row>
    <row r="7050" spans="1:26" ht="12.75">
      <c r="A7050" s="10" t="str">
        <f ca="1">IFERROR(__xludf.DUMMYFUNCTION("""COMPUTED_VALUE"""),"Стефан Иванов Мичев")</f>
        <v>Стефан Иванов Мичев</v>
      </c>
      <c r="B7050" s="10" t="str">
        <f ca="1">IFERROR(__xludf.DUMMYFUNCTION("""COMPUTED_VALUE"""),"Студия")</f>
        <v>Студия</v>
      </c>
      <c r="C7050" s="10" t="str">
        <f ca="1">IFERROR(__xludf.DUMMYFUNCTION("""COMPUTED_VALUE"""),"Илюзиите при моделирането на сигурността.")</f>
        <v>Илюзиите при моделирането на сигурността.</v>
      </c>
      <c r="D7050" s="10">
        <f ca="1">IFERROR(__xludf.DUMMYFUNCTION("""COMPUTED_VALUE"""),2012)</f>
        <v>2012</v>
      </c>
      <c r="E7050" s="10" t="str">
        <f ca="1">IFERROR(__xludf.DUMMYFUNCTION("""COMPUTED_VALUE"""),"Научни трудове, Фондация „Национална и международна сигурност” С., 2012 ISSN 1314 - 9105. с. 80-102")</f>
        <v>Научни трудове, Фондация „Национална и международна сигурност” С., 2012 ISSN 1314 - 9105. с. 80-102</v>
      </c>
      <c r="F7050" s="10"/>
      <c r="G7050" s="10"/>
      <c r="H7050" s="10"/>
      <c r="I7050" s="10"/>
      <c r="J7050" s="10"/>
      <c r="K7050" s="10"/>
      <c r="L7050" s="10"/>
      <c r="M7050" s="10"/>
      <c r="N7050" s="10"/>
      <c r="O7050" s="10"/>
      <c r="P7050" s="10"/>
      <c r="Q7050" s="10"/>
      <c r="R7050" s="10"/>
      <c r="S7050" s="10"/>
      <c r="T7050" s="10"/>
      <c r="U7050" s="10"/>
      <c r="V7050" s="10"/>
      <c r="W7050" s="10"/>
      <c r="X7050" s="10"/>
      <c r="Y7050" s="10"/>
      <c r="Z7050" s="10"/>
    </row>
    <row r="7051" spans="1:26" ht="12.75">
      <c r="A7051" s="10" t="str">
        <f ca="1">IFERROR(__xludf.DUMMYFUNCTION("""COMPUTED_VALUE"""),"Стефан Иванов Мичев")</f>
        <v>Стефан Иванов Мичев</v>
      </c>
      <c r="B7051" s="10" t="str">
        <f ca="1">IFERROR(__xludf.DUMMYFUNCTION("""COMPUTED_VALUE"""),"Учебник")</f>
        <v>Учебник</v>
      </c>
      <c r="C7051" s="10" t="str">
        <f ca="1">IFERROR(__xludf.DUMMYFUNCTION("""COMPUTED_VALUE"""),"Философски проблеми на сигурността.")</f>
        <v>Философски проблеми на сигурността.</v>
      </c>
      <c r="D7051" s="10">
        <f ca="1">IFERROR(__xludf.DUMMYFUNCTION("""COMPUTED_VALUE"""),2010)</f>
        <v>2010</v>
      </c>
      <c r="E7051" s="10" t="str">
        <f ca="1">IFERROR(__xludf.DUMMYFUNCTION("""COMPUTED_VALUE"""),"Издателство „МВР Академия на МВР“, С., 2010 ISBN 978-954-348-043-2.")</f>
        <v>Издателство „МВР Академия на МВР“, С., 2010 ISBN 978-954-348-043-2.</v>
      </c>
      <c r="F7051" s="10"/>
      <c r="G7051" s="10"/>
      <c r="H7051" s="10"/>
      <c r="I7051" s="10"/>
      <c r="J7051" s="10"/>
      <c r="K7051" s="10"/>
      <c r="L7051" s="10"/>
      <c r="M7051" s="10"/>
      <c r="N7051" s="10"/>
      <c r="O7051" s="10"/>
      <c r="P7051" s="10"/>
      <c r="Q7051" s="10"/>
      <c r="R7051" s="10"/>
      <c r="S7051" s="10"/>
      <c r="T7051" s="10"/>
      <c r="U7051" s="10"/>
      <c r="V7051" s="10"/>
      <c r="W7051" s="10"/>
      <c r="X7051" s="10"/>
      <c r="Y7051" s="10"/>
      <c r="Z7051" s="10"/>
    </row>
    <row r="7052" spans="1:26" ht="12.75">
      <c r="A7052" s="10" t="str">
        <f ca="1">IFERROR(__xludf.DUMMYFUNCTION("""COMPUTED_VALUE"""),"Стефан Иванов Мичев")</f>
        <v>Стефан Иванов Мичев</v>
      </c>
      <c r="B7052" s="10" t="str">
        <f ca="1">IFERROR(__xludf.DUMMYFUNCTION("""COMPUTED_VALUE"""),"Студия")</f>
        <v>Студия</v>
      </c>
      <c r="C7052" s="10" t="str">
        <f ca="1">IFERROR(__xludf.DUMMYFUNCTION("""COMPUTED_VALUE"""),"Културна идентичност и сигурност.")</f>
        <v>Културна идентичност и сигурност.</v>
      </c>
      <c r="D7052" s="10">
        <f ca="1">IFERROR(__xludf.DUMMYFUNCTION("""COMPUTED_VALUE"""),2009)</f>
        <v>2009</v>
      </c>
      <c r="E7052" s="10" t="str">
        <f ca="1">IFERROR(__xludf.DUMMYFUNCTION("""COMPUTED_VALUE"""),"Сборник „Актуални проблеми на сигурността“, Издателство „Военна Академия „Г. С. Раковски““, С., 2009 ISBN 978-954-9348-13-2.")</f>
        <v>Сборник „Актуални проблеми на сигурността“, Издателство „Военна Академия „Г. С. Раковски““, С., 2009 ISBN 978-954-9348-13-2.</v>
      </c>
      <c r="F7052" s="10"/>
      <c r="G7052" s="10"/>
      <c r="H7052" s="10"/>
      <c r="I7052" s="10"/>
      <c r="J7052" s="10"/>
      <c r="K7052" s="10"/>
      <c r="L7052" s="10"/>
      <c r="M7052" s="10"/>
      <c r="N7052" s="10"/>
      <c r="O7052" s="10"/>
      <c r="P7052" s="10"/>
      <c r="Q7052" s="10"/>
      <c r="R7052" s="10"/>
      <c r="S7052" s="10"/>
      <c r="T7052" s="10"/>
      <c r="U7052" s="10"/>
      <c r="V7052" s="10"/>
      <c r="W7052" s="10"/>
      <c r="X7052" s="10"/>
      <c r="Y7052" s="10"/>
      <c r="Z7052" s="10"/>
    </row>
    <row r="7053" spans="1:26" ht="12.75">
      <c r="A7053" s="10" t="str">
        <f ca="1">IFERROR(__xludf.DUMMYFUNCTION("""COMPUTED_VALUE"""),"Стефан Иванов Мичев")</f>
        <v>Стефан Иванов Мичев</v>
      </c>
      <c r="B7053" s="10" t="str">
        <f ca="1">IFERROR(__xludf.DUMMYFUNCTION("""COMPUTED_VALUE"""),"Студия")</f>
        <v>Студия</v>
      </c>
      <c r="C7053" s="10" t="str">
        <f ca="1">IFERROR(__xludf.DUMMYFUNCTION("""COMPUTED_VALUE"""),"Моделирането на сигурността в постмодерната епоха.")</f>
        <v>Моделирането на сигурността в постмодерната епоха.</v>
      </c>
      <c r="D7053" s="10">
        <f ca="1">IFERROR(__xludf.DUMMYFUNCTION("""COMPUTED_VALUE"""),2009)</f>
        <v>2009</v>
      </c>
      <c r="E7053" s="10" t="str">
        <f ca="1">IFERROR(__xludf.DUMMYFUNCTION("""COMPUTED_VALUE"""),"Сборник „Актуални проблеми на сигурността“, Издателство „Военна Академия „Г. С. Раковски““, С., 2009 ISBN 978-954-9348-13-2.")</f>
        <v>Сборник „Актуални проблеми на сигурността“, Издателство „Военна Академия „Г. С. Раковски““, С., 2009 ISBN 978-954-9348-13-2.</v>
      </c>
      <c r="F7053" s="10"/>
      <c r="G7053" s="10"/>
      <c r="H7053" s="10"/>
      <c r="I7053" s="10"/>
      <c r="J7053" s="10"/>
      <c r="K7053" s="10"/>
      <c r="L7053" s="10"/>
      <c r="M7053" s="10"/>
      <c r="N7053" s="10"/>
      <c r="O7053" s="10"/>
      <c r="P7053" s="10"/>
      <c r="Q7053" s="10"/>
      <c r="R7053" s="10"/>
      <c r="S7053" s="10"/>
      <c r="T7053" s="10"/>
      <c r="U7053" s="10"/>
      <c r="V7053" s="10"/>
      <c r="W7053" s="10"/>
      <c r="X7053" s="10"/>
      <c r="Y7053" s="10"/>
      <c r="Z7053" s="10"/>
    </row>
    <row r="7054" spans="1:26" ht="12.75">
      <c r="A7054" s="10" t="str">
        <f ca="1">IFERROR(__xludf.DUMMYFUNCTION("""COMPUTED_VALUE"""),"Стефан Иванов Мичев")</f>
        <v>Стефан Иванов Мичев</v>
      </c>
      <c r="B7054" s="10" t="str">
        <f ca="1">IFERROR(__xludf.DUMMYFUNCTION("""COMPUTED_VALUE"""),"Учебник")</f>
        <v>Учебник</v>
      </c>
      <c r="C7054" s="10" t="str">
        <f ca="1">IFERROR(__xludf.DUMMYFUNCTION("""COMPUTED_VALUE"""),"Национална и международна сигурност")</f>
        <v>Национална и международна сигурност</v>
      </c>
      <c r="D7054" s="10">
        <f ca="1">IFERROR(__xludf.DUMMYFUNCTION("""COMPUTED_VALUE"""),2005)</f>
        <v>2005</v>
      </c>
      <c r="E7054" s="10" t="str">
        <f ca="1">IFERROR(__xludf.DUMMYFUNCTION("""COMPUTED_VALUE"""),"Военно издателство, С., 2005, ISBN 954-509-306-4.")</f>
        <v>Военно издателство, С., 2005, ISBN 954-509-306-4.</v>
      </c>
      <c r="F7054" s="10"/>
      <c r="G7054" s="10" t="str">
        <f ca="1">IFERROR(__xludf.DUMMYFUNCTION("""COMPUTED_VALUE"""),"В. Рачев, В. Ив. Милина, Г. В. Бахчеванов, Г. Карамфилов, Й. А. Баев, Л. Ст. Велкова, М. П. Манев, Н. Ат. Бекярова, С. Др. Воденичарски, Цв. Ат. Семерджиев")</f>
        <v>В. Рачев, В. Ив. Милина, Г. В. Бахчеванов, Г. Карамфилов, Й. А. Баев, Л. Ст. Велкова, М. П. Манев, Н. Ат. Бекярова, С. Др. Воденичарски, Цв. Ат. Семерджиев</v>
      </c>
      <c r="H7054" s="10"/>
      <c r="I7054" s="10"/>
      <c r="J7054" s="10"/>
      <c r="K7054" s="10"/>
      <c r="L7054" s="10"/>
      <c r="M7054" s="10"/>
      <c r="N7054" s="10"/>
      <c r="O7054" s="10"/>
      <c r="P7054" s="10"/>
      <c r="Q7054" s="10"/>
      <c r="R7054" s="10"/>
      <c r="S7054" s="10"/>
      <c r="T7054" s="10"/>
      <c r="U7054" s="10"/>
      <c r="V7054" s="10"/>
      <c r="W7054" s="10"/>
      <c r="X7054" s="10"/>
      <c r="Y7054" s="10"/>
      <c r="Z7054" s="10"/>
    </row>
    <row r="7055" spans="1:26" ht="12.75">
      <c r="A7055" s="10" t="str">
        <f ca="1">IFERROR(__xludf.DUMMYFUNCTION("""COMPUTED_VALUE"""),"Стефан Иванов Мичев")</f>
        <v>Стефан Иванов Мичев</v>
      </c>
      <c r="B7055" s="10" t="str">
        <f ca="1">IFERROR(__xludf.DUMMYFUNCTION("""COMPUTED_VALUE"""),"Монография")</f>
        <v>Монография</v>
      </c>
      <c r="C7055" s="10" t="str">
        <f ca="1">IFERROR(__xludf.DUMMYFUNCTION("""COMPUTED_VALUE"""),"Духовни аспекти на сигурността.")</f>
        <v>Духовни аспекти на сигурността.</v>
      </c>
      <c r="D7055" s="10">
        <f ca="1">IFERROR(__xludf.DUMMYFUNCTION("""COMPUTED_VALUE"""),2004)</f>
        <v>2004</v>
      </c>
      <c r="E7055" s="10" t="str">
        <f ca="1">IFERROR(__xludf.DUMMYFUNCTION("""COMPUTED_VALUE"""),"Издателство “Валентин Траянов”, С., 2004 ISBN 954-9928-08-Х.")</f>
        <v>Издателство “Валентин Траянов”, С., 2004 ISBN 954-9928-08-Х.</v>
      </c>
      <c r="F7055" s="10"/>
      <c r="G7055" s="10"/>
      <c r="H7055" s="10"/>
      <c r="I7055" s="10"/>
      <c r="J7055" s="10"/>
      <c r="K7055" s="10"/>
      <c r="L7055" s="10"/>
      <c r="M7055" s="10"/>
      <c r="N7055" s="10"/>
      <c r="O7055" s="10"/>
      <c r="P7055" s="10"/>
      <c r="Q7055" s="10"/>
      <c r="R7055" s="10"/>
      <c r="S7055" s="10"/>
      <c r="T7055" s="10"/>
      <c r="U7055" s="10"/>
      <c r="V7055" s="10"/>
      <c r="W7055" s="10"/>
      <c r="X7055" s="10"/>
      <c r="Y7055" s="10"/>
      <c r="Z7055" s="10"/>
    </row>
    <row r="7056" spans="1:26" ht="12.75">
      <c r="A7056" s="10" t="str">
        <f ca="1">IFERROR(__xludf.DUMMYFUNCTION("""COMPUTED_VALUE"""),"Стефан Иванов Мичев")</f>
        <v>Стефан Иванов Мичев</v>
      </c>
      <c r="B7056" s="10" t="str">
        <f ca="1">IFERROR(__xludf.DUMMYFUNCTION("""COMPUTED_VALUE"""),"Студия")</f>
        <v>Студия</v>
      </c>
      <c r="C7056" s="10" t="str">
        <f ca="1">IFERROR(__xludf.DUMMYFUNCTION("""COMPUTED_VALUE"""),"Сигурността в информационното общество.")</f>
        <v>Сигурността в информационното общество.</v>
      </c>
      <c r="D7056" s="10">
        <f ca="1">IFERROR(__xludf.DUMMYFUNCTION("""COMPUTED_VALUE"""),2004)</f>
        <v>2004</v>
      </c>
      <c r="E7056" s="10" t="str">
        <f ca="1">IFERROR(__xludf.DUMMYFUNCTION("""COMPUTED_VALUE"""),"Сборник „Информационно общество. Концепции, перспективи, сигурност“, Издателство „Софттрейд“, С., 2004 ISBN 954-9725-63-4.")</f>
        <v>Сборник „Информационно общество. Концепции, перспективи, сигурност“, Издателство „Софттрейд“, С., 2004 ISBN 954-9725-63-4.</v>
      </c>
      <c r="F7056" s="10"/>
      <c r="G7056" s="10"/>
      <c r="H7056" s="10"/>
      <c r="I7056" s="10"/>
      <c r="J7056" s="10"/>
      <c r="K7056" s="10"/>
      <c r="L7056" s="10"/>
      <c r="M7056" s="10"/>
      <c r="N7056" s="10"/>
      <c r="O7056" s="10"/>
      <c r="P7056" s="10"/>
      <c r="Q7056" s="10"/>
      <c r="R7056" s="10"/>
      <c r="S7056" s="10"/>
      <c r="T7056" s="10"/>
      <c r="U7056" s="10"/>
      <c r="V7056" s="10"/>
      <c r="W7056" s="10"/>
      <c r="X7056" s="10"/>
      <c r="Y7056" s="10"/>
      <c r="Z7056" s="10"/>
    </row>
    <row r="7057" spans="1:26" ht="12.75">
      <c r="A7057" s="10" t="str">
        <f ca="1">IFERROR(__xludf.DUMMYFUNCTION("""COMPUTED_VALUE"""),"Стефан Иванов Мичев")</f>
        <v>Стефан Иванов Мичев</v>
      </c>
      <c r="B7057" s="10" t="str">
        <f ca="1">IFERROR(__xludf.DUMMYFUNCTION("""COMPUTED_VALUE"""),"Статия в списания и поредици")</f>
        <v>Статия в списания и поредици</v>
      </c>
      <c r="C7057" s="10" t="str">
        <f ca="1">IFERROR(__xludf.DUMMYFUNCTION("""COMPUTED_VALUE"""),"Духовни аспекти на националната сигурност")</f>
        <v>Духовни аспекти на националната сигурност</v>
      </c>
      <c r="D7057" s="10">
        <f ca="1">IFERROR(__xludf.DUMMYFUNCTION("""COMPUTED_VALUE"""),2004)</f>
        <v>2004</v>
      </c>
      <c r="E7057" s="10" t="str">
        <f ca="1">IFERROR(__xludf.DUMMYFUNCTION("""COMPUTED_VALUE"""),"Военен журнал : двумесечно издание на Министерство на отбраната ISSN: 0861-7392.- SHI, 1 (2004), s. 78-88")</f>
        <v>Военен журнал : двумесечно издание на Министерство на отбраната ISSN: 0861-7392.- SHI, 1 (2004), s. 78-88</v>
      </c>
      <c r="F7057" s="10"/>
      <c r="G7057" s="10"/>
      <c r="H7057" s="10"/>
      <c r="I7057" s="10"/>
      <c r="J7057" s="10"/>
      <c r="K7057" s="10"/>
      <c r="L7057" s="10"/>
      <c r="M7057" s="10"/>
      <c r="N7057" s="10"/>
      <c r="O7057" s="10"/>
      <c r="P7057" s="10"/>
      <c r="Q7057" s="10"/>
      <c r="R7057" s="10"/>
      <c r="S7057" s="10"/>
      <c r="T7057" s="10"/>
      <c r="U7057" s="10"/>
      <c r="V7057" s="10"/>
      <c r="W7057" s="10"/>
      <c r="X7057" s="10"/>
      <c r="Y7057" s="10"/>
      <c r="Z7057" s="10"/>
    </row>
    <row r="7058" spans="1:26" ht="12.75">
      <c r="A7058" s="10" t="str">
        <f ca="1">IFERROR(__xludf.DUMMYFUNCTION("""COMPUTED_VALUE"""),"Стефан Иванов Мичев")</f>
        <v>Стефан Иванов Мичев</v>
      </c>
      <c r="B7058" s="10" t="str">
        <f ca="1">IFERROR(__xludf.DUMMYFUNCTION("""COMPUTED_VALUE"""),"Учебно пособие")</f>
        <v>Учебно пособие</v>
      </c>
      <c r="C7058" s="10" t="str">
        <f ca="1">IFERROR(__xludf.DUMMYFUNCTION("""COMPUTED_VALUE"""),"Бъдещето и неговото моделиране.")</f>
        <v>Бъдещето и неговото моделиране.</v>
      </c>
      <c r="D7058" s="10">
        <f ca="1">IFERROR(__xludf.DUMMYFUNCTION("""COMPUTED_VALUE"""),2004)</f>
        <v>2004</v>
      </c>
      <c r="E7058" s="10" t="str">
        <f ca="1">IFERROR(__xludf.DUMMYFUNCTION("""COMPUTED_VALUE"""),"Общество и сигурност. Книга първа на учебно помагало за слушателите от АМВР, Издателство на МВР, С., 2004, ISBN 954-8792-76-1.")</f>
        <v>Общество и сигурност. Книга първа на учебно помагало за слушателите от АМВР, Издателство на МВР, С., 2004, ISBN 954-8792-76-1.</v>
      </c>
      <c r="F7058" s="10"/>
      <c r="G7058" s="10"/>
      <c r="H7058" s="10"/>
      <c r="I7058" s="10"/>
      <c r="J7058" s="10"/>
      <c r="K7058" s="10"/>
      <c r="L7058" s="10"/>
      <c r="M7058" s="10"/>
      <c r="N7058" s="10"/>
      <c r="O7058" s="10"/>
      <c r="P7058" s="10"/>
      <c r="Q7058" s="10"/>
      <c r="R7058" s="10"/>
      <c r="S7058" s="10"/>
      <c r="T7058" s="10"/>
      <c r="U7058" s="10"/>
      <c r="V7058" s="10"/>
      <c r="W7058" s="10"/>
      <c r="X7058" s="10"/>
      <c r="Y7058" s="10"/>
      <c r="Z7058" s="10"/>
    </row>
    <row r="7059" spans="1:26" ht="12.75">
      <c r="A7059" s="10" t="str">
        <f ca="1">IFERROR(__xludf.DUMMYFUNCTION("""COMPUTED_VALUE"""),"Стефан Иванов Мичев")</f>
        <v>Стефан Иванов Мичев</v>
      </c>
      <c r="B7059" s="10" t="str">
        <f ca="1">IFERROR(__xludf.DUMMYFUNCTION("""COMPUTED_VALUE"""),"Учебно пособие")</f>
        <v>Учебно пособие</v>
      </c>
      <c r="C7059" s="10" t="str">
        <f ca="1">IFERROR(__xludf.DUMMYFUNCTION("""COMPUTED_VALUE"""),"Войната и мирът като състояния на обществото.")</f>
        <v>Войната и мирът като състояния на обществото.</v>
      </c>
      <c r="D7059" s="10">
        <f ca="1">IFERROR(__xludf.DUMMYFUNCTION("""COMPUTED_VALUE"""),2004)</f>
        <v>2004</v>
      </c>
      <c r="E7059" s="10" t="str">
        <f ca="1">IFERROR(__xludf.DUMMYFUNCTION("""COMPUTED_VALUE"""),"„Общество и сигурност. Книга първа на учебно помагало за слушателите от Академията на МВР“ Издателство на МВР, С., 2004 ISBN 954-8792-76-1.")</f>
        <v>„Общество и сигурност. Книга първа на учебно помагало за слушателите от Академията на МВР“ Издателство на МВР, С., 2004 ISBN 954-8792-76-1.</v>
      </c>
      <c r="F7059" s="10"/>
      <c r="G7059" s="10"/>
      <c r="H7059" s="10"/>
      <c r="I7059" s="10"/>
      <c r="J7059" s="10"/>
      <c r="K7059" s="10"/>
      <c r="L7059" s="10"/>
      <c r="M7059" s="10"/>
      <c r="N7059" s="10"/>
      <c r="O7059" s="10"/>
      <c r="P7059" s="10"/>
      <c r="Q7059" s="10"/>
      <c r="R7059" s="10"/>
      <c r="S7059" s="10"/>
      <c r="T7059" s="10"/>
      <c r="U7059" s="10"/>
      <c r="V7059" s="10"/>
      <c r="W7059" s="10"/>
      <c r="X7059" s="10"/>
      <c r="Y7059" s="10"/>
      <c r="Z7059" s="10"/>
    </row>
    <row r="7060" spans="1:26" ht="12.75">
      <c r="A7060" s="10" t="str">
        <f ca="1">IFERROR(__xludf.DUMMYFUNCTION("""COMPUTED_VALUE"""),"Стефан Иванов Мичев")</f>
        <v>Стефан Иванов Мичев</v>
      </c>
      <c r="B7060" s="10" t="str">
        <f ca="1">IFERROR(__xludf.DUMMYFUNCTION("""COMPUTED_VALUE"""),"Учебно пособие")</f>
        <v>Учебно пособие</v>
      </c>
      <c r="C7060" s="10" t="str">
        <f ca="1">IFERROR(__xludf.DUMMYFUNCTION("""COMPUTED_VALUE"""),"Речник по национална сигурност.")</f>
        <v>Речник по национална сигурност.</v>
      </c>
      <c r="D7060" s="10">
        <f ca="1">IFERROR(__xludf.DUMMYFUNCTION("""COMPUTED_VALUE"""),2003)</f>
        <v>2003</v>
      </c>
      <c r="E7060" s="10" t="str">
        <f ca="1">IFERROR(__xludf.DUMMYFUNCTION("""COMPUTED_VALUE"""),"ВА “Г. С. Раковски”, С., 2003.")</f>
        <v>ВА “Г. С. Раковски”, С., 2003.</v>
      </c>
      <c r="F7060" s="10"/>
      <c r="G7060" s="10"/>
      <c r="H7060" s="10"/>
      <c r="I7060" s="10"/>
      <c r="J7060" s="10"/>
      <c r="K7060" s="10"/>
      <c r="L7060" s="10"/>
      <c r="M7060" s="10"/>
      <c r="N7060" s="10"/>
      <c r="O7060" s="10"/>
      <c r="P7060" s="10"/>
      <c r="Q7060" s="10"/>
      <c r="R7060" s="10"/>
      <c r="S7060" s="10"/>
      <c r="T7060" s="10"/>
      <c r="U7060" s="10"/>
      <c r="V7060" s="10"/>
      <c r="W7060" s="10"/>
      <c r="X7060" s="10"/>
      <c r="Y7060" s="10"/>
      <c r="Z7060" s="10"/>
    </row>
    <row r="7061" spans="1:26" ht="12.75">
      <c r="A7061" s="10" t="str">
        <f ca="1">IFERROR(__xludf.DUMMYFUNCTION("""COMPUTED_VALUE"""),"Стефан Иванов Мичев")</f>
        <v>Стефан Иванов Мичев</v>
      </c>
      <c r="B7061" s="10" t="str">
        <f ca="1">IFERROR(__xludf.DUMMYFUNCTION("""COMPUTED_VALUE"""),"Речник (съставителство)")</f>
        <v>Речник (съставителство)</v>
      </c>
      <c r="C7061" s="10" t="str">
        <f ca="1">IFERROR(__xludf.DUMMYFUNCTION("""COMPUTED_VALUE"""),"Енциклопедичен речник по социология.")</f>
        <v>Енциклопедичен речник по социология.</v>
      </c>
      <c r="D7061" s="10">
        <f ca="1">IFERROR(__xludf.DUMMYFUNCTION("""COMPUTED_VALUE"""),1996)</f>
        <v>1996</v>
      </c>
      <c r="E7061" s="10" t="str">
        <f ca="1">IFERROR(__xludf.DUMMYFUNCTION("""COMPUTED_VALUE"""),"Издателство „М-8-М“, С., 1996 ISBN 954-8177-10-2.")</f>
        <v>Издателство „М-8-М“, С., 1996 ISBN 954-8177-10-2.</v>
      </c>
      <c r="F7061" s="10"/>
      <c r="G7061" s="10" t="str">
        <f ca="1">IFERROR(__xludf.DUMMYFUNCTION("""COMPUTED_VALUE"""),"Стоян Михайлов, Николай Тилкиджиев")</f>
        <v>Стоян Михайлов, Николай Тилкиджиев</v>
      </c>
      <c r="H7061" s="10"/>
      <c r="I7061" s="10"/>
      <c r="J7061" s="10"/>
      <c r="K7061" s="10"/>
      <c r="L7061" s="10"/>
      <c r="M7061" s="10"/>
      <c r="N7061" s="10"/>
      <c r="O7061" s="10"/>
      <c r="P7061" s="10"/>
      <c r="Q7061" s="10"/>
      <c r="R7061" s="10"/>
      <c r="S7061" s="10"/>
      <c r="T7061" s="10"/>
      <c r="U7061" s="10"/>
      <c r="V7061" s="10"/>
      <c r="W7061" s="10"/>
      <c r="X7061" s="10"/>
      <c r="Y7061" s="10"/>
      <c r="Z7061" s="10"/>
    </row>
    <row r="7062" spans="1:26" ht="12.75">
      <c r="A7062" s="10" t="str">
        <f ca="1">IFERROR(__xludf.DUMMYFUNCTION("""COMPUTED_VALUE"""),"Стефан Иванов Мичев")</f>
        <v>Стефан Иванов Мичев</v>
      </c>
      <c r="B7062" s="10" t="str">
        <f ca="1">IFERROR(__xludf.DUMMYFUNCTION("""COMPUTED_VALUE"""),"Речник (съставителство)")</f>
        <v>Речник (съставителство)</v>
      </c>
      <c r="C7062" s="10" t="str">
        <f ca="1">IFERROR(__xludf.DUMMYFUNCTION("""COMPUTED_VALUE"""),"Кратък речник на хуманитарното знание.")</f>
        <v>Кратък речник на хуманитарното знание.</v>
      </c>
      <c r="D7062" s="10">
        <f ca="1">IFERROR(__xludf.DUMMYFUNCTION("""COMPUTED_VALUE"""),1994)</f>
        <v>1994</v>
      </c>
      <c r="E7062" s="10" t="str">
        <f ca="1">IFERROR(__xludf.DUMMYFUNCTION("""COMPUTED_VALUE"""),"Издателство „Литавра“, С., 1994 ISBN 954-8537-07-9.")</f>
        <v>Издателство „Литавра“, С., 1994 ISBN 954-8537-07-9.</v>
      </c>
      <c r="F7062" s="10"/>
      <c r="G7062" s="10" t="str">
        <f ca="1">IFERROR(__xludf.DUMMYFUNCTION("""COMPUTED_VALUE"""),"Иван Арнаудов, Николай Христов")</f>
        <v>Иван Арнаудов, Николай Христов</v>
      </c>
      <c r="H7062" s="10"/>
      <c r="I7062" s="10"/>
      <c r="J7062" s="10"/>
      <c r="K7062" s="10"/>
      <c r="L7062" s="10"/>
      <c r="M7062" s="10"/>
      <c r="N7062" s="10"/>
      <c r="O7062" s="10"/>
      <c r="P7062" s="10"/>
      <c r="Q7062" s="10"/>
      <c r="R7062" s="10"/>
      <c r="S7062" s="10"/>
      <c r="T7062" s="10"/>
      <c r="U7062" s="10"/>
      <c r="V7062" s="10"/>
      <c r="W7062" s="10"/>
      <c r="X7062" s="10"/>
      <c r="Y7062" s="10"/>
      <c r="Z7062" s="10"/>
    </row>
    <row r="7063" spans="1:26" ht="12.75">
      <c r="A7063" s="10" t="str">
        <f ca="1">IFERROR(__xludf.DUMMYFUNCTION("""COMPUTED_VALUE"""),"Стефан Иванов Мичев")</f>
        <v>Стефан Иванов Мичев</v>
      </c>
      <c r="B7063" s="10" t="str">
        <f ca="1">IFERROR(__xludf.DUMMYFUNCTION("""COMPUTED_VALUE"""),"Статия в списания и поредици")</f>
        <v>Статия в списания и поредици</v>
      </c>
      <c r="C7063" s="10" t="str">
        <f ca="1">IFERROR(__xludf.DUMMYFUNCTION("""COMPUTED_VALUE"""),"Човещината срещу стереотипите от миналото")</f>
        <v>Човещината срещу стереотипите от миналото</v>
      </c>
      <c r="D7063" s="10">
        <f ca="1">IFERROR(__xludf.DUMMYFUNCTION("""COMPUTED_VALUE"""),1990)</f>
        <v>1990</v>
      </c>
      <c r="E7063" s="10" t="str">
        <f ca="1">IFERROR(__xludf.DUMMYFUNCTION("""COMPUTED_VALUE"""),"Списание „Съвременен показател“, 15-22 март 1990, ISSN 0861-1041.")</f>
        <v>Списание „Съвременен показател“, 15-22 март 1990, ISSN 0861-1041.</v>
      </c>
      <c r="F7063" s="10"/>
      <c r="G7063" s="10"/>
      <c r="H7063" s="10"/>
      <c r="I7063" s="10"/>
      <c r="J7063" s="10"/>
      <c r="K7063" s="10"/>
      <c r="L7063" s="10"/>
      <c r="M7063" s="10"/>
      <c r="N7063" s="10"/>
      <c r="O7063" s="10"/>
      <c r="P7063" s="10"/>
      <c r="Q7063" s="10"/>
      <c r="R7063" s="10"/>
      <c r="S7063" s="10"/>
      <c r="T7063" s="10"/>
      <c r="U7063" s="10"/>
      <c r="V7063" s="10"/>
      <c r="W7063" s="10"/>
      <c r="X7063" s="10"/>
      <c r="Y7063" s="10"/>
      <c r="Z7063" s="10"/>
    </row>
    <row r="7064" spans="1:26" ht="12.75">
      <c r="A7064" s="10" t="str">
        <f ca="1">IFERROR(__xludf.DUMMYFUNCTION("""COMPUTED_VALUE"""),"Стефан Иванов Мичев")</f>
        <v>Стефан Иванов Мичев</v>
      </c>
      <c r="B7064" s="10" t="str">
        <f ca="1">IFERROR(__xludf.DUMMYFUNCTION("""COMPUTED_VALUE"""),"Статия в списания и поредици")</f>
        <v>Статия в списания и поредици</v>
      </c>
      <c r="C7064" s="10" t="str">
        <f ca="1">IFERROR(__xludf.DUMMYFUNCTION("""COMPUTED_VALUE"""),"Пасивността – действителна и мнима")</f>
        <v>Пасивността – действителна и мнима</v>
      </c>
      <c r="D7064" s="10">
        <f ca="1">IFERROR(__xludf.DUMMYFUNCTION("""COMPUTED_VALUE"""),1990)</f>
        <v>1990</v>
      </c>
      <c r="E7064" s="10" t="str">
        <f ca="1">IFERROR(__xludf.DUMMYFUNCTION("""COMPUTED_VALUE"""),"Списание „Общество и армия“, С.,1990, кн.3, с. 39-44 ISSN 0204-8116.")</f>
        <v>Списание „Общество и армия“, С.,1990, кн.3, с. 39-44 ISSN 0204-8116.</v>
      </c>
      <c r="F7064" s="10"/>
      <c r="G7064" s="10"/>
      <c r="H7064" s="10"/>
      <c r="I7064" s="10"/>
      <c r="J7064" s="10"/>
      <c r="K7064" s="10"/>
      <c r="L7064" s="10"/>
      <c r="M7064" s="10"/>
      <c r="N7064" s="10"/>
      <c r="O7064" s="10"/>
      <c r="P7064" s="10"/>
      <c r="Q7064" s="10"/>
      <c r="R7064" s="10"/>
      <c r="S7064" s="10"/>
      <c r="T7064" s="10"/>
      <c r="U7064" s="10"/>
      <c r="V7064" s="10"/>
      <c r="W7064" s="10"/>
      <c r="X7064" s="10"/>
      <c r="Y7064" s="10"/>
      <c r="Z7064" s="10"/>
    </row>
    <row r="7065" spans="1:26" ht="12.75">
      <c r="A7065" s="10" t="str">
        <f ca="1">IFERROR(__xludf.DUMMYFUNCTION("""COMPUTED_VALUE"""),"Стефан Иванов Мичев")</f>
        <v>Стефан Иванов Мичев</v>
      </c>
      <c r="B7065" s="10" t="str">
        <f ca="1">IFERROR(__xludf.DUMMYFUNCTION("""COMPUTED_VALUE"""),"Студия")</f>
        <v>Студия</v>
      </c>
      <c r="C7065" s="10" t="str">
        <f ca="1">IFERROR(__xludf.DUMMYFUNCTION("""COMPUTED_VALUE"""),"Към въпроса за системата на военнонаучното знание")</f>
        <v>Към въпроса за системата на военнонаучното знание</v>
      </c>
      <c r="D7065" s="10">
        <f ca="1">IFERROR(__xludf.DUMMYFUNCTION("""COMPUTED_VALUE"""),1988)</f>
        <v>1988</v>
      </c>
      <c r="E7065" s="10" t="str">
        <f ca="1">IFERROR(__xludf.DUMMYFUNCTION("""COMPUTED_VALUE"""),"Военна академия „Георги С. Раковски“, Трудове на Академията. Серия втора – Обществени науки, книжка 1, С., 1988, с. 5-26.")</f>
        <v>Военна академия „Георги С. Раковски“, Трудове на Академията. Серия втора – Обществени науки, книжка 1, С., 1988, с. 5-26.</v>
      </c>
      <c r="F7065" s="10"/>
      <c r="G7065" s="10"/>
      <c r="H7065" s="10"/>
      <c r="I7065" s="10"/>
      <c r="J7065" s="10"/>
      <c r="K7065" s="10"/>
      <c r="L7065" s="10"/>
      <c r="M7065" s="10"/>
      <c r="N7065" s="10"/>
      <c r="O7065" s="10"/>
      <c r="P7065" s="10"/>
      <c r="Q7065" s="10"/>
      <c r="R7065" s="10"/>
      <c r="S7065" s="10"/>
      <c r="T7065" s="10"/>
      <c r="U7065" s="10"/>
      <c r="V7065" s="10"/>
      <c r="W7065" s="10"/>
      <c r="X7065" s="10"/>
      <c r="Y7065" s="10"/>
      <c r="Z7065" s="10"/>
    </row>
    <row r="7066" spans="1:26" ht="12.75">
      <c r="A7066" s="10" t="str">
        <f ca="1">IFERROR(__xludf.DUMMYFUNCTION("""COMPUTED_VALUE"""),"Стефан Иванов Мичев")</f>
        <v>Стефан Иванов Мичев</v>
      </c>
      <c r="B7066" s="10" t="str">
        <f ca="1">IFERROR(__xludf.DUMMYFUNCTION("""COMPUTED_VALUE"""),"Доклад от конференция")</f>
        <v>Доклад от конференция</v>
      </c>
      <c r="C7066" s="10" t="str">
        <f ca="1">IFERROR(__xludf.DUMMYFUNCTION("""COMPUTED_VALUE"""),"Относно предмета на военнонаучното познание, изнесен на Научната конференция на ВНВСУ „Ген. Благой Иванов“, София 3-4 ноември 1988")</f>
        <v>Относно предмета на военнонаучното познание, изнесен на Научната конференция на ВНВСУ „Ген. Благой Иванов“, София 3-4 ноември 1988</v>
      </c>
      <c r="D7066" s="10">
        <f ca="1">IFERROR(__xludf.DUMMYFUNCTION("""COMPUTED_VALUE"""),1988)</f>
        <v>1988</v>
      </c>
      <c r="E7066" s="10" t="str">
        <f ca="1">IFERROR(__xludf.DUMMYFUNCTION("""COMPUTED_VALUE"""),"Сборник доклади на Научна сесия на ВНВСУ „Ген. Благой Иванов“, книжка 4, Обществени науки, С., 1988, с. 85-92.")</f>
        <v>Сборник доклади на Научна сесия на ВНВСУ „Ген. Благой Иванов“, книжка 4, Обществени науки, С., 1988, с. 85-92.</v>
      </c>
      <c r="F7066" s="10"/>
      <c r="G7066" s="10"/>
      <c r="H7066" s="10"/>
      <c r="I7066" s="10"/>
      <c r="J7066" s="10"/>
      <c r="K7066" s="10"/>
      <c r="L7066" s="10"/>
      <c r="M7066" s="10"/>
      <c r="N7066" s="10"/>
      <c r="O7066" s="10"/>
      <c r="P7066" s="10"/>
      <c r="Q7066" s="10"/>
      <c r="R7066" s="10"/>
      <c r="S7066" s="10"/>
      <c r="T7066" s="10"/>
      <c r="U7066" s="10"/>
      <c r="V7066" s="10"/>
      <c r="W7066" s="10"/>
      <c r="X7066" s="10"/>
      <c r="Y7066" s="10"/>
      <c r="Z7066" s="10"/>
    </row>
    <row r="7067" spans="1:26" ht="12.75">
      <c r="A7067" s="10" t="str">
        <f ca="1">IFERROR(__xludf.DUMMYFUNCTION("""COMPUTED_VALUE"""),"Стефан Иванов Мичев")</f>
        <v>Стефан Иванов Мичев</v>
      </c>
      <c r="B7067" s="10" t="str">
        <f ca="1">IFERROR(__xludf.DUMMYFUNCTION("""COMPUTED_VALUE"""),"Студия")</f>
        <v>Студия</v>
      </c>
      <c r="C7067" s="10" t="str">
        <f ca="1">IFERROR(__xludf.DUMMYFUNCTION("""COMPUTED_VALUE"""),"Относителност и абсолютност на истината във военнонаучното познание")</f>
        <v>Относителност и абсолютност на истината във военнонаучното познание</v>
      </c>
      <c r="D7067" s="10">
        <f ca="1">IFERROR(__xludf.DUMMYFUNCTION("""COMPUTED_VALUE"""),1985)</f>
        <v>1985</v>
      </c>
      <c r="E7067" s="10" t="str">
        <f ca="1">IFERROR(__xludf.DUMMYFUNCTION("""COMPUTED_VALUE"""),"Военна академия „Георги С. Раковски“, Трудове на Академията. Серия втора – Обществени науки, книжка 1, С., 1985, с. 5-26 .")</f>
        <v>Военна академия „Георги С. Раковски“, Трудове на Академията. Серия втора – Обществени науки, книжка 1, С., 1985, с. 5-26 .</v>
      </c>
      <c r="F7067" s="10"/>
      <c r="G7067" s="10"/>
      <c r="H7067" s="10"/>
      <c r="I7067" s="10"/>
      <c r="J7067" s="10"/>
      <c r="K7067" s="10"/>
      <c r="L7067" s="10"/>
      <c r="M7067" s="10"/>
      <c r="N7067" s="10"/>
      <c r="O7067" s="10"/>
      <c r="P7067" s="10"/>
      <c r="Q7067" s="10"/>
      <c r="R7067" s="10"/>
      <c r="S7067" s="10"/>
      <c r="T7067" s="10"/>
      <c r="U7067" s="10"/>
      <c r="V7067" s="10"/>
      <c r="W7067" s="10"/>
      <c r="X7067" s="10"/>
      <c r="Y7067" s="10"/>
      <c r="Z7067" s="10"/>
    </row>
    <row r="7068" spans="1:26" ht="12.75">
      <c r="A7068" s="10" t="str">
        <f ca="1">IFERROR(__xludf.DUMMYFUNCTION("""COMPUTED_VALUE"""),"Стефан Огнянов Бакърджиев")</f>
        <v>Стефан Огнянов Бакърджиев</v>
      </c>
      <c r="B7068" s="10" t="str">
        <f ca="1">IFERROR(__xludf.DUMMYFUNCTION("""COMPUTED_VALUE"""),"Статия в списания и поредици")</f>
        <v>Статия в списания и поредици</v>
      </c>
      <c r="C7068" s="10" t="str">
        <f ca="1">IFERROR(__xludf.DUMMYFUNCTION("""COMPUTED_VALUE"""),"Спасителни археологически проучвания на Могила № 10 (II-III в.) от Могилен некропол в м. Богошина, с. Прохорово, общ. Нова Загора")</f>
        <v>Спасителни археологически проучвания на Могила № 10 (II-III в.) от Могилен некропол в м. Богошина, с. Прохорово, общ. Нова Загора</v>
      </c>
      <c r="D7068" s="10">
        <f ca="1">IFERROR(__xludf.DUMMYFUNCTION("""COMPUTED_VALUE"""),2020)</f>
        <v>2020</v>
      </c>
      <c r="E7068" s="10" t="str">
        <f ca="1">IFERROR(__xludf.DUMMYFUNCTION("""COMPUTED_VALUE"""),"АОР през 2019, т.I, София, 2020, с.615-616
 ISSN 1313-0889; 2603-3658 /online/ (гл.ред. Христо Попов)")</f>
        <v>АОР през 2019, т.I, София, 2020, с.615-616
 ISSN 1313-0889; 2603-3658 /online/ (гл.ред. Христо Попов)</v>
      </c>
      <c r="F7068" s="10"/>
      <c r="G7068" s="10" t="str">
        <f ca="1">IFERROR(__xludf.DUMMYFUNCTION("""COMPUTED_VALUE"""),"Явор Русев")</f>
        <v>Явор Русев</v>
      </c>
      <c r="H7068" s="10"/>
      <c r="I7068" s="10"/>
      <c r="J7068" s="10"/>
      <c r="K7068" s="10"/>
      <c r="L7068" s="10"/>
      <c r="M7068" s="10"/>
      <c r="N7068" s="10"/>
      <c r="O7068" s="10"/>
      <c r="P7068" s="10"/>
      <c r="Q7068" s="10"/>
      <c r="R7068" s="10"/>
      <c r="S7068" s="10"/>
      <c r="T7068" s="10"/>
      <c r="U7068" s="10"/>
      <c r="V7068" s="10"/>
      <c r="W7068" s="10"/>
      <c r="X7068" s="10"/>
      <c r="Y7068" s="10"/>
      <c r="Z7068" s="10"/>
    </row>
    <row r="7069" spans="1:26" ht="12.75">
      <c r="A7069" s="10" t="str">
        <f ca="1">IFERROR(__xludf.DUMMYFUNCTION("""COMPUTED_VALUE"""),"Стефан Огнянов Бакърджиев")</f>
        <v>Стефан Огнянов Бакърджиев</v>
      </c>
      <c r="B7069" s="10" t="str">
        <f ca="1">IFERROR(__xludf.DUMMYFUNCTION("""COMPUTED_VALUE"""),"Статия в списания и поредици")</f>
        <v>Статия в списания и поредици</v>
      </c>
      <c r="C7069" s="10" t="str">
        <f ca="1">IFERROR(__xludf.DUMMYFUNCTION("""COMPUTED_VALUE"""),"Археологически разкопки на надгробна могила (третата четвърт на III в.пр.Хр.) до с. Зимница, общ. Стралджа, обл. Ямбол")</f>
        <v>Археологически разкопки на надгробна могила (третата четвърт на III в.пр.Хр.) до с. Зимница, общ. Стралджа, обл. Ямбол</v>
      </c>
      <c r="D7069" s="10">
        <f ca="1">IFERROR(__xludf.DUMMYFUNCTION("""COMPUTED_VALUE"""),2020)</f>
        <v>2020</v>
      </c>
      <c r="E7069" s="10" t="str">
        <f ca="1">IFERROR(__xludf.DUMMYFUNCTION("""COMPUTED_VALUE"""),"АОР през 2019, т.I, София, 2020, с.572-574
 ISSN 1313-0889; 2603-3658 /online/ (гл.ред. Христо Попов)")</f>
        <v>АОР през 2019, т.I, София, 2020, с.572-574
 ISSN 1313-0889; 2603-3658 /online/ (гл.ред. Христо Попов)</v>
      </c>
      <c r="F7069" s="10"/>
      <c r="G7069" s="10" t="str">
        <f ca="1">IFERROR(__xludf.DUMMYFUNCTION("""COMPUTED_VALUE"""),"Стефан Александров, Пьотр. Влодарчак, Тодор Вълчев")</f>
        <v>Стефан Александров, Пьотр. Влодарчак, Тодор Вълчев</v>
      </c>
      <c r="H7069" s="10"/>
      <c r="I7069" s="10"/>
      <c r="J7069" s="10"/>
      <c r="K7069" s="10"/>
      <c r="L7069" s="10"/>
      <c r="M7069" s="10"/>
      <c r="N7069" s="10"/>
      <c r="O7069" s="10"/>
      <c r="P7069" s="10"/>
      <c r="Q7069" s="10"/>
      <c r="R7069" s="10"/>
      <c r="S7069" s="10"/>
      <c r="T7069" s="10"/>
      <c r="U7069" s="10"/>
      <c r="V7069" s="10"/>
      <c r="W7069" s="10"/>
      <c r="X7069" s="10"/>
      <c r="Y7069" s="10"/>
      <c r="Z7069" s="10"/>
    </row>
    <row r="7070" spans="1:26" ht="12.75">
      <c r="A7070" s="10" t="str">
        <f ca="1">IFERROR(__xludf.DUMMYFUNCTION("""COMPUTED_VALUE"""),"Стефан Огнянов Бакърджиев")</f>
        <v>Стефан Огнянов Бакърджиев</v>
      </c>
      <c r="B7070" s="10" t="str">
        <f ca="1">IFERROR(__xludf.DUMMYFUNCTION("""COMPUTED_VALUE"""),"Статия в списания и поредици")</f>
        <v>Статия в списания и поредици</v>
      </c>
      <c r="C7070" s="10" t="str">
        <f ca="1">IFERROR(__xludf.DUMMYFUNCTION("""COMPUTED_VALUE"""),"Археологически проучвания та средновековна крепост “Малкото кале“, с. Воден, общ. Болярово")</f>
        <v>Археологически проучвания та средновековна крепост “Малкото кале“, с. Воден, общ. Болярово</v>
      </c>
      <c r="D7070" s="10">
        <f ca="1">IFERROR(__xludf.DUMMYFUNCTION("""COMPUTED_VALUE"""),2020)</f>
        <v>2020</v>
      </c>
      <c r="E7070" s="10" t="str">
        <f ca="1">IFERROR(__xludf.DUMMYFUNCTION("""COMPUTED_VALUE"""),"АОР през 2019, т.II, София, 2020, с.1196-1198
 ISSN 1313-0889; 2603-3658 /online/ (гл.ред. Христо Попов)")</f>
        <v>АОР през 2019, т.II, София, 2020, с.1196-1198
 ISSN 1313-0889; 2603-3658 /online/ (гл.ред. Христо Попов)</v>
      </c>
      <c r="F7070" s="10"/>
      <c r="G7070" s="10" t="str">
        <f ca="1">IFERROR(__xludf.DUMMYFUNCTION("""COMPUTED_VALUE"""),"Явор Русев")</f>
        <v>Явор Русев</v>
      </c>
      <c r="H7070" s="10"/>
      <c r="I7070" s="10"/>
      <c r="J7070" s="10"/>
      <c r="K7070" s="10"/>
      <c r="L7070" s="10"/>
      <c r="M7070" s="10"/>
      <c r="N7070" s="10"/>
      <c r="O7070" s="10"/>
      <c r="P7070" s="10"/>
      <c r="Q7070" s="10"/>
      <c r="R7070" s="10"/>
      <c r="S7070" s="10"/>
      <c r="T7070" s="10"/>
      <c r="U7070" s="10"/>
      <c r="V7070" s="10"/>
      <c r="W7070" s="10"/>
      <c r="X7070" s="10"/>
      <c r="Y7070" s="10"/>
      <c r="Z7070" s="10"/>
    </row>
    <row r="7071" spans="1:26" ht="12.75">
      <c r="A7071" s="10" t="str">
        <f ca="1">IFERROR(__xludf.DUMMYFUNCTION("""COMPUTED_VALUE"""),"Стефан Огнянов Бакърджиев")</f>
        <v>Стефан Огнянов Бакърджиев</v>
      </c>
      <c r="B7071" s="10" t="str">
        <f ca="1">IFERROR(__xludf.DUMMYFUNCTION("""COMPUTED_VALUE"""),"Статия в списания и поредици")</f>
        <v>Статия в списания и поредици</v>
      </c>
      <c r="C7071" s="10" t="str">
        <f ca="1">IFERROR(__xludf.DUMMYFUNCTION("""COMPUTED_VALUE"""),"Ранносредновековно селище до с. Лозенец, област Ямбол – История и култура на България и Българите (IX – XIX в.)")</f>
        <v>Ранносредновековно селище до с. Лозенец, област Ямбол – История и култура на България и Българите (IX – XIX в.)</v>
      </c>
      <c r="D7071" s="10">
        <f ca="1">IFERROR(__xludf.DUMMYFUNCTION("""COMPUTED_VALUE"""),2020)</f>
        <v>2020</v>
      </c>
      <c r="E7071" s="10" t="str">
        <f ca="1">IFERROR(__xludf.DUMMYFUNCTION("""COMPUTED_VALUE"""),"Исторически изследвания и археологически приноси в памет на проф. д-р Валентин Плетньов – ACTA MUSEI VARNAENSIS, XIII-1, с.153-174
 ISBN 978-619-7373-68-4 /гл.ред. проф. дин Иван Русев/")</f>
        <v>Исторически изследвания и археологически приноси в памет на проф. д-р Валентин Плетньов – ACTA MUSEI VARNAENSIS, XIII-1, с.153-174
 ISBN 978-619-7373-68-4 /гл.ред. проф. дин Иван Русев/</v>
      </c>
      <c r="F7071" s="10"/>
      <c r="G7071" s="10" t="str">
        <f ca="1">IFERROR(__xludf.DUMMYFUNCTION("""COMPUTED_VALUE"""),"Тодор Вълчев")</f>
        <v>Тодор Вълчев</v>
      </c>
      <c r="H7071" s="10"/>
      <c r="I7071" s="10"/>
      <c r="J7071" s="10"/>
      <c r="K7071" s="10"/>
      <c r="L7071" s="10"/>
      <c r="M7071" s="10"/>
      <c r="N7071" s="10"/>
      <c r="O7071" s="10"/>
      <c r="P7071" s="10"/>
      <c r="Q7071" s="10"/>
      <c r="R7071" s="10"/>
      <c r="S7071" s="10"/>
      <c r="T7071" s="10"/>
      <c r="U7071" s="10"/>
      <c r="V7071" s="10"/>
      <c r="W7071" s="10"/>
      <c r="X7071" s="10"/>
      <c r="Y7071" s="10"/>
      <c r="Z7071" s="10"/>
    </row>
    <row r="7072" spans="1:26" ht="12.75">
      <c r="A7072" s="10" t="str">
        <f ca="1">IFERROR(__xludf.DUMMYFUNCTION("""COMPUTED_VALUE"""),"Стефан Огнянов Бакърджиев")</f>
        <v>Стефан Огнянов Бакърджиев</v>
      </c>
      <c r="B7072" s="10" t="str">
        <f ca="1">IFERROR(__xludf.DUMMYFUNCTION("""COMPUTED_VALUE"""),"Статия в списания и поредици")</f>
        <v>Статия в списания и поредици</v>
      </c>
      <c r="C7072" s="10" t="str">
        <f ca="1">IFERROR(__xludf.DUMMYFUNCTION("""COMPUTED_VALUE"""),"Спасителни археологически проучвания на Могила № 9 (II-III в.) от Могилен некропол в м. Богошина, с. Прохорово, общ. Нова Загора")</f>
        <v>Спасителни археологически проучвания на Могила № 9 (II-III в.) от Могилен некропол в м. Богошина, с. Прохорово, общ. Нова Загора</v>
      </c>
      <c r="D7072" s="10">
        <f ca="1">IFERROR(__xludf.DUMMYFUNCTION("""COMPUTED_VALUE"""),2020)</f>
        <v>2020</v>
      </c>
      <c r="E7072" s="10" t="str">
        <f ca="1">IFERROR(__xludf.DUMMYFUNCTION("""COMPUTED_VALUE"""),"АОР през 2019, т.I, София, 2020, с.613-614 
 ISSN 1313-0889; 2603-3658 /online/ (гл.ред. Христо Попов)")</f>
        <v>АОР през 2019, т.I, София, 2020, с.613-614 
 ISSN 1313-0889; 2603-3658 /online/ (гл.ред. Христо Попов)</v>
      </c>
      <c r="F7072" s="10"/>
      <c r="G7072" s="10" t="str">
        <f ca="1">IFERROR(__xludf.DUMMYFUNCTION("""COMPUTED_VALUE"""),"Явор Русев")</f>
        <v>Явор Русев</v>
      </c>
      <c r="H7072" s="10"/>
      <c r="I7072" s="10"/>
      <c r="J7072" s="10"/>
      <c r="K7072" s="10"/>
      <c r="L7072" s="10"/>
      <c r="M7072" s="10"/>
      <c r="N7072" s="10"/>
      <c r="O7072" s="10"/>
      <c r="P7072" s="10"/>
      <c r="Q7072" s="10"/>
      <c r="R7072" s="10"/>
      <c r="S7072" s="10"/>
      <c r="T7072" s="10"/>
      <c r="U7072" s="10"/>
      <c r="V7072" s="10"/>
      <c r="W7072" s="10"/>
      <c r="X7072" s="10"/>
      <c r="Y7072" s="10"/>
      <c r="Z7072" s="10"/>
    </row>
    <row r="7073" spans="1:26" ht="12.75">
      <c r="A7073" s="10" t="str">
        <f ca="1">IFERROR(__xludf.DUMMYFUNCTION("""COMPUTED_VALUE"""),"Стефан Огнянов Бакърджиев")</f>
        <v>Стефан Огнянов Бакърджиев</v>
      </c>
      <c r="B7073" s="10" t="str">
        <f ca="1">IFERROR(__xludf.DUMMYFUNCTION("""COMPUTED_VALUE"""),"Статия в списания и поредици")</f>
        <v>Статия в списания и поредици</v>
      </c>
      <c r="C7073" s="10" t="str">
        <f ca="1">IFERROR(__xludf.DUMMYFUNCTION("""COMPUTED_VALUE"""),"Археологически проучвания на представителна сграда от късноримската епоха в Кабиле")</f>
        <v>Археологически проучвания на представителна сграда от късноримската епоха в Кабиле</v>
      </c>
      <c r="D7073" s="10">
        <f ca="1">IFERROR(__xludf.DUMMYFUNCTION("""COMPUTED_VALUE"""),2020)</f>
        <v>2020</v>
      </c>
      <c r="E7073" s="10" t="str">
        <f ca="1">IFERROR(__xludf.DUMMYFUNCTION("""COMPUTED_VALUE"""),"АОР през 2019, т.II, София, 2020, с.809-811
 ISSN 1313-0889; 2603-3658 /online/ (гл.ред. Христо Попов) ,")</f>
        <v>АОР през 2019, т.II, София, 2020, с.809-811
 ISSN 1313-0889; 2603-3658 /online/ (гл.ред. Христо Попов) ,</v>
      </c>
      <c r="F7073" s="10"/>
      <c r="G7073" s="10" t="str">
        <f ca="1">IFERROR(__xludf.DUMMYFUNCTION("""COMPUTED_VALUE"""),"Мирослав Козарев")</f>
        <v>Мирослав Козарев</v>
      </c>
      <c r="H7073" s="10"/>
      <c r="I7073" s="10"/>
      <c r="J7073" s="10"/>
      <c r="K7073" s="10"/>
      <c r="L7073" s="10"/>
      <c r="M7073" s="10"/>
      <c r="N7073" s="10"/>
      <c r="O7073" s="10"/>
      <c r="P7073" s="10"/>
      <c r="Q7073" s="10"/>
      <c r="R7073" s="10"/>
      <c r="S7073" s="10"/>
      <c r="T7073" s="10"/>
      <c r="U7073" s="10"/>
      <c r="V7073" s="10"/>
      <c r="W7073" s="10"/>
      <c r="X7073" s="10"/>
      <c r="Y7073" s="10"/>
      <c r="Z7073" s="10"/>
    </row>
    <row r="7074" spans="1:26" ht="12.75">
      <c r="A7074" s="10" t="str">
        <f ca="1">IFERROR(__xludf.DUMMYFUNCTION("""COMPUTED_VALUE"""),"Стефан Огнянов Бакърджиев")</f>
        <v>Стефан Огнянов Бакърджиев</v>
      </c>
      <c r="B7074" s="10" t="str">
        <f ca="1">IFERROR(__xludf.DUMMYFUNCTION("""COMPUTED_VALUE"""),"Статия в списания и поредици")</f>
        <v>Статия в списания и поредици</v>
      </c>
      <c r="C7074" s="10" t="str">
        <f ca="1">IFERROR(__xludf.DUMMYFUNCTION("""COMPUTED_VALUE"""),"Археологически разкопки на надгробна могила (втората половина на V в.пр.Хр.) до с. Зимница, общ. Стралджа, обл. Ямбол")</f>
        <v>Археологически разкопки на надгробна могила (втората половина на V в.пр.Хр.) до с. Зимница, общ. Стралджа, обл. Ямбол</v>
      </c>
      <c r="D7074" s="10">
        <f ca="1">IFERROR(__xludf.DUMMYFUNCTION("""COMPUTED_VALUE"""),2020)</f>
        <v>2020</v>
      </c>
      <c r="E7074" s="10" t="str">
        <f ca="1">IFERROR(__xludf.DUMMYFUNCTION("""COMPUTED_VALUE"""),"АОР през 2019, т.I, София, 2020, с.550-552
 ISSN 1313-0889; 2603-3658 /online/ (гл.ред. Христо Попов)")</f>
        <v>АОР през 2019, т.I, София, 2020, с.550-552
 ISSN 1313-0889; 2603-3658 /online/ (гл.ред. Христо Попов)</v>
      </c>
      <c r="F7074" s="10"/>
      <c r="G7074" s="10" t="str">
        <f ca="1">IFERROR(__xludf.DUMMYFUNCTION("""COMPUTED_VALUE"""),"Стефан Александров, Пьотр Влодарчак, Тодор Вълчев")</f>
        <v>Стефан Александров, Пьотр Влодарчак, Тодор Вълчев</v>
      </c>
      <c r="H7074" s="10"/>
      <c r="I7074" s="10"/>
      <c r="J7074" s="10"/>
      <c r="K7074" s="10"/>
      <c r="L7074" s="10"/>
      <c r="M7074" s="10"/>
      <c r="N7074" s="10"/>
      <c r="O7074" s="10"/>
      <c r="P7074" s="10"/>
      <c r="Q7074" s="10"/>
      <c r="R7074" s="10"/>
      <c r="S7074" s="10"/>
      <c r="T7074" s="10"/>
      <c r="U7074" s="10"/>
      <c r="V7074" s="10"/>
      <c r="W7074" s="10"/>
      <c r="X7074" s="10"/>
      <c r="Y7074" s="10"/>
      <c r="Z7074" s="10"/>
    </row>
    <row r="7075" spans="1:26" ht="12.75">
      <c r="A7075" s="10" t="str">
        <f ca="1">IFERROR(__xludf.DUMMYFUNCTION("""COMPUTED_VALUE"""),"Стефан Огнянов Бакърджиев")</f>
        <v>Стефан Огнянов Бакърджиев</v>
      </c>
      <c r="B7075" s="10" t="str">
        <f ca="1">IFERROR(__xludf.DUMMYFUNCTION("""COMPUTED_VALUE"""),"Статия в списания и поредици")</f>
        <v>Статия в списания и поредици</v>
      </c>
      <c r="C7075" s="10" t="str">
        <f ca="1">IFERROR(__xludf.DUMMYFUNCTION("""COMPUTED_VALUE"""),"Спасителни археологически проучвания на Могила № 13 (II-III в.) от Могилен некропол в м. Богошина, с. Прохорово, общ. Нова Загора")</f>
        <v>Спасителни археологически проучвания на Могила № 13 (II-III в.) от Могилен некропол в м. Богошина, с. Прохорово, общ. Нова Загора</v>
      </c>
      <c r="D7075" s="10">
        <f ca="1">IFERROR(__xludf.DUMMYFUNCTION("""COMPUTED_VALUE"""),2020)</f>
        <v>2020</v>
      </c>
      <c r="E7075" s="10" t="str">
        <f ca="1">IFERROR(__xludf.DUMMYFUNCTION("""COMPUTED_VALUE"""),"АОР през 2019, т.I, София, 2020, с.617-619
 ISSN 1313-0889; 2603-3658 /online/ (гл.ред. Христо Попов)")</f>
        <v>АОР през 2019, т.I, София, 2020, с.617-619
 ISSN 1313-0889; 2603-3658 /online/ (гл.ред. Христо Попов)</v>
      </c>
      <c r="F7075" s="10"/>
      <c r="G7075" s="10" t="str">
        <f ca="1">IFERROR(__xludf.DUMMYFUNCTION("""COMPUTED_VALUE"""),"Явор Русев")</f>
        <v>Явор Русев</v>
      </c>
      <c r="H7075" s="10"/>
      <c r="I7075" s="10"/>
      <c r="J7075" s="10"/>
      <c r="K7075" s="10"/>
      <c r="L7075" s="10"/>
      <c r="M7075" s="10"/>
      <c r="N7075" s="10"/>
      <c r="O7075" s="10"/>
      <c r="P7075" s="10"/>
      <c r="Q7075" s="10"/>
      <c r="R7075" s="10"/>
      <c r="S7075" s="10"/>
      <c r="T7075" s="10"/>
      <c r="U7075" s="10"/>
      <c r="V7075" s="10"/>
      <c r="W7075" s="10"/>
      <c r="X7075" s="10"/>
      <c r="Y7075" s="10"/>
      <c r="Z7075" s="10"/>
    </row>
    <row r="7076" spans="1:26" ht="12.75">
      <c r="A7076" s="10" t="str">
        <f ca="1">IFERROR(__xludf.DUMMYFUNCTION("""COMPUTED_VALUE"""),"Стефан Огнянов Бакърджиев")</f>
        <v>Стефан Огнянов Бакърджиев</v>
      </c>
      <c r="B7076" s="10" t="str">
        <f ca="1">IFERROR(__xludf.DUMMYFUNCTION("""COMPUTED_VALUE"""),"Статия в списания и поредици")</f>
        <v>Статия в списания и поредици</v>
      </c>
      <c r="C7076" s="10" t="str">
        <f ca="1">IFERROR(__xludf.DUMMYFUNCTION("""COMPUTED_VALUE"""),"Археологически разкопки на надгробна могила № 4, могилен некропол в м. Големия кайряк, с. Могила, област Ямбол")</f>
        <v>Археологически разкопки на надгробна могила № 4, могилен некропол в м. Големия кайряк, с. Могила, област Ямбол</v>
      </c>
      <c r="D7076" s="10">
        <f ca="1">IFERROR(__xludf.DUMMYFUNCTION("""COMPUTED_VALUE"""),2019)</f>
        <v>2019</v>
      </c>
      <c r="E7076" s="10" t="str">
        <f ca="1">IFERROR(__xludf.DUMMYFUNCTION("""COMPUTED_VALUE"""),"АОР през 2018, София, 2019, с. 177-180 
 ISSN 1313-0889 (гл.ред. Христо Попов)")</f>
        <v>АОР през 2018, София, 2019, с. 177-180 
 ISSN 1313-0889 (гл.ред. Христо Попов)</v>
      </c>
      <c r="F7076" s="10"/>
      <c r="G7076" s="10" t="str">
        <f ca="1">IFERROR(__xludf.DUMMYFUNCTION("""COMPUTED_VALUE"""),"Стефан Александров, Пьотр Влодарчак")</f>
        <v>Стефан Александров, Пьотр Влодарчак</v>
      </c>
      <c r="H7076" s="10"/>
      <c r="I7076" s="10"/>
      <c r="J7076" s="10"/>
      <c r="K7076" s="10"/>
      <c r="L7076" s="10"/>
      <c r="M7076" s="10"/>
      <c r="N7076" s="10"/>
      <c r="O7076" s="10"/>
      <c r="P7076" s="10"/>
      <c r="Q7076" s="10"/>
      <c r="R7076" s="10"/>
      <c r="S7076" s="10"/>
      <c r="T7076" s="10"/>
      <c r="U7076" s="10"/>
      <c r="V7076" s="10"/>
      <c r="W7076" s="10"/>
      <c r="X7076" s="10"/>
      <c r="Y7076" s="10"/>
      <c r="Z7076" s="10"/>
    </row>
    <row r="7077" spans="1:26" ht="12.75">
      <c r="A7077" s="10" t="str">
        <f ca="1">IFERROR(__xludf.DUMMYFUNCTION("""COMPUTED_VALUE"""),"Стефан Огнянов Бакърджиев")</f>
        <v>Стефан Огнянов Бакърджиев</v>
      </c>
      <c r="B7077" s="10" t="str">
        <f ca="1">IFERROR(__xludf.DUMMYFUNCTION("""COMPUTED_VALUE"""),"Статия в списания и поредици")</f>
        <v>Статия в списания и поредици</v>
      </c>
      <c r="C7077" s="10" t="str">
        <f ca="1">IFERROR(__xludf.DUMMYFUNCTION("""COMPUTED_VALUE"""),"Археологически проучвания в Кабиле – Сектор XII, обект “Представителна сграда от късноримската епоха”")</f>
        <v>Археологически проучвания в Кабиле – Сектор XII, обект “Представителна сграда от късноримската епоха”</v>
      </c>
      <c r="D7077" s="10">
        <f ca="1">IFERROR(__xludf.DUMMYFUNCTION("""COMPUTED_VALUE"""),2019)</f>
        <v>2019</v>
      </c>
      <c r="E7077" s="10" t="str">
        <f ca="1">IFERROR(__xludf.DUMMYFUNCTION("""COMPUTED_VALUE"""),"АОР през 2018, София, 2019, с. 331-333
 ISSN 1313-0889 (гл.ред. Христо Попов)")</f>
        <v>АОР през 2018, София, 2019, с. 331-333
 ISSN 1313-0889 (гл.ред. Христо Попов)</v>
      </c>
      <c r="F7077" s="10"/>
      <c r="G7077" s="10" t="str">
        <f ca="1">IFERROR(__xludf.DUMMYFUNCTION("""COMPUTED_VALUE"""),"Мирослав Козарев")</f>
        <v>Мирослав Козарев</v>
      </c>
      <c r="H7077" s="10"/>
      <c r="I7077" s="10"/>
      <c r="J7077" s="10"/>
      <c r="K7077" s="10"/>
      <c r="L7077" s="10"/>
      <c r="M7077" s="10"/>
      <c r="N7077" s="10"/>
      <c r="O7077" s="10"/>
      <c r="P7077" s="10"/>
      <c r="Q7077" s="10"/>
      <c r="R7077" s="10"/>
      <c r="S7077" s="10"/>
      <c r="T7077" s="10"/>
      <c r="U7077" s="10"/>
      <c r="V7077" s="10"/>
      <c r="W7077" s="10"/>
      <c r="X7077" s="10"/>
      <c r="Y7077" s="10"/>
      <c r="Z7077" s="10"/>
    </row>
    <row r="7078" spans="1:26" ht="12.75">
      <c r="A7078" s="10" t="str">
        <f ca="1">IFERROR(__xludf.DUMMYFUNCTION("""COMPUTED_VALUE"""),"Стефан Огнянов Бакърджиев")</f>
        <v>Стефан Огнянов Бакърджиев</v>
      </c>
      <c r="B7078" s="10" t="str">
        <f ca="1">IFERROR(__xludf.DUMMYFUNCTION("""COMPUTED_VALUE"""),"Студия")</f>
        <v>Студия</v>
      </c>
      <c r="C7078" s="10" t="str">
        <f ca="1">IFERROR(__xludf.DUMMYFUNCTION("""COMPUTED_VALUE"""),"Нови археологически проучвания в южния некропол на Кабиле")</f>
        <v>Нови археологически проучвания в южния некропол на Кабиле</v>
      </c>
      <c r="D7078" s="10">
        <f ca="1">IFERROR(__xludf.DUMMYFUNCTION("""COMPUTED_VALUE"""),2019)</f>
        <v>2019</v>
      </c>
      <c r="E7078" s="10" t="str">
        <f ca="1">IFERROR(__xludf.DUMMYFUNCTION("""COMPUTED_VALUE"""),"STEPFANOS ARCHAEOLOGICOS AD 80 ANNUM PROFESSORIS LUDMILI GETOV – SAUAS, Supl. VI, 2018, 295-332
 ISSN 1300-6090 /ред.кол. проф. д-р К. Рабаджиев, проф. д-р Т. Стоянов и др./")</f>
        <v>STEPFANOS ARCHAEOLOGICOS AD 80 ANNUM PROFESSORIS LUDMILI GETOV – SAUAS, Supl. VI, 2018, 295-332
 ISSN 1300-6090 /ред.кол. проф. д-р К. Рабаджиев, проф. д-р Т. Стоянов и др./</v>
      </c>
      <c r="F7078" s="10"/>
      <c r="G7078" s="10" t="str">
        <f ca="1">IFERROR(__xludf.DUMMYFUNCTION("""COMPUTED_VALUE"""),"Румен Миков, Таня Джанфезова")</f>
        <v>Румен Миков, Таня Джанфезова</v>
      </c>
      <c r="H7078" s="10"/>
      <c r="I7078" s="10"/>
      <c r="J7078" s="10"/>
      <c r="K7078" s="10"/>
      <c r="L7078" s="10"/>
      <c r="M7078" s="10"/>
      <c r="N7078" s="10"/>
      <c r="O7078" s="10"/>
      <c r="P7078" s="10"/>
      <c r="Q7078" s="10"/>
      <c r="R7078" s="10"/>
      <c r="S7078" s="10"/>
      <c r="T7078" s="10"/>
      <c r="U7078" s="10"/>
      <c r="V7078" s="10"/>
      <c r="W7078" s="10"/>
      <c r="X7078" s="10"/>
      <c r="Y7078" s="10"/>
      <c r="Z7078" s="10"/>
    </row>
    <row r="7079" spans="1:26" ht="12.75">
      <c r="A7079" s="10" t="str">
        <f ca="1">IFERROR(__xludf.DUMMYFUNCTION("""COMPUTED_VALUE"""),"Стефан Огнянов Бакърджиев")</f>
        <v>Стефан Огнянов Бакърджиев</v>
      </c>
      <c r="B7079" s="10" t="str">
        <f ca="1">IFERROR(__xludf.DUMMYFUNCTION("""COMPUTED_VALUE"""),"Статия в списания и поредици")</f>
        <v>Статия в списания и поредици</v>
      </c>
      <c r="C7079" s="10" t="str">
        <f ca="1">IFERROR(__xludf.DUMMYFUNCTION("""COMPUTED_VALUE"""),"Археологически проучвания та средновековна крепост “Малкото кале“, с. Воден, общ. Болярово, обл. Ямбол")</f>
        <v>Археологически проучвания та средновековна крепост “Малкото кале“, с. Воден, общ. Болярово, обл. Ямбол</v>
      </c>
      <c r="D7079" s="10">
        <f ca="1">IFERROR(__xludf.DUMMYFUNCTION("""COMPUTED_VALUE"""),2019)</f>
        <v>2019</v>
      </c>
      <c r="E7079" s="10" t="str">
        <f ca="1">IFERROR(__xludf.DUMMYFUNCTION("""COMPUTED_VALUE"""),"АОР през 2018, София, 2019, с.524-526
 ISSN 1313-0889 (гл.ред. Христо Попов)")</f>
        <v>АОР през 2018, София, 2019, с.524-526
 ISSN 1313-0889 (гл.ред. Христо Попов)</v>
      </c>
      <c r="F7079" s="10"/>
      <c r="G7079" s="10" t="str">
        <f ca="1">IFERROR(__xludf.DUMMYFUNCTION("""COMPUTED_VALUE"""),"Явор Русев")</f>
        <v>Явор Русев</v>
      </c>
      <c r="H7079" s="10"/>
      <c r="I7079" s="10"/>
      <c r="J7079" s="10"/>
      <c r="K7079" s="10"/>
      <c r="L7079" s="10"/>
      <c r="M7079" s="10"/>
      <c r="N7079" s="10"/>
      <c r="O7079" s="10"/>
      <c r="P7079" s="10"/>
      <c r="Q7079" s="10"/>
      <c r="R7079" s="10"/>
      <c r="S7079" s="10"/>
      <c r="T7079" s="10"/>
      <c r="U7079" s="10"/>
      <c r="V7079" s="10"/>
      <c r="W7079" s="10"/>
      <c r="X7079" s="10"/>
      <c r="Y7079" s="10"/>
      <c r="Z7079" s="10"/>
    </row>
    <row r="7080" spans="1:26" ht="12.75">
      <c r="A7080" s="10" t="str">
        <f ca="1">IFERROR(__xludf.DUMMYFUNCTION("""COMPUTED_VALUE"""),"Стефан Огнянов Бакърджиев")</f>
        <v>Стефан Огнянов Бакърджиев</v>
      </c>
      <c r="B7080" s="10" t="str">
        <f ca="1">IFERROR(__xludf.DUMMYFUNCTION("""COMPUTED_VALUE"""),"Статия в списания и поредици")</f>
        <v>Статия в списания и поредици</v>
      </c>
      <c r="C7080" s="10" t="str">
        <f ca="1">IFERROR(__xludf.DUMMYFUNCTION("""COMPUTED_VALUE"""),"Археологически разкопки на надгробна могила № 5, могилен некропол в м. Големия кайряк, с. Могила, област Ямбол")</f>
        <v>Археологически разкопки на надгробна могила № 5, могилен некропол в м. Големия кайряк, с. Могила, област Ямбол</v>
      </c>
      <c r="D7080" s="10">
        <f ca="1">IFERROR(__xludf.DUMMYFUNCTION("""COMPUTED_VALUE"""),2019)</f>
        <v>2019</v>
      </c>
      <c r="E7080" s="10" t="str">
        <f ca="1">IFERROR(__xludf.DUMMYFUNCTION("""COMPUTED_VALUE"""),"АОР през 2018, София, 2019, с. 180-182
 ISSN 1313-0889 (гл.ред. Христо Попов)")</f>
        <v>АОР през 2018, София, 2019, с. 180-182
 ISSN 1313-0889 (гл.ред. Христо Попов)</v>
      </c>
      <c r="F7080" s="10"/>
      <c r="G7080" s="10" t="str">
        <f ca="1">IFERROR(__xludf.DUMMYFUNCTION("""COMPUTED_VALUE"""),"Стефан Александров, Пьотр Влодарчак")</f>
        <v>Стефан Александров, Пьотр Влодарчак</v>
      </c>
      <c r="H7080" s="10"/>
      <c r="I7080" s="10"/>
      <c r="J7080" s="10"/>
      <c r="K7080" s="10"/>
      <c r="L7080" s="10"/>
      <c r="M7080" s="10"/>
      <c r="N7080" s="10"/>
      <c r="O7080" s="10"/>
      <c r="P7080" s="10"/>
      <c r="Q7080" s="10"/>
      <c r="R7080" s="10"/>
      <c r="S7080" s="10"/>
      <c r="T7080" s="10"/>
      <c r="U7080" s="10"/>
      <c r="V7080" s="10"/>
      <c r="W7080" s="10"/>
      <c r="X7080" s="10"/>
      <c r="Y7080" s="10"/>
      <c r="Z7080" s="10"/>
    </row>
    <row r="7081" spans="1:26" ht="12.75">
      <c r="A7081" s="10" t="str">
        <f ca="1">IFERROR(__xludf.DUMMYFUNCTION("""COMPUTED_VALUE"""),"Стефан Огнянов Бакърджиев")</f>
        <v>Стефан Огнянов Бакърджиев</v>
      </c>
      <c r="B7081" s="10" t="str">
        <f ca="1">IFERROR(__xludf.DUMMYFUNCTION("""COMPUTED_VALUE"""),"Статия в списания и поредици")</f>
        <v>Статия в списания и поредици</v>
      </c>
      <c r="C7081" s="10" t="str">
        <f ca="1">IFERROR(__xludf.DUMMYFUNCTION("""COMPUTED_VALUE"""),"Археологически обекти от късната желязна епоха и ранното Средновековие в м. Тандарски баир до с. Хаджидимитрово, Ямболско")</f>
        <v>Археологически обекти от късната желязна епоха и ранното Средновековие в м. Тандарски баир до с. Хаджидимитрово, Ямболско</v>
      </c>
      <c r="D7081" s="10">
        <f ca="1">IFERROR(__xludf.DUMMYFUNCTION("""COMPUTED_VALUE"""),2019)</f>
        <v>2019</v>
      </c>
      <c r="E7081" s="10" t="str">
        <f ca="1">IFERROR(__xludf.DUMMYFUNCTION("""COMPUTED_VALUE"""),"STUDIA IN HONOREM ILIAE ILIEV, Вести на Ямболския музей, год. VI, бр. 9, Ямбол, 2019, с.229-246
 ISBN 987-954-615-184-1")</f>
        <v>STUDIA IN HONOREM ILIAE ILIEV, Вести на Ямболския музей, год. VI, бр. 9, Ямбол, 2019, с.229-246
 ISBN 987-954-615-184-1</v>
      </c>
      <c r="F7081" s="10"/>
      <c r="G7081" s="10" t="str">
        <f ca="1">IFERROR(__xludf.DUMMYFUNCTION("""COMPUTED_VALUE"""),"иктория Петрова, Стефан Бакърджиев, Илия Илиев")</f>
        <v>иктория Петрова, Стефан Бакърджиев, Илия Илиев</v>
      </c>
      <c r="H7081" s="10"/>
      <c r="I7081" s="10"/>
      <c r="J7081" s="10"/>
      <c r="K7081" s="10"/>
      <c r="L7081" s="10"/>
      <c r="M7081" s="10"/>
      <c r="N7081" s="10"/>
      <c r="O7081" s="10"/>
      <c r="P7081" s="10"/>
      <c r="Q7081" s="10"/>
      <c r="R7081" s="10"/>
      <c r="S7081" s="10"/>
      <c r="T7081" s="10"/>
      <c r="U7081" s="10"/>
      <c r="V7081" s="10"/>
      <c r="W7081" s="10"/>
      <c r="X7081" s="10"/>
      <c r="Y7081" s="10"/>
      <c r="Z7081" s="10"/>
    </row>
    <row r="7082" spans="1:26" ht="12.75">
      <c r="A7082" s="10" t="str">
        <f ca="1">IFERROR(__xludf.DUMMYFUNCTION("""COMPUTED_VALUE"""),"Стефан Огнянов Бакърджиев")</f>
        <v>Стефан Огнянов Бакърджиев</v>
      </c>
      <c r="B7082" s="10" t="str">
        <f ca="1">IFERROR(__xludf.DUMMYFUNCTION("""COMPUTED_VALUE"""),"Статия в списания и поредици")</f>
        <v>Статия в списания и поредици</v>
      </c>
      <c r="C7082" s="10" t="str">
        <f ca="1">IFERROR(__xludf.DUMMYFUNCTION("""COMPUTED_VALUE"""),"Археологически проучвания в Кабиле, Сектор XII – Перистилна сграда от късноримската епоха")</f>
        <v>Археологически проучвания в Кабиле, Сектор XII – Перистилна сграда от късноримската епоха</v>
      </c>
      <c r="D7082" s="10">
        <f ca="1">IFERROR(__xludf.DUMMYFUNCTION("""COMPUTED_VALUE"""),2018)</f>
        <v>2018</v>
      </c>
      <c r="E7082" s="10" t="str">
        <f ca="1">IFERROR(__xludf.DUMMYFUNCTION("""COMPUTED_VALUE"""),"АОР през 2017, София, 2018, с. 303-306
 ISSN 1313-0889 (гл.ред. Людмил Вагалински)")</f>
        <v>АОР през 2017, София, 2018, с. 303-306
 ISSN 1313-0889 (гл.ред. Людмил Вагалински)</v>
      </c>
      <c r="F7082" s="10"/>
      <c r="G7082" s="10" t="str">
        <f ca="1">IFERROR(__xludf.DUMMYFUNCTION("""COMPUTED_VALUE"""),"Мирослав Козарев")</f>
        <v>Мирослав Козарев</v>
      </c>
      <c r="H7082" s="10"/>
      <c r="I7082" s="10"/>
      <c r="J7082" s="10"/>
      <c r="K7082" s="10"/>
      <c r="L7082" s="10"/>
      <c r="M7082" s="10"/>
      <c r="N7082" s="10"/>
      <c r="O7082" s="10"/>
      <c r="P7082" s="10"/>
      <c r="Q7082" s="10"/>
      <c r="R7082" s="10"/>
      <c r="S7082" s="10"/>
      <c r="T7082" s="10"/>
      <c r="U7082" s="10"/>
      <c r="V7082" s="10"/>
      <c r="W7082" s="10"/>
      <c r="X7082" s="10"/>
      <c r="Y7082" s="10"/>
      <c r="Z7082" s="10"/>
    </row>
    <row r="7083" spans="1:26" ht="12.75">
      <c r="A7083" s="10" t="str">
        <f ca="1">IFERROR(__xludf.DUMMYFUNCTION("""COMPUTED_VALUE"""),"Стефан Огнянов Бакърджиев")</f>
        <v>Стефан Огнянов Бакърджиев</v>
      </c>
      <c r="B7083" s="10" t="str">
        <f ca="1">IFERROR(__xludf.DUMMYFUNCTION("""COMPUTED_VALUE"""),"Статия в списания и поредици")</f>
        <v>Статия в списания и поредици</v>
      </c>
      <c r="C7083" s="10" t="str">
        <f ca="1">IFERROR(__xludf.DUMMYFUNCTION("""COMPUTED_VALUE"""),"Excavation ad Roman site Stroyno-Yurta, Yambol province (2014-2015): an interim report – THE TUNDZHA REGIONAL ARCHAEOLOGY PROJECT. Surface Survey, Palaeoecology, and Associated Studies in Central and Southeast Bulgaria, 2009-2015 final report")</f>
        <v>Excavation ad Roman site Stroyno-Yurta, Yambol province (2014-2015): an interim report – THE TUNDZHA REGIONAL ARCHAEOLOGY PROJECT. Surface Survey, Palaeoecology, and Associated Studies in Central and Southeast Bulgaria, 2009-2015 final report</v>
      </c>
      <c r="D7083" s="10">
        <f ca="1">IFERROR(__xludf.DUMMYFUNCTION("""COMPUTED_VALUE"""),2018)</f>
        <v>2018</v>
      </c>
      <c r="E7083" s="10" t="str">
        <f ca="1">IFERROR(__xludf.DUMMYFUNCTION("""COMPUTED_VALUE"""),"OXBOW books, Oxford &amp; Philadelphia 2018, 191-199
 ISBN 978-1-78925-054-1,(edited S. Ross, A. Sobotkova, J. Tzvetkova, G. Nehrizov, S. Connor)")</f>
        <v>OXBOW books, Oxford &amp; Philadelphia 2018, 191-199
 ISBN 978-1-78925-054-1,(edited S. Ross, A. Sobotkova, J. Tzvetkova, G. Nehrizov, S. Connor)</v>
      </c>
      <c r="F7083" s="10"/>
      <c r="G7083" s="10" t="str">
        <f ca="1">IFERROR(__xludf.DUMMYFUNCTION("""COMPUTED_VALUE"""),"Petra Tuslova, Barbora Weissova, Stefan Bakardzhiev, Victoria Ruseva")</f>
        <v>Petra Tuslova, Barbora Weissova, Stefan Bakardzhiev, Victoria Ruseva</v>
      </c>
      <c r="H7083" s="10"/>
      <c r="I7083" s="10"/>
      <c r="J7083" s="10"/>
      <c r="K7083" s="10"/>
      <c r="L7083" s="10"/>
      <c r="M7083" s="10"/>
      <c r="N7083" s="10"/>
      <c r="O7083" s="10"/>
      <c r="P7083" s="10"/>
      <c r="Q7083" s="10"/>
      <c r="R7083" s="10"/>
      <c r="S7083" s="10"/>
      <c r="T7083" s="10"/>
      <c r="U7083" s="10"/>
      <c r="V7083" s="10"/>
      <c r="W7083" s="10"/>
      <c r="X7083" s="10"/>
      <c r="Y7083" s="10"/>
      <c r="Z7083" s="10"/>
    </row>
    <row r="7084" spans="1:26" ht="12.75">
      <c r="A7084" s="10" t="str">
        <f ca="1">IFERROR(__xludf.DUMMYFUNCTION("""COMPUTED_VALUE"""),"Стефан Огнянов Бакърджиев")</f>
        <v>Стефан Огнянов Бакърджиев</v>
      </c>
      <c r="B7084" s="10" t="str">
        <f ca="1">IFERROR(__xludf.DUMMYFUNCTION("""COMPUTED_VALUE"""),"Статия в списания и поредици")</f>
        <v>Статия в списания и поредици</v>
      </c>
      <c r="C7084" s="10" t="str">
        <f ca="1">IFERROR(__xludf.DUMMYFUNCTION("""COMPUTED_VALUE"""),"Excavation ad Dodoparon, Yambol province – THE TUNDZHA REGIONAL ARCHAEOLOGY PROJECT. Surface Survey, Palaeoecology, and Associated Studies in Central and Southeast Bulgaria, 2009-2015 final report")</f>
        <v>Excavation ad Dodoparon, Yambol province – THE TUNDZHA REGIONAL ARCHAEOLOGY PROJECT. Surface Survey, Palaeoecology, and Associated Studies in Central and Southeast Bulgaria, 2009-2015 final report</v>
      </c>
      <c r="D7084" s="10">
        <f ca="1">IFERROR(__xludf.DUMMYFUNCTION("""COMPUTED_VALUE"""),2018)</f>
        <v>2018</v>
      </c>
      <c r="E7084" s="10" t="str">
        <f ca="1">IFERROR(__xludf.DUMMYFUNCTION("""COMPUTED_VALUE"""),"OXBOW books, Oxford &amp; Philadelphia 2018, 200-210
 ISBN 978-1-78925-054-1,(edited S. Ross, A. Sobotkova, J. Tzvetkova, G. Nehrizov, S. Connor)")</f>
        <v>OXBOW books, Oxford &amp; Philadelphia 2018, 200-210
 ISBN 978-1-78925-054-1,(edited S. Ross, A. Sobotkova, J. Tzvetkova, G. Nehrizov, S. Connor)</v>
      </c>
      <c r="F7084" s="10"/>
      <c r="G7084" s="10" t="str">
        <f ca="1">IFERROR(__xludf.DUMMYFUNCTION("""COMPUTED_VALUE"""),"Adela Sobotkova, Catherine Longfort")</f>
        <v>Adela Sobotkova, Catherine Longfort</v>
      </c>
      <c r="H7084" s="10"/>
      <c r="I7084" s="10"/>
      <c r="J7084" s="10"/>
      <c r="K7084" s="10"/>
      <c r="L7084" s="10"/>
      <c r="M7084" s="10"/>
      <c r="N7084" s="10"/>
      <c r="O7084" s="10"/>
      <c r="P7084" s="10"/>
      <c r="Q7084" s="10"/>
      <c r="R7084" s="10"/>
      <c r="S7084" s="10"/>
      <c r="T7084" s="10"/>
      <c r="U7084" s="10"/>
      <c r="V7084" s="10"/>
      <c r="W7084" s="10"/>
      <c r="X7084" s="10"/>
      <c r="Y7084" s="10"/>
      <c r="Z7084" s="10"/>
    </row>
    <row r="7085" spans="1:26" ht="12.75">
      <c r="A7085" s="10" t="str">
        <f ca="1">IFERROR(__xludf.DUMMYFUNCTION("""COMPUTED_VALUE"""),"Стефан Огнянов Бакърджиев")</f>
        <v>Стефан Огнянов Бакърджиев</v>
      </c>
      <c r="B7085" s="10" t="str">
        <f ca="1">IFERROR(__xludf.DUMMYFUNCTION("""COMPUTED_VALUE"""),"Статия в списания и поредици")</f>
        <v>Статия в списания и поредици</v>
      </c>
      <c r="C7085" s="10" t="str">
        <f ca="1">IFERROR(__xludf.DUMMYFUNCTION("""COMPUTED_VALUE"""),"Спасителни археологически проучвания на селище от Бронзовата епоха и некропол от римската епоха (обект № 10 по трасето на Транзитен газопровод № 2 за Република Турция) при с.Палаузово, община Стралджа")</f>
        <v>Спасителни археологически проучвания на селище от Бронзовата епоха и некропол от римската епоха (обект № 10 по трасето на Транзитен газопровод № 2 за Република Турция) при с.Палаузово, община Стралджа</v>
      </c>
      <c r="D7085" s="10">
        <f ca="1">IFERROR(__xludf.DUMMYFUNCTION("""COMPUTED_VALUE"""),2018)</f>
        <v>2018</v>
      </c>
      <c r="E7085" s="10" t="str">
        <f ca="1">IFERROR(__xludf.DUMMYFUNCTION("""COMPUTED_VALUE"""),"АОР през 2017, София, 2018, с. 146-147
 ISSN 1313-0889 (гл.ред. Людмил Вагалински)")</f>
        <v>АОР през 2017, София, 2018, с. 146-147
 ISSN 1313-0889 (гл.ред. Людмил Вагалински)</v>
      </c>
      <c r="F7085" s="10"/>
      <c r="G7085" s="10" t="str">
        <f ca="1">IFERROR(__xludf.DUMMYFUNCTION("""COMPUTED_VALUE"""),"Тодор Вълчев, Илия Илиев")</f>
        <v>Тодор Вълчев, Илия Илиев</v>
      </c>
      <c r="H7085" s="10"/>
      <c r="I7085" s="10"/>
      <c r="J7085" s="10"/>
      <c r="K7085" s="10"/>
      <c r="L7085" s="10"/>
      <c r="M7085" s="10"/>
      <c r="N7085" s="10"/>
      <c r="O7085" s="10"/>
      <c r="P7085" s="10"/>
      <c r="Q7085" s="10"/>
      <c r="R7085" s="10"/>
      <c r="S7085" s="10"/>
      <c r="T7085" s="10"/>
      <c r="U7085" s="10"/>
      <c r="V7085" s="10"/>
      <c r="W7085" s="10"/>
      <c r="X7085" s="10"/>
      <c r="Y7085" s="10"/>
      <c r="Z7085" s="10"/>
    </row>
    <row r="7086" spans="1:26" ht="12.75">
      <c r="A7086" s="10" t="str">
        <f ca="1">IFERROR(__xludf.DUMMYFUNCTION("""COMPUTED_VALUE"""),"Стефан Огнянов Бакърджиев")</f>
        <v>Стефан Огнянов Бакърджиев</v>
      </c>
      <c r="B7086" s="10" t="str">
        <f ca="1">IFERROR(__xludf.DUMMYFUNCTION("""COMPUTED_VALUE"""),"Статия в списания и поредици")</f>
        <v>Статия в списания и поредици</v>
      </c>
      <c r="C7086" s="10" t="str">
        <f ca="1">IFERROR(__xludf.DUMMYFUNCTION("""COMPUTED_VALUE"""),"Excavation and palaeodietary analysis of Bronze Age human remains from Boyanovo, Yambol province – THE TUNDZHA REGIONAL ARCHAEOLOGY PROJECT. Surface Survey, Palaeoecology, and Associated Studies in Central and Southeast Bulgaria, 2009-2015 final report")</f>
        <v>Excavation and palaeodietary analysis of Bronze Age human remains from Boyanovo, Yambol province – THE TUNDZHA REGIONAL ARCHAEOLOGY PROJECT. Surface Survey, Palaeoecology, and Associated Studies in Central and Southeast Bulgaria, 2009-2015 final report</v>
      </c>
      <c r="D7086" s="10">
        <f ca="1">IFERROR(__xludf.DUMMYFUNCTION("""COMPUTED_VALUE"""),2018)</f>
        <v>2018</v>
      </c>
      <c r="E7086" s="10" t="str">
        <f ca="1">IFERROR(__xludf.DUMMYFUNCTION("""COMPUTED_VALUE"""),"OXBOW books, Oxford &amp; Philadelphia 2018, 182-190
 ISBN 978-1-78925-054-1, (edited S. Ross, A. Sobotkova, J. Tzvetkova, G. Nehrizov, S. Connor)")</f>
        <v>OXBOW books, Oxford &amp; Philadelphia 2018, 182-190
 ISBN 978-1-78925-054-1, (edited S. Ross, A. Sobotkova, J. Tzvetkova, G. Nehrizov, S. Connor)</v>
      </c>
      <c r="F7086" s="10"/>
      <c r="G7086" s="10" t="str">
        <f ca="1">IFERROR(__xludf.DUMMYFUNCTION("""COMPUTED_VALUE"""),"Karen Privat, Adela Sobotkova, Stefan Bakardzhiev, Victoria Ruseva")</f>
        <v>Karen Privat, Adela Sobotkova, Stefan Bakardzhiev, Victoria Ruseva</v>
      </c>
      <c r="H7086" s="10"/>
      <c r="I7086" s="10"/>
      <c r="J7086" s="10"/>
      <c r="K7086" s="10"/>
      <c r="L7086" s="10"/>
      <c r="M7086" s="10"/>
      <c r="N7086" s="10"/>
      <c r="O7086" s="10"/>
      <c r="P7086" s="10"/>
      <c r="Q7086" s="10"/>
      <c r="R7086" s="10"/>
      <c r="S7086" s="10"/>
      <c r="T7086" s="10"/>
      <c r="U7086" s="10"/>
      <c r="V7086" s="10"/>
      <c r="W7086" s="10"/>
      <c r="X7086" s="10"/>
      <c r="Y7086" s="10"/>
      <c r="Z7086" s="10"/>
    </row>
    <row r="7087" spans="1:26" ht="12.75">
      <c r="A7087" s="10" t="str">
        <f ca="1">IFERROR(__xludf.DUMMYFUNCTION("""COMPUTED_VALUE"""),"Стефан Огнянов Бакърджиев")</f>
        <v>Стефан Огнянов Бакърджиев</v>
      </c>
      <c r="B7087" s="10" t="str">
        <f ca="1">IFERROR(__xludf.DUMMYFUNCTION("""COMPUTED_VALUE"""),"Статия в списания и поредици")</f>
        <v>Статия в списания и поредици</v>
      </c>
      <c r="C7087" s="10" t="str">
        <f ca="1">IFERROR(__xludf.DUMMYFUNCTION("""COMPUTED_VALUE"""),"Могилен гроб от ранната бронзова епоха до с. Дражево, Ямболско")</f>
        <v>Могилен гроб от ранната бронзова епоха до с. Дражево, Ямболско</v>
      </c>
      <c r="D7087" s="10">
        <f ca="1">IFERROR(__xludf.DUMMYFUNCTION("""COMPUTED_VALUE"""),2018)</f>
        <v>2018</v>
      </c>
      <c r="E7087" s="10" t="str">
        <f ca="1">IFERROR(__xludf.DUMMYFUNCTION("""COMPUTED_VALUE"""),"В: Злато и бронз, София, 2018, с. 325-327 ISBN 978-954-9472-60-8
 (ред. Стефан Александров и др.)")</f>
        <v>В: Злато и бронз, София, 2018, с. 325-327 ISBN 978-954-9472-60-8
 (ред. Стефан Александров и др.)</v>
      </c>
      <c r="F7087" s="10"/>
      <c r="G7087" s="10" t="str">
        <f ca="1">IFERROR(__xludf.DUMMYFUNCTION("""COMPUTED_VALUE"""),"Илия Илиев")</f>
        <v>Илия Илиев</v>
      </c>
      <c r="H7087" s="10"/>
      <c r="I7087" s="10"/>
      <c r="J7087" s="10"/>
      <c r="K7087" s="10"/>
      <c r="L7087" s="10"/>
      <c r="M7087" s="10"/>
      <c r="N7087" s="10"/>
      <c r="O7087" s="10"/>
      <c r="P7087" s="10"/>
      <c r="Q7087" s="10"/>
      <c r="R7087" s="10"/>
      <c r="S7087" s="10"/>
      <c r="T7087" s="10"/>
      <c r="U7087" s="10"/>
      <c r="V7087" s="10"/>
      <c r="W7087" s="10"/>
      <c r="X7087" s="10"/>
      <c r="Y7087" s="10"/>
      <c r="Z7087" s="10"/>
    </row>
    <row r="7088" spans="1:26" ht="12.75">
      <c r="A7088" s="10" t="str">
        <f ca="1">IFERROR(__xludf.DUMMYFUNCTION("""COMPUTED_VALUE"""),"Стефан Огнянов Бакърджиев")</f>
        <v>Стефан Огнянов Бакърджиев</v>
      </c>
      <c r="B7088" s="10" t="str">
        <f ca="1">IFERROR(__xludf.DUMMYFUNCTION("""COMPUTED_VALUE"""),"Статия в списания и поредици")</f>
        <v>Статия в списания и поредици</v>
      </c>
      <c r="C7088" s="10" t="str">
        <f ca="1">IFERROR(__xludf.DUMMYFUNCTION("""COMPUTED_VALUE"""),"Археологическо наблюдение на строителните дейности по трасето на Транзитен газопровод № 2 за Република Турция, в участъка между селата Лозенец и Недялско, община Стралджа")</f>
        <v>Археологическо наблюдение на строителните дейности по трасето на Транзитен газопровод № 2 за Република Турция, в участъка между селата Лозенец и Недялско, община Стралджа</v>
      </c>
      <c r="D7088" s="10">
        <f ca="1">IFERROR(__xludf.DUMMYFUNCTION("""COMPUTED_VALUE"""),2018)</f>
        <v>2018</v>
      </c>
      <c r="E7088" s="10" t="str">
        <f ca="1">IFERROR(__xludf.DUMMYFUNCTION("""COMPUTED_VALUE"""),"АОР през 2017, София, 2018, с. 711-713
 ISSN 1313-0889 (гл.ред. Людмил Вагалински)")</f>
        <v>АОР през 2017, София, 2018, с. 711-713
 ISSN 1313-0889 (гл.ред. Людмил Вагалински)</v>
      </c>
      <c r="F7088" s="10"/>
      <c r="G7088" s="10" t="str">
        <f ca="1">IFERROR(__xludf.DUMMYFUNCTION("""COMPUTED_VALUE"""),"Тодор Вълчев")</f>
        <v>Тодор Вълчев</v>
      </c>
      <c r="H7088" s="10"/>
      <c r="I7088" s="10"/>
      <c r="J7088" s="10"/>
      <c r="K7088" s="10"/>
      <c r="L7088" s="10"/>
      <c r="M7088" s="10"/>
      <c r="N7088" s="10"/>
      <c r="O7088" s="10"/>
      <c r="P7088" s="10"/>
      <c r="Q7088" s="10"/>
      <c r="R7088" s="10"/>
      <c r="S7088" s="10"/>
      <c r="T7088" s="10"/>
      <c r="U7088" s="10"/>
      <c r="V7088" s="10"/>
      <c r="W7088" s="10"/>
      <c r="X7088" s="10"/>
      <c r="Y7088" s="10"/>
      <c r="Z7088" s="10"/>
    </row>
    <row r="7089" spans="1:26" ht="12.75">
      <c r="A7089" s="10" t="str">
        <f ca="1">IFERROR(__xludf.DUMMYFUNCTION("""COMPUTED_VALUE"""),"Стефан Огнянов Бакърджиев")</f>
        <v>Стефан Огнянов Бакърджиев</v>
      </c>
      <c r="B7089" s="10" t="str">
        <f ca="1">IFERROR(__xludf.DUMMYFUNCTION("""COMPUTED_VALUE"""),"Статия в списания и поредици")</f>
        <v>Статия в списания и поредици</v>
      </c>
      <c r="C7089" s="10" t="str">
        <f ca="1">IFERROR(__xludf.DUMMYFUNCTION("""COMPUTED_VALUE"""),"Спасително археологическо проучване на обект “Плосък християнски некропол“, УПИ I-59 (в границите на УПИ I-10086, кв.10) в м.“Бозалъка“, с. Кабиле, общ. Тунджа.")</f>
        <v>Спасително археологическо проучване на обект “Плосък християнски некропол“, УПИ I-59 (в границите на УПИ I-10086, кв.10) в м.“Бозалъка“, с. Кабиле, общ. Тунджа.</v>
      </c>
      <c r="D7089" s="10">
        <f ca="1">IFERROR(__xludf.DUMMYFUNCTION("""COMPUTED_VALUE"""),2017)</f>
        <v>2017</v>
      </c>
      <c r="E7089" s="10" t="str">
        <f ca="1">IFERROR(__xludf.DUMMYFUNCTION("""COMPUTED_VALUE"""),"АОР през 2016, София, 2017, с. 492-496 
 ISSN 1313-0889 (гл.ред. Людмил Вагалински)")</f>
        <v>АОР през 2016, София, 2017, с. 492-496 
 ISSN 1313-0889 (гл.ред. Людмил Вагалински)</v>
      </c>
      <c r="F7089" s="10"/>
      <c r="G7089" s="10" t="str">
        <f ca="1">IFERROR(__xludf.DUMMYFUNCTION("""COMPUTED_VALUE"""),"Румен Миков")</f>
        <v>Румен Миков</v>
      </c>
      <c r="H7089" s="10"/>
      <c r="I7089" s="10"/>
      <c r="J7089" s="10"/>
      <c r="K7089" s="10"/>
      <c r="L7089" s="10"/>
      <c r="M7089" s="10"/>
      <c r="N7089" s="10"/>
      <c r="O7089" s="10"/>
      <c r="P7089" s="10"/>
      <c r="Q7089" s="10"/>
      <c r="R7089" s="10"/>
      <c r="S7089" s="10"/>
      <c r="T7089" s="10"/>
      <c r="U7089" s="10"/>
      <c r="V7089" s="10"/>
      <c r="W7089" s="10"/>
      <c r="X7089" s="10"/>
      <c r="Y7089" s="10"/>
      <c r="Z7089" s="10"/>
    </row>
    <row r="7090" spans="1:26" ht="12.75">
      <c r="A7090" s="10" t="str">
        <f ca="1">IFERROR(__xludf.DUMMYFUNCTION("""COMPUTED_VALUE"""),"Стефан Огнянов Бакърджиев")</f>
        <v>Стефан Огнянов Бакърджиев</v>
      </c>
      <c r="B7090" s="10" t="str">
        <f ca="1">IFERROR(__xludf.DUMMYFUNCTION("""COMPUTED_VALUE"""),"Статия в списания и поредици")</f>
        <v>Статия в списания и поредици</v>
      </c>
      <c r="C7090" s="10" t="str">
        <f ca="1">IFERROR(__xludf.DUMMYFUNCTION("""COMPUTED_VALUE"""),"Издирване на селищни структури чрез комплекс от дистанционни методи в и около Кабиле")</f>
        <v>Издирване на селищни структури чрез комплекс от дистанционни методи в и около Кабиле</v>
      </c>
      <c r="D7090" s="10">
        <f ca="1">IFERROR(__xludf.DUMMYFUNCTION("""COMPUTED_VALUE"""),2017)</f>
        <v>2017</v>
      </c>
      <c r="E7090" s="10" t="str">
        <f ca="1">IFERROR(__xludf.DUMMYFUNCTION("""COMPUTED_VALUE"""),"АОР през 2016, София, 2017, с. 750-753 
 ISSN 1313-0889 (гл.ред. Людмил Вагалински)")</f>
        <v>АОР през 2016, София, 2017, с. 750-753 
 ISSN 1313-0889 (гл.ред. Людмил Вагалински)</v>
      </c>
      <c r="F7090" s="10"/>
      <c r="G7090" s="10" t="str">
        <f ca="1">IFERROR(__xludf.DUMMYFUNCTION("""COMPUTED_VALUE"""),"Петър Зидаров, Тодор Вълчев, Стефан Бакърджиев, Християн Цанков, Атанас Кисьов, Рудолф Комп")</f>
        <v>Петър Зидаров, Тодор Вълчев, Стефан Бакърджиев, Християн Цанков, Атанас Кисьов, Рудолф Комп</v>
      </c>
      <c r="H7090" s="10"/>
      <c r="I7090" s="10"/>
      <c r="J7090" s="10"/>
      <c r="K7090" s="10"/>
      <c r="L7090" s="10"/>
      <c r="M7090" s="10"/>
      <c r="N7090" s="10"/>
      <c r="O7090" s="10"/>
      <c r="P7090" s="10"/>
      <c r="Q7090" s="10"/>
      <c r="R7090" s="10"/>
      <c r="S7090" s="10"/>
      <c r="T7090" s="10"/>
      <c r="U7090" s="10"/>
      <c r="V7090" s="10"/>
      <c r="W7090" s="10"/>
      <c r="X7090" s="10"/>
      <c r="Y7090" s="10"/>
      <c r="Z7090" s="10"/>
    </row>
    <row r="7091" spans="1:26" ht="12.75">
      <c r="A7091" s="10" t="str">
        <f ca="1">IFERROR(__xludf.DUMMYFUNCTION("""COMPUTED_VALUE"""),"Стефан Огнянов Бакърджиев")</f>
        <v>Стефан Огнянов Бакърджиев</v>
      </c>
      <c r="B7091" s="10" t="str">
        <f ca="1">IFERROR(__xludf.DUMMYFUNCTION("""COMPUTED_VALUE"""),"Статия в списания и поредици")</f>
        <v>Статия в списания и поредици</v>
      </c>
      <c r="C7091" s="10" t="str">
        <f ca="1">IFERROR(__xludf.DUMMYFUNCTION("""COMPUTED_VALUE"""),"Археологически проучвания на средновековна крепост “Малкото кале“, с. Воден, общ. Болярово, обл. Ямбол")</f>
        <v>Археологически проучвания на средновековна крепост “Малкото кале“, с. Воден, общ. Болярово, обл. Ямбол</v>
      </c>
      <c r="D7091" s="10">
        <f ca="1">IFERROR(__xludf.DUMMYFUNCTION("""COMPUTED_VALUE"""),2017)</f>
        <v>2017</v>
      </c>
      <c r="E7091" s="10" t="str">
        <f ca="1">IFERROR(__xludf.DUMMYFUNCTION("""COMPUTED_VALUE"""),"АОР през 2016, София, 2017, с.574-576 
 ISSN 1313-0889 (гл.ред. Людмил Вагалински)")</f>
        <v>АОР през 2016, София, 2017, с.574-576 
 ISSN 1313-0889 (гл.ред. Людмил Вагалински)</v>
      </c>
      <c r="F7091" s="10"/>
      <c r="G7091" s="10" t="str">
        <f ca="1">IFERROR(__xludf.DUMMYFUNCTION("""COMPUTED_VALUE"""),"Явор Русев")</f>
        <v>Явор Русев</v>
      </c>
      <c r="H7091" s="10"/>
      <c r="I7091" s="10"/>
      <c r="J7091" s="10"/>
      <c r="K7091" s="10"/>
      <c r="L7091" s="10"/>
      <c r="M7091" s="10"/>
      <c r="N7091" s="10"/>
      <c r="O7091" s="10"/>
      <c r="P7091" s="10"/>
      <c r="Q7091" s="10"/>
      <c r="R7091" s="10"/>
      <c r="S7091" s="10"/>
      <c r="T7091" s="10"/>
      <c r="U7091" s="10"/>
      <c r="V7091" s="10"/>
      <c r="W7091" s="10"/>
      <c r="X7091" s="10"/>
      <c r="Y7091" s="10"/>
      <c r="Z7091" s="10"/>
    </row>
    <row r="7092" spans="1:26" ht="12.75">
      <c r="A7092" s="10" t="str">
        <f ca="1">IFERROR(__xludf.DUMMYFUNCTION("""COMPUTED_VALUE"""),"Стефан Огнянов Бакърджиев")</f>
        <v>Стефан Огнянов Бакърджиев</v>
      </c>
      <c r="B7092" s="10" t="str">
        <f ca="1">IFERROR(__xludf.DUMMYFUNCTION("""COMPUTED_VALUE"""),"Статия в списания и поредици")</f>
        <v>Статия в списания и поредици</v>
      </c>
      <c r="C7092" s="10" t="str">
        <f ca="1">IFERROR(__xludf.DUMMYFUNCTION("""COMPUTED_VALUE"""),"Редовни археологически проучвания в на антично селище в м.“Юрта“, с. Стройно, общ. Елхово.")</f>
        <v>Редовни археологически проучвания в на антично селище в м.“Юрта“, с. Стройно, общ. Елхово.</v>
      </c>
      <c r="D7092" s="10">
        <f ca="1">IFERROR(__xludf.DUMMYFUNCTION("""COMPUTED_VALUE"""),2017)</f>
        <v>2017</v>
      </c>
      <c r="E7092" s="10" t="str">
        <f ca="1">IFERROR(__xludf.DUMMYFUNCTION("""COMPUTED_VALUE"""),"АОР през 2016, София, 2017, с. 450-453 
 ISSN 1313-0889 (гл.ред. Людмил Вагалински)")</f>
        <v>АОР през 2016, София, 2017, с. 450-453 
 ISSN 1313-0889 (гл.ред. Людмил Вагалински)</v>
      </c>
      <c r="F7092" s="10"/>
      <c r="G7092" s="10" t="str">
        <f ca="1">IFERROR(__xludf.DUMMYFUNCTION("""COMPUTED_VALUE"""),"Мирослав Козарев")</f>
        <v>Мирослав Козарев</v>
      </c>
      <c r="H7092" s="10"/>
      <c r="I7092" s="10"/>
      <c r="J7092" s="10"/>
      <c r="K7092" s="10"/>
      <c r="L7092" s="10"/>
      <c r="M7092" s="10"/>
      <c r="N7092" s="10"/>
      <c r="O7092" s="10"/>
      <c r="P7092" s="10"/>
      <c r="Q7092" s="10"/>
      <c r="R7092" s="10"/>
      <c r="S7092" s="10"/>
      <c r="T7092" s="10"/>
      <c r="U7092" s="10"/>
      <c r="V7092" s="10"/>
      <c r="W7092" s="10"/>
      <c r="X7092" s="10"/>
      <c r="Y7092" s="10"/>
      <c r="Z7092" s="10"/>
    </row>
    <row r="7093" spans="1:26" ht="12.75">
      <c r="A7093" s="10" t="str">
        <f ca="1">IFERROR(__xludf.DUMMYFUNCTION("""COMPUTED_VALUE"""),"Стефан Огнянов Бакърджиев")</f>
        <v>Стефан Огнянов Бакърджиев</v>
      </c>
      <c r="B7093" s="10" t="str">
        <f ca="1">IFERROR(__xludf.DUMMYFUNCTION("""COMPUTED_VALUE"""),"Статия в списания и поредици")</f>
        <v>Статия в списания и поредици</v>
      </c>
      <c r="C7093" s="10" t="str">
        <f ca="1">IFERROR(__xludf.DUMMYFUNCTION("""COMPUTED_VALUE"""),"Археологически проучвания в АР “Тракийски и античен град Кабиле“, Сектор “Южна крепостна стена“")</f>
        <v>Археологически проучвания в АР “Тракийски и античен град Кабиле“, Сектор “Южна крепостна стена“</v>
      </c>
      <c r="D7093" s="10">
        <f ca="1">IFERROR(__xludf.DUMMYFUNCTION("""COMPUTED_VALUE"""),2017)</f>
        <v>2017</v>
      </c>
      <c r="E7093" s="10" t="str">
        <f ca="1">IFERROR(__xludf.DUMMYFUNCTION("""COMPUTED_VALUE"""),"АОР през 2016, София, 2017, с. 364-367
 ISSN 1313-0889 (гл.ред. Людмил Вагалински)")</f>
        <v>АОР през 2016, София, 2017, с. 364-367
 ISSN 1313-0889 (гл.ред. Людмил Вагалински)</v>
      </c>
      <c r="F7093" s="10"/>
      <c r="G7093" s="10" t="str">
        <f ca="1">IFERROR(__xludf.DUMMYFUNCTION("""COMPUTED_VALUE"""),"Мирослав Козарев")</f>
        <v>Мирослав Козарев</v>
      </c>
      <c r="H7093" s="10"/>
      <c r="I7093" s="10"/>
      <c r="J7093" s="10"/>
      <c r="K7093" s="10"/>
      <c r="L7093" s="10"/>
      <c r="M7093" s="10"/>
      <c r="N7093" s="10"/>
      <c r="O7093" s="10"/>
      <c r="P7093" s="10"/>
      <c r="Q7093" s="10"/>
      <c r="R7093" s="10"/>
      <c r="S7093" s="10"/>
      <c r="T7093" s="10"/>
      <c r="U7093" s="10"/>
      <c r="V7093" s="10"/>
      <c r="W7093" s="10"/>
      <c r="X7093" s="10"/>
      <c r="Y7093" s="10"/>
      <c r="Z7093" s="10"/>
    </row>
    <row r="7094" spans="1:26" ht="12.75">
      <c r="A7094" s="10" t="str">
        <f ca="1">IFERROR(__xludf.DUMMYFUNCTION("""COMPUTED_VALUE"""),"Стефан Огнянов Бакърджиев")</f>
        <v>Стефан Огнянов Бакърджиев</v>
      </c>
      <c r="B7094" s="10" t="str">
        <f ca="1">IFERROR(__xludf.DUMMYFUNCTION("""COMPUTED_VALUE"""),"Статия в списания и поредици")</f>
        <v>Статия в списания и поредици</v>
      </c>
      <c r="C7094" s="10" t="str">
        <f ca="1">IFERROR(__xludf.DUMMYFUNCTION("""COMPUTED_VALUE"""),"Редовни археологически проучвания в на антично селище в м.“Юрта“, с. Стройно, общ. Елхово. – АОР през 2015")</f>
        <v>Редовни археологически проучвания в на антично селище в м.“Юрта“, с. Стройно, общ. Елхово. – АОР през 2015</v>
      </c>
      <c r="D7094" s="10">
        <f ca="1">IFERROR(__xludf.DUMMYFUNCTION("""COMPUTED_VALUE"""),2016)</f>
        <v>2016</v>
      </c>
      <c r="E7094" s="10" t="str">
        <f ca="1">IFERROR(__xludf.DUMMYFUNCTION("""COMPUTED_VALUE"""),"АОР през 2015, София, 2016, с. 633-635
 ISSN 1313-0889 (гл.ред. Людмил Вагалински)")</f>
        <v>АОР през 2015, София, 2016, с. 633-635
 ISSN 1313-0889 (гл.ред. Людмил Вагалински)</v>
      </c>
      <c r="F7094" s="10"/>
      <c r="G7094" s="10" t="str">
        <f ca="1">IFERROR(__xludf.DUMMYFUNCTION("""COMPUTED_VALUE"""),"Мирослав Козарев")</f>
        <v>Мирослав Козарев</v>
      </c>
      <c r="H7094" s="10"/>
      <c r="I7094" s="10"/>
      <c r="J7094" s="10"/>
      <c r="K7094" s="10"/>
      <c r="L7094" s="10"/>
      <c r="M7094" s="10"/>
      <c r="N7094" s="10"/>
      <c r="O7094" s="10"/>
      <c r="P7094" s="10"/>
      <c r="Q7094" s="10"/>
      <c r="R7094" s="10"/>
      <c r="S7094" s="10"/>
      <c r="T7094" s="10"/>
      <c r="U7094" s="10"/>
      <c r="V7094" s="10"/>
      <c r="W7094" s="10"/>
      <c r="X7094" s="10"/>
      <c r="Y7094" s="10"/>
      <c r="Z7094" s="10"/>
    </row>
    <row r="7095" spans="1:26" ht="12.75">
      <c r="A7095" s="10" t="str">
        <f ca="1">IFERROR(__xludf.DUMMYFUNCTION("""COMPUTED_VALUE"""),"Стефан Огнянов Бакърджиев")</f>
        <v>Стефан Огнянов Бакърджиев</v>
      </c>
      <c r="B7095" s="10" t="str">
        <f ca="1">IFERROR(__xludf.DUMMYFUNCTION("""COMPUTED_VALUE"""),"Статия в списания и поредици")</f>
        <v>Статия в списания и поредици</v>
      </c>
      <c r="C7095" s="10" t="str">
        <f ca="1">IFERROR(__xludf.DUMMYFUNCTION("""COMPUTED_VALUE"""),"Редовно археологическо проучване в АР “Тракийски и античен град Кабиле“, Сектор “Южна крепостна стена“ – АОР през 2015")</f>
        <v>Редовно археологическо проучване в АР “Тракийски и античен град Кабиле“, Сектор “Южна крепостна стена“ – АОР през 2015</v>
      </c>
      <c r="D7095" s="10">
        <f ca="1">IFERROR(__xludf.DUMMYFUNCTION("""COMPUTED_VALUE"""),2016)</f>
        <v>2016</v>
      </c>
      <c r="E7095" s="10" t="str">
        <f ca="1">IFERROR(__xludf.DUMMYFUNCTION("""COMPUTED_VALUE"""),"София, 2016, с. 629-632
 ISSN 1313-0889 (гл.ред. Людмил Вагалински)")</f>
        <v>София, 2016, с. 629-632
 ISSN 1313-0889 (гл.ред. Людмил Вагалински)</v>
      </c>
      <c r="F7095" s="10"/>
      <c r="G7095" s="10" t="str">
        <f ca="1">IFERROR(__xludf.DUMMYFUNCTION("""COMPUTED_VALUE"""),"Мирослав Козарев")</f>
        <v>Мирослав Козарев</v>
      </c>
      <c r="H7095" s="10"/>
      <c r="I7095" s="10"/>
      <c r="J7095" s="10"/>
      <c r="K7095" s="10"/>
      <c r="L7095" s="10"/>
      <c r="M7095" s="10"/>
      <c r="N7095" s="10"/>
      <c r="O7095" s="10"/>
      <c r="P7095" s="10"/>
      <c r="Q7095" s="10"/>
      <c r="R7095" s="10"/>
      <c r="S7095" s="10"/>
      <c r="T7095" s="10"/>
      <c r="U7095" s="10"/>
      <c r="V7095" s="10"/>
      <c r="W7095" s="10"/>
      <c r="X7095" s="10"/>
      <c r="Y7095" s="10"/>
      <c r="Z7095" s="10"/>
    </row>
    <row r="7096" spans="1:26" ht="12.75">
      <c r="A7096" s="10" t="str">
        <f ca="1">IFERROR(__xludf.DUMMYFUNCTION("""COMPUTED_VALUE"""),"Стефан Огнянов Бакърджиев")</f>
        <v>Стефан Огнянов Бакърджиев</v>
      </c>
      <c r="B7096" s="10" t="str">
        <f ca="1">IFERROR(__xludf.DUMMYFUNCTION("""COMPUTED_VALUE"""),"Статия в списания и поредици")</f>
        <v>Статия в списания и поредици</v>
      </c>
      <c r="C7096" s="10" t="str">
        <f ca="1">IFERROR(__xludf.DUMMYFUNCTION("""COMPUTED_VALUE"""),"Yurta-Stroyno Archeological Project, Preliminary Report to the Final Season 2016")</f>
        <v>Yurta-Stroyno Archeological Project, Preliminary Report to the Final Season 2016</v>
      </c>
      <c r="D7096" s="10">
        <f ca="1">IFERROR(__xludf.DUMMYFUNCTION("""COMPUTED_VALUE"""),2016)</f>
        <v>2016</v>
      </c>
      <c r="E7096" s="10" t="str">
        <f ca="1">IFERROR(__xludf.DUMMYFUNCTION("""COMPUTED_VALUE"""),"In. STUDIA HERCYNA XXI/1-2,Praga, 2016, S.99-112. 
 ISSN 1212-5865 (print); ISSN 2336-8144 (online)")</f>
        <v>In. STUDIA HERCYNA XXI/1-2,Praga, 2016, S.99-112. 
 ISSN 1212-5865 (print); ISSN 2336-8144 (online)</v>
      </c>
      <c r="F7096" s="10"/>
      <c r="G7096" s="10" t="str">
        <f ca="1">IFERROR(__xludf.DUMMYFUNCTION("""COMPUTED_VALUE"""),"P. Tuslova, B. Weissova, St. Bakardzhiev")</f>
        <v>P. Tuslova, B. Weissova, St. Bakardzhiev</v>
      </c>
      <c r="H7096" s="10"/>
      <c r="I7096" s="10"/>
      <c r="J7096" s="10"/>
      <c r="K7096" s="10"/>
      <c r="L7096" s="10"/>
      <c r="M7096" s="10"/>
      <c r="N7096" s="10"/>
      <c r="O7096" s="10"/>
      <c r="P7096" s="10"/>
      <c r="Q7096" s="10"/>
      <c r="R7096" s="10"/>
      <c r="S7096" s="10"/>
      <c r="T7096" s="10"/>
      <c r="U7096" s="10"/>
      <c r="V7096" s="10"/>
      <c r="W7096" s="10"/>
      <c r="X7096" s="10"/>
      <c r="Y7096" s="10"/>
      <c r="Z7096" s="10"/>
    </row>
    <row r="7097" spans="1:26" ht="12.75">
      <c r="A7097" s="10" t="str">
        <f ca="1">IFERROR(__xludf.DUMMYFUNCTION("""COMPUTED_VALUE"""),"Стефан Огнянов Бакърджиев")</f>
        <v>Стефан Огнянов Бакърджиев</v>
      </c>
      <c r="B7097" s="10" t="str">
        <f ca="1">IFERROR(__xludf.DUMMYFUNCTION("""COMPUTED_VALUE"""),"Статия в списания и поредици")</f>
        <v>Статия в списания и поредици</v>
      </c>
      <c r="C7097" s="10" t="str">
        <f ca="1">IFERROR(__xludf.DUMMYFUNCTION("""COMPUTED_VALUE"""),"Спасително археологическо проучвания на селище от Ранната и късната желязна епоха, Римската епоха и Средновековието (обект № 1 по трасето на Транзитен газопровод № 2 за Република Турция (I етап) при с. Лозенец, община Стралджа, област Ямбол (I етап).")</f>
        <v>Спасително археологическо проучвания на селище от Ранната и късната желязна епоха, Римската епоха и Средновековието (обект № 1 по трасето на Транзитен газопровод № 2 за Република Турция (I етап) при с. Лозенец, община Стралджа, област Ямбол (I етап).</v>
      </c>
      <c r="D7097" s="10">
        <f ca="1">IFERROR(__xludf.DUMMYFUNCTION("""COMPUTED_VALUE"""),2016)</f>
        <v>2016</v>
      </c>
      <c r="E7097" s="10" t="str">
        <f ca="1">IFERROR(__xludf.DUMMYFUNCTION("""COMPUTED_VALUE"""),"АОР през 2015, София, 2016, с. 224-226
 ISSN 1313-0889 (гл.ред. Людмил Вагалински)")</f>
        <v>АОР през 2015, София, 2016, с. 224-226
 ISSN 1313-0889 (гл.ред. Людмил Вагалински)</v>
      </c>
      <c r="F7097" s="10"/>
      <c r="G7097" s="10" t="str">
        <f ca="1">IFERROR(__xludf.DUMMYFUNCTION("""COMPUTED_VALUE"""),"Тодор Вълчев")</f>
        <v>Тодор Вълчев</v>
      </c>
      <c r="H7097" s="10"/>
      <c r="I7097" s="10"/>
      <c r="J7097" s="10"/>
      <c r="K7097" s="10"/>
      <c r="L7097" s="10"/>
      <c r="M7097" s="10"/>
      <c r="N7097" s="10"/>
      <c r="O7097" s="10"/>
      <c r="P7097" s="10"/>
      <c r="Q7097" s="10"/>
      <c r="R7097" s="10"/>
      <c r="S7097" s="10"/>
      <c r="T7097" s="10"/>
      <c r="U7097" s="10"/>
      <c r="V7097" s="10"/>
      <c r="W7097" s="10"/>
      <c r="X7097" s="10"/>
      <c r="Y7097" s="10"/>
      <c r="Z7097" s="10"/>
    </row>
    <row r="7098" spans="1:26" ht="12.75">
      <c r="A7098" s="10" t="str">
        <f ca="1">IFERROR(__xludf.DUMMYFUNCTION("""COMPUTED_VALUE"""),"Стефан Огнянов Бакърджиев")</f>
        <v>Стефан Огнянов Бакърджиев</v>
      </c>
      <c r="B7098" s="10" t="str">
        <f ca="1">IFERROR(__xludf.DUMMYFUNCTION("""COMPUTED_VALUE"""),"Статия в списания и поредици")</f>
        <v>Статия в списания и поредици</v>
      </c>
      <c r="C7098" s="10" t="str">
        <f ca="1">IFERROR(__xludf.DUMMYFUNCTION("""COMPUTED_VALUE"""),"Спасително археологическо проучвания на селище от Ранната и късната желязна епоха, Римската епоха и Средновековието (обект № 1 по трасето на Транзитен газопровод № 2 за Република Турция (I етап) при с. Лозенец, община Стралджа, област Ямбол (I етап). – АО"&amp;"Р през 2015")</f>
        <v>Спасително археологическо проучвания на селище от Ранната и късната желязна епоха, Римската епоха и Средновековието (обект № 1 по трасето на Транзитен газопровод № 2 за Република Турция (I етап) при с. Лозенец, община Стралджа, област Ямбол (I етап). – АОР през 2015</v>
      </c>
      <c r="D7098" s="10">
        <f ca="1">IFERROR(__xludf.DUMMYFUNCTION("""COMPUTED_VALUE"""),2016)</f>
        <v>2016</v>
      </c>
      <c r="E7098" s="10" t="str">
        <f ca="1">IFERROR(__xludf.DUMMYFUNCTION("""COMPUTED_VALUE"""),"АОР през 2015, София, 2016, с. 227-230
 ISSN 1313-0889 (гл.ред. Людмил Вагалински)")</f>
        <v>АОР през 2015, София, 2016, с. 227-230
 ISSN 1313-0889 (гл.ред. Людмил Вагалински)</v>
      </c>
      <c r="F7098" s="10"/>
      <c r="G7098" s="10" t="str">
        <f ca="1">IFERROR(__xludf.DUMMYFUNCTION("""COMPUTED_VALUE"""),"Тодор Вълчев, Илия Илиев")</f>
        <v>Тодор Вълчев, Илия Илиев</v>
      </c>
      <c r="H7098" s="10"/>
      <c r="I7098" s="10"/>
      <c r="J7098" s="10"/>
      <c r="K7098" s="10"/>
      <c r="L7098" s="10"/>
      <c r="M7098" s="10"/>
      <c r="N7098" s="10"/>
      <c r="O7098" s="10"/>
      <c r="P7098" s="10"/>
      <c r="Q7098" s="10"/>
      <c r="R7098" s="10"/>
      <c r="S7098" s="10"/>
      <c r="T7098" s="10"/>
      <c r="U7098" s="10"/>
      <c r="V7098" s="10"/>
      <c r="W7098" s="10"/>
      <c r="X7098" s="10"/>
      <c r="Y7098" s="10"/>
      <c r="Z7098" s="10"/>
    </row>
    <row r="7099" spans="1:26" ht="12.75">
      <c r="A7099" s="10" t="str">
        <f ca="1">IFERROR(__xludf.DUMMYFUNCTION("""COMPUTED_VALUE"""),"Стефан Огнянов Бакърджиев")</f>
        <v>Стефан Огнянов Бакърджиев</v>
      </c>
      <c r="B7099" s="10" t="str">
        <f ca="1">IFERROR(__xludf.DUMMYFUNCTION("""COMPUTED_VALUE"""),"Статия в списания и поредици")</f>
        <v>Статия в списания и поредици</v>
      </c>
      <c r="C7099" s="10" t="str">
        <f ca="1">IFERROR(__xludf.DUMMYFUNCTION("""COMPUTED_VALUE"""),"Спасително археологическо проучване на обект “Късносредновековен и османски некропол“ ПИ № 87374.57.537, гр. Ямбол – АОР през 2015")</f>
        <v>Спасително археологическо проучване на обект “Късносредновековен и османски некропол“ ПИ № 87374.57.537, гр. Ямбол – АОР през 2015</v>
      </c>
      <c r="D7099" s="10">
        <f ca="1">IFERROR(__xludf.DUMMYFUNCTION("""COMPUTED_VALUE"""),2016)</f>
        <v>2016</v>
      </c>
      <c r="E7099" s="10" t="str">
        <f ca="1">IFERROR(__xludf.DUMMYFUNCTION("""COMPUTED_VALUE"""),"АОР през 2015, София, 2016, с.768-770
 ISSN 1313-0889 (гл.ред. Людмил Вагалински)")</f>
        <v>АОР през 2015, София, 2016, с.768-770
 ISSN 1313-0889 (гл.ред. Людмил Вагалински)</v>
      </c>
      <c r="F7099" s="10"/>
      <c r="G7099" s="10" t="str">
        <f ca="1">IFERROR(__xludf.DUMMYFUNCTION("""COMPUTED_VALUE"""),"Явор Русев")</f>
        <v>Явор Русев</v>
      </c>
      <c r="H7099" s="10"/>
      <c r="I7099" s="10"/>
      <c r="J7099" s="10"/>
      <c r="K7099" s="10"/>
      <c r="L7099" s="10"/>
      <c r="M7099" s="10"/>
      <c r="N7099" s="10"/>
      <c r="O7099" s="10"/>
      <c r="P7099" s="10"/>
      <c r="Q7099" s="10"/>
      <c r="R7099" s="10"/>
      <c r="S7099" s="10"/>
      <c r="T7099" s="10"/>
      <c r="U7099" s="10"/>
      <c r="V7099" s="10"/>
      <c r="W7099" s="10"/>
      <c r="X7099" s="10"/>
      <c r="Y7099" s="10"/>
      <c r="Z7099" s="10"/>
    </row>
    <row r="7100" spans="1:26" ht="12.75">
      <c r="A7100" s="10" t="str">
        <f ca="1">IFERROR(__xludf.DUMMYFUNCTION("""COMPUTED_VALUE"""),"Стефан Огнянов Бакърджиев")</f>
        <v>Стефан Огнянов Бакърджиев</v>
      </c>
      <c r="B7100" s="10" t="str">
        <f ca="1">IFERROR(__xludf.DUMMYFUNCTION("""COMPUTED_VALUE"""),"Статия в списания и поредици")</f>
        <v>Статия в списания и поредици</v>
      </c>
      <c r="C7100" s="10" t="str">
        <f ca="1">IFERROR(__xludf.DUMMYFUNCTION("""COMPUTED_VALUE"""),"Спасителни археологически проучвания на надгробна могила № 10000907 по АИС-АКБ, с.Ботево, община Тунджа, област Ямбол. – АОР през 2014 г.")</f>
        <v>Спасителни археологически проучвания на надгробна могила № 10000907 по АИС-АКБ, с.Ботево, община Тунджа, област Ямбол. – АОР през 2014 г.</v>
      </c>
      <c r="D7100" s="10">
        <f ca="1">IFERROR(__xludf.DUMMYFUNCTION("""COMPUTED_VALUE"""),2015)</f>
        <v>2015</v>
      </c>
      <c r="E7100" s="10" t="str">
        <f ca="1">IFERROR(__xludf.DUMMYFUNCTION("""COMPUTED_VALUE"""),"АОР през 2014, София, 2015, с.568-569
 ISSN 1313-0889 (гл.ред. Людмил Вагалински)")</f>
        <v>АОР през 2014, София, 2015, с.568-569
 ISSN 1313-0889 (гл.ред. Людмил Вагалински)</v>
      </c>
      <c r="F7100" s="10"/>
      <c r="G7100" s="10" t="str">
        <f ca="1">IFERROR(__xludf.DUMMYFUNCTION("""COMPUTED_VALUE"""),"Тодор Вълчев")</f>
        <v>Тодор Вълчев</v>
      </c>
      <c r="H7100" s="10"/>
      <c r="I7100" s="10"/>
      <c r="J7100" s="10"/>
      <c r="K7100" s="10"/>
      <c r="L7100" s="10"/>
      <c r="M7100" s="10"/>
      <c r="N7100" s="10"/>
      <c r="O7100" s="10"/>
      <c r="P7100" s="10"/>
      <c r="Q7100" s="10"/>
      <c r="R7100" s="10"/>
      <c r="S7100" s="10"/>
      <c r="T7100" s="10"/>
      <c r="U7100" s="10"/>
      <c r="V7100" s="10"/>
      <c r="W7100" s="10"/>
      <c r="X7100" s="10"/>
      <c r="Y7100" s="10"/>
      <c r="Z7100" s="10"/>
    </row>
    <row r="7101" spans="1:26" ht="12.75">
      <c r="A7101" s="10" t="str">
        <f ca="1">IFERROR(__xludf.DUMMYFUNCTION("""COMPUTED_VALUE"""),"Стефан Огнянов Бакърджиев")</f>
        <v>Стефан Огнянов Бакърджиев</v>
      </c>
      <c r="B7101" s="10" t="str">
        <f ca="1">IFERROR(__xludf.DUMMYFUNCTION("""COMPUTED_VALUE"""),"Статия в списания и поредици")</f>
        <v>Статия в списания и поредици</v>
      </c>
      <c r="C7101" s="10" t="str">
        <f ca="1">IFERROR(__xludf.DUMMYFUNCTION("""COMPUTED_VALUE"""),"Спасителни археологически проучвания на антично селище в м.“Юрта“, с. Стройно, общ. Елхово. – АОР през 2014")</f>
        <v>Спасителни археологически проучвания на антично селище в м.“Юрта“, с. Стройно, общ. Елхово. – АОР през 2014</v>
      </c>
      <c r="D7101" s="10">
        <f ca="1">IFERROR(__xludf.DUMMYFUNCTION("""COMPUTED_VALUE"""),2015)</f>
        <v>2015</v>
      </c>
      <c r="E7101" s="10" t="str">
        <f ca="1">IFERROR(__xludf.DUMMYFUNCTION("""COMPUTED_VALUE"""),"АОР през 2014, София, 2015, с. 570-572
 ISSN 1313-0889 (гл.ред. Людмил Вагалински)")</f>
        <v>АОР през 2014, София, 2015, с. 570-572
 ISSN 1313-0889 (гл.ред. Людмил Вагалински)</v>
      </c>
      <c r="F7101" s="10"/>
      <c r="G7101" s="10" t="str">
        <f ca="1">IFERROR(__xludf.DUMMYFUNCTION("""COMPUTED_VALUE"""),"Мирослав Козарев")</f>
        <v>Мирослав Козарев</v>
      </c>
      <c r="H7101" s="10"/>
      <c r="I7101" s="10"/>
      <c r="J7101" s="10"/>
      <c r="K7101" s="10"/>
      <c r="L7101" s="10"/>
      <c r="M7101" s="10"/>
      <c r="N7101" s="10"/>
      <c r="O7101" s="10"/>
      <c r="P7101" s="10"/>
      <c r="Q7101" s="10"/>
      <c r="R7101" s="10"/>
      <c r="S7101" s="10"/>
      <c r="T7101" s="10"/>
      <c r="U7101" s="10"/>
      <c r="V7101" s="10"/>
      <c r="W7101" s="10"/>
      <c r="X7101" s="10"/>
      <c r="Y7101" s="10"/>
      <c r="Z7101" s="10"/>
    </row>
    <row r="7102" spans="1:26" ht="12.75">
      <c r="A7102" s="10" t="str">
        <f ca="1">IFERROR(__xludf.DUMMYFUNCTION("""COMPUTED_VALUE"""),"Стефан Огнянов Бакърджиев")</f>
        <v>Стефан Огнянов Бакърджиев</v>
      </c>
      <c r="B7102" s="10" t="str">
        <f ca="1">IFERROR(__xludf.DUMMYFUNCTION("""COMPUTED_VALUE"""),"Статия в списания и поредици")</f>
        <v>Статия в списания и поредици</v>
      </c>
      <c r="C7102" s="10" t="str">
        <f ca="1">IFERROR(__xludf.DUMMYFUNCTION("""COMPUTED_VALUE"""),"Редовно археологическо проучване на праисторическата Малева могила до с.Веселиново, община Тунджа, област Ямбол. – АОР през 2014г.")</f>
        <v>Редовно археологическо проучване на праисторическата Малева могила до с.Веселиново, община Тунджа, област Ямбол. – АОР през 2014г.</v>
      </c>
      <c r="D7102" s="10">
        <f ca="1">IFERROR(__xludf.DUMMYFUNCTION("""COMPUTED_VALUE"""),2015)</f>
        <v>2015</v>
      </c>
      <c r="E7102" s="10" t="str">
        <f ca="1">IFERROR(__xludf.DUMMYFUNCTION("""COMPUTED_VALUE"""),"АОР през 2014, София, 2015, с.105-107
 ISSN 1313-0889 (гл.ред. Людмил Вагалински)")</f>
        <v>АОР през 2014, София, 2015, с.105-107
 ISSN 1313-0889 (гл.ред. Людмил Вагалински)</v>
      </c>
      <c r="F7102" s="10"/>
      <c r="G7102" s="10" t="str">
        <f ca="1">IFERROR(__xludf.DUMMYFUNCTION("""COMPUTED_VALUE"""),"Тодор Вълчев, Илия Илиев")</f>
        <v>Тодор Вълчев, Илия Илиев</v>
      </c>
      <c r="H7102" s="10"/>
      <c r="I7102" s="10"/>
      <c r="J7102" s="10"/>
      <c r="K7102" s="10"/>
      <c r="L7102" s="10"/>
      <c r="M7102" s="10"/>
      <c r="N7102" s="10"/>
      <c r="O7102" s="10"/>
      <c r="P7102" s="10"/>
      <c r="Q7102" s="10"/>
      <c r="R7102" s="10"/>
      <c r="S7102" s="10"/>
      <c r="T7102" s="10"/>
      <c r="U7102" s="10"/>
      <c r="V7102" s="10"/>
      <c r="W7102" s="10"/>
      <c r="X7102" s="10"/>
      <c r="Y7102" s="10"/>
      <c r="Z7102" s="10"/>
    </row>
    <row r="7103" spans="1:26" ht="12.75">
      <c r="A7103" s="10" t="str">
        <f ca="1">IFERROR(__xludf.DUMMYFUNCTION("""COMPUTED_VALUE"""),"Стефан Огнянов Бакърджиев")</f>
        <v>Стефан Огнянов Бакърджиев</v>
      </c>
      <c r="B7103" s="10" t="str">
        <f ca="1">IFERROR(__xludf.DUMMYFUNCTION("""COMPUTED_VALUE"""),"Статия в списания и поредици")</f>
        <v>Статия в списания и поредици</v>
      </c>
      <c r="C7103" s="10" t="str">
        <f ca="1">IFERROR(__xludf.DUMMYFUNCTION("""COMPUTED_VALUE"""),"The Stroyno Archeological Project, Report on the Season 2015")</f>
        <v>The Stroyno Archeological Project, Report on the Season 2015</v>
      </c>
      <c r="D7103" s="10">
        <f ca="1">IFERROR(__xludf.DUMMYFUNCTION("""COMPUTED_VALUE"""),2015)</f>
        <v>2015</v>
      </c>
      <c r="E7103" s="10" t="str">
        <f ca="1">IFERROR(__xludf.DUMMYFUNCTION("""COMPUTED_VALUE"""),"In. STUDIA HERCYNA XIX/1-2, Praga, 2015, S.243-261. ISSN 1212-5865 (print); ISSN 2336-8144 (online)")</f>
        <v>In. STUDIA HERCYNA XIX/1-2, Praga, 2015, S.243-261. ISSN 1212-5865 (print); ISSN 2336-8144 (online)</v>
      </c>
      <c r="F7103" s="10"/>
      <c r="G7103" s="10" t="str">
        <f ca="1">IFERROR(__xludf.DUMMYFUNCTION("""COMPUTED_VALUE"""),"P. Tuslova, B. Weissova, St. Bakardzhiev, V. Cistakova, R. Frecer, P. Janukova.")</f>
        <v>P. Tuslova, B. Weissova, St. Bakardzhiev, V. Cistakova, R. Frecer, P. Janukova.</v>
      </c>
      <c r="H7103" s="10"/>
      <c r="I7103" s="10"/>
      <c r="J7103" s="10"/>
      <c r="K7103" s="10"/>
      <c r="L7103" s="10"/>
      <c r="M7103" s="10"/>
      <c r="N7103" s="10"/>
      <c r="O7103" s="10"/>
      <c r="P7103" s="10"/>
      <c r="Q7103" s="10"/>
      <c r="R7103" s="10"/>
      <c r="S7103" s="10"/>
      <c r="T7103" s="10"/>
      <c r="U7103" s="10"/>
      <c r="V7103" s="10"/>
      <c r="W7103" s="10"/>
      <c r="X7103" s="10"/>
      <c r="Y7103" s="10"/>
      <c r="Z7103" s="10"/>
    </row>
    <row r="7104" spans="1:26" ht="12.75">
      <c r="A7104" s="10" t="str">
        <f ca="1">IFERROR(__xludf.DUMMYFUNCTION("""COMPUTED_VALUE"""),"Стефан Огнянов Бакърджиев")</f>
        <v>Стефан Огнянов Бакърджиев</v>
      </c>
      <c r="B7104" s="10" t="str">
        <f ca="1">IFERROR(__xludf.DUMMYFUNCTION("""COMPUTED_VALUE"""),"Статия в списания и поредици")</f>
        <v>Статия в списания и поредици</v>
      </c>
      <c r="C7104" s="10" t="str">
        <f ca="1">IFERROR(__xludf.DUMMYFUNCTION("""COMPUTED_VALUE"""),"Археологически проучвания на средновековна крепост “Малкото кале“, с.Воден, община Болярово, област Ямбол – АОР през 2014")</f>
        <v>Археологически проучвания на средновековна крепост “Малкото кале“, с.Воден, община Болярово, област Ямбол – АОР през 2014</v>
      </c>
      <c r="D7104" s="10">
        <f ca="1">IFERROR(__xludf.DUMMYFUNCTION("""COMPUTED_VALUE"""),2015)</f>
        <v>2015</v>
      </c>
      <c r="E7104" s="10" t="str">
        <f ca="1">IFERROR(__xludf.DUMMYFUNCTION("""COMPUTED_VALUE"""),"АОР през 2014, София 2015, с.703-706
 ISSN 1313-0889 (гл.ред. Людмил Вагалински)")</f>
        <v>АОР през 2014, София 2015, с.703-706
 ISSN 1313-0889 (гл.ред. Людмил Вагалински)</v>
      </c>
      <c r="F7104" s="10"/>
      <c r="G7104" s="10" t="str">
        <f ca="1">IFERROR(__xludf.DUMMYFUNCTION("""COMPUTED_VALUE"""),"Тодор Вълчев")</f>
        <v>Тодор Вълчев</v>
      </c>
      <c r="H7104" s="10"/>
      <c r="I7104" s="10"/>
      <c r="J7104" s="10"/>
      <c r="K7104" s="10"/>
      <c r="L7104" s="10"/>
      <c r="M7104" s="10"/>
      <c r="N7104" s="10"/>
      <c r="O7104" s="10"/>
      <c r="P7104" s="10"/>
      <c r="Q7104" s="10"/>
      <c r="R7104" s="10"/>
      <c r="S7104" s="10"/>
      <c r="T7104" s="10"/>
      <c r="U7104" s="10"/>
      <c r="V7104" s="10"/>
      <c r="W7104" s="10"/>
      <c r="X7104" s="10"/>
      <c r="Y7104" s="10"/>
      <c r="Z7104" s="10"/>
    </row>
    <row r="7105" spans="1:26" ht="12.75">
      <c r="A7105" s="10" t="str">
        <f ca="1">IFERROR(__xludf.DUMMYFUNCTION("""COMPUTED_VALUE"""),"Стефан Огнянов Бакърджиев")</f>
        <v>Стефан Огнянов Бакърджиев</v>
      </c>
      <c r="B7105" s="10" t="str">
        <f ca="1">IFERROR(__xludf.DUMMYFUNCTION("""COMPUTED_VALUE"""),"Статия в списания и поредици")</f>
        <v>Статия в списания и поредици</v>
      </c>
      <c r="C7105" s="10" t="str">
        <f ca="1">IFERROR(__xludf.DUMMYFUNCTION("""COMPUTED_VALUE"""),"Спасително археологическо проучване в границите на ПИ № 000159 от землището на с.Кабиле, общ. Тунджа, Ямболска област.")</f>
        <v>Спасително археологическо проучване в границите на ПИ № 000159 от землището на с.Кабиле, общ. Тунджа, Ямболска област.</v>
      </c>
      <c r="D7105" s="10">
        <f ca="1">IFERROR(__xludf.DUMMYFUNCTION("""COMPUTED_VALUE"""),2014)</f>
        <v>2014</v>
      </c>
      <c r="E7105" s="10" t="str">
        <f ca="1">IFERROR(__xludf.DUMMYFUNCTION("""COMPUTED_VALUE"""),"АОР през 2013 г., София, 2014, с.426-429
 ISSN 1313-0889 (гл.ред. Людмил Вагалински)")</f>
        <v>АОР през 2013 г., София, 2014, с.426-429
 ISSN 1313-0889 (гл.ред. Людмил Вагалински)</v>
      </c>
      <c r="F7105" s="10"/>
      <c r="G7105" s="10" t="str">
        <f ca="1">IFERROR(__xludf.DUMMYFUNCTION("""COMPUTED_VALUE"""),"Румен Миков, Таня Джанфезова")</f>
        <v>Румен Миков, Таня Джанфезова</v>
      </c>
      <c r="H7105" s="10"/>
      <c r="I7105" s="10"/>
      <c r="J7105" s="10"/>
      <c r="K7105" s="10"/>
      <c r="L7105" s="10"/>
      <c r="M7105" s="10"/>
      <c r="N7105" s="10"/>
      <c r="O7105" s="10"/>
      <c r="P7105" s="10"/>
      <c r="Q7105" s="10"/>
      <c r="R7105" s="10"/>
      <c r="S7105" s="10"/>
      <c r="T7105" s="10"/>
      <c r="U7105" s="10"/>
      <c r="V7105" s="10"/>
      <c r="W7105" s="10"/>
      <c r="X7105" s="10"/>
      <c r="Y7105" s="10"/>
      <c r="Z7105" s="10"/>
    </row>
    <row r="7106" spans="1:26" ht="12.75">
      <c r="A7106" s="10" t="str">
        <f ca="1">IFERROR(__xludf.DUMMYFUNCTION("""COMPUTED_VALUE"""),"Стефан Огнянов Бакърджиев")</f>
        <v>Стефан Огнянов Бакърджиев</v>
      </c>
      <c r="B7106" s="10" t="str">
        <f ca="1">IFERROR(__xludf.DUMMYFUNCTION("""COMPUTED_VALUE"""),"Статия в списания и поредици")</f>
        <v>Статия в списания и поредици</v>
      </c>
      <c r="C7106" s="10" t="str">
        <f ca="1">IFERROR(__xludf.DUMMYFUNCTION("""COMPUTED_VALUE"""),"Stroyno Excavation Project, Introduction to the Site of Yurta-Stroyno and Report on the 2014 Season")</f>
        <v>Stroyno Excavation Project, Introduction to the Site of Yurta-Stroyno and Report on the 2014 Season</v>
      </c>
      <c r="D7106" s="10">
        <f ca="1">IFERROR(__xludf.DUMMYFUNCTION("""COMPUTED_VALUE"""),2014)</f>
        <v>2014</v>
      </c>
      <c r="E7106" s="10" t="str">
        <f ca="1">IFERROR(__xludf.DUMMYFUNCTION("""COMPUTED_VALUE"""),"In. STUDIA HERCYNA XVIII/1-2,Praga, 2014, S. 16-27. 
 ISSN 1212-5865 (print); ISSN 2336-8144 (online)")</f>
        <v>In. STUDIA HERCYNA XVIII/1-2,Praga, 2014, S. 16-27. 
 ISSN 1212-5865 (print); ISSN 2336-8144 (online)</v>
      </c>
      <c r="F7106" s="10"/>
      <c r="G7106" s="10" t="str">
        <f ca="1">IFERROR(__xludf.DUMMYFUNCTION("""COMPUTED_VALUE"""),"P. Tuslova, B. Weissova, St. Bakardzhiev")</f>
        <v>P. Tuslova, B. Weissova, St. Bakardzhiev</v>
      </c>
      <c r="H7106" s="10"/>
      <c r="I7106" s="10"/>
      <c r="J7106" s="10"/>
      <c r="K7106" s="10"/>
      <c r="L7106" s="10"/>
      <c r="M7106" s="10"/>
      <c r="N7106" s="10"/>
      <c r="O7106" s="10"/>
      <c r="P7106" s="10"/>
      <c r="Q7106" s="10"/>
      <c r="R7106" s="10"/>
      <c r="S7106" s="10"/>
      <c r="T7106" s="10"/>
      <c r="U7106" s="10"/>
      <c r="V7106" s="10"/>
      <c r="W7106" s="10"/>
      <c r="X7106" s="10"/>
      <c r="Y7106" s="10"/>
      <c r="Z7106" s="10"/>
    </row>
    <row r="7107" spans="1:26" ht="12.75">
      <c r="A7107" s="10" t="str">
        <f ca="1">IFERROR(__xludf.DUMMYFUNCTION("""COMPUTED_VALUE"""),"Стефан Огнянов Бакърджиев")</f>
        <v>Стефан Огнянов Бакърджиев</v>
      </c>
      <c r="B7107" s="10" t="str">
        <f ca="1">IFERROR(__xludf.DUMMYFUNCTION("""COMPUTED_VALUE"""),"Статия в списания и поредици")</f>
        <v>Статия в списания и поредици</v>
      </c>
      <c r="C7107" s="10" t="str">
        <f ca="1">IFERROR(__xludf.DUMMYFUNCTION("""COMPUTED_VALUE"""),"Decoration from Malkoto Kale near Voden, Bulgaria")</f>
        <v>Decoration from Malkoto Kale near Voden, Bulgaria</v>
      </c>
      <c r="D7107" s="10">
        <f ca="1">IFERROR(__xludf.DUMMYFUNCTION("""COMPUTED_VALUE"""),2014)</f>
        <v>2014</v>
      </c>
      <c r="E7107" s="10" t="str">
        <f ca="1">IFERROR(__xludf.DUMMYFUNCTION("""COMPUTED_VALUE"""),"In. 20th Annual Мeeting of the Association of Archaeologists, Istanbul, Turkey, 2014, p.296. ISBN: 978-605-396-287-8")</f>
        <v>In. 20th Annual Мeeting of the Association of Archaeologists, Istanbul, Turkey, 2014, p.296. ISBN: 978-605-396-287-8</v>
      </c>
      <c r="F7107" s="10"/>
      <c r="G7107" s="10"/>
      <c r="H7107" s="10"/>
      <c r="I7107" s="10"/>
      <c r="J7107" s="10"/>
      <c r="K7107" s="10"/>
      <c r="L7107" s="10"/>
      <c r="M7107" s="10"/>
      <c r="N7107" s="10"/>
      <c r="O7107" s="10"/>
      <c r="P7107" s="10"/>
      <c r="Q7107" s="10"/>
      <c r="R7107" s="10"/>
      <c r="S7107" s="10"/>
      <c r="T7107" s="10"/>
      <c r="U7107" s="10"/>
      <c r="V7107" s="10"/>
      <c r="W7107" s="10"/>
      <c r="X7107" s="10"/>
      <c r="Y7107" s="10"/>
      <c r="Z7107" s="10"/>
    </row>
    <row r="7108" spans="1:26" ht="12.75">
      <c r="A7108" s="10" t="str">
        <f ca="1">IFERROR(__xludf.DUMMYFUNCTION("""COMPUTED_VALUE"""),"Стефан Огнянов Бакърджиев")</f>
        <v>Стефан Огнянов Бакърджиев</v>
      </c>
      <c r="B7108" s="10" t="str">
        <f ca="1">IFERROR(__xludf.DUMMYFUNCTION("""COMPUTED_VALUE"""),"Статия в списания и поредици")</f>
        <v>Статия в списания и поредици</v>
      </c>
      <c r="C7108" s="10" t="str">
        <f ca="1">IFERROR(__xludf.DUMMYFUNCTION("""COMPUTED_VALUE"""),"Геофизични проучвания в ПИ 011008, с. Кабиле, община Тунджа.")</f>
        <v>Геофизични проучвания в ПИ 011008, с. Кабиле, община Тунджа.</v>
      </c>
      <c r="D7108" s="10">
        <f ca="1">IFERROR(__xludf.DUMMYFUNCTION("""COMPUTED_VALUE"""),2014)</f>
        <v>2014</v>
      </c>
      <c r="E7108" s="10" t="str">
        <f ca="1">IFERROR(__xludf.DUMMYFUNCTION("""COMPUTED_VALUE"""),"АОР през 2013 г., София, 2014, с.658-660
 ISSN 1313-0889 (гл.ред. Людмил Вагалински)")</f>
        <v>АОР през 2013 г., София, 2014, с.658-660
 ISSN 1313-0889 (гл.ред. Людмил Вагалински)</v>
      </c>
      <c r="F7108" s="10"/>
      <c r="G7108" s="10" t="str">
        <f ca="1">IFERROR(__xludf.DUMMYFUNCTION("""COMPUTED_VALUE"""),"Дияна Гергова")</f>
        <v>Дияна Гергова</v>
      </c>
      <c r="H7108" s="10"/>
      <c r="I7108" s="10"/>
      <c r="J7108" s="10"/>
      <c r="K7108" s="10"/>
      <c r="L7108" s="10"/>
      <c r="M7108" s="10"/>
      <c r="N7108" s="10"/>
      <c r="O7108" s="10"/>
      <c r="P7108" s="10"/>
      <c r="Q7108" s="10"/>
      <c r="R7108" s="10"/>
      <c r="S7108" s="10"/>
      <c r="T7108" s="10"/>
      <c r="U7108" s="10"/>
      <c r="V7108" s="10"/>
      <c r="W7108" s="10"/>
      <c r="X7108" s="10"/>
      <c r="Y7108" s="10"/>
      <c r="Z7108" s="10"/>
    </row>
    <row r="7109" spans="1:26" ht="12.75">
      <c r="A7109" s="10" t="str">
        <f ca="1">IFERROR(__xludf.DUMMYFUNCTION("""COMPUTED_VALUE"""),"Стефан Огнянов Бакърджиев")</f>
        <v>Стефан Огнянов Бакърджиев</v>
      </c>
      <c r="B7109" s="10" t="str">
        <f ca="1">IFERROR(__xludf.DUMMYFUNCTION("""COMPUTED_VALUE"""),"Статия в списания и поредици")</f>
        <v>Статия в списания и поредици</v>
      </c>
      <c r="C7109" s="10" t="str">
        <f ca="1">IFERROR(__xludf.DUMMYFUNCTION("""COMPUTED_VALUE"""),"Археологически проучвания на късноантичната и средновековна крепост “Малкото кале“, с.Воден, община Болярово")</f>
        <v>Археологически проучвания на късноантичната и средновековна крепост “Малкото кале“, с.Воден, община Болярово</v>
      </c>
      <c r="D7109" s="10">
        <f ca="1">IFERROR(__xludf.DUMMYFUNCTION("""COMPUTED_VALUE"""),2013)</f>
        <v>2013</v>
      </c>
      <c r="E7109" s="10" t="str">
        <f ca="1">IFERROR(__xludf.DUMMYFUNCTION("""COMPUTED_VALUE"""),"АОР през 2012, София 2013, с.457-459
 ISSN 1313-0889 (гл.ред. Людмил Вагалински)")</f>
        <v>АОР през 2012, София 2013, с.457-459
 ISSN 1313-0889 (гл.ред. Людмил Вагалински)</v>
      </c>
      <c r="F7109" s="10"/>
      <c r="G7109" s="10"/>
      <c r="H7109" s="10"/>
      <c r="I7109" s="10"/>
      <c r="J7109" s="10"/>
      <c r="K7109" s="10"/>
      <c r="L7109" s="10"/>
      <c r="M7109" s="10"/>
      <c r="N7109" s="10"/>
      <c r="O7109" s="10"/>
      <c r="P7109" s="10"/>
      <c r="Q7109" s="10"/>
      <c r="R7109" s="10"/>
      <c r="S7109" s="10"/>
      <c r="T7109" s="10"/>
      <c r="U7109" s="10"/>
      <c r="V7109" s="10"/>
      <c r="W7109" s="10"/>
      <c r="X7109" s="10"/>
      <c r="Y7109" s="10"/>
      <c r="Z7109" s="10"/>
    </row>
    <row r="7110" spans="1:26" ht="12.75">
      <c r="A7110" s="10" t="str">
        <f ca="1">IFERROR(__xludf.DUMMYFUNCTION("""COMPUTED_VALUE"""),"Стефан Огнянов Бакърджиев")</f>
        <v>Стефан Огнянов Бакърджиев</v>
      </c>
      <c r="B7110" s="10" t="str">
        <f ca="1">IFERROR(__xludf.DUMMYFUNCTION("""COMPUTED_VALUE"""),"Статия в списания и поредици")</f>
        <v>Статия в списания и поредици</v>
      </c>
      <c r="C7110" s="10" t="str">
        <f ca="1">IFERROR(__xludf.DUMMYFUNCTION("""COMPUTED_VALUE"""),"Concession area ”Boyadzhik” /using GIS technology for protecting of culture heritage")</f>
        <v>Concession area ”Boyadzhik” /using GIS technology for protecting of culture heritage</v>
      </c>
      <c r="D7110" s="10">
        <f ca="1">IFERROR(__xludf.DUMMYFUNCTION("""COMPUTED_VALUE"""),2013)</f>
        <v>2013</v>
      </c>
      <c r="E7110" s="10" t="str">
        <f ca="1">IFERROR(__xludf.DUMMYFUNCTION("""COMPUTED_VALUE"""),"In. Second European SGGIS Conference Conservation of Natural and Cultural Heritage for Sustainable Development: GIS – Based Approach, 2013, p.47-53. ISSN 1314-774")</f>
        <v>In. Second European SGGIS Conference Conservation of Natural and Cultural Heritage for Sustainable Development: GIS – Based Approach, 2013, p.47-53. ISSN 1314-774</v>
      </c>
      <c r="F7110" s="10"/>
      <c r="G7110" s="10" t="str">
        <f ca="1">IFERROR(__xludf.DUMMYFUNCTION("""COMPUTED_VALUE"""),"T. Valchev, Y. Rusev")</f>
        <v>T. Valchev, Y. Rusev</v>
      </c>
      <c r="H7110" s="10"/>
      <c r="I7110" s="10"/>
      <c r="J7110" s="10"/>
      <c r="K7110" s="10"/>
      <c r="L7110" s="10"/>
      <c r="M7110" s="10"/>
      <c r="N7110" s="10"/>
      <c r="O7110" s="10"/>
      <c r="P7110" s="10"/>
      <c r="Q7110" s="10"/>
      <c r="R7110" s="10"/>
      <c r="S7110" s="10"/>
      <c r="T7110" s="10"/>
      <c r="U7110" s="10"/>
      <c r="V7110" s="10"/>
      <c r="W7110" s="10"/>
      <c r="X7110" s="10"/>
      <c r="Y7110" s="10"/>
      <c r="Z7110" s="10"/>
    </row>
    <row r="7111" spans="1:26" ht="12.75">
      <c r="A7111" s="10" t="str">
        <f ca="1">IFERROR(__xludf.DUMMYFUNCTION("""COMPUTED_VALUE"""),"Стефан Огнянов Бакърджиев")</f>
        <v>Стефан Огнянов Бакърджиев</v>
      </c>
      <c r="B7111" s="10" t="str">
        <f ca="1">IFERROR(__xludf.DUMMYFUNCTION("""COMPUTED_VALUE"""),"Статия в списания и поредици")</f>
        <v>Статия в списания и поредици</v>
      </c>
      <c r="C7111" s="10" t="str">
        <f ca="1">IFERROR(__xludf.DUMMYFUNCTION("""COMPUTED_VALUE"""),"Издирвания на археологически обекти в площ “Бояджик“, общ. Тунджа, обл.Ямбол.")</f>
        <v>Издирвания на археологически обекти в площ “Бояджик“, общ. Тунджа, обл.Ямбол.</v>
      </c>
      <c r="D7111" s="10">
        <f ca="1">IFERROR(__xludf.DUMMYFUNCTION("""COMPUTED_VALUE"""),2012)</f>
        <v>2012</v>
      </c>
      <c r="E7111" s="10" t="str">
        <f ca="1">IFERROR(__xludf.DUMMYFUNCTION("""COMPUTED_VALUE"""),"АОР през 2011 г., София, 2012, с.555-556
 ISSN 1313-0889 (гл.ред. Людмил Вагалински)")</f>
        <v>АОР през 2011 г., София, 2012, с.555-556
 ISSN 1313-0889 (гл.ред. Людмил Вагалински)</v>
      </c>
      <c r="F7111" s="10"/>
      <c r="G7111" s="10" t="str">
        <f ca="1">IFERROR(__xludf.DUMMYFUNCTION("""COMPUTED_VALUE"""),"Тодор. Вълчев")</f>
        <v>Тодор. Вълчев</v>
      </c>
      <c r="H7111" s="10"/>
      <c r="I7111" s="10"/>
      <c r="J7111" s="10"/>
      <c r="K7111" s="10"/>
      <c r="L7111" s="10"/>
      <c r="M7111" s="10"/>
      <c r="N7111" s="10"/>
      <c r="O7111" s="10"/>
      <c r="P7111" s="10"/>
      <c r="Q7111" s="10"/>
      <c r="R7111" s="10"/>
      <c r="S7111" s="10"/>
      <c r="T7111" s="10"/>
      <c r="U7111" s="10"/>
      <c r="V7111" s="10"/>
      <c r="W7111" s="10"/>
      <c r="X7111" s="10"/>
      <c r="Y7111" s="10"/>
      <c r="Z7111" s="10"/>
    </row>
    <row r="7112" spans="1:26" ht="12.75">
      <c r="A7112" s="10" t="str">
        <f ca="1">IFERROR(__xludf.DUMMYFUNCTION("""COMPUTED_VALUE"""),"Стефан Огнянов Бакърджиев")</f>
        <v>Стефан Огнянов Бакърджиев</v>
      </c>
      <c r="B7112" s="10" t="str">
        <f ca="1">IFERROR(__xludf.DUMMYFUNCTION("""COMPUTED_VALUE"""),"Статия в списания и поредици")</f>
        <v>Статия в списания и поредици</v>
      </c>
      <c r="C7112" s="10" t="str">
        <f ca="1">IFERROR(__xludf.DUMMYFUNCTION("""COMPUTED_VALUE"""),"Археологически проучвания на плосък античен некропол северозападно от северната крепостна стана на Кабиле.")</f>
        <v>Археологически проучвания на плосък античен некропол северозападно от северната крепостна стана на Кабиле.</v>
      </c>
      <c r="D7112" s="10">
        <f ca="1">IFERROR(__xludf.DUMMYFUNCTION("""COMPUTED_VALUE"""),2012)</f>
        <v>2012</v>
      </c>
      <c r="E7112" s="10" t="str">
        <f ca="1">IFERROR(__xludf.DUMMYFUNCTION("""COMPUTED_VALUE"""),"АОР през 2011 г., София, 2012, с.365-366
 ISSN 1313-0889 (гл.ред. Людмил Вагалински).")</f>
        <v>АОР през 2011 г., София, 2012, с.365-366
 ISSN 1313-0889 (гл.ред. Людмил Вагалински).</v>
      </c>
      <c r="F7112" s="10"/>
      <c r="G7112" s="10"/>
      <c r="H7112" s="10"/>
      <c r="I7112" s="10"/>
      <c r="J7112" s="10"/>
      <c r="K7112" s="10"/>
      <c r="L7112" s="10"/>
      <c r="M7112" s="10"/>
      <c r="N7112" s="10"/>
      <c r="O7112" s="10"/>
      <c r="P7112" s="10"/>
      <c r="Q7112" s="10"/>
      <c r="R7112" s="10"/>
      <c r="S7112" s="10"/>
      <c r="T7112" s="10"/>
      <c r="U7112" s="10"/>
      <c r="V7112" s="10"/>
      <c r="W7112" s="10"/>
      <c r="X7112" s="10"/>
      <c r="Y7112" s="10"/>
      <c r="Z7112" s="10"/>
    </row>
    <row r="7113" spans="1:26" ht="12.75">
      <c r="A7113" s="10" t="str">
        <f ca="1">IFERROR(__xludf.DUMMYFUNCTION("""COMPUTED_VALUE"""),"Стефан Огнянов Бакърджиев")</f>
        <v>Стефан Огнянов Бакърджиев</v>
      </c>
      <c r="B7113" s="10" t="str">
        <f ca="1">IFERROR(__xludf.DUMMYFUNCTION("""COMPUTED_VALUE"""),"Статия в списания и поредици")</f>
        <v>Статия в списания и поредици</v>
      </c>
      <c r="C7113" s="10" t="str">
        <f ca="1">IFERROR(__xludf.DUMMYFUNCTION("""COMPUTED_VALUE"""),"Археологически проучвания на късноантична крепост в м.“Градището“, с. Голям Манастир, област Ямбол")</f>
        <v>Археологически проучвания на късноантична крепост в м.“Градището“, с. Голям Манастир, област Ямбол</v>
      </c>
      <c r="D7113" s="10">
        <f ca="1">IFERROR(__xludf.DUMMYFUNCTION("""COMPUTED_VALUE"""),2011)</f>
        <v>2011</v>
      </c>
      <c r="E7113" s="10" t="str">
        <f ca="1">IFERROR(__xludf.DUMMYFUNCTION("""COMPUTED_VALUE"""),"АОР през 2010 г., София, 2011, с.117-118
  ISSN 1313-0889 (гл.ред. Людмил Вагалински)")</f>
        <v>АОР през 2010 г., София, 2011, с.117-118
  ISSN 1313-0889 (гл.ред. Людмил Вагалински)</v>
      </c>
      <c r="F7113" s="10"/>
      <c r="G7113" s="10"/>
      <c r="H7113" s="10"/>
      <c r="I7113" s="10"/>
      <c r="J7113" s="10"/>
      <c r="K7113" s="10"/>
      <c r="L7113" s="10"/>
      <c r="M7113" s="10"/>
      <c r="N7113" s="10"/>
      <c r="O7113" s="10"/>
      <c r="P7113" s="10"/>
      <c r="Q7113" s="10"/>
      <c r="R7113" s="10"/>
      <c r="S7113" s="10"/>
      <c r="T7113" s="10"/>
      <c r="U7113" s="10"/>
      <c r="V7113" s="10"/>
      <c r="W7113" s="10"/>
      <c r="X7113" s="10"/>
      <c r="Y7113" s="10"/>
      <c r="Z7113" s="10"/>
    </row>
    <row r="7114" spans="1:26" ht="12.75">
      <c r="A7114" s="10" t="str">
        <f ca="1">IFERROR(__xludf.DUMMYFUNCTION("""COMPUTED_VALUE"""),"Стефан Огнянов Бакърджиев")</f>
        <v>Стефан Огнянов Бакърджиев</v>
      </c>
      <c r="B7114" s="10" t="str">
        <f ca="1">IFERROR(__xludf.DUMMYFUNCTION("""COMPUTED_VALUE"""),"Статия в списания и поредици")</f>
        <v>Статия в списания и поредици</v>
      </c>
      <c r="C7114" s="10" t="str">
        <f ca="1">IFERROR(__xludf.DUMMYFUNCTION("""COMPUTED_VALUE"""),"Издирвания на археологически обекти в площ “Бояджик“, общ. Тунджа, обл.Ямбол. – АОР през 2011 г., София, 2012")</f>
        <v>Издирвания на археологически обекти в площ “Бояджик“, общ. Тунджа, обл.Ямбол. – АОР през 2011 г., София, 2012</v>
      </c>
      <c r="D7114" s="10">
        <f ca="1">IFERROR(__xludf.DUMMYFUNCTION("""COMPUTED_VALUE"""),2011)</f>
        <v>2011</v>
      </c>
      <c r="E7114" s="10" t="str">
        <f ca="1">IFERROR(__xludf.DUMMYFUNCTION("""COMPUTED_VALUE"""),"АОР през 2011 г., София, 2012, с.555-556. ISSN: 1313-0889")</f>
        <v>АОР през 2011 г., София, 2012, с.555-556. ISSN: 1313-0889</v>
      </c>
      <c r="F7114" s="10"/>
      <c r="G7114" s="10" t="str">
        <f ca="1">IFERROR(__xludf.DUMMYFUNCTION("""COMPUTED_VALUE"""),"Тодор Вълчев")</f>
        <v>Тодор Вълчев</v>
      </c>
      <c r="H7114" s="10"/>
      <c r="I7114" s="10"/>
      <c r="J7114" s="10"/>
      <c r="K7114" s="10"/>
      <c r="L7114" s="10"/>
      <c r="M7114" s="10"/>
      <c r="N7114" s="10"/>
      <c r="O7114" s="10"/>
      <c r="P7114" s="10"/>
      <c r="Q7114" s="10"/>
      <c r="R7114" s="10"/>
      <c r="S7114" s="10"/>
      <c r="T7114" s="10"/>
      <c r="U7114" s="10"/>
      <c r="V7114" s="10"/>
      <c r="W7114" s="10"/>
      <c r="X7114" s="10"/>
      <c r="Y7114" s="10"/>
      <c r="Z7114" s="10"/>
    </row>
    <row r="7115" spans="1:26" ht="12.75">
      <c r="A7115" s="10" t="str">
        <f ca="1">IFERROR(__xludf.DUMMYFUNCTION("""COMPUTED_VALUE"""),"Стефан Огнянов Бакърджиев")</f>
        <v>Стефан Огнянов Бакърджиев</v>
      </c>
      <c r="B7115" s="10" t="str">
        <f ca="1">IFERROR(__xludf.DUMMYFUNCTION("""COMPUTED_VALUE"""),"Статия в списания и поредици")</f>
        <v>Статия в списания и поредици</v>
      </c>
      <c r="C7115" s="10" t="str">
        <f ca="1">IFERROR(__xludf.DUMMYFUNCTION("""COMPUTED_VALUE"""),"Спасителни археологически проучвания на обект № 21, ЛОТ 4, АМ Тракия (км.275+250 – 276+100). – АОР през 2010 г.")</f>
        <v>Спасителни археологически проучвания на обект № 21, ЛОТ 4, АМ Тракия (км.275+250 – 276+100). – АОР през 2010 г.</v>
      </c>
      <c r="D7115" s="10">
        <f ca="1">IFERROR(__xludf.DUMMYFUNCTION("""COMPUTED_VALUE"""),2011)</f>
        <v>2011</v>
      </c>
      <c r="E7115" s="10" t="str">
        <f ca="1">IFERROR(__xludf.DUMMYFUNCTION("""COMPUTED_VALUE"""),"АОР през 2010 г., София, 2011, с.59-61
 ISSN 1313-0889 (гл.ред. Людмил Вагалински)")</f>
        <v>АОР през 2010 г., София, 2011, с.59-61
 ISSN 1313-0889 (гл.ред. Людмил Вагалински)</v>
      </c>
      <c r="F7115" s="10"/>
      <c r="G7115" s="10" t="str">
        <f ca="1">IFERROR(__xludf.DUMMYFUNCTION("""COMPUTED_VALUE"""),"Виктория Петрова, Стефан Бакърджиев, Илия Илиев, Мария Люнчева")</f>
        <v>Виктория Петрова, Стефан Бакърджиев, Илия Илиев, Мария Люнчева</v>
      </c>
      <c r="H7115" s="10"/>
      <c r="I7115" s="10"/>
      <c r="J7115" s="10"/>
      <c r="K7115" s="10"/>
      <c r="L7115" s="10"/>
      <c r="M7115" s="10"/>
      <c r="N7115" s="10"/>
      <c r="O7115" s="10"/>
      <c r="P7115" s="10"/>
      <c r="Q7115" s="10"/>
      <c r="R7115" s="10"/>
      <c r="S7115" s="10"/>
      <c r="T7115" s="10"/>
      <c r="U7115" s="10"/>
      <c r="V7115" s="10"/>
      <c r="W7115" s="10"/>
      <c r="X7115" s="10"/>
      <c r="Y7115" s="10"/>
      <c r="Z7115" s="10"/>
    </row>
    <row r="7116" spans="1:26" ht="12.75">
      <c r="A7116" s="10" t="str">
        <f ca="1">IFERROR(__xludf.DUMMYFUNCTION("""COMPUTED_VALUE"""),"Стефан Огнянов Бакърджиев")</f>
        <v>Стефан Огнянов Бакърджиев</v>
      </c>
      <c r="B7116" s="10" t="str">
        <f ca="1">IFERROR(__xludf.DUMMYFUNCTION("""COMPUTED_VALUE"""),"Статия в списания и поредици")</f>
        <v>Статия в списания и поредици</v>
      </c>
      <c r="C7116" s="10" t="str">
        <f ca="1">IFERROR(__xludf.DUMMYFUNCTION("""COMPUTED_VALUE"""),"Спасителни археологически проучвания на могилен некропол в м.“Байлар кайряк“, землище на с. Бояново, област Ямбол. – АОР през 2010 г.")</f>
        <v>Спасителни археологически проучвания на могилен некропол в м.“Байлар кайряк“, землище на с. Бояново, област Ямбол. – АОР през 2010 г.</v>
      </c>
      <c r="D7116" s="10">
        <f ca="1">IFERROR(__xludf.DUMMYFUNCTION("""COMPUTED_VALUE"""),2011)</f>
        <v>2011</v>
      </c>
      <c r="E7116" s="10" t="str">
        <f ca="1">IFERROR(__xludf.DUMMYFUNCTION("""COMPUTED_VALUE"""),"АОР през 2010 г., София, 2011, с.368-370
 ISSN 1313-0889 (гл.ред. Людмил Вагалински)")</f>
        <v>АОР през 2010 г., София, 2011, с.368-370
 ISSN 1313-0889 (гл.ред. Людмил Вагалински)</v>
      </c>
      <c r="F7116" s="10"/>
      <c r="G7116" s="10" t="str">
        <f ca="1">IFERROR(__xludf.DUMMYFUNCTION("""COMPUTED_VALUE"""),"Илия Илиев, Явор Русев")</f>
        <v>Илия Илиев, Явор Русев</v>
      </c>
      <c r="H7116" s="10"/>
      <c r="I7116" s="10"/>
      <c r="J7116" s="10"/>
      <c r="K7116" s="10"/>
      <c r="L7116" s="10"/>
      <c r="M7116" s="10"/>
      <c r="N7116" s="10"/>
      <c r="O7116" s="10"/>
      <c r="P7116" s="10"/>
      <c r="Q7116" s="10"/>
      <c r="R7116" s="10"/>
      <c r="S7116" s="10"/>
      <c r="T7116" s="10"/>
      <c r="U7116" s="10"/>
      <c r="V7116" s="10"/>
      <c r="W7116" s="10"/>
      <c r="X7116" s="10"/>
      <c r="Y7116" s="10"/>
      <c r="Z7116" s="10"/>
    </row>
    <row r="7117" spans="1:26" ht="12.75">
      <c r="A7117" s="10" t="str">
        <f ca="1">IFERROR(__xludf.DUMMYFUNCTION("""COMPUTED_VALUE"""),"Стефан Огнянов Бакърджиев")</f>
        <v>Стефан Огнянов Бакърджиев</v>
      </c>
      <c r="B7117" s="10" t="str">
        <f ca="1">IFERROR(__xludf.DUMMYFUNCTION("""COMPUTED_VALUE"""),"Статия в списания и поредици")</f>
        <v>Статия в списания и поредици</v>
      </c>
      <c r="C7117" s="10" t="str">
        <f ca="1">IFERROR(__xludf.DUMMYFUNCTION("""COMPUTED_VALUE"""),"Спасителни археологически проучвания на обект №12 (селище от Ранножелязната епоха), ЛОТ 4, км. 286+110 – 286+260 по АМ Тракия, землище на село Завой, община Тунджа, област Ямбол. – АОР през 2009 г.,")</f>
        <v>Спасителни археологически проучвания на обект №12 (селище от Ранножелязната епоха), ЛОТ 4, км. 286+110 – 286+260 по АМ Тракия, землище на село Завой, община Тунджа, област Ямбол. – АОР през 2009 г.,</v>
      </c>
      <c r="D7117" s="10">
        <f ca="1">IFERROR(__xludf.DUMMYFUNCTION("""COMPUTED_VALUE"""),2010)</f>
        <v>2010</v>
      </c>
      <c r="E7117" s="10" t="str">
        <f ca="1">IFERROR(__xludf.DUMMYFUNCTION("""COMPUTED_VALUE"""),"АОР през 2009 г., София, 2010, с.149-152 ISSN 1313-0889")</f>
        <v>АОР през 2009 г., София, 2010, с.149-152 ISSN 1313-0889</v>
      </c>
      <c r="F7117" s="10"/>
      <c r="G7117" s="10"/>
      <c r="H7117" s="10"/>
      <c r="I7117" s="10"/>
      <c r="J7117" s="10"/>
      <c r="K7117" s="10"/>
      <c r="L7117" s="10"/>
      <c r="M7117" s="10"/>
      <c r="N7117" s="10"/>
      <c r="O7117" s="10"/>
      <c r="P7117" s="10"/>
      <c r="Q7117" s="10"/>
      <c r="R7117" s="10"/>
      <c r="S7117" s="10"/>
      <c r="T7117" s="10"/>
      <c r="U7117" s="10"/>
      <c r="V7117" s="10"/>
      <c r="W7117" s="10"/>
      <c r="X7117" s="10"/>
      <c r="Y7117" s="10"/>
      <c r="Z7117" s="10"/>
    </row>
    <row r="7118" spans="1:26" ht="12.75">
      <c r="A7118" s="10" t="str">
        <f ca="1">IFERROR(__xludf.DUMMYFUNCTION("""COMPUTED_VALUE"""),"Стефан Огнянов Бакърджиев")</f>
        <v>Стефан Огнянов Бакърджиев</v>
      </c>
      <c r="B7118" s="10" t="str">
        <f ca="1">IFERROR(__xludf.DUMMYFUNCTION("""COMPUTED_VALUE"""),"Статия в списания и поредици")</f>
        <v>Статия в списания и поредици</v>
      </c>
      <c r="C7118" s="10" t="str">
        <f ca="1">IFERROR(__xludf.DUMMYFUNCTION("""COMPUTED_VALUE"""),"Находки от тракийска надгробна могила в м.”Карачите”, с. Крумово, Ямболско.")</f>
        <v>Находки от тракийска надгробна могила в м.”Карачите”, с. Крумово, Ямболско.</v>
      </c>
      <c r="D7118" s="10">
        <f ca="1">IFERROR(__xludf.DUMMYFUNCTION("""COMPUTED_VALUE"""),2010)</f>
        <v>2010</v>
      </c>
      <c r="E7118" s="10" t="str">
        <f ca="1">IFERROR(__xludf.DUMMYFUNCTION("""COMPUTED_VALUE"""),"Сб. ВТУ „Св. Св. Кирил и Методий” и българската археология, т.1, Велико Търново, 2010, 293-298
 ISSN 1313-0889")</f>
        <v>Сб. ВТУ „Св. Св. Кирил и Методий” и българската археология, т.1, Велико Търново, 2010, 293-298
 ISSN 1313-0889</v>
      </c>
      <c r="F7118" s="10"/>
      <c r="G7118" s="10"/>
      <c r="H7118" s="10"/>
      <c r="I7118" s="10"/>
      <c r="J7118" s="10"/>
      <c r="K7118" s="10"/>
      <c r="L7118" s="10"/>
      <c r="M7118" s="10"/>
      <c r="N7118" s="10"/>
      <c r="O7118" s="10"/>
      <c r="P7118" s="10"/>
      <c r="Q7118" s="10"/>
      <c r="R7118" s="10"/>
      <c r="S7118" s="10"/>
      <c r="T7118" s="10"/>
      <c r="U7118" s="10"/>
      <c r="V7118" s="10"/>
      <c r="W7118" s="10"/>
      <c r="X7118" s="10"/>
      <c r="Y7118" s="10"/>
      <c r="Z7118" s="10"/>
    </row>
    <row r="7119" spans="1:26" ht="12.75">
      <c r="A7119" s="10" t="str">
        <f ca="1">IFERROR(__xludf.DUMMYFUNCTION("""COMPUTED_VALUE"""),"Стефан Огнянов Бакърджиев")</f>
        <v>Стефан Огнянов Бакърджиев</v>
      </c>
      <c r="B7119" s="10" t="str">
        <f ca="1">IFERROR(__xludf.DUMMYFUNCTION("""COMPUTED_VALUE"""),"Статия в списания и поредици")</f>
        <v>Статия в списания и поредици</v>
      </c>
      <c r="C7119" s="10" t="str">
        <f ca="1">IFERROR(__xludf.DUMMYFUNCTION("""COMPUTED_VALUE"""),"Археологическо проучване на обект № 16 по трасето на АМ “Тракия“, ЛОТ 4, между селата Зимница и Чарда, община Стралджа")</f>
        <v>Археологическо проучване на обект № 16 по трасето на АМ “Тракия“, ЛОТ 4, между селата Зимница и Чарда, община Стралджа</v>
      </c>
      <c r="D7119" s="10">
        <f ca="1">IFERROR(__xludf.DUMMYFUNCTION("""COMPUTED_VALUE"""),2010)</f>
        <v>2010</v>
      </c>
      <c r="E7119" s="10" t="str">
        <f ca="1">IFERROR(__xludf.DUMMYFUNCTION("""COMPUTED_VALUE"""),"АОР през 2009 г., София, 2010, с.618-620
 ISSN 1313-0889")</f>
        <v>АОР през 2009 г., София, 2010, с.618-620
 ISSN 1313-0889</v>
      </c>
      <c r="F7119" s="10"/>
      <c r="G7119" s="10" t="str">
        <f ca="1">IFERROR(__xludf.DUMMYFUNCTION("""COMPUTED_VALUE"""),"Елена Василева")</f>
        <v>Елена Василева</v>
      </c>
      <c r="H7119" s="10"/>
      <c r="I7119" s="10"/>
      <c r="J7119" s="10"/>
      <c r="K7119" s="10"/>
      <c r="L7119" s="10"/>
      <c r="M7119" s="10"/>
      <c r="N7119" s="10"/>
      <c r="O7119" s="10"/>
      <c r="P7119" s="10"/>
      <c r="Q7119" s="10"/>
      <c r="R7119" s="10"/>
      <c r="S7119" s="10"/>
      <c r="T7119" s="10"/>
      <c r="U7119" s="10"/>
      <c r="V7119" s="10"/>
      <c r="W7119" s="10"/>
      <c r="X7119" s="10"/>
      <c r="Y7119" s="10"/>
      <c r="Z7119" s="10"/>
    </row>
    <row r="7120" spans="1:26" ht="12.75">
      <c r="A7120" s="10" t="str">
        <f ca="1">IFERROR(__xludf.DUMMYFUNCTION("""COMPUTED_VALUE"""),"Стефан Огнянов Бакърджиев")</f>
        <v>Стефан Огнянов Бакърджиев</v>
      </c>
      <c r="B7120" s="10" t="str">
        <f ca="1">IFERROR(__xludf.DUMMYFUNCTION("""COMPUTED_VALUE"""),"Статия в списания и поредици")</f>
        <v>Статия в списания и поредици</v>
      </c>
      <c r="C7120" s="10" t="str">
        <f ca="1">IFERROR(__xludf.DUMMYFUNCTION("""COMPUTED_VALUE"""),"Археологически проучвания на късноантичната и средновековна крепост “Малкото кале“ в землището на с.Воден, община Болярово – АОР през 2009")</f>
        <v>Археологически проучвания на късноантичната и средновековна крепост “Малкото кале“ в землището на с.Воден, община Болярово – АОР през 2009</v>
      </c>
      <c r="D7120" s="10">
        <f ca="1">IFERROR(__xludf.DUMMYFUNCTION("""COMPUTED_VALUE"""),2010)</f>
        <v>2010</v>
      </c>
      <c r="E7120" s="10" t="str">
        <f ca="1">IFERROR(__xludf.DUMMYFUNCTION("""COMPUTED_VALUE"""),"АОР през 2009, София 2010, с.425-427
 ISSN 1313-0889")</f>
        <v>АОР през 2009, София 2010, с.425-427
 ISSN 1313-0889</v>
      </c>
      <c r="F7120" s="10"/>
      <c r="G7120" s="10"/>
      <c r="H7120" s="10"/>
      <c r="I7120" s="10"/>
      <c r="J7120" s="10"/>
      <c r="K7120" s="10"/>
      <c r="L7120" s="10"/>
      <c r="M7120" s="10"/>
      <c r="N7120" s="10"/>
      <c r="O7120" s="10"/>
      <c r="P7120" s="10"/>
      <c r="Q7120" s="10"/>
      <c r="R7120" s="10"/>
      <c r="S7120" s="10"/>
      <c r="T7120" s="10"/>
      <c r="U7120" s="10"/>
      <c r="V7120" s="10"/>
      <c r="W7120" s="10"/>
      <c r="X7120" s="10"/>
      <c r="Y7120" s="10"/>
      <c r="Z7120" s="10"/>
    </row>
    <row r="7121" spans="1:26" ht="12.75">
      <c r="A7121" s="10" t="str">
        <f ca="1">IFERROR(__xludf.DUMMYFUNCTION("""COMPUTED_VALUE"""),"Стефан Огнянов Бакърджиев")</f>
        <v>Стефан Огнянов Бакърджиев</v>
      </c>
      <c r="B7121" s="10" t="str">
        <f ca="1">IFERROR(__xludf.DUMMYFUNCTION("""COMPUTED_VALUE"""),"Статия в списания и поредици")</f>
        <v>Статия в списания и поредици</v>
      </c>
      <c r="C7121" s="10" t="str">
        <f ca="1">IFERROR(__xludf.DUMMYFUNCTION("""COMPUTED_VALUE"""),"Теренни обхождания в Ямболска област")</f>
        <v>Теренни обхождания в Ямболска област</v>
      </c>
      <c r="D7121" s="10">
        <f ca="1">IFERROR(__xludf.DUMMYFUNCTION("""COMPUTED_VALUE"""),2010)</f>
        <v>2010</v>
      </c>
      <c r="E7121" s="10" t="str">
        <f ca="1">IFERROR(__xludf.DUMMYFUNCTION("""COMPUTED_VALUE"""),"АОР през 2009 г., София, 2010, с.651-652
 ISSN 1313-0889")</f>
        <v>АОР през 2009 г., София, 2010, с.651-652
 ISSN 1313-0889</v>
      </c>
      <c r="F7121" s="10"/>
      <c r="G7121" s="10" t="str">
        <f ca="1">IFERROR(__xludf.DUMMYFUNCTION("""COMPUTED_VALUE"""),"Илия Илиев, Стефан Бакърджиев")</f>
        <v>Илия Илиев, Стефан Бакърджиев</v>
      </c>
      <c r="H7121" s="10"/>
      <c r="I7121" s="10"/>
      <c r="J7121" s="10"/>
      <c r="K7121" s="10"/>
      <c r="L7121" s="10"/>
      <c r="M7121" s="10"/>
      <c r="N7121" s="10"/>
      <c r="O7121" s="10"/>
      <c r="P7121" s="10"/>
      <c r="Q7121" s="10"/>
      <c r="R7121" s="10"/>
      <c r="S7121" s="10"/>
      <c r="T7121" s="10"/>
      <c r="U7121" s="10"/>
      <c r="V7121" s="10"/>
      <c r="W7121" s="10"/>
      <c r="X7121" s="10"/>
      <c r="Y7121" s="10"/>
      <c r="Z7121" s="10"/>
    </row>
    <row r="7122" spans="1:26" ht="12.75">
      <c r="A7122" s="10" t="str">
        <f ca="1">IFERROR(__xludf.DUMMYFUNCTION("""COMPUTED_VALUE"""),"Стефан Огнянов Бакърджиев")</f>
        <v>Стефан Огнянов Бакърджиев</v>
      </c>
      <c r="B7122" s="10" t="str">
        <f ca="1">IFERROR(__xludf.DUMMYFUNCTION("""COMPUTED_VALUE"""),"Статия в списания и поредици")</f>
        <v>Статия в списания и поредици</v>
      </c>
      <c r="C7122" s="10" t="str">
        <f ca="1">IFERROR(__xludf.DUMMYFUNCTION("""COMPUTED_VALUE"""),"“Нарцис, син на Зенон от Перинт“ – един скулптор творил в Кабиле през 40-те години на II век сл.Хр.")</f>
        <v>“Нарцис, син на Зенон от Перинт“ – един скулптор творил в Кабиле през 40-те години на II век сл.Хр.</v>
      </c>
      <c r="D7122" s="10">
        <f ca="1">IFERROR(__xludf.DUMMYFUNCTION("""COMPUTED_VALUE"""),2009)</f>
        <v>2009</v>
      </c>
      <c r="E7122" s="10" t="str">
        <f ca="1">IFERROR(__xludf.DUMMYFUNCTION("""COMPUTED_VALUE"""),"сп. Вести на Ямболския музей, 2009, год.IV, бр. 6, с.1
 ISBN 978-954-615-185-8")</f>
        <v>сп. Вести на Ямболския музей, 2009, год.IV, бр. 6, с.1
 ISBN 978-954-615-185-8</v>
      </c>
      <c r="F7122" s="10"/>
      <c r="G7122" s="10"/>
      <c r="H7122" s="10"/>
      <c r="I7122" s="10"/>
      <c r="J7122" s="10"/>
      <c r="K7122" s="10"/>
      <c r="L7122" s="10"/>
      <c r="M7122" s="10"/>
      <c r="N7122" s="10"/>
      <c r="O7122" s="10"/>
      <c r="P7122" s="10"/>
      <c r="Q7122" s="10"/>
      <c r="R7122" s="10"/>
      <c r="S7122" s="10"/>
      <c r="T7122" s="10"/>
      <c r="U7122" s="10"/>
      <c r="V7122" s="10"/>
      <c r="W7122" s="10"/>
      <c r="X7122" s="10"/>
      <c r="Y7122" s="10"/>
      <c r="Z7122" s="10"/>
    </row>
    <row r="7123" spans="1:26" ht="12.75">
      <c r="A7123" s="10" t="str">
        <f ca="1">IFERROR(__xludf.DUMMYFUNCTION("""COMPUTED_VALUE"""),"Стефан Огнянов Бакърджиев")</f>
        <v>Стефан Огнянов Бакърджиев</v>
      </c>
      <c r="B7123" s="10" t="str">
        <f ca="1">IFERROR(__xludf.DUMMYFUNCTION("""COMPUTED_VALUE"""),"Статия в списания и поредици")</f>
        <v>Статия в списания и поредици</v>
      </c>
      <c r="C7123" s="10" t="str">
        <f ca="1">IFERROR(__xludf.DUMMYFUNCTION("""COMPUTED_VALUE"""),"Тракийска колесница от село Саранско")</f>
        <v>Тракийска колесница от село Саранско</v>
      </c>
      <c r="D7123" s="10">
        <f ca="1">IFERROR(__xludf.DUMMYFUNCTION("""COMPUTED_VALUE"""),2009)</f>
        <v>2009</v>
      </c>
      <c r="E7123" s="10" t="str">
        <f ca="1">IFERROR(__xludf.DUMMYFUNCTION("""COMPUTED_VALUE"""),"сп. Вести на Ямболския музей, 2009, год.IV, бр. 7, с.5-7. ISBN 978-954-615-185-8")</f>
        <v>сп. Вести на Ямболския музей, 2009, год.IV, бр. 7, с.5-7. ISBN 978-954-615-185-8</v>
      </c>
      <c r="F7123" s="10"/>
      <c r="G7123" s="10"/>
      <c r="H7123" s="10"/>
      <c r="I7123" s="10"/>
      <c r="J7123" s="10"/>
      <c r="K7123" s="10"/>
      <c r="L7123" s="10"/>
      <c r="M7123" s="10"/>
      <c r="N7123" s="10"/>
      <c r="O7123" s="10"/>
      <c r="P7123" s="10"/>
      <c r="Q7123" s="10"/>
      <c r="R7123" s="10"/>
      <c r="S7123" s="10"/>
      <c r="T7123" s="10"/>
      <c r="U7123" s="10"/>
      <c r="V7123" s="10"/>
      <c r="W7123" s="10"/>
      <c r="X7123" s="10"/>
      <c r="Y7123" s="10"/>
      <c r="Z7123" s="10"/>
    </row>
    <row r="7124" spans="1:26" ht="12.75">
      <c r="A7124" s="10" t="str">
        <f ca="1">IFERROR(__xludf.DUMMYFUNCTION("""COMPUTED_VALUE"""),"Стефан Огнянов Бакърджиев")</f>
        <v>Стефан Огнянов Бакърджиев</v>
      </c>
      <c r="B7124" s="10" t="str">
        <f ca="1">IFERROR(__xludf.DUMMYFUNCTION("""COMPUTED_VALUE"""),"Статия в списания и поредици")</f>
        <v>Статия в списания и поредици</v>
      </c>
      <c r="C7124" s="10" t="str">
        <f ca="1">IFERROR(__xludf.DUMMYFUNCTION("""COMPUTED_VALUE"""),"Средновековния “ПАРОРИЙСКИ“ манастир край с.Воден (община Болярово, област Ямбол).")</f>
        <v>Средновековния “ПАРОРИЙСКИ“ манастир край с.Воден (община Болярово, област Ямбол).</v>
      </c>
      <c r="D7124" s="10">
        <f ca="1">IFERROR(__xludf.DUMMYFUNCTION("""COMPUTED_VALUE"""),2009)</f>
        <v>2009</v>
      </c>
      <c r="E7124" s="10" t="str">
        <f ca="1">IFERROR(__xludf.DUMMYFUNCTION("""COMPUTED_VALUE"""),"сп. Вести на Ямболския музей, 2009, год.IV, бр. 7, с.1-2
 ISBN 978-954-615-185-8")</f>
        <v>сп. Вести на Ямболския музей, 2009, год.IV, бр. 7, с.1-2
 ISBN 978-954-615-185-8</v>
      </c>
      <c r="F7124" s="10"/>
      <c r="G7124" s="10"/>
      <c r="H7124" s="10"/>
      <c r="I7124" s="10"/>
      <c r="J7124" s="10"/>
      <c r="K7124" s="10"/>
      <c r="L7124" s="10"/>
      <c r="M7124" s="10"/>
      <c r="N7124" s="10"/>
      <c r="O7124" s="10"/>
      <c r="P7124" s="10"/>
      <c r="Q7124" s="10"/>
      <c r="R7124" s="10"/>
      <c r="S7124" s="10"/>
      <c r="T7124" s="10"/>
      <c r="U7124" s="10"/>
      <c r="V7124" s="10"/>
      <c r="W7124" s="10"/>
      <c r="X7124" s="10"/>
      <c r="Y7124" s="10"/>
      <c r="Z7124" s="10"/>
    </row>
    <row r="7125" spans="1:26" ht="12.75">
      <c r="A7125" s="10" t="str">
        <f ca="1">IFERROR(__xludf.DUMMYFUNCTION("""COMPUTED_VALUE"""),"Стефан Огнянов Бакърджиев")</f>
        <v>Стефан Огнянов Бакърджиев</v>
      </c>
      <c r="B7125" s="10" t="str">
        <f ca="1">IFERROR(__xludf.DUMMYFUNCTION("""COMPUTED_VALUE"""),"Статия в списания и поредици")</f>
        <v>Статия в списания и поредици</v>
      </c>
      <c r="C7125" s="10" t="str">
        <f ca="1">IFERROR(__xludf.DUMMYFUNCTION("""COMPUTED_VALUE"""),"Сондажни археологически проучвания в но обект №12, ЛОТ 4, км. 286+200 – 286+350 по АМ “Тракия“, село Завой, община Тунджа, област Ямбол. – АОР през 2008 г.")</f>
        <v>Сондажни археологически проучвания в но обект №12, ЛОТ 4, км. 286+200 – 286+350 по АМ “Тракия“, село Завой, община Тунджа, област Ямбол. – АОР през 2008 г.</v>
      </c>
      <c r="D7125" s="10">
        <f ca="1">IFERROR(__xludf.DUMMYFUNCTION("""COMPUTED_VALUE"""),2009)</f>
        <v>2009</v>
      </c>
      <c r="E7125" s="10" t="str">
        <f ca="1">IFERROR(__xludf.DUMMYFUNCTION("""COMPUTED_VALUE"""),"АОР през 2008 г., София, 2009, с.207-209
 ISSN 1313-0889 (гл.ред. Р. Рашев)")</f>
        <v>АОР през 2008 г., София, 2009, с.207-209
 ISSN 1313-0889 (гл.ред. Р. Рашев)</v>
      </c>
      <c r="F7125" s="10"/>
      <c r="G7125" s="10"/>
      <c r="H7125" s="10"/>
      <c r="I7125" s="10"/>
      <c r="J7125" s="10"/>
      <c r="K7125" s="10"/>
      <c r="L7125" s="10"/>
      <c r="M7125" s="10"/>
      <c r="N7125" s="10"/>
      <c r="O7125" s="10"/>
      <c r="P7125" s="10"/>
      <c r="Q7125" s="10"/>
      <c r="R7125" s="10"/>
      <c r="S7125" s="10"/>
      <c r="T7125" s="10"/>
      <c r="U7125" s="10"/>
      <c r="V7125" s="10"/>
      <c r="W7125" s="10"/>
      <c r="X7125" s="10"/>
      <c r="Y7125" s="10"/>
      <c r="Z7125" s="10"/>
    </row>
    <row r="7126" spans="1:26" ht="12.75">
      <c r="A7126" s="10" t="str">
        <f ca="1">IFERROR(__xludf.DUMMYFUNCTION("""COMPUTED_VALUE"""),"Стефан Огнянов Бакърджиев")</f>
        <v>Стефан Огнянов Бакърджиев</v>
      </c>
      <c r="B7126" s="10" t="str">
        <f ca="1">IFERROR(__xludf.DUMMYFUNCTION("""COMPUTED_VALUE"""),"Статия в списания и поредици")</f>
        <v>Статия в списания и поредици</v>
      </c>
      <c r="C7126" s="10" t="str">
        <f ca="1">IFERROR(__xludf.DUMMYFUNCTION("""COMPUTED_VALUE"""),"Спасителни археологически проучвания на Могила № 1 – Могилен некропол “Момини гърди“ в землището на с.Бояново, община Елхово")</f>
        <v>Спасителни археологически проучвания на Могила № 1 – Могилен некропол “Момини гърди“ в землището на с.Бояново, община Елхово</v>
      </c>
      <c r="D7126" s="10">
        <f ca="1">IFERROR(__xludf.DUMMYFUNCTION("""COMPUTED_VALUE"""),2009)</f>
        <v>2009</v>
      </c>
      <c r="E7126" s="10" t="str">
        <f ca="1">IFERROR(__xludf.DUMMYFUNCTION("""COMPUTED_VALUE"""),"сп. Вести на Ямболския музей, 2009, год.IV, бр. 6, с.3-4
 ISBN 978-954-615-185-8")</f>
        <v>сп. Вести на Ямболския музей, 2009, год.IV, бр. 6, с.3-4
 ISBN 978-954-615-185-8</v>
      </c>
      <c r="F7126" s="10"/>
      <c r="G7126" s="10"/>
      <c r="H7126" s="10"/>
      <c r="I7126" s="10"/>
      <c r="J7126" s="10"/>
      <c r="K7126" s="10"/>
      <c r="L7126" s="10"/>
      <c r="M7126" s="10"/>
      <c r="N7126" s="10"/>
      <c r="O7126" s="10"/>
      <c r="P7126" s="10"/>
      <c r="Q7126" s="10"/>
      <c r="R7126" s="10"/>
      <c r="S7126" s="10"/>
      <c r="T7126" s="10"/>
      <c r="U7126" s="10"/>
      <c r="V7126" s="10"/>
      <c r="W7126" s="10"/>
      <c r="X7126" s="10"/>
      <c r="Y7126" s="10"/>
      <c r="Z7126" s="10"/>
    </row>
    <row r="7127" spans="1:26" ht="12.75">
      <c r="A7127" s="10" t="str">
        <f ca="1">IFERROR(__xludf.DUMMYFUNCTION("""COMPUTED_VALUE"""),"Стефан Огнянов Бакърджиев")</f>
        <v>Стефан Огнянов Бакърджиев</v>
      </c>
      <c r="B7127" s="10" t="str">
        <f ca="1">IFERROR(__xludf.DUMMYFUNCTION("""COMPUTED_VALUE"""),"Статия в списания и поредици")</f>
        <v>Статия в списания и поредици</v>
      </c>
      <c r="C7127" s="10" t="str">
        <f ca="1">IFERROR(__xludf.DUMMYFUNCTION("""COMPUTED_VALUE"""),"Спасителни археологически проучвания на надгробна могила край село Иречеково.")</f>
        <v>Спасителни археологически проучвания на надгробна могила край село Иречеково.</v>
      </c>
      <c r="D7127" s="10">
        <f ca="1">IFERROR(__xludf.DUMMYFUNCTION("""COMPUTED_VALUE"""),2009)</f>
        <v>2009</v>
      </c>
      <c r="E7127" s="10" t="str">
        <f ca="1">IFERROR(__xludf.DUMMYFUNCTION("""COMPUTED_VALUE"""),"сп. Вести на Ямболския музей, 2009, год.IV, бр. 7, с.7-9. ISBN 978-954-615-185-8")</f>
        <v>сп. Вести на Ямболския музей, 2009, год.IV, бр. 7, с.7-9. ISBN 978-954-615-185-8</v>
      </c>
      <c r="F7127" s="10"/>
      <c r="G7127" s="10" t="str">
        <f ca="1">IFERROR(__xludf.DUMMYFUNCTION("""COMPUTED_VALUE"""),"Илия Илиев, Стефан Бакърджиев")</f>
        <v>Илия Илиев, Стефан Бакърджиев</v>
      </c>
      <c r="H7127" s="10"/>
      <c r="I7127" s="10"/>
      <c r="J7127" s="10"/>
      <c r="K7127" s="10"/>
      <c r="L7127" s="10"/>
      <c r="M7127" s="10"/>
      <c r="N7127" s="10"/>
      <c r="O7127" s="10"/>
      <c r="P7127" s="10"/>
      <c r="Q7127" s="10"/>
      <c r="R7127" s="10"/>
      <c r="S7127" s="10"/>
      <c r="T7127" s="10"/>
      <c r="U7127" s="10"/>
      <c r="V7127" s="10"/>
      <c r="W7127" s="10"/>
      <c r="X7127" s="10"/>
      <c r="Y7127" s="10"/>
      <c r="Z7127" s="10"/>
    </row>
    <row r="7128" spans="1:26" ht="12.75">
      <c r="A7128" s="10" t="str">
        <f ca="1">IFERROR(__xludf.DUMMYFUNCTION("""COMPUTED_VALUE"""),"Стефан Огнянов Бакърджиев")</f>
        <v>Стефан Огнянов Бакърджиев</v>
      </c>
      <c r="B7128" s="10" t="str">
        <f ca="1">IFERROR(__xludf.DUMMYFUNCTION("""COMPUTED_VALUE"""),"Статия в списания и поредици")</f>
        <v>Статия в списания и поредици</v>
      </c>
      <c r="C7128" s="10" t="str">
        <f ca="1">IFERROR(__xludf.DUMMYFUNCTION("""COMPUTED_VALUE"""),"Сондажни археологически проучвания в но обект № 9, ЛОТ 4 по АМ “Тракия“, село Кабиле, община Тунджа, област Ямбол. – АОР през 2008 г.,")</f>
        <v>Сондажни археологически проучвания в но обект № 9, ЛОТ 4 по АМ “Тракия“, село Кабиле, община Тунджа, област Ямбол. – АОР през 2008 г.,</v>
      </c>
      <c r="D7128" s="10">
        <f ca="1">IFERROR(__xludf.DUMMYFUNCTION("""COMPUTED_VALUE"""),2009)</f>
        <v>2009</v>
      </c>
      <c r="E7128" s="10" t="str">
        <f ca="1">IFERROR(__xludf.DUMMYFUNCTION("""COMPUTED_VALUE"""),"АОР през 2008 г., София, 2009, с.504
 ISSN 1313-0889")</f>
        <v>АОР през 2008 г., София, 2009, с.504
 ISSN 1313-0889</v>
      </c>
      <c r="F7128" s="10"/>
      <c r="G7128" s="10"/>
      <c r="H7128" s="10"/>
      <c r="I7128" s="10"/>
      <c r="J7128" s="10"/>
      <c r="K7128" s="10"/>
      <c r="L7128" s="10"/>
      <c r="M7128" s="10"/>
      <c r="N7128" s="10"/>
      <c r="O7128" s="10"/>
      <c r="P7128" s="10"/>
      <c r="Q7128" s="10"/>
      <c r="R7128" s="10"/>
      <c r="S7128" s="10"/>
      <c r="T7128" s="10"/>
      <c r="U7128" s="10"/>
      <c r="V7128" s="10"/>
      <c r="W7128" s="10"/>
      <c r="X7128" s="10"/>
      <c r="Y7128" s="10"/>
      <c r="Z7128" s="10"/>
    </row>
    <row r="7129" spans="1:26" ht="12.75">
      <c r="A7129" s="10" t="str">
        <f ca="1">IFERROR(__xludf.DUMMYFUNCTION("""COMPUTED_VALUE"""),"Стефан Огнянов Бакърджиев")</f>
        <v>Стефан Огнянов Бакърджиев</v>
      </c>
      <c r="B7129" s="10" t="str">
        <f ca="1">IFERROR(__xludf.DUMMYFUNCTION("""COMPUTED_VALUE"""),"Статия в списания и поредици")</f>
        <v>Статия в списания и поредици</v>
      </c>
      <c r="C7129" s="10" t="str">
        <f ca="1">IFERROR(__xludf.DUMMYFUNCTION("""COMPUTED_VALUE"""),"Сондажни археологически проучвания в но обект № 4, ЛОТ 4, (км. 279+700 – 279+900). – АОР през 2008, София 2009")</f>
        <v>Сондажни археологически проучвания в но обект № 4, ЛОТ 4, (км. 279+700 – 279+900). – АОР през 2008, София 2009</v>
      </c>
      <c r="D7129" s="10">
        <f ca="1">IFERROR(__xludf.DUMMYFUNCTION("""COMPUTED_VALUE"""),2009)</f>
        <v>2009</v>
      </c>
      <c r="E7129" s="10" t="str">
        <f ca="1">IFERROR(__xludf.DUMMYFUNCTION("""COMPUTED_VALUE"""),"АОР през 2008, София 2009, с.283-284
 ISSN 1313-0889 (гл.ред. Р. Рашев)")</f>
        <v>АОР през 2008, София 2009, с.283-284
 ISSN 1313-0889 (гл.ред. Р. Рашев)</v>
      </c>
      <c r="F7129" s="10"/>
      <c r="G7129" s="10"/>
      <c r="H7129" s="10"/>
      <c r="I7129" s="10"/>
      <c r="J7129" s="10"/>
      <c r="K7129" s="10"/>
      <c r="L7129" s="10"/>
      <c r="M7129" s="10"/>
      <c r="N7129" s="10"/>
      <c r="O7129" s="10"/>
      <c r="P7129" s="10"/>
      <c r="Q7129" s="10"/>
      <c r="R7129" s="10"/>
      <c r="S7129" s="10"/>
      <c r="T7129" s="10"/>
      <c r="U7129" s="10"/>
      <c r="V7129" s="10"/>
      <c r="W7129" s="10"/>
      <c r="X7129" s="10"/>
      <c r="Y7129" s="10"/>
      <c r="Z7129" s="10"/>
    </row>
    <row r="7130" spans="1:26" ht="12.75">
      <c r="A7130" s="10" t="str">
        <f ca="1">IFERROR(__xludf.DUMMYFUNCTION("""COMPUTED_VALUE"""),"Стефан Огнянов Бакърджиев")</f>
        <v>Стефан Огнянов Бакърджиев</v>
      </c>
      <c r="B7130" s="10" t="str">
        <f ca="1">IFERROR(__xludf.DUMMYFUNCTION("""COMPUTED_VALUE"""),"Статия в списания и поредици")</f>
        <v>Статия в списания и поредици</v>
      </c>
      <c r="C7130" s="10" t="str">
        <f ca="1">IFERROR(__xludf.DUMMYFUNCTION("""COMPUTED_VALUE"""),"Аварийни археологически проучвания на късноантичната крепост “Малкото кале“ край с.Воден, община Болярово – АОР през 2008")</f>
        <v>Аварийни археологически проучвания на късноантичната крепост “Малкото кале“ край с.Воден, община Болярово – АОР през 2008</v>
      </c>
      <c r="D7130" s="10">
        <f ca="1">IFERROR(__xludf.DUMMYFUNCTION("""COMPUTED_VALUE"""),2009)</f>
        <v>2009</v>
      </c>
      <c r="E7130" s="10" t="str">
        <f ca="1">IFERROR(__xludf.DUMMYFUNCTION("""COMPUTED_VALUE"""),"София 2009, с.475-476 
 ISSN 1313-0889")</f>
        <v>София 2009, с.475-476 
 ISSN 1313-0889</v>
      </c>
      <c r="F7130" s="10"/>
      <c r="G7130" s="10"/>
      <c r="H7130" s="10"/>
      <c r="I7130" s="10"/>
      <c r="J7130" s="10"/>
      <c r="K7130" s="10"/>
      <c r="L7130" s="10"/>
      <c r="M7130" s="10"/>
      <c r="N7130" s="10"/>
      <c r="O7130" s="10"/>
      <c r="P7130" s="10"/>
      <c r="Q7130" s="10"/>
      <c r="R7130" s="10"/>
      <c r="S7130" s="10"/>
      <c r="T7130" s="10"/>
      <c r="U7130" s="10"/>
      <c r="V7130" s="10"/>
      <c r="W7130" s="10"/>
      <c r="X7130" s="10"/>
      <c r="Y7130" s="10"/>
      <c r="Z7130" s="10"/>
    </row>
    <row r="7131" spans="1:26" ht="12.75">
      <c r="A7131" s="10" t="str">
        <f ca="1">IFERROR(__xludf.DUMMYFUNCTION("""COMPUTED_VALUE"""),"Стефан Огнянов Бакърджиев")</f>
        <v>Стефан Огнянов Бакърджиев</v>
      </c>
      <c r="B7131" s="10" t="str">
        <f ca="1">IFERROR(__xludf.DUMMYFUNCTION("""COMPUTED_VALUE"""),"Статия в списания и поредици")</f>
        <v>Статия в списания и поредици</v>
      </c>
      <c r="C7131" s="10" t="str">
        <f ca="1">IFERROR(__xludf.DUMMYFUNCTION("""COMPUTED_VALUE"""),"Аварийни археологически проучвания на късноантичната крепост “Малкото кале“ край с.Воден, община Болярово")</f>
        <v>Аварийни археологически проучвания на късноантичната крепост “Малкото кале“ край с.Воден, община Болярово</v>
      </c>
      <c r="D7131" s="10">
        <f ca="1">IFERROR(__xludf.DUMMYFUNCTION("""COMPUTED_VALUE"""),2008)</f>
        <v>2008</v>
      </c>
      <c r="E7131" s="10" t="str">
        <f ca="1">IFERROR(__xludf.DUMMYFUNCTION("""COMPUTED_VALUE"""),"сп. Вести на Ямболския музей, 2008, год.III, бр. 5, с.1-2. 
 ISBN 978-954-615-185-8")</f>
        <v>сп. Вести на Ямболския музей, 2008, год.III, бр. 5, с.1-2. 
 ISBN 978-954-615-185-8</v>
      </c>
      <c r="F7131" s="10"/>
      <c r="G7131" s="10"/>
      <c r="H7131" s="10"/>
      <c r="I7131" s="10"/>
      <c r="J7131" s="10"/>
      <c r="K7131" s="10"/>
      <c r="L7131" s="10"/>
      <c r="M7131" s="10"/>
      <c r="N7131" s="10"/>
      <c r="O7131" s="10"/>
      <c r="P7131" s="10"/>
      <c r="Q7131" s="10"/>
      <c r="R7131" s="10"/>
      <c r="S7131" s="10"/>
      <c r="T7131" s="10"/>
      <c r="U7131" s="10"/>
      <c r="V7131" s="10"/>
      <c r="W7131" s="10"/>
      <c r="X7131" s="10"/>
      <c r="Y7131" s="10"/>
      <c r="Z7131" s="10"/>
    </row>
    <row r="7132" spans="1:26" ht="12.75">
      <c r="A7132" s="10" t="str">
        <f ca="1">IFERROR(__xludf.DUMMYFUNCTION("""COMPUTED_VALUE"""),"Стефан Огнянов Бакърджиев")</f>
        <v>Стефан Огнянов Бакърджиев</v>
      </c>
      <c r="B7132" s="10" t="str">
        <f ca="1">IFERROR(__xludf.DUMMYFUNCTION("""COMPUTED_VALUE"""),"Статия в списания и поредици")</f>
        <v>Статия в списания и поредици</v>
      </c>
      <c r="C7132" s="10" t="str">
        <f ca="1">IFERROR(__xludf.DUMMYFUNCTION("""COMPUTED_VALUE"""),"Спасителни археологически проучвания на надгробна могила обект № 10 при км.284+000 по трасето на АМ“Тракия“. – АОР през 2007 г")</f>
        <v>Спасителни археологически проучвания на надгробна могила обект № 10 при км.284+000 по трасето на АМ“Тракия“. – АОР през 2007 г</v>
      </c>
      <c r="D7132" s="10">
        <f ca="1">IFERROR(__xludf.DUMMYFUNCTION("""COMPUTED_VALUE"""),2008)</f>
        <v>2008</v>
      </c>
      <c r="E7132" s="10" t="str">
        <f ca="1">IFERROR(__xludf.DUMMYFUNCTION("""COMPUTED_VALUE"""),"АОР през 2007 г., София, 2008, с.243-245
 ISSN 1313-0889 (гл.ред. Р. Рашев)")</f>
        <v>АОР през 2007 г., София, 2008, с.243-245
 ISSN 1313-0889 (гл.ред. Р. Рашев)</v>
      </c>
      <c r="F7132" s="10"/>
      <c r="G7132" s="10" t="str">
        <f ca="1">IFERROR(__xludf.DUMMYFUNCTION("""COMPUTED_VALUE"""),"Илия Илиев, И. Илиев")</f>
        <v>Илия Илиев, И. Илиев</v>
      </c>
      <c r="H7132" s="10"/>
      <c r="I7132" s="10"/>
      <c r="J7132" s="10"/>
      <c r="K7132" s="10"/>
      <c r="L7132" s="10"/>
      <c r="M7132" s="10"/>
      <c r="N7132" s="10"/>
      <c r="O7132" s="10"/>
      <c r="P7132" s="10"/>
      <c r="Q7132" s="10"/>
      <c r="R7132" s="10"/>
      <c r="S7132" s="10"/>
      <c r="T7132" s="10"/>
      <c r="U7132" s="10"/>
      <c r="V7132" s="10"/>
      <c r="W7132" s="10"/>
      <c r="X7132" s="10"/>
      <c r="Y7132" s="10"/>
      <c r="Z7132" s="10"/>
    </row>
    <row r="7133" spans="1:26" ht="12.75">
      <c r="A7133" s="10" t="str">
        <f ca="1">IFERROR(__xludf.DUMMYFUNCTION("""COMPUTED_VALUE"""),"Стефан Огнянов Бакърджиев")</f>
        <v>Стефан Огнянов Бакърджиев</v>
      </c>
      <c r="B7133" s="10" t="str">
        <f ca="1">IFERROR(__xludf.DUMMYFUNCTION("""COMPUTED_VALUE"""),"Статия в списания и поредици")</f>
        <v>Статия в списания и поредици</v>
      </c>
      <c r="C7133" s="10" t="str">
        <f ca="1">IFERROR(__xludf.DUMMYFUNCTION("""COMPUTED_VALUE"""),"Спасителни археологически проучвания на две надгробни могили в м.“Кояджика“1, с.Палаузово, община Стралджа, област Ямбол. – АОР през 2007 г.")</f>
        <v>Спасителни археологически проучвания на две надгробни могили в м.“Кояджика“1, с.Палаузово, община Стралджа, област Ямбол. – АОР през 2007 г.</v>
      </c>
      <c r="D7133" s="10">
        <f ca="1">IFERROR(__xludf.DUMMYFUNCTION("""COMPUTED_VALUE"""),2008)</f>
        <v>2008</v>
      </c>
      <c r="E7133" s="10" t="str">
        <f ca="1">IFERROR(__xludf.DUMMYFUNCTION("""COMPUTED_VALUE"""),"АОР през 2007 г., София, 2008, с.239-242
  ISSN 1313-0889 (гл.ред. Р. Рашев)")</f>
        <v>АОР през 2007 г., София, 2008, с.239-242
  ISSN 1313-0889 (гл.ред. Р. Рашев)</v>
      </c>
      <c r="F7133" s="10"/>
      <c r="G7133" s="10" t="str">
        <f ca="1">IFERROR(__xludf.DUMMYFUNCTION("""COMPUTED_VALUE"""),"Илия Илиев.")</f>
        <v>Илия Илиев.</v>
      </c>
      <c r="H7133" s="10"/>
      <c r="I7133" s="10"/>
      <c r="J7133" s="10"/>
      <c r="K7133" s="10"/>
      <c r="L7133" s="10"/>
      <c r="M7133" s="10"/>
      <c r="N7133" s="10"/>
      <c r="O7133" s="10"/>
      <c r="P7133" s="10"/>
      <c r="Q7133" s="10"/>
      <c r="R7133" s="10"/>
      <c r="S7133" s="10"/>
      <c r="T7133" s="10"/>
      <c r="U7133" s="10"/>
      <c r="V7133" s="10"/>
      <c r="W7133" s="10"/>
      <c r="X7133" s="10"/>
      <c r="Y7133" s="10"/>
      <c r="Z7133" s="10"/>
    </row>
    <row r="7134" spans="1:26" ht="12.75">
      <c r="A7134" s="10" t="str">
        <f ca="1">IFERROR(__xludf.DUMMYFUNCTION("""COMPUTED_VALUE"""),"Стефан Огнянов Бакърджиев")</f>
        <v>Стефан Огнянов Бакърджиев</v>
      </c>
      <c r="B7134" s="10" t="str">
        <f ca="1">IFERROR(__xludf.DUMMYFUNCTION("""COMPUTED_VALUE"""),"Статия в списания и поредици")</f>
        <v>Статия в списания и поредици</v>
      </c>
      <c r="C7134" s="10" t="str">
        <f ca="1">IFERROR(__xludf.DUMMYFUNCTION("""COMPUTED_VALUE"""),"Проучвания в НАР “Кабиле“ (Сектор II, квартали 34,35 – Късноримски кастел). – АОР през 2007 г.")</f>
        <v>Проучвания в НАР “Кабиле“ (Сектор II, квартали 34,35 – Късноримски кастел). – АОР през 2007 г.</v>
      </c>
      <c r="D7134" s="10">
        <f ca="1">IFERROR(__xludf.DUMMYFUNCTION("""COMPUTED_VALUE"""),2008)</f>
        <v>2008</v>
      </c>
      <c r="E7134" s="10" t="str">
        <f ca="1">IFERROR(__xludf.DUMMYFUNCTION("""COMPUTED_VALUE"""),"АОР през 2007 г., София, 2008, с.420-422 ISSN 1313-0889 (гл.ред. Р. Рашев)")</f>
        <v>АОР през 2007 г., София, 2008, с.420-422 ISSN 1313-0889 (гл.ред. Р. Рашев)</v>
      </c>
      <c r="F7134" s="10"/>
      <c r="G7134" s="10" t="str">
        <f ca="1">IFERROR(__xludf.DUMMYFUNCTION("""COMPUTED_VALUE"""),"Ивайло Лозанов")</f>
        <v>Ивайло Лозанов</v>
      </c>
      <c r="H7134" s="10"/>
      <c r="I7134" s="10"/>
      <c r="J7134" s="10"/>
      <c r="K7134" s="10"/>
      <c r="L7134" s="10"/>
      <c r="M7134" s="10"/>
      <c r="N7134" s="10"/>
      <c r="O7134" s="10"/>
      <c r="P7134" s="10"/>
      <c r="Q7134" s="10"/>
      <c r="R7134" s="10"/>
      <c r="S7134" s="10"/>
      <c r="T7134" s="10"/>
      <c r="U7134" s="10"/>
      <c r="V7134" s="10"/>
      <c r="W7134" s="10"/>
      <c r="X7134" s="10"/>
      <c r="Y7134" s="10"/>
      <c r="Z7134" s="10"/>
    </row>
    <row r="7135" spans="1:26" ht="12.75">
      <c r="A7135" s="10" t="str">
        <f ca="1">IFERROR(__xludf.DUMMYFUNCTION("""COMPUTED_VALUE"""),"Стефан Огнянов Бакърджиев")</f>
        <v>Стефан Огнянов Бакърджиев</v>
      </c>
      <c r="B7135" s="10" t="str">
        <f ca="1">IFERROR(__xludf.DUMMYFUNCTION("""COMPUTED_VALUE"""),"Статия в списания и поредици")</f>
        <v>Статия в списания и поредици</v>
      </c>
      <c r="C7135" s="10" t="str">
        <f ca="1">IFERROR(__xludf.DUMMYFUNCTION("""COMPUTED_VALUE"""),"Уникално гробна съоръжение от ранната бронзова епоха")</f>
        <v>Уникално гробна съоръжение от ранната бронзова епоха</v>
      </c>
      <c r="D7135" s="10">
        <f ca="1">IFERROR(__xludf.DUMMYFUNCTION("""COMPUTED_VALUE"""),2008)</f>
        <v>2008</v>
      </c>
      <c r="E7135" s="10" t="str">
        <f ca="1">IFERROR(__xludf.DUMMYFUNCTION("""COMPUTED_VALUE"""),"сп. Вести на Ямболския музей, 2008, год.III, бр. 4, с.4-5
 ISBN 978-954-615-185-8")</f>
        <v>сп. Вести на Ямболския музей, 2008, год.III, бр. 4, с.4-5
 ISBN 978-954-615-185-8</v>
      </c>
      <c r="F7135" s="10"/>
      <c r="G7135" s="10" t="str">
        <f ca="1">IFERROR(__xludf.DUMMYFUNCTION("""COMPUTED_VALUE"""),"Илия Илиев")</f>
        <v>Илия Илиев</v>
      </c>
      <c r="H7135" s="10"/>
      <c r="I7135" s="10"/>
      <c r="J7135" s="10"/>
      <c r="K7135" s="10"/>
      <c r="L7135" s="10"/>
      <c r="M7135" s="10"/>
      <c r="N7135" s="10"/>
      <c r="O7135" s="10"/>
      <c r="P7135" s="10"/>
      <c r="Q7135" s="10"/>
      <c r="R7135" s="10"/>
      <c r="S7135" s="10"/>
      <c r="T7135" s="10"/>
      <c r="U7135" s="10"/>
      <c r="V7135" s="10"/>
      <c r="W7135" s="10"/>
      <c r="X7135" s="10"/>
      <c r="Y7135" s="10"/>
      <c r="Z7135" s="10"/>
    </row>
    <row r="7136" spans="1:26" ht="12.75">
      <c r="A7136" s="10" t="str">
        <f ca="1">IFERROR(__xludf.DUMMYFUNCTION("""COMPUTED_VALUE"""),"Стефан Огнянов Бакърджиев")</f>
        <v>Стефан Огнянов Бакърджиев</v>
      </c>
      <c r="B7136" s="10" t="str">
        <f ca="1">IFERROR(__xludf.DUMMYFUNCTION("""COMPUTED_VALUE"""),"Статия в списания и поредици")</f>
        <v>Статия в списания и поредици</v>
      </c>
      <c r="C7136" s="10" t="str">
        <f ca="1">IFERROR(__xludf.DUMMYFUNCTION("""COMPUTED_VALUE"""),"Неизвестен оброчен релеф на тракийския конник от с.Драма, Ямболско.")</f>
        <v>Неизвестен оброчен релеф на тракийския конник от с.Драма, Ямболско.</v>
      </c>
      <c r="D7136" s="10">
        <f ca="1">IFERROR(__xludf.DUMMYFUNCTION("""COMPUTED_VALUE"""),2008)</f>
        <v>2008</v>
      </c>
      <c r="E7136" s="10" t="str">
        <f ca="1">IFERROR(__xludf.DUMMYFUNCTION("""COMPUTED_VALUE"""),"сп. Вести на Ямболския музей, 2008, год.III, бр. 4, с.14. 
  ISBN 978-954-615-185-8")</f>
        <v>сп. Вести на Ямболския музей, 2008, год.III, бр. 4, с.14. 
  ISBN 978-954-615-185-8</v>
      </c>
      <c r="F7136" s="10"/>
      <c r="G7136" s="10"/>
      <c r="H7136" s="10"/>
      <c r="I7136" s="10"/>
      <c r="J7136" s="10"/>
      <c r="K7136" s="10"/>
      <c r="L7136" s="10"/>
      <c r="M7136" s="10"/>
      <c r="N7136" s="10"/>
      <c r="O7136" s="10"/>
      <c r="P7136" s="10"/>
      <c r="Q7136" s="10"/>
      <c r="R7136" s="10"/>
      <c r="S7136" s="10"/>
      <c r="T7136" s="10"/>
      <c r="U7136" s="10"/>
      <c r="V7136" s="10"/>
      <c r="W7136" s="10"/>
      <c r="X7136" s="10"/>
      <c r="Y7136" s="10"/>
      <c r="Z7136" s="10"/>
    </row>
    <row r="7137" spans="1:26" ht="12.75">
      <c r="A7137" s="10" t="str">
        <f ca="1">IFERROR(__xludf.DUMMYFUNCTION("""COMPUTED_VALUE"""),"Стефан Огнянов Бакърджиев")</f>
        <v>Стефан Огнянов Бакърджиев</v>
      </c>
      <c r="B7137" s="10" t="str">
        <f ca="1">IFERROR(__xludf.DUMMYFUNCTION("""COMPUTED_VALUE"""),"Статия в списания и поредици")</f>
        <v>Статия в списания и поредици</v>
      </c>
      <c r="C7137" s="10" t="str">
        <f ca="1">IFERROR(__xludf.DUMMYFUNCTION("""COMPUTED_VALUE"""),"Спасителни археологически проучвания на две надгробни могили край с.Палаузово, община Стралджа.")</f>
        <v>Спасителни археологически проучвания на две надгробни могили край с.Палаузово, община Стралджа.</v>
      </c>
      <c r="D7137" s="10">
        <f ca="1">IFERROR(__xludf.DUMMYFUNCTION("""COMPUTED_VALUE"""),2008)</f>
        <v>2008</v>
      </c>
      <c r="E7137" s="10" t="str">
        <f ca="1">IFERROR(__xludf.DUMMYFUNCTION("""COMPUTED_VALUE"""),"сп. Вести на Ямболския музей, 2008, год.III, бр. 5, с.3-4.
 ISBN 978-954-615-185-8")</f>
        <v>сп. Вести на Ямболския музей, 2008, год.III, бр. 5, с.3-4.
 ISBN 978-954-615-185-8</v>
      </c>
      <c r="F7137" s="10"/>
      <c r="G7137" s="10" t="str">
        <f ca="1">IFERROR(__xludf.DUMMYFUNCTION("""COMPUTED_VALUE"""),"Илия Илиев")</f>
        <v>Илия Илиев</v>
      </c>
      <c r="H7137" s="10"/>
      <c r="I7137" s="10"/>
      <c r="J7137" s="10"/>
      <c r="K7137" s="10"/>
      <c r="L7137" s="10"/>
      <c r="M7137" s="10"/>
      <c r="N7137" s="10"/>
      <c r="O7137" s="10"/>
      <c r="P7137" s="10"/>
      <c r="Q7137" s="10"/>
      <c r="R7137" s="10"/>
      <c r="S7137" s="10"/>
      <c r="T7137" s="10"/>
      <c r="U7137" s="10"/>
      <c r="V7137" s="10"/>
      <c r="W7137" s="10"/>
      <c r="X7137" s="10"/>
      <c r="Y7137" s="10"/>
      <c r="Z7137" s="10"/>
    </row>
    <row r="7138" spans="1:26" ht="12.75">
      <c r="A7138" s="10" t="str">
        <f ca="1">IFERROR(__xludf.DUMMYFUNCTION("""COMPUTED_VALUE"""),"Стефан Огнянов Бакърджиев")</f>
        <v>Стефан Огнянов Бакърджиев</v>
      </c>
      <c r="B7138" s="10" t="str">
        <f ca="1">IFERROR(__xludf.DUMMYFUNCTION("""COMPUTED_VALUE"""),"Статия в списания и поредици")</f>
        <v>Статия в списания и поредици</v>
      </c>
      <c r="C7138" s="10" t="str">
        <f ca="1">IFERROR(__xludf.DUMMYFUNCTION("""COMPUTED_VALUE"""),"Сондажни археологически проучвания в м.“Юрта“, с.Стройно, община Елхово. – АОР през 2007 г.")</f>
        <v>Сондажни археологически проучвания в м.“Юрта“, с.Стройно, община Елхово. – АОР през 2007 г.</v>
      </c>
      <c r="D7138" s="10">
        <f ca="1">IFERROR(__xludf.DUMMYFUNCTION("""COMPUTED_VALUE"""),2008)</f>
        <v>2008</v>
      </c>
      <c r="E7138" s="10" t="str">
        <f ca="1">IFERROR(__xludf.DUMMYFUNCTION("""COMPUTED_VALUE"""),"АОР през 2007 г., София, 2008, с.471-473
 ISSN 1313-0889 (гл.ред. Р. Рашев)")</f>
        <v>АОР през 2007 г., София, 2008, с.471-473
 ISSN 1313-0889 (гл.ред. Р. Рашев)</v>
      </c>
      <c r="F7138" s="10"/>
      <c r="G7138" s="10"/>
      <c r="H7138" s="10"/>
      <c r="I7138" s="10"/>
      <c r="J7138" s="10"/>
      <c r="K7138" s="10"/>
      <c r="L7138" s="10"/>
      <c r="M7138" s="10"/>
      <c r="N7138" s="10"/>
      <c r="O7138" s="10"/>
      <c r="P7138" s="10"/>
      <c r="Q7138" s="10"/>
      <c r="R7138" s="10"/>
      <c r="S7138" s="10"/>
      <c r="T7138" s="10"/>
      <c r="U7138" s="10"/>
      <c r="V7138" s="10"/>
      <c r="W7138" s="10"/>
      <c r="X7138" s="10"/>
      <c r="Y7138" s="10"/>
      <c r="Z7138" s="10"/>
    </row>
    <row r="7139" spans="1:26" ht="12.75">
      <c r="A7139" s="10" t="str">
        <f ca="1">IFERROR(__xludf.DUMMYFUNCTION("""COMPUTED_VALUE"""),"Стефан Огнянов Бакърджиев")</f>
        <v>Стефан Огнянов Бакърджиев</v>
      </c>
      <c r="B7139" s="10" t="str">
        <f ca="1">IFERROR(__xludf.DUMMYFUNCTION("""COMPUTED_VALUE"""),"Статия в списания и поредици")</f>
        <v>Статия в списания и поредици</v>
      </c>
      <c r="C7139" s="10" t="str">
        <f ca="1">IFERROR(__xludf.DUMMYFUNCTION("""COMPUTED_VALUE"""),"Проучвания в НАР “Кабиле“, Сектор II, квартали 35 (Късноримски кастел). – АОР през 2006 г.")</f>
        <v>Проучвания в НАР “Кабиле“, Сектор II, квартали 35 (Късноримски кастел). – АОР през 2006 г.</v>
      </c>
      <c r="D7139" s="10">
        <f ca="1">IFERROR(__xludf.DUMMYFUNCTION("""COMPUTED_VALUE"""),2007)</f>
        <v>2007</v>
      </c>
      <c r="E7139" s="10" t="str">
        <f ca="1">IFERROR(__xludf.DUMMYFUNCTION("""COMPUTED_VALUE"""),"АОР през 2006 г., София, 2007, с.329-333
 ISSN 1313-0889(гл.ред. Васил Николов)")</f>
        <v>АОР през 2006 г., София, 2007, с.329-333
 ISSN 1313-0889(гл.ред. Васил Николов)</v>
      </c>
      <c r="F7139" s="10"/>
      <c r="G7139" s="10" t="str">
        <f ca="1">IFERROR(__xludf.DUMMYFUNCTION("""COMPUTED_VALUE"""),"Ивайло Лозанов")</f>
        <v>Ивайло Лозанов</v>
      </c>
      <c r="H7139" s="10"/>
      <c r="I7139" s="10"/>
      <c r="J7139" s="10"/>
      <c r="K7139" s="10"/>
      <c r="L7139" s="10"/>
      <c r="M7139" s="10"/>
      <c r="N7139" s="10"/>
      <c r="O7139" s="10"/>
      <c r="P7139" s="10"/>
      <c r="Q7139" s="10"/>
      <c r="R7139" s="10"/>
      <c r="S7139" s="10"/>
      <c r="T7139" s="10"/>
      <c r="U7139" s="10"/>
      <c r="V7139" s="10"/>
      <c r="W7139" s="10"/>
      <c r="X7139" s="10"/>
      <c r="Y7139" s="10"/>
      <c r="Z7139" s="10"/>
    </row>
    <row r="7140" spans="1:26" ht="12.75">
      <c r="A7140" s="10" t="str">
        <f ca="1">IFERROR(__xludf.DUMMYFUNCTION("""COMPUTED_VALUE"""),"Стефан Огнянов Бакърджиев")</f>
        <v>Стефан Огнянов Бакърджиев</v>
      </c>
      <c r="B7140" s="10" t="str">
        <f ca="1">IFERROR(__xludf.DUMMYFUNCTION("""COMPUTED_VALUE"""),"Статия в списания и поредици")</f>
        <v>Статия в списания и поредици</v>
      </c>
      <c r="C7140" s="10" t="str">
        <f ca="1">IFERROR(__xludf.DUMMYFUNCTION("""COMPUTED_VALUE"""),"Средновековен некропол в землището на с. Могила, обл. Ямбол")</f>
        <v>Средновековен некропол в землището на с. Могила, обл. Ямбол</v>
      </c>
      <c r="D7140" s="10">
        <f ca="1">IFERROR(__xludf.DUMMYFUNCTION("""COMPUTED_VALUE"""),2007)</f>
        <v>2007</v>
      </c>
      <c r="E7140" s="10" t="str">
        <f ca="1">IFERROR(__xludf.DUMMYFUNCTION("""COMPUTED_VALUE"""),"Сб. Тракия и Хемимонд IV – XIV век, С.,2007,177-182. 
 ISBN 978-619-7252-60-6")</f>
        <v>Сб. Тракия и Хемимонд IV – XIV век, С.,2007,177-182. 
 ISBN 978-619-7252-60-6</v>
      </c>
      <c r="F7140" s="10"/>
      <c r="G7140" s="10" t="str">
        <f ca="1">IFERROR(__xludf.DUMMYFUNCTION("""COMPUTED_VALUE"""),"Илия Илиев")</f>
        <v>Илия Илиев</v>
      </c>
      <c r="H7140" s="10"/>
      <c r="I7140" s="10"/>
      <c r="J7140" s="10"/>
      <c r="K7140" s="10"/>
      <c r="L7140" s="10"/>
      <c r="M7140" s="10"/>
      <c r="N7140" s="10"/>
      <c r="O7140" s="10"/>
      <c r="P7140" s="10"/>
      <c r="Q7140" s="10"/>
      <c r="R7140" s="10"/>
      <c r="S7140" s="10"/>
      <c r="T7140" s="10"/>
      <c r="U7140" s="10"/>
      <c r="V7140" s="10"/>
      <c r="W7140" s="10"/>
      <c r="X7140" s="10"/>
      <c r="Y7140" s="10"/>
      <c r="Z7140" s="10"/>
    </row>
    <row r="7141" spans="1:26" ht="12.75">
      <c r="A7141" s="10" t="str">
        <f ca="1">IFERROR(__xludf.DUMMYFUNCTION("""COMPUTED_VALUE"""),"Стефан Огнянов Бакърджиев")</f>
        <v>Стефан Огнянов Бакърджиев</v>
      </c>
      <c r="B7141" s="10" t="str">
        <f ca="1">IFERROR(__xludf.DUMMYFUNCTION("""COMPUTED_VALUE"""),"Статия в списания и поредици")</f>
        <v>Статия в списания и поредици</v>
      </c>
      <c r="C7141" s="10" t="str">
        <f ca="1">IFERROR(__xludf.DUMMYFUNCTION("""COMPUTED_VALUE"""),"Археологически проучвания и случайни находки от Западните некрополи от елинистическата епоха на тракийския град Кабиле")</f>
        <v>Археологически проучвания и случайни находки от Западните некрополи от елинистическата епоха на тракийския град Кабиле</v>
      </c>
      <c r="D7141" s="10">
        <f ca="1">IFERROR(__xludf.DUMMYFUNCTION("""COMPUTED_VALUE"""),2006)</f>
        <v>2006</v>
      </c>
      <c r="E7141" s="10" t="str">
        <f ca="1">IFERROR(__xludf.DUMMYFUNCTION("""COMPUTED_VALUE"""),"Сб. Поселищен живот в Тракия, IV Международен симпозиум, Ямбол, 2006, с.123-137
 ISBN -10: 954-615-130-0; ISBN – 13:978-954-615-130-8 (ред. Илия Илиев")</f>
        <v>Сб. Поселищен живот в Тракия, IV Международен симпозиум, Ямбол, 2006, с.123-137
 ISBN -10: 954-615-130-0; ISBN – 13:978-954-615-130-8 (ред. Илия Илиев</v>
      </c>
      <c r="F7141" s="10"/>
      <c r="G7141" s="10"/>
      <c r="H7141" s="10"/>
      <c r="I7141" s="10"/>
      <c r="J7141" s="10"/>
      <c r="K7141" s="10"/>
      <c r="L7141" s="10"/>
      <c r="M7141" s="10"/>
      <c r="N7141" s="10"/>
      <c r="O7141" s="10"/>
      <c r="P7141" s="10"/>
      <c r="Q7141" s="10"/>
      <c r="R7141" s="10"/>
      <c r="S7141" s="10"/>
      <c r="T7141" s="10"/>
      <c r="U7141" s="10"/>
      <c r="V7141" s="10"/>
      <c r="W7141" s="10"/>
      <c r="X7141" s="10"/>
      <c r="Y7141" s="10"/>
      <c r="Z7141" s="10"/>
    </row>
    <row r="7142" spans="1:26" ht="12.75">
      <c r="A7142" s="10" t="str">
        <f ca="1">IFERROR(__xludf.DUMMYFUNCTION("""COMPUTED_VALUE"""),"Стефан Огнянов Бакърджиев")</f>
        <v>Стефан Огнянов Бакърджиев</v>
      </c>
      <c r="B7142" s="10" t="str">
        <f ca="1">IFERROR(__xludf.DUMMYFUNCTION("""COMPUTED_VALUE"""),"Статия в списания и поредици")</f>
        <v>Статия в списания и поредици</v>
      </c>
      <c r="C7142" s="10" t="str">
        <f ca="1">IFERROR(__xludf.DUMMYFUNCTION("""COMPUTED_VALUE"""),"Фибули тип “Виминациум“ от фонда на Ямболския музей")</f>
        <v>Фибули тип “Виминациум“ от фонда на Ямболския музей</v>
      </c>
      <c r="D7142" s="10">
        <f ca="1">IFERROR(__xludf.DUMMYFUNCTION("""COMPUTED_VALUE"""),1998)</f>
        <v>1998</v>
      </c>
      <c r="E7142" s="10" t="str">
        <f ca="1">IFERROR(__xludf.DUMMYFUNCTION("""COMPUTED_VALUE"""),"сп. Вести на Ямболския музей, 2008, год.I, бр. , с.17-18.
 ISBN 978-954-615-185-8")</f>
        <v>сп. Вести на Ямболския музей, 2008, год.I, бр. , с.17-18.
 ISBN 978-954-615-185-8</v>
      </c>
      <c r="F7142" s="10"/>
      <c r="G7142" s="10"/>
      <c r="H7142" s="10"/>
      <c r="I7142" s="10"/>
      <c r="J7142" s="10"/>
      <c r="K7142" s="10"/>
      <c r="L7142" s="10"/>
      <c r="M7142" s="10"/>
      <c r="N7142" s="10"/>
      <c r="O7142" s="10"/>
      <c r="P7142" s="10"/>
      <c r="Q7142" s="10"/>
      <c r="R7142" s="10"/>
      <c r="S7142" s="10"/>
      <c r="T7142" s="10"/>
      <c r="U7142" s="10"/>
      <c r="V7142" s="10"/>
      <c r="W7142" s="10"/>
      <c r="X7142" s="10"/>
      <c r="Y7142" s="10"/>
      <c r="Z7142" s="10"/>
    </row>
    <row r="7143" spans="1:26" ht="12.75">
      <c r="A7143" s="10" t="str">
        <f ca="1">IFERROR(__xludf.DUMMYFUNCTION("""COMPUTED_VALUE"""),"Стефан Огнянов Бакърджиев")</f>
        <v>Стефан Огнянов Бакърджиев</v>
      </c>
      <c r="B7143" s="10" t="str">
        <f ca="1">IFERROR(__xludf.DUMMYFUNCTION("""COMPUTED_VALUE"""),"Статия в списания и поредици")</f>
        <v>Статия в списания и поредици</v>
      </c>
      <c r="C7143" s="10" t="str">
        <f ca="1">IFERROR(__xludf.DUMMYFUNCTION("""COMPUTED_VALUE"""),"Нова хипотеза за тракийския произход на името Трансмариска")</f>
        <v>Нова хипотеза за тракийския произход на името Трансмариска</v>
      </c>
      <c r="D7143" s="10">
        <f ca="1">IFERROR(__xludf.DUMMYFUNCTION("""COMPUTED_VALUE"""),1995)</f>
        <v>1995</v>
      </c>
      <c r="E7143" s="10" t="str">
        <f ca="1">IFERROR(__xludf.DUMMYFUNCTION("""COMPUTED_VALUE"""),"Сб.Тутракан в историческото развитие на Добруджа.,Тн., 1995, с.61-66. COBISS.BG-ID - 1030083556")</f>
        <v>Сб.Тутракан в историческото развитие на Добруджа.,Тн., 1995, с.61-66. COBISS.BG-ID - 1030083556</v>
      </c>
      <c r="F7143" s="10"/>
      <c r="G7143" s="10"/>
      <c r="H7143" s="10"/>
      <c r="I7143" s="10"/>
      <c r="J7143" s="10"/>
      <c r="K7143" s="10"/>
      <c r="L7143" s="10"/>
      <c r="M7143" s="10"/>
      <c r="N7143" s="10"/>
      <c r="O7143" s="10"/>
      <c r="P7143" s="10"/>
      <c r="Q7143" s="10"/>
      <c r="R7143" s="10"/>
      <c r="S7143" s="10"/>
      <c r="T7143" s="10"/>
      <c r="U7143" s="10"/>
      <c r="V7143" s="10"/>
      <c r="W7143" s="10"/>
      <c r="X7143" s="10"/>
      <c r="Y7143" s="10"/>
      <c r="Z7143" s="10"/>
    </row>
    <row r="7144" spans="1:26" ht="12.75">
      <c r="A7144" s="10" t="str">
        <f ca="1">IFERROR(__xludf.DUMMYFUNCTION("""COMPUTED_VALUE"""),"Стефан Огнянов Бакърджиев")</f>
        <v>Стефан Огнянов Бакърджиев</v>
      </c>
      <c r="B7144" s="10" t="str">
        <f ca="1">IFERROR(__xludf.DUMMYFUNCTION("""COMPUTED_VALUE"""),"Статия в списания и поредици")</f>
        <v>Статия в списания и поредици</v>
      </c>
      <c r="C7144" s="10" t="str">
        <f ca="1">IFERROR(__xludf.DUMMYFUNCTION("""COMPUTED_VALUE"""),"Разкопки на средновековен некропол върху могила №1 от могилен некропол “Белица-Преславци“")</f>
        <v>Разкопки на средновековен некропол върху могила №1 от могилен некропол “Белица-Преславци“</v>
      </c>
      <c r="D7144" s="10">
        <f ca="1">IFERROR(__xludf.DUMMYFUNCTION("""COMPUTED_VALUE"""),1995)</f>
        <v>1995</v>
      </c>
      <c r="E7144" s="10" t="str">
        <f ca="1">IFERROR(__xludf.DUMMYFUNCTION("""COMPUTED_VALUE"""),"Сб.Тутракан в историческото развитие на Добруджа., Тн.,1995, с. 55-60. COBISS.BG-ID - 1030083556")</f>
        <v>Сб.Тутракан в историческото развитие на Добруджа., Тн.,1995, с. 55-60. COBISS.BG-ID - 1030083556</v>
      </c>
      <c r="F7144" s="10"/>
      <c r="G7144" s="10" t="str">
        <f ca="1">IFERROR(__xludf.DUMMYFUNCTION("""COMPUTED_VALUE"""),"Емил Петков")</f>
        <v>Емил Петков</v>
      </c>
      <c r="H7144" s="10"/>
      <c r="I7144" s="10"/>
      <c r="J7144" s="10"/>
      <c r="K7144" s="10"/>
      <c r="L7144" s="10"/>
      <c r="M7144" s="10"/>
      <c r="N7144" s="10"/>
      <c r="O7144" s="10"/>
      <c r="P7144" s="10"/>
      <c r="Q7144" s="10"/>
      <c r="R7144" s="10"/>
      <c r="S7144" s="10"/>
      <c r="T7144" s="10"/>
      <c r="U7144" s="10"/>
      <c r="V7144" s="10"/>
      <c r="W7144" s="10"/>
      <c r="X7144" s="10"/>
      <c r="Y7144" s="10"/>
      <c r="Z7144" s="10"/>
    </row>
    <row r="7145" spans="1:26" ht="12.75">
      <c r="A7145" s="10" t="str">
        <f ca="1">IFERROR(__xludf.DUMMYFUNCTION("""COMPUTED_VALUE"""),"Стефан Огнянов Бакърджиев")</f>
        <v>Стефан Огнянов Бакърджиев</v>
      </c>
      <c r="B7145" s="10" t="str">
        <f ca="1">IFERROR(__xludf.DUMMYFUNCTION("""COMPUTED_VALUE"""),"Статия в списания и поредици")</f>
        <v>Статия в списания и поредици</v>
      </c>
      <c r="C7145" s="10" t="str">
        <f ca="1">IFERROR(__xludf.DUMMYFUNCTION("""COMPUTED_VALUE"""),"Проучвания на тракийски култов комплекс в Източните Родопи (резултати от студентска експедиция “Ардино-93“")</f>
        <v>Проучвания на тракийски култов комплекс в Източните Родопи (резултати от студентска експедиция “Ардино-93“</v>
      </c>
      <c r="D7145" s="10">
        <f ca="1">IFERROR(__xludf.DUMMYFUNCTION("""COMPUTED_VALUE"""),1995)</f>
        <v>1995</v>
      </c>
      <c r="E7145" s="10" t="str">
        <f ca="1">IFERROR(__xludf.DUMMYFUNCTION("""COMPUTED_VALUE"""),"сп. Епохи, год.I, бр.3/4, ВТУ, 1993, с.137-148. 
 ISSN 1310-2141")</f>
        <v>сп. Епохи, год.I, бр.3/4, ВТУ, 1993, с.137-148. 
 ISSN 1310-2141</v>
      </c>
      <c r="F7145" s="10"/>
      <c r="G7145" s="10" t="str">
        <f ca="1">IFERROR(__xludf.DUMMYFUNCTION("""COMPUTED_VALUE"""),"Иван Христов, Таня Киприна, Мария Иванова, Стефан Бакърджиев")</f>
        <v>Иван Христов, Таня Киприна, Мария Иванова, Стефан Бакърджиев</v>
      </c>
      <c r="H7145" s="10"/>
      <c r="I7145" s="10"/>
      <c r="J7145" s="10"/>
      <c r="K7145" s="10"/>
      <c r="L7145" s="10"/>
      <c r="M7145" s="10"/>
      <c r="N7145" s="10"/>
      <c r="O7145" s="10"/>
      <c r="P7145" s="10"/>
      <c r="Q7145" s="10"/>
      <c r="R7145" s="10"/>
      <c r="S7145" s="10"/>
      <c r="T7145" s="10"/>
      <c r="U7145" s="10"/>
      <c r="V7145" s="10"/>
      <c r="W7145" s="10"/>
      <c r="X7145" s="10"/>
      <c r="Y7145" s="10"/>
      <c r="Z7145" s="10"/>
    </row>
    <row r="7146" spans="1:26" ht="12.75">
      <c r="A7146" s="10" t="str">
        <f ca="1">IFERROR(__xludf.DUMMYFUNCTION("""COMPUTED_VALUE"""),"Стефан Огнянов Бакърджиев")</f>
        <v>Стефан Огнянов Бакърджиев</v>
      </c>
      <c r="B7146" s="10" t="str">
        <f ca="1">IFERROR(__xludf.DUMMYFUNCTION("""COMPUTED_VALUE"""),"Статия в списания и поредици")</f>
        <v>Статия в списания и поредици</v>
      </c>
      <c r="C7146" s="10" t="str">
        <f ca="1">IFERROR(__xludf.DUMMYFUNCTION("""COMPUTED_VALUE"""),"Резултати от проучването на могилен некропол в м.“Сакара“")</f>
        <v>Резултати от проучването на могилен некропол в м.“Сакара“</v>
      </c>
      <c r="D7146" s="10">
        <f ca="1">IFERROR(__xludf.DUMMYFUNCTION("""COMPUTED_VALUE"""),1995)</f>
        <v>1995</v>
      </c>
      <c r="E7146" s="10" t="str">
        <f ca="1">IFERROR(__xludf.DUMMYFUNCTION("""COMPUTED_VALUE"""),"Сб.Тутракан в историческото развитие на Добруджа.,Тн., 1995, с.66-71. COBISS.BG-ID - 1030083556")</f>
        <v>Сб.Тутракан в историческото развитие на Добруджа.,Тн., 1995, с.66-71. COBISS.BG-ID - 1030083556</v>
      </c>
      <c r="F7146" s="10"/>
      <c r="G7146" s="10" t="str">
        <f ca="1">IFERROR(__xludf.DUMMYFUNCTION("""COMPUTED_VALUE"""),"Емил Петков")</f>
        <v>Емил Петков</v>
      </c>
      <c r="H7146" s="10"/>
      <c r="I7146" s="10"/>
      <c r="J7146" s="10"/>
      <c r="K7146" s="10"/>
      <c r="L7146" s="10"/>
      <c r="M7146" s="10"/>
      <c r="N7146" s="10"/>
      <c r="O7146" s="10"/>
      <c r="P7146" s="10"/>
      <c r="Q7146" s="10"/>
      <c r="R7146" s="10"/>
      <c r="S7146" s="10"/>
      <c r="T7146" s="10"/>
      <c r="U7146" s="10"/>
      <c r="V7146" s="10"/>
      <c r="W7146" s="10"/>
      <c r="X7146" s="10"/>
      <c r="Y7146" s="10"/>
      <c r="Z7146" s="10"/>
    </row>
    <row r="7147" spans="1:26" ht="12.75">
      <c r="A7147" s="10" t="str">
        <f ca="1">IFERROR(__xludf.DUMMYFUNCTION("""COMPUTED_VALUE"""),"Стефка Янкова Толева-Стоименова")</f>
        <v>Стефка Янкова Толева-Стоименова</v>
      </c>
      <c r="B7147" s="10" t="str">
        <f ca="1">IFERROR(__xludf.DUMMYFUNCTION("""COMPUTED_VALUE"""),"Глава от колективна монография")</f>
        <v>Глава от колективна монография</v>
      </c>
      <c r="C7147" s="10" t="str">
        <f ca="1">IFERROR(__xludf.DUMMYFUNCTION("""COMPUTED_VALUE"""),"Chapter 5. Data Science is Here: Are We Ready to Benefit From the opportunities It Provides?, in Examining the roles of teachers and students in mastering new technologies")</f>
        <v>Chapter 5. Data Science is Here: Are We Ready to Benefit From the opportunities It Provides?, in Examining the roles of teachers and students in mastering new technologies</v>
      </c>
      <c r="D7147" s="10">
        <f ca="1">IFERROR(__xludf.DUMMYFUNCTION("""COMPUTED_VALUE"""),2020)</f>
        <v>2020</v>
      </c>
      <c r="E7147" s="10" t="str">
        <f ca="1">IFERROR(__xludf.DUMMYFUNCTION("""COMPUTED_VALUE"""),"editor Eva Podovsovnik, Advances in Educational Technologies and Instructional Design (AETID) Book Series, pp.108-127, IGI Global, 2020. ISBN 9781799821045, ISBN 9781799821069 (ebook)")</f>
        <v>editor Eva Podovsovnik, Advances in Educational Technologies and Instructional Design (AETID) Book Series, pp.108-127, IGI Global, 2020. ISBN 9781799821045, ISBN 9781799821069 (ebook)</v>
      </c>
      <c r="F7147" s="10"/>
      <c r="G7147" s="10" t="str">
        <f ca="1">IFERROR(__xludf.DUMMYFUNCTION("""COMPUTED_VALUE"""),"Christozov D., K. Rasheva-Yordanova, S. Toleva-Stoimenova")</f>
        <v>Christozov D., K. Rasheva-Yordanova, S. Toleva-Stoimenova</v>
      </c>
      <c r="H7147" s="10"/>
      <c r="I7147" s="10"/>
      <c r="J7147" s="10"/>
      <c r="K7147" s="10"/>
      <c r="L7147" s="10"/>
      <c r="M7147" s="10"/>
      <c r="N7147" s="10"/>
      <c r="O7147" s="10"/>
      <c r="P7147" s="10"/>
      <c r="Q7147" s="10"/>
      <c r="R7147" s="10"/>
      <c r="S7147" s="10"/>
      <c r="T7147" s="10"/>
      <c r="U7147" s="10"/>
      <c r="V7147" s="10"/>
      <c r="W7147" s="10"/>
      <c r="X7147" s="10"/>
      <c r="Y7147" s="10"/>
      <c r="Z7147" s="10"/>
    </row>
    <row r="7148" spans="1:26" ht="12.75">
      <c r="A7148" s="10" t="str">
        <f ca="1">IFERROR(__xludf.DUMMYFUNCTION("""COMPUTED_VALUE"""),"Стефка Янкова Толева-Стоименова")</f>
        <v>Стефка Янкова Толева-Стоименова</v>
      </c>
      <c r="B7148" s="10" t="str">
        <f ca="1">IFERROR(__xludf.DUMMYFUNCTION("""COMPUTED_VALUE"""),"Доклад от конференция")</f>
        <v>Доклад от конференция</v>
      </c>
      <c r="C7148" s="10" t="str">
        <f ca="1">IFERROR(__xludf.DUMMYFUNCTION("""COMPUTED_VALUE"""),"Accessing the Analytical Skills of the Potential Students in Data Science Program: Result from Empirical Study.")</f>
        <v>Accessing the Analytical Skills of the Potential Students in Data Science Program: Result from Empirical Study.</v>
      </c>
      <c r="D7148" s="10">
        <f ca="1">IFERROR(__xludf.DUMMYFUNCTION("""COMPUTED_VALUE"""),2020)</f>
        <v>2020</v>
      </c>
      <c r="E7148" s="10" t="str">
        <f ca="1">IFERROR(__xludf.DUMMYFUNCTION("""COMPUTED_VALUE"""),"Proceedings of INTED 2020, 14th International Technology, Education and Development Conference, 2-4 March, 2020, Valencia, Spain, 7265-7272, ISBN: 978-84-09-17939-8, ISSN: 2340-1079, doi: 10.21125/inted.2020.1917")</f>
        <v>Proceedings of INTED 2020, 14th International Technology, Education and Development Conference, 2-4 March, 2020, Valencia, Spain, 7265-7272, ISBN: 978-84-09-17939-8, ISSN: 2340-1079, doi: 10.21125/inted.2020.1917</v>
      </c>
      <c r="F7148" s="10"/>
      <c r="G7148" s="10" t="str">
        <f ca="1">IFERROR(__xludf.DUMMYFUNCTION("""COMPUTED_VALUE"""),"Toleva-Stoimenova S., K. Rasheva-Yordanova, M. Garvanova")</f>
        <v>Toleva-Stoimenova S., K. Rasheva-Yordanova, M. Garvanova</v>
      </c>
      <c r="H7148" s="10"/>
      <c r="I7148" s="10"/>
      <c r="J7148" s="10"/>
      <c r="K7148" s="10"/>
      <c r="L7148" s="10"/>
      <c r="M7148" s="10"/>
      <c r="N7148" s="10"/>
      <c r="O7148" s="10"/>
      <c r="P7148" s="10"/>
      <c r="Q7148" s="10"/>
      <c r="R7148" s="10"/>
      <c r="S7148" s="10"/>
      <c r="T7148" s="10"/>
      <c r="U7148" s="10"/>
      <c r="V7148" s="10"/>
      <c r="W7148" s="10"/>
      <c r="X7148" s="10"/>
      <c r="Y7148" s="10"/>
      <c r="Z7148" s="10"/>
    </row>
    <row r="7149" spans="1:26" ht="12.75">
      <c r="A7149" s="10" t="str">
        <f ca="1">IFERROR(__xludf.DUMMYFUNCTION("""COMPUTED_VALUE"""),"Стефка Янкова Толева-Стоименова")</f>
        <v>Стефка Янкова Толева-Стоименова</v>
      </c>
      <c r="B7149" s="10" t="str">
        <f ca="1">IFERROR(__xludf.DUMMYFUNCTION("""COMPUTED_VALUE"""),"Доклад от конференция")</f>
        <v>Доклад от конференция</v>
      </c>
      <c r="C7149" s="10" t="str">
        <f ca="1">IFERROR(__xludf.DUMMYFUNCTION("""COMPUTED_VALUE"""),"ENTRY COMPETENCES ASSESSMENT OF DATA SCIENCE POTENTIAL STUDENTS")</f>
        <v>ENTRY COMPETENCES ASSESSMENT OF DATA SCIENCE POTENTIAL STUDENTS</v>
      </c>
      <c r="D7149" s="10">
        <f ca="1">IFERROR(__xludf.DUMMYFUNCTION("""COMPUTED_VALUE"""),2019)</f>
        <v>2019</v>
      </c>
      <c r="E7149" s="10" t="str">
        <f ca="1">IFERROR(__xludf.DUMMYFUNCTION("""COMPUTED_VALUE"""),"Proceedings of INTED2019 Conference 11th-13th March 2019, Valencia, Spain, pp. 4248 - 4256., ISBN: 978-84-09-08619-1")</f>
        <v>Proceedings of INTED2019 Conference 11th-13th March 2019, Valencia, Spain, pp. 4248 - 4256., ISBN: 978-84-09-08619-1</v>
      </c>
      <c r="F7149" s="10"/>
      <c r="G7149" s="10" t="str">
        <f ca="1">IFERROR(__xludf.DUMMYFUNCTION("""COMPUTED_VALUE"""),"Stefka Toleva-Stoimenova, Katia Rasheva-Yordanova, Dimitar Christozov")</f>
        <v>Stefka Toleva-Stoimenova, Katia Rasheva-Yordanova, Dimitar Christozov</v>
      </c>
      <c r="H7149" s="10"/>
      <c r="I7149" s="10"/>
      <c r="J7149" s="10"/>
      <c r="K7149" s="10"/>
      <c r="L7149" s="10"/>
      <c r="M7149" s="10"/>
      <c r="N7149" s="10"/>
      <c r="O7149" s="10"/>
      <c r="P7149" s="10"/>
      <c r="Q7149" s="10"/>
      <c r="R7149" s="10"/>
      <c r="S7149" s="10"/>
      <c r="T7149" s="10"/>
      <c r="U7149" s="10"/>
      <c r="V7149" s="10"/>
      <c r="W7149" s="10"/>
      <c r="X7149" s="10"/>
      <c r="Y7149" s="10"/>
      <c r="Z7149" s="10"/>
    </row>
    <row r="7150" spans="1:26" ht="12.75">
      <c r="A7150" s="10" t="str">
        <f ca="1">IFERROR(__xludf.DUMMYFUNCTION("""COMPUTED_VALUE"""),"Стефка Янкова Толева-Стоименова")</f>
        <v>Стефка Янкова Толева-Стоименова</v>
      </c>
      <c r="B7150" s="10" t="str">
        <f ca="1">IFERROR(__xludf.DUMMYFUNCTION("""COMPUTED_VALUE"""),"Доклад от конференция")</f>
        <v>Доклад от конференция</v>
      </c>
      <c r="C7150" s="10" t="str">
        <f ca="1">IFERROR(__xludf.DUMMYFUNCTION("""COMPUTED_VALUE"""),"ROAD MAP IN DEVELOPING DATA SCIENCE COMPETENCES")</f>
        <v>ROAD MAP IN DEVELOPING DATA SCIENCE COMPETENCES</v>
      </c>
      <c r="D7150" s="10">
        <f ca="1">IFERROR(__xludf.DUMMYFUNCTION("""COMPUTED_VALUE"""),2019)</f>
        <v>2019</v>
      </c>
      <c r="E7150" s="10" t="str">
        <f ca="1">IFERROR(__xludf.DUMMYFUNCTION("""COMPUTED_VALUE"""),"Proceedings of INTED2019 Conference 11th-13th March 2019, Valencia, Spain, pp. 6643 - 6650., ISBN: 978-84-09-08619-1")</f>
        <v>Proceedings of INTED2019 Conference 11th-13th March 2019, Valencia, Spain, pp. 6643 - 6650., ISBN: 978-84-09-08619-1</v>
      </c>
      <c r="F7150" s="10"/>
      <c r="G7150" s="10" t="str">
        <f ca="1">IFERROR(__xludf.DUMMYFUNCTION("""COMPUTED_VALUE"""),"Katia Rasheva-Yordanova, Stefka Toleva-Stoimenova, Dimitar Christozov")</f>
        <v>Katia Rasheva-Yordanova, Stefka Toleva-Stoimenova, Dimitar Christozov</v>
      </c>
      <c r="H7150" s="10"/>
      <c r="I7150" s="10"/>
      <c r="J7150" s="10"/>
      <c r="K7150" s="10"/>
      <c r="L7150" s="10"/>
      <c r="M7150" s="10"/>
      <c r="N7150" s="10"/>
      <c r="O7150" s="10"/>
      <c r="P7150" s="10"/>
      <c r="Q7150" s="10"/>
      <c r="R7150" s="10"/>
      <c r="S7150" s="10"/>
      <c r="T7150" s="10"/>
      <c r="U7150" s="10"/>
      <c r="V7150" s="10"/>
      <c r="W7150" s="10"/>
      <c r="X7150" s="10"/>
      <c r="Y7150" s="10"/>
      <c r="Z7150" s="10"/>
    </row>
    <row r="7151" spans="1:26" ht="12.75">
      <c r="A7151" s="10" t="str">
        <f ca="1">IFERROR(__xludf.DUMMYFUNCTION("""COMPUTED_VALUE"""),"Стефка Янкова Толева-Стоименова")</f>
        <v>Стефка Янкова Толева-Стоименова</v>
      </c>
      <c r="B7151" s="10" t="str">
        <f ca="1">IFERROR(__xludf.DUMMYFUNCTION("""COMPUTED_VALUE"""),"Доклад от конференция")</f>
        <v>Доклад от конференция</v>
      </c>
      <c r="C7151" s="10" t="str">
        <f ca="1">IFERROR(__xludf.DUMMYFUNCTION("""COMPUTED_VALUE"""),"DESIGNING DATA SCIENCE CURRICULUM IN A WAY TO ADDRESS EXPECTED STUDENTS ENTRY COMPETENCES")</f>
        <v>DESIGNING DATA SCIENCE CURRICULUM IN A WAY TO ADDRESS EXPECTED STUDENTS ENTRY COMPETENCES</v>
      </c>
      <c r="D7151" s="10">
        <f ca="1">IFERROR(__xludf.DUMMYFUNCTION("""COMPUTED_VALUE"""),2019)</f>
        <v>2019</v>
      </c>
      <c r="E7151" s="10" t="str">
        <f ca="1">IFERROR(__xludf.DUMMYFUNCTION("""COMPUTED_VALUE"""),"Proceedings of INTED2019 Conference 11th-13th March 2019, Valencia, Spain, pp. 2635 - 2640,ISBN: 978-84-09-08619-1")</f>
        <v>Proceedings of INTED2019 Conference 11th-13th March 2019, Valencia, Spain, pp. 2635 - 2640,ISBN: 978-84-09-08619-1</v>
      </c>
      <c r="F7151" s="10"/>
      <c r="G7151" s="10" t="str">
        <f ca="1">IFERROR(__xludf.DUMMYFUNCTION("""COMPUTED_VALUE"""),"Stefka Toleva-Stoimenova, Katia Rasheva-Yordanova, Dimitar Christozov")</f>
        <v>Stefka Toleva-Stoimenova, Katia Rasheva-Yordanova, Dimitar Christozov</v>
      </c>
      <c r="H7151" s="10"/>
      <c r="I7151" s="10"/>
      <c r="J7151" s="10"/>
      <c r="K7151" s="10"/>
      <c r="L7151" s="10"/>
      <c r="M7151" s="10"/>
      <c r="N7151" s="10"/>
      <c r="O7151" s="10"/>
      <c r="P7151" s="10"/>
      <c r="Q7151" s="10"/>
      <c r="R7151" s="10"/>
      <c r="S7151" s="10"/>
      <c r="T7151" s="10"/>
      <c r="U7151" s="10"/>
      <c r="V7151" s="10"/>
      <c r="W7151" s="10"/>
      <c r="X7151" s="10"/>
      <c r="Y7151" s="10"/>
      <c r="Z7151" s="10"/>
    </row>
    <row r="7152" spans="1:26" ht="12.75">
      <c r="A7152" s="10" t="str">
        <f ca="1">IFERROR(__xludf.DUMMYFUNCTION("""COMPUTED_VALUE"""),"Стефка Янкова Толева-Стоименова")</f>
        <v>Стефка Янкова Толева-Стоименова</v>
      </c>
      <c r="B7152" s="10" t="str">
        <f ca="1">IFERROR(__xludf.DUMMYFUNCTION("""COMPUTED_VALUE"""),"Доклад от конференция")</f>
        <v>Доклад от конференция</v>
      </c>
      <c r="C7152" s="10" t="str">
        <f ca="1">IFERROR(__xludf.DUMMYFUNCTION("""COMPUTED_VALUE"""),"Data Science: Challenges and Trends.")</f>
        <v>Data Science: Challenges and Trends.</v>
      </c>
      <c r="D7152" s="10">
        <f ca="1">IFERROR(__xludf.DUMMYFUNCTION("""COMPUTED_VALUE"""),2019)</f>
        <v>2019</v>
      </c>
      <c r="E7152" s="10" t="str">
        <f ca="1">IFERROR(__xludf.DUMMYFUNCTION("""COMPUTED_VALUE"""),"Proceedings of ICERI2019 Conference 11th-13th November 2019, Seville, Spain. pp. 10935 - 10943. ISBN: 978-84-09-14755-7")</f>
        <v>Proceedings of ICERI2019 Conference 11th-13th November 2019, Seville, Spain. pp. 10935 - 10943. ISBN: 978-84-09-14755-7</v>
      </c>
      <c r="F7152" s="10"/>
      <c r="G7152" s="10" t="str">
        <f ca="1">IFERROR(__xludf.DUMMYFUNCTION("""COMPUTED_VALUE"""),"Rasheva-Yordanova K., Toleva-Stoimenova S., Christozov D.")</f>
        <v>Rasheva-Yordanova K., Toleva-Stoimenova S., Christozov D.</v>
      </c>
      <c r="H7152" s="10"/>
      <c r="I7152" s="10"/>
      <c r="J7152" s="10"/>
      <c r="K7152" s="10"/>
      <c r="L7152" s="10"/>
      <c r="M7152" s="10"/>
      <c r="N7152" s="10"/>
      <c r="O7152" s="10"/>
      <c r="P7152" s="10"/>
      <c r="Q7152" s="10"/>
      <c r="R7152" s="10"/>
      <c r="S7152" s="10"/>
      <c r="T7152" s="10"/>
      <c r="U7152" s="10"/>
      <c r="V7152" s="10"/>
      <c r="W7152" s="10"/>
      <c r="X7152" s="10"/>
      <c r="Y7152" s="10"/>
      <c r="Z7152" s="10"/>
    </row>
    <row r="7153" spans="1:26" ht="12.75">
      <c r="A7153" s="10" t="str">
        <f ca="1">IFERROR(__xludf.DUMMYFUNCTION("""COMPUTED_VALUE"""),"Стефка Янкова Толева-Стоименова")</f>
        <v>Стефка Янкова Толева-Стоименова</v>
      </c>
      <c r="B7153" s="10" t="str">
        <f ca="1">IFERROR(__xludf.DUMMYFUNCTION("""COMPUTED_VALUE"""),"Монография")</f>
        <v>Монография</v>
      </c>
      <c r="C7153" s="10" t="str">
        <f ca="1">IFERROR(__xludf.DUMMYFUNCTION("""COMPUTED_VALUE"""),"Изграждане на Data Science компетентност за преодоляване на дигиталното неравенство")</f>
        <v>Изграждане на Data Science компетентност за преодоляване на дигиталното неравенство</v>
      </c>
      <c r="D7153" s="10">
        <f ca="1">IFERROR(__xludf.DUMMYFUNCTION("""COMPUTED_VALUE"""),2019)</f>
        <v>2019</v>
      </c>
      <c r="E7153" s="10" t="str">
        <f ca="1">IFERROR(__xludf.DUMMYFUNCTION("""COMPUTED_VALUE"""),"София: За буквите – О писменехь, 2019,ISBN 978-619-185-392-2")</f>
        <v>София: За буквите – О писменехь, 2019,ISBN 978-619-185-392-2</v>
      </c>
      <c r="F7153" s="10"/>
      <c r="G7153" s="10" t="str">
        <f ca="1">IFERROR(__xludf.DUMMYFUNCTION("""COMPUTED_VALUE"""),"Katia Rasheva-Yordanova, Stefka Toleva-Stoimenova")</f>
        <v>Katia Rasheva-Yordanova, Stefka Toleva-Stoimenova</v>
      </c>
      <c r="H7153" s="10"/>
      <c r="I7153" s="10"/>
      <c r="J7153" s="10"/>
      <c r="K7153" s="10"/>
      <c r="L7153" s="10"/>
      <c r="M7153" s="10"/>
      <c r="N7153" s="10"/>
      <c r="O7153" s="10"/>
      <c r="P7153" s="10"/>
      <c r="Q7153" s="10"/>
      <c r="R7153" s="10"/>
      <c r="S7153" s="10"/>
      <c r="T7153" s="10"/>
      <c r="U7153" s="10"/>
      <c r="V7153" s="10"/>
      <c r="W7153" s="10"/>
      <c r="X7153" s="10"/>
      <c r="Y7153" s="10"/>
      <c r="Z7153" s="10"/>
    </row>
    <row r="7154" spans="1:26" ht="12.75">
      <c r="A7154" s="10" t="str">
        <f ca="1">IFERROR(__xludf.DUMMYFUNCTION("""COMPUTED_VALUE"""),"Стефка Янкова Толева-Стоименова")</f>
        <v>Стефка Янкова Толева-Стоименова</v>
      </c>
      <c r="B7154" s="10" t="str">
        <f ca="1">IFERROR(__xludf.DUMMYFUNCTION("""COMPUTED_VALUE"""),"Доклад от конференция")</f>
        <v>Доклад от конференция</v>
      </c>
      <c r="C7154" s="10" t="str">
        <f ca="1">IFERROR(__xludf.DUMMYFUNCTION("""COMPUTED_VALUE"""),"Формиране на Data Science компетентност за преодоляване на дигиталното неравенство")</f>
        <v>Формиране на Data Science компетентност за преодоляване на дигиталното неравенство</v>
      </c>
      <c r="D7154" s="10">
        <f ca="1">IFERROR(__xludf.DUMMYFUNCTION("""COMPUTED_VALUE"""),2019)</f>
        <v>2019</v>
      </c>
      <c r="E7154" s="10" t="str">
        <f ca="1">IFERROR(__xludf.DUMMYFUNCTION("""COMPUTED_VALUE"""),"Обществото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f>
        <v>Обществото на знанието и хуманизмът на XXI век: XVI национална научна конференция с международно участие София, 1 ноември 2018 г. София: За буквите – О писменехь, 2019,</v>
      </c>
      <c r="F7154" s="10"/>
      <c r="G7154" s="10"/>
      <c r="H7154" s="10"/>
      <c r="I7154" s="10"/>
      <c r="J7154" s="10"/>
      <c r="K7154" s="10"/>
      <c r="L7154" s="10"/>
      <c r="M7154" s="10"/>
      <c r="N7154" s="10"/>
      <c r="O7154" s="10"/>
      <c r="P7154" s="10"/>
      <c r="Q7154" s="10"/>
      <c r="R7154" s="10"/>
      <c r="S7154" s="10"/>
      <c r="T7154" s="10"/>
      <c r="U7154" s="10"/>
      <c r="V7154" s="10"/>
      <c r="W7154" s="10"/>
      <c r="X7154" s="10"/>
      <c r="Y7154" s="10"/>
      <c r="Z7154" s="10"/>
    </row>
    <row r="7155" spans="1:26" ht="12.75">
      <c r="A7155" s="10" t="str">
        <f ca="1">IFERROR(__xludf.DUMMYFUNCTION("""COMPUTED_VALUE"""),"Стефка Янкова Толева-Стоименова")</f>
        <v>Стефка Янкова Толева-Стоименова</v>
      </c>
      <c r="B7155" s="10" t="str">
        <f ca="1">IFERROR(__xludf.DUMMYFUNCTION("""COMPUTED_VALUE"""),"Монография")</f>
        <v>Монография</v>
      </c>
      <c r="C7155" s="10" t="str">
        <f ca="1">IFERROR(__xludf.DUMMYFUNCTION("""COMPUTED_VALUE"""),"Изграждане на Data Science компетентност за преодоляване на дигиталното неравенство")</f>
        <v>Изграждане на Data Science компетентност за преодоляване на дигиталното неравенство</v>
      </c>
      <c r="D7155" s="10">
        <f ca="1">IFERROR(__xludf.DUMMYFUNCTION("""COMPUTED_VALUE"""),2019)</f>
        <v>2019</v>
      </c>
      <c r="E7155" s="10" t="str">
        <f ca="1">IFERROR(__xludf.DUMMYFUNCTION("""COMPUTED_VALUE"""),"София: За буквите – О писменехь, 2019, ISBN 978-619-185-393-9")</f>
        <v>София: За буквите – О писменехь, 2019, ISBN 978-619-185-393-9</v>
      </c>
      <c r="F7155" s="10"/>
      <c r="G7155" s="10" t="str">
        <f ca="1">IFERROR(__xludf.DUMMYFUNCTION("""COMPUTED_VALUE"""),"Katia Rasheva-Yordanova, Stefka Toleva-Stoimenova")</f>
        <v>Katia Rasheva-Yordanova, Stefka Toleva-Stoimenova</v>
      </c>
      <c r="H7155" s="10"/>
      <c r="I7155" s="10"/>
      <c r="J7155" s="10"/>
      <c r="K7155" s="10"/>
      <c r="L7155" s="10"/>
      <c r="M7155" s="10"/>
      <c r="N7155" s="10"/>
      <c r="O7155" s="10"/>
      <c r="P7155" s="10"/>
      <c r="Q7155" s="10"/>
      <c r="R7155" s="10"/>
      <c r="S7155" s="10"/>
      <c r="T7155" s="10"/>
      <c r="U7155" s="10"/>
      <c r="V7155" s="10"/>
      <c r="W7155" s="10"/>
      <c r="X7155" s="10"/>
      <c r="Y7155" s="10"/>
      <c r="Z7155" s="10"/>
    </row>
    <row r="7156" spans="1:26" ht="12.75">
      <c r="A7156" s="10" t="str">
        <f ca="1">IFERROR(__xludf.DUMMYFUNCTION("""COMPUTED_VALUE"""),"Стефка Янкова Толева-Стоименова")</f>
        <v>Стефка Янкова Толева-Стоименова</v>
      </c>
      <c r="B7156" s="10" t="str">
        <f ca="1">IFERROR(__xludf.DUMMYFUNCTION("""COMPUTED_VALUE"""),"Доклад от конференция")</f>
        <v>Доклад от конференция</v>
      </c>
      <c r="C7156" s="10" t="str">
        <f ca="1">IFERROR(__xludf.DUMMYFUNCTION("""COMPUTED_VALUE"""),"ГOЛЕМИ ДАННИ – ОСНОВНИ ХАРАКТЕРИСТИКИ И ПРИЛОЖЕНИЯ")</f>
        <v>ГOЛЕМИ ДАННИ – ОСНОВНИ ХАРАКТЕРИСТИКИ И ПРИЛОЖЕНИЯ</v>
      </c>
      <c r="D7156" s="10">
        <f ca="1">IFERROR(__xludf.DUMMYFUNCTION("""COMPUTED_VALUE"""),2019)</f>
        <v>2019</v>
      </c>
      <c r="E7156" s="10" t="str">
        <f ca="1">IFERROR(__xludf.DUMMYFUNCTION("""COMPUTED_VALUE"""),"Обществото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f>
        <v>Обществото на знанието и хуманизмът на XXI век: XVII национална научна конференция с международно участие София, 1 ноември 2019 г. София: За буквите – О писменехь, 2019</v>
      </c>
      <c r="F7156" s="10"/>
      <c r="G7156" s="10"/>
      <c r="H7156" s="10"/>
      <c r="I7156" s="10"/>
      <c r="J7156" s="10"/>
      <c r="K7156" s="10"/>
      <c r="L7156" s="10"/>
      <c r="M7156" s="10"/>
      <c r="N7156" s="10"/>
      <c r="O7156" s="10"/>
      <c r="P7156" s="10"/>
      <c r="Q7156" s="10"/>
      <c r="R7156" s="10"/>
      <c r="S7156" s="10"/>
      <c r="T7156" s="10"/>
      <c r="U7156" s="10"/>
      <c r="V7156" s="10"/>
      <c r="W7156" s="10"/>
      <c r="X7156" s="10"/>
      <c r="Y7156" s="10"/>
      <c r="Z7156" s="10"/>
    </row>
    <row r="7157" spans="1:26" ht="12.75">
      <c r="A7157" s="10" t="str">
        <f ca="1">IFERROR(__xludf.DUMMYFUNCTION("""COMPUTED_VALUE"""),"Стефка Янкова Толева-Стоименова")</f>
        <v>Стефка Янкова Толева-Стоименова</v>
      </c>
      <c r="B7157" s="10" t="str">
        <f ca="1">IFERROR(__xludf.DUMMYFUNCTION("""COMPUTED_VALUE"""),"Доклад от конференция")</f>
        <v>Доклад от конференция</v>
      </c>
      <c r="C7157" s="10" t="str">
        <f ca="1">IFERROR(__xludf.DUMMYFUNCTION("""COMPUTED_VALUE"""),"ЕТИЧНИ АСПЕКТИ ПРИ АНАЛИЗ НА ДАННИ ВЪВ ВРЪЗКА С ЕВРОПЕЙСКИ РЕГЛАМЕНТ ЗА ЗАЩИТА НА ЛИЧНИТЕ ДАННИ")</f>
        <v>ЕТИЧНИ АСПЕКТИ ПРИ АНАЛИЗ НА ДАННИ ВЪВ ВРЪЗКА С ЕВРОПЕЙСКИ РЕГЛАМЕНТ ЗА ЗАЩИТА НА ЛИЧНИТЕ ДАННИ</v>
      </c>
      <c r="D7157" s="10">
        <f ca="1">IFERROR(__xludf.DUMMYFUNCTION("""COMPUTED_VALUE"""),2019)</f>
        <v>2019</v>
      </c>
      <c r="E7157" s="10" t="str">
        <f ca="1">IFERROR(__xludf.DUMMYFUNCTION("""COMPUTED_VALUE"""),"Сборник с доклади от НАЦИОНАЛЕН СЕМИНАР «ИНТЕЛЕКТУАЛНАТА СОБСТВЕНОСТ И ДИГИТАЛНИТЕ ХОРА» 24 април 2019 г.")</f>
        <v>Сборник с доклади от НАЦИОНАЛЕН СЕМИНАР «ИНТЕЛЕКТУАЛНАТА СОБСТВЕНОСТ И ДИГИТАЛНИТЕ ХОРА» 24 април 2019 г.</v>
      </c>
      <c r="F7157" s="10"/>
      <c r="G7157" s="10"/>
      <c r="H7157" s="10"/>
      <c r="I7157" s="10"/>
      <c r="J7157" s="10"/>
      <c r="K7157" s="10"/>
      <c r="L7157" s="10"/>
      <c r="M7157" s="10"/>
      <c r="N7157" s="10"/>
      <c r="O7157" s="10"/>
      <c r="P7157" s="10"/>
      <c r="Q7157" s="10"/>
      <c r="R7157" s="10"/>
      <c r="S7157" s="10"/>
      <c r="T7157" s="10"/>
      <c r="U7157" s="10"/>
      <c r="V7157" s="10"/>
      <c r="W7157" s="10"/>
      <c r="X7157" s="10"/>
      <c r="Y7157" s="10"/>
      <c r="Z7157" s="10"/>
    </row>
    <row r="7158" spans="1:26" ht="12.75">
      <c r="A7158" s="10" t="str">
        <f ca="1">IFERROR(__xludf.DUMMYFUNCTION("""COMPUTED_VALUE"""),"Стефка Янкова Толева-Стоименова")</f>
        <v>Стефка Янкова Толева-Стоименова</v>
      </c>
      <c r="B7158" s="10" t="str">
        <f ca="1">IFERROR(__xludf.DUMMYFUNCTION("""COMPUTED_VALUE"""),"Доклад от конференция")</f>
        <v>Доклад от конференция</v>
      </c>
      <c r="C7158" s="10" t="str">
        <f ca="1">IFERROR(__xludf.DUMMYFUNCTION("""COMPUTED_VALUE"""),"Experience and Expertise of Data Science Area Specialists.")</f>
        <v>Experience and Expertise of Data Science Area Specialists.</v>
      </c>
      <c r="D7158" s="10">
        <f ca="1">IFERROR(__xludf.DUMMYFUNCTION("""COMPUTED_VALUE"""),2019)</f>
        <v>2019</v>
      </c>
      <c r="E7158" s="10" t="str">
        <f ca="1">IFERROR(__xludf.DUMMYFUNCTION("""COMPUTED_VALUE"""),"Fourth scientific conference 27th November, 2018, European Parliament in Brussels. pp. 156-164. ISSN: 2535-0250")</f>
        <v>Fourth scientific conference 27th November, 2018, European Parliament in Brussels. pp. 156-164. ISSN: 2535-0250</v>
      </c>
      <c r="F7158" s="10"/>
      <c r="G7158" s="10" t="str">
        <f ca="1">IFERROR(__xludf.DUMMYFUNCTION("""COMPUTED_VALUE"""),"Rasheva-Yordanova К., S. Toleva-Stoimenova, D. Christozov, V. Chantov, B. Nikolova.")</f>
        <v>Rasheva-Yordanova К., S. Toleva-Stoimenova, D. Christozov, V. Chantov, B. Nikolova.</v>
      </c>
      <c r="H7158" s="10"/>
      <c r="I7158" s="10"/>
      <c r="J7158" s="10"/>
      <c r="K7158" s="10"/>
      <c r="L7158" s="10"/>
      <c r="M7158" s="10"/>
      <c r="N7158" s="10"/>
      <c r="O7158" s="10"/>
      <c r="P7158" s="10"/>
      <c r="Q7158" s="10"/>
      <c r="R7158" s="10"/>
      <c r="S7158" s="10"/>
      <c r="T7158" s="10"/>
      <c r="U7158" s="10"/>
      <c r="V7158" s="10"/>
      <c r="W7158" s="10"/>
      <c r="X7158" s="10"/>
      <c r="Y7158" s="10"/>
      <c r="Z7158" s="10"/>
    </row>
    <row r="7159" spans="1:26" ht="12.75">
      <c r="A7159" s="10" t="str">
        <f ca="1">IFERROR(__xludf.DUMMYFUNCTION("""COMPUTED_VALUE"""),"Стефка Янкова Толева-Стоименова")</f>
        <v>Стефка Янкова Толева-Стоименова</v>
      </c>
      <c r="B7159" s="10" t="str">
        <f ca="1">IFERROR(__xludf.DUMMYFUNCTION("""COMPUTED_VALUE"""),"Статия в списания и поредици")</f>
        <v>Статия в списания и поредици</v>
      </c>
      <c r="C7159" s="10" t="str">
        <f ca="1">IFERROR(__xludf.DUMMYFUNCTION("""COMPUTED_VALUE"""),"CHALLENGES IN DESIGNING CURRICULUM FOR TRANS-DISCIPLINARY EDUCATION: ON CASES OF DESIGNING CONCENTRATION ON INFORMING SCIENCE AND MASTER PROGRAM ON DATA SCIENCE")</f>
        <v>CHALLENGES IN DESIGNING CURRICULUM FOR TRANS-DISCIPLINARY EDUCATION: ON CASES OF DESIGNING CONCENTRATION ON INFORMING SCIENCE AND MASTER PROGRAM ON DATA SCIENCE</v>
      </c>
      <c r="D7159" s="10">
        <f ca="1">IFERROR(__xludf.DUMMYFUNCTION("""COMPUTED_VALUE"""),2019)</f>
        <v>2019</v>
      </c>
      <c r="E7159" s="10" t="str">
        <f ca="1">IFERROR(__xludf.DUMMYFUNCTION("""COMPUTED_VALUE"""),"Informing Science: The International Journal of an Emerging Transdiscipline, Volume 22, 2019, pp. 019-030, https://doi.org/10.28945/4300")</f>
        <v>Informing Science: The International Journal of an Emerging Transdiscipline, Volume 22, 2019, pp. 019-030, https://doi.org/10.28945/4300</v>
      </c>
      <c r="F7159" s="10"/>
      <c r="G7159" s="10" t="str">
        <f ca="1">IFERROR(__xludf.DUMMYFUNCTION("""COMPUTED_VALUE"""),"Dimitar Christozov, Katia Rasheva-Yordanova, Stefka Toleva-Stoimenova")</f>
        <v>Dimitar Christozov, Katia Rasheva-Yordanova, Stefka Toleva-Stoimenova</v>
      </c>
      <c r="H7159" s="10"/>
      <c r="I7159" s="10"/>
      <c r="J7159" s="10"/>
      <c r="K7159" s="10"/>
      <c r="L7159" s="10"/>
      <c r="M7159" s="10"/>
      <c r="N7159" s="10"/>
      <c r="O7159" s="10"/>
      <c r="P7159" s="10"/>
      <c r="Q7159" s="10"/>
      <c r="R7159" s="10"/>
      <c r="S7159" s="10"/>
      <c r="T7159" s="10"/>
      <c r="U7159" s="10"/>
      <c r="V7159" s="10"/>
      <c r="W7159" s="10"/>
      <c r="X7159" s="10"/>
      <c r="Y7159" s="10"/>
      <c r="Z7159" s="10"/>
    </row>
    <row r="7160" spans="1:26" ht="12.75">
      <c r="A7160" s="10" t="str">
        <f ca="1">IFERROR(__xludf.DUMMYFUNCTION("""COMPUTED_VALUE"""),"Стефка Янкова Толева-Стоименова")</f>
        <v>Стефка Янкова Толева-Стоименова</v>
      </c>
      <c r="B7160" s="10" t="str">
        <f ca="1">IFERROR(__xludf.DUMMYFUNCTION("""COMPUTED_VALUE"""),"Доклад от конференция")</f>
        <v>Доклад от конференция</v>
      </c>
      <c r="C7160" s="10" t="str">
        <f ca="1">IFERROR(__xludf.DUMMYFUNCTION("""COMPUTED_VALUE"""),"INTRODUCTION OF EMERGING TECHNOLOGY INTO HIGHER EDUCATION CURRICULUM: THE CASE OF BLOCKCHAIN TECHNOLOGY AS PART OF DATA SCIENCE MASTER PROGRAM")</f>
        <v>INTRODUCTION OF EMERGING TECHNOLOGY INTO HIGHER EDUCATION CURRICULUM: THE CASE OF BLOCKCHAIN TECHNOLOGY AS PART OF DATA SCIENCE MASTER PROGRAM</v>
      </c>
      <c r="D7160" s="10">
        <f ca="1">IFERROR(__xludf.DUMMYFUNCTION("""COMPUTED_VALUE"""),2019)</f>
        <v>2019</v>
      </c>
      <c r="E7160" s="10" t="str">
        <f ca="1">IFERROR(__xludf.DUMMYFUNCTION("""COMPUTED_VALUE"""),"Proceeding of 9th International Conference The Future of Education, 2019. pp. 186-190, ISBN 978-88-85813-45-8")</f>
        <v>Proceeding of 9th International Conference The Future of Education, 2019. pp. 186-190, ISBN 978-88-85813-45-8</v>
      </c>
      <c r="F7160" s="10"/>
      <c r="G7160" s="10" t="str">
        <f ca="1">IFERROR(__xludf.DUMMYFUNCTION("""COMPUTED_VALUE"""),"Stefka Toleva-Stoimenova, Katia Rasheva-Yordanova, Dimitar Christozov")</f>
        <v>Stefka Toleva-Stoimenova, Katia Rasheva-Yordanova, Dimitar Christozov</v>
      </c>
      <c r="H7160" s="10"/>
      <c r="I7160" s="10"/>
      <c r="J7160" s="10"/>
      <c r="K7160" s="10"/>
      <c r="L7160" s="10"/>
      <c r="M7160" s="10"/>
      <c r="N7160" s="10"/>
      <c r="O7160" s="10"/>
      <c r="P7160" s="10"/>
      <c r="Q7160" s="10"/>
      <c r="R7160" s="10"/>
      <c r="S7160" s="10"/>
      <c r="T7160" s="10"/>
      <c r="U7160" s="10"/>
      <c r="V7160" s="10"/>
      <c r="W7160" s="10"/>
      <c r="X7160" s="10"/>
      <c r="Y7160" s="10"/>
      <c r="Z7160" s="10"/>
    </row>
    <row r="7161" spans="1:26" ht="12.75">
      <c r="A7161" s="10" t="str">
        <f ca="1">IFERROR(__xludf.DUMMYFUNCTION("""COMPUTED_VALUE"""),"Стефка Янкова Толева-Стоименова")</f>
        <v>Стефка Янкова Толева-Стоименова</v>
      </c>
      <c r="B7161" s="10" t="str">
        <f ca="1">IFERROR(__xludf.DUMMYFUNCTION("""COMPUTED_VALUE"""),"Доклад от конференция")</f>
        <v>Доклад от конференция</v>
      </c>
      <c r="C7161" s="10" t="str">
        <f ca="1">IFERROR(__xludf.DUMMYFUNCTION("""COMPUTED_VALUE"""),"ASSESSING THE ENTRY COMPETENCES OF DATA SCIENCE MASTER PROGRAM POTENTIAL STUDENTS")</f>
        <v>ASSESSING THE ENTRY COMPETENCES OF DATA SCIENCE MASTER PROGRAM POTENTIAL STUDENTS</v>
      </c>
      <c r="D7161" s="10">
        <f ca="1">IFERROR(__xludf.DUMMYFUNCTION("""COMPUTED_VALUE"""),2019)</f>
        <v>2019</v>
      </c>
      <c r="E7161" s="10" t="str">
        <f ca="1">IFERROR(__xludf.DUMMYFUNCTION("""COMPUTED_VALUE"""),"Proceedings of EDULEARN19 Conference 1st-3rd July 2019, Palma, Mallorca, Spain. pp. 4389-4394., ISBN: 978-84-09-12031-4.")</f>
        <v>Proceedings of EDULEARN19 Conference 1st-3rd July 2019, Palma, Mallorca, Spain. pp. 4389-4394., ISBN: 978-84-09-12031-4.</v>
      </c>
      <c r="F7161" s="10"/>
      <c r="G7161" s="10" t="str">
        <f ca="1">IFERROR(__xludf.DUMMYFUNCTION("""COMPUTED_VALUE"""),"Katia Rasheva-Yordanova, Stefka Toleva-Stoimenova, Dimitar Christozov, Iva Kostadinova, Boriana Nikolova")</f>
        <v>Katia Rasheva-Yordanova, Stefka Toleva-Stoimenova, Dimitar Christozov, Iva Kostadinova, Boriana Nikolova</v>
      </c>
      <c r="H7161" s="10"/>
      <c r="I7161" s="10"/>
      <c r="J7161" s="10"/>
      <c r="K7161" s="10"/>
      <c r="L7161" s="10"/>
      <c r="M7161" s="10"/>
      <c r="N7161" s="10"/>
      <c r="O7161" s="10"/>
      <c r="P7161" s="10"/>
      <c r="Q7161" s="10"/>
      <c r="R7161" s="10"/>
      <c r="S7161" s="10"/>
      <c r="T7161" s="10"/>
      <c r="U7161" s="10"/>
      <c r="V7161" s="10"/>
      <c r="W7161" s="10"/>
      <c r="X7161" s="10"/>
      <c r="Y7161" s="10"/>
      <c r="Z7161" s="10"/>
    </row>
    <row r="7162" spans="1:26" ht="12.75">
      <c r="A7162" s="10" t="str">
        <f ca="1">IFERROR(__xludf.DUMMYFUNCTION("""COMPUTED_VALUE"""),"Стефка Янкова Толева-Стоименова")</f>
        <v>Стефка Янкова Толева-Стоименова</v>
      </c>
      <c r="B7162" s="10" t="str">
        <f ca="1">IFERROR(__xludf.DUMMYFUNCTION("""COMPUTED_VALUE"""),"Учебник")</f>
        <v>Учебник</v>
      </c>
      <c r="C7162" s="10" t="str">
        <f ca="1">IFERROR(__xludf.DUMMYFUNCTION("""COMPUTED_VALUE"""),"Дискретна математика. Теоретични основи на информатиката. Второ преработено и допълнено издание.")</f>
        <v>Дискретна математика. Теоретични основи на информатиката. Второ преработено и допълнено издание.</v>
      </c>
      <c r="D7162" s="10">
        <f ca="1">IFERROR(__xludf.DUMMYFUNCTION("""COMPUTED_VALUE"""),2018)</f>
        <v>2018</v>
      </c>
      <c r="E7162" s="10" t="str">
        <f ca="1">IFERROR(__xludf.DUMMYFUNCTION("""COMPUTED_VALUE"""),"Сиела Норма АД ISBN 978-954-28-2743-6, София, 2018.")</f>
        <v>Сиела Норма АД ISBN 978-954-28-2743-6, София, 2018.</v>
      </c>
      <c r="F7162" s="10"/>
      <c r="G7162" s="10" t="str">
        <f ca="1">IFERROR(__xludf.DUMMYFUNCTION("""COMPUTED_VALUE"""),"Светла Бойчева")</f>
        <v>Светла Бойчева</v>
      </c>
      <c r="H7162" s="10"/>
      <c r="I7162" s="10"/>
      <c r="J7162" s="10"/>
      <c r="K7162" s="10"/>
      <c r="L7162" s="10"/>
      <c r="M7162" s="10"/>
      <c r="N7162" s="10"/>
      <c r="O7162" s="10"/>
      <c r="P7162" s="10"/>
      <c r="Q7162" s="10"/>
      <c r="R7162" s="10"/>
      <c r="S7162" s="10"/>
      <c r="T7162" s="10"/>
      <c r="U7162" s="10"/>
      <c r="V7162" s="10"/>
      <c r="W7162" s="10"/>
      <c r="X7162" s="10"/>
      <c r="Y7162" s="10"/>
      <c r="Z7162" s="10"/>
    </row>
    <row r="7163" spans="1:26" ht="12.75">
      <c r="A7163" s="10" t="str">
        <f ca="1">IFERROR(__xludf.DUMMYFUNCTION("""COMPUTED_VALUE"""),"Стефка Янкова Толева-Стоименова")</f>
        <v>Стефка Янкова Толева-Стоименова</v>
      </c>
      <c r="B7163" s="10" t="str">
        <f ca="1">IFERROR(__xludf.DUMMYFUNCTION("""COMPUTED_VALUE"""),"Доклад от конференция")</f>
        <v>Доклад от конференция</v>
      </c>
      <c r="C7163" s="10" t="str">
        <f ca="1">IFERROR(__xludf.DUMMYFUNCTION("""COMPUTED_VALUE"""),"New Dimensions Of Data Science Professional Skills As Emerged By Identified Ethical Issues: GDPR.")</f>
        <v>New Dimensions Of Data Science Professional Skills As Emerged By Identified Ethical Issues: GDPR.</v>
      </c>
      <c r="D7163" s="10">
        <f ca="1">IFERROR(__xludf.DUMMYFUNCTION("""COMPUTED_VALUE"""),2018)</f>
        <v>2018</v>
      </c>
      <c r="E7163" s="10" t="str">
        <f ca="1">IFERROR(__xludf.DUMMYFUNCTION("""COMPUTED_VALUE"""),"Proceedings of ICERI2018 Conference 12th-14th November 2018, Seville, Spain. pp. 0488-0497. ISBN: 978-84-09-05948-5")</f>
        <v>Proceedings of ICERI2018 Conference 12th-14th November 2018, Seville, Spain. pp. 0488-0497. ISBN: 978-84-09-05948-5</v>
      </c>
      <c r="F7163" s="10" t="str">
        <f ca="1">IFERROR(__xludf.DUMMYFUNCTION("""COMPUTED_VALUE"""),"Web of Science")</f>
        <v>Web of Science</v>
      </c>
      <c r="G7163" s="10" t="str">
        <f ca="1">IFERROR(__xludf.DUMMYFUNCTION("""COMPUTED_VALUE"""),"Dimitar Christozov, Katia Rasheva-Yordanova")</f>
        <v>Dimitar Christozov, Katia Rasheva-Yordanova</v>
      </c>
      <c r="H7163" s="10"/>
      <c r="I7163" s="10"/>
      <c r="J7163" s="10"/>
      <c r="K7163" s="10"/>
      <c r="L7163" s="10"/>
      <c r="M7163" s="10"/>
      <c r="N7163" s="10"/>
      <c r="O7163" s="10"/>
      <c r="P7163" s="10"/>
      <c r="Q7163" s="10"/>
      <c r="R7163" s="10"/>
      <c r="S7163" s="10"/>
      <c r="T7163" s="10"/>
      <c r="U7163" s="10"/>
      <c r="V7163" s="10"/>
      <c r="W7163" s="10"/>
      <c r="X7163" s="10"/>
      <c r="Y7163" s="10"/>
      <c r="Z7163" s="10"/>
    </row>
    <row r="7164" spans="1:26" ht="12.75">
      <c r="A7164" s="10" t="str">
        <f ca="1">IFERROR(__xludf.DUMMYFUNCTION("""COMPUTED_VALUE"""),"Стефка Янкова Толева-Стоименова")</f>
        <v>Стефка Янкова Толева-Стоименова</v>
      </c>
      <c r="B7164" s="10" t="str">
        <f ca="1">IFERROR(__xludf.DUMMYFUNCTION("""COMPUTED_VALUE"""),"Доклад от конференция")</f>
        <v>Доклад от конференция</v>
      </c>
      <c r="C7164" s="10" t="str">
        <f ca="1">IFERROR(__xludf.DUMMYFUNCTION("""COMPUTED_VALUE"""),"Analytical competences in big data era: taxonomy.")</f>
        <v>Analytical competences in big data era: taxonomy.</v>
      </c>
      <c r="D7164" s="10">
        <f ca="1">IFERROR(__xludf.DUMMYFUNCTION("""COMPUTED_VALUE"""),2018)</f>
        <v>2018</v>
      </c>
      <c r="E7164" s="10" t="str">
        <f ca="1">IFERROR(__xludf.DUMMYFUNCTION("""COMPUTED_VALUE"""),"Proceedings of ICERI2018 Conference. 12th-14th November 2018, Seville, Spain. pp. 7182-7191, ISBN: 978-84-09-05948-5.")</f>
        <v>Proceedings of ICERI2018 Conference. 12th-14th November 2018, Seville, Spain. pp. 7182-7191, ISBN: 978-84-09-05948-5.</v>
      </c>
      <c r="F7164" s="10" t="str">
        <f ca="1">IFERROR(__xludf.DUMMYFUNCTION("""COMPUTED_VALUE"""),"Web of Science")</f>
        <v>Web of Science</v>
      </c>
      <c r="G7164" s="10" t="str">
        <f ca="1">IFERROR(__xludf.DUMMYFUNCTION("""COMPUTED_VALUE"""),"Dimitar Christozov, Katia Rasheva-Yordanova")</f>
        <v>Dimitar Christozov, Katia Rasheva-Yordanova</v>
      </c>
      <c r="H7164" s="10"/>
      <c r="I7164" s="10"/>
      <c r="J7164" s="10"/>
      <c r="K7164" s="10"/>
      <c r="L7164" s="10"/>
      <c r="M7164" s="10"/>
      <c r="N7164" s="10"/>
      <c r="O7164" s="10"/>
      <c r="P7164" s="10"/>
      <c r="Q7164" s="10"/>
      <c r="R7164" s="10"/>
      <c r="S7164" s="10"/>
      <c r="T7164" s="10"/>
      <c r="U7164" s="10"/>
      <c r="V7164" s="10"/>
      <c r="W7164" s="10"/>
      <c r="X7164" s="10"/>
      <c r="Y7164" s="10"/>
      <c r="Z7164" s="10"/>
    </row>
    <row r="7165" spans="1:26" ht="12.75">
      <c r="A7165" s="10" t="str">
        <f ca="1">IFERROR(__xludf.DUMMYFUNCTION("""COMPUTED_VALUE"""),"Стефка Янкова Толева-Стоименова")</f>
        <v>Стефка Янкова Толева-Стоименова</v>
      </c>
      <c r="B7165" s="10" t="str">
        <f ca="1">IFERROR(__xludf.DUMMYFUNCTION("""COMPUTED_VALUE"""),"Доклад от конференция")</f>
        <v>Доклад от конференция</v>
      </c>
      <c r="C7165" s="10" t="str">
        <f ca="1">IFERROR(__xludf.DUMMYFUNCTION("""COMPUTED_VALUE"""),"Risks Management In Data Science Training")</f>
        <v>Risks Management In Data Science Training</v>
      </c>
      <c r="D7165" s="10">
        <f ca="1">IFERROR(__xludf.DUMMYFUNCTION("""COMPUTED_VALUE"""),2018)</f>
        <v>2018</v>
      </c>
      <c r="E7165" s="10" t="str">
        <f ca="1">IFERROR(__xludf.DUMMYFUNCTION("""COMPUTED_VALUE"""),"Пета регионална международна конференция применьена заштита и ньени трендови, Златибор, 8-10 октобар, 2018, Зборник радова, 133-141 ISBN 978-86-80048-10-9")</f>
        <v>Пета регионална международна конференция применьена заштита и ньени трендови, Златибор, 8-10 октобар, 2018, Зборник радова, 133-141 ISBN 978-86-80048-10-9</v>
      </c>
      <c r="F7165" s="10"/>
      <c r="G7165" s="10" t="str">
        <f ca="1">IFERROR(__xludf.DUMMYFUNCTION("""COMPUTED_VALUE"""),"Dimitar Christozov, Katia Rasheva-Yordanova")</f>
        <v>Dimitar Christozov, Katia Rasheva-Yordanova</v>
      </c>
      <c r="H7165" s="10"/>
      <c r="I7165" s="10"/>
      <c r="J7165" s="10"/>
      <c r="K7165" s="10"/>
      <c r="L7165" s="10"/>
      <c r="M7165" s="10"/>
      <c r="N7165" s="10"/>
      <c r="O7165" s="10"/>
      <c r="P7165" s="10"/>
      <c r="Q7165" s="10"/>
      <c r="R7165" s="10"/>
      <c r="S7165" s="10"/>
      <c r="T7165" s="10"/>
      <c r="U7165" s="10"/>
      <c r="V7165" s="10"/>
      <c r="W7165" s="10"/>
      <c r="X7165" s="10"/>
      <c r="Y7165" s="10"/>
      <c r="Z7165" s="10"/>
    </row>
    <row r="7166" spans="1:26" ht="12.75">
      <c r="A7166" s="10" t="str">
        <f ca="1">IFERROR(__xludf.DUMMYFUNCTION("""COMPUTED_VALUE"""),"Стефка Янкова Толева-Стоименова")</f>
        <v>Стефка Янкова Толева-Стоименова</v>
      </c>
      <c r="B7166" s="10" t="str">
        <f ca="1">IFERROR(__xludf.DUMMYFUNCTION("""COMPUTED_VALUE"""),"Доклад от конференция")</f>
        <v>Доклад от конференция</v>
      </c>
      <c r="C7166" s="10" t="str">
        <f ca="1">IFERROR(__xludf.DUMMYFUNCTION("""COMPUTED_VALUE"""),"Informing and Digital Literacy in Conditions of Digital Divide")</f>
        <v>Informing and Digital Literacy in Conditions of Digital Divide</v>
      </c>
      <c r="D7166" s="10">
        <f ca="1">IFERROR(__xludf.DUMMYFUNCTION("""COMPUTED_VALUE"""),2017)</f>
        <v>2017</v>
      </c>
      <c r="E7166" s="10" t="str">
        <f ca="1">IFERROR(__xludf.DUMMYFUNCTION("""COMPUTED_VALUE"""),"Proceedings of ICERI2017 Conference 16th-18th November 2017, Seville, Spain, pp. 6827-6832 ISBN: 978-84-697-6957-7")</f>
        <v>Proceedings of ICERI2017 Conference 16th-18th November 2017, Seville, Spain, pp. 6827-6832 ISBN: 978-84-697-6957-7</v>
      </c>
      <c r="F7166" s="10" t="str">
        <f ca="1">IFERROR(__xludf.DUMMYFUNCTION("""COMPUTED_VALUE"""),"Web of Science, Google Scholar")</f>
        <v>Web of Science, Google Scholar</v>
      </c>
      <c r="G7166" s="10" t="str">
        <f ca="1">IFERROR(__xludf.DUMMYFUNCTION("""COMPUTED_VALUE"""),"K. Rasheva-Yordanova, S. Toleva-Stoimenova, B. Nikolova, I. Kostadinova.")</f>
        <v>K. Rasheva-Yordanova, S. Toleva-Stoimenova, B. Nikolova, I. Kostadinova.</v>
      </c>
      <c r="H7166" s="10"/>
      <c r="I7166" s="10"/>
      <c r="J7166" s="10"/>
      <c r="K7166" s="10"/>
      <c r="L7166" s="10"/>
      <c r="M7166" s="10"/>
      <c r="N7166" s="10"/>
      <c r="O7166" s="10"/>
      <c r="P7166" s="10"/>
      <c r="Q7166" s="10"/>
      <c r="R7166" s="10"/>
      <c r="S7166" s="10"/>
      <c r="T7166" s="10"/>
      <c r="U7166" s="10"/>
      <c r="V7166" s="10"/>
      <c r="W7166" s="10"/>
      <c r="X7166" s="10"/>
      <c r="Y7166" s="10"/>
      <c r="Z7166" s="10"/>
    </row>
    <row r="7167" spans="1:26" ht="12.75">
      <c r="A7167" s="10" t="str">
        <f ca="1">IFERROR(__xludf.DUMMYFUNCTION("""COMPUTED_VALUE"""),"Стефка Янкова Толева-Стоименова")</f>
        <v>Стефка Янкова Толева-Стоименова</v>
      </c>
      <c r="B7167" s="10" t="str">
        <f ca="1">IFERROR(__xludf.DUMMYFUNCTION("""COMPUTED_VALUE"""),"Доклад от конференция")</f>
        <v>Доклад от конференция</v>
      </c>
      <c r="C7167" s="10" t="str">
        <f ca="1">IFERROR(__xludf.DUMMYFUNCTION("""COMPUTED_VALUE"""),"Developing Big Data Competences in the Digital Era")</f>
        <v>Developing Big Data Competences in the Digital Era</v>
      </c>
      <c r="D7167" s="10">
        <f ca="1">IFERROR(__xludf.DUMMYFUNCTION("""COMPUTED_VALUE"""),2016)</f>
        <v>2016</v>
      </c>
      <c r="E7167" s="10" t="str">
        <f ca="1">IFERROR(__xludf.DUMMYFUNCTION("""COMPUTED_VALUE"""),"Big Data, Knowledge and Control Systems Engineering (BdKCSE'2016), Institute of Information and Communication Technologies, Bulgarian Academy of Sciences, 1 December 2016")</f>
        <v>Big Data, Knowledge and Control Systems Engineering (BdKCSE'2016), Institute of Information and Communication Technologies, Bulgarian Academy of Sciences, 1 December 2016</v>
      </c>
      <c r="F7167" s="10"/>
      <c r="G7167" s="10" t="str">
        <f ca="1">IFERROR(__xludf.DUMMYFUNCTION("""COMPUTED_VALUE"""),"D. Christozov, S. Toleva-Stoimenova, K. Rasheva-Yordanova, I. Vukarski.")</f>
        <v>D. Christozov, S. Toleva-Stoimenova, K. Rasheva-Yordanova, I. Vukarski.</v>
      </c>
      <c r="H7167" s="10"/>
      <c r="I7167" s="10"/>
      <c r="J7167" s="10"/>
      <c r="K7167" s="10"/>
      <c r="L7167" s="10"/>
      <c r="M7167" s="10"/>
      <c r="N7167" s="10"/>
      <c r="O7167" s="10"/>
      <c r="P7167" s="10"/>
      <c r="Q7167" s="10"/>
      <c r="R7167" s="10"/>
      <c r="S7167" s="10"/>
      <c r="T7167" s="10"/>
      <c r="U7167" s="10"/>
      <c r="V7167" s="10"/>
      <c r="W7167" s="10"/>
      <c r="X7167" s="10"/>
      <c r="Y7167" s="10"/>
      <c r="Z7167" s="10"/>
    </row>
    <row r="7168" spans="1:26" ht="12.75">
      <c r="A7168" s="10" t="str">
        <f ca="1">IFERROR(__xludf.DUMMYFUNCTION("""COMPUTED_VALUE"""),"Стефка Янкова Толева-Стоименова")</f>
        <v>Стефка Янкова Толева-Стоименова</v>
      </c>
      <c r="B7168" s="10" t="str">
        <f ca="1">IFERROR(__xludf.DUMMYFUNCTION("""COMPUTED_VALUE"""),"Доклад от конференция")</f>
        <v>Доклад от конференция</v>
      </c>
      <c r="C7168" s="10" t="str">
        <f ca="1">IFERROR(__xludf.DUMMYFUNCTION("""COMPUTED_VALUE"""),"Developing Big Data Competences in the Digital Era.")</f>
        <v>Developing Big Data Competences in the Digital Era.</v>
      </c>
      <c r="D7168" s="10">
        <f ca="1">IFERROR(__xludf.DUMMYFUNCTION("""COMPUTED_VALUE"""),2016)</f>
        <v>2016</v>
      </c>
      <c r="E7168" s="10" t="str">
        <f ca="1">IFERROR(__xludf.DUMMYFUNCTION("""COMPUTED_VALUE"""),"Big Data, Knowledge and Control Systems Engineering (BdKCSE'2016), Institute of Information and Communication Technologies, Bulgarian Academy of Sciences, 1 December 2016, 97-104. ISSN – 2367-6350.")</f>
        <v>Big Data, Knowledge and Control Systems Engineering (BdKCSE'2016), Institute of Information and Communication Technologies, Bulgarian Academy of Sciences, 1 December 2016, 97-104. ISSN – 2367-6350.</v>
      </c>
      <c r="F7168" s="10"/>
      <c r="G7168" s="10" t="str">
        <f ca="1">IFERROR(__xludf.DUMMYFUNCTION("""COMPUTED_VALUE"""),"Dimitar Christozov, Katia Rasheva-Yordanova, Iliya Vukarski")</f>
        <v>Dimitar Christozov, Katia Rasheva-Yordanova, Iliya Vukarski</v>
      </c>
      <c r="H7168" s="10"/>
      <c r="I7168" s="10"/>
      <c r="J7168" s="10"/>
      <c r="K7168" s="10"/>
      <c r="L7168" s="10"/>
      <c r="M7168" s="10"/>
      <c r="N7168" s="10"/>
      <c r="O7168" s="10"/>
      <c r="P7168" s="10"/>
      <c r="Q7168" s="10"/>
      <c r="R7168" s="10"/>
      <c r="S7168" s="10"/>
      <c r="T7168" s="10"/>
      <c r="U7168" s="10"/>
      <c r="V7168" s="10"/>
      <c r="W7168" s="10"/>
      <c r="X7168" s="10"/>
      <c r="Y7168" s="10"/>
      <c r="Z7168" s="10"/>
    </row>
    <row r="7169" spans="1:26" ht="12.75">
      <c r="A7169" s="10" t="str">
        <f ca="1">IFERROR(__xludf.DUMMYFUNCTION("""COMPUTED_VALUE"""),"Стефка Янкова Толева-Стоименова")</f>
        <v>Стефка Янкова Толева-Стоименова</v>
      </c>
      <c r="B7169" s="10" t="str">
        <f ca="1">IFERROR(__xludf.DUMMYFUNCTION("""COMPUTED_VALUE"""),"Доклад от конференция")</f>
        <v>Доклад от конференция</v>
      </c>
      <c r="C7169" s="10" t="str">
        <f ca="1">IFERROR(__xludf.DUMMYFUNCTION("""COMPUTED_VALUE"""),"Overcoming the Digital Divide in Bulgaria via usage of Smartphone device.")</f>
        <v>Overcoming the Digital Divide in Bulgaria via usage of Smartphone device.</v>
      </c>
      <c r="D7169" s="10">
        <f ca="1">IFERROR(__xludf.DUMMYFUNCTION("""COMPUTED_VALUE"""),2016)</f>
        <v>2016</v>
      </c>
      <c r="E7169" s="10" t="str">
        <f ca="1">IFERROR(__xludf.DUMMYFUNCTION("""COMPUTED_VALUE"""),"Proceedings of 2nd International Scientific Multi-Conference ATTENTIS 2016, 14-16 Dec. 2016, Publishing Institution of University of Zilina, 2017, pp. 31-34, ISBN ‎978-80-554-1302-0")</f>
        <v>Proceedings of 2nd International Scientific Multi-Conference ATTENTIS 2016, 14-16 Dec. 2016, Publishing Institution of University of Zilina, 2017, pp. 31-34, ISBN ‎978-80-554-1302-0</v>
      </c>
      <c r="F7169" s="10"/>
      <c r="G7169" s="10" t="str">
        <f ca="1">IFERROR(__xludf.DUMMYFUNCTION("""COMPUTED_VALUE"""),"Katia Rasheva-Yordanova, Iva Kostadinova")</f>
        <v>Katia Rasheva-Yordanova, Iva Kostadinova</v>
      </c>
      <c r="H7169" s="10"/>
      <c r="I7169" s="10"/>
      <c r="J7169" s="10"/>
      <c r="K7169" s="10"/>
      <c r="L7169" s="10"/>
      <c r="M7169" s="10"/>
      <c r="N7169" s="10"/>
      <c r="O7169" s="10"/>
      <c r="P7169" s="10"/>
      <c r="Q7169" s="10"/>
      <c r="R7169" s="10"/>
      <c r="S7169" s="10"/>
      <c r="T7169" s="10"/>
      <c r="U7169" s="10"/>
      <c r="V7169" s="10"/>
      <c r="W7169" s="10"/>
      <c r="X7169" s="10"/>
      <c r="Y7169" s="10"/>
      <c r="Z7169" s="10"/>
    </row>
    <row r="7170" spans="1:26" ht="12.75">
      <c r="A7170" s="10" t="str">
        <f ca="1">IFERROR(__xludf.DUMMYFUNCTION("""COMPUTED_VALUE"""),"Стефка Янкова Толева-Стоименова")</f>
        <v>Стефка Янкова Толева-Стоименова</v>
      </c>
      <c r="B7170" s="10" t="str">
        <f ca="1">IFERROR(__xludf.DUMMYFUNCTION("""COMPUTED_VALUE"""),"Книга")</f>
        <v>Книга</v>
      </c>
      <c r="C7170" s="10" t="str">
        <f ca="1">IFERROR(__xludf.DUMMYFUNCTION("""COMPUTED_VALUE"""),"Big Data Literacy - a New Dimension of Digital Divide: Barriers in learning via exploring Big Data, in Strategic Data Based Wisdom in the Big Data Era")</f>
        <v>Big Data Literacy - a New Dimension of Digital Divide: Barriers in learning via exploring Big Data, in Strategic Data Based Wisdom in the Big Data Era</v>
      </c>
      <c r="D7170" s="10">
        <f ca="1">IFERROR(__xludf.DUMMYFUNCTION("""COMPUTED_VALUE"""),2015)</f>
        <v>2015</v>
      </c>
      <c r="E7170" s="10" t="str">
        <f ca="1">IFERROR(__xludf.DUMMYFUNCTION("""COMPUTED_VALUE"""),"Strategic Data-Based Wisdom in the Big Data Era, editors Girard J., Berg K., Klein D., IGI Global, 2015, ISBN13: 9781466681224, ISBN10: 1466681225, EISBN13:9781466681231.")</f>
        <v>Strategic Data-Based Wisdom in the Big Data Era, editors Girard J., Berg K., Klein D., IGI Global, 2015, ISBN13: 9781466681224, ISBN10: 1466681225, EISBN13:9781466681231.</v>
      </c>
      <c r="F7170" s="10" t="str">
        <f ca="1">IFERROR(__xludf.DUMMYFUNCTION("""COMPUTED_VALUE"""),"Google Scholar, ACM")</f>
        <v>Google Scholar, ACM</v>
      </c>
      <c r="G7170" s="10" t="str">
        <f ca="1">IFERROR(__xludf.DUMMYFUNCTION("""COMPUTED_VALUE"""),"D. Christozov")</f>
        <v>D. Christozov</v>
      </c>
      <c r="H7170" s="10"/>
      <c r="I7170" s="10"/>
      <c r="J7170" s="10"/>
      <c r="K7170" s="10"/>
      <c r="L7170" s="10"/>
      <c r="M7170" s="10"/>
      <c r="N7170" s="10"/>
      <c r="O7170" s="10"/>
      <c r="P7170" s="10"/>
      <c r="Q7170" s="10"/>
      <c r="R7170" s="10"/>
      <c r="S7170" s="10"/>
      <c r="T7170" s="10"/>
      <c r="U7170" s="10"/>
      <c r="V7170" s="10"/>
      <c r="W7170" s="10"/>
      <c r="X7170" s="10"/>
      <c r="Y7170" s="10"/>
      <c r="Z7170" s="10"/>
    </row>
    <row r="7171" spans="1:26" ht="12.75">
      <c r="A7171" s="10" t="str">
        <f ca="1">IFERROR(__xludf.DUMMYFUNCTION("""COMPUTED_VALUE"""),"Стефка Янкова Толева-Стоименова")</f>
        <v>Стефка Янкова Толева-Стоименова</v>
      </c>
      <c r="B7171" s="10" t="str">
        <f ca="1">IFERROR(__xludf.DUMMYFUNCTION("""COMPUTED_VALUE"""),"Глава от колективна монография")</f>
        <v>Глава от колективна монография</v>
      </c>
      <c r="C7171" s="10" t="str">
        <f ca="1">IFERROR(__xludf.DUMMYFUNCTION("""COMPUTED_VALUE"""),"Big Data Literacy: A New Dimension of Digital Divide, Barriers in Learning via Exploring “Big Data”")</f>
        <v>Big Data Literacy: A New Dimension of Digital Divide, Barriers in Learning via Exploring “Big Data”</v>
      </c>
      <c r="D7171" s="10">
        <f ca="1">IFERROR(__xludf.DUMMYFUNCTION("""COMPUTED_VALUE"""),2015)</f>
        <v>2015</v>
      </c>
      <c r="E7171" s="10" t="str">
        <f ca="1">IFERROR(__xludf.DUMMYFUNCTION("""COMPUTED_VALUE"""),"Strategic Data-Based Wisdom in the Big Data Era, eds. Girard J., Berg K., Klein D., IGI Global, 2015, ISBN13: 9781466681224, ISBN10: 1466681225, EISBN13:9781466681231.")</f>
        <v>Strategic Data-Based Wisdom in the Big Data Era, eds. Girard J., Berg K., Klein D., IGI Global, 2015, ISBN13: 9781466681224, ISBN10: 1466681225, EISBN13:9781466681231.</v>
      </c>
      <c r="F7171" s="10" t="str">
        <f ca="1">IFERROR(__xludf.DUMMYFUNCTION("""COMPUTED_VALUE"""),"Google Scholar, SCOPUS")</f>
        <v>Google Scholar, SCOPUS</v>
      </c>
      <c r="G7171" s="10" t="str">
        <f ca="1">IFERROR(__xludf.DUMMYFUNCTION("""COMPUTED_VALUE"""),"Dimitar Christozov")</f>
        <v>Dimitar Christozov</v>
      </c>
      <c r="H7171" s="10"/>
      <c r="I7171" s="10"/>
      <c r="J7171" s="10"/>
      <c r="K7171" s="10"/>
      <c r="L7171" s="10"/>
      <c r="M7171" s="10"/>
      <c r="N7171" s="10"/>
      <c r="O7171" s="10"/>
      <c r="P7171" s="10"/>
      <c r="Q7171" s="10"/>
      <c r="R7171" s="10"/>
      <c r="S7171" s="10"/>
      <c r="T7171" s="10"/>
      <c r="U7171" s="10"/>
      <c r="V7171" s="10"/>
      <c r="W7171" s="10"/>
      <c r="X7171" s="10"/>
      <c r="Y7171" s="10"/>
      <c r="Z7171" s="10"/>
    </row>
    <row r="7172" spans="1:26" ht="12.75">
      <c r="A7172" s="10" t="str">
        <f ca="1">IFERROR(__xludf.DUMMYFUNCTION("""COMPUTED_VALUE"""),"Стефка Янкова Толева-Стоименова")</f>
        <v>Стефка Янкова Толева-Стоименова</v>
      </c>
      <c r="B7172" s="10" t="str">
        <f ca="1">IFERROR(__xludf.DUMMYFUNCTION("""COMPUTED_VALUE"""),"Статия в списания и поредици")</f>
        <v>Статия в списания и поредици</v>
      </c>
      <c r="C7172" s="10" t="str">
        <f ca="1">IFERROR(__xludf.DUMMYFUNCTION("""COMPUTED_VALUE"""),"The role of information broker in knowledge management.")</f>
        <v>The role of information broker in knowledge management.</v>
      </c>
      <c r="D7172" s="10">
        <f ca="1">IFERROR(__xludf.DUMMYFUNCTION("""COMPUTED_VALUE"""),2014)</f>
        <v>2014</v>
      </c>
      <c r="E7172" s="10" t="str">
        <f ca="1">IFERROR(__xludf.DUMMYFUNCTION("""COMPUTED_VALUE"""),"Online Journal of Applied Knowledge Management 2 (2), 109-119, 2014. (Presented on Knowledge Management Conference (KM 2014), 25-27 June 2014, Blagoevgrad) ISSN 2325-4688")</f>
        <v>Online Journal of Applied Knowledge Management 2 (2), 109-119, 2014. (Presented on Knowledge Management Conference (KM 2014), 25-27 June 2014, Blagoevgrad) ISSN 2325-4688</v>
      </c>
      <c r="F7172" s="10" t="str">
        <f ca="1">IFERROR(__xludf.DUMMYFUNCTION("""COMPUTED_VALUE"""),"Google Scholar")</f>
        <v>Google Scholar</v>
      </c>
      <c r="G7172" s="10" t="str">
        <f ca="1">IFERROR(__xludf.DUMMYFUNCTION("""COMPUTED_VALUE"""),"Dimitar Christozov")</f>
        <v>Dimitar Christozov</v>
      </c>
      <c r="H7172" s="10"/>
      <c r="I7172" s="10"/>
      <c r="J7172" s="10"/>
      <c r="K7172" s="10"/>
      <c r="L7172" s="10"/>
      <c r="M7172" s="10"/>
      <c r="N7172" s="10"/>
      <c r="O7172" s="10"/>
      <c r="P7172" s="10"/>
      <c r="Q7172" s="10"/>
      <c r="R7172" s="10"/>
      <c r="S7172" s="10"/>
      <c r="T7172" s="10"/>
      <c r="U7172" s="10"/>
      <c r="V7172" s="10"/>
      <c r="W7172" s="10"/>
      <c r="X7172" s="10"/>
      <c r="Y7172" s="10"/>
      <c r="Z7172" s="10"/>
    </row>
    <row r="7173" spans="1:26" ht="12.75">
      <c r="A7173" s="10" t="str">
        <f ca="1">IFERROR(__xludf.DUMMYFUNCTION("""COMPUTED_VALUE"""),"Стефка Янкова Толева-Стоименова")</f>
        <v>Стефка Янкова Толева-Стоименова</v>
      </c>
      <c r="B7173" s="10" t="str">
        <f ca="1">IFERROR(__xludf.DUMMYFUNCTION("""COMPUTED_VALUE"""),"Книга")</f>
        <v>Книга</v>
      </c>
      <c r="C7173" s="10" t="str">
        <f ca="1">IFERROR(__xludf.DUMMYFUNCTION("""COMPUTED_VALUE"""),"Дискретна математика")</f>
        <v>Дискретна математика</v>
      </c>
      <c r="D7173" s="10">
        <f ca="1">IFERROR(__xludf.DUMMYFUNCTION("""COMPUTED_VALUE"""),2014)</f>
        <v>2014</v>
      </c>
      <c r="E7173" s="10" t="str">
        <f ca="1">IFERROR(__xludf.DUMMYFUNCTION("""COMPUTED_VALUE"""),"Изд. „За буквите – О’ писменех”, ISBN 978-619-185-137-9, София.")</f>
        <v>Изд. „За буквите – О’ писменех”, ISBN 978-619-185-137-9, София.</v>
      </c>
      <c r="F7173" s="10"/>
      <c r="G7173" s="10" t="str">
        <f ca="1">IFERROR(__xludf.DUMMYFUNCTION("""COMPUTED_VALUE"""),"Светла Бойчева")</f>
        <v>Светла Бойчева</v>
      </c>
      <c r="H7173" s="10"/>
      <c r="I7173" s="10"/>
      <c r="J7173" s="10"/>
      <c r="K7173" s="10"/>
      <c r="L7173" s="10"/>
      <c r="M7173" s="10"/>
      <c r="N7173" s="10"/>
      <c r="O7173" s="10"/>
      <c r="P7173" s="10"/>
      <c r="Q7173" s="10"/>
      <c r="R7173" s="10"/>
      <c r="S7173" s="10"/>
      <c r="T7173" s="10"/>
      <c r="U7173" s="10"/>
      <c r="V7173" s="10"/>
      <c r="W7173" s="10"/>
      <c r="X7173" s="10"/>
      <c r="Y7173" s="10"/>
      <c r="Z7173" s="10"/>
    </row>
    <row r="7174" spans="1:26" ht="12.75">
      <c r="A7174" s="10" t="str">
        <f ca="1">IFERROR(__xludf.DUMMYFUNCTION("""COMPUTED_VALUE"""),"Стефка Янкова Толева-Стоименова")</f>
        <v>Стефка Янкова Толева-Стоименова</v>
      </c>
      <c r="B7174" s="10" t="str">
        <f ca="1">IFERROR(__xludf.DUMMYFUNCTION("""COMPUTED_VALUE"""),"Книга")</f>
        <v>Книга</v>
      </c>
      <c r="C7174" s="10" t="str">
        <f ca="1">IFERROR(__xludf.DUMMYFUNCTION("""COMPUTED_VALUE"""),"Процеси и системи за информиране")</f>
        <v>Процеси и системи за информиране</v>
      </c>
      <c r="D7174" s="10">
        <f ca="1">IFERROR(__xludf.DUMMYFUNCTION("""COMPUTED_VALUE"""),2014)</f>
        <v>2014</v>
      </c>
      <c r="E7174" s="10" t="str">
        <f ca="1">IFERROR(__xludf.DUMMYFUNCTION("""COMPUTED_VALUE"""),"„За буквите – О’ писменех”, ISBN 978-619-185-055-6, София.")</f>
        <v>„За буквите – О’ писменех”, ISBN 978-619-185-055-6, София.</v>
      </c>
      <c r="F7174" s="10"/>
      <c r="G7174" s="10" t="str">
        <f ca="1">IFERROR(__xludf.DUMMYFUNCTION("""COMPUTED_VALUE"""),"Димитър Христозов")</f>
        <v>Димитър Христозов</v>
      </c>
      <c r="H7174" s="10"/>
      <c r="I7174" s="10"/>
      <c r="J7174" s="10"/>
      <c r="K7174" s="10"/>
      <c r="L7174" s="10"/>
      <c r="M7174" s="10"/>
      <c r="N7174" s="10"/>
      <c r="O7174" s="10"/>
      <c r="P7174" s="10"/>
      <c r="Q7174" s="10"/>
      <c r="R7174" s="10"/>
      <c r="S7174" s="10"/>
      <c r="T7174" s="10"/>
      <c r="U7174" s="10"/>
      <c r="V7174" s="10"/>
      <c r="W7174" s="10"/>
      <c r="X7174" s="10"/>
      <c r="Y7174" s="10"/>
      <c r="Z7174" s="10"/>
    </row>
    <row r="7175" spans="1:26" ht="12.75">
      <c r="A7175" s="10" t="str">
        <f ca="1">IFERROR(__xludf.DUMMYFUNCTION("""COMPUTED_VALUE"""),"Стефка Янкова Толева-Стоименова")</f>
        <v>Стефка Янкова Толева-Стоименова</v>
      </c>
      <c r="B7175" s="10" t="str">
        <f ca="1">IFERROR(__xludf.DUMMYFUNCTION("""COMPUTED_VALUE"""),"Книга")</f>
        <v>Книга</v>
      </c>
      <c r="C7175" s="10" t="str">
        <f ca="1">IFERROR(__xludf.DUMMYFUNCTION("""COMPUTED_VALUE"""),"Теоретични основи на информатиката")</f>
        <v>Теоретични основи на информатиката</v>
      </c>
      <c r="D7175" s="10">
        <f ca="1">IFERROR(__xludf.DUMMYFUNCTION("""COMPUTED_VALUE"""),2014)</f>
        <v>2014</v>
      </c>
      <c r="E7175" s="10" t="str">
        <f ca="1">IFERROR(__xludf.DUMMYFUNCTION("""COMPUTED_VALUE"""),"„За буквите – О’ писменех”, ISBN 978-619-185-135-5, София.")</f>
        <v>„За буквите – О’ писменех”, ISBN 978-619-185-135-5, София.</v>
      </c>
      <c r="F7175" s="10"/>
      <c r="G7175" s="10" t="str">
        <f ca="1">IFERROR(__xludf.DUMMYFUNCTION("""COMPUTED_VALUE"""),"Светла Бойчева")</f>
        <v>Светла Бойчева</v>
      </c>
      <c r="H7175" s="10"/>
      <c r="I7175" s="10"/>
      <c r="J7175" s="10"/>
      <c r="K7175" s="10"/>
      <c r="L7175" s="10"/>
      <c r="M7175" s="10"/>
      <c r="N7175" s="10"/>
      <c r="O7175" s="10"/>
      <c r="P7175" s="10"/>
      <c r="Q7175" s="10"/>
      <c r="R7175" s="10"/>
      <c r="S7175" s="10"/>
      <c r="T7175" s="10"/>
      <c r="U7175" s="10"/>
      <c r="V7175" s="10"/>
      <c r="W7175" s="10"/>
      <c r="X7175" s="10"/>
      <c r="Y7175" s="10"/>
      <c r="Z7175" s="10"/>
    </row>
    <row r="7176" spans="1:26" ht="12.75">
      <c r="A7176" s="10" t="str">
        <f ca="1">IFERROR(__xludf.DUMMYFUNCTION("""COMPUTED_VALUE"""),"Стефка Янкова Толева-Стоименова")</f>
        <v>Стефка Янкова Толева-Стоименова</v>
      </c>
      <c r="B7176" s="10" t="str">
        <f ca="1">IFERROR(__xludf.DUMMYFUNCTION("""COMPUTED_VALUE"""),"Статия в списания и поредици")</f>
        <v>Статия в списания и поредици</v>
      </c>
      <c r="C7176" s="10" t="str">
        <f ca="1">IFERROR(__xludf.DUMMYFUNCTION("""COMPUTED_VALUE"""),"The role of information broker in knowledge management")</f>
        <v>The role of information broker in knowledge management</v>
      </c>
      <c r="D7176" s="10">
        <f ca="1">IFERROR(__xludf.DUMMYFUNCTION("""COMPUTED_VALUE"""),2014)</f>
        <v>2014</v>
      </c>
      <c r="E7176" s="10" t="str">
        <f ca="1">IFERROR(__xludf.DUMMYFUNCTION("""COMPUTED_VALUE"""),"Online Journal of Applied Knowledge Management 2 (2), 109-119, 2014. (Presented on Knowledge Management Conference (KM 2014), 2")</f>
        <v>Online Journal of Applied Knowledge Management 2 (2), 109-119, 2014. (Presented on Knowledge Management Conference (KM 2014), 2</v>
      </c>
      <c r="F7176" s="10"/>
      <c r="G7176" s="10" t="str">
        <f ca="1">IFERROR(__xludf.DUMMYFUNCTION("""COMPUTED_VALUE"""),"Димитър Христозов")</f>
        <v>Димитър Христозов</v>
      </c>
      <c r="H7176" s="10"/>
      <c r="I7176" s="10"/>
      <c r="J7176" s="10"/>
      <c r="K7176" s="10"/>
      <c r="L7176" s="10"/>
      <c r="M7176" s="10"/>
      <c r="N7176" s="10"/>
      <c r="O7176" s="10"/>
      <c r="P7176" s="10"/>
      <c r="Q7176" s="10"/>
      <c r="R7176" s="10"/>
      <c r="S7176" s="10"/>
      <c r="T7176" s="10"/>
      <c r="U7176" s="10"/>
      <c r="V7176" s="10"/>
      <c r="W7176" s="10"/>
      <c r="X7176" s="10"/>
      <c r="Y7176" s="10"/>
      <c r="Z7176" s="10"/>
    </row>
    <row r="7177" spans="1:26" ht="12.75">
      <c r="A7177" s="10" t="str">
        <f ca="1">IFERROR(__xludf.DUMMYFUNCTION("""COMPUTED_VALUE"""),"Стефка Янкова Толева-Стоименова")</f>
        <v>Стефка Янкова Толева-Стоименова</v>
      </c>
      <c r="B7177" s="10" t="str">
        <f ca="1">IFERROR(__xludf.DUMMYFUNCTION("""COMPUTED_VALUE"""),"Статия в списания и поредици")</f>
        <v>Статия в списания и поредици</v>
      </c>
      <c r="C7177" s="10" t="str">
        <f ca="1">IFERROR(__xludf.DUMMYFUNCTION("""COMPUTED_VALUE"""),"Смартфонът -устройство подпомагащо преодоляването на дигиталното неравенство")</f>
        <v>Смартфонът -устройство подпомагащо преодоляването на дигиталното неравенство</v>
      </c>
      <c r="D7177" s="10">
        <f ca="1">IFERROR(__xludf.DUMMYFUNCTION("""COMPUTED_VALUE"""),2014)</f>
        <v>2014</v>
      </c>
      <c r="E7177" s="10" t="str">
        <f ca="1">IFERROR(__xludf.DUMMYFUNCTION("""COMPUTED_VALUE"""),"Трудове на УниБИТ. Том 12, стр. 335-342. Изд. „За буквите.- О’писменех“, София")</f>
        <v>Трудове на УниБИТ. Том 12, стр. 335-342. Изд. „За буквите.- О’писменех“, София</v>
      </c>
      <c r="F7177" s="10"/>
      <c r="G7177" s="10" t="str">
        <f ca="1">IFERROR(__xludf.DUMMYFUNCTION("""COMPUTED_VALUE"""),"Катя Рашева")</f>
        <v>Катя Рашева</v>
      </c>
      <c r="H7177" s="10"/>
      <c r="I7177" s="10"/>
      <c r="J7177" s="10"/>
      <c r="K7177" s="10"/>
      <c r="L7177" s="10"/>
      <c r="M7177" s="10"/>
      <c r="N7177" s="10"/>
      <c r="O7177" s="10"/>
      <c r="P7177" s="10"/>
      <c r="Q7177" s="10"/>
      <c r="R7177" s="10"/>
      <c r="S7177" s="10"/>
      <c r="T7177" s="10"/>
      <c r="U7177" s="10"/>
      <c r="V7177" s="10"/>
      <c r="W7177" s="10"/>
      <c r="X7177" s="10"/>
      <c r="Y7177" s="10"/>
      <c r="Z7177" s="10"/>
    </row>
    <row r="7178" spans="1:26" ht="12.75">
      <c r="A7178" s="10" t="str">
        <f ca="1">IFERROR(__xludf.DUMMYFUNCTION("""COMPUTED_VALUE"""),"Стефка Янкова Толева-Стоименова")</f>
        <v>Стефка Янкова Толева-Стоименова</v>
      </c>
      <c r="B7178" s="10" t="str">
        <f ca="1">IFERROR(__xludf.DUMMYFUNCTION("""COMPUTED_VALUE"""),"Статия в списания и поредици")</f>
        <v>Статия в списания и поредици</v>
      </c>
      <c r="C7178" s="10" t="str">
        <f ca="1">IFERROR(__xludf.DUMMYFUNCTION("""COMPUTED_VALUE"""),"Процесът на информиране и грамотността на потребителите")</f>
        <v>Процесът на информиране и грамотността на потребителите</v>
      </c>
      <c r="D7178" s="10">
        <f ca="1">IFERROR(__xludf.DUMMYFUNCTION("""COMPUTED_VALUE"""),2014)</f>
        <v>2014</v>
      </c>
      <c r="E7178" s="10" t="str">
        <f ca="1">IFERROR(__xludf.DUMMYFUNCTION("""COMPUTED_VALUE"""),"Трудове на УниБИТ. Том 12, стр. 373-380. Изд. „За буквите.- О’писменех“, София.")</f>
        <v>Трудове на УниБИТ. Том 12, стр. 373-380. Изд. „За буквите.- О’писменех“, София.</v>
      </c>
      <c r="F7178" s="10"/>
      <c r="G7178" s="10" t="str">
        <f ca="1">IFERROR(__xludf.DUMMYFUNCTION("""COMPUTED_VALUE"""),"Катя Рашева")</f>
        <v>Катя Рашева</v>
      </c>
      <c r="H7178" s="10"/>
      <c r="I7178" s="10"/>
      <c r="J7178" s="10"/>
      <c r="K7178" s="10"/>
      <c r="L7178" s="10"/>
      <c r="M7178" s="10"/>
      <c r="N7178" s="10"/>
      <c r="O7178" s="10"/>
      <c r="P7178" s="10"/>
      <c r="Q7178" s="10"/>
      <c r="R7178" s="10"/>
      <c r="S7178" s="10"/>
      <c r="T7178" s="10"/>
      <c r="U7178" s="10"/>
      <c r="V7178" s="10"/>
      <c r="W7178" s="10"/>
      <c r="X7178" s="10"/>
      <c r="Y7178" s="10"/>
      <c r="Z7178" s="10"/>
    </row>
    <row r="7179" spans="1:26" ht="12.75">
      <c r="A7179" s="10" t="str">
        <f ca="1">IFERROR(__xludf.DUMMYFUNCTION("""COMPUTED_VALUE"""),"Стефка Янкова Толева-Стоименова")</f>
        <v>Стефка Янкова Толева-Стоименова</v>
      </c>
      <c r="B7179" s="10" t="str">
        <f ca="1">IFERROR(__xludf.DUMMYFUNCTION("""COMPUTED_VALUE"""),"Доклад от конференция")</f>
        <v>Доклад от конференция</v>
      </c>
      <c r="C7179" s="10" t="str">
        <f ca="1">IFERROR(__xludf.DUMMYFUNCTION("""COMPUTED_VALUE"""),"Процес на информиране в уеб базираните социални мрежи")</f>
        <v>Процес на информиране в уеб базираните социални мрежи</v>
      </c>
      <c r="D7179" s="10">
        <f ca="1">IFERROR(__xludf.DUMMYFUNCTION("""COMPUTED_VALUE"""),2014)</f>
        <v>2014</v>
      </c>
      <c r="E7179" s="10" t="str">
        <f ca="1">IFERROR(__xludf.DUMMYFUNCTION("""COMPUTED_VALUE"""),"Сборник с доклади от международна конференция София-Пловдив 18-20.10.2013, 450 – 457, Изд. „За буквите.- О`писменех“, София.")</f>
        <v>Сборник с доклади от международна конференция София-Пловдив 18-20.10.2013, 450 – 457, Изд. „За буквите.- О`писменех“, София.</v>
      </c>
      <c r="F7179" s="10"/>
      <c r="G7179" s="10" t="str">
        <f ca="1">IFERROR(__xludf.DUMMYFUNCTION("""COMPUTED_VALUE"""),"Димитър Христозов")</f>
        <v>Димитър Христозов</v>
      </c>
      <c r="H7179" s="10"/>
      <c r="I7179" s="10"/>
      <c r="J7179" s="10"/>
      <c r="K7179" s="10"/>
      <c r="L7179" s="10"/>
      <c r="M7179" s="10"/>
      <c r="N7179" s="10"/>
      <c r="O7179" s="10"/>
      <c r="P7179" s="10"/>
      <c r="Q7179" s="10"/>
      <c r="R7179" s="10"/>
      <c r="S7179" s="10"/>
      <c r="T7179" s="10"/>
      <c r="U7179" s="10"/>
      <c r="V7179" s="10"/>
      <c r="W7179" s="10"/>
      <c r="X7179" s="10"/>
      <c r="Y7179" s="10"/>
      <c r="Z7179" s="10"/>
    </row>
    <row r="7180" spans="1:26" ht="12.75">
      <c r="A7180" s="10" t="str">
        <f ca="1">IFERROR(__xludf.DUMMYFUNCTION("""COMPUTED_VALUE"""),"Стефка Янкова Толева-Стоименова")</f>
        <v>Стефка Янкова Толева-Стоименова</v>
      </c>
      <c r="B7180" s="10" t="str">
        <f ca="1">IFERROR(__xludf.DUMMYFUNCTION("""COMPUTED_VALUE"""),"Доклад от конференция")</f>
        <v>Доклад от конференция</v>
      </c>
      <c r="C7180" s="10" t="str">
        <f ca="1">IFERROR(__xludf.DUMMYFUNCTION("""COMPUTED_VALUE"""),"Процес на информиране в уеб базираните социални мрежи.")</f>
        <v>Процес на информиране в уеб базираните социални мрежи.</v>
      </c>
      <c r="D7180" s="10">
        <f ca="1">IFERROR(__xludf.DUMMYFUNCTION("""COMPUTED_VALUE"""),2014)</f>
        <v>2014</v>
      </c>
      <c r="E7180" s="10" t="str">
        <f ca="1">IFERROR(__xludf.DUMMYFUNCTION("""COMPUTED_VALUE"""),"Младите в науката – инвестиция в бъдещето, Сборник с доклади от международна конференция София-Пловдив 18-20.10.2013, 450-457, Изд. „За буквите.- О`писменех“, София")</f>
        <v>Младите в науката – инвестиция в бъдещето, Сборник с доклади от международна конференция София-Пловдив 18-20.10.2013, 450-457, Изд. „За буквите.- О`писменех“, София</v>
      </c>
      <c r="F7180" s="10" t="str">
        <f ca="1">IFERROR(__xludf.DUMMYFUNCTION("""COMPUTED_VALUE"""),"Google Scholar")</f>
        <v>Google Scholar</v>
      </c>
      <c r="G7180" s="10" t="str">
        <f ca="1">IFERROR(__xludf.DUMMYFUNCTION("""COMPUTED_VALUE"""),"Димитър Христозов")</f>
        <v>Димитър Христозов</v>
      </c>
      <c r="H7180" s="10"/>
      <c r="I7180" s="10"/>
      <c r="J7180" s="10"/>
      <c r="K7180" s="10"/>
      <c r="L7180" s="10"/>
      <c r="M7180" s="10"/>
      <c r="N7180" s="10"/>
      <c r="O7180" s="10"/>
      <c r="P7180" s="10"/>
      <c r="Q7180" s="10"/>
      <c r="R7180" s="10"/>
      <c r="S7180" s="10"/>
      <c r="T7180" s="10"/>
      <c r="U7180" s="10"/>
      <c r="V7180" s="10"/>
      <c r="W7180" s="10"/>
      <c r="X7180" s="10"/>
      <c r="Y7180" s="10"/>
      <c r="Z7180" s="10"/>
    </row>
    <row r="7181" spans="1:26" ht="12.75">
      <c r="A7181" s="10" t="str">
        <f ca="1">IFERROR(__xludf.DUMMYFUNCTION("""COMPUTED_VALUE"""),"Стефка Янкова Толева-Стоименова")</f>
        <v>Стефка Янкова Толева-Стоименова</v>
      </c>
      <c r="B7181" s="10" t="str">
        <f ca="1">IFERROR(__xludf.DUMMYFUNCTION("""COMPUTED_VALUE"""),"Доклад от конференция")</f>
        <v>Доклад от конференция</v>
      </c>
      <c r="C7181" s="10" t="str">
        <f ca="1">IFERROR(__xludf.DUMMYFUNCTION("""COMPUTED_VALUE"""),"Фактори за ефективно използване на информационни и комуникационни технологии в условията на дигитално неравенство.")</f>
        <v>Фактори за ефективно използване на информационни и комуникационни технологии в условията на дигитално неравенство.</v>
      </c>
      <c r="D7181" s="10">
        <f ca="1">IFERROR(__xludf.DUMMYFUNCTION("""COMPUTED_VALUE"""),2014)</f>
        <v>2014</v>
      </c>
      <c r="E7181" s="10" t="str">
        <f ca="1">IFERROR(__xludf.DUMMYFUNCTION("""COMPUTED_VALUE"""),"ХII национална научна конференция с международно участие „Обществото на знанието и хуманизмът на ХХІ век”, 31 октомври – 1 ноември 2014 г., София. Изд. „За буквите.- О’писменех“, София. 2015. ISSN 1314-7099")</f>
        <v>ХII национална научна конференция с международно участие „Обществото на знанието и хуманизмът на ХХІ век”, 31 октомври – 1 ноември 2014 г., София. Изд. „За буквите.- О’писменех“, София. 2015. ISSN 1314-7099</v>
      </c>
      <c r="F7181" s="10"/>
      <c r="G7181" s="10" t="str">
        <f ca="1">IFERROR(__xludf.DUMMYFUNCTION("""COMPUTED_VALUE"""),"Катя Рашева-Йорданова")</f>
        <v>Катя Рашева-Йорданова</v>
      </c>
      <c r="H7181" s="10"/>
      <c r="I7181" s="10"/>
      <c r="J7181" s="10"/>
      <c r="K7181" s="10"/>
      <c r="L7181" s="10"/>
      <c r="M7181" s="10"/>
      <c r="N7181" s="10"/>
      <c r="O7181" s="10"/>
      <c r="P7181" s="10"/>
      <c r="Q7181" s="10"/>
      <c r="R7181" s="10"/>
      <c r="S7181" s="10"/>
      <c r="T7181" s="10"/>
      <c r="U7181" s="10"/>
      <c r="V7181" s="10"/>
      <c r="W7181" s="10"/>
      <c r="X7181" s="10"/>
      <c r="Y7181" s="10"/>
      <c r="Z7181" s="10"/>
    </row>
    <row r="7182" spans="1:26" ht="12.75">
      <c r="A7182" s="10" t="str">
        <f ca="1">IFERROR(__xludf.DUMMYFUNCTION("""COMPUTED_VALUE"""),"Стефка Янкова Толева-Стоименова")</f>
        <v>Стефка Янкова Толева-Стоименова</v>
      </c>
      <c r="B7182" s="10" t="str">
        <f ca="1">IFERROR(__xludf.DUMMYFUNCTION("""COMPUTED_VALUE"""),"Статия в списания и поредици")</f>
        <v>Статия в списания и поредици</v>
      </c>
      <c r="C7182" s="10" t="str">
        <f ca="1">IFERROR(__xludf.DUMMYFUNCTION("""COMPUTED_VALUE"""),"Смартфонът – устройство подпомагащо преодоляването на дигиталното неравенство.")</f>
        <v>Смартфонът – устройство подпомагащо преодоляването на дигиталното неравенство.</v>
      </c>
      <c r="D7182" s="10">
        <f ca="1">IFERROR(__xludf.DUMMYFUNCTION("""COMPUTED_VALUE"""),2014)</f>
        <v>2014</v>
      </c>
      <c r="E7182" s="10" t="str">
        <f ca="1">IFERROR(__xludf.DUMMYFUNCTION("""COMPUTED_VALUE"""),"Научни трудове на УниБИТ. Том 12, 2014, 335-342. Изд. „За буквите.- О’писменех“, София. 2015. ISSN 1314-2623")</f>
        <v>Научни трудове на УниБИТ. Том 12, 2014, 335-342. Изд. „За буквите.- О’писменех“, София. 2015. ISSN 1314-2623</v>
      </c>
      <c r="F7182" s="10"/>
      <c r="G7182" s="10" t="str">
        <f ca="1">IFERROR(__xludf.DUMMYFUNCTION("""COMPUTED_VALUE"""),"Катя Рашева-Йорданова")</f>
        <v>Катя Рашева-Йорданова</v>
      </c>
      <c r="H7182" s="10"/>
      <c r="I7182" s="10"/>
      <c r="J7182" s="10"/>
      <c r="K7182" s="10"/>
      <c r="L7182" s="10"/>
      <c r="M7182" s="10"/>
      <c r="N7182" s="10"/>
      <c r="O7182" s="10"/>
      <c r="P7182" s="10"/>
      <c r="Q7182" s="10"/>
      <c r="R7182" s="10"/>
      <c r="S7182" s="10"/>
      <c r="T7182" s="10"/>
      <c r="U7182" s="10"/>
      <c r="V7182" s="10"/>
      <c r="W7182" s="10"/>
      <c r="X7182" s="10"/>
      <c r="Y7182" s="10"/>
      <c r="Z7182" s="10"/>
    </row>
    <row r="7183" spans="1:26" ht="12.75">
      <c r="A7183" s="10" t="str">
        <f ca="1">IFERROR(__xludf.DUMMYFUNCTION("""COMPUTED_VALUE"""),"Стефка Янкова Толева-Стоименова")</f>
        <v>Стефка Янкова Толева-Стоименова</v>
      </c>
      <c r="B7183" s="10" t="str">
        <f ca="1">IFERROR(__xludf.DUMMYFUNCTION("""COMPUTED_VALUE"""),"Статия в списания и поредици")</f>
        <v>Статия в списания и поредици</v>
      </c>
      <c r="C7183" s="10" t="str">
        <f ca="1">IFERROR(__xludf.DUMMYFUNCTION("""COMPUTED_VALUE"""),"Процесът на информиране и грамотността на потребителите.")</f>
        <v>Процесът на информиране и грамотността на потребителите.</v>
      </c>
      <c r="D7183" s="10">
        <f ca="1">IFERROR(__xludf.DUMMYFUNCTION("""COMPUTED_VALUE"""),2014)</f>
        <v>2014</v>
      </c>
      <c r="E7183" s="10" t="str">
        <f ca="1">IFERROR(__xludf.DUMMYFUNCTION("""COMPUTED_VALUE"""),"Научни трудове на УниБИТ. Том 12, 2014, 373-380. Изд. „За буквите.- О’писменех“, София, 2015. ISSN 1314-2623")</f>
        <v>Научни трудове на УниБИТ. Том 12, 2014, 373-380. Изд. „За буквите.- О’писменех“, София, 2015. ISSN 1314-2623</v>
      </c>
      <c r="F7183" s="10" t="str">
        <f ca="1">IFERROR(__xludf.DUMMYFUNCTION("""COMPUTED_VALUE"""),"Google Scholar")</f>
        <v>Google Scholar</v>
      </c>
      <c r="G7183" s="10" t="str">
        <f ca="1">IFERROR(__xludf.DUMMYFUNCTION("""COMPUTED_VALUE"""),"Катя Рашева-Йорданова")</f>
        <v>Катя Рашева-Йорданова</v>
      </c>
      <c r="H7183" s="10"/>
      <c r="I7183" s="10"/>
      <c r="J7183" s="10"/>
      <c r="K7183" s="10"/>
      <c r="L7183" s="10"/>
      <c r="M7183" s="10"/>
      <c r="N7183" s="10"/>
      <c r="O7183" s="10"/>
      <c r="P7183" s="10"/>
      <c r="Q7183" s="10"/>
      <c r="R7183" s="10"/>
      <c r="S7183" s="10"/>
      <c r="T7183" s="10"/>
      <c r="U7183" s="10"/>
      <c r="V7183" s="10"/>
      <c r="W7183" s="10"/>
      <c r="X7183" s="10"/>
      <c r="Y7183" s="10"/>
      <c r="Z7183" s="10"/>
    </row>
    <row r="7184" spans="1:26" ht="12.75">
      <c r="A7184" s="10" t="str">
        <f ca="1">IFERROR(__xludf.DUMMYFUNCTION("""COMPUTED_VALUE"""),"Стефка Янкова Толева-Стоименова")</f>
        <v>Стефка Янкова Толева-Стоименова</v>
      </c>
      <c r="B7184" s="10" t="str">
        <f ca="1">IFERROR(__xludf.DUMMYFUNCTION("""COMPUTED_VALUE"""),"Учебник")</f>
        <v>Учебник</v>
      </c>
      <c r="C7184" s="10" t="str">
        <f ca="1">IFERROR(__xludf.DUMMYFUNCTION("""COMPUTED_VALUE"""),"Дискретна математика.")</f>
        <v>Дискретна математика.</v>
      </c>
      <c r="D7184" s="10">
        <f ca="1">IFERROR(__xludf.DUMMYFUNCTION("""COMPUTED_VALUE"""),2014)</f>
        <v>2014</v>
      </c>
      <c r="E7184" s="10" t="str">
        <f ca="1">IFERROR(__xludf.DUMMYFUNCTION("""COMPUTED_VALUE"""),"Изд. „За буквите – О’ писменех”, ISBN 978-619-185-137-9, София, 2014.")</f>
        <v>Изд. „За буквите – О’ писменех”, ISBN 978-619-185-137-9, София, 2014.</v>
      </c>
      <c r="F7184" s="10"/>
      <c r="G7184" s="10" t="str">
        <f ca="1">IFERROR(__xludf.DUMMYFUNCTION("""COMPUTED_VALUE"""),"Светла Бойчева")</f>
        <v>Светла Бойчева</v>
      </c>
      <c r="H7184" s="10"/>
      <c r="I7184" s="10"/>
      <c r="J7184" s="10"/>
      <c r="K7184" s="10"/>
      <c r="L7184" s="10"/>
      <c r="M7184" s="10"/>
      <c r="N7184" s="10"/>
      <c r="O7184" s="10"/>
      <c r="P7184" s="10"/>
      <c r="Q7184" s="10"/>
      <c r="R7184" s="10"/>
      <c r="S7184" s="10"/>
      <c r="T7184" s="10"/>
      <c r="U7184" s="10"/>
      <c r="V7184" s="10"/>
      <c r="W7184" s="10"/>
      <c r="X7184" s="10"/>
      <c r="Y7184" s="10"/>
      <c r="Z7184" s="10"/>
    </row>
    <row r="7185" spans="1:26" ht="12.75">
      <c r="A7185" s="10" t="str">
        <f ca="1">IFERROR(__xludf.DUMMYFUNCTION("""COMPUTED_VALUE"""),"Стефка Янкова Толева-Стоименова")</f>
        <v>Стефка Янкова Толева-Стоименова</v>
      </c>
      <c r="B7185" s="10" t="str">
        <f ca="1">IFERROR(__xludf.DUMMYFUNCTION("""COMPUTED_VALUE"""),"Учебник")</f>
        <v>Учебник</v>
      </c>
      <c r="C7185" s="10" t="str">
        <f ca="1">IFERROR(__xludf.DUMMYFUNCTION("""COMPUTED_VALUE"""),"Теоретични основи на информатиката.")</f>
        <v>Теоретични основи на информатиката.</v>
      </c>
      <c r="D7185" s="10">
        <f ca="1">IFERROR(__xludf.DUMMYFUNCTION("""COMPUTED_VALUE"""),2014)</f>
        <v>2014</v>
      </c>
      <c r="E7185" s="10" t="str">
        <f ca="1">IFERROR(__xludf.DUMMYFUNCTION("""COMPUTED_VALUE"""),"Изд. „За буквите – О’ писменех”, ISBN 978-619-185-135-5, София, 2014.")</f>
        <v>Изд. „За буквите – О’ писменех”, ISBN 978-619-185-135-5, София, 2014.</v>
      </c>
      <c r="F7185" s="10"/>
      <c r="G7185" s="10" t="str">
        <f ca="1">IFERROR(__xludf.DUMMYFUNCTION("""COMPUTED_VALUE"""),"Светла Бойчева")</f>
        <v>Светла Бойчева</v>
      </c>
      <c r="H7185" s="10"/>
      <c r="I7185" s="10"/>
      <c r="J7185" s="10"/>
      <c r="K7185" s="10"/>
      <c r="L7185" s="10"/>
      <c r="M7185" s="10"/>
      <c r="N7185" s="10"/>
      <c r="O7185" s="10"/>
      <c r="P7185" s="10"/>
      <c r="Q7185" s="10"/>
      <c r="R7185" s="10"/>
      <c r="S7185" s="10"/>
      <c r="T7185" s="10"/>
      <c r="U7185" s="10"/>
      <c r="V7185" s="10"/>
      <c r="W7185" s="10"/>
      <c r="X7185" s="10"/>
      <c r="Y7185" s="10"/>
      <c r="Z7185" s="10"/>
    </row>
    <row r="7186" spans="1:26" ht="12.75">
      <c r="A7186" s="10" t="str">
        <f ca="1">IFERROR(__xludf.DUMMYFUNCTION("""COMPUTED_VALUE"""),"Стефка Янкова Толева-Стоименова")</f>
        <v>Стефка Янкова Толева-Стоименова</v>
      </c>
      <c r="B7186" s="10" t="str">
        <f ca="1">IFERROR(__xludf.DUMMYFUNCTION("""COMPUTED_VALUE"""),"Учебник")</f>
        <v>Учебник</v>
      </c>
      <c r="C7186" s="10" t="str">
        <f ca="1">IFERROR(__xludf.DUMMYFUNCTION("""COMPUTED_VALUE"""),"Процеси и системи за информиране.")</f>
        <v>Процеси и системи за информиране.</v>
      </c>
      <c r="D7186" s="10">
        <f ca="1">IFERROR(__xludf.DUMMYFUNCTION("""COMPUTED_VALUE"""),2014)</f>
        <v>2014</v>
      </c>
      <c r="E7186" s="10" t="str">
        <f ca="1">IFERROR(__xludf.DUMMYFUNCTION("""COMPUTED_VALUE"""),"Изд. „За буквите – О’ писменех”, ISBN 978-619-185-055-6, София, 2014.")</f>
        <v>Изд. „За буквите – О’ писменех”, ISBN 978-619-185-055-6, София, 2014.</v>
      </c>
      <c r="F7186" s="10"/>
      <c r="G7186" s="10" t="str">
        <f ca="1">IFERROR(__xludf.DUMMYFUNCTION("""COMPUTED_VALUE"""),"Димитър Христозов")</f>
        <v>Димитър Христозов</v>
      </c>
      <c r="H7186" s="10"/>
      <c r="I7186" s="10"/>
      <c r="J7186" s="10"/>
      <c r="K7186" s="10"/>
      <c r="L7186" s="10"/>
      <c r="M7186" s="10"/>
      <c r="N7186" s="10"/>
      <c r="O7186" s="10"/>
      <c r="P7186" s="10"/>
      <c r="Q7186" s="10"/>
      <c r="R7186" s="10"/>
      <c r="S7186" s="10"/>
      <c r="T7186" s="10"/>
      <c r="U7186" s="10"/>
      <c r="V7186" s="10"/>
      <c r="W7186" s="10"/>
      <c r="X7186" s="10"/>
      <c r="Y7186" s="10"/>
      <c r="Z7186" s="10"/>
    </row>
    <row r="7187" spans="1:26" ht="12.75">
      <c r="A7187" s="10" t="str">
        <f ca="1">IFERROR(__xludf.DUMMYFUNCTION("""COMPUTED_VALUE"""),"Стефка Янкова Толева-Стоименова")</f>
        <v>Стефка Янкова Толева-Стоименова</v>
      </c>
      <c r="B7187" s="10" t="str">
        <f ca="1">IFERROR(__xludf.DUMMYFUNCTION("""COMPUTED_VALUE"""),"Доклад от конференция")</f>
        <v>Доклад от конференция</v>
      </c>
      <c r="C7187" s="10" t="str">
        <f ca="1">IFERROR(__xludf.DUMMYFUNCTION("""COMPUTED_VALUE"""),"Фактори за ефективно използване на информационни и комуникационни технологии в условията на дигитално неравенство")</f>
        <v>Фактори за ефективно използване на информационни и комуникационни технологии в условията на дигитално неравенство</v>
      </c>
      <c r="D7187" s="10">
        <f ca="1">IFERROR(__xludf.DUMMYFUNCTION("""COMPUTED_VALUE"""),2014)</f>
        <v>2014</v>
      </c>
      <c r="E7187" s="10" t="str">
        <f ca="1">IFERROR(__xludf.DUMMYFUNCTION("""COMPUTED_VALUE"""),"ХII национална научна конференция с международно участие „Обществото на знанието и хуманизмът на ХХІ век”, 31 октомври – 1 ноем")</f>
        <v>ХII национална научна конференция с международно участие „Обществото на знанието и хуманизмът на ХХІ век”, 31 октомври – 1 ноем</v>
      </c>
      <c r="F7187" s="10"/>
      <c r="G7187" s="10" t="str">
        <f ca="1">IFERROR(__xludf.DUMMYFUNCTION("""COMPUTED_VALUE"""),"Катя Рашева")</f>
        <v>Катя Рашева</v>
      </c>
      <c r="H7187" s="10"/>
      <c r="I7187" s="10"/>
      <c r="J7187" s="10"/>
      <c r="K7187" s="10"/>
      <c r="L7187" s="10"/>
      <c r="M7187" s="10"/>
      <c r="N7187" s="10"/>
      <c r="O7187" s="10"/>
      <c r="P7187" s="10"/>
      <c r="Q7187" s="10"/>
      <c r="R7187" s="10"/>
      <c r="S7187" s="10"/>
      <c r="T7187" s="10"/>
      <c r="U7187" s="10"/>
      <c r="V7187" s="10"/>
      <c r="W7187" s="10"/>
      <c r="X7187" s="10"/>
      <c r="Y7187" s="10"/>
      <c r="Z7187" s="10"/>
    </row>
    <row r="7188" spans="1:26" ht="12.75">
      <c r="A7188" s="10" t="str">
        <f ca="1">IFERROR(__xludf.DUMMYFUNCTION("""COMPUTED_VALUE"""),"Стефка Янкова Толева-Стоименова")</f>
        <v>Стефка Янкова Толева-Стоименова</v>
      </c>
      <c r="B7188" s="10" t="str">
        <f ca="1">IFERROR(__xludf.DUMMYFUNCTION("""COMPUTED_VALUE"""),"Статия в списания и поредици")</f>
        <v>Статия в списания и поредици</v>
      </c>
      <c r="C7188" s="10" t="str">
        <f ca="1">IFERROR(__xludf.DUMMYFUNCTION("""COMPUTED_VALUE"""),"Knowledge diffusion via social networks: the 21st century challenge")</f>
        <v>Knowledge diffusion via social networks: the 21st century challenge</v>
      </c>
      <c r="D7188" s="10">
        <f ca="1">IFERROR(__xludf.DUMMYFUNCTION("""COMPUTED_VALUE"""),2013)</f>
        <v>2013</v>
      </c>
      <c r="E7188" s="10" t="str">
        <f ca="1">IFERROR(__xludf.DUMMYFUNCTION("""COMPUTED_VALUE"""),"International Journal of Digital Literacy and Digital Competence, 4(2), April-June, 1-12, IGI Publishing, ISSN 1947-3494, 2013.")</f>
        <v>International Journal of Digital Literacy and Digital Competence, 4(2), April-June, 1-12, IGI Publishing, ISSN 1947-3494, 2013.</v>
      </c>
      <c r="F7188" s="10" t="str">
        <f ca="1">IFERROR(__xludf.DUMMYFUNCTION("""COMPUTED_VALUE"""),"Google Scholar")</f>
        <v>Google Scholar</v>
      </c>
      <c r="G7188" s="10" t="str">
        <f ca="1">IFERROR(__xludf.DUMMYFUNCTION("""COMPUTED_VALUE"""),"Dimitar Christozov")</f>
        <v>Dimitar Christozov</v>
      </c>
      <c r="H7188" s="10"/>
      <c r="I7188" s="10"/>
      <c r="J7188" s="10"/>
      <c r="K7188" s="10"/>
      <c r="L7188" s="10"/>
      <c r="M7188" s="10"/>
      <c r="N7188" s="10"/>
      <c r="O7188" s="10"/>
      <c r="P7188" s="10"/>
      <c r="Q7188" s="10"/>
      <c r="R7188" s="10"/>
      <c r="S7188" s="10"/>
      <c r="T7188" s="10"/>
      <c r="U7188" s="10"/>
      <c r="V7188" s="10"/>
      <c r="W7188" s="10"/>
      <c r="X7188" s="10"/>
      <c r="Y7188" s="10"/>
      <c r="Z7188" s="10"/>
    </row>
    <row r="7189" spans="1:26" ht="12.75">
      <c r="A7189" s="10" t="str">
        <f ca="1">IFERROR(__xludf.DUMMYFUNCTION("""COMPUTED_VALUE"""),"Стефка Янкова Толева-Стоименова")</f>
        <v>Стефка Янкова Толева-Стоименова</v>
      </c>
      <c r="B7189" s="10" t="str">
        <f ca="1">IFERROR(__xludf.DUMMYFUNCTION("""COMPUTED_VALUE"""),"Статия в списания и поредици")</f>
        <v>Статия в списания и поредици</v>
      </c>
      <c r="C7189" s="10" t="str">
        <f ca="1">IFERROR(__xludf.DUMMYFUNCTION("""COMPUTED_VALUE"""),"Informing via Websites: Comparative Assessment of University Websites.")</f>
        <v>Informing via Websites: Comparative Assessment of University Websites.</v>
      </c>
      <c r="D7189" s="10">
        <f ca="1">IFERROR(__xludf.DUMMYFUNCTION("""COMPUTED_VALUE"""),2013)</f>
        <v>2013</v>
      </c>
      <c r="E7189" s="10" t="str">
        <f ca="1">IFERROR(__xludf.DUMMYFUNCTION("""COMPUTED_VALUE"""),"Issues in Informing Science and Information Technology, 10, 525-537, 2013. (Presented on InSite’2013, July 01-07, Porto, Portugal). Online ISSN: 1547-5867, Print ISSN: 1547-5840.")</f>
        <v>Issues in Informing Science and Information Technology, 10, 525-537, 2013. (Presented on InSite’2013, July 01-07, Porto, Portugal). Online ISSN: 1547-5867, Print ISSN: 1547-5840.</v>
      </c>
      <c r="F7189" s="10" t="str">
        <f ca="1">IFERROR(__xludf.DUMMYFUNCTION("""COMPUTED_VALUE"""),"Google Scholar")</f>
        <v>Google Scholar</v>
      </c>
      <c r="G7189" s="10" t="str">
        <f ca="1">IFERROR(__xludf.DUMMYFUNCTION("""COMPUTED_VALUE"""),"Dimitar Christozov")</f>
        <v>Dimitar Christozov</v>
      </c>
      <c r="H7189" s="10"/>
      <c r="I7189" s="10"/>
      <c r="J7189" s="10"/>
      <c r="K7189" s="10"/>
      <c r="L7189" s="10"/>
      <c r="M7189" s="10"/>
      <c r="N7189" s="10"/>
      <c r="O7189" s="10"/>
      <c r="P7189" s="10"/>
      <c r="Q7189" s="10"/>
      <c r="R7189" s="10"/>
      <c r="S7189" s="10"/>
      <c r="T7189" s="10"/>
      <c r="U7189" s="10"/>
      <c r="V7189" s="10"/>
      <c r="W7189" s="10"/>
      <c r="X7189" s="10"/>
      <c r="Y7189" s="10"/>
      <c r="Z7189" s="10"/>
    </row>
    <row r="7190" spans="1:26" ht="12.75">
      <c r="A7190" s="10" t="str">
        <f ca="1">IFERROR(__xludf.DUMMYFUNCTION("""COMPUTED_VALUE"""),"Стефка Янкова Толева-Стоименова")</f>
        <v>Стефка Янкова Толева-Стоименова</v>
      </c>
      <c r="B7190" s="10" t="str">
        <f ca="1">IFERROR(__xludf.DUMMYFUNCTION("""COMPUTED_VALUE"""),"Статия в списания и поредици")</f>
        <v>Статия в списания и поредици</v>
      </c>
      <c r="C7190" s="10" t="str">
        <f ca="1">IFERROR(__xludf.DUMMYFUNCTION("""COMPUTED_VALUE"""),"Информация и информиране.")</f>
        <v>Информация и информиране.</v>
      </c>
      <c r="D7190" s="10">
        <f ca="1">IFERROR(__xludf.DUMMYFUNCTION("""COMPUTED_VALUE"""),2011)</f>
        <v>2011</v>
      </c>
      <c r="E7190" s="10" t="str">
        <f ca="1">IFERROR(__xludf.DUMMYFUNCTION("""COMPUTED_VALUE"""),"Трудове на УниБИТ, том 9, 363-374, Изд. „За буквите – О’ писменех, София, 2011. ISSN 1314-2623")</f>
        <v>Трудове на УниБИТ, том 9, 363-374, Изд. „За буквите – О’ писменех, София, 2011. ISSN 1314-2623</v>
      </c>
      <c r="F7190" s="10"/>
      <c r="G7190" s="10"/>
      <c r="H7190" s="10"/>
      <c r="I7190" s="10"/>
      <c r="J7190" s="10"/>
      <c r="K7190" s="10"/>
      <c r="L7190" s="10"/>
      <c r="M7190" s="10"/>
      <c r="N7190" s="10"/>
      <c r="O7190" s="10"/>
      <c r="P7190" s="10"/>
      <c r="Q7190" s="10"/>
      <c r="R7190" s="10"/>
      <c r="S7190" s="10"/>
      <c r="T7190" s="10"/>
      <c r="U7190" s="10"/>
      <c r="V7190" s="10"/>
      <c r="W7190" s="10"/>
      <c r="X7190" s="10"/>
      <c r="Y7190" s="10"/>
      <c r="Z7190" s="10"/>
    </row>
    <row r="7191" spans="1:26" ht="12.75">
      <c r="A7191" s="10" t="str">
        <f ca="1">IFERROR(__xludf.DUMMYFUNCTION("""COMPUTED_VALUE"""),"Стефка Янкова Толева-Стоименова")</f>
        <v>Стефка Янкова Толева-Стоименова</v>
      </c>
      <c r="B7191" s="10" t="str">
        <f ca="1">IFERROR(__xludf.DUMMYFUNCTION("""COMPUTED_VALUE"""),"Статия в списания и поредици")</f>
        <v>Статия в списания и поредици</v>
      </c>
      <c r="C7191" s="10" t="str">
        <f ca="1">IFERROR(__xludf.DUMMYFUNCTION("""COMPUTED_VALUE"""),"Evaluation of web based Information Systems: users’ informing criteria.")</f>
        <v>Evaluation of web based Information Systems: users’ informing criteria.</v>
      </c>
      <c r="D7191" s="10">
        <f ca="1">IFERROR(__xludf.DUMMYFUNCTION("""COMPUTED_VALUE"""),2010)</f>
        <v>2010</v>
      </c>
      <c r="E7191" s="10" t="str">
        <f ca="1">IFERROR(__xludf.DUMMYFUNCTION("""COMPUTED_VALUE"""),"Issues in Informing Science and Information Technology, 7, 297-310, 2010. Online ISSN: 1547-5867, Print ISSN: 1547-5840")</f>
        <v>Issues in Informing Science and Information Technology, 7, 297-310, 2010. Online ISSN: 1547-5867, Print ISSN: 1547-5840</v>
      </c>
      <c r="F7191" s="10" t="str">
        <f ca="1">IFERROR(__xludf.DUMMYFUNCTION("""COMPUTED_VALUE"""),"Google Scholar")</f>
        <v>Google Scholar</v>
      </c>
      <c r="G7191" s="10"/>
      <c r="H7191" s="10"/>
      <c r="I7191" s="10"/>
      <c r="J7191" s="10"/>
      <c r="K7191" s="10"/>
      <c r="L7191" s="10"/>
      <c r="M7191" s="10"/>
      <c r="N7191" s="10"/>
      <c r="O7191" s="10"/>
      <c r="P7191" s="10"/>
      <c r="Q7191" s="10"/>
      <c r="R7191" s="10"/>
      <c r="S7191" s="10"/>
      <c r="T7191" s="10"/>
      <c r="U7191" s="10"/>
      <c r="V7191" s="10"/>
      <c r="W7191" s="10"/>
      <c r="X7191" s="10"/>
      <c r="Y7191" s="10"/>
      <c r="Z7191" s="10"/>
    </row>
    <row r="7192" spans="1:26" ht="12.75">
      <c r="A7192" s="10" t="str">
        <f ca="1">IFERROR(__xludf.DUMMYFUNCTION("""COMPUTED_VALUE"""),"Стефка Янкова Толева-Стоименова")</f>
        <v>Стефка Янкова Толева-Стоименова</v>
      </c>
      <c r="B7192" s="10" t="str">
        <f ca="1">IFERROR(__xludf.DUMMYFUNCTION("""COMPUTED_VALUE"""),"Доклад от конференция")</f>
        <v>Доклад от конференция</v>
      </c>
      <c r="C7192" s="10" t="str">
        <f ca="1">IFERROR(__xludf.DUMMYFUNCTION("""COMPUTED_VALUE"""),"Критерии за оценка на способността на АИС да информират потребителите.")</f>
        <v>Критерии за оценка на способността на АИС да информират потребителите.</v>
      </c>
      <c r="D7192" s="10">
        <f ca="1">IFERROR(__xludf.DUMMYFUNCTION("""COMPUTED_VALUE"""),2010)</f>
        <v>2010</v>
      </c>
      <c r="E7192" s="10" t="str">
        <f ca="1">IFERROR(__xludf.DUMMYFUNCTION("""COMPUTED_VALUE"""),"VII национална научна конференция с международно участие „България – кръстопът на култури и цивилизации”, 374-382, София, 1 ноември 2009. Изд. „За буквите – О’ писменех, София, 2010. ISBN 978-954-8887-91-5")</f>
        <v>VII национална научна конференция с международно участие „България – кръстопът на култури и цивилизации”, 374-382, София, 1 ноември 2009. Изд. „За буквите – О’ писменех, София, 2010. ISBN 978-954-8887-91-5</v>
      </c>
      <c r="F7192" s="10"/>
      <c r="G7192" s="10"/>
      <c r="H7192" s="10"/>
      <c r="I7192" s="10"/>
      <c r="J7192" s="10"/>
      <c r="K7192" s="10"/>
      <c r="L7192" s="10"/>
      <c r="M7192" s="10"/>
      <c r="N7192" s="10"/>
      <c r="O7192" s="10"/>
      <c r="P7192" s="10"/>
      <c r="Q7192" s="10"/>
      <c r="R7192" s="10"/>
      <c r="S7192" s="10"/>
      <c r="T7192" s="10"/>
      <c r="U7192" s="10"/>
      <c r="V7192" s="10"/>
      <c r="W7192" s="10"/>
      <c r="X7192" s="10"/>
      <c r="Y7192" s="10"/>
      <c r="Z7192" s="10"/>
    </row>
    <row r="7193" spans="1:26" ht="12.75">
      <c r="A7193" s="10" t="str">
        <f ca="1">IFERROR(__xludf.DUMMYFUNCTION("""COMPUTED_VALUE"""),"Стефка Янкова Толева-Стоименова")</f>
        <v>Стефка Янкова Толева-Стоименова</v>
      </c>
      <c r="B7193" s="10" t="str">
        <f ca="1">IFERROR(__xludf.DUMMYFUNCTION("""COMPUTED_VALUE"""),"Статия в списания и поредици")</f>
        <v>Статия в списания и поредици</v>
      </c>
      <c r="C7193" s="10" t="str">
        <f ca="1">IFERROR(__xludf.DUMMYFUNCTION("""COMPUTED_VALUE"""),"Показателят релевантност – основен критерий за ефективността на информационните системи.")</f>
        <v>Показателят релевантност – основен критерий за ефективността на информационните системи.</v>
      </c>
      <c r="D7193" s="10">
        <f ca="1">IFERROR(__xludf.DUMMYFUNCTION("""COMPUTED_VALUE"""),2010)</f>
        <v>2010</v>
      </c>
      <c r="E7193" s="10" t="str">
        <f ca="1">IFERROR(__xludf.DUMMYFUNCTION("""COMPUTED_VALUE"""),"Трудове на СВУБИТ, том 8, 443-458, Изд. „За буквите – О’ писменех, София, 2010. ISSN 1312-5834")</f>
        <v>Трудове на СВУБИТ, том 8, 443-458, Изд. „За буквите – О’ писменех, София, 2010. ISSN 1312-5834</v>
      </c>
      <c r="F7193" s="10"/>
      <c r="G7193" s="10"/>
      <c r="H7193" s="10"/>
      <c r="I7193" s="10"/>
      <c r="J7193" s="10"/>
      <c r="K7193" s="10"/>
      <c r="L7193" s="10"/>
      <c r="M7193" s="10"/>
      <c r="N7193" s="10"/>
      <c r="O7193" s="10"/>
      <c r="P7193" s="10"/>
      <c r="Q7193" s="10"/>
      <c r="R7193" s="10"/>
      <c r="S7193" s="10"/>
      <c r="T7193" s="10"/>
      <c r="U7193" s="10"/>
      <c r="V7193" s="10"/>
      <c r="W7193" s="10"/>
      <c r="X7193" s="10"/>
      <c r="Y7193" s="10"/>
      <c r="Z7193" s="10"/>
    </row>
    <row r="7194" spans="1:26" ht="12.75">
      <c r="A7194" s="10" t="str">
        <f ca="1">IFERROR(__xludf.DUMMYFUNCTION("""COMPUTED_VALUE"""),"Стефка Янкова Толева-Стоименова")</f>
        <v>Стефка Янкова Толева-Стоименова</v>
      </c>
      <c r="B7194" s="10" t="str">
        <f ca="1">IFERROR(__xludf.DUMMYFUNCTION("""COMPUTED_VALUE"""),"Статия в списания и поредици")</f>
        <v>Статия в списания и поредици</v>
      </c>
      <c r="C7194" s="10" t="str">
        <f ca="1">IFERROR(__xludf.DUMMYFUNCTION("""COMPUTED_VALUE"""),"Четене и информиране.")</f>
        <v>Четене и информиране.</v>
      </c>
      <c r="D7194" s="10">
        <f ca="1">IFERROR(__xludf.DUMMYFUNCTION("""COMPUTED_VALUE"""),2010)</f>
        <v>2010</v>
      </c>
      <c r="E7194" s="10" t="str">
        <f ca="1">IFERROR(__xludf.DUMMYFUNCTION("""COMPUTED_VALUE"""),"Книгата – нашето по-смислено настояще. Сборник с доклади от форума „Дни на книгата и авторското право в УниБИТ”, 23-25 април 2012 г., София, Изд. „За буквите – О писменехъ”, 2012, стр. 98-103, ISSN 1314-7323")</f>
        <v>Книгата – нашето по-смислено настояще. Сборник с доклади от форума „Дни на книгата и авторското право в УниБИТ”, 23-25 април 2012 г., София, Изд. „За буквите – О писменехъ”, 2012, стр. 98-103, ISSN 1314-7323</v>
      </c>
      <c r="F7194" s="10"/>
      <c r="G7194" s="10"/>
      <c r="H7194" s="10"/>
      <c r="I7194" s="10"/>
      <c r="J7194" s="10"/>
      <c r="K7194" s="10"/>
      <c r="L7194" s="10"/>
      <c r="M7194" s="10"/>
      <c r="N7194" s="10"/>
      <c r="O7194" s="10"/>
      <c r="P7194" s="10"/>
      <c r="Q7194" s="10"/>
      <c r="R7194" s="10"/>
      <c r="S7194" s="10"/>
      <c r="T7194" s="10"/>
      <c r="U7194" s="10"/>
      <c r="V7194" s="10"/>
      <c r="W7194" s="10"/>
      <c r="X7194" s="10"/>
      <c r="Y7194" s="10"/>
      <c r="Z7194" s="10"/>
    </row>
    <row r="7195" spans="1:26" ht="12.75">
      <c r="A7195" s="10" t="str">
        <f ca="1">IFERROR(__xludf.DUMMYFUNCTION("""COMPUTED_VALUE"""),"Стефка Янкова Толева-Стоименова")</f>
        <v>Стефка Янкова Толева-Стоименова</v>
      </c>
      <c r="B7195" s="10" t="str">
        <f ca="1">IFERROR(__xludf.DUMMYFUNCTION("""COMPUTED_VALUE"""),"Статия в списания и поредици")</f>
        <v>Статия в списания и поредици</v>
      </c>
      <c r="C7195" s="10" t="str">
        <f ca="1">IFERROR(__xludf.DUMMYFUNCTION("""COMPUTED_VALUE"""),"Informing Processes and Models: a Core Course in IS Curriculum. Growing Information. Part 1.")</f>
        <v>Informing Processes and Models: a Core Course in IS Curriculum. Growing Information. Part 1.</v>
      </c>
      <c r="D7195" s="10">
        <f ca="1">IFERROR(__xludf.DUMMYFUNCTION("""COMPUTED_VALUE"""),2009)</f>
        <v>2009</v>
      </c>
      <c r="E7195" s="10" t="str">
        <f ca="1">IFERROR(__xludf.DUMMYFUNCTION("""COMPUTED_VALUE"""),"Issues in Informing Science and Information Technology, 6, 143-151, 2009. Online ISSN: 1547-5867, Print ISSN: 1547-5840")</f>
        <v>Issues in Informing Science and Information Technology, 6, 143-151, 2009. Online ISSN: 1547-5867, Print ISSN: 1547-5840</v>
      </c>
      <c r="F7195" s="10" t="str">
        <f ca="1">IFERROR(__xludf.DUMMYFUNCTION("""COMPUTED_VALUE"""),"Google Scholar")</f>
        <v>Google Scholar</v>
      </c>
      <c r="G7195" s="10" t="str">
        <f ca="1">IFERROR(__xludf.DUMMYFUNCTION("""COMPUTED_VALUE"""),"Dimitar Christozov, Stoyan Denchev")</f>
        <v>Dimitar Christozov, Stoyan Denchev</v>
      </c>
      <c r="H7195" s="10"/>
      <c r="I7195" s="10"/>
      <c r="J7195" s="10"/>
      <c r="K7195" s="10"/>
      <c r="L7195" s="10"/>
      <c r="M7195" s="10"/>
      <c r="N7195" s="10"/>
      <c r="O7195" s="10"/>
      <c r="P7195" s="10"/>
      <c r="Q7195" s="10"/>
      <c r="R7195" s="10"/>
      <c r="S7195" s="10"/>
      <c r="T7195" s="10"/>
      <c r="U7195" s="10"/>
      <c r="V7195" s="10"/>
      <c r="W7195" s="10"/>
      <c r="X7195" s="10"/>
      <c r="Y7195" s="10"/>
      <c r="Z7195" s="10"/>
    </row>
    <row r="7196" spans="1:26" ht="12.75">
      <c r="A7196" s="10" t="str">
        <f ca="1">IFERROR(__xludf.DUMMYFUNCTION("""COMPUTED_VALUE"""),"Стефка Янкова Толева-Стоименова")</f>
        <v>Стефка Янкова Толева-Стоименова</v>
      </c>
      <c r="B7196" s="10" t="str">
        <f ca="1">IFERROR(__xludf.DUMMYFUNCTION("""COMPUTED_VALUE"""),"Доклад от конференция")</f>
        <v>Доклад от конференция</v>
      </c>
      <c r="C7196" s="10" t="str">
        <f ca="1">IFERROR(__xludf.DUMMYFUNCTION("""COMPUTED_VALUE"""),"Процеси и модели за информиране.")</f>
        <v>Процеси и модели за информиране.</v>
      </c>
      <c r="D7196" s="10">
        <f ca="1">IFERROR(__xludf.DUMMYFUNCTION("""COMPUTED_VALUE"""),2008)</f>
        <v>2008</v>
      </c>
      <c r="E7196" s="10" t="str">
        <f ca="1">IFERROR(__xludf.DUMMYFUNCTION("""COMPUTED_VALUE"""),"Втора Национална конференция „Младежта на България, европейската ни идентичност и иновативни постижения“ Сборник на МИИО АБ, Година Втора, 87-96, София 2008. ISSN 1313-5589")</f>
        <v>Втора Национална конференция „Младежта на България, европейската ни идентичност и иновативни постижения“ Сборник на МИИО АБ, Година Втора, 87-96, София 2008. ISSN 1313-5589</v>
      </c>
      <c r="F7196" s="10"/>
      <c r="G7196" s="10" t="str">
        <f ca="1">IFERROR(__xludf.DUMMYFUNCTION("""COMPUTED_VALUE"""),"Димитър Христозов")</f>
        <v>Димитър Христозов</v>
      </c>
      <c r="H7196" s="10"/>
      <c r="I7196" s="10"/>
      <c r="J7196" s="10"/>
      <c r="K7196" s="10"/>
      <c r="L7196" s="10"/>
      <c r="M7196" s="10"/>
      <c r="N7196" s="10"/>
      <c r="O7196" s="10"/>
      <c r="P7196" s="10"/>
      <c r="Q7196" s="10"/>
      <c r="R7196" s="10"/>
      <c r="S7196" s="10"/>
      <c r="T7196" s="10"/>
      <c r="U7196" s="10"/>
      <c r="V7196" s="10"/>
      <c r="W7196" s="10"/>
      <c r="X7196" s="10"/>
      <c r="Y7196" s="10"/>
      <c r="Z7196" s="10"/>
    </row>
    <row r="7197" spans="1:26" ht="12.75">
      <c r="A7197" s="10" t="str">
        <f ca="1">IFERROR(__xludf.DUMMYFUNCTION("""COMPUTED_VALUE"""),"Стефка Янкова Толева-Стоименова")</f>
        <v>Стефка Янкова Толева-Стоименова</v>
      </c>
      <c r="B7197" s="10" t="str">
        <f ca="1">IFERROR(__xludf.DUMMYFUNCTION("""COMPUTED_VALUE"""),"Статия в списания и поредици")</f>
        <v>Статия в списания и поредици</v>
      </c>
      <c r="C7197" s="10" t="str">
        <f ca="1">IFERROR(__xludf.DUMMYFUNCTION("""COMPUTED_VALUE"""),"Training Information Brokers: A Curriculum Model.")</f>
        <v>Training Information Brokers: A Curriculum Model.</v>
      </c>
      <c r="D7197" s="10">
        <f ca="1">IFERROR(__xludf.DUMMYFUNCTION("""COMPUTED_VALUE"""),2008)</f>
        <v>2008</v>
      </c>
      <c r="E7197" s="10" t="str">
        <f ca="1">IFERROR(__xludf.DUMMYFUNCTION("""COMPUTED_VALUE"""),"Issues in Informing Science and Information Technology, 5, 87-94, 2008. (Presented on InSite’2008, June 22-25, Varna, Bulgaria) Online ISSN: 1547-5867, Print ISSN: 1547-5840")</f>
        <v>Issues in Informing Science and Information Technology, 5, 87-94, 2008. (Presented on InSite’2008, June 22-25, Varna, Bulgaria) Online ISSN: 1547-5867, Print ISSN: 1547-5840</v>
      </c>
      <c r="F7197" s="10" t="str">
        <f ca="1">IFERROR(__xludf.DUMMYFUNCTION("""COMPUTED_VALUE"""),"Google Scholar")</f>
        <v>Google Scholar</v>
      </c>
      <c r="G7197" s="10" t="str">
        <f ca="1">IFERROR(__xludf.DUMMYFUNCTION("""COMPUTED_VALUE"""),"Dimitar Christozov., Stoyan Denchev, Katia Rasheva-Yordanova")</f>
        <v>Dimitar Christozov., Stoyan Denchev, Katia Rasheva-Yordanova</v>
      </c>
      <c r="H7197" s="10"/>
      <c r="I7197" s="10"/>
      <c r="J7197" s="10"/>
      <c r="K7197" s="10"/>
      <c r="L7197" s="10"/>
      <c r="M7197" s="10"/>
      <c r="N7197" s="10"/>
      <c r="O7197" s="10"/>
      <c r="P7197" s="10"/>
      <c r="Q7197" s="10"/>
      <c r="R7197" s="10"/>
      <c r="S7197" s="10"/>
      <c r="T7197" s="10"/>
      <c r="U7197" s="10"/>
      <c r="V7197" s="10"/>
      <c r="W7197" s="10"/>
      <c r="X7197" s="10"/>
      <c r="Y7197" s="10"/>
      <c r="Z7197" s="10"/>
    </row>
    <row r="7198" spans="1:26" ht="12.75">
      <c r="A7198" s="10" t="str">
        <f ca="1">IFERROR(__xludf.DUMMYFUNCTION("""COMPUTED_VALUE"""),"Стефка Янкова Толева-Стоименова")</f>
        <v>Стефка Янкова Толева-Стоименова</v>
      </c>
      <c r="B7198" s="10" t="str">
        <f ca="1">IFERROR(__xludf.DUMMYFUNCTION("""COMPUTED_VALUE"""),"Статия в списания и поредици")</f>
        <v>Статия в списания и поредици</v>
      </c>
      <c r="C7198" s="10" t="str">
        <f ca="1">IFERROR(__xludf.DUMMYFUNCTION("""COMPUTED_VALUE"""),"Adaptive Control of Velocity Profile of an Alternating Current Motor.")</f>
        <v>Adaptive Control of Velocity Profile of an Alternating Current Motor.</v>
      </c>
      <c r="D7198" s="10">
        <f ca="1">IFERROR(__xludf.DUMMYFUNCTION("""COMPUTED_VALUE"""),2004)</f>
        <v>2004</v>
      </c>
      <c r="E7198" s="10" t="str">
        <f ca="1">IFERROR(__xludf.DUMMYFUNCTION("""COMPUTED_VALUE"""),"Проблеми на техническата кибернетика и роботика, бр. 54, 54-59, ISSN 0204-9848, Изд. “Марин Дринов”, БАН, София, 2004")</f>
        <v>Проблеми на техническата кибернетика и роботика, бр. 54, 54-59, ISSN 0204-9848, Изд. “Марин Дринов”, БАН, София, 2004</v>
      </c>
      <c r="F7198" s="10"/>
      <c r="G7198" s="10" t="str">
        <f ca="1">IFERROR(__xludf.DUMMYFUNCTION("""COMPUTED_VALUE"""),"Dichko Batchvarov, Veselin Georchev, Bahni Bahnev.")</f>
        <v>Dichko Batchvarov, Veselin Georchev, Bahni Bahnev.</v>
      </c>
      <c r="H7198" s="10"/>
      <c r="I7198" s="10"/>
      <c r="J7198" s="10"/>
      <c r="K7198" s="10"/>
      <c r="L7198" s="10"/>
      <c r="M7198" s="10"/>
      <c r="N7198" s="10"/>
      <c r="O7198" s="10"/>
      <c r="P7198" s="10"/>
      <c r="Q7198" s="10"/>
      <c r="R7198" s="10"/>
      <c r="S7198" s="10"/>
      <c r="T7198" s="10"/>
      <c r="U7198" s="10"/>
      <c r="V7198" s="10"/>
      <c r="W7198" s="10"/>
      <c r="X7198" s="10"/>
      <c r="Y7198" s="10"/>
      <c r="Z7198" s="10"/>
    </row>
    <row r="7199" spans="1:26" ht="12.75">
      <c r="A7199" s="10" t="str">
        <f ca="1">IFERROR(__xludf.DUMMYFUNCTION("""COMPUTED_VALUE"""),"Стефка Янкова Толева-Стоименова")</f>
        <v>Стефка Янкова Толева-Стоименова</v>
      </c>
      <c r="B7199" s="10" t="str">
        <f ca="1">IFERROR(__xludf.DUMMYFUNCTION("""COMPUTED_VALUE"""),"Статия в списания и поредици")</f>
        <v>Статия в списания и поредици</v>
      </c>
      <c r="C7199" s="10" t="str">
        <f ca="1">IFERROR(__xludf.DUMMYFUNCTION("""COMPUTED_VALUE"""),"A generalized net model of an industrial robot.")</f>
        <v>A generalized net model of an industrial robot.</v>
      </c>
      <c r="D7199" s="10">
        <f ca="1">IFERROR(__xludf.DUMMYFUNCTION("""COMPUTED_VALUE"""),2004)</f>
        <v>2004</v>
      </c>
      <c r="E7199" s="10" t="str">
        <f ca="1">IFERROR(__xludf.DUMMYFUNCTION("""COMPUTED_VALUE"""),"Issues in Intuitionistic Fuzzy Sets and Generalized Nets, 2, 29-36 ISBN 83-88311-75-1 (K. Atanassov, J. Kacprzyk and M. Krawczak, Eds.), Wydawnictwo WSISiZ, Warszawa, 2004.")</f>
        <v>Issues in Intuitionistic Fuzzy Sets and Generalized Nets, 2, 29-36 ISBN 83-88311-75-1 (K. Atanassov, J. Kacprzyk and M. Krawczak, Eds.), Wydawnictwo WSISiZ, Warszawa, 2004.</v>
      </c>
      <c r="F7199" s="10"/>
      <c r="G7199" s="10" t="str">
        <f ca="1">IFERROR(__xludf.DUMMYFUNCTION("""COMPUTED_VALUE"""),"Krassimir Atanassov, Toshio Fukuda")</f>
        <v>Krassimir Atanassov, Toshio Fukuda</v>
      </c>
      <c r="H7199" s="10"/>
      <c r="I7199" s="10"/>
      <c r="J7199" s="10"/>
      <c r="K7199" s="10"/>
      <c r="L7199" s="10"/>
      <c r="M7199" s="10"/>
      <c r="N7199" s="10"/>
      <c r="O7199" s="10"/>
      <c r="P7199" s="10"/>
      <c r="Q7199" s="10"/>
      <c r="R7199" s="10"/>
      <c r="S7199" s="10"/>
      <c r="T7199" s="10"/>
      <c r="U7199" s="10"/>
      <c r="V7199" s="10"/>
      <c r="W7199" s="10"/>
      <c r="X7199" s="10"/>
      <c r="Y7199" s="10"/>
      <c r="Z7199" s="10"/>
    </row>
    <row r="7200" spans="1:26" ht="12.75">
      <c r="A7200" s="10" t="str">
        <f ca="1">IFERROR(__xludf.DUMMYFUNCTION("""COMPUTED_VALUE"""),"Стефка Янкова Толева-Стоименова")</f>
        <v>Стефка Янкова Толева-Стоименова</v>
      </c>
      <c r="B7200" s="10" t="str">
        <f ca="1">IFERROR(__xludf.DUMMYFUNCTION("""COMPUTED_VALUE"""),"Доклад от конференция")</f>
        <v>Доклад от конференция</v>
      </c>
      <c r="C7200" s="10" t="str">
        <f ca="1">IFERROR(__xludf.DUMMYFUNCTION("""COMPUTED_VALUE"""),"Системи за управление на задвижвания чрез цифрови сигнални процесори")</f>
        <v>Системи за управление на задвижвания чрез цифрови сигнални процесори</v>
      </c>
      <c r="D7200" s="10">
        <f ca="1">IFERROR(__xludf.DUMMYFUNCTION("""COMPUTED_VALUE"""),2002)</f>
        <v>2002</v>
      </c>
      <c r="E7200" s="10" t="str">
        <f ca="1">IFERROR(__xludf.DUMMYFUNCTION("""COMPUTED_VALUE"""),"Научни известия на НТС по Машиностроене - Доклади, Бр.5, Октомври 2002, 3.29-3.34, ISSN1310-3946, Национална Конференция “Роботика и мехатроника”, Дряновски манастир, 9-11 Октомври 2002.")</f>
        <v>Научни известия на НТС по Машиностроене - Доклади, Бр.5, Октомври 2002, 3.29-3.34, ISSN1310-3946, Национална Конференция “Роботика и мехатроника”, Дряновски манастир, 9-11 Октомври 2002.</v>
      </c>
      <c r="F7200" s="10"/>
      <c r="G7200" s="10" t="str">
        <f ca="1">IFERROR(__xludf.DUMMYFUNCTION("""COMPUTED_VALUE"""),"Дичко Бъчваров")</f>
        <v>Дичко Бъчваров</v>
      </c>
      <c r="H7200" s="10"/>
      <c r="I7200" s="10"/>
      <c r="J7200" s="10"/>
      <c r="K7200" s="10"/>
      <c r="L7200" s="10"/>
      <c r="M7200" s="10"/>
      <c r="N7200" s="10"/>
      <c r="O7200" s="10"/>
      <c r="P7200" s="10"/>
      <c r="Q7200" s="10"/>
      <c r="R7200" s="10"/>
      <c r="S7200" s="10"/>
      <c r="T7200" s="10"/>
      <c r="U7200" s="10"/>
      <c r="V7200" s="10"/>
      <c r="W7200" s="10"/>
      <c r="X7200" s="10"/>
      <c r="Y7200" s="10"/>
      <c r="Z7200" s="10"/>
    </row>
    <row r="7201" spans="1:26" ht="12.75">
      <c r="A7201" s="10" t="str">
        <f ca="1">IFERROR(__xludf.DUMMYFUNCTION("""COMPUTED_VALUE"""),"Стефка Янкова Толева-Стоименова")</f>
        <v>Стефка Янкова Толева-Стоименова</v>
      </c>
      <c r="B7201" s="10" t="str">
        <f ca="1">IFERROR(__xludf.DUMMYFUNCTION("""COMPUTED_VALUE"""),"Доклад от конференция")</f>
        <v>Доклад от конференция</v>
      </c>
      <c r="C7201" s="10" t="str">
        <f ca="1">IFERROR(__xludf.DUMMYFUNCTION("""COMPUTED_VALUE"""),"Приближено-оптимално управлениe на горивни процеси с използване на размита логика.")</f>
        <v>Приближено-оптимално управлениe на горивни процеси с използване на размита логика.</v>
      </c>
      <c r="D7201" s="10">
        <f ca="1">IFERROR(__xludf.DUMMYFUNCTION("""COMPUTED_VALUE"""),2001)</f>
        <v>2001</v>
      </c>
      <c r="E7201" s="10" t="str">
        <f ca="1">IFERROR(__xludf.DUMMYFUNCTION("""COMPUTED_VALUE"""),"Международен симпозиум “Управление на топлоенергийни обекти и системи”, Сборник доклади, 37-40, Бобовдол, 1-2 Ноември 2001 г. ISBN 954-9641-27-9")</f>
        <v>Международен симпозиум “Управление на топлоенергийни обекти и системи”, Сборник доклади, 37-40, Бобовдол, 1-2 Ноември 2001 г. ISBN 954-9641-27-9</v>
      </c>
      <c r="F7201" s="10"/>
      <c r="G7201" s="10" t="str">
        <f ca="1">IFERROR(__xludf.DUMMYFUNCTION("""COMPUTED_VALUE"""),"Момчил Рабаджийски")</f>
        <v>Момчил Рабаджийски</v>
      </c>
      <c r="H7201" s="10"/>
      <c r="I7201" s="10"/>
      <c r="J7201" s="10"/>
      <c r="K7201" s="10"/>
      <c r="L7201" s="10"/>
      <c r="M7201" s="10"/>
      <c r="N7201" s="10"/>
      <c r="O7201" s="10"/>
      <c r="P7201" s="10"/>
      <c r="Q7201" s="10"/>
      <c r="R7201" s="10"/>
      <c r="S7201" s="10"/>
      <c r="T7201" s="10"/>
      <c r="U7201" s="10"/>
      <c r="V7201" s="10"/>
      <c r="W7201" s="10"/>
      <c r="X7201" s="10"/>
      <c r="Y7201" s="10"/>
      <c r="Z7201" s="10"/>
    </row>
    <row r="7202" spans="1:26" ht="12.75">
      <c r="A7202" s="10" t="str">
        <f ca="1">IFERROR(__xludf.DUMMYFUNCTION("""COMPUTED_VALUE"""),"Стефка Янкова Толева-Стоименова")</f>
        <v>Стефка Янкова Толева-Стоименова</v>
      </c>
      <c r="B7202" s="10" t="str">
        <f ca="1">IFERROR(__xludf.DUMMYFUNCTION("""COMPUTED_VALUE"""),"Доклад от конференция")</f>
        <v>Доклад от конференция</v>
      </c>
      <c r="C7202" s="10" t="str">
        <f ca="1">IFERROR(__xludf.DUMMYFUNCTION("""COMPUTED_VALUE"""),"Application of fuzzy logic to fuel quasi-optimum process control.")</f>
        <v>Application of fuzzy logic to fuel quasi-optimum process control.</v>
      </c>
      <c r="D7202" s="10">
        <f ca="1">IFERROR(__xludf.DUMMYFUNCTION("""COMPUTED_VALUE"""),2001)</f>
        <v>2001</v>
      </c>
      <c r="E7202" s="10" t="str">
        <f ca="1">IFERROR(__xludf.DUMMYFUNCTION("""COMPUTED_VALUE"""),"International Conference of Automatics and Informatics Proceedings, A21-24, Sofia, 31 May - 2 June 2001. ISBN 954-9641-24-4")</f>
        <v>International Conference of Automatics and Informatics Proceedings, A21-24, Sofia, 31 May - 2 June 2001. ISBN 954-9641-24-4</v>
      </c>
      <c r="F7202" s="10"/>
      <c r="G7202" s="10" t="str">
        <f ca="1">IFERROR(__xludf.DUMMYFUNCTION("""COMPUTED_VALUE"""),"Momchil Rabadjiski")</f>
        <v>Momchil Rabadjiski</v>
      </c>
      <c r="H7202" s="10"/>
      <c r="I7202" s="10"/>
      <c r="J7202" s="10"/>
      <c r="K7202" s="10"/>
      <c r="L7202" s="10"/>
      <c r="M7202" s="10"/>
      <c r="N7202" s="10"/>
      <c r="O7202" s="10"/>
      <c r="P7202" s="10"/>
      <c r="Q7202" s="10"/>
      <c r="R7202" s="10"/>
      <c r="S7202" s="10"/>
      <c r="T7202" s="10"/>
      <c r="U7202" s="10"/>
      <c r="V7202" s="10"/>
      <c r="W7202" s="10"/>
      <c r="X7202" s="10"/>
      <c r="Y7202" s="10"/>
      <c r="Z7202" s="10"/>
    </row>
    <row r="7203" spans="1:26" ht="12.75">
      <c r="A7203" s="10" t="str">
        <f ca="1">IFERROR(__xludf.DUMMYFUNCTION("""COMPUTED_VALUE"""),"Стефка Янкова Толева-Стоименова")</f>
        <v>Стефка Янкова Толева-Стоименова</v>
      </c>
      <c r="B7203" s="10" t="str">
        <f ca="1">IFERROR(__xludf.DUMMYFUNCTION("""COMPUTED_VALUE"""),"Доклад от конференция")</f>
        <v>Доклад от конференция</v>
      </c>
      <c r="C7203" s="10" t="str">
        <f ca="1">IFERROR(__xludf.DUMMYFUNCTION("""COMPUTED_VALUE"""),"Управление на обекти в разпределени корпоративни системи с използване на размити множества.")</f>
        <v>Управление на обекти в разпределени корпоративни системи с използване на размити множества.</v>
      </c>
      <c r="D7203" s="10">
        <f ca="1">IFERROR(__xludf.DUMMYFUNCTION("""COMPUTED_VALUE"""),2001)</f>
        <v>2001</v>
      </c>
      <c r="E7203" s="10" t="str">
        <f ca="1">IFERROR(__xludf.DUMMYFUNCTION("""COMPUTED_VALUE"""),"Научни известия на НТС по машиностроене - Доклади, Бр.5, 3.94 -3.99, ISSN1310-3946, Национална Конференция “Роботика и мехатроника”, Дряновски манастир, 10-12 Октомври 2001.")</f>
        <v>Научни известия на НТС по машиностроене - Доклади, Бр.5, 3.94 -3.99, ISSN1310-3946, Национална Конференция “Роботика и мехатроника”, Дряновски манастир, 10-12 Октомври 2001.</v>
      </c>
      <c r="F7203" s="10"/>
      <c r="G7203" s="10" t="str">
        <f ca="1">IFERROR(__xludf.DUMMYFUNCTION("""COMPUTED_VALUE"""),"Кирил Белов, Веселин Георчев")</f>
        <v>Кирил Белов, Веселин Георчев</v>
      </c>
      <c r="H7203" s="10"/>
      <c r="I7203" s="10"/>
      <c r="J7203" s="10"/>
      <c r="K7203" s="10"/>
      <c r="L7203" s="10"/>
      <c r="M7203" s="10"/>
      <c r="N7203" s="10"/>
      <c r="O7203" s="10"/>
      <c r="P7203" s="10"/>
      <c r="Q7203" s="10"/>
      <c r="R7203" s="10"/>
      <c r="S7203" s="10"/>
      <c r="T7203" s="10"/>
      <c r="U7203" s="10"/>
      <c r="V7203" s="10"/>
      <c r="W7203" s="10"/>
      <c r="X7203" s="10"/>
      <c r="Y7203" s="10"/>
      <c r="Z7203" s="10"/>
    </row>
    <row r="7204" spans="1:26" ht="12.75">
      <c r="A7204" s="10" t="str">
        <f ca="1">IFERROR(__xludf.DUMMYFUNCTION("""COMPUTED_VALUE"""),"Стефка Янкова Толева-Стоименова")</f>
        <v>Стефка Янкова Толева-Стоименова</v>
      </c>
      <c r="B7204" s="10" t="str">
        <f ca="1">IFERROR(__xludf.DUMMYFUNCTION("""COMPUTED_VALUE"""),"Доклад от конференция")</f>
        <v>Доклад от конференция</v>
      </c>
      <c r="C7204" s="10" t="str">
        <f ca="1">IFERROR(__xludf.DUMMYFUNCTION("""COMPUTED_VALUE"""),"Приближено-оптимално управлениe на технологични процеси по критерий минимум разход на гориво")</f>
        <v>Приближено-оптимално управлениe на технологични процеси по критерий минимум разход на гориво</v>
      </c>
      <c r="D7204" s="10">
        <f ca="1">IFERROR(__xludf.DUMMYFUNCTION("""COMPUTED_VALUE"""),1999)</f>
        <v>1999</v>
      </c>
      <c r="E7204" s="10" t="str">
        <f ca="1">IFERROR(__xludf.DUMMYFUNCTION("""COMPUTED_VALUE"""),"Национална конференция Автоматика и информатика’99, 19-22 окт. 1999 г. Симпозиум “Управление на енергийни обекти и системи”, Сборник доклади, том 4, 47-49, София ISBN 954-9641-15-5 (т.4)")</f>
        <v>Национална конференция Автоматика и информатика’99, 19-22 окт. 1999 г. Симпозиум “Управление на енергийни обекти и системи”, Сборник доклади, том 4, 47-49, София ISBN 954-9641-15-5 (т.4)</v>
      </c>
      <c r="F7204" s="10"/>
      <c r="G7204" s="10" t="str">
        <f ca="1">IFERROR(__xludf.DUMMYFUNCTION("""COMPUTED_VALUE"""),"Момчил Рабаджийски")</f>
        <v>Момчил Рабаджийски</v>
      </c>
      <c r="H7204" s="10"/>
      <c r="I7204" s="10"/>
      <c r="J7204" s="10"/>
      <c r="K7204" s="10"/>
      <c r="L7204" s="10"/>
      <c r="M7204" s="10"/>
      <c r="N7204" s="10"/>
      <c r="O7204" s="10"/>
      <c r="P7204" s="10"/>
      <c r="Q7204" s="10"/>
      <c r="R7204" s="10"/>
      <c r="S7204" s="10"/>
      <c r="T7204" s="10"/>
      <c r="U7204" s="10"/>
      <c r="V7204" s="10"/>
      <c r="W7204" s="10"/>
      <c r="X7204" s="10"/>
      <c r="Y7204" s="10"/>
      <c r="Z7204" s="10"/>
    </row>
    <row r="7205" spans="1:26" ht="12.75">
      <c r="A7205" s="10" t="str">
        <f ca="1">IFERROR(__xludf.DUMMYFUNCTION("""COMPUTED_VALUE"""),"Стоян Георгиев Денчев")</f>
        <v>Стоян Георгиев Денчев</v>
      </c>
      <c r="B7205" s="10" t="str">
        <f ca="1">IFERROR(__xludf.DUMMYFUNCTION("""COMPUTED_VALUE"""),"Доклад от конференция")</f>
        <v>Доклад от конференция</v>
      </c>
      <c r="C7205" s="10" t="str">
        <f ca="1">IFERROR(__xludf.DUMMYFUNCTION("""COMPUTED_VALUE"""),"THE UNIVERSITY EDUCATIONAL ENVIRONMENT AS A FACTOR FOR CREATING PROFESSIONAL PRACTICAL SKILLS IN THE SPHERE OF TOURISM")</f>
        <v>THE UNIVERSITY EDUCATIONAL ENVIRONMENT AS A FACTOR FOR CREATING PROFESSIONAL PRACTICAL SKILLS IN THE SPHERE OF TOURISM</v>
      </c>
      <c r="D7205" s="10">
        <f ca="1">IFERROR(__xludf.DUMMYFUNCTION("""COMPUTED_VALUE"""),2019)</f>
        <v>2019</v>
      </c>
      <c r="E7205" s="10" t="str">
        <f ca="1">IFERROR(__xludf.DUMMYFUNCTION("""COMPUTED_VALUE"""),"13th International Technology, Education and Development Conference Valencia, Spain. 11-13 March, 2019. ISBN: 978-84-09-08619-1 / ISSN: 2340-1079 doi: 10.21125/inted.2019 Publisher: IATED")</f>
        <v>13th International Technology, Education and Development Conference Valencia, Spain. 11-13 March, 2019. ISBN: 978-84-09-08619-1 / ISSN: 2340-1079 doi: 10.21125/inted.2019 Publisher: IATED</v>
      </c>
      <c r="F7205" s="10"/>
      <c r="G7205" s="10" t="str">
        <f ca="1">IFERROR(__xludf.DUMMYFUNCTION("""COMPUTED_VALUE"""),"M.S. Nikolova, V. Nikolova")</f>
        <v>M.S. Nikolova, V. Nikolova</v>
      </c>
      <c r="H7205" s="10"/>
      <c r="I7205" s="10"/>
      <c r="J7205" s="10"/>
      <c r="K7205" s="10"/>
      <c r="L7205" s="10"/>
      <c r="M7205" s="10"/>
      <c r="N7205" s="10"/>
      <c r="O7205" s="10"/>
      <c r="P7205" s="10"/>
      <c r="Q7205" s="10"/>
      <c r="R7205" s="10"/>
      <c r="S7205" s="10"/>
      <c r="T7205" s="10"/>
      <c r="U7205" s="10"/>
      <c r="V7205" s="10"/>
      <c r="W7205" s="10"/>
      <c r="X7205" s="10"/>
      <c r="Y7205" s="10"/>
      <c r="Z7205" s="10"/>
    </row>
    <row r="7206" spans="1:26" ht="12.75">
      <c r="A7206" s="10" t="str">
        <f ca="1">IFERROR(__xludf.DUMMYFUNCTION("""COMPUTED_VALUE"""),"Стоян Георгиев Денчев")</f>
        <v>Стоян Георгиев Денчев</v>
      </c>
      <c r="B7206" s="10" t="str">
        <f ca="1">IFERROR(__xludf.DUMMYFUNCTION("""COMPUTED_VALUE"""),"Доклад от конференция")</f>
        <v>Доклад от конференция</v>
      </c>
      <c r="C7206" s="10" t="str">
        <f ca="1">IFERROR(__xludf.DUMMYFUNCTION("""COMPUTED_VALUE"""),"THE ROLE OF LIBRARIES IN CONTEMPORARY INFORMATION ENVIRONMENT")</f>
        <v>THE ROLE OF LIBRARIES IN CONTEMPORARY INFORMATION ENVIRONMENT</v>
      </c>
      <c r="D7206" s="10">
        <f ca="1">IFERROR(__xludf.DUMMYFUNCTION("""COMPUTED_VALUE"""),2019)</f>
        <v>2019</v>
      </c>
      <c r="E7206" s="10" t="str">
        <f ca="1">IFERROR(__xludf.DUMMYFUNCTION("""COMPUTED_VALUE"""),"13th International Technology, Education and Development Conference Valencia, Spain. 11-13 March, 2019. ISBN: 978-84-09-08619-1 / ISSN: 2340-1079 doi: 10.21125/inted.2019 Publisher: IATED")</f>
        <v>13th International Technology, Education and Development Conference Valencia, Spain. 11-13 March, 2019. ISBN: 978-84-09-08619-1 / ISSN: 2340-1079 doi: 10.21125/inted.2019 Publisher: IATED</v>
      </c>
      <c r="F7206" s="10"/>
      <c r="G7206" s="10" t="str">
        <f ca="1">IFERROR(__xludf.DUMMYFUNCTION("""COMPUTED_VALUE"""),"E. Tsvetkova, I. Peteva")</f>
        <v>E. Tsvetkova, I. Peteva</v>
      </c>
      <c r="H7206" s="10"/>
      <c r="I7206" s="10"/>
      <c r="J7206" s="10"/>
      <c r="K7206" s="10"/>
      <c r="L7206" s="10"/>
      <c r="M7206" s="10"/>
      <c r="N7206" s="10"/>
      <c r="O7206" s="10"/>
      <c r="P7206" s="10"/>
      <c r="Q7206" s="10"/>
      <c r="R7206" s="10"/>
      <c r="S7206" s="10"/>
      <c r="T7206" s="10"/>
      <c r="U7206" s="10"/>
      <c r="V7206" s="10"/>
      <c r="W7206" s="10"/>
      <c r="X7206" s="10"/>
      <c r="Y7206" s="10"/>
      <c r="Z7206" s="10"/>
    </row>
    <row r="7207" spans="1:26" ht="12.75">
      <c r="A7207" s="10" t="str">
        <f ca="1">IFERROR(__xludf.DUMMYFUNCTION("""COMPUTED_VALUE"""),"Стоян Георгиев Денчев")</f>
        <v>Стоян Георгиев Денчев</v>
      </c>
      <c r="B7207" s="10" t="str">
        <f ca="1">IFERROR(__xludf.DUMMYFUNCTION("""COMPUTED_VALUE"""),"Доклад от конференция")</f>
        <v>Доклад от конференция</v>
      </c>
      <c r="C7207" s="10" t="str">
        <f ca="1">IFERROR(__xludf.DUMMYFUNCTION("""COMPUTED_VALUE"""),"INTELLECTUAL PROPERTY AND MEDIA CULTURE IN HIGHER EDUCATION")</f>
        <v>INTELLECTUAL PROPERTY AND MEDIA CULTURE IN HIGHER EDUCATION</v>
      </c>
      <c r="D7207" s="10">
        <f ca="1">IFERROR(__xludf.DUMMYFUNCTION("""COMPUTED_VALUE"""),2019)</f>
        <v>2019</v>
      </c>
      <c r="E7207" s="10" t="str">
        <f ca="1">IFERROR(__xludf.DUMMYFUNCTION("""COMPUTED_VALUE"""),"13th International Technology, Education and Development Conference Valencia, Spain. 11-13 March, 2019. ISBN: 978-84-09-08619-1 / ISSN: 2340-1079 doi: 10.21125/inted.2019 Publisher: IATED")</f>
        <v>13th International Technology, Education and Development Conference Valencia, Spain. 11-13 March, 2019. ISBN: 978-84-09-08619-1 / ISSN: 2340-1079 doi: 10.21125/inted.2019 Publisher: IATED</v>
      </c>
      <c r="F7207" s="10"/>
      <c r="G7207" s="10" t="str">
        <f ca="1">IFERROR(__xludf.DUMMYFUNCTION("""COMPUTED_VALUE"""),"T. Trencheva, E. Zdravkova")</f>
        <v>T. Trencheva, E. Zdravkova</v>
      </c>
      <c r="H7207" s="10"/>
      <c r="I7207" s="10"/>
      <c r="J7207" s="10"/>
      <c r="K7207" s="10"/>
      <c r="L7207" s="10"/>
      <c r="M7207" s="10"/>
      <c r="N7207" s="10"/>
      <c r="O7207" s="10"/>
      <c r="P7207" s="10"/>
      <c r="Q7207" s="10"/>
      <c r="R7207" s="10"/>
      <c r="S7207" s="10"/>
      <c r="T7207" s="10"/>
      <c r="U7207" s="10"/>
      <c r="V7207" s="10"/>
      <c r="W7207" s="10"/>
      <c r="X7207" s="10"/>
      <c r="Y7207" s="10"/>
      <c r="Z7207" s="10"/>
    </row>
    <row r="7208" spans="1:26" ht="12.75">
      <c r="A7208" s="10" t="str">
        <f ca="1">IFERROR(__xludf.DUMMYFUNCTION("""COMPUTED_VALUE"""),"Стоян Георгиев Денчев")</f>
        <v>Стоян Георгиев Денчев</v>
      </c>
      <c r="B7208" s="10" t="str">
        <f ca="1">IFERROR(__xludf.DUMMYFUNCTION("""COMPUTED_VALUE"""),"Доклад от конференция")</f>
        <v>Доклад от конференция</v>
      </c>
      <c r="C7208" s="10" t="str">
        <f ca="1">IFERROR(__xludf.DUMMYFUNCTION("""COMPUTED_VALUE"""),"MIXED REALITY AS NEW OPPORTUNITY IN THE PRESERVATION AND PROMOTION OF THE CULTURAL AND HISTORICAL HERITAGE")</f>
        <v>MIXED REALITY AS NEW OPPORTUNITY IN THE PRESERVATION AND PROMOTION OF THE CULTURAL AND HISTORICAL HERITAGE</v>
      </c>
      <c r="D7208" s="10">
        <f ca="1">IFERROR(__xludf.DUMMYFUNCTION("""COMPUTED_VALUE"""),2019)</f>
        <v>2019</v>
      </c>
      <c r="E7208" s="10" t="str">
        <f ca="1">IFERROR(__xludf.DUMMYFUNCTION("""COMPUTED_VALUE"""),"11th International Conference on Education and New Learning Technologies Palma, Spain. 1-3 July, 2019. ISBN: 978-84-09-12031-4 / ISSN: 2340-1117 doi: 10.21125/edulearn.2019 Publisher: IATED")</f>
        <v>11th International Conference on Education and New Learning Technologies Palma, Spain. 1-3 July, 2019. ISBN: 978-84-09-12031-4 / ISSN: 2340-1117 doi: 10.21125/edulearn.2019 Publisher: IATED</v>
      </c>
      <c r="F7208" s="10"/>
      <c r="G7208" s="10" t="str">
        <f ca="1">IFERROR(__xludf.DUMMYFUNCTION("""COMPUTED_VALUE"""),"I. Peteva, I. Trenchev")</f>
        <v>I. Peteva, I. Trenchev</v>
      </c>
      <c r="H7208" s="10"/>
      <c r="I7208" s="10"/>
      <c r="J7208" s="10"/>
      <c r="K7208" s="10"/>
      <c r="L7208" s="10"/>
      <c r="M7208" s="10"/>
      <c r="N7208" s="10"/>
      <c r="O7208" s="10"/>
      <c r="P7208" s="10"/>
      <c r="Q7208" s="10"/>
      <c r="R7208" s="10"/>
      <c r="S7208" s="10"/>
      <c r="T7208" s="10"/>
      <c r="U7208" s="10"/>
      <c r="V7208" s="10"/>
      <c r="W7208" s="10"/>
      <c r="X7208" s="10"/>
      <c r="Y7208" s="10"/>
      <c r="Z7208" s="10"/>
    </row>
    <row r="7209" spans="1:26" ht="12.75">
      <c r="A7209" s="10" t="str">
        <f ca="1">IFERROR(__xludf.DUMMYFUNCTION("""COMPUTED_VALUE"""),"Стоян Георгиев Денчев")</f>
        <v>Стоян Георгиев Денчев</v>
      </c>
      <c r="B7209" s="10" t="str">
        <f ca="1">IFERROR(__xludf.DUMMYFUNCTION("""COMPUTED_VALUE"""),"Доклад от конференция")</f>
        <v>Доклад от конференция</v>
      </c>
      <c r="C7209" s="10" t="str">
        <f ca="1">IFERROR(__xludf.DUMMYFUNCTION("""COMPUTED_VALUE"""),"THE ROLE OF SCIENCE LEADERS IN THE CONTEMPORARY KNOWLEDGE SOCIETY")</f>
        <v>THE ROLE OF SCIENCE LEADERS IN THE CONTEMPORARY KNOWLEDGE SOCIETY</v>
      </c>
      <c r="D7209" s="10">
        <f ca="1">IFERROR(__xludf.DUMMYFUNCTION("""COMPUTED_VALUE"""),2019)</f>
        <v>2019</v>
      </c>
      <c r="E7209" s="10" t="str">
        <f ca="1">IFERROR(__xludf.DUMMYFUNCTION("""COMPUTED_VALUE"""),"11th International Conference on Education and New Learning Technologies Palma, Spain. 1-3 July, 2019. ISBN: 978-84-09-12031-4 / ISSN: 2340-1117 doi: 10.21125/edulearn.2019 Publisher: IATED")</f>
        <v>11th International Conference on Education and New Learning Technologies Palma, Spain. 1-3 July, 2019. ISBN: 978-84-09-12031-4 / ISSN: 2340-1117 doi: 10.21125/edulearn.2019 Publisher: IATED</v>
      </c>
      <c r="F7209" s="10"/>
      <c r="G7209" s="10" t="str">
        <f ca="1">IFERROR(__xludf.DUMMYFUNCTION("""COMPUTED_VALUE"""),"D. Stoyanova, K. Bosakova")</f>
        <v>D. Stoyanova, K. Bosakova</v>
      </c>
      <c r="H7209" s="10"/>
      <c r="I7209" s="10"/>
      <c r="J7209" s="10"/>
      <c r="K7209" s="10"/>
      <c r="L7209" s="10"/>
      <c r="M7209" s="10"/>
      <c r="N7209" s="10"/>
      <c r="O7209" s="10"/>
      <c r="P7209" s="10"/>
      <c r="Q7209" s="10"/>
      <c r="R7209" s="10"/>
      <c r="S7209" s="10"/>
      <c r="T7209" s="10"/>
      <c r="U7209" s="10"/>
      <c r="V7209" s="10"/>
      <c r="W7209" s="10"/>
      <c r="X7209" s="10"/>
      <c r="Y7209" s="10"/>
      <c r="Z7209" s="10"/>
    </row>
    <row r="7210" spans="1:26" ht="12.75">
      <c r="A7210" s="10" t="str">
        <f ca="1">IFERROR(__xludf.DUMMYFUNCTION("""COMPUTED_VALUE"""),"Стоян Георгиев Денчев")</f>
        <v>Стоян Георгиев Денчев</v>
      </c>
      <c r="B7210" s="10" t="str">
        <f ca="1">IFERROR(__xludf.DUMMYFUNCTION("""COMPUTED_VALUE"""),"Доклад от конференция")</f>
        <v>Доклад от конференция</v>
      </c>
      <c r="C7210" s="10" t="str">
        <f ca="1">IFERROR(__xludf.DUMMYFUNCTION("""COMPUTED_VALUE"""),"WORKING MODEL FOR ESTABLISHMENT AND VALIDATION OF SUSTAINABLE LEADERSHIP IMAGE FOR INDIVIDUAL POSITIONING IN THE UNIVERSITY INFORMATION ENVIRONMENT THROUGH CORPORATE COMMUNICATIONS APPROACHES")</f>
        <v>WORKING MODEL FOR ESTABLISHMENT AND VALIDATION OF SUSTAINABLE LEADERSHIP IMAGE FOR INDIVIDUAL POSITIONING IN THE UNIVERSITY INFORMATION ENVIRONMENT THROUGH CORPORATE COMMUNICATIONS APPROACHES</v>
      </c>
      <c r="D7210" s="10">
        <f ca="1">IFERROR(__xludf.DUMMYFUNCTION("""COMPUTED_VALUE"""),2019)</f>
        <v>2019</v>
      </c>
      <c r="E7210" s="10" t="str">
        <f ca="1">IFERROR(__xludf.DUMMYFUNCTION("""COMPUTED_VALUE"""),"11th International Conference on Education and New Learning Technologies Palma, Spain. 1-3 July, 2019. ISBN: 978-84-09-12031-4 / ISSN: 2340-1117 doi: 10.21125/edulearn.2019 Publisher: IATED")</f>
        <v>11th International Conference on Education and New Learning Technologies Palma, Spain. 1-3 July, 2019. ISBN: 978-84-09-12031-4 / ISSN: 2340-1117 doi: 10.21125/edulearn.2019 Publisher: IATED</v>
      </c>
      <c r="F7210" s="10"/>
      <c r="G7210" s="10" t="str">
        <f ca="1">IFERROR(__xludf.DUMMYFUNCTION("""COMPUTED_VALUE"""),"I. Peteva, B. Tetevenska")</f>
        <v>I. Peteva, B. Tetevenska</v>
      </c>
      <c r="H7210" s="10"/>
      <c r="I7210" s="10"/>
      <c r="J7210" s="10"/>
      <c r="K7210" s="10"/>
      <c r="L7210" s="10"/>
      <c r="M7210" s="10"/>
      <c r="N7210" s="10"/>
      <c r="O7210" s="10"/>
      <c r="P7210" s="10"/>
      <c r="Q7210" s="10"/>
      <c r="R7210" s="10"/>
      <c r="S7210" s="10"/>
      <c r="T7210" s="10"/>
      <c r="U7210" s="10"/>
      <c r="V7210" s="10"/>
      <c r="W7210" s="10"/>
      <c r="X7210" s="10"/>
      <c r="Y7210" s="10"/>
      <c r="Z7210" s="10"/>
    </row>
    <row r="7211" spans="1:26" ht="12.75">
      <c r="A7211" s="10" t="str">
        <f ca="1">IFERROR(__xludf.DUMMYFUNCTION("""COMPUTED_VALUE"""),"Стоян Георгиев Денчев")</f>
        <v>Стоян Георгиев Денчев</v>
      </c>
      <c r="B7211" s="10" t="str">
        <f ca="1">IFERROR(__xludf.DUMMYFUNCTION("""COMPUTED_VALUE"""),"Доклад от конференция")</f>
        <v>Доклад от конференция</v>
      </c>
      <c r="C7211" s="10" t="str">
        <f ca="1">IFERROR(__xludf.DUMMYFUNCTION("""COMPUTED_VALUE"""),"MOBILE ACCESS TO INFORMATION SERVICES AND RESOURCES: THE LIBRARY EXPERIENCE")</f>
        <v>MOBILE ACCESS TO INFORMATION SERVICES AND RESOURCES: THE LIBRARY EXPERIENCE</v>
      </c>
      <c r="D7211" s="10">
        <f ca="1">IFERROR(__xludf.DUMMYFUNCTION("""COMPUTED_VALUE"""),2019)</f>
        <v>2019</v>
      </c>
      <c r="E7211" s="10" t="str">
        <f ca="1">IFERROR(__xludf.DUMMYFUNCTION("""COMPUTED_VALUE"""),"11th International Conference on Education and New Learning Technologies Palma, Spain. 1-3 July, 2019. ISBN: 978-84-09-12031-4 / ISSN: 2340-1117 doi: 10.21125/edulearn.2019 Publisher: IATED")</f>
        <v>11th International Conference on Education and New Learning Technologies Palma, Spain. 1-3 July, 2019. ISBN: 978-84-09-12031-4 / ISSN: 2340-1117 doi: 10.21125/edulearn.2019 Publisher: IATED</v>
      </c>
      <c r="F7211" s="10"/>
      <c r="G7211" s="10" t="str">
        <f ca="1">IFERROR(__xludf.DUMMYFUNCTION("""COMPUTED_VALUE"""),"I. Peteva, E. Tsvetkova")</f>
        <v>I. Peteva, E. Tsvetkova</v>
      </c>
      <c r="H7211" s="10"/>
      <c r="I7211" s="10"/>
      <c r="J7211" s="10"/>
      <c r="K7211" s="10"/>
      <c r="L7211" s="10"/>
      <c r="M7211" s="10"/>
      <c r="N7211" s="10"/>
      <c r="O7211" s="10"/>
      <c r="P7211" s="10"/>
      <c r="Q7211" s="10"/>
      <c r="R7211" s="10"/>
      <c r="S7211" s="10"/>
      <c r="T7211" s="10"/>
      <c r="U7211" s="10"/>
      <c r="V7211" s="10"/>
      <c r="W7211" s="10"/>
      <c r="X7211" s="10"/>
      <c r="Y7211" s="10"/>
      <c r="Z7211" s="10"/>
    </row>
    <row r="7212" spans="1:26" ht="12.75">
      <c r="A7212" s="10" t="str">
        <f ca="1">IFERROR(__xludf.DUMMYFUNCTION("""COMPUTED_VALUE"""),"Стоян Георгиев Денчев")</f>
        <v>Стоян Георгиев Денчев</v>
      </c>
      <c r="B7212" s="10" t="str">
        <f ca="1">IFERROR(__xludf.DUMMYFUNCTION("""COMPUTED_VALUE"""),"Доклад от конференция")</f>
        <v>Доклад от конференция</v>
      </c>
      <c r="C7212" s="10" t="str">
        <f ca="1">IFERROR(__xludf.DUMMYFUNCTION("""COMPUTED_VALUE"""),"Модерният университет е университетът на бъдещето")</f>
        <v>Модерният университет е университетът на бъдещето</v>
      </c>
      <c r="D7212" s="10">
        <f ca="1">IFERROR(__xludf.DUMMYFUNCTION("""COMPUTED_VALUE"""),2019)</f>
        <v>2019</v>
      </c>
      <c r="E7212" s="10" t="str">
        <f ca="1">IFERROR(__xludf.DUMMYFUNCTION("""COMPUTED_VALUE"""),"ОБЩЕСТВОТО НА ЗНАНИЕТО И ХУМАНИЗМЪТ НА ХХІ ВЕК ХVII национална научна конференция с международно участие, София, 1 ноември 2019 г. Академично издателство „За буквите – О писменехь“ ISSN 2683-0094 София, 2019с.30-35")</f>
        <v>ОБЩЕСТВОТО НА ЗНАНИЕТО И ХУМАНИЗМЪТ НА ХХІ ВЕК ХVII национална научна конференция с международно участие, София, 1 ноември 2019 г. Академично издателство „За буквите – О писменехь“ ISSN 2683-0094 София, 2019с.30-35</v>
      </c>
      <c r="F7212" s="10"/>
      <c r="G7212" s="10"/>
      <c r="H7212" s="10"/>
      <c r="I7212" s="10"/>
      <c r="J7212" s="10"/>
      <c r="K7212" s="10"/>
      <c r="L7212" s="10"/>
      <c r="M7212" s="10"/>
      <c r="N7212" s="10"/>
      <c r="O7212" s="10"/>
      <c r="P7212" s="10"/>
      <c r="Q7212" s="10"/>
      <c r="R7212" s="10"/>
      <c r="S7212" s="10"/>
      <c r="T7212" s="10"/>
      <c r="U7212" s="10"/>
      <c r="V7212" s="10"/>
      <c r="W7212" s="10"/>
      <c r="X7212" s="10"/>
      <c r="Y7212" s="10"/>
      <c r="Z7212" s="10"/>
    </row>
    <row r="7213" spans="1:26" ht="12.75">
      <c r="A7213" s="10" t="str">
        <f ca="1">IFERROR(__xludf.DUMMYFUNCTION("""COMPUTED_VALUE"""),"Стоян Георгиев Денчев")</f>
        <v>Стоян Георгиев Денчев</v>
      </c>
      <c r="B7213" s="10" t="str">
        <f ca="1">IFERROR(__xludf.DUMMYFUNCTION("""COMPUTED_VALUE"""),"Доклад от конференция")</f>
        <v>Доклад от конференция</v>
      </c>
      <c r="C7213" s="10" t="str">
        <f ca="1">IFERROR(__xludf.DUMMYFUNCTION("""COMPUTED_VALUE"""),"The Media Industry and Intellectual Property Integration: Abstraction or Reality")</f>
        <v>The Media Industry and Intellectual Property Integration: Abstraction or Reality</v>
      </c>
      <c r="D7213" s="10">
        <f ca="1">IFERROR(__xludf.DUMMYFUNCTION("""COMPUTED_VALUE"""),2019)</f>
        <v>2019</v>
      </c>
      <c r="E7213" s="10" t="str">
        <f ca="1">IFERROR(__xludf.DUMMYFUNCTION("""COMPUTED_VALUE"""),"In Conference Proceedings: 17th International Conference of e-Society 11 – 13 April, 2019, Utrecht, The Netherlands, IADIS Press, 2019,")</f>
        <v>In Conference Proceedings: 17th International Conference of e-Society 11 – 13 April, 2019, Utrecht, The Netherlands, IADIS Press, 2019,</v>
      </c>
      <c r="F7213" s="10"/>
      <c r="G7213" s="10" t="str">
        <f ca="1">IFERROR(__xludf.DUMMYFUNCTION("""COMPUTED_VALUE"""),"Trencheva, T., S. Denchev, E. Zdravkova.")</f>
        <v>Trencheva, T., S. Denchev, E. Zdravkova.</v>
      </c>
      <c r="H7213" s="10"/>
      <c r="I7213" s="10"/>
      <c r="J7213" s="10"/>
      <c r="K7213" s="10"/>
      <c r="L7213" s="10"/>
      <c r="M7213" s="10"/>
      <c r="N7213" s="10"/>
      <c r="O7213" s="10"/>
      <c r="P7213" s="10"/>
      <c r="Q7213" s="10"/>
      <c r="R7213" s="10"/>
      <c r="S7213" s="10"/>
      <c r="T7213" s="10"/>
      <c r="U7213" s="10"/>
      <c r="V7213" s="10"/>
      <c r="W7213" s="10"/>
      <c r="X7213" s="10"/>
      <c r="Y7213" s="10"/>
      <c r="Z7213" s="10"/>
    </row>
    <row r="7214" spans="1:26" ht="12.75">
      <c r="A7214" s="10" t="str">
        <f ca="1">IFERROR(__xludf.DUMMYFUNCTION("""COMPUTED_VALUE"""),"Стоян Георгиев Денчев")</f>
        <v>Стоян Георгиев Денчев</v>
      </c>
      <c r="B7214" s="10" t="str">
        <f ca="1">IFERROR(__xludf.DUMMYFUNCTION("""COMPUTED_VALUE"""),"Доклад от конференция")</f>
        <v>Доклад от конференция</v>
      </c>
      <c r="C7214" s="10" t="str">
        <f ca="1">IFERROR(__xludf.DUMMYFUNCTION("""COMPUTED_VALUE"""),"Intellectual Property Problems on Photographic Information Analysis in University Environment")</f>
        <v>Intellectual Property Problems on Photographic Information Analysis in University Environment</v>
      </c>
      <c r="D7214" s="10">
        <f ca="1">IFERROR(__xludf.DUMMYFUNCTION("""COMPUTED_VALUE"""),2019)</f>
        <v>2019</v>
      </c>
      <c r="E7214" s="10" t="str">
        <f ca="1">IFERROR(__xludf.DUMMYFUNCTION("""COMPUTED_VALUE"""),"In Conference Proceedings: International Conference - The New Perspectives in Science Education, 21-22 March 2019, Florence, Italy, Simonelli Ed., Vol. 8, Libreriauniversitaria, Italy, 2019")</f>
        <v>In Conference Proceedings: International Conference - The New Perspectives in Science Education, 21-22 March 2019, Florence, Italy, Simonelli Ed., Vol. 8, Libreriauniversitaria, Italy, 2019</v>
      </c>
      <c r="F7214" s="10"/>
      <c r="G7214" s="10" t="str">
        <f ca="1">IFERROR(__xludf.DUMMYFUNCTION("""COMPUTED_VALUE"""),"Denchev, S., T. Trencheva, K. Planska.")</f>
        <v>Denchev, S., T. Trencheva, K. Planska.</v>
      </c>
      <c r="H7214" s="10"/>
      <c r="I7214" s="10"/>
      <c r="J7214" s="10"/>
      <c r="K7214" s="10"/>
      <c r="L7214" s="10"/>
      <c r="M7214" s="10"/>
      <c r="N7214" s="10"/>
      <c r="O7214" s="10"/>
      <c r="P7214" s="10"/>
      <c r="Q7214" s="10"/>
      <c r="R7214" s="10"/>
      <c r="S7214" s="10"/>
      <c r="T7214" s="10"/>
      <c r="U7214" s="10"/>
      <c r="V7214" s="10"/>
      <c r="W7214" s="10"/>
      <c r="X7214" s="10"/>
      <c r="Y7214" s="10"/>
      <c r="Z7214" s="10"/>
    </row>
    <row r="7215" spans="1:26" ht="12.75">
      <c r="A7215" s="10" t="str">
        <f ca="1">IFERROR(__xludf.DUMMYFUNCTION("""COMPUTED_VALUE"""),"Стоян Георгиев Денчев")</f>
        <v>Стоян Георгиев Денчев</v>
      </c>
      <c r="B7215" s="10" t="str">
        <f ca="1">IFERROR(__xludf.DUMMYFUNCTION("""COMPUTED_VALUE"""),"Доклад от конференция")</f>
        <v>Доклад от конференция</v>
      </c>
      <c r="C7215" s="10" t="str">
        <f ca="1">IFERROR(__xludf.DUMMYFUNCTION("""COMPUTED_VALUE"""),"Еволюционният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f>
        <v>Еволюционният дискурс в поетичното наследство на Георти С. Раковски – микроструктури и макроструктури (Към въпроса за ценностния геном за езика на народните будители) (По случай 160 години от окончателното отпечатване на поемата „Горски пътник”)</v>
      </c>
      <c r="D7215" s="10">
        <f ca="1">IFERROR(__xludf.DUMMYFUNCTION("""COMPUTED_VALUE"""),2019)</f>
        <v>2019</v>
      </c>
      <c r="E7215" s="10" t="str">
        <f ca="1">IFERROR(__xludf.DUMMYFUNCTION("""COMPUTED_VALUE"""),"Обществото на знанието и хуманизмът на ХХІ век : Сб. с науч. докл. от ХVІ Нац. науч. конф. с межд. участие – 1 ноември 2018. За буквите – О писменехь“ София., ISSN 1314-7099")</f>
        <v>Обществото на знанието и хуманизмът на ХХІ век : Сб. с науч. докл. от ХVІ Нац. науч. конф. с межд. участие – 1 ноември 2018. За буквите – О писменехь“ София., ISSN 1314-7099</v>
      </c>
      <c r="F7215" s="10"/>
      <c r="G7215" s="10" t="str">
        <f ca="1">IFERROR(__xludf.DUMMYFUNCTION("""COMPUTED_VALUE"""),"С. Денчев, А. Куманова, Н. Василев")</f>
        <v>С. Денчев, А. Куманова, Н. Василев</v>
      </c>
      <c r="H7215" s="10"/>
      <c r="I7215" s="10"/>
      <c r="J7215" s="10"/>
      <c r="K7215" s="10"/>
      <c r="L7215" s="10"/>
      <c r="M7215" s="10"/>
      <c r="N7215" s="10"/>
      <c r="O7215" s="10"/>
      <c r="P7215" s="10"/>
      <c r="Q7215" s="10"/>
      <c r="R7215" s="10"/>
      <c r="S7215" s="10"/>
      <c r="T7215" s="10"/>
      <c r="U7215" s="10"/>
      <c r="V7215" s="10"/>
      <c r="W7215" s="10"/>
      <c r="X7215" s="10"/>
      <c r="Y7215" s="10"/>
      <c r="Z7215" s="10"/>
    </row>
    <row r="7216" spans="1:26" ht="12.75">
      <c r="A7216" s="10" t="str">
        <f ca="1">IFERROR(__xludf.DUMMYFUNCTION("""COMPUTED_VALUE"""),"Стоян Георгиев Денчев")</f>
        <v>Стоян Георгиев Денчев</v>
      </c>
      <c r="B7216" s="10" t="str">
        <f ca="1">IFERROR(__xludf.DUMMYFUNCTION("""COMPUTED_VALUE"""),"Книга")</f>
        <v>Книга</v>
      </c>
      <c r="C7216" s="10" t="str">
        <f ca="1">IFERROR(__xludf.DUMMYFUNCTION("""COMPUTED_VALUE"""),"Миграция и сигурност. Теоретико-методологични и етнокултурни проблеми")</f>
        <v>Миграция и сигурност. Теоретико-методологични и етнокултурни проблеми</v>
      </c>
      <c r="D7216" s="10">
        <f ca="1">IFERROR(__xludf.DUMMYFUNCTION("""COMPUTED_VALUE"""),2019)</f>
        <v>2019</v>
      </c>
      <c r="E7216" s="10" t="str">
        <f ca="1">IFERROR(__xludf.DUMMYFUNCTION("""COMPUTED_VALUE"""),"За буквите – О писменехь“ София., ISBN:978-619-185-365-6")</f>
        <v>За буквите – О писменехь“ София., ISBN:978-619-185-365-6</v>
      </c>
      <c r="F7216" s="10"/>
      <c r="G7216" s="10" t="str">
        <f ca="1">IFERROR(__xludf.DUMMYFUNCTION("""COMPUTED_VALUE"""),"Денчев, С., Сачев, Е., Миланов. И.")</f>
        <v>Денчев, С., Сачев, Е., Миланов. И.</v>
      </c>
      <c r="H7216" s="10"/>
      <c r="I7216" s="10"/>
      <c r="J7216" s="10"/>
      <c r="K7216" s="10"/>
      <c r="L7216" s="10"/>
      <c r="M7216" s="10"/>
      <c r="N7216" s="10"/>
      <c r="O7216" s="10"/>
      <c r="P7216" s="10"/>
      <c r="Q7216" s="10"/>
      <c r="R7216" s="10"/>
      <c r="S7216" s="10"/>
      <c r="T7216" s="10"/>
      <c r="U7216" s="10"/>
      <c r="V7216" s="10"/>
      <c r="W7216" s="10"/>
      <c r="X7216" s="10"/>
      <c r="Y7216" s="10"/>
      <c r="Z7216" s="10"/>
    </row>
    <row r="7217" spans="1:26" ht="12.75">
      <c r="A7217" s="10" t="str">
        <f ca="1">IFERROR(__xludf.DUMMYFUNCTION("""COMPUTED_VALUE"""),"Стоян Георгиев Денчев")</f>
        <v>Стоян Георгиев Денчев</v>
      </c>
      <c r="B7217" s="10" t="str">
        <f ca="1">IFERROR(__xludf.DUMMYFUNCTION("""COMPUTED_VALUE"""),"Доклад от конференция")</f>
        <v>Доклад от конференция</v>
      </c>
      <c r="C7217" s="10" t="str">
        <f ca="1">IFERROR(__xludf.DUMMYFUNCTION("""COMPUTED_VALUE"""),"Комуникационни технологии при създаването на имиджа на университет")</f>
        <v>Комуникационни технологии при създаването на имиджа на университет</v>
      </c>
      <c r="D7217" s="10">
        <f ca="1">IFERROR(__xludf.DUMMYFUNCTION("""COMPUTED_VALUE"""),2019)</f>
        <v>2019</v>
      </c>
      <c r="E7217" s="10" t="str">
        <f ca="1">IFERROR(__xludf.DUMMYFUNCTION("""COMPUTED_VALUE"""),"Сборник с доклади от проведена кръгла маса на тема „Формиране на имидж и стратегическо управление в университетска информационна среда“. УИ „За буквите – О писменехь“ София.")</f>
        <v>Сборник с доклади от проведена кръгла маса на тема „Формиране на имидж и стратегическо управление в университетска информационна среда“. УИ „За буквите – О писменехь“ София.</v>
      </c>
      <c r="F7217" s="10"/>
      <c r="G7217" s="10" t="str">
        <f ca="1">IFERROR(__xludf.DUMMYFUNCTION("""COMPUTED_VALUE"""),"Петева, И., Денчев, С., Павлова, И.")</f>
        <v>Петева, И., Денчев, С., Павлова, И.</v>
      </c>
      <c r="H7217" s="10"/>
      <c r="I7217" s="10"/>
      <c r="J7217" s="10"/>
      <c r="K7217" s="10"/>
      <c r="L7217" s="10"/>
      <c r="M7217" s="10"/>
      <c r="N7217" s="10"/>
      <c r="O7217" s="10"/>
      <c r="P7217" s="10"/>
      <c r="Q7217" s="10"/>
      <c r="R7217" s="10"/>
      <c r="S7217" s="10"/>
      <c r="T7217" s="10"/>
      <c r="U7217" s="10"/>
      <c r="V7217" s="10"/>
      <c r="W7217" s="10"/>
      <c r="X7217" s="10"/>
      <c r="Y7217" s="10"/>
      <c r="Z7217" s="10"/>
    </row>
    <row r="7218" spans="1:26" ht="12.75">
      <c r="A7218" s="10" t="str">
        <f ca="1">IFERROR(__xludf.DUMMYFUNCTION("""COMPUTED_VALUE"""),"Стоян Георгиев Денчев")</f>
        <v>Стоян Георгиев Денчев</v>
      </c>
      <c r="B7218" s="10" t="str">
        <f ca="1">IFERROR(__xludf.DUMMYFUNCTION("""COMPUTED_VALUE"""),"Доклад от конференция")</f>
        <v>Доклад от конференция</v>
      </c>
      <c r="C7218" s="10" t="str">
        <f ca="1">IFERROR(__xludf.DUMMYFUNCTION("""COMPUTED_VALUE"""),"Модерният университет е университетът на бъдещето")</f>
        <v>Модерният университет е университетът на бъдещето</v>
      </c>
      <c r="D7218" s="10">
        <f ca="1">IFERROR(__xludf.DUMMYFUNCTION("""COMPUTED_VALUE"""),2019)</f>
        <v>2019</v>
      </c>
      <c r="E7218" s="10" t="str">
        <f ca="1">IFERROR(__xludf.DUMMYFUNCTION("""COMPUTED_VALUE"""),"Обществото на знанието и хуманизмът на ХХІ век : Сб. с науч. докл. от ХVІІ Нац. науч. конф. с межд. участие – 1 ноември 2019. УИ „За буквите – О писменехь“ София. 2019. София., ISSN 2683-0094")</f>
        <v>Обществото на знанието и хуманизмът на ХХІ век : Сб. с науч. докл. от ХVІІ Нац. науч. конф. с межд. участие – 1 ноември 2019. УИ „За буквите – О писменехь“ София. 2019. София., ISSN 2683-0094</v>
      </c>
      <c r="F7218" s="10"/>
      <c r="G7218" s="10" t="str">
        <f ca="1">IFERROR(__xludf.DUMMYFUNCTION("""COMPUTED_VALUE"""),"Денчев, С.")</f>
        <v>Денчев, С.</v>
      </c>
      <c r="H7218" s="10"/>
      <c r="I7218" s="10"/>
      <c r="J7218" s="10"/>
      <c r="K7218" s="10"/>
      <c r="L7218" s="10"/>
      <c r="M7218" s="10"/>
      <c r="N7218" s="10"/>
      <c r="O7218" s="10"/>
      <c r="P7218" s="10"/>
      <c r="Q7218" s="10"/>
      <c r="R7218" s="10"/>
      <c r="S7218" s="10"/>
      <c r="T7218" s="10"/>
      <c r="U7218" s="10"/>
      <c r="V7218" s="10"/>
      <c r="W7218" s="10"/>
      <c r="X7218" s="10"/>
      <c r="Y7218" s="10"/>
      <c r="Z7218" s="10"/>
    </row>
    <row r="7219" spans="1:26" ht="12.75">
      <c r="A7219" s="10" t="str">
        <f ca="1">IFERROR(__xludf.DUMMYFUNCTION("""COMPUTED_VALUE"""),"Стоян Георгиев Денчев")</f>
        <v>Стоян Георгиев Денчев</v>
      </c>
      <c r="B7219" s="10" t="str">
        <f ca="1">IFERROR(__xludf.DUMMYFUNCTION("""COMPUTED_VALUE"""),"Доклад от конференция")</f>
        <v>Доклад от конференция</v>
      </c>
      <c r="C7219" s="10" t="str">
        <f ca="1">IFERROR(__xludf.DUMMYFUNCTION("""COMPUTED_VALUE"""),"Актуални проблеми на науката за миграцията.")</f>
        <v>Актуални проблеми на науката за миграцията.</v>
      </c>
      <c r="D7219" s="10">
        <f ca="1">IFERROR(__xludf.DUMMYFUNCTION("""COMPUTED_VALUE"""),2019)</f>
        <v>2019</v>
      </c>
      <c r="E7219" s="10" t="str">
        <f ca="1">IFERROR(__xludf.DUMMYFUNCTION("""COMPUTED_VALUE"""),"Юридически сборник с доклади от научна конференция „Проблеми на миграцията“ на Бургаски свободен университет, център по юридически науки. Бургас, ISSN 1311-3771")</f>
        <v>Юридически сборник с доклади от научна конференция „Проблеми на миграцията“ на Бургаски свободен университет, център по юридически науки. Бургас, ISSN 1311-3771</v>
      </c>
      <c r="F7219" s="10"/>
      <c r="G7219" s="10" t="str">
        <f ca="1">IFERROR(__xludf.DUMMYFUNCTION("""COMPUTED_VALUE"""),"Денчев, С")</f>
        <v>Денчев, С</v>
      </c>
      <c r="H7219" s="10"/>
      <c r="I7219" s="10"/>
      <c r="J7219" s="10"/>
      <c r="K7219" s="10"/>
      <c r="L7219" s="10"/>
      <c r="M7219" s="10"/>
      <c r="N7219" s="10"/>
      <c r="O7219" s="10"/>
      <c r="P7219" s="10"/>
      <c r="Q7219" s="10"/>
      <c r="R7219" s="10"/>
      <c r="S7219" s="10"/>
      <c r="T7219" s="10"/>
      <c r="U7219" s="10"/>
      <c r="V7219" s="10"/>
      <c r="W7219" s="10"/>
      <c r="X7219" s="10"/>
      <c r="Y7219" s="10"/>
      <c r="Z7219" s="10"/>
    </row>
    <row r="7220" spans="1:26" ht="12.75">
      <c r="A7220" s="10" t="str">
        <f ca="1">IFERROR(__xludf.DUMMYFUNCTION("""COMPUTED_VALUE"""),"Стоян Георгиев Денчев")</f>
        <v>Стоян Георгиев Денчев</v>
      </c>
      <c r="B7220" s="10" t="str">
        <f ca="1">IFERROR(__xludf.DUMMYFUNCTION("""COMPUTED_VALUE"""),"Доклад от конференция")</f>
        <v>Доклад от конференция</v>
      </c>
      <c r="C7220" s="10" t="str">
        <f ca="1">IFERROR(__xludf.DUMMYFUNCTION("""COMPUTED_VALUE"""),"Национално литературно мислене: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f>
        <v>Национално литературно мислене: Хипотаксични и паратаксични конструкции в поетиката на Христо Ботев (Историографски и антропологичен дидактичен дискурс: към 145-годишнината от излизането на вестник „Знаме”)</v>
      </c>
      <c r="D7220" s="10">
        <f ca="1">IFERROR(__xludf.DUMMYFUNCTION("""COMPUTED_VALUE"""),2019)</f>
        <v>2019</v>
      </c>
      <c r="E7220" s="10" t="str">
        <f ca="1">IFERROR(__xludf.DUMMYFUNCTION("""COMPUTED_VALUE"""),"Обществото на знанието и хуманизмът на ХХІ век : Сб. с науч. докл. от ХVІІ Нац. науч. конф. с межд. участие – 1 ноември 2019. УИ „За буквите – О писменехь“ София. 2019. София., ISSN 2683-0094")</f>
        <v>Обществото на знанието и хуманизмът на ХХІ век : Сб. с науч. докл. от ХVІІ Нац. науч. конф. с межд. участие – 1 ноември 2019. УИ „За буквите – О писменехь“ София. 2019. София., ISSN 2683-0094</v>
      </c>
      <c r="F7220" s="10"/>
      <c r="G7220" s="10" t="str">
        <f ca="1">IFERROR(__xludf.DUMMYFUNCTION("""COMPUTED_VALUE"""),"С. Денчев, А. Куманова, Н. Василев.")</f>
        <v>С. Денчев, А. Куманова, Н. Василев.</v>
      </c>
      <c r="H7220" s="10"/>
      <c r="I7220" s="10"/>
      <c r="J7220" s="10"/>
      <c r="K7220" s="10"/>
      <c r="L7220" s="10"/>
      <c r="M7220" s="10"/>
      <c r="N7220" s="10"/>
      <c r="O7220" s="10"/>
      <c r="P7220" s="10"/>
      <c r="Q7220" s="10"/>
      <c r="R7220" s="10"/>
      <c r="S7220" s="10"/>
      <c r="T7220" s="10"/>
      <c r="U7220" s="10"/>
      <c r="V7220" s="10"/>
      <c r="W7220" s="10"/>
      <c r="X7220" s="10"/>
      <c r="Y7220" s="10"/>
      <c r="Z7220" s="10"/>
    </row>
    <row r="7221" spans="1:26" ht="12.75">
      <c r="A7221" s="10" t="str">
        <f ca="1">IFERROR(__xludf.DUMMYFUNCTION("""COMPUTED_VALUE"""),"Стоян Георгиев Денчев")</f>
        <v>Стоян Георгиев Денчев</v>
      </c>
      <c r="B7221" s="10" t="str">
        <f ca="1">IFERROR(__xludf.DUMMYFUNCTION("""COMPUTED_VALUE"""),"Доклад от конференция")</f>
        <v>Доклад от конференция</v>
      </c>
      <c r="C7221" s="10" t="str">
        <f ca="1">IFERROR(__xludf.DUMMYFUNCTION("""COMPUTED_VALUE"""),"Fake news and its impact on university educational process")</f>
        <v>Fake news and its impact on university educational process</v>
      </c>
      <c r="D7221" s="10">
        <f ca="1">IFERROR(__xludf.DUMMYFUNCTION("""COMPUTED_VALUE"""),2019)</f>
        <v>2019</v>
      </c>
      <c r="E7221" s="10" t="str">
        <f ca="1">IFERROR(__xludf.DUMMYFUNCTION("""COMPUTED_VALUE"""),"12th annual International Conference of Education, Research and Innovation Seville (Spain). 11th - 13th of November, 2019. ICERI2019, ISBN: 978-84-09-14755-7")</f>
        <v>12th annual International Conference of Education, Research and Innovation Seville (Spain). 11th - 13th of November, 2019. ICERI2019, ISBN: 978-84-09-14755-7</v>
      </c>
      <c r="F7221" s="10"/>
      <c r="G7221" s="10" t="str">
        <f ca="1">IFERROR(__xludf.DUMMYFUNCTION("""COMPUTED_VALUE"""),"Denchev, S., H. Bogova")</f>
        <v>Denchev, S., H. Bogova</v>
      </c>
      <c r="H7221" s="10"/>
      <c r="I7221" s="10"/>
      <c r="J7221" s="10"/>
      <c r="K7221" s="10"/>
      <c r="L7221" s="10"/>
      <c r="M7221" s="10"/>
      <c r="N7221" s="10"/>
      <c r="O7221" s="10"/>
      <c r="P7221" s="10"/>
      <c r="Q7221" s="10"/>
      <c r="R7221" s="10"/>
      <c r="S7221" s="10"/>
      <c r="T7221" s="10"/>
      <c r="U7221" s="10"/>
      <c r="V7221" s="10"/>
      <c r="W7221" s="10"/>
      <c r="X7221" s="10"/>
      <c r="Y7221" s="10"/>
      <c r="Z7221" s="10"/>
    </row>
    <row r="7222" spans="1:26" ht="12.75">
      <c r="A7222" s="10" t="str">
        <f ca="1">IFERROR(__xludf.DUMMYFUNCTION("""COMPUTED_VALUE"""),"Стоян Георгиев Денчев")</f>
        <v>Стоян Георгиев Денчев</v>
      </c>
      <c r="B7222" s="10" t="str">
        <f ca="1">IFERROR(__xludf.DUMMYFUNCTION("""COMPUTED_VALUE"""),"Статия в списания и поредици")</f>
        <v>Статия в списания и поредици</v>
      </c>
      <c r="C7222" s="10" t="str">
        <f ca="1">IFERROR(__xludf.DUMMYFUNCTION("""COMPUTED_VALUE"""),"СМИ в политической жизни Болгарии.")</f>
        <v>СМИ в политической жизни Болгарии.</v>
      </c>
      <c r="D7222" s="10">
        <f ca="1">IFERROR(__xludf.DUMMYFUNCTION("""COMPUTED_VALUE"""),2019)</f>
        <v>2019</v>
      </c>
      <c r="E7222" s="10" t="str">
        <f ca="1">IFERROR(__xludf.DUMMYFUNCTION("""COMPUTED_VALUE"""),"Вестник электронных и печатных СМИ № 1, ISBN 978-5-902899-45-7")</f>
        <v>Вестник электронных и печатных СМИ № 1, ISBN 978-5-902899-45-7</v>
      </c>
      <c r="F7222" s="10"/>
      <c r="G7222" s="10" t="str">
        <f ca="1">IFERROR(__xludf.DUMMYFUNCTION("""COMPUTED_VALUE"""),"Богова, Х., Денчев, С.")</f>
        <v>Богова, Х., Денчев, С.</v>
      </c>
      <c r="H7222" s="10"/>
      <c r="I7222" s="10"/>
      <c r="J7222" s="10"/>
      <c r="K7222" s="10"/>
      <c r="L7222" s="10"/>
      <c r="M7222" s="10"/>
      <c r="N7222" s="10"/>
      <c r="O7222" s="10"/>
      <c r="P7222" s="10"/>
      <c r="Q7222" s="10"/>
      <c r="R7222" s="10"/>
      <c r="S7222" s="10"/>
      <c r="T7222" s="10"/>
      <c r="U7222" s="10"/>
      <c r="V7222" s="10"/>
      <c r="W7222" s="10"/>
      <c r="X7222" s="10"/>
      <c r="Y7222" s="10"/>
      <c r="Z7222" s="10"/>
    </row>
    <row r="7223" spans="1:26" ht="12.75">
      <c r="A7223" s="10" t="str">
        <f ca="1">IFERROR(__xludf.DUMMYFUNCTION("""COMPUTED_VALUE"""),"Стоян Георгиев Денчев")</f>
        <v>Стоян Георгиев Денчев</v>
      </c>
      <c r="B7223" s="10" t="str">
        <f ca="1">IFERROR(__xludf.DUMMYFUNCTION("""COMPUTED_VALUE"""),"Монография")</f>
        <v>Монография</v>
      </c>
      <c r="C7223" s="10" t="str">
        <f ca="1">IFERROR(__xludf.DUMMYFUNCTION("""COMPUTED_VALUE"""),"Информация и сигурност.")</f>
        <v>Информация и сигурност.</v>
      </c>
      <c r="D7223" s="10">
        <f ca="1">IFERROR(__xludf.DUMMYFUNCTION("""COMPUTED_VALUE"""),2019)</f>
        <v>2019</v>
      </c>
      <c r="E7223" s="10" t="str">
        <f ca="1">IFERROR(__xludf.DUMMYFUNCTION("""COMPUTED_VALUE"""),"София: За буквите – О писменехь. 370 с. ISBN 978-619-185-369-4 https://www.unibit.bg/files/news_important/information-and-security-new-book/Information%20and%20Security.pdf")</f>
        <v>София: За буквите – О писменехь. 370 с. ISBN 978-619-185-369-4 https://www.unibit.bg/files/news_important/information-and-security-new-book/Information%20and%20Security.pdf</v>
      </c>
      <c r="F7223" s="10"/>
      <c r="G7223" s="10"/>
      <c r="H7223" s="10"/>
      <c r="I7223" s="10"/>
      <c r="J7223" s="10"/>
      <c r="K7223" s="10"/>
      <c r="L7223" s="10"/>
      <c r="M7223" s="10"/>
      <c r="N7223" s="10"/>
      <c r="O7223" s="10"/>
      <c r="P7223" s="10"/>
      <c r="Q7223" s="10"/>
      <c r="R7223" s="10"/>
      <c r="S7223" s="10"/>
      <c r="T7223" s="10"/>
      <c r="U7223" s="10"/>
      <c r="V7223" s="10"/>
      <c r="W7223" s="10"/>
      <c r="X7223" s="10"/>
      <c r="Y7223" s="10"/>
      <c r="Z7223" s="10"/>
    </row>
    <row r="7224" spans="1:26" ht="12.75">
      <c r="A7224" s="10" t="str">
        <f ca="1">IFERROR(__xludf.DUMMYFUNCTION("""COMPUTED_VALUE"""),"Стоян Георгиев Денчев")</f>
        <v>Стоян Георгиев Денчев</v>
      </c>
      <c r="B7224" s="10" t="str">
        <f ca="1">IFERROR(__xludf.DUMMYFUNCTION("""COMPUTED_VALUE"""),"Доклад от конференция")</f>
        <v>Доклад от конференция</v>
      </c>
      <c r="C7224" s="10" t="str">
        <f ca="1">IFERROR(__xludf.DUMMYFUNCTION("""COMPUTED_VALUE"""),"Комуникации и подмяна на ценности: хибридната война на неолиберализма.")</f>
        <v>Комуникации и подмяна на ценности: хибридната война на неолиберализма.</v>
      </c>
      <c r="D7224" s="10">
        <f ca="1">IFERROR(__xludf.DUMMYFUNCTION("""COMPUTED_VALUE"""),2018)</f>
        <v>2018</v>
      </c>
      <c r="E7224" s="10" t="str">
        <f ca="1">IFERROR(__xludf.DUMMYFUNCTION("""COMPUTED_VALUE"""),"Обществото на знанието и хуманизмът на ХХІ век : Сб. с науч. докл. от ХVІ Нац. науч. конф. с межд. участие – 1 ноември 2018. УИ „За буквите – О писменехь“ София. 2019. София., ISSN 1314-7099")</f>
        <v>Обществото на знанието и хуманизмът на ХХІ век : Сб. с науч. докл. от ХVІ Нац. науч. конф. с межд. участие – 1 ноември 2018. УИ „За буквите – О писменехь“ София. 2019. София., ISSN 1314-7099</v>
      </c>
      <c r="F7224" s="10"/>
      <c r="G7224" s="10" t="str">
        <f ca="1">IFERROR(__xludf.DUMMYFUNCTION("""COMPUTED_VALUE"""),"Денчев, С., Н. Палашев")</f>
        <v>Денчев, С., Н. Палашев</v>
      </c>
      <c r="H7224" s="10"/>
      <c r="I7224" s="10"/>
      <c r="J7224" s="10"/>
      <c r="K7224" s="10"/>
      <c r="L7224" s="10"/>
      <c r="M7224" s="10"/>
      <c r="N7224" s="10"/>
      <c r="O7224" s="10"/>
      <c r="P7224" s="10"/>
      <c r="Q7224" s="10"/>
      <c r="R7224" s="10"/>
      <c r="S7224" s="10"/>
      <c r="T7224" s="10"/>
      <c r="U7224" s="10"/>
      <c r="V7224" s="10"/>
      <c r="W7224" s="10"/>
      <c r="X7224" s="10"/>
      <c r="Y7224" s="10"/>
      <c r="Z7224" s="10"/>
    </row>
    <row r="7225" spans="1:26" ht="12.75">
      <c r="A7225" s="10" t="str">
        <f ca="1">IFERROR(__xludf.DUMMYFUNCTION("""COMPUTED_VALUE"""),"Стоян Георгиев Денчев")</f>
        <v>Стоян Георгиев Денчев</v>
      </c>
      <c r="B7225" s="10" t="str">
        <f ca="1">IFERROR(__xludf.DUMMYFUNCTION("""COMPUTED_VALUE"""),"Доклад от конференция")</f>
        <v>Доклад от конференция</v>
      </c>
      <c r="C7225" s="10" t="str">
        <f ca="1">IFERROR(__xludf.DUMMYFUNCTION("""COMPUTED_VALUE"""),"Съвременната роля на елита.")</f>
        <v>Съвременната роля на елита.</v>
      </c>
      <c r="D7225" s="10">
        <f ca="1">IFERROR(__xludf.DUMMYFUNCTION("""COMPUTED_VALUE"""),2018)</f>
        <v>2018</v>
      </c>
      <c r="E7225" s="10" t="str">
        <f ca="1">IFERROR(__xludf.DUMMYFUNCTION("""COMPUTED_VALUE"""),"Обществото на знанието и хуманизмът на ХХІ век : Сб. с науч. докл. от ХVІ Нац. науч. конф. с межд. участие – 1 ноември 2018. УИ „За буквите – О писменехь“ София. 2019. София., ISSN 1314-7099")</f>
        <v>Обществото на знанието и хуманизмът на ХХІ век : Сб. с науч. докл. от ХVІ Нац. науч. конф. с межд. участие – 1 ноември 2018. УИ „За буквите – О писменехь“ София. 2019. София., ISSN 1314-7099</v>
      </c>
      <c r="F7225" s="10"/>
      <c r="G7225" s="10" t="str">
        <f ca="1">IFERROR(__xludf.DUMMYFUNCTION("""COMPUTED_VALUE"""),"Сачев, E., С. Денчев.")</f>
        <v>Сачев, E., С. Денчев.</v>
      </c>
      <c r="H7225" s="10"/>
      <c r="I7225" s="10"/>
      <c r="J7225" s="10"/>
      <c r="K7225" s="10"/>
      <c r="L7225" s="10"/>
      <c r="M7225" s="10"/>
      <c r="N7225" s="10"/>
      <c r="O7225" s="10"/>
      <c r="P7225" s="10"/>
      <c r="Q7225" s="10"/>
      <c r="R7225" s="10"/>
      <c r="S7225" s="10"/>
      <c r="T7225" s="10"/>
      <c r="U7225" s="10"/>
      <c r="V7225" s="10"/>
      <c r="W7225" s="10"/>
      <c r="X7225" s="10"/>
      <c r="Y7225" s="10"/>
      <c r="Z7225" s="10"/>
    </row>
    <row r="7226" spans="1:26" ht="12.75">
      <c r="A7226" s="10" t="str">
        <f ca="1">IFERROR(__xludf.DUMMYFUNCTION("""COMPUTED_VALUE"""),"Стоян Георгиев Денчев")</f>
        <v>Стоян Георгиев Денчев</v>
      </c>
      <c r="B7226" s="10" t="str">
        <f ca="1">IFERROR(__xludf.DUMMYFUNCTION("""COMPUTED_VALUE"""),"Статия в списания и поредици")</f>
        <v>Статия в списания и поредици</v>
      </c>
      <c r="C7226" s="10" t="str">
        <f ca="1">IFERROR(__xludf.DUMMYFUNCTION("""COMPUTED_VALUE"""),"Панорама научной школы библиосферы – инфосферы – ноосферы Болгарии в энциклопедических изданиях и многоязычных словарях")</f>
        <v>Панорама научной школы библиосферы – инфосферы – ноосферы Болгарии в энциклопедических изданиях и многоязычных словарях</v>
      </c>
      <c r="D7226" s="10">
        <f ca="1">IFERROR(__xludf.DUMMYFUNCTION("""COMPUTED_VALUE"""),2018)</f>
        <v>2018</v>
      </c>
      <c r="E7226" s="10" t="str">
        <f ca="1">IFERROR(__xludf.DUMMYFUNCTION("""COMPUTED_VALUE"""),"Двадцать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 ISBN 978-5-85638-214-2")</f>
        <v>Двадцать пятая Юбилейная международная конференция „Крым 2018” „Библиотеки и информационные ресурсы в современном мире науки, культуры, образования и бизнеса”, – ISBN 978-5-85638-214-2</v>
      </c>
      <c r="F7226" s="10"/>
      <c r="G7226" s="10" t="str">
        <f ca="1">IFERROR(__xludf.DUMMYFUNCTION("""COMPUTED_VALUE"""),"С. Денчев, А. Куманова.")</f>
        <v>С. Денчев, А. Куманова.</v>
      </c>
      <c r="H7226" s="10"/>
      <c r="I7226" s="10"/>
      <c r="J7226" s="10"/>
      <c r="K7226" s="10"/>
      <c r="L7226" s="10"/>
      <c r="M7226" s="10"/>
      <c r="N7226" s="10"/>
      <c r="O7226" s="10"/>
      <c r="P7226" s="10"/>
      <c r="Q7226" s="10"/>
      <c r="R7226" s="10"/>
      <c r="S7226" s="10"/>
      <c r="T7226" s="10"/>
      <c r="U7226" s="10"/>
      <c r="V7226" s="10"/>
      <c r="W7226" s="10"/>
      <c r="X7226" s="10"/>
      <c r="Y7226" s="10"/>
      <c r="Z7226" s="10"/>
    </row>
    <row r="7227" spans="1:26" ht="12.75">
      <c r="A7227" s="10" t="str">
        <f ca="1">IFERROR(__xludf.DUMMYFUNCTION("""COMPUTED_VALUE"""),"Стоян Георгиев Денчев")</f>
        <v>Стоян Георгиев Денчев</v>
      </c>
      <c r="B7227" s="10" t="str">
        <f ca="1">IFERROR(__xludf.DUMMYFUNCTION("""COMPUTED_VALUE"""),"Статия в списания и поредици")</f>
        <v>Статия в списания и поредици</v>
      </c>
      <c r="C7227" s="10" t="str">
        <f ca="1">IFERROR(__xludf.DUMMYFUNCTION("""COMPUTED_VALUE"""),"Моделирование восприятия политического имиджа через экран телевизора.")</f>
        <v>Моделирование восприятия политического имиджа через экран телевизора.</v>
      </c>
      <c r="D7227" s="10">
        <f ca="1">IFERROR(__xludf.DUMMYFUNCTION("""COMPUTED_VALUE"""),2018)</f>
        <v>2018</v>
      </c>
      <c r="E7227" s="10" t="str">
        <f ca="1">IFERROR(__xludf.DUMMYFUNCTION("""COMPUTED_VALUE"""),"Международная конференция «Медиасоставляющая цифровой экономики» 9 ноября 2018 г., Россия, Комуникации, медия, дизайн , ISSN 2542-1395")</f>
        <v>Международная конференция «Медиасоставляющая цифровой экономики» 9 ноября 2018 г., Россия, Комуникации, медия, дизайн , ISSN 2542-1395</v>
      </c>
      <c r="F7227" s="10"/>
      <c r="G7227" s="10" t="str">
        <f ca="1">IFERROR(__xludf.DUMMYFUNCTION("""COMPUTED_VALUE"""),"Богова, Х. Денчев, С.")</f>
        <v>Богова, Х. Денчев, С.</v>
      </c>
      <c r="H7227" s="10"/>
      <c r="I7227" s="10"/>
      <c r="J7227" s="10"/>
      <c r="K7227" s="10"/>
      <c r="L7227" s="10"/>
      <c r="M7227" s="10"/>
      <c r="N7227" s="10"/>
      <c r="O7227" s="10"/>
      <c r="P7227" s="10"/>
      <c r="Q7227" s="10"/>
      <c r="R7227" s="10"/>
      <c r="S7227" s="10"/>
      <c r="T7227" s="10"/>
      <c r="U7227" s="10"/>
      <c r="V7227" s="10"/>
      <c r="W7227" s="10"/>
      <c r="X7227" s="10"/>
      <c r="Y7227" s="10"/>
      <c r="Z7227" s="10"/>
    </row>
    <row r="7228" spans="1:26" ht="12.75">
      <c r="A7228" s="10" t="str">
        <f ca="1">IFERROR(__xludf.DUMMYFUNCTION("""COMPUTED_VALUE"""),"Стоян Георгиев Денчев")</f>
        <v>Стоян Георгиев Денчев</v>
      </c>
      <c r="B7228" s="10" t="str">
        <f ca="1">IFERROR(__xludf.DUMMYFUNCTION("""COMPUTED_VALUE"""),"Доклад от конференция")</f>
        <v>Доклад от конференция</v>
      </c>
      <c r="C7228" s="10" t="str">
        <f ca="1">IFERROR(__xludf.DUMMYFUNCTION("""COMPUTED_VALUE"""),"The image and trust in the university - key factors in enhancing learners motivation")</f>
        <v>The image and trust in the university - key factors in enhancing learners motivation</v>
      </c>
      <c r="D7228" s="10">
        <f ca="1">IFERROR(__xludf.DUMMYFUNCTION("""COMPUTED_VALUE"""),2018)</f>
        <v>2018</v>
      </c>
      <c r="E7228" s="10" t="str">
        <f ca="1">IFERROR(__xludf.DUMMYFUNCTION("""COMPUTED_VALUE"""),"ICERI2018 Proceedings, ISSN: 2340-1095 doi: 10.21125/iceri.2018.1118")</f>
        <v>ICERI2018 Proceedings, ISSN: 2340-1095 doi: 10.21125/iceri.2018.1118</v>
      </c>
      <c r="F7228" s="10"/>
      <c r="G7228" s="10" t="str">
        <f ca="1">IFERROR(__xludf.DUMMYFUNCTION("""COMPUTED_VALUE"""),"Pavlova, M., Denchev, S. Tetevenska B., Bosakova, K.")</f>
        <v>Pavlova, M., Denchev, S. Tetevenska B., Bosakova, K.</v>
      </c>
      <c r="H7228" s="10"/>
      <c r="I7228" s="10"/>
      <c r="J7228" s="10"/>
      <c r="K7228" s="10"/>
      <c r="L7228" s="10"/>
      <c r="M7228" s="10"/>
      <c r="N7228" s="10"/>
      <c r="O7228" s="10"/>
      <c r="P7228" s="10"/>
      <c r="Q7228" s="10"/>
      <c r="R7228" s="10"/>
      <c r="S7228" s="10"/>
      <c r="T7228" s="10"/>
      <c r="U7228" s="10"/>
      <c r="V7228" s="10"/>
      <c r="W7228" s="10"/>
      <c r="X7228" s="10"/>
      <c r="Y7228" s="10"/>
      <c r="Z7228" s="10"/>
    </row>
    <row r="7229" spans="1:26" ht="12.75">
      <c r="A7229" s="10" t="str">
        <f ca="1">IFERROR(__xludf.DUMMYFUNCTION("""COMPUTED_VALUE"""),"Стоян Георгиев Денчев")</f>
        <v>Стоян Георгиев Денчев</v>
      </c>
      <c r="B7229" s="10" t="str">
        <f ca="1">IFERROR(__xludf.DUMMYFUNCTION("""COMPUTED_VALUE"""),"Доклад от конференция")</f>
        <v>Доклад от конференция</v>
      </c>
      <c r="C7229" s="10" t="str">
        <f ca="1">IFERROR(__xludf.DUMMYFUNCTION("""COMPUTED_VALUE"""),"The image and trust in the university - key factors in enhancing learners motivation")</f>
        <v>The image and trust in the university - key factors in enhancing learners motivation</v>
      </c>
      <c r="D7229" s="10">
        <f ca="1">IFERROR(__xludf.DUMMYFUNCTION("""COMPUTED_VALUE"""),2018)</f>
        <v>2018</v>
      </c>
      <c r="E7229" s="10" t="str">
        <f ca="1">IFERROR(__xludf.DUMMYFUNCTION("""COMPUTED_VALUE"""),"ICERI2018 Proceedings, ISSN: 2340-1095 doi: 10.21125/iceri.2018.1118")</f>
        <v>ICERI2018 Proceedings, ISSN: 2340-1095 doi: 10.21125/iceri.2018.1118</v>
      </c>
      <c r="F7229" s="10"/>
      <c r="G7229" s="10" t="str">
        <f ca="1">IFERROR(__xludf.DUMMYFUNCTION("""COMPUTED_VALUE"""),"Pavlova, M., Denchev, S. Tetevenska B., Bosakova, K.")</f>
        <v>Pavlova, M., Denchev, S. Tetevenska B., Bosakova, K.</v>
      </c>
      <c r="H7229" s="10"/>
      <c r="I7229" s="10"/>
      <c r="J7229" s="10"/>
      <c r="K7229" s="10"/>
      <c r="L7229" s="10"/>
      <c r="M7229" s="10"/>
      <c r="N7229" s="10"/>
      <c r="O7229" s="10"/>
      <c r="P7229" s="10"/>
      <c r="Q7229" s="10"/>
      <c r="R7229" s="10"/>
      <c r="S7229" s="10"/>
      <c r="T7229" s="10"/>
      <c r="U7229" s="10"/>
      <c r="V7229" s="10"/>
      <c r="W7229" s="10"/>
      <c r="X7229" s="10"/>
      <c r="Y7229" s="10"/>
      <c r="Z7229" s="10"/>
    </row>
    <row r="7230" spans="1:26" ht="12.75">
      <c r="A7230" s="10" t="str">
        <f ca="1">IFERROR(__xludf.DUMMYFUNCTION("""COMPUTED_VALUE"""),"Стоян Георгиев Денчев")</f>
        <v>Стоян Георгиев Денчев</v>
      </c>
      <c r="B7230" s="10" t="str">
        <f ca="1">IFERROR(__xludf.DUMMYFUNCTION("""COMPUTED_VALUE"""),"Доклад от конференция")</f>
        <v>Доклад от конференция</v>
      </c>
      <c r="C7230" s="10" t="str">
        <f ca="1">IFERROR(__xludf.DUMMYFUNCTION("""COMPUTED_VALUE"""),"Widening the professional competences of students by including them in academic research projects.")</f>
        <v>Widening the professional competences of students by including them in academic research projects.</v>
      </c>
      <c r="D7230" s="10">
        <f ca="1">IFERROR(__xludf.DUMMYFUNCTION("""COMPUTED_VALUE"""),2018)</f>
        <v>2018</v>
      </c>
      <c r="E7230" s="10" t="str">
        <f ca="1">IFERROR(__xludf.DUMMYFUNCTION("""COMPUTED_VALUE"""),"ICERI2018 Proceedings")</f>
        <v>ICERI2018 Proceedings</v>
      </c>
      <c r="F7230" s="10"/>
      <c r="G7230" s="10" t="str">
        <f ca="1">IFERROR(__xludf.DUMMYFUNCTION("""COMPUTED_VALUE"""),"M.S. Nikolova, S. Denchev, V. Nikolova, S. Vasileva.")</f>
        <v>M.S. Nikolova, S. Denchev, V. Nikolova, S. Vasileva.</v>
      </c>
      <c r="H7230" s="10"/>
      <c r="I7230" s="10"/>
      <c r="J7230" s="10"/>
      <c r="K7230" s="10"/>
      <c r="L7230" s="10"/>
      <c r="M7230" s="10"/>
      <c r="N7230" s="10"/>
      <c r="O7230" s="10"/>
      <c r="P7230" s="10"/>
      <c r="Q7230" s="10"/>
      <c r="R7230" s="10"/>
      <c r="S7230" s="10"/>
      <c r="T7230" s="10"/>
      <c r="U7230" s="10"/>
      <c r="V7230" s="10"/>
      <c r="W7230" s="10"/>
      <c r="X7230" s="10"/>
      <c r="Y7230" s="10"/>
      <c r="Z7230" s="10"/>
    </row>
    <row r="7231" spans="1:26" ht="12.75">
      <c r="A7231" s="10" t="str">
        <f ca="1">IFERROR(__xludf.DUMMYFUNCTION("""COMPUTED_VALUE"""),"Стоян Георгиев Денчев")</f>
        <v>Стоян Георгиев Денчев</v>
      </c>
      <c r="B7231" s="10" t="str">
        <f ca="1">IFERROR(__xludf.DUMMYFUNCTION("""COMPUTED_VALUE"""),"Доклад от конференция")</f>
        <v>Доклад от конференция</v>
      </c>
      <c r="C7231" s="10" t="str">
        <f ca="1">IFERROR(__xludf.DUMMYFUNCTION("""COMPUTED_VALUE"""),"Education and globalization. modern dimensions of e-governance in university information environment.")</f>
        <v>Education and globalization. modern dimensions of e-governance in university information environment.</v>
      </c>
      <c r="D7231" s="10">
        <f ca="1">IFERROR(__xludf.DUMMYFUNCTION("""COMPUTED_VALUE"""),2018)</f>
        <v>2018</v>
      </c>
      <c r="E7231" s="10" t="str">
        <f ca="1">IFERROR(__xludf.DUMMYFUNCTION("""COMPUTED_VALUE"""),"Edulearn 18 proceedings")</f>
        <v>Edulearn 18 proceedings</v>
      </c>
      <c r="F7231" s="10"/>
      <c r="G7231" s="10" t="str">
        <f ca="1">IFERROR(__xludf.DUMMYFUNCTION("""COMPUTED_VALUE"""),"S. Denchev, I. Peteva.")</f>
        <v>S. Denchev, I. Peteva.</v>
      </c>
      <c r="H7231" s="10"/>
      <c r="I7231" s="10"/>
      <c r="J7231" s="10"/>
      <c r="K7231" s="10"/>
      <c r="L7231" s="10"/>
      <c r="M7231" s="10"/>
      <c r="N7231" s="10"/>
      <c r="O7231" s="10"/>
      <c r="P7231" s="10"/>
      <c r="Q7231" s="10"/>
      <c r="R7231" s="10"/>
      <c r="S7231" s="10"/>
      <c r="T7231" s="10"/>
      <c r="U7231" s="10"/>
      <c r="V7231" s="10"/>
      <c r="W7231" s="10"/>
      <c r="X7231" s="10"/>
      <c r="Y7231" s="10"/>
      <c r="Z7231" s="10"/>
    </row>
    <row r="7232" spans="1:26" ht="12.75">
      <c r="A7232" s="10" t="str">
        <f ca="1">IFERROR(__xludf.DUMMYFUNCTION("""COMPUTED_VALUE"""),"Стоян Георгиев Денчев")</f>
        <v>Стоян Георгиев Денчев</v>
      </c>
      <c r="B7232" s="10" t="str">
        <f ca="1">IFERROR(__xludf.DUMMYFUNCTION("""COMPUTED_VALUE"""),"Книга")</f>
        <v>Книга</v>
      </c>
      <c r="C7232" s="10" t="str">
        <f ca="1">IFERROR(__xludf.DUMMYFUNCTION("""COMPUTED_VALUE"""),"New Vision for Flexible Dual Vocational Education and Training")</f>
        <v>New Vision for Flexible Dual Vocational Education and Training</v>
      </c>
      <c r="D7232" s="10">
        <f ca="1">IFERROR(__xludf.DUMMYFUNCTION("""COMPUTED_VALUE"""),2018)</f>
        <v>2018</v>
      </c>
      <c r="E7232" s="10" t="str">
        <f ca="1">IFERROR(__xludf.DUMMYFUNCTION("""COMPUTED_VALUE"""),"Иновативна образователна среда за непрекъснато професионално обучение в сферата на културните и творчески индустрии: е-сборник. София: За буквите - О писменехь, 2018. р.149-164. ISBN 978-619-185-326-7.")</f>
        <v>Иновативна образователна среда за непрекъснато професионално обучение в сферата на културните и творчески индустрии: е-сборник. София: За буквите - О писменехь, 2018. р.149-164. ISBN 978-619-185-326-7.</v>
      </c>
      <c r="F7232" s="10"/>
      <c r="G7232" s="10" t="str">
        <f ca="1">IFERROR(__xludf.DUMMYFUNCTION("""COMPUTED_VALUE"""),"R. Vasileva, S. Denchev, Ts. Dimitrova, S. Stancheva")</f>
        <v>R. Vasileva, S. Denchev, Ts. Dimitrova, S. Stancheva</v>
      </c>
      <c r="H7232" s="10"/>
      <c r="I7232" s="10"/>
      <c r="J7232" s="10"/>
      <c r="K7232" s="10"/>
      <c r="L7232" s="10"/>
      <c r="M7232" s="10"/>
      <c r="N7232" s="10"/>
      <c r="O7232" s="10"/>
      <c r="P7232" s="10"/>
      <c r="Q7232" s="10"/>
      <c r="R7232" s="10"/>
      <c r="S7232" s="10"/>
      <c r="T7232" s="10"/>
      <c r="U7232" s="10"/>
      <c r="V7232" s="10"/>
      <c r="W7232" s="10"/>
      <c r="X7232" s="10"/>
      <c r="Y7232" s="10"/>
      <c r="Z7232" s="10"/>
    </row>
    <row r="7233" spans="1:26" ht="12.75">
      <c r="A7233" s="10" t="str">
        <f ca="1">IFERROR(__xludf.DUMMYFUNCTION("""COMPUTED_VALUE"""),"Стоян Георгиев Денчев")</f>
        <v>Стоян Георгиев Денчев</v>
      </c>
      <c r="B7233" s="10" t="str">
        <f ca="1">IFERROR(__xludf.DUMMYFUNCTION("""COMPUTED_VALUE"""),"Статия в списания и поредици")</f>
        <v>Статия в списания и поредици</v>
      </c>
      <c r="C7233" s="10" t="str">
        <f ca="1">IFERROR(__xludf.DUMMYFUNCTION("""COMPUTED_VALUE"""),"ЕС и Великобритания след Брекзит")</f>
        <v>ЕС и Великобритания след Брекзит</v>
      </c>
      <c r="D7233" s="10">
        <f ca="1">IFERROR(__xludf.DUMMYFUNCTION("""COMPUTED_VALUE"""),2018)</f>
        <v>2018</v>
      </c>
      <c r="E7233" s="10" t="str">
        <f ca="1">IFERROR(__xludf.DUMMYFUNCTION("""COMPUTED_VALUE"""),"Геополитика, бр.1, 2018, София, България")</f>
        <v>Геополитика, бр.1, 2018, София, България</v>
      </c>
      <c r="F7233" s="28" t="str">
        <f ca="1">IFERROR(__xludf.DUMMYFUNCTION("""COMPUTED_VALUE"""),"https://geopolitica.eu")</f>
        <v>https://geopolitica.eu</v>
      </c>
      <c r="G7233" s="10" t="str">
        <f ca="1">IFERROR(__xludf.DUMMYFUNCTION("""COMPUTED_VALUE"""),"Н. Аврейски")</f>
        <v>Н. Аврейски</v>
      </c>
      <c r="H7233" s="10"/>
      <c r="I7233" s="10"/>
      <c r="J7233" s="10"/>
      <c r="K7233" s="10"/>
      <c r="L7233" s="10"/>
      <c r="M7233" s="10"/>
      <c r="N7233" s="10"/>
      <c r="O7233" s="10"/>
      <c r="P7233" s="10"/>
      <c r="Q7233" s="10"/>
      <c r="R7233" s="10"/>
      <c r="S7233" s="10"/>
      <c r="T7233" s="10"/>
      <c r="U7233" s="10"/>
      <c r="V7233" s="10"/>
      <c r="W7233" s="10"/>
      <c r="X7233" s="10"/>
      <c r="Y7233" s="10"/>
      <c r="Z7233" s="10"/>
    </row>
    <row r="7234" spans="1:26" ht="12.75">
      <c r="A7234" s="10" t="str">
        <f ca="1">IFERROR(__xludf.DUMMYFUNCTION("""COMPUTED_VALUE"""),"Стоян Георгиев Денчев")</f>
        <v>Стоян Георгиев Денчев</v>
      </c>
      <c r="B7234" s="10" t="str">
        <f ca="1">IFERROR(__xludf.DUMMYFUNCTION("""COMPUTED_VALUE"""),"Доклад от конференция")</f>
        <v>Доклад от конференция</v>
      </c>
      <c r="C7234" s="10" t="str">
        <f ca="1">IFERROR(__xludf.DUMMYFUNCTION("""COMPUTED_VALUE"""),"STUDYING CULTURAL HERITAGE AS A CONTEMPORARY FORM OF UNIVERSITY EDUCATION")</f>
        <v>STUDYING CULTURAL HERITAGE AS A CONTEMPORARY FORM OF UNIVERSITY EDUCATION</v>
      </c>
      <c r="D7234" s="10">
        <f ca="1">IFERROR(__xludf.DUMMYFUNCTION("""COMPUTED_VALUE"""),2018)</f>
        <v>2018</v>
      </c>
      <c r="E7234" s="10" t="str">
        <f ca="1">IFERROR(__xludf.DUMMYFUNCTION("""COMPUTED_VALUE"""),"Proceedings of EDULEARN18 Conference 2nd-4th July 2018, Palma, Mallorca, Spain, ISBN: 978-84-09-02709-5,")</f>
        <v>Proceedings of EDULEARN18 Conference 2nd-4th July 2018, Palma, Mallorca, Spain, ISBN: 978-84-09-02709-5,</v>
      </c>
      <c r="F7234" s="10" t="str">
        <f ca="1">IFERROR(__xludf.DUMMYFUNCTION("""COMPUTED_VALUE"""),"Web of science
 Crossref")</f>
        <v>Web of science
 Crossref</v>
      </c>
      <c r="G7234" s="10" t="str">
        <f ca="1">IFERROR(__xludf.DUMMYFUNCTION("""COMPUTED_VALUE"""),"Ivanka Yankova, Maria Nikolova, Silvia Stancheva")</f>
        <v>Ivanka Yankova, Maria Nikolova, Silvia Stancheva</v>
      </c>
      <c r="H7234" s="10"/>
      <c r="I7234" s="10"/>
      <c r="J7234" s="10"/>
      <c r="K7234" s="10"/>
      <c r="L7234" s="10"/>
      <c r="M7234" s="10"/>
      <c r="N7234" s="10"/>
      <c r="O7234" s="10"/>
      <c r="P7234" s="10"/>
      <c r="Q7234" s="10"/>
      <c r="R7234" s="10"/>
      <c r="S7234" s="10"/>
      <c r="T7234" s="10"/>
      <c r="U7234" s="10"/>
      <c r="V7234" s="10"/>
      <c r="W7234" s="10"/>
      <c r="X7234" s="10"/>
      <c r="Y7234" s="10"/>
      <c r="Z7234" s="10"/>
    </row>
    <row r="7235" spans="1:26" ht="12.75">
      <c r="A7235" s="10" t="str">
        <f ca="1">IFERROR(__xludf.DUMMYFUNCTION("""COMPUTED_VALUE"""),"Стоян Георгиев Денчев")</f>
        <v>Стоян Георгиев Денчев</v>
      </c>
      <c r="B7235" s="10" t="str">
        <f ca="1">IFERROR(__xludf.DUMMYFUNCTION("""COMPUTED_VALUE"""),"Доклад от конференция")</f>
        <v>Доклад от конференция</v>
      </c>
      <c r="C7235" s="10" t="str">
        <f ca="1">IFERROR(__xludf.DUMMYFUNCTION("""COMPUTED_VALUE"""),"Intellectual Property Awareness at Library and Information Science in Bulgaria: SULSIT’s Experience")</f>
        <v>Intellectual Property Awareness at Library and Information Science in Bulgaria: SULSIT’s Experience</v>
      </c>
      <c r="D7235" s="10">
        <f ca="1">IFERROR(__xludf.DUMMYFUNCTION("""COMPUTED_VALUE"""),2018)</f>
        <v>2018</v>
      </c>
      <c r="E7235" s="10" t="str">
        <f ca="1">IFERROR(__xludf.DUMMYFUNCTION("""COMPUTED_VALUE"""),"The New Perspectives in Science Education: International Conference Proceedings, Florence, Italy, 22-23 March 2018, Vol. 7, Florence, Italy, p. 367-371.")</f>
        <v>The New Perspectives in Science Education: International Conference Proceedings, Florence, Italy, 22-23 March 2018, Vol. 7, Florence, Italy, p. 367-371.</v>
      </c>
      <c r="F7235" s="10"/>
      <c r="G7235" s="10" t="str">
        <f ca="1">IFERROR(__xludf.DUMMYFUNCTION("""COMPUTED_VALUE"""),"T. Trencheva")</f>
        <v>T. Trencheva</v>
      </c>
      <c r="H7235" s="10"/>
      <c r="I7235" s="10"/>
      <c r="J7235" s="10"/>
      <c r="K7235" s="10"/>
      <c r="L7235" s="10"/>
      <c r="M7235" s="10"/>
      <c r="N7235" s="10"/>
      <c r="O7235" s="10"/>
      <c r="P7235" s="10"/>
      <c r="Q7235" s="10"/>
      <c r="R7235" s="10"/>
      <c r="S7235" s="10"/>
      <c r="T7235" s="10"/>
      <c r="U7235" s="10"/>
      <c r="V7235" s="10"/>
      <c r="W7235" s="10"/>
      <c r="X7235" s="10"/>
      <c r="Y7235" s="10"/>
      <c r="Z7235" s="10"/>
    </row>
    <row r="7236" spans="1:26" ht="12.75">
      <c r="A7236" s="10" t="str">
        <f ca="1">IFERROR(__xludf.DUMMYFUNCTION("""COMPUTED_VALUE"""),"Стоян Георгиев Денчев")</f>
        <v>Стоян Георгиев Денчев</v>
      </c>
      <c r="B7236" s="10" t="str">
        <f ca="1">IFERROR(__xludf.DUMMYFUNCTION("""COMPUTED_VALUE"""),"Доклад от конференция")</f>
        <v>Доклад от конференция</v>
      </c>
      <c r="C7236" s="10" t="str">
        <f ca="1">IFERROR(__xludf.DUMMYFUNCTION("""COMPUTED_VALUE"""),"Studying Cultural Heritage as a Contemporary Form of University Education")</f>
        <v>Studying Cultural Heritage as a Contemporary Form of University Education</v>
      </c>
      <c r="D7236" s="10">
        <f ca="1">IFERROR(__xludf.DUMMYFUNCTION("""COMPUTED_VALUE"""),2018)</f>
        <v>2018</v>
      </c>
      <c r="E7236" s="10" t="str">
        <f ca="1">IFERROR(__xludf.DUMMYFUNCTION("""COMPUTED_VALUE"""),"EDULEARN18: Proceedings of Conference, 2-4 July 2018, Palma, Mallorca, Spain. Palma, Mallorca, Spain, 2018, p. 1849-1853. ISBN 978-84-09-02709-5.")</f>
        <v>EDULEARN18: Proceedings of Conference, 2-4 July 2018, Palma, Mallorca, Spain. Palma, Mallorca, Spain, 2018, p. 1849-1853. ISBN 978-84-09-02709-5.</v>
      </c>
      <c r="F7236" s="10"/>
      <c r="G7236" s="10" t="str">
        <f ca="1">IFERROR(__xludf.DUMMYFUNCTION("""COMPUTED_VALUE"""),"I. Yankova, M. Nikolova, S. Stancheva")</f>
        <v>I. Yankova, M. Nikolova, S. Stancheva</v>
      </c>
      <c r="H7236" s="10"/>
      <c r="I7236" s="10"/>
      <c r="J7236" s="10"/>
      <c r="K7236" s="10"/>
      <c r="L7236" s="10"/>
      <c r="M7236" s="10"/>
      <c r="N7236" s="10"/>
      <c r="O7236" s="10"/>
      <c r="P7236" s="10"/>
      <c r="Q7236" s="10"/>
      <c r="R7236" s="10"/>
      <c r="S7236" s="10"/>
      <c r="T7236" s="10"/>
      <c r="U7236" s="10"/>
      <c r="V7236" s="10"/>
      <c r="W7236" s="10"/>
      <c r="X7236" s="10"/>
      <c r="Y7236" s="10"/>
      <c r="Z7236" s="10"/>
    </row>
    <row r="7237" spans="1:26" ht="12.75">
      <c r="A7237" s="10" t="str">
        <f ca="1">IFERROR(__xludf.DUMMYFUNCTION("""COMPUTED_VALUE"""),"Стоян Георгиев Денчев")</f>
        <v>Стоян Георгиев Денчев</v>
      </c>
      <c r="B7237" s="10" t="str">
        <f ca="1">IFERROR(__xludf.DUMMYFUNCTION("""COMPUTED_VALUE"""),"Учебно пособие")</f>
        <v>Учебно пособие</v>
      </c>
      <c r="C7237" s="10" t="str">
        <f ca="1">IFERROR(__xludf.DUMMYFUNCTION("""COMPUTED_VALUE"""),"Проекции на политическото лидерство в условията на съвременния неолиберализъм")</f>
        <v>Проекции на политическото лидерство в условията на съвременния неолиберализъм</v>
      </c>
      <c r="D7237" s="10">
        <f ca="1">IFERROR(__xludf.DUMMYFUNCTION("""COMPUTED_VALUE"""),2018)</f>
        <v>2018</v>
      </c>
      <c r="E7237" s="10" t="str">
        <f ca="1">IFERROR(__xludf.DUMMYFUNCTION("""COMPUTED_VALUE"""),"Комуникации и политики: учебно пособие за студенти. София: За буквите - О писменехь, 2018, с. 14-29. ISBN 978-619-185-304-5.")</f>
        <v>Комуникации и политики: учебно пособие за студенти. София: За буквите - О писменехь, 2018, с. 14-29. ISBN 978-619-185-304-5.</v>
      </c>
      <c r="F7237" s="10"/>
      <c r="G7237" s="10" t="str">
        <f ca="1">IFERROR(__xludf.DUMMYFUNCTION("""COMPUTED_VALUE"""),"Н. Палашев")</f>
        <v>Н. Палашев</v>
      </c>
      <c r="H7237" s="10"/>
      <c r="I7237" s="10"/>
      <c r="J7237" s="10"/>
      <c r="K7237" s="10"/>
      <c r="L7237" s="10"/>
      <c r="M7237" s="10"/>
      <c r="N7237" s="10"/>
      <c r="O7237" s="10"/>
      <c r="P7237" s="10"/>
      <c r="Q7237" s="10"/>
      <c r="R7237" s="10"/>
      <c r="S7237" s="10"/>
      <c r="T7237" s="10"/>
      <c r="U7237" s="10"/>
      <c r="V7237" s="10"/>
      <c r="W7237" s="10"/>
      <c r="X7237" s="10"/>
      <c r="Y7237" s="10"/>
      <c r="Z7237" s="10"/>
    </row>
    <row r="7238" spans="1:26" ht="12.75">
      <c r="A7238" s="10" t="str">
        <f ca="1">IFERROR(__xludf.DUMMYFUNCTION("""COMPUTED_VALUE"""),"Стоян Георгиев Денчев")</f>
        <v>Стоян Георгиев Денчев</v>
      </c>
      <c r="B7238" s="10" t="str">
        <f ca="1">IFERROR(__xludf.DUMMYFUNCTION("""COMPUTED_VALUE"""),"Доклад от конференция")</f>
        <v>Доклад от конференция</v>
      </c>
      <c r="C7238" s="10" t="str">
        <f ca="1">IFERROR(__xludf.DUMMYFUNCTION("""COMPUTED_VALUE"""),"Intellectual Property Awareness at Library and Information Science in Bulgaria: SULSIT’s Experience")</f>
        <v>Intellectual Property Awareness at Library and Information Science in Bulgaria: SULSIT’s Experience</v>
      </c>
      <c r="D7238" s="10">
        <f ca="1">IFERROR(__xludf.DUMMYFUNCTION("""COMPUTED_VALUE"""),2018)</f>
        <v>2018</v>
      </c>
      <c r="E7238" s="10" t="str">
        <f ca="1">IFERROR(__xludf.DUMMYFUNCTION("""COMPUTED_VALUE"""),"International Conference “The New Perspectives in Science Education”, Conference Proceedings, 22-23 March 2018, Florence, Italy, Simonelli Ed., Vol. 7, pp. 367 – 371")</f>
        <v>International Conference “The New Perspectives in Science Education”, Conference Proceedings, 22-23 March 2018, Florence, Italy, Simonelli Ed., Vol. 7, pp. 367 – 371</v>
      </c>
      <c r="F7238" s="10" t="str">
        <f ca="1">IFERROR(__xludf.DUMMYFUNCTION("""COMPUTED_VALUE"""),"SCOPUS")</f>
        <v>SCOPUS</v>
      </c>
      <c r="G7238" s="10" t="str">
        <f ca="1">IFERROR(__xludf.DUMMYFUNCTION("""COMPUTED_VALUE"""),"T. Trencheva")</f>
        <v>T. Trencheva</v>
      </c>
      <c r="H7238" s="10"/>
      <c r="I7238" s="10"/>
      <c r="J7238" s="10"/>
      <c r="K7238" s="10"/>
      <c r="L7238" s="10"/>
      <c r="M7238" s="10"/>
      <c r="N7238" s="10"/>
      <c r="O7238" s="10"/>
      <c r="P7238" s="10"/>
      <c r="Q7238" s="10"/>
      <c r="R7238" s="10"/>
      <c r="S7238" s="10"/>
      <c r="T7238" s="10"/>
      <c r="U7238" s="10"/>
      <c r="V7238" s="10"/>
      <c r="W7238" s="10"/>
      <c r="X7238" s="10"/>
      <c r="Y7238" s="10"/>
      <c r="Z7238" s="10"/>
    </row>
    <row r="7239" spans="1:26" ht="12.75">
      <c r="A7239" s="10" t="str">
        <f ca="1">IFERROR(__xludf.DUMMYFUNCTION("""COMPUTED_VALUE"""),"Стоян Георгиев Денчев")</f>
        <v>Стоян Георгиев Денчев</v>
      </c>
      <c r="B7239" s="10" t="str">
        <f ca="1">IFERROR(__xludf.DUMMYFUNCTION("""COMPUTED_VALUE"""),"Доклад от конференция")</f>
        <v>Доклад от конференция</v>
      </c>
      <c r="C7239" s="10" t="str">
        <f ca="1">IFERROR(__xludf.DUMMYFUNCTION("""COMPUTED_VALUE"""),"Conceptual modeling of dlt and blockchain for transforming public administration.")</f>
        <v>Conceptual modeling of dlt and blockchain for transforming public administration.</v>
      </c>
      <c r="D7239" s="10">
        <f ca="1">IFERROR(__xludf.DUMMYFUNCTION("""COMPUTED_VALUE"""),2018)</f>
        <v>2018</v>
      </c>
      <c r="E7239" s="10" t="str">
        <f ca="1">IFERROR(__xludf.DUMMYFUNCTION("""COMPUTED_VALUE"""),"ICERI2018 Proceedings")</f>
        <v>ICERI2018 Proceedings</v>
      </c>
      <c r="F7239" s="10"/>
      <c r="G7239" s="10" t="str">
        <f ca="1">IFERROR(__xludf.DUMMYFUNCTION("""COMPUTED_VALUE"""),"B. Jekov, P. Petkova, E. Shoikova, S. Denchev.")</f>
        <v>B. Jekov, P. Petkova, E. Shoikova, S. Denchev.</v>
      </c>
      <c r="H7239" s="10"/>
      <c r="I7239" s="10"/>
      <c r="J7239" s="10"/>
      <c r="K7239" s="10"/>
      <c r="L7239" s="10"/>
      <c r="M7239" s="10"/>
      <c r="N7239" s="10"/>
      <c r="O7239" s="10"/>
      <c r="P7239" s="10"/>
      <c r="Q7239" s="10"/>
      <c r="R7239" s="10"/>
      <c r="S7239" s="10"/>
      <c r="T7239" s="10"/>
      <c r="U7239" s="10"/>
      <c r="V7239" s="10"/>
      <c r="W7239" s="10"/>
      <c r="X7239" s="10"/>
      <c r="Y7239" s="10"/>
      <c r="Z7239" s="10"/>
    </row>
    <row r="7240" spans="1:26" ht="12.75">
      <c r="A7240" s="10" t="str">
        <f ca="1">IFERROR(__xludf.DUMMYFUNCTION("""COMPUTED_VALUE"""),"Стоян Георгиев Денчев")</f>
        <v>Стоян Георгиев Денчев</v>
      </c>
      <c r="B7240" s="10" t="str">
        <f ca="1">IFERROR(__xludf.DUMMYFUNCTION("""COMPUTED_VALUE"""),"Книга")</f>
        <v>Книга</v>
      </c>
      <c r="C7240" s="10" t="str">
        <f ca="1">IFERROR(__xludf.DUMMYFUNCTION("""COMPUTED_VALUE"""),"Cultural and Historical Heritage of Bulgaria. Priorities of State Policy.")</f>
        <v>Cultural and Historical Heritage of Bulgaria. Priorities of State Policy.</v>
      </c>
      <c r="D7240" s="10">
        <f ca="1">IFERROR(__xludf.DUMMYFUNCTION("""COMPUTED_VALUE"""),2017)</f>
        <v>2017</v>
      </c>
      <c r="E7240" s="10" t="str">
        <f ca="1">IFERROR(__xludf.DUMMYFUNCTION("""COMPUTED_VALUE"""),"The Regional Centre for the Safeguarding of Intangible Cultural Heritage in South-Eastern Europe under the auspices of UNESCO: Avangard Prima. -462 p. ISBN 978-619-160-733-4")</f>
        <v>The Regional Centre for the Safeguarding of Intangible Cultural Heritage in South-Eastern Europe under the auspices of UNESCO: Avangard Prima. -462 p. ISBN 978-619-160-733-4</v>
      </c>
      <c r="F7240" s="10" t="str">
        <f ca="1">IFERROR(__xludf.DUMMYFUNCTION("""COMPUTED_VALUE"""),"https://scholar.google.bg/citations?user=AlGKo-gAAAAJ&amp;hl=bg
 The Library of Congress, USA 
 The UNESCO Library")</f>
        <v>https://scholar.google.bg/citations?user=AlGKo-gAAAAJ&amp;hl=bg
 The Library of Congress, USA 
 The UNESCO Library</v>
      </c>
      <c r="G7240" s="10" t="str">
        <f ca="1">IFERROR(__xludf.DUMMYFUNCTION("""COMPUTED_VALUE"""),"Sofia Vasileva")</f>
        <v>Sofia Vasileva</v>
      </c>
      <c r="H7240" s="10"/>
      <c r="I7240" s="10"/>
      <c r="J7240" s="10"/>
      <c r="K7240" s="10"/>
      <c r="L7240" s="10"/>
      <c r="M7240" s="10"/>
      <c r="N7240" s="10"/>
      <c r="O7240" s="10"/>
      <c r="P7240" s="10"/>
      <c r="Q7240" s="10"/>
      <c r="R7240" s="10"/>
      <c r="S7240" s="10"/>
      <c r="T7240" s="10"/>
      <c r="U7240" s="10"/>
      <c r="V7240" s="10"/>
      <c r="W7240" s="10"/>
      <c r="X7240" s="10"/>
      <c r="Y7240" s="10"/>
      <c r="Z7240" s="10"/>
    </row>
    <row r="7241" spans="1:26" ht="12.75">
      <c r="A7241" s="10" t="str">
        <f ca="1">IFERROR(__xludf.DUMMYFUNCTION("""COMPUTED_VALUE"""),"Стоян Георгиев Денчев")</f>
        <v>Стоян Георгиев Денчев</v>
      </c>
      <c r="B7241" s="10" t="str">
        <f ca="1">IFERROR(__xludf.DUMMYFUNCTION("""COMPUTED_VALUE"""),"Статия в списания и поредици")</f>
        <v>Статия в списания и поредици</v>
      </c>
      <c r="C7241" s="10" t="str">
        <f ca="1">IFERROR(__xludf.DUMMYFUNCTION("""COMPUTED_VALUE"""),"Эммануель Макрон – человек, который (не) заслужиевал таго чтобы управлять Францией")</f>
        <v>Эммануель Макрон – человек, который (не) заслужиевал таго чтобы управлять Францией</v>
      </c>
      <c r="D7241" s="10">
        <f ca="1">IFERROR(__xludf.DUMMYFUNCTION("""COMPUTED_VALUE"""),2017)</f>
        <v>2017</v>
      </c>
      <c r="E7241" s="10" t="str">
        <f ca="1">IFERROR(__xludf.DUMMYFUNCTION("""COMPUTED_VALUE"""),"Геополитический журнал, № 5-6 (20), Декабрь, ISSN печатной версии - 2410-6771, Рецензируемый,")</f>
        <v>Геополитический журнал, № 5-6 (20), Декабрь, ISSN печатной версии - 2410-6771, Рецензируемый,</v>
      </c>
      <c r="F7241" s="10" t="str">
        <f ca="1">IFERROR(__xludf.DUMMYFUNCTION("""COMPUTED_VALUE"""),"Научная электронная библиотека-eLIBRARY.RU, 
 РИНЦ")</f>
        <v>Научная электронная библиотека-eLIBRARY.RU, 
 РИНЦ</v>
      </c>
      <c r="G7241" s="10" t="str">
        <f ca="1">IFERROR(__xludf.DUMMYFUNCTION("""COMPUTED_VALUE"""),"Н. Палашев")</f>
        <v>Н. Палашев</v>
      </c>
      <c r="H7241" s="10"/>
      <c r="I7241" s="10"/>
      <c r="J7241" s="10"/>
      <c r="K7241" s="10"/>
      <c r="L7241" s="10"/>
      <c r="M7241" s="10"/>
      <c r="N7241" s="10"/>
      <c r="O7241" s="10"/>
      <c r="P7241" s="10"/>
      <c r="Q7241" s="10"/>
      <c r="R7241" s="10"/>
      <c r="S7241" s="10"/>
      <c r="T7241" s="10"/>
      <c r="U7241" s="10"/>
      <c r="V7241" s="10"/>
      <c r="W7241" s="10"/>
      <c r="X7241" s="10"/>
      <c r="Y7241" s="10"/>
      <c r="Z7241" s="10"/>
    </row>
    <row r="7242" spans="1:26" ht="12.75">
      <c r="A7242" s="10" t="str">
        <f ca="1">IFERROR(__xludf.DUMMYFUNCTION("""COMPUTED_VALUE"""),"Стоян Георгиев Денчев")</f>
        <v>Стоян Георгиев Денчев</v>
      </c>
      <c r="B7242" s="10" t="str">
        <f ca="1">IFERROR(__xludf.DUMMYFUNCTION("""COMPUTED_VALUE"""),"Статия в списания и поредици")</f>
        <v>Статия в списания и поредици</v>
      </c>
      <c r="C7242" s="10" t="str">
        <f ca="1">IFERROR(__xludf.DUMMYFUNCTION("""COMPUTED_VALUE"""),"Начало конца. Долгое пращание с неолиберальным. политическим лидерством")</f>
        <v>Начало конца. Долгое пращание с неолиберальным. политическим лидерством</v>
      </c>
      <c r="D7242" s="10">
        <f ca="1">IFERROR(__xludf.DUMMYFUNCTION("""COMPUTED_VALUE"""),2017)</f>
        <v>2017</v>
      </c>
      <c r="E7242" s="10" t="str">
        <f ca="1">IFERROR(__xludf.DUMMYFUNCTION("""COMPUTED_VALUE"""),"Геополитический журнал, № 2-3 (18), ISSN печатной версии - 2410-6771, Рецензируемый,")</f>
        <v>Геополитический журнал, № 2-3 (18), ISSN печатной версии - 2410-6771, Рецензируемый,</v>
      </c>
      <c r="F7242" s="10" t="str">
        <f ca="1">IFERROR(__xludf.DUMMYFUNCTION("""COMPUTED_VALUE"""),"Научная электронная библиотека-eLIBRARY.RU, 
 РИНЦ")</f>
        <v>Научная электронная библиотека-eLIBRARY.RU, 
 РИНЦ</v>
      </c>
      <c r="G7242" s="10" t="str">
        <f ca="1">IFERROR(__xludf.DUMMYFUNCTION("""COMPUTED_VALUE"""),"Н. Палашев")</f>
        <v>Н. Палашев</v>
      </c>
      <c r="H7242" s="10"/>
      <c r="I7242" s="10"/>
      <c r="J7242" s="10"/>
      <c r="K7242" s="10"/>
      <c r="L7242" s="10"/>
      <c r="M7242" s="10"/>
      <c r="N7242" s="10"/>
      <c r="O7242" s="10"/>
      <c r="P7242" s="10"/>
      <c r="Q7242" s="10"/>
      <c r="R7242" s="10"/>
      <c r="S7242" s="10"/>
      <c r="T7242" s="10"/>
      <c r="U7242" s="10"/>
      <c r="V7242" s="10"/>
      <c r="W7242" s="10"/>
      <c r="X7242" s="10"/>
      <c r="Y7242" s="10"/>
      <c r="Z7242" s="10"/>
    </row>
    <row r="7243" spans="1:26" ht="12.75">
      <c r="A7243" s="10" t="str">
        <f ca="1">IFERROR(__xludf.DUMMYFUNCTION("""COMPUTED_VALUE"""),"Стоян Георгиев Денчев")</f>
        <v>Стоян Георгиев Денчев</v>
      </c>
      <c r="B7243" s="10" t="str">
        <f ca="1">IFERROR(__xludf.DUMMYFUNCTION("""COMPUTED_VALUE"""),"Доклад от конференция")</f>
        <v>Доклад от конференция</v>
      </c>
      <c r="C7243" s="10" t="str">
        <f ca="1">IFERROR(__xludf.DUMMYFUNCTION("""COMPUTED_VALUE"""),"Научни парадигми на новия път на коприната – състояния и перспективи.")</f>
        <v>Научни парадигми на новия път на коприната – състояния и перспективи.</v>
      </c>
      <c r="D7243" s="10">
        <f ca="1">IFERROR(__xludf.DUMMYFUNCTION("""COMPUTED_VALUE"""),2017)</f>
        <v>2017</v>
      </c>
      <c r="E7243" s="10" t="str">
        <f ca="1">IFERROR(__xludf.DUMMYFUNCTION("""COMPUTED_VALUE"""),"Дипломатически, икономически и културни отношения между Китай и страните от Централна и Източна Европа: сборник с доклади от международна конференция, 13-14 окт. 2017 г., В. Търново. В. Търново: Фабер, 2018, с. 117-124. ISBN 978-619-00-0745-6.")</f>
        <v>Дипломатически, икономически и културни отношения между Китай и страните от Централна и Източна Европа: сборник с доклади от международна конференция, 13-14 окт. 2017 г., В. Търново. В. Търново: Фабер, 2018, с. 117-124. ISBN 978-619-00-0745-6.</v>
      </c>
      <c r="F7243" s="10"/>
      <c r="G7243" s="10" t="str">
        <f ca="1">IFERROR(__xludf.DUMMYFUNCTION("""COMPUTED_VALUE"""),"Б. Тетевенска, И. Петев")</f>
        <v>Б. Тетевенска, И. Петев</v>
      </c>
      <c r="H7243" s="10"/>
      <c r="I7243" s="10"/>
      <c r="J7243" s="10"/>
      <c r="K7243" s="10"/>
      <c r="L7243" s="10"/>
      <c r="M7243" s="10"/>
      <c r="N7243" s="10"/>
      <c r="O7243" s="10"/>
      <c r="P7243" s="10"/>
      <c r="Q7243" s="10"/>
      <c r="R7243" s="10"/>
      <c r="S7243" s="10"/>
      <c r="T7243" s="10"/>
      <c r="U7243" s="10"/>
      <c r="V7243" s="10"/>
      <c r="W7243" s="10"/>
      <c r="X7243" s="10"/>
      <c r="Y7243" s="10"/>
      <c r="Z7243" s="10"/>
    </row>
    <row r="7244" spans="1:26" ht="12.75">
      <c r="A7244" s="10" t="str">
        <f ca="1">IFERROR(__xludf.DUMMYFUNCTION("""COMPUTED_VALUE"""),"Стоян Георгиев Денчев")</f>
        <v>Стоян Георгиев Денчев</v>
      </c>
      <c r="B7244" s="10" t="str">
        <f ca="1">IFERROR(__xludf.DUMMYFUNCTION("""COMPUTED_VALUE"""),"Доклад от конференция")</f>
        <v>Доклад от конференция</v>
      </c>
      <c r="C7244" s="10" t="str">
        <f ca="1">IFERROR(__xludf.DUMMYFUNCTION("""COMPUTED_VALUE"""),"Европейската сигурност в контекста на съвременното неолиберално политическо лидерство")</f>
        <v>Европейската сигурност в контекста на съвременното неолиберално политическо лидерство</v>
      </c>
      <c r="D7244" s="10">
        <f ca="1">IFERROR(__xludf.DUMMYFUNCTION("""COMPUTED_VALUE"""),2017)</f>
        <v>2017</v>
      </c>
      <c r="E7244" s="10" t="str">
        <f ca="1">IFERROR(__xludf.DUMMYFUNCTION("""COMPUTED_VALUE"""),"Международна научна конференция Европа: Глобални заплахи и интегрирана сигурност. Сигурност на Черноморския регион: сборник научни трудове. София: Научно-технически съюз по машиностроене ""Индустрия - 4.0"", 2017, с. 11-19. ISBN 978-619-7383-07-2.")</f>
        <v>Международна научна конференция Европа: Глобални заплахи и интегрирана сигурност. Сигурност на Черноморския регион: сборник научни трудове. София: Научно-технически съюз по машиностроене "Индустрия - 4.0", 2017, с. 11-19. ISBN 978-619-7383-07-2.</v>
      </c>
      <c r="F7244" s="10"/>
      <c r="G7244" s="10"/>
      <c r="H7244" s="10"/>
      <c r="I7244" s="10"/>
      <c r="J7244" s="10"/>
      <c r="K7244" s="10"/>
      <c r="L7244" s="10"/>
      <c r="M7244" s="10"/>
      <c r="N7244" s="10"/>
      <c r="O7244" s="10"/>
      <c r="P7244" s="10"/>
      <c r="Q7244" s="10"/>
      <c r="R7244" s="10"/>
      <c r="S7244" s="10"/>
      <c r="T7244" s="10"/>
      <c r="U7244" s="10"/>
      <c r="V7244" s="10"/>
      <c r="W7244" s="10"/>
      <c r="X7244" s="10"/>
      <c r="Y7244" s="10"/>
      <c r="Z7244" s="10"/>
    </row>
    <row r="7245" spans="1:26" ht="12.75">
      <c r="A7245" s="10" t="str">
        <f ca="1">IFERROR(__xludf.DUMMYFUNCTION("""COMPUTED_VALUE"""),"Стоян Георгиев Денчев")</f>
        <v>Стоян Георгиев Денчев</v>
      </c>
      <c r="B7245" s="10" t="str">
        <f ca="1">IFERROR(__xludf.DUMMYFUNCTION("""COMPUTED_VALUE"""),"Статия в списания и поредици")</f>
        <v>Статия в списания и поредици</v>
      </c>
      <c r="C7245"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7245" s="10">
        <f ca="1">IFERROR(__xludf.DUMMYFUNCTION("""COMPUTED_VALUE"""),2017)</f>
        <v>2017</v>
      </c>
      <c r="E7245" s="10" t="str">
        <f ca="1">IFERROR(__xludf.DUMMYFUNCTION("""COMPUTED_VALUE"""),"За буквите – О писменехь : Кирило-Методиевски вестник (София). – ISSN 1312-3785. – N 49, март 2017, с. 7. – Редуц. публ.")</f>
        <v>За буквите – О писменехь : Кирило-Методиевски вестник (София). – ISSN 1312-3785. – N 49, март 2017, с. 7. – Редуц. публ.</v>
      </c>
      <c r="F7245" s="10" t="str">
        <f ca="1">IFERROR(__xludf.DUMMYFUNCTION("""COMPUTED_VALUE"""),"Публ. &lt;http://www.unibit.bg&gt;")</f>
        <v>Публ. &lt;http://www.unibit.bg&gt;</v>
      </c>
      <c r="G7245" s="10" t="str">
        <f ca="1">IFERROR(__xludf.DUMMYFUNCTION("""COMPUTED_VALUE"""),"А. Куманова, Н. Казански, Н. Василев")</f>
        <v>А. Куманова, Н. Казански, Н. Василев</v>
      </c>
      <c r="H7245" s="10"/>
      <c r="I7245" s="10"/>
      <c r="J7245" s="10"/>
      <c r="K7245" s="10"/>
      <c r="L7245" s="10"/>
      <c r="M7245" s="10"/>
      <c r="N7245" s="10"/>
      <c r="O7245" s="10"/>
      <c r="P7245" s="10"/>
      <c r="Q7245" s="10"/>
      <c r="R7245" s="10"/>
      <c r="S7245" s="10"/>
      <c r="T7245" s="10"/>
      <c r="U7245" s="10"/>
      <c r="V7245" s="10"/>
      <c r="W7245" s="10"/>
      <c r="X7245" s="10"/>
      <c r="Y7245" s="10"/>
      <c r="Z7245" s="10"/>
    </row>
    <row r="7246" spans="1:26" ht="12.75">
      <c r="A7246" s="10" t="str">
        <f ca="1">IFERROR(__xludf.DUMMYFUNCTION("""COMPUTED_VALUE"""),"Стоян Георгиев Денчев")</f>
        <v>Стоян Георгиев Денчев</v>
      </c>
      <c r="B7246" s="10" t="str">
        <f ca="1">IFERROR(__xludf.DUMMYFUNCTION("""COMPUTED_VALUE"""),"Статия в списания и поредици")</f>
        <v>Статия в списания и поредици</v>
      </c>
      <c r="C7246" s="10" t="str">
        <f ca="1">IFERROR(__xludf.DUMMYFUNCTION("""COMPUTED_VALUE"""),"Трансмисия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f>
        <v>Трансмисия на арийски соларен религиозен култ, проникнал от Иран в България. Рационални проблеми на семантизацията и посоките на периодизация на символното, скрито (hidden) и мълчаливото (tacit) знание като планетарно значимо</v>
      </c>
      <c r="D7246" s="10">
        <f ca="1">IFERROR(__xludf.DUMMYFUNCTION("""COMPUTED_VALUE"""),2017)</f>
        <v>2017</v>
      </c>
      <c r="E7246" s="10" t="str">
        <f ca="1">IFERROR(__xludf.DUMMYFUNCTION("""COMPUTED_VALUE"""),"Издател (В. Търново). – ISSN 1310-4624. – 2017, N 2 (3-4), с. 67-94 : ил.")</f>
        <v>Издател (В. Търново). – ISSN 1310-4624. – 2017, N 2 (3-4), с. 67-94 : ил.</v>
      </c>
      <c r="F7246" s="10" t="str">
        <f ca="1">IFERROR(__xludf.DUMMYFUNCTION("""COMPUTED_VALUE"""),"Публ. &lt;http://www.unibit.bg&gt;")</f>
        <v>Публ. &lt;http://www.unibit.bg&gt;</v>
      </c>
      <c r="G7246" s="10" t="str">
        <f ca="1">IFERROR(__xludf.DUMMYFUNCTION("""COMPUTED_VALUE"""),"А. Куманова, Н. Казански, Н. Василев")</f>
        <v>А. Куманова, Н. Казански, Н. Василев</v>
      </c>
      <c r="H7246" s="10"/>
      <c r="I7246" s="10"/>
      <c r="J7246" s="10"/>
      <c r="K7246" s="10"/>
      <c r="L7246" s="10"/>
      <c r="M7246" s="10"/>
      <c r="N7246" s="10"/>
      <c r="O7246" s="10"/>
      <c r="P7246" s="10"/>
      <c r="Q7246" s="10"/>
      <c r="R7246" s="10"/>
      <c r="S7246" s="10"/>
      <c r="T7246" s="10"/>
      <c r="U7246" s="10"/>
      <c r="V7246" s="10"/>
      <c r="W7246" s="10"/>
      <c r="X7246" s="10"/>
      <c r="Y7246" s="10"/>
      <c r="Z7246" s="10"/>
    </row>
    <row r="7247" spans="1:26" ht="12.75">
      <c r="A7247" s="10" t="str">
        <f ca="1">IFERROR(__xludf.DUMMYFUNCTION("""COMPUTED_VALUE"""),"Стоян Георгиев Денчев")</f>
        <v>Стоян Георгиев Денчев</v>
      </c>
      <c r="B7247" s="10" t="str">
        <f ca="1">IFERROR(__xludf.DUMMYFUNCTION("""COMPUTED_VALUE"""),"Студия")</f>
        <v>Студия</v>
      </c>
      <c r="C7247" s="10" t="str">
        <f ca="1">IFERROR(__xludf.DUMMYFUNCTION("""COMPUTED_VALUE"""),"Актуални въпроси на приложението на информационните и комуникационните технологии в образованието по културно наследство. Социализация на културното наследство")</f>
        <v>Актуални въпроси на приложението на информационните и комуникационните технологии в образованието по културно наследство. Социализация на културното наследство</v>
      </c>
      <c r="D7247" s="10">
        <f ca="1">IFERROR(__xludf.DUMMYFUNCTION("""COMPUTED_VALUE"""),2017)</f>
        <v>2017</v>
      </c>
      <c r="E7247" s="10" t="str">
        <f ca="1">IFERROR(__xludf.DUMMYFUNCTION("""COMPUTED_VALUE"""),"София: За буквите - О писменехь, 2017. 100 с. ISBN 978-619-185-273-4")</f>
        <v>София: За буквите - О писменехь, 2017. 100 с. ISBN 978-619-185-273-4</v>
      </c>
      <c r="F7247" s="10"/>
      <c r="G7247" s="10"/>
      <c r="H7247" s="10"/>
      <c r="I7247" s="10"/>
      <c r="J7247" s="10"/>
      <c r="K7247" s="10"/>
      <c r="L7247" s="10"/>
      <c r="M7247" s="10"/>
      <c r="N7247" s="10"/>
      <c r="O7247" s="10"/>
      <c r="P7247" s="10"/>
      <c r="Q7247" s="10"/>
      <c r="R7247" s="10"/>
      <c r="S7247" s="10"/>
      <c r="T7247" s="10"/>
      <c r="U7247" s="10"/>
      <c r="V7247" s="10"/>
      <c r="W7247" s="10"/>
      <c r="X7247" s="10"/>
      <c r="Y7247" s="10"/>
      <c r="Z7247" s="10"/>
    </row>
    <row r="7248" spans="1:26" ht="12.75">
      <c r="A7248" s="10" t="str">
        <f ca="1">IFERROR(__xludf.DUMMYFUNCTION("""COMPUTED_VALUE"""),"Стоян Георгиев Денчев")</f>
        <v>Стоян Георгиев Денчев</v>
      </c>
      <c r="B7248" s="10" t="str">
        <f ca="1">IFERROR(__xludf.DUMMYFUNCTION("""COMPUTED_VALUE"""),"Доклад от конференция")</f>
        <v>Доклад от конференция</v>
      </c>
      <c r="C7248" s="10" t="str">
        <f ca="1">IFERROR(__xludf.DUMMYFUNCTION("""COMPUTED_VALUE"""),"Информационные войны в динамичной цифровой информационной средe.")</f>
        <v>Информационные войны в динамичной цифровой информационной средe.</v>
      </c>
      <c r="D7248" s="10">
        <f ca="1">IFERROR(__xludf.DUMMYFUNCTION("""COMPUTED_VALUE"""),2017)</f>
        <v>2017</v>
      </c>
      <c r="E7248" s="10" t="str">
        <f ca="1">IFERROR(__xludf.DUMMYFUNCTION("""COMPUTED_VALUE"""),"Фундаментальные и прикладные науки сегодня: материалы X международной научно-практической конференции,Vol. 1, 26-27 Dec. 2016, North Charleston, USA.North Charleston, USA, 2017, с. 70-74. ISBN 978-1-54133-748-0.")</f>
        <v>Фундаментальные и прикладные науки сегодня: материалы X международной научно-практической конференции,Vol. 1, 26-27 Dec. 2016, North Charleston, USA.North Charleston, USA, 2017, с. 70-74. ISBN 978-1-54133-748-0.</v>
      </c>
      <c r="F7248" s="10"/>
      <c r="G7248" s="10" t="str">
        <f ca="1">IFERROR(__xludf.DUMMYFUNCTION("""COMPUTED_VALUE"""),"И.Павлова")</f>
        <v>И.Павлова</v>
      </c>
      <c r="H7248" s="10"/>
      <c r="I7248" s="10"/>
      <c r="J7248" s="10"/>
      <c r="K7248" s="10"/>
      <c r="L7248" s="10"/>
      <c r="M7248" s="10"/>
      <c r="N7248" s="10"/>
      <c r="O7248" s="10"/>
      <c r="P7248" s="10"/>
      <c r="Q7248" s="10"/>
      <c r="R7248" s="10"/>
      <c r="S7248" s="10"/>
      <c r="T7248" s="10"/>
      <c r="U7248" s="10"/>
      <c r="V7248" s="10"/>
      <c r="W7248" s="10"/>
      <c r="X7248" s="10"/>
      <c r="Y7248" s="10"/>
      <c r="Z7248" s="10"/>
    </row>
    <row r="7249" spans="1:26" ht="12.75">
      <c r="A7249" s="10" t="str">
        <f ca="1">IFERROR(__xludf.DUMMYFUNCTION("""COMPUTED_VALUE"""),"Стоян Георгиев Денчев")</f>
        <v>Стоян Георгиев Денчев</v>
      </c>
      <c r="B7249" s="10" t="str">
        <f ca="1">IFERROR(__xludf.DUMMYFUNCTION("""COMPUTED_VALUE"""),"Статия в списания и поредици")</f>
        <v>Статия в списания и поредици</v>
      </c>
      <c r="C7249" s="10" t="str">
        <f ca="1">IFERROR(__xludf.DUMMYFUNCTION("""COMPUTED_VALUE"""),"EDUCATION OF CULTURAL HERITAGE THROUGH DIGITAL LIBRARIES IN UNIVERSITY INFORMATION ENVIRONMENT")</f>
        <v>EDUCATION OF CULTURAL HERITAGE THROUGH DIGITAL LIBRARIES IN UNIVERSITY INFORMATION ENVIRONMENT</v>
      </c>
      <c r="D7249" s="10">
        <f ca="1">IFERROR(__xludf.DUMMYFUNCTION("""COMPUTED_VALUE"""),2017)</f>
        <v>2017</v>
      </c>
      <c r="E7249" s="10" t="str">
        <f ca="1">IFERROR(__xludf.DUMMYFUNCTION("""COMPUTED_VALUE"""),"10TH INTERNATIONAL CONFERENCE OF EDUCATION, RESEARCH AND INNOVATION (ICERI2017) Edited by:Chova, LG; Martinez, AL; Torres, IC Book Series: ICERI Proceedings Pages: 4691-4697 Published:2017")</f>
        <v>10TH INTERNATIONAL CONFERENCE OF EDUCATION, RESEARCH AND INNOVATION (ICERI2017) Edited by:Chova, LG; Martinez, AL; Torres, IC Book Series: ICERI Proceedings Pages: 4691-4697 Published:2017</v>
      </c>
      <c r="F7249" s="10" t="str">
        <f ca="1">IFERROR(__xludf.DUMMYFUNCTION("""COMPUTED_VALUE"""),"Web of Science")</f>
        <v>Web of Science</v>
      </c>
      <c r="G7249" s="10" t="str">
        <f ca="1">IFERROR(__xludf.DUMMYFUNCTION("""COMPUTED_VALUE"""),"I. Peteva, D. Stoyanova K. Bosakova")</f>
        <v>I. Peteva, D. Stoyanova K. Bosakova</v>
      </c>
      <c r="H7249" s="10"/>
      <c r="I7249" s="10"/>
      <c r="J7249" s="10"/>
      <c r="K7249" s="10"/>
      <c r="L7249" s="10"/>
      <c r="M7249" s="10"/>
      <c r="N7249" s="10"/>
      <c r="O7249" s="10"/>
      <c r="P7249" s="10"/>
      <c r="Q7249" s="10"/>
      <c r="R7249" s="10"/>
      <c r="S7249" s="10"/>
      <c r="T7249" s="10"/>
      <c r="U7249" s="10"/>
      <c r="V7249" s="10"/>
      <c r="W7249" s="10"/>
      <c r="X7249" s="10"/>
      <c r="Y7249" s="10"/>
      <c r="Z7249" s="10"/>
    </row>
    <row r="7250" spans="1:26" ht="12.75">
      <c r="A7250" s="10" t="str">
        <f ca="1">IFERROR(__xludf.DUMMYFUNCTION("""COMPUTED_VALUE"""),"Стоян Георгиев Денчев")</f>
        <v>Стоян Георгиев Денчев</v>
      </c>
      <c r="B7250" s="10" t="str">
        <f ca="1">IFERROR(__xludf.DUMMYFUNCTION("""COMPUTED_VALUE"""),"Доклад от конференция")</f>
        <v>Доклад от конференция</v>
      </c>
      <c r="C7250" s="10" t="str">
        <f ca="1">IFERROR(__xludf.DUMMYFUNCTION("""COMPUTED_VALUE"""),"Expedition in Vottovaara – Karelia and Arkaim – the Urals : Centres of the Proto-European Civilization in Russia (Proto-Aryans and Proto-Slavs) (Cultural and phenomenological decoding of the mythological, historical and linguistic approach)")</f>
        <v>Expedition in Vottovaara – Karelia and Arkaim – the Urals : Centres of the Proto-European Civilization in Russia (Proto-Aryans and Proto-Slavs) (Cultural and phenomenological decoding of the mythological, historical and linguistic approach)</v>
      </c>
      <c r="D7250" s="10">
        <f ca="1">IFERROR(__xludf.DUMMYFUNCTION("""COMPUTED_VALUE"""),2017)</f>
        <v>2017</v>
      </c>
      <c r="E7250" s="10" t="str">
        <f ca="1">IFERROR(__xludf.DUMMYFUNCTION("""COMPUTED_VALUE"""),"Academic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176"&amp;"-198 : 33 Ill.")</f>
        <v>Academic science – problems and achievements XI = Академическая наука – проблемы и достижения. Философские науки : Vol. 2 : Proceedings of the Conference. – North Charleston, USA, 6-7.02.2017. – North Charleston, USA, 2017. – ISBN 978-1543046106. – с. 176-198 : 33 Ill.</v>
      </c>
      <c r="F7250" s="10" t="str">
        <f ca="1">IFERROR(__xludf.DUMMYFUNCTION("""COMPUTED_VALUE"""),"&lt;http://science-publish.ru/node/2&gt;")</f>
        <v>&lt;http://science-publish.ru/node/2&gt;</v>
      </c>
      <c r="G7250" s="10" t="str">
        <f ca="1">IFERROR(__xludf.DUMMYFUNCTION("""COMPUTED_VALUE"""),"A. V. Kumanova, N. R. Kazanski, N. K. Vasilev")</f>
        <v>A. V. Kumanova, N. R. Kazanski, N. K. Vasilev</v>
      </c>
      <c r="H7250" s="10"/>
      <c r="I7250" s="10"/>
      <c r="J7250" s="10"/>
      <c r="K7250" s="10"/>
      <c r="L7250" s="10"/>
      <c r="M7250" s="10"/>
      <c r="N7250" s="10"/>
      <c r="O7250" s="10"/>
      <c r="P7250" s="10"/>
      <c r="Q7250" s="10"/>
      <c r="R7250" s="10"/>
      <c r="S7250" s="10"/>
      <c r="T7250" s="10"/>
      <c r="U7250" s="10"/>
      <c r="V7250" s="10"/>
      <c r="W7250" s="10"/>
      <c r="X7250" s="10"/>
      <c r="Y7250" s="10"/>
      <c r="Z7250" s="10"/>
    </row>
    <row r="7251" spans="1:26" ht="12.75">
      <c r="A7251" s="10" t="str">
        <f ca="1">IFERROR(__xludf.DUMMYFUNCTION("""COMPUTED_VALUE"""),"Стоян Георгиев Денчев")</f>
        <v>Стоян Георгиев Денчев</v>
      </c>
      <c r="B7251" s="10" t="str">
        <f ca="1">IFERROR(__xludf.DUMMYFUNCTION("""COMPUTED_VALUE"""),"Доклад от конференция")</f>
        <v>Доклад от конференция</v>
      </c>
      <c r="C7251" s="10" t="str">
        <f ca="1">IFERROR(__xludf.DUMMYFUNCTION("""COMPUTED_VALUE"""),"The Study of Civilizations : The right way to the real Cultural Globalization (Life-giving tree of the historical and cultural development of the Humanity).")</f>
        <v>The Study of Civilizations : The right way to the real Cultural Globalization (Life-giving tree of the historical and cultural development of the Humanity).</v>
      </c>
      <c r="D7251" s="10">
        <f ca="1">IFERROR(__xludf.DUMMYFUNCTION("""COMPUTED_VALUE"""),2017)</f>
        <v>2017</v>
      </c>
      <c r="E7251" s="10" t="str">
        <f ca="1">IFERROR(__xludf.DUMMYFUNCTION("""COMPUTED_VALUE"""),"Наука в современном информационном обществе : XI Междунар. науч.-практ. конф. Философские науки : Science in the modern information society : Proceedings of the Conference. – North Charleston, USA, 13-14.03.2017. – North Charleston, USA. – ISBN978-1544756"&amp;"592. – с. 190-202 : 10 Ill.")</f>
        <v>Наука в современном информационном обществе : XI Междунар. науч.-практ. конф. Философские науки : Science in the modern information society : Proceedings of the Conference. – North Charleston, USA, 13-14.03.2017. – North Charleston, USA. – ISBN978-1544756592. – с. 190-202 : 10 Ill.</v>
      </c>
      <c r="F7251" s="10" t="str">
        <f ca="1">IFERROR(__xludf.DUMMYFUNCTION("""COMPUTED_VALUE"""),"&lt;http://science-publish.ru/node/2&gt;")</f>
        <v>&lt;http://science-publish.ru/node/2&gt;</v>
      </c>
      <c r="G7251" s="10" t="str">
        <f ca="1">IFERROR(__xludf.DUMMYFUNCTION("""COMPUTED_VALUE"""),"A. Kumanova, N. Kazanski, N. Vasilev")</f>
        <v>A. Kumanova, N. Kazanski, N. Vasilev</v>
      </c>
      <c r="H7251" s="10"/>
      <c r="I7251" s="10"/>
      <c r="J7251" s="10"/>
      <c r="K7251" s="10"/>
      <c r="L7251" s="10"/>
      <c r="M7251" s="10"/>
      <c r="N7251" s="10"/>
      <c r="O7251" s="10"/>
      <c r="P7251" s="10"/>
      <c r="Q7251" s="10"/>
      <c r="R7251" s="10"/>
      <c r="S7251" s="10"/>
      <c r="T7251" s="10"/>
      <c r="U7251" s="10"/>
      <c r="V7251" s="10"/>
      <c r="W7251" s="10"/>
      <c r="X7251" s="10"/>
      <c r="Y7251" s="10"/>
      <c r="Z7251" s="10"/>
    </row>
    <row r="7252" spans="1:26" ht="12.75">
      <c r="A7252" s="10" t="str">
        <f ca="1">IFERROR(__xludf.DUMMYFUNCTION("""COMPUTED_VALUE"""),"Стоян Георгиев Денчев")</f>
        <v>Стоян Георгиев Денчев</v>
      </c>
      <c r="B7252" s="10" t="str">
        <f ca="1">IFERROR(__xludf.DUMMYFUNCTION("""COMPUTED_VALUE"""),"Доклад от конференция")</f>
        <v>Доклад от конференция</v>
      </c>
      <c r="C7252" s="10" t="str">
        <f ca="1">IFERROR(__xludf.DUMMYFUNCTION("""COMPUTED_VALUE"""),"Европейската сигурност в контекста на съвременното неолиберално политическо лидерство")</f>
        <v>Европейската сигурност в контекста на съвременното неолиберално политическо лидерство</v>
      </c>
      <c r="D7252" s="10">
        <f ca="1">IFERROR(__xludf.DUMMYFUNCTION("""COMPUTED_VALUE"""),2017)</f>
        <v>2017</v>
      </c>
      <c r="E7252" s="10" t="str">
        <f ca="1">IFERROR(__xludf.DUMMYFUNCTION("""COMPUTED_VALUE"""),"Международна научна конференция Европа: Глобални заплахи и интегрирана сигурност. Сигурност на Черноморския регион: сборник научни трудове. София: Научно-технически съюз по машиностроене ""Индустрия - 4.0"", 2017, с. 11-19. ISBN 978-619-7383-07-2.")</f>
        <v>Международна научна конференция Европа: Глобални заплахи и интегрирана сигурност. Сигурност на Черноморския регион: сборник научни трудове. София: Научно-технически съюз по машиностроене "Индустрия - 4.0", 2017, с. 11-19. ISBN 978-619-7383-07-2.</v>
      </c>
      <c r="F7252" s="10"/>
      <c r="G7252" s="10"/>
      <c r="H7252" s="10"/>
      <c r="I7252" s="10"/>
      <c r="J7252" s="10"/>
      <c r="K7252" s="10"/>
      <c r="L7252" s="10"/>
      <c r="M7252" s="10"/>
      <c r="N7252" s="10"/>
      <c r="O7252" s="10"/>
      <c r="P7252" s="10"/>
      <c r="Q7252" s="10"/>
      <c r="R7252" s="10"/>
      <c r="S7252" s="10"/>
      <c r="T7252" s="10"/>
      <c r="U7252" s="10"/>
      <c r="V7252" s="10"/>
      <c r="W7252" s="10"/>
      <c r="X7252" s="10"/>
      <c r="Y7252" s="10"/>
      <c r="Z7252" s="10"/>
    </row>
    <row r="7253" spans="1:26" ht="12.75">
      <c r="A7253" s="10" t="str">
        <f ca="1">IFERROR(__xludf.DUMMYFUNCTION("""COMPUTED_VALUE"""),"Стоян Георгиев Денчев")</f>
        <v>Стоян Георгиев Денчев</v>
      </c>
      <c r="B7253" s="10" t="str">
        <f ca="1">IFERROR(__xludf.DUMMYFUNCTION("""COMPUTED_VALUE"""),"Статия в списания и поредици")</f>
        <v>Статия в списания и поредици</v>
      </c>
      <c r="C7253" s="10" t="str">
        <f ca="1">IFERROR(__xludf.DUMMYFUNCTION("""COMPUTED_VALUE"""),"Начало конца. Долгое пращание с неолиберальным. политическим лидерством")</f>
        <v>Начало конца. Долгое пращание с неолиберальным. политическим лидерством</v>
      </c>
      <c r="D7253" s="10">
        <f ca="1">IFERROR(__xludf.DUMMYFUNCTION("""COMPUTED_VALUE"""),2017)</f>
        <v>2017</v>
      </c>
      <c r="E7253" s="10" t="str">
        <f ca="1">IFERROR(__xludf.DUMMYFUNCTION("""COMPUTED_VALUE"""),"Геополитический журнал, 2017, № 2/3. ISSN 2410-6771.")</f>
        <v>Геополитический журнал, 2017, № 2/3. ISSN 2410-6771.</v>
      </c>
      <c r="F7253" s="10"/>
      <c r="G7253" s="10" t="str">
        <f ca="1">IFERROR(__xludf.DUMMYFUNCTION("""COMPUTED_VALUE"""),"Н. Палашев")</f>
        <v>Н. Палашев</v>
      </c>
      <c r="H7253" s="10"/>
      <c r="I7253" s="10"/>
      <c r="J7253" s="10"/>
      <c r="K7253" s="10"/>
      <c r="L7253" s="10"/>
      <c r="M7253" s="10"/>
      <c r="N7253" s="10"/>
      <c r="O7253" s="10"/>
      <c r="P7253" s="10"/>
      <c r="Q7253" s="10"/>
      <c r="R7253" s="10"/>
      <c r="S7253" s="10"/>
      <c r="T7253" s="10"/>
      <c r="U7253" s="10"/>
      <c r="V7253" s="10"/>
      <c r="W7253" s="10"/>
      <c r="X7253" s="10"/>
      <c r="Y7253" s="10"/>
      <c r="Z7253" s="10"/>
    </row>
    <row r="7254" spans="1:26" ht="12.75">
      <c r="A7254" s="10" t="str">
        <f ca="1">IFERROR(__xludf.DUMMYFUNCTION("""COMPUTED_VALUE"""),"Стоян Георгиев Денчев")</f>
        <v>Стоян Георгиев Денчев</v>
      </c>
      <c r="B7254" s="10" t="str">
        <f ca="1">IFERROR(__xludf.DUMMYFUNCTION("""COMPUTED_VALUE"""),"Доклад от конференция")</f>
        <v>Доклад от конференция</v>
      </c>
      <c r="C7254" s="10" t="str">
        <f ca="1">IFERROR(__xludf.DUMMYFUNCTION("""COMPUTED_VALUE"""),"Езикът на народните будители (Морфологични, лексикални и фонетични стойности) (Към въпроса за ценностния геном на българското изящно слово)")</f>
        <v>Езикът на народните будители (Морфологични, лексикални и фонетични стойности) (Към въпроса за ценностния геном на българското изящно слово)</v>
      </c>
      <c r="D7254" s="10">
        <f ca="1">IFERROR(__xludf.DUMMYFUNCTION("""COMPUTED_VALUE"""),2017)</f>
        <v>2017</v>
      </c>
      <c r="E7254" s="10" t="str">
        <f ca="1">IFERROR(__xludf.DUMMYFUNCTION("""COMPUTED_VALUE"""),"Обществото на знанието и хуманизмът на ХХІ век (София). – ISSN 1314-7099. – 2017, с. 18-36 : с табл.")</f>
        <v>Обществото на знанието и хуманизмът на ХХІ век (София). – ISSN 1314-7099. – 2017, с. 18-36 : с табл.</v>
      </c>
      <c r="F7254" s="10" t="str">
        <f ca="1">IFERROR(__xludf.DUMMYFUNCTION("""COMPUTED_VALUE"""),"&lt;http://science-publish.ru/node/2&gt;")</f>
        <v>&lt;http://science-publish.ru/node/2&gt;</v>
      </c>
      <c r="G7254" s="10" t="str">
        <f ca="1">IFERROR(__xludf.DUMMYFUNCTION("""COMPUTED_VALUE"""),"А. Куманова, Н. Василев")</f>
        <v>А. Куманова, Н. Василев</v>
      </c>
      <c r="H7254" s="10"/>
      <c r="I7254" s="10"/>
      <c r="J7254" s="10"/>
      <c r="K7254" s="10"/>
      <c r="L7254" s="10"/>
      <c r="M7254" s="10"/>
      <c r="N7254" s="10"/>
      <c r="O7254" s="10"/>
      <c r="P7254" s="10"/>
      <c r="Q7254" s="10"/>
      <c r="R7254" s="10"/>
      <c r="S7254" s="10"/>
      <c r="T7254" s="10"/>
      <c r="U7254" s="10"/>
      <c r="V7254" s="10"/>
      <c r="W7254" s="10"/>
      <c r="X7254" s="10"/>
      <c r="Y7254" s="10"/>
      <c r="Z7254" s="10"/>
    </row>
    <row r="7255" spans="1:26" ht="12.75">
      <c r="A7255" s="10" t="str">
        <f ca="1">IFERROR(__xludf.DUMMYFUNCTION("""COMPUTED_VALUE"""),"Стоян Георгиев Денчев")</f>
        <v>Стоян Георгиев Денчев</v>
      </c>
      <c r="B7255" s="10" t="str">
        <f ca="1">IFERROR(__xludf.DUMMYFUNCTION("""COMPUTED_VALUE"""),"Доклад от конференция")</f>
        <v>Доклад от конференция</v>
      </c>
      <c r="C7255" s="10" t="str">
        <f ca="1">IFERROR(__xludf.DUMMYFUNCTION("""COMPUTED_VALUE"""),"Вторично-документальный предметный контур гуманитарного знания библиосферы (Истоки современной международной универсальной библиографии)")</f>
        <v>Вторично-документальный предметный контур гуманитарного знания библиосферы (Истоки современной международной универсальной библиографии)</v>
      </c>
      <c r="D7255" s="10">
        <f ca="1">IFERROR(__xludf.DUMMYFUNCTION("""COMPUTED_VALUE"""),2017)</f>
        <v>2017</v>
      </c>
      <c r="E7255" s="10" t="str">
        <f ca="1">IFERROR(__xludf.DUMMYFUNCTION("""COMPUTED_VALUE"""),"Fundamental and applied sciences today X : Фундаментальные и прикладные науки. Философские науки : Vol. 1 : Proceedings of the Conference. – North Charleston, USA, 26-27.12.2016. – North Charleston, USA, 2017. – ISBN 978-1541337480. – с. 115-120.")</f>
        <v>Fundamental and applied sciences today X : Фундаментальные и прикладные науки. Философские науки : Vol. 1 : Proceedings of the Conference. – North Charleston, USA, 26-27.12.2016. – North Charleston, USA, 2017. – ISBN 978-1541337480. – с. 115-120.</v>
      </c>
      <c r="F7255" s="10" t="str">
        <f ca="1">IFERROR(__xludf.DUMMYFUNCTION("""COMPUTED_VALUE"""),"&lt;http://science-publish.ru/node/2&gt;")</f>
        <v>&lt;http://science-publish.ru/node/2&gt;</v>
      </c>
      <c r="G7255" s="10" t="str">
        <f ca="1">IFERROR(__xludf.DUMMYFUNCTION("""COMPUTED_VALUE"""),"A. V. Kumanova, N. К. Vasilev")</f>
        <v>A. V. Kumanova, N. К. Vasilev</v>
      </c>
      <c r="H7255" s="10"/>
      <c r="I7255" s="10"/>
      <c r="J7255" s="10"/>
      <c r="K7255" s="10"/>
      <c r="L7255" s="10"/>
      <c r="M7255" s="10"/>
      <c r="N7255" s="10"/>
      <c r="O7255" s="10"/>
      <c r="P7255" s="10"/>
      <c r="Q7255" s="10"/>
      <c r="R7255" s="10"/>
      <c r="S7255" s="10"/>
      <c r="T7255" s="10"/>
      <c r="U7255" s="10"/>
      <c r="V7255" s="10"/>
      <c r="W7255" s="10"/>
      <c r="X7255" s="10"/>
      <c r="Y7255" s="10"/>
      <c r="Z7255" s="10"/>
    </row>
    <row r="7256" spans="1:26" ht="12.75">
      <c r="A7256" s="10" t="str">
        <f ca="1">IFERROR(__xludf.DUMMYFUNCTION("""COMPUTED_VALUE"""),"Стоян Георгиев Денчев")</f>
        <v>Стоян Георгиев Денчев</v>
      </c>
      <c r="B7256" s="10" t="str">
        <f ca="1">IFERROR(__xludf.DUMMYFUNCTION("""COMPUTED_VALUE"""),"Книга")</f>
        <v>Книга</v>
      </c>
      <c r="C7256" s="10" t="str">
        <f ca="1">IFERROR(__xludf.DUMMYFUNCTION("""COMPUTED_VALUE"""),"Е-управление. Култура на информационна прозрачност.")</f>
        <v>Е-управление. Култура на информационна прозрачност.</v>
      </c>
      <c r="D7256" s="10">
        <f ca="1">IFERROR(__xludf.DUMMYFUNCTION("""COMPUTED_VALUE"""),2017)</f>
        <v>2017</v>
      </c>
      <c r="E7256" s="10" t="str">
        <f ca="1">IFERROR(__xludf.DUMMYFUNCTION("""COMPUTED_VALUE"""),"„За буквите-О’ писменех“, София, 2017, 298 с. ISBN 978-619-185-271-0")</f>
        <v>„За буквите-О’ писменех“, София, 2017, 298 с. ISBN 978-619-185-271-0</v>
      </c>
      <c r="F7256" s="10" t="str">
        <f ca="1">IFERROR(__xludf.DUMMYFUNCTION("""COMPUTED_VALUE"""),"Национален регистър на издаваните книги в България")</f>
        <v>Национален регистър на издаваните книги в България</v>
      </c>
      <c r="G7256" s="10" t="str">
        <f ca="1">IFERROR(__xludf.DUMMYFUNCTION("""COMPUTED_VALUE"""),"И. Петева")</f>
        <v>И. Петева</v>
      </c>
      <c r="H7256" s="10"/>
      <c r="I7256" s="10"/>
      <c r="J7256" s="10"/>
      <c r="K7256" s="10"/>
      <c r="L7256" s="10"/>
      <c r="M7256" s="10"/>
      <c r="N7256" s="10"/>
      <c r="O7256" s="10"/>
      <c r="P7256" s="10"/>
      <c r="Q7256" s="10"/>
      <c r="R7256" s="10"/>
      <c r="S7256" s="10"/>
      <c r="T7256" s="10"/>
      <c r="U7256" s="10"/>
      <c r="V7256" s="10"/>
      <c r="W7256" s="10"/>
      <c r="X7256" s="10"/>
      <c r="Y7256" s="10"/>
      <c r="Z7256" s="10"/>
    </row>
    <row r="7257" spans="1:26" ht="12.75">
      <c r="A7257" s="10" t="str">
        <f ca="1">IFERROR(__xludf.DUMMYFUNCTION("""COMPUTED_VALUE"""),"Стоян Георгиев Денчев")</f>
        <v>Стоян Георгиев Денчев</v>
      </c>
      <c r="B7257" s="10" t="str">
        <f ca="1">IFERROR(__xludf.DUMMYFUNCTION("""COMPUTED_VALUE"""),"Книга")</f>
        <v>Книга</v>
      </c>
      <c r="C7257" s="10" t="str">
        <f ca="1">IFERROR(__xludf.DUMMYFUNCTION("""COMPUTED_VALUE"""),"Актуални въпроси на приложението на информационните и комуникационните технологии в образованието по културно наследство. Социализация на културното наследство")</f>
        <v>Актуални въпроси на приложението на информационните и комуникационните технологии в образованието по културно наследство. Социализация на културното наследство</v>
      </c>
      <c r="D7257" s="10">
        <f ca="1">IFERROR(__xludf.DUMMYFUNCTION("""COMPUTED_VALUE"""),2017)</f>
        <v>2017</v>
      </c>
      <c r="E7257" s="10" t="str">
        <f ca="1">IFERROR(__xludf.DUMMYFUNCTION("""COMPUTED_VALUE"""),"София : За буквите – О’ писменехь, София, 2917, 110 с. ISBN 978-619-185-273-4")</f>
        <v>София : За буквите – О’ писменехь, София, 2917, 110 с. ISBN 978-619-185-273-4</v>
      </c>
      <c r="F7257" s="10" t="str">
        <f ca="1">IFERROR(__xludf.DUMMYFUNCTION("""COMPUTED_VALUE"""),"Национален регистър на издаваните книги в България")</f>
        <v>Национален регистър на издаваните книги в България</v>
      </c>
      <c r="G7257" s="10"/>
      <c r="H7257" s="10"/>
      <c r="I7257" s="10"/>
      <c r="J7257" s="10"/>
      <c r="K7257" s="10"/>
      <c r="L7257" s="10"/>
      <c r="M7257" s="10"/>
      <c r="N7257" s="10"/>
      <c r="O7257" s="10"/>
      <c r="P7257" s="10"/>
      <c r="Q7257" s="10"/>
      <c r="R7257" s="10"/>
      <c r="S7257" s="10"/>
      <c r="T7257" s="10"/>
      <c r="U7257" s="10"/>
      <c r="V7257" s="10"/>
      <c r="W7257" s="10"/>
      <c r="X7257" s="10"/>
      <c r="Y7257" s="10"/>
      <c r="Z7257" s="10"/>
    </row>
    <row r="7258" spans="1:26" ht="12.75">
      <c r="A7258" s="10" t="str">
        <f ca="1">IFERROR(__xludf.DUMMYFUNCTION("""COMPUTED_VALUE"""),"Стоян Георгиев Денчев")</f>
        <v>Стоян Георгиев Денчев</v>
      </c>
      <c r="B7258" s="10" t="str">
        <f ca="1">IFERROR(__xludf.DUMMYFUNCTION("""COMPUTED_VALUE"""),"Монография")</f>
        <v>Монография</v>
      </c>
      <c r="C7258" s="10" t="str">
        <f ca="1">IFERROR(__xludf.DUMMYFUNCTION("""COMPUTED_VALUE"""),"Образовательная информационная среда")</f>
        <v>Образовательная информационная среда</v>
      </c>
      <c r="D7258" s="10">
        <f ca="1">IFERROR(__xludf.DUMMYFUNCTION("""COMPUTED_VALUE"""),2016)</f>
        <v>2016</v>
      </c>
      <c r="E7258" s="10" t="str">
        <f ca="1">IFERROR(__xludf.DUMMYFUNCTION("""COMPUTED_VALUE"""),"„Логос“, Москва, 2016, 232 с. ISBN 978-5-98704-845-0")</f>
        <v>„Логос“, Москва, 2016, 232 с. ISBN 978-5-98704-845-0</v>
      </c>
      <c r="F7258" s="10" t="str">
        <f ca="1">IFERROR(__xludf.DUMMYFUNCTION("""COMPUTED_VALUE"""),"РИНЦ
 Научная электронная библиотека-eLIBRARY.RU,")</f>
        <v>РИНЦ
 Научная электронная библиотека-eLIBRARY.RU,</v>
      </c>
      <c r="G7258" s="10"/>
      <c r="H7258" s="10"/>
      <c r="I7258" s="10"/>
      <c r="J7258" s="10"/>
      <c r="K7258" s="10"/>
      <c r="L7258" s="10"/>
      <c r="M7258" s="10"/>
      <c r="N7258" s="10"/>
      <c r="O7258" s="10"/>
      <c r="P7258" s="10"/>
      <c r="Q7258" s="10"/>
      <c r="R7258" s="10"/>
      <c r="S7258" s="10"/>
      <c r="T7258" s="10"/>
      <c r="U7258" s="10"/>
      <c r="V7258" s="10"/>
      <c r="W7258" s="10"/>
      <c r="X7258" s="10"/>
      <c r="Y7258" s="10"/>
      <c r="Z7258" s="10"/>
    </row>
    <row r="7259" spans="1:26" ht="12.75">
      <c r="A7259" s="10" t="str">
        <f ca="1">IFERROR(__xludf.DUMMYFUNCTION("""COMPUTED_VALUE"""),"Стоян Георгиев Денчев")</f>
        <v>Стоян Георгиев Денчев</v>
      </c>
      <c r="B7259" s="10" t="str">
        <f ca="1">IFERROR(__xludf.DUMMYFUNCTION("""COMPUTED_VALUE"""),"Доклад от конференция")</f>
        <v>Доклад от конференция</v>
      </c>
      <c r="C7259" s="10" t="str">
        <f ca="1">IFERROR(__xludf.DUMMYFUNCTION("""COMPUTED_VALUE"""),"Intellectual Property Awareness of SULSIT Students: Survey: Results and Curricula Reflection")</f>
        <v>Intellectual Property Awareness of SULSIT Students: Survey: Results and Curricula Reflection</v>
      </c>
      <c r="D7259" s="10">
        <f ca="1">IFERROR(__xludf.DUMMYFUNCTION("""COMPUTED_VALUE"""),2016)</f>
        <v>2016</v>
      </c>
      <c r="E7259" s="10" t="str">
        <f ca="1">IFERROR(__xludf.DUMMYFUNCTION("""COMPUTED_VALUE"""),"e-Society:Proceedings of the14th International Conference, 9-11 Apr. 2016, Vilamoura, Algarve, Portugal. p. 79-86. ISBN 978-989-8533-48-7.")</f>
        <v>e-Society:Proceedings of the14th International Conference, 9-11 Apr. 2016, Vilamoura, Algarve, Portugal. p. 79-86. ISBN 978-989-8533-48-7.</v>
      </c>
      <c r="F7259" s="10"/>
      <c r="G7259" s="10" t="str">
        <f ca="1">IFERROR(__xludf.DUMMYFUNCTION("""COMPUTED_VALUE"""),"T. Trencheva")</f>
        <v>T. Trencheva</v>
      </c>
      <c r="H7259" s="10"/>
      <c r="I7259" s="10"/>
      <c r="J7259" s="10"/>
      <c r="K7259" s="10"/>
      <c r="L7259" s="10"/>
      <c r="M7259" s="10"/>
      <c r="N7259" s="10"/>
      <c r="O7259" s="10"/>
      <c r="P7259" s="10"/>
      <c r="Q7259" s="10"/>
      <c r="R7259" s="10"/>
      <c r="S7259" s="10"/>
      <c r="T7259" s="10"/>
      <c r="U7259" s="10"/>
      <c r="V7259" s="10"/>
      <c r="W7259" s="10"/>
      <c r="X7259" s="10"/>
      <c r="Y7259" s="10"/>
      <c r="Z7259" s="10"/>
    </row>
    <row r="7260" spans="1:26" ht="12.75">
      <c r="A7260" s="10" t="str">
        <f ca="1">IFERROR(__xludf.DUMMYFUNCTION("""COMPUTED_VALUE"""),"Стоян Георгиев Денчев")</f>
        <v>Стоян Георгиев Денчев</v>
      </c>
      <c r="B7260" s="10" t="str">
        <f ca="1">IFERROR(__xludf.DUMMYFUNCTION("""COMPUTED_VALUE"""),"Статия в списания и поредици")</f>
        <v>Статия в списания и поредици</v>
      </c>
      <c r="C7260" s="10" t="str">
        <f ca="1">IFERROR(__xludf.DUMMYFUNCTION("""COMPUTED_VALUE"""),"Читалищата са моята религия")</f>
        <v>Читалищата са моята религия</v>
      </c>
      <c r="D7260" s="10">
        <f ca="1">IFERROR(__xludf.DUMMYFUNCTION("""COMPUTED_VALUE"""),2016)</f>
        <v>2016</v>
      </c>
      <c r="E7260" s="10" t="str">
        <f ca="1">IFERROR(__xludf.DUMMYFUNCTION("""COMPUTED_VALUE"""),"160 години общонародно читалищно дело: сборник. София: WINI 1837, 2016, с. 21-22. ISBN 978-954-9437-69-0.")</f>
        <v>160 години общонародно читалищно дело: сборник. София: WINI 1837, 2016, с. 21-22. ISBN 978-954-9437-69-0.</v>
      </c>
      <c r="F7260" s="10"/>
      <c r="G7260" s="10"/>
      <c r="H7260" s="10"/>
      <c r="I7260" s="10"/>
      <c r="J7260" s="10"/>
      <c r="K7260" s="10"/>
      <c r="L7260" s="10"/>
      <c r="M7260" s="10"/>
      <c r="N7260" s="10"/>
      <c r="O7260" s="10"/>
      <c r="P7260" s="10"/>
      <c r="Q7260" s="10"/>
      <c r="R7260" s="10"/>
      <c r="S7260" s="10"/>
      <c r="T7260" s="10"/>
      <c r="U7260" s="10"/>
      <c r="V7260" s="10"/>
      <c r="W7260" s="10"/>
      <c r="X7260" s="10"/>
      <c r="Y7260" s="10"/>
      <c r="Z7260" s="10"/>
    </row>
    <row r="7261" spans="1:26" ht="12.75">
      <c r="A7261" s="10" t="str">
        <f ca="1">IFERROR(__xludf.DUMMYFUNCTION("""COMPUTED_VALUE"""),"Стоян Георгиев Денчев")</f>
        <v>Стоян Георгиев Денчев</v>
      </c>
      <c r="B7261" s="10" t="str">
        <f ca="1">IFERROR(__xludf.DUMMYFUNCTION("""COMPUTED_VALUE"""),"Статия в списания и поредици")</f>
        <v>Статия в списания и поредици</v>
      </c>
      <c r="C7261" s="10" t="str">
        <f ca="1">IFERROR(__xludf.DUMMYFUNCTION("""COMPUTED_VALUE"""),"Характерни аспекти на обучението по информационни технологии във висшите училища")</f>
        <v>Характерни аспекти на обучението по информационни технологии във висшите училища</v>
      </c>
      <c r="D7261" s="10">
        <f ca="1">IFERROR(__xludf.DUMMYFUNCTION("""COMPUTED_VALUE"""),2016)</f>
        <v>2016</v>
      </c>
      <c r="E7261" s="10" t="str">
        <f ca="1">IFERROR(__xludf.DUMMYFUNCTION("""COMPUTED_VALUE"""),"Мултикултурният човек: сборник в чест на проф. д.и.н. Камен Гаренов (отец Петър Гарена). Т. 2, Богословие, църковна история и християнско изкуство ; Общество, образование и култура. София: ИК Гутенберг, 2016, с. 676-686. ISBN 978-619-176-080-0.")</f>
        <v>Мултикултурният човек: сборник в чест на проф. д.и.н. Камен Гаренов (отец Петър Гарена). Т. 2, Богословие, църковна история и християнско изкуство ; Общество, образование и култура. София: ИК Гутенберг, 2016, с. 676-686. ISBN 978-619-176-080-0.</v>
      </c>
      <c r="F7261" s="10"/>
      <c r="G7261" s="10"/>
      <c r="H7261" s="10"/>
      <c r="I7261" s="10"/>
      <c r="J7261" s="10"/>
      <c r="K7261" s="10"/>
      <c r="L7261" s="10"/>
      <c r="M7261" s="10"/>
      <c r="N7261" s="10"/>
      <c r="O7261" s="10"/>
      <c r="P7261" s="10"/>
      <c r="Q7261" s="10"/>
      <c r="R7261" s="10"/>
      <c r="S7261" s="10"/>
      <c r="T7261" s="10"/>
      <c r="U7261" s="10"/>
      <c r="V7261" s="10"/>
      <c r="W7261" s="10"/>
      <c r="X7261" s="10"/>
      <c r="Y7261" s="10"/>
      <c r="Z7261" s="10"/>
    </row>
    <row r="7262" spans="1:26" ht="12.75">
      <c r="A7262" s="10" t="str">
        <f ca="1">IFERROR(__xludf.DUMMYFUNCTION("""COMPUTED_VALUE"""),"Стоян Георгиев Денчев")</f>
        <v>Стоян Георгиев Денчев</v>
      </c>
      <c r="B7262" s="10" t="str">
        <f ca="1">IFERROR(__xludf.DUMMYFUNCTION("""COMPUTED_VALUE"""),"Доклад от конференция")</f>
        <v>Доклад от конференция</v>
      </c>
      <c r="C7262" s="10" t="str">
        <f ca="1">IFERROR(__xludf.DUMMYFUNCTION("""COMPUTED_VALUE"""),"Тайната информация и липсата ѝ в Интернет")</f>
        <v>Тайната информация и липсата ѝ в Интернет</v>
      </c>
      <c r="D7262" s="10">
        <f ca="1">IFERROR(__xludf.DUMMYFUNCTION("""COMPUTED_VALUE"""),2016)</f>
        <v>2016</v>
      </c>
      <c r="E7262" s="10" t="str">
        <f ca="1">IFERROR(__xludf.DUMMYFUNCTION("""COMPUTED_VALUE"""),"Интернет либерализация - предизвикателства и добри практики пред интелектуалната собственост = Internet liberalization - intellectual property challenges and best practices: сборник с доклади от четвърти национален научен семинар, 26-27 апр. 2016 г. София"&amp;": За буквите - О писменехь, 2016, с. 375-386. ISBN 978-619-185-231-4.")</f>
        <v>Интернет либерализация - предизвикателства и добри практики пред интелектуалната собственост = Internet liberalization - intellectual property challenges and best practices: сборник с доклади от четвърти национален научен семинар, 26-27 апр. 2016 г. София: За буквите - О писменехь, 2016, с. 375-386. ISBN 978-619-185-231-4.</v>
      </c>
      <c r="F7262" s="10"/>
      <c r="G7262" s="10"/>
      <c r="H7262" s="10"/>
      <c r="I7262" s="10"/>
      <c r="J7262" s="10"/>
      <c r="K7262" s="10"/>
      <c r="L7262" s="10"/>
      <c r="M7262" s="10"/>
      <c r="N7262" s="10"/>
      <c r="O7262" s="10"/>
      <c r="P7262" s="10"/>
      <c r="Q7262" s="10"/>
      <c r="R7262" s="10"/>
      <c r="S7262" s="10"/>
      <c r="T7262" s="10"/>
      <c r="U7262" s="10"/>
      <c r="V7262" s="10"/>
      <c r="W7262" s="10"/>
      <c r="X7262" s="10"/>
      <c r="Y7262" s="10"/>
      <c r="Z7262" s="10"/>
    </row>
    <row r="7263" spans="1:26" ht="12.75">
      <c r="A7263" s="10" t="str">
        <f ca="1">IFERROR(__xludf.DUMMYFUNCTION("""COMPUTED_VALUE"""),"Стоян Георгиев Денчев")</f>
        <v>Стоян Георгиев Денчев</v>
      </c>
      <c r="B7263" s="10" t="str">
        <f ca="1">IFERROR(__xludf.DUMMYFUNCTION("""COMPUTED_VALUE"""),"Доклад от конференция")</f>
        <v>Доклад от конференция</v>
      </c>
      <c r="C7263" s="10" t="str">
        <f ca="1">IFERROR(__xludf.DUMMYFUNCTION("""COMPUTED_VALUE"""),"Современные университетские формы организации образовательного процесса при обучении аспирантов")</f>
        <v>Современные университетские формы организации образовательного процесса при обучении аспирантов</v>
      </c>
      <c r="D7263" s="10">
        <f ca="1">IFERROR(__xludf.DUMMYFUNCTION("""COMPUTED_VALUE"""),2016)</f>
        <v>2016</v>
      </c>
      <c r="E7263" s="10" t="str">
        <f ca="1">IFERROR(__xludf.DUMMYFUNCTION("""COMPUTED_VALUE"""),"Академическая наука - проблемы и достижения:материалы VIII международной научно-практической конференции, 15-16 февр. 2016 г., с. 69-78.")</f>
        <v>Академическая наука - проблемы и достижения:материалы VIII международной научно-практической конференции, 15-16 февр. 2016 г., с. 69-78.</v>
      </c>
      <c r="F7263" s="10"/>
      <c r="G7263" s="10" t="str">
        <f ca="1">IFERROR(__xludf.DUMMYFUNCTION("""COMPUTED_VALUE"""),"Ц. Варадинова, Д. Стоянова")</f>
        <v>Ц. Варадинова, Д. Стоянова</v>
      </c>
      <c r="H7263" s="10"/>
      <c r="I7263" s="10"/>
      <c r="J7263" s="10"/>
      <c r="K7263" s="10"/>
      <c r="L7263" s="10"/>
      <c r="M7263" s="10"/>
      <c r="N7263" s="10"/>
      <c r="O7263" s="10"/>
      <c r="P7263" s="10"/>
      <c r="Q7263" s="10"/>
      <c r="R7263" s="10"/>
      <c r="S7263" s="10"/>
      <c r="T7263" s="10"/>
      <c r="U7263" s="10"/>
      <c r="V7263" s="10"/>
      <c r="W7263" s="10"/>
      <c r="X7263" s="10"/>
      <c r="Y7263" s="10"/>
      <c r="Z7263" s="10"/>
    </row>
    <row r="7264" spans="1:26" ht="12.75">
      <c r="A7264" s="10" t="str">
        <f ca="1">IFERROR(__xludf.DUMMYFUNCTION("""COMPUTED_VALUE"""),"Стоян Георгиев Денчев")</f>
        <v>Стоян Георгиев Денчев</v>
      </c>
      <c r="B7264" s="10" t="str">
        <f ca="1">IFERROR(__xludf.DUMMYFUNCTION("""COMPUTED_VALUE"""),"Доклад от конференция")</f>
        <v>Доклад от конференция</v>
      </c>
      <c r="C7264" s="10" t="str">
        <f ca="1">IFERROR(__xludf.DUMMYFUNCTION("""COMPUTED_VALUE"""),"Интелигентно обработване на данни - проблеми и перспективи.")</f>
        <v>Интелигентно обработване на данни - проблеми и перспективи.</v>
      </c>
      <c r="D7264" s="10">
        <f ca="1">IFERROR(__xludf.DUMMYFUNCTION("""COMPUTED_VALUE"""),2016)</f>
        <v>2016</v>
      </c>
      <c r="E7264" s="10" t="str">
        <f ca="1">IFERROR(__xludf.DUMMYFUNCTION("""COMPUTED_VALUE"""),"Обществото на знанието и хуманизмът на XXI век: тринадесета национална научна конференция с международно участие, 1 ноем. 2015 г., София. София, 2016, с. 56-63. ISSN 1314-7099.")</f>
        <v>Обществото на знанието и хуманизмът на XXI век: тринадесета национална научна конференция с международно участие, 1 ноем. 2015 г., София. София, 2016, с. 56-63. ISSN 1314-7099.</v>
      </c>
      <c r="F7264" s="10"/>
      <c r="G7264" s="10" t="str">
        <f ca="1">IFERROR(__xludf.DUMMYFUNCTION("""COMPUTED_VALUE"""),"В. Йоцов")</f>
        <v>В. Йоцов</v>
      </c>
      <c r="H7264" s="10"/>
      <c r="I7264" s="10"/>
      <c r="J7264" s="10"/>
      <c r="K7264" s="10"/>
      <c r="L7264" s="10"/>
      <c r="M7264" s="10"/>
      <c r="N7264" s="10"/>
      <c r="O7264" s="10"/>
      <c r="P7264" s="10"/>
      <c r="Q7264" s="10"/>
      <c r="R7264" s="10"/>
      <c r="S7264" s="10"/>
      <c r="T7264" s="10"/>
      <c r="U7264" s="10"/>
      <c r="V7264" s="10"/>
      <c r="W7264" s="10"/>
      <c r="X7264" s="10"/>
      <c r="Y7264" s="10"/>
      <c r="Z7264" s="10"/>
    </row>
    <row r="7265" spans="1:26" ht="12.75">
      <c r="A7265" s="10" t="str">
        <f ca="1">IFERROR(__xludf.DUMMYFUNCTION("""COMPUTED_VALUE"""),"Стоян Георгиев Денчев")</f>
        <v>Стоян Георгиев Денчев</v>
      </c>
      <c r="B7265" s="10" t="str">
        <f ca="1">IFERROR(__xludf.DUMMYFUNCTION("""COMPUTED_VALUE"""),"Доклад от конференция")</f>
        <v>Доклад от конференция</v>
      </c>
      <c r="C7265" s="10" t="str">
        <f ca="1">IFERROR(__xludf.DUMMYFUNCTION("""COMPUTED_VALUE"""),"The Role of Library Laboratory (LibLab) as an Innovative Project for Science Educatoin in University Information Environment")</f>
        <v>The Role of Library Laboratory (LibLab) as an Innovative Project for Science Educatoin in University Information Environment</v>
      </c>
      <c r="D7265" s="10">
        <f ca="1">IFERROR(__xludf.DUMMYFUNCTION("""COMPUTED_VALUE"""),2016)</f>
        <v>2016</v>
      </c>
      <c r="E7265" s="10" t="str">
        <f ca="1">IFERROR(__xludf.DUMMYFUNCTION("""COMPUTED_VALUE"""),"New Perspectives in Science Education: Conference Proceedings, 17-18 March 2016, Florence, Italy. p. 510-514. ISBN 978-88-6292-705-5.")</f>
        <v>New Perspectives in Science Education: Conference Proceedings, 17-18 March 2016, Florence, Italy. p. 510-514. ISBN 978-88-6292-705-5.</v>
      </c>
      <c r="F7265" s="10"/>
      <c r="G7265" s="10" t="str">
        <f ca="1">IFERROR(__xludf.DUMMYFUNCTION("""COMPUTED_VALUE"""),"I. Peteva, K. Aleksandrova")</f>
        <v>I. Peteva, K. Aleksandrova</v>
      </c>
      <c r="H7265" s="10"/>
      <c r="I7265" s="10"/>
      <c r="J7265" s="10"/>
      <c r="K7265" s="10"/>
      <c r="L7265" s="10"/>
      <c r="M7265" s="10"/>
      <c r="N7265" s="10"/>
      <c r="O7265" s="10"/>
      <c r="P7265" s="10"/>
      <c r="Q7265" s="10"/>
      <c r="R7265" s="10"/>
      <c r="S7265" s="10"/>
      <c r="T7265" s="10"/>
      <c r="U7265" s="10"/>
      <c r="V7265" s="10"/>
      <c r="W7265" s="10"/>
      <c r="X7265" s="10"/>
      <c r="Y7265" s="10"/>
      <c r="Z7265" s="10"/>
    </row>
    <row r="7266" spans="1:26" ht="12.75">
      <c r="A7266" s="10" t="str">
        <f ca="1">IFERROR(__xludf.DUMMYFUNCTION("""COMPUTED_VALUE"""),"Стоян Георгиев Денчев")</f>
        <v>Стоян Георгиев Денчев</v>
      </c>
      <c r="B7266" s="10" t="str">
        <f ca="1">IFERROR(__xludf.DUMMYFUNCTION("""COMPUTED_VALUE"""),"Доклад от конференция")</f>
        <v>Доклад от конференция</v>
      </c>
      <c r="C7266" s="10" t="str">
        <f ca="1">IFERROR(__xludf.DUMMYFUNCTION("""COMPUTED_VALUE"""),"Към проблема за синтактиката на трансформационните процеси в съвременния български език – хипотаксични, паратаксични и интермодални модели")</f>
        <v>Към проблема за синтактиката на трансформационните процеси в съвременния български език – хипотаксични, паратаксични и интермодални модели</v>
      </c>
      <c r="D7266" s="10">
        <f ca="1">IFERROR(__xludf.DUMMYFUNCTION("""COMPUTED_VALUE"""),2016)</f>
        <v>2016</v>
      </c>
      <c r="E7266" s="10" t="str">
        <f ca="1">IFERROR(__xludf.DUMMYFUNCTION("""COMPUTED_VALUE"""),"Обществото на знанието и хуманизмът на ХХІ век (София). – ISSN 1314-7099. – 2016, с. 79-106 : с табл.")</f>
        <v>Обществото на знанието и хуманизмът на ХХІ век (София). – ISSN 1314-7099. – 2016, с. 79-106 : с табл.</v>
      </c>
      <c r="F7266" s="10" t="str">
        <f ca="1">IFERROR(__xludf.DUMMYFUNCTION("""COMPUTED_VALUE"""),"Публ. &lt;http://www.unibit.bg&gt;")</f>
        <v>Публ. &lt;http://www.unibit.bg&gt;</v>
      </c>
      <c r="G7266" s="10" t="str">
        <f ca="1">IFERROR(__xludf.DUMMYFUNCTION("""COMPUTED_VALUE"""),"А. Куманова, Н. Василев")</f>
        <v>А. Куманова, Н. Василев</v>
      </c>
      <c r="H7266" s="10"/>
      <c r="I7266" s="10"/>
      <c r="J7266" s="10"/>
      <c r="K7266" s="10"/>
      <c r="L7266" s="10"/>
      <c r="M7266" s="10"/>
      <c r="N7266" s="10"/>
      <c r="O7266" s="10"/>
      <c r="P7266" s="10"/>
      <c r="Q7266" s="10"/>
      <c r="R7266" s="10"/>
      <c r="S7266" s="10"/>
      <c r="T7266" s="10"/>
      <c r="U7266" s="10"/>
      <c r="V7266" s="10"/>
      <c r="W7266" s="10"/>
      <c r="X7266" s="10"/>
      <c r="Y7266" s="10"/>
      <c r="Z7266" s="10"/>
    </row>
    <row r="7267" spans="1:26" ht="12.75">
      <c r="A7267" s="10" t="str">
        <f ca="1">IFERROR(__xludf.DUMMYFUNCTION("""COMPUTED_VALUE"""),"Стоян Георгиев Денчев")</f>
        <v>Стоян Георгиев Денчев</v>
      </c>
      <c r="B7267" s="10" t="str">
        <f ca="1">IFERROR(__xludf.DUMMYFUNCTION("""COMPUTED_VALUE"""),"Статия в списания и поредици")</f>
        <v>Статия в списания и поредици</v>
      </c>
      <c r="C7267" s="10" t="str">
        <f ca="1">IFERROR(__xludf.DUMMYFUNCTION("""COMPUTED_VALUE"""),"Some projection on political leadership in context of neoliberalism")</f>
        <v>Some projection on political leadership in context of neoliberalism</v>
      </c>
      <c r="D7267" s="10">
        <f ca="1">IFERROR(__xludf.DUMMYFUNCTION("""COMPUTED_VALUE"""),2016)</f>
        <v>2016</v>
      </c>
      <c r="E7267" s="10" t="str">
        <f ca="1">IFERROR(__xludf.DUMMYFUNCTION("""COMPUTED_VALUE"""),"International Journal of Physical &amp; Social Sciences, Online ISSN: 22496-5894, volume 6, Issue 5")</f>
        <v>International Journal of Physical &amp; Social Sciences, Online ISSN: 22496-5894, volume 6, Issue 5</v>
      </c>
      <c r="F7267" s="10" t="str">
        <f ca="1">IFERROR(__xludf.DUMMYFUNCTION("""COMPUTED_VALUE"""),"ICI,
 Global Publication Pvt. Ltd.
 A pan-global web exposure")</f>
        <v>ICI,
 Global Publication Pvt. Ltd.
 A pan-global web exposure</v>
      </c>
      <c r="G7267" s="10" t="str">
        <f ca="1">IFERROR(__xludf.DUMMYFUNCTION("""COMPUTED_VALUE"""),"N. Palashev")</f>
        <v>N. Palashev</v>
      </c>
      <c r="H7267" s="10"/>
      <c r="I7267" s="10"/>
      <c r="J7267" s="10"/>
      <c r="K7267" s="10"/>
      <c r="L7267" s="10"/>
      <c r="M7267" s="10"/>
      <c r="N7267" s="10"/>
      <c r="O7267" s="10"/>
      <c r="P7267" s="10"/>
      <c r="Q7267" s="10"/>
      <c r="R7267" s="10"/>
      <c r="S7267" s="10"/>
      <c r="T7267" s="10"/>
      <c r="U7267" s="10"/>
      <c r="V7267" s="10"/>
      <c r="W7267" s="10"/>
      <c r="X7267" s="10"/>
      <c r="Y7267" s="10"/>
      <c r="Z7267" s="10"/>
    </row>
    <row r="7268" spans="1:26" ht="12.75">
      <c r="A7268" s="10" t="str">
        <f ca="1">IFERROR(__xludf.DUMMYFUNCTION("""COMPUTED_VALUE"""),"Стоян Георгиев Денчев")</f>
        <v>Стоян Георгиев Денчев</v>
      </c>
      <c r="B7268" s="10" t="str">
        <f ca="1">IFERROR(__xludf.DUMMYFUNCTION("""COMPUTED_VALUE"""),"Статия в списания и поредици")</f>
        <v>Статия в списания и поредици</v>
      </c>
      <c r="C7268" s="10" t="str">
        <f ca="1">IFERROR(__xludf.DUMMYFUNCTION("""COMPUTED_VALUE"""),"Цветные революции: Кто смешивает краски и кто художник ?")</f>
        <v>Цветные революции: Кто смешивает краски и кто художник ?</v>
      </c>
      <c r="D7268" s="10">
        <f ca="1">IFERROR(__xludf.DUMMYFUNCTION("""COMPUTED_VALUE"""),2016)</f>
        <v>2016</v>
      </c>
      <c r="E7268" s="10" t="str">
        <f ca="1">IFERROR(__xludf.DUMMYFUNCTION("""COMPUTED_VALUE"""),"Геополитический журнал, № 2 (14), Июнь, ISSN печатной версии - 2410-6771, Рецензируемый,")</f>
        <v>Геополитический журнал, № 2 (14), Июнь, ISSN печатной версии - 2410-6771, Рецензируемый,</v>
      </c>
      <c r="F7268" s="10" t="str">
        <f ca="1">IFERROR(__xludf.DUMMYFUNCTION("""COMPUTED_VALUE"""),"Научная электронная библиотека-eLIBRARY.RU, 
 РИНЦ")</f>
        <v>Научная электронная библиотека-eLIBRARY.RU, 
 РИНЦ</v>
      </c>
      <c r="G7268" s="10" t="str">
        <f ca="1">IFERROR(__xludf.DUMMYFUNCTION("""COMPUTED_VALUE"""),"М. Павлова")</f>
        <v>М. Павлова</v>
      </c>
      <c r="H7268" s="10"/>
      <c r="I7268" s="10"/>
      <c r="J7268" s="10"/>
      <c r="K7268" s="10"/>
      <c r="L7268" s="10"/>
      <c r="M7268" s="10"/>
      <c r="N7268" s="10"/>
      <c r="O7268" s="10"/>
      <c r="P7268" s="10"/>
      <c r="Q7268" s="10"/>
      <c r="R7268" s="10"/>
      <c r="S7268" s="10"/>
      <c r="T7268" s="10"/>
      <c r="U7268" s="10"/>
      <c r="V7268" s="10"/>
      <c r="W7268" s="10"/>
      <c r="X7268" s="10"/>
      <c r="Y7268" s="10"/>
      <c r="Z7268" s="10"/>
    </row>
    <row r="7269" spans="1:26" ht="12.75">
      <c r="A7269" s="10" t="str">
        <f ca="1">IFERROR(__xludf.DUMMYFUNCTION("""COMPUTED_VALUE"""),"Стоян Георгиев Денчев")</f>
        <v>Стоян Георгиев Денчев</v>
      </c>
      <c r="B7269" s="10" t="str">
        <f ca="1">IFERROR(__xludf.DUMMYFUNCTION("""COMPUTED_VALUE"""),"Доклад от конференция")</f>
        <v>Доклад от конференция</v>
      </c>
      <c r="C7269" s="10" t="str">
        <f ca="1">IFERROR(__xludf.DUMMYFUNCTION("""COMPUTED_VALUE"""),"Intellectual Property Awareness of SULSIT Students: Survey Results and Curricula Reflection")</f>
        <v>Intellectual Property Awareness of SULSIT Students: Survey Results and Curricula Reflection</v>
      </c>
      <c r="D7269" s="10">
        <f ca="1">IFERROR(__xludf.DUMMYFUNCTION("""COMPUTED_VALUE"""),2016)</f>
        <v>2016</v>
      </c>
      <c r="E7269" s="10" t="str">
        <f ca="1">IFERROR(__xludf.DUMMYFUNCTION("""COMPUTED_VALUE"""),"Proceedings of the 14th International Conference on e-Society 2016 Vilamoura, Algarve, Portugal ISBN: 978-989-8533-48-7")</f>
        <v>Proceedings of the 14th International Conference on e-Society 2016 Vilamoura, Algarve, Portugal ISBN: 978-989-8533-48-7</v>
      </c>
      <c r="F7269" s="10"/>
      <c r="G7269" s="10" t="str">
        <f ca="1">IFERROR(__xludf.DUMMYFUNCTION("""COMPUTED_VALUE"""),"Тереза Тренчева")</f>
        <v>Тереза Тренчева</v>
      </c>
      <c r="H7269" s="10"/>
      <c r="I7269" s="10"/>
      <c r="J7269" s="10"/>
      <c r="K7269" s="10"/>
      <c r="L7269" s="10"/>
      <c r="M7269" s="10"/>
      <c r="N7269" s="10"/>
      <c r="O7269" s="10"/>
      <c r="P7269" s="10"/>
      <c r="Q7269" s="10"/>
      <c r="R7269" s="10"/>
      <c r="S7269" s="10"/>
      <c r="T7269" s="10"/>
      <c r="U7269" s="10"/>
      <c r="V7269" s="10"/>
      <c r="W7269" s="10"/>
      <c r="X7269" s="10"/>
      <c r="Y7269" s="10"/>
      <c r="Z7269" s="10"/>
    </row>
    <row r="7270" spans="1:26" ht="12.75">
      <c r="A7270" s="10" t="str">
        <f ca="1">IFERROR(__xludf.DUMMYFUNCTION("""COMPUTED_VALUE"""),"Стоян Георгиев Денчев")</f>
        <v>Стоян Георгиев Денчев</v>
      </c>
      <c r="B7270" s="10" t="str">
        <f ca="1">IFERROR(__xludf.DUMMYFUNCTION("""COMPUTED_VALUE"""),"Доклад от конференция")</f>
        <v>Доклад от конференция</v>
      </c>
      <c r="C7270" s="10" t="str">
        <f ca="1">IFERROR(__xludf.DUMMYFUNCTION("""COMPUTED_VALUE"""),"An Innovative Method for Knowledge Diffusion – Powerful Instrument for Enhancing Students’ Motivation/ International Conference “New Perspectives in Science Education”, 2016, Florence, Italy")</f>
        <v>An Innovative Method for Knowledge Diffusion – Powerful Instrument for Enhancing Students’ Motivation/ International Conference “New Perspectives in Science Education”, 2016, Florence, Italy</v>
      </c>
      <c r="D7270" s="10">
        <f ca="1">IFERROR(__xludf.DUMMYFUNCTION("""COMPUTED_VALUE"""),2016)</f>
        <v>2016</v>
      </c>
      <c r="E7270" s="10" t="str">
        <f ca="1">IFERROR(__xludf.DUMMYFUNCTION("""COMPUTED_VALUE"""),"International Conference “New Perspectives in Science Education”,2016,Florence, Italy")</f>
        <v>International Conference “New Perspectives in Science Education”,2016,Florence, Italy</v>
      </c>
      <c r="F7270" s="10"/>
      <c r="G7270" s="10" t="str">
        <f ca="1">IFERROR(__xludf.DUMMYFUNCTION("""COMPUTED_VALUE"""),"Ирена Петева, Диана Стоянова")</f>
        <v>Ирена Петева, Диана Стоянова</v>
      </c>
      <c r="H7270" s="10"/>
      <c r="I7270" s="10"/>
      <c r="J7270" s="10"/>
      <c r="K7270" s="10"/>
      <c r="L7270" s="10"/>
      <c r="M7270" s="10"/>
      <c r="N7270" s="10"/>
      <c r="O7270" s="10"/>
      <c r="P7270" s="10"/>
      <c r="Q7270" s="10"/>
      <c r="R7270" s="10"/>
      <c r="S7270" s="10"/>
      <c r="T7270" s="10"/>
      <c r="U7270" s="10"/>
      <c r="V7270" s="10"/>
      <c r="W7270" s="10"/>
      <c r="X7270" s="10"/>
      <c r="Y7270" s="10"/>
      <c r="Z7270" s="10"/>
    </row>
    <row r="7271" spans="1:26" ht="12.75">
      <c r="A7271" s="10" t="str">
        <f ca="1">IFERROR(__xludf.DUMMYFUNCTION("""COMPUTED_VALUE"""),"Стоян Георгиев Денчев")</f>
        <v>Стоян Георгиев Денчев</v>
      </c>
      <c r="B7271" s="10" t="str">
        <f ca="1">IFERROR(__xludf.DUMMYFUNCTION("""COMPUTED_VALUE"""),"Статия в списания и поредици")</f>
        <v>Статия в списания и поредици</v>
      </c>
      <c r="C7271" s="10" t="str">
        <f ca="1">IFERROR(__xludf.DUMMYFUNCTION("""COMPUTED_VALUE"""),"Изучаването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(S"&amp;"haykh al-Akbar; Doctor Maximus)")</f>
        <v>Изучаването на цивилизациите : Път към истинската културна глобализация (Животворящото дърво на историко-културното развитие на човечеството) / Епиграф: „Често онзи, който следва правия път, е пристрàстен и пропуска желаната цел.” – Muhammad ibn ‘Arabī (Shaykh al-Akbar; Doctor Maximus)</v>
      </c>
      <c r="D7271" s="10">
        <f ca="1">IFERROR(__xludf.DUMMYFUNCTION("""COMPUTED_VALUE"""),2016)</f>
        <v>2016</v>
      </c>
      <c r="E7271" s="10" t="str">
        <f ca="1">IFERROR(__xludf.DUMMYFUNCTION("""COMPUTED_VALUE"""),"Издател (В. Търново). – ISSN 1310-4624. – 2016, N 2 (3-4), с. 111-121 : с ил.")</f>
        <v>Издател (В. Търново). – ISSN 1310-4624. – 2016, N 2 (3-4), с. 111-121 : с ил.</v>
      </c>
      <c r="F7271" s="10" t="str">
        <f ca="1">IFERROR(__xludf.DUMMYFUNCTION("""COMPUTED_VALUE"""),"Публ.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f>
        <v>Публ. е по научноизслед. проект „Модели за социализация на културно-историческото наследство в „интелигентен град”, който се реализира със съдействието на Фонд науч. изследвания при Министерството на образованието и науката на Р България.</v>
      </c>
      <c r="G7271" s="10" t="str">
        <f ca="1">IFERROR(__xludf.DUMMYFUNCTION("""COMPUTED_VALUE"""),"А. Куманова, Н. Казански, Н. Василев")</f>
        <v>А. Куманова, Н. Казански, Н. Василев</v>
      </c>
      <c r="H7271" s="10"/>
      <c r="I7271" s="10"/>
      <c r="J7271" s="10"/>
      <c r="K7271" s="10"/>
      <c r="L7271" s="10"/>
      <c r="M7271" s="10"/>
      <c r="N7271" s="10"/>
      <c r="O7271" s="10"/>
      <c r="P7271" s="10"/>
      <c r="Q7271" s="10"/>
      <c r="R7271" s="10"/>
      <c r="S7271" s="10"/>
      <c r="T7271" s="10"/>
      <c r="U7271" s="10"/>
      <c r="V7271" s="10"/>
      <c r="W7271" s="10"/>
      <c r="X7271" s="10"/>
      <c r="Y7271" s="10"/>
      <c r="Z7271" s="10"/>
    </row>
    <row r="7272" spans="1:26" ht="12.75">
      <c r="A7272" s="10" t="str">
        <f ca="1">IFERROR(__xludf.DUMMYFUNCTION("""COMPUTED_VALUE"""),"Стоян Георгиев Денчев")</f>
        <v>Стоян Георгиев Денчев</v>
      </c>
      <c r="B7272" s="10" t="str">
        <f ca="1">IFERROR(__xludf.DUMMYFUNCTION("""COMPUTED_VALUE"""),"Доклад от конференция")</f>
        <v>Доклад от конференция</v>
      </c>
      <c r="C7272" s="10" t="str">
        <f ca="1">IFERROR(__xludf.DUMMYFUNCTION("""COMPUTED_VALUE"""),"The Reform of Higher Education through Alternative University Teaching Models.")</f>
        <v>The Reform of Higher Education through Alternative University Teaching Models.</v>
      </c>
      <c r="D7272" s="10">
        <f ca="1">IFERROR(__xludf.DUMMYFUNCTION("""COMPUTED_VALUE"""),2016)</f>
        <v>2016</v>
      </c>
      <c r="E7272" s="10" t="str">
        <f ca="1">IFERROR(__xludf.DUMMYFUNCTION("""COMPUTED_VALUE"""),"Creative Education. 2016, 7, 302-306 Accessed 25 april 2017 Retrieved from SciRes. http://www.scirp.org/journal/ce.")</f>
        <v>Creative Education. 2016, 7, 302-306 Accessed 25 april 2017 Retrieved from SciRes. http://www.scirp.org/journal/ce.</v>
      </c>
      <c r="F7272" s="10"/>
      <c r="G7272" s="10" t="str">
        <f ca="1">IFERROR(__xludf.DUMMYFUNCTION("""COMPUTED_VALUE"""),"I. Pavlova, M. Pavlova")</f>
        <v>I. Pavlova, M. Pavlova</v>
      </c>
      <c r="H7272" s="10"/>
      <c r="I7272" s="10"/>
      <c r="J7272" s="10"/>
      <c r="K7272" s="10"/>
      <c r="L7272" s="10"/>
      <c r="M7272" s="10"/>
      <c r="N7272" s="10"/>
      <c r="O7272" s="10"/>
      <c r="P7272" s="10"/>
      <c r="Q7272" s="10"/>
      <c r="R7272" s="10"/>
      <c r="S7272" s="10"/>
      <c r="T7272" s="10"/>
      <c r="U7272" s="10"/>
      <c r="V7272" s="10"/>
      <c r="W7272" s="10"/>
      <c r="X7272" s="10"/>
      <c r="Y7272" s="10"/>
      <c r="Z7272" s="10"/>
    </row>
    <row r="7273" spans="1:26" ht="12.75">
      <c r="A7273" s="10" t="str">
        <f ca="1">IFERROR(__xludf.DUMMYFUNCTION("""COMPUTED_VALUE"""),"Стоян Георгиев Денчев")</f>
        <v>Стоян Георгиев Денчев</v>
      </c>
      <c r="B7273" s="10" t="str">
        <f ca="1">IFERROR(__xludf.DUMMYFUNCTION("""COMPUTED_VALUE"""),"Доклад от конференция")</f>
        <v>Доклад от конференция</v>
      </c>
      <c r="C7273" s="10" t="str">
        <f ca="1">IFERROR(__xludf.DUMMYFUNCTION("""COMPUTED_VALUE"""),"Информационные войны в динамичной цифровой информационной средe.")</f>
        <v>Информационные войны в динамичной цифровой информационной средe.</v>
      </c>
      <c r="D7273" s="10">
        <f ca="1">IFERROR(__xludf.DUMMYFUNCTION("""COMPUTED_VALUE"""),2016)</f>
        <v>2016</v>
      </c>
      <c r="E7273" s="10" t="str">
        <f ca="1">IFERROR(__xludf.DUMMYFUNCTION("""COMPUTED_VALUE"""),"Материалы X международной научно-практической конференции „Фундаментальные и прикладные науки сегодня“ - North Charleston, USA,2016 г..Том.1. ISBN: 978-1-54133-748-0. Стр. 70-74.")</f>
        <v>Материалы X международной научно-практической конференции „Фундаментальные и прикладные науки сегодня“ - North Charleston, USA,2016 г..Том.1. ISBN: 978-1-54133-748-0. Стр. 70-74.</v>
      </c>
      <c r="F7273" s="10" t="str">
        <f ca="1">IFERROR(__xludf.DUMMYFUNCTION("""COMPUTED_VALUE"""),"&lt;http://science-publish.ru/node/2&gt;")</f>
        <v>&lt;http://science-publish.ru/node/2&gt;</v>
      </c>
      <c r="G7273" s="10" t="str">
        <f ca="1">IFERROR(__xludf.DUMMYFUNCTION("""COMPUTED_VALUE"""),"И. Павлова")</f>
        <v>И. Павлова</v>
      </c>
      <c r="H7273" s="10"/>
      <c r="I7273" s="10"/>
      <c r="J7273" s="10"/>
      <c r="K7273" s="10"/>
      <c r="L7273" s="10"/>
      <c r="M7273" s="10"/>
      <c r="N7273" s="10"/>
      <c r="O7273" s="10"/>
      <c r="P7273" s="10"/>
      <c r="Q7273" s="10"/>
      <c r="R7273" s="10"/>
      <c r="S7273" s="10"/>
      <c r="T7273" s="10"/>
      <c r="U7273" s="10"/>
      <c r="V7273" s="10"/>
      <c r="W7273" s="10"/>
      <c r="X7273" s="10"/>
      <c r="Y7273" s="10"/>
      <c r="Z7273" s="10"/>
    </row>
    <row r="7274" spans="1:26" ht="12.75">
      <c r="A7274" s="10" t="str">
        <f ca="1">IFERROR(__xludf.DUMMYFUNCTION("""COMPUTED_VALUE"""),"Стоян Георгиев Денчев")</f>
        <v>Стоян Георгиев Денчев</v>
      </c>
      <c r="B7274" s="10" t="str">
        <f ca="1">IFERROR(__xludf.DUMMYFUNCTION("""COMPUTED_VALUE"""),"Статия в списания и поредици")</f>
        <v>Статия в списания и поредици</v>
      </c>
      <c r="C7274" s="10" t="str">
        <f ca="1">IFERROR(__xludf.DUMMYFUNCTION("""COMPUTED_VALUE"""),"Кто смешивает краски? И кто художник в цветных революциях?")</f>
        <v>Кто смешивает краски? И кто художник в цветных революциях?</v>
      </c>
      <c r="D7274" s="10">
        <f ca="1">IFERROR(__xludf.DUMMYFUNCTION("""COMPUTED_VALUE"""),2016)</f>
        <v>2016</v>
      </c>
      <c r="E7274" s="10" t="str">
        <f ca="1">IFERROR(__xludf.DUMMYFUNCTION("""COMPUTED_VALUE"""),"Стратегия России, №3, стр. 51-56. Март 2016г.")</f>
        <v>Стратегия России, №3, стр. 51-56. Март 2016г.</v>
      </c>
      <c r="F7274" s="10" t="str">
        <f ca="1">IFERROR(__xludf.DUMMYFUNCTION("""COMPUTED_VALUE"""),"РИНЦ")</f>
        <v>РИНЦ</v>
      </c>
      <c r="G7274" s="10" t="str">
        <f ca="1">IFERROR(__xludf.DUMMYFUNCTION("""COMPUTED_VALUE"""),"Мирияна Павлова")</f>
        <v>Мирияна Павлова</v>
      </c>
      <c r="H7274" s="10"/>
      <c r="I7274" s="10"/>
      <c r="J7274" s="10"/>
      <c r="K7274" s="10"/>
      <c r="L7274" s="10"/>
      <c r="M7274" s="10"/>
      <c r="N7274" s="10"/>
      <c r="O7274" s="10"/>
      <c r="P7274" s="10"/>
      <c r="Q7274" s="10"/>
      <c r="R7274" s="10"/>
      <c r="S7274" s="10"/>
      <c r="T7274" s="10"/>
      <c r="U7274" s="10"/>
      <c r="V7274" s="10"/>
      <c r="W7274" s="10"/>
      <c r="X7274" s="10"/>
      <c r="Y7274" s="10"/>
      <c r="Z7274" s="10"/>
    </row>
    <row r="7275" spans="1:26" ht="12.75">
      <c r="A7275" s="10" t="str">
        <f ca="1">IFERROR(__xludf.DUMMYFUNCTION("""COMPUTED_VALUE"""),"Стоян Георгиев Денчев")</f>
        <v>Стоян Георгиев Денчев</v>
      </c>
      <c r="B7275" s="10" t="str">
        <f ca="1">IFERROR(__xludf.DUMMYFUNCTION("""COMPUTED_VALUE"""),"Доклад от конференция")</f>
        <v>Доклад от конференция</v>
      </c>
      <c r="C7275" s="10" t="str">
        <f ca="1">IFERROR(__xludf.DUMMYFUNCTION("""COMPUTED_VALUE"""),"Славянская идентичность в условиях глобализации и информационной войны")</f>
        <v>Славянская идентичность в условиях глобализации и информационной войны</v>
      </c>
      <c r="D7275" s="10">
        <f ca="1">IFERROR(__xludf.DUMMYFUNCTION("""COMPUTED_VALUE"""),2016)</f>
        <v>2016</v>
      </c>
      <c r="E7275" s="10" t="str">
        <f ca="1">IFERROR(__xludf.DUMMYFUNCTION("""COMPUTED_VALUE"""),"Славянская культура в Европе история, настоящее и будущее: Сборник материалов Международной научно-практической онлайн-конференции. София-Москва, 2015, с. 107-110.")</f>
        <v>Славянская культура в Европе история, настоящее и будущее: Сборник материалов Международной научно-практической онлайн-конференции. София-Москва, 2015, с. 107-110.</v>
      </c>
      <c r="F7275" s="10" t="str">
        <f ca="1">IFERROR(__xludf.DUMMYFUNCTION("""COMPUTED_VALUE"""),"РИНЦ")</f>
        <v>РИНЦ</v>
      </c>
      <c r="G7275" s="10" t="str">
        <f ca="1">IFERROR(__xludf.DUMMYFUNCTION("""COMPUTED_VALUE"""),"Мирияна Павлова")</f>
        <v>Мирияна Павлова</v>
      </c>
      <c r="H7275" s="10"/>
      <c r="I7275" s="10"/>
      <c r="J7275" s="10"/>
      <c r="K7275" s="10"/>
      <c r="L7275" s="10"/>
      <c r="M7275" s="10"/>
      <c r="N7275" s="10"/>
      <c r="O7275" s="10"/>
      <c r="P7275" s="10"/>
      <c r="Q7275" s="10"/>
      <c r="R7275" s="10"/>
      <c r="S7275" s="10"/>
      <c r="T7275" s="10"/>
      <c r="U7275" s="10"/>
      <c r="V7275" s="10"/>
      <c r="W7275" s="10"/>
      <c r="X7275" s="10"/>
      <c r="Y7275" s="10"/>
      <c r="Z7275" s="10"/>
    </row>
    <row r="7276" spans="1:26" ht="12.75">
      <c r="A7276" s="10" t="str">
        <f ca="1">IFERROR(__xludf.DUMMYFUNCTION("""COMPUTED_VALUE"""),"Стоян Георгиев Денчев")</f>
        <v>Стоян Георгиев Денчев</v>
      </c>
      <c r="B7276" s="10" t="str">
        <f ca="1">IFERROR(__xludf.DUMMYFUNCTION("""COMPUTED_VALUE"""),"Статия в списания и поредици")</f>
        <v>Статия в списания и поредици</v>
      </c>
      <c r="C7276" s="10" t="str">
        <f ca="1">IFERROR(__xludf.DUMMYFUNCTION("""COMPUTED_VALUE"""),"Model for achieving the indicators for influence in scientific areas of Bulgarian academic journals")</f>
        <v>Model for achieving the indicators for influence in scientific areas of Bulgarian academic journals</v>
      </c>
      <c r="D7276" s="10">
        <f ca="1">IFERROR(__xludf.DUMMYFUNCTION("""COMPUTED_VALUE"""),2016)</f>
        <v>2016</v>
      </c>
      <c r="E7276" s="10" t="str">
        <f ca="1">IFERROR(__xludf.DUMMYFUNCTION("""COMPUTED_VALUE"""),"Qualitative &amp; Quantitative Methods in Libraries, 2016, p. 829-835. ISSN 2241-1925.")</f>
        <v>Qualitative &amp; Quantitative Methods in Libraries, 2016, p. 829-835. ISSN 2241-1925.</v>
      </c>
      <c r="F7276" s="10"/>
      <c r="G7276" s="10" t="str">
        <f ca="1">IFERROR(__xludf.DUMMYFUNCTION("""COMPUTED_VALUE"""),"I. Yankova, I. Peteva")</f>
        <v>I. Yankova, I. Peteva</v>
      </c>
      <c r="H7276" s="10"/>
      <c r="I7276" s="10"/>
      <c r="J7276" s="10"/>
      <c r="K7276" s="10"/>
      <c r="L7276" s="10"/>
      <c r="M7276" s="10"/>
      <c r="N7276" s="10"/>
      <c r="O7276" s="10"/>
      <c r="P7276" s="10"/>
      <c r="Q7276" s="10"/>
      <c r="R7276" s="10"/>
      <c r="S7276" s="10"/>
      <c r="T7276" s="10"/>
      <c r="U7276" s="10"/>
      <c r="V7276" s="10"/>
      <c r="W7276" s="10"/>
      <c r="X7276" s="10"/>
      <c r="Y7276" s="10"/>
      <c r="Z7276" s="10"/>
    </row>
    <row r="7277" spans="1:26" ht="12.75">
      <c r="A7277" s="10" t="str">
        <f ca="1">IFERROR(__xludf.DUMMYFUNCTION("""COMPUTED_VALUE"""),"Стоян Георгиев Денчев")</f>
        <v>Стоян Георгиев Денчев</v>
      </c>
      <c r="B7277" s="10" t="str">
        <f ca="1">IFERROR(__xludf.DUMMYFUNCTION("""COMPUTED_VALUE"""),"Статия в списания и поредици")</f>
        <v>Статия в списания и поредици</v>
      </c>
      <c r="C7277" s="10" t="str">
        <f ca="1">IFERROR(__xludf.DUMMYFUNCTION("""COMPUTED_VALUE"""),"Some projection on political leadership in context of neoliberalism.")</f>
        <v>Some projection on political leadership in context of neoliberalism.</v>
      </c>
      <c r="D7277" s="10">
        <f ca="1">IFERROR(__xludf.DUMMYFUNCTION("""COMPUTED_VALUE"""),2016)</f>
        <v>2016</v>
      </c>
      <c r="E7277" s="10" t="str">
        <f ca="1">IFERROR(__xludf.DUMMYFUNCTION("""COMPUTED_VALUE"""),"International Journal of Physical &amp; Social Sciences, 6, 2016, № 5. ISSN 22496-5894 (online).")</f>
        <v>International Journal of Physical &amp; Social Sciences, 6, 2016, № 5. ISSN 22496-5894 (online).</v>
      </c>
      <c r="F7277" s="10"/>
      <c r="G7277" s="10" t="str">
        <f ca="1">IFERROR(__xludf.DUMMYFUNCTION("""COMPUTED_VALUE"""),"N. Palashev")</f>
        <v>N. Palashev</v>
      </c>
      <c r="H7277" s="10"/>
      <c r="I7277" s="10"/>
      <c r="J7277" s="10"/>
      <c r="K7277" s="10"/>
      <c r="L7277" s="10"/>
      <c r="M7277" s="10"/>
      <c r="N7277" s="10"/>
      <c r="O7277" s="10"/>
      <c r="P7277" s="10"/>
      <c r="Q7277" s="10"/>
      <c r="R7277" s="10"/>
      <c r="S7277" s="10"/>
      <c r="T7277" s="10"/>
      <c r="U7277" s="10"/>
      <c r="V7277" s="10"/>
      <c r="W7277" s="10"/>
      <c r="X7277" s="10"/>
      <c r="Y7277" s="10"/>
      <c r="Z7277" s="10"/>
    </row>
    <row r="7278" spans="1:26" ht="12.75">
      <c r="A7278" s="10" t="str">
        <f ca="1">IFERROR(__xludf.DUMMYFUNCTION("""COMPUTED_VALUE"""),"Стоян Георгиев Денчев")</f>
        <v>Стоян Георгиев Денчев</v>
      </c>
      <c r="B7278" s="10" t="str">
        <f ca="1">IFERROR(__xludf.DUMMYFUNCTION("""COMPUTED_VALUE"""),"Доклад от конференция")</f>
        <v>Доклад от конференция</v>
      </c>
      <c r="C7278" s="10" t="str">
        <f ca="1">IFERROR(__xludf.DUMMYFUNCTION("""COMPUTED_VALUE"""),"Вторично-документальный предметный контур гуманитарного знания библиосферы (Истоки современной международной универсальной библиографии)")</f>
        <v>Вторично-документальный предметный контур гуманитарного знания библиосферы (Истоки современной международной универсальной библиографии)</v>
      </c>
      <c r="D7278" s="10">
        <f ca="1">IFERROR(__xludf.DUMMYFUNCTION("""COMPUTED_VALUE"""),2016)</f>
        <v>2016</v>
      </c>
      <c r="E7278" s="10" t="str">
        <f ca="1">IFERROR(__xludf.DUMMYFUNCTION("""COMPUTED_VALUE"""),"Фундаментальные и прикладные науки. Философские науки = Fundamental and applied sciences today X: материалы X международной научно-практической конференции, Vol. 1, 26-27 Dec. 2016, North Charleston, USA. North Charleston, USA, 2017, с. 115-120. ISBN 978-"&amp;"1-54133-748-0.")</f>
        <v>Фундаментальные и прикладные науки. Философские науки = Fundamental and applied sciences today X: материалы X международной научно-практической конференции, Vol. 1, 26-27 Dec. 2016, North Charleston, USA. North Charleston, USA, 2017, с. 115-120. ISBN 978-1-54133-748-0.</v>
      </c>
      <c r="F7278" s="10"/>
      <c r="G7278" s="10" t="str">
        <f ca="1">IFERROR(__xludf.DUMMYFUNCTION("""COMPUTED_VALUE"""),"А. Куманова, Н. Василев")</f>
        <v>А. Куманова, Н. Василев</v>
      </c>
      <c r="H7278" s="10"/>
      <c r="I7278" s="10"/>
      <c r="J7278" s="10"/>
      <c r="K7278" s="10"/>
      <c r="L7278" s="10"/>
      <c r="M7278" s="10"/>
      <c r="N7278" s="10"/>
      <c r="O7278" s="10"/>
      <c r="P7278" s="10"/>
      <c r="Q7278" s="10"/>
      <c r="R7278" s="10"/>
      <c r="S7278" s="10"/>
      <c r="T7278" s="10"/>
      <c r="U7278" s="10"/>
      <c r="V7278" s="10"/>
      <c r="W7278" s="10"/>
      <c r="X7278" s="10"/>
      <c r="Y7278" s="10"/>
      <c r="Z7278" s="10"/>
    </row>
    <row r="7279" spans="1:26" ht="12.75">
      <c r="A7279" s="10" t="str">
        <f ca="1">IFERROR(__xludf.DUMMYFUNCTION("""COMPUTED_VALUE"""),"Стоян Георгиев Денчев")</f>
        <v>Стоян Георгиев Денчев</v>
      </c>
      <c r="B7279" s="10" t="str">
        <f ca="1">IFERROR(__xludf.DUMMYFUNCTION("""COMPUTED_VALUE"""),"Статия в списания и поредици")</f>
        <v>Статия в списания и поредици</v>
      </c>
      <c r="C7279" s="10" t="str">
        <f ca="1">IFERROR(__xludf.DUMMYFUNCTION("""COMPUTED_VALUE"""),"Model for achieving the indicators for influence in scientific areas of Bulgarian academic journals")</f>
        <v>Model for achieving the indicators for influence in scientific areas of Bulgarian academic journals</v>
      </c>
      <c r="D7279" s="10">
        <f ca="1">IFERROR(__xludf.DUMMYFUNCTION("""COMPUTED_VALUE"""),2016)</f>
        <v>2016</v>
      </c>
      <c r="E7279" s="10" t="str">
        <f ca="1">IFERROR(__xludf.DUMMYFUNCTION("""COMPUTED_VALUE"""),"QUALITATIVE &amp; QUANTITATIVE METHODS IN LIBRARIES Pages: 829-835 Published:DEC 2016")</f>
        <v>QUALITATIVE &amp; QUANTITATIVE METHODS IN LIBRARIES Pages: 829-835 Published:DEC 2016</v>
      </c>
      <c r="F7279" s="10" t="str">
        <f ca="1">IFERROR(__xludf.DUMMYFUNCTION("""COMPUTED_VALUE"""),"Web of Science")</f>
        <v>Web of Science</v>
      </c>
      <c r="G7279" s="10" t="str">
        <f ca="1">IFERROR(__xludf.DUMMYFUNCTION("""COMPUTED_VALUE"""),"Yankova, I; Peteva, I Stancheva, S")</f>
        <v>Yankova, I; Peteva, I Stancheva, S</v>
      </c>
      <c r="H7279" s="10"/>
      <c r="I7279" s="10"/>
      <c r="J7279" s="10"/>
      <c r="K7279" s="10"/>
      <c r="L7279" s="10"/>
      <c r="M7279" s="10"/>
      <c r="N7279" s="10"/>
      <c r="O7279" s="10"/>
      <c r="P7279" s="10"/>
      <c r="Q7279" s="10"/>
      <c r="R7279" s="10"/>
      <c r="S7279" s="10"/>
      <c r="T7279" s="10"/>
      <c r="U7279" s="10"/>
      <c r="V7279" s="10"/>
      <c r="W7279" s="10"/>
      <c r="X7279" s="10"/>
      <c r="Y7279" s="10"/>
      <c r="Z7279" s="10"/>
    </row>
    <row r="7280" spans="1:26" ht="12.75">
      <c r="A7280" s="10" t="str">
        <f ca="1">IFERROR(__xludf.DUMMYFUNCTION("""COMPUTED_VALUE"""),"Стоян Георгиев Денчев")</f>
        <v>Стоян Георгиев Денчев</v>
      </c>
      <c r="B7280" s="10" t="str">
        <f ca="1">IFERROR(__xludf.DUMMYFUNCTION("""COMPUTED_VALUE"""),"Доклад от конференция")</f>
        <v>Доклад от конференция</v>
      </c>
      <c r="C7280" s="10" t="str">
        <f ca="1">IFERROR(__xludf.DUMMYFUNCTION("""COMPUTED_VALUE"""),"Intellectual Property Awareness of SULSIT’s Students: Survey Results and Curricula Reflection")</f>
        <v>Intellectual Property Awareness of SULSIT’s Students: Survey Results and Curricula Reflection</v>
      </c>
      <c r="D7280" s="10">
        <f ca="1">IFERROR(__xludf.DUMMYFUNCTION("""COMPUTED_VALUE"""),2016)</f>
        <v>2016</v>
      </c>
      <c r="E7280" s="10" t="str">
        <f ca="1">IFERROR(__xludf.DUMMYFUNCTION("""COMPUTED_VALUE"""),"14th International Conference of E-Society 9 – 11 April, 2016, Vilamoura, Algarve, Portugal. pp. 79-86")</f>
        <v>14th International Conference of E-Society 9 – 11 April, 2016, Vilamoura, Algarve, Portugal. pp. 79-86</v>
      </c>
      <c r="F7280" s="10" t="str">
        <f ca="1">IFERROR(__xludf.DUMMYFUNCTION("""COMPUTED_VALUE"""),"ISI Web of Knowledge")</f>
        <v>ISI Web of Knowledge</v>
      </c>
      <c r="G7280" s="10" t="str">
        <f ca="1">IFERROR(__xludf.DUMMYFUNCTION("""COMPUTED_VALUE"""),"T. Trencheva")</f>
        <v>T. Trencheva</v>
      </c>
      <c r="H7280" s="10"/>
      <c r="I7280" s="10"/>
      <c r="J7280" s="10"/>
      <c r="K7280" s="10"/>
      <c r="L7280" s="10"/>
      <c r="M7280" s="10"/>
      <c r="N7280" s="10"/>
      <c r="O7280" s="10"/>
      <c r="P7280" s="10"/>
      <c r="Q7280" s="10"/>
      <c r="R7280" s="10"/>
      <c r="S7280" s="10"/>
      <c r="T7280" s="10"/>
      <c r="U7280" s="10"/>
      <c r="V7280" s="10"/>
      <c r="W7280" s="10"/>
      <c r="X7280" s="10"/>
      <c r="Y7280" s="10"/>
      <c r="Z7280" s="10"/>
    </row>
    <row r="7281" spans="1:26" ht="12.75">
      <c r="A7281" s="10" t="str">
        <f ca="1">IFERROR(__xludf.DUMMYFUNCTION("""COMPUTED_VALUE"""),"Стоян Георгиев Денчев")</f>
        <v>Стоян Георгиев Денчев</v>
      </c>
      <c r="B7281" s="10" t="str">
        <f ca="1">IFERROR(__xludf.DUMMYFUNCTION("""COMPUTED_VALUE"""),"Доклад от конференция")</f>
        <v>Доклад от конференция</v>
      </c>
      <c r="C7281" s="10" t="str">
        <f ca="1">IFERROR(__xludf.DUMMYFUNCTION("""COMPUTED_VALUE"""),"Intellectual Property as a Basic Part of the University’s Information Literacy")</f>
        <v>Intellectual Property as a Basic Part of the University’s Information Literacy</v>
      </c>
      <c r="D7281" s="10">
        <f ca="1">IFERROR(__xludf.DUMMYFUNCTION("""COMPUTED_VALUE"""),2016)</f>
        <v>2016</v>
      </c>
      <c r="E7281" s="10" t="str">
        <f ca="1">IFERROR(__xludf.DUMMYFUNCTION("""COMPUTED_VALUE"""),"2nd International Conference on Education and Management Science (ICEMS 2016), May 28-29, 2016, Beijing, China pp. 74-78")</f>
        <v>2nd International Conference on Education and Management Science (ICEMS 2016), May 28-29, 2016, Beijing, China pp. 74-78</v>
      </c>
      <c r="F7281" s="10" t="str">
        <f ca="1">IFERROR(__xludf.DUMMYFUNCTION("""COMPUTED_VALUE"""),"ISI Web of Knowledge")</f>
        <v>ISI Web of Knowledge</v>
      </c>
      <c r="G7281" s="10" t="str">
        <f ca="1">IFERROR(__xludf.DUMMYFUNCTION("""COMPUTED_VALUE"""),"T. Trencheva")</f>
        <v>T. Trencheva</v>
      </c>
      <c r="H7281" s="10"/>
      <c r="I7281" s="10"/>
      <c r="J7281" s="10"/>
      <c r="K7281" s="10"/>
      <c r="L7281" s="10"/>
      <c r="M7281" s="10"/>
      <c r="N7281" s="10"/>
      <c r="O7281" s="10"/>
      <c r="P7281" s="10"/>
      <c r="Q7281" s="10"/>
      <c r="R7281" s="10"/>
      <c r="S7281" s="10"/>
      <c r="T7281" s="10"/>
      <c r="U7281" s="10"/>
      <c r="V7281" s="10"/>
      <c r="W7281" s="10"/>
      <c r="X7281" s="10"/>
      <c r="Y7281" s="10"/>
      <c r="Z7281" s="10"/>
    </row>
    <row r="7282" spans="1:26" ht="12.75">
      <c r="A7282" s="10" t="str">
        <f ca="1">IFERROR(__xludf.DUMMYFUNCTION("""COMPUTED_VALUE"""),"Стоян Георгиев Денчев")</f>
        <v>Стоян Георгиев Денчев</v>
      </c>
      <c r="B7282" s="10" t="str">
        <f ca="1">IFERROR(__xludf.DUMMYFUNCTION("""COMPUTED_VALUE"""),"Статия в списания и поредици")</f>
        <v>Статия в списания и поредици</v>
      </c>
      <c r="C7282" s="10" t="str">
        <f ca="1">IFERROR(__xludf.DUMMYFUNCTION("""COMPUTED_VALUE"""),"Експедиция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f>
        <v>Експедиция във Воттоваара – Карелия и Аркаим – Урал : Центрове на праевропейската цивилизация в Русия (Протоарии и праславяни) (Културолого-феноменологично декодиране на митологичния, историческия и лингвистичния план).</v>
      </c>
      <c r="D7282" s="10">
        <f ca="1">IFERROR(__xludf.DUMMYFUNCTION("""COMPUTED_VALUE"""),2016)</f>
        <v>2016</v>
      </c>
      <c r="E7282" s="10" t="str">
        <f ca="1">IFERROR(__xludf.DUMMYFUNCTION("""COMPUTED_VALUE"""),"Издател (В. Търново). – ISSN 1310-4624. – 2016, N 1 (1-2), с. 15-28 : с 29 ил.")</f>
        <v>Издател (В. Търново). – ISSN 1310-4624. – 2016, N 1 (1-2), с. 15-28 : с 29 ил.</v>
      </c>
      <c r="F7282" s="10" t="str">
        <f ca="1">IFERROR(__xludf.DUMMYFUNCTION("""COMPUTED_VALUE"""),"Публ. и в: &lt;http://journals.uni-vt.bg/izdatel/bul/&gt;")</f>
        <v>Публ. и в: &lt;http://journals.uni-vt.bg/izdatel/bul/&gt;</v>
      </c>
      <c r="G7282" s="10" t="str">
        <f ca="1">IFERROR(__xludf.DUMMYFUNCTION("""COMPUTED_VALUE"""),"А. Куманова, Н. Казански, Н. Василев")</f>
        <v>А. Куманова, Н. Казански, Н. Василев</v>
      </c>
      <c r="H7282" s="10"/>
      <c r="I7282" s="10"/>
      <c r="J7282" s="10"/>
      <c r="K7282" s="10"/>
      <c r="L7282" s="10"/>
      <c r="M7282" s="10"/>
      <c r="N7282" s="10"/>
      <c r="O7282" s="10"/>
      <c r="P7282" s="10"/>
      <c r="Q7282" s="10"/>
      <c r="R7282" s="10"/>
      <c r="S7282" s="10"/>
      <c r="T7282" s="10"/>
      <c r="U7282" s="10"/>
      <c r="V7282" s="10"/>
      <c r="W7282" s="10"/>
      <c r="X7282" s="10"/>
      <c r="Y7282" s="10"/>
      <c r="Z7282" s="10"/>
    </row>
    <row r="7283" spans="1:26" ht="12.75">
      <c r="A7283" s="10" t="str">
        <f ca="1">IFERROR(__xludf.DUMMYFUNCTION("""COMPUTED_VALUE"""),"Стоян Георгиев Денчев")</f>
        <v>Стоян Георгиев Денчев</v>
      </c>
      <c r="B7283" s="10" t="str">
        <f ca="1">IFERROR(__xludf.DUMMYFUNCTION("""COMPUTED_VALUE"""),"Статия в списания и поредици")</f>
        <v>Статия в списания и поредици</v>
      </c>
      <c r="C7283" s="10" t="str">
        <f ca="1">IFERROR(__xludf.DUMMYFUNCTION("""COMPUTED_VALUE"""),"СОВРЕМЕННЫЕ УНИВЕРСИТЕТСКИЕ ФОРМЫ ОРГАНИЗАЦИИ ОБРАЗОВАТЕЛЬНОГО ПРОЦЕССА ПРИ ОБУЧЕНИИ АСПИРАНТОВ")</f>
        <v>СОВРЕМЕННЫЕ УНИВЕРСИТЕТСКИЕ ФОРМЫ ОРГАНИЗАЦИИ ОБРАЗОВАТЕЛЬНОГО ПРОЦЕССА ПРИ ОБУЧЕНИИ АСПИРАНТОВ</v>
      </c>
      <c r="D7283" s="10">
        <f ca="1">IFERROR(__xludf.DUMMYFUNCTION("""COMPUTED_VALUE"""),2016)</f>
        <v>2016</v>
      </c>
      <c r="E7283" s="10" t="str">
        <f ca="1">IFERROR(__xludf.DUMMYFUNCTION("""COMPUTED_VALUE"""),"АКАДЕМИЧЕСКАЯ НАУКА - ПРОБЛЕМЫ И ДОСТИЖЕНИЯ VIII Материалы VIII международной научно-практической конференции. 2016 Издательство: CreateSpace Тип: статья в сборнике трудов конференции Язык: русский Год издания: 2016 Страницы: 69-78")</f>
        <v>АКАДЕМИЧЕСКАЯ НАУКА - ПРОБЛЕМЫ И ДОСТИЖЕНИЯ VIII Материалы VIII международной научно-практической конференции. 2016 Издательство: CreateSpace Тип: статья в сборнике трудов конференции Язык: русский Год издания: 2016 Страницы: 69-78</v>
      </c>
      <c r="F7283" s="10" t="str">
        <f ca="1">IFERROR(__xludf.DUMMYFUNCTION("""COMPUTED_VALUE"""),"РИНЦ")</f>
        <v>РИНЦ</v>
      </c>
      <c r="G7283" s="10" t="str">
        <f ca="1">IFERROR(__xludf.DUMMYFUNCTION("""COMPUTED_VALUE"""),"Ц. Варадинова, Д. Стоянова, И. Петева")</f>
        <v>Ц. Варадинова, Д. Стоянова, И. Петева</v>
      </c>
      <c r="H7283" s="10"/>
      <c r="I7283" s="10"/>
      <c r="J7283" s="10"/>
      <c r="K7283" s="10"/>
      <c r="L7283" s="10"/>
      <c r="M7283" s="10"/>
      <c r="N7283" s="10"/>
      <c r="O7283" s="10"/>
      <c r="P7283" s="10"/>
      <c r="Q7283" s="10"/>
      <c r="R7283" s="10"/>
      <c r="S7283" s="10"/>
      <c r="T7283" s="10"/>
      <c r="U7283" s="10"/>
      <c r="V7283" s="10"/>
      <c r="W7283" s="10"/>
      <c r="X7283" s="10"/>
      <c r="Y7283" s="10"/>
      <c r="Z7283" s="10"/>
    </row>
    <row r="7284" spans="1:26" ht="12.75">
      <c r="A7284" s="10" t="str">
        <f ca="1">IFERROR(__xludf.DUMMYFUNCTION("""COMPUTED_VALUE"""),"Стоян Георгиев Денчев")</f>
        <v>Стоян Георгиев Денчев</v>
      </c>
      <c r="B7284" s="10" t="str">
        <f ca="1">IFERROR(__xludf.DUMMYFUNCTION("""COMPUTED_VALUE"""),"Статия в списания и поредици")</f>
        <v>Статия в списания и поредици</v>
      </c>
      <c r="C7284" s="10" t="str">
        <f ca="1">IFERROR(__xludf.DUMMYFUNCTION("""COMPUTED_VALUE"""),"THE ROLE OF UNIVERSITIES IN THE FORMATION OF MODERN R&amp;D SPACE THROUGH CREATING NEW EDUCATIONAL PATTERNS")</f>
        <v>THE ROLE OF UNIVERSITIES IN THE FORMATION OF MODERN R&amp;D SPACE THROUGH CREATING NEW EDUCATIONAL PATTERNS</v>
      </c>
      <c r="D7284" s="10">
        <f ca="1">IFERROR(__xludf.DUMMYFUNCTION("""COMPUTED_VALUE"""),2016)</f>
        <v>2016</v>
      </c>
      <c r="E7284" s="10" t="str">
        <f ca="1">IFERROR(__xludf.DUMMYFUNCTION("""COMPUTED_VALUE"""),"INTED2016: 10TH INTERNATIONAL TECHNOLOGY, EDUCATION AND DEVELOPMENT CONFERENCE Edited by:Chova, LG; Martinez, AL; Torres, IC Book Series: INTED Proceedings Pages: 314-318 Published:2016")</f>
        <v>INTED2016: 10TH INTERNATIONAL TECHNOLOGY, EDUCATION AND DEVELOPMENT CONFERENCE Edited by:Chova, LG; Martinez, AL; Torres, IC Book Series: INTED Proceedings Pages: 314-318 Published:2016</v>
      </c>
      <c r="F7284" s="10" t="str">
        <f ca="1">IFERROR(__xludf.DUMMYFUNCTION("""COMPUTED_VALUE"""),"Web of Science")</f>
        <v>Web of Science</v>
      </c>
      <c r="G7284" s="10" t="str">
        <f ca="1">IFERROR(__xludf.DUMMYFUNCTION("""COMPUTED_VALUE"""),"Stoyanova, D; Peteva, I")</f>
        <v>Stoyanova, D; Peteva, I</v>
      </c>
      <c r="H7284" s="10"/>
      <c r="I7284" s="10"/>
      <c r="J7284" s="10"/>
      <c r="K7284" s="10"/>
      <c r="L7284" s="10"/>
      <c r="M7284" s="10"/>
      <c r="N7284" s="10"/>
      <c r="O7284" s="10"/>
      <c r="P7284" s="10"/>
      <c r="Q7284" s="10"/>
      <c r="R7284" s="10"/>
      <c r="S7284" s="10"/>
      <c r="T7284" s="10"/>
      <c r="U7284" s="10"/>
      <c r="V7284" s="10"/>
      <c r="W7284" s="10"/>
      <c r="X7284" s="10"/>
      <c r="Y7284" s="10"/>
      <c r="Z7284" s="10"/>
    </row>
    <row r="7285" spans="1:26" ht="12.75">
      <c r="A7285" s="10" t="str">
        <f ca="1">IFERROR(__xludf.DUMMYFUNCTION("""COMPUTED_VALUE"""),"Стоян Георгиев Денчев")</f>
        <v>Стоян Георгиев Денчев</v>
      </c>
      <c r="B7285" s="10" t="str">
        <f ca="1">IFERROR(__xludf.DUMMYFUNCTION("""COMPUTED_VALUE"""),"Статия в списания и поредици")</f>
        <v>Статия в списания и поредици</v>
      </c>
      <c r="C7285" s="10" t="str">
        <f ca="1">IFERROR(__xludf.DUMMYFUNCTION("""COMPUTED_VALUE"""),"UNIVERSITY'S R&amp;D INSTITUTES - NATURAL LINKS BETWEEN EDUCATION AND RESEARCH")</f>
        <v>UNIVERSITY'S R&amp;D INSTITUTES - NATURAL LINKS BETWEEN EDUCATION AND RESEARCH</v>
      </c>
      <c r="D7285" s="10">
        <f ca="1">IFERROR(__xludf.DUMMYFUNCTION("""COMPUTED_VALUE"""),2016)</f>
        <v>2016</v>
      </c>
      <c r="E7285" s="10" t="str">
        <f ca="1">IFERROR(__xludf.DUMMYFUNCTION("""COMPUTED_VALUE"""),"EDULEARN16: 8TH INTERNATIONAL CONFERENCE ON EDUCATION AND NEW LEARNING TECHNOLOGIES Edited by:Chova, LG; Martinez, AL; Torres, IC Book Series: EDULEARN Proceedings Pages: 6132-6138 Published:2016")</f>
        <v>EDULEARN16: 8TH INTERNATIONAL CONFERENCE ON EDUCATION AND NEW LEARNING TECHNOLOGIES Edited by:Chova, LG; Martinez, AL; Torres, IC Book Series: EDULEARN Proceedings Pages: 6132-6138 Published:2016</v>
      </c>
      <c r="F7285" s="10" t="str">
        <f ca="1">IFERROR(__xludf.DUMMYFUNCTION("""COMPUTED_VALUE"""),"Web of Science")</f>
        <v>Web of Science</v>
      </c>
      <c r="G7285" s="10" t="str">
        <f ca="1">IFERROR(__xludf.DUMMYFUNCTION("""COMPUTED_VALUE"""),"Peteva, I; Varadinova, T Stoyanova, D")</f>
        <v>Peteva, I; Varadinova, T Stoyanova, D</v>
      </c>
      <c r="H7285" s="10"/>
      <c r="I7285" s="10"/>
      <c r="J7285" s="10"/>
      <c r="K7285" s="10"/>
      <c r="L7285" s="10"/>
      <c r="M7285" s="10"/>
      <c r="N7285" s="10"/>
      <c r="O7285" s="10"/>
      <c r="P7285" s="10"/>
      <c r="Q7285" s="10"/>
      <c r="R7285" s="10"/>
      <c r="S7285" s="10"/>
      <c r="T7285" s="10"/>
      <c r="U7285" s="10"/>
      <c r="V7285" s="10"/>
      <c r="W7285" s="10"/>
      <c r="X7285" s="10"/>
      <c r="Y7285" s="10"/>
      <c r="Z7285" s="10"/>
    </row>
    <row r="7286" spans="1:26" ht="12.75">
      <c r="A7286" s="10" t="str">
        <f ca="1">IFERROR(__xludf.DUMMYFUNCTION("""COMPUTED_VALUE"""),"Стоян Георгиев Денчев")</f>
        <v>Стоян Георгиев Денчев</v>
      </c>
      <c r="B7286" s="10" t="str">
        <f ca="1">IFERROR(__xludf.DUMMYFUNCTION("""COMPUTED_VALUE"""),"Статия в списания и поредици")</f>
        <v>Статия в списания и поредици</v>
      </c>
      <c r="C7286" s="10" t="str">
        <f ca="1">IFERROR(__xludf.DUMMYFUNCTION("""COMPUTED_VALUE"""),"STUDENT MOTIVATION IN SUPPORT OF PRACTICAL EDUCATION")</f>
        <v>STUDENT MOTIVATION IN SUPPORT OF PRACTICAL EDUCATION</v>
      </c>
      <c r="D7286" s="10">
        <f ca="1">IFERROR(__xludf.DUMMYFUNCTION("""COMPUTED_VALUE"""),2016)</f>
        <v>2016</v>
      </c>
      <c r="E7286" s="10" t="str">
        <f ca="1">IFERROR(__xludf.DUMMYFUNCTION("""COMPUTED_VALUE"""),"EDULEARN16: 8TH INTERNATIONAL CONFERENCE ON EDUCATION AND NEW LEARNING TECHNOLOGIES Edited by:Chova, LG; Martinez, AL; Torres, IC Book Series: EDULEARN Proceedings Pages: 6126-6131")</f>
        <v>EDULEARN16: 8TH INTERNATIONAL CONFERENCE ON EDUCATION AND NEW LEARNING TECHNOLOGIES Edited by:Chova, LG; Martinez, AL; Torres, IC Book Series: EDULEARN Proceedings Pages: 6126-6131</v>
      </c>
      <c r="F7286" s="10" t="str">
        <f ca="1">IFERROR(__xludf.DUMMYFUNCTION("""COMPUTED_VALUE"""),"Web of Science")</f>
        <v>Web of Science</v>
      </c>
      <c r="G7286" s="10" t="str">
        <f ca="1">IFERROR(__xludf.DUMMYFUNCTION("""COMPUTED_VALUE"""),"Peteva, I; Stoyanova, D; Ignatova, E; Varadinova, T.")</f>
        <v>Peteva, I; Stoyanova, D; Ignatova, E; Varadinova, T.</v>
      </c>
      <c r="H7286" s="10"/>
      <c r="I7286" s="10"/>
      <c r="J7286" s="10"/>
      <c r="K7286" s="10"/>
      <c r="L7286" s="10"/>
      <c r="M7286" s="10"/>
      <c r="N7286" s="10"/>
      <c r="O7286" s="10"/>
      <c r="P7286" s="10"/>
      <c r="Q7286" s="10"/>
      <c r="R7286" s="10"/>
      <c r="S7286" s="10"/>
      <c r="T7286" s="10"/>
      <c r="U7286" s="10"/>
      <c r="V7286" s="10"/>
      <c r="W7286" s="10"/>
      <c r="X7286" s="10"/>
      <c r="Y7286" s="10"/>
      <c r="Z7286" s="10"/>
    </row>
    <row r="7287" spans="1:26" ht="12.75">
      <c r="A7287" s="10" t="str">
        <f ca="1">IFERROR(__xludf.DUMMYFUNCTION("""COMPUTED_VALUE"""),"Стоян Георгиев Денчев")</f>
        <v>Стоян Георгиев Денчев</v>
      </c>
      <c r="B7287" s="10" t="str">
        <f ca="1">IFERROR(__xludf.DUMMYFUNCTION("""COMPUTED_VALUE"""),"Книга")</f>
        <v>Книга</v>
      </c>
      <c r="C7287" s="10" t="str">
        <f ca="1">IFERROR(__xludf.DUMMYFUNCTION("""COMPUTED_VALUE"""),"Арианика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Инфор"&amp;"м. кодове на култ. наследство”")</f>
        <v>Арианика : Експедиция във Воттоваара – Карелия и Аркаим – Урал : Центрове на праевроп. цивилизация в Русия : Протоарии и праславяни : Културолог.-феноменолог. декодиране на митолог., ист. и лингвист. пл. : Уч. пособие по дисциплината „Нестинарство : Информ. кодове на култ. наследство”</v>
      </c>
      <c r="D7287" s="10">
        <f ca="1">IFERROR(__xludf.DUMMYFUNCTION("""COMPUTED_VALUE"""),2016)</f>
        <v>2016</v>
      </c>
      <c r="E7287" s="10" t="str">
        <f ca="1">IFERROR(__xludf.DUMMYFUNCTION("""COMPUTED_VALUE"""),"София : За буквите – О писменехь, 2016. – 208 с. : с ил. – (Факлоносци ; ХV) ISBN 978-619-185-192-8")</f>
        <v>София : За буквите – О писменехь, 2016. – 208 с. : с ил. – (Факлоносци ; ХV) ISBN 978-619-185-192-8</v>
      </c>
      <c r="F7287" s="10" t="str">
        <f ca="1">IFERROR(__xludf.DUMMYFUNCTION("""COMPUTED_VALUE"""),"Университет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Den"&amp;"chev,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&lt;www.cnshb.ru/mai/m"&amp;"ai.htm&gt;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Петерб"&amp;"ург,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USA"&amp;")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Librar"&amp;"y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Мюнхен,"&amp;" Германия (Universitätsbibliothek [University Library] – München [Munich]) &lt;https://www.en.uni-muenchen&gt;")</f>
        <v>Университет по библиотекознание и информационни технологии &lt;http://sno.unibit.bg&gt; &lt;https://www.researchgate.net/publication/307574972_Aryanica&gt;
 &lt;https://www.researchgate.net/profile/Alexandra_Kumanova&gt;
 Арктическаая академия наук &lt;www.arcticas.ru&gt;
 Denchev, Stoyan : Selected Co-authors – Kumanova, Aleksandra Viaf: The Virtual International Authority File – ID : 167234376 (Personal) &lt;https://viaf.org/viaf/167234376&gt;
 Отд. Библиотековедения Междунар. акад. информоо. при ООН (ОБ МАИ) &lt;www.cnshb.ru/mai/mai.htm&gt;
 Национална библиотека „Св. Св. Кирил и Методий” &lt;https://www.nationallibrary.bg&gt;
 Централна библиотека на БАН &lt;http://www.cl.bas.bg&gt;
 Университетска библиотека – София &lt;https://www.uni-sofia.bg&gt;
 Руска национална библиотека – Санкт Петербург, Русия (National Library of Russia – Saint-Petersbourg) &lt;www.nlr.ru&gt;
 Руска държавна библиотека – Москва, Русия (Russian State Library – Moscow, Russia) &lt;www.rsl.ru&gt;
 Конгресна библиотека – Вашингтон, САЩ (The Library of Congress – Washington, USA) &lt;https://www.loc.gov&gt;
 Централна библиотека на БАН New Catalog &lt;http://primo.nalis.bg/&gt;
 БАН. Институт за литература &lt;http://primo.nalis.bg/&gt;
 Софийски университет – Университетска библиотека &lt;http://primo.nalis.bg/&gt; 
 „Ivan Vazov” Public Library – Plovdiv &lt;http://primo.nalis.bg/&gt; 
 COBIS.BG на НБКМ &lt;http://www.bg.cobiss.net/&gt; 
 Университетска библиотека – Сиатъл, САЩ (University of Washington Libraries – Seattle, USA) &lt;https://www.seattleu.edu/library&gt;
 Университетска библиотека – Мюнхен, Германия (Universitätsbibliothek [University Library] – München [Munich]) &lt;https://www.en.uni-muenchen&gt;</v>
      </c>
      <c r="G7287" s="10" t="str">
        <f ca="1">IFERROR(__xludf.DUMMYFUNCTION("""COMPUTED_VALUE"""),"А. Куманова, Н. Казански, Н. Василе")</f>
        <v>А. Куманова, Н. Казански, Н. Василе</v>
      </c>
      <c r="H7287" s="10"/>
      <c r="I7287" s="10"/>
      <c r="J7287" s="10"/>
      <c r="K7287" s="10"/>
      <c r="L7287" s="10"/>
      <c r="M7287" s="10"/>
      <c r="N7287" s="10"/>
      <c r="O7287" s="10"/>
      <c r="P7287" s="10"/>
      <c r="Q7287" s="10"/>
      <c r="R7287" s="10"/>
      <c r="S7287" s="10"/>
      <c r="T7287" s="10"/>
      <c r="U7287" s="10"/>
      <c r="V7287" s="10"/>
      <c r="W7287" s="10"/>
      <c r="X7287" s="10"/>
      <c r="Y7287" s="10"/>
      <c r="Z7287" s="10"/>
    </row>
    <row r="7288" spans="1:26" ht="12.75">
      <c r="A7288" s="10" t="str">
        <f ca="1">IFERROR(__xludf.DUMMYFUNCTION("""COMPUTED_VALUE"""),"Стоян Георгиев Денчев")</f>
        <v>Стоян Георгиев Денчев</v>
      </c>
      <c r="B7288" s="10" t="str">
        <f ca="1">IFERROR(__xludf.DUMMYFUNCTION("""COMPUTED_VALUE"""),"Доклад от конференция")</f>
        <v>Доклад от конференция</v>
      </c>
      <c r="C7288" s="10" t="str">
        <f ca="1">IFERROR(__xludf.DUMMYFUNCTION("""COMPUTED_VALUE"""),"The Attitude of the Bulgarian Students Towards Intellectual Property in Digital Environment: а National Survey Results.")</f>
        <v>The Attitude of the Bulgarian Students Towards Intellectual Property in Digital Environment: а National Survey Results.</v>
      </c>
      <c r="D7288" s="10">
        <f ca="1">IFERROR(__xludf.DUMMYFUNCTION("""COMPUTED_VALUE"""),2015)</f>
        <v>2015</v>
      </c>
      <c r="E7288" s="10" t="str">
        <f ca="1">IFERROR(__xludf.DUMMYFUNCTION("""COMPUTED_VALUE"""),"New Perspectives in Science Education: Conference Proceedings, 20-21 March 2015, Florence, Italy. p. 230-234. ISBN 978-88-6292-600-3.")</f>
        <v>New Perspectives in Science Education: Conference Proceedings, 20-21 March 2015, Florence, Italy. p. 230-234. ISBN 978-88-6292-600-3.</v>
      </c>
      <c r="F7288" s="10"/>
      <c r="G7288" s="10" t="str">
        <f ca="1">IFERROR(__xludf.DUMMYFUNCTION("""COMPUTED_VALUE"""),"T. Trencheva, S. Eftimova")</f>
        <v>T. Trencheva, S. Eftimova</v>
      </c>
      <c r="H7288" s="10"/>
      <c r="I7288" s="10"/>
      <c r="J7288" s="10"/>
      <c r="K7288" s="10"/>
      <c r="L7288" s="10"/>
      <c r="M7288" s="10"/>
      <c r="N7288" s="10"/>
      <c r="O7288" s="10"/>
      <c r="P7288" s="10"/>
      <c r="Q7288" s="10"/>
      <c r="R7288" s="10"/>
      <c r="S7288" s="10"/>
      <c r="T7288" s="10"/>
      <c r="U7288" s="10"/>
      <c r="V7288" s="10"/>
      <c r="W7288" s="10"/>
      <c r="X7288" s="10"/>
      <c r="Y7288" s="10"/>
      <c r="Z7288" s="10"/>
    </row>
    <row r="7289" spans="1:26" ht="12.75">
      <c r="A7289" s="10" t="str">
        <f ca="1">IFERROR(__xludf.DUMMYFUNCTION("""COMPUTED_VALUE"""),"Стоян Георгиев Денчев")</f>
        <v>Стоян Георгиев Денчев</v>
      </c>
      <c r="B7289" s="10" t="str">
        <f ca="1">IFERROR(__xludf.DUMMYFUNCTION("""COMPUTED_VALUE"""),"Доклад от конференция")</f>
        <v>Доклад от конференция</v>
      </c>
      <c r="C7289" s="10" t="str">
        <f ca="1">IFERROR(__xludf.DUMMYFUNCTION("""COMPUTED_VALUE"""),"Деградация на идеологемите")</f>
        <v>Деградация на идеологемите</v>
      </c>
      <c r="D7289" s="10">
        <f ca="1">IFERROR(__xludf.DUMMYFUNCTION("""COMPUTED_VALUE"""),2015)</f>
        <v>2015</v>
      </c>
      <c r="E7289" s="10" t="str">
        <f ca="1">IFERROR(__xludf.DUMMYFUNCTION("""COMPUTED_VALUE"""),"Научни доклади от първа кръгла маса Проблеми на обществената комуникация 2015. София: За буквите - О писменехь, 2015, с. 19-25. ISBN 978-619-185-166-9.")</f>
        <v>Научни доклади от първа кръгла маса Проблеми на обществената комуникация 2015. София: За буквите - О писменехь, 2015, с. 19-25. ISBN 978-619-185-166-9.</v>
      </c>
      <c r="F7289" s="10"/>
      <c r="G7289" s="10" t="str">
        <f ca="1">IFERROR(__xludf.DUMMYFUNCTION("""COMPUTED_VALUE"""),"Н. Палашев")</f>
        <v>Н. Палашев</v>
      </c>
      <c r="H7289" s="10"/>
      <c r="I7289" s="10"/>
      <c r="J7289" s="10"/>
      <c r="K7289" s="10"/>
      <c r="L7289" s="10"/>
      <c r="M7289" s="10"/>
      <c r="N7289" s="10"/>
      <c r="O7289" s="10"/>
      <c r="P7289" s="10"/>
      <c r="Q7289" s="10"/>
      <c r="R7289" s="10"/>
      <c r="S7289" s="10"/>
      <c r="T7289" s="10"/>
      <c r="U7289" s="10"/>
      <c r="V7289" s="10"/>
      <c r="W7289" s="10"/>
      <c r="X7289" s="10"/>
      <c r="Y7289" s="10"/>
      <c r="Z7289" s="10"/>
    </row>
    <row r="7290" spans="1:26" ht="12.75">
      <c r="A7290" s="10" t="str">
        <f ca="1">IFERROR(__xludf.DUMMYFUNCTION("""COMPUTED_VALUE"""),"Стоян Георгиев Денчев")</f>
        <v>Стоян Георгиев Денчев</v>
      </c>
      <c r="B7290" s="10" t="str">
        <f ca="1">IFERROR(__xludf.DUMMYFUNCTION("""COMPUTED_VALUE"""),"Доклад от конференция")</f>
        <v>Доклад от конференция</v>
      </c>
      <c r="C7290" s="10" t="str">
        <f ca="1">IFERROR(__xludf.DUMMYFUNCTION("""COMPUTED_VALUE"""),"Славянская идентичность в условиях глобализации и информационной войны")</f>
        <v>Славянская идентичность в условиях глобализации и информационной войны</v>
      </c>
      <c r="D7290" s="10">
        <f ca="1">IFERROR(__xludf.DUMMYFUNCTION("""COMPUTED_VALUE"""),2015)</f>
        <v>2015</v>
      </c>
      <c r="E7290" s="10" t="str">
        <f ca="1">IFERROR(__xludf.DUMMYFUNCTION("""COMPUTED_VALUE"""),"Славянската култура в Европа - история, настояще и бъдеще: сборник материали от международна научно-практическа онлайн-конференция, 15 май 2015 г., София-Москва. София: За буквите - О писменехь, 2015, с. 107-110. ISBN 978-619-185-158-4, ISBN 978-5-902899-"&amp;"12-9.")</f>
        <v>Славянската култура в Европа - история, настояще и бъдеще: сборник материали от международна научно-практическа онлайн-конференция, 15 май 2015 г., София-Москва. София: За буквите - О писменехь, 2015, с. 107-110. ISBN 978-619-185-158-4, ISBN 978-5-902899-12-9.</v>
      </c>
      <c r="F7290" s="10"/>
      <c r="G7290" s="10" t="str">
        <f ca="1">IFERROR(__xludf.DUMMYFUNCTION("""COMPUTED_VALUE"""),"М. Павлова")</f>
        <v>М. Павлова</v>
      </c>
      <c r="H7290" s="10"/>
      <c r="I7290" s="10"/>
      <c r="J7290" s="10"/>
      <c r="K7290" s="10"/>
      <c r="L7290" s="10"/>
      <c r="M7290" s="10"/>
      <c r="N7290" s="10"/>
      <c r="O7290" s="10"/>
      <c r="P7290" s="10"/>
      <c r="Q7290" s="10"/>
      <c r="R7290" s="10"/>
      <c r="S7290" s="10"/>
      <c r="T7290" s="10"/>
      <c r="U7290" s="10"/>
      <c r="V7290" s="10"/>
      <c r="W7290" s="10"/>
      <c r="X7290" s="10"/>
      <c r="Y7290" s="10"/>
      <c r="Z7290" s="10"/>
    </row>
    <row r="7291" spans="1:26" ht="12.75">
      <c r="A7291" s="10" t="str">
        <f ca="1">IFERROR(__xludf.DUMMYFUNCTION("""COMPUTED_VALUE"""),"Стоян Георгиев Денчев")</f>
        <v>Стоян Георгиев Денчев</v>
      </c>
      <c r="B7291" s="10" t="str">
        <f ca="1">IFERROR(__xludf.DUMMYFUNCTION("""COMPUTED_VALUE"""),"Доклад от конференция")</f>
        <v>Доклад от конференция</v>
      </c>
      <c r="C7291" s="10" t="str">
        <f ca="1">IFERROR(__xludf.DUMMYFUNCTION("""COMPUTED_VALUE"""),"Имиджови аспекти на информационната война в отношенията на Европейския съюз и Русия")</f>
        <v>Имиджови аспекти на информационната война в отношенията на Европейския съюз и Русия</v>
      </c>
      <c r="D7291" s="10">
        <f ca="1">IFERROR(__xludf.DUMMYFUNCTION("""COMPUTED_VALUE"""),2015)</f>
        <v>2015</v>
      </c>
      <c r="E7291" s="10" t="str">
        <f ca="1">IFERROR(__xludf.DUMMYFUNCTION("""COMPUTED_VALUE"""),"Обществото на знанието и хуманизмът на XXI век: дванадесета национална научна конференция с международно участие, 1 ноем. 2014 г., София. София, 2015, с. 302-308. ISSN 1314-7099.")</f>
        <v>Обществото на знанието и хуманизмът на XXI век: дванадесета национална научна конференция с международно участие, 1 ноем. 2014 г., София. София, 2015, с. 302-308. ISSN 1314-7099.</v>
      </c>
      <c r="F7291" s="10"/>
      <c r="G7291" s="10" t="str">
        <f ca="1">IFERROR(__xludf.DUMMYFUNCTION("""COMPUTED_VALUE"""),"М. Павлова")</f>
        <v>М. Павлова</v>
      </c>
      <c r="H7291" s="10"/>
      <c r="I7291" s="10"/>
      <c r="J7291" s="10"/>
      <c r="K7291" s="10"/>
      <c r="L7291" s="10"/>
      <c r="M7291" s="10"/>
      <c r="N7291" s="10"/>
      <c r="O7291" s="10"/>
      <c r="P7291" s="10"/>
      <c r="Q7291" s="10"/>
      <c r="R7291" s="10"/>
      <c r="S7291" s="10"/>
      <c r="T7291" s="10"/>
      <c r="U7291" s="10"/>
      <c r="V7291" s="10"/>
      <c r="W7291" s="10"/>
      <c r="X7291" s="10"/>
      <c r="Y7291" s="10"/>
      <c r="Z7291" s="10"/>
    </row>
    <row r="7292" spans="1:26" ht="12.75">
      <c r="A7292" s="10" t="str">
        <f ca="1">IFERROR(__xludf.DUMMYFUNCTION("""COMPUTED_VALUE"""),"Стоян Георгиев Денчев")</f>
        <v>Стоян Георгиев Денчев</v>
      </c>
      <c r="B7292" s="10" t="str">
        <f ca="1">IFERROR(__xludf.DUMMYFUNCTION("""COMPUTED_VALUE"""),"Доклад от конференция")</f>
        <v>Доклад от конференция</v>
      </c>
      <c r="C7292" s="10" t="str">
        <f ca="1">IFERROR(__xludf.DUMMYFUNCTION("""COMPUTED_VALUE"""),"The Attitude of the Bulgarian Students Towards Intellectual Property in Digital Environment")</f>
        <v>The Attitude of the Bulgarian Students Towards Intellectual Property in Digital Environment</v>
      </c>
      <c r="D7292" s="10">
        <f ca="1">IFERROR(__xludf.DUMMYFUNCTION("""COMPUTED_VALUE"""),2015)</f>
        <v>2015</v>
      </c>
      <c r="E7292" s="10" t="str">
        <f ca="1">IFERROR(__xludf.DUMMYFUNCTION("""COMPUTED_VALUE"""),"International Conference “The New Perspectives in Science Education”, Conference Proceedings, 20-21 March 2015, Florence, Italy, Simonelli Ed., Vol. 4, pp. 230-234")</f>
        <v>International Conference “The New Perspectives in Science Education”, Conference Proceedings, 20-21 March 2015, Florence, Italy, Simonelli Ed., Vol. 4, pp. 230-234</v>
      </c>
      <c r="F7292" s="10" t="str">
        <f ca="1">IFERROR(__xludf.DUMMYFUNCTION("""COMPUTED_VALUE"""),"SCOPUS")</f>
        <v>SCOPUS</v>
      </c>
      <c r="G7292" s="10" t="str">
        <f ca="1">IFERROR(__xludf.DUMMYFUNCTION("""COMPUTED_VALUE"""),"T. Trencheva")</f>
        <v>T. Trencheva</v>
      </c>
      <c r="H7292" s="10"/>
      <c r="I7292" s="10"/>
      <c r="J7292" s="10"/>
      <c r="K7292" s="10"/>
      <c r="L7292" s="10"/>
      <c r="M7292" s="10"/>
      <c r="N7292" s="10"/>
      <c r="O7292" s="10"/>
      <c r="P7292" s="10"/>
      <c r="Q7292" s="10"/>
      <c r="R7292" s="10"/>
      <c r="S7292" s="10"/>
      <c r="T7292" s="10"/>
      <c r="U7292" s="10"/>
      <c r="V7292" s="10"/>
      <c r="W7292" s="10"/>
      <c r="X7292" s="10"/>
      <c r="Y7292" s="10"/>
      <c r="Z7292" s="10"/>
    </row>
    <row r="7293" spans="1:26" ht="12.75">
      <c r="A7293" s="10" t="str">
        <f ca="1">IFERROR(__xludf.DUMMYFUNCTION("""COMPUTED_VALUE"""),"Стоян Георгиев Денчев")</f>
        <v>Стоян Георгиев Денчев</v>
      </c>
      <c r="B7293" s="10" t="str">
        <f ca="1">IFERROR(__xludf.DUMMYFUNCTION("""COMPUTED_VALUE"""),"Доклад от конференция")</f>
        <v>Доклад от конференция</v>
      </c>
      <c r="C7293" s="10" t="str">
        <f ca="1">IFERROR(__xludf.DUMMYFUNCTION("""COMPUTED_VALUE"""),"The Summer Knowledge Academy as a Part of the University Research and Educational Environment")</f>
        <v>The Summer Knowledge Academy as a Part of the University Research and Educational Environment</v>
      </c>
      <c r="D7293" s="10">
        <f ca="1">IFERROR(__xludf.DUMMYFUNCTION("""COMPUTED_VALUE"""),2015)</f>
        <v>2015</v>
      </c>
      <c r="E7293" s="10" t="str">
        <f ca="1">IFERROR(__xludf.DUMMYFUNCTION("""COMPUTED_VALUE"""),"International Conference “The New Perspectives in Science Education”, Conference Proceedings, 20-21 March 2015, Florence, Italy, Simonelli Ed., Vol. 4, pp. 262-265")</f>
        <v>International Conference “The New Perspectives in Science Education”, Conference Proceedings, 20-21 March 2015, Florence, Italy, Simonelli Ed., Vol. 4, pp. 262-265</v>
      </c>
      <c r="F7293" s="10" t="str">
        <f ca="1">IFERROR(__xludf.DUMMYFUNCTION("""COMPUTED_VALUE"""),"SCOPUS")</f>
        <v>SCOPUS</v>
      </c>
      <c r="G7293" s="10" t="str">
        <f ca="1">IFERROR(__xludf.DUMMYFUNCTION("""COMPUTED_VALUE"""),"T. Trencheva")</f>
        <v>T. Trencheva</v>
      </c>
      <c r="H7293" s="10"/>
      <c r="I7293" s="10"/>
      <c r="J7293" s="10"/>
      <c r="K7293" s="10"/>
      <c r="L7293" s="10"/>
      <c r="M7293" s="10"/>
      <c r="N7293" s="10"/>
      <c r="O7293" s="10"/>
      <c r="P7293" s="10"/>
      <c r="Q7293" s="10"/>
      <c r="R7293" s="10"/>
      <c r="S7293" s="10"/>
      <c r="T7293" s="10"/>
      <c r="U7293" s="10"/>
      <c r="V7293" s="10"/>
      <c r="W7293" s="10"/>
      <c r="X7293" s="10"/>
      <c r="Y7293" s="10"/>
      <c r="Z7293" s="10"/>
    </row>
    <row r="7294" spans="1:26" ht="12.75">
      <c r="A7294" s="10" t="str">
        <f ca="1">IFERROR(__xludf.DUMMYFUNCTION("""COMPUTED_VALUE"""),"Стоян Георгиев Денчев")</f>
        <v>Стоян Георгиев Денчев</v>
      </c>
      <c r="B7294" s="10" t="str">
        <f ca="1">IFERROR(__xludf.DUMMYFUNCTION("""COMPUTED_VALUE"""),"Доклад от конференция")</f>
        <v>Доклад от конференция</v>
      </c>
      <c r="C7294" s="10" t="str">
        <f ca="1">IFERROR(__xludf.DUMMYFUNCTION("""COMPUTED_VALUE"""),"Дигиталният преход и иновациите в образованието за икономиката на знанието")</f>
        <v>Дигиталният преход и иновациите в образованието за икономиката на знанието</v>
      </c>
      <c r="D7294" s="10">
        <f ca="1">IFERROR(__xludf.DUMMYFUNCTION("""COMPUTED_VALUE"""),2015)</f>
        <v>2015</v>
      </c>
      <c r="E7294" s="10" t="str">
        <f ca="1">IFERROR(__xludf.DUMMYFUNCTION("""COMPUTED_VALUE"""),"Обществото на знанието и хуманизмът на XXI век: дванадесета научна конференция с международно участие, 1 ноем. 2014 г., София. София, 2015, с. 42-54. ISSN 1314-7099.")</f>
        <v>Обществото на знанието и хуманизмът на XXI век: дванадесета научна конференция с международно участие, 1 ноем. 2014 г., София. София, 2015, с. 42-54. ISSN 1314-7099.</v>
      </c>
      <c r="F7294" s="10"/>
      <c r="G7294" s="10" t="str">
        <f ca="1">IFERROR(__xludf.DUMMYFUNCTION("""COMPUTED_VALUE"""),"К. Върбанова-Денчева, И. Петева")</f>
        <v>К. Върбанова-Денчева, И. Петева</v>
      </c>
      <c r="H7294" s="10"/>
      <c r="I7294" s="10"/>
      <c r="J7294" s="10"/>
      <c r="K7294" s="10"/>
      <c r="L7294" s="10"/>
      <c r="M7294" s="10"/>
      <c r="N7294" s="10"/>
      <c r="O7294" s="10"/>
      <c r="P7294" s="10"/>
      <c r="Q7294" s="10"/>
      <c r="R7294" s="10"/>
      <c r="S7294" s="10"/>
      <c r="T7294" s="10"/>
      <c r="U7294" s="10"/>
      <c r="V7294" s="10"/>
      <c r="W7294" s="10"/>
      <c r="X7294" s="10"/>
      <c r="Y7294" s="10"/>
      <c r="Z7294" s="10"/>
    </row>
    <row r="7295" spans="1:26" ht="12.75">
      <c r="A7295" s="10" t="str">
        <f ca="1">IFERROR(__xludf.DUMMYFUNCTION("""COMPUTED_VALUE"""),"Стоян Георгиев Денчев")</f>
        <v>Стоян Георгиев Денчев</v>
      </c>
      <c r="B7295" s="10" t="str">
        <f ca="1">IFERROR(__xludf.DUMMYFUNCTION("""COMPUTED_VALUE"""),"Статия в списания и поредици")</f>
        <v>Статия в списания и поредици</v>
      </c>
      <c r="C7295" s="10" t="str">
        <f ca="1">IFERROR(__xludf.DUMMYFUNCTION("""COMPUTED_VALUE"""),"Sustainable Tools and Business Models in Support of Research and Publication Activity of Science Research")</f>
        <v>Sustainable Tools and Business Models in Support of Research and Publication Activity of Science Research</v>
      </c>
      <c r="D7295" s="10">
        <f ca="1">IFERROR(__xludf.DUMMYFUNCTION("""COMPUTED_VALUE"""),2015)</f>
        <v>2015</v>
      </c>
      <c r="E7295" s="10" t="str">
        <f ca="1">IFERROR(__xludf.DUMMYFUNCTION("""COMPUTED_VALUE"""),"Съвременни измерения на европейското образователно и научно пространство, Т. 3, 2015, с. 323-330. ISSN 2367-7988.")</f>
        <v>Съвременни измерения на европейското образователно и научно пространство, Т. 3, 2015, с. 323-330. ISSN 2367-7988.</v>
      </c>
      <c r="F7295" s="10"/>
      <c r="G7295" s="10" t="str">
        <f ca="1">IFERROR(__xludf.DUMMYFUNCTION("""COMPUTED_VALUE"""),"I. Yankova, I. Peteva R. Vasileva, Ts. Dimitrova")</f>
        <v>I. Yankova, I. Peteva R. Vasileva, Ts. Dimitrova</v>
      </c>
      <c r="H7295" s="10"/>
      <c r="I7295" s="10"/>
      <c r="J7295" s="10"/>
      <c r="K7295" s="10"/>
      <c r="L7295" s="10"/>
      <c r="M7295" s="10"/>
      <c r="N7295" s="10"/>
      <c r="O7295" s="10"/>
      <c r="P7295" s="10"/>
      <c r="Q7295" s="10"/>
      <c r="R7295" s="10"/>
      <c r="S7295" s="10"/>
      <c r="T7295" s="10"/>
      <c r="U7295" s="10"/>
      <c r="V7295" s="10"/>
      <c r="W7295" s="10"/>
      <c r="X7295" s="10"/>
      <c r="Y7295" s="10"/>
      <c r="Z7295" s="10"/>
    </row>
    <row r="7296" spans="1:26" ht="12.75">
      <c r="A7296" s="10" t="str">
        <f ca="1">IFERROR(__xludf.DUMMYFUNCTION("""COMPUTED_VALUE"""),"Стоян Георгиев Денчев")</f>
        <v>Стоян Георгиев Денчев</v>
      </c>
      <c r="B7296" s="10" t="str">
        <f ca="1">IFERROR(__xludf.DUMMYFUNCTION("""COMPUTED_VALUE"""),"Статия в списания и поредици")</f>
        <v>Статия в списания и поредици</v>
      </c>
      <c r="C7296" s="10" t="str">
        <f ca="1">IFERROR(__xludf.DUMMYFUNCTION("""COMPUTED_VALUE"""),"Integrated environment for e-Learning at SULSIT - models for the creation and exchange of educational content.")</f>
        <v>Integrated environment for e-Learning at SULSIT - models for the creation and exchange of educational content.</v>
      </c>
      <c r="D7296" s="10">
        <f ca="1">IFERROR(__xludf.DUMMYFUNCTION("""COMPUTED_VALUE"""),2015)</f>
        <v>2015</v>
      </c>
      <c r="E7296" s="10" t="str">
        <f ca="1">IFERROR(__xludf.DUMMYFUNCTION("""COMPUTED_VALUE"""),"Съвременни измерения на европейското образователно и научно пространство, Т. 3, 2015, с. 337-345. ISSN 2367-7988")</f>
        <v>Съвременни измерения на европейското образователно и научно пространство, Т. 3, 2015, с. 337-345. ISSN 2367-7988</v>
      </c>
      <c r="F7296" s="10"/>
      <c r="G7296" s="10" t="str">
        <f ca="1">IFERROR(__xludf.DUMMYFUNCTION("""COMPUTED_VALUE"""),"I. Peteva, K. Varbanova-Dencheva")</f>
        <v>I. Peteva, K. Varbanova-Dencheva</v>
      </c>
      <c r="H7296" s="10"/>
      <c r="I7296" s="10"/>
      <c r="J7296" s="10"/>
      <c r="K7296" s="10"/>
      <c r="L7296" s="10"/>
      <c r="M7296" s="10"/>
      <c r="N7296" s="10"/>
      <c r="O7296" s="10"/>
      <c r="P7296" s="10"/>
      <c r="Q7296" s="10"/>
      <c r="R7296" s="10"/>
      <c r="S7296" s="10"/>
      <c r="T7296" s="10"/>
      <c r="U7296" s="10"/>
      <c r="V7296" s="10"/>
      <c r="W7296" s="10"/>
      <c r="X7296" s="10"/>
      <c r="Y7296" s="10"/>
      <c r="Z7296" s="10"/>
    </row>
    <row r="7297" spans="1:26" ht="12.75">
      <c r="A7297" s="10" t="str">
        <f ca="1">IFERROR(__xludf.DUMMYFUNCTION("""COMPUTED_VALUE"""),"Стоян Георгиев Денчев")</f>
        <v>Стоян Георгиев Денчев</v>
      </c>
      <c r="B7297" s="10" t="str">
        <f ca="1">IFERROR(__xludf.DUMMYFUNCTION("""COMPUTED_VALUE"""),"Доклад от конференция")</f>
        <v>Доклад от конференция</v>
      </c>
      <c r="C7297" s="10" t="str">
        <f ca="1">IFERROR(__xludf.DUMMYFUNCTION("""COMPUTED_VALUE"""),"The University’s R&amp;D Institutes as a New Educational Approach")</f>
        <v>The University’s R&amp;D Institutes as a New Educational Approach</v>
      </c>
      <c r="D7297" s="10">
        <f ca="1">IFERROR(__xludf.DUMMYFUNCTION("""COMPUTED_VALUE"""),2015)</f>
        <v>2015</v>
      </c>
      <c r="E7297" s="10" t="str">
        <f ca="1">IFERROR(__xludf.DUMMYFUNCTION("""COMPUTED_VALUE"""),"International Technology, Education and Development Conference, Conference Proceedings, 02-04 March 2015, Madrid, Spain, pp. 951-957 ISBN 978-84-606-5763-7")</f>
        <v>International Technology, Education and Development Conference, Conference Proceedings, 02-04 March 2015, Madrid, Spain, pp. 951-957 ISBN 978-84-606-5763-7</v>
      </c>
      <c r="F7297" s="10" t="str">
        <f ca="1">IFERROR(__xludf.DUMMYFUNCTION("""COMPUTED_VALUE"""),"ISI Web of Knowledge")</f>
        <v>ISI Web of Knowledge</v>
      </c>
      <c r="G7297" s="10" t="str">
        <f ca="1">IFERROR(__xludf.DUMMYFUNCTION("""COMPUTED_VALUE"""),"T. Trencheva")</f>
        <v>T. Trencheva</v>
      </c>
      <c r="H7297" s="10"/>
      <c r="I7297" s="10"/>
      <c r="J7297" s="10"/>
      <c r="K7297" s="10"/>
      <c r="L7297" s="10"/>
      <c r="M7297" s="10"/>
      <c r="N7297" s="10"/>
      <c r="O7297" s="10"/>
      <c r="P7297" s="10"/>
      <c r="Q7297" s="10"/>
      <c r="R7297" s="10"/>
      <c r="S7297" s="10"/>
      <c r="T7297" s="10"/>
      <c r="U7297" s="10"/>
      <c r="V7297" s="10"/>
      <c r="W7297" s="10"/>
      <c r="X7297" s="10"/>
      <c r="Y7297" s="10"/>
      <c r="Z7297" s="10"/>
    </row>
    <row r="7298" spans="1:26" ht="12.75">
      <c r="A7298" s="10" t="str">
        <f ca="1">IFERROR(__xludf.DUMMYFUNCTION("""COMPUTED_VALUE"""),"Стоян Георгиев Денчев")</f>
        <v>Стоян Георгиев Денчев</v>
      </c>
      <c r="B7298" s="10" t="str">
        <f ca="1">IFERROR(__xludf.DUMMYFUNCTION("""COMPUTED_VALUE"""),"Доклад от конференция")</f>
        <v>Доклад от конференция</v>
      </c>
      <c r="C7298"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7298" s="10">
        <f ca="1">IFERROR(__xludf.DUMMYFUNCTION("""COMPUTED_VALUE"""),2015)</f>
        <v>2015</v>
      </c>
      <c r="E7298" s="10" t="str">
        <f ca="1">IFERROR(__xludf.DUMMYFUNCTION("""COMPUTED_VALUE"""),"Proceedings of the 2nd Annual International Conference on Library and International Science, 27-30 July 2015, Athens, Greece. p. 45-47.")</f>
        <v>Proceedings of the 2nd Annual International Conference on Library and International Science, 27-30 July 2015, Athens, Greece. p. 45-47.</v>
      </c>
      <c r="F7298" s="10"/>
      <c r="G7298" s="10" t="str">
        <f ca="1">IFERROR(__xludf.DUMMYFUNCTION("""COMPUTED_VALUE"""),"T. Trencheva")</f>
        <v>T. Trencheva</v>
      </c>
      <c r="H7298" s="10"/>
      <c r="I7298" s="10"/>
      <c r="J7298" s="10"/>
      <c r="K7298" s="10"/>
      <c r="L7298" s="10"/>
      <c r="M7298" s="10"/>
      <c r="N7298" s="10"/>
      <c r="O7298" s="10"/>
      <c r="P7298" s="10"/>
      <c r="Q7298" s="10"/>
      <c r="R7298" s="10"/>
      <c r="S7298" s="10"/>
      <c r="T7298" s="10"/>
      <c r="U7298" s="10"/>
      <c r="V7298" s="10"/>
      <c r="W7298" s="10"/>
      <c r="X7298" s="10"/>
      <c r="Y7298" s="10"/>
      <c r="Z7298" s="10"/>
    </row>
    <row r="7299" spans="1:26" ht="12.75">
      <c r="A7299" s="10" t="str">
        <f ca="1">IFERROR(__xludf.DUMMYFUNCTION("""COMPUTED_VALUE"""),"Стоян Георгиев Денчев")</f>
        <v>Стоян Георгиев Денчев</v>
      </c>
      <c r="B7299" s="10" t="str">
        <f ca="1">IFERROR(__xludf.DUMMYFUNCTION("""COMPUTED_VALUE"""),"Монография")</f>
        <v>Монография</v>
      </c>
      <c r="C7299" s="10" t="str">
        <f ca="1">IFERROR(__xludf.DUMMYFUNCTION("""COMPUTED_VALUE"""),"Primus inter pares: щрихи към когнитологичен портрет, направен в стила на интервюто: учебник за студенти по когнитологично портретиране на персоналии в дисциплините от информационно-комуникативния цикъл на знанието.")</f>
        <v>Primus inter pares: щрихи към когнитологичен портрет, направен в стила на интервюто: учебник за студенти по когнитологично портретиране на персоналии в дисциплините от информационно-комуникативния цикъл на знанието.</v>
      </c>
      <c r="D7299" s="10">
        <f ca="1">IFERROR(__xludf.DUMMYFUNCTION("""COMPUTED_VALUE"""),2015)</f>
        <v>2015</v>
      </c>
      <c r="E7299" s="10" t="str">
        <f ca="1">IFERROR(__xludf.DUMMYFUNCTION("""COMPUTED_VALUE"""),"София, 2015. 184 с. ISBN 978-619-185-189-8.")</f>
        <v>София, 2015. 184 с. ISBN 978-619-185-189-8.</v>
      </c>
      <c r="F7299" s="10"/>
      <c r="G7299" s="10"/>
      <c r="H7299" s="10"/>
      <c r="I7299" s="10"/>
      <c r="J7299" s="10"/>
      <c r="K7299" s="10"/>
      <c r="L7299" s="10"/>
      <c r="M7299" s="10"/>
      <c r="N7299" s="10"/>
      <c r="O7299" s="10"/>
      <c r="P7299" s="10"/>
      <c r="Q7299" s="10"/>
      <c r="R7299" s="10"/>
      <c r="S7299" s="10"/>
      <c r="T7299" s="10"/>
      <c r="U7299" s="10"/>
      <c r="V7299" s="10"/>
      <c r="W7299" s="10"/>
      <c r="X7299" s="10"/>
      <c r="Y7299" s="10"/>
      <c r="Z7299" s="10"/>
    </row>
    <row r="7300" spans="1:26" ht="12.75">
      <c r="A7300" s="10" t="str">
        <f ca="1">IFERROR(__xludf.DUMMYFUNCTION("""COMPUTED_VALUE"""),"Стоян Георгиев Денчев")</f>
        <v>Стоян Георгиев Денчев</v>
      </c>
      <c r="B7300" s="10" t="str">
        <f ca="1">IFERROR(__xludf.DUMMYFUNCTION("""COMPUTED_VALUE"""),"Доклад от конференция")</f>
        <v>Доклад от конференция</v>
      </c>
      <c r="C7300" s="10" t="str">
        <f ca="1">IFERROR(__xludf.DUMMYFUNCTION("""COMPUTED_VALUE"""),"The University’s R&amp;D Institutes as a New Educational Approach.")</f>
        <v>The University’s R&amp;D Institutes as a New Educational Approach.</v>
      </c>
      <c r="D7300" s="10">
        <f ca="1">IFERROR(__xludf.DUMMYFUNCTION("""COMPUTED_VALUE"""),2015)</f>
        <v>2015</v>
      </c>
      <c r="E7300" s="10" t="str">
        <f ca="1">IFERROR(__xludf.DUMMYFUNCTION("""COMPUTED_VALUE"""),"Proceedings of the 9th International Technology, Education and Development Conference INTED 2015, 02-04 March 2015, Madrid, Spain, p. 951-957. ISBN 978-84-606-5763-7.")</f>
        <v>Proceedings of the 9th International Technology, Education and Development Conference INTED 2015, 02-04 March 2015, Madrid, Spain, p. 951-957. ISBN 978-84-606-5763-7.</v>
      </c>
      <c r="F7300" s="10"/>
      <c r="G7300" s="10" t="str">
        <f ca="1">IFERROR(__xludf.DUMMYFUNCTION("""COMPUTED_VALUE"""),"T. Trencheva")</f>
        <v>T. Trencheva</v>
      </c>
      <c r="H7300" s="10"/>
      <c r="I7300" s="10"/>
      <c r="J7300" s="10"/>
      <c r="K7300" s="10"/>
      <c r="L7300" s="10"/>
      <c r="M7300" s="10"/>
      <c r="N7300" s="10"/>
      <c r="O7300" s="10"/>
      <c r="P7300" s="10"/>
      <c r="Q7300" s="10"/>
      <c r="R7300" s="10"/>
      <c r="S7300" s="10"/>
      <c r="T7300" s="10"/>
      <c r="U7300" s="10"/>
      <c r="V7300" s="10"/>
      <c r="W7300" s="10"/>
      <c r="X7300" s="10"/>
      <c r="Y7300" s="10"/>
      <c r="Z7300" s="10"/>
    </row>
    <row r="7301" spans="1:26" ht="12.75">
      <c r="A7301" s="10" t="str">
        <f ca="1">IFERROR(__xludf.DUMMYFUNCTION("""COMPUTED_VALUE"""),"Стоян Георгиев Денчев")</f>
        <v>Стоян Георгиев Денчев</v>
      </c>
      <c r="B7301" s="10" t="str">
        <f ca="1">IFERROR(__xludf.DUMMYFUNCTION("""COMPUTED_VALUE"""),"Статия в списания и поредици")</f>
        <v>Статия в списания и поредици</v>
      </c>
      <c r="C7301" s="10" t="str">
        <f ca="1">IFERROR(__xludf.DUMMYFUNCTION("""COMPUTED_VALUE"""),"Цветните революции - кой разбърква боите и кои са художниците")</f>
        <v>Цветните революции - кой разбърква боите и кои са художниците</v>
      </c>
      <c r="D7301" s="10">
        <f ca="1">IFERROR(__xludf.DUMMYFUNCTION("""COMPUTED_VALUE"""),2015)</f>
        <v>2015</v>
      </c>
      <c r="E7301" s="10" t="str">
        <f ca="1">IFERROR(__xludf.DUMMYFUNCTION("""COMPUTED_VALUE"""),"Военен журнал 122, 2015, № 2, с. 132-136. ISSN 0861-7392.")</f>
        <v>Военен журнал 122, 2015, № 2, с. 132-136. ISSN 0861-7392.</v>
      </c>
      <c r="F7301" s="10"/>
      <c r="G7301" s="10" t="str">
        <f ca="1">IFERROR(__xludf.DUMMYFUNCTION("""COMPUTED_VALUE"""),"М.Павлова")</f>
        <v>М.Павлова</v>
      </c>
      <c r="H7301" s="10"/>
      <c r="I7301" s="10"/>
      <c r="J7301" s="10"/>
      <c r="K7301" s="10"/>
      <c r="L7301" s="10"/>
      <c r="M7301" s="10"/>
      <c r="N7301" s="10"/>
      <c r="O7301" s="10"/>
      <c r="P7301" s="10"/>
      <c r="Q7301" s="10"/>
      <c r="R7301" s="10"/>
      <c r="S7301" s="10"/>
      <c r="T7301" s="10"/>
      <c r="U7301" s="10"/>
      <c r="V7301" s="10"/>
      <c r="W7301" s="10"/>
      <c r="X7301" s="10"/>
      <c r="Y7301" s="10"/>
      <c r="Z7301" s="10"/>
    </row>
    <row r="7302" spans="1:26" ht="12.75">
      <c r="A7302" s="10" t="str">
        <f ca="1">IFERROR(__xludf.DUMMYFUNCTION("""COMPUTED_VALUE"""),"Стоян Георгиев Денчев")</f>
        <v>Стоян Георгиев Денчев</v>
      </c>
      <c r="B7302" s="10" t="str">
        <f ca="1">IFERROR(__xludf.DUMMYFUNCTION("""COMPUTED_VALUE"""),"Статия в списания и поредици")</f>
        <v>Статия в списания и поредици</v>
      </c>
      <c r="C7302" s="10" t="str">
        <f ca="1">IFERROR(__xludf.DUMMYFUNCTION("""COMPUTED_VALUE"""),"Алтернативни практики в сферата на музейния и арт мениджмънт в контекста на образованието по изкуствата и културата през целия живот")</f>
        <v>Алтернативни практики в сферата на музейния и арт мениджмънт в контекста на образованието по изкуствата и културата през целия живот</v>
      </c>
      <c r="D7302" s="10">
        <f ca="1">IFERROR(__xludf.DUMMYFUNCTION("""COMPUTED_VALUE"""),2015)</f>
        <v>2015</v>
      </c>
      <c r="E7302" s="10" t="str">
        <f ca="1">IFERROR(__xludf.DUMMYFUNCTION("""COMPUTED_VALUE"""),"Съвременни измерения на европейското образователно и научно пространство, Т. 3, 2015, с. 402-407. ISSN 2367-7988.")</f>
        <v>Съвременни измерения на европейското образователно и научно пространство, Т. 3, 2015, с. 402-407. ISSN 2367-7988.</v>
      </c>
      <c r="F7302" s="10"/>
      <c r="G7302" s="10" t="str">
        <f ca="1">IFERROR(__xludf.DUMMYFUNCTION("""COMPUTED_VALUE"""),"Е.Велев")</f>
        <v>Е.Велев</v>
      </c>
      <c r="H7302" s="10"/>
      <c r="I7302" s="10"/>
      <c r="J7302" s="10"/>
      <c r="K7302" s="10"/>
      <c r="L7302" s="10"/>
      <c r="M7302" s="10"/>
      <c r="N7302" s="10"/>
      <c r="O7302" s="10"/>
      <c r="P7302" s="10"/>
      <c r="Q7302" s="10"/>
      <c r="R7302" s="10"/>
      <c r="S7302" s="10"/>
      <c r="T7302" s="10"/>
      <c r="U7302" s="10"/>
      <c r="V7302" s="10"/>
      <c r="W7302" s="10"/>
      <c r="X7302" s="10"/>
      <c r="Y7302" s="10"/>
      <c r="Z7302" s="10"/>
    </row>
    <row r="7303" spans="1:26" ht="12.75">
      <c r="A7303" s="10" t="str">
        <f ca="1">IFERROR(__xludf.DUMMYFUNCTION("""COMPUTED_VALUE"""),"Стоян Георгиев Денчев")</f>
        <v>Стоян Георгиев Денчев</v>
      </c>
      <c r="B7303" s="10" t="str">
        <f ca="1">IFERROR(__xludf.DUMMYFUNCTION("""COMPUTED_VALUE"""),"Доклад от конференция")</f>
        <v>Доклад от конференция</v>
      </c>
      <c r="C7303" s="10" t="str">
        <f ca="1">IFERROR(__xludf.DUMMYFUNCTION("""COMPUTED_VALUE"""),"The Summer Knowledge Academy as a Part of the University Reserch and Educational Environment")</f>
        <v>The Summer Knowledge Academy as a Part of the University Reserch and Educational Environment</v>
      </c>
      <c r="D7303" s="10">
        <f ca="1">IFERROR(__xludf.DUMMYFUNCTION("""COMPUTED_VALUE"""),2015)</f>
        <v>2015</v>
      </c>
      <c r="E7303" s="10" t="str">
        <f ca="1">IFERROR(__xludf.DUMMYFUNCTION("""COMPUTED_VALUE"""),"New Perspectives in Science Education: Conference Proceedings, 20-21 March 2015, Florence, Italy. p. 262-265. ISBN 978-88-6292-600-3.")</f>
        <v>New Perspectives in Science Education: Conference Proceedings, 20-21 March 2015, Florence, Italy. p. 262-265. ISBN 978-88-6292-600-3.</v>
      </c>
      <c r="F7303" s="10"/>
      <c r="G7303" s="10" t="str">
        <f ca="1">IFERROR(__xludf.DUMMYFUNCTION("""COMPUTED_VALUE"""),"T. Trencheva")</f>
        <v>T. Trencheva</v>
      </c>
      <c r="H7303" s="10"/>
      <c r="I7303" s="10"/>
      <c r="J7303" s="10"/>
      <c r="K7303" s="10"/>
      <c r="L7303" s="10"/>
      <c r="M7303" s="10"/>
      <c r="N7303" s="10"/>
      <c r="O7303" s="10"/>
      <c r="P7303" s="10"/>
      <c r="Q7303" s="10"/>
      <c r="R7303" s="10"/>
      <c r="S7303" s="10"/>
      <c r="T7303" s="10"/>
      <c r="U7303" s="10"/>
      <c r="V7303" s="10"/>
      <c r="W7303" s="10"/>
      <c r="X7303" s="10"/>
      <c r="Y7303" s="10"/>
      <c r="Z7303" s="10"/>
    </row>
    <row r="7304" spans="1:26" ht="12.75">
      <c r="A7304" s="10" t="str">
        <f ca="1">IFERROR(__xludf.DUMMYFUNCTION("""COMPUTED_VALUE"""),"Стоян Георгиев Денчев")</f>
        <v>Стоян Георгиев Денчев</v>
      </c>
      <c r="B7304" s="10" t="str">
        <f ca="1">IFERROR(__xludf.DUMMYFUNCTION("""COMPUTED_VALUE"""),"Доклад от конференция")</f>
        <v>Доклад от конференция</v>
      </c>
      <c r="C7304" s="10" t="str">
        <f ca="1">IFERROR(__xludf.DUMMYFUNCTION("""COMPUTED_VALUE"""),"Алтернативни университетски образователни модели в обществото на знанието")</f>
        <v>Алтернативни университетски образователни модели в обществото на знанието</v>
      </c>
      <c r="D7304" s="10">
        <f ca="1">IFERROR(__xludf.DUMMYFUNCTION("""COMPUTED_VALUE"""),2014)</f>
        <v>2014</v>
      </c>
      <c r="E7304" s="10" t="str">
        <f ca="1">IFERROR(__xludf.DUMMYFUNCTION("""COMPUTED_VALUE"""),"Съвременни стратегии и иновации в управление на знанието: сборник с доклади от международните пътуващи семинари на УниБИТ, 25-30 май 2013 г., Лондон и 7-12 май 2014 г., Рим. София: За буквите - О писменехь, 2014, с. 55-69. ISBN 978-619-185-140")</f>
        <v>Съвременни стратегии и иновации в управление на знанието: сборник с доклади от международните пътуващи семинари на УниБИТ, 25-30 май 2013 г., Лондон и 7-12 май 2014 г., Рим. София: За буквите - О писменехь, 2014, с. 55-69. ISBN 978-619-185-140</v>
      </c>
      <c r="F7304" s="10"/>
      <c r="G7304" s="10"/>
      <c r="H7304" s="10"/>
      <c r="I7304" s="10"/>
      <c r="J7304" s="10"/>
      <c r="K7304" s="10"/>
      <c r="L7304" s="10"/>
      <c r="M7304" s="10"/>
      <c r="N7304" s="10"/>
      <c r="O7304" s="10"/>
      <c r="P7304" s="10"/>
      <c r="Q7304" s="10"/>
      <c r="R7304" s="10"/>
      <c r="S7304" s="10"/>
      <c r="T7304" s="10"/>
      <c r="U7304" s="10"/>
      <c r="V7304" s="10"/>
      <c r="W7304" s="10"/>
      <c r="X7304" s="10"/>
      <c r="Y7304" s="10"/>
      <c r="Z7304" s="10"/>
    </row>
    <row r="7305" spans="1:26" ht="12.75">
      <c r="A7305" s="10" t="str">
        <f ca="1">IFERROR(__xludf.DUMMYFUNCTION("""COMPUTED_VALUE"""),"Стоян Георгиев Денчев")</f>
        <v>Стоян Георгиев Денчев</v>
      </c>
      <c r="B7305" s="10" t="str">
        <f ca="1">IFERROR(__xludf.DUMMYFUNCTION("""COMPUTED_VALUE"""),"Книга")</f>
        <v>Книга</v>
      </c>
      <c r="C7305" s="10" t="str">
        <f ca="1">IFERROR(__xludf.DUMMYFUNCTION("""COMPUTED_VALUE"""),"Информационен мениджмънт.")</f>
        <v>Информационен мениджмънт.</v>
      </c>
      <c r="D7305" s="10">
        <f ca="1">IFERROR(__xludf.DUMMYFUNCTION("""COMPUTED_VALUE"""),2014)</f>
        <v>2014</v>
      </c>
      <c r="E7305" s="10" t="str">
        <f ca="1">IFERROR(__xludf.DUMMYFUNCTION("""COMPUTED_VALUE"""),"София: За буквите - О писменехь, 2014. 121 с. ISBN 978-619-185-114-0")</f>
        <v>София: За буквите - О писменехь, 2014. 121 с. ISBN 978-619-185-114-0</v>
      </c>
      <c r="F7305" s="10"/>
      <c r="G7305" s="10" t="str">
        <f ca="1">IFERROR(__xludf.DUMMYFUNCTION("""COMPUTED_VALUE"""),"Р. Николов, Е. Ковачева")</f>
        <v>Р. Николов, Е. Ковачева</v>
      </c>
      <c r="H7305" s="10"/>
      <c r="I7305" s="10"/>
      <c r="J7305" s="10"/>
      <c r="K7305" s="10"/>
      <c r="L7305" s="10"/>
      <c r="M7305" s="10"/>
      <c r="N7305" s="10"/>
      <c r="O7305" s="10"/>
      <c r="P7305" s="10"/>
      <c r="Q7305" s="10"/>
      <c r="R7305" s="10"/>
      <c r="S7305" s="10"/>
      <c r="T7305" s="10"/>
      <c r="U7305" s="10"/>
      <c r="V7305" s="10"/>
      <c r="W7305" s="10"/>
      <c r="X7305" s="10"/>
      <c r="Y7305" s="10"/>
      <c r="Z7305" s="10"/>
    </row>
    <row r="7306" spans="1:26" ht="12.75">
      <c r="A7306" s="10" t="str">
        <f ca="1">IFERROR(__xludf.DUMMYFUNCTION("""COMPUTED_VALUE"""),"Стоян Георгиев Денчев")</f>
        <v>Стоян Георгиев Денчев</v>
      </c>
      <c r="B7306" s="10" t="str">
        <f ca="1">IFERROR(__xludf.DUMMYFUNCTION("""COMPUTED_VALUE"""),"Статия в списания и поредици")</f>
        <v>Статия в списания и поредици</v>
      </c>
      <c r="C7306" s="10" t="str">
        <f ca="1">IFERROR(__xludf.DUMMYFUNCTION("""COMPUTED_VALUE"""),"Право на информацию: социальные и технические аспекты проблемы")</f>
        <v>Право на информацию: социальные и технические аспекты проблемы</v>
      </c>
      <c r="D7306" s="10">
        <f ca="1">IFERROR(__xludf.DUMMYFUNCTION("""COMPUTED_VALUE"""),2014)</f>
        <v>2014</v>
      </c>
      <c r="E7306" s="10" t="str">
        <f ca="1">IFERROR(__xludf.DUMMYFUNCTION("""COMPUTED_VALUE"""),"Известия высших учебных заведений. Проблемы полиграфии и издательского дела, 2014, № 2, с. 59-64. ISSN 2072-6775.")</f>
        <v>Известия высших учебных заведений. Проблемы полиграфии и издательского дела, 2014, № 2, с. 59-64. ISSN 2072-6775.</v>
      </c>
      <c r="F7306" s="10"/>
      <c r="G7306" s="10" t="str">
        <f ca="1">IFERROR(__xludf.DUMMYFUNCTION("""COMPUTED_VALUE"""),"Г. Матрюхин")</f>
        <v>Г. Матрюхин</v>
      </c>
      <c r="H7306" s="10"/>
      <c r="I7306" s="10"/>
      <c r="J7306" s="10"/>
      <c r="K7306" s="10"/>
      <c r="L7306" s="10"/>
      <c r="M7306" s="10"/>
      <c r="N7306" s="10"/>
      <c r="O7306" s="10"/>
      <c r="P7306" s="10"/>
      <c r="Q7306" s="10"/>
      <c r="R7306" s="10"/>
      <c r="S7306" s="10"/>
      <c r="T7306" s="10"/>
      <c r="U7306" s="10"/>
      <c r="V7306" s="10"/>
      <c r="W7306" s="10"/>
      <c r="X7306" s="10"/>
      <c r="Y7306" s="10"/>
      <c r="Z7306" s="10"/>
    </row>
    <row r="7307" spans="1:26" ht="12.75">
      <c r="A7307" s="10" t="str">
        <f ca="1">IFERROR(__xludf.DUMMYFUNCTION("""COMPUTED_VALUE"""),"Стоян Георгиев Денчев")</f>
        <v>Стоян Георгиев Денчев</v>
      </c>
      <c r="B7307" s="10" t="str">
        <f ca="1">IFERROR(__xludf.DUMMYFUNCTION("""COMPUTED_VALUE"""),"Статия в списания и поредици")</f>
        <v>Статия в списания и поредици</v>
      </c>
      <c r="C7307" s="10" t="str">
        <f ca="1">IFERROR(__xludf.DUMMYFUNCTION("""COMPUTED_VALUE"""),"Intellectual Property Knowledge at the University's Information Environment.")</f>
        <v>Intellectual Property Knowledge at the University's Information Environment.</v>
      </c>
      <c r="D7307" s="10">
        <f ca="1">IFERROR(__xludf.DUMMYFUNCTION("""COMPUTED_VALUE"""),2014)</f>
        <v>2014</v>
      </c>
      <c r="E7307" s="10" t="str">
        <f ca="1">IFERROR(__xludf.DUMMYFUNCTION("""COMPUTED_VALUE"""),"A Comparative Study - Open Access Journal of Applied Sciences, Vol. 4, 2014, № 3, p. 130-136.")</f>
        <v>A Comparative Study - Open Access Journal of Applied Sciences, Vol. 4, 2014, № 3, p. 130-136.</v>
      </c>
      <c r="F7307" s="10"/>
      <c r="G7307" s="10" t="str">
        <f ca="1">IFERROR(__xludf.DUMMYFUNCTION("""COMPUTED_VALUE"""),"T. Trencheva")</f>
        <v>T. Trencheva</v>
      </c>
      <c r="H7307" s="10"/>
      <c r="I7307" s="10"/>
      <c r="J7307" s="10"/>
      <c r="K7307" s="10"/>
      <c r="L7307" s="10"/>
      <c r="M7307" s="10"/>
      <c r="N7307" s="10"/>
      <c r="O7307" s="10"/>
      <c r="P7307" s="10"/>
      <c r="Q7307" s="10"/>
      <c r="R7307" s="10"/>
      <c r="S7307" s="10"/>
      <c r="T7307" s="10"/>
      <c r="U7307" s="10"/>
      <c r="V7307" s="10"/>
      <c r="W7307" s="10"/>
      <c r="X7307" s="10"/>
      <c r="Y7307" s="10"/>
      <c r="Z7307" s="10"/>
    </row>
    <row r="7308" spans="1:26" ht="12.75">
      <c r="A7308" s="10" t="str">
        <f ca="1">IFERROR(__xludf.DUMMYFUNCTION("""COMPUTED_VALUE"""),"Стоян Георгиев Денчев")</f>
        <v>Стоян Георгиев Денчев</v>
      </c>
      <c r="B7308" s="10" t="str">
        <f ca="1">IFERROR(__xludf.DUMMYFUNCTION("""COMPUTED_VALUE"""),"Монография")</f>
        <v>Монография</v>
      </c>
      <c r="C7308" s="10" t="str">
        <f ca="1">IFERROR(__xludf.DUMMYFUNCTION("""COMPUTED_VALUE"""),"Информационен мениджмънт.")</f>
        <v>Информационен мениджмънт.</v>
      </c>
      <c r="D7308" s="10">
        <f ca="1">IFERROR(__xludf.DUMMYFUNCTION("""COMPUTED_VALUE"""),2014)</f>
        <v>2014</v>
      </c>
      <c r="E7308" s="10" t="str">
        <f ca="1">IFERROR(__xludf.DUMMYFUNCTION("""COMPUTED_VALUE"""),"София: За буквите - О писменехь, 2014. 121 с. ISBN 978-619-185-114-0.")</f>
        <v>София: За буквите - О писменехь, 2014. 121 с. ISBN 978-619-185-114-0.</v>
      </c>
      <c r="F7308" s="10"/>
      <c r="G7308" s="10" t="str">
        <f ca="1">IFERROR(__xludf.DUMMYFUNCTION("""COMPUTED_VALUE"""),"Е. Ковачева, Р. Николов")</f>
        <v>Е. Ковачева, Р. Николов</v>
      </c>
      <c r="H7308" s="10"/>
      <c r="I7308" s="10"/>
      <c r="J7308" s="10"/>
      <c r="K7308" s="10"/>
      <c r="L7308" s="10"/>
      <c r="M7308" s="10"/>
      <c r="N7308" s="10"/>
      <c r="O7308" s="10"/>
      <c r="P7308" s="10"/>
      <c r="Q7308" s="10"/>
      <c r="R7308" s="10"/>
      <c r="S7308" s="10"/>
      <c r="T7308" s="10"/>
      <c r="U7308" s="10"/>
      <c r="V7308" s="10"/>
      <c r="W7308" s="10"/>
      <c r="X7308" s="10"/>
      <c r="Y7308" s="10"/>
      <c r="Z7308" s="10"/>
    </row>
    <row r="7309" spans="1:26" ht="12.75">
      <c r="A7309" s="10" t="str">
        <f ca="1">IFERROR(__xludf.DUMMYFUNCTION("""COMPUTED_VALUE"""),"Стоян Георгиев Денчев")</f>
        <v>Стоян Георгиев Денчев</v>
      </c>
      <c r="B7309" s="10" t="str">
        <f ca="1">IFERROR(__xludf.DUMMYFUNCTION("""COMPUTED_VALUE"""),"Монография")</f>
        <v>Монография</v>
      </c>
      <c r="C7309" s="10" t="str">
        <f ca="1">IFERROR(__xludf.DUMMYFUNCTION("""COMPUTED_VALUE"""),"Несигурност, сложност и информация: анализ и развитие на несигурна информационна среда: системен анализ.")</f>
        <v>Несигурност, сложност и информация: анализ и развитие на несигурна информационна среда: системен анализ.</v>
      </c>
      <c r="D7309" s="10">
        <f ca="1">IFERROR(__xludf.DUMMYFUNCTION("""COMPUTED_VALUE"""),2014)</f>
        <v>2014</v>
      </c>
      <c r="E7309" s="10" t="str">
        <f ca="1">IFERROR(__xludf.DUMMYFUNCTION("""COMPUTED_VALUE"""),"София: За буквите - О писменехь, 2014. 192 с. ISBN 978-619-185-102-7")</f>
        <v>София: За буквите - О писменехь, 2014. 192 с. ISBN 978-619-185-102-7</v>
      </c>
      <c r="F7309" s="10"/>
      <c r="G7309" s="10" t="str">
        <f ca="1">IFERROR(__xludf.DUMMYFUNCTION("""COMPUTED_VALUE"""),"Д. Христозов")</f>
        <v>Д. Христозов</v>
      </c>
      <c r="H7309" s="10"/>
      <c r="I7309" s="10"/>
      <c r="J7309" s="10"/>
      <c r="K7309" s="10"/>
      <c r="L7309" s="10"/>
      <c r="M7309" s="10"/>
      <c r="N7309" s="10"/>
      <c r="O7309" s="10"/>
      <c r="P7309" s="10"/>
      <c r="Q7309" s="10"/>
      <c r="R7309" s="10"/>
      <c r="S7309" s="10"/>
      <c r="T7309" s="10"/>
      <c r="U7309" s="10"/>
      <c r="V7309" s="10"/>
      <c r="W7309" s="10"/>
      <c r="X7309" s="10"/>
      <c r="Y7309" s="10"/>
      <c r="Z7309" s="10"/>
    </row>
    <row r="7310" spans="1:26" ht="12.75">
      <c r="A7310" s="10" t="str">
        <f ca="1">IFERROR(__xludf.DUMMYFUNCTION("""COMPUTED_VALUE"""),"Стоян Георгиев Денчев")</f>
        <v>Стоян Георгиев Денчев</v>
      </c>
      <c r="B7310" s="10" t="str">
        <f ca="1">IFERROR(__xludf.DUMMYFUNCTION("""COMPUTED_VALUE"""),"Доклад от конференция")</f>
        <v>Доклад от конференция</v>
      </c>
      <c r="C7310" s="10" t="str">
        <f ca="1">IFERROR(__xludf.DUMMYFUNCTION("""COMPUTED_VALUE"""),"Development of Policies for the Socialization of Cultural Heritage trough University Education-Best Practices of the State University of Library Studies and Information Technologies")</f>
        <v>Development of Policies for the Socialization of Cultural Heritage trough University Education-Best Practices of the State University of Library Studies and Information Technologies</v>
      </c>
      <c r="D7310" s="10">
        <f ca="1">IFERROR(__xludf.DUMMYFUNCTION("""COMPUTED_VALUE"""),2013)</f>
        <v>2013</v>
      </c>
      <c r="E7310" s="10" t="str">
        <f ca="1">IFERROR(__xludf.DUMMYFUNCTION("""COMPUTED_VALUE"""),"The Future of Education: Third International Conference, 13-14 June 2013, Florence, Italy. ISBN 978-88-6292-386-6.")</f>
        <v>The Future of Education: Third International Conference, 13-14 June 2013, Florence, Italy. ISBN 978-88-6292-386-6.</v>
      </c>
      <c r="F7310" s="10"/>
      <c r="G7310" s="10" t="str">
        <f ca="1">IFERROR(__xludf.DUMMYFUNCTION("""COMPUTED_VALUE"""),"S. Vassileva")</f>
        <v>S. Vassileva</v>
      </c>
      <c r="H7310" s="10"/>
      <c r="I7310" s="10"/>
      <c r="J7310" s="10"/>
      <c r="K7310" s="10"/>
      <c r="L7310" s="10"/>
      <c r="M7310" s="10"/>
      <c r="N7310" s="10"/>
      <c r="O7310" s="10"/>
      <c r="P7310" s="10"/>
      <c r="Q7310" s="10"/>
      <c r="R7310" s="10"/>
      <c r="S7310" s="10"/>
      <c r="T7310" s="10"/>
      <c r="U7310" s="10"/>
      <c r="V7310" s="10"/>
      <c r="W7310" s="10"/>
      <c r="X7310" s="10"/>
      <c r="Y7310" s="10"/>
      <c r="Z7310" s="10"/>
    </row>
    <row r="7311" spans="1:26" ht="12.75">
      <c r="A7311" s="10" t="str">
        <f ca="1">IFERROR(__xludf.DUMMYFUNCTION("""COMPUTED_VALUE"""),"Стоян Георгиев Денчев")</f>
        <v>Стоян Георгиев Денчев</v>
      </c>
      <c r="B7311" s="10" t="str">
        <f ca="1">IFERROR(__xludf.DUMMYFUNCTION("""COMPUTED_VALUE"""),"Книга")</f>
        <v>Книга</v>
      </c>
      <c r="C7311" s="10" t="str">
        <f ca="1">IFERROR(__xludf.DUMMYFUNCTION("""COMPUTED_VALUE"""),"Създаване и развитие на докторантски училища в световни университетски структури")</f>
        <v>Създаване и развитие на докторантски училища в световни университетски структури</v>
      </c>
      <c r="D7311" s="10">
        <f ca="1">IFERROR(__xludf.DUMMYFUNCTION("""COMPUTED_VALUE"""),2013)</f>
        <v>2013</v>
      </c>
      <c r="E7311" s="10" t="str">
        <f ca="1">IFERROR(__xludf.DUMMYFUNCTION("""COMPUTED_VALUE"""),"С., О писменехь, 2013 г., ISBN 978-954-334-152-8.")</f>
        <v>С., О писменехь, 2013 г., ISBN 978-954-334-152-8.</v>
      </c>
      <c r="F7311" s="10"/>
      <c r="G7311" s="10" t="str">
        <f ca="1">IFERROR(__xludf.DUMMYFUNCTION("""COMPUTED_VALUE"""),"Ирена Петева, Цветан Семерджиев, Николай Митев")</f>
        <v>Ирена Петева, Цветан Семерджиев, Николай Митев</v>
      </c>
      <c r="H7311" s="10"/>
      <c r="I7311" s="10"/>
      <c r="J7311" s="10"/>
      <c r="K7311" s="10"/>
      <c r="L7311" s="10"/>
      <c r="M7311" s="10"/>
      <c r="N7311" s="10"/>
      <c r="O7311" s="10"/>
      <c r="P7311" s="10"/>
      <c r="Q7311" s="10"/>
      <c r="R7311" s="10"/>
      <c r="S7311" s="10"/>
      <c r="T7311" s="10"/>
      <c r="U7311" s="10"/>
      <c r="V7311" s="10"/>
      <c r="W7311" s="10"/>
      <c r="X7311" s="10"/>
      <c r="Y7311" s="10"/>
      <c r="Z7311" s="10"/>
    </row>
    <row r="7312" spans="1:26" ht="12.75">
      <c r="A7312" s="10" t="str">
        <f ca="1">IFERROR(__xludf.DUMMYFUNCTION("""COMPUTED_VALUE"""),"Стоян Георгиев Денчев")</f>
        <v>Стоян Георгиев Денчев</v>
      </c>
      <c r="B7312" s="10" t="str">
        <f ca="1">IFERROR(__xludf.DUMMYFUNCTION("""COMPUTED_VALUE"""),"Доклад от конференция")</f>
        <v>Доклад от конференция</v>
      </c>
      <c r="C7312" s="10" t="str">
        <f ca="1">IFERROR(__xludf.DUMMYFUNCTION("""COMPUTED_VALUE"""),"Intellectual property education in university environment in Bulgaria.")</f>
        <v>Intellectual property education in university environment in Bulgaria.</v>
      </c>
      <c r="D7312" s="10">
        <f ca="1">IFERROR(__xludf.DUMMYFUNCTION("""COMPUTED_VALUE"""),2013)</f>
        <v>2013</v>
      </c>
      <c r="E7312" s="10" t="str">
        <f ca="1">IFERROR(__xludf.DUMMYFUNCTION("""COMPUTED_VALUE"""),"International Conference on the Future of Education, June 2013, Vol. 3, pp. 743-746.ISBN 978-88-6292-386-6")</f>
        <v>International Conference on the Future of Education, June 2013, Vol. 3, pp. 743-746.ISBN 978-88-6292-386-6</v>
      </c>
      <c r="F7312" s="10" t="str">
        <f ca="1">IFERROR(__xludf.DUMMYFUNCTION("""COMPUTED_VALUE"""),"Web of Science
 Scopus")</f>
        <v>Web of Science
 Scopus</v>
      </c>
      <c r="G7312" s="10" t="str">
        <f ca="1">IFERROR(__xludf.DUMMYFUNCTION("""COMPUTED_VALUE"""),"Tereza Trencheva")</f>
        <v>Tereza Trencheva</v>
      </c>
      <c r="H7312" s="10"/>
      <c r="I7312" s="10"/>
      <c r="J7312" s="10"/>
      <c r="K7312" s="10"/>
      <c r="L7312" s="10"/>
      <c r="M7312" s="10"/>
      <c r="N7312" s="10"/>
      <c r="O7312" s="10"/>
      <c r="P7312" s="10"/>
      <c r="Q7312" s="10"/>
      <c r="R7312" s="10"/>
      <c r="S7312" s="10"/>
      <c r="T7312" s="10"/>
      <c r="U7312" s="10"/>
      <c r="V7312" s="10"/>
      <c r="W7312" s="10"/>
      <c r="X7312" s="10"/>
      <c r="Y7312" s="10"/>
      <c r="Z7312" s="10"/>
    </row>
    <row r="7313" spans="1:26" ht="12.75">
      <c r="A7313" s="10" t="str">
        <f ca="1">IFERROR(__xludf.DUMMYFUNCTION("""COMPUTED_VALUE"""),"Стоян Георгиев Денчев")</f>
        <v>Стоян Георгиев Денчев</v>
      </c>
      <c r="B7313" s="10" t="str">
        <f ca="1">IFERROR(__xludf.DUMMYFUNCTION("""COMPUTED_VALUE"""),"Студия")</f>
        <v>Студия</v>
      </c>
      <c r="C7313" s="10" t="str">
        <f ca="1">IFERROR(__xludf.DUMMYFUNCTION("""COMPUTED_VALUE"""),"Характерни аспекти на обучението по информационни технологии във висшите училища: роля и значение на ИКТ в университетските докторантски програми.")</f>
        <v>Характерни аспекти на обучението по информационни технологии във висшите училища: роля и значение на ИКТ в университетските докторантски програми.</v>
      </c>
      <c r="D7313" s="10">
        <f ca="1">IFERROR(__xludf.DUMMYFUNCTION("""COMPUTED_VALUE"""),2013)</f>
        <v>2013</v>
      </c>
      <c r="E7313" s="10" t="str">
        <f ca="1">IFERROR(__xludf.DUMMYFUNCTION("""COMPUTED_VALUE"""),"София: Софтрейд, 2013. 24 с. ISBN 978-954-334-153-5.")</f>
        <v>София: Софтрейд, 2013. 24 с. ISBN 978-954-334-153-5.</v>
      </c>
      <c r="F7313" s="10"/>
      <c r="G7313" s="10" t="str">
        <f ca="1">IFERROR(__xludf.DUMMYFUNCTION("""COMPUTED_VALUE"""),"И.Петева")</f>
        <v>И.Петева</v>
      </c>
      <c r="H7313" s="10"/>
      <c r="I7313" s="10"/>
      <c r="J7313" s="10"/>
      <c r="K7313" s="10"/>
      <c r="L7313" s="10"/>
      <c r="M7313" s="10"/>
      <c r="N7313" s="10"/>
      <c r="O7313" s="10"/>
      <c r="P7313" s="10"/>
      <c r="Q7313" s="10"/>
      <c r="R7313" s="10"/>
      <c r="S7313" s="10"/>
      <c r="T7313" s="10"/>
      <c r="U7313" s="10"/>
      <c r="V7313" s="10"/>
      <c r="W7313" s="10"/>
      <c r="X7313" s="10"/>
      <c r="Y7313" s="10"/>
      <c r="Z7313" s="10"/>
    </row>
    <row r="7314" spans="1:26" ht="12.75">
      <c r="A7314" s="10" t="str">
        <f ca="1">IFERROR(__xludf.DUMMYFUNCTION("""COMPUTED_VALUE"""),"Стоян Георгиев Денчев")</f>
        <v>Стоян Георгиев Денчев</v>
      </c>
      <c r="B7314" s="10" t="str">
        <f ca="1">IFERROR(__xludf.DUMMYFUNCTION("""COMPUTED_VALUE"""),"Монография")</f>
        <v>Монография</v>
      </c>
      <c r="C7314" s="10" t="str">
        <f ca="1">IFERROR(__xludf.DUMMYFUNCTION("""COMPUTED_VALUE"""),"Информиране и информационно брокерство.")</f>
        <v>Информиране и информационно брокерство.</v>
      </c>
      <c r="D7314" s="10">
        <f ca="1">IFERROR(__xludf.DUMMYFUNCTION("""COMPUTED_VALUE"""),2012)</f>
        <v>2012</v>
      </c>
      <c r="E7314" s="10" t="str">
        <f ca="1">IFERROR(__xludf.DUMMYFUNCTION("""COMPUTED_VALUE"""),"София: Акад. изд. “Проф. Марин Дринов”, 2012. 383 с. ISBN 978-954-322-497-5.")</f>
        <v>София: Акад. изд. “Проф. Марин Дринов”, 2012. 383 с. ISBN 978-954-322-497-5.</v>
      </c>
      <c r="F7314" s="10"/>
      <c r="G7314" s="10" t="str">
        <f ca="1">IFERROR(__xludf.DUMMYFUNCTION("""COMPUTED_VALUE"""),"Д. Христозов")</f>
        <v>Д. Христозов</v>
      </c>
      <c r="H7314" s="10"/>
      <c r="I7314" s="10"/>
      <c r="J7314" s="10"/>
      <c r="K7314" s="10"/>
      <c r="L7314" s="10"/>
      <c r="M7314" s="10"/>
      <c r="N7314" s="10"/>
      <c r="O7314" s="10"/>
      <c r="P7314" s="10"/>
      <c r="Q7314" s="10"/>
      <c r="R7314" s="10"/>
      <c r="S7314" s="10"/>
      <c r="T7314" s="10"/>
      <c r="U7314" s="10"/>
      <c r="V7314" s="10"/>
      <c r="W7314" s="10"/>
      <c r="X7314" s="10"/>
      <c r="Y7314" s="10"/>
      <c r="Z7314" s="10"/>
    </row>
    <row r="7315" spans="1:26" ht="12.75">
      <c r="A7315" s="10" t="str">
        <f ca="1">IFERROR(__xludf.DUMMYFUNCTION("""COMPUTED_VALUE"""),"Стоян Георгиев Денчев")</f>
        <v>Стоян Георгиев Денчев</v>
      </c>
      <c r="B7315" s="10" t="str">
        <f ca="1">IFERROR(__xludf.DUMMYFUNCTION("""COMPUTED_VALUE"""),"Статия в списания и поредици")</f>
        <v>Статия в списания и поредици</v>
      </c>
      <c r="C7315" s="10" t="str">
        <f ca="1">IFERROR(__xludf.DUMMYFUNCTION("""COMPUTED_VALUE"""),"Bulgarian Library Associations and Lifelong Learning for LIS Professionals. - In: International Symposium on Information Management in a Changing World")</f>
        <v>Bulgarian Library Associations and Lifelong Learning for LIS Professionals. - In: International Symposium on Information Management in a Changing World</v>
      </c>
      <c r="D7315" s="10">
        <f ca="1">IFERROR(__xludf.DUMMYFUNCTION("""COMPUTED_VALUE"""),2012)</f>
        <v>2012</v>
      </c>
      <c r="E7315" s="10" t="str">
        <f ca="1">IFERROR(__xludf.DUMMYFUNCTION("""COMPUTED_VALUE"""),"International Symposium on Information Management in a Changing World. - Berlin, Heidelberg : Springer, September 2012, p. 174-182.Part of the Communications in Computer and Information Science book series (CCIS, volume 317)")</f>
        <v>International Symposium on Information Management in a Changing World. - Berlin, Heidelberg : Springer, September 2012, p. 174-182.Part of the Communications in Computer and Information Science book series (CCIS, volume 317)</v>
      </c>
      <c r="F7315" s="10" t="str">
        <f ca="1">IFERROR(__xludf.DUMMYFUNCTION("""COMPUTED_VALUE"""),"Springer Link")</f>
        <v>Springer Link</v>
      </c>
      <c r="G7315" s="10" t="str">
        <f ca="1">IFERROR(__xludf.DUMMYFUNCTION("""COMPUTED_VALUE"""),"Ivanka Yankova, Tania Todorova")</f>
        <v>Ivanka Yankova, Tania Todorova</v>
      </c>
      <c r="H7315" s="10"/>
      <c r="I7315" s="10"/>
      <c r="J7315" s="10"/>
      <c r="K7315" s="10"/>
      <c r="L7315" s="10"/>
      <c r="M7315" s="10"/>
      <c r="N7315" s="10"/>
      <c r="O7315" s="10"/>
      <c r="P7315" s="10"/>
      <c r="Q7315" s="10"/>
      <c r="R7315" s="10"/>
      <c r="S7315" s="10"/>
      <c r="T7315" s="10"/>
      <c r="U7315" s="10"/>
      <c r="V7315" s="10"/>
      <c r="W7315" s="10"/>
      <c r="X7315" s="10"/>
      <c r="Y7315" s="10"/>
      <c r="Z7315" s="10"/>
    </row>
    <row r="7316" spans="1:26" ht="12.75">
      <c r="A7316" s="10" t="str">
        <f ca="1">IFERROR(__xludf.DUMMYFUNCTION("""COMPUTED_VALUE"""),"Стоян Георгиев Денчев")</f>
        <v>Стоян Георгиев Денчев</v>
      </c>
      <c r="B7316" s="10" t="str">
        <f ca="1">IFERROR(__xludf.DUMMYFUNCTION("""COMPUTED_VALUE"""),"Статия в списания и поредици")</f>
        <v>Статия в списания и поредици</v>
      </c>
      <c r="C7316" s="10" t="str">
        <f ca="1">IFERROR(__xludf.DUMMYFUNCTION("""COMPUTED_VALUE"""),"Информационная среда и информационное общество")</f>
        <v>Информационная среда и информационное общество</v>
      </c>
      <c r="D7316" s="10">
        <f ca="1">IFERROR(__xludf.DUMMYFUNCTION("""COMPUTED_VALUE"""),2012)</f>
        <v>2012</v>
      </c>
      <c r="E7316" s="10" t="str">
        <f ca="1">IFERROR(__xludf.DUMMYFUNCTION("""COMPUTED_VALUE"""),"Известия высших учебных заведений. Проблемы полиграфии и издательского дела, 2012, № 6, с. 117-120. ISSN 2072-6775")</f>
        <v>Известия высших учебных заведений. Проблемы полиграфии и издательского дела, 2012, № 6, с. 117-120. ISSN 2072-6775</v>
      </c>
      <c r="F7316" s="10"/>
      <c r="G7316" s="10" t="str">
        <f ca="1">IFERROR(__xludf.DUMMYFUNCTION("""COMPUTED_VALUE"""),"Г. Матрюхин")</f>
        <v>Г. Матрюхин</v>
      </c>
      <c r="H7316" s="10"/>
      <c r="I7316" s="10"/>
      <c r="J7316" s="10"/>
      <c r="K7316" s="10"/>
      <c r="L7316" s="10"/>
      <c r="M7316" s="10"/>
      <c r="N7316" s="10"/>
      <c r="O7316" s="10"/>
      <c r="P7316" s="10"/>
      <c r="Q7316" s="10"/>
      <c r="R7316" s="10"/>
      <c r="S7316" s="10"/>
      <c r="T7316" s="10"/>
      <c r="U7316" s="10"/>
      <c r="V7316" s="10"/>
      <c r="W7316" s="10"/>
      <c r="X7316" s="10"/>
      <c r="Y7316" s="10"/>
      <c r="Z7316" s="10"/>
    </row>
    <row r="7317" spans="1:26" ht="12.75">
      <c r="A7317" s="10" t="str">
        <f ca="1">IFERROR(__xludf.DUMMYFUNCTION("""COMPUTED_VALUE"""),"Стоян Георгиев Денчев")</f>
        <v>Стоян Георгиев Денчев</v>
      </c>
      <c r="B7317" s="10" t="str">
        <f ca="1">IFERROR(__xludf.DUMMYFUNCTION("""COMPUTED_VALUE"""),"Доклад от конференция")</f>
        <v>Доклад от конференция</v>
      </c>
      <c r="C7317" s="10" t="str">
        <f ca="1">IFERROR(__xludf.DUMMYFUNCTION("""COMPUTED_VALUE"""),"Bulgarian Library Associations and Lifelong Learning for LIS Professionals")</f>
        <v>Bulgarian Library Associations and Lifelong Learning for LIS Professionals</v>
      </c>
      <c r="D7317" s="10">
        <f ca="1">IFERROR(__xludf.DUMMYFUNCTION("""COMPUTED_VALUE"""),2012)</f>
        <v>2012</v>
      </c>
      <c r="E7317" s="10" t="str">
        <f ca="1">IFERROR(__xludf.DUMMYFUNCTION("""COMPUTED_VALUE"""),"E-Science and Information Management: Third International Symposium on Information Management in a Changing World: proceedings, IMCW 2012, 19-21 Sept. 2012, Ankara, Turkey. p. 174-182.")</f>
        <v>E-Science and Information Management: Third International Symposium on Information Management in a Changing World: proceedings, IMCW 2012, 19-21 Sept. 2012, Ankara, Turkey. p. 174-182.</v>
      </c>
      <c r="F7317" s="10"/>
      <c r="G7317" s="10" t="str">
        <f ca="1">IFERROR(__xludf.DUMMYFUNCTION("""COMPUTED_VALUE"""),". Yankova, T. Todorova")</f>
        <v>. Yankova, T. Todorova</v>
      </c>
      <c r="H7317" s="10"/>
      <c r="I7317" s="10"/>
      <c r="J7317" s="10"/>
      <c r="K7317" s="10"/>
      <c r="L7317" s="10"/>
      <c r="M7317" s="10"/>
      <c r="N7317" s="10"/>
      <c r="O7317" s="10"/>
      <c r="P7317" s="10"/>
      <c r="Q7317" s="10"/>
      <c r="R7317" s="10"/>
      <c r="S7317" s="10"/>
      <c r="T7317" s="10"/>
      <c r="U7317" s="10"/>
      <c r="V7317" s="10"/>
      <c r="W7317" s="10"/>
      <c r="X7317" s="10"/>
      <c r="Y7317" s="10"/>
      <c r="Z7317" s="10"/>
    </row>
    <row r="7318" spans="1:26" ht="12.75">
      <c r="A7318" s="10" t="str">
        <f ca="1">IFERROR(__xludf.DUMMYFUNCTION("""COMPUTED_VALUE"""),"Стоян Георгиев Денчев")</f>
        <v>Стоян Георгиев Денчев</v>
      </c>
      <c r="B7318" s="10" t="str">
        <f ca="1">IFERROR(__xludf.DUMMYFUNCTION("""COMPUTED_VALUE"""),"Доклад от конференция")</f>
        <v>Доклад от конференция</v>
      </c>
      <c r="C7318" s="10" t="str">
        <f ca="1">IFERROR(__xludf.DUMMYFUNCTION("""COMPUTED_VALUE"""),"От информационна грамотност към информационна култура.")</f>
        <v>От информационна грамотност към информационна култура.</v>
      </c>
      <c r="D7318" s="10">
        <f ca="1">IFERROR(__xludf.DUMMYFUNCTION("""COMPUTED_VALUE"""),2011)</f>
        <v>2011</v>
      </c>
      <c r="E7318" s="10" t="str">
        <f ca="1">IFERROR(__xludf.DUMMYFUNCTION("""COMPUTED_VALUE"""),"Обществото на знанието и хуманизмът на XXI век: осма национална научна конференция с международно участие, 1 ноем. 2010 г. София, 2011, с. 432-461. ISBN 978-954-2946-09-0.")</f>
        <v>Обществото на знанието и хуманизмът на XXI век: осма национална научна конференция с международно участие, 1 ноем. 2010 г. София, 2011, с. 432-461. ISBN 978-954-2946-09-0.</v>
      </c>
      <c r="F7318" s="10"/>
      <c r="G7318" s="10" t="str">
        <f ca="1">IFERROR(__xludf.DUMMYFUNCTION("""COMPUTED_VALUE"""),"Славка Славова")</f>
        <v>Славка Славова</v>
      </c>
      <c r="H7318" s="10"/>
      <c r="I7318" s="10"/>
      <c r="J7318" s="10"/>
      <c r="K7318" s="10"/>
      <c r="L7318" s="10"/>
      <c r="M7318" s="10"/>
      <c r="N7318" s="10"/>
      <c r="O7318" s="10"/>
      <c r="P7318" s="10"/>
      <c r="Q7318" s="10"/>
      <c r="R7318" s="10"/>
      <c r="S7318" s="10"/>
      <c r="T7318" s="10"/>
      <c r="U7318" s="10"/>
      <c r="V7318" s="10"/>
      <c r="W7318" s="10"/>
      <c r="X7318" s="10"/>
      <c r="Y7318" s="10"/>
      <c r="Z7318" s="10"/>
    </row>
    <row r="7319" spans="1:26" ht="12.75">
      <c r="A7319" s="10" t="str">
        <f ca="1">IFERROR(__xludf.DUMMYFUNCTION("""COMPUTED_VALUE"""),"Стоян Георгиев Денчев")</f>
        <v>Стоян Георгиев Денчев</v>
      </c>
      <c r="B7319" s="10" t="str">
        <f ca="1">IFERROR(__xludf.DUMMYFUNCTION("""COMPUTED_VALUE"""),"Монография")</f>
        <v>Монография</v>
      </c>
      <c r="C7319" s="10" t="str">
        <f ca="1">IFERROR(__xludf.DUMMYFUNCTION("""COMPUTED_VALUE"""),"Иновации и музеи.")</f>
        <v>Иновации и музеи.</v>
      </c>
      <c r="D7319" s="10">
        <f ca="1">IFERROR(__xludf.DUMMYFUNCTION("""COMPUTED_VALUE"""),2011)</f>
        <v>2011</v>
      </c>
      <c r="E7319" s="10" t="str">
        <f ca="1">IFERROR(__xludf.DUMMYFUNCTION("""COMPUTED_VALUE"""),"София: За буквите – О писменехь, 2011. 219 с. ISBN 978-954-2946-05-2.")</f>
        <v>София: За буквите – О писменехь, 2011. 219 с. ISBN 978-954-2946-05-2.</v>
      </c>
      <c r="F7319" s="10"/>
      <c r="G7319" s="10" t="str">
        <f ca="1">IFERROR(__xludf.DUMMYFUNCTION("""COMPUTED_VALUE"""),"И. Петева, Б. Борисов")</f>
        <v>И. Петева, Б. Борисов</v>
      </c>
      <c r="H7319" s="10"/>
      <c r="I7319" s="10"/>
      <c r="J7319" s="10"/>
      <c r="K7319" s="10"/>
      <c r="L7319" s="10"/>
      <c r="M7319" s="10"/>
      <c r="N7319" s="10"/>
      <c r="O7319" s="10"/>
      <c r="P7319" s="10"/>
      <c r="Q7319" s="10"/>
      <c r="R7319" s="10"/>
      <c r="S7319" s="10"/>
      <c r="T7319" s="10"/>
      <c r="U7319" s="10"/>
      <c r="V7319" s="10"/>
      <c r="W7319" s="10"/>
      <c r="X7319" s="10"/>
      <c r="Y7319" s="10"/>
      <c r="Z7319" s="10"/>
    </row>
    <row r="7320" spans="1:26" ht="12.75">
      <c r="A7320" s="10" t="str">
        <f ca="1">IFERROR(__xludf.DUMMYFUNCTION("""COMPUTED_VALUE"""),"Стоян Георгиев Денчев")</f>
        <v>Стоян Георгиев Денчев</v>
      </c>
      <c r="B7320" s="10" t="str">
        <f ca="1">IFERROR(__xludf.DUMMYFUNCTION("""COMPUTED_VALUE"""),"Доклад от конференция")</f>
        <v>Доклад от конференция</v>
      </c>
      <c r="C7320" s="10" t="str">
        <f ca="1">IFERROR(__xludf.DUMMYFUNCTION("""COMPUTED_VALUE"""),"Стратегически информационни и комуникационни условия и предпоставки за стабилизиране на мултикултурната среда: доклад от Пета научна сесия Лидерството пред новите предизвикателства на мултикултурната среда")</f>
        <v>Стратегически информационни и комуникационни условия и предпоставки за стабилизиране на мултикултурната среда: доклад от Пета научна сесия Лидерството пред новите предизвикателства на мултикултурната среда</v>
      </c>
      <c r="D7320" s="10">
        <f ca="1">IFERROR(__xludf.DUMMYFUNCTION("""COMPUTED_VALUE"""),2011)</f>
        <v>2011</v>
      </c>
      <c r="E7320" s="10" t="str">
        <f ca="1">IFERROR(__xludf.DUMMYFUNCTION("""COMPUTED_VALUE"""),"Бюлетин - Институт по теория и практика на лидерството ""Стефан Стамболов"", 2011, № 5, с. 114-121. ISSN 1313-8782.")</f>
        <v>Бюлетин - Институт по теория и практика на лидерството "Стефан Стамболов", 2011, № 5, с. 114-121. ISSN 1313-8782.</v>
      </c>
      <c r="F7320" s="10"/>
      <c r="G7320" s="10" t="str">
        <f ca="1">IFERROR(__xludf.DUMMYFUNCTION("""COMPUTED_VALUE"""),"Н. Палашев, К. Казаков")</f>
        <v>Н. Палашев, К. Казаков</v>
      </c>
      <c r="H7320" s="10"/>
      <c r="I7320" s="10"/>
      <c r="J7320" s="10"/>
      <c r="K7320" s="10"/>
      <c r="L7320" s="10"/>
      <c r="M7320" s="10"/>
      <c r="N7320" s="10"/>
      <c r="O7320" s="10"/>
      <c r="P7320" s="10"/>
      <c r="Q7320" s="10"/>
      <c r="R7320" s="10"/>
      <c r="S7320" s="10"/>
      <c r="T7320" s="10"/>
      <c r="U7320" s="10"/>
      <c r="V7320" s="10"/>
      <c r="W7320" s="10"/>
      <c r="X7320" s="10"/>
      <c r="Y7320" s="10"/>
      <c r="Z7320" s="10"/>
    </row>
    <row r="7321" spans="1:26" ht="12.75">
      <c r="A7321" s="10" t="str">
        <f ca="1">IFERROR(__xludf.DUMMYFUNCTION("""COMPUTED_VALUE"""),"Стоян Георгиев Денчев")</f>
        <v>Стоян Георгиев Денчев</v>
      </c>
      <c r="B7321" s="10" t="str">
        <f ca="1">IFERROR(__xludf.DUMMYFUNCTION("""COMPUTED_VALUE"""),"Доклад от конференция")</f>
        <v>Доклад от конференция</v>
      </c>
      <c r="C7321" s="10" t="str">
        <f ca="1">IFERROR(__xludf.DUMMYFUNCTION("""COMPUTED_VALUE"""),"Priorities in the educational policy, good practices and opportunities for inter-university cooperation: Strategy and examples from the State University of Library Studies and Information Technologies")</f>
        <v>Priorities in the educational policy, good practices and opportunities for inter-university cooperation: Strategy and examples from the State University of Library Studies and Information Technologies</v>
      </c>
      <c r="D7321" s="10">
        <f ca="1">IFERROR(__xludf.DUMMYFUNCTION("""COMPUTED_VALUE"""),2011)</f>
        <v>2011</v>
      </c>
      <c r="E7321" s="10" t="str">
        <f ca="1">IFERROR(__xludf.DUMMYFUNCTION("""COMPUTED_VALUE"""),"Eurasian Inter-university Dialogues on Cooperation for Higher Education Development: Conference Proceedings, 27-28 May 2011, Bucharest, Romania. Bucharest, 2011, p. 43-44.")</f>
        <v>Eurasian Inter-university Dialogues on Cooperation for Higher Education Development: Conference Proceedings, 27-28 May 2011, Bucharest, Romania. Bucharest, 2011, p. 43-44.</v>
      </c>
      <c r="F7321" s="10"/>
      <c r="G7321" s="10" t="str">
        <f ca="1">IFERROR(__xludf.DUMMYFUNCTION("""COMPUTED_VALUE"""),"T. Todorova, S. Vasileva")</f>
        <v>T. Todorova, S. Vasileva</v>
      </c>
      <c r="H7321" s="10"/>
      <c r="I7321" s="10"/>
      <c r="J7321" s="10"/>
      <c r="K7321" s="10"/>
      <c r="L7321" s="10"/>
      <c r="M7321" s="10"/>
      <c r="N7321" s="10"/>
      <c r="O7321" s="10"/>
      <c r="P7321" s="10"/>
      <c r="Q7321" s="10"/>
      <c r="R7321" s="10"/>
      <c r="S7321" s="10"/>
      <c r="T7321" s="10"/>
      <c r="U7321" s="10"/>
      <c r="V7321" s="10"/>
      <c r="W7321" s="10"/>
      <c r="X7321" s="10"/>
      <c r="Y7321" s="10"/>
      <c r="Z7321" s="10"/>
    </row>
    <row r="7322" spans="1:26" ht="12.75">
      <c r="A7322" s="10" t="str">
        <f ca="1">IFERROR(__xludf.DUMMYFUNCTION("""COMPUTED_VALUE"""),"Стоян Георгиев Денчев")</f>
        <v>Стоян Георгиев Денчев</v>
      </c>
      <c r="B7322" s="10" t="str">
        <f ca="1">IFERROR(__xludf.DUMMYFUNCTION("""COMPUTED_VALUE"""),"Доклад от конференция")</f>
        <v>Доклад от конференция</v>
      </c>
      <c r="C7322" s="10" t="str">
        <f ca="1">IFERROR(__xludf.DUMMYFUNCTION("""COMPUTED_VALUE"""),"Дигиталните библиотеки в концепцията за „Интелигентният университет” - възможност и необходимост за УниБИТ")</f>
        <v>Дигиталните библиотеки в концепцията за „Интелигентният университет” - възможност и необходимост за УниБИТ</v>
      </c>
      <c r="D7322" s="10">
        <f ca="1">IFERROR(__xludf.DUMMYFUNCTION("""COMPUTED_VALUE"""),2011)</f>
        <v>2011</v>
      </c>
      <c r="E7322" s="10" t="str">
        <f ca="1">IFERROR(__xludf.DUMMYFUNCTION("""COMPUTED_VALUE"""),"Обществото на знанието и хуманизмът на XXI век: девета научна конференция с международно участие, 1 ноем. 2011 г. София, 2012, с. 30-35. ISSN 1314-7099")</f>
        <v>Обществото на знанието и хуманизмът на XXI век: девета научна конференция с международно участие, 1 ноем. 2011 г. София, 2012, с. 30-35. ISSN 1314-7099</v>
      </c>
      <c r="F7322" s="10"/>
      <c r="G7322" s="10" t="str">
        <f ca="1">IFERROR(__xludf.DUMMYFUNCTION("""COMPUTED_VALUE"""),"К. Върбанова-Денчева, И. Петева")</f>
        <v>К. Върбанова-Денчева, И. Петева</v>
      </c>
      <c r="H7322" s="10"/>
      <c r="I7322" s="10"/>
      <c r="J7322" s="10"/>
      <c r="K7322" s="10"/>
      <c r="L7322" s="10"/>
      <c r="M7322" s="10"/>
      <c r="N7322" s="10"/>
      <c r="O7322" s="10"/>
      <c r="P7322" s="10"/>
      <c r="Q7322" s="10"/>
      <c r="R7322" s="10"/>
      <c r="S7322" s="10"/>
      <c r="T7322" s="10"/>
      <c r="U7322" s="10"/>
      <c r="V7322" s="10"/>
      <c r="W7322" s="10"/>
      <c r="X7322" s="10"/>
      <c r="Y7322" s="10"/>
      <c r="Z7322" s="10"/>
    </row>
    <row r="7323" spans="1:26" ht="12.75">
      <c r="A7323" s="10" t="str">
        <f ca="1">IFERROR(__xludf.DUMMYFUNCTION("""COMPUTED_VALUE"""),"Стоян Георгиев Денчев")</f>
        <v>Стоян Георгиев Денчев</v>
      </c>
      <c r="B7323" s="10" t="str">
        <f ca="1">IFERROR(__xludf.DUMMYFUNCTION("""COMPUTED_VALUE"""),"Книга")</f>
        <v>Книга</v>
      </c>
      <c r="C7323" s="10" t="str">
        <f ca="1">IFERROR(__xludf.DUMMYFUNCTION("""COMPUTED_VALUE"""),"Теория и практика на консултирането")</f>
        <v>Теория и практика на консултирането</v>
      </c>
      <c r="D7323" s="10">
        <f ca="1">IFERROR(__xludf.DUMMYFUNCTION("""COMPUTED_VALUE"""),2011)</f>
        <v>2011</v>
      </c>
      <c r="E7323" s="10" t="str">
        <f ca="1">IFERROR(__xludf.DUMMYFUNCTION("""COMPUTED_VALUE"""),"София: За буквите – O писменехь, 2011. 96 с. ISBN 978-954-2946-04-5")</f>
        <v>София: За буквите – O писменехь, 2011. 96 с. ISBN 978-954-2946-04-5</v>
      </c>
      <c r="F7323" s="10"/>
      <c r="G7323" s="10" t="str">
        <f ca="1">IFERROR(__xludf.DUMMYFUNCTION("""COMPUTED_VALUE"""),"Д. Христозов")</f>
        <v>Д. Христозов</v>
      </c>
      <c r="H7323" s="10"/>
      <c r="I7323" s="10"/>
      <c r="J7323" s="10"/>
      <c r="K7323" s="10"/>
      <c r="L7323" s="10"/>
      <c r="M7323" s="10"/>
      <c r="N7323" s="10"/>
      <c r="O7323" s="10"/>
      <c r="P7323" s="10"/>
      <c r="Q7323" s="10"/>
      <c r="R7323" s="10"/>
      <c r="S7323" s="10"/>
      <c r="T7323" s="10"/>
      <c r="U7323" s="10"/>
      <c r="V7323" s="10"/>
      <c r="W7323" s="10"/>
      <c r="X7323" s="10"/>
      <c r="Y7323" s="10"/>
      <c r="Z7323" s="10"/>
    </row>
    <row r="7324" spans="1:26" ht="12.75">
      <c r="A7324" s="10" t="str">
        <f ca="1">IFERROR(__xludf.DUMMYFUNCTION("""COMPUTED_VALUE"""),"Стоян Георгиев Денчев")</f>
        <v>Стоян Георгиев Денчев</v>
      </c>
      <c r="B7324" s="10" t="str">
        <f ca="1">IFERROR(__xludf.DUMMYFUNCTION("""COMPUTED_VALUE"""),"Монография")</f>
        <v>Монография</v>
      </c>
      <c r="C7324" s="10" t="str">
        <f ca="1">IFERROR(__xludf.DUMMYFUNCTION("""COMPUTED_VALUE"""),"Паметници на културата и историята : теоретико-методологични и информационни проблеми. - София: За буквите - О писменехь, 2010. 198 с. ISBN 978-954-8887-63-2.")</f>
        <v>Паметници на културата и историята : теоретико-методологични и информационни проблеми. - София: За буквите - О писменехь, 2010. 198 с. ISBN 978-954-8887-63-2.</v>
      </c>
      <c r="D7324" s="10">
        <f ca="1">IFERROR(__xludf.DUMMYFUNCTION("""COMPUTED_VALUE"""),2010)</f>
        <v>2010</v>
      </c>
      <c r="E7324" s="10" t="str">
        <f ca="1">IFERROR(__xludf.DUMMYFUNCTION("""COMPUTED_VALUE"""),"Паметници на културата и историята : теоретико-методологични и информационни проблеми. - София: За буквите - О писменехь, 2010. 198 с. ISBN 978-954-8887-63-2.")</f>
        <v>Паметници на културата и историята : теоретико-методологични и информационни проблеми. - София: За буквите - О писменехь, 2010. 198 с. ISBN 978-954-8887-63-2.</v>
      </c>
      <c r="F7324" s="10"/>
      <c r="G7324" s="10" t="str">
        <f ca="1">IFERROR(__xludf.DUMMYFUNCTION("""COMPUTED_VALUE"""),"Е. Сачев")</f>
        <v>Е. Сачев</v>
      </c>
      <c r="H7324" s="10"/>
      <c r="I7324" s="10"/>
      <c r="J7324" s="10"/>
      <c r="K7324" s="10"/>
      <c r="L7324" s="10"/>
      <c r="M7324" s="10"/>
      <c r="N7324" s="10"/>
      <c r="O7324" s="10"/>
      <c r="P7324" s="10"/>
      <c r="Q7324" s="10"/>
      <c r="R7324" s="10"/>
      <c r="S7324" s="10"/>
      <c r="T7324" s="10"/>
      <c r="U7324" s="10"/>
      <c r="V7324" s="10"/>
      <c r="W7324" s="10"/>
      <c r="X7324" s="10"/>
      <c r="Y7324" s="10"/>
      <c r="Z7324" s="10"/>
    </row>
    <row r="7325" spans="1:26" ht="12.75">
      <c r="A7325" s="10" t="str">
        <f ca="1">IFERROR(__xludf.DUMMYFUNCTION("""COMPUTED_VALUE"""),"Стоян Георгиев Денчев")</f>
        <v>Стоян Георгиев Денчев</v>
      </c>
      <c r="B7325" s="10" t="str">
        <f ca="1">IFERROR(__xludf.DUMMYFUNCTION("""COMPUTED_VALUE"""),"Монография")</f>
        <v>Монография</v>
      </c>
      <c r="C7325" s="10" t="str">
        <f ca="1">IFERROR(__xludf.DUMMYFUNCTION("""COMPUTED_VALUE"""),"Държавна политика за културно-историческото наследство на България, 1878-2009 : лекции")</f>
        <v>Държавна политика за културно-историческото наследство на България, 1878-2009 : лекции</v>
      </c>
      <c r="D7325" s="10">
        <f ca="1">IFERROR(__xludf.DUMMYFUNCTION("""COMPUTED_VALUE"""),2010)</f>
        <v>2010</v>
      </c>
      <c r="E7325" s="10" t="str">
        <f ca="1">IFERROR(__xludf.DUMMYFUNCTION("""COMPUTED_VALUE"""),"2. доп. и прераб. изд. - София : За буквите - О писменехь, 2010 ([София] : [Зип]). - 432 с. : с цв. ил., портр. ISBN 978-954-8887-49-6")</f>
        <v>2. доп. и прераб. изд. - София : За буквите - О писменехь, 2010 ([София] : [Зип]). - 432 с. : с цв. ил., портр. ISBN 978-954-8887-49-6</v>
      </c>
      <c r="F7325" s="10"/>
      <c r="G7325" s="10" t="str">
        <f ca="1">IFERROR(__xludf.DUMMYFUNCTION("""COMPUTED_VALUE"""),"София Василева")</f>
        <v>София Василева</v>
      </c>
      <c r="H7325" s="10"/>
      <c r="I7325" s="10"/>
      <c r="J7325" s="10"/>
      <c r="K7325" s="10"/>
      <c r="L7325" s="10"/>
      <c r="M7325" s="10"/>
      <c r="N7325" s="10"/>
      <c r="O7325" s="10"/>
      <c r="P7325" s="10"/>
      <c r="Q7325" s="10"/>
      <c r="R7325" s="10"/>
      <c r="S7325" s="10"/>
      <c r="T7325" s="10"/>
      <c r="U7325" s="10"/>
      <c r="V7325" s="10"/>
      <c r="W7325" s="10"/>
      <c r="X7325" s="10"/>
      <c r="Y7325" s="10"/>
      <c r="Z7325" s="10"/>
    </row>
    <row r="7326" spans="1:26" ht="12.75">
      <c r="A7326" s="10" t="str">
        <f ca="1">IFERROR(__xludf.DUMMYFUNCTION("""COMPUTED_VALUE"""),"Стоян Георгиев Денчев")</f>
        <v>Стоян Георгиев Денчев</v>
      </c>
      <c r="B7326" s="10" t="str">
        <f ca="1">IFERROR(__xludf.DUMMYFUNCTION("""COMPUTED_VALUE"""),"Монография")</f>
        <v>Монография</v>
      </c>
      <c r="C7326" s="10" t="str">
        <f ca="1">IFERROR(__xludf.DUMMYFUNCTION("""COMPUTED_VALUE"""),"CULTURE DE TRANSPARENCE : Société, information, bibliothèques.")</f>
        <v>CULTURE DE TRANSPARENCE : Société, information, bibliothèques.</v>
      </c>
      <c r="D7326" s="10">
        <f ca="1">IFERROR(__xludf.DUMMYFUNCTION("""COMPUTED_VALUE"""),2010)</f>
        <v>2010</v>
      </c>
      <c r="E7326" s="10" t="str">
        <f ca="1">IFERROR(__xludf.DUMMYFUNCTION("""COMPUTED_VALUE"""),"Paris : Editions L'Harmattan, 2010. – 242 p. ISBN 978-2296130609")</f>
        <v>Paris : Editions L'Harmattan, 2010. – 242 p. ISBN 978-2296130609</v>
      </c>
      <c r="F7326" s="10"/>
      <c r="G7326" s="10" t="str">
        <f ca="1">IFERROR(__xludf.DUMMYFUNCTION("""COMPUTED_VALUE"""),"Irena Peteva")</f>
        <v>Irena Peteva</v>
      </c>
      <c r="H7326" s="10"/>
      <c r="I7326" s="10"/>
      <c r="J7326" s="10"/>
      <c r="K7326" s="10"/>
      <c r="L7326" s="10"/>
      <c r="M7326" s="10"/>
      <c r="N7326" s="10"/>
      <c r="O7326" s="10"/>
      <c r="P7326" s="10"/>
      <c r="Q7326" s="10"/>
      <c r="R7326" s="10"/>
      <c r="S7326" s="10"/>
      <c r="T7326" s="10"/>
      <c r="U7326" s="10"/>
      <c r="V7326" s="10"/>
      <c r="W7326" s="10"/>
      <c r="X7326" s="10"/>
      <c r="Y7326" s="10"/>
      <c r="Z7326" s="10"/>
    </row>
    <row r="7327" spans="1:26" ht="12.75">
      <c r="A7327" s="10" t="str">
        <f ca="1">IFERROR(__xludf.DUMMYFUNCTION("""COMPUTED_VALUE"""),"Стоян Георгиев Денчев")</f>
        <v>Стоян Георгиев Денчев</v>
      </c>
      <c r="B7327" s="10" t="str">
        <f ca="1">IFERROR(__xludf.DUMMYFUNCTION("""COMPUTED_VALUE"""),"Доклад от конференция")</f>
        <v>Доклад от конференция</v>
      </c>
      <c r="C7327" s="10" t="str">
        <f ca="1">IFERROR(__xludf.DUMMYFUNCTION("""COMPUTED_VALUE"""),"Bulgarian University Libraries as an E-Learning Support Center")</f>
        <v>Bulgarian University Libraries as an E-Learning Support Center</v>
      </c>
      <c r="D7327" s="10">
        <f ca="1">IFERROR(__xludf.DUMMYFUNCTION("""COMPUTED_VALUE"""),2010)</f>
        <v>2010</v>
      </c>
      <c r="E7327" s="10" t="str">
        <f ca="1">IFERROR(__xludf.DUMMYFUNCTION("""COMPUTED_VALUE"""),"International Conference on Society and Information Technologies ICSIT 2010, 6-9 Apr. 2010, Orlando, Florida USA. p. 385-389.")</f>
        <v>International Conference on Society and Information Technologies ICSIT 2010, 6-9 Apr. 2010, Orlando, Florida USA. p. 385-389.</v>
      </c>
      <c r="F7327" s="10"/>
      <c r="G7327" s="10" t="str">
        <f ca="1">IFERROR(__xludf.DUMMYFUNCTION("""COMPUTED_VALUE"""),"K. Varbanova, I. Peteva, B. Tetevenska")</f>
        <v>K. Varbanova, I. Peteva, B. Tetevenska</v>
      </c>
      <c r="H7327" s="10"/>
      <c r="I7327" s="10"/>
      <c r="J7327" s="10"/>
      <c r="K7327" s="10"/>
      <c r="L7327" s="10"/>
      <c r="M7327" s="10"/>
      <c r="N7327" s="10"/>
      <c r="O7327" s="10"/>
      <c r="P7327" s="10"/>
      <c r="Q7327" s="10"/>
      <c r="R7327" s="10"/>
      <c r="S7327" s="10"/>
      <c r="T7327" s="10"/>
      <c r="U7327" s="10"/>
      <c r="V7327" s="10"/>
      <c r="W7327" s="10"/>
      <c r="X7327" s="10"/>
      <c r="Y7327" s="10"/>
      <c r="Z7327" s="10"/>
    </row>
    <row r="7328" spans="1:26" ht="12.75">
      <c r="A7328" s="10" t="str">
        <f ca="1">IFERROR(__xludf.DUMMYFUNCTION("""COMPUTED_VALUE"""),"Стоян Георгиев Денчев")</f>
        <v>Стоян Георгиев Денчев</v>
      </c>
      <c r="B7328" s="10" t="str">
        <f ca="1">IFERROR(__xludf.DUMMYFUNCTION("""COMPUTED_VALUE"""),"Статия в списания и поредици")</f>
        <v>Статия в списания и поредици</v>
      </c>
      <c r="C7328" s="10" t="str">
        <f ca="1">IFERROR(__xludf.DUMMYFUNCTION("""COMPUTED_VALUE"""),"Графемите на кирилицата в естествената знакова класификация на писмото на Homo sapiens’a: към аксиологичния въпрос за методологията на писмената ера")</f>
        <v>Графемите на кирилицата в естествената знакова класификация на писмото на Homo sapiens’a: към аксиологичния въпрос за методологията на писмената ера</v>
      </c>
      <c r="D7328" s="10">
        <f ca="1">IFERROR(__xludf.DUMMYFUNCTION("""COMPUTED_VALUE"""),2010)</f>
        <v>2010</v>
      </c>
      <c r="E7328" s="10" t="str">
        <f ca="1">IFERROR(__xludf.DUMMYFUNCTION("""COMPUTED_VALUE"""),"Мир библиографии, 2010, № 3, с. 2-8. ISSN 1560-7968")</f>
        <v>Мир библиографии, 2010, № 3, с. 2-8. ISSN 1560-7968</v>
      </c>
      <c r="F7328" s="10"/>
      <c r="G7328" s="10" t="str">
        <f ca="1">IFERROR(__xludf.DUMMYFUNCTION("""COMPUTED_VALUE"""),"А.Куманова")</f>
        <v>А.Куманова</v>
      </c>
      <c r="H7328" s="10"/>
      <c r="I7328" s="10"/>
      <c r="J7328" s="10"/>
      <c r="K7328" s="10"/>
      <c r="L7328" s="10"/>
      <c r="M7328" s="10"/>
      <c r="N7328" s="10"/>
      <c r="O7328" s="10"/>
      <c r="P7328" s="10"/>
      <c r="Q7328" s="10"/>
      <c r="R7328" s="10"/>
      <c r="S7328" s="10"/>
      <c r="T7328" s="10"/>
      <c r="U7328" s="10"/>
      <c r="V7328" s="10"/>
      <c r="W7328" s="10"/>
      <c r="X7328" s="10"/>
      <c r="Y7328" s="10"/>
      <c r="Z7328" s="10"/>
    </row>
    <row r="7329" spans="1:26" ht="12.75">
      <c r="A7329" s="10" t="str">
        <f ca="1">IFERROR(__xludf.DUMMYFUNCTION("""COMPUTED_VALUE"""),"Стоян Георгиев Денчев")</f>
        <v>Стоян Георгиев Денчев</v>
      </c>
      <c r="B7329" s="10" t="str">
        <f ca="1">IFERROR(__xludf.DUMMYFUNCTION("""COMPUTED_VALUE"""),"Монография")</f>
        <v>Монография</v>
      </c>
      <c r="C7329" s="10" t="str">
        <f ca="1">IFERROR(__xludf.DUMMYFUNCTION("""COMPUTED_VALUE"""),"Анализ и управление на университетска информационна среда.")</f>
        <v>Анализ и управление на университетска информационна среда.</v>
      </c>
      <c r="D7329" s="10">
        <f ca="1">IFERROR(__xludf.DUMMYFUNCTION("""COMPUTED_VALUE"""),2010)</f>
        <v>2010</v>
      </c>
      <c r="E7329" s="10" t="str">
        <f ca="1">IFERROR(__xludf.DUMMYFUNCTION("""COMPUTED_VALUE"""),"София: За буквите – О писменехь, 2010. 214 с. ISBN 978-954-8887-73-1.")</f>
        <v>София: За буквите – О писменехь, 2010. 214 с. ISBN 978-954-8887-73-1.</v>
      </c>
      <c r="F7329" s="10"/>
      <c r="G7329" s="10" t="str">
        <f ca="1">IFERROR(__xludf.DUMMYFUNCTION("""COMPUTED_VALUE"""),"И.Павлова")</f>
        <v>И.Павлова</v>
      </c>
      <c r="H7329" s="10"/>
      <c r="I7329" s="10"/>
      <c r="J7329" s="10"/>
      <c r="K7329" s="10"/>
      <c r="L7329" s="10"/>
      <c r="M7329" s="10"/>
      <c r="N7329" s="10"/>
      <c r="O7329" s="10"/>
      <c r="P7329" s="10"/>
      <c r="Q7329" s="10"/>
      <c r="R7329" s="10"/>
      <c r="S7329" s="10"/>
      <c r="T7329" s="10"/>
      <c r="U7329" s="10"/>
      <c r="V7329" s="10"/>
      <c r="W7329" s="10"/>
      <c r="X7329" s="10"/>
      <c r="Y7329" s="10"/>
      <c r="Z7329" s="10"/>
    </row>
    <row r="7330" spans="1:26" ht="12.75">
      <c r="A7330" s="10" t="str">
        <f ca="1">IFERROR(__xludf.DUMMYFUNCTION("""COMPUTED_VALUE"""),"Стоян Георгиев Денчев")</f>
        <v>Стоян Георгиев Денчев</v>
      </c>
      <c r="B7330" s="10" t="str">
        <f ca="1">IFERROR(__xludf.DUMMYFUNCTION("""COMPUTED_VALUE"""),"Статия в списания и поредици")</f>
        <v>Статия в списания и поредици</v>
      </c>
      <c r="C7330" s="10" t="str">
        <f ca="1">IFERROR(__xludf.DUMMYFUNCTION("""COMPUTED_VALUE"""),"Азбучен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библиот"&amp;"екознание - информатика - информационни технологии")</f>
        <v>Азбучен списък на заглавията и техните интернет адреси и електронна поща на актуални за България периодични и продължаващи чуждестранни издания: по сродните интердисциплинарни области библиография - библиографознание - книгознание - архивно дело - библиотекознание - информатика - информационни технологии</v>
      </c>
      <c r="D7330" s="10">
        <f ca="1">IFERROR(__xludf.DUMMYFUNCTION("""COMPUTED_VALUE"""),2009)</f>
        <v>2009</v>
      </c>
      <c r="E7330" s="10" t="str">
        <f ca="1">IFERROR(__xludf.DUMMYFUNCTION("""COMPUTED_VALUE"""),"Трудове на Студентското научно общество при Специализираното висше училище по библиотекознание и информационни технологии, Т. 4, 2009, с. 121-137. ISSN 1313-4566.")</f>
        <v>Трудове на Студентското научно общество при Специализираното висше училище по библиотекознание и информационни технологии, Т. 4, 2009, с. 121-137. ISSN 1313-4566.</v>
      </c>
      <c r="F7330" s="10"/>
      <c r="G7330" s="10" t="str">
        <f ca="1">IFERROR(__xludf.DUMMYFUNCTION("""COMPUTED_VALUE"""),"А.Куманова")</f>
        <v>А.Куманова</v>
      </c>
      <c r="H7330" s="10"/>
      <c r="I7330" s="10"/>
      <c r="J7330" s="10"/>
      <c r="K7330" s="10"/>
      <c r="L7330" s="10"/>
      <c r="M7330" s="10"/>
      <c r="N7330" s="10"/>
      <c r="O7330" s="10"/>
      <c r="P7330" s="10"/>
      <c r="Q7330" s="10"/>
      <c r="R7330" s="10"/>
      <c r="S7330" s="10"/>
      <c r="T7330" s="10"/>
      <c r="U7330" s="10"/>
      <c r="V7330" s="10"/>
      <c r="W7330" s="10"/>
      <c r="X7330" s="10"/>
      <c r="Y7330" s="10"/>
      <c r="Z7330" s="10"/>
    </row>
    <row r="7331" spans="1:26" ht="12.75">
      <c r="A7331" s="10" t="str">
        <f ca="1">IFERROR(__xludf.DUMMYFUNCTION("""COMPUTED_VALUE"""),"Стоян Георгиев Денчев")</f>
        <v>Стоян Георгиев Денчев</v>
      </c>
      <c r="B7331" s="10" t="str">
        <f ca="1">IFERROR(__xludf.DUMMYFUNCTION("""COMPUTED_VALUE"""),"Статия в списания и поредици")</f>
        <v>Статия в списания и поредици</v>
      </c>
      <c r="C7331" s="10" t="str">
        <f ca="1">IFERROR(__xludf.DUMMYFUNCTION("""COMPUTED_VALUE"""),"Информационните технологии – ефективен инструмент за преодоляване на цифровото неравенство в изграждането и развитието на икономика, основана на знанието")</f>
        <v>Информационните технологии – ефективен инструмент за преодоляване на цифровото неравенство в изграждането и развитието на икономика, основана на знанието</v>
      </c>
      <c r="D7331" s="10">
        <f ca="1">IFERROR(__xludf.DUMMYFUNCTION("""COMPUTED_VALUE"""),2009)</f>
        <v>2009</v>
      </c>
      <c r="E7331" s="10" t="str">
        <f ca="1">IFERROR(__xludf.DUMMYFUNCTION("""COMPUTED_VALUE"""),"Наръчник по информационна компетентност. - София: Wini - 1837, 2009, с. 7-20. ISBN 978-954-9437-08-9.")</f>
        <v>Наръчник по информационна компетентност. - София: Wini - 1837, 2009, с. 7-20. ISBN 978-954-9437-08-9.</v>
      </c>
      <c r="F7331" s="10"/>
      <c r="G7331" s="10"/>
      <c r="H7331" s="10"/>
      <c r="I7331" s="10"/>
      <c r="J7331" s="10"/>
      <c r="K7331" s="10"/>
      <c r="L7331" s="10"/>
      <c r="M7331" s="10"/>
      <c r="N7331" s="10"/>
      <c r="O7331" s="10"/>
      <c r="P7331" s="10"/>
      <c r="Q7331" s="10"/>
      <c r="R7331" s="10"/>
      <c r="S7331" s="10"/>
      <c r="T7331" s="10"/>
      <c r="U7331" s="10"/>
      <c r="V7331" s="10"/>
      <c r="W7331" s="10"/>
      <c r="X7331" s="10"/>
      <c r="Y7331" s="10"/>
      <c r="Z7331" s="10"/>
    </row>
    <row r="7332" spans="1:26" ht="12.75">
      <c r="A7332" s="10" t="str">
        <f ca="1">IFERROR(__xludf.DUMMYFUNCTION("""COMPUTED_VALUE"""),"Стоян Георгиев Денчев")</f>
        <v>Стоян Георгиев Денчев</v>
      </c>
      <c r="B7332" s="10" t="str">
        <f ca="1">IFERROR(__xludf.DUMMYFUNCTION("""COMPUTED_VALUE"""),"Учебник")</f>
        <v>Учебник</v>
      </c>
      <c r="C7332" s="10" t="str">
        <f ca="1">IFERROR(__xludf.DUMMYFUNCTION("""COMPUTED_VALUE"""),"Стратегически анализ на бизнес и административните технологии и комуникации")</f>
        <v>Стратегически анализ на бизнес и административните технологии и комуникации</v>
      </c>
      <c r="D7332" s="10">
        <f ca="1">IFERROR(__xludf.DUMMYFUNCTION("""COMPUTED_VALUE"""),2009)</f>
        <v>2009</v>
      </c>
      <c r="E7332" s="10" t="str">
        <f ca="1">IFERROR(__xludf.DUMMYFUNCTION("""COMPUTED_VALUE"""),"София: За буквите - О писменехь, 2009, с. 8-23. ISBN 978-954-8887-54-0.")</f>
        <v>София: За буквите - О писменехь, 2009, с. 8-23. ISBN 978-954-8887-54-0.</v>
      </c>
      <c r="F7332" s="10"/>
      <c r="G7332" s="10"/>
      <c r="H7332" s="10"/>
      <c r="I7332" s="10"/>
      <c r="J7332" s="10"/>
      <c r="K7332" s="10"/>
      <c r="L7332" s="10"/>
      <c r="M7332" s="10"/>
      <c r="N7332" s="10"/>
      <c r="O7332" s="10"/>
      <c r="P7332" s="10"/>
      <c r="Q7332" s="10"/>
      <c r="R7332" s="10"/>
      <c r="S7332" s="10"/>
      <c r="T7332" s="10"/>
      <c r="U7332" s="10"/>
      <c r="V7332" s="10"/>
      <c r="W7332" s="10"/>
      <c r="X7332" s="10"/>
      <c r="Y7332" s="10"/>
      <c r="Z7332" s="10"/>
    </row>
    <row r="7333" spans="1:26" ht="12.75">
      <c r="A7333" s="10" t="str">
        <f ca="1">IFERROR(__xludf.DUMMYFUNCTION("""COMPUTED_VALUE"""),"Стоян Георгиев Денчев")</f>
        <v>Стоян Георгиев Денчев</v>
      </c>
      <c r="B7333" s="10" t="str">
        <f ca="1">IFERROR(__xludf.DUMMYFUNCTION("""COMPUTED_VALUE"""),"Монография")</f>
        <v>Монография</v>
      </c>
      <c r="C7333" s="10" t="str">
        <f ca="1">IFERROR(__xludf.DUMMYFUNCTION("""COMPUTED_VALUE"""),"Роль библиотек в формировании и развитии культуры информационной прозрачности : социальные функции библиотечной деятельности.")</f>
        <v>Роль библиотек в формировании и развитии культуры информационной прозрачности : социальные функции библиотечной деятельности.</v>
      </c>
      <c r="D7333" s="10">
        <f ca="1">IFERROR(__xludf.DUMMYFUNCTION("""COMPUTED_VALUE"""),2009)</f>
        <v>2009</v>
      </c>
      <c r="E7333" s="10" t="str">
        <f ca="1">IFERROR(__xludf.DUMMYFUNCTION("""COMPUTED_VALUE"""),"Москва: Логос, 2009. - 256 с.ISBN 978-5-98704-490-2")</f>
        <v>Москва: Логос, 2009. - 256 с.ISBN 978-5-98704-490-2</v>
      </c>
      <c r="F7333" s="10"/>
      <c r="G7333" s="10" t="str">
        <f ca="1">IFERROR(__xludf.DUMMYFUNCTION("""COMPUTED_VALUE"""),"Ирена Петева")</f>
        <v>Ирена Петева</v>
      </c>
      <c r="H7333" s="10"/>
      <c r="I7333" s="10"/>
      <c r="J7333" s="10"/>
      <c r="K7333" s="10"/>
      <c r="L7333" s="10"/>
      <c r="M7333" s="10"/>
      <c r="N7333" s="10"/>
      <c r="O7333" s="10"/>
      <c r="P7333" s="10"/>
      <c r="Q7333" s="10"/>
      <c r="R7333" s="10"/>
      <c r="S7333" s="10"/>
      <c r="T7333" s="10"/>
      <c r="U7333" s="10"/>
      <c r="V7333" s="10"/>
      <c r="W7333" s="10"/>
      <c r="X7333" s="10"/>
      <c r="Y7333" s="10"/>
      <c r="Z7333" s="10"/>
    </row>
    <row r="7334" spans="1:26" ht="12.75">
      <c r="A7334" s="10" t="str">
        <f ca="1">IFERROR(__xludf.DUMMYFUNCTION("""COMPUTED_VALUE"""),"Стоян Георгиев Денчев")</f>
        <v>Стоян Георгиев Денчев</v>
      </c>
      <c r="B7334" s="10" t="str">
        <f ca="1">IFERROR(__xludf.DUMMYFUNCTION("""COMPUTED_VALUE"""),"Монография")</f>
        <v>Монография</v>
      </c>
      <c r="C7334" s="10" t="str">
        <f ca="1">IFERROR(__xludf.DUMMYFUNCTION("""COMPUTED_VALUE"""),"РОЛЬ БИБЛИОТЕК В ФОРМИРОВАНИИ И РАЗВИТИИ КУЛЬТУРЫ ИНФОРМАЦИОННОЙ ПРОЗРАЧНОСТИ. – В: Социальные функции библиотечной деятельности")</f>
        <v>РОЛЬ БИБЛИОТЕК В ФОРМИРОВАНИИ И РАЗВИТИИ КУЛЬТУРЫ ИНФОРМАЦИОННОЙ ПРОЗРАЧНОСТИ. – В: Социальные функции библиотечной деятельности</v>
      </c>
      <c r="D7334" s="10">
        <f ca="1">IFERROR(__xludf.DUMMYFUNCTION("""COMPUTED_VALUE"""),2009)</f>
        <v>2009</v>
      </c>
      <c r="E7334" s="10" t="str">
        <f ca="1">IFERROR(__xludf.DUMMYFUNCTION("""COMPUTED_VALUE"""),"Москва : Логос, 2014. – 255 с. 978-5-98704-490-2")</f>
        <v>Москва : Логос, 2014. – 255 с. 978-5-98704-490-2</v>
      </c>
      <c r="F7334" s="10"/>
      <c r="G7334" s="10" t="str">
        <f ca="1">IFERROR(__xludf.DUMMYFUNCTION("""COMPUTED_VALUE"""),"Ирена Петева")</f>
        <v>Ирена Петева</v>
      </c>
      <c r="H7334" s="10"/>
      <c r="I7334" s="10"/>
      <c r="J7334" s="10"/>
      <c r="K7334" s="10"/>
      <c r="L7334" s="10"/>
      <c r="M7334" s="10"/>
      <c r="N7334" s="10"/>
      <c r="O7334" s="10"/>
      <c r="P7334" s="10"/>
      <c r="Q7334" s="10"/>
      <c r="R7334" s="10"/>
      <c r="S7334" s="10"/>
      <c r="T7334" s="10"/>
      <c r="U7334" s="10"/>
      <c r="V7334" s="10"/>
      <c r="W7334" s="10"/>
      <c r="X7334" s="10"/>
      <c r="Y7334" s="10"/>
      <c r="Z7334" s="10"/>
    </row>
    <row r="7335" spans="1:26" ht="12.75">
      <c r="A7335" s="10" t="str">
        <f ca="1">IFERROR(__xludf.DUMMYFUNCTION("""COMPUTED_VALUE"""),"Стоян Георгиев Денчев")</f>
        <v>Стоян Георгиев Денчев</v>
      </c>
      <c r="B7335" s="10" t="str">
        <f ca="1">IFERROR(__xludf.DUMMYFUNCTION("""COMPUTED_VALUE"""),"Книга")</f>
        <v>Книга</v>
      </c>
      <c r="C7335" s="10" t="str">
        <f ca="1">IFERROR(__xludf.DUMMYFUNCTION("""COMPUTED_VALUE"""),"Духовност и сигурност.")</f>
        <v>Духовност и сигурност.</v>
      </c>
      <c r="D7335" s="10">
        <f ca="1">IFERROR(__xludf.DUMMYFUNCTION("""COMPUTED_VALUE"""),2009)</f>
        <v>2009</v>
      </c>
      <c r="E7335" s="10" t="str">
        <f ca="1">IFERROR(__xludf.DUMMYFUNCTION("""COMPUTED_VALUE"""),"София: За буквите - О писменехь, 2009. 176 с. ISBN 978-954-8887-60-1.")</f>
        <v>София: За буквите - О писменехь, 2009. 176 с. ISBN 978-954-8887-60-1.</v>
      </c>
      <c r="F7335" s="10"/>
      <c r="G7335" s="10" t="str">
        <f ca="1">IFERROR(__xludf.DUMMYFUNCTION("""COMPUTED_VALUE"""),"Д. Иванов, С. Денчев, И. Петева, Б. Борисов")</f>
        <v>Д. Иванов, С. Денчев, И. Петева, Б. Борисов</v>
      </c>
      <c r="H7335" s="10"/>
      <c r="I7335" s="10"/>
      <c r="J7335" s="10"/>
      <c r="K7335" s="10"/>
      <c r="L7335" s="10"/>
      <c r="M7335" s="10"/>
      <c r="N7335" s="10"/>
      <c r="O7335" s="10"/>
      <c r="P7335" s="10"/>
      <c r="Q7335" s="10"/>
      <c r="R7335" s="10"/>
      <c r="S7335" s="10"/>
      <c r="T7335" s="10"/>
      <c r="U7335" s="10"/>
      <c r="V7335" s="10"/>
      <c r="W7335" s="10"/>
      <c r="X7335" s="10"/>
      <c r="Y7335" s="10"/>
      <c r="Z7335" s="10"/>
    </row>
    <row r="7336" spans="1:26" ht="12.75">
      <c r="A7336" s="10" t="str">
        <f ca="1">IFERROR(__xludf.DUMMYFUNCTION("""COMPUTED_VALUE"""),"Стоян Георгиев Денчев")</f>
        <v>Стоян Георгиев Денчев</v>
      </c>
      <c r="B7336" s="10" t="str">
        <f ca="1">IFERROR(__xludf.DUMMYFUNCTION("""COMPUTED_VALUE"""),"Доклад от конференция")</f>
        <v>Доклад от конференция</v>
      </c>
      <c r="C7336" s="10" t="str">
        <f ca="1">IFERROR(__xludf.DUMMYFUNCTION("""COMPUTED_VALUE"""),"The Bulgarian Literary Language as a Hypercategory of the National Security: Formulation of the Problem")</f>
        <v>The Bulgarian Literary Language as a Hypercategory of the National Security: Formulation of the Problem</v>
      </c>
      <c r="D7336" s="10">
        <f ca="1">IFERROR(__xludf.DUMMYFUNCTION("""COMPUTED_VALUE"""),2009)</f>
        <v>2009</v>
      </c>
      <c r="E7336" s="10" t="str">
        <f ca="1">IFERROR(__xludf.DUMMYFUNCTION("""COMPUTED_VALUE"""),"Globalism and Security: International Scientific Conference, 5th Junе 2009, Sofia. Sofia, 2009, p. 176-193. ISBN 978-954-8887-66-3.")</f>
        <v>Globalism and Security: International Scientific Conference, 5th Junе 2009, Sofia. Sofia, 2009, p. 176-193. ISBN 978-954-8887-66-3.</v>
      </c>
      <c r="F7336" s="10"/>
      <c r="G7336" s="10" t="str">
        <f ca="1">IFERROR(__xludf.DUMMYFUNCTION("""COMPUTED_VALUE"""),"A. Kumanova, M. Kumanov, N. Vasilev")</f>
        <v>A. Kumanova, M. Kumanov, N. Vasilev</v>
      </c>
      <c r="H7336" s="10"/>
      <c r="I7336" s="10"/>
      <c r="J7336" s="10"/>
      <c r="K7336" s="10"/>
      <c r="L7336" s="10"/>
      <c r="M7336" s="10"/>
      <c r="N7336" s="10"/>
      <c r="O7336" s="10"/>
      <c r="P7336" s="10"/>
      <c r="Q7336" s="10"/>
      <c r="R7336" s="10"/>
      <c r="S7336" s="10"/>
      <c r="T7336" s="10"/>
      <c r="U7336" s="10"/>
      <c r="V7336" s="10"/>
      <c r="W7336" s="10"/>
      <c r="X7336" s="10"/>
      <c r="Y7336" s="10"/>
      <c r="Z7336" s="10"/>
    </row>
    <row r="7337" spans="1:26" ht="12.75">
      <c r="A7337" s="10" t="str">
        <f ca="1">IFERROR(__xludf.DUMMYFUNCTION("""COMPUTED_VALUE"""),"Стоян Георгиев Денчев")</f>
        <v>Стоян Георгиев Денчев</v>
      </c>
      <c r="B7337" s="10" t="str">
        <f ca="1">IFERROR(__xludf.DUMMYFUNCTION("""COMPUTED_VALUE"""),"Статия в списания и поредици")</f>
        <v>Статия в списания и поредици</v>
      </c>
      <c r="C7337" s="10" t="str">
        <f ca="1">IFERROR(__xludf.DUMMYFUNCTION("""COMPUTED_VALUE"""),"Informing Processes and Models: a Core Course in IS Curriculum")</f>
        <v>Informing Processes and Models: a Core Course in IS Curriculum</v>
      </c>
      <c r="D7337" s="10">
        <f ca="1">IFERROR(__xludf.DUMMYFUNCTION("""COMPUTED_VALUE"""),2009)</f>
        <v>2009</v>
      </c>
      <c r="E7337" s="10" t="str">
        <f ca="1">IFERROR(__xludf.DUMMYFUNCTION("""COMPUTED_VALUE"""),"Issues in Informing Science and Information Technology, 2009, № 6, p. 143-151. ISSN 1547-5840.")</f>
        <v>Issues in Informing Science and Information Technology, 2009, № 6, p. 143-151. ISSN 1547-5840.</v>
      </c>
      <c r="F7337" s="10"/>
      <c r="G7337" s="10"/>
      <c r="H7337" s="10"/>
      <c r="I7337" s="10"/>
      <c r="J7337" s="10"/>
      <c r="K7337" s="10"/>
      <c r="L7337" s="10"/>
      <c r="M7337" s="10"/>
      <c r="N7337" s="10"/>
      <c r="O7337" s="10"/>
      <c r="P7337" s="10"/>
      <c r="Q7337" s="10"/>
      <c r="R7337" s="10"/>
      <c r="S7337" s="10"/>
      <c r="T7337" s="10"/>
      <c r="U7337" s="10"/>
      <c r="V7337" s="10"/>
      <c r="W7337" s="10"/>
      <c r="X7337" s="10"/>
      <c r="Y7337" s="10"/>
      <c r="Z7337" s="10"/>
    </row>
    <row r="7338" spans="1:26" ht="12.75">
      <c r="A7338" s="10" t="str">
        <f ca="1">IFERROR(__xludf.DUMMYFUNCTION("""COMPUTED_VALUE"""),"Стоян Георгиев Денчев")</f>
        <v>Стоян Георгиев Денчев</v>
      </c>
      <c r="B7338" s="10" t="str">
        <f ca="1">IFERROR(__xludf.DUMMYFUNCTION("""COMPUTED_VALUE"""),"Доклад от конференция")</f>
        <v>Доклад от конференция</v>
      </c>
      <c r="C7338" s="10" t="str">
        <f ca="1">IFERROR(__xludf.DUMMYFUNCTION("""COMPUTED_VALUE"""),"Training Information Brokers: a Curriculum Model")</f>
        <v>Training Information Brokers: a Curriculum Model</v>
      </c>
      <c r="D7338" s="10">
        <f ca="1">IFERROR(__xludf.DUMMYFUNCTION("""COMPUTED_VALUE"""),2008)</f>
        <v>2008</v>
      </c>
      <c r="E7338" s="10" t="str">
        <f ca="1">IFERROR(__xludf.DUMMYFUNCTION("""COMPUTED_VALUE"""),"Informing Science and Information Technology Education Conference, 22-25 Jun 2008, Varna.Varna, 2008, p. 87-94. ISSN 1535-0703")</f>
        <v>Informing Science and Information Technology Education Conference, 22-25 Jun 2008, Varna.Varna, 2008, p. 87-94. ISSN 1535-0703</v>
      </c>
      <c r="F7338" s="10"/>
      <c r="G7338" s="10" t="str">
        <f ca="1">IFERROR(__xludf.DUMMYFUNCTION("""COMPUTED_VALUE"""),"D. Christozov, S. Toleva, K. Rasheva-Yordanova")</f>
        <v>D. Christozov, S. Toleva, K. Rasheva-Yordanova</v>
      </c>
      <c r="H7338" s="10"/>
      <c r="I7338" s="10"/>
      <c r="J7338" s="10"/>
      <c r="K7338" s="10"/>
      <c r="L7338" s="10"/>
      <c r="M7338" s="10"/>
      <c r="N7338" s="10"/>
      <c r="O7338" s="10"/>
      <c r="P7338" s="10"/>
      <c r="Q7338" s="10"/>
      <c r="R7338" s="10"/>
      <c r="S7338" s="10"/>
      <c r="T7338" s="10"/>
      <c r="U7338" s="10"/>
      <c r="V7338" s="10"/>
      <c r="W7338" s="10"/>
      <c r="X7338" s="10"/>
      <c r="Y7338" s="10"/>
      <c r="Z7338" s="10"/>
    </row>
    <row r="7339" spans="1:26" ht="12.75">
      <c r="A7339" s="10" t="str">
        <f ca="1">IFERROR(__xludf.DUMMYFUNCTION("""COMPUTED_VALUE"""),"Стоян Георгиев Денчев")</f>
        <v>Стоян Георгиев Денчев</v>
      </c>
      <c r="B7339" s="10" t="str">
        <f ca="1">IFERROR(__xludf.DUMMYFUNCTION("""COMPUTED_VALUE"""),"Статия в списания и поредици")</f>
        <v>Статия в списания и поредици</v>
      </c>
      <c r="C7339" s="10" t="str">
        <f ca="1">IFERROR(__xludf.DUMMYFUNCTION("""COMPUTED_VALUE"""),"Духовност, сигурност и информационна цивилизация.")</f>
        <v>Духовност, сигурност и информационна цивилизация.</v>
      </c>
      <c r="D7339" s="10">
        <f ca="1">IFERROR(__xludf.DUMMYFUNCTION("""COMPUTED_VALUE"""),2008)</f>
        <v>2008</v>
      </c>
      <c r="E7339" s="10" t="str">
        <f ca="1">IFERROR(__xludf.DUMMYFUNCTION("""COMPUTED_VALUE"""),"Военен журнал, 2008, № 2, с. 121-128. ISSN 0861-7392.")</f>
        <v>Военен журнал, 2008, № 2, с. 121-128. ISSN 0861-7392.</v>
      </c>
      <c r="F7339" s="10"/>
      <c r="G7339" s="10" t="str">
        <f ca="1">IFERROR(__xludf.DUMMYFUNCTION("""COMPUTED_VALUE"""),"И.Попов")</f>
        <v>И.Попов</v>
      </c>
      <c r="H7339" s="10"/>
      <c r="I7339" s="10"/>
      <c r="J7339" s="10"/>
      <c r="K7339" s="10"/>
      <c r="L7339" s="10"/>
      <c r="M7339" s="10"/>
      <c r="N7339" s="10"/>
      <c r="O7339" s="10"/>
      <c r="P7339" s="10"/>
      <c r="Q7339" s="10"/>
      <c r="R7339" s="10"/>
      <c r="S7339" s="10"/>
      <c r="T7339" s="10"/>
      <c r="U7339" s="10"/>
      <c r="V7339" s="10"/>
      <c r="W7339" s="10"/>
      <c r="X7339" s="10"/>
      <c r="Y7339" s="10"/>
      <c r="Z7339" s="10"/>
    </row>
    <row r="7340" spans="1:26" ht="12.75">
      <c r="A7340" s="10" t="str">
        <f ca="1">IFERROR(__xludf.DUMMYFUNCTION("""COMPUTED_VALUE"""),"Стоян Георгиев Денчев")</f>
        <v>Стоян Георгиев Денчев</v>
      </c>
      <c r="B7340" s="10" t="str">
        <f ca="1">IFERROR(__xludf.DUMMYFUNCTION("""COMPUTED_VALUE"""),"Доклад от конференция")</f>
        <v>Доклад от конференция</v>
      </c>
      <c r="C7340" s="10" t="str">
        <f ca="1">IFERROR(__xludf.DUMMYFUNCTION("""COMPUTED_VALUE"""),"Универсалност на хуманитарното знание: когнитивен библиогр. контекст на инфосферата в антропол. трансформации на времето: Постановка. Методология. Историография. Терминосистема. Структура. Обобщение.")</f>
        <v>Универсалност на хуманитарното знание: когнитивен библиогр. контекст на инфосферата в антропол. трансформации на времето: Постановка. Методология. Историография. Терминосистема. Структура. Обобщение.</v>
      </c>
      <c r="D7340" s="10">
        <f ca="1">IFERROR(__xludf.DUMMYFUNCTION("""COMPUTED_VALUE"""),2008)</f>
        <v>2008</v>
      </c>
      <c r="E7340" s="10" t="str">
        <f ca="1">IFERROR(__xludf.DUMMYFUNCTION("""COMPUTED_VALUE"""),"Кирилицата в духовността на европейската информационна цивилизация: пета национална научна конференция с международно участие, 1 ноем. 2007 г., София. София, 2008, с. 393–423. ISBN 978-954-8887-42-7.")</f>
        <v>Кирилицата в духовността на европейската информационна цивилизация: пета национална научна конференция с международно участие, 1 ноем. 2007 г., София. София, 2008, с. 393–423. ISBN 978-954-8887-42-7.</v>
      </c>
      <c r="F7340" s="10"/>
      <c r="G7340" s="10" t="str">
        <f ca="1">IFERROR(__xludf.DUMMYFUNCTION("""COMPUTED_VALUE"""),"А. Куманова, Н. Казански")</f>
        <v>А. Куманова, Н. Казански</v>
      </c>
      <c r="H7340" s="10"/>
      <c r="I7340" s="10"/>
      <c r="J7340" s="10"/>
      <c r="K7340" s="10"/>
      <c r="L7340" s="10"/>
      <c r="M7340" s="10"/>
      <c r="N7340" s="10"/>
      <c r="O7340" s="10"/>
      <c r="P7340" s="10"/>
      <c r="Q7340" s="10"/>
      <c r="R7340" s="10"/>
      <c r="S7340" s="10"/>
      <c r="T7340" s="10"/>
      <c r="U7340" s="10"/>
      <c r="V7340" s="10"/>
      <c r="W7340" s="10"/>
      <c r="X7340" s="10"/>
      <c r="Y7340" s="10"/>
      <c r="Z7340" s="10"/>
    </row>
    <row r="7341" spans="1:26" ht="12.75">
      <c r="A7341" s="10" t="str">
        <f ca="1">IFERROR(__xludf.DUMMYFUNCTION("""COMPUTED_VALUE"""),"Стоян Георгиев Денчев")</f>
        <v>Стоян Георгиев Денчев</v>
      </c>
      <c r="B7341" s="10" t="str">
        <f ca="1">IFERROR(__xludf.DUMMYFUNCTION("""COMPUTED_VALUE"""),"Статия в списания и поредици")</f>
        <v>Статия в списания и поредици</v>
      </c>
      <c r="C7341" s="10" t="str">
        <f ca="1">IFERROR(__xludf.DUMMYFUNCTION("""COMPUTED_VALUE"""),"Информационните технологии и предизвикателствата пред нацията")</f>
        <v>Информационните технологии и предизвикателствата пред нацията</v>
      </c>
      <c r="D7341" s="10">
        <f ca="1">IFERROR(__xludf.DUMMYFUNCTION("""COMPUTED_VALUE"""),2008)</f>
        <v>2008</v>
      </c>
      <c r="E7341" s="10" t="str">
        <f ca="1">IFERROR(__xludf.DUMMYFUNCTION("""COMPUTED_VALUE"""),"Годишник по „Информатика“. – София: БАН, Том 1, 2008, с. 3–12. ISSN 1313-6852.")</f>
        <v>Годишник по „Информатика“. – София: БАН, Том 1, 2008, с. 3–12. ISSN 1313-6852.</v>
      </c>
      <c r="F7341" s="10"/>
      <c r="G7341" s="10"/>
      <c r="H7341" s="10"/>
      <c r="I7341" s="10"/>
      <c r="J7341" s="10"/>
      <c r="K7341" s="10"/>
      <c r="L7341" s="10"/>
      <c r="M7341" s="10"/>
      <c r="N7341" s="10"/>
      <c r="O7341" s="10"/>
      <c r="P7341" s="10"/>
      <c r="Q7341" s="10"/>
      <c r="R7341" s="10"/>
      <c r="S7341" s="10"/>
      <c r="T7341" s="10"/>
      <c r="U7341" s="10"/>
      <c r="V7341" s="10"/>
      <c r="W7341" s="10"/>
      <c r="X7341" s="10"/>
      <c r="Y7341" s="10"/>
      <c r="Z7341" s="10"/>
    </row>
    <row r="7342" spans="1:26" ht="12.75">
      <c r="A7342" s="10" t="str">
        <f ca="1">IFERROR(__xludf.DUMMYFUNCTION("""COMPUTED_VALUE"""),"Стоян Георгиев Денчев")</f>
        <v>Стоян Георгиев Денчев</v>
      </c>
      <c r="B7342" s="10" t="str">
        <f ca="1">IFERROR(__xludf.DUMMYFUNCTION("""COMPUTED_VALUE"""),"Статия в списания и поредици")</f>
        <v>Статия в списания и поредици</v>
      </c>
      <c r="C7342" s="10" t="str">
        <f ca="1">IFERROR(__xludf.DUMMYFUNCTION("""COMPUTED_VALUE"""),"Управленска същност и функция на секретността.")</f>
        <v>Управленска същност и функция на секретността.</v>
      </c>
      <c r="D7342" s="10">
        <f ca="1">IFERROR(__xludf.DUMMYFUNCTION("""COMPUTED_VALUE"""),2008)</f>
        <v>2008</v>
      </c>
      <c r="E7342" s="10" t="str">
        <f ca="1">IFERROR(__xludf.DUMMYFUNCTION("""COMPUTED_VALUE"""),"Военен журнал, 2008, № 3, с. 134-141. ISSN 0861-7392")</f>
        <v>Военен журнал, 2008, № 3, с. 134-141. ISSN 0861-7392</v>
      </c>
      <c r="F7342" s="10"/>
      <c r="G7342" s="10" t="str">
        <f ca="1">IFERROR(__xludf.DUMMYFUNCTION("""COMPUTED_VALUE"""),"И.Попов")</f>
        <v>И.Попов</v>
      </c>
      <c r="H7342" s="10"/>
      <c r="I7342" s="10"/>
      <c r="J7342" s="10"/>
      <c r="K7342" s="10"/>
      <c r="L7342" s="10"/>
      <c r="M7342" s="10"/>
      <c r="N7342" s="10"/>
      <c r="O7342" s="10"/>
      <c r="P7342" s="10"/>
      <c r="Q7342" s="10"/>
      <c r="R7342" s="10"/>
      <c r="S7342" s="10"/>
      <c r="T7342" s="10"/>
      <c r="U7342" s="10"/>
      <c r="V7342" s="10"/>
      <c r="W7342" s="10"/>
      <c r="X7342" s="10"/>
      <c r="Y7342" s="10"/>
      <c r="Z7342" s="10"/>
    </row>
    <row r="7343" spans="1:26" ht="12.75">
      <c r="A7343" s="10" t="str">
        <f ca="1">IFERROR(__xludf.DUMMYFUNCTION("""COMPUTED_VALUE"""),"Стоян Георгиев Денчев")</f>
        <v>Стоян Георгиев Денчев</v>
      </c>
      <c r="B7343" s="10" t="str">
        <f ca="1">IFERROR(__xludf.DUMMYFUNCTION("""COMPUTED_VALUE"""),"Доклад от конференция")</f>
        <v>Доклад от конференция</v>
      </c>
      <c r="C7343" s="10" t="str">
        <f ca="1">IFERROR(__xludf.DUMMYFUNCTION("""COMPUTED_VALUE"""),"Universality of Humanitarian Knowledge: a Cognitive Context of the Infosphere: Nestinarstvo (Ritual fire-dancing): a Planetary Historiographical Map of the Anthropol. Transmissions of Time")</f>
        <v>Universality of Humanitarian Knowledge: a Cognitive Context of the Infosphere: Nestinarstvo (Ritual fire-dancing): a Planetary Historiographical Map of the Anthropol. Transmissions of Time</v>
      </c>
      <c r="D7343" s="10">
        <f ca="1">IFERROR(__xludf.DUMMYFUNCTION("""COMPUTED_VALUE"""),2008)</f>
        <v>2008</v>
      </c>
      <c r="E7343" s="10" t="str">
        <f ca="1">IFERROR(__xludf.DUMMYFUNCTION("""COMPUTED_VALUE"""),"Informing Science and Information Technology Education Conference, 22-25 June 2008, Varna. Varna, 2008, p. 1-17. ISSN 1535-0703")</f>
        <v>Informing Science and Information Technology Education Conference, 22-25 June 2008, Varna. Varna, 2008, p. 1-17. ISSN 1535-0703</v>
      </c>
      <c r="F7343" s="10"/>
      <c r="G7343" s="10" t="str">
        <f ca="1">IFERROR(__xludf.DUMMYFUNCTION("""COMPUTED_VALUE"""),"A. Kumanova, D. Christozov, N. Kazanski")</f>
        <v>A. Kumanova, D. Christozov, N. Kazanski</v>
      </c>
      <c r="H7343" s="10"/>
      <c r="I7343" s="10"/>
      <c r="J7343" s="10"/>
      <c r="K7343" s="10"/>
      <c r="L7343" s="10"/>
      <c r="M7343" s="10"/>
      <c r="N7343" s="10"/>
      <c r="O7343" s="10"/>
      <c r="P7343" s="10"/>
      <c r="Q7343" s="10"/>
      <c r="R7343" s="10"/>
      <c r="S7343" s="10"/>
      <c r="T7343" s="10"/>
      <c r="U7343" s="10"/>
      <c r="V7343" s="10"/>
      <c r="W7343" s="10"/>
      <c r="X7343" s="10"/>
      <c r="Y7343" s="10"/>
      <c r="Z7343" s="10"/>
    </row>
    <row r="7344" spans="1:26" ht="12.75">
      <c r="A7344" s="10" t="str">
        <f ca="1">IFERROR(__xludf.DUMMYFUNCTION("""COMPUTED_VALUE"""),"Стоян Георгиев Денчев")</f>
        <v>Стоян Георгиев Денчев</v>
      </c>
      <c r="B7344" s="10" t="str">
        <f ca="1">IFERROR(__xludf.DUMMYFUNCTION("""COMPUTED_VALUE"""),"Доклад от конференция")</f>
        <v>Доклад от конференция</v>
      </c>
      <c r="C7344" s="10" t="str">
        <f ca="1">IFERROR(__xludf.DUMMYFUNCTION("""COMPUTED_VALUE"""),"Планетарна информационна среда на културата: върху опита за прочит на нестинарството: рационална карта.")</f>
        <v>Планетарна информационна среда на културата: върху опита за прочит на нестинарството: рационална карта.</v>
      </c>
      <c r="D7344" s="10">
        <f ca="1">IFERROR(__xludf.DUMMYFUNCTION("""COMPUTED_VALUE"""),2008)</f>
        <v>2008</v>
      </c>
      <c r="E7344" s="10" t="str">
        <f ca="1">IFERROR(__xludf.DUMMYFUNCTION("""COMPUTED_VALUE"""),"Кирилицата в духовността на европейската информационна цивилизация: пета национална научна конференция с международно участие, 1 ноем. 2007 г., София. София, 2008, с. 608-619. ISBN 978-954-8887-42-7")</f>
        <v>Кирилицата в духовността на европейската информационна цивилизация: пета национална научна конференция с международно участие, 1 ноем. 2007 г., София. София, 2008, с. 608-619. ISBN 978-954-8887-42-7</v>
      </c>
      <c r="F7344" s="10"/>
      <c r="G7344" s="10" t="str">
        <f ca="1">IFERROR(__xludf.DUMMYFUNCTION("""COMPUTED_VALUE"""),"А. Куманова, Н. Казански")</f>
        <v>А. Куманова, Н. Казански</v>
      </c>
      <c r="H7344" s="10"/>
      <c r="I7344" s="10"/>
      <c r="J7344" s="10"/>
      <c r="K7344" s="10"/>
      <c r="L7344" s="10"/>
      <c r="M7344" s="10"/>
      <c r="N7344" s="10"/>
      <c r="O7344" s="10"/>
      <c r="P7344" s="10"/>
      <c r="Q7344" s="10"/>
      <c r="R7344" s="10"/>
      <c r="S7344" s="10"/>
      <c r="T7344" s="10"/>
      <c r="U7344" s="10"/>
      <c r="V7344" s="10"/>
      <c r="W7344" s="10"/>
      <c r="X7344" s="10"/>
      <c r="Y7344" s="10"/>
      <c r="Z7344" s="10"/>
    </row>
    <row r="7345" spans="1:26" ht="12.75">
      <c r="A7345" s="10" t="str">
        <f ca="1">IFERROR(__xludf.DUMMYFUNCTION("""COMPUTED_VALUE"""),"Стоян Георгиев Денчев")</f>
        <v>Стоян Георгиев Денчев</v>
      </c>
      <c r="B7345" s="10" t="str">
        <f ca="1">IFERROR(__xludf.DUMMYFUNCTION("""COMPUTED_VALUE"""),"Доклад от конференция")</f>
        <v>Доклад от конференция</v>
      </c>
      <c r="C7345" s="10" t="str">
        <f ca="1">IFERROR(__xludf.DUMMYFUNCTION("""COMPUTED_VALUE"""),"Models of Education and Changes in University Libraries")</f>
        <v>Models of Education and Changes in University Libraries</v>
      </c>
      <c r="D7345" s="10">
        <f ca="1">IFERROR(__xludf.DUMMYFUNCTION("""COMPUTED_VALUE"""),2008)</f>
        <v>2008</v>
      </c>
      <c r="E7345" s="10" t="str">
        <f ca="1">IFERROR(__xludf.DUMMYFUNCTION("""COMPUTED_VALUE"""),"Information and Documentation Management and Cooperation among the Libraries in the Balkan Countries: Symposium Papers, 5-7 June 2008, Edirne, Turkey. p. 360-363. ISBN 975-374-090-5.")</f>
        <v>Information and Documentation Management and Cooperation among the Libraries in the Balkan Countries: Symposium Papers, 5-7 June 2008, Edirne, Turkey. p. 360-363. ISBN 975-374-090-5.</v>
      </c>
      <c r="F7345" s="10"/>
      <c r="G7345" s="10" t="str">
        <f ca="1">IFERROR(__xludf.DUMMYFUNCTION("""COMPUTED_VALUE"""),"K. Varbanova, I. Peteva")</f>
        <v>K. Varbanova, I. Peteva</v>
      </c>
      <c r="H7345" s="10"/>
      <c r="I7345" s="10"/>
      <c r="J7345" s="10"/>
      <c r="K7345" s="10"/>
      <c r="L7345" s="10"/>
      <c r="M7345" s="10"/>
      <c r="N7345" s="10"/>
      <c r="O7345" s="10"/>
      <c r="P7345" s="10"/>
      <c r="Q7345" s="10"/>
      <c r="R7345" s="10"/>
      <c r="S7345" s="10"/>
      <c r="T7345" s="10"/>
      <c r="U7345" s="10"/>
      <c r="V7345" s="10"/>
      <c r="W7345" s="10"/>
      <c r="X7345" s="10"/>
      <c r="Y7345" s="10"/>
      <c r="Z7345" s="10"/>
    </row>
    <row r="7346" spans="1:26" ht="12.75">
      <c r="A7346" s="10" t="str">
        <f ca="1">IFERROR(__xludf.DUMMYFUNCTION("""COMPUTED_VALUE"""),"Стоян Георгиев Денчев")</f>
        <v>Стоян Георгиев Денчев</v>
      </c>
      <c r="B7346" s="10" t="str">
        <f ca="1">IFERROR(__xludf.DUMMYFUNCTION("""COMPUTED_VALUE"""),"Статия в списания и поредици")</f>
        <v>Статия в списания и поредици</v>
      </c>
      <c r="C7346" s="10" t="str">
        <f ca="1">IFERROR(__xludf.DUMMYFUNCTION("""COMPUTED_VALUE"""),"Picture of the Bibliographical Information of the Planet to the XXI Century.")</f>
        <v>Picture of the Bibliographical Information of the Planet to the XXI Century.</v>
      </c>
      <c r="D7346" s="10">
        <f ca="1">IFERROR(__xludf.DUMMYFUNCTION("""COMPUTED_VALUE"""),2008)</f>
        <v>2008</v>
      </c>
      <c r="E7346" s="10" t="str">
        <f ca="1">IFERROR(__xludf.DUMMYFUNCTION("""COMPUTED_VALUE"""),"Informing Science: the International Journal of an Emerging Transdiscipline, 2008, № 11, с. 365-366. ISSN: 1547-9684.")</f>
        <v>Informing Science: the International Journal of an Emerging Transdiscipline, 2008, № 11, с. 365-366. ISSN: 1547-9684.</v>
      </c>
      <c r="F7346" s="10"/>
      <c r="G7346" s="10"/>
      <c r="H7346" s="10"/>
      <c r="I7346" s="10"/>
      <c r="J7346" s="10"/>
      <c r="K7346" s="10"/>
      <c r="L7346" s="10"/>
      <c r="M7346" s="10"/>
      <c r="N7346" s="10"/>
      <c r="O7346" s="10"/>
      <c r="P7346" s="10"/>
      <c r="Q7346" s="10"/>
      <c r="R7346" s="10"/>
      <c r="S7346" s="10"/>
      <c r="T7346" s="10"/>
      <c r="U7346" s="10"/>
      <c r="V7346" s="10"/>
      <c r="W7346" s="10"/>
      <c r="X7346" s="10"/>
      <c r="Y7346" s="10"/>
      <c r="Z7346" s="10"/>
    </row>
    <row r="7347" spans="1:26" ht="12.75">
      <c r="A7347" s="10" t="str">
        <f ca="1">IFERROR(__xludf.DUMMYFUNCTION("""COMPUTED_VALUE"""),"Стоян Георгиев Денчев")</f>
        <v>Стоян Георгиев Денчев</v>
      </c>
      <c r="B7347" s="10" t="str">
        <f ca="1">IFERROR(__xludf.DUMMYFUNCTION("""COMPUTED_VALUE"""),"Статия в списания и поредици")</f>
        <v>Статия в списания и поредици</v>
      </c>
      <c r="C7347" s="10" t="str">
        <f ca="1">IFERROR(__xludf.DUMMYFUNCTION("""COMPUTED_VALUE"""),"Прозрачност и сигурност на информацията при корпоративните комуникации в информационното общество")</f>
        <v>Прозрачност и сигурност на информацията при корпоративните комуникации в информационното общество</v>
      </c>
      <c r="D7347" s="10">
        <f ca="1">IFERROR(__xludf.DUMMYFUNCTION("""COMPUTED_VALUE"""),2008)</f>
        <v>2008</v>
      </c>
      <c r="E7347" s="10" t="str">
        <f ca="1">IFERROR(__xludf.DUMMYFUNCTION("""COMPUTED_VALUE"""),"Военен журнал, 2008, № 5, с. 98-106. ISSN 0861-7392.")</f>
        <v>Военен журнал, 2008, № 5, с. 98-106. ISSN 0861-7392.</v>
      </c>
      <c r="F7347" s="10"/>
      <c r="G7347" s="10" t="str">
        <f ca="1">IFERROR(__xludf.DUMMYFUNCTION("""COMPUTED_VALUE"""),"Д. Паргов, И. Петева, Б. Тетевенска")</f>
        <v>Д. Паргов, И. Петева, Б. Тетевенска</v>
      </c>
      <c r="H7347" s="10"/>
      <c r="I7347" s="10"/>
      <c r="J7347" s="10"/>
      <c r="K7347" s="10"/>
      <c r="L7347" s="10"/>
      <c r="M7347" s="10"/>
      <c r="N7347" s="10"/>
      <c r="O7347" s="10"/>
      <c r="P7347" s="10"/>
      <c r="Q7347" s="10"/>
      <c r="R7347" s="10"/>
      <c r="S7347" s="10"/>
      <c r="T7347" s="10"/>
      <c r="U7347" s="10"/>
      <c r="V7347" s="10"/>
      <c r="W7347" s="10"/>
      <c r="X7347" s="10"/>
      <c r="Y7347" s="10"/>
      <c r="Z7347" s="10"/>
    </row>
    <row r="7348" spans="1:26" ht="12.75">
      <c r="A7348" s="10" t="str">
        <f ca="1">IFERROR(__xludf.DUMMYFUNCTION("""COMPUTED_VALUE"""),"Стоян Георгиев Денчев")</f>
        <v>Стоян Георгиев Денчев</v>
      </c>
      <c r="B7348" s="10" t="str">
        <f ca="1">IFERROR(__xludf.DUMMYFUNCTION("""COMPUTED_VALUE"""),"Статия в списания и поредици")</f>
        <v>Статия в списания и поредици</v>
      </c>
      <c r="C7348" s="10" t="str">
        <f ca="1">IFERROR(__xludf.DUMMYFUNCTION("""COMPUTED_VALUE"""),"Същност и принципи на информационната цивилизация.")</f>
        <v>Същност и принципи на информационната цивилизация.</v>
      </c>
      <c r="D7348" s="10">
        <f ca="1">IFERROR(__xludf.DUMMYFUNCTION("""COMPUTED_VALUE"""),2008)</f>
        <v>2008</v>
      </c>
      <c r="E7348" s="10" t="str">
        <f ca="1">IFERROR(__xludf.DUMMYFUNCTION("""COMPUTED_VALUE"""),"Военен журнал, 2008, № 1, с. 120-128. ISSN 0861-7392")</f>
        <v>Военен журнал, 2008, № 1, с. 120-128. ISSN 0861-7392</v>
      </c>
      <c r="F7348" s="10"/>
      <c r="G7348" s="10" t="str">
        <f ca="1">IFERROR(__xludf.DUMMYFUNCTION("""COMPUTED_VALUE"""),"И. Попов")</f>
        <v>И. Попов</v>
      </c>
      <c r="H7348" s="10"/>
      <c r="I7348" s="10"/>
      <c r="J7348" s="10"/>
      <c r="K7348" s="10"/>
      <c r="L7348" s="10"/>
      <c r="M7348" s="10"/>
      <c r="N7348" s="10"/>
      <c r="O7348" s="10"/>
      <c r="P7348" s="10"/>
      <c r="Q7348" s="10"/>
      <c r="R7348" s="10"/>
      <c r="S7348" s="10"/>
      <c r="T7348" s="10"/>
      <c r="U7348" s="10"/>
      <c r="V7348" s="10"/>
      <c r="W7348" s="10"/>
      <c r="X7348" s="10"/>
      <c r="Y7348" s="10"/>
      <c r="Z7348" s="10"/>
    </row>
    <row r="7349" spans="1:26" ht="12.75">
      <c r="A7349" s="10" t="str">
        <f ca="1">IFERROR(__xludf.DUMMYFUNCTION("""COMPUTED_VALUE"""),"Стоян Георгиев Денчев")</f>
        <v>Стоян Георгиев Денчев</v>
      </c>
      <c r="B7349" s="10" t="str">
        <f ca="1">IFERROR(__xludf.DUMMYFUNCTION("""COMPUTED_VALUE"""),"Статия в списания и поредици")</f>
        <v>Статия в списания и поредици</v>
      </c>
      <c r="C7349" s="10" t="str">
        <f ca="1">IFERROR(__xludf.DUMMYFUNCTION("""COMPUTED_VALUE"""),"Training information brokers: a curriculum model.")</f>
        <v>Training information brokers: a curriculum model.</v>
      </c>
      <c r="D7349" s="10">
        <f ca="1">IFERROR(__xludf.DUMMYFUNCTION("""COMPUTED_VALUE"""),2008)</f>
        <v>2008</v>
      </c>
      <c r="E7349" s="10" t="str">
        <f ca="1">IFERROR(__xludf.DUMMYFUNCTION("""COMPUTED_VALUE"""),"Journal of Issues in Informing Science and Information Technology, 5, 2008, p. 87-94.")</f>
        <v>Journal of Issues in Informing Science and Information Technology, 5, 2008, p. 87-94.</v>
      </c>
      <c r="F7349" s="10"/>
      <c r="G7349" s="10" t="str">
        <f ca="1">IFERROR(__xludf.DUMMYFUNCTION("""COMPUTED_VALUE"""),"Co-authors: D. Christozov, S. Toleva-Stoimenova, K. Rasheva-Yordanova")</f>
        <v>Co-authors: D. Christozov, S. Toleva-Stoimenova, K. Rasheva-Yordanova</v>
      </c>
      <c r="H7349" s="10"/>
      <c r="I7349" s="10"/>
      <c r="J7349" s="10"/>
      <c r="K7349" s="10"/>
      <c r="L7349" s="10"/>
      <c r="M7349" s="10"/>
      <c r="N7349" s="10"/>
      <c r="O7349" s="10"/>
      <c r="P7349" s="10"/>
      <c r="Q7349" s="10"/>
      <c r="R7349" s="10"/>
      <c r="S7349" s="10"/>
      <c r="T7349" s="10"/>
      <c r="U7349" s="10"/>
      <c r="V7349" s="10"/>
      <c r="W7349" s="10"/>
      <c r="X7349" s="10"/>
      <c r="Y7349" s="10"/>
      <c r="Z7349" s="10"/>
    </row>
    <row r="7350" spans="1:26" ht="12.75">
      <c r="A7350" s="10" t="str">
        <f ca="1">IFERROR(__xludf.DUMMYFUNCTION("""COMPUTED_VALUE"""),"Стоян Георгиев Денчев")</f>
        <v>Стоян Георгиев Денчев</v>
      </c>
      <c r="B7350" s="10" t="str">
        <f ca="1">IFERROR(__xludf.DUMMYFUNCTION("""COMPUTED_VALUE"""),"Статия в списания и поредици")</f>
        <v>Статия в списания и поредици</v>
      </c>
      <c r="C7350" s="10" t="str">
        <f ca="1">IFERROR(__xludf.DUMMYFUNCTION("""COMPUTED_VALUE"""),"Среща на науката с бизнеса и образованието: знаниева индустриална навигация за информационните технологии: девета международна научна конференция и изложба LIBCOM-2005: историогр.-етимол. дискурс на междунар. науч. конференции на Русия на границата между "&amp;"ХХ-ХХІ в.")</f>
        <v>Среща на науката с бизнеса и образованието: знаниева индустриална навигация за информационните технологии: девета международна научна конференция и изложба LIBCOM-2005: историогр.-етимол. дискурс на междунар. науч. конференции на Русия на границата между ХХ-ХХІ в.</v>
      </c>
      <c r="D7350" s="10">
        <f ca="1">IFERROR(__xludf.DUMMYFUNCTION("""COMPUTED_VALUE"""),2007)</f>
        <v>2007</v>
      </c>
      <c r="E7350" s="10" t="str">
        <f ca="1">IFERROR(__xludf.DUMMYFUNCTION("""COMPUTED_VALUE"""),"Трудове на Специализирано висше училище по библиотекознание и информационни технологии, Т. 6, 2007, с. 149-171. ISSN 1312-5834.")</f>
        <v>Трудове на Специализирано висше училище по библиотекознание и информационни технологии, Т. 6, 2007, с. 149-171. ISSN 1312-5834.</v>
      </c>
      <c r="F7350" s="10"/>
      <c r="G7350" s="10" t="str">
        <f ca="1">IFERROR(__xludf.DUMMYFUNCTION("""COMPUTED_VALUE"""),"А. Куманова")</f>
        <v>А. Куманова</v>
      </c>
      <c r="H7350" s="10"/>
      <c r="I7350" s="10"/>
      <c r="J7350" s="10"/>
      <c r="K7350" s="10"/>
      <c r="L7350" s="10"/>
      <c r="M7350" s="10"/>
      <c r="N7350" s="10"/>
      <c r="O7350" s="10"/>
      <c r="P7350" s="10"/>
      <c r="Q7350" s="10"/>
      <c r="R7350" s="10"/>
      <c r="S7350" s="10"/>
      <c r="T7350" s="10"/>
      <c r="U7350" s="10"/>
      <c r="V7350" s="10"/>
      <c r="W7350" s="10"/>
      <c r="X7350" s="10"/>
      <c r="Y7350" s="10"/>
      <c r="Z7350" s="10"/>
    </row>
    <row r="7351" spans="1:26" ht="12.75">
      <c r="A7351" s="10" t="str">
        <f ca="1">IFERROR(__xludf.DUMMYFUNCTION("""COMPUTED_VALUE"""),"Стоян Георгиев Денчев")</f>
        <v>Стоян Георгиев Денчев</v>
      </c>
      <c r="B7351" s="10" t="str">
        <f ca="1">IFERROR(__xludf.DUMMYFUNCTION("""COMPUTED_VALUE"""),"Статия в списания и поредици")</f>
        <v>Статия в списания и поредици</v>
      </c>
      <c r="C7351" s="10" t="str">
        <f ca="1">IFERROR(__xludf.DUMMYFUNCTION("""COMPUTED_VALUE"""),"Знание-episteme – знание-téchne: трансформатизъм на инфосферата (Онтология на информационната среда).")</f>
        <v>Знание-episteme – знание-téchne: трансформатизъм на инфосферата (Онтология на информационната среда).</v>
      </c>
      <c r="D7351" s="10">
        <f ca="1">IFERROR(__xludf.DUMMYFUNCTION("""COMPUTED_VALUE"""),2007)</f>
        <v>2007</v>
      </c>
      <c r="E7351" s="10" t="str">
        <f ca="1">IFERROR(__xludf.DUMMYFUNCTION("""COMPUTED_VALUE"""),"Философски алтернативи, 16, 2007, № 2/3, с. 168-186. ISSN 0861-7899.")</f>
        <v>Философски алтернативи, 16, 2007, № 2/3, с. 168-186. ISSN 0861-7899.</v>
      </c>
      <c r="F7351" s="10"/>
      <c r="G7351" s="10" t="str">
        <f ca="1">IFERROR(__xludf.DUMMYFUNCTION("""COMPUTED_VALUE"""),"А. Куманова")</f>
        <v>А. Куманова</v>
      </c>
      <c r="H7351" s="10"/>
      <c r="I7351" s="10"/>
      <c r="J7351" s="10"/>
      <c r="K7351" s="10"/>
      <c r="L7351" s="10"/>
      <c r="M7351" s="10"/>
      <c r="N7351" s="10"/>
      <c r="O7351" s="10"/>
      <c r="P7351" s="10"/>
      <c r="Q7351" s="10"/>
      <c r="R7351" s="10"/>
      <c r="S7351" s="10"/>
      <c r="T7351" s="10"/>
      <c r="U7351" s="10"/>
      <c r="V7351" s="10"/>
      <c r="W7351" s="10"/>
      <c r="X7351" s="10"/>
      <c r="Y7351" s="10"/>
      <c r="Z7351" s="10"/>
    </row>
    <row r="7352" spans="1:26" ht="12.75">
      <c r="A7352" s="10" t="str">
        <f ca="1">IFERROR(__xludf.DUMMYFUNCTION("""COMPUTED_VALUE"""),"Стоян Георгиев Денчев")</f>
        <v>Стоян Георгиев Денчев</v>
      </c>
      <c r="B7352" s="10" t="str">
        <f ca="1">IFERROR(__xludf.DUMMYFUNCTION("""COMPUTED_VALUE"""),"Статия в списания и поредици")</f>
        <v>Статия в списания и поредици</v>
      </c>
      <c r="C7352" s="10" t="str">
        <f ca="1">IFERROR(__xludf.DUMMYFUNCTION("""COMPUTED_VALUE"""),"Ризоматика на информационната среда: визуализация на хуманитарната библиография: епистемология на инфосферата.")</f>
        <v>Ризоматика на информационната среда: визуализация на хуманитарната библиография: епистемология на инфосферата.</v>
      </c>
      <c r="D7352" s="10">
        <f ca="1">IFERROR(__xludf.DUMMYFUNCTION("""COMPUTED_VALUE"""),2007)</f>
        <v>2007</v>
      </c>
      <c r="E7352" s="10" t="str">
        <f ca="1">IFERROR(__xludf.DUMMYFUNCTION("""COMPUTED_VALUE"""),"Трудове на Специализирано висше училище по библиотекознание и информационни технологии, Т. 6, 2007, с. 127-136. ISSN 1312-5834.")</f>
        <v>Трудове на Специализирано висше училище по библиотекознание и информационни технологии, Т. 6, 2007, с. 127-136. ISSN 1312-5834.</v>
      </c>
      <c r="F7352" s="10"/>
      <c r="G7352" s="10" t="str">
        <f ca="1">IFERROR(__xludf.DUMMYFUNCTION("""COMPUTED_VALUE"""),"А. Куманова")</f>
        <v>А. Куманова</v>
      </c>
      <c r="H7352" s="10"/>
      <c r="I7352" s="10"/>
      <c r="J7352" s="10"/>
      <c r="K7352" s="10"/>
      <c r="L7352" s="10"/>
      <c r="M7352" s="10"/>
      <c r="N7352" s="10"/>
      <c r="O7352" s="10"/>
      <c r="P7352" s="10"/>
      <c r="Q7352" s="10"/>
      <c r="R7352" s="10"/>
      <c r="S7352" s="10"/>
      <c r="T7352" s="10"/>
      <c r="U7352" s="10"/>
      <c r="V7352" s="10"/>
      <c r="W7352" s="10"/>
      <c r="X7352" s="10"/>
      <c r="Y7352" s="10"/>
      <c r="Z7352" s="10"/>
    </row>
    <row r="7353" spans="1:26" ht="12.75">
      <c r="A7353" s="10" t="str">
        <f ca="1">IFERROR(__xludf.DUMMYFUNCTION("""COMPUTED_VALUE"""),"Стоян Георгиев Денчев")</f>
        <v>Стоян Георгиев Денчев</v>
      </c>
      <c r="B7353" s="10" t="str">
        <f ca="1">IFERROR(__xludf.DUMMYFUNCTION("""COMPUTED_VALUE"""),"Монография")</f>
        <v>Монография</v>
      </c>
      <c r="C7353" s="10" t="str">
        <f ca="1">IFERROR(__xludf.DUMMYFUNCTION("""COMPUTED_VALUE"""),"Концепция и политика за информационна сигурност: защита на класифицираната информация в компютърни системи за управление при бедствия, аварии и катастрофи.")</f>
        <v>Концепция и политика за информационна сигурност: защита на класифицираната информация в компютърни системи за управление при бедствия, аварии и катастрофи.</v>
      </c>
      <c r="D7353" s="10">
        <f ca="1">IFERROR(__xludf.DUMMYFUNCTION("""COMPUTED_VALUE"""),2006)</f>
        <v>2006</v>
      </c>
      <c r="E7353" s="10" t="str">
        <f ca="1">IFERROR(__xludf.DUMMYFUNCTION("""COMPUTED_VALUE"""),"София: За буквите - О писменехь, 2006. ISBN 954-8887-21-5 (ч.1), ISBN 978-954-8887-36-6 (ч.2).")</f>
        <v>София: За буквите - О писменехь, 2006. ISBN 954-8887-21-5 (ч.1), ISBN 978-954-8887-36-6 (ч.2).</v>
      </c>
      <c r="F7353" s="10"/>
      <c r="G7353" s="10" t="str">
        <f ca="1">IFERROR(__xludf.DUMMYFUNCTION("""COMPUTED_VALUE"""),"Ц. Семерджиев, И. Попов, Н. Костова")</f>
        <v>Ц. Семерджиев, И. Попов, Н. Костова</v>
      </c>
      <c r="H7353" s="10"/>
      <c r="I7353" s="10"/>
      <c r="J7353" s="10"/>
      <c r="K7353" s="10"/>
      <c r="L7353" s="10"/>
      <c r="M7353" s="10"/>
      <c r="N7353" s="10"/>
      <c r="O7353" s="10"/>
      <c r="P7353" s="10"/>
      <c r="Q7353" s="10"/>
      <c r="R7353" s="10"/>
      <c r="S7353" s="10"/>
      <c r="T7353" s="10"/>
      <c r="U7353" s="10"/>
      <c r="V7353" s="10"/>
      <c r="W7353" s="10"/>
      <c r="X7353" s="10"/>
      <c r="Y7353" s="10"/>
      <c r="Z7353" s="10"/>
    </row>
    <row r="7354" spans="1:26" ht="12.75">
      <c r="A7354" s="10" t="str">
        <f ca="1">IFERROR(__xludf.DUMMYFUNCTION("""COMPUTED_VALUE"""),"Стоян Георгиев Денчев")</f>
        <v>Стоян Георгиев Денчев</v>
      </c>
      <c r="B7354" s="10" t="str">
        <f ca="1">IFERROR(__xludf.DUMMYFUNCTION("""COMPUTED_VALUE"""),"Книга")</f>
        <v>Книга</v>
      </c>
      <c r="C7354" s="10" t="str">
        <f ca="1">IFERROR(__xludf.DUMMYFUNCTION("""COMPUTED_VALUE"""),"Държавна политика за културно-историческо наследство на Билгария 1878-2005")</f>
        <v>Държавна политика за културно-историческо наследство на Билгария 1878-2005</v>
      </c>
      <c r="D7354" s="10">
        <f ca="1">IFERROR(__xludf.DUMMYFUNCTION("""COMPUTED_VALUE"""),2006)</f>
        <v>2006</v>
      </c>
      <c r="E7354" s="10" t="str">
        <f ca="1">IFERROR(__xludf.DUMMYFUNCTION("""COMPUTED_VALUE"""),"Академично издателство ""Проф. Марин Дринов"", ISBN 954-322-143-X;978-954-322-143-1")</f>
        <v>Академично издателство "Проф. Марин Дринов", ISBN 954-322-143-X;978-954-322-143-1</v>
      </c>
      <c r="F7354" s="10"/>
      <c r="G7354" s="10" t="str">
        <f ca="1">IFERROR(__xludf.DUMMYFUNCTION("""COMPUTED_VALUE"""),"София Василева")</f>
        <v>София Василева</v>
      </c>
      <c r="H7354" s="10"/>
      <c r="I7354" s="10"/>
      <c r="J7354" s="10"/>
      <c r="K7354" s="10"/>
      <c r="L7354" s="10"/>
      <c r="M7354" s="10"/>
      <c r="N7354" s="10"/>
      <c r="O7354" s="10"/>
      <c r="P7354" s="10"/>
      <c r="Q7354" s="10"/>
      <c r="R7354" s="10"/>
      <c r="S7354" s="10"/>
      <c r="T7354" s="10"/>
      <c r="U7354" s="10"/>
      <c r="V7354" s="10"/>
      <c r="W7354" s="10"/>
      <c r="X7354" s="10"/>
      <c r="Y7354" s="10"/>
      <c r="Z7354" s="10"/>
    </row>
    <row r="7355" spans="1:26" ht="12.75">
      <c r="A7355" s="10" t="str">
        <f ca="1">IFERROR(__xludf.DUMMYFUNCTION("""COMPUTED_VALUE"""),"Стоян Георгиев Денчев")</f>
        <v>Стоян Георгиев Денчев</v>
      </c>
      <c r="B7355" s="10" t="str">
        <f ca="1">IFERROR(__xludf.DUMMYFUNCTION("""COMPUTED_VALUE"""),"Монография")</f>
        <v>Монография</v>
      </c>
      <c r="C7355" s="10" t="str">
        <f ca="1">IFERROR(__xludf.DUMMYFUNCTION("""COMPUTED_VALUE"""),"Библиотеки и публичен достъп до информация")</f>
        <v>Библиотеки и публичен достъп до информация</v>
      </c>
      <c r="D7355" s="10">
        <f ca="1">IFERROR(__xludf.DUMMYFUNCTION("""COMPUTED_VALUE"""),2006)</f>
        <v>2006</v>
      </c>
      <c r="E7355" s="10" t="str">
        <f ca="1">IFERROR(__xludf.DUMMYFUNCTION("""COMPUTED_VALUE"""),"ISBN 954-322-181-2;978-954-322-181-3")</f>
        <v>ISBN 954-322-181-2;978-954-322-181-3</v>
      </c>
      <c r="F7355" s="10"/>
      <c r="G7355" s="10" t="str">
        <f ca="1">IFERROR(__xludf.DUMMYFUNCTION("""COMPUTED_VALUE"""),"Ирена Петева")</f>
        <v>Ирена Петева</v>
      </c>
      <c r="H7355" s="10"/>
      <c r="I7355" s="10"/>
      <c r="J7355" s="10"/>
      <c r="K7355" s="10"/>
      <c r="L7355" s="10"/>
      <c r="M7355" s="10"/>
      <c r="N7355" s="10"/>
      <c r="O7355" s="10"/>
      <c r="P7355" s="10"/>
      <c r="Q7355" s="10"/>
      <c r="R7355" s="10"/>
      <c r="S7355" s="10"/>
      <c r="T7355" s="10"/>
      <c r="U7355" s="10"/>
      <c r="V7355" s="10"/>
      <c r="W7355" s="10"/>
      <c r="X7355" s="10"/>
      <c r="Y7355" s="10"/>
      <c r="Z7355" s="10"/>
    </row>
    <row r="7356" spans="1:26" ht="12.75">
      <c r="A7356" s="10" t="str">
        <f ca="1">IFERROR(__xludf.DUMMYFUNCTION("""COMPUTED_VALUE"""),"Стоян Георгиев Денчев")</f>
        <v>Стоян Георгиев Денчев</v>
      </c>
      <c r="B7356" s="10" t="str">
        <f ca="1">IFERROR(__xludf.DUMMYFUNCTION("""COMPUTED_VALUE"""),"Доклад от конференция")</f>
        <v>Доклад от конференция</v>
      </c>
      <c r="C7356" s="10" t="str">
        <f ca="1">IFERROR(__xludf.DUMMYFUNCTION("""COMPUTED_VALUE"""),"Интелигентна платформа за стимулиране на научните изследвания в СВУБИТ (В аспекта на рамковите програми на Европейския съюз).")</f>
        <v>Интелигентна платформа за стимулиране на научните изследвания в СВУБИТ (В аспекта на рамковите програми на Европейския съюз).</v>
      </c>
      <c r="D7356" s="10">
        <f ca="1">IFERROR(__xludf.DUMMYFUNCTION("""COMPUTED_VALUE"""),2006)</f>
        <v>2006</v>
      </c>
      <c r="E7356" s="10" t="str">
        <f ca="1">IFERROR(__xludf.DUMMYFUNCTION("""COMPUTED_VALUE"""),"Нови информационни технологии в образователния процес: сборник от научни доклади и съобщения от семинар на Специализираното висше училище по библиотекознание и информационни технологии, 31 март - 1 апр. 2006 г., Долна баня. София: За буквите - О писменехь"&amp;", 2006, с. 66-78. ISBN 954-8887-21-5.")</f>
        <v>Нови информационни технологии в образователния процес: сборник от научни доклади и съобщения от семинар на Специализираното висше училище по библиотекознание и информационни технологии, 31 март - 1 апр. 2006 г., Долна баня. София: За буквите - О писменехь, 2006, с. 66-78. ISBN 954-8887-21-5.</v>
      </c>
      <c r="F7356" s="10"/>
      <c r="G7356" s="10" t="str">
        <f ca="1">IFERROR(__xludf.DUMMYFUNCTION("""COMPUTED_VALUE"""),"К. Върбанова-Денчева")</f>
        <v>К. Върбанова-Денчева</v>
      </c>
      <c r="H7356" s="10"/>
      <c r="I7356" s="10"/>
      <c r="J7356" s="10"/>
      <c r="K7356" s="10"/>
      <c r="L7356" s="10"/>
      <c r="M7356" s="10"/>
      <c r="N7356" s="10"/>
      <c r="O7356" s="10"/>
      <c r="P7356" s="10"/>
      <c r="Q7356" s="10"/>
      <c r="R7356" s="10"/>
      <c r="S7356" s="10"/>
      <c r="T7356" s="10"/>
      <c r="U7356" s="10"/>
      <c r="V7356" s="10"/>
      <c r="W7356" s="10"/>
      <c r="X7356" s="10"/>
      <c r="Y7356" s="10"/>
      <c r="Z7356" s="10"/>
    </row>
    <row r="7357" spans="1:26" ht="12.75">
      <c r="A7357" s="10" t="str">
        <f ca="1">IFERROR(__xludf.DUMMYFUNCTION("""COMPUTED_VALUE"""),"Стоян Георгиев Денчев")</f>
        <v>Стоян Георгиев Денчев</v>
      </c>
      <c r="B7357" s="10" t="str">
        <f ca="1">IFERROR(__xludf.DUMMYFUNCTION("""COMPUTED_VALUE"""),"Монография")</f>
        <v>Монография</v>
      </c>
      <c r="C7357" s="10" t="str">
        <f ca="1">IFERROR(__xludf.DUMMYFUNCTION("""COMPUTED_VALUE"""),"Управление, анализ и развитие информационной среды для трансфера технологии")</f>
        <v>Управление, анализ и развитие информационной среды для трансфера технологии</v>
      </c>
      <c r="D7357" s="10">
        <f ca="1">IFERROR(__xludf.DUMMYFUNCTION("""COMPUTED_VALUE"""),2005)</f>
        <v>2005</v>
      </c>
      <c r="E7357" s="10" t="str">
        <f ca="1">IFERROR(__xludf.DUMMYFUNCTION("""COMPUTED_VALUE"""),"Москва : Наука, 2005. - 213, [1] с. : схемы ; 21х15 см. - Библиогр.: с. 201-214 (291 назв.). ISBN 5-02-034954-2")</f>
        <v>Москва : Наука, 2005. - 213, [1] с. : схемы ; 21х15 см. - Библиогр.: с. 201-214 (291 назв.). ISBN 5-02-034954-2</v>
      </c>
      <c r="F7357" s="10"/>
      <c r="G7357" s="10"/>
      <c r="H7357" s="10"/>
      <c r="I7357" s="10"/>
      <c r="J7357" s="10"/>
      <c r="K7357" s="10"/>
      <c r="L7357" s="10"/>
      <c r="M7357" s="10"/>
      <c r="N7357" s="10"/>
      <c r="O7357" s="10"/>
      <c r="P7357" s="10"/>
      <c r="Q7357" s="10"/>
      <c r="R7357" s="10"/>
      <c r="S7357" s="10"/>
      <c r="T7357" s="10"/>
      <c r="U7357" s="10"/>
      <c r="V7357" s="10"/>
      <c r="W7357" s="10"/>
      <c r="X7357" s="10"/>
      <c r="Y7357" s="10"/>
      <c r="Z7357" s="10"/>
    </row>
    <row r="7358" spans="1:26" ht="12.75">
      <c r="A7358" s="10" t="str">
        <f ca="1">IFERROR(__xludf.DUMMYFUNCTION("""COMPUTED_VALUE"""),"Стоян Георгиев Денчев")</f>
        <v>Стоян Георгиев Денчев</v>
      </c>
      <c r="B7358" s="10" t="str">
        <f ca="1">IFERROR(__xludf.DUMMYFUNCTION("""COMPUTED_VALUE"""),"Доклад от конференция")</f>
        <v>Доклад от конференция</v>
      </c>
      <c r="C7358" s="10" t="str">
        <f ca="1">IFERROR(__xludf.DUMMYFUNCTION("""COMPUTED_VALUE"""),"Model of Cooperation Between Library Education and University Libraries.")</f>
        <v>Model of Cooperation Between Library Education and University Libraries.</v>
      </c>
      <c r="D7358" s="10">
        <f ca="1">IFERROR(__xludf.DUMMYFUNCTION("""COMPUTED_VALUE"""),2005)</f>
        <v>2005</v>
      </c>
      <c r="E7358" s="10" t="str">
        <f ca="1">IFERROR(__xludf.DUMMYFUNCTION("""COMPUTED_VALUE"""),"Crimea 2005. Libraries, Information and Intellectual Property in the Information Society Era: Twelfth International Conference, 4-12 June 2005, Crimea. 5 p.")</f>
        <v>Crimea 2005. Libraries, Information and Intellectual Property in the Information Society Era: Twelfth International Conference, 4-12 June 2005, Crimea. 5 p.</v>
      </c>
      <c r="F7358" s="10"/>
      <c r="G7358" s="10" t="str">
        <f ca="1">IFERROR(__xludf.DUMMYFUNCTION("""COMPUTED_VALUE"""),"I.Yankova")</f>
        <v>I.Yankova</v>
      </c>
      <c r="H7358" s="10"/>
      <c r="I7358" s="10"/>
      <c r="J7358" s="10"/>
      <c r="K7358" s="10"/>
      <c r="L7358" s="10"/>
      <c r="M7358" s="10"/>
      <c r="N7358" s="10"/>
      <c r="O7358" s="10"/>
      <c r="P7358" s="10"/>
      <c r="Q7358" s="10"/>
      <c r="R7358" s="10"/>
      <c r="S7358" s="10"/>
      <c r="T7358" s="10"/>
      <c r="U7358" s="10"/>
      <c r="V7358" s="10"/>
      <c r="W7358" s="10"/>
      <c r="X7358" s="10"/>
      <c r="Y7358" s="10"/>
      <c r="Z7358" s="10"/>
    </row>
    <row r="7359" spans="1:26" ht="12.75">
      <c r="A7359" s="10" t="str">
        <f ca="1">IFERROR(__xludf.DUMMYFUNCTION("""COMPUTED_VALUE"""),"Стоян Георгиев Денчев")</f>
        <v>Стоян Георгиев Денчев</v>
      </c>
      <c r="B7359" s="10" t="str">
        <f ca="1">IFERROR(__xludf.DUMMYFUNCTION("""COMPUTED_VALUE"""),"Статия в списания и поредици")</f>
        <v>Статия в списания и поредици</v>
      </c>
      <c r="C7359" s="10" t="str">
        <f ca="1">IFERROR(__xludf.DUMMYFUNCTION("""COMPUTED_VALUE"""),"Публичност и тероризъм")</f>
        <v>Публичност и тероризъм</v>
      </c>
      <c r="D7359" s="10">
        <f ca="1">IFERROR(__xludf.DUMMYFUNCTION("""COMPUTED_VALUE"""),2005)</f>
        <v>2005</v>
      </c>
      <c r="E7359" s="10" t="str">
        <f ca="1">IFERROR(__xludf.DUMMYFUNCTION("""COMPUTED_VALUE"""),"Публичност и тероризъм: комуникационни и поведенчески модели: сборник статии. София: За буквите - О писменехъ: Унив. изд. „Св. Климент Охридски”, 2005, с. 9-12. ISBN 954-8887-07-X, ISBN 954-07-2170-9")</f>
        <v>Публичност и тероризъм: комуникационни и поведенчески модели: сборник статии. София: За буквите - О писменехъ: Унив. изд. „Св. Климент Охридски”, 2005, с. 9-12. ISBN 954-8887-07-X, ISBN 954-07-2170-9</v>
      </c>
      <c r="F7359" s="10"/>
      <c r="G7359" s="10"/>
      <c r="H7359" s="10"/>
      <c r="I7359" s="10"/>
      <c r="J7359" s="10"/>
      <c r="K7359" s="10"/>
      <c r="L7359" s="10"/>
      <c r="M7359" s="10"/>
      <c r="N7359" s="10"/>
      <c r="O7359" s="10"/>
      <c r="P7359" s="10"/>
      <c r="Q7359" s="10"/>
      <c r="R7359" s="10"/>
      <c r="S7359" s="10"/>
      <c r="T7359" s="10"/>
      <c r="U7359" s="10"/>
      <c r="V7359" s="10"/>
      <c r="W7359" s="10"/>
      <c r="X7359" s="10"/>
      <c r="Y7359" s="10"/>
      <c r="Z7359" s="10"/>
    </row>
    <row r="7360" spans="1:26" ht="12.75">
      <c r="A7360" s="10" t="str">
        <f ca="1">IFERROR(__xludf.DUMMYFUNCTION("""COMPUTED_VALUE"""),"Стоян Георгиев Денчев")</f>
        <v>Стоян Георгиев Денчев</v>
      </c>
      <c r="B7360" s="10" t="str">
        <f ca="1">IFERROR(__xludf.DUMMYFUNCTION("""COMPUTED_VALUE"""),"Статия в списания и поредици")</f>
        <v>Статия в списания и поредици</v>
      </c>
      <c r="C7360" s="10" t="str">
        <f ca="1">IFERROR(__xludf.DUMMYFUNCTION("""COMPUTED_VALUE"""),"Някои културни измерения на бизнес и административните комуникации.")</f>
        <v>Някои културни измерения на бизнес и административните комуникации.</v>
      </c>
      <c r="D7360" s="10">
        <f ca="1">IFERROR(__xludf.DUMMYFUNCTION("""COMPUTED_VALUE"""),2005)</f>
        <v>2005</v>
      </c>
      <c r="E7360" s="10" t="str">
        <f ca="1">IFERROR(__xludf.DUMMYFUNCTION("""COMPUTED_VALUE"""),"Трудове на Специализираното висше училище по библиотекознание и информационни технологии, 2005, № 4, с. 13-16. ISSN 1312-5834.")</f>
        <v>Трудове на Специализираното висше училище по библиотекознание и информационни технологии, 2005, № 4, с. 13-16. ISSN 1312-5834.</v>
      </c>
      <c r="F7360" s="10"/>
      <c r="G7360" s="10"/>
      <c r="H7360" s="10"/>
      <c r="I7360" s="10"/>
      <c r="J7360" s="10"/>
      <c r="K7360" s="10"/>
      <c r="L7360" s="10"/>
      <c r="M7360" s="10"/>
      <c r="N7360" s="10"/>
      <c r="O7360" s="10"/>
      <c r="P7360" s="10"/>
      <c r="Q7360" s="10"/>
      <c r="R7360" s="10"/>
      <c r="S7360" s="10"/>
      <c r="T7360" s="10"/>
      <c r="U7360" s="10"/>
      <c r="V7360" s="10"/>
      <c r="W7360" s="10"/>
      <c r="X7360" s="10"/>
      <c r="Y7360" s="10"/>
      <c r="Z7360" s="10"/>
    </row>
    <row r="7361" spans="1:26" ht="12.75">
      <c r="A7361" s="10" t="str">
        <f ca="1">IFERROR(__xludf.DUMMYFUNCTION("""COMPUTED_VALUE"""),"Стоян Георгиев Денчев")</f>
        <v>Стоян Георгиев Денчев</v>
      </c>
      <c r="B7361" s="10" t="str">
        <f ca="1">IFERROR(__xludf.DUMMYFUNCTION("""COMPUTED_VALUE"""),"Монография")</f>
        <v>Монография</v>
      </c>
      <c r="C7361" s="10" t="str">
        <f ca="1">IFERROR(__xludf.DUMMYFUNCTION("""COMPUTED_VALUE"""),"Несигурност, сложност и информация : Анализ и развитие на несигурна информ. среда")</f>
        <v>Несигурност, сложност и информация : Анализ и развитие на несигурна информ. среда</v>
      </c>
      <c r="D7361" s="10">
        <f ca="1">IFERROR(__xludf.DUMMYFUNCTION("""COMPUTED_VALUE"""),2004)</f>
        <v>2004</v>
      </c>
      <c r="E7361" s="10" t="str">
        <f ca="1">IFERROR(__xludf.DUMMYFUNCTION("""COMPUTED_VALUE"""),"- София : Захарий Стоянов : Унив. изд. Св. Климент Охридски, 2004 (София : Унив. изд. Св. Климент Охридски). - 175 с. : със сх. ; 21 см В изд. означено кн. 2. - Библиогр. с. 159-174. - Офс. изд. ISBN 954-739-510-6 (Захарий Стоянов) ISBN 954-07-1984-4 (Уни"&amp;"в. изд. Св. Климент Охридски. Подв.)")</f>
        <v>- София : Захарий Стоянов : Унив. изд. Св. Климент Охридски, 2004 (София : Унив. изд. Св. Климент Охридски). - 175 с. : със сх. ; 21 см В изд. означено кн. 2. - Библиогр. с. 159-174. - Офс. изд. ISBN 954-739-510-6 (Захарий Стоянов) ISBN 954-07-1984-4 (Унив. изд. Св. Климент Охридски. Подв.)</v>
      </c>
      <c r="F7361" s="10"/>
      <c r="G7361" s="10" t="str">
        <f ca="1">IFERROR(__xludf.DUMMYFUNCTION("""COMPUTED_VALUE"""),"Димитър Христозов")</f>
        <v>Димитър Христозов</v>
      </c>
      <c r="H7361" s="10"/>
      <c r="I7361" s="10"/>
      <c r="J7361" s="10"/>
      <c r="K7361" s="10"/>
      <c r="L7361" s="10"/>
      <c r="M7361" s="10"/>
      <c r="N7361" s="10"/>
      <c r="O7361" s="10"/>
      <c r="P7361" s="10"/>
      <c r="Q7361" s="10"/>
      <c r="R7361" s="10"/>
      <c r="S7361" s="10"/>
      <c r="T7361" s="10"/>
      <c r="U7361" s="10"/>
      <c r="V7361" s="10"/>
      <c r="W7361" s="10"/>
      <c r="X7361" s="10"/>
      <c r="Y7361" s="10"/>
      <c r="Z7361" s="10"/>
    </row>
    <row r="7362" spans="1:26" ht="12.75">
      <c r="A7362" s="10" t="str">
        <f ca="1">IFERROR(__xludf.DUMMYFUNCTION("""COMPUTED_VALUE"""),"Стоян Георгиев Денчев")</f>
        <v>Стоян Георгиев Денчев</v>
      </c>
      <c r="B7362" s="10" t="str">
        <f ca="1">IFERROR(__xludf.DUMMYFUNCTION("""COMPUTED_VALUE"""),"Статия в списания и поредици")</f>
        <v>Статия в списания и поредици</v>
      </c>
      <c r="C7362" s="10" t="str">
        <f ca="1">IFERROR(__xludf.DUMMYFUNCTION("""COMPUTED_VALUE"""),"Информационният брокер - естествен медиатор в съвременната обществена среда: европейски перспективи")</f>
        <v>Информационният брокер - естествен медиатор в съвременната обществена среда: европейски перспективи</v>
      </c>
      <c r="D7362" s="10">
        <f ca="1">IFERROR(__xludf.DUMMYFUNCTION("""COMPUTED_VALUE"""),2004)</f>
        <v>2004</v>
      </c>
      <c r="E7362" s="10" t="str">
        <f ca="1">IFERROR(__xludf.DUMMYFUNCTION("""COMPUTED_VALUE"""),"Трудове на Специализираното висше училище по библиотекознание и информационни технологии, 2004, № 3, с. 75-79. ISSN 1312-5834.")</f>
        <v>Трудове на Специализираното висше училище по библиотекознание и информационни технологии, 2004, № 3, с. 75-79. ISSN 1312-5834.</v>
      </c>
      <c r="F7362" s="10"/>
      <c r="G7362" s="10"/>
      <c r="H7362" s="10"/>
      <c r="I7362" s="10"/>
      <c r="J7362" s="10"/>
      <c r="K7362" s="10"/>
      <c r="L7362" s="10"/>
      <c r="M7362" s="10"/>
      <c r="N7362" s="10"/>
      <c r="O7362" s="10"/>
      <c r="P7362" s="10"/>
      <c r="Q7362" s="10"/>
      <c r="R7362" s="10"/>
      <c r="S7362" s="10"/>
      <c r="T7362" s="10"/>
      <c r="U7362" s="10"/>
      <c r="V7362" s="10"/>
      <c r="W7362" s="10"/>
      <c r="X7362" s="10"/>
      <c r="Y7362" s="10"/>
      <c r="Z7362" s="10"/>
    </row>
    <row r="7363" spans="1:26" ht="12.75">
      <c r="A7363" s="10" t="str">
        <f ca="1">IFERROR(__xludf.DUMMYFUNCTION("""COMPUTED_VALUE"""),"Стоян Георгиев Денчев")</f>
        <v>Стоян Георгиев Денчев</v>
      </c>
      <c r="B7363" s="10" t="str">
        <f ca="1">IFERROR(__xludf.DUMMYFUNCTION("""COMPUTED_VALUE"""),"Книга")</f>
        <v>Книга</v>
      </c>
      <c r="C7363" s="10" t="str">
        <f ca="1">IFERROR(__xludf.DUMMYFUNCTION("""COMPUTED_VALUE"""),"Информационно брокерство: лекции.")</f>
        <v>Информационно брокерство: лекции.</v>
      </c>
      <c r="D7363" s="10">
        <f ca="1">IFERROR(__xludf.DUMMYFUNCTION("""COMPUTED_VALUE"""),2004)</f>
        <v>2004</v>
      </c>
      <c r="E7363" s="10" t="str">
        <f ca="1">IFERROR(__xludf.DUMMYFUNCTION("""COMPUTED_VALUE"""),"София: WINI-1837, 2004, 201 с.")</f>
        <v>София: WINI-1837, 2004, 201 с.</v>
      </c>
      <c r="F7363" s="10"/>
      <c r="G7363" s="10" t="str">
        <f ca="1">IFERROR(__xludf.DUMMYFUNCTION("""COMPUTED_VALUE"""),"Д. Христозов")</f>
        <v>Д. Христозов</v>
      </c>
      <c r="H7363" s="10"/>
      <c r="I7363" s="10"/>
      <c r="J7363" s="10"/>
      <c r="K7363" s="10"/>
      <c r="L7363" s="10"/>
      <c r="M7363" s="10"/>
      <c r="N7363" s="10"/>
      <c r="O7363" s="10"/>
      <c r="P7363" s="10"/>
      <c r="Q7363" s="10"/>
      <c r="R7363" s="10"/>
      <c r="S7363" s="10"/>
      <c r="T7363" s="10"/>
      <c r="U7363" s="10"/>
      <c r="V7363" s="10"/>
      <c r="W7363" s="10"/>
      <c r="X7363" s="10"/>
      <c r="Y7363" s="10"/>
      <c r="Z7363" s="10"/>
    </row>
    <row r="7364" spans="1:26" ht="12.75">
      <c r="A7364" s="10" t="str">
        <f ca="1">IFERROR(__xludf.DUMMYFUNCTION("""COMPUTED_VALUE"""),"Стоян Георгиев Денчев")</f>
        <v>Стоян Георгиев Денчев</v>
      </c>
      <c r="B7364" s="10" t="str">
        <f ca="1">IFERROR(__xludf.DUMMYFUNCTION("""COMPUTED_VALUE"""),"Монография")</f>
        <v>Монография</v>
      </c>
      <c r="C7364" s="10" t="str">
        <f ca="1">IFERROR(__xludf.DUMMYFUNCTION("""COMPUTED_VALUE"""),"Информационна среда за трансфер на технологии")</f>
        <v>Информационна среда за трансфер на технологии</v>
      </c>
      <c r="D7364" s="10">
        <f ca="1">IFERROR(__xludf.DUMMYFUNCTION("""COMPUTED_VALUE"""),2003)</f>
        <v>2003</v>
      </c>
      <c r="E7364" s="10" t="str">
        <f ca="1">IFERROR(__xludf.DUMMYFUNCTION("""COMPUTED_VALUE"""),"София : Захарий Стоянов, 2003 ([София] : Образование и наука ISBN 954-739-460-6")</f>
        <v>София : Захарий Стоянов, 2003 ([София] : Образование и наука ISBN 954-739-460-6</v>
      </c>
      <c r="F7364" s="10"/>
      <c r="G7364" s="10"/>
      <c r="H7364" s="10"/>
      <c r="I7364" s="10"/>
      <c r="J7364" s="10"/>
      <c r="K7364" s="10"/>
      <c r="L7364" s="10"/>
      <c r="M7364" s="10"/>
      <c r="N7364" s="10"/>
      <c r="O7364" s="10"/>
      <c r="P7364" s="10"/>
      <c r="Q7364" s="10"/>
      <c r="R7364" s="10"/>
      <c r="S7364" s="10"/>
      <c r="T7364" s="10"/>
      <c r="U7364" s="10"/>
      <c r="V7364" s="10"/>
      <c r="W7364" s="10"/>
      <c r="X7364" s="10"/>
      <c r="Y7364" s="10"/>
      <c r="Z7364" s="10"/>
    </row>
    <row r="7365" spans="1:26" ht="12.75">
      <c r="A7365" s="10" t="str">
        <f ca="1">IFERROR(__xludf.DUMMYFUNCTION("""COMPUTED_VALUE"""),"Стоян Георгиев Денчев")</f>
        <v>Стоян Георгиев Денчев</v>
      </c>
      <c r="B7365" s="10" t="str">
        <f ca="1">IFERROR(__xludf.DUMMYFUNCTION("""COMPUTED_VALUE"""),"Статия в списания и поредици")</f>
        <v>Статия в списания и поредици</v>
      </c>
      <c r="C7365" s="10" t="str">
        <f ca="1">IFERROR(__xludf.DUMMYFUNCTION("""COMPUTED_VALUE"""),"Science and technology in the New Bulgaria.")</f>
        <v>Science and technology in the New Bulgaria.</v>
      </c>
      <c r="D7365" s="10">
        <f ca="1">IFERROR(__xludf.DUMMYFUNCTION("""COMPUTED_VALUE"""),1993)</f>
        <v>1993</v>
      </c>
      <c r="E7365" s="10" t="str">
        <f ca="1">IFERROR(__xludf.DUMMYFUNCTION("""COMPUTED_VALUE"""),"// Technology in Society, Volume 15, Issue 1, 1993, Pages 57-63. https://doi.org/10.1016/0160-791X(93)90025-J")</f>
        <v>// Technology in Society, Volume 15, Issue 1, 1993, Pages 57-63. https://doi.org/10.1016/0160-791X(93)90025-J</v>
      </c>
      <c r="F7365" s="10" t="str">
        <f ca="1">IFERROR(__xludf.DUMMYFUNCTION("""COMPUTED_VALUE"""),"Science Direct, Elseivier")</f>
        <v>Science Direct, Elseivier</v>
      </c>
      <c r="G7365" s="10"/>
      <c r="H7365" s="10"/>
      <c r="I7365" s="10"/>
      <c r="J7365" s="10"/>
      <c r="K7365" s="10"/>
      <c r="L7365" s="10"/>
      <c r="M7365" s="10"/>
      <c r="N7365" s="10"/>
      <c r="O7365" s="10"/>
      <c r="P7365" s="10"/>
      <c r="Q7365" s="10"/>
      <c r="R7365" s="10"/>
      <c r="S7365" s="10"/>
      <c r="T7365" s="10"/>
      <c r="U7365" s="10"/>
      <c r="V7365" s="10"/>
      <c r="W7365" s="10"/>
      <c r="X7365" s="10"/>
      <c r="Y7365" s="10"/>
      <c r="Z7365" s="10"/>
    </row>
    <row r="7366" spans="1:26" ht="12.75">
      <c r="A7366" s="10" t="str">
        <f ca="1">IFERROR(__xludf.DUMMYFUNCTION("""COMPUTED_VALUE"""),"Събина Кирилова Ефтимова")</f>
        <v>Събина Кирилова Ефтимова</v>
      </c>
      <c r="B7366" s="10" t="str">
        <f ca="1">IFERROR(__xludf.DUMMYFUNCTION("""COMPUTED_VALUE"""),"Доклад от конференция")</f>
        <v>Доклад от конференция</v>
      </c>
      <c r="C7366" s="10" t="str">
        <f ca="1">IFERROR(__xludf.DUMMYFUNCTION("""COMPUTED_VALUE"""),"Motivating through Goal Setting: Examples of Working with Students in the Specialty of Archival and Documentation Science and Library and Information Management under the Project ""Information Portal of the Archival and Documentary Heritage of the Bulgari"&amp;"an Revival"" Funded by the National Science Fund")</f>
        <v>Motivating through Goal Setting: Examples of Working with Students in the Specialty of Archival and Documentation Science and Library and Information Management under the Project "Information Portal of the Archival and Documentary Heritage of the Bulgarian Revival" Funded by the National Science Fund</v>
      </c>
      <c r="D7366" s="10">
        <f ca="1">IFERROR(__xludf.DUMMYFUNCTION("""COMPUTED_VALUE"""),2020)</f>
        <v>2020</v>
      </c>
      <c r="E7366" s="10" t="str">
        <f ca="1">IFERROR(__xludf.DUMMYFUNCTION("""COMPUTED_VALUE"""),"INTED2020 Proceedings, 14th annual International Technology, Education and Development Conference, Valencia, 2-4 March, 2020, pp. 5135-5140. ISBN: 978-84-09-17939-8")</f>
        <v>INTED2020 Proceedings, 14th annual International Technology, Education and Development Conference, Valencia, 2-4 March, 2020, pp. 5135-5140. ISBN: 978-84-09-17939-8</v>
      </c>
      <c r="F7366" s="10" t="str">
        <f ca="1">IFERROR(__xludf.DUMMYFUNCTION("""COMPUTED_VALUE"""),"ResearchGate, Google Scholar, Web of Science")</f>
        <v>ResearchGate, Google Scholar, Web of Science</v>
      </c>
      <c r="G7366" s="10" t="str">
        <f ca="1">IFERROR(__xludf.DUMMYFUNCTION("""COMPUTED_VALUE"""),"H. Atanasov")</f>
        <v>H. Atanasov</v>
      </c>
      <c r="H7366" s="10"/>
      <c r="I7366" s="10"/>
      <c r="J7366" s="10"/>
      <c r="K7366" s="10"/>
      <c r="L7366" s="10"/>
      <c r="M7366" s="10"/>
      <c r="N7366" s="10"/>
      <c r="O7366" s="10"/>
      <c r="P7366" s="10"/>
      <c r="Q7366" s="10"/>
      <c r="R7366" s="10"/>
      <c r="S7366" s="10"/>
      <c r="T7366" s="10"/>
      <c r="U7366" s="10"/>
      <c r="V7366" s="10"/>
      <c r="W7366" s="10"/>
      <c r="X7366" s="10"/>
      <c r="Y7366" s="10"/>
      <c r="Z7366" s="10"/>
    </row>
    <row r="7367" spans="1:26" ht="12.75">
      <c r="A7367" s="10" t="str">
        <f ca="1">IFERROR(__xludf.DUMMYFUNCTION("""COMPUTED_VALUE"""),"Събина Кирилова Ефтимова")</f>
        <v>Събина Кирилова Ефтимова</v>
      </c>
      <c r="B7367" s="10" t="str">
        <f ca="1">IFERROR(__xludf.DUMMYFUNCTION("""COMPUTED_VALUE"""),"Доклад от конференция")</f>
        <v>Доклад от конференция</v>
      </c>
      <c r="C7367" s="10" t="str">
        <f ca="1">IFERROR(__xludf.DUMMYFUNCTION("""COMPUTED_VALUE"""),"Building up Bibliographic Culture in Future Archive and Documental Experts – a Prerequisite for Successful Professional Training")</f>
        <v>Building up Bibliographic Culture in Future Archive and Documental Experts – a Prerequisite for Successful Professional Training</v>
      </c>
      <c r="D7367" s="10">
        <f ca="1">IFERROR(__xludf.DUMMYFUNCTION("""COMPUTED_VALUE"""),2020)</f>
        <v>2020</v>
      </c>
      <c r="E7367" s="10" t="str">
        <f ca="1">IFERROR(__xludf.DUMMYFUNCTION("""COMPUTED_VALUE"""),"INTED2020 Proceedings, 14th annual International Technology, Education and Development Conference, Valencia, 2-4 March, 2020, pp. 4657-4661. ISBN: 978-84-09-17939-8")</f>
        <v>INTED2020 Proceedings, 14th annual International Technology, Education and Development Conference, Valencia, 2-4 March, 2020, pp. 4657-4661. ISBN: 978-84-09-17939-8</v>
      </c>
      <c r="F7367" s="10" t="str">
        <f ca="1">IFERROR(__xludf.DUMMYFUNCTION("""COMPUTED_VALUE"""),"ResearchGate, Google Scholar, Web of Science")</f>
        <v>ResearchGate, Google Scholar, Web of Science</v>
      </c>
      <c r="G7367" s="10"/>
      <c r="H7367" s="10"/>
      <c r="I7367" s="10"/>
      <c r="J7367" s="10"/>
      <c r="K7367" s="10"/>
      <c r="L7367" s="10"/>
      <c r="M7367" s="10"/>
      <c r="N7367" s="10"/>
      <c r="O7367" s="10"/>
      <c r="P7367" s="10"/>
      <c r="Q7367" s="10"/>
      <c r="R7367" s="10"/>
      <c r="S7367" s="10"/>
      <c r="T7367" s="10"/>
      <c r="U7367" s="10"/>
      <c r="V7367" s="10"/>
      <c r="W7367" s="10"/>
      <c r="X7367" s="10"/>
      <c r="Y7367" s="10"/>
      <c r="Z7367" s="10"/>
    </row>
    <row r="7368" spans="1:26" ht="12.75">
      <c r="A7368" s="10" t="str">
        <f ca="1">IFERROR(__xludf.DUMMYFUNCTION("""COMPUTED_VALUE"""),"Събина Кирилова Ефтимова")</f>
        <v>Събина Кирилова Ефтимова</v>
      </c>
      <c r="B7368" s="10" t="str">
        <f ca="1">IFERROR(__xludf.DUMMYFUNCTION("""COMPUTED_VALUE"""),"Доклад от конференция")</f>
        <v>Доклад от конференция</v>
      </c>
      <c r="C7368" s="10" t="str">
        <f ca="1">IFERROR(__xludf.DUMMYFUNCTION("""COMPUTED_VALUE"""),"Lifelong Learning and Libraries: Best Practices in Bulgarian Libraries")</f>
        <v>Lifelong Learning and Libraries: Best Practices in Bulgarian Libraries</v>
      </c>
      <c r="D7368" s="10">
        <f ca="1">IFERROR(__xludf.DUMMYFUNCTION("""COMPUTED_VALUE"""),2020)</f>
        <v>2020</v>
      </c>
      <c r="E7368" s="10" t="str">
        <f ca="1">IFERROR(__xludf.DUMMYFUNCTION("""COMPUTED_VALUE"""),"INTED2020 Proceedings, 14th annual International Technology, Education and Development Conference, Valencia, 2-4 March, 2020, pp. 5067-5071. ISBN: 978-84-09-17939-8")</f>
        <v>INTED2020 Proceedings, 14th annual International Technology, Education and Development Conference, Valencia, 2-4 March, 2020, pp. 5067-5071. ISBN: 978-84-09-17939-8</v>
      </c>
      <c r="F7368" s="10" t="str">
        <f ca="1">IFERROR(__xludf.DUMMYFUNCTION("""COMPUTED_VALUE"""),"ResearchGate, Google Scholar, Web of Science")</f>
        <v>ResearchGate, Google Scholar, Web of Science</v>
      </c>
      <c r="G7368" s="10" t="str">
        <f ca="1">IFERROR(__xludf.DUMMYFUNCTION("""COMPUTED_VALUE"""),"P. Mukanova")</f>
        <v>P. Mukanova</v>
      </c>
      <c r="H7368" s="10"/>
      <c r="I7368" s="10"/>
      <c r="J7368" s="10"/>
      <c r="K7368" s="10"/>
      <c r="L7368" s="10"/>
      <c r="M7368" s="10"/>
      <c r="N7368" s="10"/>
      <c r="O7368" s="10"/>
      <c r="P7368" s="10"/>
      <c r="Q7368" s="10"/>
      <c r="R7368" s="10"/>
      <c r="S7368" s="10"/>
      <c r="T7368" s="10"/>
      <c r="U7368" s="10"/>
      <c r="V7368" s="10"/>
      <c r="W7368" s="10"/>
      <c r="X7368" s="10"/>
      <c r="Y7368" s="10"/>
      <c r="Z7368" s="10"/>
    </row>
    <row r="7369" spans="1:26" ht="12.75">
      <c r="A7369" s="10" t="str">
        <f ca="1">IFERROR(__xludf.DUMMYFUNCTION("""COMPUTED_VALUE"""),"Събина Кирилова Ефтимова")</f>
        <v>Събина Кирилова Ефтимова</v>
      </c>
      <c r="B7369" s="10" t="str">
        <f ca="1">IFERROR(__xludf.DUMMYFUNCTION("""COMPUTED_VALUE"""),"Доклад от конференция")</f>
        <v>Доклад от конференция</v>
      </c>
      <c r="C7369" s="10" t="str">
        <f ca="1">IFERROR(__xludf.DUMMYFUNCTION("""COMPUTED_VALUE"""),"Use of Alternative Working Methods in Training of Students at Flsch, Ulsit: A Basis for the Transformation of Students from Passive Listeners to Active Participants in the Learning Process")</f>
        <v>Use of Alternative Working Methods in Training of Students at Flsch, Ulsit: A Basis for the Transformation of Students from Passive Listeners to Active Participants in the Learning Process</v>
      </c>
      <c r="D7369" s="10">
        <f ca="1">IFERROR(__xludf.DUMMYFUNCTION("""COMPUTED_VALUE"""),2020)</f>
        <v>2020</v>
      </c>
      <c r="E7369" s="10" t="str">
        <f ca="1">IFERROR(__xludf.DUMMYFUNCTION("""COMPUTED_VALUE"""),"EDULearn20, 12-th International Conference on Education and New Learning Technologies, Palma / Spain, 6-7 July, 2020, p. 2837-2844. ISBN 978-84-09-17979-4")</f>
        <v>EDULearn20, 12-th International Conference on Education and New Learning Technologies, Palma / Spain, 6-7 July, 2020, p. 2837-2844. ISBN 978-84-09-17979-4</v>
      </c>
      <c r="F7369" s="10" t="str">
        <f ca="1">IFERROR(__xludf.DUMMYFUNCTION("""COMPUTED_VALUE"""),"Web of Science")</f>
        <v>Web of Science</v>
      </c>
      <c r="G7369" s="10" t="str">
        <f ca="1">IFERROR(__xludf.DUMMYFUNCTION("""COMPUTED_VALUE"""),"K. Mincheva, S. Eftimova")</f>
        <v>K. Mincheva, S. Eftimova</v>
      </c>
      <c r="H7369" s="10"/>
      <c r="I7369" s="10"/>
      <c r="J7369" s="10"/>
      <c r="K7369" s="10"/>
      <c r="L7369" s="10"/>
      <c r="M7369" s="10"/>
      <c r="N7369" s="10"/>
      <c r="O7369" s="10"/>
      <c r="P7369" s="10"/>
      <c r="Q7369" s="10"/>
      <c r="R7369" s="10"/>
      <c r="S7369" s="10"/>
      <c r="T7369" s="10"/>
      <c r="U7369" s="10"/>
      <c r="V7369" s="10"/>
      <c r="W7369" s="10"/>
      <c r="X7369" s="10"/>
      <c r="Y7369" s="10"/>
      <c r="Z7369" s="10"/>
    </row>
    <row r="7370" spans="1:26" ht="12.75">
      <c r="A7370" s="10" t="str">
        <f ca="1">IFERROR(__xludf.DUMMYFUNCTION("""COMPUTED_VALUE"""),"Събина Кирилова Ефтимова")</f>
        <v>Събина Кирилова Ефтимова</v>
      </c>
      <c r="B7370" s="10" t="str">
        <f ca="1">IFERROR(__xludf.DUMMYFUNCTION("""COMPUTED_VALUE"""),"Доклад от конференция")</f>
        <v>Доклад от конференция</v>
      </c>
      <c r="C7370" s="10" t="str">
        <f ca="1">IFERROR(__xludf.DUMMYFUNCTION("""COMPUTED_VALUE"""),"The Role of Academic Libraries in Distance Learning")</f>
        <v>The Role of Academic Libraries in Distance Learning</v>
      </c>
      <c r="D7370" s="10">
        <f ca="1">IFERROR(__xludf.DUMMYFUNCTION("""COMPUTED_VALUE"""),2020)</f>
        <v>2020</v>
      </c>
      <c r="E7370" s="10" t="str">
        <f ca="1">IFERROR(__xludf.DUMMYFUNCTION("""COMPUTED_VALUE"""),"EDULearn20, 12-th International Conference on Education and New Learning Technologies, Palma / Spain, 6-7 July, 2020, p. 2586-2595.ISBN 978-84-09-17979-4")</f>
        <v>EDULearn20, 12-th International Conference on Education and New Learning Technologies, Palma / Spain, 6-7 July, 2020, p. 2586-2595.ISBN 978-84-09-17979-4</v>
      </c>
      <c r="F7370" s="10"/>
      <c r="G7370" s="10" t="str">
        <f ca="1">IFERROR(__xludf.DUMMYFUNCTION("""COMPUTED_VALUE"""),"S. Eftimova, K. Mincheva, P. Mukanova")</f>
        <v>S. Eftimova, K. Mincheva, P. Mukanova</v>
      </c>
      <c r="H7370" s="10"/>
      <c r="I7370" s="10"/>
      <c r="J7370" s="10"/>
      <c r="K7370" s="10"/>
      <c r="L7370" s="10"/>
      <c r="M7370" s="10"/>
      <c r="N7370" s="10"/>
      <c r="O7370" s="10"/>
      <c r="P7370" s="10"/>
      <c r="Q7370" s="10"/>
      <c r="R7370" s="10"/>
      <c r="S7370" s="10"/>
      <c r="T7370" s="10"/>
      <c r="U7370" s="10"/>
      <c r="V7370" s="10"/>
      <c r="W7370" s="10"/>
      <c r="X7370" s="10"/>
      <c r="Y7370" s="10"/>
      <c r="Z7370" s="10"/>
    </row>
    <row r="7371" spans="1:26" ht="12.75">
      <c r="A7371" s="10" t="str">
        <f ca="1">IFERROR(__xludf.DUMMYFUNCTION("""COMPUTED_VALUE"""),"Събина Кирилова Ефтимова")</f>
        <v>Събина Кирилова Ефтимова</v>
      </c>
      <c r="B7371" s="10" t="str">
        <f ca="1">IFERROR(__xludf.DUMMYFUNCTION("""COMPUTED_VALUE"""),"Доклад от конференция")</f>
        <v>Доклад от конференция</v>
      </c>
      <c r="C7371" s="10" t="str">
        <f ca="1">IFERROR(__xludf.DUMMYFUNCTION("""COMPUTED_VALUE"""),"Scientific, Educational and Cultural Social Dialogue Between Teachers and Students in the University Environment")</f>
        <v>Scientific, Educational and Cultural Social Dialogue Between Teachers and Students in the University Environment</v>
      </c>
      <c r="D7371" s="10">
        <f ca="1">IFERROR(__xludf.DUMMYFUNCTION("""COMPUTED_VALUE"""),2020)</f>
        <v>2020</v>
      </c>
      <c r="E7371" s="10" t="str">
        <f ca="1">IFERROR(__xludf.DUMMYFUNCTION("""COMPUTED_VALUE"""),"EDULearn20, 12-th International Conference on Education and New Learning Technologies, Palma / Spain, 6-7 July, 2020, p. 2855-2861.ISBN 978-84-09-17979-4")</f>
        <v>EDULearn20, 12-th International Conference on Education and New Learning Technologies, Palma / Spain, 6-7 July, 2020, p. 2855-2861.ISBN 978-84-09-17979-4</v>
      </c>
      <c r="F7371" s="10" t="str">
        <f ca="1">IFERROR(__xludf.DUMMYFUNCTION("""COMPUTED_VALUE"""),"Web of Science")</f>
        <v>Web of Science</v>
      </c>
      <c r="G7371" s="10" t="str">
        <f ca="1">IFERROR(__xludf.DUMMYFUNCTION("""COMPUTED_VALUE"""),"K. Mincheva, P. Mukanova, S. Eftimova")</f>
        <v>K. Mincheva, P. Mukanova, S. Eftimova</v>
      </c>
      <c r="H7371" s="10"/>
      <c r="I7371" s="10"/>
      <c r="J7371" s="10"/>
      <c r="K7371" s="10"/>
      <c r="L7371" s="10"/>
      <c r="M7371" s="10"/>
      <c r="N7371" s="10"/>
      <c r="O7371" s="10"/>
      <c r="P7371" s="10"/>
      <c r="Q7371" s="10"/>
      <c r="R7371" s="10"/>
      <c r="S7371" s="10"/>
      <c r="T7371" s="10"/>
      <c r="U7371" s="10"/>
      <c r="V7371" s="10"/>
      <c r="W7371" s="10"/>
      <c r="X7371" s="10"/>
      <c r="Y7371" s="10"/>
      <c r="Z7371" s="10"/>
    </row>
    <row r="7372" spans="1:26" ht="12.75">
      <c r="A7372" s="10" t="str">
        <f ca="1">IFERROR(__xludf.DUMMYFUNCTION("""COMPUTED_VALUE"""),"Събина Кирилова Ефтимова")</f>
        <v>Събина Кирилова Ефтимова</v>
      </c>
      <c r="B7372" s="10" t="str">
        <f ca="1">IFERROR(__xludf.DUMMYFUNCTION("""COMPUTED_VALUE"""),"Доклад от конференция")</f>
        <v>Доклад от конференция</v>
      </c>
      <c r="C7372" s="10" t="str">
        <f ca="1">IFERROR(__xludf.DUMMYFUNCTION("""COMPUTED_VALUE"""),"Facebook and Bulgarian Libraries: The Challenges of Modern Information Environment")</f>
        <v>Facebook and Bulgarian Libraries: The Challenges of Modern Information Environment</v>
      </c>
      <c r="D7372" s="10">
        <f ca="1">IFERROR(__xludf.DUMMYFUNCTION("""COMPUTED_VALUE"""),2020)</f>
        <v>2020</v>
      </c>
      <c r="E7372" s="10" t="str">
        <f ca="1">IFERROR(__xludf.DUMMYFUNCTION("""COMPUTED_VALUE"""),"EDULearn20, 12-th International Conference on Education and New Learning Technologies, Palma / Spain, 6-7 July, 2020, p. 890-898. ISBN 978-84-09-17979-4")</f>
        <v>EDULearn20, 12-th International Conference on Education and New Learning Technologies, Palma / Spain, 6-7 July, 2020, p. 890-898. ISBN 978-84-09-17979-4</v>
      </c>
      <c r="F7372" s="10" t="str">
        <f ca="1">IFERROR(__xludf.DUMMYFUNCTION("""COMPUTED_VALUE"""),"Web of Science")</f>
        <v>Web of Science</v>
      </c>
      <c r="G7372" s="10" t="str">
        <f ca="1">IFERROR(__xludf.DUMMYFUNCTION("""COMPUTED_VALUE"""),"P. Mukanova, S. Eftimova, K. Mincheva")</f>
        <v>P. Mukanova, S. Eftimova, K. Mincheva</v>
      </c>
      <c r="H7372" s="10"/>
      <c r="I7372" s="10"/>
      <c r="J7372" s="10"/>
      <c r="K7372" s="10"/>
      <c r="L7372" s="10"/>
      <c r="M7372" s="10"/>
      <c r="N7372" s="10"/>
      <c r="O7372" s="10"/>
      <c r="P7372" s="10"/>
      <c r="Q7372" s="10"/>
      <c r="R7372" s="10"/>
      <c r="S7372" s="10"/>
      <c r="T7372" s="10"/>
      <c r="U7372" s="10"/>
      <c r="V7372" s="10"/>
      <c r="W7372" s="10"/>
      <c r="X7372" s="10"/>
      <c r="Y7372" s="10"/>
      <c r="Z7372" s="10"/>
    </row>
    <row r="7373" spans="1:26" ht="12.75">
      <c r="A7373" s="10" t="str">
        <f ca="1">IFERROR(__xludf.DUMMYFUNCTION("""COMPUTED_VALUE"""),"Събина Кирилова Ефтимова")</f>
        <v>Събина Кирилова Ефтимова</v>
      </c>
      <c r="B7373" s="10" t="str">
        <f ca="1">IFERROR(__xludf.DUMMYFUNCTION("""COMPUTED_VALUE"""),"Доклад от конференция")</f>
        <v>Доклад от конференция</v>
      </c>
      <c r="C7373" s="10" t="str">
        <f ca="1">IFERROR(__xludf.DUMMYFUNCTION("""COMPUTED_VALUE"""),"Student Practices: an Opportunity to Develop the Potential of Learners in a Real Working Environment")</f>
        <v>Student Practices: an Opportunity to Develop the Potential of Learners in a Real Working Environment</v>
      </c>
      <c r="D7373" s="10">
        <f ca="1">IFERROR(__xludf.DUMMYFUNCTION("""COMPUTED_VALUE"""),2020)</f>
        <v>2020</v>
      </c>
      <c r="E7373" s="10" t="str">
        <f ca="1">IFERROR(__xludf.DUMMYFUNCTION("""COMPUTED_VALUE"""),"INTED2020 Proceedings, 14th annual International Technology, Education and Development Conference, Valencia, 2-4 March, 2020, pp. 5151-5155. ISBN: 978-84-09-17939-8")</f>
        <v>INTED2020 Proceedings, 14th annual International Technology, Education and Development Conference, Valencia, 2-4 March, 2020, pp. 5151-5155. ISBN: 978-84-09-17939-8</v>
      </c>
      <c r="F7373" s="10" t="str">
        <f ca="1">IFERROR(__xludf.DUMMYFUNCTION("""COMPUTED_VALUE"""),"ResearchGate, Google Scholar, Web of Science")</f>
        <v>ResearchGate, Google Scholar, Web of Science</v>
      </c>
      <c r="G7373" s="10" t="str">
        <f ca="1">IFERROR(__xludf.DUMMYFUNCTION("""COMPUTED_VALUE"""),"P. Mukanova K. Mincheva")</f>
        <v>P. Mukanova K. Mincheva</v>
      </c>
      <c r="H7373" s="10"/>
      <c r="I7373" s="10"/>
      <c r="J7373" s="10"/>
      <c r="K7373" s="10"/>
      <c r="L7373" s="10"/>
      <c r="M7373" s="10"/>
      <c r="N7373" s="10"/>
      <c r="O7373" s="10"/>
      <c r="P7373" s="10"/>
      <c r="Q7373" s="10"/>
      <c r="R7373" s="10"/>
      <c r="S7373" s="10"/>
      <c r="T7373" s="10"/>
      <c r="U7373" s="10"/>
      <c r="V7373" s="10"/>
      <c r="W7373" s="10"/>
      <c r="X7373" s="10"/>
      <c r="Y7373" s="10"/>
      <c r="Z7373" s="10"/>
    </row>
    <row r="7374" spans="1:26" ht="12.75">
      <c r="A7374" s="10" t="str">
        <f ca="1">IFERROR(__xludf.DUMMYFUNCTION("""COMPUTED_VALUE"""),"Събина Кирилова Ефтимова")</f>
        <v>Събина Кирилова Ефтимова</v>
      </c>
      <c r="B7374" s="10" t="str">
        <f ca="1">IFERROR(__xludf.DUMMYFUNCTION("""COMPUTED_VALUE"""),"Доклад от конференция")</f>
        <v>Доклад от конференция</v>
      </c>
      <c r="C7374" s="10" t="str">
        <f ca="1">IFERROR(__xludf.DUMMYFUNCTION("""COMPUTED_VALUE"""),"Experimental Approach for Working with Students in the Academic Discipline of “Access to Information for People with Special Needs”: Performance and Participation in Student's Experiences")</f>
        <v>Experimental Approach for Working with Students in the Academic Discipline of “Access to Information for People with Special Needs”: Performance and Participation in Student's Experiences</v>
      </c>
      <c r="D7374" s="10">
        <f ca="1">IFERROR(__xludf.DUMMYFUNCTION("""COMPUTED_VALUE"""),2020)</f>
        <v>2020</v>
      </c>
      <c r="E7374" s="10" t="str">
        <f ca="1">IFERROR(__xludf.DUMMYFUNCTION("""COMPUTED_VALUE"""),"EDULearn20, 12-th International Conference on Education and New Learning Technologies, Palma / Spain, 6-7 July, 2020, p. 2846-2853. ISBN 978-84-09-17979-4")</f>
        <v>EDULearn20, 12-th International Conference on Education and New Learning Technologies, Palma / Spain, 6-7 July, 2020, p. 2846-2853. ISBN 978-84-09-17979-4</v>
      </c>
      <c r="F7374" s="10" t="str">
        <f ca="1">IFERROR(__xludf.DUMMYFUNCTION("""COMPUTED_VALUE"""),"Web of Science")</f>
        <v>Web of Science</v>
      </c>
      <c r="G7374" s="10"/>
      <c r="H7374" s="10"/>
      <c r="I7374" s="10"/>
      <c r="J7374" s="10"/>
      <c r="K7374" s="10"/>
      <c r="L7374" s="10"/>
      <c r="M7374" s="10"/>
      <c r="N7374" s="10"/>
      <c r="O7374" s="10"/>
      <c r="P7374" s="10"/>
      <c r="Q7374" s="10"/>
      <c r="R7374" s="10"/>
      <c r="S7374" s="10"/>
      <c r="T7374" s="10"/>
      <c r="U7374" s="10"/>
      <c r="V7374" s="10"/>
      <c r="W7374" s="10"/>
      <c r="X7374" s="10"/>
      <c r="Y7374" s="10"/>
      <c r="Z7374" s="10"/>
    </row>
    <row r="7375" spans="1:26" ht="12.75">
      <c r="A7375" s="10" t="str">
        <f ca="1">IFERROR(__xludf.DUMMYFUNCTION("""COMPUTED_VALUE"""),"Събина Кирилова Ефтимова")</f>
        <v>Събина Кирилова Ефтимова</v>
      </c>
      <c r="B7375" s="10" t="str">
        <f ca="1">IFERROR(__xludf.DUMMYFUNCTION("""COMPUTED_VALUE"""),"Доклад от конференция")</f>
        <v>Доклад от конференция</v>
      </c>
      <c r="C7375" s="10" t="str">
        <f ca="1">IFERROR(__xludf.DUMMYFUNCTION("""COMPUTED_VALUE"""),"Чудомир и най-самобитната институция в България")</f>
        <v>Чудомир и най-самобитната институция в България</v>
      </c>
      <c r="D7375" s="10">
        <f ca="1">IFERROR(__xludf.DUMMYFUNCTION("""COMPUTED_VALUE"""),2020)</f>
        <v>2020</v>
      </c>
      <c r="E7375" s="10" t="str">
        <f ca="1">IFERROR(__xludf.DUMMYFUNCTION("""COMPUTED_VALUE"""),"Чудомир между противоречията. – Велико Търново: Абагар, 2020, с. 109-120. ISBN 978-619-168-249-2")</f>
        <v>Чудомир между противоречията. – Велико Търново: Абагар, 2020, с. 109-120. ISBN 978-619-168-249-2</v>
      </c>
      <c r="F7375" s="10"/>
      <c r="G7375" s="10"/>
      <c r="H7375" s="10"/>
      <c r="I7375" s="10"/>
      <c r="J7375" s="10"/>
      <c r="K7375" s="10"/>
      <c r="L7375" s="10"/>
      <c r="M7375" s="10"/>
      <c r="N7375" s="10"/>
      <c r="O7375" s="10"/>
      <c r="P7375" s="10"/>
      <c r="Q7375" s="10"/>
      <c r="R7375" s="10"/>
      <c r="S7375" s="10"/>
      <c r="T7375" s="10"/>
      <c r="U7375" s="10"/>
      <c r="V7375" s="10"/>
      <c r="W7375" s="10"/>
      <c r="X7375" s="10"/>
      <c r="Y7375" s="10"/>
      <c r="Z7375" s="10"/>
    </row>
    <row r="7376" spans="1:26" ht="12.75">
      <c r="A7376" s="10" t="str">
        <f ca="1">IFERROR(__xludf.DUMMYFUNCTION("""COMPUTED_VALUE"""),"Събина Кирилова Ефтимова")</f>
        <v>Събина Кирилова Ефтимова</v>
      </c>
      <c r="B7376" s="10" t="str">
        <f ca="1">IFERROR(__xludf.DUMMYFUNCTION("""COMPUTED_VALUE"""),"Доклад от конференция")</f>
        <v>Доклад от конференция</v>
      </c>
      <c r="C7376" s="10" t="str">
        <f ca="1">IFERROR(__xludf.DUMMYFUNCTION("""COMPUTED_VALUE"""),"Учебната практика на студентите от специалност „Библиотечен и информационен мениджмънт“.")</f>
        <v>Учебната практика на студентите от специалност „Библиотечен и информационен мениджмънт“.</v>
      </c>
      <c r="D7376" s="10">
        <f ca="1">IFERROR(__xludf.DUMMYFUNCTION("""COMPUTED_VALUE"""),2020)</f>
        <v>2020</v>
      </c>
      <c r="E7376" s="10" t="str">
        <f ca="1">IFERROR(__xludf.DUMMYFUNCTION("""COMPUTED_VALUE"""),"Осемнадесета национална научна конференция с международно участие: Обществото на знанието и хуманизмът на ХХІ век, София, 1 ноември 2020 г. София: За буквите – О Писменехь, 2020, с. 249-257.
 ISSN 2683-0094")</f>
        <v>Осемнадесета национална научна конференция с международно участие: Обществото на знанието и хуманизмът на ХХІ век, София, 1 ноември 2020 г. София: За буквите – О Писменехь, 2020, с. 249-257.
 ISSN 2683-0094</v>
      </c>
      <c r="F7376" s="10"/>
      <c r="G7376" s="10" t="str">
        <f ca="1">IFERROR(__xludf.DUMMYFUNCTION("""COMPUTED_VALUE"""),"Ефтимова, С., Т. Тодорова")</f>
        <v>Ефтимова, С., Т. Тодорова</v>
      </c>
      <c r="H7376" s="10"/>
      <c r="I7376" s="10"/>
      <c r="J7376" s="10"/>
      <c r="K7376" s="10"/>
      <c r="L7376" s="10"/>
      <c r="M7376" s="10"/>
      <c r="N7376" s="10"/>
      <c r="O7376" s="10"/>
      <c r="P7376" s="10"/>
      <c r="Q7376" s="10"/>
      <c r="R7376" s="10"/>
      <c r="S7376" s="10"/>
      <c r="T7376" s="10"/>
      <c r="U7376" s="10"/>
      <c r="V7376" s="10"/>
      <c r="W7376" s="10"/>
      <c r="X7376" s="10"/>
      <c r="Y7376" s="10"/>
      <c r="Z7376" s="10"/>
    </row>
    <row r="7377" spans="1:26" ht="12.75">
      <c r="A7377" s="10" t="str">
        <f ca="1">IFERROR(__xludf.DUMMYFUNCTION("""COMPUTED_VALUE"""),"Събина Кирилова Ефтимова")</f>
        <v>Събина Кирилова Ефтимова</v>
      </c>
      <c r="B7377" s="10" t="str">
        <f ca="1">IFERROR(__xludf.DUMMYFUNCTION("""COMPUTED_VALUE"""),"Доклад от конференция")</f>
        <v>Доклад от конференция</v>
      </c>
      <c r="C7377" s="10" t="str">
        <f ca="1">IFERROR(__xludf.DUMMYFUNCTION("""COMPUTED_VALUE"""),"Изграждане на култура на доброволчество в академична среда")</f>
        <v>Изграждане на култура на доброволчество в академична среда</v>
      </c>
      <c r="D7377" s="10">
        <f ca="1">IFERROR(__xludf.DUMMYFUNCTION("""COMPUTED_VALUE"""),2020)</f>
        <v>2020</v>
      </c>
      <c r="E7377" s="10" t="str">
        <f ca="1">IFERROR(__xludf.DUMMYFUNCTION("""COMPUTED_VALUE"""),"Осемнадесета национална научна конференция с международно участие: Обществото на знанието и хуманизмът на ХХІ век, София, 1 ноември 2020 г. София: За буквите – О Писменехь, 2020, с.267-276.ISSN 2683-0094")</f>
        <v>Осемнадесета национална научна конференция с международно участие: Обществото на знанието и хуманизмът на ХХІ век, София, 1 ноември 2020 г. София: За буквите – О Писменехь, 2020, с.267-276.ISSN 2683-0094</v>
      </c>
      <c r="F7377" s="10"/>
      <c r="G7377" s="10"/>
      <c r="H7377" s="10"/>
      <c r="I7377" s="10"/>
      <c r="J7377" s="10"/>
      <c r="K7377" s="10"/>
      <c r="L7377" s="10"/>
      <c r="M7377" s="10"/>
      <c r="N7377" s="10"/>
      <c r="O7377" s="10"/>
      <c r="P7377" s="10"/>
      <c r="Q7377" s="10"/>
      <c r="R7377" s="10"/>
      <c r="S7377" s="10"/>
      <c r="T7377" s="10"/>
      <c r="U7377" s="10"/>
      <c r="V7377" s="10"/>
      <c r="W7377" s="10"/>
      <c r="X7377" s="10"/>
      <c r="Y7377" s="10"/>
      <c r="Z7377" s="10"/>
    </row>
    <row r="7378" spans="1:26" ht="12.75">
      <c r="A7378" s="10" t="str">
        <f ca="1">IFERROR(__xludf.DUMMYFUNCTION("""COMPUTED_VALUE"""),"Събина Кирилова Ефтимова")</f>
        <v>Събина Кирилова Ефтимова</v>
      </c>
      <c r="B7378" s="10" t="str">
        <f ca="1">IFERROR(__xludf.DUMMYFUNCTION("""COMPUTED_VALUE"""),"Статия в списания и поредици")</f>
        <v>Статия в списания и поредици</v>
      </c>
      <c r="C7378" s="10" t="str">
        <f ca="1">IFERROR(__xludf.DUMMYFUNCTION("""COMPUTED_VALUE"""),"Съавторството при научни произведения – възможност за сътрудничество между преподаватели и студенти")</f>
        <v>Съавторството при научни произведения – възможност за сътрудничество между преподаватели и студенти</v>
      </c>
      <c r="D7378" s="10">
        <f ca="1">IFERROR(__xludf.DUMMYFUNCTION("""COMPUTED_VALUE"""),2020)</f>
        <v>2020</v>
      </c>
      <c r="E7378" s="10" t="str">
        <f ca="1">IFERROR(__xludf.DUMMYFUNCTION("""COMPUTED_VALUE"""),"Издател. – София : Академично издателство „За буквите – О писменехь“, том XXII, kн. I, 2020, с. 51-60.
 ISSN: 2367-9158 (Online)
 ISSN: 1310-4624 (Print)")</f>
        <v>Издател. – София : Академично издателство „За буквите – О писменехь“, том XXII, kн. I, 2020, с. 51-60.
 ISSN: 2367-9158 (Online)
 ISSN: 1310-4624 (Print)</v>
      </c>
      <c r="F7378" s="10"/>
      <c r="G7378" s="10"/>
      <c r="H7378" s="10"/>
      <c r="I7378" s="10"/>
      <c r="J7378" s="10"/>
      <c r="K7378" s="10"/>
      <c r="L7378" s="10"/>
      <c r="M7378" s="10"/>
      <c r="N7378" s="10"/>
      <c r="O7378" s="10"/>
      <c r="P7378" s="10"/>
      <c r="Q7378" s="10"/>
      <c r="R7378" s="10"/>
      <c r="S7378" s="10"/>
      <c r="T7378" s="10"/>
      <c r="U7378" s="10"/>
      <c r="V7378" s="10"/>
      <c r="W7378" s="10"/>
      <c r="X7378" s="10"/>
      <c r="Y7378" s="10"/>
      <c r="Z7378" s="10"/>
    </row>
    <row r="7379" spans="1:26" ht="12.75">
      <c r="A7379" s="10" t="str">
        <f ca="1">IFERROR(__xludf.DUMMYFUNCTION("""COMPUTED_VALUE"""),"Събина Кирилова Ефтимова")</f>
        <v>Събина Кирилова Ефтимова</v>
      </c>
      <c r="B7379" s="10" t="str">
        <f ca="1">IFERROR(__xludf.DUMMYFUNCTION("""COMPUTED_VALUE"""),"Доклад от конференция")</f>
        <v>Доклад от конференция</v>
      </c>
      <c r="C7379" s="10" t="str">
        <f ca="1">IFERROR(__xludf.DUMMYFUNCTION("""COMPUTED_VALUE"""),"Digitization of Documentary Heritage from the Period of the Bulgarian National Revival: Examples of the Activities of Regional Libraries in Bulgaria")</f>
        <v>Digitization of Documentary Heritage from the Period of the Bulgarian National Revival: Examples of the Activities of Regional Libraries in Bulgaria</v>
      </c>
      <c r="D7379" s="10">
        <f ca="1">IFERROR(__xludf.DUMMYFUNCTION("""COMPUTED_VALUE"""),2020)</f>
        <v>2020</v>
      </c>
      <c r="E7379" s="10" t="str">
        <f ca="1">IFERROR(__xludf.DUMMYFUNCTION("""COMPUTED_VALUE"""),"INTED2020 Proceedings, 14th annual International Technology, Education and Development Conference, Valencia, 2-4 March, 2020, pp. 4570-4576. ISBN: 978-84-09-17939-8")</f>
        <v>INTED2020 Proceedings, 14th annual International Technology, Education and Development Conference, Valencia, 2-4 March, 2020, pp. 4570-4576. ISBN: 978-84-09-17939-8</v>
      </c>
      <c r="F7379" s="10" t="str">
        <f ca="1">IFERROR(__xludf.DUMMYFUNCTION("""COMPUTED_VALUE"""),"ResearchGate, Google Scholar, Web of Science")</f>
        <v>ResearchGate, Google Scholar, Web of Science</v>
      </c>
      <c r="G7379" s="10"/>
      <c r="H7379" s="10"/>
      <c r="I7379" s="10"/>
      <c r="J7379" s="10"/>
      <c r="K7379" s="10"/>
      <c r="L7379" s="10"/>
      <c r="M7379" s="10"/>
      <c r="N7379" s="10"/>
      <c r="O7379" s="10"/>
      <c r="P7379" s="10"/>
      <c r="Q7379" s="10"/>
      <c r="R7379" s="10"/>
      <c r="S7379" s="10"/>
      <c r="T7379" s="10"/>
      <c r="U7379" s="10"/>
      <c r="V7379" s="10"/>
      <c r="W7379" s="10"/>
      <c r="X7379" s="10"/>
      <c r="Y7379" s="10"/>
      <c r="Z7379" s="10"/>
    </row>
    <row r="7380" spans="1:26" ht="12.75">
      <c r="A7380" s="10" t="str">
        <f ca="1">IFERROR(__xludf.DUMMYFUNCTION("""COMPUTED_VALUE"""),"Събина Кирилова Ефтимова")</f>
        <v>Събина Кирилова Ефтимова</v>
      </c>
      <c r="B7380" s="10" t="str">
        <f ca="1">IFERROR(__xludf.DUMMYFUNCTION("""COMPUTED_VALUE"""),"Доклад от конференция")</f>
        <v>Доклад от конференция</v>
      </c>
      <c r="C7380" s="10" t="str">
        <f ca="1">IFERROR(__xludf.DUMMYFUNCTION("""COMPUTED_VALUE"""),"Traditions and Opportunities for Bibliotherapy in Bulgaria")</f>
        <v>Traditions and Opportunities for Bibliotherapy in Bulgaria</v>
      </c>
      <c r="D7380" s="10">
        <f ca="1">IFERROR(__xludf.DUMMYFUNCTION("""COMPUTED_VALUE"""),2019)</f>
        <v>2019</v>
      </c>
      <c r="E7380" s="10" t="str">
        <f ca="1">IFERROR(__xludf.DUMMYFUNCTION("""COMPUTED_VALUE"""),"EDULearn 19: 11-th International Conference on Education and New Learning Technologies, Palma / Spain, 1-3 July, 2019, p. 6326-6330. ISBN: 978-84-09-02709-5 / ISSN: 2340-1117")</f>
        <v>EDULearn 19: 11-th International Conference on Education and New Learning Technologies, Palma / Spain, 1-3 July, 2019, p. 6326-6330. ISBN: 978-84-09-02709-5 / ISSN: 2340-1117</v>
      </c>
      <c r="F7380" s="10" t="str">
        <f ca="1">IFERROR(__xludf.DUMMYFUNCTION("""COMPUTED_VALUE"""),"Web of Science")</f>
        <v>Web of Science</v>
      </c>
      <c r="G7380" s="10"/>
      <c r="H7380" s="10"/>
      <c r="I7380" s="10"/>
      <c r="J7380" s="10"/>
      <c r="K7380" s="10"/>
      <c r="L7380" s="10"/>
      <c r="M7380" s="10"/>
      <c r="N7380" s="10"/>
      <c r="O7380" s="10"/>
      <c r="P7380" s="10"/>
      <c r="Q7380" s="10"/>
      <c r="R7380" s="10"/>
      <c r="S7380" s="10"/>
      <c r="T7380" s="10"/>
      <c r="U7380" s="10"/>
      <c r="V7380" s="10"/>
      <c r="W7380" s="10"/>
      <c r="X7380" s="10"/>
      <c r="Y7380" s="10"/>
      <c r="Z7380" s="10"/>
    </row>
    <row r="7381" spans="1:26" ht="12.75">
      <c r="A7381" s="10" t="str">
        <f ca="1">IFERROR(__xludf.DUMMYFUNCTION("""COMPUTED_VALUE"""),"Събина Кирилова Ефтимова")</f>
        <v>Събина Кирилова Ефтимова</v>
      </c>
      <c r="B7381" s="10" t="str">
        <f ca="1">IFERROR(__xludf.DUMMYFUNCTION("""COMPUTED_VALUE"""),"Доклад от конференция")</f>
        <v>Доклад от конференция</v>
      </c>
      <c r="C7381" s="10" t="str">
        <f ca="1">IFERROR(__xludf.DUMMYFUNCTION("""COMPUTED_VALUE"""),"Libraries for the Future: The Role of the Library Manager")</f>
        <v>Libraries for the Future: The Role of the Library Manager</v>
      </c>
      <c r="D7381" s="10">
        <f ca="1">IFERROR(__xludf.DUMMYFUNCTION("""COMPUTED_VALUE"""),2019)</f>
        <v>2019</v>
      </c>
      <c r="E7381" s="10" t="str">
        <f ca="1">IFERROR(__xludf.DUMMYFUNCTION("""COMPUTED_VALUE"""),"EDULearn 19: 11-th International Conference on Education and New Learning Technologies, Palma / Spain, 1-3 July, 2019, p. 6340-6344 ISBN: 978-84-09-02709-5 / ISSN: 2340-1117")</f>
        <v>EDULearn 19: 11-th International Conference on Education and New Learning Technologies, Palma / Spain, 1-3 July, 2019, p. 6340-6344 ISBN: 978-84-09-02709-5 / ISSN: 2340-1117</v>
      </c>
      <c r="F7381" s="10" t="str">
        <f ca="1">IFERROR(__xludf.DUMMYFUNCTION("""COMPUTED_VALUE"""),"Web of Science")</f>
        <v>Web of Science</v>
      </c>
      <c r="G7381" s="10"/>
      <c r="H7381" s="10"/>
      <c r="I7381" s="10"/>
      <c r="J7381" s="10"/>
      <c r="K7381" s="10"/>
      <c r="L7381" s="10"/>
      <c r="M7381" s="10"/>
      <c r="N7381" s="10"/>
      <c r="O7381" s="10"/>
      <c r="P7381" s="10"/>
      <c r="Q7381" s="10"/>
      <c r="R7381" s="10"/>
      <c r="S7381" s="10"/>
      <c r="T7381" s="10"/>
      <c r="U7381" s="10"/>
      <c r="V7381" s="10"/>
      <c r="W7381" s="10"/>
      <c r="X7381" s="10"/>
      <c r="Y7381" s="10"/>
      <c r="Z7381" s="10"/>
    </row>
    <row r="7382" spans="1:26" ht="12.75">
      <c r="A7382" s="10" t="str">
        <f ca="1">IFERROR(__xludf.DUMMYFUNCTION("""COMPUTED_VALUE"""),"Събина Кирилова Ефтимова")</f>
        <v>Събина Кирилова Ефтимова</v>
      </c>
      <c r="B7382" s="10" t="str">
        <f ca="1">IFERROR(__xludf.DUMMYFUNCTION("""COMPUTED_VALUE"""),"Доклад от конференция")</f>
        <v>Доклад от конференция</v>
      </c>
      <c r="C7382" s="10" t="str">
        <f ca="1">IFERROR(__xludf.DUMMYFUNCTION("""COMPUTED_VALUE"""),"About the Libraries and Children")</f>
        <v>About the Libraries and Children</v>
      </c>
      <c r="D7382" s="10">
        <f ca="1">IFERROR(__xludf.DUMMYFUNCTION("""COMPUTED_VALUE"""),2019)</f>
        <v>2019</v>
      </c>
      <c r="E7382" s="10" t="str">
        <f ca="1">IFERROR(__xludf.DUMMYFUNCTION("""COMPUTED_VALUE"""),"Contemporary Strategies and Innovations in the Knowledge Management: Collection with Papers of the Fifth Scientific Conference, 26-30 August 2019, Geneva. – Sofia : Academic Publishing House “Za bukvite – O Pismenech”, № 5, 2019, pp. 25-34. ISSN 2535-0250")</f>
        <v>Contemporary Strategies and Innovations in the Knowledge Management: Collection with Papers of the Fifth Scientific Conference, 26-30 August 2019, Geneva. – Sofia : Academic Publishing House “Za bukvite – O Pismenech”, № 5, 2019, pp. 25-34. ISSN 2535-0250</v>
      </c>
      <c r="F7382" s="10" t="str">
        <f ca="1">IFERROR(__xludf.DUMMYFUNCTION("""COMPUTED_VALUE"""),"Google Scholar, Research Gate")</f>
        <v>Google Scholar, Research Gate</v>
      </c>
      <c r="G7382" s="10"/>
      <c r="H7382" s="10"/>
      <c r="I7382" s="10"/>
      <c r="J7382" s="10"/>
      <c r="K7382" s="10"/>
      <c r="L7382" s="10"/>
      <c r="M7382" s="10"/>
      <c r="N7382" s="10"/>
      <c r="O7382" s="10"/>
      <c r="P7382" s="10"/>
      <c r="Q7382" s="10"/>
      <c r="R7382" s="10"/>
      <c r="S7382" s="10"/>
      <c r="T7382" s="10"/>
      <c r="U7382" s="10"/>
      <c r="V7382" s="10"/>
      <c r="W7382" s="10"/>
      <c r="X7382" s="10"/>
      <c r="Y7382" s="10"/>
      <c r="Z7382" s="10"/>
    </row>
    <row r="7383" spans="1:26" ht="12.75">
      <c r="A7383" s="10" t="str">
        <f ca="1">IFERROR(__xludf.DUMMYFUNCTION("""COMPUTED_VALUE"""),"Събина Кирилова Ефтимова")</f>
        <v>Събина Кирилова Ефтимова</v>
      </c>
      <c r="B7383" s="10" t="str">
        <f ca="1">IFERROR(__xludf.DUMMYFUNCTION("""COMPUTED_VALUE"""),"Доклад от конференция")</f>
        <v>Доклад от конференция</v>
      </c>
      <c r="C7383" s="10" t="str">
        <f ca="1">IFERROR(__xludf.DUMMYFUNCTION("""COMPUTED_VALUE"""),"Автографи в книгите от личната библиотека на Петър Парижков")</f>
        <v>Автографи в книгите от личната библиотека на Петър Парижков</v>
      </c>
      <c r="D7383" s="10">
        <f ca="1">IFERROR(__xludf.DUMMYFUNCTION("""COMPUTED_VALUE"""),2019)</f>
        <v>2019</v>
      </c>
      <c r="E7383" s="10" t="str">
        <f ca="1">IFERROR(__xludf.DUMMYFUNCTION("""COMPUTED_VALUE"""),"Книгата – нашето по-смислено настояще : Сборник доклади от форума „Дни на книгата и авторското право в УниБИТ”, София, 22-23 април 2019 г. Съст. и научен редактор Л. Парижкова. Научни рецензенти: Стоян Денчев, Евгения Русинова. – София : За буквите – О Пи"&amp;"сменехь, 6/2019. – 208 с. ISSN 1314-7323")</f>
        <v>Книгата – нашето по-смислено настояще : Сборник доклади от форума „Дни на книгата и авторското право в УниБИТ”, София, 22-23 април 2019 г. Съст. и научен редактор Л. Парижкова. Научни рецензенти: Стоян Денчев, Евгения Русинова. – София : За буквите – О Писменехь, 6/2019. – 208 с. ISSN 1314-7323</v>
      </c>
      <c r="F7383" s="10" t="str">
        <f ca="1">IFERROR(__xludf.DUMMYFUNCTION("""COMPUTED_VALUE"""),"ResearchGate, Google Scholar")</f>
        <v>ResearchGate, Google Scholar</v>
      </c>
      <c r="G7383" s="10"/>
      <c r="H7383" s="10"/>
      <c r="I7383" s="10"/>
      <c r="J7383" s="10"/>
      <c r="K7383" s="10"/>
      <c r="L7383" s="10"/>
      <c r="M7383" s="10"/>
      <c r="N7383" s="10"/>
      <c r="O7383" s="10"/>
      <c r="P7383" s="10"/>
      <c r="Q7383" s="10"/>
      <c r="R7383" s="10"/>
      <c r="S7383" s="10"/>
      <c r="T7383" s="10"/>
      <c r="U7383" s="10"/>
      <c r="V7383" s="10"/>
      <c r="W7383" s="10"/>
      <c r="X7383" s="10"/>
      <c r="Y7383" s="10"/>
      <c r="Z7383" s="10"/>
    </row>
    <row r="7384" spans="1:26" ht="12.75">
      <c r="A7384" s="10" t="str">
        <f ca="1">IFERROR(__xludf.DUMMYFUNCTION("""COMPUTED_VALUE"""),"Събина Кирилова Ефтимова")</f>
        <v>Събина Кирилова Ефтимова</v>
      </c>
      <c r="B7384" s="10" t="str">
        <f ca="1">IFERROR(__xludf.DUMMYFUNCTION("""COMPUTED_VALUE"""),"Доклад от конференция")</f>
        <v>Доклад от конференция</v>
      </c>
      <c r="C7384" s="10" t="str">
        <f ca="1">IFERROR(__xludf.DUMMYFUNCTION("""COMPUTED_VALUE"""),"Изграждането на доверие у гражданите – фактор за успеха на електронното правителство")</f>
        <v>Изграждането на доверие у гражданите – фактор за успеха на електронното правителство</v>
      </c>
      <c r="D7384" s="10">
        <f ca="1">IFERROR(__xludf.DUMMYFUNCTION("""COMPUTED_VALUE"""),2019)</f>
        <v>2019</v>
      </c>
      <c r="E7384" s="10" t="str">
        <f ca="1">IFERROR(__xludf.DUMMYFUNCTION("""COMPUTED_VALUE"""),"Шести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 305-334. ISBN 978-619-185-350-2")</f>
        <v>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 305-334. ISBN 978-619-185-350-2</v>
      </c>
      <c r="F738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384" s="10" t="str">
        <f ca="1">IFERROR(__xludf.DUMMYFUNCTION("""COMPUTED_VALUE"""),"М. Горанова")</f>
        <v>М. Горанова</v>
      </c>
      <c r="H7384" s="10"/>
      <c r="I7384" s="10"/>
      <c r="J7384" s="10"/>
      <c r="K7384" s="10"/>
      <c r="L7384" s="10"/>
      <c r="M7384" s="10"/>
      <c r="N7384" s="10"/>
      <c r="O7384" s="10"/>
      <c r="P7384" s="10"/>
      <c r="Q7384" s="10"/>
      <c r="R7384" s="10"/>
      <c r="S7384" s="10"/>
      <c r="T7384" s="10"/>
      <c r="U7384" s="10"/>
      <c r="V7384" s="10"/>
      <c r="W7384" s="10"/>
      <c r="X7384" s="10"/>
      <c r="Y7384" s="10"/>
      <c r="Z7384" s="10"/>
    </row>
    <row r="7385" spans="1:26" ht="12.75">
      <c r="A7385" s="10" t="str">
        <f ca="1">IFERROR(__xludf.DUMMYFUNCTION("""COMPUTED_VALUE"""),"Събина Кирилова Ефтимова")</f>
        <v>Събина Кирилова Ефтимова</v>
      </c>
      <c r="B7385" s="10" t="str">
        <f ca="1">IFERROR(__xludf.DUMMYFUNCTION("""COMPUTED_VALUE"""),"Доклад от конференция")</f>
        <v>Доклад от конференция</v>
      </c>
      <c r="C7385" s="10" t="str">
        <f ca="1">IFERROR(__xludf.DUMMYFUNCTION("""COMPUTED_VALUE"""),"Интелектуалната собственост – средство за икономически растеж")</f>
        <v>Интелектуалната собственост – средство за икономически растеж</v>
      </c>
      <c r="D7385" s="10">
        <f ca="1">IFERROR(__xludf.DUMMYFUNCTION("""COMPUTED_VALUE"""),2019)</f>
        <v>2019</v>
      </c>
      <c r="E7385" s="10" t="str">
        <f ca="1">IFERROR(__xludf.DUMMYFUNCTION("""COMPUTED_VALUE"""),"Шести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с.137-154. ISBN 978-619-185-350-2")</f>
        <v>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с.137-154. ISBN 978-619-185-350-2</v>
      </c>
      <c r="F738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385" s="10" t="str">
        <f ca="1">IFERROR(__xludf.DUMMYFUNCTION("""COMPUTED_VALUE"""),"Станислава Ефтимова")</f>
        <v>Станислава Ефтимова</v>
      </c>
      <c r="H7385" s="10"/>
      <c r="I7385" s="10"/>
      <c r="J7385" s="10"/>
      <c r="K7385" s="10"/>
      <c r="L7385" s="10"/>
      <c r="M7385" s="10"/>
      <c r="N7385" s="10"/>
      <c r="O7385" s="10"/>
      <c r="P7385" s="10"/>
      <c r="Q7385" s="10"/>
      <c r="R7385" s="10"/>
      <c r="S7385" s="10"/>
      <c r="T7385" s="10"/>
      <c r="U7385" s="10"/>
      <c r="V7385" s="10"/>
      <c r="W7385" s="10"/>
      <c r="X7385" s="10"/>
      <c r="Y7385" s="10"/>
      <c r="Z7385" s="10"/>
    </row>
    <row r="7386" spans="1:26" ht="12.75">
      <c r="A7386" s="10" t="str">
        <f ca="1">IFERROR(__xludf.DUMMYFUNCTION("""COMPUTED_VALUE"""),"Събина Кирилова Ефтимова")</f>
        <v>Събина Кирилова Ефтимова</v>
      </c>
      <c r="B7386" s="10" t="str">
        <f ca="1">IFERROR(__xludf.DUMMYFUNCTION("""COMPUTED_VALUE"""),"Доклад от конференция")</f>
        <v>Доклад от конференция</v>
      </c>
      <c r="C7386" s="10" t="str">
        <f ca="1">IFERROR(__xludf.DUMMYFUNCTION("""COMPUTED_VALUE"""),"Съвременната библиотека и мястото на интелектуалната собственост в образователното пространство на университета")</f>
        <v>Съвременната библиотека и мястото на интелектуалната собственост в образователното пространство на университета</v>
      </c>
      <c r="D7386" s="10">
        <f ca="1">IFERROR(__xludf.DUMMYFUNCTION("""COMPUTED_VALUE"""),2019)</f>
        <v>2019</v>
      </c>
      <c r="E7386" s="10" t="str">
        <f ca="1">IFERROR(__xludf.DUMMYFUNCTION("""COMPUTED_VALUE"""),"Шести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 125-136. ISBN 978-619-185-350-2")</f>
        <v>Шести национален семинар „Европейските граждани и интелектуалната собственост – възприятие, осъзнатост, поведение“ – 25-26 април 2018 г. София: За буквите – О Писменехь, 2019, с. 125-136. ISBN 978-619-185-350-2</v>
      </c>
      <c r="F738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386" s="10" t="str">
        <f ca="1">IFERROR(__xludf.DUMMYFUNCTION("""COMPUTED_VALUE"""),"Елена Савова")</f>
        <v>Елена Савова</v>
      </c>
      <c r="H7386" s="10"/>
      <c r="I7386" s="10"/>
      <c r="J7386" s="10"/>
      <c r="K7386" s="10"/>
      <c r="L7386" s="10"/>
      <c r="M7386" s="10"/>
      <c r="N7386" s="10"/>
      <c r="O7386" s="10"/>
      <c r="P7386" s="10"/>
      <c r="Q7386" s="10"/>
      <c r="R7386" s="10"/>
      <c r="S7386" s="10"/>
      <c r="T7386" s="10"/>
      <c r="U7386" s="10"/>
      <c r="V7386" s="10"/>
      <c r="W7386" s="10"/>
      <c r="X7386" s="10"/>
      <c r="Y7386" s="10"/>
      <c r="Z7386" s="10"/>
    </row>
    <row r="7387" spans="1:26" ht="12.75">
      <c r="A7387" s="10" t="str">
        <f ca="1">IFERROR(__xludf.DUMMYFUNCTION("""COMPUTED_VALUE"""),"Събина Кирилова Ефтимова")</f>
        <v>Събина Кирилова Ефтимова</v>
      </c>
      <c r="B7387" s="10" t="str">
        <f ca="1">IFERROR(__xludf.DUMMYFUNCTION("""COMPUTED_VALUE"""),"Доклад от конференция")</f>
        <v>Доклад от конференция</v>
      </c>
      <c r="C7387" s="10" t="str">
        <f ca="1">IFERROR(__xludf.DUMMYFUNCTION("""COMPUTED_VALUE"""),"The Place of Bibliotherapy Course in the Training tf Library Specialists in Bulgaria")</f>
        <v>The Place of Bibliotherapy Course in the Training tf Library Specialists in Bulgaria</v>
      </c>
      <c r="D7387" s="10">
        <f ca="1">IFERROR(__xludf.DUMMYFUNCTION("""COMPUTED_VALUE"""),2019)</f>
        <v>2019</v>
      </c>
      <c r="E7387" s="10" t="str">
        <f ca="1">IFERROR(__xludf.DUMMYFUNCTION("""COMPUTED_VALUE"""),"INTED2019 13th annual International Technology, Education and Development Conference, Valencia, 11th, 12th and 13th of March, 2019, p. 1053-1057. ISBN: 978-84-09-08619-1")</f>
        <v>INTED2019 13th annual International Technology, Education and Development Conference, Valencia, 11th, 12th and 13th of March, 2019, p. 1053-1057. ISBN: 978-84-09-08619-1</v>
      </c>
      <c r="F7387" s="10" t="str">
        <f ca="1">IFERROR(__xludf.DUMMYFUNCTION("""COMPUTED_VALUE"""),"Web of Science")</f>
        <v>Web of Science</v>
      </c>
      <c r="G7387" s="10"/>
      <c r="H7387" s="10"/>
      <c r="I7387" s="10"/>
      <c r="J7387" s="10"/>
      <c r="K7387" s="10"/>
      <c r="L7387" s="10"/>
      <c r="M7387" s="10"/>
      <c r="N7387" s="10"/>
      <c r="O7387" s="10"/>
      <c r="P7387" s="10"/>
      <c r="Q7387" s="10"/>
      <c r="R7387" s="10"/>
      <c r="S7387" s="10"/>
      <c r="T7387" s="10"/>
      <c r="U7387" s="10"/>
      <c r="V7387" s="10"/>
      <c r="W7387" s="10"/>
      <c r="X7387" s="10"/>
      <c r="Y7387" s="10"/>
      <c r="Z7387" s="10"/>
    </row>
    <row r="7388" spans="1:26" ht="12.75">
      <c r="A7388" s="10" t="str">
        <f ca="1">IFERROR(__xludf.DUMMYFUNCTION("""COMPUTED_VALUE"""),"Събина Кирилова Ефтимова")</f>
        <v>Събина Кирилова Ефтимова</v>
      </c>
      <c r="B7388" s="10" t="str">
        <f ca="1">IFERROR(__xludf.DUMMYFUNCTION("""COMPUTED_VALUE"""),"Доклад от конференция")</f>
        <v>Доклад от конференция</v>
      </c>
      <c r="C7388" s="10" t="str">
        <f ca="1">IFERROR(__xludf.DUMMYFUNCTION("""COMPUTED_VALUE"""),"Initiatives of Regional libraries in Bulgaria in the Sphere of Social and Cultural Integration : Examples from Practice")</f>
        <v>Initiatives of Regional libraries in Bulgaria in the Sphere of Social and Cultural Integration : Examples from Practice</v>
      </c>
      <c r="D7388" s="10">
        <f ca="1">IFERROR(__xludf.DUMMYFUNCTION("""COMPUTED_VALUE"""),2019)</f>
        <v>2019</v>
      </c>
      <c r="E7388" s="10" t="str">
        <f ca="1">IFERROR(__xludf.DUMMYFUNCTION("""COMPUTED_VALUE"""),"INTED2019 13th annual International Technology, Education and Development Conference, Valencia, 11th, 12th and 13th of March, 2019, p. 3072-3079. ISBN: 978-84-09-08619-1")</f>
        <v>INTED2019 13th annual International Technology, Education and Development Conference, Valencia, 11th, 12th and 13th of March, 2019, p. 3072-3079. ISBN: 978-84-09-08619-1</v>
      </c>
      <c r="F7388" s="10" t="str">
        <f ca="1">IFERROR(__xludf.DUMMYFUNCTION("""COMPUTED_VALUE"""),"Web of Science")</f>
        <v>Web of Science</v>
      </c>
      <c r="G7388" s="10" t="str">
        <f ca="1">IFERROR(__xludf.DUMMYFUNCTION("""COMPUTED_VALUE"""),"Elisaveta Tsvetkova, Polly Mukanova")</f>
        <v>Elisaveta Tsvetkova, Polly Mukanova</v>
      </c>
      <c r="H7388" s="10"/>
      <c r="I7388" s="10"/>
      <c r="J7388" s="10"/>
      <c r="K7388" s="10"/>
      <c r="L7388" s="10"/>
      <c r="M7388" s="10"/>
      <c r="N7388" s="10"/>
      <c r="O7388" s="10"/>
      <c r="P7388" s="10"/>
      <c r="Q7388" s="10"/>
      <c r="R7388" s="10"/>
      <c r="S7388" s="10"/>
      <c r="T7388" s="10"/>
      <c r="U7388" s="10"/>
      <c r="V7388" s="10"/>
      <c r="W7388" s="10"/>
      <c r="X7388" s="10"/>
      <c r="Y7388" s="10"/>
      <c r="Z7388" s="10"/>
    </row>
    <row r="7389" spans="1:26" ht="12.75">
      <c r="A7389" s="10" t="str">
        <f ca="1">IFERROR(__xludf.DUMMYFUNCTION("""COMPUTED_VALUE"""),"Събина Кирилова Ефтимова")</f>
        <v>Събина Кирилова Ефтимова</v>
      </c>
      <c r="B7389" s="10" t="str">
        <f ca="1">IFERROR(__xludf.DUMMYFUNCTION("""COMPUTED_VALUE"""),"Доклад от конференция")</f>
        <v>Доклад от конференция</v>
      </c>
      <c r="C7389" s="10" t="str">
        <f ca="1">IFERROR(__xludf.DUMMYFUNCTION("""COMPUTED_VALUE"""),"Access to Information for People with Special Needs&amp; Experience from Academic Course")</f>
        <v>Access to Information for People with Special Needs&amp; Experience from Academic Course</v>
      </c>
      <c r="D7389" s="10">
        <f ca="1">IFERROR(__xludf.DUMMYFUNCTION("""COMPUTED_VALUE"""),2019)</f>
        <v>2019</v>
      </c>
      <c r="E7389" s="10" t="str">
        <f ca="1">IFERROR(__xludf.DUMMYFUNCTION("""COMPUTED_VALUE"""),"New Perspectives in Science and Education: International Conference, , 8th ed., 21-22 March 2019, Florence, Italy. Bologna, Filodiritto International, 2019, p. 321-325. ISBN 978-88-85813-56-4 ISSN 2420-9732")</f>
        <v>New Perspectives in Science and Education: International Conference, , 8th ed., 21-22 March 2019, Florence, Italy. Bologna, Filodiritto International, 2019, p. 321-325. ISBN 978-88-85813-56-4 ISSN 2420-9732</v>
      </c>
      <c r="F7389" s="10"/>
      <c r="G7389" s="10" t="str">
        <f ca="1">IFERROR(__xludf.DUMMYFUNCTION("""COMPUTED_VALUE"""),"Tania Todorova")</f>
        <v>Tania Todorova</v>
      </c>
      <c r="H7389" s="10"/>
      <c r="I7389" s="10"/>
      <c r="J7389" s="10"/>
      <c r="K7389" s="10"/>
      <c r="L7389" s="10"/>
      <c r="M7389" s="10"/>
      <c r="N7389" s="10"/>
      <c r="O7389" s="10"/>
      <c r="P7389" s="10"/>
      <c r="Q7389" s="10"/>
      <c r="R7389" s="10"/>
      <c r="S7389" s="10"/>
      <c r="T7389" s="10"/>
      <c r="U7389" s="10"/>
      <c r="V7389" s="10"/>
      <c r="W7389" s="10"/>
      <c r="X7389" s="10"/>
      <c r="Y7389" s="10"/>
      <c r="Z7389" s="10"/>
    </row>
    <row r="7390" spans="1:26" ht="12.75">
      <c r="A7390" s="10" t="str">
        <f ca="1">IFERROR(__xludf.DUMMYFUNCTION("""COMPUTED_VALUE"""),"Събина Кирилова Ефтимова")</f>
        <v>Събина Кирилова Ефтимова</v>
      </c>
      <c r="B7390" s="10" t="str">
        <f ca="1">IFERROR(__xludf.DUMMYFUNCTION("""COMPUTED_VALUE"""),"Статия в списания и поредици")</f>
        <v>Статия в списания и поредици</v>
      </c>
      <c r="C7390" s="10" t="str">
        <f ca="1">IFERROR(__xludf.DUMMYFUNCTION("""COMPUTED_VALUE"""),"Любов и всеотдайност към науката : Проф. д-р Донка Правдомирова на 75 години")</f>
        <v>Любов и всеотдайност към науката : Проф. д-р Донка Правдомирова на 75 години</v>
      </c>
      <c r="D7390" s="10">
        <f ca="1">IFERROR(__xludf.DUMMYFUNCTION("""COMPUTED_VALUE"""),2019)</f>
        <v>2019</v>
      </c>
      <c r="E7390" s="10" t="str">
        <f ca="1">IFERROR(__xludf.DUMMYFUNCTION("""COMPUTED_VALUE"""),"За буквите : Кирило-Методиевски вестник, № 58, 2019, с. 14. ISSN 1312-3785")</f>
        <v>За буквите : Кирило-Методиевски вестник, № 58, 2019, с. 14. ISSN 1312-3785</v>
      </c>
      <c r="F739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390" s="10"/>
      <c r="H7390" s="10"/>
      <c r="I7390" s="10"/>
      <c r="J7390" s="10"/>
      <c r="K7390" s="10"/>
      <c r="L7390" s="10"/>
      <c r="M7390" s="10"/>
      <c r="N7390" s="10"/>
      <c r="O7390" s="10"/>
      <c r="P7390" s="10"/>
      <c r="Q7390" s="10"/>
      <c r="R7390" s="10"/>
      <c r="S7390" s="10"/>
      <c r="T7390" s="10"/>
      <c r="U7390" s="10"/>
      <c r="V7390" s="10"/>
      <c r="W7390" s="10"/>
      <c r="X7390" s="10"/>
      <c r="Y7390" s="10"/>
      <c r="Z7390" s="10"/>
    </row>
    <row r="7391" spans="1:26" ht="12.75">
      <c r="A7391" s="10" t="str">
        <f ca="1">IFERROR(__xludf.DUMMYFUNCTION("""COMPUTED_VALUE"""),"Събина Кирилова Ефтимова")</f>
        <v>Събина Кирилова Ефтимова</v>
      </c>
      <c r="B7391" s="10" t="str">
        <f ca="1">IFERROR(__xludf.DUMMYFUNCTION("""COMPUTED_VALUE"""),"Доклад от конференция")</f>
        <v>Доклад от конференция</v>
      </c>
      <c r="C7391" s="10" t="str">
        <f ca="1">IFERROR(__xludf.DUMMYFUNCTION("""COMPUTED_VALUE"""),"Research Work and Practical Training of Students – Opportunities and Reality")</f>
        <v>Research Work and Practical Training of Students – Opportunities and Reality</v>
      </c>
      <c r="D7391" s="10">
        <f ca="1">IFERROR(__xludf.DUMMYFUNCTION("""COMPUTED_VALUE"""),2019)</f>
        <v>2019</v>
      </c>
      <c r="E7391" s="10" t="str">
        <f ca="1">IFERROR(__xludf.DUMMYFUNCTION("""COMPUTED_VALUE"""),"ICERI2019 Proceedings : 12th annual International Conference of Education, Research and Innovation : Meeting the Challenges of 21st Century Learning, 11-13 November, 2019, Seville, Spain. – Seville : IATED Academy, 2019, pp. 4832-4836. ISBN 978-84-09-1475"&amp;"5-7")</f>
        <v>ICERI2019 Proceedings : 12th annual International Conference of Education, Research and Innovation : Meeting the Challenges of 21st Century Learning, 11-13 November, 2019, Seville, Spain. – Seville : IATED Academy, 2019, pp. 4832-4836. ISBN 978-84-09-14755-7</v>
      </c>
      <c r="F7391" s="10" t="str">
        <f ca="1">IFERROR(__xludf.DUMMYFUNCTION("""COMPUTED_VALUE"""),"ISI Web of Knowledge")</f>
        <v>ISI Web of Knowledge</v>
      </c>
      <c r="G7391" s="10" t="str">
        <f ca="1">IFERROR(__xludf.DUMMYFUNCTION("""COMPUTED_VALUE"""),"Elisaveta Tsvetkova, Diana Stoyanova")</f>
        <v>Elisaveta Tsvetkova, Diana Stoyanova</v>
      </c>
      <c r="H7391" s="10"/>
      <c r="I7391" s="10"/>
      <c r="J7391" s="10"/>
      <c r="K7391" s="10"/>
      <c r="L7391" s="10"/>
      <c r="M7391" s="10"/>
      <c r="N7391" s="10"/>
      <c r="O7391" s="10"/>
      <c r="P7391" s="10"/>
      <c r="Q7391" s="10"/>
      <c r="R7391" s="10"/>
      <c r="S7391" s="10"/>
      <c r="T7391" s="10"/>
      <c r="U7391" s="10"/>
      <c r="V7391" s="10"/>
      <c r="W7391" s="10"/>
      <c r="X7391" s="10"/>
      <c r="Y7391" s="10"/>
      <c r="Z7391" s="10"/>
    </row>
    <row r="7392" spans="1:26" ht="12.75">
      <c r="A7392" s="10" t="str">
        <f ca="1">IFERROR(__xludf.DUMMYFUNCTION("""COMPUTED_VALUE"""),"Събина Кирилова Ефтимова")</f>
        <v>Събина Кирилова Ефтимова</v>
      </c>
      <c r="B7392" s="10" t="str">
        <f ca="1">IFERROR(__xludf.DUMMYFUNCTION("""COMPUTED_VALUE"""),"Доклад от конференция")</f>
        <v>Доклад от конференция</v>
      </c>
      <c r="C7392" s="10" t="str">
        <f ca="1">IFERROR(__xludf.DUMMYFUNCTION("""COMPUTED_VALUE"""),"Challenges in the Work of Specialists in Different Spheres of Knowledge for the Creation of Contemporary Information Products")</f>
        <v>Challenges in the Work of Specialists in Different Spheres of Knowledge for the Creation of Contemporary Information Products</v>
      </c>
      <c r="D7392" s="10">
        <f ca="1">IFERROR(__xludf.DUMMYFUNCTION("""COMPUTED_VALUE"""),2019)</f>
        <v>2019</v>
      </c>
      <c r="E7392" s="10" t="str">
        <f ca="1">IFERROR(__xludf.DUMMYFUNCTION("""COMPUTED_VALUE"""),"ICERI2019 Proceedings : 12th annual International Conference of Education, Research and Innovation : Meeting the Challenges of 21st Century Learning, 11-13 November, 2019, Seville, Spain. – Seville : IATED Academy, 2019, pp. 3847-3850. ISBN 978-84-09-1475"&amp;"5-7")</f>
        <v>ICERI2019 Proceedings : 12th annual International Conference of Education, Research and Innovation : Meeting the Challenges of 21st Century Learning, 11-13 November, 2019, Seville, Spain. – Seville : IATED Academy, 2019, pp. 3847-3850. ISBN 978-84-09-14755-7</v>
      </c>
      <c r="F7392" s="10" t="str">
        <f ca="1">IFERROR(__xludf.DUMMYFUNCTION("""COMPUTED_VALUE"""),"ISI Web of Knowledge")</f>
        <v>ISI Web of Knowledge</v>
      </c>
      <c r="G7392" s="10"/>
      <c r="H7392" s="10"/>
      <c r="I7392" s="10"/>
      <c r="J7392" s="10"/>
      <c r="K7392" s="10"/>
      <c r="L7392" s="10"/>
      <c r="M7392" s="10"/>
      <c r="N7392" s="10"/>
      <c r="O7392" s="10"/>
      <c r="P7392" s="10"/>
      <c r="Q7392" s="10"/>
      <c r="R7392" s="10"/>
      <c r="S7392" s="10"/>
      <c r="T7392" s="10"/>
      <c r="U7392" s="10"/>
      <c r="V7392" s="10"/>
      <c r="W7392" s="10"/>
      <c r="X7392" s="10"/>
      <c r="Y7392" s="10"/>
      <c r="Z7392" s="10"/>
    </row>
    <row r="7393" spans="1:26" ht="12.75">
      <c r="A7393" s="10" t="str">
        <f ca="1">IFERROR(__xludf.DUMMYFUNCTION("""COMPUTED_VALUE"""),"Събина Кирилова Ефтимова")</f>
        <v>Събина Кирилова Ефтимова</v>
      </c>
      <c r="B7393" s="10" t="str">
        <f ca="1">IFERROR(__xludf.DUMMYFUNCTION("""COMPUTED_VALUE"""),"Доклад от конференция")</f>
        <v>Доклад от конференция</v>
      </c>
      <c r="C7393" s="10" t="str">
        <f ca="1">IFERROR(__xludf.DUMMYFUNCTION("""COMPUTED_VALUE"""),"Университетското издателство – елемент от процеса на научна комуникация")</f>
        <v>Университетското издателство – елемент от процеса на научна комуникация</v>
      </c>
      <c r="D7393" s="10">
        <f ca="1">IFERROR(__xludf.DUMMYFUNCTION("""COMPUTED_VALUE"""),2019)</f>
        <v>2019</v>
      </c>
      <c r="E7393" s="10" t="str">
        <f ca="1">IFERROR(__xludf.DUMMYFUNCTION("""COMPUTED_VALUE"""),"Шестнадесета национална научна конференция с международно участие: Обществото на знанието и хуманизмът на ХХІ век, София, 1 ноември 2018 г. София: За буквите – О Писменехь, 2019, с. 278-281. ISSN 1314-7099")</f>
        <v>Шестнадесета национална научна конференция с международно участие: Обществото на знанието и хуманизмът на ХХІ век, София, 1 ноември 2018 г. София: За буквите – О Писменехь, 2019, с. 278-281. ISSN 1314-7099</v>
      </c>
      <c r="F7393" s="10"/>
      <c r="G7393" s="10" t="str">
        <f ca="1">IFERROR(__xludf.DUMMYFUNCTION("""COMPUTED_VALUE"""),"Евгения Василева")</f>
        <v>Евгения Василева</v>
      </c>
      <c r="H7393" s="10"/>
      <c r="I7393" s="10"/>
      <c r="J7393" s="10"/>
      <c r="K7393" s="10"/>
      <c r="L7393" s="10"/>
      <c r="M7393" s="10"/>
      <c r="N7393" s="10"/>
      <c r="O7393" s="10"/>
      <c r="P7393" s="10"/>
      <c r="Q7393" s="10"/>
      <c r="R7393" s="10"/>
      <c r="S7393" s="10"/>
      <c r="T7393" s="10"/>
      <c r="U7393" s="10"/>
      <c r="V7393" s="10"/>
      <c r="W7393" s="10"/>
      <c r="X7393" s="10"/>
      <c r="Y7393" s="10"/>
      <c r="Z7393" s="10"/>
    </row>
    <row r="7394" spans="1:26" ht="12.75">
      <c r="A7394" s="10" t="str">
        <f ca="1">IFERROR(__xludf.DUMMYFUNCTION("""COMPUTED_VALUE"""),"Събина Кирилова Ефтимова")</f>
        <v>Събина Кирилова Ефтимова</v>
      </c>
      <c r="B7394" s="10" t="str">
        <f ca="1">IFERROR(__xludf.DUMMYFUNCTION("""COMPUTED_VALUE"""),"Доклад от конференция")</f>
        <v>Доклад от конференция</v>
      </c>
      <c r="C7394" s="10" t="str">
        <f ca="1">IFERROR(__xludf.DUMMYFUNCTION("""COMPUTED_VALUE"""),"Занимания по интереси и ролята на съвременната библиотека в образователния процес")</f>
        <v>Занимания по интереси и ролята на съвременната библиотека в образователния процес</v>
      </c>
      <c r="D7394" s="10">
        <f ca="1">IFERROR(__xludf.DUMMYFUNCTION("""COMPUTED_VALUE"""),2019)</f>
        <v>2019</v>
      </c>
      <c r="E7394" s="10" t="str">
        <f ca="1">IFERROR(__xludf.DUMMYFUNCTION("""COMPUTED_VALUE"""),"Шестнадесета национална научна конференция с международно участие: Обществото на знанието и хуманизмът на ХХІ век, София, 1 ноември 2018 г. София: За буквите – О Писменехь, 2019, с. 278-281. ISSN 1314-7099")</f>
        <v>Шестнадесета национална научна конференция с международно участие: Обществото на знанието и хуманизмът на ХХІ век, София, 1 ноември 2018 г. София: За буквите – О Писменехь, 2019, с. 278-281. ISSN 1314-7099</v>
      </c>
      <c r="F7394" s="10"/>
      <c r="G7394" s="10"/>
      <c r="H7394" s="10"/>
      <c r="I7394" s="10"/>
      <c r="J7394" s="10"/>
      <c r="K7394" s="10"/>
      <c r="L7394" s="10"/>
      <c r="M7394" s="10"/>
      <c r="N7394" s="10"/>
      <c r="O7394" s="10"/>
      <c r="P7394" s="10"/>
      <c r="Q7394" s="10"/>
      <c r="R7394" s="10"/>
      <c r="S7394" s="10"/>
      <c r="T7394" s="10"/>
      <c r="U7394" s="10"/>
      <c r="V7394" s="10"/>
      <c r="W7394" s="10"/>
      <c r="X7394" s="10"/>
      <c r="Y7394" s="10"/>
      <c r="Z7394" s="10"/>
    </row>
    <row r="7395" spans="1:26" ht="12.75">
      <c r="A7395" s="10" t="str">
        <f ca="1">IFERROR(__xludf.DUMMYFUNCTION("""COMPUTED_VALUE"""),"Събина Кирилова Ефтимова")</f>
        <v>Събина Кирилова Ефтимова</v>
      </c>
      <c r="B7395" s="10" t="str">
        <f ca="1">IFERROR(__xludf.DUMMYFUNCTION("""COMPUTED_VALUE"""),"Доклад от конференция")</f>
        <v>Доклад от конференция</v>
      </c>
      <c r="C7395" s="10" t="str">
        <f ca="1">IFERROR(__xludf.DUMMYFUNCTION("""COMPUTED_VALUE"""),"Личната библиотека на доц. д-р Петър Парижков")</f>
        <v>Личната библиотека на доц. д-р Петър Парижков</v>
      </c>
      <c r="D7395" s="10">
        <f ca="1">IFERROR(__xludf.DUMMYFUNCTION("""COMPUTED_VALUE"""),2019)</f>
        <v>2019</v>
      </c>
      <c r="E7395" s="10" t="str">
        <f ca="1">IFERROR(__xludf.DUMMYFUNCTION("""COMPUTED_VALUE"""),"Седемнадесета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116-121. ISSN 1314-7099")</f>
        <v>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116-121. ISSN 1314-7099</v>
      </c>
      <c r="F7395" s="10"/>
      <c r="G7395" s="10"/>
      <c r="H7395" s="10"/>
      <c r="I7395" s="10"/>
      <c r="J7395" s="10"/>
      <c r="K7395" s="10"/>
      <c r="L7395" s="10"/>
      <c r="M7395" s="10"/>
      <c r="N7395" s="10"/>
      <c r="O7395" s="10"/>
      <c r="P7395" s="10"/>
      <c r="Q7395" s="10"/>
      <c r="R7395" s="10"/>
      <c r="S7395" s="10"/>
      <c r="T7395" s="10"/>
      <c r="U7395" s="10"/>
      <c r="V7395" s="10"/>
      <c r="W7395" s="10"/>
      <c r="X7395" s="10"/>
      <c r="Y7395" s="10"/>
      <c r="Z7395" s="10"/>
    </row>
    <row r="7396" spans="1:26" ht="12.75">
      <c r="A7396" s="10" t="str">
        <f ca="1">IFERROR(__xludf.DUMMYFUNCTION("""COMPUTED_VALUE"""),"Събина Кирилова Ефтимова")</f>
        <v>Събина Кирилова Ефтимова</v>
      </c>
      <c r="B7396" s="10" t="str">
        <f ca="1">IFERROR(__xludf.DUMMYFUNCTION("""COMPUTED_VALUE"""),"Доклад от конференция")</f>
        <v>Доклад от конференция</v>
      </c>
      <c r="C7396" s="10" t="str">
        <f ca="1">IFERROR(__xludf.DUMMYFUNCTION("""COMPUTED_VALUE"""),"Регионалните библиотеки в България и дигитализацията на документи от периода на Възраждането")</f>
        <v>Регионалните библиотеки в България и дигитализацията на документи от периода на Възраждането</v>
      </c>
      <c r="D7396" s="10">
        <f ca="1">IFERROR(__xludf.DUMMYFUNCTION("""COMPUTED_VALUE"""),2019)</f>
        <v>2019</v>
      </c>
      <c r="E7396" s="10" t="str">
        <f ca="1">IFERROR(__xludf.DUMMYFUNCTION("""COMPUTED_VALUE"""),"Седемнадесета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100-108. ISSN 1314-7099")</f>
        <v>Седемнадесета национална научна конференция с международно участие: Обществото на знанието и хуманизмът на ХХІ век, София, 1 ноември 2019 г. София: За буквите – О Писменехь, 2019, с. 100-108. ISSN 1314-7099</v>
      </c>
      <c r="F7396" s="10"/>
      <c r="G7396" s="10" t="str">
        <f ca="1">IFERROR(__xludf.DUMMYFUNCTION("""COMPUTED_VALUE"""),"Елена Савова")</f>
        <v>Елена Савова</v>
      </c>
      <c r="H7396" s="10"/>
      <c r="I7396" s="10"/>
      <c r="J7396" s="10"/>
      <c r="K7396" s="10"/>
      <c r="L7396" s="10"/>
      <c r="M7396" s="10"/>
      <c r="N7396" s="10"/>
      <c r="O7396" s="10"/>
      <c r="P7396" s="10"/>
      <c r="Q7396" s="10"/>
      <c r="R7396" s="10"/>
      <c r="S7396" s="10"/>
      <c r="T7396" s="10"/>
      <c r="U7396" s="10"/>
      <c r="V7396" s="10"/>
      <c r="W7396" s="10"/>
      <c r="X7396" s="10"/>
      <c r="Y7396" s="10"/>
      <c r="Z7396" s="10"/>
    </row>
    <row r="7397" spans="1:26" ht="12.75">
      <c r="A7397" s="10" t="str">
        <f ca="1">IFERROR(__xludf.DUMMYFUNCTION("""COMPUTED_VALUE"""),"Събина Кирилова Ефтимова")</f>
        <v>Събина Кирилова Ефтимова</v>
      </c>
      <c r="B7397" s="10" t="str">
        <f ca="1">IFERROR(__xludf.DUMMYFUNCTION("""COMPUTED_VALUE"""),"Статия в списания и поредици")</f>
        <v>Статия в списания и поредици</v>
      </c>
      <c r="C7397" s="10" t="str">
        <f ca="1">IFERROR(__xludf.DUMMYFUNCTION("""COMPUTED_VALUE"""),"Съвременните будители и информационната среда на XXI век")</f>
        <v>Съвременните будители и информационната среда на XXI век</v>
      </c>
      <c r="D7397" s="10">
        <f ca="1">IFERROR(__xludf.DUMMYFUNCTION("""COMPUTED_VALUE"""),2018)</f>
        <v>2018</v>
      </c>
      <c r="E7397" s="10" t="str">
        <f ca="1">IFERROR(__xludf.DUMMYFUNCTION("""COMPUTED_VALUE"""),"сп. Издател, № 3-4, 2018, с. 84-88. ISSN 1310-4624")</f>
        <v>сп. Издател, № 3-4, 2018, с. 84-88. ISSN 1310-4624</v>
      </c>
      <c r="F739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397" s="10"/>
      <c r="H7397" s="10"/>
      <c r="I7397" s="10"/>
      <c r="J7397" s="10"/>
      <c r="K7397" s="10"/>
      <c r="L7397" s="10"/>
      <c r="M7397" s="10"/>
      <c r="N7397" s="10"/>
      <c r="O7397" s="10"/>
      <c r="P7397" s="10"/>
      <c r="Q7397" s="10"/>
      <c r="R7397" s="10"/>
      <c r="S7397" s="10"/>
      <c r="T7397" s="10"/>
      <c r="U7397" s="10"/>
      <c r="V7397" s="10"/>
      <c r="W7397" s="10"/>
      <c r="X7397" s="10"/>
      <c r="Y7397" s="10"/>
      <c r="Z7397" s="10"/>
    </row>
    <row r="7398" spans="1:26" ht="12.75">
      <c r="A7398" s="10" t="str">
        <f ca="1">IFERROR(__xludf.DUMMYFUNCTION("""COMPUTED_VALUE"""),"Събина Кирилова Ефтимова")</f>
        <v>Събина Кирилова Ефтимова</v>
      </c>
      <c r="B7398" s="10" t="str">
        <f ca="1">IFERROR(__xludf.DUMMYFUNCTION("""COMPUTED_VALUE"""),"Статия в списания и поредици")</f>
        <v>Статия в списания и поредици</v>
      </c>
      <c r="C7398" s="10" t="str">
        <f ca="1">IFERROR(__xludf.DUMMYFUNCTION("""COMPUTED_VALUE"""),"Активност на студентите от катедра „Библиотечен мениджмънт“ в Проект BG05M20P001-2.002-0001 „Студентски практики – ФАЗА 1“")</f>
        <v>Активност на студентите от катедра „Библиотечен мениджмънт“ в Проект BG05M20P001-2.002-0001 „Студентски практики – ФАЗА 1“</v>
      </c>
      <c r="D7398" s="10">
        <f ca="1">IFERROR(__xludf.DUMMYFUNCTION("""COMPUTED_VALUE"""),2018)</f>
        <v>2018</v>
      </c>
      <c r="E7398" s="10" t="str">
        <f ca="1">IFERROR(__xludf.DUMMYFUNCTION("""COMPUTED_VALUE"""),"Съвременни измерения на европейското образователно и научно пространство : Сборник с доклади от XII, Международен пътуващ семинар на УниБИТ : Културни връзки между България и Суверенния Малтийски орден, България – Италия, 18-23 май 2018 г., T. 6. – София "&amp;": За буквите – О писменехь, 2018, с. 155-163. ISSN 2367-7988")</f>
        <v>Съвременни измерения на европейското образователно и научно пространство : Сборник с доклади от XII, Международен пътуващ семинар на УниБИТ : Културни връзки между България и Суверенния Малтийски орден, България – Италия, 18-23 май 2018 г., T. 6. – София : За буквите – О писменехь, 2018, с. 155-163. ISSN 2367-7988</v>
      </c>
      <c r="F7398" s="10"/>
      <c r="G7398" s="10"/>
      <c r="H7398" s="10"/>
      <c r="I7398" s="10"/>
      <c r="J7398" s="10"/>
      <c r="K7398" s="10"/>
      <c r="L7398" s="10"/>
      <c r="M7398" s="10"/>
      <c r="N7398" s="10"/>
      <c r="O7398" s="10"/>
      <c r="P7398" s="10"/>
      <c r="Q7398" s="10"/>
      <c r="R7398" s="10"/>
      <c r="S7398" s="10"/>
      <c r="T7398" s="10"/>
      <c r="U7398" s="10"/>
      <c r="V7398" s="10"/>
      <c r="W7398" s="10"/>
      <c r="X7398" s="10"/>
      <c r="Y7398" s="10"/>
      <c r="Z7398" s="10"/>
    </row>
    <row r="7399" spans="1:26" ht="12.75">
      <c r="A7399" s="10" t="str">
        <f ca="1">IFERROR(__xludf.DUMMYFUNCTION("""COMPUTED_VALUE"""),"Събина Кирилова Ефтимова")</f>
        <v>Събина Кирилова Ефтимова</v>
      </c>
      <c r="B7399" s="10" t="str">
        <f ca="1">IFERROR(__xludf.DUMMYFUNCTION("""COMPUTED_VALUE"""),"Доклад от конференция")</f>
        <v>Доклад от конференция</v>
      </c>
      <c r="C7399" s="10" t="str">
        <f ca="1">IFERROR(__xludf.DUMMYFUNCTION("""COMPUTED_VALUE"""),"Педагогическата компетентност на библиотечно-информационните специалисти")</f>
        <v>Педагогическата компетентност на библиотечно-информационните специалисти</v>
      </c>
      <c r="D7399" s="10">
        <f ca="1">IFERROR(__xludf.DUMMYFUNCTION("""COMPUTED_VALUE"""),2018)</f>
        <v>2018</v>
      </c>
      <c r="E7399" s="10" t="str">
        <f ca="1">IFERROR(__xludf.DUMMYFUNCTION("""COMPUTED_VALUE"""),"Образование и технологии, 2018, № 9, с. 56-57. ISSN 1314–1791")</f>
        <v>Образование и технологии, 2018, № 9, с. 56-57. ISSN 1314–1791</v>
      </c>
      <c r="F7399" s="10" t="str">
        <f ca="1">IFERROR(__xludf.DUMMYFUNCTION("""COMPUTED_VALUE"""),"Crossref, Google Scholar")</f>
        <v>Crossref, Google Scholar</v>
      </c>
      <c r="G7399" s="10"/>
      <c r="H7399" s="10"/>
      <c r="I7399" s="10"/>
      <c r="J7399" s="10"/>
      <c r="K7399" s="10"/>
      <c r="L7399" s="10"/>
      <c r="M7399" s="10"/>
      <c r="N7399" s="10"/>
      <c r="O7399" s="10"/>
      <c r="P7399" s="10"/>
      <c r="Q7399" s="10"/>
      <c r="R7399" s="10"/>
      <c r="S7399" s="10"/>
      <c r="T7399" s="10"/>
      <c r="U7399" s="10"/>
      <c r="V7399" s="10"/>
      <c r="W7399" s="10"/>
      <c r="X7399" s="10"/>
      <c r="Y7399" s="10"/>
      <c r="Z7399" s="10"/>
    </row>
    <row r="7400" spans="1:26" ht="12.75">
      <c r="A7400" s="10" t="str">
        <f ca="1">IFERROR(__xludf.DUMMYFUNCTION("""COMPUTED_VALUE"""),"Събина Кирилова Ефтимова")</f>
        <v>Събина Кирилова Ефтимова</v>
      </c>
      <c r="B7400" s="10" t="str">
        <f ca="1">IFERROR(__xludf.DUMMYFUNCTION("""COMPUTED_VALUE"""),"Учебно пособие")</f>
        <v>Учебно пособие</v>
      </c>
      <c r="C7400" s="10" t="str">
        <f ca="1">IFERROR(__xludf.DUMMYFUNCTION("""COMPUTED_VALUE"""),"Българска литература за деца през втората половина на ХХ век : Част II")</f>
        <v>Българска литература за деца през втората половина на ХХ век : Част II</v>
      </c>
      <c r="D7400" s="10">
        <f ca="1">IFERROR(__xludf.DUMMYFUNCTION("""COMPUTED_VALUE"""),2018)</f>
        <v>2018</v>
      </c>
      <c r="E7400" s="10" t="str">
        <f ca="1">IFERROR(__xludf.DUMMYFUNCTION("""COMPUTED_VALUE"""),"София: За буквите – О писменехь, 2018. – 154 с. ISBN 978-619-185-340-3 ISBN 978-619-185-341-CD")</f>
        <v>София: За буквите – О писменехь, 2018. – 154 с. ISBN 978-619-185-340-3 ISBN 978-619-185-341-CD</v>
      </c>
      <c r="F7400" s="10"/>
      <c r="G7400" s="10" t="str">
        <f ca="1">IFERROR(__xludf.DUMMYFUNCTION("""COMPUTED_VALUE"""),"Мария Николова")</f>
        <v>Мария Николова</v>
      </c>
      <c r="H7400" s="10"/>
      <c r="I7400" s="10"/>
      <c r="J7400" s="10"/>
      <c r="K7400" s="10"/>
      <c r="L7400" s="10"/>
      <c r="M7400" s="10"/>
      <c r="N7400" s="10"/>
      <c r="O7400" s="10"/>
      <c r="P7400" s="10"/>
      <c r="Q7400" s="10"/>
      <c r="R7400" s="10"/>
      <c r="S7400" s="10"/>
      <c r="T7400" s="10"/>
      <c r="U7400" s="10"/>
      <c r="V7400" s="10"/>
      <c r="W7400" s="10"/>
      <c r="X7400" s="10"/>
      <c r="Y7400" s="10"/>
      <c r="Z7400" s="10"/>
    </row>
    <row r="7401" spans="1:26" ht="12.75">
      <c r="A7401" s="10" t="str">
        <f ca="1">IFERROR(__xludf.DUMMYFUNCTION("""COMPUTED_VALUE"""),"Събина Кирилова Ефтимова")</f>
        <v>Събина Кирилова Ефтимова</v>
      </c>
      <c r="B7401" s="10" t="str">
        <f ca="1">IFERROR(__xludf.DUMMYFUNCTION("""COMPUTED_VALUE"""),"Доклад от конференция")</f>
        <v>Доклад от конференция</v>
      </c>
      <c r="C7401" s="10" t="str">
        <f ca="1">IFERROR(__xludf.DUMMYFUNCTION("""COMPUTED_VALUE"""),"Management of Innovation Processes on the University Library")</f>
        <v>Management of Innovation Processes on the University Library</v>
      </c>
      <c r="D7401" s="10">
        <f ca="1">IFERROR(__xludf.DUMMYFUNCTION("""COMPUTED_VALUE"""),2018)</f>
        <v>2018</v>
      </c>
      <c r="E7401" s="10" t="str">
        <f ca="1">IFERROR(__xludf.DUMMYFUNCTION("""COMPUTED_VALUE"""),"10-th International Conference on Education and New Learning Technologies, Palma / Spain, 2-4 July, 2018, p. 5713-5717 ISBN 978-84-09-02709-5 / ISSN 2340-1117")</f>
        <v>10-th International Conference on Education and New Learning Technologies, Palma / Spain, 2-4 July, 2018, p. 5713-5717 ISBN 978-84-09-02709-5 / ISSN 2340-1117</v>
      </c>
      <c r="F7401" s="10" t="str">
        <f ca="1">IFERROR(__xludf.DUMMYFUNCTION("""COMPUTED_VALUE"""),"Web of Science")</f>
        <v>Web of Science</v>
      </c>
      <c r="G7401" s="10" t="str">
        <f ca="1">IFERROR(__xludf.DUMMYFUNCTION("""COMPUTED_VALUE"""),"Елена Савова")</f>
        <v>Елена Савова</v>
      </c>
      <c r="H7401" s="10"/>
      <c r="I7401" s="10"/>
      <c r="J7401" s="10"/>
      <c r="K7401" s="10"/>
      <c r="L7401" s="10"/>
      <c r="M7401" s="10"/>
      <c r="N7401" s="10"/>
      <c r="O7401" s="10"/>
      <c r="P7401" s="10"/>
      <c r="Q7401" s="10"/>
      <c r="R7401" s="10"/>
      <c r="S7401" s="10"/>
      <c r="T7401" s="10"/>
      <c r="U7401" s="10"/>
      <c r="V7401" s="10"/>
      <c r="W7401" s="10"/>
      <c r="X7401" s="10"/>
      <c r="Y7401" s="10"/>
      <c r="Z7401" s="10"/>
    </row>
    <row r="7402" spans="1:26" ht="12.75">
      <c r="A7402" s="10" t="str">
        <f ca="1">IFERROR(__xludf.DUMMYFUNCTION("""COMPUTED_VALUE"""),"Събина Кирилова Ефтимова")</f>
        <v>Събина Кирилова Ефтимова</v>
      </c>
      <c r="B7402" s="10" t="str">
        <f ca="1">IFERROR(__xludf.DUMMYFUNCTION("""COMPUTED_VALUE"""),"Доклад от конференция")</f>
        <v>Доклад от конференция</v>
      </c>
      <c r="C7402" s="10" t="str">
        <f ca="1">IFERROR(__xludf.DUMMYFUNCTION("""COMPUTED_VALUE"""),"Библиотерапията в България")</f>
        <v>Библиотерапията в България</v>
      </c>
      <c r="D7402" s="10">
        <f ca="1">IFERROR(__xludf.DUMMYFUNCTION("""COMPUTED_VALUE"""),2018)</f>
        <v>2018</v>
      </c>
      <c r="E7402" s="10" t="str">
        <f ca="1">IFERROR(__xludf.DUMMYFUNCTION("""COMPUTED_VALUE"""),"Психология : Теория и практика, Год. 10 (43), 2018, № 4, с. 39-48. ISSN 1314-006X")</f>
        <v>Психология : Теория и практика, Год. 10 (43), 2018, № 4, с. 39-48. ISSN 1314-006X</v>
      </c>
      <c r="F740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02" s="10"/>
      <c r="H7402" s="10"/>
      <c r="I7402" s="10"/>
      <c r="J7402" s="10"/>
      <c r="K7402" s="10"/>
      <c r="L7402" s="10"/>
      <c r="M7402" s="10"/>
      <c r="N7402" s="10"/>
      <c r="O7402" s="10"/>
      <c r="P7402" s="10"/>
      <c r="Q7402" s="10"/>
      <c r="R7402" s="10"/>
      <c r="S7402" s="10"/>
      <c r="T7402" s="10"/>
      <c r="U7402" s="10"/>
      <c r="V7402" s="10"/>
      <c r="W7402" s="10"/>
      <c r="X7402" s="10"/>
      <c r="Y7402" s="10"/>
      <c r="Z7402" s="10"/>
    </row>
    <row r="7403" spans="1:26" ht="12.75">
      <c r="A7403" s="10" t="str">
        <f ca="1">IFERROR(__xludf.DUMMYFUNCTION("""COMPUTED_VALUE"""),"Събина Кирилова Ефтимова")</f>
        <v>Събина Кирилова Ефтимова</v>
      </c>
      <c r="B7403" s="10" t="str">
        <f ca="1">IFERROR(__xludf.DUMMYFUNCTION("""COMPUTED_VALUE"""),"Доклад от конференция")</f>
        <v>Доклад от конференция</v>
      </c>
      <c r="C7403" s="10" t="str">
        <f ca="1">IFERROR(__xludf.DUMMYFUNCTION("""COMPUTED_VALUE"""),"Академичната висота на доц. д-р Мария Аргирова-Герасимова")</f>
        <v>Академичната висота на доц. д-р Мария Аргирова-Герасимова</v>
      </c>
      <c r="D7403" s="10">
        <f ca="1">IFERROR(__xludf.DUMMYFUNCTION("""COMPUTED_VALUE"""),2018)</f>
        <v>2018</v>
      </c>
      <c r="E7403" s="10" t="str">
        <f ca="1">IFERROR(__xludf.DUMMYFUNCTION("""COMPUTED_VALUE"""),"Библиотечният и информационен мениджмънт :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УниБИТ, 4 декемвреи 2018, УниБИТ, София. – София"&amp;" : За буквите – О Писменехь, 2018, с.79-96. ISBN 978-619-185-347-2")</f>
        <v>Библиотечният и информационен мениджмънт :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УниБИТ, 4 декемвреи 2018, УниБИТ, София. – София : За буквите – О Писменехь, 2018, с.79-96. ISBN 978-619-185-347-2</v>
      </c>
      <c r="F740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03" s="10"/>
      <c r="H7403" s="10"/>
      <c r="I7403" s="10"/>
      <c r="J7403" s="10"/>
      <c r="K7403" s="10"/>
      <c r="L7403" s="10"/>
      <c r="M7403" s="10"/>
      <c r="N7403" s="10"/>
      <c r="O7403" s="10"/>
      <c r="P7403" s="10"/>
      <c r="Q7403" s="10"/>
      <c r="R7403" s="10"/>
      <c r="S7403" s="10"/>
      <c r="T7403" s="10"/>
      <c r="U7403" s="10"/>
      <c r="V7403" s="10"/>
      <c r="W7403" s="10"/>
      <c r="X7403" s="10"/>
      <c r="Y7403" s="10"/>
      <c r="Z7403" s="10"/>
    </row>
    <row r="7404" spans="1:26" ht="12.75">
      <c r="A7404" s="10" t="str">
        <f ca="1">IFERROR(__xludf.DUMMYFUNCTION("""COMPUTED_VALUE"""),"Събина Кирилова Ефтимова")</f>
        <v>Събина Кирилова Ефтимова</v>
      </c>
      <c r="B7404" s="10" t="str">
        <f ca="1">IFERROR(__xludf.DUMMYFUNCTION("""COMPUTED_VALUE"""),"Статия в списания и поредици")</f>
        <v>Статия в списания и поредици</v>
      </c>
      <c r="C7404" s="10" t="str">
        <f ca="1">IFERROR(__xludf.DUMMYFUNCTION("""COMPUTED_VALUE"""),"Проектът „Студентски практики” – фаза 1 – възможност за възраждане на една училищна библиотека")</f>
        <v>Проектът „Студентски практики” – фаза 1 – възможност за възраждане на една училищна библиотека</v>
      </c>
      <c r="D7404" s="10">
        <f ca="1">IFERROR(__xludf.DUMMYFUNCTION("""COMPUTED_VALUE"""),2018)</f>
        <v>2018</v>
      </c>
      <c r="E7404" s="10" t="str">
        <f ca="1">IFERROR(__xludf.DUMMYFUNCTION("""COMPUTED_VALUE"""),"Библиотека, № 5, 2018, с. 37-42. ISSN 0861-847X")</f>
        <v>Библиотека, № 5, 2018, с. 37-42. ISSN 0861-847X</v>
      </c>
      <c r="F7404" s="10" t="str">
        <f ca="1">IFERROR(__xludf.DUMMYFUNCTION("""COMPUTED_VALUE"""),"Национален референтен списък на НАЦИД")</f>
        <v>Национален референтен списък на НАЦИД</v>
      </c>
      <c r="G7404" s="10" t="str">
        <f ca="1">IFERROR(__xludf.DUMMYFUNCTION("""COMPUTED_VALUE"""),"Ивелина Дамянова")</f>
        <v>Ивелина Дамянова</v>
      </c>
      <c r="H7404" s="10"/>
      <c r="I7404" s="10"/>
      <c r="J7404" s="10"/>
      <c r="K7404" s="10"/>
      <c r="L7404" s="10"/>
      <c r="M7404" s="10"/>
      <c r="N7404" s="10"/>
      <c r="O7404" s="10"/>
      <c r="P7404" s="10"/>
      <c r="Q7404" s="10"/>
      <c r="R7404" s="10"/>
      <c r="S7404" s="10"/>
      <c r="T7404" s="10"/>
      <c r="U7404" s="10"/>
      <c r="V7404" s="10"/>
      <c r="W7404" s="10"/>
      <c r="X7404" s="10"/>
      <c r="Y7404" s="10"/>
      <c r="Z7404" s="10"/>
    </row>
    <row r="7405" spans="1:26" ht="12.75">
      <c r="A7405" s="10" t="str">
        <f ca="1">IFERROR(__xludf.DUMMYFUNCTION("""COMPUTED_VALUE"""),"Събина Кирилова Ефтимова")</f>
        <v>Събина Кирилова Ефтимова</v>
      </c>
      <c r="B7405" s="10" t="str">
        <f ca="1">IFERROR(__xludf.DUMMYFUNCTION("""COMPUTED_VALUE"""),"Статия в списания и поредици")</f>
        <v>Статия в списания и поредици</v>
      </c>
      <c r="C7405" s="10" t="str">
        <f ca="1">IFERROR(__xludf.DUMMYFUNCTION("""COMPUTED_VALUE"""),"The Place of the Library in the Inclusive Education in Bulgaria")</f>
        <v>The Place of the Library in the Inclusive Education in Bulgaria</v>
      </c>
      <c r="D7405" s="10">
        <f ca="1">IFERROR(__xludf.DUMMYFUNCTION("""COMPUTED_VALUE"""),2018)</f>
        <v>2018</v>
      </c>
      <c r="E7405" s="10" t="str">
        <f ca="1">IFERROR(__xludf.DUMMYFUNCTION("""COMPUTED_VALUE"""),"ICERI2018 Proceedings : 11th annual International Conference of Education, Research and Innovation : Meeting the Challenges of 21st Century Learning, 12-14 November, 2018, Seville, Spain, / Ed. by L. Gómez Chova, A. López Martínez, I. Candel Torresp. – Se"&amp;"ville : IATED Academy, 2018, p. 2234-2239. ISSN: 2340-1095")</f>
        <v>ICERI2018 Proceedings : 11th annual International Conference of Education, Research and Innovation : Meeting the Challenges of 21st Century Learning, 12-14 November, 2018, Seville, Spain, / Ed. by L. Gómez Chova, A. López Martínez, I. Candel Torresp. – Seville : IATED Academy, 2018, p. 2234-2239. ISSN: 2340-1095</v>
      </c>
      <c r="F7405" s="10" t="str">
        <f ca="1">IFERROR(__xludf.DUMMYFUNCTION("""COMPUTED_VALUE"""),"ISI Conference Proceedings Citation Index (Web of Science) Crossref")</f>
        <v>ISI Conference Proceedings Citation Index (Web of Science) Crossref</v>
      </c>
      <c r="G7405" s="10"/>
      <c r="H7405" s="10"/>
      <c r="I7405" s="10"/>
      <c r="J7405" s="10"/>
      <c r="K7405" s="10"/>
      <c r="L7405" s="10"/>
      <c r="M7405" s="10"/>
      <c r="N7405" s="10"/>
      <c r="O7405" s="10"/>
      <c r="P7405" s="10"/>
      <c r="Q7405" s="10"/>
      <c r="R7405" s="10"/>
      <c r="S7405" s="10"/>
      <c r="T7405" s="10"/>
      <c r="U7405" s="10"/>
      <c r="V7405" s="10"/>
      <c r="W7405" s="10"/>
      <c r="X7405" s="10"/>
      <c r="Y7405" s="10"/>
      <c r="Z7405" s="10"/>
    </row>
    <row r="7406" spans="1:26" ht="12.75">
      <c r="A7406" s="10" t="str">
        <f ca="1">IFERROR(__xludf.DUMMYFUNCTION("""COMPUTED_VALUE"""),"Събина Кирилова Ефтимова")</f>
        <v>Събина Кирилова Ефтимова</v>
      </c>
      <c r="B7406" s="10" t="str">
        <f ca="1">IFERROR(__xludf.DUMMYFUNCTION("""COMPUTED_VALUE"""),"Доклад от конференция")</f>
        <v>Доклад от конференция</v>
      </c>
      <c r="C7406" s="10" t="str">
        <f ca="1">IFERROR(__xludf.DUMMYFUNCTION("""COMPUTED_VALUE"""),"Чудатостите на чудомировите таланти")</f>
        <v>Чудатостите на чудомировите таланти</v>
      </c>
      <c r="D7406" s="10">
        <f ca="1">IFERROR(__xludf.DUMMYFUNCTION("""COMPUTED_VALUE"""),2018)</f>
        <v>2018</v>
      </c>
      <c r="E7406" s="10" t="str">
        <f ca="1">IFERROR(__xludf.DUMMYFUNCTION("""COMPUTED_VALUE"""),"Научна конференция „Чудомир: с перо и художническа четка в ръка или отново за границите между живописта и поезията“, Казанлък, 30.03.2018, с. 97-109. ISBN 978-619-168-224-9")</f>
        <v>Научна конференция „Чудомир: с перо и художническа четка в ръка или отново за границите между живописта и поезията“, Казанлък, 30.03.2018, с. 97-109. ISBN 978-619-168-224-9</v>
      </c>
      <c r="F7406" s="10"/>
      <c r="G7406" s="10" t="str">
        <f ca="1">IFERROR(__xludf.DUMMYFUNCTION("""COMPUTED_VALUE"""),"Калина Минчева")</f>
        <v>Калина Минчева</v>
      </c>
      <c r="H7406" s="10"/>
      <c r="I7406" s="10"/>
      <c r="J7406" s="10"/>
      <c r="K7406" s="10"/>
      <c r="L7406" s="10"/>
      <c r="M7406" s="10"/>
      <c r="N7406" s="10"/>
      <c r="O7406" s="10"/>
      <c r="P7406" s="10"/>
      <c r="Q7406" s="10"/>
      <c r="R7406" s="10"/>
      <c r="S7406" s="10"/>
      <c r="T7406" s="10"/>
      <c r="U7406" s="10"/>
      <c r="V7406" s="10"/>
      <c r="W7406" s="10"/>
      <c r="X7406" s="10"/>
      <c r="Y7406" s="10"/>
      <c r="Z7406" s="10"/>
    </row>
    <row r="7407" spans="1:26" ht="12.75">
      <c r="A7407" s="10" t="str">
        <f ca="1">IFERROR(__xludf.DUMMYFUNCTION("""COMPUTED_VALUE"""),"Събина Кирилова Ефтимова")</f>
        <v>Събина Кирилова Ефтимова</v>
      </c>
      <c r="B7407" s="10" t="str">
        <f ca="1">IFERROR(__xludf.DUMMYFUNCTION("""COMPUTED_VALUE"""),"Доклад от конференция")</f>
        <v>Доклад от конференция</v>
      </c>
      <c r="C7407" s="10" t="str">
        <f ca="1">IFERROR(__xludf.DUMMYFUNCTION("""COMPUTED_VALUE"""),"„Сладкият мехлем“ за раната на читателя в творчеството на Чудомир (Част втора)")</f>
        <v>„Сладкият мехлем“ за раната на читателя в творчеството на Чудомир (Част втора)</v>
      </c>
      <c r="D7407" s="10">
        <f ca="1">IFERROR(__xludf.DUMMYFUNCTION("""COMPUTED_VALUE"""),2018)</f>
        <v>2018</v>
      </c>
      <c r="E7407" s="10" t="str">
        <f ca="1">IFERROR(__xludf.DUMMYFUNCTION("""COMPUTED_VALUE"""),"Съвременни измерения на европейското образователно и научно пространство: Сборник с доклади от Единадесети международен пътуващ семинар на УниБИТ, България – Гърция, 29 май – 05 юни, 2017. София: За буквите – О писменехь, 2017, с. 231-235.ISSN 1312-5834")</f>
        <v>Съвременни измерения на европейското образователно и научно пространство: Сборник с доклади от Единадесети международен пътуващ семинар на УниБИТ, България – Гърция, 29 май – 05 юни, 2017. София: За буквите – О писменехь, 2017, с. 231-235.ISSN 1312-5834</v>
      </c>
      <c r="F7407" s="10"/>
      <c r="G7407" s="10" t="str">
        <f ca="1">IFERROR(__xludf.DUMMYFUNCTION("""COMPUTED_VALUE"""),"Калина Минчева")</f>
        <v>Калина Минчева</v>
      </c>
      <c r="H7407" s="10"/>
      <c r="I7407" s="10"/>
      <c r="J7407" s="10"/>
      <c r="K7407" s="10"/>
      <c r="L7407" s="10"/>
      <c r="M7407" s="10"/>
      <c r="N7407" s="10"/>
      <c r="O7407" s="10"/>
      <c r="P7407" s="10"/>
      <c r="Q7407" s="10"/>
      <c r="R7407" s="10"/>
      <c r="S7407" s="10"/>
      <c r="T7407" s="10"/>
      <c r="U7407" s="10"/>
      <c r="V7407" s="10"/>
      <c r="W7407" s="10"/>
      <c r="X7407" s="10"/>
      <c r="Y7407" s="10"/>
      <c r="Z7407" s="10"/>
    </row>
    <row r="7408" spans="1:26" ht="12.75">
      <c r="A7408" s="10" t="str">
        <f ca="1">IFERROR(__xludf.DUMMYFUNCTION("""COMPUTED_VALUE"""),"Събина Кирилова Ефтимова")</f>
        <v>Събина Кирилова Ефтимова</v>
      </c>
      <c r="B7408" s="10" t="str">
        <f ca="1">IFERROR(__xludf.DUMMYFUNCTION("""COMPUTED_VALUE"""),"Доклад от конференция")</f>
        <v>Доклад от конференция</v>
      </c>
      <c r="C7408" s="10" t="str">
        <f ca="1">IFERROR(__xludf.DUMMYFUNCTION("""COMPUTED_VALUE"""),"Съвременни виждания за ролята на университетската библиотека")</f>
        <v>Съвременни виждания за ролята на университетската библиотека</v>
      </c>
      <c r="D7408" s="10">
        <f ca="1">IFERROR(__xludf.DUMMYFUNCTION("""COMPUTED_VALUE"""),2018)</f>
        <v>2018</v>
      </c>
      <c r="E7408" s="10" t="str">
        <f ca="1">IFERROR(__xludf.DUMMYFUNCTION("""COMPUTED_VALUE"""),"Шестнадесета национална научна конференция с международно участие: Обществото на знанието и хуманизмът на ХХІ век, София, 1 ноември 2017 г. София: За буквите – О Писменехь, 2018, с.207-215 ISSN 1314-7099")</f>
        <v>Шестнадесета национална научна конференция с международно участие: Обществото на знанието и хуманизмът на ХХІ век, София, 1 ноември 2017 г. София: За буквите – О Писменехь, 2018, с.207-215 ISSN 1314-7099</v>
      </c>
      <c r="F7408" s="10"/>
      <c r="G7408" s="10" t="str">
        <f ca="1">IFERROR(__xludf.DUMMYFUNCTION("""COMPUTED_VALUE"""),"Елена Савова")</f>
        <v>Елена Савова</v>
      </c>
      <c r="H7408" s="10"/>
      <c r="I7408" s="10"/>
      <c r="J7408" s="10"/>
      <c r="K7408" s="10"/>
      <c r="L7408" s="10"/>
      <c r="M7408" s="10"/>
      <c r="N7408" s="10"/>
      <c r="O7408" s="10"/>
      <c r="P7408" s="10"/>
      <c r="Q7408" s="10"/>
      <c r="R7408" s="10"/>
      <c r="S7408" s="10"/>
      <c r="T7408" s="10"/>
      <c r="U7408" s="10"/>
      <c r="V7408" s="10"/>
      <c r="W7408" s="10"/>
      <c r="X7408" s="10"/>
      <c r="Y7408" s="10"/>
      <c r="Z7408" s="10"/>
    </row>
    <row r="7409" spans="1:26" ht="12.75">
      <c r="A7409" s="10" t="str">
        <f ca="1">IFERROR(__xludf.DUMMYFUNCTION("""COMPUTED_VALUE"""),"Събина Кирилова Ефтимова")</f>
        <v>Събина Кирилова Ефтимова</v>
      </c>
      <c r="B7409" s="10" t="str">
        <f ca="1">IFERROR(__xludf.DUMMYFUNCTION("""COMPUTED_VALUE"""),"Книга")</f>
        <v>Книга</v>
      </c>
      <c r="C7409" s="10" t="str">
        <f ca="1">IFERROR(__xludf.DUMMYFUNCTION("""COMPUTED_VALUE"""),"Лидерство в библиотечния мениджмънт")</f>
        <v>Лидерство в библиотечния мениджмънт</v>
      </c>
      <c r="D7409" s="10">
        <f ca="1">IFERROR(__xludf.DUMMYFUNCTION("""COMPUTED_VALUE"""),2018)</f>
        <v>2018</v>
      </c>
      <c r="E7409" s="10" t="str">
        <f ca="1">IFERROR(__xludf.DUMMYFUNCTION("""COMPUTED_VALUE"""),"Научна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2"&amp;"018, 336 с. ISBN 978-619-185-346-5")</f>
        <v>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2018, 336 с. ISBN 978-619-185-346-5</v>
      </c>
      <c r="F7409" s="10" t="str">
        <f ca="1">IFERROR(__xludf.DUMMYFUNCTION("""COMPUTED_VALUE"""),"Google Scholar")</f>
        <v>Google Scholar</v>
      </c>
      <c r="G7409" s="10" t="str">
        <f ca="1">IFERROR(__xludf.DUMMYFUNCTION("""COMPUTED_VALUE"""),"Иванка Янкова, Таня Тодорова, Мариела Модева, Искра Арсенова, Добринка Стойкова, Румелина Василева, Тереза Тренчева, Любомира Парижкова, Силвия Станчева, Елена Савова, Елисавета Цветкова, Камелия Планска-Симеонова")</f>
        <v>Иванка Янкова, Таня Тодорова, Мариела Модева, Искра Арсенова, Добринка Стойкова, Румелина Василева, Тереза Тренчева, Любомира Парижкова, Силвия Станчева, Елена Савова, Елисавета Цветкова, Камелия Планска-Симеонова</v>
      </c>
      <c r="H7409" s="10"/>
      <c r="I7409" s="10"/>
      <c r="J7409" s="10"/>
      <c r="K7409" s="10"/>
      <c r="L7409" s="10"/>
      <c r="M7409" s="10"/>
      <c r="N7409" s="10"/>
      <c r="O7409" s="10"/>
      <c r="P7409" s="10"/>
      <c r="Q7409" s="10"/>
      <c r="R7409" s="10"/>
      <c r="S7409" s="10"/>
      <c r="T7409" s="10"/>
      <c r="U7409" s="10"/>
      <c r="V7409" s="10"/>
      <c r="W7409" s="10"/>
      <c r="X7409" s="10"/>
      <c r="Y7409" s="10"/>
      <c r="Z7409" s="10"/>
    </row>
    <row r="7410" spans="1:26" ht="12.75">
      <c r="A7410" s="10" t="str">
        <f ca="1">IFERROR(__xludf.DUMMYFUNCTION("""COMPUTED_VALUE"""),"Събина Кирилова Ефтимова")</f>
        <v>Събина Кирилова Ефтимова</v>
      </c>
      <c r="B7410" s="10" t="str">
        <f ca="1">IFERROR(__xludf.DUMMYFUNCTION("""COMPUTED_VALUE"""),"Доклад от конференция")</f>
        <v>Доклад от конференция</v>
      </c>
      <c r="C7410" s="10" t="str">
        <f ca="1">IFERROR(__xludf.DUMMYFUNCTION("""COMPUTED_VALUE"""),"Библиотеките – жизненоважни институции в дигиталната ера")</f>
        <v>Библиотеките – жизненоважни институции в дигиталната ера</v>
      </c>
      <c r="D7410" s="10">
        <f ca="1">IFERROR(__xludf.DUMMYFUNCTION("""COMPUTED_VALUE"""),2018)</f>
        <v>2018</v>
      </c>
      <c r="E7410" s="10" t="str">
        <f ca="1">IFERROR(__xludf.DUMMYFUNCTION("""COMPUTED_VALUE"""),"Национална конференция „Европейски хоризонти: Библиотеките – между буквата и бинарния код” Под патронажа на г-н Емил Радев, евродепутат и посланик на библиотеките в Европейския парламент 8 - 9 октомври 2018 г., Силистра. – Силистра, 2018, с. 209-218. ISBN"&amp;" 978-619-7400-36-6")</f>
        <v>Национална конференция „Европейски хоризонти: Библиотеките – между буквата и бинарния код” Под патронажа на г-н Емил Радев, евродепутат и посланик на библиотеките в Европейския парламент 8 - 9 октомври 2018 г., Силистра. – Силистра, 2018, с. 209-218. ISBN 978-619-7400-36-6</v>
      </c>
      <c r="F7410" s="10"/>
      <c r="G7410" s="10"/>
      <c r="H7410" s="10"/>
      <c r="I7410" s="10"/>
      <c r="J7410" s="10"/>
      <c r="K7410" s="10"/>
      <c r="L7410" s="10"/>
      <c r="M7410" s="10"/>
      <c r="N7410" s="10"/>
      <c r="O7410" s="10"/>
      <c r="P7410" s="10"/>
      <c r="Q7410" s="10"/>
      <c r="R7410" s="10"/>
      <c r="S7410" s="10"/>
      <c r="T7410" s="10"/>
      <c r="U7410" s="10"/>
      <c r="V7410" s="10"/>
      <c r="W7410" s="10"/>
      <c r="X7410" s="10"/>
      <c r="Y7410" s="10"/>
      <c r="Z7410" s="10"/>
    </row>
    <row r="7411" spans="1:26" ht="12.75">
      <c r="A7411" s="10" t="str">
        <f ca="1">IFERROR(__xludf.DUMMYFUNCTION("""COMPUTED_VALUE"""),"Събина Кирилова Ефтимова")</f>
        <v>Събина Кирилова Ефтимова</v>
      </c>
      <c r="B7411" s="10" t="str">
        <f ca="1">IFERROR(__xludf.DUMMYFUNCTION("""COMPUTED_VALUE"""),"Доклад от конференция")</f>
        <v>Доклад от конференция</v>
      </c>
      <c r="C7411" s="10" t="str">
        <f ca="1">IFERROR(__xludf.DUMMYFUNCTION("""COMPUTED_VALUE"""),"Дисциплината „Библиотерапия” в обучението на студентите в ОКС „Магистър”, специалност „Библиотечно-информационен и културен мениджмънт”")</f>
        <v>Дисциплината „Библиотерапия” в обучението на студентите в ОКС „Магистър”, специалност „Библиотечно-информационен и културен мениджмънт”</v>
      </c>
      <c r="D7411" s="10">
        <f ca="1">IFERROR(__xludf.DUMMYFUNCTION("""COMPUTED_VALUE"""),2018)</f>
        <v>2018</v>
      </c>
      <c r="E7411" s="10" t="str">
        <f ca="1">IFERROR(__xludf.DUMMYFUNCTION("""COMPUTED_VALUE"""),"Библиотечният и информационен мениджмънт :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УниБИТ, 4 декемвреи 2018, УниБИТ, София. – София"&amp;" : За буквите – О Писменехь, 2018, с.271-277. ISBN 978-619-185-347-2")</f>
        <v>Библиотечният и информационен мениджмънт :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УниБИТ, 4 декемвреи 2018, УниБИТ, София. – София : За буквите – О Писменехь, 2018, с.271-277. ISBN 978-619-185-347-2</v>
      </c>
      <c r="F741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11" s="10"/>
      <c r="H7411" s="10"/>
      <c r="I7411" s="10"/>
      <c r="J7411" s="10"/>
      <c r="K7411" s="10"/>
      <c r="L7411" s="10"/>
      <c r="M7411" s="10"/>
      <c r="N7411" s="10"/>
      <c r="O7411" s="10"/>
      <c r="P7411" s="10"/>
      <c r="Q7411" s="10"/>
      <c r="R7411" s="10"/>
      <c r="S7411" s="10"/>
      <c r="T7411" s="10"/>
      <c r="U7411" s="10"/>
      <c r="V7411" s="10"/>
      <c r="W7411" s="10"/>
      <c r="X7411" s="10"/>
      <c r="Y7411" s="10"/>
      <c r="Z7411" s="10"/>
    </row>
    <row r="7412" spans="1:26" ht="12.75">
      <c r="A7412" s="10" t="str">
        <f ca="1">IFERROR(__xludf.DUMMYFUNCTION("""COMPUTED_VALUE"""),"Събина Кирилова Ефтимова")</f>
        <v>Събина Кирилова Ефтимова</v>
      </c>
      <c r="B7412" s="10" t="str">
        <f ca="1">IFERROR(__xludf.DUMMYFUNCTION("""COMPUTED_VALUE"""),"Доклад от конференция")</f>
        <v>Доклад от конференция</v>
      </c>
      <c r="C7412" s="10" t="str">
        <f ca="1">IFERROR(__xludf.DUMMYFUNCTION("""COMPUTED_VALUE"""),"Училищните библиотеки – партньор в приобщаващото образование")</f>
        <v>Училищните библиотеки – партньор в приобщаващото образование</v>
      </c>
      <c r="D7412" s="10">
        <f ca="1">IFERROR(__xludf.DUMMYFUNCTION("""COMPUTED_VALUE"""),2018)</f>
        <v>2018</v>
      </c>
      <c r="E7412" s="10" t="str">
        <f ca="1">IFERROR(__xludf.DUMMYFUNCTION("""COMPUTED_VALUE"""),"Хармония в различията : Сборник с доклади от Научната конференция „Хармония в различията”, София, 10.12.2018. – София : За буквите – О писменехь, 2018, с. 513-523. ISBN 978-619-185-151-5")</f>
        <v>Хармония в различията : Сборник с доклади от Научната конференция „Хармония в различията”, София, 10.12.2018. – София : За буквите – О писменехь, 2018, с. 513-523. ISBN 978-619-185-151-5</v>
      </c>
      <c r="F7412" s="10" t="str">
        <f ca="1">IFERROR(__xludf.DUMMYFUNCTION("""COMPUTED_VALUE"""),"Национален референтен списък на НАЦИД")</f>
        <v>Национален референтен списък на НАЦИД</v>
      </c>
      <c r="G7412" s="10"/>
      <c r="H7412" s="10"/>
      <c r="I7412" s="10"/>
      <c r="J7412" s="10"/>
      <c r="K7412" s="10"/>
      <c r="L7412" s="10"/>
      <c r="M7412" s="10"/>
      <c r="N7412" s="10"/>
      <c r="O7412" s="10"/>
      <c r="P7412" s="10"/>
      <c r="Q7412" s="10"/>
      <c r="R7412" s="10"/>
      <c r="S7412" s="10"/>
      <c r="T7412" s="10"/>
      <c r="U7412" s="10"/>
      <c r="V7412" s="10"/>
      <c r="W7412" s="10"/>
      <c r="X7412" s="10"/>
      <c r="Y7412" s="10"/>
      <c r="Z7412" s="10"/>
    </row>
    <row r="7413" spans="1:26" ht="12.75">
      <c r="A7413" s="10" t="str">
        <f ca="1">IFERROR(__xludf.DUMMYFUNCTION("""COMPUTED_VALUE"""),"Събина Кирилова Ефтимова")</f>
        <v>Събина Кирилова Ефтимова</v>
      </c>
      <c r="B7413" s="10" t="str">
        <f ca="1">IFERROR(__xludf.DUMMYFUNCTION("""COMPUTED_VALUE"""),"Статия в списания и поредици")</f>
        <v>Статия в списания и поредици</v>
      </c>
      <c r="C7413" s="10" t="str">
        <f ca="1">IFERROR(__xludf.DUMMYFUNCTION("""COMPUTED_VALUE"""),"Интердисциплинарен подход за опазване на библиотечния фонд")</f>
        <v>Интердисциплинарен подход за опазване на библиотечния фонд</v>
      </c>
      <c r="D7413" s="10">
        <f ca="1">IFERROR(__xludf.DUMMYFUNCTION("""COMPUTED_VALUE"""),2017)</f>
        <v>2017</v>
      </c>
      <c r="E7413" s="10" t="str">
        <f ca="1">IFERROR(__xludf.DUMMYFUNCTION("""COMPUTED_VALUE"""),"Трудове на университета по библиотекознание и информационни технологии. София: За буквите – О писменехь, 2017, № 14, ISSN 1312-5834")</f>
        <v>Трудове на университета по библиотекознание и информационни технологии. София: За буквите – О писменехь, 2017, № 14, ISSN 1312-5834</v>
      </c>
      <c r="F7413" s="10"/>
      <c r="G7413" s="10"/>
      <c r="H7413" s="10"/>
      <c r="I7413" s="10"/>
      <c r="J7413" s="10"/>
      <c r="K7413" s="10"/>
      <c r="L7413" s="10"/>
      <c r="M7413" s="10"/>
      <c r="N7413" s="10"/>
      <c r="O7413" s="10"/>
      <c r="P7413" s="10"/>
      <c r="Q7413" s="10"/>
      <c r="R7413" s="10"/>
      <c r="S7413" s="10"/>
      <c r="T7413" s="10"/>
      <c r="U7413" s="10"/>
      <c r="V7413" s="10"/>
      <c r="W7413" s="10"/>
      <c r="X7413" s="10"/>
      <c r="Y7413" s="10"/>
      <c r="Z7413" s="10"/>
    </row>
    <row r="7414" spans="1:26" ht="12.75">
      <c r="A7414" s="10" t="str">
        <f ca="1">IFERROR(__xludf.DUMMYFUNCTION("""COMPUTED_VALUE"""),"Събина Кирилова Ефтимова")</f>
        <v>Събина Кирилова Ефтимова</v>
      </c>
      <c r="B7414" s="10" t="str">
        <f ca="1">IFERROR(__xludf.DUMMYFUNCTION("""COMPUTED_VALUE"""),"Доклад от конференция")</f>
        <v>Доклад от конференция</v>
      </c>
      <c r="C7414" s="10" t="str">
        <f ca="1">IFERROR(__xludf.DUMMYFUNCTION("""COMPUTED_VALUE"""),"Аспекти от дейността на съвременната университетска библиотека")</f>
        <v>Аспекти от дейността на съвременната университетска библиотека</v>
      </c>
      <c r="D7414" s="10">
        <f ca="1">IFERROR(__xludf.DUMMYFUNCTION("""COMPUTED_VALUE"""),2017)</f>
        <v>2017</v>
      </c>
      <c r="E7414"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97-104. ISSN 2535-0250")</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97-104. ISSN 2535-0250</v>
      </c>
      <c r="F741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14" s="10" t="str">
        <f ca="1">IFERROR(__xludf.DUMMYFUNCTION("""COMPUTED_VALUE"""),"Траяна Велкова")</f>
        <v>Траяна Велкова</v>
      </c>
      <c r="H7414" s="10"/>
      <c r="I7414" s="10"/>
      <c r="J7414" s="10"/>
      <c r="K7414" s="10"/>
      <c r="L7414" s="10"/>
      <c r="M7414" s="10"/>
      <c r="N7414" s="10"/>
      <c r="O7414" s="10"/>
      <c r="P7414" s="10"/>
      <c r="Q7414" s="10"/>
      <c r="R7414" s="10"/>
      <c r="S7414" s="10"/>
      <c r="T7414" s="10"/>
      <c r="U7414" s="10"/>
      <c r="V7414" s="10"/>
      <c r="W7414" s="10"/>
      <c r="X7414" s="10"/>
      <c r="Y7414" s="10"/>
      <c r="Z7414" s="10"/>
    </row>
    <row r="7415" spans="1:26" ht="12.75">
      <c r="A7415" s="10" t="str">
        <f ca="1">IFERROR(__xludf.DUMMYFUNCTION("""COMPUTED_VALUE"""),"Събина Кирилова Ефтимова")</f>
        <v>Събина Кирилова Ефтимова</v>
      </c>
      <c r="B7415" s="10" t="str">
        <f ca="1">IFERROR(__xludf.DUMMYFUNCTION("""COMPUTED_VALUE"""),"Доклад от конференция")</f>
        <v>Доклад от конференция</v>
      </c>
      <c r="C7415" s="10" t="str">
        <f ca="1">IFERROR(__xludf.DUMMYFUNCTION("""COMPUTED_VALUE"""),"„Сладкият мехлем“ за раната на читателя в творчеството на Чудомир : Първа част /")</f>
        <v>„Сладкият мехлем“ за раната на читателя в творчеството на Чудомир : Първа част /</v>
      </c>
      <c r="D7415" s="10">
        <f ca="1">IFERROR(__xludf.DUMMYFUNCTION("""COMPUTED_VALUE"""),2017)</f>
        <v>2017</v>
      </c>
      <c r="E7415" s="10" t="str">
        <f ca="1">IFERROR(__xludf.DUMMYFUNCTION("""COMPUTED_VALUE"""),"Съвременни измерения на европейското образователно и научно пространство : Сборник с доклади от XI, Международен пътуващ семинар на УниБИТ, България – Гърция, 29 май – 5 юни 2017 г., T. 5. – София : За буквите – О писменехь, 2017, с. 231-235. ISSN 2367-79"&amp;"88")</f>
        <v>Съвременни измерения на европейското образователно и научно пространство : Сборник с доклади от XI, Международен пътуващ семинар на УниБИТ, България – Гърция, 29 май – 5 юни 2017 г., T. 5. – София : За буквите – О писменехь, 2017, с. 231-235. ISSN 2367-7988</v>
      </c>
      <c r="F741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15" s="10" t="str">
        <f ca="1">IFERROR(__xludf.DUMMYFUNCTION("""COMPUTED_VALUE"""),"Калина Минчева")</f>
        <v>Калина Минчева</v>
      </c>
      <c r="H7415" s="10"/>
      <c r="I7415" s="10"/>
      <c r="J7415" s="10"/>
      <c r="K7415" s="10"/>
      <c r="L7415" s="10"/>
      <c r="M7415" s="10"/>
      <c r="N7415" s="10"/>
      <c r="O7415" s="10"/>
      <c r="P7415" s="10"/>
      <c r="Q7415" s="10"/>
      <c r="R7415" s="10"/>
      <c r="S7415" s="10"/>
      <c r="T7415" s="10"/>
      <c r="U7415" s="10"/>
      <c r="V7415" s="10"/>
      <c r="W7415" s="10"/>
      <c r="X7415" s="10"/>
      <c r="Y7415" s="10"/>
      <c r="Z7415" s="10"/>
    </row>
    <row r="7416" spans="1:26" ht="12.75">
      <c r="A7416" s="10" t="str">
        <f ca="1">IFERROR(__xludf.DUMMYFUNCTION("""COMPUTED_VALUE"""),"Събина Кирилова Ефтимова")</f>
        <v>Събина Кирилова Ефтимова</v>
      </c>
      <c r="B7416" s="10" t="str">
        <f ca="1">IFERROR(__xludf.DUMMYFUNCTION("""COMPUTED_VALUE"""),"Доклад от конференция")</f>
        <v>Доклад от конференция</v>
      </c>
      <c r="C7416" s="10" t="str">
        <f ca="1">IFERROR(__xludf.DUMMYFUNCTION("""COMPUTED_VALUE"""),"Накратко за достъпността и библиотеката")</f>
        <v>Накратко за достъпността и библиотеката</v>
      </c>
      <c r="D7416" s="10">
        <f ca="1">IFERROR(__xludf.DUMMYFUNCTION("""COMPUTED_VALUE"""),2017)</f>
        <v>2017</v>
      </c>
      <c r="E7416"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125-130. ISSN 2535-0250")</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125-130. ISSN 2535-0250</v>
      </c>
      <c r="F741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16" s="10" t="str">
        <f ca="1">IFERROR(__xludf.DUMMYFUNCTION("""COMPUTED_VALUE"""),"Елена Симеонова")</f>
        <v>Елена Симеонова</v>
      </c>
      <c r="H7416" s="10"/>
      <c r="I7416" s="10"/>
      <c r="J7416" s="10"/>
      <c r="K7416" s="10"/>
      <c r="L7416" s="10"/>
      <c r="M7416" s="10"/>
      <c r="N7416" s="10"/>
      <c r="O7416" s="10"/>
      <c r="P7416" s="10"/>
      <c r="Q7416" s="10"/>
      <c r="R7416" s="10"/>
      <c r="S7416" s="10"/>
      <c r="T7416" s="10"/>
      <c r="U7416" s="10"/>
      <c r="V7416" s="10"/>
      <c r="W7416" s="10"/>
      <c r="X7416" s="10"/>
      <c r="Y7416" s="10"/>
      <c r="Z7416" s="10"/>
    </row>
    <row r="7417" spans="1:26" ht="12.75">
      <c r="A7417" s="10" t="str">
        <f ca="1">IFERROR(__xludf.DUMMYFUNCTION("""COMPUTED_VALUE"""),"Събина Кирилова Ефтимова")</f>
        <v>Събина Кирилова Ефтимова</v>
      </c>
      <c r="B7417" s="10" t="str">
        <f ca="1">IFERROR(__xludf.DUMMYFUNCTION("""COMPUTED_VALUE"""),"Доклад от конференция")</f>
        <v>Доклад от конференция</v>
      </c>
      <c r="C7417" s="10" t="str">
        <f ca="1">IFERROR(__xludf.DUMMYFUNCTION("""COMPUTED_VALUE"""),"Патиланци през калейдоскопа на времето (Част втора).")</f>
        <v>Патиланци през калейдоскопа на времето (Част втора).</v>
      </c>
      <c r="D7417" s="10">
        <f ca="1">IFERROR(__xludf.DUMMYFUNCTION("""COMPUTED_VALUE"""),2017)</f>
        <v>2017</v>
      </c>
      <c r="E7417" s="10" t="str">
        <f ca="1">IFERROR(__xludf.DUMMYFUNCTION("""COMPUTED_VALUE"""),"Съвременни стратегии и иновации в управление на знанието: доклади от Третата научна конференция на УМЛАУЗ, Европейски парламент в Брюксел, 4 май 2017. София: За буквите – О писменехь, 2017, с. 70-96. ISSN 2535-0250")</f>
        <v>Съвременни стратегии и иновации в управление на знанието: доклади от Третата научна конференция на УМЛАУЗ, Европейски парламент в Брюксел, 4 май 2017. София: За буквите – О писменехь, 2017, с. 70-96. ISSN 2535-0250</v>
      </c>
      <c r="F7417" s="10"/>
      <c r="G7417" s="10" t="str">
        <f ca="1">IFERROR(__xludf.DUMMYFUNCTION("""COMPUTED_VALUE"""),"Калина Минчева Поли Муканова")</f>
        <v>Калина Минчева Поли Муканова</v>
      </c>
      <c r="H7417" s="10"/>
      <c r="I7417" s="10"/>
      <c r="J7417" s="10"/>
      <c r="K7417" s="10"/>
      <c r="L7417" s="10"/>
      <c r="M7417" s="10"/>
      <c r="N7417" s="10"/>
      <c r="O7417" s="10"/>
      <c r="P7417" s="10"/>
      <c r="Q7417" s="10"/>
      <c r="R7417" s="10"/>
      <c r="S7417" s="10"/>
      <c r="T7417" s="10"/>
      <c r="U7417" s="10"/>
      <c r="V7417" s="10"/>
      <c r="W7417" s="10"/>
      <c r="X7417" s="10"/>
      <c r="Y7417" s="10"/>
      <c r="Z7417" s="10"/>
    </row>
    <row r="7418" spans="1:26" ht="12.75">
      <c r="A7418" s="10" t="str">
        <f ca="1">IFERROR(__xludf.DUMMYFUNCTION("""COMPUTED_VALUE"""),"Събина Кирилова Ефтимова")</f>
        <v>Събина Кирилова Ефтимова</v>
      </c>
      <c r="B7418" s="10" t="str">
        <f ca="1">IFERROR(__xludf.DUMMYFUNCTION("""COMPUTED_VALUE"""),"Доклад от конференция")</f>
        <v>Доклад от конференция</v>
      </c>
      <c r="C7418" s="10" t="str">
        <f ca="1">IFERROR(__xludf.DUMMYFUNCTION("""COMPUTED_VALUE"""),"Глобализация, информационно общество, общество на знанието и библиотеките")</f>
        <v>Глобализация, информационно общество, общество на знанието и библиотеките</v>
      </c>
      <c r="D7418" s="10">
        <f ca="1">IFERROR(__xludf.DUMMYFUNCTION("""COMPUTED_VALUE"""),2017)</f>
        <v>2017</v>
      </c>
      <c r="E7418" s="10" t="str">
        <f ca="1">IFERROR(__xludf.DUMMYFUNCTION("""COMPUTED_VALUE"""),"Научни трудове на СУБ – Пловдив от VII-та международна конференция на младите учени – СУБ Пловдив, 15-16.06.2017, Серия А. Обществени науки, изкуство и култура. Пловдив, 2017, Т.4, с. 210-213. ISSN 1311-9192")</f>
        <v>Научни трудове на СУБ – Пловдив от VII-та международна конференция на младите учени – СУБ Пловдив, 15-16.06.2017, Серия А. Обществени науки, изкуство и култура. Пловдив, 2017, Т.4, с. 210-213. ISSN 1311-9192</v>
      </c>
      <c r="F7418" s="10"/>
      <c r="G7418" s="10" t="str">
        <f ca="1">IFERROR(__xludf.DUMMYFUNCTION("""COMPUTED_VALUE"""),"Траяна Велкова")</f>
        <v>Траяна Велкова</v>
      </c>
      <c r="H7418" s="10"/>
      <c r="I7418" s="10"/>
      <c r="J7418" s="10"/>
      <c r="K7418" s="10"/>
      <c r="L7418" s="10"/>
      <c r="M7418" s="10"/>
      <c r="N7418" s="10"/>
      <c r="O7418" s="10"/>
      <c r="P7418" s="10"/>
      <c r="Q7418" s="10"/>
      <c r="R7418" s="10"/>
      <c r="S7418" s="10"/>
      <c r="T7418" s="10"/>
      <c r="U7418" s="10"/>
      <c r="V7418" s="10"/>
      <c r="W7418" s="10"/>
      <c r="X7418" s="10"/>
      <c r="Y7418" s="10"/>
      <c r="Z7418" s="10"/>
    </row>
    <row r="7419" spans="1:26" ht="12.75">
      <c r="A7419" s="10" t="str">
        <f ca="1">IFERROR(__xludf.DUMMYFUNCTION("""COMPUTED_VALUE"""),"Събина Кирилова Ефтимова")</f>
        <v>Събина Кирилова Ефтимова</v>
      </c>
      <c r="B7419" s="10" t="str">
        <f ca="1">IFERROR(__xludf.DUMMYFUNCTION("""COMPUTED_VALUE"""),"Статия в списания и поредици")</f>
        <v>Статия в списания и поредици</v>
      </c>
      <c r="C7419" s="10" t="str">
        <f ca="1">IFERROR(__xludf.DUMMYFUNCTION("""COMPUTED_VALUE"""),"Студентите-дипломанти за специалност „Библиотечен и информационен мениджмънт“: Обобщение на анкетни проучвания за периода 2013-2016 г.")</f>
        <v>Студентите-дипломанти за специалност „Библиотечен и информационен мениджмънт“: Обобщение на анкетни проучвания за периода 2013-2016 г.</v>
      </c>
      <c r="D7419" s="10">
        <f ca="1">IFERROR(__xludf.DUMMYFUNCTION("""COMPUTED_VALUE"""),2017)</f>
        <v>2017</v>
      </c>
      <c r="E7419" s="10" t="str">
        <f ca="1">IFERROR(__xludf.DUMMYFUNCTION("""COMPUTED_VALUE"""),"Трудове на университета по библиотекознание и информационни технологии. София: За буквите – О писменехь, 2017, № 14, ISSN 1312-5834")</f>
        <v>Трудове на университета по библиотекознание и информационни технологии. София: За буквите – О писменехь, 2017, № 14, ISSN 1312-5834</v>
      </c>
      <c r="F7419" s="10"/>
      <c r="G7419" s="10" t="str">
        <f ca="1">IFERROR(__xludf.DUMMYFUNCTION("""COMPUTED_VALUE"""),"Таня Тодорова Елисавета Цветкова")</f>
        <v>Таня Тодорова Елисавета Цветкова</v>
      </c>
      <c r="H7419" s="10"/>
      <c r="I7419" s="10"/>
      <c r="J7419" s="10"/>
      <c r="K7419" s="10"/>
      <c r="L7419" s="10"/>
      <c r="M7419" s="10"/>
      <c r="N7419" s="10"/>
      <c r="O7419" s="10"/>
      <c r="P7419" s="10"/>
      <c r="Q7419" s="10"/>
      <c r="R7419" s="10"/>
      <c r="S7419" s="10"/>
      <c r="T7419" s="10"/>
      <c r="U7419" s="10"/>
      <c r="V7419" s="10"/>
      <c r="W7419" s="10"/>
      <c r="X7419" s="10"/>
      <c r="Y7419" s="10"/>
      <c r="Z7419" s="10"/>
    </row>
    <row r="7420" spans="1:26" ht="12.75">
      <c r="A7420" s="10" t="str">
        <f ca="1">IFERROR(__xludf.DUMMYFUNCTION("""COMPUTED_VALUE"""),"Събина Кирилова Ефтимова")</f>
        <v>Събина Кирилова Ефтимова</v>
      </c>
      <c r="B7420" s="10" t="str">
        <f ca="1">IFERROR(__xludf.DUMMYFUNCTION("""COMPUTED_VALUE"""),"Доклад от конференция")</f>
        <v>Доклад от конференция</v>
      </c>
      <c r="C7420" s="10" t="str">
        <f ca="1">IFERROR(__xludf.DUMMYFUNCTION("""COMPUTED_VALUE"""),"Жените мениджъри и библиотеките")</f>
        <v>Жените мениджъри и библиотеките</v>
      </c>
      <c r="D7420" s="10">
        <f ca="1">IFERROR(__xludf.DUMMYFUNCTION("""COMPUTED_VALUE"""),2017)</f>
        <v>2017</v>
      </c>
      <c r="E7420"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Мариел"&amp;"а Нанкова, Любомира Парижкова. – София : За буквите – О писменехь, 2017, с. 61-70. ISSN 2535-0250")</f>
        <v>Съвременни стратегии и иновации в управление на знанието : Доклади от Втората научна конференция на УМЛАУЗ, Костенец, 2-4 ноември 2015 г.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61-70. ISSN 2535-0250</v>
      </c>
      <c r="F742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20" s="10" t="str">
        <f ca="1">IFERROR(__xludf.DUMMYFUNCTION("""COMPUTED_VALUE"""),"Елена Игнатова")</f>
        <v>Елена Игнатова</v>
      </c>
      <c r="H7420" s="10"/>
      <c r="I7420" s="10"/>
      <c r="J7420" s="10"/>
      <c r="K7420" s="10"/>
      <c r="L7420" s="10"/>
      <c r="M7420" s="10"/>
      <c r="N7420" s="10"/>
      <c r="O7420" s="10"/>
      <c r="P7420" s="10"/>
      <c r="Q7420" s="10"/>
      <c r="R7420" s="10"/>
      <c r="S7420" s="10"/>
      <c r="T7420" s="10"/>
      <c r="U7420" s="10"/>
      <c r="V7420" s="10"/>
      <c r="W7420" s="10"/>
      <c r="X7420" s="10"/>
      <c r="Y7420" s="10"/>
      <c r="Z7420" s="10"/>
    </row>
    <row r="7421" spans="1:26" ht="12.75">
      <c r="A7421" s="10" t="str">
        <f ca="1">IFERROR(__xludf.DUMMYFUNCTION("""COMPUTED_VALUE"""),"Събина Кирилова Ефтимова")</f>
        <v>Събина Кирилова Ефтимова</v>
      </c>
      <c r="B7421" s="10" t="str">
        <f ca="1">IFERROR(__xludf.DUMMYFUNCTION("""COMPUTED_VALUE"""),"Доклад от конференция")</f>
        <v>Доклад от конференция</v>
      </c>
      <c r="C7421" s="10" t="str">
        <f ca="1">IFERROR(__xludf.DUMMYFUNCTION("""COMPUTED_VALUE"""),"Преосмисляне на библиотечната мисия в новата социална среда")</f>
        <v>Преосмисляне на библиотечната мисия в новата социална среда</v>
      </c>
      <c r="D7421" s="10">
        <f ca="1">IFERROR(__xludf.DUMMYFUNCTION("""COMPUTED_VALUE"""),2017)</f>
        <v>2017</v>
      </c>
      <c r="E7421" s="10" t="str">
        <f ca="1">IFERROR(__xludf.DUMMYFUNCTION("""COMPUTED_VALUE"""),"Съвременни стратегии и иновации в управление на знанието: доклади от Третата научна конференция на УМЛАУЗ, Европейски парламент в Брюксел, 4 май 2017. София: За буквите – О писменехь, 2017, с. 38-43. ISSN 2535-0250")</f>
        <v>Съвременни стратегии и иновации в управление на знанието: доклади от Третата научна конференция на УМЛАУЗ, Европейски парламент в Брюксел, 4 май 2017. София: За буквите – О писменехь, 2017, с. 38-43. ISSN 2535-0250</v>
      </c>
      <c r="F7421" s="10"/>
      <c r="G7421" s="10" t="str">
        <f ca="1">IFERROR(__xludf.DUMMYFUNCTION("""COMPUTED_VALUE"""),"Траяна Велкова")</f>
        <v>Траяна Велкова</v>
      </c>
      <c r="H7421" s="10"/>
      <c r="I7421" s="10"/>
      <c r="J7421" s="10"/>
      <c r="K7421" s="10"/>
      <c r="L7421" s="10"/>
      <c r="M7421" s="10"/>
      <c r="N7421" s="10"/>
      <c r="O7421" s="10"/>
      <c r="P7421" s="10"/>
      <c r="Q7421" s="10"/>
      <c r="R7421" s="10"/>
      <c r="S7421" s="10"/>
      <c r="T7421" s="10"/>
      <c r="U7421" s="10"/>
      <c r="V7421" s="10"/>
      <c r="W7421" s="10"/>
      <c r="X7421" s="10"/>
      <c r="Y7421" s="10"/>
      <c r="Z7421" s="10"/>
    </row>
    <row r="7422" spans="1:26" ht="12.75">
      <c r="A7422" s="10" t="str">
        <f ca="1">IFERROR(__xludf.DUMMYFUNCTION("""COMPUTED_VALUE"""),"Събина Кирилова Ефтимова")</f>
        <v>Събина Кирилова Ефтимова</v>
      </c>
      <c r="B7422" s="10" t="str">
        <f ca="1">IFERROR(__xludf.DUMMYFUNCTION("""COMPUTED_VALUE"""),"Доклад от конференция")</f>
        <v>Доклад от конференция</v>
      </c>
      <c r="C7422" s="10" t="str">
        <f ca="1">IFERROR(__xludf.DUMMYFUNCTION("""COMPUTED_VALUE"""),"Литературния текст за деца и илюстрацията – съперници или съюзници")</f>
        <v>Литературния текст за деца и илюстрацията – съперници или съюзници</v>
      </c>
      <c r="D7422" s="10">
        <f ca="1">IFERROR(__xludf.DUMMYFUNCTION("""COMPUTED_VALUE"""),2017)</f>
        <v>2017</v>
      </c>
      <c r="E7422" s="10" t="str">
        <f ca="1">IFERROR(__xludf.DUMMYFUNCTION("""COMPUTED_VALUE"""),"Научни трудове на СУБ – Пловдив от VII-та международна конференция на младите учени – СУБ Пловдив, 15-16.06.2017, Серия А. Обществени науки, изкуство и култура. Пловдив, 2017, Т.4, с. 35-39. ISSN 1311-9192")</f>
        <v>Научни трудове на СУБ – Пловдив от VII-та международна конференция на младите учени – СУБ Пловдив, 15-16.06.2017, Серия А. Обществени науки, изкуство и култура. Пловдив, 2017, Т.4, с. 35-39. ISSN 1311-9192</v>
      </c>
      <c r="F7422" s="10"/>
      <c r="G7422" s="10" t="str">
        <f ca="1">IFERROR(__xludf.DUMMYFUNCTION("""COMPUTED_VALUE"""),"Калина Минчева")</f>
        <v>Калина Минчева</v>
      </c>
      <c r="H7422" s="10"/>
      <c r="I7422" s="10"/>
      <c r="J7422" s="10"/>
      <c r="K7422" s="10"/>
      <c r="L7422" s="10"/>
      <c r="M7422" s="10"/>
      <c r="N7422" s="10"/>
      <c r="O7422" s="10"/>
      <c r="P7422" s="10"/>
      <c r="Q7422" s="10"/>
      <c r="R7422" s="10"/>
      <c r="S7422" s="10"/>
      <c r="T7422" s="10"/>
      <c r="U7422" s="10"/>
      <c r="V7422" s="10"/>
      <c r="W7422" s="10"/>
      <c r="X7422" s="10"/>
      <c r="Y7422" s="10"/>
      <c r="Z7422" s="10"/>
    </row>
    <row r="7423" spans="1:26" ht="12.75">
      <c r="A7423" s="10" t="str">
        <f ca="1">IFERROR(__xludf.DUMMYFUNCTION("""COMPUTED_VALUE"""),"Събина Кирилова Ефтимова")</f>
        <v>Събина Кирилова Ефтимова</v>
      </c>
      <c r="B7423" s="10" t="str">
        <f ca="1">IFERROR(__xludf.DUMMYFUNCTION("""COMPUTED_VALUE"""),"Статия в списания и поредици")</f>
        <v>Статия в списания и поредици</v>
      </c>
      <c r="C7423" s="10" t="str">
        <f ca="1">IFERROR(__xludf.DUMMYFUNCTION("""COMPUTED_VALUE"""),"Университетската библиотеката – елемент в системата на висшето образование")</f>
        <v>Университетската библиотеката – елемент в системата на висшето образование</v>
      </c>
      <c r="D7423" s="10">
        <f ca="1">IFERROR(__xludf.DUMMYFUNCTION("""COMPUTED_VALUE"""),2016)</f>
        <v>2016</v>
      </c>
      <c r="E7423" s="10" t="str">
        <f ca="1">IFERROR(__xludf.DUMMYFUNCTION("""COMPUTED_VALUE"""),"Научни трудове на Университета по библиотекознание и информационни технологии, Т. 13, 2015. – София : За буквите – О писменехь, 2016, с. 35-41. ISSN 1312-5834")</f>
        <v>Научни трудове на Университета по библиотекознание и информационни технологии, Т. 13, 2015. – София : За буквите – О писменехь, 2016, с. 35-41. ISSN 1312-5834</v>
      </c>
      <c r="F742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23" s="10" t="str">
        <f ca="1">IFERROR(__xludf.DUMMYFUNCTION("""COMPUTED_VALUE"""),"Траяна Велкова")</f>
        <v>Траяна Велкова</v>
      </c>
      <c r="H7423" s="10"/>
      <c r="I7423" s="10"/>
      <c r="J7423" s="10"/>
      <c r="K7423" s="10"/>
      <c r="L7423" s="10"/>
      <c r="M7423" s="10"/>
      <c r="N7423" s="10"/>
      <c r="O7423" s="10"/>
      <c r="P7423" s="10"/>
      <c r="Q7423" s="10"/>
      <c r="R7423" s="10"/>
      <c r="S7423" s="10"/>
      <c r="T7423" s="10"/>
      <c r="U7423" s="10"/>
      <c r="V7423" s="10"/>
      <c r="W7423" s="10"/>
      <c r="X7423" s="10"/>
      <c r="Y7423" s="10"/>
      <c r="Z7423" s="10"/>
    </row>
    <row r="7424" spans="1:26" ht="12.75">
      <c r="A7424" s="10" t="str">
        <f ca="1">IFERROR(__xludf.DUMMYFUNCTION("""COMPUTED_VALUE"""),"Събина Кирилова Ефтимова")</f>
        <v>Събина Кирилова Ефтимова</v>
      </c>
      <c r="B7424" s="10" t="str">
        <f ca="1">IFERROR(__xludf.DUMMYFUNCTION("""COMPUTED_VALUE"""),"Доклад от конференция")</f>
        <v>Доклад от конференция</v>
      </c>
      <c r="C7424" s="10" t="str">
        <f ca="1">IFERROR(__xludf.DUMMYFUNCTION("""COMPUTED_VALUE"""),"Професионалното прегаряне в библиотечната професия")</f>
        <v>Професионалното прегаряне в библиотечната професия</v>
      </c>
      <c r="D7424" s="10">
        <f ca="1">IFERROR(__xludf.DUMMYFUNCTION("""COMPUTED_VALUE"""),2016)</f>
        <v>2016</v>
      </c>
      <c r="E7424" s="10" t="str">
        <f ca="1">IFERROR(__xludf.DUMMYFUNCTION("""COMPUTED_VALUE"""),"Обществото на знанието и хуманизмът на ХХІ век : Тринадесета национална научна конференция с международно участие, София, 1 ноември 2015 г. – София : За буквите – О писменехь, 2016, с. 268-276. ISSN 1314-7099")</f>
        <v>Обществото на знанието и хуманизмът на ХХІ век : Тринадесета национална научна конференция с международно участие, София, 1 ноември 2015 г. – София : За буквите – О писменехь, 2016, с. 268-276. ISSN 1314-7099</v>
      </c>
      <c r="F742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24" s="10"/>
      <c r="H7424" s="10"/>
      <c r="I7424" s="10"/>
      <c r="J7424" s="10"/>
      <c r="K7424" s="10"/>
      <c r="L7424" s="10"/>
      <c r="M7424" s="10"/>
      <c r="N7424" s="10"/>
      <c r="O7424" s="10"/>
      <c r="P7424" s="10"/>
      <c r="Q7424" s="10"/>
      <c r="R7424" s="10"/>
      <c r="S7424" s="10"/>
      <c r="T7424" s="10"/>
      <c r="U7424" s="10"/>
      <c r="V7424" s="10"/>
      <c r="W7424" s="10"/>
      <c r="X7424" s="10"/>
      <c r="Y7424" s="10"/>
      <c r="Z7424" s="10"/>
    </row>
    <row r="7425" spans="1:26" ht="12.75">
      <c r="A7425" s="10" t="str">
        <f ca="1">IFERROR(__xludf.DUMMYFUNCTION("""COMPUTED_VALUE"""),"Събина Кирилова Ефтимова")</f>
        <v>Събина Кирилова Ефтимова</v>
      </c>
      <c r="B7425" s="10" t="str">
        <f ca="1">IFERROR(__xludf.DUMMYFUNCTION("""COMPUTED_VALUE"""),"Учебно пособие")</f>
        <v>Учебно пособие</v>
      </c>
      <c r="C7425" s="10" t="str">
        <f ca="1">IFERROR(__xludf.DUMMYFUNCTION("""COMPUTED_VALUE"""),"Българска литература за деца от Възраждането до края на Втората световна война : Част I")</f>
        <v>Българска литература за деца от Възраждането до края на Втората световна война : Част I</v>
      </c>
      <c r="D7425" s="10">
        <f ca="1">IFERROR(__xludf.DUMMYFUNCTION("""COMPUTED_VALUE"""),2016)</f>
        <v>2016</v>
      </c>
      <c r="E7425" s="10" t="str">
        <f ca="1">IFERROR(__xludf.DUMMYFUNCTION("""COMPUTED_VALUE"""),"София: За буквите – О писменехь, 2016. 130 с. ISBN 978-619-185-236-9")</f>
        <v>София: За буквите – О писменехь, 2016. 130 с. ISBN 978-619-185-236-9</v>
      </c>
      <c r="F7425" s="10"/>
      <c r="G7425" s="10" t="str">
        <f ca="1">IFERROR(__xludf.DUMMYFUNCTION("""COMPUTED_VALUE"""),"Мария Николова")</f>
        <v>Мария Николова</v>
      </c>
      <c r="H7425" s="10"/>
      <c r="I7425" s="10"/>
      <c r="J7425" s="10"/>
      <c r="K7425" s="10"/>
      <c r="L7425" s="10"/>
      <c r="M7425" s="10"/>
      <c r="N7425" s="10"/>
      <c r="O7425" s="10"/>
      <c r="P7425" s="10"/>
      <c r="Q7425" s="10"/>
      <c r="R7425" s="10"/>
      <c r="S7425" s="10"/>
      <c r="T7425" s="10"/>
      <c r="U7425" s="10"/>
      <c r="V7425" s="10"/>
      <c r="W7425" s="10"/>
      <c r="X7425" s="10"/>
      <c r="Y7425" s="10"/>
      <c r="Z7425" s="10"/>
    </row>
    <row r="7426" spans="1:26" ht="12.75">
      <c r="A7426" s="10" t="str">
        <f ca="1">IFERROR(__xludf.DUMMYFUNCTION("""COMPUTED_VALUE"""),"Събина Кирилова Ефтимова")</f>
        <v>Събина Кирилова Ефтимова</v>
      </c>
      <c r="B7426" s="10" t="str">
        <f ca="1">IFERROR(__xludf.DUMMYFUNCTION("""COMPUTED_VALUE"""),"Статия в списания и поредици")</f>
        <v>Статия в списания и поредици</v>
      </c>
      <c r="C7426" s="10" t="str">
        <f ca="1">IFERROR(__xludf.DUMMYFUNCTION("""COMPUTED_VALUE"""),"Реализация на дипломанти от специалност „Библиотечен и информационен мениджмънт“ при УниБИТ")</f>
        <v>Реализация на дипломанти от специалност „Библиотечен и информационен мениджмънт“ при УниБИТ</v>
      </c>
      <c r="D7426" s="10">
        <f ca="1">IFERROR(__xludf.DUMMYFUNCTION("""COMPUTED_VALUE"""),2016)</f>
        <v>2016</v>
      </c>
      <c r="E7426" s="10" t="str">
        <f ca="1">IFERROR(__xludf.DUMMYFUNCTION("""COMPUTED_VALUE"""),"Професионалната реализация - възможности и реалност: Сборник със студии и статии по проблемите, свързани с професионалната реализация на студентите. София : За буквите – О писменехь, 2016, с. 181-194. ISBN 978-619-185-259-8")</f>
        <v>Професионалната реализация - възможности и реалност: Сборник със студии и статии по проблемите, свързани с професионалната реализация на студентите. София : За буквите – О писменехь, 2016, с. 181-194. ISBN 978-619-185-259-8</v>
      </c>
      <c r="F7426" s="10"/>
      <c r="G7426" s="10" t="str">
        <f ca="1">IFERROR(__xludf.DUMMYFUNCTION("""COMPUTED_VALUE"""),"Таня Тодорова Елисавета Цветкова")</f>
        <v>Таня Тодорова Елисавета Цветкова</v>
      </c>
      <c r="H7426" s="10"/>
      <c r="I7426" s="10"/>
      <c r="J7426" s="10"/>
      <c r="K7426" s="10"/>
      <c r="L7426" s="10"/>
      <c r="M7426" s="10"/>
      <c r="N7426" s="10"/>
      <c r="O7426" s="10"/>
      <c r="P7426" s="10"/>
      <c r="Q7426" s="10"/>
      <c r="R7426" s="10"/>
      <c r="S7426" s="10"/>
      <c r="T7426" s="10"/>
      <c r="U7426" s="10"/>
      <c r="V7426" s="10"/>
      <c r="W7426" s="10"/>
      <c r="X7426" s="10"/>
      <c r="Y7426" s="10"/>
      <c r="Z7426" s="10"/>
    </row>
    <row r="7427" spans="1:26" ht="12.75">
      <c r="A7427" s="10" t="str">
        <f ca="1">IFERROR(__xludf.DUMMYFUNCTION("""COMPUTED_VALUE"""),"Събина Кирилова Ефтимова")</f>
        <v>Събина Кирилова Ефтимова</v>
      </c>
      <c r="B7427" s="10" t="str">
        <f ca="1">IFERROR(__xludf.DUMMYFUNCTION("""COMPUTED_VALUE"""),"Статия в списания и поредици")</f>
        <v>Статия в списания и поредици</v>
      </c>
      <c r="C7427" s="10" t="str">
        <f ca="1">IFERROR(__xludf.DUMMYFUNCTION("""COMPUTED_VALUE"""),"Наръчник за библиотерапевтичната дейност в библиотеките")</f>
        <v>Наръчник за библиотерапевтичната дейност в библиотеките</v>
      </c>
      <c r="D7427" s="10">
        <f ca="1">IFERROR(__xludf.DUMMYFUNCTION("""COMPUTED_VALUE"""),2016)</f>
        <v>2016</v>
      </c>
      <c r="E7427" s="10" t="str">
        <f ca="1">IFERROR(__xludf.DUMMYFUNCTION("""COMPUTED_VALUE"""),"ББИА, VI, № 6, 2016, с. 16-17. ISSN - 1314-7285")</f>
        <v>ББИА, VI, № 6, 2016, с. 16-17. ISSN - 1314-7285</v>
      </c>
      <c r="F7427" s="10"/>
      <c r="G7427" s="10"/>
      <c r="H7427" s="10"/>
      <c r="I7427" s="10"/>
      <c r="J7427" s="10"/>
      <c r="K7427" s="10"/>
      <c r="L7427" s="10"/>
      <c r="M7427" s="10"/>
      <c r="N7427" s="10"/>
      <c r="O7427" s="10"/>
      <c r="P7427" s="10"/>
      <c r="Q7427" s="10"/>
      <c r="R7427" s="10"/>
      <c r="S7427" s="10"/>
      <c r="T7427" s="10"/>
      <c r="U7427" s="10"/>
      <c r="V7427" s="10"/>
      <c r="W7427" s="10"/>
      <c r="X7427" s="10"/>
      <c r="Y7427" s="10"/>
      <c r="Z7427" s="10"/>
    </row>
    <row r="7428" spans="1:26" ht="12.75">
      <c r="A7428" s="10" t="str">
        <f ca="1">IFERROR(__xludf.DUMMYFUNCTION("""COMPUTED_VALUE"""),"Събина Кирилова Ефтимова")</f>
        <v>Събина Кирилова Ефтимова</v>
      </c>
      <c r="B7428" s="10" t="str">
        <f ca="1">IFERROR(__xludf.DUMMYFUNCTION("""COMPUTED_VALUE"""),"Доклад от конференция")</f>
        <v>Доклад от конференция</v>
      </c>
      <c r="C7428" s="10" t="str">
        <f ca="1">IFERROR(__xludf.DUMMYFUNCTION("""COMPUTED_VALUE"""),"Патиланци през калейдоскопа на времето (Част първа)")</f>
        <v>Патиланци през калейдоскопа на времето (Част първа)</v>
      </c>
      <c r="D7428" s="10">
        <f ca="1">IFERROR(__xludf.DUMMYFUNCTION("""COMPUTED_VALUE"""),2016)</f>
        <v>2016</v>
      </c>
      <c r="E7428" s="10" t="str">
        <f ca="1">IFERROR(__xludf.DUMMYFUNCTION("""COMPUTED_VALUE"""),"Четиринайсета национална научна конференция с международно участие: Обществото на знанието и хуманизмът на ХХІ век, София, 1 ноември 2016 г. София: За буквите – О Писменехь, 2017, с. 257-271. ISSN 1314-7099")</f>
        <v>Четиринайсета национална научна конференция с международно участие: Обществото на знанието и хуманизмът на ХХІ век, София, 1 ноември 2016 г. София: За буквите – О Писменехь, 2017, с. 257-271. ISSN 1314-7099</v>
      </c>
      <c r="F7428" s="10"/>
      <c r="G7428" s="10" t="str">
        <f ca="1">IFERROR(__xludf.DUMMYFUNCTION("""COMPUTED_VALUE"""),"Калина Минчева")</f>
        <v>Калина Минчева</v>
      </c>
      <c r="H7428" s="10"/>
      <c r="I7428" s="10"/>
      <c r="J7428" s="10"/>
      <c r="K7428" s="10"/>
      <c r="L7428" s="10"/>
      <c r="M7428" s="10"/>
      <c r="N7428" s="10"/>
      <c r="O7428" s="10"/>
      <c r="P7428" s="10"/>
      <c r="Q7428" s="10"/>
      <c r="R7428" s="10"/>
      <c r="S7428" s="10"/>
      <c r="T7428" s="10"/>
      <c r="U7428" s="10"/>
      <c r="V7428" s="10"/>
      <c r="W7428" s="10"/>
      <c r="X7428" s="10"/>
      <c r="Y7428" s="10"/>
      <c r="Z7428" s="10"/>
    </row>
    <row r="7429" spans="1:26" ht="12.75">
      <c r="A7429" s="10" t="str">
        <f ca="1">IFERROR(__xludf.DUMMYFUNCTION("""COMPUTED_VALUE"""),"Събина Кирилова Ефтимова")</f>
        <v>Събина Кирилова Ефтимова</v>
      </c>
      <c r="B7429" s="10" t="str">
        <f ca="1">IFERROR(__xludf.DUMMYFUNCTION("""COMPUTED_VALUE"""),"Статия в списания и поредици")</f>
        <v>Статия в списания и поредици</v>
      </c>
      <c r="C7429" s="10" t="str">
        <f ca="1">IFERROR(__xludf.DUMMYFUNCTION("""COMPUTED_VALUE"""),"Четенето и лечебното четене")</f>
        <v>Четенето и лечебното четене</v>
      </c>
      <c r="D7429" s="10">
        <f ca="1">IFERROR(__xludf.DUMMYFUNCTION("""COMPUTED_VALUE"""),2016)</f>
        <v>2016</v>
      </c>
      <c r="E7429" s="10" t="str">
        <f ca="1">IFERROR(__xludf.DUMMYFUNCTION("""COMPUTED_VALUE"""),"GLORIA BIBLIOSPHERAE (Нишката на Ариадна) Изследвания в чест на акад. проф. Александра Куманова : Юбилеен сборник по случай 65 години от основаването на УниБИТ. София: За буквите – О писменехь, 2016, с. 362-366.ISBN - 978-619-185-211-6")</f>
        <v>GLORIA BIBLIOSPHERAE (Нишката на Ариадна) Изследвания в чест на акад. проф. Александра Куманова : Юбилеен сборник по случай 65 години от основаването на УниБИТ. София: За буквите – О писменехь, 2016, с. 362-366.ISBN - 978-619-185-211-6</v>
      </c>
      <c r="F7429" s="10"/>
      <c r="G7429" s="10"/>
      <c r="H7429" s="10"/>
      <c r="I7429" s="10"/>
      <c r="J7429" s="10"/>
      <c r="K7429" s="10"/>
      <c r="L7429" s="10"/>
      <c r="M7429" s="10"/>
      <c r="N7429" s="10"/>
      <c r="O7429" s="10"/>
      <c r="P7429" s="10"/>
      <c r="Q7429" s="10"/>
      <c r="R7429" s="10"/>
      <c r="S7429" s="10"/>
      <c r="T7429" s="10"/>
      <c r="U7429" s="10"/>
      <c r="V7429" s="10"/>
      <c r="W7429" s="10"/>
      <c r="X7429" s="10"/>
      <c r="Y7429" s="10"/>
      <c r="Z7429" s="10"/>
    </row>
    <row r="7430" spans="1:26" ht="12.75">
      <c r="A7430" s="10" t="str">
        <f ca="1">IFERROR(__xludf.DUMMYFUNCTION("""COMPUTED_VALUE"""),"Събина Кирилова Ефтимова")</f>
        <v>Събина Кирилова Ефтимова</v>
      </c>
      <c r="B7430" s="10" t="str">
        <f ca="1">IFERROR(__xludf.DUMMYFUNCTION("""COMPUTED_VALUE"""),"Доклад от конференция")</f>
        <v>Доклад от конференция</v>
      </c>
      <c r="C7430" s="10" t="str">
        <f ca="1">IFERROR(__xludf.DUMMYFUNCTION("""COMPUTED_VALUE"""),"Библиотеката като пространство в пространството")</f>
        <v>Библиотеката като пространство в пространството</v>
      </c>
      <c r="D7430" s="10">
        <f ca="1">IFERROR(__xludf.DUMMYFUNCTION("""COMPUTED_VALUE"""),2015)</f>
        <v>2015</v>
      </c>
      <c r="E7430" s="10" t="str">
        <f ca="1">IFERROR(__xludf.DUMMYFUNCTION("""COMPUTED_VALUE"""),"Научни трудове на СУБ – Пловдив от VI-та международна конференция на младите учени – СУБ Пловдив, 11-13.06.2015, Серия Б. Естествени и хуманитарни науки. Пловдив. 2015, Т. 17, с. 223-226. ISSN 1311-9192")</f>
        <v>Научни трудове на СУБ – Пловдив от VI-та международна конференция на младите учени – СУБ Пловдив, 11-13.06.2015, Серия Б. Естествени и хуманитарни науки. Пловдив. 2015, Т. 17, с. 223-226. ISSN 1311-9192</v>
      </c>
      <c r="F7430" s="10"/>
      <c r="G7430" s="10" t="str">
        <f ca="1">IFERROR(__xludf.DUMMYFUNCTION("""COMPUTED_VALUE"""),"Елена Симеонова, Калина Минчева")</f>
        <v>Елена Симеонова, Калина Минчева</v>
      </c>
      <c r="H7430" s="10"/>
      <c r="I7430" s="10"/>
      <c r="J7430" s="10"/>
      <c r="K7430" s="10"/>
      <c r="L7430" s="10"/>
      <c r="M7430" s="10"/>
      <c r="N7430" s="10"/>
      <c r="O7430" s="10"/>
      <c r="P7430" s="10"/>
      <c r="Q7430" s="10"/>
      <c r="R7430" s="10"/>
      <c r="S7430" s="10"/>
      <c r="T7430" s="10"/>
      <c r="U7430" s="10"/>
      <c r="V7430" s="10"/>
      <c r="W7430" s="10"/>
      <c r="X7430" s="10"/>
      <c r="Y7430" s="10"/>
      <c r="Z7430" s="10"/>
    </row>
    <row r="7431" spans="1:26" ht="12.75">
      <c r="A7431" s="10" t="str">
        <f ca="1">IFERROR(__xludf.DUMMYFUNCTION("""COMPUTED_VALUE"""),"Събина Кирилова Ефтимова")</f>
        <v>Събина Кирилова Ефтимова</v>
      </c>
      <c r="B7431" s="10" t="str">
        <f ca="1">IFERROR(__xludf.DUMMYFUNCTION("""COMPUTED_VALUE"""),"Доклад от конференция")</f>
        <v>Доклад от конференция</v>
      </c>
      <c r="C7431" s="10" t="str">
        <f ca="1">IFERROR(__xludf.DUMMYFUNCTION("""COMPUTED_VALUE"""),"Специалност „Библиотечен и информационен мениджмънт” в УНИБИТ- състояние и перспективи : Резултати от проучване")</f>
        <v>Специалност „Библиотечен и информационен мениджмънт” в УНИБИТ- състояние и перспективи : Резултати от проучване</v>
      </c>
      <c r="D7431" s="10">
        <f ca="1">IFERROR(__xludf.DUMMYFUNCTION("""COMPUTED_VALUE"""),2015)</f>
        <v>2015</v>
      </c>
      <c r="E7431" s="10" t="str">
        <f ca="1">IFERROR(__xludf.DUMMYFUNCTION("""COMPUTED_VALUE"""),"Нови информационни технологии в образователния процес : Доклади и съобщения от Деветия научен семинар на УниБИТ, Камчия, 26-30 май 2014 г. – София : За буквите – О писменехь, 2015, с. 28-38. ISSN 1313-2768")</f>
        <v>Нови информационни технологии в образователния процес : Доклади и съобщения от Деветия научен семинар на УниБИТ, Камчия, 26-30 май 2014 г. – София : За буквите – О писменехь, 2015, с. 28-38. ISSN 1313-2768</v>
      </c>
      <c r="F743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1" s="10" t="str">
        <f ca="1">IFERROR(__xludf.DUMMYFUNCTION("""COMPUTED_VALUE"""),"Тереза Тренчева, Таня Тодорова.")</f>
        <v>Тереза Тренчева, Таня Тодорова.</v>
      </c>
      <c r="H7431" s="10"/>
      <c r="I7431" s="10"/>
      <c r="J7431" s="10"/>
      <c r="K7431" s="10"/>
      <c r="L7431" s="10"/>
      <c r="M7431" s="10"/>
      <c r="N7431" s="10"/>
      <c r="O7431" s="10"/>
      <c r="P7431" s="10"/>
      <c r="Q7431" s="10"/>
      <c r="R7431" s="10"/>
      <c r="S7431" s="10"/>
      <c r="T7431" s="10"/>
      <c r="U7431" s="10"/>
      <c r="V7431" s="10"/>
      <c r="W7431" s="10"/>
      <c r="X7431" s="10"/>
      <c r="Y7431" s="10"/>
      <c r="Z7431" s="10"/>
    </row>
    <row r="7432" spans="1:26" ht="12.75">
      <c r="A7432" s="10" t="str">
        <f ca="1">IFERROR(__xludf.DUMMYFUNCTION("""COMPUTED_VALUE"""),"Събина Кирилова Ефтимова")</f>
        <v>Събина Кирилова Ефтимова</v>
      </c>
      <c r="B7432" s="10" t="str">
        <f ca="1">IFERROR(__xludf.DUMMYFUNCTION("""COMPUTED_VALUE"""),"Доклад от конференция")</f>
        <v>Доклад от конференция</v>
      </c>
      <c r="C7432" s="10" t="str">
        <f ca="1">IFERROR(__xludf.DUMMYFUNCTION("""COMPUTED_VALUE"""),"Съвременните възможностите на Библиотеките Мертън")</f>
        <v>Съвременните възможностите на Библиотеките Мертън</v>
      </c>
      <c r="D7432" s="10">
        <f ca="1">IFERROR(__xludf.DUMMYFUNCTION("""COMPUTED_VALUE"""),2015)</f>
        <v>2015</v>
      </c>
      <c r="E7432" s="10" t="str">
        <f ca="1">IFERROR(__xludf.DUMMYFUNCTION("""COMPUTED_VALUE"""),"Нови информационни технологии в образователния процес : Доклади и съобщения от Десетия научен семинар на УниБИТ, Истанбул, 4-8 април 2015 г. – София : За буквите – О писменехь, 2015, с. 53-59. ISSN 1313-2768")</f>
        <v>Нови информационни технологии в образователния процес : Доклади и съобщения от Десетия научен семинар на УниБИТ, Истанбул, 4-8 април 2015 г. – София : За буквите – О писменехь, 2015, с. 53-59. ISSN 1313-2768</v>
      </c>
      <c r="F743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2" s="10"/>
      <c r="H7432" s="10"/>
      <c r="I7432" s="10"/>
      <c r="J7432" s="10"/>
      <c r="K7432" s="10"/>
      <c r="L7432" s="10"/>
      <c r="M7432" s="10"/>
      <c r="N7432" s="10"/>
      <c r="O7432" s="10"/>
      <c r="P7432" s="10"/>
      <c r="Q7432" s="10"/>
      <c r="R7432" s="10"/>
      <c r="S7432" s="10"/>
      <c r="T7432" s="10"/>
      <c r="U7432" s="10"/>
      <c r="V7432" s="10"/>
      <c r="W7432" s="10"/>
      <c r="X7432" s="10"/>
      <c r="Y7432" s="10"/>
      <c r="Z7432" s="10"/>
    </row>
    <row r="7433" spans="1:26" ht="12.75">
      <c r="A7433" s="10" t="str">
        <f ca="1">IFERROR(__xludf.DUMMYFUNCTION("""COMPUTED_VALUE"""),"Събина Кирилова Ефтимова")</f>
        <v>Събина Кирилова Ефтимова</v>
      </c>
      <c r="B7433" s="10" t="str">
        <f ca="1">IFERROR(__xludf.DUMMYFUNCTION("""COMPUTED_VALUE"""),"Статия в списания и поредици")</f>
        <v>Статия в списания и поредици</v>
      </c>
      <c r="C7433" s="10" t="str">
        <f ca="1">IFERROR(__xludf.DUMMYFUNCTION("""COMPUTED_VALUE"""),"Емпирично изследване на познаването и отношението към сексуалното насилие над деца и използваните терапевтични техники")</f>
        <v>Емпирично изследване на познаването и отношението към сексуалното насилие над деца и използваните терапевтични техники</v>
      </c>
      <c r="D7433" s="10">
        <f ca="1">IFERROR(__xludf.DUMMYFUNCTION("""COMPUTED_VALUE"""),2015)</f>
        <v>2015</v>
      </c>
      <c r="E7433" s="10" t="str">
        <f ca="1">IFERROR(__xludf.DUMMYFUNCTION("""COMPUTED_VALUE"""),"Научни трудове на Университета по библиотекознание и информационни технологии, Т. 12, 2014. – София : За буквите – О писменехь, 2015, с. 107-135. ISSN 1312-5834")</f>
        <v>Научни трудове на Университета по библиотекознание и информационни технологии, Т. 12, 2014. – София : За буквите – О писменехь, 2015, с. 107-135. ISSN 1312-5834</v>
      </c>
      <c r="F743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3" s="10"/>
      <c r="H7433" s="10"/>
      <c r="I7433" s="10"/>
      <c r="J7433" s="10"/>
      <c r="K7433" s="10"/>
      <c r="L7433" s="10"/>
      <c r="M7433" s="10"/>
      <c r="N7433" s="10"/>
      <c r="O7433" s="10"/>
      <c r="P7433" s="10"/>
      <c r="Q7433" s="10"/>
      <c r="R7433" s="10"/>
      <c r="S7433" s="10"/>
      <c r="T7433" s="10"/>
      <c r="U7433" s="10"/>
      <c r="V7433" s="10"/>
      <c r="W7433" s="10"/>
      <c r="X7433" s="10"/>
      <c r="Y7433" s="10"/>
      <c r="Z7433" s="10"/>
    </row>
    <row r="7434" spans="1:26" ht="12.75">
      <c r="A7434" s="10" t="str">
        <f ca="1">IFERROR(__xludf.DUMMYFUNCTION("""COMPUTED_VALUE"""),"Събина Кирилова Ефтимова")</f>
        <v>Събина Кирилова Ефтимова</v>
      </c>
      <c r="B7434" s="10" t="str">
        <f ca="1">IFERROR(__xludf.DUMMYFUNCTION("""COMPUTED_VALUE"""),"Доклад от конференция")</f>
        <v>Доклад от конференция</v>
      </c>
      <c r="C7434" s="10" t="str">
        <f ca="1">IFERROR(__xludf.DUMMYFUNCTION("""COMPUTED_VALUE"""),"Якопо Сансовино и Венеция")</f>
        <v>Якопо Сансовино и Венеция</v>
      </c>
      <c r="D7434" s="10">
        <f ca="1">IFERROR(__xludf.DUMMYFUNCTION("""COMPUTED_VALUE"""),2015)</f>
        <v>2015</v>
      </c>
      <c r="E7434" s="10" t="str">
        <f ca="1">IFERROR(__xludf.DUMMYFUNCTION("""COMPUTED_VALUE"""),"Съвременни измерения на европейското образователно и научно пространство :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г.,"&amp;" Т. 1. – София : За буквите – О писменехь, 2015, с. 248-251. ISSN 2367-7988")</f>
        <v>Съвременни измерения на европейското образователно и научно пространство :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 Т. 1. – София : За буквите – О писменехь, 2015, с. 248-251. ISSN 2367-7988</v>
      </c>
      <c r="F743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4" s="10"/>
      <c r="H7434" s="10"/>
      <c r="I7434" s="10"/>
      <c r="J7434" s="10"/>
      <c r="K7434" s="10"/>
      <c r="L7434" s="10"/>
      <c r="M7434" s="10"/>
      <c r="N7434" s="10"/>
      <c r="O7434" s="10"/>
      <c r="P7434" s="10"/>
      <c r="Q7434" s="10"/>
      <c r="R7434" s="10"/>
      <c r="S7434" s="10"/>
      <c r="T7434" s="10"/>
      <c r="U7434" s="10"/>
      <c r="V7434" s="10"/>
      <c r="W7434" s="10"/>
      <c r="X7434" s="10"/>
      <c r="Y7434" s="10"/>
      <c r="Z7434" s="10"/>
    </row>
    <row r="7435" spans="1:26" ht="12.75">
      <c r="A7435" s="10" t="str">
        <f ca="1">IFERROR(__xludf.DUMMYFUNCTION("""COMPUTED_VALUE"""),"Събина Кирилова Ефтимова")</f>
        <v>Събина Кирилова Ефтимова</v>
      </c>
      <c r="B7435" s="10" t="str">
        <f ca="1">IFERROR(__xludf.DUMMYFUNCTION("""COMPUTED_VALUE"""),"Доклад от конференция")</f>
        <v>Доклад от конференция</v>
      </c>
      <c r="C7435" s="10" t="str">
        <f ca="1">IFERROR(__xludf.DUMMYFUNCTION("""COMPUTED_VALUE"""),"Библиотеката на Ватикана. Мистиката на непреходни традиции и съвременните възможности")</f>
        <v>Библиотеката на Ватикана. Мистиката на непреходни традиции и съвременните възможности</v>
      </c>
      <c r="D7435" s="10">
        <f ca="1">IFERROR(__xludf.DUMMYFUNCTION("""COMPUTED_VALUE"""),2015)</f>
        <v>2015</v>
      </c>
      <c r="E7435" s="10" t="str">
        <f ca="1">IFERROR(__xludf.DUMMYFUNCTION("""COMPUTED_VALUE"""),"Съвременни измерения на европейското образователно и научно пространство :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г.,"&amp;" Т. 1. – София : За буквите – О писменехь, 2015, с.159-166. ISSN 2367-7988")</f>
        <v>Съвременни измерения на европейското образователно и научно пространство : Сборник с доклади от I, II, III, Международен пътуващ семинар на УниБИТ : Ч. II : История и настояще на книжовните институции в Италия, България – Италия, 28 април – 6 май 2008 г., Т. 1. – София : За буквите – О писменехь, 2015, с.159-166. ISSN 2367-7988</v>
      </c>
      <c r="F743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5" s="10" t="str">
        <f ca="1">IFERROR(__xludf.DUMMYFUNCTION("""COMPUTED_VALUE"""),"Елена Игнатова")</f>
        <v>Елена Игнатова</v>
      </c>
      <c r="H7435" s="10"/>
      <c r="I7435" s="10"/>
      <c r="J7435" s="10"/>
      <c r="K7435" s="10"/>
      <c r="L7435" s="10"/>
      <c r="M7435" s="10"/>
      <c r="N7435" s="10"/>
      <c r="O7435" s="10"/>
      <c r="P7435" s="10"/>
      <c r="Q7435" s="10"/>
      <c r="R7435" s="10"/>
      <c r="S7435" s="10"/>
      <c r="T7435" s="10"/>
      <c r="U7435" s="10"/>
      <c r="V7435" s="10"/>
      <c r="W7435" s="10"/>
      <c r="X7435" s="10"/>
      <c r="Y7435" s="10"/>
      <c r="Z7435" s="10"/>
    </row>
    <row r="7436" spans="1:26" ht="12.75">
      <c r="A7436" s="10" t="str">
        <f ca="1">IFERROR(__xludf.DUMMYFUNCTION("""COMPUTED_VALUE"""),"Събина Кирилова Ефтимова")</f>
        <v>Събина Кирилова Ефтимова</v>
      </c>
      <c r="B7436" s="10" t="str">
        <f ca="1">IFERROR(__xludf.DUMMYFUNCTION("""COMPUTED_VALUE"""),"Учебник")</f>
        <v>Учебник</v>
      </c>
      <c r="C7436" s="10" t="str">
        <f ca="1">IFERROR(__xludf.DUMMYFUNCTION("""COMPUTED_VALUE"""),"Библиотерапия: Теория и практика")</f>
        <v>Библиотерапия: Теория и практика</v>
      </c>
      <c r="D7436" s="10">
        <f ca="1">IFERROR(__xludf.DUMMYFUNCTION("""COMPUTED_VALUE"""),2015)</f>
        <v>2015</v>
      </c>
      <c r="E7436" s="10" t="str">
        <f ca="1">IFERROR(__xludf.DUMMYFUNCTION("""COMPUTED_VALUE"""),"София: За буквите – О писменехь, 2015. 195 с. ISBN 978-619-185-205-5")</f>
        <v>София: За буквите – О писменехь, 2015. 195 с. ISBN 978-619-185-205-5</v>
      </c>
      <c r="F7436" s="10"/>
      <c r="G7436" s="10"/>
      <c r="H7436" s="10"/>
      <c r="I7436" s="10"/>
      <c r="J7436" s="10"/>
      <c r="K7436" s="10"/>
      <c r="L7436" s="10"/>
      <c r="M7436" s="10"/>
      <c r="N7436" s="10"/>
      <c r="O7436" s="10"/>
      <c r="P7436" s="10"/>
      <c r="Q7436" s="10"/>
      <c r="R7436" s="10"/>
      <c r="S7436" s="10"/>
      <c r="T7436" s="10"/>
      <c r="U7436" s="10"/>
      <c r="V7436" s="10"/>
      <c r="W7436" s="10"/>
      <c r="X7436" s="10"/>
      <c r="Y7436" s="10"/>
      <c r="Z7436" s="10"/>
    </row>
    <row r="7437" spans="1:26" ht="12.75">
      <c r="A7437" s="10" t="str">
        <f ca="1">IFERROR(__xludf.DUMMYFUNCTION("""COMPUTED_VALUE"""),"Събина Кирилова Ефтимова")</f>
        <v>Събина Кирилова Ефтимова</v>
      </c>
      <c r="B7437" s="10" t="str">
        <f ca="1">IFERROR(__xludf.DUMMYFUNCTION("""COMPUTED_VALUE"""),"Доклад от конференция")</f>
        <v>Доклад от конференция</v>
      </c>
      <c r="C7437" s="10" t="str">
        <f ca="1">IFERROR(__xludf.DUMMYFUNCTION("""COMPUTED_VALUE"""),"The Attitude of the Bulgarian Students towards Intellectual Property in Digital Environment: a National Survey Results")</f>
        <v>The Attitude of the Bulgarian Students towards Intellectual Property in Digital Environment: a National Survey Results</v>
      </c>
      <c r="D7437" s="10">
        <f ca="1">IFERROR(__xludf.DUMMYFUNCTION("""COMPUTED_VALUE"""),2014)</f>
        <v>2014</v>
      </c>
      <c r="E7437" s="10" t="str">
        <f ca="1">IFERROR(__xludf.DUMMYFUNCTION("""COMPUTED_VALUE"""),"Conference Proceedings : Third International Conference „New Perspectives in Science Education”, Florence, Italy, 20-21 March 2014. – Florence : Liberariauniversitaria, 2014, p. 230-234. ISBN: 978-88-6292-469-6")</f>
        <v>Conference Proceedings : Third International Conference „New Perspectives in Science Education”, Florence, Italy, 20-21 March 2014. – Florence : Liberariauniversitaria, 2014, p. 230-234. ISBN: 978-88-6292-469-6</v>
      </c>
      <c r="F7437" s="10"/>
      <c r="G7437" s="10" t="str">
        <f ca="1">IFERROR(__xludf.DUMMYFUNCTION("""COMPUTED_VALUE"""),"Tereza Trencheva, Stoyan Denchev")</f>
        <v>Tereza Trencheva, Stoyan Denchev</v>
      </c>
      <c r="H7437" s="10"/>
      <c r="I7437" s="10"/>
      <c r="J7437" s="10"/>
      <c r="K7437" s="10"/>
      <c r="L7437" s="10"/>
      <c r="M7437" s="10"/>
      <c r="N7437" s="10"/>
      <c r="O7437" s="10"/>
      <c r="P7437" s="10"/>
      <c r="Q7437" s="10"/>
      <c r="R7437" s="10"/>
      <c r="S7437" s="10"/>
      <c r="T7437" s="10"/>
      <c r="U7437" s="10"/>
      <c r="V7437" s="10"/>
      <c r="W7437" s="10"/>
      <c r="X7437" s="10"/>
      <c r="Y7437" s="10"/>
      <c r="Z7437" s="10"/>
    </row>
    <row r="7438" spans="1:26" ht="12.75">
      <c r="A7438" s="10" t="str">
        <f ca="1">IFERROR(__xludf.DUMMYFUNCTION("""COMPUTED_VALUE"""),"Събина Кирилова Ефтимова")</f>
        <v>Събина Кирилова Ефтимова</v>
      </c>
      <c r="B7438" s="10" t="str">
        <f ca="1">IFERROR(__xludf.DUMMYFUNCTION("""COMPUTED_VALUE"""),"Доклад от конференция")</f>
        <v>Доклад от конференция</v>
      </c>
      <c r="C7438" s="10" t="str">
        <f ca="1">IFERROR(__xludf.DUMMYFUNCTION("""COMPUTED_VALUE"""),"Translated publications in the field of clinical bibliotherapy in Bulgaria")</f>
        <v>Translated publications in the field of clinical bibliotherapy in Bulgaria</v>
      </c>
      <c r="D7438" s="10">
        <f ca="1">IFERROR(__xludf.DUMMYFUNCTION("""COMPUTED_VALUE"""),2014)</f>
        <v>2014</v>
      </c>
      <c r="E7438" s="10" t="str">
        <f ca="1">IFERROR(__xludf.DUMMYFUNCTION("""COMPUTED_VALUE"""),"Contemporary dimensions of the European educational and scientific areas : Collections of papers from international itinerant seminars of SULSIT, London, 25-30.05.2013 and Rome, 7-12.05.2014, p. 88-91.")</f>
        <v>Contemporary dimensions of the European educational and scientific areas : Collections of papers from international itinerant seminars of SULSIT, London, 25-30.05.2013 and Rome, 7-12.05.2014, p. 88-91.</v>
      </c>
      <c r="F7438" s="10"/>
      <c r="G7438" s="10"/>
      <c r="H7438" s="10"/>
      <c r="I7438" s="10"/>
      <c r="J7438" s="10"/>
      <c r="K7438" s="10"/>
      <c r="L7438" s="10"/>
      <c r="M7438" s="10"/>
      <c r="N7438" s="10"/>
      <c r="O7438" s="10"/>
      <c r="P7438" s="10"/>
      <c r="Q7438" s="10"/>
      <c r="R7438" s="10"/>
      <c r="S7438" s="10"/>
      <c r="T7438" s="10"/>
      <c r="U7438" s="10"/>
      <c r="V7438" s="10"/>
      <c r="W7438" s="10"/>
      <c r="X7438" s="10"/>
      <c r="Y7438" s="10"/>
      <c r="Z7438" s="10"/>
    </row>
    <row r="7439" spans="1:26" ht="12.75">
      <c r="A7439" s="10" t="str">
        <f ca="1">IFERROR(__xludf.DUMMYFUNCTION("""COMPUTED_VALUE"""),"Събина Кирилова Ефтимова")</f>
        <v>Събина Кирилова Ефтимова</v>
      </c>
      <c r="B7439" s="10" t="str">
        <f ca="1">IFERROR(__xludf.DUMMYFUNCTION("""COMPUTED_VALUE"""),"Доклад от конференция")</f>
        <v>Доклад от конференция</v>
      </c>
      <c r="C7439" s="10" t="str">
        <f ca="1">IFERROR(__xludf.DUMMYFUNCTION("""COMPUTED_VALUE"""),"Смислово пространство на приказката")</f>
        <v>Смислово пространство на приказката</v>
      </c>
      <c r="D7439" s="10">
        <f ca="1">IFERROR(__xludf.DUMMYFUNCTION("""COMPUTED_VALUE"""),2014)</f>
        <v>2014</v>
      </c>
      <c r="E7439" s="10" t="str">
        <f ca="1">IFERROR(__xludf.DUMMYFUNCTION("""COMPUTED_VALUE"""),"Нови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160-163. ISSN 1313-2768")</f>
        <v>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160-163. ISSN 1313-2768</v>
      </c>
      <c r="F743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39" s="10"/>
      <c r="H7439" s="10"/>
      <c r="I7439" s="10"/>
      <c r="J7439" s="10"/>
      <c r="K7439" s="10"/>
      <c r="L7439" s="10"/>
      <c r="M7439" s="10"/>
      <c r="N7439" s="10"/>
      <c r="O7439" s="10"/>
      <c r="P7439" s="10"/>
      <c r="Q7439" s="10"/>
      <c r="R7439" s="10"/>
      <c r="S7439" s="10"/>
      <c r="T7439" s="10"/>
      <c r="U7439" s="10"/>
      <c r="V7439" s="10"/>
      <c r="W7439" s="10"/>
      <c r="X7439" s="10"/>
      <c r="Y7439" s="10"/>
      <c r="Z7439" s="10"/>
    </row>
    <row r="7440" spans="1:26" ht="12.75">
      <c r="A7440" s="10" t="str">
        <f ca="1">IFERROR(__xludf.DUMMYFUNCTION("""COMPUTED_VALUE"""),"Събина Кирилова Ефтимова")</f>
        <v>Събина Кирилова Ефтимова</v>
      </c>
      <c r="B7440" s="10" t="str">
        <f ca="1">IFERROR(__xludf.DUMMYFUNCTION("""COMPUTED_VALUE"""),"Доклад от конференция")</f>
        <v>Доклад от конференция</v>
      </c>
      <c r="C7440" s="10" t="str">
        <f ca="1">IFERROR(__xludf.DUMMYFUNCTION("""COMPUTED_VALUE"""),"Същност и специфика на библиотечната педагогика")</f>
        <v>Същност и специфика на библиотечната педагогика</v>
      </c>
      <c r="D7440" s="10">
        <f ca="1">IFERROR(__xludf.DUMMYFUNCTION("""COMPUTED_VALUE"""),2014)</f>
        <v>2014</v>
      </c>
      <c r="E7440" s="10" t="str">
        <f ca="1">IFERROR(__xludf.DUMMYFUNCTION("""COMPUTED_VALUE"""),"Иновативни практики за нов маркетинг на библиотеката : Национална конференция с международно участие, Шумен 10-11 октомври 2013 г. / Ред. съвет Росица Добрева ... и др. Шумен : РБ „Стилиян Чилингиров”, 2014, с. 56-61. ISBN 978-954-2936-13-8")</f>
        <v>Иновативни практики за нов маркетинг на библиотеката : Национална конференция с международно участие, Шумен 10-11 октомври 2013 г. / Ред. съвет Росица Добрева ... и др. Шумен : РБ „Стилиян Чилингиров”, 2014, с. 56-61. ISBN 978-954-2936-13-8</v>
      </c>
      <c r="F744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40" s="10"/>
      <c r="H7440" s="10"/>
      <c r="I7440" s="10"/>
      <c r="J7440" s="10"/>
      <c r="K7440" s="10"/>
      <c r="L7440" s="10"/>
      <c r="M7440" s="10"/>
      <c r="N7440" s="10"/>
      <c r="O7440" s="10"/>
      <c r="P7440" s="10"/>
      <c r="Q7440" s="10"/>
      <c r="R7440" s="10"/>
      <c r="S7440" s="10"/>
      <c r="T7440" s="10"/>
      <c r="U7440" s="10"/>
      <c r="V7440" s="10"/>
      <c r="W7440" s="10"/>
      <c r="X7440" s="10"/>
      <c r="Y7440" s="10"/>
      <c r="Z7440" s="10"/>
    </row>
    <row r="7441" spans="1:26" ht="12.75">
      <c r="A7441" s="10" t="str">
        <f ca="1">IFERROR(__xludf.DUMMYFUNCTION("""COMPUTED_VALUE"""),"Събина Кирилова Ефтимова")</f>
        <v>Събина Кирилова Ефтимова</v>
      </c>
      <c r="B7441" s="10" t="str">
        <f ca="1">IFERROR(__xludf.DUMMYFUNCTION("""COMPUTED_VALUE"""),"Доклад от конференция")</f>
        <v>Доклад от конференция</v>
      </c>
      <c r="C7441" s="10" t="str">
        <f ca="1">IFERROR(__xludf.DUMMYFUNCTION("""COMPUTED_VALUE"""),"Scientific development of bibliotherapy")</f>
        <v>Scientific development of bibliotherapy</v>
      </c>
      <c r="D7441" s="10">
        <f ca="1">IFERROR(__xludf.DUMMYFUNCTION("""COMPUTED_VALUE"""),2014)</f>
        <v>2014</v>
      </c>
      <c r="E7441" s="10" t="str">
        <f ca="1">IFERROR(__xludf.DUMMYFUNCTION("""COMPUTED_VALUE"""),"Contemporary dimensions of the European educational and scientific areas : Collections of papers from international itinerant seminars of SULSIT, London, 25-30.05.2013 and Rome, 7-12.05.2014, p. 88-91.")</f>
        <v>Contemporary dimensions of the European educational and scientific areas : Collections of papers from international itinerant seminars of SULSIT, London, 25-30.05.2013 and Rome, 7-12.05.2014, p. 88-91.</v>
      </c>
      <c r="F7441" s="10"/>
      <c r="G7441" s="10"/>
      <c r="H7441" s="10"/>
      <c r="I7441" s="10"/>
      <c r="J7441" s="10"/>
      <c r="K7441" s="10"/>
      <c r="L7441" s="10"/>
      <c r="M7441" s="10"/>
      <c r="N7441" s="10"/>
      <c r="O7441" s="10"/>
      <c r="P7441" s="10"/>
      <c r="Q7441" s="10"/>
      <c r="R7441" s="10"/>
      <c r="S7441" s="10"/>
      <c r="T7441" s="10"/>
      <c r="U7441" s="10"/>
      <c r="V7441" s="10"/>
      <c r="W7441" s="10"/>
      <c r="X7441" s="10"/>
      <c r="Y7441" s="10"/>
      <c r="Z7441" s="10"/>
    </row>
    <row r="7442" spans="1:26" ht="12.75">
      <c r="A7442" s="10" t="str">
        <f ca="1">IFERROR(__xludf.DUMMYFUNCTION("""COMPUTED_VALUE"""),"Събина Кирилова Ефтимова")</f>
        <v>Събина Кирилова Ефтимова</v>
      </c>
      <c r="B7442" s="10" t="str">
        <f ca="1">IFERROR(__xludf.DUMMYFUNCTION("""COMPUTED_VALUE"""),"Доклад от конференция")</f>
        <v>Доклад от конференция</v>
      </c>
      <c r="C7442" s="10" t="str">
        <f ca="1">IFERROR(__xludf.DUMMYFUNCTION("""COMPUTED_VALUE"""),"Научно развитие на библиотерапията")</f>
        <v>Научно развитие на библиотерапията</v>
      </c>
      <c r="D7442" s="10">
        <f ca="1">IFERROR(__xludf.DUMMYFUNCTION("""COMPUTED_VALUE"""),2014)</f>
        <v>2014</v>
      </c>
      <c r="E7442" s="10" t="str">
        <f ca="1">IFERROR(__xludf.DUMMYFUNCTION("""COMPUTED_VALUE"""),"Съвременни измерения на европейското образователно и научно пространство: Сборник с доклади от международните пътуващи семинари на УниБИТ, Лондон, 25-30.05.2013 и Рим, 7-12.05.2014. София: За буквите – О писменехь, 2014, с. 198-204. ISSN 2367-7988")</f>
        <v>Съвременни измерения на европейското образователно и научно пространство: Сборник с доклади от международните пътуващи семинари на УниБИТ, Лондон, 25-30.05.2013 и Рим, 7-12.05.2014. София: За буквите – О писменехь, 2014, с. 198-204. ISSN 2367-7988</v>
      </c>
      <c r="F7442" s="10"/>
      <c r="G7442" s="10"/>
      <c r="H7442" s="10"/>
      <c r="I7442" s="10"/>
      <c r="J7442" s="10"/>
      <c r="K7442" s="10"/>
      <c r="L7442" s="10"/>
      <c r="M7442" s="10"/>
      <c r="N7442" s="10"/>
      <c r="O7442" s="10"/>
      <c r="P7442" s="10"/>
      <c r="Q7442" s="10"/>
      <c r="R7442" s="10"/>
      <c r="S7442" s="10"/>
      <c r="T7442" s="10"/>
      <c r="U7442" s="10"/>
      <c r="V7442" s="10"/>
      <c r="W7442" s="10"/>
      <c r="X7442" s="10"/>
      <c r="Y7442" s="10"/>
      <c r="Z7442" s="10"/>
    </row>
    <row r="7443" spans="1:26" ht="12.75">
      <c r="A7443" s="10" t="str">
        <f ca="1">IFERROR(__xludf.DUMMYFUNCTION("""COMPUTED_VALUE"""),"Събина Кирилова Ефтимова")</f>
        <v>Събина Кирилова Ефтимова</v>
      </c>
      <c r="B7443" s="10" t="str">
        <f ca="1">IFERROR(__xludf.DUMMYFUNCTION("""COMPUTED_VALUE"""),"Доклад от конференция")</f>
        <v>Доклад от конференция</v>
      </c>
      <c r="C7443" s="10" t="str">
        <f ca="1">IFERROR(__xludf.DUMMYFUNCTION("""COMPUTED_VALUE"""),"The Educational Function Of The Library")</f>
        <v>The Educational Function Of The Library</v>
      </c>
      <c r="D7443" s="10">
        <f ca="1">IFERROR(__xludf.DUMMYFUNCTION("""COMPUTED_VALUE"""),2014)</f>
        <v>2014</v>
      </c>
      <c r="E7443" s="10" t="str">
        <f ca="1">IFERROR(__xludf.DUMMYFUNCTION("""COMPUTED_VALUE"""),"New Perspectives in Science Education: International Conference, Florence, 20-21 march 2014, pp. 252-255. ISBN: 978-88-6292-469-6")</f>
        <v>New Perspectives in Science Education: International Conference, Florence, 20-21 march 2014, pp. 252-255. ISBN: 978-88-6292-469-6</v>
      </c>
      <c r="F7443" s="10"/>
      <c r="G7443" s="10"/>
      <c r="H7443" s="10"/>
      <c r="I7443" s="10"/>
      <c r="J7443" s="10"/>
      <c r="K7443" s="10"/>
      <c r="L7443" s="10"/>
      <c r="M7443" s="10"/>
      <c r="N7443" s="10"/>
      <c r="O7443" s="10"/>
      <c r="P7443" s="10"/>
      <c r="Q7443" s="10"/>
      <c r="R7443" s="10"/>
      <c r="S7443" s="10"/>
      <c r="T7443" s="10"/>
      <c r="U7443" s="10"/>
      <c r="V7443" s="10"/>
      <c r="W7443" s="10"/>
      <c r="X7443" s="10"/>
      <c r="Y7443" s="10"/>
      <c r="Z7443" s="10"/>
    </row>
    <row r="7444" spans="1:26" ht="12.75">
      <c r="A7444" s="10" t="str">
        <f ca="1">IFERROR(__xludf.DUMMYFUNCTION("""COMPUTED_VALUE"""),"Събина Кирилова Ефтимова")</f>
        <v>Събина Кирилова Ефтимова</v>
      </c>
      <c r="B7444" s="10" t="str">
        <f ca="1">IFERROR(__xludf.DUMMYFUNCTION("""COMPUTED_VALUE"""),"Доклад от конференция")</f>
        <v>Доклад от конференция</v>
      </c>
      <c r="C7444" s="10" t="str">
        <f ca="1">IFERROR(__xludf.DUMMYFUNCTION("""COMPUTED_VALUE"""),"Библиотеката като социален институт")</f>
        <v>Библиотеката като социален институт</v>
      </c>
      <c r="D7444" s="10">
        <f ca="1">IFERROR(__xludf.DUMMYFUNCTION("""COMPUTED_VALUE"""),2014)</f>
        <v>2014</v>
      </c>
      <c r="E7444" s="10" t="str">
        <f ca="1">IFERROR(__xludf.DUMMYFUNCTION("""COMPUTED_VALUE"""),"Младите в науката – инвестиция в бъдещето: Сборник с доклади от Международна научна конференция, София-Пловдив, 18-20.10.2013 г. София: За буквите – О Писменехь, 2014, с. 441-449. ISBN 978-619-185-132-4")</f>
        <v>Младите в науката – инвестиция в бъдещето: Сборник с доклади от Международна научна конференция, София-Пловдив, 18-20.10.2013 г. София: За буквите – О Писменехь, 2014, с. 441-449. ISBN 978-619-185-132-4</v>
      </c>
      <c r="F744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44" s="10"/>
      <c r="H7444" s="10"/>
      <c r="I7444" s="10"/>
      <c r="J7444" s="10"/>
      <c r="K7444" s="10"/>
      <c r="L7444" s="10"/>
      <c r="M7444" s="10"/>
      <c r="N7444" s="10"/>
      <c r="O7444" s="10"/>
      <c r="P7444" s="10"/>
      <c r="Q7444" s="10"/>
      <c r="R7444" s="10"/>
      <c r="S7444" s="10"/>
      <c r="T7444" s="10"/>
      <c r="U7444" s="10"/>
      <c r="V7444" s="10"/>
      <c r="W7444" s="10"/>
      <c r="X7444" s="10"/>
      <c r="Y7444" s="10"/>
      <c r="Z7444" s="10"/>
    </row>
    <row r="7445" spans="1:26" ht="12.75">
      <c r="A7445" s="10" t="str">
        <f ca="1">IFERROR(__xludf.DUMMYFUNCTION("""COMPUTED_VALUE"""),"Събина Кирилова Ефтимова")</f>
        <v>Събина Кирилова Ефтимова</v>
      </c>
      <c r="B7445" s="10" t="str">
        <f ca="1">IFERROR(__xludf.DUMMYFUNCTION("""COMPUTED_VALUE"""),"Статия в списания и поредици")</f>
        <v>Статия в списания и поредици</v>
      </c>
      <c r="C7445" s="10" t="str">
        <f ca="1">IFERROR(__xludf.DUMMYFUNCTION("""COMPUTED_VALUE"""),"Развитие на библиотерапията в България")</f>
        <v>Развитие на библиотерапията в България</v>
      </c>
      <c r="D7445" s="10">
        <f ca="1">IFERROR(__xludf.DUMMYFUNCTION("""COMPUTED_VALUE"""),2014)</f>
        <v>2014</v>
      </c>
      <c r="E7445" s="10" t="str">
        <f ca="1">IFERROR(__xludf.DUMMYFUNCTION("""COMPUTED_VALUE"""),"Научни трудове на Университета по библиотекознание и информационни технологии, Т. 11, 2013. – София : За буквите – О писменехь, 2014, с. 45-53. ISSN 1312-5834")</f>
        <v>Научни трудове на Университета по библиотекознание и информационни технологии, Т. 11, 2013. – София : За буквите – О писменехь, 2014, с. 45-53. ISSN 1312-5834</v>
      </c>
      <c r="F744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45" s="10"/>
      <c r="H7445" s="10"/>
      <c r="I7445" s="10"/>
      <c r="J7445" s="10"/>
      <c r="K7445" s="10"/>
      <c r="L7445" s="10"/>
      <c r="M7445" s="10"/>
      <c r="N7445" s="10"/>
      <c r="O7445" s="10"/>
      <c r="P7445" s="10"/>
      <c r="Q7445" s="10"/>
      <c r="R7445" s="10"/>
      <c r="S7445" s="10"/>
      <c r="T7445" s="10"/>
      <c r="U7445" s="10"/>
      <c r="V7445" s="10"/>
      <c r="W7445" s="10"/>
      <c r="X7445" s="10"/>
      <c r="Y7445" s="10"/>
      <c r="Z7445" s="10"/>
    </row>
    <row r="7446" spans="1:26" ht="12.75">
      <c r="A7446" s="10" t="str">
        <f ca="1">IFERROR(__xludf.DUMMYFUNCTION("""COMPUTED_VALUE"""),"Събина Кирилова Ефтимова")</f>
        <v>Събина Кирилова Ефтимова</v>
      </c>
      <c r="B7446" s="10" t="str">
        <f ca="1">IFERROR(__xludf.DUMMYFUNCTION("""COMPUTED_VALUE"""),"Доклад от конференция")</f>
        <v>Доклад от конференция</v>
      </c>
      <c r="C7446" s="10" t="str">
        <f ca="1">IFERROR(__xludf.DUMMYFUNCTION("""COMPUTED_VALUE"""),"Academic Education in Library and Information Management in Bulgaria.")</f>
        <v>Academic Education in Library and Information Management in Bulgaria.</v>
      </c>
      <c r="D7446" s="10">
        <f ca="1">IFERROR(__xludf.DUMMYFUNCTION("""COMPUTED_VALUE"""),2014)</f>
        <v>2014</v>
      </c>
      <c r="E7446" s="10" t="str">
        <f ca="1">IFERROR(__xludf.DUMMYFUNCTION("""COMPUTED_VALUE"""),"Open Journal of Social Sciences, Vol. 2, № 8, 2014, pp. 160-171. ISSN Print: 2327-5952 ISSN Online: 2327-5960.")</f>
        <v>Open Journal of Social Sciences, Vol. 2, № 8, 2014, pp. 160-171. ISSN Print: 2327-5952 ISSN Online: 2327-5960.</v>
      </c>
      <c r="F7446" s="10"/>
      <c r="G7446" s="10" t="str">
        <f ca="1">IFERROR(__xludf.DUMMYFUNCTION("""COMPUTED_VALUE"""),"Р. Кръстева, Т. Тренчева, С. Ефтимова, Т. Тодорова")</f>
        <v>Р. Кръстева, Т. Тренчева, С. Ефтимова, Т. Тодорова</v>
      </c>
      <c r="H7446" s="10"/>
      <c r="I7446" s="10"/>
      <c r="J7446" s="10"/>
      <c r="K7446" s="10"/>
      <c r="L7446" s="10"/>
      <c r="M7446" s="10"/>
      <c r="N7446" s="10"/>
      <c r="O7446" s="10"/>
      <c r="P7446" s="10"/>
      <c r="Q7446" s="10"/>
      <c r="R7446" s="10"/>
      <c r="S7446" s="10"/>
      <c r="T7446" s="10"/>
      <c r="U7446" s="10"/>
      <c r="V7446" s="10"/>
      <c r="W7446" s="10"/>
      <c r="X7446" s="10"/>
      <c r="Y7446" s="10"/>
      <c r="Z7446" s="10"/>
    </row>
    <row r="7447" spans="1:26" ht="12.75">
      <c r="A7447" s="10" t="str">
        <f ca="1">IFERROR(__xludf.DUMMYFUNCTION("""COMPUTED_VALUE"""),"Събина Кирилова Ефтимова")</f>
        <v>Събина Кирилова Ефтимова</v>
      </c>
      <c r="B7447" s="10" t="str">
        <f ca="1">IFERROR(__xludf.DUMMYFUNCTION("""COMPUTED_VALUE"""),"Доклад от конференция")</f>
        <v>Доклад от конференция</v>
      </c>
      <c r="C7447" s="10" t="str">
        <f ca="1">IFERROR(__xludf.DUMMYFUNCTION("""COMPUTED_VALUE"""),"Развитие на компетенциите през целия живот")</f>
        <v>Развитие на компетенциите през целия живот</v>
      </c>
      <c r="D7447" s="10">
        <f ca="1">IFERROR(__xludf.DUMMYFUNCTION("""COMPUTED_VALUE"""),2014)</f>
        <v>2014</v>
      </c>
      <c r="E7447" s="10" t="str">
        <f ca="1">IFERROR(__xludf.DUMMYFUNCTION("""COMPUTED_VALUE"""),"Нови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181-185. ISSN 1313-2768")</f>
        <v>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181-185. ISSN 1313-2768</v>
      </c>
      <c r="F744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47" s="10" t="str">
        <f ca="1">IFERROR(__xludf.DUMMYFUNCTION("""COMPUTED_VALUE"""),"Тереза Тренчева")</f>
        <v>Тереза Тренчева</v>
      </c>
      <c r="H7447" s="10"/>
      <c r="I7447" s="10"/>
      <c r="J7447" s="10"/>
      <c r="K7447" s="10"/>
      <c r="L7447" s="10"/>
      <c r="M7447" s="10"/>
      <c r="N7447" s="10"/>
      <c r="O7447" s="10"/>
      <c r="P7447" s="10"/>
      <c r="Q7447" s="10"/>
      <c r="R7447" s="10"/>
      <c r="S7447" s="10"/>
      <c r="T7447" s="10"/>
      <c r="U7447" s="10"/>
      <c r="V7447" s="10"/>
      <c r="W7447" s="10"/>
      <c r="X7447" s="10"/>
      <c r="Y7447" s="10"/>
      <c r="Z7447" s="10"/>
    </row>
    <row r="7448" spans="1:26" ht="12.75">
      <c r="A7448" s="10" t="str">
        <f ca="1">IFERROR(__xludf.DUMMYFUNCTION("""COMPUTED_VALUE"""),"Събина Кирилова Ефтимова")</f>
        <v>Събина Кирилова Ефтимова</v>
      </c>
      <c r="B7448" s="10" t="str">
        <f ca="1">IFERROR(__xludf.DUMMYFUNCTION("""COMPUTED_VALUE"""),"Доклад от конференция")</f>
        <v>Доклад от конференция</v>
      </c>
      <c r="C7448" s="10" t="str">
        <f ca="1">IFERROR(__xludf.DUMMYFUNCTION("""COMPUTED_VALUE"""),"Отношение на българските студенти към интелектуалната собственост в дигитална среда")</f>
        <v>Отношение на българските студенти към интелектуалната собственост в дигитална среда</v>
      </c>
      <c r="D7448" s="10">
        <f ca="1">IFERROR(__xludf.DUMMYFUNCTION("""COMPUTED_VALUE"""),2014)</f>
        <v>2014</v>
      </c>
      <c r="E7448" s="10" t="str">
        <f ca="1">IFERROR(__xludf.DUMMYFUNCTION("""COMPUTED_VALUE"""),"Интелектуалната собственост в XXI век : Българският опит в творческите и информационни индустрии : Сборник с доклади от Научен семинар, 28 април 2014 г., Университет по библиотекознание и информационни технологии / Състав. Тереза Тренчева, Събина Ефтимова"&amp;"; Науч. ред. Таня Тодорова; Науч. рец. Георги Димитров. – София : За буквите – О писменехь, 2014, с. 49-63. ISBN: 978-619-185-019-8")</f>
        <v>Интелектуалната собственост в XXI век : Българският опит в творческите и информационни индустрии : Сборник с доклади от Научен семинар, 28 април 2014 г., Университет по библиотекознание и информационни технологии / Състав. Тереза Тренчева, Събина Ефтимова; Науч. ред. Таня Тодорова; Науч. рец. Георги Димитров. – София : За буквите – О писменехь, 2014, с. 49-63. ISBN: 978-619-185-019-8</v>
      </c>
      <c r="F744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48" s="10" t="str">
        <f ca="1">IFERROR(__xludf.DUMMYFUNCTION("""COMPUTED_VALUE"""),"Тереза Тренчева, Росица Кръстева")</f>
        <v>Тереза Тренчева, Росица Кръстева</v>
      </c>
      <c r="H7448" s="10"/>
      <c r="I7448" s="10"/>
      <c r="J7448" s="10"/>
      <c r="K7448" s="10"/>
      <c r="L7448" s="10"/>
      <c r="M7448" s="10"/>
      <c r="N7448" s="10"/>
      <c r="O7448" s="10"/>
      <c r="P7448" s="10"/>
      <c r="Q7448" s="10"/>
      <c r="R7448" s="10"/>
      <c r="S7448" s="10"/>
      <c r="T7448" s="10"/>
      <c r="U7448" s="10"/>
      <c r="V7448" s="10"/>
      <c r="W7448" s="10"/>
      <c r="X7448" s="10"/>
      <c r="Y7448" s="10"/>
      <c r="Z7448" s="10"/>
    </row>
    <row r="7449" spans="1:26" ht="12.75">
      <c r="A7449" s="10" t="str">
        <f ca="1">IFERROR(__xludf.DUMMYFUNCTION("""COMPUTED_VALUE"""),"Събина Кирилова Ефтимова")</f>
        <v>Събина Кирилова Ефтимова</v>
      </c>
      <c r="B7449" s="10" t="str">
        <f ca="1">IFERROR(__xludf.DUMMYFUNCTION("""COMPUTED_VALUE"""),"Статия в списания и поредици")</f>
        <v>Статия в списания и поредици</v>
      </c>
      <c r="C7449" s="10" t="str">
        <f ca="1">IFERROR(__xludf.DUMMYFUNCTION("""COMPUTED_VALUE"""),"Nature and specifics of library pedagogy")</f>
        <v>Nature and specifics of library pedagogy</v>
      </c>
      <c r="D7449" s="10">
        <f ca="1">IFERROR(__xludf.DUMMYFUNCTION("""COMPUTED_VALUE"""),2014)</f>
        <v>2014</v>
      </c>
      <c r="E7449" s="10" t="str">
        <f ca="1">IFERROR(__xludf.DUMMYFUNCTION("""COMPUTED_VALUE"""),"Development of an information environment to motivate and stimulate young researchers in SULSIT : Collections of papers and publications of doctoral and postdoctoral students. Sofia, 2014, p. 222-227.")</f>
        <v>Development of an information environment to motivate and stimulate young researchers in SULSIT : Collections of papers and publications of doctoral and postdoctoral students. Sofia, 2014, p. 222-227.</v>
      </c>
      <c r="F7449" s="10"/>
      <c r="G7449" s="10"/>
      <c r="H7449" s="10"/>
      <c r="I7449" s="10"/>
      <c r="J7449" s="10"/>
      <c r="K7449" s="10"/>
      <c r="L7449" s="10"/>
      <c r="M7449" s="10"/>
      <c r="N7449" s="10"/>
      <c r="O7449" s="10"/>
      <c r="P7449" s="10"/>
      <c r="Q7449" s="10"/>
      <c r="R7449" s="10"/>
      <c r="S7449" s="10"/>
      <c r="T7449" s="10"/>
      <c r="U7449" s="10"/>
      <c r="V7449" s="10"/>
      <c r="W7449" s="10"/>
      <c r="X7449" s="10"/>
      <c r="Y7449" s="10"/>
      <c r="Z7449" s="10"/>
    </row>
    <row r="7450" spans="1:26" ht="12.75">
      <c r="A7450" s="10" t="str">
        <f ca="1">IFERROR(__xludf.DUMMYFUNCTION("""COMPUTED_VALUE"""),"Събина Кирилова Ефтимова")</f>
        <v>Събина Кирилова Ефтимова</v>
      </c>
      <c r="B7450" s="10" t="str">
        <f ca="1">IFERROR(__xludf.DUMMYFUNCTION("""COMPUTED_VALUE"""),"Доклад от конференция")</f>
        <v>Доклад от конференция</v>
      </c>
      <c r="C7450" s="10" t="str">
        <f ca="1">IFERROR(__xludf.DUMMYFUNCTION("""COMPUTED_VALUE"""),"Библиотерапията в образователен контекст")</f>
        <v>Библиотерапията в образователен контекст</v>
      </c>
      <c r="D7450" s="10">
        <f ca="1">IFERROR(__xludf.DUMMYFUNCTION("""COMPUTED_VALUE"""),2013)</f>
        <v>2013</v>
      </c>
      <c r="E7450" s="10" t="str">
        <f ca="1">IFERROR(__xludf.DUMMYFUNCTION("""COMPUTED_VALUE"""),"Образование и технологии, 2013, № 4, с. 144-146. ISSN 1314–1791")</f>
        <v>Образование и технологии, 2013, № 4, с. 144-146. ISSN 1314–1791</v>
      </c>
      <c r="F745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0" s="10"/>
      <c r="H7450" s="10"/>
      <c r="I7450" s="10"/>
      <c r="J7450" s="10"/>
      <c r="K7450" s="10"/>
      <c r="L7450" s="10"/>
      <c r="M7450" s="10"/>
      <c r="N7450" s="10"/>
      <c r="O7450" s="10"/>
      <c r="P7450" s="10"/>
      <c r="Q7450" s="10"/>
      <c r="R7450" s="10"/>
      <c r="S7450" s="10"/>
      <c r="T7450" s="10"/>
      <c r="U7450" s="10"/>
      <c r="V7450" s="10"/>
      <c r="W7450" s="10"/>
      <c r="X7450" s="10"/>
      <c r="Y7450" s="10"/>
      <c r="Z7450" s="10"/>
    </row>
    <row r="7451" spans="1:26" ht="12.75">
      <c r="A7451" s="10" t="str">
        <f ca="1">IFERROR(__xludf.DUMMYFUNCTION("""COMPUTED_VALUE"""),"Събина Кирилова Ефтимова")</f>
        <v>Събина Кирилова Ефтимова</v>
      </c>
      <c r="B7451" s="10" t="str">
        <f ca="1">IFERROR(__xludf.DUMMYFUNCTION("""COMPUTED_VALUE"""),"Доклад от конференция")</f>
        <v>Доклад от конференция</v>
      </c>
      <c r="C7451" s="10" t="str">
        <f ca="1">IFERROR(__xludf.DUMMYFUNCTION("""COMPUTED_VALUE"""),"Зараждане на библиотерапията")</f>
        <v>Зараждане на библиотерапията</v>
      </c>
      <c r="D7451" s="10">
        <f ca="1">IFERROR(__xludf.DUMMYFUNCTION("""COMPUTED_VALUE"""),2013)</f>
        <v>2013</v>
      </c>
      <c r="E7451"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с.115-124. ISSN 1314-7323")</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с.115-124. ISSN 1314-7323</v>
      </c>
      <c r="F745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1" s="10"/>
      <c r="H7451" s="10"/>
      <c r="I7451" s="10"/>
      <c r="J7451" s="10"/>
      <c r="K7451" s="10"/>
      <c r="L7451" s="10"/>
      <c r="M7451" s="10"/>
      <c r="N7451" s="10"/>
      <c r="O7451" s="10"/>
      <c r="P7451" s="10"/>
      <c r="Q7451" s="10"/>
      <c r="R7451" s="10"/>
      <c r="S7451" s="10"/>
      <c r="T7451" s="10"/>
      <c r="U7451" s="10"/>
      <c r="V7451" s="10"/>
      <c r="W7451" s="10"/>
      <c r="X7451" s="10"/>
      <c r="Y7451" s="10"/>
      <c r="Z7451" s="10"/>
    </row>
    <row r="7452" spans="1:26" ht="12.75">
      <c r="A7452" s="10" t="str">
        <f ca="1">IFERROR(__xludf.DUMMYFUNCTION("""COMPUTED_VALUE"""),"Събина Кирилова Ефтимова")</f>
        <v>Събина Кирилова Ефтимова</v>
      </c>
      <c r="B7452" s="10" t="str">
        <f ca="1">IFERROR(__xludf.DUMMYFUNCTION("""COMPUTED_VALUE"""),"Доклад от конференция")</f>
        <v>Доклад от конференция</v>
      </c>
      <c r="C7452" s="10" t="str">
        <f ca="1">IFERROR(__xludf.DUMMYFUNCTION("""COMPUTED_VALUE"""),"Нематериалното културно наследство")</f>
        <v>Нематериалното културно наследство</v>
      </c>
      <c r="D7452" s="10">
        <f ca="1">IFERROR(__xludf.DUMMYFUNCTION("""COMPUTED_VALUE"""),2013)</f>
        <v>2013</v>
      </c>
      <c r="E7452" s="10" t="str">
        <f ca="1">IFERROR(__xludf.DUMMYFUNCTION("""COMPUTED_VALUE"""),"Дигиталното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Силви"&amp;"я Станчева; Науч. ред. Иванка Янкова; Ред. кол. Иванка Янкова, С. Райчевски, Таня Тодорова. – София : За буквите – О писменехь, 2013, с. 118-123. ISBN 978-954-2946-64-9")</f>
        <v>Дигиталното настояще и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Метрополитън хотел, София / Състав. Румелина Василева, Силвия Станчева; Науч. ред. Иванка Янкова; Ред. кол. Иванка Янкова, С. Райчевски, Таня Тодорова. – София : За буквите – О писменехь, 2013, с. 118-123. ISBN 978-954-2946-64-9</v>
      </c>
      <c r="F745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2" s="10"/>
      <c r="H7452" s="10"/>
      <c r="I7452" s="10"/>
      <c r="J7452" s="10"/>
      <c r="K7452" s="10"/>
      <c r="L7452" s="10"/>
      <c r="M7452" s="10"/>
      <c r="N7452" s="10"/>
      <c r="O7452" s="10"/>
      <c r="P7452" s="10"/>
      <c r="Q7452" s="10"/>
      <c r="R7452" s="10"/>
      <c r="S7452" s="10"/>
      <c r="T7452" s="10"/>
      <c r="U7452" s="10"/>
      <c r="V7452" s="10"/>
      <c r="W7452" s="10"/>
      <c r="X7452" s="10"/>
      <c r="Y7452" s="10"/>
      <c r="Z7452" s="10"/>
    </row>
    <row r="7453" spans="1:26" ht="12.75">
      <c r="A7453" s="10" t="str">
        <f ca="1">IFERROR(__xludf.DUMMYFUNCTION("""COMPUTED_VALUE"""),"Събина Кирилова Ефтимова")</f>
        <v>Събина Кирилова Ефтимова</v>
      </c>
      <c r="B7453" s="10" t="str">
        <f ca="1">IFERROR(__xludf.DUMMYFUNCTION("""COMPUTED_VALUE"""),"Доклад от конференция")</f>
        <v>Доклад от конференция</v>
      </c>
      <c r="C7453" s="10" t="str">
        <f ca="1">IFERROR(__xludf.DUMMYFUNCTION("""COMPUTED_VALUE"""),"Интелектуалната собственост и университетите в България")</f>
        <v>Интелектуалната собственост и университетите в България</v>
      </c>
      <c r="D7453" s="10">
        <f ca="1">IFERROR(__xludf.DUMMYFUNCTION("""COMPUTED_VALUE"""),2013)</f>
        <v>2013</v>
      </c>
      <c r="E7453" s="10" t="str">
        <f ca="1">IFERROR(__xludf.DUMMYFUNCTION("""COMPUTED_VALUE"""),"Обществото на знанието и хуманизмът на ХХІ век : Десета национална научна конференция с международно участие, София, 1 ноември 2012 г. – София : За буквите – О писменехь, 2013, с.287-292. ISSN 1314-7099")</f>
        <v>Обществото на знанието и хуманизмът на ХХІ век : Десета национална научна конференция с международно участие, София, 1 ноември 2012 г. – София : За буквите – О писменехь, 2013, с.287-292. ISSN 1314-7099</v>
      </c>
      <c r="F745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3" s="10" t="str">
        <f ca="1">IFERROR(__xludf.DUMMYFUNCTION("""COMPUTED_VALUE"""),"Тереза Тренчева")</f>
        <v>Тереза Тренчева</v>
      </c>
      <c r="H7453" s="10"/>
      <c r="I7453" s="10"/>
      <c r="J7453" s="10"/>
      <c r="K7453" s="10"/>
      <c r="L7453" s="10"/>
      <c r="M7453" s="10"/>
      <c r="N7453" s="10"/>
      <c r="O7453" s="10"/>
      <c r="P7453" s="10"/>
      <c r="Q7453" s="10"/>
      <c r="R7453" s="10"/>
      <c r="S7453" s="10"/>
      <c r="T7453" s="10"/>
      <c r="U7453" s="10"/>
      <c r="V7453" s="10"/>
      <c r="W7453" s="10"/>
      <c r="X7453" s="10"/>
      <c r="Y7453" s="10"/>
      <c r="Z7453" s="10"/>
    </row>
    <row r="7454" spans="1:26" ht="12.75">
      <c r="A7454" s="10" t="str">
        <f ca="1">IFERROR(__xludf.DUMMYFUNCTION("""COMPUTED_VALUE"""),"Събина Кирилова Ефтимова")</f>
        <v>Събина Кирилова Ефтимова</v>
      </c>
      <c r="B7454" s="10" t="str">
        <f ca="1">IFERROR(__xludf.DUMMYFUNCTION("""COMPUTED_VALUE"""),"Доклад от конференция")</f>
        <v>Доклад от конференция</v>
      </c>
      <c r="C7454" s="10" t="str">
        <f ca="1">IFERROR(__xludf.DUMMYFUNCTION("""COMPUTED_VALUE"""),"Споделянето на книги – културен феномен")</f>
        <v>Споделянето на книги – културен феномен</v>
      </c>
      <c r="D7454" s="10">
        <f ca="1">IFERROR(__xludf.DUMMYFUNCTION("""COMPUTED_VALUE"""),2013)</f>
        <v>2013</v>
      </c>
      <c r="E7454" s="10" t="str">
        <f ca="1">IFERROR(__xludf.DUMMYFUNCTION("""COMPUTED_VALUE"""),"Библиотеки, четене, комуникации : Единадесета национална научна конференция с международно участие, Велико Търново, 16-17 ноем. 2012 г., посветена на 20-годишнината на катедра „Библиотекознание и масови комуникации” при Стопански факултет на ВТУ „Св.Св. К"&amp;"ирил и Методий”. – Велико Търново : УИ „Св. Св. Кирил и Методий”, 2013, с. 271-275. ISSN 1313-8138")</f>
        <v>Библиотеки, четене, комуникации : Единадесета национална научна конференция с международно участие, Велико Търново, 16-17 ноем. 2012 г., посветена на 20-годишнината на катедра „Библиотекознание и масови комуникации” при Стопански факултет на ВТУ „Св.Св. Кирил и Методий”. – Велико Търново : УИ „Св. Св. Кирил и Методий”, 2013, с. 271-275. ISSN 1313-8138</v>
      </c>
      <c r="F745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4" s="10"/>
      <c r="H7454" s="10"/>
      <c r="I7454" s="10"/>
      <c r="J7454" s="10"/>
      <c r="K7454" s="10"/>
      <c r="L7454" s="10"/>
      <c r="M7454" s="10"/>
      <c r="N7454" s="10"/>
      <c r="O7454" s="10"/>
      <c r="P7454" s="10"/>
      <c r="Q7454" s="10"/>
      <c r="R7454" s="10"/>
      <c r="S7454" s="10"/>
      <c r="T7454" s="10"/>
      <c r="U7454" s="10"/>
      <c r="V7454" s="10"/>
      <c r="W7454" s="10"/>
      <c r="X7454" s="10"/>
      <c r="Y7454" s="10"/>
      <c r="Z7454" s="10"/>
    </row>
    <row r="7455" spans="1:26" ht="12.75">
      <c r="A7455" s="10" t="str">
        <f ca="1">IFERROR(__xludf.DUMMYFUNCTION("""COMPUTED_VALUE"""),"Събина Кирилова Ефтимова")</f>
        <v>Събина Кирилова Ефтимова</v>
      </c>
      <c r="B7455" s="10" t="str">
        <f ca="1">IFERROR(__xludf.DUMMYFUNCTION("""COMPUTED_VALUE"""),"Доклад от конференция")</f>
        <v>Доклад от конференция</v>
      </c>
      <c r="C7455" s="10" t="str">
        <f ca="1">IFERROR(__xludf.DUMMYFUNCTION("""COMPUTED_VALUE"""),"Персийската литература за деца")</f>
        <v>Персийската литература за деца</v>
      </c>
      <c r="D7455" s="10">
        <f ca="1">IFERROR(__xludf.DUMMYFUNCTION("""COMPUTED_VALUE"""),2012)</f>
        <v>2012</v>
      </c>
      <c r="E7455"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81-87. ISBN 978-954-2946-30-4")</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81-87. ISBN 978-954-2946-30-4</v>
      </c>
      <c r="F745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5" s="10"/>
      <c r="H7455" s="10"/>
      <c r="I7455" s="10"/>
      <c r="J7455" s="10"/>
      <c r="K7455" s="10"/>
      <c r="L7455" s="10"/>
      <c r="M7455" s="10"/>
      <c r="N7455" s="10"/>
      <c r="O7455" s="10"/>
      <c r="P7455" s="10"/>
      <c r="Q7455" s="10"/>
      <c r="R7455" s="10"/>
      <c r="S7455" s="10"/>
      <c r="T7455" s="10"/>
      <c r="U7455" s="10"/>
      <c r="V7455" s="10"/>
      <c r="W7455" s="10"/>
      <c r="X7455" s="10"/>
      <c r="Y7455" s="10"/>
      <c r="Z7455" s="10"/>
    </row>
    <row r="7456" spans="1:26" ht="12.75">
      <c r="A7456" s="10" t="str">
        <f ca="1">IFERROR(__xludf.DUMMYFUNCTION("""COMPUTED_VALUE"""),"Събина Кирилова Ефтимова")</f>
        <v>Събина Кирилова Ефтимова</v>
      </c>
      <c r="B7456" s="10" t="str">
        <f ca="1">IFERROR(__xludf.DUMMYFUNCTION("""COMPUTED_VALUE"""),"Статия в списания и поредици")</f>
        <v>Статия в списания и поредици</v>
      </c>
      <c r="C7456" s="10" t="str">
        <f ca="1">IFERROR(__xludf.DUMMYFUNCTION("""COMPUTED_VALUE"""),"Добри практики в статията на Езра Шилоба Гибахе „Стратегии за дигитално съхранение: Изследване на национални информационни центрове в Нигерия”")</f>
        <v>Добри практики в статията на Езра Шилоба Гибахе „Стратегии за дигитално съхранение: Изследване на национални информационни центрове в Нигерия”</v>
      </c>
      <c r="D7456" s="10">
        <f ca="1">IFERROR(__xludf.DUMMYFUNCTION("""COMPUTED_VALUE"""),2012)</f>
        <v>2012</v>
      </c>
      <c r="E7456" s="10" t="str">
        <f ca="1">IFERROR(__xludf.DUMMYFUNCTION("""COMPUTED_VALUE"""),"Чуждестранни иновативни модели и добри практики от областта на библиотекознанието, печатните комуникации и културно-историческото наследство : Сборник от Научно ателие за млади учени и докторанти, София, 20 юни 2012 г. / Състав. Иванка Янкова, Жоржета Наз"&amp;"ърска [Електронен ресурс]. – София : За буквите – О писменехь, 2012, с. 50-60. ISBN 978-954-2946-39-7")</f>
        <v>Чуждестранни иновативни модели и добри практики от областта на библиотекознанието, печатните комуникации и културно-историческото наследство : Сборник от Научно ателие за млади учени и докторанти, София, 20 юни 2012 г. / Състав. Иванка Янкова, Жоржета Назърска [Електронен ресурс]. – София : За буквите – О писменехь, 2012, с. 50-60. ISBN 978-954-2946-39-7</v>
      </c>
      <c r="F745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6" s="10"/>
      <c r="H7456" s="10"/>
      <c r="I7456" s="10"/>
      <c r="J7456" s="10"/>
      <c r="K7456" s="10"/>
      <c r="L7456" s="10"/>
      <c r="M7456" s="10"/>
      <c r="N7456" s="10"/>
      <c r="O7456" s="10"/>
      <c r="P7456" s="10"/>
      <c r="Q7456" s="10"/>
      <c r="R7456" s="10"/>
      <c r="S7456" s="10"/>
      <c r="T7456" s="10"/>
      <c r="U7456" s="10"/>
      <c r="V7456" s="10"/>
      <c r="W7456" s="10"/>
      <c r="X7456" s="10"/>
      <c r="Y7456" s="10"/>
      <c r="Z7456" s="10"/>
    </row>
    <row r="7457" spans="1:26" ht="12.75">
      <c r="A7457" s="10" t="str">
        <f ca="1">IFERROR(__xludf.DUMMYFUNCTION("""COMPUTED_VALUE"""),"Събина Кирилова Ефтимова")</f>
        <v>Събина Кирилова Ефтимова</v>
      </c>
      <c r="B7457" s="10" t="str">
        <f ca="1">IFERROR(__xludf.DUMMYFUNCTION("""COMPUTED_VALUE"""),"Статия в списания и поредици")</f>
        <v>Статия в списания и поредици</v>
      </c>
      <c r="C7457" s="10" t="str">
        <f ca="1">IFERROR(__xludf.DUMMYFUNCTION("""COMPUTED_VALUE"""),"Живот, посветен на книгата и на духовността българска : Филм-портрет на Петър Парижков")</f>
        <v>Живот, посветен на книгата и на духовността българска : Филм-портрет на Петър Парижков</v>
      </c>
      <c r="D7457" s="10">
        <f ca="1">IFERROR(__xludf.DUMMYFUNCTION("""COMPUTED_VALUE"""),2012)</f>
        <v>2012</v>
      </c>
      <c r="E7457" s="10" t="str">
        <f ca="1">IFERROR(__xludf.DUMMYFUNCTION("""COMPUTED_VALUE"""),"Научни изследвания, 2012, № 3, с. 3-12.")</f>
        <v>Научни изследвания, 2012, № 3, с. 3-12.</v>
      </c>
      <c r="F7457" s="10"/>
      <c r="G7457" s="10" t="str">
        <f ca="1">IFERROR(__xludf.DUMMYFUNCTION("""COMPUTED_VALUE"""),"Соня Спасова, Любомира Парижкова")</f>
        <v>Соня Спасова, Любомира Парижкова</v>
      </c>
      <c r="H7457" s="10"/>
      <c r="I7457" s="10"/>
      <c r="J7457" s="10"/>
      <c r="K7457" s="10"/>
      <c r="L7457" s="10"/>
      <c r="M7457" s="10"/>
      <c r="N7457" s="10"/>
      <c r="O7457" s="10"/>
      <c r="P7457" s="10"/>
      <c r="Q7457" s="10"/>
      <c r="R7457" s="10"/>
      <c r="S7457" s="10"/>
      <c r="T7457" s="10"/>
      <c r="U7457" s="10"/>
      <c r="V7457" s="10"/>
      <c r="W7457" s="10"/>
      <c r="X7457" s="10"/>
      <c r="Y7457" s="10"/>
      <c r="Z7457" s="10"/>
    </row>
    <row r="7458" spans="1:26" ht="12.75">
      <c r="A7458" s="10" t="str">
        <f ca="1">IFERROR(__xludf.DUMMYFUNCTION("""COMPUTED_VALUE"""),"Събина Кирилова Ефтимова")</f>
        <v>Събина Кирилова Ефтимова</v>
      </c>
      <c r="B7458" s="10" t="str">
        <f ca="1">IFERROR(__xludf.DUMMYFUNCTION("""COMPUTED_VALUE"""),"Доклад от конференция")</f>
        <v>Доклад от конференция</v>
      </c>
      <c r="C7458" s="10" t="str">
        <f ca="1">IFERROR(__xludf.DUMMYFUNCTION("""COMPUTED_VALUE"""),"Предимства на библиотерапията при работа с деца с аутизъм")</f>
        <v>Предимства на библиотерапията при работа с деца с аутизъм</v>
      </c>
      <c r="D7458" s="10">
        <f ca="1">IFERROR(__xludf.DUMMYFUNCTION("""COMPUTED_VALUE"""),2012)</f>
        <v>2012</v>
      </c>
      <c r="E7458" s="10" t="str">
        <f ca="1">IFERROR(__xludf.DUMMYFUNCTION("""COMPUTED_VALUE"""),"Библиотеки, четене, комуникации : Десета национална научна конференция с международно участие, Велико Търново, 17-18 ноем. 2011 г., посветена на 60-годишнината на проф. д-р Алберт Бенбасат. – Велико Търново : УИ „Св. Св. Кирил и Методий”, 2012, с. 254-262"&amp;". ISSN 1313-8138")</f>
        <v>Библиотеки, четене, комуникации : Десета национална научна конференция с международно участие, Велико Търново, 17-18 ноем. 2011 г., посветена на 60-годишнината на проф. д-р Алберт Бенбасат. – Велико Търново : УИ „Св. Св. Кирил и Методий”, 2012, с. 254-262. ISSN 1313-8138</v>
      </c>
      <c r="F745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58" s="10"/>
      <c r="H7458" s="10"/>
      <c r="I7458" s="10"/>
      <c r="J7458" s="10"/>
      <c r="K7458" s="10"/>
      <c r="L7458" s="10"/>
      <c r="M7458" s="10"/>
      <c r="N7458" s="10"/>
      <c r="O7458" s="10"/>
      <c r="P7458" s="10"/>
      <c r="Q7458" s="10"/>
      <c r="R7458" s="10"/>
      <c r="S7458" s="10"/>
      <c r="T7458" s="10"/>
      <c r="U7458" s="10"/>
      <c r="V7458" s="10"/>
      <c r="W7458" s="10"/>
      <c r="X7458" s="10"/>
      <c r="Y7458" s="10"/>
      <c r="Z7458" s="10"/>
    </row>
    <row r="7459" spans="1:26" ht="12.75">
      <c r="A7459" s="10" t="str">
        <f ca="1">IFERROR(__xludf.DUMMYFUNCTION("""COMPUTED_VALUE"""),"Събина Кирилова Ефтимова")</f>
        <v>Събина Кирилова Ефтимова</v>
      </c>
      <c r="B7459" s="10" t="str">
        <f ca="1">IFERROR(__xludf.DUMMYFUNCTION("""COMPUTED_VALUE"""),"Статия в списания и поредици")</f>
        <v>Статия в списания и поредици</v>
      </c>
      <c r="C7459" s="10" t="str">
        <f ca="1">IFERROR(__xludf.DUMMYFUNCTION("""COMPUTED_VALUE"""),"Накратко за библиотерапията")</f>
        <v>Накратко за библиотерапията</v>
      </c>
      <c r="D7459" s="10">
        <f ca="1">IFERROR(__xludf.DUMMYFUNCTION("""COMPUTED_VALUE"""),2012)</f>
        <v>2012</v>
      </c>
      <c r="E7459" s="10" t="str">
        <f ca="1">IFERROR(__xludf.DUMMYFUNCTION("""COMPUTED_VALUE"""),"ББИА онлайн, II, № 2, 2012, с. 56-60. ISSN 1314-7285")</f>
        <v>ББИА онлайн, II, № 2, 2012, с. 56-60. ISSN 1314-7285</v>
      </c>
      <c r="F7459" s="10"/>
      <c r="G7459" s="10"/>
      <c r="H7459" s="10"/>
      <c r="I7459" s="10"/>
      <c r="J7459" s="10"/>
      <c r="K7459" s="10"/>
      <c r="L7459" s="10"/>
      <c r="M7459" s="10"/>
      <c r="N7459" s="10"/>
      <c r="O7459" s="10"/>
      <c r="P7459" s="10"/>
      <c r="Q7459" s="10"/>
      <c r="R7459" s="10"/>
      <c r="S7459" s="10"/>
      <c r="T7459" s="10"/>
      <c r="U7459" s="10"/>
      <c r="V7459" s="10"/>
      <c r="W7459" s="10"/>
      <c r="X7459" s="10"/>
      <c r="Y7459" s="10"/>
      <c r="Z7459" s="10"/>
    </row>
    <row r="7460" spans="1:26" ht="12.75">
      <c r="A7460" s="10" t="str">
        <f ca="1">IFERROR(__xludf.DUMMYFUNCTION("""COMPUTED_VALUE"""),"Събина Кирилова Ефтимова")</f>
        <v>Събина Кирилова Ефтимова</v>
      </c>
      <c r="B7460" s="10" t="str">
        <f ca="1">IFERROR(__xludf.DUMMYFUNCTION("""COMPUTED_VALUE"""),"Доклад от конференция")</f>
        <v>Доклад от конференция</v>
      </c>
      <c r="C7460" s="10" t="str">
        <f ca="1">IFERROR(__xludf.DUMMYFUNCTION("""COMPUTED_VALUE"""),"Освободените книги")</f>
        <v>Освободените книги</v>
      </c>
      <c r="D7460" s="10">
        <f ca="1">IFERROR(__xludf.DUMMYFUNCTION("""COMPUTED_VALUE"""),2012)</f>
        <v>2012</v>
      </c>
      <c r="E7460" s="10" t="str">
        <f ca="1">IFERROR(__xludf.DUMMYFUNCTION("""COMPUTED_VALUE"""),"Образование и технологии, 2012, № 3, с. 119-120. ISSN 1314–1791")</f>
        <v>Образование и технологии, 2012, № 3, с. 119-120. ISSN 1314–1791</v>
      </c>
      <c r="F746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0" s="10" t="str">
        <f ca="1">IFERROR(__xludf.DUMMYFUNCTION("""COMPUTED_VALUE"""),"Соня Спасова")</f>
        <v>Соня Спасова</v>
      </c>
      <c r="H7460" s="10"/>
      <c r="I7460" s="10"/>
      <c r="J7460" s="10"/>
      <c r="K7460" s="10"/>
      <c r="L7460" s="10"/>
      <c r="M7460" s="10"/>
      <c r="N7460" s="10"/>
      <c r="O7460" s="10"/>
      <c r="P7460" s="10"/>
      <c r="Q7460" s="10"/>
      <c r="R7460" s="10"/>
      <c r="S7460" s="10"/>
      <c r="T7460" s="10"/>
      <c r="U7460" s="10"/>
      <c r="V7460" s="10"/>
      <c r="W7460" s="10"/>
      <c r="X7460" s="10"/>
      <c r="Y7460" s="10"/>
      <c r="Z7460" s="10"/>
    </row>
    <row r="7461" spans="1:26" ht="12.75">
      <c r="A7461" s="10" t="str">
        <f ca="1">IFERROR(__xludf.DUMMYFUNCTION("""COMPUTED_VALUE"""),"Събина Кирилова Ефтимова")</f>
        <v>Събина Кирилова Ефтимова</v>
      </c>
      <c r="B7461" s="10" t="str">
        <f ca="1">IFERROR(__xludf.DUMMYFUNCTION("""COMPUTED_VALUE"""),"Доклад от конференция")</f>
        <v>Доклад от конференция</v>
      </c>
      <c r="C7461" s="10" t="str">
        <f ca="1">IFERROR(__xludf.DUMMYFUNCTION("""COMPUTED_VALUE"""),"Библиотерапевтичните текстове")</f>
        <v>Библиотерапевтичните текстове</v>
      </c>
      <c r="D7461" s="10">
        <f ca="1">IFERROR(__xludf.DUMMYFUNCTION("""COMPUTED_VALUE"""),2012)</f>
        <v>2012</v>
      </c>
      <c r="E7461"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104-111. ISSN 1314-7323")</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104-111. ISSN 1314-7323</v>
      </c>
      <c r="F746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1" s="10"/>
      <c r="H7461" s="10"/>
      <c r="I7461" s="10"/>
      <c r="J7461" s="10"/>
      <c r="K7461" s="10"/>
      <c r="L7461" s="10"/>
      <c r="M7461" s="10"/>
      <c r="N7461" s="10"/>
      <c r="O7461" s="10"/>
      <c r="P7461" s="10"/>
      <c r="Q7461" s="10"/>
      <c r="R7461" s="10"/>
      <c r="S7461" s="10"/>
      <c r="T7461" s="10"/>
      <c r="U7461" s="10"/>
      <c r="V7461" s="10"/>
      <c r="W7461" s="10"/>
      <c r="X7461" s="10"/>
      <c r="Y7461" s="10"/>
      <c r="Z7461" s="10"/>
    </row>
    <row r="7462" spans="1:26" ht="12.75">
      <c r="A7462" s="10" t="str">
        <f ca="1">IFERROR(__xludf.DUMMYFUNCTION("""COMPUTED_VALUE"""),"Събина Кирилова Ефтимова")</f>
        <v>Събина Кирилова Ефтимова</v>
      </c>
      <c r="B7462" s="10" t="str">
        <f ca="1">IFERROR(__xludf.DUMMYFUNCTION("""COMPUTED_VALUE"""),"Доклад от конференция")</f>
        <v>Доклад от конференция</v>
      </c>
      <c r="C7462" s="10" t="str">
        <f ca="1">IFERROR(__xludf.DUMMYFUNCTION("""COMPUTED_VALUE"""),"Живот, посветен на книгата и на духовността българска")</f>
        <v>Живот, посветен на книгата и на духовността българска</v>
      </c>
      <c r="D7462" s="10">
        <f ca="1">IFERROR(__xludf.DUMMYFUNCTION("""COMPUTED_VALUE"""),2012)</f>
        <v>2012</v>
      </c>
      <c r="E7462"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15-20. ISSN 1314-7323")</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15-20. ISSN 1314-7323</v>
      </c>
      <c r="F746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2" s="10" t="str">
        <f ca="1">IFERROR(__xludf.DUMMYFUNCTION("""COMPUTED_VALUE"""),"Соня Спасова, Любомира Парижкова")</f>
        <v>Соня Спасова, Любомира Парижкова</v>
      </c>
      <c r="H7462" s="10"/>
      <c r="I7462" s="10"/>
      <c r="J7462" s="10"/>
      <c r="K7462" s="10"/>
      <c r="L7462" s="10"/>
      <c r="M7462" s="10"/>
      <c r="N7462" s="10"/>
      <c r="O7462" s="10"/>
      <c r="P7462" s="10"/>
      <c r="Q7462" s="10"/>
      <c r="R7462" s="10"/>
      <c r="S7462" s="10"/>
      <c r="T7462" s="10"/>
      <c r="U7462" s="10"/>
      <c r="V7462" s="10"/>
      <c r="W7462" s="10"/>
      <c r="X7462" s="10"/>
      <c r="Y7462" s="10"/>
      <c r="Z7462" s="10"/>
    </row>
    <row r="7463" spans="1:26" ht="12.75">
      <c r="A7463" s="10" t="str">
        <f ca="1">IFERROR(__xludf.DUMMYFUNCTION("""COMPUTED_VALUE"""),"Събина Кирилова Ефтимова")</f>
        <v>Събина Кирилова Ефтимова</v>
      </c>
      <c r="B7463" s="10" t="str">
        <f ca="1">IFERROR(__xludf.DUMMYFUNCTION("""COMPUTED_VALUE"""),"Доклад от конференция")</f>
        <v>Доклад от конференция</v>
      </c>
      <c r="C7463" s="10" t="str">
        <f ca="1">IFERROR(__xludf.DUMMYFUNCTION("""COMPUTED_VALUE"""),"Граматика на фантазията : Изкуството да измисляме истории, които лекуват (90 години от рождението на Джани Родари)")</f>
        <v>Граматика на фантазията : Изкуството да измисляме истории, които лекуват (90 години от рождението на Джани Родари)</v>
      </c>
      <c r="D7463" s="10">
        <f ca="1">IFERROR(__xludf.DUMMYFUNCTION("""COMPUTED_VALUE"""),2011)</f>
        <v>2011</v>
      </c>
      <c r="E7463" s="10" t="str">
        <f ca="1">IFERROR(__xludf.DUMMYFUNCTION("""COMPUTED_VALUE"""),"Библиотеки, четене, комуникации : Девета национална научна конференция с международно участие, Велико Търново, 17-18 ноем. 2010 г., посветена на 65 годишнината на проф. Мария Младенова. – Велико Търново : УИ „Св. Св. Кирил и Методий”, 2011, с. 332-336. IS"&amp;"SN 1313-8138")</f>
        <v>Библиотеки, четене, комуникации : Девета национална научна конференция с международно участие, Велико Търново, 17-18 ноем. 2010 г., посветена на 65 годишнината на проф. Мария Младенова. – Велико Търново : УИ „Св. Св. Кирил и Методий”, 2011, с. 332-336. ISSN 1313-8138</v>
      </c>
      <c r="F746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3" s="10"/>
      <c r="H7463" s="10"/>
      <c r="I7463" s="10"/>
      <c r="J7463" s="10"/>
      <c r="K7463" s="10"/>
      <c r="L7463" s="10"/>
      <c r="M7463" s="10"/>
      <c r="N7463" s="10"/>
      <c r="O7463" s="10"/>
      <c r="P7463" s="10"/>
      <c r="Q7463" s="10"/>
      <c r="R7463" s="10"/>
      <c r="S7463" s="10"/>
      <c r="T7463" s="10"/>
      <c r="U7463" s="10"/>
      <c r="V7463" s="10"/>
      <c r="W7463" s="10"/>
      <c r="X7463" s="10"/>
      <c r="Y7463" s="10"/>
      <c r="Z7463" s="10"/>
    </row>
    <row r="7464" spans="1:26" ht="12.75">
      <c r="A7464" s="10" t="str">
        <f ca="1">IFERROR(__xludf.DUMMYFUNCTION("""COMPUTED_VALUE"""),"Събина Кирилова Ефтимова")</f>
        <v>Събина Кирилова Ефтимова</v>
      </c>
      <c r="B7464" s="10" t="str">
        <f ca="1">IFERROR(__xludf.DUMMYFUNCTION("""COMPUTED_VALUE"""),"Доклад от конференция")</f>
        <v>Доклад от конференция</v>
      </c>
      <c r="C7464" s="10" t="str">
        <f ca="1">IFERROR(__xludf.DUMMYFUNCTION("""COMPUTED_VALUE"""),"Да управляваш бъдещето")</f>
        <v>Да управляваш бъдещето</v>
      </c>
      <c r="D7464" s="10">
        <f ca="1">IFERROR(__xludf.DUMMYFUNCTION("""COMPUTED_VALUE"""),2011)</f>
        <v>2011</v>
      </c>
      <c r="E7464" s="10" t="str">
        <f ca="1">IFERROR(__xludf.DUMMYFUNCTION("""COMPUTED_VALUE"""),"Библиотечният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Иванка Янкова, Таня Тодорова; Ред. Румелина Василева; Рец"&amp;". Стоян Денчев. – София : За буквите – О писменехь, 2011, с. 293-298. ISBN 978-954-2946-14-4")</f>
        <v>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Иванка Янкова, Таня Тодорова; Ред. Румелина Василева; Рец. Стоян Денчев. – София : За буквите – О писменехь, 2011, с. 293-298. ISBN 978-954-2946-14-4</v>
      </c>
      <c r="F7464" s="10"/>
      <c r="G7464" s="10"/>
      <c r="H7464" s="10"/>
      <c r="I7464" s="10"/>
      <c r="J7464" s="10"/>
      <c r="K7464" s="10"/>
      <c r="L7464" s="10"/>
      <c r="M7464" s="10"/>
      <c r="N7464" s="10"/>
      <c r="O7464" s="10"/>
      <c r="P7464" s="10"/>
      <c r="Q7464" s="10"/>
      <c r="R7464" s="10"/>
      <c r="S7464" s="10"/>
      <c r="T7464" s="10"/>
      <c r="U7464" s="10"/>
      <c r="V7464" s="10"/>
      <c r="W7464" s="10"/>
      <c r="X7464" s="10"/>
      <c r="Y7464" s="10"/>
      <c r="Z7464" s="10"/>
    </row>
    <row r="7465" spans="1:26" ht="12.75">
      <c r="A7465" s="10" t="str">
        <f ca="1">IFERROR(__xludf.DUMMYFUNCTION("""COMPUTED_VALUE"""),"Събина Кирилова Ефтимова")</f>
        <v>Събина Кирилова Ефтимова</v>
      </c>
      <c r="B7465" s="10" t="str">
        <f ca="1">IFERROR(__xludf.DUMMYFUNCTION("""COMPUTED_VALUE"""),"Доклад от конференция")</f>
        <v>Доклад от конференция</v>
      </c>
      <c r="C7465" s="10" t="str">
        <f ca="1">IFERROR(__xludf.DUMMYFUNCTION("""COMPUTED_VALUE"""),"Информационна картина на феномена „ценност”: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f>
        <v>Информационна картина на феномена „ценност”: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v>
      </c>
      <c r="D7465" s="10">
        <f ca="1">IFERROR(__xludf.DUMMYFUNCTION("""COMPUTED_VALUE"""),2011)</f>
        <v>2011</v>
      </c>
      <c r="E7465" s="10" t="str">
        <f ca="1">IFERROR(__xludf.DUMMYFUNCTION("""COMPUTED_VALUE"""),"Трудове на Студентското научно общество при Специализираното висше училище по библиотекознание и информационни технологии, Т. 6. – София : За буквите – О Писменехь, 2011, с. 158-179 ISSN 1314-2526")</f>
        <v>Трудове на Студентското научно общество при Специализираното висше училище по библиотекознание и информационни технологии, Т. 6. – София : За буквите – О Писменехь, 2011, с. 158-179 ISSN 1314-2526</v>
      </c>
      <c r="F746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5" s="10" t="str">
        <f ca="1">IFERROR(__xludf.DUMMYFUNCTION("""COMPUTED_VALUE"""),"Стоян Денчев, Таня Тодорова, Пламена Златкова, Елена Игнатова, Мария Никова, Боряна Николова")</f>
        <v>Стоян Денчев, Таня Тодорова, Пламена Златкова, Елена Игнатова, Мария Никова, Боряна Николова</v>
      </c>
      <c r="H7465" s="10"/>
      <c r="I7465" s="10"/>
      <c r="J7465" s="10"/>
      <c r="K7465" s="10"/>
      <c r="L7465" s="10"/>
      <c r="M7465" s="10"/>
      <c r="N7465" s="10"/>
      <c r="O7465" s="10"/>
      <c r="P7465" s="10"/>
      <c r="Q7465" s="10"/>
      <c r="R7465" s="10"/>
      <c r="S7465" s="10"/>
      <c r="T7465" s="10"/>
      <c r="U7465" s="10"/>
      <c r="V7465" s="10"/>
      <c r="W7465" s="10"/>
      <c r="X7465" s="10"/>
      <c r="Y7465" s="10"/>
      <c r="Z7465" s="10"/>
    </row>
    <row r="7466" spans="1:26" ht="12.75">
      <c r="A7466" s="10" t="str">
        <f ca="1">IFERROR(__xludf.DUMMYFUNCTION("""COMPUTED_VALUE"""),"Събина Кирилова Ефтимова")</f>
        <v>Събина Кирилова Ефтимова</v>
      </c>
      <c r="B7466" s="10" t="str">
        <f ca="1">IFERROR(__xludf.DUMMYFUNCTION("""COMPUTED_VALUE"""),"Доклад от конференция")</f>
        <v>Доклад от конференция</v>
      </c>
      <c r="C7466" s="10" t="str">
        <f ca="1">IFERROR(__xludf.DUMMYFUNCTION("""COMPUTED_VALUE"""),"Информационна картина на феномена „информация” :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f>
        <v>Информационна картина на феномена „информация” :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v>
      </c>
      <c r="D7466" s="10">
        <f ca="1">IFERROR(__xludf.DUMMYFUNCTION("""COMPUTED_VALUE"""),2010)</f>
        <v>2010</v>
      </c>
      <c r="E7466" s="10" t="str">
        <f ca="1">IFERROR(__xludf.DUMMYFUNCTION("""COMPUTED_VALUE"""),"Трудове на Студентското научно общество при Специализираното висше училище по библиотекознание и информационни технологии, Т. 5. – София : За буквите – О Писменехь, 2010, с. 61-72. ISSN 1314-2526")</f>
        <v>Трудове на Студентското научно общество при Специализираното висше училище по библиотекознание и информационни технологии, Т. 5. – София : За буквите – О Писменехь, 2010, с. 61-72. ISSN 1314-2526</v>
      </c>
      <c r="F746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6" s="10" t="str">
        <f ca="1">IFERROR(__xludf.DUMMYFUNCTION("""COMPUTED_VALUE"""),"Стоян Денчев, Таня Тодорова, Пламена Златкова, Елена Игнатова, Мария Никова")</f>
        <v>Стоян Денчев, Таня Тодорова, Пламена Златкова, Елена Игнатова, Мария Никова</v>
      </c>
      <c r="H7466" s="10"/>
      <c r="I7466" s="10"/>
      <c r="J7466" s="10"/>
      <c r="K7466" s="10"/>
      <c r="L7466" s="10"/>
      <c r="M7466" s="10"/>
      <c r="N7466" s="10"/>
      <c r="O7466" s="10"/>
      <c r="P7466" s="10"/>
      <c r="Q7466" s="10"/>
      <c r="R7466" s="10"/>
      <c r="S7466" s="10"/>
      <c r="T7466" s="10"/>
      <c r="U7466" s="10"/>
      <c r="V7466" s="10"/>
      <c r="W7466" s="10"/>
      <c r="X7466" s="10"/>
      <c r="Y7466" s="10"/>
      <c r="Z7466" s="10"/>
    </row>
    <row r="7467" spans="1:26" ht="12.75">
      <c r="A7467" s="10" t="str">
        <f ca="1">IFERROR(__xludf.DUMMYFUNCTION("""COMPUTED_VALUE"""),"Събина Кирилова Ефтимова")</f>
        <v>Събина Кирилова Ефтимова</v>
      </c>
      <c r="B7467" s="10" t="str">
        <f ca="1">IFERROR(__xludf.DUMMYFUNCTION("""COMPUTED_VALUE"""),"Статия в списания и поредици")</f>
        <v>Статия в списания и поредици</v>
      </c>
      <c r="C7467" s="10" t="str">
        <f ca="1">IFERROR(__xludf.DUMMYFUNCTION("""COMPUTED_VALUE"""),"Библиотерапията като форма на работа с малолетни и непълнолетни правонарушители")</f>
        <v>Библиотерапията като форма на работа с малолетни и непълнолетни правонарушители</v>
      </c>
      <c r="D7467" s="10">
        <f ca="1">IFERROR(__xludf.DUMMYFUNCTION("""COMPUTED_VALUE"""),2010)</f>
        <v>2010</v>
      </c>
      <c r="E7467" s="10" t="str">
        <f ca="1">IFERROR(__xludf.DUMMYFUNCTION("""COMPUTED_VALUE"""),"Библиотеки, четене, комуникации : Осма национална научна конференция с международно участие, Велико Търново, 17-18 ноем. 2009 г., посветена на 120-годишнината от основаването на библиотеката. – Велико Търново : УИ „Св. Св. Кирил и Методий”, 2010, с. 221-2"&amp;"25. ISSN 1313-8138")</f>
        <v>Библиотеки, четене, комуникации : Осма национална научна конференция с международно участие, Велико Търново, 17-18 ноем. 2009 г., посветена на 120-годишнината от основаването на библиотеката. – Велико Търново : УИ „Св. Св. Кирил и Методий”, 2010, с. 221-225. ISSN 1313-8138</v>
      </c>
      <c r="F7467" s="10"/>
      <c r="G7467" s="10"/>
      <c r="H7467" s="10"/>
      <c r="I7467" s="10"/>
      <c r="J7467" s="10"/>
      <c r="K7467" s="10"/>
      <c r="L7467" s="10"/>
      <c r="M7467" s="10"/>
      <c r="N7467" s="10"/>
      <c r="O7467" s="10"/>
      <c r="P7467" s="10"/>
      <c r="Q7467" s="10"/>
      <c r="R7467" s="10"/>
      <c r="S7467" s="10"/>
      <c r="T7467" s="10"/>
      <c r="U7467" s="10"/>
      <c r="V7467" s="10"/>
      <c r="W7467" s="10"/>
      <c r="X7467" s="10"/>
      <c r="Y7467" s="10"/>
      <c r="Z7467" s="10"/>
    </row>
    <row r="7468" spans="1:26" ht="12.75">
      <c r="A7468" s="10" t="str">
        <f ca="1">IFERROR(__xludf.DUMMYFUNCTION("""COMPUTED_VALUE"""),"Събина Кирилова Ефтимова")</f>
        <v>Събина Кирилова Ефтимова</v>
      </c>
      <c r="B7468" s="10" t="str">
        <f ca="1">IFERROR(__xludf.DUMMYFUNCTION("""COMPUTED_VALUE"""),"Статия в списания и поредици")</f>
        <v>Статия в списания и поредици</v>
      </c>
      <c r="C7468" s="10" t="str">
        <f ca="1">IFERROR(__xludf.DUMMYFUNCTION("""COMPUTED_VALUE"""),"Конфликтологичната култура на библиотечния специалист като аспект на междуличностните отношения в съвременната библиотека")</f>
        <v>Конфликтологичната култура на библиотечния специалист като аспект на междуличностните отношения в съвременната библиотека</v>
      </c>
      <c r="D7468" s="10">
        <f ca="1">IFERROR(__xludf.DUMMYFUNCTION("""COMPUTED_VALUE"""),2010)</f>
        <v>2010</v>
      </c>
      <c r="E7468" s="10" t="str">
        <f ca="1">IFERROR(__xludf.DUMMYFUNCTION("""COMPUTED_VALUE"""),"Tрудове на Специализирано висше училище по библиотекознание и информационни технологии, Т. 8, 2010. – София : За буквите – О писменехь, 2010, с. 433-442. ISSN 1312-5834")</f>
        <v>Tрудове на Специализирано висше училище по библиотекознание и информационни технологии, Т. 8, 2010. – София : За буквите – О писменехь, 2010, с. 433-442. ISSN 1312-5834</v>
      </c>
      <c r="F746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8" s="10" t="str">
        <f ca="1">IFERROR(__xludf.DUMMYFUNCTION("""COMPUTED_VALUE"""),"Елена Игнатова")</f>
        <v>Елена Игнатова</v>
      </c>
      <c r="H7468" s="10"/>
      <c r="I7468" s="10"/>
      <c r="J7468" s="10"/>
      <c r="K7468" s="10"/>
      <c r="L7468" s="10"/>
      <c r="M7468" s="10"/>
      <c r="N7468" s="10"/>
      <c r="O7468" s="10"/>
      <c r="P7468" s="10"/>
      <c r="Q7468" s="10"/>
      <c r="R7468" s="10"/>
      <c r="S7468" s="10"/>
      <c r="T7468" s="10"/>
      <c r="U7468" s="10"/>
      <c r="V7468" s="10"/>
      <c r="W7468" s="10"/>
      <c r="X7468" s="10"/>
      <c r="Y7468" s="10"/>
      <c r="Z7468" s="10"/>
    </row>
    <row r="7469" spans="1:26" ht="12.75">
      <c r="A7469" s="10" t="str">
        <f ca="1">IFERROR(__xludf.DUMMYFUNCTION("""COMPUTED_VALUE"""),"Събина Кирилова Ефтимова")</f>
        <v>Събина Кирилова Ефтимова</v>
      </c>
      <c r="B7469" s="10" t="str">
        <f ca="1">IFERROR(__xludf.DUMMYFUNCTION("""COMPUTED_VALUE"""),"Доклад от конференция")</f>
        <v>Доклад от конференция</v>
      </c>
      <c r="C7469" s="10" t="str">
        <f ca="1">IFERROR(__xludf.DUMMYFUNCTION("""COMPUTED_VALUE"""),"Полифункционална роля на комуникациите в библиотечно-информационна среда")</f>
        <v>Полифункционална роля на комуникациите в библиотечно-информационна среда</v>
      </c>
      <c r="D7469" s="10">
        <f ca="1">IFERROR(__xludf.DUMMYFUNCTION("""COMPUTED_VALUE"""),2010)</f>
        <v>2010</v>
      </c>
      <c r="E7469" s="10" t="str">
        <f ca="1">IFERROR(__xludf.DUMMYFUNCTION("""COMPUTED_VALUE"""),"Библиотеки, четене, комуникации : Осма национална научна конференция с международно участие, Велико Търново, 17-18 ноем. 2009 г., посветена на 120-годишнината от основаването на библиотеката. – Велико Търново : УИ „Св. Св. Кирил и Методий”, 2010, с. 208-2"&amp;"13. ISSN 1313-8138")</f>
        <v>Библиотеки, четене, комуникации : Осма национална научна конференция с международно участие, Велико Търново, 17-18 ноем. 2009 г., посветена на 120-годишнината от основаването на библиотеката. – Велико Търново : УИ „Св. Св. Кирил и Методий”, 2010, с. 208-213. ISSN 1313-8138</v>
      </c>
      <c r="F746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69" s="10" t="str">
        <f ca="1">IFERROR(__xludf.DUMMYFUNCTION("""COMPUTED_VALUE"""),"Елена Игнатова")</f>
        <v>Елена Игнатова</v>
      </c>
      <c r="H7469" s="10"/>
      <c r="I7469" s="10"/>
      <c r="J7469" s="10"/>
      <c r="K7469" s="10"/>
      <c r="L7469" s="10"/>
      <c r="M7469" s="10"/>
      <c r="N7469" s="10"/>
      <c r="O7469" s="10"/>
      <c r="P7469" s="10"/>
      <c r="Q7469" s="10"/>
      <c r="R7469" s="10"/>
      <c r="S7469" s="10"/>
      <c r="T7469" s="10"/>
      <c r="U7469" s="10"/>
      <c r="V7469" s="10"/>
      <c r="W7469" s="10"/>
      <c r="X7469" s="10"/>
      <c r="Y7469" s="10"/>
      <c r="Z7469" s="10"/>
    </row>
    <row r="7470" spans="1:26" ht="12.75">
      <c r="A7470" s="10" t="str">
        <f ca="1">IFERROR(__xludf.DUMMYFUNCTION("""COMPUTED_VALUE"""),"Събина Кирилова Ефтимова")</f>
        <v>Събина Кирилова Ефтимова</v>
      </c>
      <c r="B7470" s="10" t="str">
        <f ca="1">IFERROR(__xludf.DUMMYFUNCTION("""COMPUTED_VALUE"""),"Доклад от конференция")</f>
        <v>Доклад от конференция</v>
      </c>
      <c r="C7470" s="10" t="str">
        <f ca="1">IFERROR(__xludf.DUMMYFUNCTION("""COMPUTED_VALUE"""),"Иновационни техники, прилагани от библиотечния мениджър. Терапия с книги – възможност за съвременната библиотека")</f>
        <v>Иновационни техники, прилагани от библиотечния мениджър. Терапия с книги – възможност за съвременната библиотека</v>
      </c>
      <c r="D7470" s="10">
        <f ca="1">IFERROR(__xludf.DUMMYFUNCTION("""COMPUTED_VALUE"""),2010)</f>
        <v>2010</v>
      </c>
      <c r="E7470" s="10" t="str">
        <f ca="1">IFERROR(__xludf.DUMMYFUNCTION("""COMPUTED_VALUE"""),"Библиотечният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Състав"&amp;". Мариана Петева; Науч. ред. Иванка Янкова; Редкол. Иванка Янкова, Таня Тодорова, Румелина Василева. – Шумен : Фабер, 2010, с. 234-243. ISBN 978-954-400-249-7")</f>
        <v>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 Мариана Петева; Науч. ред. Иванка Янкова; Редкол. Иванка Янкова, Таня Тодорова, Румелина Василева. – Шумен : Фабер, 2010, с. 234-243. ISBN 978-954-400-249-7</v>
      </c>
      <c r="F747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0" s="10"/>
      <c r="H7470" s="10"/>
      <c r="I7470" s="10"/>
      <c r="J7470" s="10"/>
      <c r="K7470" s="10"/>
      <c r="L7470" s="10"/>
      <c r="M7470" s="10"/>
      <c r="N7470" s="10"/>
      <c r="O7470" s="10"/>
      <c r="P7470" s="10"/>
      <c r="Q7470" s="10"/>
      <c r="R7470" s="10"/>
      <c r="S7470" s="10"/>
      <c r="T7470" s="10"/>
      <c r="U7470" s="10"/>
      <c r="V7470" s="10"/>
      <c r="W7470" s="10"/>
      <c r="X7470" s="10"/>
      <c r="Y7470" s="10"/>
      <c r="Z7470" s="10"/>
    </row>
    <row r="7471" spans="1:26" ht="12.75">
      <c r="A7471" s="10" t="str">
        <f ca="1">IFERROR(__xludf.DUMMYFUNCTION("""COMPUTED_VALUE"""),"Събина Кирилова Ефтимова")</f>
        <v>Събина Кирилова Ефтимова</v>
      </c>
      <c r="B7471" s="10" t="str">
        <f ca="1">IFERROR(__xludf.DUMMYFUNCTION("""COMPUTED_VALUE"""),"Доклад от конференция")</f>
        <v>Доклад от конференция</v>
      </c>
      <c r="C7471" s="10" t="str">
        <f ca="1">IFERROR(__xludf.DUMMYFUNCTION("""COMPUTED_VALUE"""),"Същност на стила на библиотечния мениджър")</f>
        <v>Същност на стила на библиотечния мениджър</v>
      </c>
      <c r="D7471" s="10">
        <f ca="1">IFERROR(__xludf.DUMMYFUNCTION("""COMPUTED_VALUE"""),2010)</f>
        <v>2010</v>
      </c>
      <c r="E7471" s="10" t="str">
        <f ca="1">IFERROR(__xludf.DUMMYFUNCTION("""COMPUTED_VALUE"""),"Нови информационни технологии в образователния процес : Доклади и съобщения от Четвъртия научен семинар на СВУБИТ, Хисаря, 27-29 март 2009 г. – София : За буквите – О писменехь, 2010, с. 109-117. ISSN 1313-2768")</f>
        <v>Нови информационни технологии в образователния процес : Доклади и съобщения от Четвъртия научен семинар на СВУБИТ, Хисаря, 27-29 март 2009 г. – София : За буквите – О писменехь, 2010, с. 109-117. ISSN 1313-2768</v>
      </c>
      <c r="F747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1" s="10"/>
      <c r="H7471" s="10"/>
      <c r="I7471" s="10"/>
      <c r="J7471" s="10"/>
      <c r="K7471" s="10"/>
      <c r="L7471" s="10"/>
      <c r="M7471" s="10"/>
      <c r="N7471" s="10"/>
      <c r="O7471" s="10"/>
      <c r="P7471" s="10"/>
      <c r="Q7471" s="10"/>
      <c r="R7471" s="10"/>
      <c r="S7471" s="10"/>
      <c r="T7471" s="10"/>
      <c r="U7471" s="10"/>
      <c r="V7471" s="10"/>
      <c r="W7471" s="10"/>
      <c r="X7471" s="10"/>
      <c r="Y7471" s="10"/>
      <c r="Z7471" s="10"/>
    </row>
    <row r="7472" spans="1:26" ht="12.75">
      <c r="A7472" s="10" t="str">
        <f ca="1">IFERROR(__xludf.DUMMYFUNCTION("""COMPUTED_VALUE"""),"Събина Кирилова Ефтимова")</f>
        <v>Събина Кирилова Ефтимова</v>
      </c>
      <c r="B7472" s="10" t="str">
        <f ca="1">IFERROR(__xludf.DUMMYFUNCTION("""COMPUTED_VALUE"""),"Доклад от конференция")</f>
        <v>Доклад от конференция</v>
      </c>
      <c r="C7472" s="10" t="str">
        <f ca="1">IFERROR(__xludf.DUMMYFUNCTION("""COMPUTED_VALUE"""),"Книгата като лечител на душата: Библиотерапията – форма на работа с деца със специални потребности")</f>
        <v>Книгата като лечител на душата: Библиотерапията – форма на работа с деца със специални потребности</v>
      </c>
      <c r="D7472" s="10">
        <f ca="1">IFERROR(__xludf.DUMMYFUNCTION("""COMPUTED_VALUE"""),2010)</f>
        <v>2010</v>
      </c>
      <c r="E7472" s="10" t="str">
        <f ca="1">IFERROR(__xludf.DUMMYFUNCTION("""COMPUTED_VALUE"""),"България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255-259. ISBN 978-954-8887-91-5")</f>
        <v>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255-259. ISBN 978-954-8887-91-5</v>
      </c>
      <c r="F747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2" s="10"/>
      <c r="H7472" s="10"/>
      <c r="I7472" s="10"/>
      <c r="J7472" s="10"/>
      <c r="K7472" s="10"/>
      <c r="L7472" s="10"/>
      <c r="M7472" s="10"/>
      <c r="N7472" s="10"/>
      <c r="O7472" s="10"/>
      <c r="P7472" s="10"/>
      <c r="Q7472" s="10"/>
      <c r="R7472" s="10"/>
      <c r="S7472" s="10"/>
      <c r="T7472" s="10"/>
      <c r="U7472" s="10"/>
      <c r="V7472" s="10"/>
      <c r="W7472" s="10"/>
      <c r="X7472" s="10"/>
      <c r="Y7472" s="10"/>
      <c r="Z7472" s="10"/>
    </row>
    <row r="7473" spans="1:26" ht="12.75">
      <c r="A7473" s="10" t="str">
        <f ca="1">IFERROR(__xludf.DUMMYFUNCTION("""COMPUTED_VALUE"""),"Събина Кирилова Ефтимова")</f>
        <v>Събина Кирилова Ефтимова</v>
      </c>
      <c r="B7473" s="10" t="str">
        <f ca="1">IFERROR(__xludf.DUMMYFUNCTION("""COMPUTED_VALUE"""),"Доклад от конференция")</f>
        <v>Доклад от конференция</v>
      </c>
      <c r="C7473" s="10" t="str">
        <f ca="1">IFERROR(__xludf.DUMMYFUNCTION("""COMPUTED_VALUE"""),"Специфика на междуличностните отношения в библиотеката")</f>
        <v>Специфика на междуличностните отношения в библиотеката</v>
      </c>
      <c r="D7473" s="10">
        <f ca="1">IFERROR(__xludf.DUMMYFUNCTION("""COMPUTED_VALUE"""),2010)</f>
        <v>2010</v>
      </c>
      <c r="E7473" s="10" t="str">
        <f ca="1">IFERROR(__xludf.DUMMYFUNCTION("""COMPUTED_VALUE"""),"Нови информационни технологии в образователния процес : Доклади и съобщения от Четвъртия научен семинар на СВУБИТ, Хисаря, 27-29 март 2009 г. – София : За буквите – О писменехь, 2010, с. 97-107. ISSN 1313-2768")</f>
        <v>Нови информационни технологии в образователния процес : Доклади и съобщения от Четвъртия научен семинар на СВУБИТ, Хисаря, 27-29 март 2009 г. – София : За буквите – О писменехь, 2010, с. 97-107. ISSN 1313-2768</v>
      </c>
      <c r="F747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3" s="10" t="str">
        <f ca="1">IFERROR(__xludf.DUMMYFUNCTION("""COMPUTED_VALUE"""),"Елена Игнатова")</f>
        <v>Елена Игнатова</v>
      </c>
      <c r="H7473" s="10"/>
      <c r="I7473" s="10"/>
      <c r="J7473" s="10"/>
      <c r="K7473" s="10"/>
      <c r="L7473" s="10"/>
      <c r="M7473" s="10"/>
      <c r="N7473" s="10"/>
      <c r="O7473" s="10"/>
      <c r="P7473" s="10"/>
      <c r="Q7473" s="10"/>
      <c r="R7473" s="10"/>
      <c r="S7473" s="10"/>
      <c r="T7473" s="10"/>
      <c r="U7473" s="10"/>
      <c r="V7473" s="10"/>
      <c r="W7473" s="10"/>
      <c r="X7473" s="10"/>
      <c r="Y7473" s="10"/>
      <c r="Z7473" s="10"/>
    </row>
    <row r="7474" spans="1:26" ht="12.75">
      <c r="A7474" s="10" t="str">
        <f ca="1">IFERROR(__xludf.DUMMYFUNCTION("""COMPUTED_VALUE"""),"Събина Кирилова Ефтимова")</f>
        <v>Събина Кирилова Ефтимова</v>
      </c>
      <c r="B7474" s="10" t="str">
        <f ca="1">IFERROR(__xludf.DUMMYFUNCTION("""COMPUTED_VALUE"""),"Доклад от конференция")</f>
        <v>Доклад от конференция</v>
      </c>
      <c r="C7474" s="10" t="str">
        <f ca="1">IFERROR(__xludf.DUMMYFUNCTION("""COMPUTED_VALUE"""),"Политика на библиотечния мениджър към обектите на авторското право")</f>
        <v>Политика на библиотечния мениджър към обектите на авторското право</v>
      </c>
      <c r="D7474" s="10">
        <f ca="1">IFERROR(__xludf.DUMMYFUNCTION("""COMPUTED_VALUE"""),2010)</f>
        <v>2010</v>
      </c>
      <c r="E7474" s="10" t="str">
        <f ca="1">IFERROR(__xludf.DUMMYFUNCTION("""COMPUTED_VALUE"""),"Библиотечният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Състав"&amp;". Мариана Петева; Науч. ред. Иванка Янкова; Редкол. Иванка Янкова, Таня Тодорова, Румелина Василева. – Шумен : Фабер, 2010, с. 102-110. ISBN 978-954-400-249-7")</f>
        <v>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 Мариана Петева; Науч. ред. Иванка Янкова; Редкол. Иванка Янкова, Таня Тодорова, Румелина Василева. – Шумен : Фабер, 2010, с. 102-110. ISBN 978-954-400-249-7</v>
      </c>
      <c r="F747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4" s="10" t="str">
        <f ca="1">IFERROR(__xludf.DUMMYFUNCTION("""COMPUTED_VALUE"""),"Тереза Тренчева")</f>
        <v>Тереза Тренчева</v>
      </c>
      <c r="H7474" s="10"/>
      <c r="I7474" s="10"/>
      <c r="J7474" s="10"/>
      <c r="K7474" s="10"/>
      <c r="L7474" s="10"/>
      <c r="M7474" s="10"/>
      <c r="N7474" s="10"/>
      <c r="O7474" s="10"/>
      <c r="P7474" s="10"/>
      <c r="Q7474" s="10"/>
      <c r="R7474" s="10"/>
      <c r="S7474" s="10"/>
      <c r="T7474" s="10"/>
      <c r="U7474" s="10"/>
      <c r="V7474" s="10"/>
      <c r="W7474" s="10"/>
      <c r="X7474" s="10"/>
      <c r="Y7474" s="10"/>
      <c r="Z7474" s="10"/>
    </row>
    <row r="7475" spans="1:26" ht="12.75">
      <c r="A7475" s="10" t="str">
        <f ca="1">IFERROR(__xludf.DUMMYFUNCTION("""COMPUTED_VALUE"""),"Събина Кирилова Ефтимова")</f>
        <v>Събина Кирилова Ефтимова</v>
      </c>
      <c r="B7475" s="10" t="str">
        <f ca="1">IFERROR(__xludf.DUMMYFUNCTION("""COMPUTED_VALUE"""),"Доклад от конференция")</f>
        <v>Доклад от конференция</v>
      </c>
      <c r="C7475" s="10" t="str">
        <f ca="1">IFERROR(__xludf.DUMMYFUNCTION("""COMPUTED_VALUE"""),"Специфика на управленските решения в библиотеката, интегрирани в съвременната информационна среда")</f>
        <v>Специфика на управленските решения в библиотеката, интегрирани в съвременната информационна среда</v>
      </c>
      <c r="D7475" s="10">
        <f ca="1">IFERROR(__xludf.DUMMYFUNCTION("""COMPUTED_VALUE"""),2010)</f>
        <v>2010</v>
      </c>
      <c r="E7475" s="10" t="str">
        <f ca="1">IFERROR(__xludf.DUMMYFUNCTION("""COMPUTED_VALUE"""),"Библиотечният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Състав"&amp;". Мариана Петева; Науч. ред. Иванка Янкова; Редкол. Иванка Янкова, Таня Тодорова, Румелина Василева. – Шумен : Фабер, 2010, с. 73-80. ISBN 978-954-400-249-7")</f>
        <v>Библиотечният мениджмънт – научни и практически аспекти : Сборник научни доклади и съобщения от Втора научна конференция с международно участие на тема „Библиотечният мениджмънт – научни и практически аспекти”, 26-27 ноември 2009 г., ДИПКУ, Варна / Състав. Мариана Петева; Науч. ред. Иванка Янкова; Редкол. Иванка Янкова, Таня Тодорова, Румелина Василева. – Шумен : Фабер, 2010, с. 73-80. ISBN 978-954-400-249-7</v>
      </c>
      <c r="F747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5" s="10" t="str">
        <f ca="1">IFERROR(__xludf.DUMMYFUNCTION("""COMPUTED_VALUE"""),"Елена Игнатова")</f>
        <v>Елена Игнатова</v>
      </c>
      <c r="H7475" s="10"/>
      <c r="I7475" s="10"/>
      <c r="J7475" s="10"/>
      <c r="K7475" s="10"/>
      <c r="L7475" s="10"/>
      <c r="M7475" s="10"/>
      <c r="N7475" s="10"/>
      <c r="O7475" s="10"/>
      <c r="P7475" s="10"/>
      <c r="Q7475" s="10"/>
      <c r="R7475" s="10"/>
      <c r="S7475" s="10"/>
      <c r="T7475" s="10"/>
      <c r="U7475" s="10"/>
      <c r="V7475" s="10"/>
      <c r="W7475" s="10"/>
      <c r="X7475" s="10"/>
      <c r="Y7475" s="10"/>
      <c r="Z7475" s="10"/>
    </row>
    <row r="7476" spans="1:26" ht="12.75">
      <c r="A7476" s="10" t="str">
        <f ca="1">IFERROR(__xludf.DUMMYFUNCTION("""COMPUTED_VALUE"""),"Събина Кирилова Ефтимова")</f>
        <v>Събина Кирилова Ефтимова</v>
      </c>
      <c r="B7476" s="10" t="str">
        <f ca="1">IFERROR(__xludf.DUMMYFUNCTION("""COMPUTED_VALUE"""),"Доклад от конференция")</f>
        <v>Доклад от конференция</v>
      </c>
      <c r="C7476" s="10" t="str">
        <f ca="1">IFERROR(__xludf.DUMMYFUNCTION("""COMPUTED_VALUE"""),"Искусство детской книги и библиотерапия")</f>
        <v>Искусство детской книги и библиотерапия</v>
      </c>
      <c r="D7476" s="10">
        <f ca="1">IFERROR(__xludf.DUMMYFUNCTION("""COMPUTED_VALUE"""),2010)</f>
        <v>2010</v>
      </c>
      <c r="E7476" s="10" t="str">
        <f ca="1">IFERROR(__xludf.DUMMYFUNCTION("""COMPUTED_VALUE"""),"Книжная культура : Опыт прошлого и проблемы современности : К 90-летию Научно-исследовательского института книговедения в Петрограде : Материалы Международной научной конференции Москва, 24-25 ноября 2010. – Москва : Наука, 2010, с.129-132.")</f>
        <v>Книжная культура : Опыт прошлого и проблемы современности : К 90-летию Научно-исследовательского института книговедения в Петрограде : Материалы Международной научной конференции Москва, 24-25 ноября 2010. – Москва : Наука, 2010, с.129-132.</v>
      </c>
      <c r="F7476" s="10"/>
      <c r="G7476" s="10"/>
      <c r="H7476" s="10"/>
      <c r="I7476" s="10"/>
      <c r="J7476" s="10"/>
      <c r="K7476" s="10"/>
      <c r="L7476" s="10"/>
      <c r="M7476" s="10"/>
      <c r="N7476" s="10"/>
      <c r="O7476" s="10"/>
      <c r="P7476" s="10"/>
      <c r="Q7476" s="10"/>
      <c r="R7476" s="10"/>
      <c r="S7476" s="10"/>
      <c r="T7476" s="10"/>
      <c r="U7476" s="10"/>
      <c r="V7476" s="10"/>
      <c r="W7476" s="10"/>
      <c r="X7476" s="10"/>
      <c r="Y7476" s="10"/>
      <c r="Z7476" s="10"/>
    </row>
    <row r="7477" spans="1:26" ht="12.75">
      <c r="A7477" s="10" t="str">
        <f ca="1">IFERROR(__xludf.DUMMYFUNCTION("""COMPUTED_VALUE"""),"Събина Кирилова Ефтимова")</f>
        <v>Събина Кирилова Ефтимова</v>
      </c>
      <c r="B7477" s="10" t="str">
        <f ca="1">IFERROR(__xludf.DUMMYFUNCTION("""COMPUTED_VALUE"""),"Доклад от конференция")</f>
        <v>Доклад от конференция</v>
      </c>
      <c r="C7477" s="10" t="str">
        <f ca="1">IFERROR(__xludf.DUMMYFUNCTION("""COMPUTED_VALUE"""),"Информационна картина на феномена „ценност”: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f>
        <v>Информационна картина на феномена „ценност”: Соц.-психол. и онтолог. дискурс (Емпир. изследване и теор. обобщение на Студентското науч. о-во при Специализираното висше у-ще по библиотекознание и информ. технологии)</v>
      </c>
      <c r="D7477" s="10">
        <f ca="1">IFERROR(__xludf.DUMMYFUNCTION("""COMPUTED_VALUE"""),2010)</f>
        <v>2010</v>
      </c>
      <c r="E7477" s="10" t="str">
        <f ca="1">IFERROR(__xludf.DUMMYFUNCTION("""COMPUTED_VALUE"""),"Трудове на Студентското научно общество при Специализираното висше училище по библиотекознание и информационни технологии, Т. 5. – София : За буквите – О Писменехь, 2010, с. 73-75. ISSN 1314-2526")</f>
        <v>Трудове на Студентското научно общество при Специализираното висше училище по библиотекознание и информационни технологии, Т. 5. – София : За буквите – О Писменехь, 2010, с. 73-75. ISSN 1314-2526</v>
      </c>
      <c r="F747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7" s="10" t="str">
        <f ca="1">IFERROR(__xludf.DUMMYFUNCTION("""COMPUTED_VALUE"""),"Стоян Денчев, Таня Тодорова, Пламена Златкова, Елена Игнатова, Мария Никова")</f>
        <v>Стоян Денчев, Таня Тодорова, Пламена Златкова, Елена Игнатова, Мария Никова</v>
      </c>
      <c r="H7477" s="10"/>
      <c r="I7477" s="10"/>
      <c r="J7477" s="10"/>
      <c r="K7477" s="10"/>
      <c r="L7477" s="10"/>
      <c r="M7477" s="10"/>
      <c r="N7477" s="10"/>
      <c r="O7477" s="10"/>
      <c r="P7477" s="10"/>
      <c r="Q7477" s="10"/>
      <c r="R7477" s="10"/>
      <c r="S7477" s="10"/>
      <c r="T7477" s="10"/>
      <c r="U7477" s="10"/>
      <c r="V7477" s="10"/>
      <c r="W7477" s="10"/>
      <c r="X7477" s="10"/>
      <c r="Y7477" s="10"/>
      <c r="Z7477" s="10"/>
    </row>
    <row r="7478" spans="1:26" ht="12.75">
      <c r="A7478" s="10" t="str">
        <f ca="1">IFERROR(__xludf.DUMMYFUNCTION("""COMPUTED_VALUE"""),"Събина Кирилова Ефтимова")</f>
        <v>Събина Кирилова Ефтимова</v>
      </c>
      <c r="B7478" s="10" t="str">
        <f ca="1">IFERROR(__xludf.DUMMYFUNCTION("""COMPUTED_VALUE"""),"Доклад от конференция")</f>
        <v>Доклад от конференция</v>
      </c>
      <c r="C7478" s="10" t="str">
        <f ca="1">IFERROR(__xludf.DUMMYFUNCTION("""COMPUTED_VALUE"""),"Приложение на съвременните библиотечно-информационни технологии в университетските библиотеки")</f>
        <v>Приложение на съвременните библиотечно-информационни технологии в университетските библиотеки</v>
      </c>
      <c r="D7478" s="10">
        <f ca="1">IFERROR(__xludf.DUMMYFUNCTION("""COMPUTED_VALUE"""),2010)</f>
        <v>2010</v>
      </c>
      <c r="E7478" s="10" t="str">
        <f ca="1">IFERROR(__xludf.DUMMYFUNCTION("""COMPUTED_VALUE"""),"България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472-476. ISBN 978-954-8887-91-5")</f>
        <v>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472-476. ISBN 978-954-8887-91-5</v>
      </c>
      <c r="F7478"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8" s="10" t="str">
        <f ca="1">IFERROR(__xludf.DUMMYFUNCTION("""COMPUTED_VALUE"""),"Елена Игнатова")</f>
        <v>Елена Игнатова</v>
      </c>
      <c r="H7478" s="10"/>
      <c r="I7478" s="10"/>
      <c r="J7478" s="10"/>
      <c r="K7478" s="10"/>
      <c r="L7478" s="10"/>
      <c r="M7478" s="10"/>
      <c r="N7478" s="10"/>
      <c r="O7478" s="10"/>
      <c r="P7478" s="10"/>
      <c r="Q7478" s="10"/>
      <c r="R7478" s="10"/>
      <c r="S7478" s="10"/>
      <c r="T7478" s="10"/>
      <c r="U7478" s="10"/>
      <c r="V7478" s="10"/>
      <c r="W7478" s="10"/>
      <c r="X7478" s="10"/>
      <c r="Y7478" s="10"/>
      <c r="Z7478" s="10"/>
    </row>
    <row r="7479" spans="1:26" ht="12.75">
      <c r="A7479" s="10" t="str">
        <f ca="1">IFERROR(__xludf.DUMMYFUNCTION("""COMPUTED_VALUE"""),"Събина Кирилова Ефтимова")</f>
        <v>Събина Кирилова Ефтимова</v>
      </c>
      <c r="B7479" s="10" t="str">
        <f ca="1">IFERROR(__xludf.DUMMYFUNCTION("""COMPUTED_VALUE"""),"Доклад от конференция")</f>
        <v>Доклад от конференция</v>
      </c>
      <c r="C7479" s="10" t="str">
        <f ca="1">IFERROR(__xludf.DUMMYFUNCTION("""COMPUTED_VALUE"""),"Анализ на управленската дейност на библиотечния мениджър")</f>
        <v>Анализ на управленската дейност на библиотечния мениджър</v>
      </c>
      <c r="D7479" s="10">
        <f ca="1">IFERROR(__xludf.DUMMYFUNCTION("""COMPUTED_VALUE"""),2009)</f>
        <v>2009</v>
      </c>
      <c r="E7479" s="10" t="str">
        <f ca="1">IFERROR(__xludf.DUMMYFUNCTION("""COMPUTED_VALUE"""),"Нови информационни технологии в образователния процес : Доклади и съобщения от Третия научен семинар на СВУБИТ, Слънчев бряг, 8-10 май 2008 г. – София : За буквите – О писменехь, 2009, с. 75-88. ISSN 1313-2768")</f>
        <v>Нови информационни технологии в образователния процес : Доклади и съобщения от Третия научен семинар на СВУБИТ, Слънчев бряг, 8-10 май 2008 г. – София : За буквите – О писменехь, 2009, с. 75-88. ISSN 1313-2768</v>
      </c>
      <c r="F747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79" s="10"/>
      <c r="H7479" s="10"/>
      <c r="I7479" s="10"/>
      <c r="J7479" s="10"/>
      <c r="K7479" s="10"/>
      <c r="L7479" s="10"/>
      <c r="M7479" s="10"/>
      <c r="N7479" s="10"/>
      <c r="O7479" s="10"/>
      <c r="P7479" s="10"/>
      <c r="Q7479" s="10"/>
      <c r="R7479" s="10"/>
      <c r="S7479" s="10"/>
      <c r="T7479" s="10"/>
      <c r="U7479" s="10"/>
      <c r="V7479" s="10"/>
      <c r="W7479" s="10"/>
      <c r="X7479" s="10"/>
      <c r="Y7479" s="10"/>
      <c r="Z7479" s="10"/>
    </row>
    <row r="7480" spans="1:26" ht="12.75">
      <c r="A7480" s="10" t="str">
        <f ca="1">IFERROR(__xludf.DUMMYFUNCTION("""COMPUTED_VALUE"""),"Събина Кирилова Ефтимова")</f>
        <v>Събина Кирилова Ефтимова</v>
      </c>
      <c r="B7480" s="10" t="str">
        <f ca="1">IFERROR(__xludf.DUMMYFUNCTION("""COMPUTED_VALUE"""),"Доклад от конференция")</f>
        <v>Доклад от конференция</v>
      </c>
      <c r="C7480" s="10" t="str">
        <f ca="1">IFERROR(__xludf.DUMMYFUNCTION("""COMPUTED_VALUE"""),"Научноизследователското творчество на членовете на Студентското научно общество на СВУБИТ")</f>
        <v>Научноизследователското творчество на членовете на Студентското научно общество на СВУБИТ</v>
      </c>
      <c r="D7480" s="10">
        <f ca="1">IFERROR(__xludf.DUMMYFUNCTION("""COMPUTED_VALUE"""),2009)</f>
        <v>2009</v>
      </c>
      <c r="E7480" s="10" t="str">
        <f ca="1">IFERROR(__xludf.DUMMYFUNCTION("""COMPUTED_VALUE"""),"Нови информационни технологии в образователния процес : Доклади и съобщения от Третия научен семинар на СВУБИТ, Слънчев бряг, 8-10 май 2008 г. – София : За буквите – О писменехь, 2009, с. 111-150. ISSN 1313-2768")</f>
        <v>Нови информационни технологии в образователния процес : Доклади и съобщения от Третия научен семинар на СВУБИТ, Слънчев бряг, 8-10 май 2008 г. – София : За буквите – О писменехь, 2009, с. 111-150. ISSN 1313-2768</v>
      </c>
      <c r="F748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0" s="10" t="str">
        <f ca="1">IFERROR(__xludf.DUMMYFUNCTION("""COMPUTED_VALUE"""),"Стоян Денчев, Иглика Гетова-Златева, Пламена Попова, Светла Шапкалова, Пламена Златкова, Елена Игнатова, Гергана Трифонова.")</f>
        <v>Стоян Денчев, Иглика Гетова-Златева, Пламена Попова, Светла Шапкалова, Пламена Златкова, Елена Игнатова, Гергана Трифонова.</v>
      </c>
      <c r="H7480" s="10"/>
      <c r="I7480" s="10"/>
      <c r="J7480" s="10"/>
      <c r="K7480" s="10"/>
      <c r="L7480" s="10"/>
      <c r="M7480" s="10"/>
      <c r="N7480" s="10"/>
      <c r="O7480" s="10"/>
      <c r="P7480" s="10"/>
      <c r="Q7480" s="10"/>
      <c r="R7480" s="10"/>
      <c r="S7480" s="10"/>
      <c r="T7480" s="10"/>
      <c r="U7480" s="10"/>
      <c r="V7480" s="10"/>
      <c r="W7480" s="10"/>
      <c r="X7480" s="10"/>
      <c r="Y7480" s="10"/>
      <c r="Z7480" s="10"/>
    </row>
    <row r="7481" spans="1:26" ht="12.75">
      <c r="A7481" s="10" t="str">
        <f ca="1">IFERROR(__xludf.DUMMYFUNCTION("""COMPUTED_VALUE"""),"Събина Кирилова Ефтимова")</f>
        <v>Събина Кирилова Ефтимова</v>
      </c>
      <c r="B7481" s="10" t="str">
        <f ca="1">IFERROR(__xludf.DUMMYFUNCTION("""COMPUTED_VALUE"""),"Доклад от конференция")</f>
        <v>Доклад от конференция</v>
      </c>
      <c r="C7481" s="10" t="str">
        <f ca="1">IFERROR(__xludf.DUMMYFUNCTION("""COMPUTED_VALUE"""),"Библиотерапията. Аспекти на информационното обслужване в съвременната библиотека [онлайн]")</f>
        <v>Библиотерапията. Аспекти на информационното обслужване в съвременната библиотека [онлайн]</v>
      </c>
      <c r="D7481" s="10">
        <f ca="1">IFERROR(__xludf.DUMMYFUNCTION("""COMPUTED_VALUE"""),2009)</f>
        <v>2009</v>
      </c>
      <c r="E7481" s="10" t="str">
        <f ca="1">IFERROR(__xludf.DUMMYFUNCTION("""COMPUTED_VALUE"""),"Национална конференция : Информационно обслужване в съвременната библиотека – опит, проблеми, решения, 28-29 октомври 2009, Шумен. Достъпно на: &lt;http://www.libshumen.org/Konferencia_Prez/Sybina_Eftimova.pdf")</f>
        <v>Национална конференция : Информационно обслужване в съвременната библиотека – опит, проблеми, решения, 28-29 октомври 2009, Шумен. Достъпно на: &lt;http://www.libshumen.org/Konferencia_Prez/Sybina_Eftimova.pdf</v>
      </c>
      <c r="F7481" s="10"/>
      <c r="G7481" s="10"/>
      <c r="H7481" s="10"/>
      <c r="I7481" s="10"/>
      <c r="J7481" s="10"/>
      <c r="K7481" s="10"/>
      <c r="L7481" s="10"/>
      <c r="M7481" s="10"/>
      <c r="N7481" s="10"/>
      <c r="O7481" s="10"/>
      <c r="P7481" s="10"/>
      <c r="Q7481" s="10"/>
      <c r="R7481" s="10"/>
      <c r="S7481" s="10"/>
      <c r="T7481" s="10"/>
      <c r="U7481" s="10"/>
      <c r="V7481" s="10"/>
      <c r="W7481" s="10"/>
      <c r="X7481" s="10"/>
      <c r="Y7481" s="10"/>
      <c r="Z7481" s="10"/>
    </row>
    <row r="7482" spans="1:26" ht="12.75">
      <c r="A7482" s="10" t="str">
        <f ca="1">IFERROR(__xludf.DUMMYFUNCTION("""COMPUTED_VALUE"""),"Събина Кирилова Ефтимова")</f>
        <v>Събина Кирилова Ефтимова</v>
      </c>
      <c r="B7482" s="10" t="str">
        <f ca="1">IFERROR(__xludf.DUMMYFUNCTION("""COMPUTED_VALUE"""),"Статия в списания и поредици")</f>
        <v>Статия в списания и поредици</v>
      </c>
      <c r="C7482" s="10" t="str">
        <f ca="1">IFERROR(__xludf.DUMMYFUNCTION("""COMPUTED_VALUE"""),"Информационно обслужване, базирано на RFID технологията в Библиотечно информационния център на СВУБИТ")</f>
        <v>Информационно обслужване, базирано на RFID технологията в Библиотечно информационния център на СВУБИТ</v>
      </c>
      <c r="D7482" s="10">
        <f ca="1">IFERROR(__xludf.DUMMYFUNCTION("""COMPUTED_VALUE"""),2009)</f>
        <v>2009</v>
      </c>
      <c r="E7482" s="10" t="str">
        <f ca="1">IFERROR(__xludf.DUMMYFUNCTION("""COMPUTED_VALUE"""),"Годишник на Българския информационен консорциум, 2008. – София : БИК, 2009, с. 43-48. ISSN 1312-4773")</f>
        <v>Годишник на Българския информационен консорциум, 2008. – София : БИК, 2009, с. 43-48. ISSN 1312-4773</v>
      </c>
      <c r="F748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2" s="10" t="str">
        <f ca="1">IFERROR(__xludf.DUMMYFUNCTION("""COMPUTED_VALUE"""),"Елена Игнатова")</f>
        <v>Елена Игнатова</v>
      </c>
      <c r="H7482" s="10"/>
      <c r="I7482" s="10"/>
      <c r="J7482" s="10"/>
      <c r="K7482" s="10"/>
      <c r="L7482" s="10"/>
      <c r="M7482" s="10"/>
      <c r="N7482" s="10"/>
      <c r="O7482" s="10"/>
      <c r="P7482" s="10"/>
      <c r="Q7482" s="10"/>
      <c r="R7482" s="10"/>
      <c r="S7482" s="10"/>
      <c r="T7482" s="10"/>
      <c r="U7482" s="10"/>
      <c r="V7482" s="10"/>
      <c r="W7482" s="10"/>
      <c r="X7482" s="10"/>
      <c r="Y7482" s="10"/>
      <c r="Z7482" s="10"/>
    </row>
    <row r="7483" spans="1:26" ht="12.75">
      <c r="A7483" s="10" t="str">
        <f ca="1">IFERROR(__xludf.DUMMYFUNCTION("""COMPUTED_VALUE"""),"Събина Кирилова Ефтимова")</f>
        <v>Събина Кирилова Ефтимова</v>
      </c>
      <c r="B7483" s="10" t="str">
        <f ca="1">IFERROR(__xludf.DUMMYFUNCTION("""COMPUTED_VALUE"""),"Статия в списания и поредици")</f>
        <v>Статия в списания и поредици</v>
      </c>
      <c r="C7483" s="10" t="str">
        <f ca="1">IFERROR(__xludf.DUMMYFUNCTION("""COMPUTED_VALUE"""),"Ролята на библиотечния мениджър за формиране на ефективен екип")</f>
        <v>Ролята на библиотечния мениджър за формиране на ефективен екип</v>
      </c>
      <c r="D7483" s="10">
        <f ca="1">IFERROR(__xludf.DUMMYFUNCTION("""COMPUTED_VALUE"""),2009)</f>
        <v>2009</v>
      </c>
      <c r="E7483" s="10" t="str">
        <f ca="1">IFERROR(__xludf.DUMMYFUNCTION("""COMPUTED_VALUE"""),"сп. Издател, 2009, № 1-2, с. 45-48. ISSN 1310-4624")</f>
        <v>сп. Издател, 2009, № 1-2, с. 45-48. ISSN 1310-4624</v>
      </c>
      <c r="F748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3" s="10" t="str">
        <f ca="1">IFERROR(__xludf.DUMMYFUNCTION("""COMPUTED_VALUE"""),"Елена Игнатова")</f>
        <v>Елена Игнатова</v>
      </c>
      <c r="H7483" s="10"/>
      <c r="I7483" s="10"/>
      <c r="J7483" s="10"/>
      <c r="K7483" s="10"/>
      <c r="L7483" s="10"/>
      <c r="M7483" s="10"/>
      <c r="N7483" s="10"/>
      <c r="O7483" s="10"/>
      <c r="P7483" s="10"/>
      <c r="Q7483" s="10"/>
      <c r="R7483" s="10"/>
      <c r="S7483" s="10"/>
      <c r="T7483" s="10"/>
      <c r="U7483" s="10"/>
      <c r="V7483" s="10"/>
      <c r="W7483" s="10"/>
      <c r="X7483" s="10"/>
      <c r="Y7483" s="10"/>
      <c r="Z7483" s="10"/>
    </row>
    <row r="7484" spans="1:26" ht="12.75">
      <c r="A7484" s="10" t="str">
        <f ca="1">IFERROR(__xludf.DUMMYFUNCTION("""COMPUTED_VALUE"""),"Събина Кирилова Ефтимова")</f>
        <v>Събина Кирилова Ефтимова</v>
      </c>
      <c r="B7484" s="10" t="str">
        <f ca="1">IFERROR(__xludf.DUMMYFUNCTION("""COMPUTED_VALUE"""),"Статия в списания и поредици")</f>
        <v>Статия в списания и поредици</v>
      </c>
      <c r="C7484" s="10" t="str">
        <f ca="1">IFERROR(__xludf.DUMMYFUNCTION("""COMPUTED_VALUE"""),"Академик Никола В. Михов (1877-1962) : Допълнение на персоналията към витрината на на проф. Тодор Боров ученик на титуляра в Музея на съвременната българска духовност")</f>
        <v>Академик Никола В. Михов (1877-1962) : Допълнение на персоналията към витрината на на проф. Тодор Боров ученик на титуляра в Музея на съвременната българска духовност</v>
      </c>
      <c r="D7484" s="10">
        <f ca="1">IFERROR(__xludf.DUMMYFUNCTION("""COMPUTED_VALUE"""),2008)</f>
        <v>2008</v>
      </c>
      <c r="E7484" s="10" t="str">
        <f ca="1">IFERROR(__xludf.DUMMYFUNCTION("""COMPUTED_VALUE"""),"Трудове на Студентското научно общество при Университета по библиотекознание и информационни технологии, Т. 1, 2008. – София : За буквите – О писменехь, 2008, с. 400-402. ISSN 1314-2526")</f>
        <v>Трудове на Студентското научно общество при Университета по библиотекознание и информационни технологии, Т. 1, 2008. – София : За буквите – О писменехь, 2008, с. 400-402. ISSN 1314-2526</v>
      </c>
      <c r="F748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4" s="10"/>
      <c r="H7484" s="10"/>
      <c r="I7484" s="10"/>
      <c r="J7484" s="10"/>
      <c r="K7484" s="10"/>
      <c r="L7484" s="10"/>
      <c r="M7484" s="10"/>
      <c r="N7484" s="10"/>
      <c r="O7484" s="10"/>
      <c r="P7484" s="10"/>
      <c r="Q7484" s="10"/>
      <c r="R7484" s="10"/>
      <c r="S7484" s="10"/>
      <c r="T7484" s="10"/>
      <c r="U7484" s="10"/>
      <c r="V7484" s="10"/>
      <c r="W7484" s="10"/>
      <c r="X7484" s="10"/>
      <c r="Y7484" s="10"/>
      <c r="Z7484" s="10"/>
    </row>
    <row r="7485" spans="1:26" ht="12.75">
      <c r="A7485" s="10" t="str">
        <f ca="1">IFERROR(__xludf.DUMMYFUNCTION("""COMPUTED_VALUE"""),"Събина Кирилова Ефтимова")</f>
        <v>Събина Кирилова Ефтимова</v>
      </c>
      <c r="B7485" s="10" t="str">
        <f ca="1">IFERROR(__xludf.DUMMYFUNCTION("""COMPUTED_VALUE"""),"Статия в списания и поредици")</f>
        <v>Статия в списания и поредици</v>
      </c>
      <c r="C7485" s="10" t="str">
        <f ca="1">IFERROR(__xludf.DUMMYFUNCTION("""COMPUTED_VALUE"""),"Специфика на диагностичните възможности на приказката")</f>
        <v>Специфика на диагностичните възможности на приказката</v>
      </c>
      <c r="D7485" s="10">
        <f ca="1">IFERROR(__xludf.DUMMYFUNCTION("""COMPUTED_VALUE"""),2008)</f>
        <v>2008</v>
      </c>
      <c r="E7485" s="10" t="str">
        <f ca="1">IFERROR(__xludf.DUMMYFUNCTION("""COMPUTED_VALUE"""),"Трудове на Специализираното висше училище по библиотекознание и информационни технологии, Т. 7, 2008. – София : За буквите – О писменехь, 2008, с. 145-151. ISSN 1312-5834")</f>
        <v>Трудове на Специализираното висше училище по библиотекознание и информационни технологии, Т. 7, 2008. – София : За буквите – О писменехь, 2008, с. 145-151. ISSN 1312-5834</v>
      </c>
      <c r="F7485"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5" s="10"/>
      <c r="H7485" s="10"/>
      <c r="I7485" s="10"/>
      <c r="J7485" s="10"/>
      <c r="K7485" s="10"/>
      <c r="L7485" s="10"/>
      <c r="M7485" s="10"/>
      <c r="N7485" s="10"/>
      <c r="O7485" s="10"/>
      <c r="P7485" s="10"/>
      <c r="Q7485" s="10"/>
      <c r="R7485" s="10"/>
      <c r="S7485" s="10"/>
      <c r="T7485" s="10"/>
      <c r="U7485" s="10"/>
      <c r="V7485" s="10"/>
      <c r="W7485" s="10"/>
      <c r="X7485" s="10"/>
      <c r="Y7485" s="10"/>
      <c r="Z7485" s="10"/>
    </row>
    <row r="7486" spans="1:26" ht="12.75">
      <c r="A7486" s="10" t="str">
        <f ca="1">IFERROR(__xludf.DUMMYFUNCTION("""COMPUTED_VALUE"""),"Събина Кирилова Ефтимова")</f>
        <v>Събина Кирилова Ефтимова</v>
      </c>
      <c r="B7486" s="10" t="str">
        <f ca="1">IFERROR(__xludf.DUMMYFUNCTION("""COMPUTED_VALUE"""),"Статия в списания и поредици")</f>
        <v>Статия в списания и поредици</v>
      </c>
      <c r="C7486" s="10" t="str">
        <f ca="1">IFERROR(__xludf.DUMMYFUNCTION("""COMPUTED_VALUE"""),"Работа с приказките : Постановка. Механизми. Използване. Функции. Обобщение")</f>
        <v>Работа с приказките : Постановка. Механизми. Използване. Функции. Обобщение</v>
      </c>
      <c r="D7486" s="10">
        <f ca="1">IFERROR(__xludf.DUMMYFUNCTION("""COMPUTED_VALUE"""),2008)</f>
        <v>2008</v>
      </c>
      <c r="E7486" s="10" t="str">
        <f ca="1">IFERROR(__xludf.DUMMYFUNCTION("""COMPUTED_VALUE"""),"Трудове на Студентското научно общество при Университета по библиотекознание и информационни технологии, Т.1. – София : За буквите – О писменехь, 2008, с. 405-410. ISSN 1314-2526")</f>
        <v>Трудове на Студентското научно общество при Университета по библиотекознание и информационни технологии, Т.1. – София : За буквите – О писменехь, 2008, с. 405-410. ISSN 1314-2526</v>
      </c>
      <c r="F7486"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6" s="10"/>
      <c r="H7486" s="10"/>
      <c r="I7486" s="10"/>
      <c r="J7486" s="10"/>
      <c r="K7486" s="10"/>
      <c r="L7486" s="10"/>
      <c r="M7486" s="10"/>
      <c r="N7486" s="10"/>
      <c r="O7486" s="10"/>
      <c r="P7486" s="10"/>
      <c r="Q7486" s="10"/>
      <c r="R7486" s="10"/>
      <c r="S7486" s="10"/>
      <c r="T7486" s="10"/>
      <c r="U7486" s="10"/>
      <c r="V7486" s="10"/>
      <c r="W7486" s="10"/>
      <c r="X7486" s="10"/>
      <c r="Y7486" s="10"/>
      <c r="Z7486" s="10"/>
    </row>
    <row r="7487" spans="1:26" ht="12.75">
      <c r="A7487" s="10" t="str">
        <f ca="1">IFERROR(__xludf.DUMMYFUNCTION("""COMPUTED_VALUE"""),"Събина Кирилова Ефтимова")</f>
        <v>Събина Кирилова Ефтимова</v>
      </c>
      <c r="B7487" s="10" t="str">
        <f ca="1">IFERROR(__xludf.DUMMYFUNCTION("""COMPUTED_VALUE"""),"Статия в списания и поредици")</f>
        <v>Статия в списания и поредици</v>
      </c>
      <c r="C7487" s="10" t="str">
        <f ca="1">IFERROR(__xludf.DUMMYFUNCTION("""COMPUTED_VALUE"""),"Информационното обслужване, базирано на RFID технологията")</f>
        <v>Информационното обслужване, базирано на RFID технологията</v>
      </c>
      <c r="D7487" s="10">
        <f ca="1">IFERROR(__xludf.DUMMYFUNCTION("""COMPUTED_VALUE"""),2008)</f>
        <v>2008</v>
      </c>
      <c r="E7487" s="10" t="str">
        <f ca="1">IFERROR(__xludf.DUMMYFUNCTION("""COMPUTED_VALUE"""),"Трудове на Специализираното висше училище по библиотекознание и информационни технологии, Т. 7, 2008. – София : За буквите – О писменехь, 2008, с. 139-144. ISSN 1312-5834")</f>
        <v>Трудове на Специализираното висше училище по библиотекознание и информационни технологии, Т. 7, 2008. – София : За буквите – О писменехь, 2008, с. 139-144. ISSN 1312-5834</v>
      </c>
      <c r="F7487"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7" s="10" t="str">
        <f ca="1">IFERROR(__xludf.DUMMYFUNCTION("""COMPUTED_VALUE"""),"Елена Игнатова")</f>
        <v>Елена Игнатова</v>
      </c>
      <c r="H7487" s="10"/>
      <c r="I7487" s="10"/>
      <c r="J7487" s="10"/>
      <c r="K7487" s="10"/>
      <c r="L7487" s="10"/>
      <c r="M7487" s="10"/>
      <c r="N7487" s="10"/>
      <c r="O7487" s="10"/>
      <c r="P7487" s="10"/>
      <c r="Q7487" s="10"/>
      <c r="R7487" s="10"/>
      <c r="S7487" s="10"/>
      <c r="T7487" s="10"/>
      <c r="U7487" s="10"/>
      <c r="V7487" s="10"/>
      <c r="W7487" s="10"/>
      <c r="X7487" s="10"/>
      <c r="Y7487" s="10"/>
      <c r="Z7487" s="10"/>
    </row>
    <row r="7488" spans="1:26" ht="12.75">
      <c r="A7488" s="10" t="str">
        <f ca="1">IFERROR(__xludf.DUMMYFUNCTION("""COMPUTED_VALUE"""),"Събина Кирилова Ефтимова")</f>
        <v>Събина Кирилова Ефтимова</v>
      </c>
      <c r="B7488" s="10" t="str">
        <f ca="1">IFERROR(__xludf.DUMMYFUNCTION("""COMPUTED_VALUE"""),"Доклад от конференция")</f>
        <v>Доклад от конференция</v>
      </c>
      <c r="C7488" s="10" t="str">
        <f ca="1">IFERROR(__xludf.DUMMYFUNCTION("""COMPUTED_VALUE"""),"Application of RFID Technologies in the Library of State University of Library Studies and Information Technologies")</f>
        <v>Application of RFID Technologies in the Library of State University of Library Studies and Information Technologies</v>
      </c>
      <c r="D7488" s="10">
        <f ca="1">IFERROR(__xludf.DUMMYFUNCTION("""COMPUTED_VALUE"""),2008)</f>
        <v>2008</v>
      </c>
      <c r="E7488" s="10" t="str">
        <f ca="1">IFERROR(__xludf.DUMMYFUNCTION("""COMPUTED_VALUE"""),"Information-Documentation Management and Cooperation among the Libraries in the Balkan Countries, Symposium Paper, Edirne/Turkey, 5-7 June 2008. – Edirne : Trakya University, 2008, p. 353-356. ISBN 9789753740906")</f>
        <v>Information-Documentation Management and Cooperation among the Libraries in the Balkan Countries, Symposium Paper, Edirne/Turkey, 5-7 June 2008. – Edirne : Trakya University, 2008, p. 353-356. ISBN 9789753740906</v>
      </c>
      <c r="F7488" s="10"/>
      <c r="G7488" s="10" t="str">
        <f ca="1">IFERROR(__xludf.DUMMYFUNCTION("""COMPUTED_VALUE"""),"Elena Ignatova")</f>
        <v>Elena Ignatova</v>
      </c>
      <c r="H7488" s="10"/>
      <c r="I7488" s="10"/>
      <c r="J7488" s="10"/>
      <c r="K7488" s="10"/>
      <c r="L7488" s="10"/>
      <c r="M7488" s="10"/>
      <c r="N7488" s="10"/>
      <c r="O7488" s="10"/>
      <c r="P7488" s="10"/>
      <c r="Q7488" s="10"/>
      <c r="R7488" s="10"/>
      <c r="S7488" s="10"/>
      <c r="T7488" s="10"/>
      <c r="U7488" s="10"/>
      <c r="V7488" s="10"/>
      <c r="W7488" s="10"/>
      <c r="X7488" s="10"/>
      <c r="Y7488" s="10"/>
      <c r="Z7488" s="10"/>
    </row>
    <row r="7489" spans="1:26" ht="12.75">
      <c r="A7489" s="10" t="str">
        <f ca="1">IFERROR(__xludf.DUMMYFUNCTION("""COMPUTED_VALUE"""),"Събина Кирилова Ефтимова")</f>
        <v>Събина Кирилова Ефтимова</v>
      </c>
      <c r="B7489" s="10" t="str">
        <f ca="1">IFERROR(__xludf.DUMMYFUNCTION("""COMPUTED_VALUE"""),"Статия в списания и поредици")</f>
        <v>Статия в списания и поредици</v>
      </c>
      <c r="C7489" s="10" t="str">
        <f ca="1">IFERROR(__xludf.DUMMYFUNCTION("""COMPUTED_VALUE"""),"Академик Никола В. Михов (1877-1962) : Нов информационен блок в персоналната витрина № 5, посветена на проф. Тодор Боров в Музея на съвременната българска духовност [СВУБИТ]")</f>
        <v>Академик Никола В. Михов (1877-1962) : Нов информационен блок в персоналната витрина № 5, посветена на проф. Тодор Боров в Музея на съвременната българска духовност [СВУБИТ]</v>
      </c>
      <c r="D7489" s="10">
        <f ca="1">IFERROR(__xludf.DUMMYFUNCTION("""COMPUTED_VALUE"""),2008)</f>
        <v>2008</v>
      </c>
      <c r="E7489" s="10" t="str">
        <f ca="1">IFERROR(__xludf.DUMMYFUNCTION("""COMPUTED_VALUE"""),"Трудове на Студентското научно общество при Университета по библиотекознание и информационни технологии, T. 1, 2008. – София : За буквите – О писменехь, 2008, с. 403-404. ISSN 1314-2526")</f>
        <v>Трудове на Студентското научно общество при Университета по библиотекознание и информационни технологии, T. 1, 2008. – София : За буквите – О писменехь, 2008, с. 403-404. ISSN 1314-2526</v>
      </c>
      <c r="F7489"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89" s="10"/>
      <c r="H7489" s="10"/>
      <c r="I7489" s="10"/>
      <c r="J7489" s="10"/>
      <c r="K7489" s="10"/>
      <c r="L7489" s="10"/>
      <c r="M7489" s="10"/>
      <c r="N7489" s="10"/>
      <c r="O7489" s="10"/>
      <c r="P7489" s="10"/>
      <c r="Q7489" s="10"/>
      <c r="R7489" s="10"/>
      <c r="S7489" s="10"/>
      <c r="T7489" s="10"/>
      <c r="U7489" s="10"/>
      <c r="V7489" s="10"/>
      <c r="W7489" s="10"/>
      <c r="X7489" s="10"/>
      <c r="Y7489" s="10"/>
      <c r="Z7489" s="10"/>
    </row>
    <row r="7490" spans="1:26" ht="12.75">
      <c r="A7490" s="10" t="str">
        <f ca="1">IFERROR(__xludf.DUMMYFUNCTION("""COMPUTED_VALUE"""),"Събина Кирилова Ефтимова")</f>
        <v>Събина Кирилова Ефтимова</v>
      </c>
      <c r="B7490" s="10" t="str">
        <f ca="1">IFERROR(__xludf.DUMMYFUNCTION("""COMPUTED_VALUE"""),"Доклад от конференция")</f>
        <v>Доклад от конференция</v>
      </c>
      <c r="C7490" s="10" t="str">
        <f ca="1">IFERROR(__xludf.DUMMYFUNCTION("""COMPUTED_VALUE"""),"Трансформации на „масовата” нужда от контакт с книгата")</f>
        <v>Трансформации на „масовата” нужда от контакт с книгата</v>
      </c>
      <c r="D7490" s="10">
        <f ca="1">IFERROR(__xludf.DUMMYFUNCTION("""COMPUTED_VALUE"""),2007)</f>
        <v>2007</v>
      </c>
      <c r="E7490" s="10" t="str">
        <f ca="1">IFERROR(__xludf.DUMMYFUNCTION("""COMPUTED_VALUE"""),"Кирилицата в духовността на европейска информационна цивилизация : Пета научна конференция с международно участие, София, 1 ноември 2007 г. София : За буквите – О писменехь, 2008. с. 241-245. ISBN 978-954-8887-42-7")</f>
        <v>Кирилицата в духовността на европейска информационна цивилизация : Пета научна конференция с международно участие, София, 1 ноември 2007 г. София : За буквите – О писменехь, 2008. с. 241-245. ISBN 978-954-8887-42-7</v>
      </c>
      <c r="F7490"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90" s="10"/>
      <c r="H7490" s="10"/>
      <c r="I7490" s="10"/>
      <c r="J7490" s="10"/>
      <c r="K7490" s="10"/>
      <c r="L7490" s="10"/>
      <c r="M7490" s="10"/>
      <c r="N7490" s="10"/>
      <c r="O7490" s="10"/>
      <c r="P7490" s="10"/>
      <c r="Q7490" s="10"/>
      <c r="R7490" s="10"/>
      <c r="S7490" s="10"/>
      <c r="T7490" s="10"/>
      <c r="U7490" s="10"/>
      <c r="V7490" s="10"/>
      <c r="W7490" s="10"/>
      <c r="X7490" s="10"/>
      <c r="Y7490" s="10"/>
      <c r="Z7490" s="10"/>
    </row>
    <row r="7491" spans="1:26" ht="12.75">
      <c r="A7491" s="10" t="str">
        <f ca="1">IFERROR(__xludf.DUMMYFUNCTION("""COMPUTED_VALUE"""),"Събина Кирилова Ефтимова")</f>
        <v>Събина Кирилова Ефтимова</v>
      </c>
      <c r="B7491" s="10" t="str">
        <f ca="1">IFERROR(__xludf.DUMMYFUNCTION("""COMPUTED_VALUE"""),"Доклад от конференция")</f>
        <v>Доклад от конференция</v>
      </c>
      <c r="C7491" s="10" t="str">
        <f ca="1">IFERROR(__xludf.DUMMYFUNCTION("""COMPUTED_VALUE"""),"Изграждане на система за автоматизиране в библиотечно-информационния център на СВУБИТ")</f>
        <v>Изграждане на система за автоматизиране в библиотечно-информационния център на СВУБИТ</v>
      </c>
      <c r="D7491" s="10">
        <f ca="1">IFERROR(__xludf.DUMMYFUNCTION("""COMPUTED_VALUE"""),2007)</f>
        <v>2007</v>
      </c>
      <c r="E7491" s="10" t="str">
        <f ca="1">IFERROR(__xludf.DUMMYFUNCTION("""COMPUTED_VALUE"""),"Нови информационни технологии в образователния процес: Сборник от Научни доклади и съобщения от семинар, проведен в Чифлика, Троянско на 11-13 април 2007 г. София : За буквите – О писменехь, 2007, с. 89-92. ISSN 1313-2768")</f>
        <v>Нови информационни технологии в образователния процес: Сборник от Научни доклади и съобщения от семинар, проведен в Чифлика, Троянско на 11-13 април 2007 г. София : За буквите – О писменехь, 2007, с. 89-92. ISSN 1313-2768</v>
      </c>
      <c r="F7491"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91" s="10" t="str">
        <f ca="1">IFERROR(__xludf.DUMMYFUNCTION("""COMPUTED_VALUE"""),"Елена Игнатова")</f>
        <v>Елена Игнатова</v>
      </c>
      <c r="H7491" s="10"/>
      <c r="I7491" s="10"/>
      <c r="J7491" s="10"/>
      <c r="K7491" s="10"/>
      <c r="L7491" s="10"/>
      <c r="M7491" s="10"/>
      <c r="N7491" s="10"/>
      <c r="O7491" s="10"/>
      <c r="P7491" s="10"/>
      <c r="Q7491" s="10"/>
      <c r="R7491" s="10"/>
      <c r="S7491" s="10"/>
      <c r="T7491" s="10"/>
      <c r="U7491" s="10"/>
      <c r="V7491" s="10"/>
      <c r="W7491" s="10"/>
      <c r="X7491" s="10"/>
      <c r="Y7491" s="10"/>
      <c r="Z7491" s="10"/>
    </row>
    <row r="7492" spans="1:26" ht="12.75">
      <c r="A7492" s="10" t="str">
        <f ca="1">IFERROR(__xludf.DUMMYFUNCTION("""COMPUTED_VALUE"""),"Събина Кирилова Ефтимова")</f>
        <v>Събина Кирилова Ефтимова</v>
      </c>
      <c r="B7492" s="10" t="str">
        <f ca="1">IFERROR(__xludf.DUMMYFUNCTION("""COMPUTED_VALUE"""),"Доклад от конференция")</f>
        <v>Доклад от конференция</v>
      </c>
      <c r="C7492" s="10" t="str">
        <f ca="1">IFERROR(__xludf.DUMMYFUNCTION("""COMPUTED_VALUE"""),"Иновационни технологии в библиотеките")</f>
        <v>Иновационни технологии в библиотеките</v>
      </c>
      <c r="D7492" s="10">
        <f ca="1">IFERROR(__xludf.DUMMYFUNCTION("""COMPUTED_VALUE"""),2007)</f>
        <v>2007</v>
      </c>
      <c r="E7492" s="10" t="str">
        <f ca="1">IFERROR(__xludf.DUMMYFUNCTION("""COMPUTED_VALUE"""),"Сборник на Младежкото иновационно и информационно общество АБ. София : Експопрринт-ООД, 2007, с.25-31. ISBN 978-954-90513-2-2")</f>
        <v>Сборник на Младежкото иновационно и информационно общество АБ. София : Експопрринт-ООД, 2007, с.25-31. ISBN 978-954-90513-2-2</v>
      </c>
      <c r="F7492"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92" s="10" t="str">
        <f ca="1">IFERROR(__xludf.DUMMYFUNCTION("""COMPUTED_VALUE"""),"Елена Игнатова")</f>
        <v>Елена Игнатова</v>
      </c>
      <c r="H7492" s="10"/>
      <c r="I7492" s="10"/>
      <c r="J7492" s="10"/>
      <c r="K7492" s="10"/>
      <c r="L7492" s="10"/>
      <c r="M7492" s="10"/>
      <c r="N7492" s="10"/>
      <c r="O7492" s="10"/>
      <c r="P7492" s="10"/>
      <c r="Q7492" s="10"/>
      <c r="R7492" s="10"/>
      <c r="S7492" s="10"/>
      <c r="T7492" s="10"/>
      <c r="U7492" s="10"/>
      <c r="V7492" s="10"/>
      <c r="W7492" s="10"/>
      <c r="X7492" s="10"/>
      <c r="Y7492" s="10"/>
      <c r="Z7492" s="10"/>
    </row>
    <row r="7493" spans="1:26" ht="12.75">
      <c r="A7493" s="10" t="str">
        <f ca="1">IFERROR(__xludf.DUMMYFUNCTION("""COMPUTED_VALUE"""),"Събина Кирилова Ефтимова")</f>
        <v>Събина Кирилова Ефтимова</v>
      </c>
      <c r="B7493" s="10" t="str">
        <f ca="1">IFERROR(__xludf.DUMMYFUNCTION("""COMPUTED_VALUE"""),"Статия в списания и поредици")</f>
        <v>Статия в списания и поредици</v>
      </c>
      <c r="C7493" s="10" t="str">
        <f ca="1">IFERROR(__xludf.DUMMYFUNCTION("""COMPUTED_VALUE"""),"Психологически потенциал на приказките")</f>
        <v>Психологически потенциал на приказките</v>
      </c>
      <c r="D7493" s="10">
        <f ca="1">IFERROR(__xludf.DUMMYFUNCTION("""COMPUTED_VALUE"""),2007)</f>
        <v>2007</v>
      </c>
      <c r="E7493" s="10" t="str">
        <f ca="1">IFERROR(__xludf.DUMMYFUNCTION("""COMPUTED_VALUE"""),"Трудове на Специализираното висше училище по библиотекознание и информационни технологии. София : За буквите – О писменехь, 2007, № 6, с. 483-489. ISSN 1312-5834")</f>
        <v>Трудове на Специализираното висше училище по библиотекознание и информационни технологии. София : За буквите – О писменехь, 2007, № 6, с. 483-489. ISSN 1312-5834</v>
      </c>
      <c r="F7493"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93" s="10"/>
      <c r="H7493" s="10"/>
      <c r="I7493" s="10"/>
      <c r="J7493" s="10"/>
      <c r="K7493" s="10"/>
      <c r="L7493" s="10"/>
      <c r="M7493" s="10"/>
      <c r="N7493" s="10"/>
      <c r="O7493" s="10"/>
      <c r="P7493" s="10"/>
      <c r="Q7493" s="10"/>
      <c r="R7493" s="10"/>
      <c r="S7493" s="10"/>
      <c r="T7493" s="10"/>
      <c r="U7493" s="10"/>
      <c r="V7493" s="10"/>
      <c r="W7493" s="10"/>
      <c r="X7493" s="10"/>
      <c r="Y7493" s="10"/>
      <c r="Z7493" s="10"/>
    </row>
    <row r="7494" spans="1:26" ht="12.75">
      <c r="A7494" s="10" t="str">
        <f ca="1">IFERROR(__xludf.DUMMYFUNCTION("""COMPUTED_VALUE"""),"Събина Кирилова Ефтимова")</f>
        <v>Събина Кирилова Ефтимова</v>
      </c>
      <c r="B7494" s="10" t="str">
        <f ca="1">IFERROR(__xludf.DUMMYFUNCTION("""COMPUTED_VALUE"""),"Статия в списания и поредици")</f>
        <v>Статия в списания и поредици</v>
      </c>
      <c r="C7494" s="10" t="str">
        <f ca="1">IFERROR(__xludf.DUMMYFUNCTION("""COMPUTED_VALUE"""),"Библиотерапията и децата : Как да се използват приказките?")</f>
        <v>Библиотерапията и децата : Как да се използват приказките?</v>
      </c>
      <c r="D7494" s="10">
        <f ca="1">IFERROR(__xludf.DUMMYFUNCTION("""COMPUTED_VALUE"""),2006)</f>
        <v>2006</v>
      </c>
      <c r="E7494" s="10" t="str">
        <f ca="1">IFERROR(__xludf.DUMMYFUNCTION("""COMPUTED_VALUE"""),"Трудове на Специализираното висше училище по библиотекознание и информационни технологии. София : За буквите – О писменехь, 2006, № 5, с. 563-572. ISSN 1312-5834")</f>
        <v>Трудове на Специализираното висше училище по библиотекознание и информационни технологии. София : За буквите – О писменехь, 2006, № 5, с. 563-572. ISSN 1312-5834</v>
      </c>
      <c r="F7494" s="10" t="str">
        <f ca="1">IFERROR(__xludf.DUMMYFUNCTION("""COMPUTED_VALUE"""),"Национална библиография на България, електронен каталог COBISS/OPAC Национална библиотека „Св. Св. Кирил и Методий“")</f>
        <v>Национална библиография на България, електронен каталог COBISS/OPAC Национална библиотека „Св. Св. Кирил и Методий“</v>
      </c>
      <c r="G7494" s="10"/>
      <c r="H7494" s="10"/>
      <c r="I7494" s="10"/>
      <c r="J7494" s="10"/>
      <c r="K7494" s="10"/>
      <c r="L7494" s="10"/>
      <c r="M7494" s="10"/>
      <c r="N7494" s="10"/>
      <c r="O7494" s="10"/>
      <c r="P7494" s="10"/>
      <c r="Q7494" s="10"/>
      <c r="R7494" s="10"/>
      <c r="S7494" s="10"/>
      <c r="T7494" s="10"/>
      <c r="U7494" s="10"/>
      <c r="V7494" s="10"/>
      <c r="W7494" s="10"/>
      <c r="X7494" s="10"/>
      <c r="Y7494" s="10"/>
      <c r="Z7494" s="10"/>
    </row>
    <row r="7495" spans="1:26" ht="12.75">
      <c r="A7495" s="10" t="str">
        <f ca="1">IFERROR(__xludf.DUMMYFUNCTION("""COMPUTED_VALUE"""),"Таня Йорданова Тодорова")</f>
        <v>Таня Йорданова Тодорова</v>
      </c>
      <c r="B7495" s="10" t="str">
        <f ca="1">IFERROR(__xludf.DUMMYFUNCTION("""COMPUTED_VALUE"""),"Статия в списания и поредици")</f>
        <v>Статия в списания и поредици</v>
      </c>
      <c r="C7495" s="10" t="str">
        <f ca="1">IFERROR(__xludf.DUMMYFUNCTION("""COMPUTED_VALUE"""),"Copyright Literacy and Copyright Education for Information Professional")</f>
        <v>Copyright Literacy and Copyright Education for Information Professional</v>
      </c>
      <c r="D7495" s="10">
        <f ca="1">IFERROR(__xludf.DUMMYFUNCTION("""COMPUTED_VALUE"""),2020)</f>
        <v>2020</v>
      </c>
      <c r="E7495" s="10" t="str">
        <f ca="1">IFERROR(__xludf.DUMMYFUNCTION("""COMPUTED_VALUE"""),"Páginas a&amp;b - arquivos e bibliotecas. S.3, nº especial (2020), pp. 03-14.ISSN 0873-5670 ; eISSN 2183-6671 &lt;https://doi.org/10.21747/21836671/pag2020a1&gt;")</f>
        <v>Páginas a&amp;b - arquivos e bibliotecas. S.3, nº especial (2020), pp. 03-14.ISSN 0873-5670 ; eISSN 2183-6671 &lt;https://doi.org/10.21747/21836671/pag2020a1&gt;</v>
      </c>
      <c r="F7495" s="28" t="str">
        <f ca="1">IFERROR(__xludf.DUMMYFUNCTION("""COMPUTED_VALUE"""),"https://ojs.letras.up.pt/index.php/paginasaeb/article/view/7811")</f>
        <v>https://ojs.letras.up.pt/index.php/paginasaeb/article/view/7811</v>
      </c>
      <c r="G7495" s="10" t="str">
        <f ca="1">IFERROR(__xludf.DUMMYFUNCTION("""COMPUTED_VALUE"""),"Todorova, Tania")</f>
        <v>Todorova, Tania</v>
      </c>
      <c r="H7495" s="10"/>
      <c r="I7495" s="10"/>
      <c r="J7495" s="10"/>
      <c r="K7495" s="10"/>
      <c r="L7495" s="10"/>
      <c r="M7495" s="10"/>
      <c r="N7495" s="10"/>
      <c r="O7495" s="10"/>
      <c r="P7495" s="10"/>
      <c r="Q7495" s="10"/>
      <c r="R7495" s="10"/>
      <c r="S7495" s="10"/>
      <c r="T7495" s="10"/>
      <c r="U7495" s="10"/>
      <c r="V7495" s="10"/>
      <c r="W7495" s="10"/>
      <c r="X7495" s="10"/>
      <c r="Y7495" s="10"/>
      <c r="Z7495" s="10"/>
    </row>
    <row r="7496" spans="1:26" ht="12.75">
      <c r="A7496" s="10" t="str">
        <f ca="1">IFERROR(__xludf.DUMMYFUNCTION("""COMPUTED_VALUE"""),"Таня Йорданова Тодорова")</f>
        <v>Таня Йорданова Тодорова</v>
      </c>
      <c r="B7496" s="10" t="str">
        <f ca="1">IFERROR(__xludf.DUMMYFUNCTION("""COMPUTED_VALUE"""),"Статия в списания и поредици")</f>
        <v>Статия в списания и поредици</v>
      </c>
      <c r="C7496" s="10" t="str">
        <f ca="1">IFERROR(__xludf.DUMMYFUNCTION("""COMPUTED_VALUE"""),"Bulgarian authors’ open access awareness and preferences")</f>
        <v>Bulgarian authors’ open access awareness and preferences</v>
      </c>
      <c r="D7496" s="10">
        <f ca="1">IFERROR(__xludf.DUMMYFUNCTION("""COMPUTED_VALUE"""),2020)</f>
        <v>2020</v>
      </c>
      <c r="E7496" s="10" t="str">
        <f ca="1">IFERROR(__xludf.DUMMYFUNCTION("""COMPUTED_VALUE"""),"Library Management Journal of Emerald Insight, 2020, Vol. 41, No. 2/3, pp. 91-102. ISSN: 0143-5124 &lt;https://doi.org/10.1108/LM-08-2019-0059&gt;")</f>
        <v>Library Management Journal of Emerald Insight, 2020, Vol. 41, No. 2/3, pp. 91-102. ISSN: 0143-5124 &lt;https://doi.org/10.1108/LM-08-2019-0059&gt;</v>
      </c>
      <c r="F7496" s="10" t="str">
        <f ca="1">IFERROR(__xludf.DUMMYFUNCTION("""COMPUTED_VALUE"""),"SCOPUS")</f>
        <v>SCOPUS</v>
      </c>
      <c r="G7496" s="10" t="str">
        <f ca="1">IFERROR(__xludf.DUMMYFUNCTION("""COMPUTED_VALUE"""),"Boock, M., Todorova, T., Trencheva, T., Todorova, R.")</f>
        <v>Boock, M., Todorova, T., Trencheva, T., Todorova, R.</v>
      </c>
      <c r="H7496" s="10"/>
      <c r="I7496" s="10"/>
      <c r="J7496" s="10"/>
      <c r="K7496" s="10"/>
      <c r="L7496" s="10"/>
      <c r="M7496" s="10"/>
      <c r="N7496" s="10"/>
      <c r="O7496" s="10"/>
      <c r="P7496" s="10"/>
      <c r="Q7496" s="10"/>
      <c r="R7496" s="10"/>
      <c r="S7496" s="10"/>
      <c r="T7496" s="10"/>
      <c r="U7496" s="10"/>
      <c r="V7496" s="10"/>
      <c r="W7496" s="10"/>
      <c r="X7496" s="10"/>
      <c r="Y7496" s="10"/>
      <c r="Z7496" s="10"/>
    </row>
    <row r="7497" spans="1:26" ht="12.75">
      <c r="A7497" s="10" t="str">
        <f ca="1">IFERROR(__xludf.DUMMYFUNCTION("""COMPUTED_VALUE"""),"Таня Йорданова Тодорова")</f>
        <v>Таня Йорданова Тодорова</v>
      </c>
      <c r="B7497" s="10" t="str">
        <f ca="1">IFERROR(__xludf.DUMMYFUNCTION("""COMPUTED_VALUE"""),"Доклад от конференция")</f>
        <v>Доклад от конференция</v>
      </c>
      <c r="C7497" s="10" t="str">
        <f ca="1">IFERROR(__xludf.DUMMYFUNCTION("""COMPUTED_VALUE"""),"Авторскоправна институционална политика")</f>
        <v>Авторскоправна институционална политика</v>
      </c>
      <c r="D7497" s="10">
        <f ca="1">IFERROR(__xludf.DUMMYFUNCTION("""COMPUTED_VALUE"""),2020)</f>
        <v>2020</v>
      </c>
      <c r="E7497" s="10" t="str">
        <f ca="1">IFERROR(__xludf.DUMMYFUNCTION("""COMPUTED_VALUE"""),"Библиотеки-четене-комуникации : Осемнадесета национална научна конф. с междун. участие. 14-15 ноем. 2019, Велико Търново. В. Търново : НБ „П. Р. Славейков“, 2020, с. 43-56. ISSN: 1313-8138
 Забележка: Посветена на 130-годишнината от учредяването на първ"&amp;"ата обществена библиотека в град Велико Търново и на темата за прилагането на библиотечното законодателство, авторското право и сродните му права в работата на библиотеките и на 70-годишнината от рождението на проф. д-р Елена Георгиева, една от основатели"&amp;"те на катедра „Библиотекознание“ и неин дългогодишен преподавател.")</f>
        <v>Библиотеки-четене-комуникации : Осемнадесета национална научна конф. с междун. участие. 14-15 ноем. 2019, Велико Търново. В. Търново : НБ „П. Р. Славейков“, 2020, с. 43-56. ISSN: 1313-8138
 Забележка: Посветена на 130-годишнината от учредяването на първата обществена библиотека в град Велико Търново и на темата за прилагането на библиотечното законодателство, авторското право и сродните му права в работата на библиотеките и на 70-годишнината от рождението на проф. д-р Елена Георгиева, една от основателите на катедра „Библиотекознание“ и неин дългогодишен преподавател.</v>
      </c>
      <c r="F7497" s="10" t="str">
        <f ca="1">IFERROR(__xludf.DUMMYFUNCTION("""COMPUTED_VALUE"""),"Google Scholar, Research Gate")</f>
        <v>Google Scholar, Research Gate</v>
      </c>
      <c r="G7497" s="10"/>
      <c r="H7497" s="10"/>
      <c r="I7497" s="10"/>
      <c r="J7497" s="10"/>
      <c r="K7497" s="10"/>
      <c r="L7497" s="10"/>
      <c r="M7497" s="10"/>
      <c r="N7497" s="10"/>
      <c r="O7497" s="10"/>
      <c r="P7497" s="10"/>
      <c r="Q7497" s="10"/>
      <c r="R7497" s="10"/>
      <c r="S7497" s="10"/>
      <c r="T7497" s="10"/>
      <c r="U7497" s="10"/>
      <c r="V7497" s="10"/>
      <c r="W7497" s="10"/>
      <c r="X7497" s="10"/>
      <c r="Y7497" s="10"/>
      <c r="Z7497" s="10"/>
    </row>
    <row r="7498" spans="1:26" ht="12.75">
      <c r="A7498" s="10" t="str">
        <f ca="1">IFERROR(__xludf.DUMMYFUNCTION("""COMPUTED_VALUE"""),"Таня Йорданова Тодорова")</f>
        <v>Таня Йорданова Тодорова</v>
      </c>
      <c r="B7498" s="10" t="str">
        <f ca="1">IFERROR(__xludf.DUMMYFUNCTION("""COMPUTED_VALUE"""),"Доклад от конференция")</f>
        <v>Доклад от конференция</v>
      </c>
      <c r="C7498" s="10" t="str">
        <f ca="1">IFERROR(__xludf.DUMMYFUNCTION("""COMPUTED_VALUE"""),"Accessible Tourism: Experience from Academic Course")</f>
        <v>Accessible Tourism: Experience from Academic Course</v>
      </c>
      <c r="D7498" s="10">
        <f ca="1">IFERROR(__xludf.DUMMYFUNCTION("""COMPUTED_VALUE"""),2020)</f>
        <v>2020</v>
      </c>
      <c r="E7498" s="10" t="str">
        <f ca="1">IFERROR(__xludf.DUMMYFUNCTION("""COMPUTED_VALUE"""),"New Perspectives in Science and Education, 9th ed., 19-20 March 2020, Florence, Italy. Bologna, Filodiritto International, 2020, p. 344-349. ISBN 978-88-85813-90-8 ISSN 2384-9509")</f>
        <v>New Perspectives in Science and Education, 9th ed., 19-20 March 2020, Florence, Italy. Bologna, Filodiritto International, 2020, p. 344-349. ISBN 978-88-85813-90-8 ISSN 2384-9509</v>
      </c>
      <c r="F7498" s="10" t="str">
        <f ca="1">IFERROR(__xludf.DUMMYFUNCTION("""COMPUTED_VALUE"""),"Conference Proceedings Citation Index by Thomson Reuters (ISI-Clarivate), Academia.edu, Google Scholar.")</f>
        <v>Conference Proceedings Citation Index by Thomson Reuters (ISI-Clarivate), Academia.edu, Google Scholar.</v>
      </c>
      <c r="G7498" s="10"/>
      <c r="H7498" s="10"/>
      <c r="I7498" s="10"/>
      <c r="J7498" s="10"/>
      <c r="K7498" s="10"/>
      <c r="L7498" s="10"/>
      <c r="M7498" s="10"/>
      <c r="N7498" s="10"/>
      <c r="O7498" s="10"/>
      <c r="P7498" s="10"/>
      <c r="Q7498" s="10"/>
      <c r="R7498" s="10"/>
      <c r="S7498" s="10"/>
      <c r="T7498" s="10"/>
      <c r="U7498" s="10"/>
      <c r="V7498" s="10"/>
      <c r="W7498" s="10"/>
      <c r="X7498" s="10"/>
      <c r="Y7498" s="10"/>
      <c r="Z7498" s="10"/>
    </row>
    <row r="7499" spans="1:26" ht="12.75">
      <c r="A7499" s="10" t="str">
        <f ca="1">IFERROR(__xludf.DUMMYFUNCTION("""COMPUTED_VALUE"""),"Таня Йорданова Тодорова")</f>
        <v>Таня Йорданова Тодорова</v>
      </c>
      <c r="B7499" s="10" t="str">
        <f ca="1">IFERROR(__xludf.DUMMYFUNCTION("""COMPUTED_VALUE"""),"Доклад от конференция")</f>
        <v>Доклад от конференция</v>
      </c>
      <c r="C7499" s="10" t="str">
        <f ca="1">IFERROR(__xludf.DUMMYFUNCTION("""COMPUTED_VALUE"""),"Comparative findings from Data Literacy Survey in three Bulgarian Universities")</f>
        <v>Comparative findings from Data Literacy Survey in three Bulgarian Universities</v>
      </c>
      <c r="D7499" s="10">
        <f ca="1">IFERROR(__xludf.DUMMYFUNCTION("""COMPUTED_VALUE"""),2019)</f>
        <v>2019</v>
      </c>
      <c r="E7499" s="10" t="str">
        <f ca="1">IFERROR(__xludf.DUMMYFUNCTION("""COMPUTED_VALUE"""),"EDULEARN19 Proceedings, 11th International Conference on Education and New Learning Technologies, Palma de Mallorca (Spain), 1st-3rd July 2019, pp. 932-940. ISBN: 978-84-09-12031-4, ISSN: 2340-1117")</f>
        <v>EDULEARN19 Proceedings, 11th International Conference on Education and New Learning Technologies, Palma de Mallorca (Spain), 1st-3rd July 2019, pp. 932-940. ISBN: 978-84-09-12031-4, ISSN: 2340-1117</v>
      </c>
      <c r="F7499" s="10" t="str">
        <f ca="1">IFERROR(__xludf.DUMMYFUNCTION("""COMPUTED_VALUE"""),"SCOPUS")</f>
        <v>SCOPUS</v>
      </c>
      <c r="G7499" s="10" t="str">
        <f ca="1">IFERROR(__xludf.DUMMYFUNCTION("""COMPUTED_VALUE"""),"Magdalena Garvanova, Mariana Peteva, Vanya Avramova")</f>
        <v>Magdalena Garvanova, Mariana Peteva, Vanya Avramova</v>
      </c>
      <c r="H7499" s="10"/>
      <c r="I7499" s="10"/>
      <c r="J7499" s="10"/>
      <c r="K7499" s="10"/>
      <c r="L7499" s="10"/>
      <c r="M7499" s="10"/>
      <c r="N7499" s="10"/>
      <c r="O7499" s="10"/>
      <c r="P7499" s="10"/>
      <c r="Q7499" s="10"/>
      <c r="R7499" s="10"/>
      <c r="S7499" s="10"/>
      <c r="T7499" s="10"/>
      <c r="U7499" s="10"/>
      <c r="V7499" s="10"/>
      <c r="W7499" s="10"/>
      <c r="X7499" s="10"/>
      <c r="Y7499" s="10"/>
      <c r="Z7499" s="10"/>
    </row>
    <row r="7500" spans="1:26" ht="12.75">
      <c r="A7500" s="10" t="str">
        <f ca="1">IFERROR(__xludf.DUMMYFUNCTION("""COMPUTED_VALUE"""),"Таня Йорданова Тодорова")</f>
        <v>Таня Йорданова Тодорова</v>
      </c>
      <c r="B7500" s="10" t="str">
        <f ca="1">IFERROR(__xludf.DUMMYFUNCTION("""COMPUTED_VALUE"""),"Доклад от конференция")</f>
        <v>Доклад от конференция</v>
      </c>
      <c r="C7500" s="10" t="str">
        <f ca="1">IFERROR(__xludf.DUMMYFUNCTION("""COMPUTED_VALUE"""),"Наблюдения от сравнително проучване на компетентността по управление на изследователски данни в български университети")</f>
        <v>Наблюдения от сравнително проучване на компетентността по управление на изследователски данни в български университети</v>
      </c>
      <c r="D7500" s="10">
        <f ca="1">IFERROR(__xludf.DUMMYFUNCTION("""COMPUTED_VALUE"""),2019)</f>
        <v>2019</v>
      </c>
      <c r="E7500" s="10" t="str">
        <f ca="1">IFERROR(__xludf.DUMMYFUNCTION("""COMPUTED_VALUE"""),"Обществото на знанието и хуманизмът на ХХI век : ХII-та национ. науч. конференция с междун. участие, 1 ноем. 2019, УниБИТ. За буквите – О писменехь, 2019, с. 476-485. ISSN 2683-0094")</f>
        <v>Обществото на знанието и хуманизмът на ХХI век : ХII-та национ. науч. конференция с междун. участие, 1 ноем. 2019, УниБИТ. За буквите – О писменехь, 2019, с. 476-485. ISSN 2683-0094</v>
      </c>
      <c r="F7500" s="10" t="str">
        <f ca="1">IFERROR(__xludf.DUMMYFUNCTION("""COMPUTED_VALUE"""),"ResearchGate, Google Scholar")</f>
        <v>ResearchGate, Google Scholar</v>
      </c>
      <c r="G7500" s="10"/>
      <c r="H7500" s="10"/>
      <c r="I7500" s="10"/>
      <c r="J7500" s="10"/>
      <c r="K7500" s="10"/>
      <c r="L7500" s="10"/>
      <c r="M7500" s="10"/>
      <c r="N7500" s="10"/>
      <c r="O7500" s="10"/>
      <c r="P7500" s="10"/>
      <c r="Q7500" s="10"/>
      <c r="R7500" s="10"/>
      <c r="S7500" s="10"/>
      <c r="T7500" s="10"/>
      <c r="U7500" s="10"/>
      <c r="V7500" s="10"/>
      <c r="W7500" s="10"/>
      <c r="X7500" s="10"/>
      <c r="Y7500" s="10"/>
      <c r="Z7500" s="10"/>
    </row>
    <row r="7501" spans="1:26" ht="12.75">
      <c r="A7501" s="10" t="str">
        <f ca="1">IFERROR(__xludf.DUMMYFUNCTION("""COMPUTED_VALUE"""),"Таня Йорданова Тодорова")</f>
        <v>Таня Йорданова Тодорова</v>
      </c>
      <c r="B7501" s="10" t="str">
        <f ca="1">IFERROR(__xludf.DUMMYFUNCTION("""COMPUTED_VALUE"""),"Доклад от конференция")</f>
        <v>Доклад от конференция</v>
      </c>
      <c r="C7501" s="10" t="str">
        <f ca="1">IFERROR(__xludf.DUMMYFUNCTION("""COMPUTED_VALUE"""),"Improving Access to information about the Cultural Heritage of the Bulgarian Revival")</f>
        <v>Improving Access to information about the Cultural Heritage of the Bulgarian Revival</v>
      </c>
      <c r="D7501" s="10">
        <f ca="1">IFERROR(__xludf.DUMMYFUNCTION("""COMPUTED_VALUE"""),2019)</f>
        <v>2019</v>
      </c>
      <c r="E7501" s="10" t="str">
        <f ca="1">IFERROR(__xludf.DUMMYFUNCTION("""COMPUTED_VALUE"""),"ICERI2019 Proceedings, 12th annual International Conference of Education, Research and Innovation, 11-13 November 2019, Seville, Spain. ICERI, 2019, pp. 3617-3620. ISBN: 978-84-09-14755-7; ISSN: 2340-1095; DOI: 10.21125/iceri.2019.0930")</f>
        <v>ICERI2019 Proceedings, 12th annual International Conference of Education, Research and Innovation, 11-13 November 2019, Seville, Spain. ICERI, 2019, pp. 3617-3620. ISBN: 978-84-09-14755-7; ISSN: 2340-1095; DOI: 10.21125/iceri.2019.0930</v>
      </c>
      <c r="F7501" s="10" t="str">
        <f ca="1">IFERROR(__xludf.DUMMYFUNCTION("""COMPUTED_VALUE"""),"ResearchGate, Google Scholar")</f>
        <v>ResearchGate, Google Scholar</v>
      </c>
      <c r="G7501" s="10" t="str">
        <f ca="1">IFERROR(__xludf.DUMMYFUNCTION("""COMPUTED_VALUE"""),"Hristiyan Atanasov")</f>
        <v>Hristiyan Atanasov</v>
      </c>
      <c r="H7501" s="10"/>
      <c r="I7501" s="10"/>
      <c r="J7501" s="10"/>
      <c r="K7501" s="10"/>
      <c r="L7501" s="10"/>
      <c r="M7501" s="10"/>
      <c r="N7501" s="10"/>
      <c r="O7501" s="10"/>
      <c r="P7501" s="10"/>
      <c r="Q7501" s="10"/>
      <c r="R7501" s="10"/>
      <c r="S7501" s="10"/>
      <c r="T7501" s="10"/>
      <c r="U7501" s="10"/>
      <c r="V7501" s="10"/>
      <c r="W7501" s="10"/>
      <c r="X7501" s="10"/>
      <c r="Y7501" s="10"/>
      <c r="Z7501" s="10"/>
    </row>
    <row r="7502" spans="1:26" ht="12.75">
      <c r="A7502" s="10" t="str">
        <f ca="1">IFERROR(__xludf.DUMMYFUNCTION("""COMPUTED_VALUE"""),"Таня Йорданова Тодорова")</f>
        <v>Таня Йорданова Тодорова</v>
      </c>
      <c r="B7502" s="10" t="str">
        <f ca="1">IFERROR(__xludf.DUMMYFUNCTION("""COMPUTED_VALUE"""),"Доклад от конференция")</f>
        <v>Доклад от конференция</v>
      </c>
      <c r="C7502" s="10" t="str">
        <f ca="1">IFERROR(__xludf.DUMMYFUNCTION("""COMPUTED_VALUE"""),"Access to Information for People with Special Needs: Experience from Academic Course")</f>
        <v>Access to Information for People with Special Needs: Experience from Academic Course</v>
      </c>
      <c r="D7502" s="10">
        <f ca="1">IFERROR(__xludf.DUMMYFUNCTION("""COMPUTED_VALUE"""),2019)</f>
        <v>2019</v>
      </c>
      <c r="E7502" s="10" t="str">
        <f ca="1">IFERROR(__xludf.DUMMYFUNCTION("""COMPUTED_VALUE"""),"New Perspectives in Science and Education, 8th ed., 21-22 March 2019, Florence, Italy. Bologna, Filodiritto International, 2019, p. 321-325. ISBN 978-88-85813-56-4 ISSN 2420-9732")</f>
        <v>New Perspectives in Science and Education, 8th ed., 21-22 March 2019, Florence, Italy. Bologna, Filodiritto International, 2019, p. 321-325. ISBN 978-88-85813-56-4 ISSN 2420-9732</v>
      </c>
      <c r="F7502" s="10" t="str">
        <f ca="1">IFERROR(__xludf.DUMMYFUNCTION("""COMPUTED_VALUE"""),"SCOPUS")</f>
        <v>SCOPUS</v>
      </c>
      <c r="G7502" s="10" t="str">
        <f ca="1">IFERROR(__xludf.DUMMYFUNCTION("""COMPUTED_VALUE"""),"Sabina Eftimova")</f>
        <v>Sabina Eftimova</v>
      </c>
      <c r="H7502" s="10"/>
      <c r="I7502" s="10"/>
      <c r="J7502" s="10"/>
      <c r="K7502" s="10"/>
      <c r="L7502" s="10"/>
      <c r="M7502" s="10"/>
      <c r="N7502" s="10"/>
      <c r="O7502" s="10"/>
      <c r="P7502" s="10"/>
      <c r="Q7502" s="10"/>
      <c r="R7502" s="10"/>
      <c r="S7502" s="10"/>
      <c r="T7502" s="10"/>
      <c r="U7502" s="10"/>
      <c r="V7502" s="10"/>
      <c r="W7502" s="10"/>
      <c r="X7502" s="10"/>
      <c r="Y7502" s="10"/>
      <c r="Z7502" s="10"/>
    </row>
    <row r="7503" spans="1:26" ht="12.75">
      <c r="A7503" s="10" t="str">
        <f ca="1">IFERROR(__xludf.DUMMYFUNCTION("""COMPUTED_VALUE"""),"Таня Йорданова Тодорова")</f>
        <v>Таня Йорданова Тодорова</v>
      </c>
      <c r="B7503" s="10" t="str">
        <f ca="1">IFERROR(__xludf.DUMMYFUNCTION("""COMPUTED_VALUE"""),"Доклад от конференция")</f>
        <v>Доклад от конференция</v>
      </c>
      <c r="C7503" s="10" t="str">
        <f ca="1">IFERROR(__xludf.DUMMYFUNCTION("""COMPUTED_VALUE"""),"Публична комуникация за авторскоправна грамотност в библиотечната и културната сфера")</f>
        <v>Публична комуникация за авторскоправна грамотност в библиотечната и културната сфера</v>
      </c>
      <c r="D7503" s="10">
        <f ca="1">IFERROR(__xludf.DUMMYFUNCTION("""COMPUTED_VALUE"""),2019)</f>
        <v>2019</v>
      </c>
      <c r="E7503" s="10" t="str">
        <f ca="1">IFERROR(__xludf.DUMMYFUNCTION("""COMPUTED_VALUE"""),"Интелектуалната собственост и дигиталните хора : Сборник с доклади. София, За буквите - О Писменехь, 2019, с. 302-319 ISBN 978-619-185-378-6")</f>
        <v>Интелектуалната собственост и дигиталните хора : Сборник с доклади. София, За буквите - О Писменехь, 2019, с. 302-319 ISBN 978-619-185-378-6</v>
      </c>
      <c r="F7503" s="10" t="str">
        <f ca="1">IFERROR(__xludf.DUMMYFUNCTION("""COMPUTED_VALUE"""),"Национален референтен списък")</f>
        <v>Национален референтен списък</v>
      </c>
      <c r="G7503" s="10" t="str">
        <f ca="1">IFERROR(__xludf.DUMMYFUNCTION("""COMPUTED_VALUE"""),"Тодорова, Таня, Събина Ефтимова")</f>
        <v>Тодорова, Таня, Събина Ефтимова</v>
      </c>
      <c r="H7503" s="10"/>
      <c r="I7503" s="10"/>
      <c r="J7503" s="10"/>
      <c r="K7503" s="10"/>
      <c r="L7503" s="10"/>
      <c r="M7503" s="10"/>
      <c r="N7503" s="10"/>
      <c r="O7503" s="10"/>
      <c r="P7503" s="10"/>
      <c r="Q7503" s="10"/>
      <c r="R7503" s="10"/>
      <c r="S7503" s="10"/>
      <c r="T7503" s="10"/>
      <c r="U7503" s="10"/>
      <c r="V7503" s="10"/>
      <c r="W7503" s="10"/>
      <c r="X7503" s="10"/>
      <c r="Y7503" s="10"/>
      <c r="Z7503" s="10"/>
    </row>
    <row r="7504" spans="1:26" ht="12.75">
      <c r="A7504" s="10" t="str">
        <f ca="1">IFERROR(__xludf.DUMMYFUNCTION("""COMPUTED_VALUE"""),"Таня Йорданова Тодорова")</f>
        <v>Таня Йорданова Тодорова</v>
      </c>
      <c r="B7504" s="10" t="str">
        <f ca="1">IFERROR(__xludf.DUMMYFUNCTION("""COMPUTED_VALUE"""),"Книга")</f>
        <v>Книга</v>
      </c>
      <c r="C7504" s="10" t="str">
        <f ca="1">IFERROR(__xludf.DUMMYFUNCTION("""COMPUTED_VALUE"""),"Българският XIX век: нови архиви и прочити")</f>
        <v>Българският XIX век: нови архиви и прочити</v>
      </c>
      <c r="D7504" s="10">
        <f ca="1">IFERROR(__xludf.DUMMYFUNCTION("""COMPUTED_VALUE"""),2019)</f>
        <v>2019</v>
      </c>
      <c r="E7504" s="10" t="str">
        <f ca="1">IFERROR(__xludf.DUMMYFUNCTION("""COMPUTED_VALUE"""),"Българският XIX век: нови архиви и прочити : Сборник / Състав. и науч. ред. О. Събев, Хр. Атанасов / Науч. рец. Р. Радкова, В. Бонева. София : За буквите – О писменехь, 2019, 232 с. ISBN 978-619-185-382-3
 Автори: Ивайло Найденов, Ивелина Машева, Милена Т"&amp;"афрова, Надя Манолова-Николова, Орлин Събев, Пламен Митев, Таня Тодорова, Християн Атанасов
   Приложение – „Каталог на архивни материали“, изготвил Славка Драганова, 1970 г. – В: Манолова, Н., Атанасов, Хр., Машева, Ив., Събев, Ор., Найденов, Ив., Тодоро"&amp;"ва, Т., Митев, Пл., Тафрова, М. Българският XIX век: нови архиви и прочити. Съставители: Орлин Събев, Християн Атанасов. ISBN: 978-619-185-382-3, София, Академично издателство „За буквите – О писменехь“, 2019.")</f>
        <v>Българският XIX век: нови архиви и прочити : Сборник / Състав. и науч. ред. О. Събев, Хр. Атанасов / Науч. рец. Р. Радкова, В. Бонева. София : За буквите – О писменехь, 2019, 232 с. ISBN 978-619-185-382-3
 Автори: Ивайло Найденов, Ивелина Машева, Милена Тафрова, Надя Манолова-Николова, Орлин Събев, Пламен Митев, Таня Тодорова, Християн Атанасов
   Приложение – „Каталог на архивни материали“, изготвил Славка Драганова, 1970 г. – В: Манолова, Н., Атанасов, Хр., Машева, Ив., Събев, Ор., Найденов, Ив., Тодорова, Т., Митев, Пл., Тафрова, М. Българският XIX век: нови архиви и прочити. Съставители: Орлин Събев, Християн Атанасов. ISBN: 978-619-185-382-3, София, Академично издателство „За буквите – О писменехь“, 2019.</v>
      </c>
      <c r="F7504" s="10" t="str">
        <f ca="1">IFERROR(__xludf.DUMMYFUNCTION("""COMPUTED_VALUE"""),"Academia.edu, ResearchGate, Google Scholar")</f>
        <v>Academia.edu, ResearchGate, Google Scholar</v>
      </c>
      <c r="G7504" s="10" t="str">
        <f ca="1">IFERROR(__xludf.DUMMYFUNCTION("""COMPUTED_VALUE"""),"Ивайло Найденов, Ивелина Машева, Милена Тафрова, Надя Манолова-Николова, Орлин Събев, Пламен Митев, Християн Атанасов")</f>
        <v>Ивайло Найденов, Ивелина Машева, Милена Тафрова, Надя Манолова-Николова, Орлин Събев, Пламен Митев, Християн Атанасов</v>
      </c>
      <c r="H7504" s="10"/>
      <c r="I7504" s="10"/>
      <c r="J7504" s="10"/>
      <c r="K7504" s="10"/>
      <c r="L7504" s="10"/>
      <c r="M7504" s="10"/>
      <c r="N7504" s="10"/>
      <c r="O7504" s="10"/>
      <c r="P7504" s="10"/>
      <c r="Q7504" s="10"/>
      <c r="R7504" s="10"/>
      <c r="S7504" s="10"/>
      <c r="T7504" s="10"/>
      <c r="U7504" s="10"/>
      <c r="V7504" s="10"/>
      <c r="W7504" s="10"/>
      <c r="X7504" s="10"/>
      <c r="Y7504" s="10"/>
      <c r="Z7504" s="10"/>
    </row>
    <row r="7505" spans="1:26" ht="12.75">
      <c r="A7505" s="10" t="str">
        <f ca="1">IFERROR(__xludf.DUMMYFUNCTION("""COMPUTED_VALUE"""),"Таня Йорданова Тодорова")</f>
        <v>Таня Йорданова Тодорова</v>
      </c>
      <c r="B7505" s="10" t="str">
        <f ca="1">IFERROR(__xludf.DUMMYFUNCTION("""COMPUTED_VALUE"""),"Глава от колективна монография")</f>
        <v>Глава от колективна монография</v>
      </c>
      <c r="C7505" s="10" t="str">
        <f ca="1">IFERROR(__xludf.DUMMYFUNCTION("""COMPUTED_VALUE"""),"Сп. „Български книжици“ (1858-1862) и възрожденското движение за автономна българска църква и духовенство")</f>
        <v>Сп. „Български книжици“ (1858-1862) и възрожденското движение за автономна българска църква и духовенство</v>
      </c>
      <c r="D7505" s="10">
        <f ca="1">IFERROR(__xludf.DUMMYFUNCTION("""COMPUTED_VALUE"""),2019)</f>
        <v>2019</v>
      </c>
      <c r="E7505" s="10" t="str">
        <f ca="1">IFERROR(__xludf.DUMMYFUNCTION("""COMPUTED_VALUE"""),"Българският XIX век: нови архиви и прочити : Сборник / Състав. и науч. ред. О. Събев, Хр. Атанасов / Науч. рец. Р. Радкова, В. Бонева. София : За буквите – О писменехь, 2019,, с. 165-177. (Приложение – „Каталог на архивни материали“, изготвил Славка Драга"&amp;"нова, 1970 г.) ISBN 978-619-185-382-3")</f>
        <v>Българският XIX век: нови архиви и прочити : Сборник / Състав. и науч. ред. О. Събев, Хр. Атанасов / Науч. рец. Р. Радкова, В. Бонева. София : За буквите – О писменехь, 2019,, с. 165-177. (Приложение – „Каталог на архивни материали“, изготвил Славка Драганова, 1970 г.) ISBN 978-619-185-382-3</v>
      </c>
      <c r="F7505" s="10" t="str">
        <f ca="1">IFERROR(__xludf.DUMMYFUNCTION("""COMPUTED_VALUE"""),"ResearchGate, Google Scholar")</f>
        <v>ResearchGate, Google Scholar</v>
      </c>
      <c r="G7505" s="10"/>
      <c r="H7505" s="10"/>
      <c r="I7505" s="10"/>
      <c r="J7505" s="10"/>
      <c r="K7505" s="10"/>
      <c r="L7505" s="10"/>
      <c r="M7505" s="10"/>
      <c r="N7505" s="10"/>
      <c r="O7505" s="10"/>
      <c r="P7505" s="10"/>
      <c r="Q7505" s="10"/>
      <c r="R7505" s="10"/>
      <c r="S7505" s="10"/>
      <c r="T7505" s="10"/>
      <c r="U7505" s="10"/>
      <c r="V7505" s="10"/>
      <c r="W7505" s="10"/>
      <c r="X7505" s="10"/>
      <c r="Y7505" s="10"/>
      <c r="Z7505" s="10"/>
    </row>
    <row r="7506" spans="1:26" ht="12.75">
      <c r="A7506" s="10" t="str">
        <f ca="1">IFERROR(__xludf.DUMMYFUNCTION("""COMPUTED_VALUE"""),"Таня Йорданова Тодорова")</f>
        <v>Таня Йорданова Тодорова</v>
      </c>
      <c r="B7506" s="10" t="str">
        <f ca="1">IFERROR(__xludf.DUMMYFUNCTION("""COMPUTED_VALUE"""),"Книга")</f>
        <v>Книга</v>
      </c>
      <c r="C7506" s="10" t="str">
        <f ca="1">IFERROR(__xludf.DUMMYFUNCTION("""COMPUTED_VALUE"""),"Лидерство в библиотечния мениджмънт")</f>
        <v>Лидерство в библиотечния мениджмънт</v>
      </c>
      <c r="D7506" s="10">
        <f ca="1">IFERROR(__xludf.DUMMYFUNCTION("""COMPUTED_VALUE"""),2018)</f>
        <v>2018</v>
      </c>
      <c r="E7506" s="10" t="str">
        <f ca="1">IFERROR(__xludf.DUMMYFUNCTION("""COMPUTED_VALUE"""),"Научна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2"&amp;"018, 336 с. ISBN 978-619-185-346-5")</f>
        <v>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2018, 336 с. ISBN 978-619-185-346-5</v>
      </c>
      <c r="F7506" s="10" t="str">
        <f ca="1">IFERROR(__xludf.DUMMYFUNCTION("""COMPUTED_VALUE"""),"Google Scholar")</f>
        <v>Google Scholar</v>
      </c>
      <c r="G7506" s="10" t="str">
        <f ca="1">IFERROR(__xludf.DUMMYFUNCTION("""COMPUTED_VALUE"""),"Иванка Янкова, Мариела Модева, Искра Арсенова, Добринка Стойкова, Румелина Василева, Тереза Тренчева, Любомира Парижкова, Силвия Станчева, Елена Савова, Събина Ефтимова, Елисавета Цветкова, Камелия Планска-Симеонова")</f>
        <v>Иванка Янкова, Мариела Модева, Искра Арсенова, Добринка Стойкова, Румелина Василева, Тереза Тренчева, Любомира Парижкова, Силвия Станчева, Елена Савова, Събина Ефтимова, Елисавета Цветкова, Камелия Планска-Симеонова</v>
      </c>
      <c r="H7506" s="10"/>
      <c r="I7506" s="10"/>
      <c r="J7506" s="10"/>
      <c r="K7506" s="10"/>
      <c r="L7506" s="10"/>
      <c r="M7506" s="10"/>
      <c r="N7506" s="10"/>
      <c r="O7506" s="10"/>
      <c r="P7506" s="10"/>
      <c r="Q7506" s="10"/>
      <c r="R7506" s="10"/>
      <c r="S7506" s="10"/>
      <c r="T7506" s="10"/>
      <c r="U7506" s="10"/>
      <c r="V7506" s="10"/>
      <c r="W7506" s="10"/>
      <c r="X7506" s="10"/>
      <c r="Y7506" s="10"/>
      <c r="Z7506" s="10"/>
    </row>
    <row r="7507" spans="1:26" ht="12.75">
      <c r="A7507" s="10" t="str">
        <f ca="1">IFERROR(__xludf.DUMMYFUNCTION("""COMPUTED_VALUE"""),"Таня Йорданова Тодорова")</f>
        <v>Таня Йорданова Тодорова</v>
      </c>
      <c r="B7507" s="10" t="str">
        <f ca="1">IFERROR(__xludf.DUMMYFUNCTION("""COMPUTED_VALUE"""),"Доклад от конференция")</f>
        <v>Доклад от конференция</v>
      </c>
      <c r="C7507" s="10" t="str">
        <f ca="1">IFERROR(__xludf.DUMMYFUNCTION("""COMPUTED_VALUE"""),"Авторскоправен консултант – нова професионална специализация")</f>
        <v>Авторскоправен консултант – нова професионална специализация</v>
      </c>
      <c r="D7507" s="10">
        <f ca="1">IFERROR(__xludf.DUMMYFUNCTION("""COMPUTED_VALUE"""),2018)</f>
        <v>2018</v>
      </c>
      <c r="E7507" s="10" t="str">
        <f ca="1">IFERROR(__xludf.DUMMYFUNCTION("""COMPUTED_VALUE"""),"Българското книжовно наследство – част от европейското културно пространство : Доклади от 28-ма национална конференция на ББИА, 8-9 юни 2018 г., Пловдив. – София: ББИА, 2018, с. 49-52. ISBN 978-954-9837-32-2")</f>
        <v>Българското книжовно наследство – част от европейското културно пространство : Доклади от 28-ма национална конференция на ББИА, 8-9 юни 2018 г., Пловдив. – София: ББИА, 2018, с. 49-52. ISBN 978-954-9837-32-2</v>
      </c>
      <c r="F7507" s="10" t="str">
        <f ca="1">IFERROR(__xludf.DUMMYFUNCTION("""COMPUTED_VALUE"""),"Google Scholar")</f>
        <v>Google Scholar</v>
      </c>
      <c r="G7507" s="10"/>
      <c r="H7507" s="10"/>
      <c r="I7507" s="10"/>
      <c r="J7507" s="10"/>
      <c r="K7507" s="10"/>
      <c r="L7507" s="10"/>
      <c r="M7507" s="10"/>
      <c r="N7507" s="10"/>
      <c r="O7507" s="10"/>
      <c r="P7507" s="10"/>
      <c r="Q7507" s="10"/>
      <c r="R7507" s="10"/>
      <c r="S7507" s="10"/>
      <c r="T7507" s="10"/>
      <c r="U7507" s="10"/>
      <c r="V7507" s="10"/>
      <c r="W7507" s="10"/>
      <c r="X7507" s="10"/>
      <c r="Y7507" s="10"/>
      <c r="Z7507" s="10"/>
    </row>
    <row r="7508" spans="1:26" ht="12.75">
      <c r="A7508" s="10" t="str">
        <f ca="1">IFERROR(__xludf.DUMMYFUNCTION("""COMPUTED_VALUE"""),"Таня Йорданова Тодорова")</f>
        <v>Таня Йорданова Тодорова</v>
      </c>
      <c r="B7508" s="10" t="str">
        <f ca="1">IFERROR(__xludf.DUMMYFUNCTION("""COMPUTED_VALUE"""),"Книга")</f>
        <v>Книга</v>
      </c>
      <c r="C7508" s="10" t="str">
        <f ca="1">IFERROR(__xludf.DUMMYFUNCTION("""COMPUTED_VALUE"""),"Библиотечният и информационен мениджмънт: 10 години постижения и предизвикателства")</f>
        <v>Библиотечният и информационен мениджмънт: 10 години постижения и предизвикателства</v>
      </c>
      <c r="D7508" s="10">
        <f ca="1">IFERROR(__xludf.DUMMYFUNCTION("""COMPUTED_VALUE"""),2018)</f>
        <v>2018</v>
      </c>
      <c r="E7508" s="10" t="str">
        <f ca="1">IFERROR(__xludf.DUMMYFUNCTION("""COMPUTED_VALUE"""),"Научен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София) / Състав. Таня Тодорова, Елисавета Цве"&amp;"ткова; Науч. Ред. И. Янкова, Р. Василева; Науч. рец. Ст. Денчев, И. Петева. – София : За буквите-О писменехь, 2018, 292 с. ISBN 978-619-185-347-2")</f>
        <v>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София) / Състав. Таня Тодорова, Елисавета Цветкова; Науч. Ред. И. Янкова, Р. Василева; Науч. рец. Ст. Денчев, И. Петева. – София : За буквите-О писменехь, 2018, 292 с. ISBN 978-619-185-347-2</v>
      </c>
      <c r="F7508" s="10" t="str">
        <f ca="1">IFERROR(__xludf.DUMMYFUNCTION("""COMPUTED_VALUE"""),"Google Scholar")</f>
        <v>Google Scholar</v>
      </c>
      <c r="G7508" s="10" t="str">
        <f ca="1">IFERROR(__xludf.DUMMYFUNCTION("""COMPUTED_VALUE"""),"Елисавета Цветкова")</f>
        <v>Елисавета Цветкова</v>
      </c>
      <c r="H7508" s="10"/>
      <c r="I7508" s="10"/>
      <c r="J7508" s="10"/>
      <c r="K7508" s="10"/>
      <c r="L7508" s="10"/>
      <c r="M7508" s="10"/>
      <c r="N7508" s="10"/>
      <c r="O7508" s="10"/>
      <c r="P7508" s="10"/>
      <c r="Q7508" s="10"/>
      <c r="R7508" s="10"/>
      <c r="S7508" s="10"/>
      <c r="T7508" s="10"/>
      <c r="U7508" s="10"/>
      <c r="V7508" s="10"/>
      <c r="W7508" s="10"/>
      <c r="X7508" s="10"/>
      <c r="Y7508" s="10"/>
      <c r="Z7508" s="10"/>
    </row>
    <row r="7509" spans="1:26" ht="12.75">
      <c r="A7509" s="10" t="str">
        <f ca="1">IFERROR(__xludf.DUMMYFUNCTION("""COMPUTED_VALUE"""),"Таня Йорданова Тодорова")</f>
        <v>Таня Йорданова Тодорова</v>
      </c>
      <c r="B7509" s="10" t="str">
        <f ca="1">IFERROR(__xludf.DUMMYFUNCTION("""COMPUTED_VALUE"""),"Статия в списания и поредици")</f>
        <v>Статия в списания и поредици</v>
      </c>
      <c r="C7509" s="10" t="str">
        <f ca="1">IFERROR(__xludf.DUMMYFUNCTION("""COMPUTED_VALUE"""),"Data Literacy and Research Data Management: The Case at ULSIT")</f>
        <v>Data Literacy and Research Data Management: The Case at ULSIT</v>
      </c>
      <c r="D7509" s="10">
        <f ca="1">IFERROR(__xludf.DUMMYFUNCTION("""COMPUTED_VALUE"""),2018)</f>
        <v>2018</v>
      </c>
      <c r="E7509" s="10" t="str">
        <f ca="1">IFERROR(__xludf.DUMMYFUNCTION("""COMPUTED_VALUE"""),"Information Literacy in Everyday Life, Sixth European Conference on Information Literacy. Eds. by S. Kurbanoğlu et al., ECIL 2018, Oulu, Finland, 24-27 September 2018: Revised Selected Papers. Cham: Springer International Publishing, pp. 535–544. – (Commu"&amp;"nication in Computer and Information Science (CCIS), vol. 989) ISBN 978-3-030-13472-3; eBook ISBN 978-3-030-13472-3, DOI 10.1007/978-3-030-13472-3")</f>
        <v>Information Literacy in Everyday Life, Sixth European Conference on Information Literacy. Eds. by S. Kurbanoğlu et al., ECIL 2018, Oulu, Finland, 24-27 September 2018: Revised Selected Papers. Cham: Springer International Publishing, pp. 535–544. – (Communication in Computer and Information Science (CCIS), vol. 989) ISBN 978-3-030-13472-3; eBook ISBN 978-3-030-13472-3, DOI 10.1007/978-3-030-13472-3</v>
      </c>
      <c r="F7509" s="10" t="str">
        <f ca="1">IFERROR(__xludf.DUMMYFUNCTION("""COMPUTED_VALUE"""),"ISI Web of Knowledge, SCOPUS")</f>
        <v>ISI Web of Knowledge, SCOPUS</v>
      </c>
      <c r="G7509" s="10" t="str">
        <f ca="1">IFERROR(__xludf.DUMMYFUNCTION("""COMPUTED_VALUE"""),"Rositza Krasteva, Elisaveta Tsvetkova")</f>
        <v>Rositza Krasteva, Elisaveta Tsvetkova</v>
      </c>
      <c r="H7509" s="10"/>
      <c r="I7509" s="10"/>
      <c r="J7509" s="10"/>
      <c r="K7509" s="10"/>
      <c r="L7509" s="10"/>
      <c r="M7509" s="10"/>
      <c r="N7509" s="10"/>
      <c r="O7509" s="10"/>
      <c r="P7509" s="10"/>
      <c r="Q7509" s="10"/>
      <c r="R7509" s="10"/>
      <c r="S7509" s="10"/>
      <c r="T7509" s="10"/>
      <c r="U7509" s="10"/>
      <c r="V7509" s="10"/>
      <c r="W7509" s="10"/>
      <c r="X7509" s="10"/>
      <c r="Y7509" s="10"/>
      <c r="Z7509" s="10"/>
    </row>
    <row r="7510" spans="1:26" ht="12.75">
      <c r="A7510" s="10" t="str">
        <f ca="1">IFERROR(__xludf.DUMMYFUNCTION("""COMPUTED_VALUE"""),"Таня Йорданова Тодорова")</f>
        <v>Таня Йорданова Тодорова</v>
      </c>
      <c r="B7510" s="10" t="str">
        <f ca="1">IFERROR(__xludf.DUMMYFUNCTION("""COMPUTED_VALUE"""),"Доклад от конференция")</f>
        <v>Доклад от конференция</v>
      </c>
      <c r="C7510" s="10" t="str">
        <f ca="1">IFERROR(__xludf.DUMMYFUNCTION("""COMPUTED_VALUE"""),"Интеракция академично образование – работна среда : Опит по проект „Студентски практики“ на МОН")</f>
        <v>Интеракция академично образование – работна среда : Опит по проект „Студентски практики“ на МОН</v>
      </c>
      <c r="D7510" s="10">
        <f ca="1">IFERROR(__xludf.DUMMYFUNCTION("""COMPUTED_VALUE"""),2018)</f>
        <v>2018</v>
      </c>
      <c r="E7510" s="10" t="str">
        <f ca="1">IFERROR(__xludf.DUMMYFUNCTION("""COMPUTED_VALUE"""),"Обществото на знанието и хуманизмът на ХХІ век : Петнадесета национална научна конференция с международно участие, София, 1 ноември 2017. – София: За буквите – О писменехь, 2018, с. 427-431. ISSN 1314-7099 (print)")</f>
        <v>Обществото на знанието и хуманизмът на ХХІ век : Петнадесета национална научна конференция с международно участие, София, 1 ноември 2017. – София: За буквите – О писменехь, 2018, с. 427-431. ISSN 1314-7099 (print)</v>
      </c>
      <c r="F7510" s="10" t="str">
        <f ca="1">IFERROR(__xludf.DUMMYFUNCTION("""COMPUTED_VALUE"""),"Google Scholar, Референтен списък на НАЦИД")</f>
        <v>Google Scholar, Референтен списък на НАЦИД</v>
      </c>
      <c r="G7510" s="10" t="str">
        <f ca="1">IFERROR(__xludf.DUMMYFUNCTION("""COMPUTED_VALUE"""),"Ваня Аврамова, Елисавета Цветкова")</f>
        <v>Ваня Аврамова, Елисавета Цветкова</v>
      </c>
      <c r="H7510" s="10"/>
      <c r="I7510" s="10"/>
      <c r="J7510" s="10"/>
      <c r="K7510" s="10"/>
      <c r="L7510" s="10"/>
      <c r="M7510" s="10"/>
      <c r="N7510" s="10"/>
      <c r="O7510" s="10"/>
      <c r="P7510" s="10"/>
      <c r="Q7510" s="10"/>
      <c r="R7510" s="10"/>
      <c r="S7510" s="10"/>
      <c r="T7510" s="10"/>
      <c r="U7510" s="10"/>
      <c r="V7510" s="10"/>
      <c r="W7510" s="10"/>
      <c r="X7510" s="10"/>
      <c r="Y7510" s="10"/>
      <c r="Z7510" s="10"/>
    </row>
    <row r="7511" spans="1:26" ht="12.75">
      <c r="A7511" s="10" t="str">
        <f ca="1">IFERROR(__xludf.DUMMYFUNCTION("""COMPUTED_VALUE"""),"Таня Йорданова Тодорова")</f>
        <v>Таня Йорданова Тодорова</v>
      </c>
      <c r="B7511" s="10" t="str">
        <f ca="1">IFERROR(__xludf.DUMMYFUNCTION("""COMPUTED_VALUE"""),"Доклад от конференция")</f>
        <v>Доклад от конференция</v>
      </c>
      <c r="C7511" s="10" t="str">
        <f ca="1">IFERROR(__xludf.DUMMYFUNCTION("""COMPUTED_VALUE"""),"Катедра „Библиотечен мениджмънт“ при УниБИТ – модерна в съграждането на традиция")</f>
        <v>Катедра „Библиотечен мениджмънт“ при УниБИТ – модерна в съграждането на традиция</v>
      </c>
      <c r="D7511" s="10">
        <f ca="1">IFERROR(__xludf.DUMMYFUNCTION("""COMPUTED_VALUE"""),2018)</f>
        <v>2018</v>
      </c>
      <c r="E7511" s="10" t="str">
        <f ca="1">IFERROR(__xludf.DUMMYFUNCTION("""COMPUTED_VALUE"""),"Лидерство в библиотечния мениджмънт: 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Куманова"&amp;". – София : За буквите-О писменехь, 2018, с. 7-17. ISBN 978-619-185-346-5")</f>
        <v>Лидерство в библиотечния мениджмънт: Научна книга по повод 10 години Катедра „Библиотечен мениджмънт“ при Университета по библиотекознание и информационни технологии / Иванка Янкова и др.; Библиог. ред. Събина Ефтимова; Науч. рец. Ст. Денчев, Ал. Куманова. – София : За буквите-О писменехь, 2018, с. 7-17. ISBN 978-619-185-346-5</v>
      </c>
      <c r="F7511" s="10" t="str">
        <f ca="1">IFERROR(__xludf.DUMMYFUNCTION("""COMPUTED_VALUE"""),"Google Scholar")</f>
        <v>Google Scholar</v>
      </c>
      <c r="G7511" s="10" t="str">
        <f ca="1">IFERROR(__xludf.DUMMYFUNCTION("""COMPUTED_VALUE"""),"Иванка Янкова")</f>
        <v>Иванка Янкова</v>
      </c>
      <c r="H7511" s="10"/>
      <c r="I7511" s="10"/>
      <c r="J7511" s="10"/>
      <c r="K7511" s="10"/>
      <c r="L7511" s="10"/>
      <c r="M7511" s="10"/>
      <c r="N7511" s="10"/>
      <c r="O7511" s="10"/>
      <c r="P7511" s="10"/>
      <c r="Q7511" s="10"/>
      <c r="R7511" s="10"/>
      <c r="S7511" s="10"/>
      <c r="T7511" s="10"/>
      <c r="U7511" s="10"/>
      <c r="V7511" s="10"/>
      <c r="W7511" s="10"/>
      <c r="X7511" s="10"/>
      <c r="Y7511" s="10"/>
      <c r="Z7511" s="10"/>
    </row>
    <row r="7512" spans="1:26" ht="12.75">
      <c r="A7512" s="10" t="str">
        <f ca="1">IFERROR(__xludf.DUMMYFUNCTION("""COMPUTED_VALUE"""),"Таня Йорданова Тодорова")</f>
        <v>Таня Йорданова Тодорова</v>
      </c>
      <c r="B7512" s="10" t="str">
        <f ca="1">IFERROR(__xludf.DUMMYFUNCTION("""COMPUTED_VALUE"""),"Статия в списания и поредици")</f>
        <v>Статия в списания и поредици</v>
      </c>
      <c r="C7512" s="10" t="str">
        <f ca="1">IFERROR(__xludf.DUMMYFUNCTION("""COMPUTED_VALUE"""),"Academic reading format preferences and behaviors among university students worldwide: A comparative survey analysis.")</f>
        <v>Academic reading format preferences and behaviors among university students worldwide: A comparative survey analysis.</v>
      </c>
      <c r="D7512" s="10">
        <f ca="1">IFERROR(__xludf.DUMMYFUNCTION("""COMPUTED_VALUE"""),2018)</f>
        <v>2018</v>
      </c>
      <c r="E7512" s="10" t="str">
        <f ca="1">IFERROR(__xludf.DUMMYFUNCTION("""COMPUTED_VALUE"""),"PLOS ONE 13(5): e0197444. https://doi.org/10.1371/journal.pone.0197444 PLOS ONE (Public Library of Science) is a peer-reviewed, online, open access interdisciplinary journal with an impact factor of 2.806 (2016). eISSN 1932-6203")</f>
        <v>PLOS ONE 13(5): e0197444. https://doi.org/10.1371/journal.pone.0197444 PLOS ONE (Public Library of Science) is a peer-reviewed, online, open access interdisciplinary journal with an impact factor of 2.806 (2016). eISSN 1932-6203</v>
      </c>
      <c r="F7512" s="10" t="str">
        <f ca="1">IFERROR(__xludf.DUMMYFUNCTION("""COMPUTED_VALUE"""),"Web of Science, SCOPUS")</f>
        <v>Web of Science, SCOPUS</v>
      </c>
      <c r="G7512" s="10" t="str">
        <f ca="1">IFERROR(__xludf.DUMMYFUNCTION("""COMPUTED_VALUE"""),"Mizrachi, D., Salaz A.M., Kurbanoglu, S., Boustany, J., on behalf of the ARFIS Research Group Acknowledgments: We would like to acknowledge and thank the members of the ARFIS research group who have contributed data to this study: Tania Todorova, Pan Yant"&amp;"ao, Jiuzhen Zhang, Daniela Živkovic, Darija Pešut, Terttu Kortelainen, Judit Bar-Ilan, Noa Aharony, Elena Collina, Liga Krumina, Hanady Geagea, Silvia Ghinculov, Ane Landøy, Almuth Gastinger, Aurora de la Vega, Ana Lúcia Terra, Nicole Johnston, Angela Rep"&amp;"anovici, Polona Vilar, René Schneider, Güleda Dogan, Serap Kurbanoglu, Patricia Jamal, David Bawden, Jane Secker, Chris Morrison, A.M. Salaz, Diane Mizrachi, and Joumana Boustany")</f>
        <v>Mizrachi, D., Salaz A.M., Kurbanoglu, S., Boustany, J., on behalf of the ARFIS Research Group Acknowledgments: We would like to acknowledge and thank the members of the ARFIS research group who have contributed data to this study: Tania Todorova, Pan Yantao, Jiuzhen Zhang, Daniela Živkovic, Darija Pešut, Terttu Kortelainen, Judit Bar-Ilan, Noa Aharony, Elena Collina, Liga Krumina, Hanady Geagea, Silvia Ghinculov, Ane Landøy, Almuth Gastinger, Aurora de la Vega, Ana Lúcia Terra, Nicole Johnston, Angela Repanovici, Polona Vilar, René Schneider, Güleda Dogan, Serap Kurbanoglu, Patricia Jamal, David Bawden, Jane Secker, Chris Morrison, A.M. Salaz, Diane Mizrachi, and Joumana Boustany</v>
      </c>
      <c r="H7512" s="10"/>
      <c r="I7512" s="10"/>
      <c r="J7512" s="10"/>
      <c r="K7512" s="10"/>
      <c r="L7512" s="10"/>
      <c r="M7512" s="10"/>
      <c r="N7512" s="10"/>
      <c r="O7512" s="10"/>
      <c r="P7512" s="10"/>
      <c r="Q7512" s="10"/>
      <c r="R7512" s="10"/>
      <c r="S7512" s="10"/>
      <c r="T7512" s="10"/>
      <c r="U7512" s="10"/>
      <c r="V7512" s="10"/>
      <c r="W7512" s="10"/>
      <c r="X7512" s="10"/>
      <c r="Y7512" s="10"/>
      <c r="Z7512" s="10"/>
    </row>
    <row r="7513" spans="1:26" ht="12.75">
      <c r="A7513" s="10" t="str">
        <f ca="1">IFERROR(__xludf.DUMMYFUNCTION("""COMPUTED_VALUE"""),"Таня Йорданова Тодорова")</f>
        <v>Таня Йорданова Тодорова</v>
      </c>
      <c r="B7513" s="10" t="str">
        <f ca="1">IFERROR(__xludf.DUMMYFUNCTION("""COMPUTED_VALUE"""),"Доклад от конференция")</f>
        <v>Доклад от конференция</v>
      </c>
      <c r="C7513" s="10" t="str">
        <f ca="1">IFERROR(__xludf.DUMMYFUNCTION("""COMPUTED_VALUE"""),"Партньорство с Областния информационен център - София в обучението по дисциплината „Проект мениджмънт“")</f>
        <v>Партньорство с Областния информационен център - София в обучението по дисциплината „Проект мениджмънт“</v>
      </c>
      <c r="D7513" s="10">
        <f ca="1">IFERROR(__xludf.DUMMYFUNCTION("""COMPUTED_VALUE"""),2018)</f>
        <v>2018</v>
      </c>
      <c r="E7513"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 г., УниБИТ / Състав. Т. Тодорова, Е. Цветкова. – София : За буквите-О писменехь, 2018, с. 278-288.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 Състав. Т. Тодорова, Е. Цветкова. – София : За буквите-О писменехь, 2018, с. 278-288. ISBN 978-619-185-347-2</v>
      </c>
      <c r="F7513" s="10" t="str">
        <f ca="1">IFERROR(__xludf.DUMMYFUNCTION("""COMPUTED_VALUE"""),"Google Scholar")</f>
        <v>Google Scholar</v>
      </c>
      <c r="G7513" s="10" t="str">
        <f ca="1">IFERROR(__xludf.DUMMYFUNCTION("""COMPUTED_VALUE"""),"Елисавета Цветкова")</f>
        <v>Елисавета Цветкова</v>
      </c>
      <c r="H7513" s="10"/>
      <c r="I7513" s="10"/>
      <c r="J7513" s="10"/>
      <c r="K7513" s="10"/>
      <c r="L7513" s="10"/>
      <c r="M7513" s="10"/>
      <c r="N7513" s="10"/>
      <c r="O7513" s="10"/>
      <c r="P7513" s="10"/>
      <c r="Q7513" s="10"/>
      <c r="R7513" s="10"/>
      <c r="S7513" s="10"/>
      <c r="T7513" s="10"/>
      <c r="U7513" s="10"/>
      <c r="V7513" s="10"/>
      <c r="W7513" s="10"/>
      <c r="X7513" s="10"/>
      <c r="Y7513" s="10"/>
      <c r="Z7513" s="10"/>
    </row>
    <row r="7514" spans="1:26" ht="12.75">
      <c r="A7514" s="10" t="str">
        <f ca="1">IFERROR(__xludf.DUMMYFUNCTION("""COMPUTED_VALUE"""),"Таня Йорданова Тодорова")</f>
        <v>Таня Йорданова Тодорова</v>
      </c>
      <c r="B7514" s="10" t="str">
        <f ca="1">IFERROR(__xludf.DUMMYFUNCTION("""COMPUTED_VALUE"""),"Доклад от конференция")</f>
        <v>Доклад от конференция</v>
      </c>
      <c r="C7514" s="10" t="str">
        <f ca="1">IFERROR(__xludf.DUMMYFUNCTION("""COMPUTED_VALUE"""),"Модел на формално обучение по интелектуална собственост за библиотечно-информационни мениджъри")</f>
        <v>Модел на формално обучение по интелектуална собственост за библиотечно-информационни мениджъри</v>
      </c>
      <c r="D7514" s="10">
        <f ca="1">IFERROR(__xludf.DUMMYFUNCTION("""COMPUTED_VALUE"""),2018)</f>
        <v>2018</v>
      </c>
      <c r="E7514" s="10" t="str">
        <f ca="1">IFERROR(__xludf.DUMMYFUNCTION("""COMPUTED_VALUE"""),"Европейските граждани и интелектуалната собственост, възприятие, осъзнатост, поведение : Сборник с доклади от Шести национален семинар с международно участие 25-26 април 2018 г., УниБИТ / Състав. Т. Тренчева. София, За буквите - О Писменехь, 2018, с. 109-"&amp;"126. ISBN 978-619-185-350-2")</f>
        <v>Европейските граждани и интелектуалната собственост, възприятие, осъзнатост, поведение : Сборник с доклади от Шести национален семинар с международно участие 25-26 април 2018 г., УниБИТ / Състав. Т. Тренчева. София, За буквите - О Писменехь, 2018, с. 109-126. ISBN 978-619-185-350-2</v>
      </c>
      <c r="F7514" s="10" t="str">
        <f ca="1">IFERROR(__xludf.DUMMYFUNCTION("""COMPUTED_VALUE"""),"Google Scholar")</f>
        <v>Google Scholar</v>
      </c>
      <c r="G7514" s="10" t="str">
        <f ca="1">IFERROR(__xludf.DUMMYFUNCTION("""COMPUTED_VALUE"""),"Тереза Тренчева")</f>
        <v>Тереза Тренчева</v>
      </c>
      <c r="H7514" s="10"/>
      <c r="I7514" s="10"/>
      <c r="J7514" s="10"/>
      <c r="K7514" s="10"/>
      <c r="L7514" s="10"/>
      <c r="M7514" s="10"/>
      <c r="N7514" s="10"/>
      <c r="O7514" s="10"/>
      <c r="P7514" s="10"/>
      <c r="Q7514" s="10"/>
      <c r="R7514" s="10"/>
      <c r="S7514" s="10"/>
      <c r="T7514" s="10"/>
      <c r="U7514" s="10"/>
      <c r="V7514" s="10"/>
      <c r="W7514" s="10"/>
      <c r="X7514" s="10"/>
      <c r="Y7514" s="10"/>
      <c r="Z7514" s="10"/>
    </row>
    <row r="7515" spans="1:26" ht="12.75">
      <c r="A7515" s="10" t="str">
        <f ca="1">IFERROR(__xludf.DUMMYFUNCTION("""COMPUTED_VALUE"""),"Таня Йорданова Тодорова")</f>
        <v>Таня Йорданова Тодорова</v>
      </c>
      <c r="B7515" s="10" t="str">
        <f ca="1">IFERROR(__xludf.DUMMYFUNCTION("""COMPUTED_VALUE"""),"Доклад от конференция")</f>
        <v>Доклад от конференция</v>
      </c>
      <c r="C7515" s="10" t="str">
        <f ca="1">IFERROR(__xludf.DUMMYFUNCTION("""COMPUTED_VALUE"""),"Международното сътрудничество и катедра „Библиотечен мениджмънт“")</f>
        <v>Международното сътрудничество и катедра „Библиотечен мениджмънт“</v>
      </c>
      <c r="D7515" s="10">
        <f ca="1">IFERROR(__xludf.DUMMYFUNCTION("""COMPUTED_VALUE"""),2018)</f>
        <v>2018</v>
      </c>
      <c r="E7515" s="10" t="str">
        <f ca="1">IFERROR(__xludf.DUMMYFUNCTION("""COMPUTED_VALUE"""),"Библиотечният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"&amp;"технологии, 4 декември 2018 г., УниБИТ / Състав. Т. Тодорова, Е. Цветкова. – София : За буквите-О писменехь, 2018, с. 19-39. ISBN 978-619-185-347-2")</f>
        <v>Библиотечният и информационен мениджмънт: 10 години постижения и предизвикателства : Научен сборник с доклади от Научна конференция по повод 10 години от създаването на катедра „Библиотечен мениджмънт“ при Университета по библиотекознание и информационни технологии, 4 декември 2018 г., УниБИТ / Състав. Т. Тодорова, Е. Цветкова. – София : За буквите-О писменехь, 2018, с. 19-39. ISBN 978-619-185-347-2</v>
      </c>
      <c r="F7515" s="10" t="str">
        <f ca="1">IFERROR(__xludf.DUMMYFUNCTION("""COMPUTED_VALUE"""),"Google Scholar")</f>
        <v>Google Scholar</v>
      </c>
      <c r="G7515" s="10" t="str">
        <f ca="1">IFERROR(__xludf.DUMMYFUNCTION("""COMPUTED_VALUE"""),"Стоян Денчев")</f>
        <v>Стоян Денчев</v>
      </c>
      <c r="H7515" s="10"/>
      <c r="I7515" s="10"/>
      <c r="J7515" s="10"/>
      <c r="K7515" s="10"/>
      <c r="L7515" s="10"/>
      <c r="M7515" s="10"/>
      <c r="N7515" s="10"/>
      <c r="O7515" s="10"/>
      <c r="P7515" s="10"/>
      <c r="Q7515" s="10"/>
      <c r="R7515" s="10"/>
      <c r="S7515" s="10"/>
      <c r="T7515" s="10"/>
      <c r="U7515" s="10"/>
      <c r="V7515" s="10"/>
      <c r="W7515" s="10"/>
      <c r="X7515" s="10"/>
      <c r="Y7515" s="10"/>
      <c r="Z7515" s="10"/>
    </row>
    <row r="7516" spans="1:26" ht="12.75">
      <c r="A7516" s="10" t="str">
        <f ca="1">IFERROR(__xludf.DUMMYFUNCTION("""COMPUTED_VALUE"""),"Таня Йорданова Тодорова")</f>
        <v>Таня Йорданова Тодорова</v>
      </c>
      <c r="B7516" s="10" t="str">
        <f ca="1">IFERROR(__xludf.DUMMYFUNCTION("""COMPUTED_VALUE"""),"Доклад от конференция")</f>
        <v>Доклад от конференция</v>
      </c>
      <c r="C7516" s="10" t="str">
        <f ca="1">IFERROR(__xludf.DUMMYFUNCTION("""COMPUTED_VALUE"""),"Intellectual Property Training of Library and Information Management Bachelor’s Students")</f>
        <v>Intellectual Property Training of Library and Information Management Bachelor’s Students</v>
      </c>
      <c r="D7516" s="10">
        <f ca="1">IFERROR(__xludf.DUMMYFUNCTION("""COMPUTED_VALUE"""),2018)</f>
        <v>2018</v>
      </c>
      <c r="E7516" s="10" t="str">
        <f ca="1">IFERROR(__xludf.DUMMYFUNCTION("""COMPUTED_VALUE"""),"Information Literacy in the Workplace: 5th European Conference on Information Literacy (ECIL): Revised Selected Papers. Eds. by S. Kurbanoğlu et. al., ECIL, Saint-Malo, 2017, Springer, Cham, 2018, рp. 294-302. - (Communication in Computer and Information "&amp;"Science, Vol. 810). ISBN 978-3-319-74334-9")</f>
        <v>Information Literacy in the Workplace: 5th European Conference on Information Literacy (ECIL): Revised Selected Papers. Eds. by S. Kurbanoğlu et. al., ECIL, Saint-Malo, 2017, Springer, Cham, 2018, рp. 294-302. - (Communication in Computer and Information Science, Vol. 810). ISBN 978-3-319-74334-9</v>
      </c>
      <c r="F7516" s="10" t="str">
        <f ca="1">IFERROR(__xludf.DUMMYFUNCTION("""COMPUTED_VALUE"""),"SCOPUS, Google Scholar, Research Gate")</f>
        <v>SCOPUS, Google Scholar, Research Gate</v>
      </c>
      <c r="G7516" s="10" t="str">
        <f ca="1">IFERROR(__xludf.DUMMYFUNCTION("""COMPUTED_VALUE"""),"Т. Trencheva, E. Tsvetkova")</f>
        <v>Т. Trencheva, E. Tsvetkova</v>
      </c>
      <c r="H7516" s="10"/>
      <c r="I7516" s="10"/>
      <c r="J7516" s="10"/>
      <c r="K7516" s="10"/>
      <c r="L7516" s="10"/>
      <c r="M7516" s="10"/>
      <c r="N7516" s="10"/>
      <c r="O7516" s="10"/>
      <c r="P7516" s="10"/>
      <c r="Q7516" s="10"/>
      <c r="R7516" s="10"/>
      <c r="S7516" s="10"/>
      <c r="T7516" s="10"/>
      <c r="U7516" s="10"/>
      <c r="V7516" s="10"/>
      <c r="W7516" s="10"/>
      <c r="X7516" s="10"/>
      <c r="Y7516" s="10"/>
      <c r="Z7516" s="10"/>
    </row>
    <row r="7517" spans="1:26" ht="12.75">
      <c r="A7517" s="10" t="str">
        <f ca="1">IFERROR(__xludf.DUMMYFUNCTION("""COMPUTED_VALUE"""),"Таня Йорданова Тодорова")</f>
        <v>Таня Йорданова Тодорова</v>
      </c>
      <c r="B7517" s="10" t="str">
        <f ca="1">IFERROR(__xludf.DUMMYFUNCTION("""COMPUTED_VALUE"""),"Доклад от конференция")</f>
        <v>Доклад от конференция</v>
      </c>
      <c r="C7517" s="10" t="str">
        <f ca="1">IFERROR(__xludf.DUMMYFUNCTION("""COMPUTED_VALUE"""),"Copyright Literacy – a Component of the Information and Media Literacy")</f>
        <v>Copyright Literacy – a Component of the Information and Media Literacy</v>
      </c>
      <c r="D7517" s="10">
        <f ca="1">IFERROR(__xludf.DUMMYFUNCTION("""COMPUTED_VALUE"""),2018)</f>
        <v>2018</v>
      </c>
      <c r="E7517" s="10" t="str">
        <f ca="1">IFERROR(__xludf.DUMMYFUNCTION("""COMPUTED_VALUE"""),"New Perspectives in Science and Education, 22-23 March 2018, 7th Conference Ed., Florence, Liberariauniversitaria, 2018, pp. 274-278. ISBN: 978-88-6292-976-9 ISSN: 2420-9732")</f>
        <v>New Perspectives in Science and Education, 22-23 March 2018, 7th Conference Ed., Florence, Liberariauniversitaria, 2018, pp. 274-278. ISBN: 978-88-6292-976-9 ISSN: 2420-9732</v>
      </c>
      <c r="F7517" s="10" t="str">
        <f ca="1">IFERROR(__xludf.DUMMYFUNCTION("""COMPUTED_VALUE"""),"SCOPUS")</f>
        <v>SCOPUS</v>
      </c>
      <c r="G7517" s="10"/>
      <c r="H7517" s="10"/>
      <c r="I7517" s="10"/>
      <c r="J7517" s="10"/>
      <c r="K7517" s="10"/>
      <c r="L7517" s="10"/>
      <c r="M7517" s="10"/>
      <c r="N7517" s="10"/>
      <c r="O7517" s="10"/>
      <c r="P7517" s="10"/>
      <c r="Q7517" s="10"/>
      <c r="R7517" s="10"/>
      <c r="S7517" s="10"/>
      <c r="T7517" s="10"/>
      <c r="U7517" s="10"/>
      <c r="V7517" s="10"/>
      <c r="W7517" s="10"/>
      <c r="X7517" s="10"/>
      <c r="Y7517" s="10"/>
      <c r="Z7517" s="10"/>
    </row>
    <row r="7518" spans="1:26" ht="12.75">
      <c r="A7518" s="10" t="str">
        <f ca="1">IFERROR(__xludf.DUMMYFUNCTION("""COMPUTED_VALUE"""),"Таня Йорданова Тодорова")</f>
        <v>Таня Йорданова Тодорова</v>
      </c>
      <c r="B7518" s="10" t="str">
        <f ca="1">IFERROR(__xludf.DUMMYFUNCTION("""COMPUTED_VALUE"""),"Статия в списания и поредици")</f>
        <v>Статия в списания и поредици</v>
      </c>
      <c r="C7518" s="10" t="str">
        <f ca="1">IFERROR(__xludf.DUMMYFUNCTION("""COMPUTED_VALUE"""),"За „авторскоправната празнота” в подготовката на специалистите от библиотечно-информационния и културен сектор")</f>
        <v>За „авторскоправната празнота” в подготовката на специалистите от библиотечно-информационния и културен сектор</v>
      </c>
      <c r="D7518" s="10">
        <f ca="1">IFERROR(__xludf.DUMMYFUNCTION("""COMPUTED_VALUE"""),2017)</f>
        <v>2017</v>
      </c>
      <c r="E7518" s="10" t="str">
        <f ca="1">IFERROR(__xludf.DUMMYFUNCTION("""COMPUTED_VALUE"""),"Интелектуална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"&amp;"Таня Тодорова; Науч. рец. Божанка Неделчева. – София : За буквите – О писменехь, 2017, с. 63-76. ISBN 978-619-185-272-7")</f>
        <v>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Университет по библиотекознание и информационни технологии / Състав. Тереза Тренчева; Науч. ред. Таня Тодорова; Науч. рец. Божанка Неделчева. – София : За буквите – О писменехь, 2017, с. 63-76. ISBN 978-619-185-272-7</v>
      </c>
      <c r="F7518" s="10" t="str">
        <f ca="1">IFERROR(__xludf.DUMMYFUNCTION("""COMPUTED_VALUE"""),"Google Scholar, Референтен списък на НАЦИД")</f>
        <v>Google Scholar, Референтен списък на НАЦИД</v>
      </c>
      <c r="G7518" s="10"/>
      <c r="H7518" s="10"/>
      <c r="I7518" s="10"/>
      <c r="J7518" s="10"/>
      <c r="K7518" s="10"/>
      <c r="L7518" s="10"/>
      <c r="M7518" s="10"/>
      <c r="N7518" s="10"/>
      <c r="O7518" s="10"/>
      <c r="P7518" s="10"/>
      <c r="Q7518" s="10"/>
      <c r="R7518" s="10"/>
      <c r="S7518" s="10"/>
      <c r="T7518" s="10"/>
      <c r="U7518" s="10"/>
      <c r="V7518" s="10"/>
      <c r="W7518" s="10"/>
      <c r="X7518" s="10"/>
      <c r="Y7518" s="10"/>
      <c r="Z7518" s="10"/>
    </row>
    <row r="7519" spans="1:26" ht="12.75">
      <c r="A7519" s="10" t="str">
        <f ca="1">IFERROR(__xludf.DUMMYFUNCTION("""COMPUTED_VALUE"""),"Таня Йорданова Тодорова")</f>
        <v>Таня Йорданова Тодорова</v>
      </c>
      <c r="B7519" s="10" t="str">
        <f ca="1">IFERROR(__xludf.DUMMYFUNCTION("""COMPUTED_VALUE"""),"Доклад от конференция")</f>
        <v>Доклад от конференция</v>
      </c>
      <c r="C7519" s="10" t="str">
        <f ca="1">IFERROR(__xludf.DUMMYFUNCTION("""COMPUTED_VALUE"""),"Преподавателска мобилност по Еразъм + : Методика и академично взаимодействие")</f>
        <v>Преподавателска мобилност по Еразъм + : Методика и академично взаимодействие</v>
      </c>
      <c r="D7519" s="10">
        <f ca="1">IFERROR(__xludf.DUMMYFUNCTION("""COMPUTED_VALUE"""),2017)</f>
        <v>2017</v>
      </c>
      <c r="E7519" s="10" t="str">
        <f ca="1">IFERROR(__xludf.DUMMYFUNCTION("""COMPUTED_VALUE"""),"Обществото на знанието и хуманизмът на ХХІ век : Четринадесета национална научна конференция с международно участие, София, 1 ноември 2016 г. – София : За буквите – О писменехь, 2017, с. 76-84. ISSN 1314-7099 (print)")</f>
        <v>Обществото на знанието и хуманизмът на ХХІ век : Четринадесета национална научна конференция с международно участие, София, 1 ноември 2016 г. – София : За буквите – О писменехь, 2017, с. 76-84. ISSN 1314-7099 (print)</v>
      </c>
      <c r="F7519" s="10"/>
      <c r="G7519" s="10"/>
      <c r="H7519" s="10"/>
      <c r="I7519" s="10"/>
      <c r="J7519" s="10"/>
      <c r="K7519" s="10"/>
      <c r="L7519" s="10"/>
      <c r="M7519" s="10"/>
      <c r="N7519" s="10"/>
      <c r="O7519" s="10"/>
      <c r="P7519" s="10"/>
      <c r="Q7519" s="10"/>
      <c r="R7519" s="10"/>
      <c r="S7519" s="10"/>
      <c r="T7519" s="10"/>
      <c r="U7519" s="10"/>
      <c r="V7519" s="10"/>
      <c r="W7519" s="10"/>
      <c r="X7519" s="10"/>
      <c r="Y7519" s="10"/>
      <c r="Z7519" s="10"/>
    </row>
    <row r="7520" spans="1:26" ht="12.75">
      <c r="A7520" s="10" t="str">
        <f ca="1">IFERROR(__xludf.DUMMYFUNCTION("""COMPUTED_VALUE"""),"Таня Йорданова Тодорова")</f>
        <v>Таня Йорданова Тодорова</v>
      </c>
      <c r="B7520" s="10" t="str">
        <f ca="1">IFERROR(__xludf.DUMMYFUNCTION("""COMPUTED_VALUE"""),"Статия в списания и поредици")</f>
        <v>Статия в списания и поредици</v>
      </c>
      <c r="C7520" s="10" t="str">
        <f ca="1">IFERROR(__xludf.DUMMYFUNCTION("""COMPUTED_VALUE"""),"Прочит на Gloria Вibliospherae през призмата на библиотечно-информационното образование")</f>
        <v>Прочит на Gloria Вibliospherae през призмата на библиотечно-информационното образование</v>
      </c>
      <c r="D7520" s="10">
        <f ca="1">IFERROR(__xludf.DUMMYFUNCTION("""COMPUTED_VALUE"""),2017)</f>
        <v>2017</v>
      </c>
      <c r="E7520" s="10" t="str">
        <f ca="1">IFERROR(__xludf.DUMMYFUNCTION("""COMPUTED_VALUE"""),"Научни трудове на Университета по библиотекознание и информационни технологии. – София : За буквите – О писменехь, 2017, Том 14, 2017, с. 476-481 ISSN 1314-2623")</f>
        <v>Научни трудове на Университета по библиотекознание и информационни технологии. – София : За буквите – О писменехь, 2017, Том 14, 2017, с. 476-481 ISSN 1314-2623</v>
      </c>
      <c r="F7520" s="10" t="str">
        <f ca="1">IFERROR(__xludf.DUMMYFUNCTION("""COMPUTED_VALUE"""),"Национален референтен списък")</f>
        <v>Национален референтен списък</v>
      </c>
      <c r="G7520" s="10" t="str">
        <f ca="1">IFERROR(__xludf.DUMMYFUNCTION("""COMPUTED_VALUE"""),"Тодорова, Таня")</f>
        <v>Тодорова, Таня</v>
      </c>
      <c r="H7520" s="10"/>
      <c r="I7520" s="10"/>
      <c r="J7520" s="10"/>
      <c r="K7520" s="10"/>
      <c r="L7520" s="10"/>
      <c r="M7520" s="10"/>
      <c r="N7520" s="10"/>
      <c r="O7520" s="10"/>
      <c r="P7520" s="10"/>
      <c r="Q7520" s="10"/>
      <c r="R7520" s="10"/>
      <c r="S7520" s="10"/>
      <c r="T7520" s="10"/>
      <c r="U7520" s="10"/>
      <c r="V7520" s="10"/>
      <c r="W7520" s="10"/>
      <c r="X7520" s="10"/>
      <c r="Y7520" s="10"/>
      <c r="Z7520" s="10"/>
    </row>
    <row r="7521" spans="1:26" ht="12.75">
      <c r="A7521" s="10" t="str">
        <f ca="1">IFERROR(__xludf.DUMMYFUNCTION("""COMPUTED_VALUE"""),"Таня Йорданова Тодорова")</f>
        <v>Таня Йорданова Тодорова</v>
      </c>
      <c r="B7521" s="10" t="str">
        <f ca="1">IFERROR(__xludf.DUMMYFUNCTION("""COMPUTED_VALUE"""),"Книга")</f>
        <v>Книга</v>
      </c>
      <c r="C7521" s="10" t="str">
        <f ca="1">IFERROR(__xludf.DUMMYFUNCTION("""COMPUTED_VALUE"""),"Авторскоправна компетентност и културни институции")</f>
        <v>Авторскоправна компетентност и културни институции</v>
      </c>
      <c r="D7521" s="10">
        <f ca="1">IFERROR(__xludf.DUMMYFUNCTION("""COMPUTED_VALUE"""),2017)</f>
        <v>2017</v>
      </c>
      <c r="E7521" s="10" t="str">
        <f ca="1">IFERROR(__xludf.DUMMYFUNCTION("""COMPUTED_VALUE"""),"София, За буквите – О писменехь, 2017, 268 с. ISBN 978-619-185-293-2 Забележка Книгите „Библиотечни политики“ (2010, 2017 - 2-ро изд.) и „Авторскоправна компетентност и културни институции“ (2017) са дилогия като имат тясна връзка в съдържателен аспект.")</f>
        <v>София, За буквите – О писменехь, 2017, 268 с. ISBN 978-619-185-293-2 Забележка Книгите „Библиотечни политики“ (2010, 2017 - 2-ро изд.) и „Авторскоправна компетентност и културни институции“ (2017) са дилогия като имат тясна връзка в съдържателен аспект.</v>
      </c>
      <c r="F7521" s="10" t="str">
        <f ca="1">IFERROR(__xludf.DUMMYFUNCTION("""COMPUTED_VALUE"""),"Google Scholar, Research Gate")</f>
        <v>Google Scholar, Research Gate</v>
      </c>
      <c r="G7521" s="10"/>
      <c r="H7521" s="10"/>
      <c r="I7521" s="10"/>
      <c r="J7521" s="10"/>
      <c r="K7521" s="10"/>
      <c r="L7521" s="10"/>
      <c r="M7521" s="10"/>
      <c r="N7521" s="10"/>
      <c r="O7521" s="10"/>
      <c r="P7521" s="10"/>
      <c r="Q7521" s="10"/>
      <c r="R7521" s="10"/>
      <c r="S7521" s="10"/>
      <c r="T7521" s="10"/>
      <c r="U7521" s="10"/>
      <c r="V7521" s="10"/>
      <c r="W7521" s="10"/>
      <c r="X7521" s="10"/>
      <c r="Y7521" s="10"/>
      <c r="Z7521" s="10"/>
    </row>
    <row r="7522" spans="1:26" ht="12.75">
      <c r="A7522" s="10" t="str">
        <f ca="1">IFERROR(__xludf.DUMMYFUNCTION("""COMPUTED_VALUE"""),"Таня Йорданова Тодорова")</f>
        <v>Таня Йорданова Тодорова</v>
      </c>
      <c r="B7522" s="10" t="str">
        <f ca="1">IFERROR(__xludf.DUMMYFUNCTION("""COMPUTED_VALUE"""),"Статия в списания и поредици")</f>
        <v>Статия в списания и поредици</v>
      </c>
      <c r="C7522" s="10" t="str">
        <f ca="1">IFERROR(__xludf.DUMMYFUNCTION("""COMPUTED_VALUE"""),"Студентите-дипломанти за специалност „Библиотечен и информационен мениджмънт“: Обобщение на анкетни проучвания за периода 2013-1016 г.")</f>
        <v>Студентите-дипломанти за специалност „Библиотечен и информационен мениджмънт“: Обобщение на анкетни проучвания за периода 2013-1016 г.</v>
      </c>
      <c r="D7522" s="10">
        <f ca="1">IFERROR(__xludf.DUMMYFUNCTION("""COMPUTED_VALUE"""),2017)</f>
        <v>2017</v>
      </c>
      <c r="E7522" s="10" t="str">
        <f ca="1">IFERROR(__xludf.DUMMYFUNCTION("""COMPUTED_VALUE"""),"Научни трудове на Университета по библиотекознание и информационни технологии. – София : За буквите – О писменехь, 2017, Том 14, 2017, с. 79-93. ISSN 1314-2623")</f>
        <v>Научни трудове на Университета по библиотекознание и информационни технологии. – София : За буквите – О писменехь, 2017, Том 14, 2017, с. 79-93. ISSN 1314-2623</v>
      </c>
      <c r="F7522" s="10" t="str">
        <f ca="1">IFERROR(__xludf.DUMMYFUNCTION("""COMPUTED_VALUE"""),"Национален референтен списък")</f>
        <v>Национален референтен списък</v>
      </c>
      <c r="G7522" s="10" t="str">
        <f ca="1">IFERROR(__xludf.DUMMYFUNCTION("""COMPUTED_VALUE"""),"Тодорова, Таня, Събина Ефтимова, Елисавета Цветкова")</f>
        <v>Тодорова, Таня, Събина Ефтимова, Елисавета Цветкова</v>
      </c>
      <c r="H7522" s="10"/>
      <c r="I7522" s="10"/>
      <c r="J7522" s="10"/>
      <c r="K7522" s="10"/>
      <c r="L7522" s="10"/>
      <c r="M7522" s="10"/>
      <c r="N7522" s="10"/>
      <c r="O7522" s="10"/>
      <c r="P7522" s="10"/>
      <c r="Q7522" s="10"/>
      <c r="R7522" s="10"/>
      <c r="S7522" s="10"/>
      <c r="T7522" s="10"/>
      <c r="U7522" s="10"/>
      <c r="V7522" s="10"/>
      <c r="W7522" s="10"/>
      <c r="X7522" s="10"/>
      <c r="Y7522" s="10"/>
      <c r="Z7522" s="10"/>
    </row>
    <row r="7523" spans="1:26" ht="12.75">
      <c r="A7523" s="10" t="str">
        <f ca="1">IFERROR(__xludf.DUMMYFUNCTION("""COMPUTED_VALUE"""),"Таня Йорданова Тодорова")</f>
        <v>Таня Йорданова Тодорова</v>
      </c>
      <c r="B7523" s="10" t="str">
        <f ca="1">IFERROR(__xludf.DUMMYFUNCTION("""COMPUTED_VALUE"""),"Доклад от конференция")</f>
        <v>Доклад от конференция</v>
      </c>
      <c r="C7523" s="10" t="str">
        <f ca="1">IFERROR(__xludf.DUMMYFUNCTION("""COMPUTED_VALUE"""),"Library Associations as an Academic Course")</f>
        <v>Library Associations as an Academic Course</v>
      </c>
      <c r="D7523" s="10">
        <f ca="1">IFERROR(__xludf.DUMMYFUNCTION("""COMPUTED_VALUE"""),2017)</f>
        <v>2017</v>
      </c>
      <c r="E7523" s="10" t="str">
        <f ca="1">IFERROR(__xludf.DUMMYFUNCTION("""COMPUTED_VALUE"""),"New Perspectives in Science and Education, 6th Conference Ed., Florence, Liberariauniversitaria, 2017, pp. 43-46. EAN:9788862928472 ISBN:8862928475")</f>
        <v>New Perspectives in Science and Education, 6th Conference Ed., Florence, Liberariauniversitaria, 2017, pp. 43-46. EAN:9788862928472 ISBN:8862928475</v>
      </c>
      <c r="F7523" s="10" t="str">
        <f ca="1">IFERROR(__xludf.DUMMYFUNCTION("""COMPUTED_VALUE"""),"Google Scholar, Research Gate")</f>
        <v>Google Scholar, Research Gate</v>
      </c>
      <c r="G7523" s="10"/>
      <c r="H7523" s="10"/>
      <c r="I7523" s="10"/>
      <c r="J7523" s="10"/>
      <c r="K7523" s="10"/>
      <c r="L7523" s="10"/>
      <c r="M7523" s="10"/>
      <c r="N7523" s="10"/>
      <c r="O7523" s="10"/>
      <c r="P7523" s="10"/>
      <c r="Q7523" s="10"/>
      <c r="R7523" s="10"/>
      <c r="S7523" s="10"/>
      <c r="T7523" s="10"/>
      <c r="U7523" s="10"/>
      <c r="V7523" s="10"/>
      <c r="W7523" s="10"/>
      <c r="X7523" s="10"/>
      <c r="Y7523" s="10"/>
      <c r="Z7523" s="10"/>
    </row>
    <row r="7524" spans="1:26" ht="12.75">
      <c r="A7524" s="10" t="str">
        <f ca="1">IFERROR(__xludf.DUMMYFUNCTION("""COMPUTED_VALUE"""),"Таня Йорданова Тодорова")</f>
        <v>Таня Йорданова Тодорова</v>
      </c>
      <c r="B7524" s="10" t="str">
        <f ca="1">IFERROR(__xludf.DUMMYFUNCTION("""COMPUTED_VALUE"""),"Статия в списания и поредици")</f>
        <v>Статия в списания и поредици</v>
      </c>
      <c r="C7524" s="10" t="str">
        <f ca="1">IFERROR(__xludf.DUMMYFUNCTION("""COMPUTED_VALUE"""),"Information Professionals and Copyright Literacy: A Multinational Study")</f>
        <v>Information Professionals and Copyright Literacy: A Multinational Study</v>
      </c>
      <c r="D7524" s="10">
        <f ca="1">IFERROR(__xludf.DUMMYFUNCTION("""COMPUTED_VALUE"""),2017)</f>
        <v>2017</v>
      </c>
      <c r="E7524" s="10" t="str">
        <f ca="1">IFERROR(__xludf.DUMMYFUNCTION("""COMPUTED_VALUE"""),"Library Management Journal, Еmerald Publishing, August 2017, Vol. 38, № 6/7, pp. 323-344, https://doi.org/10.1108/LM-01-2017-0007 ISSN: 0143-5124 Специализиран тематичен брой „Бъдещите роли на библиотекарите“ Issue 6/7, 2017. Special Issue “Future Roles o"&amp;"f librarians”")</f>
        <v>Library Management Journal, Еmerald Publishing, August 2017, Vol. 38, № 6/7, pp. 323-344, https://doi.org/10.1108/LM-01-2017-0007 ISSN: 0143-5124 Специализиран тематичен брой „Бъдещите роли на библиотекарите“ Issue 6/7, 2017. Special Issue “Future Roles of librarians”</v>
      </c>
      <c r="F7524" s="10" t="str">
        <f ca="1">IFERROR(__xludf.DUMMYFUNCTION("""COMPUTED_VALUE"""),"Web of Science, SCOPUS, Google Scholar, Research Gate")</f>
        <v>Web of Science, SCOPUS, Google Scholar, Research Gate</v>
      </c>
      <c r="G7524" s="10" t="str">
        <f ca="1">IFERROR(__xludf.DUMMYFUNCTION("""COMPUTED_VALUE"""),"Serap Kurbanoglu, Joumana Boustany, Guleda Dougan, Laura Saunders, Aleksandra Horvat, Ana Lucia Terra, Ane Landoy, Angela Repanovici, Chris Morrison, Egbert J. Sanchez Vanderkast, Jane Secker, Jurgita Rudzioniene, Terttu Kortelainen, Tibor Koltay")</f>
        <v>Serap Kurbanoglu, Joumana Boustany, Guleda Dougan, Laura Saunders, Aleksandra Horvat, Ana Lucia Terra, Ane Landoy, Angela Repanovici, Chris Morrison, Egbert J. Sanchez Vanderkast, Jane Secker, Jurgita Rudzioniene, Terttu Kortelainen, Tibor Koltay</v>
      </c>
      <c r="H7524" s="10"/>
      <c r="I7524" s="10"/>
      <c r="J7524" s="10"/>
      <c r="K7524" s="10"/>
      <c r="L7524" s="10"/>
      <c r="M7524" s="10"/>
      <c r="N7524" s="10"/>
      <c r="O7524" s="10"/>
      <c r="P7524" s="10"/>
      <c r="Q7524" s="10"/>
      <c r="R7524" s="10"/>
      <c r="S7524" s="10"/>
      <c r="T7524" s="10"/>
      <c r="U7524" s="10"/>
      <c r="V7524" s="10"/>
      <c r="W7524" s="10"/>
      <c r="X7524" s="10"/>
      <c r="Y7524" s="10"/>
      <c r="Z7524" s="10"/>
    </row>
    <row r="7525" spans="1:26" ht="12.75">
      <c r="A7525" s="10" t="str">
        <f ca="1">IFERROR(__xludf.DUMMYFUNCTION("""COMPUTED_VALUE"""),"Таня Йорданова Тодорова")</f>
        <v>Таня Йорданова Тодорова</v>
      </c>
      <c r="B7525" s="10" t="str">
        <f ca="1">IFERROR(__xludf.DUMMYFUNCTION("""COMPUTED_VALUE"""),"Книга")</f>
        <v>Книга</v>
      </c>
      <c r="C7525" s="10" t="str">
        <f ca="1">IFERROR(__xludf.DUMMYFUNCTION("""COMPUTED_VALUE"""),"Библиотечни политики")</f>
        <v>Библиотечни политики</v>
      </c>
      <c r="D7525" s="10">
        <f ca="1">IFERROR(__xludf.DUMMYFUNCTION("""COMPUTED_VALUE"""),2017)</f>
        <v>2017</v>
      </c>
      <c r="E7525" s="10" t="str">
        <f ca="1">IFERROR(__xludf.DUMMYFUNCTION("""COMPUTED_VALUE"""),"София, За буквите – О писменехь, 2017, 192 с. ISBN 978-619-185-292-5 Забележка Книгите „Библиотечни политики“ (2010, 2017 - 2-ро изд.) и „Авторскоправна компетентност и културни институции“ (2017) са дилогия като имат тясна връзка в съдържателен аспект.")</f>
        <v>София, За буквите – О писменехь, 2017, 192 с. ISBN 978-619-185-292-5 Забележка Книгите „Библиотечни политики“ (2010, 2017 - 2-ро изд.) и „Авторскоправна компетентност и културни институции“ (2017) са дилогия като имат тясна връзка в съдържателен аспект.</v>
      </c>
      <c r="F7525" s="10" t="str">
        <f ca="1">IFERROR(__xludf.DUMMYFUNCTION("""COMPUTED_VALUE"""),"Google Scholar, Research Gate")</f>
        <v>Google Scholar, Research Gate</v>
      </c>
      <c r="G7525" s="10"/>
      <c r="H7525" s="10"/>
      <c r="I7525" s="10"/>
      <c r="J7525" s="10"/>
      <c r="K7525" s="10"/>
      <c r="L7525" s="10"/>
      <c r="M7525" s="10"/>
      <c r="N7525" s="10"/>
      <c r="O7525" s="10"/>
      <c r="P7525" s="10"/>
      <c r="Q7525" s="10"/>
      <c r="R7525" s="10"/>
      <c r="S7525" s="10"/>
      <c r="T7525" s="10"/>
      <c r="U7525" s="10"/>
      <c r="V7525" s="10"/>
      <c r="W7525" s="10"/>
      <c r="X7525" s="10"/>
      <c r="Y7525" s="10"/>
      <c r="Z7525" s="10"/>
    </row>
    <row r="7526" spans="1:26" ht="12.75">
      <c r="A7526" s="10" t="str">
        <f ca="1">IFERROR(__xludf.DUMMYFUNCTION("""COMPUTED_VALUE"""),"Таня Йорданова Тодорова")</f>
        <v>Таня Йорданова Тодорова</v>
      </c>
      <c r="B7526" s="10" t="str">
        <f ca="1">IFERROR(__xludf.DUMMYFUNCTION("""COMPUTED_VALUE"""),"Статия в списания и поредици")</f>
        <v>Статия в списания и поредици</v>
      </c>
      <c r="C7526" s="10" t="str">
        <f ca="1">IFERROR(__xludf.DUMMYFUNCTION("""COMPUTED_VALUE"""),"Bilgi Toplumuna Geçiş Sürecinde Türkiye’de ve Bulgaristan’da Halk Kütüphaneleri : Karşılaştırmalı Bir Araştırma = The Public Librarıes in Turkey and Bulgaria in the Transition Process to Information Society : A Comparative Research")</f>
        <v>Bilgi Toplumuna Geçiş Sürecinde Türkiye’de ve Bulgaristan’da Halk Kütüphaneleri : Karşılaştırmalı Bir Araştırma = The Public Librarıes in Turkey and Bulgaria in the Transition Process to Information Society : A Comparative Research</v>
      </c>
      <c r="D7526" s="10">
        <f ca="1">IFERROR(__xludf.DUMMYFUNCTION("""COMPUTED_VALUE"""),2016)</f>
        <v>2016</v>
      </c>
      <c r="E7526" s="10" t="str">
        <f ca="1">IFERROR(__xludf.DUMMYFUNCTION("""COMPUTED_VALUE"""),"TURKISH STUDIES - International Periodical for the Languages, Literature and History of Turkish or Turkic, (Prof. Dr. Hayati Akyol Armağanı), Volume 11/2 Winter 2016, ANKARA/TURKEY, www.turkishstudies.net, DOI Number: http://dx.doi.org/10.7827/TurkishStud"&amp;"ies.8823, p. 1-28. ISSN: 1308-2140")</f>
        <v>TURKISH STUDIES - International Periodical for the Languages, Literature and History of Turkish or Turkic, (Prof. Dr. Hayati Akyol Armağanı), Volume 11/2 Winter 2016, ANKARA/TURKEY, www.turkishstudies.net, DOI Number: http://dx.doi.org/10.7827/TurkishStudies.8823, p. 1-28. ISSN: 1308-2140</v>
      </c>
      <c r="F7526" s="10" t="str">
        <f ca="1">IFERROR(__xludf.DUMMYFUNCTION("""COMPUTED_VALUE"""),"EBSCO, Google Scholar, Research Gate")</f>
        <v>EBSCO, Google Scholar, Research Gate</v>
      </c>
      <c r="G7526" s="10" t="str">
        <f ca="1">IFERROR(__xludf.DUMMYFUNCTION("""COMPUTED_VALUE"""),"A. Altay")</f>
        <v>A. Altay</v>
      </c>
      <c r="H7526" s="10"/>
      <c r="I7526" s="10"/>
      <c r="J7526" s="10"/>
      <c r="K7526" s="10"/>
      <c r="L7526" s="10"/>
      <c r="M7526" s="10"/>
      <c r="N7526" s="10"/>
      <c r="O7526" s="10"/>
      <c r="P7526" s="10"/>
      <c r="Q7526" s="10"/>
      <c r="R7526" s="10"/>
      <c r="S7526" s="10"/>
      <c r="T7526" s="10"/>
      <c r="U7526" s="10"/>
      <c r="V7526" s="10"/>
      <c r="W7526" s="10"/>
      <c r="X7526" s="10"/>
      <c r="Y7526" s="10"/>
      <c r="Z7526" s="10"/>
    </row>
    <row r="7527" spans="1:26" ht="12.75">
      <c r="A7527" s="10" t="str">
        <f ca="1">IFERROR(__xludf.DUMMYFUNCTION("""COMPUTED_VALUE"""),"Таня Йорданова Тодорова")</f>
        <v>Таня Йорданова Тодорова</v>
      </c>
      <c r="B7527" s="10" t="str">
        <f ca="1">IFERROR(__xludf.DUMMYFUNCTION("""COMPUTED_VALUE"""),"Доклад от конференция")</f>
        <v>Доклад от конференция</v>
      </c>
      <c r="C7527" s="10" t="str">
        <f ca="1">IFERROR(__xludf.DUMMYFUNCTION("""COMPUTED_VALUE"""),"The Academic Reading Format International Study (ARFIS): Investigating students around the world")</f>
        <v>The Academic Reading Format International Study (ARFIS): Investigating students around the world</v>
      </c>
      <c r="D7527" s="10">
        <f ca="1">IFERROR(__xludf.DUMMYFUNCTION("""COMPUTED_VALUE"""),2016)</f>
        <v>2016</v>
      </c>
      <c r="E7527" s="10" t="str">
        <f ca="1">IFERROR(__xludf.DUMMYFUNCTION("""COMPUTED_VALUE"""),"Information Literacy: Key to an Inclusive Society : 4th European Conference on Information Literacy (ECIL): Revised Selected Papers. Eds. by S. Kurbanoglu et. al., ECIL, Prague, 2016, Springer-Verlag, Heidelberg, 2016, рp. 215-227. - (Communication in Com"&amp;"puter and Information Science, Vol. 676). ISBN 978-3-319-52162-6")</f>
        <v>Information Literacy: Key to an Inclusive Society : 4th European Conference on Information Literacy (ECIL): Revised Selected Papers. Eds. by S. Kurbanoglu et. al., ECIL, Prague, 2016, Springer-Verlag, Heidelberg, 2016, рp. 215-227. - (Communication in Computer and Information Science, Vol. 676). ISBN 978-3-319-52162-6</v>
      </c>
      <c r="F7527" s="10" t="str">
        <f ca="1">IFERROR(__xludf.DUMMYFUNCTION("""COMPUTED_VALUE"""),"SCOPUS, Google Scholar, Research Gate")</f>
        <v>SCOPUS, Google Scholar, Research Gate</v>
      </c>
      <c r="G7527" s="10" t="str">
        <f ca="1">IFERROR(__xludf.DUMMYFUNCTION("""COMPUTED_VALUE"""),"D. Mizrachi, J. Boustany, S. Kurbanoglu, P. Vilar")</f>
        <v>D. Mizrachi, J. Boustany, S. Kurbanoglu, P. Vilar</v>
      </c>
      <c r="H7527" s="10"/>
      <c r="I7527" s="10"/>
      <c r="J7527" s="10"/>
      <c r="K7527" s="10"/>
      <c r="L7527" s="10"/>
      <c r="M7527" s="10"/>
      <c r="N7527" s="10"/>
      <c r="O7527" s="10"/>
      <c r="P7527" s="10"/>
      <c r="Q7527" s="10"/>
      <c r="R7527" s="10"/>
      <c r="S7527" s="10"/>
      <c r="T7527" s="10"/>
      <c r="U7527" s="10"/>
      <c r="V7527" s="10"/>
      <c r="W7527" s="10"/>
      <c r="X7527" s="10"/>
      <c r="Y7527" s="10"/>
      <c r="Z7527" s="10"/>
    </row>
    <row r="7528" spans="1:26" ht="12.75">
      <c r="A7528" s="10" t="str">
        <f ca="1">IFERROR(__xludf.DUMMYFUNCTION("""COMPUTED_VALUE"""),"Таня Йорданова Тодорова")</f>
        <v>Таня Йорданова Тодорова</v>
      </c>
      <c r="B7528" s="10" t="str">
        <f ca="1">IFERROR(__xludf.DUMMYFUNCTION("""COMPUTED_VALUE"""),"Доклад от конференция")</f>
        <v>Доклад от конференция</v>
      </c>
      <c r="C7528" s="10" t="str">
        <f ca="1">IFERROR(__xludf.DUMMYFUNCTION("""COMPUTED_VALUE"""),"Information Literacy of LIS students in SULSIT : A Survey Results and Academic Reflections")</f>
        <v>Information Literacy of LIS students in SULSIT : A Survey Results and Academic Reflections</v>
      </c>
      <c r="D7528" s="10">
        <f ca="1">IFERROR(__xludf.DUMMYFUNCTION("""COMPUTED_VALUE"""),2016)</f>
        <v>2016</v>
      </c>
      <c r="E7528" s="10" t="str">
        <f ca="1">IFERROR(__xludf.DUMMYFUNCTION("""COMPUTED_VALUE"""),"Conference Proceedings : Fifth edition of the International Conference „New Perspectives in Science Education”, Florence, Italy, 17-18 March 2016. – Florence : Liberariauniversitaria, 2016, p. 180-184. ISBN: 978-88-6292-705-5")</f>
        <v>Conference Proceedings : Fifth edition of the International Conference „New Perspectives in Science Education”, Florence, Italy, 17-18 March 2016. – Florence : Liberariauniversitaria, 2016, p. 180-184. ISBN: 978-88-6292-705-5</v>
      </c>
      <c r="F7528" s="10"/>
      <c r="G7528" s="10" t="str">
        <f ca="1">IFERROR(__xludf.DUMMYFUNCTION("""COMPUTED_VALUE"""),"Tereza Trencheva, Elisaveta Tsvetkova")</f>
        <v>Tereza Trencheva, Elisaveta Tsvetkova</v>
      </c>
      <c r="H7528" s="10"/>
      <c r="I7528" s="10"/>
      <c r="J7528" s="10"/>
      <c r="K7528" s="10"/>
      <c r="L7528" s="10"/>
      <c r="M7528" s="10"/>
      <c r="N7528" s="10"/>
      <c r="O7528" s="10"/>
      <c r="P7528" s="10"/>
      <c r="Q7528" s="10"/>
      <c r="R7528" s="10"/>
      <c r="S7528" s="10"/>
      <c r="T7528" s="10"/>
      <c r="U7528" s="10"/>
      <c r="V7528" s="10"/>
      <c r="W7528" s="10"/>
      <c r="X7528" s="10"/>
      <c r="Y7528" s="10"/>
      <c r="Z7528" s="10"/>
    </row>
    <row r="7529" spans="1:26" ht="12.75">
      <c r="A7529" s="10" t="str">
        <f ca="1">IFERROR(__xludf.DUMMYFUNCTION("""COMPUTED_VALUE"""),"Таня Йорданова Тодорова")</f>
        <v>Таня Йорданова Тодорова</v>
      </c>
      <c r="B7529" s="10" t="str">
        <f ca="1">IFERROR(__xludf.DUMMYFUNCTION("""COMPUTED_VALUE"""),"Доклад от конференция")</f>
        <v>Доклад от конференция</v>
      </c>
      <c r="C7529" s="10" t="str">
        <f ca="1">IFERROR(__xludf.DUMMYFUNCTION("""COMPUTED_VALUE"""),"Digital Preservation Policies in Bulgaria and Turkey")</f>
        <v>Digital Preservation Policies in Bulgaria and Turkey</v>
      </c>
      <c r="D7529" s="10">
        <f ca="1">IFERROR(__xludf.DUMMYFUNCTION("""COMPUTED_VALUE"""),2016)</f>
        <v>2016</v>
      </c>
      <c r="E7529" s="10" t="str">
        <f ca="1">IFERROR(__xludf.DUMMYFUNCTION("""COMPUTED_VALUE"""),"Universite ve Arast?rma Kutuphanecileri Dernegi, 2016, p. 175-182.")</f>
        <v>Universite ve Arast?rma Kutuphanecileri Dernegi, 2016, p. 175-182.</v>
      </c>
      <c r="F7529" s="10"/>
      <c r="G7529" s="10" t="str">
        <f ca="1">IFERROR(__xludf.DUMMYFUNCTION("""COMPUTED_VALUE"""),"Булент Йълмаз, Толга Чакмак, Елисавета Цветкова")</f>
        <v>Булент Йълмаз, Толга Чакмак, Елисавета Цветкова</v>
      </c>
      <c r="H7529" s="10"/>
      <c r="I7529" s="10"/>
      <c r="J7529" s="10"/>
      <c r="K7529" s="10"/>
      <c r="L7529" s="10"/>
      <c r="M7529" s="10"/>
      <c r="N7529" s="10"/>
      <c r="O7529" s="10"/>
      <c r="P7529" s="10"/>
      <c r="Q7529" s="10"/>
      <c r="R7529" s="10"/>
      <c r="S7529" s="10"/>
      <c r="T7529" s="10"/>
      <c r="U7529" s="10"/>
      <c r="V7529" s="10"/>
      <c r="W7529" s="10"/>
      <c r="X7529" s="10"/>
      <c r="Y7529" s="10"/>
      <c r="Z7529" s="10"/>
    </row>
    <row r="7530" spans="1:26" ht="12.75">
      <c r="A7530" s="10" t="str">
        <f ca="1">IFERROR(__xludf.DUMMYFUNCTION("""COMPUTED_VALUE"""),"Таня Йорданова Тодорова")</f>
        <v>Таня Йорданова Тодорова</v>
      </c>
      <c r="B7530" s="10" t="str">
        <f ca="1">IFERROR(__xludf.DUMMYFUNCTION("""COMPUTED_VALUE"""),"Статия в списания и поредици")</f>
        <v>Статия в списания и поредици</v>
      </c>
      <c r="C7530" s="10" t="str">
        <f ca="1">IFERROR(__xludf.DUMMYFUNCTION("""COMPUTED_VALUE"""),"Copyright Literacy for Librarians and Educators in Bulgaria")</f>
        <v>Copyright Literacy for Librarians and Educators in Bulgaria</v>
      </c>
      <c r="D7530" s="10">
        <f ca="1">IFERROR(__xludf.DUMMYFUNCTION("""COMPUTED_VALUE"""),2016)</f>
        <v>2016</v>
      </c>
      <c r="E7530" s="10" t="str">
        <f ca="1">IFERROR(__xludf.DUMMYFUNCTION("""COMPUTED_VALUE"""),"Vizija i stvarnost: zbornik u povodu 40 godina djelovanja Aleksandre Horvat u knjižničarstvu / Ed. by Daniela Živković, Tatjana Nebesny, Anita Šikić. Zagreb, Croatian University Press, 2016, p. 141-151. ISBN 928-953-169-344-8")</f>
        <v>Vizija i stvarnost: zbornik u povodu 40 godina djelovanja Aleksandre Horvat u knjižničarstvu / Ed. by Daniela Živković, Tatjana Nebesny, Anita Šikić. Zagreb, Croatian University Press, 2016, p. 141-151. ISBN 928-953-169-344-8</v>
      </c>
      <c r="F7530" s="10" t="str">
        <f ca="1">IFERROR(__xludf.DUMMYFUNCTION("""COMPUTED_VALUE"""),"Google Scholar, Research Gate")</f>
        <v>Google Scholar, Research Gate</v>
      </c>
      <c r="G7530" s="10"/>
      <c r="H7530" s="10"/>
      <c r="I7530" s="10"/>
      <c r="J7530" s="10"/>
      <c r="K7530" s="10"/>
      <c r="L7530" s="10"/>
      <c r="M7530" s="10"/>
      <c r="N7530" s="10"/>
      <c r="O7530" s="10"/>
      <c r="P7530" s="10"/>
      <c r="Q7530" s="10"/>
      <c r="R7530" s="10"/>
      <c r="S7530" s="10"/>
      <c r="T7530" s="10"/>
      <c r="U7530" s="10"/>
      <c r="V7530" s="10"/>
      <c r="W7530" s="10"/>
      <c r="X7530" s="10"/>
      <c r="Y7530" s="10"/>
      <c r="Z7530" s="10"/>
    </row>
    <row r="7531" spans="1:26" ht="12.75">
      <c r="A7531" s="10" t="str">
        <f ca="1">IFERROR(__xludf.DUMMYFUNCTION("""COMPUTED_VALUE"""),"Таня Йорданова Тодорова")</f>
        <v>Таня Йорданова Тодорова</v>
      </c>
      <c r="B7531" s="10" t="str">
        <f ca="1">IFERROR(__xludf.DUMMYFUNCTION("""COMPUTED_VALUE"""),"Доклад от конференция")</f>
        <v>Доклад от конференция</v>
      </c>
      <c r="C7531" s="10" t="str">
        <f ca="1">IFERROR(__xludf.DUMMYFUNCTION("""COMPUTED_VALUE"""),"Action Plan for Improving the Learning Practices and Motivation of LIS Students")</f>
        <v>Action Plan for Improving the Learning Practices and Motivation of LIS Students</v>
      </c>
      <c r="D7531" s="10">
        <f ca="1">IFERROR(__xludf.DUMMYFUNCTION("""COMPUTED_VALUE"""),2016)</f>
        <v>2016</v>
      </c>
      <c r="E7531" s="10" t="str">
        <f ca="1">IFERROR(__xludf.DUMMYFUNCTION("""COMPUTED_VALUE"""),"Information Literacy: Key to an Inclusive Society : 4th European Conference on Information Literacy (ECIL): Revised Selected Papers. Eds. by S. Kurbanoglu et. al., ECIL, Prague, 2016, Springer-Verlag, Heidelberg, 2016, рp. 576-583. - (Communication in Com"&amp;"puter and Information Science, Vol. 676). ISBN 978-3-319-52162-6")</f>
        <v>Information Literacy: Key to an Inclusive Society : 4th European Conference on Information Literacy (ECIL): Revised Selected Papers. Eds. by S. Kurbanoglu et. al., ECIL, Prague, 2016, Springer-Verlag, Heidelberg, 2016, рp. 576-583. - (Communication in Computer and Information Science, Vol. 676). ISBN 978-3-319-52162-6</v>
      </c>
      <c r="F7531" s="10" t="str">
        <f ca="1">IFERROR(__xludf.DUMMYFUNCTION("""COMPUTED_VALUE"""),"SCOPUS, Google Scholar, Research Gate")</f>
        <v>SCOPUS, Google Scholar, Research Gate</v>
      </c>
      <c r="G7531" s="10" t="str">
        <f ca="1">IFERROR(__xludf.DUMMYFUNCTION("""COMPUTED_VALUE"""),"E. Ignatova, I. Peteva")</f>
        <v>E. Ignatova, I. Peteva</v>
      </c>
      <c r="H7531" s="10"/>
      <c r="I7531" s="10"/>
      <c r="J7531" s="10"/>
      <c r="K7531" s="10"/>
      <c r="L7531" s="10"/>
      <c r="M7531" s="10"/>
      <c r="N7531" s="10"/>
      <c r="O7531" s="10"/>
      <c r="P7531" s="10"/>
      <c r="Q7531" s="10"/>
      <c r="R7531" s="10"/>
      <c r="S7531" s="10"/>
      <c r="T7531" s="10"/>
      <c r="U7531" s="10"/>
      <c r="V7531" s="10"/>
      <c r="W7531" s="10"/>
      <c r="X7531" s="10"/>
      <c r="Y7531" s="10"/>
      <c r="Z7531" s="10"/>
    </row>
    <row r="7532" spans="1:26" ht="12.75">
      <c r="A7532" s="10" t="str">
        <f ca="1">IFERROR(__xludf.DUMMYFUNCTION("""COMPUTED_VALUE"""),"Таня Йорданова Тодорова")</f>
        <v>Таня Йорданова Тодорова</v>
      </c>
      <c r="B7532" s="10" t="str">
        <f ca="1">IFERROR(__xludf.DUMMYFUNCTION("""COMPUTED_VALUE"""),"Доклад от конференция")</f>
        <v>Доклад от конференция</v>
      </c>
      <c r="C7532" s="10" t="str">
        <f ca="1">IFERROR(__xludf.DUMMYFUNCTION("""COMPUTED_VALUE"""),"The Public Library Services in Turkey and Bulgaria: Comparative Findings and Recommendations")</f>
        <v>The Public Library Services in Turkey and Bulgaria: Comparative Findings and Recommendations</v>
      </c>
      <c r="D7532" s="10">
        <f ca="1">IFERROR(__xludf.DUMMYFUNCTION("""COMPUTED_VALUE"""),2016)</f>
        <v>2016</v>
      </c>
      <c r="E7532" s="10" t="str">
        <f ca="1">IFERROR(__xludf.DUMMYFUNCTION("""COMPUTED_VALUE"""),"UNESCO International Workshop QED’16: Technology Advanced Quality Learning for ALL, 13-15 June 2016, с. 95-112. ISBN 978-619-185-261-1")</f>
        <v>UNESCO International Workshop QED’16: Technology Advanced Quality Learning for ALL, 13-15 June 2016, с. 95-112. ISBN 978-619-185-261-1</v>
      </c>
      <c r="F7532" s="10" t="str">
        <f ca="1">IFERROR(__xludf.DUMMYFUNCTION("""COMPUTED_VALUE"""),"SCOPUS, Google Scholar, Research Gate")</f>
        <v>SCOPUS, Google Scholar, Research Gate</v>
      </c>
      <c r="G7532" s="10" t="str">
        <f ca="1">IFERROR(__xludf.DUMMYFUNCTION("""COMPUTED_VALUE"""),"A. Altay, I. Yankova")</f>
        <v>A. Altay, I. Yankova</v>
      </c>
      <c r="H7532" s="10"/>
      <c r="I7532" s="10"/>
      <c r="J7532" s="10"/>
      <c r="K7532" s="10"/>
      <c r="L7532" s="10"/>
      <c r="M7532" s="10"/>
      <c r="N7532" s="10"/>
      <c r="O7532" s="10"/>
      <c r="P7532" s="10"/>
      <c r="Q7532" s="10"/>
      <c r="R7532" s="10"/>
      <c r="S7532" s="10"/>
      <c r="T7532" s="10"/>
      <c r="U7532" s="10"/>
      <c r="V7532" s="10"/>
      <c r="W7532" s="10"/>
      <c r="X7532" s="10"/>
      <c r="Y7532" s="10"/>
      <c r="Z7532" s="10"/>
    </row>
    <row r="7533" spans="1:26" ht="12.75">
      <c r="A7533" s="10" t="str">
        <f ca="1">IFERROR(__xludf.DUMMYFUNCTION("""COMPUTED_VALUE"""),"Таня Йорданова Тодорова")</f>
        <v>Таня Йорданова Тодорова</v>
      </c>
      <c r="B7533" s="10" t="str">
        <f ca="1">IFERROR(__xludf.DUMMYFUNCTION("""COMPUTED_VALUE"""),"Доклад от конференция")</f>
        <v>Доклад от конференция</v>
      </c>
      <c r="C7533" s="10" t="str">
        <f ca="1">IFERROR(__xludf.DUMMYFUNCTION("""COMPUTED_VALUE"""),"Academic Policy Reflections of Student’s Reading Behavior Study in SULSIT, Bulgaria.")</f>
        <v>Academic Policy Reflections of Student’s Reading Behavior Study in SULSIT, Bulgaria.</v>
      </c>
      <c r="D7533" s="10">
        <f ca="1">IFERROR(__xludf.DUMMYFUNCTION("""COMPUTED_VALUE"""),2016)</f>
        <v>2016</v>
      </c>
      <c r="E7533" s="10" t="str">
        <f ca="1">IFERROR(__xludf.DUMMYFUNCTION("""COMPUTED_VALUE"""),"Information Literacy: Key to an Inclusive Society : 4th European Conference on Information Literacy (ECIL): Revised Selected Papers. Eds. by S. Kurbanoğlu et. al., ECIL, Prague, 2016, Springer-Verlag, Heidelberg, 2016, рp. 256-264. - (Communication in Com"&amp;"puter and Information Science, Vol. 676). ISBN 978-3-319-52162-6")</f>
        <v>Information Literacy: Key to an Inclusive Society : 4th European Conference on Information Literacy (ECIL): Revised Selected Papers. Eds. by S. Kurbanoğlu et. al., ECIL, Prague, 2016, Springer-Verlag, Heidelberg, 2016, рp. 256-264. - (Communication in Computer and Information Science, Vol. 676). ISBN 978-3-319-52162-6</v>
      </c>
      <c r="F7533" s="10" t="str">
        <f ca="1">IFERROR(__xludf.DUMMYFUNCTION("""COMPUTED_VALUE"""),"SCOPUS, Google Scholar, Research Gate")</f>
        <v>SCOPUS, Google Scholar, Research Gate</v>
      </c>
      <c r="G7533" s="10" t="str">
        <f ca="1">IFERROR(__xludf.DUMMYFUNCTION("""COMPUTED_VALUE"""),"R. Krasteva,E. Tsvetkova")</f>
        <v>R. Krasteva,E. Tsvetkova</v>
      </c>
      <c r="H7533" s="10"/>
      <c r="I7533" s="10"/>
      <c r="J7533" s="10"/>
      <c r="K7533" s="10"/>
      <c r="L7533" s="10"/>
      <c r="M7533" s="10"/>
      <c r="N7533" s="10"/>
      <c r="O7533" s="10"/>
      <c r="P7533" s="10"/>
      <c r="Q7533" s="10"/>
      <c r="R7533" s="10"/>
      <c r="S7533" s="10"/>
      <c r="T7533" s="10"/>
      <c r="U7533" s="10"/>
      <c r="V7533" s="10"/>
      <c r="W7533" s="10"/>
      <c r="X7533" s="10"/>
      <c r="Y7533" s="10"/>
      <c r="Z7533" s="10"/>
    </row>
    <row r="7534" spans="1:26" ht="12.75">
      <c r="A7534" s="10" t="str">
        <f ca="1">IFERROR(__xludf.DUMMYFUNCTION("""COMPUTED_VALUE"""),"Таня Йорданова Тодорова")</f>
        <v>Таня Йорданова Тодорова</v>
      </c>
      <c r="B7534" s="10" t="str">
        <f ca="1">IFERROR(__xludf.DUMMYFUNCTION("""COMPUTED_VALUE"""),"Доклад от конференция")</f>
        <v>Доклад от конференция</v>
      </c>
      <c r="C7534" s="10" t="str">
        <f ca="1">IFERROR(__xludf.DUMMYFUNCTION("""COMPUTED_VALUE"""),"Информационната компетентност на студентите по БИН в УниБИТ : (Изводи от анкетно изследване)")</f>
        <v>Информационната компетентност на студентите по БИН в УниБИТ : (Изводи от анкетно изследване)</v>
      </c>
      <c r="D7534" s="10">
        <f ca="1">IFERROR(__xludf.DUMMYFUNCTION("""COMPUTED_VALUE"""),2016)</f>
        <v>2016</v>
      </c>
      <c r="E7534" s="10" t="str">
        <f ca="1">IFERROR(__xludf.DUMMYFUNCTION("""COMPUTED_VALUE"""),"Обществото на знанието и хуманизмът на ХХІ век : Тринадесета национална научна конференция с международно участие, София, 1 ноември 2015 г. – София: За буквите – О писменехь, 2016, с. 219-231. ISSN 1314-7099 (print)")</f>
        <v>Обществото на знанието и хуманизмът на ХХІ век : Тринадесета национална научна конференция с международно участие, София, 1 ноември 2015 г. – София: За буквите – О писменехь, 2016, с. 219-231. ISSN 1314-7099 (print)</v>
      </c>
      <c r="F7534" s="10" t="str">
        <f ca="1">IFERROR(__xludf.DUMMYFUNCTION("""COMPUTED_VALUE"""),"Google Scholar, Референтен списък на НАЦИД")</f>
        <v>Google Scholar, Референтен списък на НАЦИД</v>
      </c>
      <c r="G7534" s="10"/>
      <c r="H7534" s="10"/>
      <c r="I7534" s="10"/>
      <c r="J7534" s="10"/>
      <c r="K7534" s="10"/>
      <c r="L7534" s="10"/>
      <c r="M7534" s="10"/>
      <c r="N7534" s="10"/>
      <c r="O7534" s="10"/>
      <c r="P7534" s="10"/>
      <c r="Q7534" s="10"/>
      <c r="R7534" s="10"/>
      <c r="S7534" s="10"/>
      <c r="T7534" s="10"/>
      <c r="U7534" s="10"/>
      <c r="V7534" s="10"/>
      <c r="W7534" s="10"/>
      <c r="X7534" s="10"/>
      <c r="Y7534" s="10"/>
      <c r="Z7534" s="10"/>
    </row>
    <row r="7535" spans="1:26" ht="12.75">
      <c r="A7535" s="10" t="str">
        <f ca="1">IFERROR(__xludf.DUMMYFUNCTION("""COMPUTED_VALUE"""),"Таня Йорданова Тодорова")</f>
        <v>Таня Йорданова Тодорова</v>
      </c>
      <c r="B7535" s="10" t="str">
        <f ca="1">IFERROR(__xludf.DUMMYFUNCTION("""COMPUTED_VALUE"""),"Статия в списания и поредици")</f>
        <v>Статия в списания и поредици</v>
      </c>
      <c r="C7535" s="10" t="str">
        <f ca="1">IFERROR(__xludf.DUMMYFUNCTION("""COMPUTED_VALUE"""),"Съпоставително проучване на авторскоправната компетентност на специалистите от библиотечния и културен сектор в четири страни : Рефлексия в българската академична и професионална среда")</f>
        <v>Съпоставително проучване на авторскоправната компетентност на специалистите от библиотечния и културен сектор в четири страни : Рефлексия в българската академична и професионална среда</v>
      </c>
      <c r="D7535" s="10">
        <f ca="1">IFERROR(__xludf.DUMMYFUNCTION("""COMPUTED_VALUE"""),2016)</f>
        <v>2016</v>
      </c>
      <c r="E7535" s="10" t="str">
        <f ca="1">IFERROR(__xludf.DUMMYFUNCTION("""COMPUTED_VALUE"""),"Интернет либерализацията – предизвикателства и добри практики пред интелектуалната собственост : Сборник с доклади от Четвърти национален семинар с международно участие, 26-27 април 2016 г., Университет по библиотекознание и информационни технологии / Със"&amp;"тав. Тереза Тренчева; Науч. ред. Таня Тодорова; Науч. рец. Георги Димитров, Габриела Белова. – София : За буквите – О писменехь, 2016, с. 271-284. ISBN 978-619-185-231-4")</f>
        <v>Интернет либерализацията – предизвикателства и добри практики пред интелектуалната собственост : Сборник с доклади от Четвърти национален семинар с международно участие, 26-27 април 2016 г., Университет по библиотекознание и информационни технологии / Състав. Тереза Тренчева; Науч. ред. Таня Тодорова; Науч. рец. Георги Димитров, Габриела Белова. – София : За буквите – О писменехь, 2016, с. 271-284. ISBN 978-619-185-231-4</v>
      </c>
      <c r="F7535" s="10" t="str">
        <f ca="1">IFERROR(__xludf.DUMMYFUNCTION("""COMPUTED_VALUE"""),"Google Scholar, Референтен списък на НАЦИД")</f>
        <v>Google Scholar, Референтен списък на НАЦИД</v>
      </c>
      <c r="G7535" s="10" t="str">
        <f ca="1">IFERROR(__xludf.DUMMYFUNCTION("""COMPUTED_VALUE"""),"Тереза Тренчева")</f>
        <v>Тереза Тренчева</v>
      </c>
      <c r="H7535" s="10"/>
      <c r="I7535" s="10"/>
      <c r="J7535" s="10"/>
      <c r="K7535" s="10"/>
      <c r="L7535" s="10"/>
      <c r="M7535" s="10"/>
      <c r="N7535" s="10"/>
      <c r="O7535" s="10"/>
      <c r="P7535" s="10"/>
      <c r="Q7535" s="10"/>
      <c r="R7535" s="10"/>
      <c r="S7535" s="10"/>
      <c r="T7535" s="10"/>
      <c r="U7535" s="10"/>
      <c r="V7535" s="10"/>
      <c r="W7535" s="10"/>
      <c r="X7535" s="10"/>
      <c r="Y7535" s="10"/>
      <c r="Z7535" s="10"/>
    </row>
    <row r="7536" spans="1:26" ht="12.75">
      <c r="A7536" s="10" t="str">
        <f ca="1">IFERROR(__xludf.DUMMYFUNCTION("""COMPUTED_VALUE"""),"Таня Йорданова Тодорова")</f>
        <v>Таня Йорданова Тодорова</v>
      </c>
      <c r="B7536" s="10" t="str">
        <f ca="1">IFERROR(__xludf.DUMMYFUNCTION("""COMPUTED_VALUE"""),"Статия в списания и поредици")</f>
        <v>Статия в списания и поредици</v>
      </c>
      <c r="C7536" s="10" t="str">
        <f ca="1">IFERROR(__xludf.DUMMYFUNCTION("""COMPUTED_VALUE"""),"Information Behaviors and Information Literacy Skills of LIS Students: An International Perspective")</f>
        <v>Information Behaviors and Information Literacy Skills of LIS Students: An International Perspective</v>
      </c>
      <c r="D7536" s="10">
        <f ca="1">IFERROR(__xludf.DUMMYFUNCTION("""COMPUTED_VALUE"""),2015)</f>
        <v>2015</v>
      </c>
      <c r="E7536" s="10" t="str">
        <f ca="1">IFERROR(__xludf.DUMMYFUNCTION("""COMPUTED_VALUE"""),"Journal of Education for Library and Information Science (JELIS)")</f>
        <v>Journal of Education for Library and Information Science (JELIS)</v>
      </c>
      <c r="F7536" s="10"/>
      <c r="G7536" s="10"/>
      <c r="H7536" s="10"/>
      <c r="I7536" s="10"/>
      <c r="J7536" s="10"/>
      <c r="K7536" s="10"/>
      <c r="L7536" s="10"/>
      <c r="M7536" s="10"/>
      <c r="N7536" s="10"/>
      <c r="O7536" s="10"/>
      <c r="P7536" s="10"/>
      <c r="Q7536" s="10"/>
      <c r="R7536" s="10"/>
      <c r="S7536" s="10"/>
      <c r="T7536" s="10"/>
      <c r="U7536" s="10"/>
      <c r="V7536" s="10"/>
      <c r="W7536" s="10"/>
      <c r="X7536" s="10"/>
      <c r="Y7536" s="10"/>
      <c r="Z7536" s="10"/>
    </row>
    <row r="7537" spans="1:26" ht="12.75">
      <c r="A7537" s="10" t="str">
        <f ca="1">IFERROR(__xludf.DUMMYFUNCTION("""COMPUTED_VALUE"""),"Таня Йорданова Тодорова")</f>
        <v>Таня Йорданова Тодорова</v>
      </c>
      <c r="B7537" s="10" t="str">
        <f ca="1">IFERROR(__xludf.DUMMYFUNCTION("""COMPUTED_VALUE"""),"Статия в списания и поредици")</f>
        <v>Статия в списания и поредици</v>
      </c>
      <c r="C7537" s="10" t="str">
        <f ca="1">IFERROR(__xludf.DUMMYFUNCTION("""COMPUTED_VALUE"""),"Erasmus Intensive Programmes - effective tool for educational and scientific communities")</f>
        <v>Erasmus Intensive Programmes - effective tool for educational and scientific communities</v>
      </c>
      <c r="D7537" s="10">
        <f ca="1">IFERROR(__xludf.DUMMYFUNCTION("""COMPUTED_VALUE"""),2015)</f>
        <v>2015</v>
      </c>
      <c r="E7537" s="10" t="str">
        <f ca="1">IFERROR(__xludf.DUMMYFUNCTION("""COMPUTED_VALUE"""),"UNESCO International Workshop QED’14: Quality of Education and Challenges in a Digitally Networked World, 30-31 October 2014, S")</f>
        <v>UNESCO International Workshop QED’14: Quality of Education and Challenges in a Digitally Networked World, 30-31 October 2014, S</v>
      </c>
      <c r="F7537" s="10"/>
      <c r="G7537" s="10"/>
      <c r="H7537" s="10"/>
      <c r="I7537" s="10"/>
      <c r="J7537" s="10"/>
      <c r="K7537" s="10"/>
      <c r="L7537" s="10"/>
      <c r="M7537" s="10"/>
      <c r="N7537" s="10"/>
      <c r="O7537" s="10"/>
      <c r="P7537" s="10"/>
      <c r="Q7537" s="10"/>
      <c r="R7537" s="10"/>
      <c r="S7537" s="10"/>
      <c r="T7537" s="10"/>
      <c r="U7537" s="10"/>
      <c r="V7537" s="10"/>
      <c r="W7537" s="10"/>
      <c r="X7537" s="10"/>
      <c r="Y7537" s="10"/>
      <c r="Z7537" s="10"/>
    </row>
    <row r="7538" spans="1:26" ht="12.75">
      <c r="A7538" s="10" t="str">
        <f ca="1">IFERROR(__xludf.DUMMYFUNCTION("""COMPUTED_VALUE"""),"Таня Йорданова Тодорова")</f>
        <v>Таня Йорданова Тодорова</v>
      </c>
      <c r="B7538" s="10" t="str">
        <f ca="1">IFERROR(__xludf.DUMMYFUNCTION("""COMPUTED_VALUE"""),"Статия в списания и поредици")</f>
        <v>Статия в списания и поредици</v>
      </c>
      <c r="C7538" s="10" t="str">
        <f ca="1">IFERROR(__xludf.DUMMYFUNCTION("""COMPUTED_VALUE"""),"Анкетно проучване за академичното четене сред студентите в УниБИТ : Методика")</f>
        <v>Анкетно проучване за академичното четене сред студентите в УниБИТ : Методика</v>
      </c>
      <c r="D7538" s="10">
        <f ca="1">IFERROR(__xludf.DUMMYFUNCTION("""COMPUTED_VALUE"""),2015)</f>
        <v>2015</v>
      </c>
      <c r="E7538" s="10" t="str">
        <f ca="1">IFERROR(__xludf.DUMMYFUNCTION("""COMPUTED_VALUE"""),"Книгата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с. 111-117. ISSN 1314-7323 (print)")</f>
        <v>Книгата – нашето по-смислено настояще : Сборник доклади от форума „Дни на книгата и авторското право в УниБИТ”, София, 23-24 април 2015 г. – София : За буквите – О Писменехь, 2015, с. 111-117. ISSN 1314-7323 (print)</v>
      </c>
      <c r="F7538" s="10" t="str">
        <f ca="1">IFERROR(__xludf.DUMMYFUNCTION("""COMPUTED_VALUE"""),"Google Scholar, Референтен списък на НАЦИД")</f>
        <v>Google Scholar, Референтен списък на НАЦИД</v>
      </c>
      <c r="G7538" s="10"/>
      <c r="H7538" s="10"/>
      <c r="I7538" s="10"/>
      <c r="J7538" s="10"/>
      <c r="K7538" s="10"/>
      <c r="L7538" s="10"/>
      <c r="M7538" s="10"/>
      <c r="N7538" s="10"/>
      <c r="O7538" s="10"/>
      <c r="P7538" s="10"/>
      <c r="Q7538" s="10"/>
      <c r="R7538" s="10"/>
      <c r="S7538" s="10"/>
      <c r="T7538" s="10"/>
      <c r="U7538" s="10"/>
      <c r="V7538" s="10"/>
      <c r="W7538" s="10"/>
      <c r="X7538" s="10"/>
      <c r="Y7538" s="10"/>
      <c r="Z7538" s="10"/>
    </row>
    <row r="7539" spans="1:26" ht="12.75">
      <c r="A7539" s="10" t="str">
        <f ca="1">IFERROR(__xludf.DUMMYFUNCTION("""COMPUTED_VALUE"""),"Таня Йорданова Тодорова")</f>
        <v>Таня Йорданова Тодорова</v>
      </c>
      <c r="B7539" s="10" t="str">
        <f ca="1">IFERROR(__xludf.DUMMYFUNCTION("""COMPUTED_VALUE"""),"Книга")</f>
        <v>Книга</v>
      </c>
      <c r="C7539" s="10" t="str">
        <f ca="1">IFERROR(__xludf.DUMMYFUNCTION("""COMPUTED_VALUE"""),"ИКТ в библиотечно-информационните науки, образованието и културното наследство")</f>
        <v>ИКТ в библиотечно-информационните науки, образованието и културното наследство</v>
      </c>
      <c r="D7539" s="10">
        <f ca="1">IFERROR(__xludf.DUMMYFUNCTION("""COMPUTED_VALUE"""),2015)</f>
        <v>2015</v>
      </c>
      <c r="E7539" s="10" t="str">
        <f ca="1">IFERROR(__xludf.DUMMYFUNCTION("""COMPUTED_VALUE"""),"Сборник с научни доклади и съобщения от Национална научна конференция: ИКТ в библиотечно-информационните науки, образо-ванието и културното наследство, 29 май 2015 г. / Състав. Т. Тодорова, Е. Ковачева, Р. Николов. – София : За буквите – О писменехь, 2015"&amp;", с. 168- 181. ISBN 978-619-185-164-5")</f>
        <v>Сборник с научни доклади и съобщения от Национална научна конференция: ИКТ в библиотечно-информационните науки, образо-ванието и културното наследство, 29 май 2015 г. / Състав. Т. Тодорова, Е. Ковачева, Р. Николов. – София : За буквите – О писменехь, 2015, с. 168- 181. ISBN 978-619-185-164-5</v>
      </c>
      <c r="F7539" s="10"/>
      <c r="G7539" s="10" t="str">
        <f ca="1">IFERROR(__xludf.DUMMYFUNCTION("""COMPUTED_VALUE"""),"Е. Ковачева, Р. Николов")</f>
        <v>Е. Ковачева, Р. Николов</v>
      </c>
      <c r="H7539" s="10"/>
      <c r="I7539" s="10"/>
      <c r="J7539" s="10"/>
      <c r="K7539" s="10"/>
      <c r="L7539" s="10"/>
      <c r="M7539" s="10"/>
      <c r="N7539" s="10"/>
      <c r="O7539" s="10"/>
      <c r="P7539" s="10"/>
      <c r="Q7539" s="10"/>
      <c r="R7539" s="10"/>
      <c r="S7539" s="10"/>
      <c r="T7539" s="10"/>
      <c r="U7539" s="10"/>
      <c r="V7539" s="10"/>
      <c r="W7539" s="10"/>
      <c r="X7539" s="10"/>
      <c r="Y7539" s="10"/>
      <c r="Z7539" s="10"/>
    </row>
    <row r="7540" spans="1:26" ht="12.75">
      <c r="A7540" s="10" t="str">
        <f ca="1">IFERROR(__xludf.DUMMYFUNCTION("""COMPUTED_VALUE"""),"Таня Йорданова Тодорова")</f>
        <v>Таня Йорданова Тодорова</v>
      </c>
      <c r="B7540" s="10" t="str">
        <f ca="1">IFERROR(__xludf.DUMMYFUNCTION("""COMPUTED_VALUE"""),"Доклад от конференция")</f>
        <v>Доклад от конференция</v>
      </c>
      <c r="C7540" s="10" t="str">
        <f ca="1">IFERROR(__xludf.DUMMYFUNCTION("""COMPUTED_VALUE"""),"Творческо знание и управление на колекции: Концепция на академична програма")</f>
        <v>Творческо знание и управление на колекции: Концепция на академична програма</v>
      </c>
      <c r="D7540" s="10">
        <f ca="1">IFERROR(__xludf.DUMMYFUNCTION("""COMPUTED_VALUE"""),2015)</f>
        <v>2015</v>
      </c>
      <c r="E7540" s="10" t="str">
        <f ca="1">IFERROR(__xludf.DUMMYFUNCTION("""COMPUTED_VALUE"""),"Обществото на знанието и хуманизмът на ХХІ век : Дванадесета национална научна конференция с международно участие, София, 1 ноември 2014. – София: За буквите – О писменехь, 2015, с.223-230. ISSN 1314-7099 (print)")</f>
        <v>Обществото на знанието и хуманизмът на ХХІ век : Дванадесета национална научна конференция с международно участие, София, 1 ноември 2014. – София: За буквите – О писменехь, 2015, с.223-230. ISSN 1314-7099 (print)</v>
      </c>
      <c r="F7540" s="10" t="str">
        <f ca="1">IFERROR(__xludf.DUMMYFUNCTION("""COMPUTED_VALUE"""),"Google Scholar, Референтен списък на НАЦИД")</f>
        <v>Google Scholar, Референтен списък на НАЦИД</v>
      </c>
      <c r="G7540" s="10" t="str">
        <f ca="1">IFERROR(__xludf.DUMMYFUNCTION("""COMPUTED_VALUE"""),"Евгени Велев")</f>
        <v>Евгени Велев</v>
      </c>
      <c r="H7540" s="10"/>
      <c r="I7540" s="10"/>
      <c r="J7540" s="10"/>
      <c r="K7540" s="10"/>
      <c r="L7540" s="10"/>
      <c r="M7540" s="10"/>
      <c r="N7540" s="10"/>
      <c r="O7540" s="10"/>
      <c r="P7540" s="10"/>
      <c r="Q7540" s="10"/>
      <c r="R7540" s="10"/>
      <c r="S7540" s="10"/>
      <c r="T7540" s="10"/>
      <c r="U7540" s="10"/>
      <c r="V7540" s="10"/>
      <c r="W7540" s="10"/>
      <c r="X7540" s="10"/>
      <c r="Y7540" s="10"/>
      <c r="Z7540" s="10"/>
    </row>
    <row r="7541" spans="1:26" ht="12.75">
      <c r="A7541" s="10" t="str">
        <f ca="1">IFERROR(__xludf.DUMMYFUNCTION("""COMPUTED_VALUE"""),"Таня Йорданова Тодорова")</f>
        <v>Таня Йорданова Тодорова</v>
      </c>
      <c r="B7541" s="10" t="str">
        <f ca="1">IFERROR(__xludf.DUMMYFUNCTION("""COMPUTED_VALUE"""),"Статия в списания и поредици")</f>
        <v>Статия в списания и поредици</v>
      </c>
      <c r="C7541" s="10" t="str">
        <f ca="1">IFERROR(__xludf.DUMMYFUNCTION("""COMPUTED_VALUE"""),"Дигиталните мобилни библиотеки на OCLC и на водещи информационни доставчици – фактор в съвременната информационна среда")</f>
        <v>Дигиталните мобилни библиотеки на OCLC и на водещи информационни доставчици – фактор в съвременната информационна среда</v>
      </c>
      <c r="D7541" s="10">
        <f ca="1">IFERROR(__xludf.DUMMYFUNCTION("""COMPUTED_VALUE"""),2015)</f>
        <v>2015</v>
      </c>
      <c r="E7541" s="10" t="str">
        <f ca="1">IFERROR(__xludf.DUMMYFUNCTION("""COMPUTED_VALUE"""),"Научни трудове на Университета по библиотекознание и информационни технологии, Т. 12, 2014. – София : За буквите – О писменехь, 2015, с. 81-87. ISSN 1314-2623 (print)")</f>
        <v>Научни трудове на Университета по библиотекознание и информационни технологии, Т. 12, 2014. – София : За буквите – О писменехь, 2015, с. 81-87. ISSN 1314-2623 (print)</v>
      </c>
      <c r="F7541" s="10" t="str">
        <f ca="1">IFERROR(__xludf.DUMMYFUNCTION("""COMPUTED_VALUE"""),"Google Scholar, Референтен списък на НАЦИД")</f>
        <v>Google Scholar, Референтен списък на НАЦИД</v>
      </c>
      <c r="G7541" s="10" t="str">
        <f ca="1">IFERROR(__xludf.DUMMYFUNCTION("""COMPUTED_VALUE"""),"Елисавета Цветкова")</f>
        <v>Елисавета Цветкова</v>
      </c>
      <c r="H7541" s="10"/>
      <c r="I7541" s="10"/>
      <c r="J7541" s="10"/>
      <c r="K7541" s="10"/>
      <c r="L7541" s="10"/>
      <c r="M7541" s="10"/>
      <c r="N7541" s="10"/>
      <c r="O7541" s="10"/>
      <c r="P7541" s="10"/>
      <c r="Q7541" s="10"/>
      <c r="R7541" s="10"/>
      <c r="S7541" s="10"/>
      <c r="T7541" s="10"/>
      <c r="U7541" s="10"/>
      <c r="V7541" s="10"/>
      <c r="W7541" s="10"/>
      <c r="X7541" s="10"/>
      <c r="Y7541" s="10"/>
      <c r="Z7541" s="10"/>
    </row>
    <row r="7542" spans="1:26" ht="12.75">
      <c r="A7542" s="10" t="str">
        <f ca="1">IFERROR(__xludf.DUMMYFUNCTION("""COMPUTED_VALUE"""),"Таня Йорданова Тодорова")</f>
        <v>Таня Йорданова Тодорова</v>
      </c>
      <c r="B7542" s="10" t="str">
        <f ca="1">IFERROR(__xludf.DUMMYFUNCTION("""COMPUTED_VALUE"""),"Статия в списания и поредици")</f>
        <v>Статия в списания и поредици</v>
      </c>
      <c r="C7542" s="10" t="str">
        <f ca="1">IFERROR(__xludf.DUMMYFUNCTION("""COMPUTED_VALUE"""),"Международно проучване на авторскоправната компетентност на специалистите от библиотечните и други културни институции")</f>
        <v>Международно проучване на авторскоправната компетентност на специалистите от библиотечните и други културни институции</v>
      </c>
      <c r="D7542" s="10">
        <f ca="1">IFERROR(__xludf.DUMMYFUNCTION("""COMPUTED_VALUE"""),2014)</f>
        <v>2014</v>
      </c>
      <c r="E7542" s="10" t="str">
        <f ca="1">IFERROR(__xludf.DUMMYFUNCTION("""COMPUTED_VALUE"""),"Интелектуалната собственост в XXI век : Българският опит в творческите и информационни индустрии : Сборник с доклади от Научен семинар, 28 април 2014 г. Университет по библиотекознание и информационни технологии / Състав. Тереза Тренчева, Събина Ефтимова;"&amp;" Науч. ред. Таня Тодорова; Науч. рец. Георги Димитров. – София : За буквите – О писменехь, 2014, с. 79-86. ISBN 978-619-185-019-8")</f>
        <v>Интелектуалната собственост в XXI век : Българският опит в творческите и информационни индустрии : Сборник с доклади от Научен семинар, 28 април 2014 г. Университет по библиотекознание и информационни технологии / Състав. Тереза Тренчева, Събина Ефтимова; Науч. ред. Таня Тодорова; Науч. рец. Георги Димитров. – София : За буквите – О писменехь, 2014, с. 79-86. ISBN 978-619-185-019-8</v>
      </c>
      <c r="F7542" s="10" t="str">
        <f ca="1">IFERROR(__xludf.DUMMYFUNCTION("""COMPUTED_VALUE"""),"Google Scholar, Референтен списък на НАЦИД")</f>
        <v>Google Scholar, Референтен списък на НАЦИД</v>
      </c>
      <c r="G7542" s="10"/>
      <c r="H7542" s="10"/>
      <c r="I7542" s="10"/>
      <c r="J7542" s="10"/>
      <c r="K7542" s="10"/>
      <c r="L7542" s="10"/>
      <c r="M7542" s="10"/>
      <c r="N7542" s="10"/>
      <c r="O7542" s="10"/>
      <c r="P7542" s="10"/>
      <c r="Q7542" s="10"/>
      <c r="R7542" s="10"/>
      <c r="S7542" s="10"/>
      <c r="T7542" s="10"/>
      <c r="U7542" s="10"/>
      <c r="V7542" s="10"/>
      <c r="W7542" s="10"/>
      <c r="X7542" s="10"/>
      <c r="Y7542" s="10"/>
      <c r="Z7542" s="10"/>
    </row>
    <row r="7543" spans="1:26" ht="12.75">
      <c r="A7543" s="10" t="str">
        <f ca="1">IFERROR(__xludf.DUMMYFUNCTION("""COMPUTED_VALUE"""),"Таня Йорданова Тодорова")</f>
        <v>Таня Йорданова Тодорова</v>
      </c>
      <c r="B7543" s="10" t="str">
        <f ca="1">IFERROR(__xludf.DUMMYFUNCTION("""COMPUTED_VALUE"""),"Статия в списания и поредици")</f>
        <v>Статия в списания и поредици</v>
      </c>
      <c r="C7543" s="10" t="str">
        <f ca="1">IFERROR(__xludf.DUMMYFUNCTION("""COMPUTED_VALUE"""),"Academic Education in Library and Information Management in Bulgaria.")</f>
        <v>Academic Education in Library and Information Management in Bulgaria.</v>
      </c>
      <c r="D7543" s="10">
        <f ca="1">IFERROR(__xludf.DUMMYFUNCTION("""COMPUTED_VALUE"""),2014)</f>
        <v>2014</v>
      </c>
      <c r="E7543" s="10" t="str">
        <f ca="1">IFERROR(__xludf.DUMMYFUNCTION("""COMPUTED_VALUE"""),"Open Journal of Social Sciences, 2014, № 8, p. 160-171. ISSN: 2327-5952")</f>
        <v>Open Journal of Social Sciences, 2014, № 8, p. 160-171. ISSN: 2327-5952</v>
      </c>
      <c r="F7543" s="10"/>
      <c r="G7543" s="10" t="str">
        <f ca="1">IFERROR(__xludf.DUMMYFUNCTION("""COMPUTED_VALUE"""),"Rosica Krasteva, Sabina Eftimova, Tania Todorova.")</f>
        <v>Rosica Krasteva, Sabina Eftimova, Tania Todorova.</v>
      </c>
      <c r="H7543" s="10"/>
      <c r="I7543" s="10"/>
      <c r="J7543" s="10"/>
      <c r="K7543" s="10"/>
      <c r="L7543" s="10"/>
      <c r="M7543" s="10"/>
      <c r="N7543" s="10"/>
      <c r="O7543" s="10"/>
      <c r="P7543" s="10"/>
      <c r="Q7543" s="10"/>
      <c r="R7543" s="10"/>
      <c r="S7543" s="10"/>
      <c r="T7543" s="10"/>
      <c r="U7543" s="10"/>
      <c r="V7543" s="10"/>
      <c r="W7543" s="10"/>
      <c r="X7543" s="10"/>
      <c r="Y7543" s="10"/>
      <c r="Z7543" s="10"/>
    </row>
    <row r="7544" spans="1:26" ht="12.75">
      <c r="A7544" s="10" t="str">
        <f ca="1">IFERROR(__xludf.DUMMYFUNCTION("""COMPUTED_VALUE"""),"Таня Йорданова Тодорова")</f>
        <v>Таня Йорданова Тодорова</v>
      </c>
      <c r="B7544" s="10" t="str">
        <f ca="1">IFERROR(__xludf.DUMMYFUNCTION("""COMPUTED_VALUE"""),"Доклад от конференция")</f>
        <v>Доклад от конференция</v>
      </c>
      <c r="C7544" s="10" t="str">
        <f ca="1">IFERROR(__xludf.DUMMYFUNCTION("""COMPUTED_VALUE"""),"Copyright Literacy in Memory Institutions: Findings from scientific research project in Bulgaria")</f>
        <v>Copyright Literacy in Memory Institutions: Findings from scientific research project in Bulgaria</v>
      </c>
      <c r="D7544" s="10">
        <f ca="1">IFERROR(__xludf.DUMMYFUNCTION("""COMPUTED_VALUE"""),2014)</f>
        <v>2014</v>
      </c>
      <c r="E7544" s="10" t="str">
        <f ca="1">IFERROR(__xludf.DUMMYFUNCTION("""COMPUTED_VALUE"""),"Conference Proceedings of the 3th International Conference : New Perspectives in Science Education, 20-21 March 2014, Florence, Italy, 2014, p. 228-231. ISBN: 978-88-6292-469-6")</f>
        <v>Conference Proceedings of the 3th International Conference : New Perspectives in Science Education, 20-21 March 2014, Florence, Italy, 2014, p. 228-231. ISBN: 978-88-6292-469-6</v>
      </c>
      <c r="F7544" s="10"/>
      <c r="G7544" s="10" t="str">
        <f ca="1">IFERROR(__xludf.DUMMYFUNCTION("""COMPUTED_VALUE"""),"Tereza Trencheva")</f>
        <v>Tereza Trencheva</v>
      </c>
      <c r="H7544" s="10"/>
      <c r="I7544" s="10"/>
      <c r="J7544" s="10"/>
      <c r="K7544" s="10"/>
      <c r="L7544" s="10"/>
      <c r="M7544" s="10"/>
      <c r="N7544" s="10"/>
      <c r="O7544" s="10"/>
      <c r="P7544" s="10"/>
      <c r="Q7544" s="10"/>
      <c r="R7544" s="10"/>
      <c r="S7544" s="10"/>
      <c r="T7544" s="10"/>
      <c r="U7544" s="10"/>
      <c r="V7544" s="10"/>
      <c r="W7544" s="10"/>
      <c r="X7544" s="10"/>
      <c r="Y7544" s="10"/>
      <c r="Z7544" s="10"/>
    </row>
    <row r="7545" spans="1:26" ht="12.75">
      <c r="A7545" s="10" t="str">
        <f ca="1">IFERROR(__xludf.DUMMYFUNCTION("""COMPUTED_VALUE"""),"Таня Йорданова Тодорова")</f>
        <v>Таня Йорданова Тодорова</v>
      </c>
      <c r="B7545" s="10" t="str">
        <f ca="1">IFERROR(__xludf.DUMMYFUNCTION("""COMPUTED_VALUE"""),"Статия в списания и поредици")</f>
        <v>Статия в списания и поредици</v>
      </c>
      <c r="C7545" s="10" t="str">
        <f ca="1">IFERROR(__xludf.DUMMYFUNCTION("""COMPUTED_VALUE"""),"A Multinational Study on Copyright Literacy Competencies of LIS Professionals")</f>
        <v>A Multinational Study on Copyright Literacy Competencies of LIS Professionals</v>
      </c>
      <c r="D7545" s="10">
        <f ca="1">IFERROR(__xludf.DUMMYFUNCTION("""COMPUTED_VALUE"""),2014)</f>
        <v>2014</v>
      </c>
      <c r="E7545" s="10" t="str">
        <f ca="1">IFERROR(__xludf.DUMMYFUNCTION("""COMPUTED_VALUE"""),"Information Literacy : Lifelong Learning and Digital Citizenship in the 21st Century : Second European Conference on Information Literacy (ECIL), Dubrovnik, Croatia, 20-23 Oct. 2014, Revised Selected Papers. Eds. By S. Kurbanoğlu et al. : Springer Interna"&amp;"tional Publishing Switzerland, 2014, p. 138-148. ISSN: 1865-0929; ISBN: 978-3-319-14135-0")</f>
        <v>Information Literacy : Lifelong Learning and Digital Citizenship in the 21st Century : Second European Conference on Information Literacy (ECIL), Dubrovnik, Croatia, 20-23 Oct. 2014, Revised Selected Papers. Eds. By S. Kurbanoğlu et al. : Springer International Publishing Switzerland, 2014, p. 138-148. ISSN: 1865-0929; ISBN: 978-3-319-14135-0</v>
      </c>
      <c r="F7545" s="10"/>
      <c r="G7545" s="10" t="str">
        <f ca="1">IFERROR(__xludf.DUMMYFUNCTION("""COMPUTED_VALUE"""),"Tania Todorova, Serap Kurbanoğlu, G. Doğan, Aleksandra Horvat, Joumana Boustany")</f>
        <v>Tania Todorova, Serap Kurbanoğlu, G. Doğan, Aleksandra Horvat, Joumana Boustany</v>
      </c>
      <c r="H7545" s="10"/>
      <c r="I7545" s="10"/>
      <c r="J7545" s="10"/>
      <c r="K7545" s="10"/>
      <c r="L7545" s="10"/>
      <c r="M7545" s="10"/>
      <c r="N7545" s="10"/>
      <c r="O7545" s="10"/>
      <c r="P7545" s="10"/>
      <c r="Q7545" s="10"/>
      <c r="R7545" s="10"/>
      <c r="S7545" s="10"/>
      <c r="T7545" s="10"/>
      <c r="U7545" s="10"/>
      <c r="V7545" s="10"/>
      <c r="W7545" s="10"/>
      <c r="X7545" s="10"/>
      <c r="Y7545" s="10"/>
      <c r="Z7545" s="10"/>
    </row>
    <row r="7546" spans="1:26" ht="12.75">
      <c r="A7546" s="10" t="str">
        <f ca="1">IFERROR(__xludf.DUMMYFUNCTION("""COMPUTED_VALUE"""),"Таня Йорданова Тодорова")</f>
        <v>Таня Йорданова Тодорова</v>
      </c>
      <c r="B7546" s="10" t="str">
        <f ca="1">IFERROR(__xludf.DUMMYFUNCTION("""COMPUTED_VALUE"""),"Книга")</f>
        <v>Книга</v>
      </c>
      <c r="C7546" s="10" t="str">
        <f ca="1">IFERROR(__xludf.DUMMYFUNCTION("""COMPUTED_VALUE"""),"Разработване и управление на проекти в библиотечно-информационния сектор")</f>
        <v>Разработване и управление на проекти в библиотечно-информационния сектор</v>
      </c>
      <c r="D7546" s="10">
        <f ca="1">IFERROR(__xludf.DUMMYFUNCTION("""COMPUTED_VALUE"""),2014)</f>
        <v>2014</v>
      </c>
      <c r="E7546" s="10" t="str">
        <f ca="1">IFERROR(__xludf.DUMMYFUNCTION("""COMPUTED_VALUE"""),"За буквите – О писменехь, 2014, 230 с. ISBN 978-619-185-090-7")</f>
        <v>За буквите – О писменехь, 2014, 230 с. ISBN 978-619-185-090-7</v>
      </c>
      <c r="F7546" s="10"/>
      <c r="G7546" s="10"/>
      <c r="H7546" s="10"/>
      <c r="I7546" s="10"/>
      <c r="J7546" s="10"/>
      <c r="K7546" s="10"/>
      <c r="L7546" s="10"/>
      <c r="M7546" s="10"/>
      <c r="N7546" s="10"/>
      <c r="O7546" s="10"/>
      <c r="P7546" s="10"/>
      <c r="Q7546" s="10"/>
      <c r="R7546" s="10"/>
      <c r="S7546" s="10"/>
      <c r="T7546" s="10"/>
      <c r="U7546" s="10"/>
      <c r="V7546" s="10"/>
      <c r="W7546" s="10"/>
      <c r="X7546" s="10"/>
      <c r="Y7546" s="10"/>
      <c r="Z7546" s="10"/>
    </row>
    <row r="7547" spans="1:26" ht="12.75">
      <c r="A7547" s="10" t="str">
        <f ca="1">IFERROR(__xludf.DUMMYFUNCTION("""COMPUTED_VALUE"""),"Таня Йорданова Тодорова")</f>
        <v>Таня Йорданова Тодорова</v>
      </c>
      <c r="B7547" s="10" t="str">
        <f ca="1">IFERROR(__xludf.DUMMYFUNCTION("""COMPUTED_VALUE"""),"Доклад от конференция")</f>
        <v>Доклад от конференция</v>
      </c>
      <c r="C7547" s="10" t="str">
        <f ca="1">IFERROR(__xludf.DUMMYFUNCTION("""COMPUTED_VALUE"""),"Комуникационна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f>
        <v>Комуникационна стратегия на програми за дистанционно обучение: опитът на проект „Дистанционно обучение по библиотечно-информационни науки, печатни комуникации и науките за културното наследство“</v>
      </c>
      <c r="D7547" s="10">
        <f ca="1">IFERROR(__xludf.DUMMYFUNCTION("""COMPUTED_VALUE"""),2014)</f>
        <v>2014</v>
      </c>
      <c r="E7547" s="10" t="str">
        <f ca="1">IFERROR(__xludf.DUMMYFUNCTION("""COMPUTED_VALUE"""),"Пета национална конференция по електронно обучение във висшите училища: сборник доклади, 15-17 май 2014, Русенски университет,")</f>
        <v>Пета национална конференция по електронно обучение във висшите училища: сборник доклади, 15-17 май 2014, Русенски университет,</v>
      </c>
      <c r="F7547" s="10"/>
      <c r="G7547" s="10" t="str">
        <f ca="1">IFERROR(__xludf.DUMMYFUNCTION("""COMPUTED_VALUE"""),"И. Янкова, С. Станчева, Р. Василева.")</f>
        <v>И. Янкова, С. Станчева, Р. Василева.</v>
      </c>
      <c r="H7547" s="10"/>
      <c r="I7547" s="10"/>
      <c r="J7547" s="10"/>
      <c r="K7547" s="10"/>
      <c r="L7547" s="10"/>
      <c r="M7547" s="10"/>
      <c r="N7547" s="10"/>
      <c r="O7547" s="10"/>
      <c r="P7547" s="10"/>
      <c r="Q7547" s="10"/>
      <c r="R7547" s="10"/>
      <c r="S7547" s="10"/>
      <c r="T7547" s="10"/>
      <c r="U7547" s="10"/>
      <c r="V7547" s="10"/>
      <c r="W7547" s="10"/>
      <c r="X7547" s="10"/>
      <c r="Y7547" s="10"/>
      <c r="Z7547" s="10"/>
    </row>
    <row r="7548" spans="1:26" ht="12.75">
      <c r="A7548" s="10" t="str">
        <f ca="1">IFERROR(__xludf.DUMMYFUNCTION("""COMPUTED_VALUE"""),"Таня Йорданова Тодорова")</f>
        <v>Таня Йорданова Тодорова</v>
      </c>
      <c r="B7548" s="10" t="str">
        <f ca="1">IFERROR(__xludf.DUMMYFUNCTION("""COMPUTED_VALUE"""),"Книга")</f>
        <v>Книга</v>
      </c>
      <c r="C7548" s="10" t="str">
        <f ca="1">IFERROR(__xludf.DUMMYFUNCTION("""COMPUTED_VALUE"""),"Интеграционни процеси в библиотечно-информационната сфера")</f>
        <v>Интеграционни процеси в библиотечно-информационната сфера</v>
      </c>
      <c r="D7548" s="10">
        <f ca="1">IFERROR(__xludf.DUMMYFUNCTION("""COMPUTED_VALUE"""),2014)</f>
        <v>2014</v>
      </c>
      <c r="E7548" s="10" t="str">
        <f ca="1">IFERROR(__xludf.DUMMYFUNCTION("""COMPUTED_VALUE"""),"За буквите - O писменeхь, 2014, 278 с. ISBN: 978-619-185-120-1")</f>
        <v>За буквите - O писменeхь, 2014, 278 с. ISBN: 978-619-185-120-1</v>
      </c>
      <c r="F7548" s="10"/>
      <c r="G7548" s="10"/>
      <c r="H7548" s="10"/>
      <c r="I7548" s="10"/>
      <c r="J7548" s="10"/>
      <c r="K7548" s="10"/>
      <c r="L7548" s="10"/>
      <c r="M7548" s="10"/>
      <c r="N7548" s="10"/>
      <c r="O7548" s="10"/>
      <c r="P7548" s="10"/>
      <c r="Q7548" s="10"/>
      <c r="R7548" s="10"/>
      <c r="S7548" s="10"/>
      <c r="T7548" s="10"/>
      <c r="U7548" s="10"/>
      <c r="V7548" s="10"/>
      <c r="W7548" s="10"/>
      <c r="X7548" s="10"/>
      <c r="Y7548" s="10"/>
      <c r="Z7548" s="10"/>
    </row>
    <row r="7549" spans="1:26" ht="12.75">
      <c r="A7549" s="10" t="str">
        <f ca="1">IFERROR(__xludf.DUMMYFUNCTION("""COMPUTED_VALUE"""),"Таня Йорданова Тодорова")</f>
        <v>Таня Йорданова Тодорова</v>
      </c>
      <c r="B7549" s="10" t="str">
        <f ca="1">IFERROR(__xludf.DUMMYFUNCTION("""COMPUTED_VALUE"""),"Статия в списания и поредици")</f>
        <v>Статия в списания и поредици</v>
      </c>
      <c r="C7549" s="10" t="str">
        <f ca="1">IFERROR(__xludf.DUMMYFUNCTION("""COMPUTED_VALUE"""),"Российско-болгарские взаимодействия на страницах возрожденческого журнала „Български книжици“ (1858-1862) : [С предговор „Професионални и човешки моменти с Мария Аргирова – Герасимова“")</f>
        <v>Российско-болгарские взаимодействия на страницах возрожденческого журнала „Български книжици“ (1858-1862) : [С предговор „Професионални и човешки моменти с Мария Аргирова – Герасимова“</v>
      </c>
      <c r="D7549" s="10">
        <f ca="1">IFERROR(__xludf.DUMMYFUNCTION("""COMPUTED_VALUE"""),2014)</f>
        <v>2014</v>
      </c>
      <c r="E7549" s="10" t="str">
        <f ca="1">IFERROR(__xludf.DUMMYFUNCTION("""COMPUTED_VALUE"""),"Информационен бюлетин на Централна библиотека на БАН, VIII, 2014, № 82. Живот, отдаден на Библиотеката : Е-сборник в чест на Мария Аргирова, с. 43-55. ISSN 1312-9899")</f>
        <v>Информационен бюлетин на Централна библиотека на БАН, VIII, 2014, № 82. Живот, отдаден на Библиотеката : Е-сборник в чест на Мария Аргирова, с. 43-55. ISSN 1312-9899</v>
      </c>
      <c r="F7549" s="10" t="str">
        <f ca="1">IFERROR(__xludf.DUMMYFUNCTION("""COMPUTED_VALUE"""),"Google Scholar, Референтен списък на НАЦИД")</f>
        <v>Google Scholar, Референтен списък на НАЦИД</v>
      </c>
      <c r="G7549" s="10"/>
      <c r="H7549" s="10"/>
      <c r="I7549" s="10"/>
      <c r="J7549" s="10"/>
      <c r="K7549" s="10"/>
      <c r="L7549" s="10"/>
      <c r="M7549" s="10"/>
      <c r="N7549" s="10"/>
      <c r="O7549" s="10"/>
      <c r="P7549" s="10"/>
      <c r="Q7549" s="10"/>
      <c r="R7549" s="10"/>
      <c r="S7549" s="10"/>
      <c r="T7549" s="10"/>
      <c r="U7549" s="10"/>
      <c r="V7549" s="10"/>
      <c r="W7549" s="10"/>
      <c r="X7549" s="10"/>
      <c r="Y7549" s="10"/>
      <c r="Z7549" s="10"/>
    </row>
    <row r="7550" spans="1:26" ht="12.75">
      <c r="A7550" s="10" t="str">
        <f ca="1">IFERROR(__xludf.DUMMYFUNCTION("""COMPUTED_VALUE"""),"Таня Йорданова Тодорова")</f>
        <v>Таня Йорданова Тодорова</v>
      </c>
      <c r="B7550" s="10" t="str">
        <f ca="1">IFERROR(__xludf.DUMMYFUNCTION("""COMPUTED_VALUE"""),"Статия в списания и поредици")</f>
        <v>Статия в списания и поредици</v>
      </c>
      <c r="C7550" s="10" t="str">
        <f ca="1">IFERROR(__xludf.DUMMYFUNCTION("""COMPUTED_VALUE"""),"Open Access to Scientific Information: Comparative study in DOAJ")</f>
        <v>Open Access to Scientific Information: Comparative study in DOAJ</v>
      </c>
      <c r="D7550" s="10">
        <f ca="1">IFERROR(__xludf.DUMMYFUNCTION("""COMPUTED_VALUE"""),2014)</f>
        <v>2014</v>
      </c>
      <c r="E7550" s="10" t="str">
        <f ca="1">IFERROR(__xludf.DUMMYFUNCTION("""COMPUTED_VALUE"""),"Library Management Journal, 2014, № 4-5, p. 364-374. ISSN: 0143-5124")</f>
        <v>Library Management Journal, 2014, № 4-5, p. 364-374. ISSN: 0143-5124</v>
      </c>
      <c r="F7550" s="10"/>
      <c r="G7550" s="10" t="str">
        <f ca="1">IFERROR(__xludf.DUMMYFUNCTION("""COMPUTED_VALUE"""),"Tereza Trencheva")</f>
        <v>Tereza Trencheva</v>
      </c>
      <c r="H7550" s="10"/>
      <c r="I7550" s="10"/>
      <c r="J7550" s="10"/>
      <c r="K7550" s="10"/>
      <c r="L7550" s="10"/>
      <c r="M7550" s="10"/>
      <c r="N7550" s="10"/>
      <c r="O7550" s="10"/>
      <c r="P7550" s="10"/>
      <c r="Q7550" s="10"/>
      <c r="R7550" s="10"/>
      <c r="S7550" s="10"/>
      <c r="T7550" s="10"/>
      <c r="U7550" s="10"/>
      <c r="V7550" s="10"/>
      <c r="W7550" s="10"/>
      <c r="X7550" s="10"/>
      <c r="Y7550" s="10"/>
      <c r="Z7550" s="10"/>
    </row>
    <row r="7551" spans="1:26" ht="12.75">
      <c r="A7551" s="10" t="str">
        <f ca="1">IFERROR(__xludf.DUMMYFUNCTION("""COMPUTED_VALUE"""),"Таня Йорданова Тодорова")</f>
        <v>Таня Йорданова Тодорова</v>
      </c>
      <c r="B7551" s="10" t="str">
        <f ca="1">IFERROR(__xludf.DUMMYFUNCTION("""COMPUTED_VALUE"""),"Доклад от конференция")</f>
        <v>Доклад от конференция</v>
      </c>
      <c r="C7551" s="10" t="str">
        <f ca="1">IFERROR(__xludf.DUMMYFUNCTION("""COMPUTED_VALUE"""),"Изследване на авторскоправната компетентност на специалистите от библиотечните и другите културни институции - методология и международно сътрудничество")</f>
        <v>Изследване на авторскоправната компетентност на специалистите от библиотечните и другите културни институции - методология и международно сътрудничество</v>
      </c>
      <c r="D7551" s="10">
        <f ca="1">IFERROR(__xludf.DUMMYFUNCTION("""COMPUTED_VALUE"""),2014)</f>
        <v>2014</v>
      </c>
      <c r="E7551" s="10" t="str">
        <f ca="1">IFERROR(__xludf.DUMMYFUNCTION("""COMPUTED_VALUE"""),"Обществото на знанието и хуманизмът на ХХІ век : Единадесета национална научна конференция с международно участие, София, 1 ноември 2013. – София: За буквите – О писменехь, 2014, с. 382-389. ISSN 1314-7099 (print)")</f>
        <v>Обществото на знанието и хуманизмът на ХХІ век : Единадесета национална научна конференция с международно участие, София, 1 ноември 2013. – София: За буквите – О писменехь, 2014, с. 382-389. ISSN 1314-7099 (print)</v>
      </c>
      <c r="F7551" s="10" t="str">
        <f ca="1">IFERROR(__xludf.DUMMYFUNCTION("""COMPUTED_VALUE"""),"Google Scholar, Референтен списък на НАЦИД")</f>
        <v>Google Scholar, Референтен списък на НАЦИД</v>
      </c>
      <c r="G7551" s="10" t="str">
        <f ca="1">IFERROR(__xludf.DUMMYFUNCTION("""COMPUTED_VALUE"""),"Тереза Тренчева, Серап Курбаноглу, Александра Хорват, Джумана Бустани")</f>
        <v>Тереза Тренчева, Серап Курбаноглу, Александра Хорват, Джумана Бустани</v>
      </c>
      <c r="H7551" s="10"/>
      <c r="I7551" s="10"/>
      <c r="J7551" s="10"/>
      <c r="K7551" s="10"/>
      <c r="L7551" s="10"/>
      <c r="M7551" s="10"/>
      <c r="N7551" s="10"/>
      <c r="O7551" s="10"/>
      <c r="P7551" s="10"/>
      <c r="Q7551" s="10"/>
      <c r="R7551" s="10"/>
      <c r="S7551" s="10"/>
      <c r="T7551" s="10"/>
      <c r="U7551" s="10"/>
      <c r="V7551" s="10"/>
      <c r="W7551" s="10"/>
      <c r="X7551" s="10"/>
      <c r="Y7551" s="10"/>
      <c r="Z7551" s="10"/>
    </row>
    <row r="7552" spans="1:26" ht="12.75">
      <c r="A7552" s="10" t="str">
        <f ca="1">IFERROR(__xludf.DUMMYFUNCTION("""COMPUTED_VALUE"""),"Таня Йорданова Тодорова")</f>
        <v>Таня Йорданова Тодорова</v>
      </c>
      <c r="B7552" s="10" t="str">
        <f ca="1">IFERROR(__xludf.DUMMYFUNCTION("""COMPUTED_VALUE"""),"Статия в списания и поредици")</f>
        <v>Статия в списания и поредици</v>
      </c>
      <c r="C7552" s="10" t="str">
        <f ca="1">IFERROR(__xludf.DUMMYFUNCTION("""COMPUTED_VALUE"""),"The changing role of the manager in the digital era: Findings from Erasmus IP LibCMASS 2012 Project")</f>
        <v>The changing role of the manager in the digital era: Findings from Erasmus IP LibCMASS 2012 Project</v>
      </c>
      <c r="D7552" s="10">
        <f ca="1">IFERROR(__xludf.DUMMYFUNCTION("""COMPUTED_VALUE"""),2013)</f>
        <v>2013</v>
      </c>
      <c r="E7552" s="10" t="str">
        <f ca="1">IFERROR(__xludf.DUMMYFUNCTION("""COMPUTED_VALUE"""),"From Collections to Connections : Turning Libraries “Inside-Out” : Book of Abstracts from 21th BOBCATSSS International Conference on Information Science, 23-25 January 2013, Ankara, p. 57. ISBN 978-975-491-365-1")</f>
        <v>From Collections to Connections : Turning Libraries “Inside-Out” : Book of Abstracts from 21th BOBCATSSS International Conference on Information Science, 23-25 January 2013, Ankara, p. 57. ISBN 978-975-491-365-1</v>
      </c>
      <c r="F7552" s="10"/>
      <c r="G7552" s="10" t="str">
        <f ca="1">IFERROR(__xludf.DUMMYFUNCTION("""COMPUTED_VALUE"""),"Denitsa Dimitrova, Kristina Videković, İpek Şencan, Pascaline Milliat")</f>
        <v>Denitsa Dimitrova, Kristina Videković, İpek Şencan, Pascaline Milliat</v>
      </c>
      <c r="H7552" s="10"/>
      <c r="I7552" s="10"/>
      <c r="J7552" s="10"/>
      <c r="K7552" s="10"/>
      <c r="L7552" s="10"/>
      <c r="M7552" s="10"/>
      <c r="N7552" s="10"/>
      <c r="O7552" s="10"/>
      <c r="P7552" s="10"/>
      <c r="Q7552" s="10"/>
      <c r="R7552" s="10"/>
      <c r="S7552" s="10"/>
      <c r="T7552" s="10"/>
      <c r="U7552" s="10"/>
      <c r="V7552" s="10"/>
      <c r="W7552" s="10"/>
      <c r="X7552" s="10"/>
      <c r="Y7552" s="10"/>
      <c r="Z7552" s="10"/>
    </row>
    <row r="7553" spans="1:26" ht="12.75">
      <c r="A7553" s="10" t="str">
        <f ca="1">IFERROR(__xludf.DUMMYFUNCTION("""COMPUTED_VALUE"""),"Таня Йорданова Тодорова")</f>
        <v>Таня Йорданова Тодорова</v>
      </c>
      <c r="B7553" s="10" t="str">
        <f ca="1">IFERROR(__xludf.DUMMYFUNCTION("""COMPUTED_VALUE"""),"Статия в списания и поредици")</f>
        <v>Статия в списания и поредици</v>
      </c>
      <c r="C7553" s="10" t="str">
        <f ca="1">IFERROR(__xludf.DUMMYFUNCTION("""COMPUTED_VALUE"""),"Information Literacy Competency of LIS students in SULSIT with a Special Focus on Intellectual Property")</f>
        <v>Information Literacy Competency of LIS students in SULSIT with a Special Focus on Intellectual Property</v>
      </c>
      <c r="D7553" s="10">
        <f ca="1">IFERROR(__xludf.DUMMYFUNCTION("""COMPUTED_VALUE"""),2013)</f>
        <v>2013</v>
      </c>
      <c r="E7553" s="10" t="str">
        <f ca="1">IFERROR(__xludf.DUMMYFUNCTION("""COMPUTED_VALUE"""),"Worldwide Commonalites and Challenges in Information Literacy Research and Practice : European Conference on Information Literacy, ECIL 2013. Istanbul, Oct. 22-25, 2013, Revised Selected Papers. Eds. by S. Kurbanoğlu et al. Springer International Publishi"&amp;"ng Switzerland, 2013, XXIV, p.610-617. (Communication in Computer and Information Science, Vol. 397).")</f>
        <v>Worldwide Commonalites and Challenges in Information Literacy Research and Practice : European Conference on Information Literacy, ECIL 2013. Istanbul, Oct. 22-25, 2013, Revised Selected Papers. Eds. by S. Kurbanoğlu et al. Springer International Publishing Switzerland, 2013, XXIV, p.610-617. (Communication in Computer and Information Science, Vol. 397).</v>
      </c>
      <c r="F7553" s="10" t="str">
        <f ca="1">IFERROR(__xludf.DUMMYFUNCTION("""COMPUTED_VALUE"""),"Scopus, Web of science")</f>
        <v>Scopus, Web of science</v>
      </c>
      <c r="G7553" s="10" t="str">
        <f ca="1">IFERROR(__xludf.DUMMYFUNCTION("""COMPUTED_VALUE"""),"Ирена Петева")</f>
        <v>Ирена Петева</v>
      </c>
      <c r="H7553" s="10"/>
      <c r="I7553" s="10"/>
      <c r="J7553" s="10"/>
      <c r="K7553" s="10"/>
      <c r="L7553" s="10"/>
      <c r="M7553" s="10"/>
      <c r="N7553" s="10"/>
      <c r="O7553" s="10"/>
      <c r="P7553" s="10"/>
      <c r="Q7553" s="10"/>
      <c r="R7553" s="10"/>
      <c r="S7553" s="10"/>
      <c r="T7553" s="10"/>
      <c r="U7553" s="10"/>
      <c r="V7553" s="10"/>
      <c r="W7553" s="10"/>
      <c r="X7553" s="10"/>
      <c r="Y7553" s="10"/>
      <c r="Z7553" s="10"/>
    </row>
    <row r="7554" spans="1:26" ht="12.75">
      <c r="A7554" s="10" t="str">
        <f ca="1">IFERROR(__xludf.DUMMYFUNCTION("""COMPUTED_VALUE"""),"Таня Йорданова Тодорова")</f>
        <v>Таня Йорданова Тодорова</v>
      </c>
      <c r="B7554" s="10" t="str">
        <f ca="1">IFERROR(__xludf.DUMMYFUNCTION("""COMPUTED_VALUE"""),"Статия в списания и поредици")</f>
        <v>Статия в списания и поредици</v>
      </c>
      <c r="C7554" s="10" t="str">
        <f ca="1">IFERROR(__xludf.DUMMYFUNCTION("""COMPUTED_VALUE"""),"Авторско право за библиотекари : Представяне на ресурсите на eIFL")</f>
        <v>Авторско право за библиотекари : Представяне на ресурсите на eIFL</v>
      </c>
      <c r="D7554" s="10">
        <f ca="1">IFERROR(__xludf.DUMMYFUNCTION("""COMPUTED_VALUE"""),2013)</f>
        <v>2013</v>
      </c>
      <c r="E7554"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147-151. ISSN 1314-7323 (print)")</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147-151. ISSN 1314-7323 (print)</v>
      </c>
      <c r="F7554" s="10" t="str">
        <f ca="1">IFERROR(__xludf.DUMMYFUNCTION("""COMPUTED_VALUE"""),"Google Scholar, Референтен списък на НАЦИД")</f>
        <v>Google Scholar, Референтен списък на НАЦИД</v>
      </c>
      <c r="G7554" s="10"/>
      <c r="H7554" s="10"/>
      <c r="I7554" s="10"/>
      <c r="J7554" s="10"/>
      <c r="K7554" s="10"/>
      <c r="L7554" s="10"/>
      <c r="M7554" s="10"/>
      <c r="N7554" s="10"/>
      <c r="O7554" s="10"/>
      <c r="P7554" s="10"/>
      <c r="Q7554" s="10"/>
      <c r="R7554" s="10"/>
      <c r="S7554" s="10"/>
      <c r="T7554" s="10"/>
      <c r="U7554" s="10"/>
      <c r="V7554" s="10"/>
      <c r="W7554" s="10"/>
      <c r="X7554" s="10"/>
      <c r="Y7554" s="10"/>
      <c r="Z7554" s="10"/>
    </row>
    <row r="7555" spans="1:26" ht="12.75">
      <c r="A7555" s="10" t="str">
        <f ca="1">IFERROR(__xludf.DUMMYFUNCTION("""COMPUTED_VALUE"""),"Таня Йорданова Тодорова")</f>
        <v>Таня Йорданова Тодорова</v>
      </c>
      <c r="B7555" s="10" t="str">
        <f ca="1">IFERROR(__xludf.DUMMYFUNCTION("""COMPUTED_VALUE"""),"Статия в списания и поредици")</f>
        <v>Статия в списания и поредици</v>
      </c>
      <c r="C7555" s="10" t="str">
        <f ca="1">IFERROR(__xludf.DUMMYFUNCTION("""COMPUTED_VALUE"""),"Международно проучване на авторскоправната компетентност на специалистите от библиотеките и други културни институции")</f>
        <v>Международно проучване на авторскоправната компетентност на специалистите от библиотеките и други културни институции</v>
      </c>
      <c r="D7555" s="10">
        <f ca="1">IFERROR(__xludf.DUMMYFUNCTION("""COMPUTED_VALUE"""),2013)</f>
        <v>2013</v>
      </c>
      <c r="E7555" s="10" t="str">
        <f ca="1">IFERROR(__xludf.DUMMYFUNCTION("""COMPUTED_VALUE"""),"Сборник с доклади от Научен семинар, 28 април 2014 г./ Състав. Т. Тренчева, С. Ефтимова. – София : За буквите – О писменехь, 2014. – 220 с. ISBN: 978-619-185-019-8")</f>
        <v>Сборник с доклади от Научен семинар, 28 април 2014 г./ Състав. Т. Тренчева, С. Ефтимова. – София : За буквите – О писменехь, 2014. – 220 с. ISBN: 978-619-185-019-8</v>
      </c>
      <c r="F7555" s="10" t="str">
        <f ca="1">IFERROR(__xludf.DUMMYFUNCTION("""COMPUTED_VALUE"""),"Референтен списък на НАЦИД")</f>
        <v>Референтен списък на НАЦИД</v>
      </c>
      <c r="G7555" s="10"/>
      <c r="H7555" s="10"/>
      <c r="I7555" s="10"/>
      <c r="J7555" s="10"/>
      <c r="K7555" s="10"/>
      <c r="L7555" s="10"/>
      <c r="M7555" s="10"/>
      <c r="N7555" s="10"/>
      <c r="O7555" s="10"/>
      <c r="P7555" s="10"/>
      <c r="Q7555" s="10"/>
      <c r="R7555" s="10"/>
      <c r="S7555" s="10"/>
      <c r="T7555" s="10"/>
      <c r="U7555" s="10"/>
      <c r="V7555" s="10"/>
      <c r="W7555" s="10"/>
      <c r="X7555" s="10"/>
      <c r="Y7555" s="10"/>
      <c r="Z7555" s="10"/>
    </row>
    <row r="7556" spans="1:26" ht="12.75">
      <c r="A7556" s="10" t="str">
        <f ca="1">IFERROR(__xludf.DUMMYFUNCTION("""COMPUTED_VALUE"""),"Таня Йорданова Тодорова")</f>
        <v>Таня Йорданова Тодорова</v>
      </c>
      <c r="B7556" s="10" t="str">
        <f ca="1">IFERROR(__xludf.DUMMYFUNCTION("""COMPUTED_VALUE"""),"Статия в списания и поредици")</f>
        <v>Статия в списания и поредици</v>
      </c>
      <c r="C7556" s="10" t="str">
        <f ca="1">IFERROR(__xludf.DUMMYFUNCTION("""COMPUTED_VALUE"""),"Implementation in LIS programs in SULSIT of the findings from international research about Reference Service Competencies")</f>
        <v>Implementation in LIS programs in SULSIT of the findings from international research about Reference Service Competencies</v>
      </c>
      <c r="D7556" s="10">
        <f ca="1">IFERROR(__xludf.DUMMYFUNCTION("""COMPUTED_VALUE"""),2013)</f>
        <v>2013</v>
      </c>
      <c r="E7556" s="10" t="str">
        <f ca="1">IFERROR(__xludf.DUMMYFUNCTION("""COMPUTED_VALUE"""),"Electronic Journal of Vocational Colleges (EJOVOC) : A Special Issue : Sociology, Social Policy, Economics, Labor Economics and Cultural Studies, May 2013, p. 217-225. ISSN: 2146-7884")</f>
        <v>Electronic Journal of Vocational Colleges (EJOVOC) : A Special Issue : Sociology, Social Policy, Economics, Labor Economics and Cultural Studies, May 2013, p. 217-225. ISSN: 2146-7884</v>
      </c>
      <c r="F7556" s="10" t="str">
        <f ca="1">IFERROR(__xludf.DUMMYFUNCTION("""COMPUTED_VALUE"""),"EBSCO, Google Scholar, Research Gate")</f>
        <v>EBSCO, Google Scholar, Research Gate</v>
      </c>
      <c r="G7556" s="10" t="str">
        <f ca="1">IFERROR(__xludf.DUMMYFUNCTION("""COMPUTED_VALUE"""),"Ivanka Yankova")</f>
        <v>Ivanka Yankova</v>
      </c>
      <c r="H7556" s="10"/>
      <c r="I7556" s="10"/>
      <c r="J7556" s="10"/>
      <c r="K7556" s="10"/>
      <c r="L7556" s="10"/>
      <c r="M7556" s="10"/>
      <c r="N7556" s="10"/>
      <c r="O7556" s="10"/>
      <c r="P7556" s="10"/>
      <c r="Q7556" s="10"/>
      <c r="R7556" s="10"/>
      <c r="S7556" s="10"/>
      <c r="T7556" s="10"/>
      <c r="U7556" s="10"/>
      <c r="V7556" s="10"/>
      <c r="W7556" s="10"/>
      <c r="X7556" s="10"/>
      <c r="Y7556" s="10"/>
      <c r="Z7556" s="10"/>
    </row>
    <row r="7557" spans="1:26" ht="12.75">
      <c r="A7557" s="10" t="str">
        <f ca="1">IFERROR(__xludf.DUMMYFUNCTION("""COMPUTED_VALUE"""),"Таня Йорданова Тодорова")</f>
        <v>Таня Йорданова Тодорова</v>
      </c>
      <c r="B7557" s="10" t="str">
        <f ca="1">IFERROR(__xludf.DUMMYFUNCTION("""COMPUTED_VALUE"""),"Статия в списания и поредици")</f>
        <v>Статия в списания и поредици</v>
      </c>
      <c r="C7557" s="10" t="str">
        <f ca="1">IFERROR(__xludf.DUMMYFUNCTION("""COMPUTED_VALUE"""),"Авторскоправна политика на библиотечните и културните институции – проектна концепция")</f>
        <v>Авторскоправна политика на библиотечните и културните институции – проектна концепция</v>
      </c>
      <c r="D7557" s="10">
        <f ca="1">IFERROR(__xludf.DUMMYFUNCTION("""COMPUTED_VALUE"""),2013)</f>
        <v>2013</v>
      </c>
      <c r="E7557" s="10" t="str">
        <f ca="1">IFERROR(__xludf.DUMMYFUNCTION("""COMPUTED_VALUE"""),"Интелектуалната собственост в университетите – Творчество: Следващото поколение : Сборник с доклади от Научен семинар, 25 април 2013 г. Университет по библиотекознание и информационни технологии, 26 април 2013 г. ЮЗУ „Неофит Рилски” / Състав. Тереза Тренч"&amp;"ева, Събина Ефтимова; Науч. ред. Елисавета Балабанова; Науч. рец. Георги Димитров, Живко Драганов. – София : За буквите – О писменехь, 2013, с. 99-112. ISBN 978-954-2946-67-0")</f>
        <v>Интелектуалната собственост в университетите – Творчество: Следващото поколение : Сборник с доклади от Научен семинар, 25 април 2013 г. Университет по библиотекознание и информационни технологии, 26 април 2013 г. ЮЗУ „Неофит Рилски” / Състав. Тереза Тренчева, Събина Ефтимова; Науч. ред. Елисавета Балабанова; Науч. рец. Георги Димитров, Живко Драганов. – София : За буквите – О писменехь, 2013, с. 99-112. ISBN 978-954-2946-67-0</v>
      </c>
      <c r="F7557" s="10" t="str">
        <f ca="1">IFERROR(__xludf.DUMMYFUNCTION("""COMPUTED_VALUE"""),"Google Scholar, Референтен списък на НАЦИД")</f>
        <v>Google Scholar, Референтен списък на НАЦИД</v>
      </c>
      <c r="G7557" s="10"/>
      <c r="H7557" s="10"/>
      <c r="I7557" s="10"/>
      <c r="J7557" s="10"/>
      <c r="K7557" s="10"/>
      <c r="L7557" s="10"/>
      <c r="M7557" s="10"/>
      <c r="N7557" s="10"/>
      <c r="O7557" s="10"/>
      <c r="P7557" s="10"/>
      <c r="Q7557" s="10"/>
      <c r="R7557" s="10"/>
      <c r="S7557" s="10"/>
      <c r="T7557" s="10"/>
      <c r="U7557" s="10"/>
      <c r="V7557" s="10"/>
      <c r="W7557" s="10"/>
      <c r="X7557" s="10"/>
      <c r="Y7557" s="10"/>
      <c r="Z7557" s="10"/>
    </row>
    <row r="7558" spans="1:26" ht="12.75">
      <c r="A7558" s="10" t="str">
        <f ca="1">IFERROR(__xludf.DUMMYFUNCTION("""COMPUTED_VALUE"""),"Таня Йорданова Тодорова")</f>
        <v>Таня Йорданова Тодорова</v>
      </c>
      <c r="B7558" s="10" t="str">
        <f ca="1">IFERROR(__xludf.DUMMYFUNCTION("""COMPUTED_VALUE"""),"Книга")</f>
        <v>Книга</v>
      </c>
      <c r="C7558" s="10" t="str">
        <f ca="1">IFERROR(__xludf.DUMMYFUNCTION("""COMPUTED_VALUE"""),"Erasmus Intensive Program ‘Library, Information and Cultural Heritage Management – Academic Summer School’ (2011-2013)")</f>
        <v>Erasmus Intensive Program ‘Library, Information and Cultural Heritage Management – Academic Summer School’ (2011-2013)</v>
      </c>
      <c r="D7558" s="10">
        <f ca="1">IFERROR(__xludf.DUMMYFUNCTION("""COMPUTED_VALUE"""),2013)</f>
        <v>2013</v>
      </c>
      <c r="E7558" s="10" t="str">
        <f ca="1">IFERROR(__xludf.DUMMYFUNCTION("""COMPUTED_VALUE"""),"Textbook (CD). Compl. by Tania Todorova. Sofia, Za bukvite-O pismeneh, 2013. ISBN 978-954-2946-95-3")</f>
        <v>Textbook (CD). Compl. by Tania Todorova. Sofia, Za bukvite-O pismeneh, 2013. ISBN 978-954-2946-95-3</v>
      </c>
      <c r="F7558" s="10"/>
      <c r="G7558" s="10"/>
      <c r="H7558" s="10"/>
      <c r="I7558" s="10"/>
      <c r="J7558" s="10"/>
      <c r="K7558" s="10"/>
      <c r="L7558" s="10"/>
      <c r="M7558" s="10"/>
      <c r="N7558" s="10"/>
      <c r="O7558" s="10"/>
      <c r="P7558" s="10"/>
      <c r="Q7558" s="10"/>
      <c r="R7558" s="10"/>
      <c r="S7558" s="10"/>
      <c r="T7558" s="10"/>
      <c r="U7558" s="10"/>
      <c r="V7558" s="10"/>
      <c r="W7558" s="10"/>
      <c r="X7558" s="10"/>
      <c r="Y7558" s="10"/>
      <c r="Z7558" s="10"/>
    </row>
    <row r="7559" spans="1:26" ht="12.75">
      <c r="A7559" s="10" t="str">
        <f ca="1">IFERROR(__xludf.DUMMYFUNCTION("""COMPUTED_VALUE"""),"Таня Йорданова Тодорова")</f>
        <v>Таня Йорданова Тодорова</v>
      </c>
      <c r="B7559" s="10" t="str">
        <f ca="1">IFERROR(__xludf.DUMMYFUNCTION("""COMPUTED_VALUE"""),"Доклад от конференция")</f>
        <v>Доклад от конференция</v>
      </c>
      <c r="C7559" s="10" t="str">
        <f ca="1">IFERROR(__xludf.DUMMYFUNCTION("""COMPUTED_VALUE"""),"E-motion of the Manager of Cultural Institution. Experiences within ERASMUS Intensive Programme IP LibCMASS at State University of Library Studies and Information Technologies in Sofia")</f>
        <v>E-motion of the Manager of Cultural Institution. Experiences within ERASMUS Intensive Programme IP LibCMASS at State University of Library Studies and Information Technologies in Sofia</v>
      </c>
      <c r="D7559" s="10">
        <f ca="1">IFERROR(__xludf.DUMMYFUNCTION("""COMPUTED_VALUE"""),2012)</f>
        <v>2012</v>
      </c>
      <c r="E7559" s="10" t="str">
        <f ca="1">IFERROR(__xludf.DUMMYFUNCTION("""COMPUTED_VALUE"""),"Information in e-motion : Papers from 20th BOBCATSSS International Conference on Information Science, 23-25 January 2012, Amsterdam. – Amsterdam : Bock+Herchen Verlag, 2012, p. 324-327. ISBN 978-3-88347-287-4")</f>
        <v>Information in e-motion : Papers from 20th BOBCATSSS International Conference on Information Science, 23-25 January 2012, Amsterdam. – Amsterdam : Bock+Herchen Verlag, 2012, p. 324-327. ISBN 978-3-88347-287-4</v>
      </c>
      <c r="F7559" s="10" t="str">
        <f ca="1">IFERROR(__xludf.DUMMYFUNCTION("""COMPUTED_VALUE"""),"Google Scholar")</f>
        <v>Google Scholar</v>
      </c>
      <c r="G7559" s="10" t="str">
        <f ca="1">IFERROR(__xludf.DUMMYFUNCTION("""COMPUTED_VALUE"""),"Aneta Raykova, Tolga Çakmak, Petra Miočić")</f>
        <v>Aneta Raykova, Tolga Çakmak, Petra Miočić</v>
      </c>
      <c r="H7559" s="10"/>
      <c r="I7559" s="10"/>
      <c r="J7559" s="10"/>
      <c r="K7559" s="10"/>
      <c r="L7559" s="10"/>
      <c r="M7559" s="10"/>
      <c r="N7559" s="10"/>
      <c r="O7559" s="10"/>
      <c r="P7559" s="10"/>
      <c r="Q7559" s="10"/>
      <c r="R7559" s="10"/>
      <c r="S7559" s="10"/>
      <c r="T7559" s="10"/>
      <c r="U7559" s="10"/>
      <c r="V7559" s="10"/>
      <c r="W7559" s="10"/>
      <c r="X7559" s="10"/>
      <c r="Y7559" s="10"/>
      <c r="Z7559" s="10"/>
    </row>
    <row r="7560" spans="1:26" ht="12.75">
      <c r="A7560" s="10" t="str">
        <f ca="1">IFERROR(__xludf.DUMMYFUNCTION("""COMPUTED_VALUE"""),"Таня Йорданова Тодорова")</f>
        <v>Таня Йорданова Тодорова</v>
      </c>
      <c r="B7560" s="10" t="str">
        <f ca="1">IFERROR(__xludf.DUMMYFUNCTION("""COMPUTED_VALUE"""),"Книга")</f>
        <v>Книга</v>
      </c>
      <c r="C7560" s="10" t="str">
        <f ca="1">IFERROR(__xludf.DUMMYFUNCTION("""COMPUTED_VALUE"""),"Информационната грамотност – модели за обучение и добри практики")</f>
        <v>Информационната грамотност – модели за обучение и добри практики</v>
      </c>
      <c r="D7560" s="10">
        <f ca="1">IFERROR(__xludf.DUMMYFUNCTION("""COMPUTED_VALUE"""),2012)</f>
        <v>2012</v>
      </c>
      <c r="E7560" s="10" t="str">
        <f ca="1">IFERROR(__xludf.DUMMYFUNCTION("""COMPUTED_VALUE"""),"Сборник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"&amp;"2012. 381 с. ISBN 978-954-2946-30-4")</f>
        <v>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381 с. ISBN 978-954-2946-30-4</v>
      </c>
      <c r="F7560" s="10" t="str">
        <f ca="1">IFERROR(__xludf.DUMMYFUNCTION("""COMPUTED_VALUE"""),"Google Scholar, Референтен списък на НАЦИД")</f>
        <v>Google Scholar, Референтен списък на НАЦИД</v>
      </c>
      <c r="G7560" s="10" t="str">
        <f ca="1">IFERROR(__xludf.DUMMYFUNCTION("""COMPUTED_VALUE"""),"Добринка Стойкова")</f>
        <v>Добринка Стойкова</v>
      </c>
      <c r="H7560" s="10"/>
      <c r="I7560" s="10"/>
      <c r="J7560" s="10"/>
      <c r="K7560" s="10"/>
      <c r="L7560" s="10"/>
      <c r="M7560" s="10"/>
      <c r="N7560" s="10"/>
      <c r="O7560" s="10"/>
      <c r="P7560" s="10"/>
      <c r="Q7560" s="10"/>
      <c r="R7560" s="10"/>
      <c r="S7560" s="10"/>
      <c r="T7560" s="10"/>
      <c r="U7560" s="10"/>
      <c r="V7560" s="10"/>
      <c r="W7560" s="10"/>
      <c r="X7560" s="10"/>
      <c r="Y7560" s="10"/>
      <c r="Z7560" s="10"/>
    </row>
    <row r="7561" spans="1:26" ht="12.75">
      <c r="A7561" s="10" t="str">
        <f ca="1">IFERROR(__xludf.DUMMYFUNCTION("""COMPUTED_VALUE"""),"Таня Йорданова Тодорова")</f>
        <v>Таня Йорданова Тодорова</v>
      </c>
      <c r="B7561" s="10" t="str">
        <f ca="1">IFERROR(__xludf.DUMMYFUNCTION("""COMPUTED_VALUE"""),"Доклад от конференция")</f>
        <v>Доклад от конференция</v>
      </c>
      <c r="C7561" s="10" t="str">
        <f ca="1">IFERROR(__xludf.DUMMYFUNCTION("""COMPUTED_VALUE"""),"Изследване и промоция на модели за обучение и добри практики по информационна грамотност : Проектна концепция")</f>
        <v>Изследване и промоция на модели за обучение и добри практики по информационна грамотност : Проектна концепция</v>
      </c>
      <c r="D7561" s="10">
        <f ca="1">IFERROR(__xludf.DUMMYFUNCTION("""COMPUTED_VALUE"""),2012)</f>
        <v>2012</v>
      </c>
      <c r="E7561"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29-33. ISBN 978-954-2946-30-4")</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29-33. ISBN 978-954-2946-30-4</v>
      </c>
      <c r="F7561" s="10" t="str">
        <f ca="1">IFERROR(__xludf.DUMMYFUNCTION("""COMPUTED_VALUE"""),"Google Scholar, Референтен сисък на НАЦИД")</f>
        <v>Google Scholar, Референтен сисък на НАЦИД</v>
      </c>
      <c r="G7561" s="10"/>
      <c r="H7561" s="10"/>
      <c r="I7561" s="10"/>
      <c r="J7561" s="10"/>
      <c r="K7561" s="10"/>
      <c r="L7561" s="10"/>
      <c r="M7561" s="10"/>
      <c r="N7561" s="10"/>
      <c r="O7561" s="10"/>
      <c r="P7561" s="10"/>
      <c r="Q7561" s="10"/>
      <c r="R7561" s="10"/>
      <c r="S7561" s="10"/>
      <c r="T7561" s="10"/>
      <c r="U7561" s="10"/>
      <c r="V7561" s="10"/>
      <c r="W7561" s="10"/>
      <c r="X7561" s="10"/>
      <c r="Y7561" s="10"/>
      <c r="Z7561" s="10"/>
    </row>
    <row r="7562" spans="1:26" ht="12.75">
      <c r="A7562" s="10" t="str">
        <f ca="1">IFERROR(__xludf.DUMMYFUNCTION("""COMPUTED_VALUE"""),"Таня Йорданова Тодорова")</f>
        <v>Таня Йорданова Тодорова</v>
      </c>
      <c r="B7562" s="10" t="str">
        <f ca="1">IFERROR(__xludf.DUMMYFUNCTION("""COMPUTED_VALUE"""),"Статия в списания и поредици")</f>
        <v>Статия в списания и поредици</v>
      </c>
      <c r="C7562" s="10" t="str">
        <f ca="1">IFERROR(__xludf.DUMMYFUNCTION("""COMPUTED_VALUE"""),"Digital Resources for Academic Education: Experiences from the Scientific Project ‘Data Base Bulgarian Revival Towns’")</f>
        <v>Digital Resources for Academic Education: Experiences from the Scientific Project ‘Data Base Bulgarian Revival Towns’</v>
      </c>
      <c r="D7562" s="10">
        <f ca="1">IFERROR(__xludf.DUMMYFUNCTION("""COMPUTED_VALUE"""),2012)</f>
        <v>2012</v>
      </c>
      <c r="E7562" s="10" t="str">
        <f ca="1">IFERROR(__xludf.DUMMYFUNCTION("""COMPUTED_VALUE"""),"Qualitative and Quantitative Methods in Libraries (QQML) е-Journal, Vol. 1, December Issue 1-3, 2012, p. 303-309. ISSN 2241-1925")</f>
        <v>Qualitative and Quantitative Methods in Libraries (QQML) е-Journal, Vol. 1, December Issue 1-3, 2012, p. 303-309. ISSN 2241-1925</v>
      </c>
      <c r="F7562" s="10" t="str">
        <f ca="1">IFERROR(__xludf.DUMMYFUNCTION("""COMPUTED_VALUE"""),"EBSCO, Google Scholar, Research Gate")</f>
        <v>EBSCO, Google Scholar, Research Gate</v>
      </c>
      <c r="G7562" s="10" t="str">
        <f ca="1">IFERROR(__xludf.DUMMYFUNCTION("""COMPUTED_VALUE"""),"Ivanka Yankova")</f>
        <v>Ivanka Yankova</v>
      </c>
      <c r="H7562" s="10"/>
      <c r="I7562" s="10"/>
      <c r="J7562" s="10"/>
      <c r="K7562" s="10"/>
      <c r="L7562" s="10"/>
      <c r="M7562" s="10"/>
      <c r="N7562" s="10"/>
      <c r="O7562" s="10"/>
      <c r="P7562" s="10"/>
      <c r="Q7562" s="10"/>
      <c r="R7562" s="10"/>
      <c r="S7562" s="10"/>
      <c r="T7562" s="10"/>
      <c r="U7562" s="10"/>
      <c r="V7562" s="10"/>
      <c r="W7562" s="10"/>
      <c r="X7562" s="10"/>
      <c r="Y7562" s="10"/>
      <c r="Z7562" s="10"/>
    </row>
    <row r="7563" spans="1:26" ht="12.75">
      <c r="A7563" s="10" t="str">
        <f ca="1">IFERROR(__xludf.DUMMYFUNCTION("""COMPUTED_VALUE"""),"Таня Йорданова Тодорова")</f>
        <v>Таня Йорданова Тодорова</v>
      </c>
      <c r="B7563" s="10" t="str">
        <f ca="1">IFERROR(__xludf.DUMMYFUNCTION("""COMPUTED_VALUE"""),"Доклад от конференция")</f>
        <v>Доклад от конференция</v>
      </c>
      <c r="C7563" s="10" t="str">
        <f ca="1">IFERROR(__xludf.DUMMYFUNCTION("""COMPUTED_VALUE"""),"Наръчникът по маркетинг за приложение на логото по информационна грамотност на ЮНЕСКО/ИФЛА")</f>
        <v>Наръчникът по маркетинг за приложение на логото по информационна грамотност на ЮНЕСКО/ИФЛА</v>
      </c>
      <c r="D7563" s="10">
        <f ca="1">IFERROR(__xludf.DUMMYFUNCTION("""COMPUTED_VALUE"""),2012)</f>
        <v>2012</v>
      </c>
      <c r="E7563"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154-162.")</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154-162.</v>
      </c>
      <c r="F7563" s="10" t="str">
        <f ca="1">IFERROR(__xludf.DUMMYFUNCTION("""COMPUTED_VALUE"""),"Google Scholar, Референтен списък на НАЦИД")</f>
        <v>Google Scholar, Референтен списък на НАЦИД</v>
      </c>
      <c r="G7563" s="10"/>
      <c r="H7563" s="10"/>
      <c r="I7563" s="10"/>
      <c r="J7563" s="10"/>
      <c r="K7563" s="10"/>
      <c r="L7563" s="10"/>
      <c r="M7563" s="10"/>
      <c r="N7563" s="10"/>
      <c r="O7563" s="10"/>
      <c r="P7563" s="10"/>
      <c r="Q7563" s="10"/>
      <c r="R7563" s="10"/>
      <c r="S7563" s="10"/>
      <c r="T7563" s="10"/>
      <c r="U7563" s="10"/>
      <c r="V7563" s="10"/>
      <c r="W7563" s="10"/>
      <c r="X7563" s="10"/>
      <c r="Y7563" s="10"/>
      <c r="Z7563" s="10"/>
    </row>
    <row r="7564" spans="1:26" ht="12.75">
      <c r="A7564" s="10" t="str">
        <f ca="1">IFERROR(__xludf.DUMMYFUNCTION("""COMPUTED_VALUE"""),"Таня Йорданова Тодорова")</f>
        <v>Таня Йорданова Тодорова</v>
      </c>
      <c r="B7564" s="10" t="str">
        <f ca="1">IFERROR(__xludf.DUMMYFUNCTION("""COMPUTED_VALUE"""),"Доклад от конференция")</f>
        <v>Доклад от конференция</v>
      </c>
      <c r="C7564" s="10" t="str">
        <f ca="1">IFERROR(__xludf.DUMMYFUNCTION("""COMPUTED_VALUE"""),"Bulgarian Library Associations and Lifelong Learning of LIS professionals")</f>
        <v>Bulgarian Library Associations and Lifelong Learning of LIS professionals</v>
      </c>
      <c r="D7564" s="10">
        <f ca="1">IFERROR(__xludf.DUMMYFUNCTION("""COMPUTED_VALUE"""),2012)</f>
        <v>2012</v>
      </c>
      <c r="E7564" s="10" t="str">
        <f ca="1">IFERROR(__xludf.DUMMYFUNCTION("""COMPUTED_VALUE"""),"Proceedings of the 3rd International Symposium on Information Management in a Changing World, Sept. 19-21, 2012, Ankara, Turkey. – Ankara : Hacettepe University, 2012, p. 38-43. DOI: 10.1007/978-3-642-33299-9 Publisher: 1865-0929 Publisher ISBN : 978-3-64"&amp;"2-33298-2")</f>
        <v>Proceedings of the 3rd International Symposium on Information Management in a Changing World, Sept. 19-21, 2012, Ankara, Turkey. – Ankara : Hacettepe University, 2012, p. 38-43. DOI: 10.1007/978-3-642-33299-9 Publisher: 1865-0929 Publisher ISBN : 978-3-642-33298-2</v>
      </c>
      <c r="F7564" s="10" t="str">
        <f ca="1">IFERROR(__xludf.DUMMYFUNCTION("""COMPUTED_VALUE"""),"Google Scholar")</f>
        <v>Google Scholar</v>
      </c>
      <c r="G7564" s="10" t="str">
        <f ca="1">IFERROR(__xludf.DUMMYFUNCTION("""COMPUTED_VALUE"""),"Ivanka Yankova, Stoyan Denchev")</f>
        <v>Ivanka Yankova, Stoyan Denchev</v>
      </c>
      <c r="H7564" s="10"/>
      <c r="I7564" s="10"/>
      <c r="J7564" s="10"/>
      <c r="K7564" s="10"/>
      <c r="L7564" s="10"/>
      <c r="M7564" s="10"/>
      <c r="N7564" s="10"/>
      <c r="O7564" s="10"/>
      <c r="P7564" s="10"/>
      <c r="Q7564" s="10"/>
      <c r="R7564" s="10"/>
      <c r="S7564" s="10"/>
      <c r="T7564" s="10"/>
      <c r="U7564" s="10"/>
      <c r="V7564" s="10"/>
      <c r="W7564" s="10"/>
      <c r="X7564" s="10"/>
      <c r="Y7564" s="10"/>
      <c r="Z7564" s="10"/>
    </row>
    <row r="7565" spans="1:26" ht="12.75">
      <c r="A7565" s="10" t="str">
        <f ca="1">IFERROR(__xludf.DUMMYFUNCTION("""COMPUTED_VALUE"""),"Таня Йорданова Тодорова")</f>
        <v>Таня Йорданова Тодорова</v>
      </c>
      <c r="B7565" s="10" t="str">
        <f ca="1">IFERROR(__xludf.DUMMYFUNCTION("""COMPUTED_VALUE"""),"Доклад от конференция")</f>
        <v>Доклад от конференция</v>
      </c>
      <c r="C7565" s="10" t="str">
        <f ca="1">IFERROR(__xludf.DUMMYFUNCTION("""COMPUTED_VALUE"""),"Digital Right Management (DRM) and Library Copyright Policy")</f>
        <v>Digital Right Management (DRM) and Library Copyright Policy</v>
      </c>
      <c r="D7565" s="10">
        <f ca="1">IFERROR(__xludf.DUMMYFUNCTION("""COMPUTED_VALUE"""),2012)</f>
        <v>2012</v>
      </c>
      <c r="E7565" s="10" t="str">
        <f ca="1">IFERROR(__xludf.DUMMYFUNCTION("""COMPUTED_VALUE"""),"Proceeding of DiPP 2012 : International Conference on Digital Presentation and Preservation of Cultural and Scientific Heritage, 18-21 September, 2012, V. Turnovo, Bulgaria. – Sofia : IMI – BAS, 2011, p. 123-131. ISSN: 1314-4006")</f>
        <v>Proceeding of DiPP 2012 : International Conference on Digital Presentation and Preservation of Cultural and Scientific Heritage, 18-21 September, 2012, V. Turnovo, Bulgaria. – Sofia : IMI – BAS, 2011, p. 123-131. ISSN: 1314-4006</v>
      </c>
      <c r="F7565" s="10" t="str">
        <f ca="1">IFERROR(__xludf.DUMMYFUNCTION("""COMPUTED_VALUE"""),"Google Scholar")</f>
        <v>Google Scholar</v>
      </c>
      <c r="G7565" s="10" t="str">
        <f ca="1">IFERROR(__xludf.DUMMYFUNCTION("""COMPUTED_VALUE"""),"Tereza Trencheva, Ivan Trenchev")</f>
        <v>Tereza Trencheva, Ivan Trenchev</v>
      </c>
      <c r="H7565" s="10"/>
      <c r="I7565" s="10"/>
      <c r="J7565" s="10"/>
      <c r="K7565" s="10"/>
      <c r="L7565" s="10"/>
      <c r="M7565" s="10"/>
      <c r="N7565" s="10"/>
      <c r="O7565" s="10"/>
      <c r="P7565" s="10"/>
      <c r="Q7565" s="10"/>
      <c r="R7565" s="10"/>
      <c r="S7565" s="10"/>
      <c r="T7565" s="10"/>
      <c r="U7565" s="10"/>
      <c r="V7565" s="10"/>
      <c r="W7565" s="10"/>
      <c r="X7565" s="10"/>
      <c r="Y7565" s="10"/>
      <c r="Z7565" s="10"/>
    </row>
    <row r="7566" spans="1:26" ht="12.75">
      <c r="A7566" s="10" t="str">
        <f ca="1">IFERROR(__xludf.DUMMYFUNCTION("""COMPUTED_VALUE"""),"Таня Йорданова Тодорова")</f>
        <v>Таня Йорданова Тодорова</v>
      </c>
      <c r="B7566" s="10" t="str">
        <f ca="1">IFERROR(__xludf.DUMMYFUNCTION("""COMPUTED_VALUE"""),"Статия в списания и поредици")</f>
        <v>Статия в списания и поредици</v>
      </c>
      <c r="C7566" s="10" t="str">
        <f ca="1">IFERROR(__xludf.DUMMYFUNCTION("""COMPUTED_VALUE"""),"Развитие на авторскоправна библиотечна политика : Представяне на новото ръководство на еIFL")</f>
        <v>Развитие на авторскоправна библиотечна политика : Представяне на новото ръководство на еIFL</v>
      </c>
      <c r="D7566" s="10">
        <f ca="1">IFERROR(__xludf.DUMMYFUNCTION("""COMPUTED_VALUE"""),2012)</f>
        <v>2012</v>
      </c>
      <c r="E7566"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143-148. ISSN 1314-7323 (print)")</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143-148. ISSN 1314-7323 (print)</v>
      </c>
      <c r="F7566" s="10" t="str">
        <f ca="1">IFERROR(__xludf.DUMMYFUNCTION("""COMPUTED_VALUE"""),"Google Scholar, Референтен списък на НАЦИД")</f>
        <v>Google Scholar, Референтен списък на НАЦИД</v>
      </c>
      <c r="G7566" s="10"/>
      <c r="H7566" s="10"/>
      <c r="I7566" s="10"/>
      <c r="J7566" s="10"/>
      <c r="K7566" s="10"/>
      <c r="L7566" s="10"/>
      <c r="M7566" s="10"/>
      <c r="N7566" s="10"/>
      <c r="O7566" s="10"/>
      <c r="P7566" s="10"/>
      <c r="Q7566" s="10"/>
      <c r="R7566" s="10"/>
      <c r="S7566" s="10"/>
      <c r="T7566" s="10"/>
      <c r="U7566" s="10"/>
      <c r="V7566" s="10"/>
      <c r="W7566" s="10"/>
      <c r="X7566" s="10"/>
      <c r="Y7566" s="10"/>
      <c r="Z7566" s="10"/>
    </row>
    <row r="7567" spans="1:26" ht="12.75">
      <c r="A7567" s="10" t="str">
        <f ca="1">IFERROR(__xludf.DUMMYFUNCTION("""COMPUTED_VALUE"""),"Таня Йорданова Тодорова")</f>
        <v>Таня Йорданова Тодорова</v>
      </c>
      <c r="B7567" s="10" t="str">
        <f ca="1">IFERROR(__xludf.DUMMYFUNCTION("""COMPUTED_VALUE"""),"Статия в списания и поредици")</f>
        <v>Статия в списания и поредици</v>
      </c>
      <c r="C7567" s="10" t="str">
        <f ca="1">IFERROR(__xludf.DUMMYFUNCTION("""COMPUTED_VALUE"""),"Project description IP ’Library, Information and Cultural management – Academic Summer School (IP LibCMASS 2012)")</f>
        <v>Project description IP ’Library, Information and Cultural management – Academic Summer School (IP LibCMASS 2012)</v>
      </c>
      <c r="D7567" s="10">
        <f ca="1">IFERROR(__xludf.DUMMYFUNCTION("""COMPUTED_VALUE"""),2012)</f>
        <v>2012</v>
      </c>
      <c r="E7567" s="10" t="str">
        <f ca="1">IFERROR(__xludf.DUMMYFUNCTION("""COMPUTED_VALUE"""),"Library, Information and Cultural Heritage Management : Textbook : ERASMUS Intensive Programme LibCMASS. Grant Agreement Reference Number : 2012-ERA-IP-11, 2-15 September 2012, Zagreb / Ed. Tania Todorova; Copy ed. Rumelina Vasileva. – Sofia: Za bukvite –"&amp;" O pismenehi, 2012, p. 9-33. ISBN 978-954-2946-95-3")</f>
        <v>Library, Information and Cultural Heritage Management : Textbook : ERASMUS Intensive Programme LibCMASS. Grant Agreement Reference Number : 2012-ERA-IP-11, 2-15 September 2012, Zagreb / Ed. Tania Todorova; Copy ed. Rumelina Vasileva. – Sofia: Za bukvite – O pismenehi, 2012, p. 9-33. ISBN 978-954-2946-95-3</v>
      </c>
      <c r="F7567" s="10" t="str">
        <f ca="1">IFERROR(__xludf.DUMMYFUNCTION("""COMPUTED_VALUE"""),"Google Scholar")</f>
        <v>Google Scholar</v>
      </c>
      <c r="G7567" s="10"/>
      <c r="H7567" s="10"/>
      <c r="I7567" s="10"/>
      <c r="J7567" s="10"/>
      <c r="K7567" s="10"/>
      <c r="L7567" s="10"/>
      <c r="M7567" s="10"/>
      <c r="N7567" s="10"/>
      <c r="O7567" s="10"/>
      <c r="P7567" s="10"/>
      <c r="Q7567" s="10"/>
      <c r="R7567" s="10"/>
      <c r="S7567" s="10"/>
      <c r="T7567" s="10"/>
      <c r="U7567" s="10"/>
      <c r="V7567" s="10"/>
      <c r="W7567" s="10"/>
      <c r="X7567" s="10"/>
      <c r="Y7567" s="10"/>
      <c r="Z7567" s="10"/>
    </row>
    <row r="7568" spans="1:26" ht="12.75">
      <c r="A7568" s="10" t="str">
        <f ca="1">IFERROR(__xludf.DUMMYFUNCTION("""COMPUTED_VALUE"""),"Таня Йорданова Тодорова")</f>
        <v>Таня Йорданова Тодорова</v>
      </c>
      <c r="B7568" s="10" t="str">
        <f ca="1">IFERROR(__xludf.DUMMYFUNCTION("""COMPUTED_VALUE"""),"Доклад от конференция")</f>
        <v>Доклад от конференция</v>
      </c>
      <c r="C7568" s="10" t="str">
        <f ca="1">IFERROR(__xludf.DUMMYFUNCTION("""COMPUTED_VALUE"""),"Интензивна програма “Библиотечно-информационен и културен мениджмънт – академично лятно училище” в Загребския университет")</f>
        <v>Интензивна програма “Библиотечно-информационен и културен мениджмънт – академично лятно училище” в Загребския университет</v>
      </c>
      <c r="D7568" s="10">
        <f ca="1">IFERROR(__xludf.DUMMYFUNCTION("""COMPUTED_VALUE"""),2012)</f>
        <v>2012</v>
      </c>
      <c r="E7568" s="10" t="str">
        <f ca="1">IFERROR(__xludf.DUMMYFUNCTION("""COMPUTED_VALUE"""),"Информационната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Янкова;"&amp;" Науч. ред. Румелина Василева. – София : За буквите – О писменехь, 2012, с. 163-166. ISBN 978-954-2946-30-4")</f>
        <v>Информационната грамотност – модели за обучение и добри практики : Сборник с научни доклади и съобщения от научен семинар с международно участие, 18-19 окт. 2012 г., УБ на ИУ, гр. Варна / Състав. Таня Тодорова, Добринка Стойкова; Науч. рец. Иванка Янкова; Науч. ред. Румелина Василева. – София : За буквите – О писменехь, 2012, с. 163-166. ISBN 978-954-2946-30-4</v>
      </c>
      <c r="F7568" s="10" t="str">
        <f ca="1">IFERROR(__xludf.DUMMYFUNCTION("""COMPUTED_VALUE"""),"Google Scholar, Референтен списък на НАЦИД")</f>
        <v>Google Scholar, Референтен списък на НАЦИД</v>
      </c>
      <c r="G7568" s="10"/>
      <c r="H7568" s="10"/>
      <c r="I7568" s="10"/>
      <c r="J7568" s="10"/>
      <c r="K7568" s="10"/>
      <c r="L7568" s="10"/>
      <c r="M7568" s="10"/>
      <c r="N7568" s="10"/>
      <c r="O7568" s="10"/>
      <c r="P7568" s="10"/>
      <c r="Q7568" s="10"/>
      <c r="R7568" s="10"/>
      <c r="S7568" s="10"/>
      <c r="T7568" s="10"/>
      <c r="U7568" s="10"/>
      <c r="V7568" s="10"/>
      <c r="W7568" s="10"/>
      <c r="X7568" s="10"/>
      <c r="Y7568" s="10"/>
      <c r="Z7568" s="10"/>
    </row>
    <row r="7569" spans="1:26" ht="12.75">
      <c r="A7569" s="10" t="str">
        <f ca="1">IFERROR(__xludf.DUMMYFUNCTION("""COMPUTED_VALUE"""),"Таня Йорданова Тодорова")</f>
        <v>Таня Йорданова Тодорова</v>
      </c>
      <c r="B7569" s="10" t="str">
        <f ca="1">IFERROR(__xludf.DUMMYFUNCTION("""COMPUTED_VALUE"""),"Доклад от конференция")</f>
        <v>Доклад от конференция</v>
      </c>
      <c r="C7569" s="10" t="str">
        <f ca="1">IFERROR(__xludf.DUMMYFUNCTION("""COMPUTED_VALUE"""),"New paradigm in libraries and learning")</f>
        <v>New paradigm in libraries and learning</v>
      </c>
      <c r="D7569" s="10">
        <f ca="1">IFERROR(__xludf.DUMMYFUNCTION("""COMPUTED_VALUE"""),2011)</f>
        <v>2011</v>
      </c>
      <c r="E7569" s="10" t="str">
        <f ca="1">IFERROR(__xludf.DUMMYFUNCTION("""COMPUTED_VALUE"""),"ICT and Quality of Education : UNESCO ASPnet on the Way Towards a School of the Future, Intern. Conf. – Kazan : Academy of Management “TISBI”, April 26-27, 2011, p. 48-57. ISBN 978-5-93593-145-2")</f>
        <v>ICT and Quality of Education : UNESCO ASPnet on the Way Towards a School of the Future, Intern. Conf. – Kazan : Academy of Management “TISBI”, April 26-27, 2011, p. 48-57. ISBN 978-5-93593-145-2</v>
      </c>
      <c r="F7569" s="10" t="str">
        <f ca="1">IFERROR(__xludf.DUMMYFUNCTION("""COMPUTED_VALUE"""),"Google Scholar")</f>
        <v>Google Scholar</v>
      </c>
      <c r="G7569" s="10" t="str">
        <f ca="1">IFERROR(__xludf.DUMMYFUNCTION("""COMPUTED_VALUE"""),"Rumen Nikolov, Ivanka Yankova, Evgenia Kovatcheva")</f>
        <v>Rumen Nikolov, Ivanka Yankova, Evgenia Kovatcheva</v>
      </c>
      <c r="H7569" s="10"/>
      <c r="I7569" s="10"/>
      <c r="J7569" s="10"/>
      <c r="K7569" s="10"/>
      <c r="L7569" s="10"/>
      <c r="M7569" s="10"/>
      <c r="N7569" s="10"/>
      <c r="O7569" s="10"/>
      <c r="P7569" s="10"/>
      <c r="Q7569" s="10"/>
      <c r="R7569" s="10"/>
      <c r="S7569" s="10"/>
      <c r="T7569" s="10"/>
      <c r="U7569" s="10"/>
      <c r="V7569" s="10"/>
      <c r="W7569" s="10"/>
      <c r="X7569" s="10"/>
      <c r="Y7569" s="10"/>
      <c r="Z7569" s="10"/>
    </row>
    <row r="7570" spans="1:26" ht="12.75">
      <c r="A7570" s="10" t="str">
        <f ca="1">IFERROR(__xludf.DUMMYFUNCTION("""COMPUTED_VALUE"""),"Таня Йорданова Тодорова")</f>
        <v>Таня Йорданова Тодорова</v>
      </c>
      <c r="B7570" s="10" t="str">
        <f ca="1">IFERROR(__xludf.DUMMYFUNCTION("""COMPUTED_VALUE"""),"Доклад от конференция")</f>
        <v>Доклад от конференция</v>
      </c>
      <c r="C7570" s="10" t="str">
        <f ca="1">IFERROR(__xludf.DUMMYFUNCTION("""COMPUTED_VALUE"""),"„Глад за книги“ – дигиталната информация и хората със зрителни увреждания")</f>
        <v>„Глад за книги“ – дигиталната информация и хората със зрителни увреждания</v>
      </c>
      <c r="D7570" s="10">
        <f ca="1">IFERROR(__xludf.DUMMYFUNCTION("""COMPUTED_VALUE"""),2011)</f>
        <v>2011</v>
      </c>
      <c r="E7570" s="10" t="str">
        <f ca="1">IFERROR(__xludf.DUMMYFUNCTION("""COMPUTED_VALUE"""),"Научни трудове на УниБИТ, Т. 9, 2011, с. 123-130. ISSN 1314-2623 (print)")</f>
        <v>Научни трудове на УниБИТ, Т. 9, 2011, с. 123-130. ISSN 1314-2623 (print)</v>
      </c>
      <c r="F7570" s="10" t="str">
        <f ca="1">IFERROR(__xludf.DUMMYFUNCTION("""COMPUTED_VALUE"""),"Google Scholar")</f>
        <v>Google Scholar</v>
      </c>
      <c r="G7570" s="10"/>
      <c r="H7570" s="10"/>
      <c r="I7570" s="10"/>
      <c r="J7570" s="10"/>
      <c r="K7570" s="10"/>
      <c r="L7570" s="10"/>
      <c r="M7570" s="10"/>
      <c r="N7570" s="10"/>
      <c r="O7570" s="10"/>
      <c r="P7570" s="10"/>
      <c r="Q7570" s="10"/>
      <c r="R7570" s="10"/>
      <c r="S7570" s="10"/>
      <c r="T7570" s="10"/>
      <c r="U7570" s="10"/>
      <c r="V7570" s="10"/>
      <c r="W7570" s="10"/>
      <c r="X7570" s="10"/>
      <c r="Y7570" s="10"/>
      <c r="Z7570" s="10"/>
    </row>
    <row r="7571" spans="1:26" ht="12.75">
      <c r="A7571" s="10" t="str">
        <f ca="1">IFERROR(__xludf.DUMMYFUNCTION("""COMPUTED_VALUE"""),"Таня Йорданова Тодорова")</f>
        <v>Таня Йорданова Тодорова</v>
      </c>
      <c r="B7571" s="10" t="str">
        <f ca="1">IFERROR(__xludf.DUMMYFUNCTION("""COMPUTED_VALUE"""),"Доклад от конференция")</f>
        <v>Доклад от конференция</v>
      </c>
      <c r="C7571" s="10" t="str">
        <f ca="1">IFERROR(__xludf.DUMMYFUNCTION("""COMPUTED_VALUE"""),"Развитие на база данни „Научни публикации на българските учени” по данни от Science Citation Index за периода 2000-2008 г.")</f>
        <v>Развитие на база данни „Научни публикации на българските учени” по данни от Science Citation Index за периода 2000-2008 г.</v>
      </c>
      <c r="D7571" s="10">
        <f ca="1">IFERROR(__xludf.DUMMYFUNCTION("""COMPUTED_VALUE"""),2011)</f>
        <v>2011</v>
      </c>
      <c r="E7571" s="10" t="str">
        <f ca="1">IFERROR(__xludf.DUMMYFUNCTION("""COMPUTED_VALUE"""),"Обществото на знанието и хуманизмът на ХХІ век : Осма национална научна конференция с международно участие, София, 1 ноември 2010 г. – София: За буквите – О писменехь, 2011, с. 477-484. ISBN 978-954-2946-09-0")</f>
        <v>Обществото на знанието и хуманизмът на ХХІ век : Осма национална научна конференция с международно участие, София, 1 ноември 2010 г. – София: За буквите – О писменехь, 2011, с. 477-484. ISBN 978-954-2946-09-0</v>
      </c>
      <c r="F7571" s="10" t="str">
        <f ca="1">IFERROR(__xludf.DUMMYFUNCTION("""COMPUTED_VALUE"""),"Google Scholar, Референтен списък на НАЦИД")</f>
        <v>Google Scholar, Референтен списък на НАЦИД</v>
      </c>
      <c r="G7571" s="10" t="str">
        <f ca="1">IFERROR(__xludf.DUMMYFUNCTION("""COMPUTED_VALUE"""),"Иванка Янкова, Димитър Кътовски")</f>
        <v>Иванка Янкова, Димитър Кътовски</v>
      </c>
      <c r="H7571" s="10"/>
      <c r="I7571" s="10"/>
      <c r="J7571" s="10"/>
      <c r="K7571" s="10"/>
      <c r="L7571" s="10"/>
      <c r="M7571" s="10"/>
      <c r="N7571" s="10"/>
      <c r="O7571" s="10"/>
      <c r="P7571" s="10"/>
      <c r="Q7571" s="10"/>
      <c r="R7571" s="10"/>
      <c r="S7571" s="10"/>
      <c r="T7571" s="10"/>
      <c r="U7571" s="10"/>
      <c r="V7571" s="10"/>
      <c r="W7571" s="10"/>
      <c r="X7571" s="10"/>
      <c r="Y7571" s="10"/>
      <c r="Z7571" s="10"/>
    </row>
    <row r="7572" spans="1:26" ht="12.75">
      <c r="A7572" s="10" t="str">
        <f ca="1">IFERROR(__xludf.DUMMYFUNCTION("""COMPUTED_VALUE"""),"Таня Йорданова Тодорова")</f>
        <v>Таня Йорданова Тодорова</v>
      </c>
      <c r="B7572" s="10" t="str">
        <f ca="1">IFERROR(__xludf.DUMMYFUNCTION("""COMPUTED_VALUE"""),"Статия в списания и поредици")</f>
        <v>Статия в списания и поредици</v>
      </c>
      <c r="C7572" s="10" t="str">
        <f ca="1">IFERROR(__xludf.DUMMYFUNCTION("""COMPUTED_VALUE"""),"По въпроса за Национална стратегия за дигитализация на културното наследство на България")</f>
        <v>По въпроса за Национална стратегия за дигитализация на културното наследство на България</v>
      </c>
      <c r="D7572" s="10">
        <f ca="1">IFERROR(__xludf.DUMMYFUNCTION("""COMPUTED_VALUE"""),2010)</f>
        <v>2010</v>
      </c>
      <c r="E7572" s="10" t="str">
        <f ca="1">IFERROR(__xludf.DUMMYFUNCTION("""COMPUTED_VALUE"""),"Трудове на СВУБИТ, Т. 8, 2010, с. 405-415. ISSN 1312-5834 (print)")</f>
        <v>Трудове на СВУБИТ, Т. 8, 2010, с. 405-415. ISSN 1312-5834 (print)</v>
      </c>
      <c r="F7572" s="10" t="str">
        <f ca="1">IFERROR(__xludf.DUMMYFUNCTION("""COMPUTED_VALUE"""),"Google Scholar")</f>
        <v>Google Scholar</v>
      </c>
      <c r="G7572" s="10"/>
      <c r="H7572" s="10"/>
      <c r="I7572" s="10"/>
      <c r="J7572" s="10"/>
      <c r="K7572" s="10"/>
      <c r="L7572" s="10"/>
      <c r="M7572" s="10"/>
      <c r="N7572" s="10"/>
      <c r="O7572" s="10"/>
      <c r="P7572" s="10"/>
      <c r="Q7572" s="10"/>
      <c r="R7572" s="10"/>
      <c r="S7572" s="10"/>
      <c r="T7572" s="10"/>
      <c r="U7572" s="10"/>
      <c r="V7572" s="10"/>
      <c r="W7572" s="10"/>
      <c r="X7572" s="10"/>
      <c r="Y7572" s="10"/>
      <c r="Z7572" s="10"/>
    </row>
    <row r="7573" spans="1:26" ht="12.75">
      <c r="A7573" s="10" t="str">
        <f ca="1">IFERROR(__xludf.DUMMYFUNCTION("""COMPUTED_VALUE"""),"Таня Йорданова Тодорова")</f>
        <v>Таня Йорданова Тодорова</v>
      </c>
      <c r="B7573" s="10" t="str">
        <f ca="1">IFERROR(__xludf.DUMMYFUNCTION("""COMPUTED_VALUE"""),"Статия в списания и поредици")</f>
        <v>Статия в списания и поредици</v>
      </c>
      <c r="C7573" s="10" t="str">
        <f ca="1">IFERROR(__xludf.DUMMYFUNCTION("""COMPUTED_VALUE"""),"Европеана и дигиталният достъп")</f>
        <v>Европеана и дигиталният достъп</v>
      </c>
      <c r="D7573" s="10">
        <f ca="1">IFERROR(__xludf.DUMMYFUNCTION("""COMPUTED_VALUE"""),2010)</f>
        <v>2010</v>
      </c>
      <c r="E7573" s="10" t="str">
        <f ca="1">IFERROR(__xludf.DUMMYFUNCTION("""COMPUTED_VALUE"""),"Наука, 2010, № 5, с. 46-51. ISSN 0861-3362")</f>
        <v>Наука, 2010, № 5, с. 46-51. ISSN 0861-3362</v>
      </c>
      <c r="F7573" s="10" t="str">
        <f ca="1">IFERROR(__xludf.DUMMYFUNCTION("""COMPUTED_VALUE"""),"ИНИОН РАН")</f>
        <v>ИНИОН РАН</v>
      </c>
      <c r="G7573" s="10"/>
      <c r="H7573" s="10"/>
      <c r="I7573" s="10"/>
      <c r="J7573" s="10"/>
      <c r="K7573" s="10"/>
      <c r="L7573" s="10"/>
      <c r="M7573" s="10"/>
      <c r="N7573" s="10"/>
      <c r="O7573" s="10"/>
      <c r="P7573" s="10"/>
      <c r="Q7573" s="10"/>
      <c r="R7573" s="10"/>
      <c r="S7573" s="10"/>
      <c r="T7573" s="10"/>
      <c r="U7573" s="10"/>
      <c r="V7573" s="10"/>
      <c r="W7573" s="10"/>
      <c r="X7573" s="10"/>
      <c r="Y7573" s="10"/>
      <c r="Z7573" s="10"/>
    </row>
    <row r="7574" spans="1:26" ht="12.75">
      <c r="A7574" s="10" t="str">
        <f ca="1">IFERROR(__xludf.DUMMYFUNCTION("""COMPUTED_VALUE"""),"Таня Йорданова Тодорова")</f>
        <v>Таня Йорданова Тодорова</v>
      </c>
      <c r="B7574" s="10" t="str">
        <f ca="1">IFERROR(__xludf.DUMMYFUNCTION("""COMPUTED_VALUE"""),"Доклад от конференция")</f>
        <v>Доклад от конференция</v>
      </c>
      <c r="C7574" s="10" t="str">
        <f ca="1">IFERROR(__xludf.DUMMYFUNCTION("""COMPUTED_VALUE"""),"Дигитализацията, културното и образователното съдържание – дискусионни аспекти : (Анализ на проекта Google Търсене на книги)")</f>
        <v>Дигитализацията, културното и образователното съдържание – дискусионни аспекти : (Анализ на проекта Google Търсене на книги)</v>
      </c>
      <c r="D7574" s="10">
        <f ca="1">IFERROR(__xludf.DUMMYFUNCTION("""COMPUTED_VALUE"""),2010)</f>
        <v>2010</v>
      </c>
      <c r="E7574" s="10" t="str">
        <f ca="1">IFERROR(__xludf.DUMMYFUNCTION("""COMPUTED_VALUE"""),"Култура в образованието и образование в културата. СУБ – Секция „Филологически науки“ и „Секция „Философски науки“, № 2, декември 2010, с. 98-111. ISSN 1314-0825")</f>
        <v>Култура в образованието и образование в културата. СУБ – Секция „Филологически науки“ и „Секция „Философски науки“, № 2, декември 2010, с. 98-111. ISSN 1314-0825</v>
      </c>
      <c r="F7574" s="10"/>
      <c r="G7574" s="10"/>
      <c r="H7574" s="10"/>
      <c r="I7574" s="10"/>
      <c r="J7574" s="10"/>
      <c r="K7574" s="10"/>
      <c r="L7574" s="10"/>
      <c r="M7574" s="10"/>
      <c r="N7574" s="10"/>
      <c r="O7574" s="10"/>
      <c r="P7574" s="10"/>
      <c r="Q7574" s="10"/>
      <c r="R7574" s="10"/>
      <c r="S7574" s="10"/>
      <c r="T7574" s="10"/>
      <c r="U7574" s="10"/>
      <c r="V7574" s="10"/>
      <c r="W7574" s="10"/>
      <c r="X7574" s="10"/>
      <c r="Y7574" s="10"/>
      <c r="Z7574" s="10"/>
    </row>
    <row r="7575" spans="1:26" ht="12.75">
      <c r="A7575" s="10" t="str">
        <f ca="1">IFERROR(__xludf.DUMMYFUNCTION("""COMPUTED_VALUE"""),"Таня Йорданова Тодорова")</f>
        <v>Таня Йорданова Тодорова</v>
      </c>
      <c r="B7575" s="10" t="str">
        <f ca="1">IFERROR(__xludf.DUMMYFUNCTION("""COMPUTED_VALUE"""),"Книга")</f>
        <v>Книга</v>
      </c>
      <c r="C7575" s="10" t="str">
        <f ca="1">IFERROR(__xludf.DUMMYFUNCTION("""COMPUTED_VALUE"""),"Списание “Български книжици” (1858-1862) на прага на Новото време : С база данни на компакт-диск")</f>
        <v>Списание “Български книжици” (1858-1862) на прага на Новото време : С база данни на компакт-диск</v>
      </c>
      <c r="D7575" s="10">
        <f ca="1">IFERROR(__xludf.DUMMYFUNCTION("""COMPUTED_VALUE"""),2010)</f>
        <v>2010</v>
      </c>
      <c r="E7575" s="10" t="str">
        <f ca="1">IFERROR(__xludf.DUMMYFUNCTION("""COMPUTED_VALUE"""),"Ред. Румелина Василева; Рец. Р. Радкова, Елена Узунова, Мария Аргирова-Герасимова. – София : За буквите – О писменехь, 2010. – 308 с. Прил. [CD-ROM]. (136 МВ). ISBN 978-954-8887-70-0")</f>
        <v>Ред. Румелина Василева; Рец. Р. Радкова, Елена Узунова, Мария Аргирова-Герасимова. – София : За буквите – О писменехь, 2010. – 308 с. Прил. [CD-ROM]. (136 МВ). ISBN 978-954-8887-70-0</v>
      </c>
      <c r="F7575" s="10" t="str">
        <f ca="1">IFERROR(__xludf.DUMMYFUNCTION("""COMPUTED_VALUE"""),"Google Scholar, Research Gate")</f>
        <v>Google Scholar, Research Gate</v>
      </c>
      <c r="G7575" s="10"/>
      <c r="H7575" s="10"/>
      <c r="I7575" s="10"/>
      <c r="J7575" s="10"/>
      <c r="K7575" s="10"/>
      <c r="L7575" s="10"/>
      <c r="M7575" s="10"/>
      <c r="N7575" s="10"/>
      <c r="O7575" s="10"/>
      <c r="P7575" s="10"/>
      <c r="Q7575" s="10"/>
      <c r="R7575" s="10"/>
      <c r="S7575" s="10"/>
      <c r="T7575" s="10"/>
      <c r="U7575" s="10"/>
      <c r="V7575" s="10"/>
      <c r="W7575" s="10"/>
      <c r="X7575" s="10"/>
      <c r="Y7575" s="10"/>
      <c r="Z7575" s="10"/>
    </row>
    <row r="7576" spans="1:26" ht="12.75">
      <c r="A7576" s="10" t="str">
        <f ca="1">IFERROR(__xludf.DUMMYFUNCTION("""COMPUTED_VALUE"""),"Таня Йорданова Тодорова")</f>
        <v>Таня Йорданова Тодорова</v>
      </c>
      <c r="B7576" s="10" t="str">
        <f ca="1">IFERROR(__xludf.DUMMYFUNCTION("""COMPUTED_VALUE"""),"Доклад от конференция")</f>
        <v>Доклад от конференция</v>
      </c>
      <c r="C7576" s="10" t="str">
        <f ca="1">IFERROR(__xludf.DUMMYFUNCTION("""COMPUTED_VALUE"""),"Програми и стратегии за продължаващо обучение на библиотекари")</f>
        <v>Програми и стратегии за продължаващо обучение на библиотекари</v>
      </c>
      <c r="D7576" s="10">
        <f ca="1">IFERROR(__xludf.DUMMYFUNCTION("""COMPUTED_VALUE"""),2009)</f>
        <v>2009</v>
      </c>
      <c r="E7576" s="10" t="str">
        <f ca="1">IFERROR(__xludf.DUMMYFUNCTION("""COMPUTED_VALUE"""),"България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364-373. ISBN 978-954-8887-91-5")</f>
        <v>България - кръстопът на култури и цивилизации : Седма национална научна конференция с международно участие, София, 1 ноември 2009 г. – София: За буквите – О писменехь, 2010, с. 364-373. ISBN 978-954-8887-91-5</v>
      </c>
      <c r="F7576" s="10" t="str">
        <f ca="1">IFERROR(__xludf.DUMMYFUNCTION("""COMPUTED_VALUE"""),"Google Scholar")</f>
        <v>Google Scholar</v>
      </c>
      <c r="G7576" s="10" t="str">
        <f ca="1">IFERROR(__xludf.DUMMYFUNCTION("""COMPUTED_VALUE"""),"Добринка Стойкова")</f>
        <v>Добринка Стойкова</v>
      </c>
      <c r="H7576" s="10"/>
      <c r="I7576" s="10"/>
      <c r="J7576" s="10"/>
      <c r="K7576" s="10"/>
      <c r="L7576" s="10"/>
      <c r="M7576" s="10"/>
      <c r="N7576" s="10"/>
      <c r="O7576" s="10"/>
      <c r="P7576" s="10"/>
      <c r="Q7576" s="10"/>
      <c r="R7576" s="10"/>
      <c r="S7576" s="10"/>
      <c r="T7576" s="10"/>
      <c r="U7576" s="10"/>
      <c r="V7576" s="10"/>
      <c r="W7576" s="10"/>
      <c r="X7576" s="10"/>
      <c r="Y7576" s="10"/>
      <c r="Z7576" s="10"/>
    </row>
    <row r="7577" spans="1:26" ht="12.75">
      <c r="A7577" s="10" t="str">
        <f ca="1">IFERROR(__xludf.DUMMYFUNCTION("""COMPUTED_VALUE"""),"Таня Йорданова Тодорова")</f>
        <v>Таня Йорданова Тодорова</v>
      </c>
      <c r="B7577" s="10" t="str">
        <f ca="1">IFERROR(__xludf.DUMMYFUNCTION("""COMPUTED_VALUE"""),"Доклад от конференция")</f>
        <v>Доклад от конференция</v>
      </c>
      <c r="C7577" s="10" t="str">
        <f ca="1">IFERROR(__xludf.DUMMYFUNCTION("""COMPUTED_VALUE"""),"Електронни ресурси в областта на хуманитаристиката")</f>
        <v>Електронни ресурси в областта на хуманитаристиката</v>
      </c>
      <c r="D7577" s="10">
        <f ca="1">IFERROR(__xludf.DUMMYFUNCTION("""COMPUTED_VALUE"""),2009)</f>
        <v>2009</v>
      </c>
      <c r="E7577" s="10" t="str">
        <f ca="1">IFERROR(__xludf.DUMMYFUNCTION("""COMPUTED_VALUE"""),"България в културното многообразие в Европа : Шеста национална научна конференция с международно участие, София, 1 ноември 2008. – София, 2009, с. 365-374. ISBN 978-954-8887-65-6")</f>
        <v>България в културното многообразие в Европа : Шеста национална научна конференция с международно участие, София, 1 ноември 2008. – София, 2009, с. 365-374. ISBN 978-954-8887-65-6</v>
      </c>
      <c r="F7577" s="10" t="str">
        <f ca="1">IFERROR(__xludf.DUMMYFUNCTION("""COMPUTED_VALUE"""),"Google Scholar")</f>
        <v>Google Scholar</v>
      </c>
      <c r="G7577" s="10"/>
      <c r="H7577" s="10"/>
      <c r="I7577" s="10"/>
      <c r="J7577" s="10"/>
      <c r="K7577" s="10"/>
      <c r="L7577" s="10"/>
      <c r="M7577" s="10"/>
      <c r="N7577" s="10"/>
      <c r="O7577" s="10"/>
      <c r="P7577" s="10"/>
      <c r="Q7577" s="10"/>
      <c r="R7577" s="10"/>
      <c r="S7577" s="10"/>
      <c r="T7577" s="10"/>
      <c r="U7577" s="10"/>
      <c r="V7577" s="10"/>
      <c r="W7577" s="10"/>
      <c r="X7577" s="10"/>
      <c r="Y7577" s="10"/>
      <c r="Z7577" s="10"/>
    </row>
    <row r="7578" spans="1:26" ht="12.75">
      <c r="A7578" s="10" t="str">
        <f ca="1">IFERROR(__xludf.DUMMYFUNCTION("""COMPUTED_VALUE"""),"Теодора Стоянова Генова")</f>
        <v>Теодора Стоянова Генова</v>
      </c>
      <c r="B7578" s="10" t="str">
        <f ca="1">IFERROR(__xludf.DUMMYFUNCTION("""COMPUTED_VALUE"""),"Доклад от конференция")</f>
        <v>Доклад от конференция</v>
      </c>
      <c r="C7578" s="10" t="str">
        <f ca="1">IFERROR(__xludf.DUMMYFUNCTION("""COMPUTED_VALUE"""),"Presentation of Marc-Antoine Jullien's Work in Bulgarian Comparative Education Textbooks")</f>
        <v>Presentation of Marc-Antoine Jullien's Work in Bulgarian Comparative Education Textbooks</v>
      </c>
      <c r="D7578" s="10">
        <f ca="1">IFERROR(__xludf.DUMMYFUNCTION("""COMPUTED_VALUE"""),2016)</f>
        <v>2016</v>
      </c>
      <c r="E7578" s="10" t="str">
        <f ca="1">IFERROR(__xludf.DUMMYFUNCTION("""COMPUTED_VALUE"""),"София, Инвестпрес, 2016, Българско дружество по сравнително образование")</f>
        <v>София, Инвестпрес, 2016, Българско дружество по сравнително образование</v>
      </c>
      <c r="F7578" s="10" t="str">
        <f ca="1">IFERROR(__xludf.DUMMYFUNCTION("""COMPUTED_VALUE"""),"EBSCO, ERIC")</f>
        <v>EBSCO, ERIC</v>
      </c>
      <c r="G7578" s="10" t="str">
        <f ca="1">IFERROR(__xludf.DUMMYFUNCTION("""COMPUTED_VALUE"""),"Николай Попов")</f>
        <v>Николай Попов</v>
      </c>
      <c r="H7578" s="10"/>
      <c r="I7578" s="10"/>
      <c r="J7578" s="10"/>
      <c r="K7578" s="10"/>
      <c r="L7578" s="10"/>
      <c r="M7578" s="10"/>
      <c r="N7578" s="10"/>
      <c r="O7578" s="10"/>
      <c r="P7578" s="10"/>
      <c r="Q7578" s="10"/>
      <c r="R7578" s="10"/>
      <c r="S7578" s="10"/>
      <c r="T7578" s="10"/>
      <c r="U7578" s="10"/>
      <c r="V7578" s="10"/>
      <c r="W7578" s="10"/>
      <c r="X7578" s="10"/>
      <c r="Y7578" s="10"/>
      <c r="Z7578" s="10"/>
    </row>
    <row r="7579" spans="1:26" ht="12.75">
      <c r="A7579" s="10" t="str">
        <f ca="1">IFERROR(__xludf.DUMMYFUNCTION("""COMPUTED_VALUE"""),"Теодора Стоянова Генова")</f>
        <v>Теодора Стоянова Генова</v>
      </c>
      <c r="B7579" s="10" t="str">
        <f ca="1">IFERROR(__xludf.DUMMYFUNCTION("""COMPUTED_VALUE"""),"Доклад от конференция")</f>
        <v>Доклад от конференция</v>
      </c>
      <c r="C7579" s="10" t="str">
        <f ca="1">IFERROR(__xludf.DUMMYFUNCTION("""COMPUTED_VALUE"""),"Nordic Internationalists’ Contribution to the Field of Comparative and International Education")</f>
        <v>Nordic Internationalists’ Contribution to the Field of Comparative and International Education</v>
      </c>
      <c r="D7579" s="10">
        <f ca="1">IFERROR(__xludf.DUMMYFUNCTION("""COMPUTED_VALUE"""),2016)</f>
        <v>2016</v>
      </c>
      <c r="E7579" s="10" t="str">
        <f ca="1">IFERROR(__xludf.DUMMYFUNCTION("""COMPUTED_VALUE"""),"София, Инвестпрес, 2016, Българско дружество по сравнително образование")</f>
        <v>София, Инвестпрес, 2016, Българско дружество по сравнително образование</v>
      </c>
      <c r="F7579" s="10" t="str">
        <f ca="1">IFERROR(__xludf.DUMMYFUNCTION("""COMPUTED_VALUE"""),"EBSCO, ERIC")</f>
        <v>EBSCO, ERIC</v>
      </c>
      <c r="G7579" s="10"/>
      <c r="H7579" s="10"/>
      <c r="I7579" s="10"/>
      <c r="J7579" s="10"/>
      <c r="K7579" s="10"/>
      <c r="L7579" s="10"/>
      <c r="M7579" s="10"/>
      <c r="N7579" s="10"/>
      <c r="O7579" s="10"/>
      <c r="P7579" s="10"/>
      <c r="Q7579" s="10"/>
      <c r="R7579" s="10"/>
      <c r="S7579" s="10"/>
      <c r="T7579" s="10"/>
      <c r="U7579" s="10"/>
      <c r="V7579" s="10"/>
      <c r="W7579" s="10"/>
      <c r="X7579" s="10"/>
      <c r="Y7579" s="10"/>
      <c r="Z7579" s="10"/>
    </row>
    <row r="7580" spans="1:26" ht="12.75">
      <c r="A7580" s="10" t="str">
        <f ca="1">IFERROR(__xludf.DUMMYFUNCTION("""COMPUTED_VALUE"""),"Теодора Стоянова Генова")</f>
        <v>Теодора Стоянова Генова</v>
      </c>
      <c r="B7580" s="10" t="str">
        <f ca="1">IFERROR(__xludf.DUMMYFUNCTION("""COMPUTED_VALUE"""),"Доклад от конференция")</f>
        <v>Доклад от конференция</v>
      </c>
      <c r="C7580" s="10" t="str">
        <f ca="1">IFERROR(__xludf.DUMMYFUNCTION("""COMPUTED_VALUE"""),"Presentation of Marc-Antoine Jullien's Work in Bulgarian Comparative Education Textbooks")</f>
        <v>Presentation of Marc-Antoine Jullien's Work in Bulgarian Comparative Education Textbooks</v>
      </c>
      <c r="D7580" s="10">
        <f ca="1">IFERROR(__xludf.DUMMYFUNCTION("""COMPUTED_VALUE"""),2016)</f>
        <v>2016</v>
      </c>
      <c r="E7580" s="10" t="str">
        <f ca="1">IFERROR(__xludf.DUMMYFUNCTION("""COMPUTED_VALUE"""),"Bulgarian Comparative Education Society")</f>
        <v>Bulgarian Comparative Education Society</v>
      </c>
      <c r="F7580" s="10"/>
      <c r="G7580" s="10" t="str">
        <f ca="1">IFERROR(__xludf.DUMMYFUNCTION("""COMPUTED_VALUE"""),"Николай Попов")</f>
        <v>Николай Попов</v>
      </c>
      <c r="H7580" s="10"/>
      <c r="I7580" s="10"/>
      <c r="J7580" s="10"/>
      <c r="K7580" s="10"/>
      <c r="L7580" s="10"/>
      <c r="M7580" s="10"/>
      <c r="N7580" s="10"/>
      <c r="O7580" s="10"/>
      <c r="P7580" s="10"/>
      <c r="Q7580" s="10"/>
      <c r="R7580" s="10"/>
      <c r="S7580" s="10"/>
      <c r="T7580" s="10"/>
      <c r="U7580" s="10"/>
      <c r="V7580" s="10"/>
      <c r="W7580" s="10"/>
      <c r="X7580" s="10"/>
      <c r="Y7580" s="10"/>
      <c r="Z7580" s="10"/>
    </row>
    <row r="7581" spans="1:26" ht="12.75">
      <c r="A7581" s="10" t="str">
        <f ca="1">IFERROR(__xludf.DUMMYFUNCTION("""COMPUTED_VALUE"""),"Теодора Стоянова Генова")</f>
        <v>Теодора Стоянова Генова</v>
      </c>
      <c r="B7581" s="10" t="str">
        <f ca="1">IFERROR(__xludf.DUMMYFUNCTION("""COMPUTED_VALUE"""),"Доклад от конференция")</f>
        <v>Доклад от конференция</v>
      </c>
      <c r="C7581" s="10" t="str">
        <f ca="1">IFERROR(__xludf.DUMMYFUNCTION("""COMPUTED_VALUE"""),"Current Situation and Reforms Making Way for Future Positive Developments in the National Education System of Bulgaria: an Overview")</f>
        <v>Current Situation and Reforms Making Way for Future Positive Developments in the National Education System of Bulgaria: an Overview</v>
      </c>
      <c r="D7581" s="10">
        <f ca="1">IFERROR(__xludf.DUMMYFUNCTION("""COMPUTED_VALUE"""),2015)</f>
        <v>2015</v>
      </c>
      <c r="E7581" s="10" t="str">
        <f ca="1">IFERROR(__xludf.DUMMYFUNCTION("""COMPUTED_VALUE"""),"Bulgarian Comparative Education Society")</f>
        <v>Bulgarian Comparative Education Society</v>
      </c>
      <c r="F7581" s="10"/>
      <c r="G7581" s="10"/>
      <c r="H7581" s="10"/>
      <c r="I7581" s="10"/>
      <c r="J7581" s="10"/>
      <c r="K7581" s="10"/>
      <c r="L7581" s="10"/>
      <c r="M7581" s="10"/>
      <c r="N7581" s="10"/>
      <c r="O7581" s="10"/>
      <c r="P7581" s="10"/>
      <c r="Q7581" s="10"/>
      <c r="R7581" s="10"/>
      <c r="S7581" s="10"/>
      <c r="T7581" s="10"/>
      <c r="U7581" s="10"/>
      <c r="V7581" s="10"/>
      <c r="W7581" s="10"/>
      <c r="X7581" s="10"/>
      <c r="Y7581" s="10"/>
      <c r="Z7581" s="10"/>
    </row>
    <row r="7582" spans="1:26" ht="12.75">
      <c r="A7582" s="10" t="str">
        <f ca="1">IFERROR(__xludf.DUMMYFUNCTION("""COMPUTED_VALUE"""),"Теодора Стоянова Генова")</f>
        <v>Теодора Стоянова Генова</v>
      </c>
      <c r="B7582" s="10" t="str">
        <f ca="1">IFERROR(__xludf.DUMMYFUNCTION("""COMPUTED_VALUE"""),"Доклад от конференция")</f>
        <v>Доклад от конференция</v>
      </c>
      <c r="C7582" s="10" t="str">
        <f ca="1">IFERROR(__xludf.DUMMYFUNCTION("""COMPUTED_VALUE"""),"Torsten Husen ? a Co-founder and Chairman of IEA from 1962 to 1978.")</f>
        <v>Torsten Husen ? a Co-founder and Chairman of IEA from 1962 to 1978.</v>
      </c>
      <c r="D7582" s="10">
        <f ca="1">IFERROR(__xludf.DUMMYFUNCTION("""COMPUTED_VALUE"""),2015)</f>
        <v>2015</v>
      </c>
      <c r="E7582" s="10" t="str">
        <f ca="1">IFERROR(__xludf.DUMMYFUNCTION("""COMPUTED_VALUE"""),"Bulgarian Comparative Education Society")</f>
        <v>Bulgarian Comparative Education Society</v>
      </c>
      <c r="F7582" s="10"/>
      <c r="G7582" s="10"/>
      <c r="H7582" s="10"/>
      <c r="I7582" s="10"/>
      <c r="J7582" s="10"/>
      <c r="K7582" s="10"/>
      <c r="L7582" s="10"/>
      <c r="M7582" s="10"/>
      <c r="N7582" s="10"/>
      <c r="O7582" s="10"/>
      <c r="P7582" s="10"/>
      <c r="Q7582" s="10"/>
      <c r="R7582" s="10"/>
      <c r="S7582" s="10"/>
      <c r="T7582" s="10"/>
      <c r="U7582" s="10"/>
      <c r="V7582" s="10"/>
      <c r="W7582" s="10"/>
      <c r="X7582" s="10"/>
      <c r="Y7582" s="10"/>
      <c r="Z7582" s="10"/>
    </row>
    <row r="7583" spans="1:26" ht="12.75">
      <c r="A7583" s="10" t="str">
        <f ca="1">IFERROR(__xludf.DUMMYFUNCTION("""COMPUTED_VALUE"""),"Теодора Стоянова Генова")</f>
        <v>Теодора Стоянова Генова</v>
      </c>
      <c r="B7583" s="10" t="str">
        <f ca="1">IFERROR(__xludf.DUMMYFUNCTION("""COMPUTED_VALUE"""),"Книга")</f>
        <v>Книга</v>
      </c>
      <c r="C7583" s="10" t="str">
        <f ca="1">IFERROR(__xludf.DUMMYFUNCTION("""COMPUTED_VALUE"""),"Breaking Down Barriers from Education to Employment. The Journey Towards Inclusion for Vulnerable Groups")</f>
        <v>Breaking Down Barriers from Education to Employment. The Journey Towards Inclusion for Vulnerable Groups</v>
      </c>
      <c r="D7583" s="10">
        <f ca="1">IFERROR(__xludf.DUMMYFUNCTION("""COMPUTED_VALUE"""),2015)</f>
        <v>2015</v>
      </c>
      <c r="E7583" s="10" t="str">
        <f ca="1">IFERROR(__xludf.DUMMYFUNCTION("""COMPUTED_VALUE"""),"Bulgarian Comparative Education Society")</f>
        <v>Bulgarian Comparative Education Society</v>
      </c>
      <c r="F7583" s="10"/>
      <c r="G7583" s="10" t="str">
        <f ca="1">IFERROR(__xludf.DUMMYFUNCTION("""COMPUTED_VALUE"""),"Ирис Бекман-Шулц Марен Гаг Свен Басендовски Йоаким Шрьодер Марина Бакалова Теодора Генова Николай Попов Тамер Илбуга Емине Юкар-Илбуга Клеър Кумиски Фиона Фин Фиона Хърли Бетани Уейн-Морган Сари Лехтомаки Катарина Сандбака Тиина Сирен-Нуутинен")</f>
        <v>Ирис Бекман-Шулц Марен Гаг Свен Басендовски Йоаким Шрьодер Марина Бакалова Теодора Генова Николай Попов Тамер Илбуга Емине Юкар-Илбуга Клеър Кумиски Фиона Фин Фиона Хърли Бетани Уейн-Морган Сари Лехтомаки Катарина Сандбака Тиина Сирен-Нуутинен</v>
      </c>
      <c r="H7583" s="10"/>
      <c r="I7583" s="10"/>
      <c r="J7583" s="10"/>
      <c r="K7583" s="10"/>
      <c r="L7583" s="10"/>
      <c r="M7583" s="10"/>
      <c r="N7583" s="10"/>
      <c r="O7583" s="10"/>
      <c r="P7583" s="10"/>
      <c r="Q7583" s="10"/>
      <c r="R7583" s="10"/>
      <c r="S7583" s="10"/>
      <c r="T7583" s="10"/>
      <c r="U7583" s="10"/>
      <c r="V7583" s="10"/>
      <c r="W7583" s="10"/>
      <c r="X7583" s="10"/>
      <c r="Y7583" s="10"/>
      <c r="Z7583" s="10"/>
    </row>
    <row r="7584" spans="1:26" ht="12.75">
      <c r="A7584" s="10" t="str">
        <f ca="1">IFERROR(__xludf.DUMMYFUNCTION("""COMPUTED_VALUE"""),"Теодора Стоянова Генова")</f>
        <v>Теодора Стоянова Генова</v>
      </c>
      <c r="B7584" s="10" t="str">
        <f ca="1">IFERROR(__xludf.DUMMYFUNCTION("""COMPUTED_VALUE"""),"Доклад от конференция")</f>
        <v>Доклад от конференция</v>
      </c>
      <c r="C7584" s="10" t="str">
        <f ca="1">IFERROR(__xludf.DUMMYFUNCTION("""COMPUTED_VALUE"""),"Current Situation and Reforms Making Way for Future Positive Developments in the National Education System of Bulgaria: an Overview.")</f>
        <v>Current Situation and Reforms Making Way for Future Positive Developments in the National Education System of Bulgaria: an Overview.</v>
      </c>
      <c r="D7584" s="10">
        <f ca="1">IFERROR(__xludf.DUMMYFUNCTION("""COMPUTED_VALUE"""),2015)</f>
        <v>2015</v>
      </c>
      <c r="E7584" s="10" t="str">
        <f ca="1">IFERROR(__xludf.DUMMYFUNCTION("""COMPUTED_VALUE"""),"Bulgarian Comparative Education Society")</f>
        <v>Bulgarian Comparative Education Society</v>
      </c>
      <c r="F7584" s="10"/>
      <c r="G7584" s="10"/>
      <c r="H7584" s="10"/>
      <c r="I7584" s="10"/>
      <c r="J7584" s="10"/>
      <c r="K7584" s="10"/>
      <c r="L7584" s="10"/>
      <c r="M7584" s="10"/>
      <c r="N7584" s="10"/>
      <c r="O7584" s="10"/>
      <c r="P7584" s="10"/>
      <c r="Q7584" s="10"/>
      <c r="R7584" s="10"/>
      <c r="S7584" s="10"/>
      <c r="T7584" s="10"/>
      <c r="U7584" s="10"/>
      <c r="V7584" s="10"/>
      <c r="W7584" s="10"/>
      <c r="X7584" s="10"/>
      <c r="Y7584" s="10"/>
      <c r="Z7584" s="10"/>
    </row>
    <row r="7585" spans="1:26" ht="12.75">
      <c r="A7585" s="10" t="str">
        <f ca="1">IFERROR(__xludf.DUMMYFUNCTION("""COMPUTED_VALUE"""),"Теодора Стоянова Генова")</f>
        <v>Теодора Стоянова Генова</v>
      </c>
      <c r="B7585" s="10"/>
      <c r="C7585" s="10" t="str">
        <f ca="1">IFERROR(__xludf.DUMMYFUNCTION("""COMPUTED_VALUE"""),"Torsten Husen ? a Co-founder and Chairman of IEA from 1962 to 1978.")</f>
        <v>Torsten Husen ? a Co-founder and Chairman of IEA from 1962 to 1978.</v>
      </c>
      <c r="D7585" s="10">
        <f ca="1">IFERROR(__xludf.DUMMYFUNCTION("""COMPUTED_VALUE"""),2015)</f>
        <v>2015</v>
      </c>
      <c r="E7585" s="10" t="str">
        <f ca="1">IFERROR(__xludf.DUMMYFUNCTION("""COMPUTED_VALUE"""),"Bulgarian Comparative Education Society")</f>
        <v>Bulgarian Comparative Education Society</v>
      </c>
      <c r="F7585" s="10"/>
      <c r="G7585" s="10"/>
      <c r="H7585" s="10"/>
      <c r="I7585" s="10"/>
      <c r="J7585" s="10"/>
      <c r="K7585" s="10"/>
      <c r="L7585" s="10"/>
      <c r="M7585" s="10"/>
      <c r="N7585" s="10"/>
      <c r="O7585" s="10"/>
      <c r="P7585" s="10"/>
      <c r="Q7585" s="10"/>
      <c r="R7585" s="10"/>
      <c r="S7585" s="10"/>
      <c r="T7585" s="10"/>
      <c r="U7585" s="10"/>
      <c r="V7585" s="10"/>
      <c r="W7585" s="10"/>
      <c r="X7585" s="10"/>
      <c r="Y7585" s="10"/>
      <c r="Z7585" s="10"/>
    </row>
    <row r="7586" spans="1:26" ht="12.75">
      <c r="A7586" s="10" t="str">
        <f ca="1">IFERROR(__xludf.DUMMYFUNCTION("""COMPUTED_VALUE"""),"Тереза Стоянова Тренчева")</f>
        <v>Тереза Стоянова Тренчева</v>
      </c>
      <c r="B7586" s="10" t="str">
        <f ca="1">IFERROR(__xludf.DUMMYFUNCTION("""COMPUTED_VALUE"""),"Доклад от конференция")</f>
        <v>Доклад от конференция</v>
      </c>
      <c r="C7586" s="10" t="str">
        <f ca="1">IFERROR(__xludf.DUMMYFUNCTION("""COMPUTED_VALUE"""),"The Role of the International Writers’ Meetings in Sofia (1977 – 1986) as a Creative Base for Overcoming the Geographical, Ethnical and Racial Barriers to Learning")</f>
        <v>The Role of the International Writers’ Meetings in Sofia (1977 – 1986) as a Creative Base for Overcoming the Geographical, Ethnical and Racial Barriers to Learning</v>
      </c>
      <c r="D7586" s="10">
        <f ca="1">IFERROR(__xludf.DUMMYFUNCTION("""COMPUTED_VALUE"""),2020)</f>
        <v>2020</v>
      </c>
      <c r="E7586" s="10" t="str">
        <f ca="1">IFERROR(__xludf.DUMMYFUNCTION("""COMPUTED_VALUE"""),"In Conference Proceedings: 13th International Conference on Education, Research and Innovation, 9th – 10th November 2020, Seville, Spain, ICERI 2020, pp. 2319-2328. ISBN: 978-84-09-24232-0 ISSN: 2340-1095")</f>
        <v>In Conference Proceedings: 13th International Conference on Education, Research and Innovation, 9th – 10th November 2020, Seville, Spain, ICERI 2020, pp. 2319-2328. ISBN: 978-84-09-24232-0 ISSN: 2340-1095</v>
      </c>
      <c r="F7586" s="10" t="str">
        <f ca="1">IFERROR(__xludf.DUMMYFUNCTION("""COMPUTED_VALUE"""),"Web of Science")</f>
        <v>Web of Science</v>
      </c>
      <c r="G7586" s="10" t="str">
        <f ca="1">IFERROR(__xludf.DUMMYFUNCTION("""COMPUTED_VALUE"""),"S.Denchev, A. Dimcheva")</f>
        <v>S.Denchev, A. Dimcheva</v>
      </c>
      <c r="H7586" s="10"/>
      <c r="I7586" s="10"/>
      <c r="J7586" s="10"/>
      <c r="K7586" s="10"/>
      <c r="L7586" s="10"/>
      <c r="M7586" s="10"/>
      <c r="N7586" s="10"/>
      <c r="O7586" s="10"/>
      <c r="P7586" s="10"/>
      <c r="Q7586" s="10"/>
      <c r="R7586" s="10"/>
      <c r="S7586" s="10"/>
      <c r="T7586" s="10"/>
      <c r="U7586" s="10"/>
      <c r="V7586" s="10"/>
      <c r="W7586" s="10"/>
      <c r="X7586" s="10"/>
      <c r="Y7586" s="10"/>
      <c r="Z7586" s="10"/>
    </row>
    <row r="7587" spans="1:26" ht="12.75">
      <c r="A7587" s="10" t="str">
        <f ca="1">IFERROR(__xludf.DUMMYFUNCTION("""COMPUTED_VALUE"""),"Тереза Стоянова Тренчева")</f>
        <v>Тереза Стоянова Тренчева</v>
      </c>
      <c r="B7587" s="10" t="str">
        <f ca="1">IFERROR(__xludf.DUMMYFUNCTION("""COMPUTED_VALUE"""),"Доклад от конференция")</f>
        <v>Доклад от конференция</v>
      </c>
      <c r="C7587" s="10" t="str">
        <f ca="1">IFERROR(__xludf.DUMMYFUNCTION("""COMPUTED_VALUE"""),"Curriculum Update in The Structure of Tourism Education")</f>
        <v>Curriculum Update in The Structure of Tourism Education</v>
      </c>
      <c r="D7587" s="10">
        <f ca="1">IFERROR(__xludf.DUMMYFUNCTION("""COMPUTED_VALUE"""),2020)</f>
        <v>2020</v>
      </c>
      <c r="E7587" s="10" t="str">
        <f ca="1">IFERROR(__xludf.DUMMYFUNCTION("""COMPUTED_VALUE"""),"In Conference Proceedings: 13th International Conference on Education, Research and Innovation, 9th – 10th November 2020, Seville, Spain, ICERI 2020, pp. 6140-6149. ISBN: 978-84-09-24232-0 ISSN: 2340-1095")</f>
        <v>In Conference Proceedings: 13th International Conference on Education, Research and Innovation, 9th – 10th November 2020, Seville, Spain, ICERI 2020, pp. 6140-6149. ISBN: 978-84-09-24232-0 ISSN: 2340-1095</v>
      </c>
      <c r="F7587" s="10" t="str">
        <f ca="1">IFERROR(__xludf.DUMMYFUNCTION("""COMPUTED_VALUE"""),"Web of Science")</f>
        <v>Web of Science</v>
      </c>
      <c r="G7587" s="10" t="str">
        <f ca="1">IFERROR(__xludf.DUMMYFUNCTION("""COMPUTED_VALUE"""),"I. Trenchev, T. Kiryakova-Dineva")</f>
        <v>I. Trenchev, T. Kiryakova-Dineva</v>
      </c>
      <c r="H7587" s="10"/>
      <c r="I7587" s="10"/>
      <c r="J7587" s="10"/>
      <c r="K7587" s="10"/>
      <c r="L7587" s="10"/>
      <c r="M7587" s="10"/>
      <c r="N7587" s="10"/>
      <c r="O7587" s="10"/>
      <c r="P7587" s="10"/>
      <c r="Q7587" s="10"/>
      <c r="R7587" s="10"/>
      <c r="S7587" s="10"/>
      <c r="T7587" s="10"/>
      <c r="U7587" s="10"/>
      <c r="V7587" s="10"/>
      <c r="W7587" s="10"/>
      <c r="X7587" s="10"/>
      <c r="Y7587" s="10"/>
      <c r="Z7587" s="10"/>
    </row>
    <row r="7588" spans="1:26" ht="12.75">
      <c r="A7588" s="10" t="str">
        <f ca="1">IFERROR(__xludf.DUMMYFUNCTION("""COMPUTED_VALUE"""),"Тереза Стоянова Тренчева")</f>
        <v>Тереза Стоянова Тренчева</v>
      </c>
      <c r="B7588" s="10" t="str">
        <f ca="1">IFERROR(__xludf.DUMMYFUNCTION("""COMPUTED_VALUE"""),"Доклад от конференция")</f>
        <v>Доклад от конференция</v>
      </c>
      <c r="C7588" s="10" t="str">
        <f ca="1">IFERROR(__xludf.DUMMYFUNCTION("""COMPUTED_VALUE"""),"Contemporary Tendencies in Educational and Institutional Aspects of Intellectual Property Training: a Short Overview")</f>
        <v>Contemporary Tendencies in Educational and Institutional Aspects of Intellectual Property Training: a Short Overview</v>
      </c>
      <c r="D7588" s="10">
        <f ca="1">IFERROR(__xludf.DUMMYFUNCTION("""COMPUTED_VALUE"""),2020)</f>
        <v>2020</v>
      </c>
      <c r="E7588" s="10" t="str">
        <f ca="1">IFERROR(__xludf.DUMMYFUNCTION("""COMPUTED_VALUE"""),"In Conference Proceedings: 13th International Conference on Education, Research and Innovation, 9th – 10th November 2020, Seville, Spain, ICERI 2020, pp. 2311-2318. ISBN: 978-84-09-24232-0 ISSN: 2340-1095")</f>
        <v>In Conference Proceedings: 13th International Conference on Education, Research and Innovation, 9th – 10th November 2020, Seville, Spain, ICERI 2020, pp. 2311-2318. ISBN: 978-84-09-24232-0 ISSN: 2340-1095</v>
      </c>
      <c r="F7588" s="10" t="str">
        <f ca="1">IFERROR(__xludf.DUMMYFUNCTION("""COMPUTED_VALUE"""),"Web of Science")</f>
        <v>Web of Science</v>
      </c>
      <c r="G7588" s="10" t="str">
        <f ca="1">IFERROR(__xludf.DUMMYFUNCTION("""COMPUTED_VALUE"""),"N. Stoianoff, S. Denchev, E. Zdravkova")</f>
        <v>N. Stoianoff, S. Denchev, E. Zdravkova</v>
      </c>
      <c r="H7588" s="10"/>
      <c r="I7588" s="10"/>
      <c r="J7588" s="10"/>
      <c r="K7588" s="10"/>
      <c r="L7588" s="10"/>
      <c r="M7588" s="10"/>
      <c r="N7588" s="10"/>
      <c r="O7588" s="10"/>
      <c r="P7588" s="10"/>
      <c r="Q7588" s="10"/>
      <c r="R7588" s="10"/>
      <c r="S7588" s="10"/>
      <c r="T7588" s="10"/>
      <c r="U7588" s="10"/>
      <c r="V7588" s="10"/>
      <c r="W7588" s="10"/>
      <c r="X7588" s="10"/>
      <c r="Y7588" s="10"/>
      <c r="Z7588" s="10"/>
    </row>
    <row r="7589" spans="1:26" ht="12.75">
      <c r="A7589" s="10" t="str">
        <f ca="1">IFERROR(__xludf.DUMMYFUNCTION("""COMPUTED_VALUE"""),"Тереза Стоянова Тренчева")</f>
        <v>Тереза Стоянова Тренчева</v>
      </c>
      <c r="B7589" s="10" t="str">
        <f ca="1">IFERROR(__xludf.DUMMYFUNCTION("""COMPUTED_VALUE"""),"Доклад от конференция")</f>
        <v>Доклад от конференция</v>
      </c>
      <c r="C7589" s="10" t="str">
        <f ca="1">IFERROR(__xludf.DUMMYFUNCTION("""COMPUTED_VALUE"""),"Ролята на информационната грамотност в социалните мрежи в условия на изолация")</f>
        <v>Ролята на информационната грамотност в социалните мрежи в условия на изолация</v>
      </c>
      <c r="D7589" s="10">
        <f ca="1">IFERROR(__xludf.DUMMYFUNCTION("""COMPUTED_VALUE"""),2020)</f>
        <v>2020</v>
      </c>
      <c r="E7589" s="10" t="str">
        <f ca="1">IFERROR(__xludf.DUMMYFUNCTION("""COMPUTED_VALUE"""),"В: Сборник от Международна научна конференция дигитални трансформации, медии и обществено включване. БСУ, Бургас, 5-6 юни 2020 г., ЕКС-ПРЕС ООД - Габрово,. 2020, стр. 62-73. ISBN 978-619-7126-93-8")</f>
        <v>В: Сборник от Международна научна конференция дигитални трансформации, медии и обществено включване. БСУ, Бургас, 5-6 юни 2020 г., ЕКС-ПРЕС ООД - Габрово,. 2020, стр. 62-73. ISBN 978-619-7126-93-8</v>
      </c>
      <c r="F7589" s="10"/>
      <c r="G7589" s="10" t="str">
        <f ca="1">IFERROR(__xludf.DUMMYFUNCTION("""COMPUTED_VALUE"""),"Е. Здравкова, С. Димитрова")</f>
        <v>Е. Здравкова, С. Димитрова</v>
      </c>
      <c r="H7589" s="10"/>
      <c r="I7589" s="10"/>
      <c r="J7589" s="10"/>
      <c r="K7589" s="10"/>
      <c r="L7589" s="10"/>
      <c r="M7589" s="10"/>
      <c r="N7589" s="10"/>
      <c r="O7589" s="10"/>
      <c r="P7589" s="10"/>
      <c r="Q7589" s="10"/>
      <c r="R7589" s="10"/>
      <c r="S7589" s="10"/>
      <c r="T7589" s="10"/>
      <c r="U7589" s="10"/>
      <c r="V7589" s="10"/>
      <c r="W7589" s="10"/>
      <c r="X7589" s="10"/>
      <c r="Y7589" s="10"/>
      <c r="Z7589" s="10"/>
    </row>
    <row r="7590" spans="1:26" ht="12.75">
      <c r="A7590" s="10" t="str">
        <f ca="1">IFERROR(__xludf.DUMMYFUNCTION("""COMPUTED_VALUE"""),"Тереза Стоянова Тренчева")</f>
        <v>Тереза Стоянова Тренчева</v>
      </c>
      <c r="B7590" s="10" t="str">
        <f ca="1">IFERROR(__xludf.DUMMYFUNCTION("""COMPUTED_VALUE"""),"Доклад от конференция")</f>
        <v>Доклад от конференция</v>
      </c>
      <c r="C7590" s="10" t="str">
        <f ca="1">IFERROR(__xludf.DUMMYFUNCTION("""COMPUTED_VALUE"""),"Universal Innovative Model for Cultural and Historical Heritage Management")</f>
        <v>Universal Innovative Model for Cultural and Historical Heritage Management</v>
      </c>
      <c r="D7590" s="10">
        <f ca="1">IFERROR(__xludf.DUMMYFUNCTION("""COMPUTED_VALUE"""),2020)</f>
        <v>2020</v>
      </c>
      <c r="E7590" s="10" t="str">
        <f ca="1">IFERROR(__xludf.DUMMYFUNCTION("""COMPUTED_VALUE"""),"In Conference Proceedings: International Conference - The New Perspectives in Science Education, 19-20 March 2020, Florence, Italy, Simonelli Ed., Vol. 9, Libreriauniversitaria, Italy, 2020, pp. 191-195. ISBN 978-88-85813-90-8; ISSN 2384-9509; DOI 10.2635"&amp;"2/E319_2384-9509")</f>
        <v>In Conference Proceedings: International Conference - The New Perspectives in Science Education, 19-20 March 2020, Florence, Italy, Simonelli Ed., Vol. 9, Libreriauniversitaria, Italy, 2020, pp. 191-195. ISBN 978-88-85813-90-8; ISSN 2384-9509; DOI 10.26352/E319_2384-9509</v>
      </c>
      <c r="F7590" s="10" t="str">
        <f ca="1">IFERROR(__xludf.DUMMYFUNCTION("""COMPUTED_VALUE"""),"Web of Science")</f>
        <v>Web of Science</v>
      </c>
      <c r="G7590" s="10" t="str">
        <f ca="1">IFERROR(__xludf.DUMMYFUNCTION("""COMPUTED_VALUE"""),"S. Denchev, D. Stoyanova.")</f>
        <v>S. Denchev, D. Stoyanova.</v>
      </c>
      <c r="H7590" s="10"/>
      <c r="I7590" s="10"/>
      <c r="J7590" s="10"/>
      <c r="K7590" s="10"/>
      <c r="L7590" s="10"/>
      <c r="M7590" s="10"/>
      <c r="N7590" s="10"/>
      <c r="O7590" s="10"/>
      <c r="P7590" s="10"/>
      <c r="Q7590" s="10"/>
      <c r="R7590" s="10"/>
      <c r="S7590" s="10"/>
      <c r="T7590" s="10"/>
      <c r="U7590" s="10"/>
      <c r="V7590" s="10"/>
      <c r="W7590" s="10"/>
      <c r="X7590" s="10"/>
      <c r="Y7590" s="10"/>
      <c r="Z7590" s="10"/>
    </row>
    <row r="7591" spans="1:26" ht="12.75">
      <c r="A7591" s="10" t="str">
        <f ca="1">IFERROR(__xludf.DUMMYFUNCTION("""COMPUTED_VALUE"""),"Тереза Стоянова Тренчева")</f>
        <v>Тереза Стоянова Тренчева</v>
      </c>
      <c r="B7591" s="10" t="str">
        <f ca="1">IFERROR(__xludf.DUMMYFUNCTION("""COMPUTED_VALUE"""),"Доклад от конференция")</f>
        <v>Доклад от конференция</v>
      </c>
      <c r="C7591" s="10" t="str">
        <f ca="1">IFERROR(__xludf.DUMMYFUNCTION("""COMPUTED_VALUE"""),"Information Literacy in the Framework of Higher Education: Focus on Intellectual Property Training")</f>
        <v>Information Literacy in the Framework of Higher Education: Focus on Intellectual Property Training</v>
      </c>
      <c r="D7591" s="10">
        <f ca="1">IFERROR(__xludf.DUMMYFUNCTION("""COMPUTED_VALUE"""),2020)</f>
        <v>2020</v>
      </c>
      <c r="E7591" s="10" t="str">
        <f ca="1">IFERROR(__xludf.DUMMYFUNCTION("""COMPUTED_VALUE"""),"In Conference Proceedings: 14th International Technology, Education and Development Conference, 2-4 March 2020, Valencia, Spain, INTED 2020, pp. 6555-6561. ISBN: 978-84-09-17939-8, ISSN: 2340-1079")</f>
        <v>In Conference Proceedings: 14th International Technology, Education and Development Conference, 2-4 March 2020, Valencia, Spain, INTED 2020, pp. 6555-6561. ISBN: 978-84-09-17939-8, ISSN: 2340-1079</v>
      </c>
      <c r="F7591" s="10" t="str">
        <f ca="1">IFERROR(__xludf.DUMMYFUNCTION("""COMPUTED_VALUE"""),"Web of Science")</f>
        <v>Web of Science</v>
      </c>
      <c r="G7591" s="10"/>
      <c r="H7591" s="10"/>
      <c r="I7591" s="10"/>
      <c r="J7591" s="10"/>
      <c r="K7591" s="10"/>
      <c r="L7591" s="10"/>
      <c r="M7591" s="10"/>
      <c r="N7591" s="10"/>
      <c r="O7591" s="10"/>
      <c r="P7591" s="10"/>
      <c r="Q7591" s="10"/>
      <c r="R7591" s="10"/>
      <c r="S7591" s="10"/>
      <c r="T7591" s="10"/>
      <c r="U7591" s="10"/>
      <c r="V7591" s="10"/>
      <c r="W7591" s="10"/>
      <c r="X7591" s="10"/>
      <c r="Y7591" s="10"/>
      <c r="Z7591" s="10"/>
    </row>
    <row r="7592" spans="1:26" ht="12.75">
      <c r="A7592" s="10" t="str">
        <f ca="1">IFERROR(__xludf.DUMMYFUNCTION("""COMPUTED_VALUE"""),"Тереза Стоянова Тренчева")</f>
        <v>Тереза Стоянова Тренчева</v>
      </c>
      <c r="B7592" s="10" t="str">
        <f ca="1">IFERROR(__xludf.DUMMYFUNCTION("""COMPUTED_VALUE"""),"Монография")</f>
        <v>Монография</v>
      </c>
      <c r="C7592" s="10" t="str">
        <f ca="1">IFERROR(__xludf.DUMMYFUNCTION("""COMPUTED_VALUE"""),"Интегриране на обучението по интелектуална собственост в университетска информационна среда")</f>
        <v>Интегриране на обучението по интелектуална собственост в университетска информационна среда</v>
      </c>
      <c r="D7592" s="10">
        <f ca="1">IFERROR(__xludf.DUMMYFUNCTION("""COMPUTED_VALUE"""),2020)</f>
        <v>2020</v>
      </c>
      <c r="E7592" s="10" t="str">
        <f ca="1">IFERROR(__xludf.DUMMYFUNCTION("""COMPUTED_VALUE"""),"София, За буквите - O писменeхь, 2020, 382 с. ISBN 978-619-185-401-1")</f>
        <v>София, За буквите - O писменeхь, 2020, 382 с. ISBN 978-619-185-401-1</v>
      </c>
      <c r="F7592" s="10"/>
      <c r="G7592" s="10"/>
      <c r="H7592" s="10"/>
      <c r="I7592" s="10"/>
      <c r="J7592" s="10"/>
      <c r="K7592" s="10"/>
      <c r="L7592" s="10"/>
      <c r="M7592" s="10"/>
      <c r="N7592" s="10"/>
      <c r="O7592" s="10"/>
      <c r="P7592" s="10"/>
      <c r="Q7592" s="10"/>
      <c r="R7592" s="10"/>
      <c r="S7592" s="10"/>
      <c r="T7592" s="10"/>
      <c r="U7592" s="10"/>
      <c r="V7592" s="10"/>
      <c r="W7592" s="10"/>
      <c r="X7592" s="10"/>
      <c r="Y7592" s="10"/>
      <c r="Z7592" s="10"/>
    </row>
    <row r="7593" spans="1:26" ht="12.75">
      <c r="A7593" s="10" t="str">
        <f ca="1">IFERROR(__xludf.DUMMYFUNCTION("""COMPUTED_VALUE"""),"Тереза Стоянова Тренчева")</f>
        <v>Тереза Стоянова Тренчева</v>
      </c>
      <c r="B7593" s="10" t="str">
        <f ca="1">IFERROR(__xludf.DUMMYFUNCTION("""COMPUTED_VALUE"""),"Доклад от конференция")</f>
        <v>Доклад от конференция</v>
      </c>
      <c r="C7593" s="10" t="str">
        <f ca="1">IFERROR(__xludf.DUMMYFUNCTION("""COMPUTED_VALUE"""),"A Conceptual Educational Model for Enhancing Information Literacy in an University Information Environment: Project Framework.")</f>
        <v>A Conceptual Educational Model for Enhancing Information Literacy in an University Information Environment: Project Framework.</v>
      </c>
      <c r="D7593" s="10">
        <f ca="1">IFERROR(__xludf.DUMMYFUNCTION("""COMPUTED_VALUE"""),2020)</f>
        <v>2020</v>
      </c>
      <c r="E7593" s="10" t="str">
        <f ca="1">IFERROR(__xludf.DUMMYFUNCTION("""COMPUTED_VALUE"""),"In Conference Proceedings: 11th International Conference on Education and New Learning Technologies, 6th -7th July 2020, Palma, Spain, IATED 2020, pp. 2272-2279 ISBN: 978-84-09-17979-4 ISSN: 2340-1117")</f>
        <v>In Conference Proceedings: 11th International Conference on Education and New Learning Technologies, 6th -7th July 2020, Palma, Spain, IATED 2020, pp. 2272-2279 ISBN: 978-84-09-17979-4 ISSN: 2340-1117</v>
      </c>
      <c r="F7593" s="10" t="str">
        <f ca="1">IFERROR(__xludf.DUMMYFUNCTION("""COMPUTED_VALUE"""),"Web of Science")</f>
        <v>Web of Science</v>
      </c>
      <c r="G7593" s="10" t="str">
        <f ca="1">IFERROR(__xludf.DUMMYFUNCTION("""COMPUTED_VALUE"""),"S.Denchev, E.Zdravkova")</f>
        <v>S.Denchev, E.Zdravkova</v>
      </c>
      <c r="H7593" s="10"/>
      <c r="I7593" s="10"/>
      <c r="J7593" s="10"/>
      <c r="K7593" s="10"/>
      <c r="L7593" s="10"/>
      <c r="M7593" s="10"/>
      <c r="N7593" s="10"/>
      <c r="O7593" s="10"/>
      <c r="P7593" s="10"/>
      <c r="Q7593" s="10"/>
      <c r="R7593" s="10"/>
      <c r="S7593" s="10"/>
      <c r="T7593" s="10"/>
      <c r="U7593" s="10"/>
      <c r="V7593" s="10"/>
      <c r="W7593" s="10"/>
      <c r="X7593" s="10"/>
      <c r="Y7593" s="10"/>
      <c r="Z7593" s="10"/>
    </row>
    <row r="7594" spans="1:26" ht="12.75">
      <c r="A7594" s="10" t="str">
        <f ca="1">IFERROR(__xludf.DUMMYFUNCTION("""COMPUTED_VALUE"""),"Тереза Стоянова Тренчева")</f>
        <v>Тереза Стоянова Тренчева</v>
      </c>
      <c r="B7594" s="10" t="str">
        <f ca="1">IFERROR(__xludf.DUMMYFUNCTION("""COMPUTED_VALUE"""),"Доклад от конференция")</f>
        <v>Доклад от конференция</v>
      </c>
      <c r="C7594" s="10" t="str">
        <f ca="1">IFERROR(__xludf.DUMMYFUNCTION("""COMPUTED_VALUE"""),"Intellectual Legal Aspects of New Media in the Modern Media Ecosystem")</f>
        <v>Intellectual Legal Aspects of New Media in the Modern Media Ecosystem</v>
      </c>
      <c r="D7594" s="10">
        <f ca="1">IFERROR(__xludf.DUMMYFUNCTION("""COMPUTED_VALUE"""),2020)</f>
        <v>2020</v>
      </c>
      <c r="E7594" s="10" t="str">
        <f ca="1">IFERROR(__xludf.DUMMYFUNCTION("""COMPUTED_VALUE"""),"In Conference Proceedings: International Conference - The New Perspectives in Science Education, 19-20 March 2020, Florence, Italy, Simonelli Ed., Vol. 9, Libreriauniversitaria, Italy, 2020, pp. 303-307. ISBN 978-88-85813-90-8; ISSN 2384-9509; DOI 10.2635"&amp;"2/E319_2384-9509")</f>
        <v>In Conference Proceedings: International Conference - The New Perspectives in Science Education, 19-20 March 2020, Florence, Italy, Simonelli Ed., Vol. 9, Libreriauniversitaria, Italy, 2020, pp. 303-307. ISBN 978-88-85813-90-8; ISSN 2384-9509; DOI 10.26352/E319_2384-9509</v>
      </c>
      <c r="F7594" s="10" t="str">
        <f ca="1">IFERROR(__xludf.DUMMYFUNCTION("""COMPUTED_VALUE"""),"Web of Science")</f>
        <v>Web of Science</v>
      </c>
      <c r="G7594" s="10" t="str">
        <f ca="1">IFERROR(__xludf.DUMMYFUNCTION("""COMPUTED_VALUE"""),"E. Zdravkova, D. Velichkov.")</f>
        <v>E. Zdravkova, D. Velichkov.</v>
      </c>
      <c r="H7594" s="10"/>
      <c r="I7594" s="10"/>
      <c r="J7594" s="10"/>
      <c r="K7594" s="10"/>
      <c r="L7594" s="10"/>
      <c r="M7594" s="10"/>
      <c r="N7594" s="10"/>
      <c r="O7594" s="10"/>
      <c r="P7594" s="10"/>
      <c r="Q7594" s="10"/>
      <c r="R7594" s="10"/>
      <c r="S7594" s="10"/>
      <c r="T7594" s="10"/>
      <c r="U7594" s="10"/>
      <c r="V7594" s="10"/>
      <c r="W7594" s="10"/>
      <c r="X7594" s="10"/>
      <c r="Y7594" s="10"/>
      <c r="Z7594" s="10"/>
    </row>
    <row r="7595" spans="1:26" ht="12.75">
      <c r="A7595" s="10" t="str">
        <f ca="1">IFERROR(__xludf.DUMMYFUNCTION("""COMPUTED_VALUE"""),"Тереза Стоянова Тренчева")</f>
        <v>Тереза Стоянова Тренчева</v>
      </c>
      <c r="B7595" s="10" t="str">
        <f ca="1">IFERROR(__xludf.DUMMYFUNCTION("""COMPUTED_VALUE"""),"Доклад от конференция")</f>
        <v>Доклад от конференция</v>
      </c>
      <c r="C7595" s="10" t="str">
        <f ca="1">IFERROR(__xludf.DUMMYFUNCTION("""COMPUTED_VALUE"""),"The Necessity of Intellectual Property Training in the Media Industry: Survey Results from Practice")</f>
        <v>The Necessity of Intellectual Property Training in the Media Industry: Survey Results from Practice</v>
      </c>
      <c r="D7595" s="10">
        <f ca="1">IFERROR(__xludf.DUMMYFUNCTION("""COMPUTED_VALUE"""),2020)</f>
        <v>2020</v>
      </c>
      <c r="E7595" s="10" t="str">
        <f ca="1">IFERROR(__xludf.DUMMYFUNCTION("""COMPUTED_VALUE"""),"In Conference Proceedings: 14th International Technology, Education and Development Conference, 2-4 March 2020, Valencia, Spain, INTED 2020, pp. 6617-6625. ISBN: 978-84-09-17939-8, ISSN: 2340-1079")</f>
        <v>In Conference Proceedings: 14th International Technology, Education and Development Conference, 2-4 March 2020, Valencia, Spain, INTED 2020, pp. 6617-6625. ISBN: 978-84-09-17939-8, ISSN: 2340-1079</v>
      </c>
      <c r="F7595" s="10" t="str">
        <f ca="1">IFERROR(__xludf.DUMMYFUNCTION("""COMPUTED_VALUE"""),"Web of Science")</f>
        <v>Web of Science</v>
      </c>
      <c r="G7595" s="10" t="str">
        <f ca="1">IFERROR(__xludf.DUMMYFUNCTION("""COMPUTED_VALUE"""),"E. Zdravkova")</f>
        <v>E. Zdravkova</v>
      </c>
      <c r="H7595" s="10"/>
      <c r="I7595" s="10"/>
      <c r="J7595" s="10"/>
      <c r="K7595" s="10"/>
      <c r="L7595" s="10"/>
      <c r="M7595" s="10"/>
      <c r="N7595" s="10"/>
      <c r="O7595" s="10"/>
      <c r="P7595" s="10"/>
      <c r="Q7595" s="10"/>
      <c r="R7595" s="10"/>
      <c r="S7595" s="10"/>
      <c r="T7595" s="10"/>
      <c r="U7595" s="10"/>
      <c r="V7595" s="10"/>
      <c r="W7595" s="10"/>
      <c r="X7595" s="10"/>
      <c r="Y7595" s="10"/>
      <c r="Z7595" s="10"/>
    </row>
    <row r="7596" spans="1:26" ht="12.75">
      <c r="A7596" s="10" t="str">
        <f ca="1">IFERROR(__xludf.DUMMYFUNCTION("""COMPUTED_VALUE"""),"Тереза Стоянова Тренчева")</f>
        <v>Тереза Стоянова Тренчева</v>
      </c>
      <c r="B7596" s="10" t="str">
        <f ca="1">IFERROR(__xludf.DUMMYFUNCTION("""COMPUTED_VALUE"""),"Доклад от конференция")</f>
        <v>Доклад от конференция</v>
      </c>
      <c r="C7596" s="10" t="str">
        <f ca="1">IFERROR(__xludf.DUMMYFUNCTION("""COMPUTED_VALUE"""),"Application of the Game Engine in the Promotion and Training of the Cultural Heritage")</f>
        <v>Application of the Game Engine in the Promotion and Training of the Cultural Heritage</v>
      </c>
      <c r="D7596" s="10">
        <f ca="1">IFERROR(__xludf.DUMMYFUNCTION("""COMPUTED_VALUE"""),2020)</f>
        <v>2020</v>
      </c>
      <c r="E7596" s="10" t="str">
        <f ca="1">IFERROR(__xludf.DUMMYFUNCTION("""COMPUTED_VALUE"""),"In Conference Proceedings: 14th International Technology, Education and Development Conference, 2-4 March 2020, Valencia, Spain, INTED 2020, pp. 2700-2706. ISBN: 978-84-09-17939-8; ISSN: 2340-1079")</f>
        <v>In Conference Proceedings: 14th International Technology, Education and Development Conference, 2-4 March 2020, Valencia, Spain, INTED 2020, pp. 2700-2706. ISBN: 978-84-09-17939-8; ISSN: 2340-1079</v>
      </c>
      <c r="F7596" s="10" t="str">
        <f ca="1">IFERROR(__xludf.DUMMYFUNCTION("""COMPUTED_VALUE"""),"Web of Science")</f>
        <v>Web of Science</v>
      </c>
      <c r="G7596" s="10" t="str">
        <f ca="1">IFERROR(__xludf.DUMMYFUNCTION("""COMPUTED_VALUE"""),"S. Denchev, I. Trenchev")</f>
        <v>S. Denchev, I. Trenchev</v>
      </c>
      <c r="H7596" s="10"/>
      <c r="I7596" s="10"/>
      <c r="J7596" s="10"/>
      <c r="K7596" s="10"/>
      <c r="L7596" s="10"/>
      <c r="M7596" s="10"/>
      <c r="N7596" s="10"/>
      <c r="O7596" s="10"/>
      <c r="P7596" s="10"/>
      <c r="Q7596" s="10"/>
      <c r="R7596" s="10"/>
      <c r="S7596" s="10"/>
      <c r="T7596" s="10"/>
      <c r="U7596" s="10"/>
      <c r="V7596" s="10"/>
      <c r="W7596" s="10"/>
      <c r="X7596" s="10"/>
      <c r="Y7596" s="10"/>
      <c r="Z7596" s="10"/>
    </row>
    <row r="7597" spans="1:26" ht="12.75">
      <c r="A7597" s="10" t="str">
        <f ca="1">IFERROR(__xludf.DUMMYFUNCTION("""COMPUTED_VALUE"""),"Тереза Стоянова Тренчева")</f>
        <v>Тереза Стоянова Тренчева</v>
      </c>
      <c r="B7597" s="10" t="str">
        <f ca="1">IFERROR(__xludf.DUMMYFUNCTION("""COMPUTED_VALUE"""),"Доклад от конференция")</f>
        <v>Доклад от конференция</v>
      </c>
      <c r="C7597" s="10" t="str">
        <f ca="1">IFERROR(__xludf.DUMMYFUNCTION("""COMPUTED_VALUE"""),"Media Literacy and Higher Education in Epidemical Aspect: A Short Overview.")</f>
        <v>Media Literacy and Higher Education in Epidemical Aspect: A Short Overview.</v>
      </c>
      <c r="D7597" s="10">
        <f ca="1">IFERROR(__xludf.DUMMYFUNCTION("""COMPUTED_VALUE"""),2020)</f>
        <v>2020</v>
      </c>
      <c r="E7597" s="10" t="str">
        <f ca="1">IFERROR(__xludf.DUMMYFUNCTION("""COMPUTED_VALUE"""),"In Conference Proceedings: International Conference - The Future of Education, 18-19 June 2020, Florence, Italy, Simonelli Ed., Vol. 10, Libreriauniversitaria, Italy, 2020, pp. 239-242. ISBN 978-88-85813-87-8 ISSN 2384-9509")</f>
        <v>In Conference Proceedings: International Conference - The Future of Education, 18-19 June 2020, Florence, Italy, Simonelli Ed., Vol. 10, Libreriauniversitaria, Italy, 2020, pp. 239-242. ISBN 978-88-85813-87-8 ISSN 2384-9509</v>
      </c>
      <c r="F7597" s="10" t="str">
        <f ca="1">IFERROR(__xludf.DUMMYFUNCTION("""COMPUTED_VALUE"""),"Web of Science")</f>
        <v>Web of Science</v>
      </c>
      <c r="G7597" s="10" t="str">
        <f ca="1">IFERROR(__xludf.DUMMYFUNCTION("""COMPUTED_VALUE"""),"E. Zdravkova")</f>
        <v>E. Zdravkova</v>
      </c>
      <c r="H7597" s="10"/>
      <c r="I7597" s="10"/>
      <c r="J7597" s="10"/>
      <c r="K7597" s="10"/>
      <c r="L7597" s="10"/>
      <c r="M7597" s="10"/>
      <c r="N7597" s="10"/>
      <c r="O7597" s="10"/>
      <c r="P7597" s="10"/>
      <c r="Q7597" s="10"/>
      <c r="R7597" s="10"/>
      <c r="S7597" s="10"/>
      <c r="T7597" s="10"/>
      <c r="U7597" s="10"/>
      <c r="V7597" s="10"/>
      <c r="W7597" s="10"/>
      <c r="X7597" s="10"/>
      <c r="Y7597" s="10"/>
      <c r="Z7597" s="10"/>
    </row>
    <row r="7598" spans="1:26" ht="12.75">
      <c r="A7598" s="10" t="str">
        <f ca="1">IFERROR(__xludf.DUMMYFUNCTION("""COMPUTED_VALUE"""),"Тереза Стоянова Тренчева")</f>
        <v>Тереза Стоянова Тренчева</v>
      </c>
      <c r="B7598" s="10" t="str">
        <f ca="1">IFERROR(__xludf.DUMMYFUNCTION("""COMPUTED_VALUE"""),"Доклад от конференция")</f>
        <v>Доклад от конференция</v>
      </c>
      <c r="C7598" s="10" t="str">
        <f ca="1">IFERROR(__xludf.DUMMYFUNCTION("""COMPUTED_VALUE"""),"Generative Model for Cyber Ethical Issues in Education.")</f>
        <v>Generative Model for Cyber Ethical Issues in Education.</v>
      </c>
      <c r="D7598" s="10">
        <f ca="1">IFERROR(__xludf.DUMMYFUNCTION("""COMPUTED_VALUE"""),2020)</f>
        <v>2020</v>
      </c>
      <c r="E7598" s="10" t="str">
        <f ca="1">IFERROR(__xludf.DUMMYFUNCTION("""COMPUTED_VALUE"""),"In Conference Proceedings: International Conference - The Future of Education, 18-19 June 2020, Florence, Italy, Simonelli Ed., Vol. 10, Libreriauniversitaria, Italy, 2020, pp. 217-221. ISBN 978-88-85813-87-8 ISSN 2384-9509")</f>
        <v>In Conference Proceedings: International Conference - The Future of Education, 18-19 June 2020, Florence, Italy, Simonelli Ed., Vol. 10, Libreriauniversitaria, Italy, 2020, pp. 217-221. ISBN 978-88-85813-87-8 ISSN 2384-9509</v>
      </c>
      <c r="F7598" s="10" t="str">
        <f ca="1">IFERROR(__xludf.DUMMYFUNCTION("""COMPUTED_VALUE"""),"Web of Science")</f>
        <v>Web of Science</v>
      </c>
      <c r="G7598" s="10" t="str">
        <f ca="1">IFERROR(__xludf.DUMMYFUNCTION("""COMPUTED_VALUE"""),"S. Denchev, M. Nikolova, S. Dimitrova")</f>
        <v>S. Denchev, M. Nikolova, S. Dimitrova</v>
      </c>
      <c r="H7598" s="10"/>
      <c r="I7598" s="10"/>
      <c r="J7598" s="10"/>
      <c r="K7598" s="10"/>
      <c r="L7598" s="10"/>
      <c r="M7598" s="10"/>
      <c r="N7598" s="10"/>
      <c r="O7598" s="10"/>
      <c r="P7598" s="10"/>
      <c r="Q7598" s="10"/>
      <c r="R7598" s="10"/>
      <c r="S7598" s="10"/>
      <c r="T7598" s="10"/>
      <c r="U7598" s="10"/>
      <c r="V7598" s="10"/>
      <c r="W7598" s="10"/>
      <c r="X7598" s="10"/>
      <c r="Y7598" s="10"/>
      <c r="Z7598" s="10"/>
    </row>
    <row r="7599" spans="1:26" ht="12.75">
      <c r="A7599" s="10" t="str">
        <f ca="1">IFERROR(__xludf.DUMMYFUNCTION("""COMPUTED_VALUE"""),"Тереза Стоянова Тренчева")</f>
        <v>Тереза Стоянова Тренчева</v>
      </c>
      <c r="B7599" s="10" t="str">
        <f ca="1">IFERROR(__xludf.DUMMYFUNCTION("""COMPUTED_VALUE"""),"Статия в списания и поредици")</f>
        <v>Статия в списания и поредици</v>
      </c>
      <c r="C7599" s="10" t="str">
        <f ca="1">IFERROR(__xludf.DUMMYFUNCTION("""COMPUTED_VALUE"""),"Bulgarian authors’ open access awareness and preferences")</f>
        <v>Bulgarian authors’ open access awareness and preferences</v>
      </c>
      <c r="D7599" s="10">
        <f ca="1">IFERROR(__xludf.DUMMYFUNCTION("""COMPUTED_VALUE"""),2020)</f>
        <v>2020</v>
      </c>
      <c r="E7599" s="10" t="str">
        <f ca="1">IFERROR(__xludf.DUMMYFUNCTION("""COMPUTED_VALUE"""),"Library Management Journal, vol. 41, 2/3, 2020, pp. 91-102 ISSN: 0143-5124")</f>
        <v>Library Management Journal, vol. 41, 2/3, 2020, pp. 91-102 ISSN: 0143-5124</v>
      </c>
      <c r="F7599" s="10" t="str">
        <f ca="1">IFERROR(__xludf.DUMMYFUNCTION("""COMPUTED_VALUE"""),"SCOPUS, Web of Science")</f>
        <v>SCOPUS, Web of Science</v>
      </c>
      <c r="G7599" s="10" t="str">
        <f ca="1">IFERROR(__xludf.DUMMYFUNCTION("""COMPUTED_VALUE"""),"M. Boock, T.Y. Todorova, R. Todorova")</f>
        <v>M. Boock, T.Y. Todorova, R. Todorova</v>
      </c>
      <c r="H7599" s="10"/>
      <c r="I7599" s="10"/>
      <c r="J7599" s="10"/>
      <c r="K7599" s="10"/>
      <c r="L7599" s="10"/>
      <c r="M7599" s="10"/>
      <c r="N7599" s="10"/>
      <c r="O7599" s="10"/>
      <c r="P7599" s="10"/>
      <c r="Q7599" s="10"/>
      <c r="R7599" s="10"/>
      <c r="S7599" s="10"/>
      <c r="T7599" s="10"/>
      <c r="U7599" s="10"/>
      <c r="V7599" s="10"/>
      <c r="W7599" s="10"/>
      <c r="X7599" s="10"/>
      <c r="Y7599" s="10"/>
      <c r="Z7599" s="10"/>
    </row>
    <row r="7600" spans="1:26" ht="12.75">
      <c r="A7600" s="10" t="str">
        <f ca="1">IFERROR(__xludf.DUMMYFUNCTION("""COMPUTED_VALUE"""),"Тереза Стоянова Тренчева")</f>
        <v>Тереза Стоянова Тренчева</v>
      </c>
      <c r="B7600" s="10" t="str">
        <f ca="1">IFERROR(__xludf.DUMMYFUNCTION("""COMPUTED_VALUE"""),"Доклад от конференция")</f>
        <v>Доклад от конференция</v>
      </c>
      <c r="C7600" s="10" t="str">
        <f ca="1">IFERROR(__xludf.DUMMYFUNCTION("""COMPUTED_VALUE"""),"Innovative Strategy of Intellectual Property Education in the Digital Age")</f>
        <v>Innovative Strategy of Intellectual Property Education in the Digital Age</v>
      </c>
      <c r="D7600" s="10">
        <f ca="1">IFERROR(__xludf.DUMMYFUNCTION("""COMPUTED_VALUE"""),2020)</f>
        <v>2020</v>
      </c>
      <c r="E7600" s="10" t="str">
        <f ca="1">IFERROR(__xludf.DUMMYFUNCTION("""COMPUTED_VALUE"""),"In Conference Proceedings: 13th International Conference on Education, Research and Innovation, 9th – 10th November 2020, Seville, Spain, ICERI 2020, pp. 2799-2804. ISBN: 978-84-09-24232-0 ISSN: 2340-1095")</f>
        <v>In Conference Proceedings: 13th International Conference on Education, Research and Innovation, 9th – 10th November 2020, Seville, Spain, ICERI 2020, pp. 2799-2804. ISBN: 978-84-09-24232-0 ISSN: 2340-1095</v>
      </c>
      <c r="F7600" s="10" t="str">
        <f ca="1">IFERROR(__xludf.DUMMYFUNCTION("""COMPUTED_VALUE"""),"Web of Science")</f>
        <v>Web of Science</v>
      </c>
      <c r="G7600" s="10" t="str">
        <f ca="1">IFERROR(__xludf.DUMMYFUNCTION("""COMPUTED_VALUE"""),"M. Lazarova, S. Denchev, C. Basili")</f>
        <v>M. Lazarova, S. Denchev, C. Basili</v>
      </c>
      <c r="H7600" s="10"/>
      <c r="I7600" s="10"/>
      <c r="J7600" s="10"/>
      <c r="K7600" s="10"/>
      <c r="L7600" s="10"/>
      <c r="M7600" s="10"/>
      <c r="N7600" s="10"/>
      <c r="O7600" s="10"/>
      <c r="P7600" s="10"/>
      <c r="Q7600" s="10"/>
      <c r="R7600" s="10"/>
      <c r="S7600" s="10"/>
      <c r="T7600" s="10"/>
      <c r="U7600" s="10"/>
      <c r="V7600" s="10"/>
      <c r="W7600" s="10"/>
      <c r="X7600" s="10"/>
      <c r="Y7600" s="10"/>
      <c r="Z7600" s="10"/>
    </row>
    <row r="7601" spans="1:26" ht="12.75">
      <c r="A7601" s="10" t="str">
        <f ca="1">IFERROR(__xludf.DUMMYFUNCTION("""COMPUTED_VALUE"""),"Тереза Стоянова Тренчева")</f>
        <v>Тереза Стоянова Тренчева</v>
      </c>
      <c r="B7601" s="10" t="str">
        <f ca="1">IFERROR(__xludf.DUMMYFUNCTION("""COMPUTED_VALUE"""),"Доклад от конференция")</f>
        <v>Доклад от конференция</v>
      </c>
      <c r="C7601" s="10" t="str">
        <f ca="1">IFERROR(__xludf.DUMMYFUNCTION("""COMPUTED_VALUE"""),"New Paradigmatic Relations Between Face to Face and Virtual Education – from ‘Homo Ludens’ to ‘Homo Virtualis’ in the Modern Academic Process Of Education")</f>
        <v>New Paradigmatic Relations Between Face to Face and Virtual Education – from ‘Homo Ludens’ to ‘Homo Virtualis’ in the Modern Academic Process Of Education</v>
      </c>
      <c r="D7601" s="10">
        <f ca="1">IFERROR(__xludf.DUMMYFUNCTION("""COMPUTED_VALUE"""),2020)</f>
        <v>2020</v>
      </c>
      <c r="E7601" s="10" t="str">
        <f ca="1">IFERROR(__xludf.DUMMYFUNCTION("""COMPUTED_VALUE"""),"In Conference Proceedings: 13th International Conference on Education, Research and Innovation, 9th – 10th November 2020, Seville, Spain, ICERI 2020, pp. 2786-2790. ISBN: 978-84-09-24232-0 ISSN: 2340-1095")</f>
        <v>In Conference Proceedings: 13th International Conference on Education, Research and Innovation, 9th – 10th November 2020, Seville, Spain, ICERI 2020, pp. 2786-2790. ISBN: 978-84-09-24232-0 ISSN: 2340-1095</v>
      </c>
      <c r="F7601" s="10" t="str">
        <f ca="1">IFERROR(__xludf.DUMMYFUNCTION("""COMPUTED_VALUE"""),"Web of Science")</f>
        <v>Web of Science</v>
      </c>
      <c r="G7601" s="10" t="str">
        <f ca="1">IFERROR(__xludf.DUMMYFUNCTION("""COMPUTED_VALUE"""),"S. Denchev, S. Momchilova")</f>
        <v>S. Denchev, S. Momchilova</v>
      </c>
      <c r="H7601" s="10"/>
      <c r="I7601" s="10"/>
      <c r="J7601" s="10"/>
      <c r="K7601" s="10"/>
      <c r="L7601" s="10"/>
      <c r="M7601" s="10"/>
      <c r="N7601" s="10"/>
      <c r="O7601" s="10"/>
      <c r="P7601" s="10"/>
      <c r="Q7601" s="10"/>
      <c r="R7601" s="10"/>
      <c r="S7601" s="10"/>
      <c r="T7601" s="10"/>
      <c r="U7601" s="10"/>
      <c r="V7601" s="10"/>
      <c r="W7601" s="10"/>
      <c r="X7601" s="10"/>
      <c r="Y7601" s="10"/>
      <c r="Z7601" s="10"/>
    </row>
    <row r="7602" spans="1:26" ht="12.75">
      <c r="A7602" s="10" t="str">
        <f ca="1">IFERROR(__xludf.DUMMYFUNCTION("""COMPUTED_VALUE"""),"Тереза Стоянова Тренчева")</f>
        <v>Тереза Стоянова Тренчева</v>
      </c>
      <c r="B7602" s="10" t="str">
        <f ca="1">IFERROR(__xludf.DUMMYFUNCTION("""COMPUTED_VALUE"""),"Доклад от конференция")</f>
        <v>Доклад от конференция</v>
      </c>
      <c r="C7602" s="10" t="str">
        <f ca="1">IFERROR(__xludf.DUMMYFUNCTION("""COMPUTED_VALUE"""),"Scientific Works as Intellectual Property Objects")</f>
        <v>Scientific Works as Intellectual Property Objects</v>
      </c>
      <c r="D7602" s="10">
        <f ca="1">IFERROR(__xludf.DUMMYFUNCTION("""COMPUTED_VALUE"""),2020)</f>
        <v>2020</v>
      </c>
      <c r="E7602" s="10" t="str">
        <f ca="1">IFERROR(__xludf.DUMMYFUNCTION("""COMPUTED_VALUE"""),"In Conference Proceedings: International Conference - The New Perspectives in Science Education, 19-20 March 2020, Florence, Italy, Simonelli Ed., Vol. 9, Libreriauniversitaria, Italy, 2020, pp. 338-342. ISBN 978-88-85813-90-8; ISSN 2384-9509; DOI 10.2635"&amp;"2/E319_2384-9509")</f>
        <v>In Conference Proceedings: International Conference - The New Perspectives in Science Education, 19-20 March 2020, Florence, Italy, Simonelli Ed., Vol. 9, Libreriauniversitaria, Italy, 2020, pp. 338-342. ISBN 978-88-85813-90-8; ISSN 2384-9509; DOI 10.26352/E319_2384-9509</v>
      </c>
      <c r="F7602" s="10" t="str">
        <f ca="1">IFERROR(__xludf.DUMMYFUNCTION("""COMPUTED_VALUE"""),"Web of Science")</f>
        <v>Web of Science</v>
      </c>
      <c r="G7602" s="10" t="str">
        <f ca="1">IFERROR(__xludf.DUMMYFUNCTION("""COMPUTED_VALUE"""),"S. Denchev, S. Dimitrova.")</f>
        <v>S. Denchev, S. Dimitrova.</v>
      </c>
      <c r="H7602" s="10"/>
      <c r="I7602" s="10"/>
      <c r="J7602" s="10"/>
      <c r="K7602" s="10"/>
      <c r="L7602" s="10"/>
      <c r="M7602" s="10"/>
      <c r="N7602" s="10"/>
      <c r="O7602" s="10"/>
      <c r="P7602" s="10"/>
      <c r="Q7602" s="10"/>
      <c r="R7602" s="10"/>
      <c r="S7602" s="10"/>
      <c r="T7602" s="10"/>
      <c r="U7602" s="10"/>
      <c r="V7602" s="10"/>
      <c r="W7602" s="10"/>
      <c r="X7602" s="10"/>
      <c r="Y7602" s="10"/>
      <c r="Z7602" s="10"/>
    </row>
    <row r="7603" spans="1:26" ht="12.75">
      <c r="A7603" s="10" t="str">
        <f ca="1">IFERROR(__xludf.DUMMYFUNCTION("""COMPUTED_VALUE"""),"Тереза Стоянова Тренчева")</f>
        <v>Тереза Стоянова Тренчева</v>
      </c>
      <c r="B7603" s="10" t="str">
        <f ca="1">IFERROR(__xludf.DUMMYFUNCTION("""COMPUTED_VALUE"""),"Доклад от конференция")</f>
        <v>Доклад от конференция</v>
      </c>
      <c r="C7603" s="10" t="str">
        <f ca="1">IFERROR(__xludf.DUMMYFUNCTION("""COMPUTED_VALUE"""),"Comparative Study of the Bulgarian Open Access Journals in Doaj for the Period 2002-2018")</f>
        <v>Comparative Study of the Bulgarian Open Access Journals in Doaj for the Period 2002-2018</v>
      </c>
      <c r="D7603" s="10">
        <f ca="1">IFERROR(__xludf.DUMMYFUNCTION("""COMPUTED_VALUE"""),2019)</f>
        <v>2019</v>
      </c>
      <c r="E7603" s="10" t="str">
        <f ca="1">IFERROR(__xludf.DUMMYFUNCTION("""COMPUTED_VALUE"""),"In Conference Proceedings: 11th International Conference on Education and New Learning Technologies, 1st -3rd July 2019, Palma, Spain, IATED 2019, pp. 6035-6044. ISBN: 978-84-09-12031-4; ISSN: 2340-1117")</f>
        <v>In Conference Proceedings: 11th International Conference on Education and New Learning Technologies, 1st -3rd July 2019, Palma, Spain, IATED 2019, pp. 6035-6044. ISBN: 978-84-09-12031-4; ISSN: 2340-1117</v>
      </c>
      <c r="F7603" s="10" t="str">
        <f ca="1">IFERROR(__xludf.DUMMYFUNCTION("""COMPUTED_VALUE"""),"Web of Science")</f>
        <v>Web of Science</v>
      </c>
      <c r="G7603" s="10" t="str">
        <f ca="1">IFERROR(__xludf.DUMMYFUNCTION("""COMPUTED_VALUE"""),"S. Dimitrova")</f>
        <v>S. Dimitrova</v>
      </c>
      <c r="H7603" s="10"/>
      <c r="I7603" s="10"/>
      <c r="J7603" s="10"/>
      <c r="K7603" s="10"/>
      <c r="L7603" s="10"/>
      <c r="M7603" s="10"/>
      <c r="N7603" s="10"/>
      <c r="O7603" s="10"/>
      <c r="P7603" s="10"/>
      <c r="Q7603" s="10"/>
      <c r="R7603" s="10"/>
      <c r="S7603" s="10"/>
      <c r="T7603" s="10"/>
      <c r="U7603" s="10"/>
      <c r="V7603" s="10"/>
      <c r="W7603" s="10"/>
      <c r="X7603" s="10"/>
      <c r="Y7603" s="10"/>
      <c r="Z7603" s="10"/>
    </row>
    <row r="7604" spans="1:26" ht="12.75">
      <c r="A7604" s="10" t="str">
        <f ca="1">IFERROR(__xludf.DUMMYFUNCTION("""COMPUTED_VALUE"""),"Тереза Стоянова Тренчева")</f>
        <v>Тереза Стоянова Тренчева</v>
      </c>
      <c r="B7604" s="10" t="str">
        <f ca="1">IFERROR(__xludf.DUMMYFUNCTION("""COMPUTED_VALUE"""),"Доклад от конференция")</f>
        <v>Доклад от конференция</v>
      </c>
      <c r="C7604" s="10" t="str">
        <f ca="1">IFERROR(__xludf.DUMMYFUNCTION("""COMPUTED_VALUE"""),"Intellectual Property and Media Culture in Higher Education")</f>
        <v>Intellectual Property and Media Culture in Higher Education</v>
      </c>
      <c r="D7604" s="10">
        <f ca="1">IFERROR(__xludf.DUMMYFUNCTION("""COMPUTED_VALUE"""),2019)</f>
        <v>2019</v>
      </c>
      <c r="E7604" s="10" t="str">
        <f ca="1">IFERROR(__xludf.DUMMYFUNCTION("""COMPUTED_VALUE"""),"In Conference Proceedings: 13th International Technology, Education and Development Conference, 11-13 March 2019, Valencia, Spain, INTED 2019, pp. 5814-5819. ISBN: 978-84-09-08619-1")</f>
        <v>In Conference Proceedings: 13th International Technology, Education and Development Conference, 11-13 March 2019, Valencia, Spain, INTED 2019, pp. 5814-5819. ISBN: 978-84-09-08619-1</v>
      </c>
      <c r="F7604" s="10" t="str">
        <f ca="1">IFERROR(__xludf.DUMMYFUNCTION("""COMPUTED_VALUE"""),"Web of Science, Scopus")</f>
        <v>Web of Science, Scopus</v>
      </c>
      <c r="G7604" s="10" t="str">
        <f ca="1">IFERROR(__xludf.DUMMYFUNCTION("""COMPUTED_VALUE"""),"S. Denchev, E. Zdravkova")</f>
        <v>S. Denchev, E. Zdravkova</v>
      </c>
      <c r="H7604" s="10"/>
      <c r="I7604" s="10"/>
      <c r="J7604" s="10"/>
      <c r="K7604" s="10"/>
      <c r="L7604" s="10"/>
      <c r="M7604" s="10"/>
      <c r="N7604" s="10"/>
      <c r="O7604" s="10"/>
      <c r="P7604" s="10"/>
      <c r="Q7604" s="10"/>
      <c r="R7604" s="10"/>
      <c r="S7604" s="10"/>
      <c r="T7604" s="10"/>
      <c r="U7604" s="10"/>
      <c r="V7604" s="10"/>
      <c r="W7604" s="10"/>
      <c r="X7604" s="10"/>
      <c r="Y7604" s="10"/>
      <c r="Z7604" s="10"/>
    </row>
    <row r="7605" spans="1:26" ht="12.75">
      <c r="A7605" s="10" t="str">
        <f ca="1">IFERROR(__xludf.DUMMYFUNCTION("""COMPUTED_VALUE"""),"Тереза Стоянова Тренчева")</f>
        <v>Тереза Стоянова Тренчева</v>
      </c>
      <c r="B7605" s="10" t="str">
        <f ca="1">IFERROR(__xludf.DUMMYFUNCTION("""COMPUTED_VALUE"""),"Доклад от конференция")</f>
        <v>Доклад от конференция</v>
      </c>
      <c r="C7605" s="10" t="str">
        <f ca="1">IFERROR(__xludf.DUMMYFUNCTION("""COMPUTED_VALUE"""),"The EU Copyright Directive – a New Paradigm in the Media Ecosystem")</f>
        <v>The EU Copyright Directive – a New Paradigm in the Media Ecosystem</v>
      </c>
      <c r="D7605" s="10">
        <f ca="1">IFERROR(__xludf.DUMMYFUNCTION("""COMPUTED_VALUE"""),2019)</f>
        <v>2019</v>
      </c>
      <c r="E7605" s="10" t="str">
        <f ca="1">IFERROR(__xludf.DUMMYFUNCTION("""COMPUTED_VALUE"""),"СЪВРЕМЕННИ стратегии и иновации в управление на знанието = Contemporary srategies and innovations in the knowledge management – София: За буквите - О писменехь, 2017, pp. 177-189, ISBN 2535-0250")</f>
        <v>СЪВРЕМЕННИ стратегии и иновации в управление на знанието = Contemporary srategies and innovations in the knowledge management – София: За буквите - О писменехь, 2017, pp. 177-189, ISBN 2535-0250</v>
      </c>
      <c r="F7605" s="10" t="str">
        <f ca="1">IFERROR(__xludf.DUMMYFUNCTION("""COMPUTED_VALUE"""),"Референтен списък на НАЦИД")</f>
        <v>Референтен списък на НАЦИД</v>
      </c>
      <c r="G7605" s="10" t="str">
        <f ca="1">IFERROR(__xludf.DUMMYFUNCTION("""COMPUTED_VALUE"""),"E. Zdravkova-Velichkova")</f>
        <v>E. Zdravkova-Velichkova</v>
      </c>
      <c r="H7605" s="10"/>
      <c r="I7605" s="10"/>
      <c r="J7605" s="10"/>
      <c r="K7605" s="10"/>
      <c r="L7605" s="10"/>
      <c r="M7605" s="10"/>
      <c r="N7605" s="10"/>
      <c r="O7605" s="10"/>
      <c r="P7605" s="10"/>
      <c r="Q7605" s="10"/>
      <c r="R7605" s="10"/>
      <c r="S7605" s="10"/>
      <c r="T7605" s="10"/>
      <c r="U7605" s="10"/>
      <c r="V7605" s="10"/>
      <c r="W7605" s="10"/>
      <c r="X7605" s="10"/>
      <c r="Y7605" s="10"/>
      <c r="Z7605" s="10"/>
    </row>
    <row r="7606" spans="1:26" ht="12.75">
      <c r="A7606" s="10" t="str">
        <f ca="1">IFERROR(__xludf.DUMMYFUNCTION("""COMPUTED_VALUE"""),"Тереза Стоянова Тренчева")</f>
        <v>Тереза Стоянова Тренчева</v>
      </c>
      <c r="B7606" s="10" t="str">
        <f ca="1">IFERROR(__xludf.DUMMYFUNCTION("""COMPUTED_VALUE"""),"Доклад от конференция")</f>
        <v>Доклад от конференция</v>
      </c>
      <c r="C7606" s="10" t="str">
        <f ca="1">IFERROR(__xludf.DUMMYFUNCTION("""COMPUTED_VALUE"""),"The Media Industry and Intellectual Property Integration: Abstraction or Reality")</f>
        <v>The Media Industry and Intellectual Property Integration: Abstraction or Reality</v>
      </c>
      <c r="D7606" s="10">
        <f ca="1">IFERROR(__xludf.DUMMYFUNCTION("""COMPUTED_VALUE"""),2019)</f>
        <v>2019</v>
      </c>
      <c r="E7606" s="10" t="str">
        <f ca="1">IFERROR(__xludf.DUMMYFUNCTION("""COMPUTED_VALUE"""),"In Conference Proceedings: 17th International Conference of e-Society 11 – 13 April, 2019, Utrecht, The Netherlands, IADIS Press, 2019, pp. 12-20 ISBN: 978-989-8533-85-2")</f>
        <v>In Conference Proceedings: 17th International Conference of e-Society 11 – 13 April, 2019, Utrecht, The Netherlands, IADIS Press, 2019, pp. 12-20 ISBN: 978-989-8533-85-2</v>
      </c>
      <c r="F7606" s="10" t="str">
        <f ca="1">IFERROR(__xludf.DUMMYFUNCTION("""COMPUTED_VALUE"""),"Web of Science, Scopus")</f>
        <v>Web of Science, Scopus</v>
      </c>
      <c r="G7606" s="10" t="str">
        <f ca="1">IFERROR(__xludf.DUMMYFUNCTION("""COMPUTED_VALUE"""),"S. Denchev, E. Zdravkova")</f>
        <v>S. Denchev, E. Zdravkova</v>
      </c>
      <c r="H7606" s="10"/>
      <c r="I7606" s="10"/>
      <c r="J7606" s="10"/>
      <c r="K7606" s="10"/>
      <c r="L7606" s="10"/>
      <c r="M7606" s="10"/>
      <c r="N7606" s="10"/>
      <c r="O7606" s="10"/>
      <c r="P7606" s="10"/>
      <c r="Q7606" s="10"/>
      <c r="R7606" s="10"/>
      <c r="S7606" s="10"/>
      <c r="T7606" s="10"/>
      <c r="U7606" s="10"/>
      <c r="V7606" s="10"/>
      <c r="W7606" s="10"/>
      <c r="X7606" s="10"/>
      <c r="Y7606" s="10"/>
      <c r="Z7606" s="10"/>
    </row>
    <row r="7607" spans="1:26" ht="12.75">
      <c r="A7607" s="10" t="str">
        <f ca="1">IFERROR(__xludf.DUMMYFUNCTION("""COMPUTED_VALUE"""),"Тереза Стоянова Тренчева")</f>
        <v>Тереза Стоянова Тренчева</v>
      </c>
      <c r="B7607" s="10" t="str">
        <f ca="1">IFERROR(__xludf.DUMMYFUNCTION("""COMPUTED_VALUE"""),"Статия в списания и поредици")</f>
        <v>Статия в списания и поредици</v>
      </c>
      <c r="C7607" s="10" t="str">
        <f ca="1">IFERROR(__xludf.DUMMYFUNCTION("""COMPUTED_VALUE"""),"Медийната индустрия в контекста на международната политика за интелектуална собственост")</f>
        <v>Медийната индустрия в контекста на международната политика за интелектуална собственост</v>
      </c>
      <c r="D7607" s="10">
        <f ca="1">IFERROR(__xludf.DUMMYFUNCTION("""COMPUTED_VALUE"""),2019)</f>
        <v>2019</v>
      </c>
      <c r="E7607" s="10" t="str">
        <f ca="1">IFERROR(__xludf.DUMMYFUNCTION("""COMPUTED_VALUE"""),"МЕЖДУНАРОДНА политика – Благоевград: , 2004, година XV, бр. 2, с. 39-63, ISSN 2367-5373")</f>
        <v>МЕЖДУНАРОДНА политика – Благоевград: , 2004, година XV, бр. 2, с. 39-63, ISSN 2367-5373</v>
      </c>
      <c r="F7607" s="10" t="str">
        <f ca="1">IFERROR(__xludf.DUMMYFUNCTION("""COMPUTED_VALUE"""),"Референтен списък на НАЦИД")</f>
        <v>Референтен списък на НАЦИД</v>
      </c>
      <c r="G7607" s="10" t="str">
        <f ca="1">IFERROR(__xludf.DUMMYFUNCTION("""COMPUTED_VALUE"""),"Евелина Здравкова")</f>
        <v>Евелина Здравкова</v>
      </c>
      <c r="H7607" s="10"/>
      <c r="I7607" s="10"/>
      <c r="J7607" s="10"/>
      <c r="K7607" s="10"/>
      <c r="L7607" s="10"/>
      <c r="M7607" s="10"/>
      <c r="N7607" s="10"/>
      <c r="O7607" s="10"/>
      <c r="P7607" s="10"/>
      <c r="Q7607" s="10"/>
      <c r="R7607" s="10"/>
      <c r="S7607" s="10"/>
      <c r="T7607" s="10"/>
      <c r="U7607" s="10"/>
      <c r="V7607" s="10"/>
      <c r="W7607" s="10"/>
      <c r="X7607" s="10"/>
      <c r="Y7607" s="10"/>
      <c r="Z7607" s="10"/>
    </row>
    <row r="7608" spans="1:26" ht="12.75">
      <c r="A7608" s="10" t="str">
        <f ca="1">IFERROR(__xludf.DUMMYFUNCTION("""COMPUTED_VALUE"""),"Тереза Стоянова Тренчева")</f>
        <v>Тереза Стоянова Тренчева</v>
      </c>
      <c r="B7608" s="10" t="str">
        <f ca="1">IFERROR(__xludf.DUMMYFUNCTION("""COMPUTED_VALUE"""),"Доклад от конференция")</f>
        <v>Доклад от конференция</v>
      </c>
      <c r="C7608" s="10" t="str">
        <f ca="1">IFERROR(__xludf.DUMMYFUNCTION("""COMPUTED_VALUE"""),"Education in Intellectual Property in Universities Information Environment in Bulgaria")</f>
        <v>Education in Intellectual Property in Universities Information Environment in Bulgaria</v>
      </c>
      <c r="D7608" s="10">
        <f ca="1">IFERROR(__xludf.DUMMYFUNCTION("""COMPUTED_VALUE"""),2019)</f>
        <v>2019</v>
      </c>
      <c r="E7608" s="10" t="str">
        <f ca="1">IFERROR(__xludf.DUMMYFUNCTION("""COMPUTED_VALUE"""),"In Conference Proceedings: 12th International Conference on Education, Research and Innovation, 11th – 13th November 2019, Seville, Spain, ICERI 2019, pp. 8120-8126. ISBN: 978-84-09-14755-7")</f>
        <v>In Conference Proceedings: 12th International Conference on Education, Research and Innovation, 11th – 13th November 2019, Seville, Spain, ICERI 2019, pp. 8120-8126. ISBN: 978-84-09-14755-7</v>
      </c>
      <c r="F7608" s="10" t="str">
        <f ca="1">IFERROR(__xludf.DUMMYFUNCTION("""COMPUTED_VALUE"""),"Web of Science")</f>
        <v>Web of Science</v>
      </c>
      <c r="G7608" s="10" t="str">
        <f ca="1">IFERROR(__xludf.DUMMYFUNCTION("""COMPUTED_VALUE"""),"S. Dimitrova")</f>
        <v>S. Dimitrova</v>
      </c>
      <c r="H7608" s="10"/>
      <c r="I7608" s="10"/>
      <c r="J7608" s="10"/>
      <c r="K7608" s="10"/>
      <c r="L7608" s="10"/>
      <c r="M7608" s="10"/>
      <c r="N7608" s="10"/>
      <c r="O7608" s="10"/>
      <c r="P7608" s="10"/>
      <c r="Q7608" s="10"/>
      <c r="R7608" s="10"/>
      <c r="S7608" s="10"/>
      <c r="T7608" s="10"/>
      <c r="U7608" s="10"/>
      <c r="V7608" s="10"/>
      <c r="W7608" s="10"/>
      <c r="X7608" s="10"/>
      <c r="Y7608" s="10"/>
      <c r="Z7608" s="10"/>
    </row>
    <row r="7609" spans="1:26" ht="12.75">
      <c r="A7609" s="10" t="str">
        <f ca="1">IFERROR(__xludf.DUMMYFUNCTION("""COMPUTED_VALUE"""),"Тереза Стоянова Тренчева")</f>
        <v>Тереза Стоянова Тренчева</v>
      </c>
      <c r="B7609" s="10" t="str">
        <f ca="1">IFERROR(__xludf.DUMMYFUNCTION("""COMPUTED_VALUE"""),"Книга")</f>
        <v>Книга</v>
      </c>
      <c r="C7609" s="10" t="str">
        <f ca="1">IFERROR(__xludf.DUMMYFUNCTION("""COMPUTED_VALUE"""),"Интелектуалната собственост и дигиталните хора")</f>
        <v>Интелектуалната собственост и дигиталните хора</v>
      </c>
      <c r="D7609" s="10">
        <f ca="1">IFERROR(__xludf.DUMMYFUNCTION("""COMPUTED_VALUE"""),2019)</f>
        <v>2019</v>
      </c>
      <c r="E7609" s="10" t="str">
        <f ca="1">IFERROR(__xludf.DUMMYFUNCTION("""COMPUTED_VALUE"""),"ИНТЕЛЕКТУАЛНАТА собственост и дигиталните хора – София: За буквите - О писменехь, 2019, с. 399, ISBN 978-619-185-378-6; ISBN 978-619-185-379-3")</f>
        <v>ИНТЕЛЕКТУАЛНАТА собственост и дигиталните хора – София: За буквите - О писменехь, 2019, с. 399, ISBN 978-619-185-378-6; ISBN 978-619-185-379-3</v>
      </c>
      <c r="F7609" s="10" t="str">
        <f ca="1">IFERROR(__xludf.DUMMYFUNCTION("""COMPUTED_VALUE"""),"Референтен списък на НАЦИД")</f>
        <v>Референтен списък на НАЦИД</v>
      </c>
      <c r="G7609" s="10" t="str">
        <f ca="1">IFERROR(__xludf.DUMMYFUNCTION("""COMPUTED_VALUE"""),"Камелия Планска – Симеонова, Евелина Здравкова – Величкова, Светослава Димитрова")</f>
        <v>Камелия Планска – Симеонова, Евелина Здравкова – Величкова, Светослава Димитрова</v>
      </c>
      <c r="H7609" s="10"/>
      <c r="I7609" s="10"/>
      <c r="J7609" s="10"/>
      <c r="K7609" s="10"/>
      <c r="L7609" s="10"/>
      <c r="M7609" s="10"/>
      <c r="N7609" s="10"/>
      <c r="O7609" s="10"/>
      <c r="P7609" s="10"/>
      <c r="Q7609" s="10"/>
      <c r="R7609" s="10"/>
      <c r="S7609" s="10"/>
      <c r="T7609" s="10"/>
      <c r="U7609" s="10"/>
      <c r="V7609" s="10"/>
      <c r="W7609" s="10"/>
      <c r="X7609" s="10"/>
      <c r="Y7609" s="10"/>
      <c r="Z7609" s="10"/>
    </row>
    <row r="7610" spans="1:26" ht="12.75">
      <c r="A7610" s="10" t="str">
        <f ca="1">IFERROR(__xludf.DUMMYFUNCTION("""COMPUTED_VALUE"""),"Тереза Стоянова Тренчева")</f>
        <v>Тереза Стоянова Тренчева</v>
      </c>
      <c r="B7610" s="10" t="str">
        <f ca="1">IFERROR(__xludf.DUMMYFUNCTION("""COMPUTED_VALUE"""),"Доклад от конференция")</f>
        <v>Доклад от конференция</v>
      </c>
      <c r="C7610" s="10" t="str">
        <f ca="1">IFERROR(__xludf.DUMMYFUNCTION("""COMPUTED_VALUE"""),"Integrating of Intellectual Property Training in Library and Information Science: ULSIT’s Formal Educational Model")</f>
        <v>Integrating of Intellectual Property Training in Library and Information Science: ULSIT’s Formal Educational Model</v>
      </c>
      <c r="D7610" s="10">
        <f ca="1">IFERROR(__xludf.DUMMYFUNCTION("""COMPUTED_VALUE"""),2019)</f>
        <v>2019</v>
      </c>
      <c r="E7610" s="10" t="str">
        <f ca="1">IFERROR(__xludf.DUMMYFUNCTION("""COMPUTED_VALUE"""),"In Conference Proceedings: 12th International Conference on Education, Research and Innovation, 11th – 13th November 2019, Seville, Spain, ICERI 2019, pp. pp. 7462-7466. ISBN: 978-84-09-14755-7")</f>
        <v>In Conference Proceedings: 12th International Conference on Education, Research and Innovation, 11th – 13th November 2019, Seville, Spain, ICERI 2019, pp. pp. 7462-7466. ISBN: 978-84-09-14755-7</v>
      </c>
      <c r="F7610" s="10" t="str">
        <f ca="1">IFERROR(__xludf.DUMMYFUNCTION("""COMPUTED_VALUE"""),"Web of Science")</f>
        <v>Web of Science</v>
      </c>
      <c r="G7610" s="10"/>
      <c r="H7610" s="10"/>
      <c r="I7610" s="10"/>
      <c r="J7610" s="10"/>
      <c r="K7610" s="10"/>
      <c r="L7610" s="10"/>
      <c r="M7610" s="10"/>
      <c r="N7610" s="10"/>
      <c r="O7610" s="10"/>
      <c r="P7610" s="10"/>
      <c r="Q7610" s="10"/>
      <c r="R7610" s="10"/>
      <c r="S7610" s="10"/>
      <c r="T7610" s="10"/>
      <c r="U7610" s="10"/>
      <c r="V7610" s="10"/>
      <c r="W7610" s="10"/>
      <c r="X7610" s="10"/>
      <c r="Y7610" s="10"/>
      <c r="Z7610" s="10"/>
    </row>
    <row r="7611" spans="1:26" ht="12.75">
      <c r="A7611" s="10" t="str">
        <f ca="1">IFERROR(__xludf.DUMMYFUNCTION("""COMPUTED_VALUE"""),"Тереза Стоянова Тренчева")</f>
        <v>Тереза Стоянова Тренчева</v>
      </c>
      <c r="B7611" s="10" t="str">
        <f ca="1">IFERROR(__xludf.DUMMYFUNCTION("""COMPUTED_VALUE"""),"Доклад от конференция")</f>
        <v>Доклад от конференция</v>
      </c>
      <c r="C7611" s="10" t="str">
        <f ca="1">IFERROR(__xludf.DUMMYFUNCTION("""COMPUTED_VALUE"""),"Intellectual Property Management in Digitization and Digital Preservation of Cultural Heritage")</f>
        <v>Intellectual Property Management in Digitization and Digital Preservation of Cultural Heritage</v>
      </c>
      <c r="D7611" s="10">
        <f ca="1">IFERROR(__xludf.DUMMYFUNCTION("""COMPUTED_VALUE"""),2019)</f>
        <v>2019</v>
      </c>
      <c r="E7611" s="10" t="str">
        <f ca="1">IFERROR(__xludf.DUMMYFUNCTION("""COMPUTED_VALUE"""),"In Conference Proceedings: 11th International Conference on Education and New Learning Technologies, 1st -3rd July 2019, Palma, Spain, IATED 2019, pp. 6082-6087. ISBN: 978-84-09-12031-4; ISSN: 2340-1117")</f>
        <v>In Conference Proceedings: 11th International Conference on Education and New Learning Technologies, 1st -3rd July 2019, Palma, Spain, IATED 2019, pp. 6082-6087. ISBN: 978-84-09-12031-4; ISSN: 2340-1117</v>
      </c>
      <c r="F7611" s="10" t="str">
        <f ca="1">IFERROR(__xludf.DUMMYFUNCTION("""COMPUTED_VALUE"""),"Web of Science")</f>
        <v>Web of Science</v>
      </c>
      <c r="G7611" s="10" t="str">
        <f ca="1">IFERROR(__xludf.DUMMYFUNCTION("""COMPUTED_VALUE"""),"E. Zdravkova-Velichkova")</f>
        <v>E. Zdravkova-Velichkova</v>
      </c>
      <c r="H7611" s="10"/>
      <c r="I7611" s="10"/>
      <c r="J7611" s="10"/>
      <c r="K7611" s="10"/>
      <c r="L7611" s="10"/>
      <c r="M7611" s="10"/>
      <c r="N7611" s="10"/>
      <c r="O7611" s="10"/>
      <c r="P7611" s="10"/>
      <c r="Q7611" s="10"/>
      <c r="R7611" s="10"/>
      <c r="S7611" s="10"/>
      <c r="T7611" s="10"/>
      <c r="U7611" s="10"/>
      <c r="V7611" s="10"/>
      <c r="W7611" s="10"/>
      <c r="X7611" s="10"/>
      <c r="Y7611" s="10"/>
      <c r="Z7611" s="10"/>
    </row>
    <row r="7612" spans="1:26" ht="12.75">
      <c r="A7612" s="10" t="str">
        <f ca="1">IFERROR(__xludf.DUMMYFUNCTION("""COMPUTED_VALUE"""),"Тереза Стоянова Тренчева")</f>
        <v>Тереза Стоянова Тренчева</v>
      </c>
      <c r="B7612" s="10" t="str">
        <f ca="1">IFERROR(__xludf.DUMMYFUNCTION("""COMPUTED_VALUE"""),"Книга")</f>
        <v>Книга</v>
      </c>
      <c r="C7612" s="10" t="str">
        <f ca="1">IFERROR(__xludf.DUMMYFUNCTION("""COMPUTED_VALUE"""),"Съвременни стратегии и иновации в управление на знанието - 5")</f>
        <v>Съвременни стратегии и иновации в управление на знанието - 5</v>
      </c>
      <c r="D7612" s="10">
        <f ca="1">IFERROR(__xludf.DUMMYFUNCTION("""COMPUTED_VALUE"""),2019)</f>
        <v>2019</v>
      </c>
      <c r="E7612" s="10" t="str">
        <f ca="1">IFERROR(__xludf.DUMMYFUNCTION("""COMPUTED_VALUE"""),"СЪВРЕМЕННИ стратегии и иновации в управление на знанието = Contemporary srategies and innovations in the knowledge management – София: За буквите - О писменехь, 2017, ISSN 2535-0250")</f>
        <v>СЪВРЕМЕННИ стратегии и иновации в управление на знанието = Contemporary srategies and innovations in the knowledge management – София: За буквите - О писменехь, 2017, ISSN 2535-0250</v>
      </c>
      <c r="F7612" s="10" t="str">
        <f ca="1">IFERROR(__xludf.DUMMYFUNCTION("""COMPUTED_VALUE"""),"Референтен списък на НАЦИД")</f>
        <v>Референтен списък на НАЦИД</v>
      </c>
      <c r="G7612" s="10" t="str">
        <f ca="1">IFERROR(__xludf.DUMMYFUNCTION("""COMPUTED_VALUE"""),"Дияна Стоянова, Елена Савова")</f>
        <v>Дияна Стоянова, Елена Савова</v>
      </c>
      <c r="H7612" s="10"/>
      <c r="I7612" s="10"/>
      <c r="J7612" s="10"/>
      <c r="K7612" s="10"/>
      <c r="L7612" s="10"/>
      <c r="M7612" s="10"/>
      <c r="N7612" s="10"/>
      <c r="O7612" s="10"/>
      <c r="P7612" s="10"/>
      <c r="Q7612" s="10"/>
      <c r="R7612" s="10"/>
      <c r="S7612" s="10"/>
      <c r="T7612" s="10"/>
      <c r="U7612" s="10"/>
      <c r="V7612" s="10"/>
      <c r="W7612" s="10"/>
      <c r="X7612" s="10"/>
      <c r="Y7612" s="10"/>
      <c r="Z7612" s="10"/>
    </row>
    <row r="7613" spans="1:26" ht="12.75">
      <c r="A7613" s="10" t="str">
        <f ca="1">IFERROR(__xludf.DUMMYFUNCTION("""COMPUTED_VALUE"""),"Тереза Стоянова Тренчева")</f>
        <v>Тереза Стоянова Тренчева</v>
      </c>
      <c r="B7613" s="10" t="str">
        <f ca="1">IFERROR(__xludf.DUMMYFUNCTION("""COMPUTED_VALUE"""),"Доклад от конференция")</f>
        <v>Доклад от конференция</v>
      </c>
      <c r="C7613" s="10" t="str">
        <f ca="1">IFERROR(__xludf.DUMMYFUNCTION("""COMPUTED_VALUE"""),"Intellectual Property Problems on Photographic Information Analysis in University Environment")</f>
        <v>Intellectual Property Problems on Photographic Information Analysis in University Environment</v>
      </c>
      <c r="D7613" s="10">
        <f ca="1">IFERROR(__xludf.DUMMYFUNCTION("""COMPUTED_VALUE"""),2019)</f>
        <v>2019</v>
      </c>
      <c r="E7613" s="10" t="str">
        <f ca="1">IFERROR(__xludf.DUMMYFUNCTION("""COMPUTED_VALUE"""),"In Conference Proceedings: International Conference - The New Perspectives in Science Education, 21-22 March 2019, Florence, Italy, Simonelli Ed., Vol. 8, Libreriauni versitaria, Italy, 2019, pp. 182 – 186. ISBN 978-88-85813-56-4 ISSN 2420-9732")</f>
        <v>In Conference Proceedings: International Conference - The New Perspectives in Science Education, 21-22 March 2019, Florence, Italy, Simonelli Ed., Vol. 8, Libreriauni versitaria, Italy, 2019, pp. 182 – 186. ISBN 978-88-85813-56-4 ISSN 2420-9732</v>
      </c>
      <c r="F7613" s="10" t="str">
        <f ca="1">IFERROR(__xludf.DUMMYFUNCTION("""COMPUTED_VALUE"""),"Web of Science")</f>
        <v>Web of Science</v>
      </c>
      <c r="G7613" s="10" t="str">
        <f ca="1">IFERROR(__xludf.DUMMYFUNCTION("""COMPUTED_VALUE"""),"K. Planska - Simeonova, S. Denchev")</f>
        <v>K. Planska - Simeonova, S. Denchev</v>
      </c>
      <c r="H7613" s="10"/>
      <c r="I7613" s="10"/>
      <c r="J7613" s="10"/>
      <c r="K7613" s="10"/>
      <c r="L7613" s="10"/>
      <c r="M7613" s="10"/>
      <c r="N7613" s="10"/>
      <c r="O7613" s="10"/>
      <c r="P7613" s="10"/>
      <c r="Q7613" s="10"/>
      <c r="R7613" s="10"/>
      <c r="S7613" s="10"/>
      <c r="T7613" s="10"/>
      <c r="U7613" s="10"/>
      <c r="V7613" s="10"/>
      <c r="W7613" s="10"/>
      <c r="X7613" s="10"/>
      <c r="Y7613" s="10"/>
      <c r="Z7613" s="10"/>
    </row>
    <row r="7614" spans="1:26" ht="12.75">
      <c r="A7614" s="10" t="str">
        <f ca="1">IFERROR(__xludf.DUMMYFUNCTION("""COMPUTED_VALUE"""),"Тереза Стоянова Тренчева")</f>
        <v>Тереза Стоянова Тренчева</v>
      </c>
      <c r="B7614" s="10" t="str">
        <f ca="1">IFERROR(__xludf.DUMMYFUNCTION("""COMPUTED_VALUE"""),"Доклад от конференция")</f>
        <v>Доклад от конференция</v>
      </c>
      <c r="C7614" s="10" t="str">
        <f ca="1">IFERROR(__xludf.DUMMYFUNCTION("""COMPUTED_VALUE"""),"Модел на формално обучение по интелектуална собственост за библиотечно-информационни мениджъри")</f>
        <v>Модел на формално обучение по интелектуална собственост за библиотечно-информационни мениджъри</v>
      </c>
      <c r="D7614" s="10">
        <f ca="1">IFERROR(__xludf.DUMMYFUNCTION("""COMPUTED_VALUE"""),2018)</f>
        <v>2018</v>
      </c>
      <c r="E7614" s="10" t="str">
        <f ca="1">IFERROR(__xludf.DUMMYFUNCTION("""COMPUTED_VALUE"""),"Европейските граждани и интелектуалната собственост – възприятие, осъзнатост, поведение : Сборник с доклади от Шести национален семинар с международно участие, 25-26 април 2018 г. УниБИТ / Състав. Т. Тренчева, К. Планска - Симеонова. – София : За буквите "&amp;"– О писменехь, 2018. с. 107-124 ISBN: 978-619-185-350-2")</f>
        <v>Европейските граждани и интелектуалната собственост – възприятие, осъзнатост, поведение : Сборник с доклади от Шести национален семинар с международно участие, 25-26 април 2018 г. УниБИТ / Състав. Т. Тренчева, К. Планска - Симеонова. – София : За буквите – О писменехь, 2018. с. 107-124 ISBN: 978-619-185-350-2</v>
      </c>
      <c r="F7614" s="10" t="str">
        <f ca="1">IFERROR(__xludf.DUMMYFUNCTION("""COMPUTED_VALUE"""),"Референтен списък на НАЦИД")</f>
        <v>Референтен списък на НАЦИД</v>
      </c>
      <c r="G7614" s="10" t="str">
        <f ca="1">IFERROR(__xludf.DUMMYFUNCTION("""COMPUTED_VALUE"""),"Таня Тодорова")</f>
        <v>Таня Тодорова</v>
      </c>
      <c r="H7614" s="10"/>
      <c r="I7614" s="10"/>
      <c r="J7614" s="10"/>
      <c r="K7614" s="10"/>
      <c r="L7614" s="10"/>
      <c r="M7614" s="10"/>
      <c r="N7614" s="10"/>
      <c r="O7614" s="10"/>
      <c r="P7614" s="10"/>
      <c r="Q7614" s="10"/>
      <c r="R7614" s="10"/>
      <c r="S7614" s="10"/>
      <c r="T7614" s="10"/>
      <c r="U7614" s="10"/>
      <c r="V7614" s="10"/>
      <c r="W7614" s="10"/>
      <c r="X7614" s="10"/>
      <c r="Y7614" s="10"/>
      <c r="Z7614" s="10"/>
    </row>
    <row r="7615" spans="1:26" ht="12.75">
      <c r="A7615" s="10" t="str">
        <f ca="1">IFERROR(__xludf.DUMMYFUNCTION("""COMPUTED_VALUE"""),"Тереза Стоянова Тренчева")</f>
        <v>Тереза Стоянова Тренчева</v>
      </c>
      <c r="B7615" s="10" t="str">
        <f ca="1">IFERROR(__xludf.DUMMYFUNCTION("""COMPUTED_VALUE"""),"Книга")</f>
        <v>Книга</v>
      </c>
      <c r="C7615" s="10" t="str">
        <f ca="1">IFERROR(__xludf.DUMMYFUNCTION("""COMPUTED_VALUE"""),"Съвременни стратегии и иновации в управление на знанието - 4")</f>
        <v>Съвременни стратегии и иновации в управление на знанието - 4</v>
      </c>
      <c r="D7615" s="10">
        <f ca="1">IFERROR(__xludf.DUMMYFUNCTION("""COMPUTED_VALUE"""),2018)</f>
        <v>2018</v>
      </c>
      <c r="E7615" s="10" t="str">
        <f ca="1">IFERROR(__xludf.DUMMYFUNCTION("""COMPUTED_VALUE"""),"Сборник от научна конференция Съвременни стратегии и иновации в управление на знанието. София, За буквите – О писменехь, 2018, 168 с. ISSN 2535-0250")</f>
        <v>Сборник от научна конференция Съвременни стратегии и иновации в управление на знанието. София, За буквите – О писменехь, 2018, 168 с. ISSN 2535-0250</v>
      </c>
      <c r="F7615" s="10" t="str">
        <f ca="1">IFERROR(__xludf.DUMMYFUNCTION("""COMPUTED_VALUE"""),"Референтен списък на НАЦИД")</f>
        <v>Референтен списък на НАЦИД</v>
      </c>
      <c r="G7615" s="10" t="str">
        <f ca="1">IFERROR(__xludf.DUMMYFUNCTION("""COMPUTED_VALUE"""),"Дияна Стоянова, Мирияна Павлова")</f>
        <v>Дияна Стоянова, Мирияна Павлова</v>
      </c>
      <c r="H7615" s="10"/>
      <c r="I7615" s="10"/>
      <c r="J7615" s="10"/>
      <c r="K7615" s="10"/>
      <c r="L7615" s="10"/>
      <c r="M7615" s="10"/>
      <c r="N7615" s="10"/>
      <c r="O7615" s="10"/>
      <c r="P7615" s="10"/>
      <c r="Q7615" s="10"/>
      <c r="R7615" s="10"/>
      <c r="S7615" s="10"/>
      <c r="T7615" s="10"/>
      <c r="U7615" s="10"/>
      <c r="V7615" s="10"/>
      <c r="W7615" s="10"/>
      <c r="X7615" s="10"/>
      <c r="Y7615" s="10"/>
      <c r="Z7615" s="10"/>
    </row>
    <row r="7616" spans="1:26" ht="12.75">
      <c r="A7616" s="10" t="str">
        <f ca="1">IFERROR(__xludf.DUMMYFUNCTION("""COMPUTED_VALUE"""),"Тереза Стоянова Тренчева")</f>
        <v>Тереза Стоянова Тренчева</v>
      </c>
      <c r="B7616" s="10" t="str">
        <f ca="1">IFERROR(__xludf.DUMMYFUNCTION("""COMPUTED_VALUE"""),"Доклад от конференция")</f>
        <v>Доклад от конференция</v>
      </c>
      <c r="C7616" s="10" t="str">
        <f ca="1">IFERROR(__xludf.DUMMYFUNCTION("""COMPUTED_VALUE"""),"Intellectual Property Awareness at Library and Information Science in Bulgaria: SULSIT’s Experience")</f>
        <v>Intellectual Property Awareness at Library and Information Science in Bulgaria: SULSIT’s Experience</v>
      </c>
      <c r="D7616" s="10">
        <f ca="1">IFERROR(__xludf.DUMMYFUNCTION("""COMPUTED_VALUE"""),2018)</f>
        <v>2018</v>
      </c>
      <c r="E7616" s="10" t="str">
        <f ca="1">IFERROR(__xludf.DUMMYFUNCTION("""COMPUTED_VALUE"""),"Conference Proceedings : Seventh edition of the International Conference „New Perspectives in Science Education”, Florence, Italy, 22-23 March 2018. – Florence : Liberariauniversitaria, 2018, p. 367-371. ISBN: 978-88-6292-976-9")</f>
        <v>Conference Proceedings : Seventh edition of the International Conference „New Perspectives in Science Education”, Florence, Italy, 22-23 March 2018. – Florence : Liberariauniversitaria, 2018, p. 367-371. ISBN: 978-88-6292-976-9</v>
      </c>
      <c r="F7616" s="10" t="str">
        <f ca="1">IFERROR(__xludf.DUMMYFUNCTION("""COMPUTED_VALUE"""),"SCOPUS")</f>
        <v>SCOPUS</v>
      </c>
      <c r="G7616" s="10" t="str">
        <f ca="1">IFERROR(__xludf.DUMMYFUNCTION("""COMPUTED_VALUE"""),"Stoyan Denchev")</f>
        <v>Stoyan Denchev</v>
      </c>
      <c r="H7616" s="10"/>
      <c r="I7616" s="10"/>
      <c r="J7616" s="10"/>
      <c r="K7616" s="10"/>
      <c r="L7616" s="10"/>
      <c r="M7616" s="10"/>
      <c r="N7616" s="10"/>
      <c r="O7616" s="10"/>
      <c r="P7616" s="10"/>
      <c r="Q7616" s="10"/>
      <c r="R7616" s="10"/>
      <c r="S7616" s="10"/>
      <c r="T7616" s="10"/>
      <c r="U7616" s="10"/>
      <c r="V7616" s="10"/>
      <c r="W7616" s="10"/>
      <c r="X7616" s="10"/>
      <c r="Y7616" s="10"/>
      <c r="Z7616" s="10"/>
    </row>
    <row r="7617" spans="1:26" ht="12.75">
      <c r="A7617" s="10" t="str">
        <f ca="1">IFERROR(__xludf.DUMMYFUNCTION("""COMPUTED_VALUE"""),"Тереза Стоянова Тренчева")</f>
        <v>Тереза Стоянова Тренчева</v>
      </c>
      <c r="B7617" s="10" t="str">
        <f ca="1">IFERROR(__xludf.DUMMYFUNCTION("""COMPUTED_VALUE"""),"Доклад от конференция")</f>
        <v>Доклад от конференция</v>
      </c>
      <c r="C7617" s="10" t="str">
        <f ca="1">IFERROR(__xludf.DUMMYFUNCTION("""COMPUTED_VALUE"""),"Университетска младежка академия за управление на знания (УМЛАУЗ) – Неформален модел на обучение в УниБИТ")</f>
        <v>Университетска младежка академия за управление на знания (УМЛАУЗ) – Неформален модел на обучение в УниБИТ</v>
      </c>
      <c r="D7617" s="10">
        <f ca="1">IFERROR(__xludf.DUMMYFUNCTION("""COMPUTED_VALUE"""),2018)</f>
        <v>2018</v>
      </c>
      <c r="E7617" s="10" t="str">
        <f ca="1">IFERROR(__xludf.DUMMYFUNCTION("""COMPUTED_VALUE"""),"БИБЛИОТЕЧНИЯТ и информационен мениджмънт – София: За буквите - О писменехь, 2018, ISBN 978-619-185-347-2")</f>
        <v>БИБЛИОТЕЧНИЯТ и информационен мениджмънт – София: За буквите - О писменехь, 2018, ISBN 978-619-185-347-2</v>
      </c>
      <c r="F7617" s="10" t="str">
        <f ca="1">IFERROR(__xludf.DUMMYFUNCTION("""COMPUTED_VALUE"""),"Референтен списък на НАЦИД")</f>
        <v>Референтен списък на НАЦИД</v>
      </c>
      <c r="G7617" s="10"/>
      <c r="H7617" s="10"/>
      <c r="I7617" s="10"/>
      <c r="J7617" s="10"/>
      <c r="K7617" s="10"/>
      <c r="L7617" s="10"/>
      <c r="M7617" s="10"/>
      <c r="N7617" s="10"/>
      <c r="O7617" s="10"/>
      <c r="P7617" s="10"/>
      <c r="Q7617" s="10"/>
      <c r="R7617" s="10"/>
      <c r="S7617" s="10"/>
      <c r="T7617" s="10"/>
      <c r="U7617" s="10"/>
      <c r="V7617" s="10"/>
      <c r="W7617" s="10"/>
      <c r="X7617" s="10"/>
      <c r="Y7617" s="10"/>
      <c r="Z7617" s="10"/>
    </row>
    <row r="7618" spans="1:26" ht="12.75">
      <c r="A7618" s="10" t="str">
        <f ca="1">IFERROR(__xludf.DUMMYFUNCTION("""COMPUTED_VALUE"""),"Тереза Стоянова Тренчева")</f>
        <v>Тереза Стоянова Тренчева</v>
      </c>
      <c r="B7618" s="10" t="str">
        <f ca="1">IFERROR(__xludf.DUMMYFUNCTION("""COMPUTED_VALUE"""),"Книга")</f>
        <v>Книга</v>
      </c>
      <c r="C7618" s="10" t="str">
        <f ca="1">IFERROR(__xludf.DUMMYFUNCTION("""COMPUTED_VALUE"""),"Европейските граждани и интелектуалната собственост – възприятие, осъзнатост, поведение")</f>
        <v>Европейските граждани и интелектуалната собственост – възприятие, осъзнатост, поведение</v>
      </c>
      <c r="D7618" s="10">
        <f ca="1">IFERROR(__xludf.DUMMYFUNCTION("""COMPUTED_VALUE"""),2018)</f>
        <v>2018</v>
      </c>
      <c r="E7618" s="10" t="str">
        <f ca="1">IFERROR(__xludf.DUMMYFUNCTION("""COMPUTED_VALUE"""),"Сборник с доклади от Шести национален семинар с международно участие, 25-26 април 2018 г., / Състав. Т. Тренчева. – София : За буквите – О писменехь, 2018. 450 с. ISBN: 978-619-185-350-2")</f>
        <v>Сборник с доклади от Шести национален семинар с международно участие, 25-26 април 2018 г., / Състав. Т. Тренчева. – София : За буквите – О писменехь, 2018. 450 с. ISBN: 978-619-185-350-2</v>
      </c>
      <c r="F7618" s="10" t="str">
        <f ca="1">IFERROR(__xludf.DUMMYFUNCTION("""COMPUTED_VALUE"""),"Референтен списък на НАЦИД")</f>
        <v>Референтен списък на НАЦИД</v>
      </c>
      <c r="G7618" s="10" t="str">
        <f ca="1">IFERROR(__xludf.DUMMYFUNCTION("""COMPUTED_VALUE"""),"Камелия Планска - Симеонова")</f>
        <v>Камелия Планска - Симеонова</v>
      </c>
      <c r="H7618" s="10"/>
      <c r="I7618" s="10"/>
      <c r="J7618" s="10"/>
      <c r="K7618" s="10"/>
      <c r="L7618" s="10"/>
      <c r="M7618" s="10"/>
      <c r="N7618" s="10"/>
      <c r="O7618" s="10"/>
      <c r="P7618" s="10"/>
      <c r="Q7618" s="10"/>
      <c r="R7618" s="10"/>
      <c r="S7618" s="10"/>
      <c r="T7618" s="10"/>
      <c r="U7618" s="10"/>
      <c r="V7618" s="10"/>
      <c r="W7618" s="10"/>
      <c r="X7618" s="10"/>
      <c r="Y7618" s="10"/>
      <c r="Z7618" s="10"/>
    </row>
    <row r="7619" spans="1:26" ht="12.75">
      <c r="A7619" s="10" t="str">
        <f ca="1">IFERROR(__xludf.DUMMYFUNCTION("""COMPUTED_VALUE"""),"Тереза Стоянова Тренчева")</f>
        <v>Тереза Стоянова Тренчева</v>
      </c>
      <c r="B7619" s="10" t="str">
        <f ca="1">IFERROR(__xludf.DUMMYFUNCTION("""COMPUTED_VALUE"""),"Статия в списания и поредици")</f>
        <v>Статия в списания и поредици</v>
      </c>
      <c r="C7619" s="10" t="str">
        <f ca="1">IFERROR(__xludf.DUMMYFUNCTION("""COMPUTED_VALUE"""),"Interaction in Intellectual Property Education In University Infrastructure: the ULSIT's Experience")</f>
        <v>Interaction in Intellectual Property Education In University Infrastructure: the ULSIT's Experience</v>
      </c>
      <c r="D7619" s="10">
        <f ca="1">IFERROR(__xludf.DUMMYFUNCTION("""COMPUTED_VALUE"""),2018)</f>
        <v>2018</v>
      </c>
      <c r="E7619" s="10" t="str">
        <f ca="1">IFERROR(__xludf.DUMMYFUNCTION("""COMPUTED_VALUE"""),"ICERI 2018 Proceedings, 12-14 November 2018, Seville, Spain, 2018, pp. 1142 – 1149 ISBN: 978-84-09-05948-5 ISSN: 2340-1095")</f>
        <v>ICERI 2018 Proceedings, 12-14 November 2018, Seville, Spain, 2018, pp. 1142 – 1149 ISBN: 978-84-09-05948-5 ISSN: 2340-1095</v>
      </c>
      <c r="F7619" s="10" t="str">
        <f ca="1">IFERROR(__xludf.DUMMYFUNCTION("""COMPUTED_VALUE"""),"Web of Science, Cross Ref")</f>
        <v>Web of Science, Cross Ref</v>
      </c>
      <c r="G7619" s="10" t="str">
        <f ca="1">IFERROR(__xludf.DUMMYFUNCTION("""COMPUTED_VALUE"""),"Kamelia Planska – Simeonova Svetoslava Dimitrova")</f>
        <v>Kamelia Planska – Simeonova Svetoslava Dimitrova</v>
      </c>
      <c r="H7619" s="10"/>
      <c r="I7619" s="10"/>
      <c r="J7619" s="10"/>
      <c r="K7619" s="10"/>
      <c r="L7619" s="10"/>
      <c r="M7619" s="10"/>
      <c r="N7619" s="10"/>
      <c r="O7619" s="10"/>
      <c r="P7619" s="10"/>
      <c r="Q7619" s="10"/>
      <c r="R7619" s="10"/>
      <c r="S7619" s="10"/>
      <c r="T7619" s="10"/>
      <c r="U7619" s="10"/>
      <c r="V7619" s="10"/>
      <c r="W7619" s="10"/>
      <c r="X7619" s="10"/>
      <c r="Y7619" s="10"/>
      <c r="Z7619" s="10"/>
    </row>
    <row r="7620" spans="1:26" ht="12.75">
      <c r="A7620" s="10" t="str">
        <f ca="1">IFERROR(__xludf.DUMMYFUNCTION("""COMPUTED_VALUE"""),"Тереза Стоянова Тренчева")</f>
        <v>Тереза Стоянова Тренчева</v>
      </c>
      <c r="B7620" s="10" t="str">
        <f ca="1">IFERROR(__xludf.DUMMYFUNCTION("""COMPUTED_VALUE"""),"Доклад от конференция")</f>
        <v>Доклад от конференция</v>
      </c>
      <c r="C7620" s="10" t="str">
        <f ca="1">IFERROR(__xludf.DUMMYFUNCTION("""COMPUTED_VALUE"""),"Договорите Криейтив Комънс и връзката им с библиотеките")</f>
        <v>Договорите Криейтив Комънс и връзката им с библиотеките</v>
      </c>
      <c r="D7620" s="10">
        <f ca="1">IFERROR(__xludf.DUMMYFUNCTION("""COMPUTED_VALUE"""),2018)</f>
        <v>2018</v>
      </c>
      <c r="E7620" s="10" t="str">
        <f ca="1">IFERROR(__xludf.DUMMYFUNCTION("""COMPUTED_VALUE"""),"Европейските граждани и интелектуалната собственост – възприятие, осъзнатост, поведение : Сборник с доклади от Шести национален семинар с международно участие, 25-26 април 2018 г. УниБИТ / Състав. Т. Тренчева. – София : За буквите – О писменехь, 2018. ISB"&amp;"N: 978-619-185-350-2")</f>
        <v>Европейските граждани и интелектуалната собственост – възприятие, осъзнатост, поведение : Сборник с доклади от Шести национален семинар с международно участие, 25-26 април 2018 г. УниБИТ / Състав. Т. Тренчева. – София : За буквите – О писменехь, 2018. ISBN: 978-619-185-350-2</v>
      </c>
      <c r="F7620" s="10" t="str">
        <f ca="1">IFERROR(__xludf.DUMMYFUNCTION("""COMPUTED_VALUE"""),"Рефернтен списък на НАЦИД")</f>
        <v>Рефернтен списък на НАЦИД</v>
      </c>
      <c r="G7620" s="10" t="str">
        <f ca="1">IFERROR(__xludf.DUMMYFUNCTION("""COMPUTED_VALUE"""),"Радостина Василева")</f>
        <v>Радостина Василева</v>
      </c>
      <c r="H7620" s="10"/>
      <c r="I7620" s="10"/>
      <c r="J7620" s="10"/>
      <c r="K7620" s="10"/>
      <c r="L7620" s="10"/>
      <c r="M7620" s="10"/>
      <c r="N7620" s="10"/>
      <c r="O7620" s="10"/>
      <c r="P7620" s="10"/>
      <c r="Q7620" s="10"/>
      <c r="R7620" s="10"/>
      <c r="S7620" s="10"/>
      <c r="T7620" s="10"/>
      <c r="U7620" s="10"/>
      <c r="V7620" s="10"/>
      <c r="W7620" s="10"/>
      <c r="X7620" s="10"/>
      <c r="Y7620" s="10"/>
      <c r="Z7620" s="10"/>
    </row>
    <row r="7621" spans="1:26" ht="12.75">
      <c r="A7621" s="10" t="str">
        <f ca="1">IFERROR(__xludf.DUMMYFUNCTION("""COMPUTED_VALUE"""),"Тереза Стоянова Тренчева")</f>
        <v>Тереза Стоянова Тренчева</v>
      </c>
      <c r="B7621" s="10" t="str">
        <f ca="1">IFERROR(__xludf.DUMMYFUNCTION("""COMPUTED_VALUE"""),"Книга")</f>
        <v>Книга</v>
      </c>
      <c r="C7621" s="10" t="str">
        <f ca="1">IFERROR(__xludf.DUMMYFUNCTION("""COMPUTED_VALUE"""),"Интелектуална собственост, иновации и научна дейност в глобална среда")</f>
        <v>Интелектуална собственост, иновации и научна дейност в глобална среда</v>
      </c>
      <c r="D7621" s="10">
        <f ca="1">IFERROR(__xludf.DUMMYFUNCTION("""COMPUTED_VALUE"""),2017)</f>
        <v>2017</v>
      </c>
      <c r="E7621" s="10" t="str">
        <f ca="1">IFERROR(__xludf.DUMMYFUNCTION("""COMPUTED_VALUE"""),"Сборник с доклади от Пети национален семинар с международно участие, 26 април 2017 г., УниБИТ. – София : За буквите – О писменехь, 2017. – 328 с. ISBN: 978-619-185-272-7")</f>
        <v>Сборник с доклади от Пети национален семинар с международно участие, 26 април 2017 г., УниБИТ. – София : За буквите – О писменехь, 2017. – 328 с. ISBN: 978-619-185-272-7</v>
      </c>
      <c r="F7621" s="10"/>
      <c r="G7621" s="10"/>
      <c r="H7621" s="10"/>
      <c r="I7621" s="10"/>
      <c r="J7621" s="10"/>
      <c r="K7621" s="10"/>
      <c r="L7621" s="10"/>
      <c r="M7621" s="10"/>
      <c r="N7621" s="10"/>
      <c r="O7621" s="10"/>
      <c r="P7621" s="10"/>
      <c r="Q7621" s="10"/>
      <c r="R7621" s="10"/>
      <c r="S7621" s="10"/>
      <c r="T7621" s="10"/>
      <c r="U7621" s="10"/>
      <c r="V7621" s="10"/>
      <c r="W7621" s="10"/>
      <c r="X7621" s="10"/>
      <c r="Y7621" s="10"/>
      <c r="Z7621" s="10"/>
    </row>
    <row r="7622" spans="1:26" ht="12.75">
      <c r="A7622" s="10" t="str">
        <f ca="1">IFERROR(__xludf.DUMMYFUNCTION("""COMPUTED_VALUE"""),"Тереза Стоянова Тренчева")</f>
        <v>Тереза Стоянова Тренчева</v>
      </c>
      <c r="B7622" s="10" t="str">
        <f ca="1">IFERROR(__xludf.DUMMYFUNCTION("""COMPUTED_VALUE"""),"Доклад от конференция")</f>
        <v>Доклад от конференция</v>
      </c>
      <c r="C7622" s="10" t="str">
        <f ca="1">IFERROR(__xludf.DUMMYFUNCTION("""COMPUTED_VALUE"""),"Intellectual Property Training in the Field of Photography and Media in Bulgaria")</f>
        <v>Intellectual Property Training in the Field of Photography and Media in Bulgaria</v>
      </c>
      <c r="D7622" s="10">
        <f ca="1">IFERROR(__xludf.DUMMYFUNCTION("""COMPUTED_VALUE"""),2017)</f>
        <v>2017</v>
      </c>
      <c r="E7622" s="10" t="str">
        <f ca="1">IFERROR(__xludf.DUMMYFUNCTION("""COMPUTED_VALUE"""),"Conference Proceedings : Sixth edition of the International Conference „New Perspectives in Science Education”, Florence, Italy, 16-17 March 2017. – Florence : Liberariauniversitaria, 2017, p. 38-42. ISBN: 978-88-6292-847-2")</f>
        <v>Conference Proceedings : Sixth edition of the International Conference „New Perspectives in Science Education”, Florence, Italy, 16-17 March 2017. – Florence : Liberariauniversitaria, 2017, p. 38-42. ISBN: 978-88-6292-847-2</v>
      </c>
      <c r="F7622" s="10" t="str">
        <f ca="1">IFERROR(__xludf.DUMMYFUNCTION("""COMPUTED_VALUE"""),"SCOPUS")</f>
        <v>SCOPUS</v>
      </c>
      <c r="G7622" s="10" t="str">
        <f ca="1">IFERROR(__xludf.DUMMYFUNCTION("""COMPUTED_VALUE"""),"K. Planska, E. Zdravkova")</f>
        <v>K. Planska, E. Zdravkova</v>
      </c>
      <c r="H7622" s="10"/>
      <c r="I7622" s="10"/>
      <c r="J7622" s="10"/>
      <c r="K7622" s="10"/>
      <c r="L7622" s="10"/>
      <c r="M7622" s="10"/>
      <c r="N7622" s="10"/>
      <c r="O7622" s="10"/>
      <c r="P7622" s="10"/>
      <c r="Q7622" s="10"/>
      <c r="R7622" s="10"/>
      <c r="S7622" s="10"/>
      <c r="T7622" s="10"/>
      <c r="U7622" s="10"/>
      <c r="V7622" s="10"/>
      <c r="W7622" s="10"/>
      <c r="X7622" s="10"/>
      <c r="Y7622" s="10"/>
      <c r="Z7622" s="10"/>
    </row>
    <row r="7623" spans="1:26" ht="12.75">
      <c r="A7623" s="10" t="str">
        <f ca="1">IFERROR(__xludf.DUMMYFUNCTION("""COMPUTED_VALUE"""),"Тереза Стоянова Тренчева")</f>
        <v>Тереза Стоянова Тренчева</v>
      </c>
      <c r="B7623" s="10" t="str">
        <f ca="1">IFERROR(__xludf.DUMMYFUNCTION("""COMPUTED_VALUE"""),"Доклад от конференция")</f>
        <v>Доклад от конференция</v>
      </c>
      <c r="C7623" s="10" t="str">
        <f ca="1">IFERROR(__xludf.DUMMYFUNCTION("""COMPUTED_VALUE"""),"Intellectual Property Training of Library and Information Management Bachelor’s Students.")</f>
        <v>Intellectual Property Training of Library and Information Management Bachelor’s Students.</v>
      </c>
      <c r="D7623" s="10">
        <f ca="1">IFERROR(__xludf.DUMMYFUNCTION("""COMPUTED_VALUE"""),2017)</f>
        <v>2017</v>
      </c>
      <c r="E7623" s="10" t="str">
        <f ca="1">IFERROR(__xludf.DUMMYFUNCTION("""COMPUTED_VALUE"""),"Information Literacy: Key to an Inclusive Society : 5th European Conference on Information Literacy (ECIL): Revised Selected Papers. Eds. by S. Kurbanoğlu et. al., ECIL, Saint Malo, 2017, Springer-Verlag, Heidelberg, 2017, рp. 294-302. - (Communication in"&amp;" Computer and Information Science, Vol. 810). ISBN 978-3-319-74334-9")</f>
        <v>Information Literacy: Key to an Inclusive Society : 5th European Conference on Information Literacy (ECIL): Revised Selected Papers. Eds. by S. Kurbanoğlu et. al., ECIL, Saint Malo, 2017, Springer-Verlag, Heidelberg, 2017, рp. 294-302. - (Communication in Computer and Information Science, Vol. 810). ISBN 978-3-319-74334-9</v>
      </c>
      <c r="F7623" s="10" t="str">
        <f ca="1">IFERROR(__xludf.DUMMYFUNCTION("""COMPUTED_VALUE"""),"Web of Science, Scopus")</f>
        <v>Web of Science, Scopus</v>
      </c>
      <c r="G7623" s="10" t="str">
        <f ca="1">IFERROR(__xludf.DUMMYFUNCTION("""COMPUTED_VALUE"""),"T.Todorova, E. Tsvetkova.")</f>
        <v>T.Todorova, E. Tsvetkova.</v>
      </c>
      <c r="H7623" s="10"/>
      <c r="I7623" s="10"/>
      <c r="J7623" s="10"/>
      <c r="K7623" s="10"/>
      <c r="L7623" s="10"/>
      <c r="M7623" s="10"/>
      <c r="N7623" s="10"/>
      <c r="O7623" s="10"/>
      <c r="P7623" s="10"/>
      <c r="Q7623" s="10"/>
      <c r="R7623" s="10"/>
      <c r="S7623" s="10"/>
      <c r="T7623" s="10"/>
      <c r="U7623" s="10"/>
      <c r="V7623" s="10"/>
      <c r="W7623" s="10"/>
      <c r="X7623" s="10"/>
      <c r="Y7623" s="10"/>
      <c r="Z7623" s="10"/>
    </row>
    <row r="7624" spans="1:26" ht="12.75">
      <c r="A7624" s="10" t="str">
        <f ca="1">IFERROR(__xludf.DUMMYFUNCTION("""COMPUTED_VALUE"""),"Тереза Стоянова Тренчева")</f>
        <v>Тереза Стоянова Тренчева</v>
      </c>
      <c r="B7624" s="10" t="str">
        <f ca="1">IFERROR(__xludf.DUMMYFUNCTION("""COMPUTED_VALUE"""),"Книга")</f>
        <v>Книга</v>
      </c>
      <c r="C7624" s="10" t="str">
        <f ca="1">IFERROR(__xludf.DUMMYFUNCTION("""COMPUTED_VALUE"""),"Съвременни стратегии и иновации в управление на знанието 3/2017")</f>
        <v>Съвременни стратегии и иновации в управление на знанието 3/2017</v>
      </c>
      <c r="D7624" s="10">
        <f ca="1">IFERROR(__xludf.DUMMYFUNCTION("""COMPUTED_VALUE"""),2017)</f>
        <v>2017</v>
      </c>
      <c r="E7624" s="10" t="str">
        <f ca="1">IFERROR(__xludf.DUMMYFUNCTION("""COMPUTED_VALUE"""),"Сборник с доклади от Третата научна конференция на УМЛАУЗ, ЕП в Брюксел, 4 май 2017 / Състав. С. Денчев, Д. Стоянова, М. Павлова, С. Ефтимова, Т. Тренчева. – София : За буквите – О писменехь, 2017. – 170 с. ISSN: 2535-0250 (print)")</f>
        <v>Сборник с доклади от Третата научна конференция на УМЛАУЗ, ЕП в Брюксел, 4 май 2017 / Състав. С. Денчев, Д. Стоянова, М. Павлова, С. Ефтимова, Т. Тренчева. – София : За буквите – О писменехь, 2017. – 170 с. ISSN: 2535-0250 (print)</v>
      </c>
      <c r="F7624" s="10"/>
      <c r="G7624" s="10" t="str">
        <f ca="1">IFERROR(__xludf.DUMMYFUNCTION("""COMPUTED_VALUE"""),"Стоян Денчев, Дияна Стоянова, Мирияна Павлова, Събина Ефтимова")</f>
        <v>Стоян Денчев, Дияна Стоянова, Мирияна Павлова, Събина Ефтимова</v>
      </c>
      <c r="H7624" s="10"/>
      <c r="I7624" s="10"/>
      <c r="J7624" s="10"/>
      <c r="K7624" s="10"/>
      <c r="L7624" s="10"/>
      <c r="M7624" s="10"/>
      <c r="N7624" s="10"/>
      <c r="O7624" s="10"/>
      <c r="P7624" s="10"/>
      <c r="Q7624" s="10"/>
      <c r="R7624" s="10"/>
      <c r="S7624" s="10"/>
      <c r="T7624" s="10"/>
      <c r="U7624" s="10"/>
      <c r="V7624" s="10"/>
      <c r="W7624" s="10"/>
      <c r="X7624" s="10"/>
      <c r="Y7624" s="10"/>
      <c r="Z7624" s="10"/>
    </row>
    <row r="7625" spans="1:26" ht="12.75">
      <c r="A7625" s="10" t="str">
        <f ca="1">IFERROR(__xludf.DUMMYFUNCTION("""COMPUTED_VALUE"""),"Тереза Стоянова Тренчева")</f>
        <v>Тереза Стоянова Тренчева</v>
      </c>
      <c r="B7625" s="10" t="str">
        <f ca="1">IFERROR(__xludf.DUMMYFUNCTION("""COMPUTED_VALUE"""),"Статия в списания и поредици")</f>
        <v>Статия в списания и поредици</v>
      </c>
      <c r="C7625" s="10" t="str">
        <f ca="1">IFERROR(__xludf.DUMMYFUNCTION("""COMPUTED_VALUE"""),"Съвременни тенденции в обучението по интелектуална собственост в университетска среда в България")</f>
        <v>Съвременни тенденции в обучението по интелектуална собственост в университетска среда в България</v>
      </c>
      <c r="D7625" s="10">
        <f ca="1">IFERROR(__xludf.DUMMYFUNCTION("""COMPUTED_VALUE"""),2017)</f>
        <v>2017</v>
      </c>
      <c r="E7625" s="10" t="str">
        <f ca="1">IFERROR(__xludf.DUMMYFUNCTION("""COMPUTED_VALUE"""),"Съвременни стратегии и иновации в управление на знанието : Доклади от III научна конференция на УМЛАУЗ, Европейски парламент в Брюксел, 4 май 2017 / Състав. С. Денчев, Д. Стоянова, М. Павлова, С. Ефтимова, Т. Тренчева. – София : За буквите – О писменехь, "&amp;"2017, с. 46-54. ISSN: 2535-0250 (print)")</f>
        <v>Съвременни стратегии и иновации в управление на знанието : Доклади от III научна конференция на УМЛАУЗ, Европейски парламент в Брюксел, 4 май 2017 / Състав. С. Денчев, Д. Стоянова, М. Павлова, С. Ефтимова, Т. Тренчева. – София : За буквите – О писменехь, 2017, с. 46-54. ISSN: 2535-0250 (print)</v>
      </c>
      <c r="F7625" s="10"/>
      <c r="G7625" s="10" t="str">
        <f ca="1">IFERROR(__xludf.DUMMYFUNCTION("""COMPUTED_VALUE"""),"Камелия Планска")</f>
        <v>Камелия Планска</v>
      </c>
      <c r="H7625" s="10"/>
      <c r="I7625" s="10"/>
      <c r="J7625" s="10"/>
      <c r="K7625" s="10"/>
      <c r="L7625" s="10"/>
      <c r="M7625" s="10"/>
      <c r="N7625" s="10"/>
      <c r="O7625" s="10"/>
      <c r="P7625" s="10"/>
      <c r="Q7625" s="10"/>
      <c r="R7625" s="10"/>
      <c r="S7625" s="10"/>
      <c r="T7625" s="10"/>
      <c r="U7625" s="10"/>
      <c r="V7625" s="10"/>
      <c r="W7625" s="10"/>
      <c r="X7625" s="10"/>
      <c r="Y7625" s="10"/>
      <c r="Z7625" s="10"/>
    </row>
    <row r="7626" spans="1:26" ht="12.75">
      <c r="A7626" s="10" t="str">
        <f ca="1">IFERROR(__xludf.DUMMYFUNCTION("""COMPUTED_VALUE"""),"Тереза Стоянова Тренчева")</f>
        <v>Тереза Стоянова Тренчева</v>
      </c>
      <c r="B7626" s="10" t="str">
        <f ca="1">IFERROR(__xludf.DUMMYFUNCTION("""COMPUTED_VALUE"""),"Учебник")</f>
        <v>Учебник</v>
      </c>
      <c r="C7626" s="10" t="str">
        <f ca="1">IFERROR(__xludf.DUMMYFUNCTION("""COMPUTED_VALUE"""),"Социални мрежи и Интернет")</f>
        <v>Социални мрежи и Интернет</v>
      </c>
      <c r="D7626" s="10">
        <f ca="1">IFERROR(__xludf.DUMMYFUNCTION("""COMPUTED_VALUE"""),2017)</f>
        <v>2017</v>
      </c>
      <c r="E7626" s="10" t="str">
        <f ca="1">IFERROR(__xludf.DUMMYFUNCTION("""COMPUTED_VALUE"""),"София : За буквите – О писменехь, 2017. – 250 с. ISBN 978-619-185-303-8")</f>
        <v>София : За буквите – О писменехь, 2017. – 250 с. ISBN 978-619-185-303-8</v>
      </c>
      <c r="F7626" s="10"/>
      <c r="G7626" s="10"/>
      <c r="H7626" s="10"/>
      <c r="I7626" s="10"/>
      <c r="J7626" s="10"/>
      <c r="K7626" s="10"/>
      <c r="L7626" s="10"/>
      <c r="M7626" s="10"/>
      <c r="N7626" s="10"/>
      <c r="O7626" s="10"/>
      <c r="P7626" s="10"/>
      <c r="Q7626" s="10"/>
      <c r="R7626" s="10"/>
      <c r="S7626" s="10"/>
      <c r="T7626" s="10"/>
      <c r="U7626" s="10"/>
      <c r="V7626" s="10"/>
      <c r="W7626" s="10"/>
      <c r="X7626" s="10"/>
      <c r="Y7626" s="10"/>
      <c r="Z7626" s="10"/>
    </row>
    <row r="7627" spans="1:26" ht="12.75">
      <c r="A7627" s="10" t="str">
        <f ca="1">IFERROR(__xludf.DUMMYFUNCTION("""COMPUTED_VALUE"""),"Тереза Стоянова Тренчева")</f>
        <v>Тереза Стоянова Тренчева</v>
      </c>
      <c r="B7627" s="10" t="str">
        <f ca="1">IFERROR(__xludf.DUMMYFUNCTION("""COMPUTED_VALUE"""),"Книга")</f>
        <v>Книга</v>
      </c>
      <c r="C7627" s="10" t="str">
        <f ca="1">IFERROR(__xludf.DUMMYFUNCTION("""COMPUTED_VALUE"""),"Съвременни стратегии и иновации в управление на знанието – 2/2017")</f>
        <v>Съвременни стратегии и иновации в управление на знанието – 2/2017</v>
      </c>
      <c r="D7627" s="10">
        <f ca="1">IFERROR(__xludf.DUMMYFUNCTION("""COMPUTED_VALUE"""),2017)</f>
        <v>2017</v>
      </c>
      <c r="E7627" s="10" t="str">
        <f ca="1">IFERROR(__xludf.DUMMYFUNCTION("""COMPUTED_VALUE"""),"Сборник с доклади от Втората научна конференция на УМЛАУЗ, Костенец, 2-4 ноември 2015 / Състав. С. Денчев, Т. Тренчева, С. Ефтимова, Д. Стоянова. – София : За буквите – О писменехь, 2017. – 259 с. ISSN: 2535-0250")</f>
        <v>Сборник с доклади от Втората научна конференция на УМЛАУЗ, Костенец, 2-4 ноември 2015 / Състав. С. Денчев, Т. Тренчева, С. Ефтимова, Д. Стоянова. – София : За буквите – О писменехь, 2017. – 259 с. ISSN: 2535-0250</v>
      </c>
      <c r="F7627" s="10"/>
      <c r="G7627" s="10" t="str">
        <f ca="1">IFERROR(__xludf.DUMMYFUNCTION("""COMPUTED_VALUE"""),"Стоян Денчев, Събина Ефтимова, Дияна Стоянова")</f>
        <v>Стоян Денчев, Събина Ефтимова, Дияна Стоянова</v>
      </c>
      <c r="H7627" s="10"/>
      <c r="I7627" s="10"/>
      <c r="J7627" s="10"/>
      <c r="K7627" s="10"/>
      <c r="L7627" s="10"/>
      <c r="M7627" s="10"/>
      <c r="N7627" s="10"/>
      <c r="O7627" s="10"/>
      <c r="P7627" s="10"/>
      <c r="Q7627" s="10"/>
      <c r="R7627" s="10"/>
      <c r="S7627" s="10"/>
      <c r="T7627" s="10"/>
      <c r="U7627" s="10"/>
      <c r="V7627" s="10"/>
      <c r="W7627" s="10"/>
      <c r="X7627" s="10"/>
      <c r="Y7627" s="10"/>
      <c r="Z7627" s="10"/>
    </row>
    <row r="7628" spans="1:26" ht="12.75">
      <c r="A7628" s="10" t="str">
        <f ca="1">IFERROR(__xludf.DUMMYFUNCTION("""COMPUTED_VALUE"""),"Тереза Стоянова Тренчева")</f>
        <v>Тереза Стоянова Тренчева</v>
      </c>
      <c r="B7628" s="10" t="str">
        <f ca="1">IFERROR(__xludf.DUMMYFUNCTION("""COMPUTED_VALUE"""),"Доклад от конференция")</f>
        <v>Доклад от конференция</v>
      </c>
      <c r="C7628" s="10" t="str">
        <f ca="1">IFERROR(__xludf.DUMMYFUNCTION("""COMPUTED_VALUE"""),"Отворен достъп – основни дефиниции, предимства и недостатъци")</f>
        <v>Отворен достъп – основни дефиниции, предимства и недостатъци</v>
      </c>
      <c r="D7628" s="10">
        <f ca="1">IFERROR(__xludf.DUMMYFUNCTION("""COMPUTED_VALUE"""),2017)</f>
        <v>2017</v>
      </c>
      <c r="E7628" s="10" t="str">
        <f ca="1">IFERROR(__xludf.DUMMYFUNCTION("""COMPUTED_VALUE"""),"Интелектуална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УниБИТ/ Състав. Т. Тренчева. – София : За буквите – О писменехь, 2017, с. 265-274. ISBN: 978-619-"&amp;"185-272-7")</f>
        <v>Интелектуална собственост, иновации и научна дейност в глобална среда : Сборник с доклади от Пети национален семинар с международно участие, 26 април 2017 г. УниБИТ/ Състав. Т. Тренчева. – София : За буквите – О писменехь, 2017, с. 265-274. ISBN: 978-619-185-272-7</v>
      </c>
      <c r="F7628" s="10"/>
      <c r="G7628" s="10" t="str">
        <f ca="1">IFERROR(__xludf.DUMMYFUNCTION("""COMPUTED_VALUE"""),"Радостина Василева")</f>
        <v>Радостина Василева</v>
      </c>
      <c r="H7628" s="10"/>
      <c r="I7628" s="10"/>
      <c r="J7628" s="10"/>
      <c r="K7628" s="10"/>
      <c r="L7628" s="10"/>
      <c r="M7628" s="10"/>
      <c r="N7628" s="10"/>
      <c r="O7628" s="10"/>
      <c r="P7628" s="10"/>
      <c r="Q7628" s="10"/>
      <c r="R7628" s="10"/>
      <c r="S7628" s="10"/>
      <c r="T7628" s="10"/>
      <c r="U7628" s="10"/>
      <c r="V7628" s="10"/>
      <c r="W7628" s="10"/>
      <c r="X7628" s="10"/>
      <c r="Y7628" s="10"/>
      <c r="Z7628" s="10"/>
    </row>
    <row r="7629" spans="1:26" ht="12.75">
      <c r="A7629" s="10" t="str">
        <f ca="1">IFERROR(__xludf.DUMMYFUNCTION("""COMPUTED_VALUE"""),"Тереза Стоянова Тренчева")</f>
        <v>Тереза Стоянова Тренчева</v>
      </c>
      <c r="B7629" s="10" t="str">
        <f ca="1">IFERROR(__xludf.DUMMYFUNCTION("""COMPUTED_VALUE"""),"Доклад от конференция")</f>
        <v>Доклад от конференция</v>
      </c>
      <c r="C7629" s="10" t="str">
        <f ca="1">IFERROR(__xludf.DUMMYFUNCTION("""COMPUTED_VALUE"""),"Academic Policy Reflections of Student’s Reading Behavior Study in SULSIT, Bulgaria.")</f>
        <v>Academic Policy Reflections of Student’s Reading Behavior Study in SULSIT, Bulgaria.</v>
      </c>
      <c r="D7629" s="10">
        <f ca="1">IFERROR(__xludf.DUMMYFUNCTION("""COMPUTED_VALUE"""),2016)</f>
        <v>2016</v>
      </c>
      <c r="E7629" s="10" t="str">
        <f ca="1">IFERROR(__xludf.DUMMYFUNCTION("""COMPUTED_VALUE"""),"Information Literacy : Key to an Inclusive Society : Forth European Conference on Information Literacy (ECIL), Prague, Czech Republic, Oct. 10-13, 2016, Revised Selected Papers. Eds. by S. Kurbanoğlu et. al. : Springer-Verlag, Heidelberg, 2016, p. 256-264"&amp;". ISBN 978-3-319-52162-6")</f>
        <v>Information Literacy : Key to an Inclusive Society : Forth European Conference on Information Literacy (ECIL), Prague, Czech Republic, Oct. 10-13, 2016, Revised Selected Papers. Eds. by S. Kurbanoğlu et. al. : Springer-Verlag, Heidelberg, 2016, p. 256-264. ISBN 978-3-319-52162-6</v>
      </c>
      <c r="F7629" s="10" t="str">
        <f ca="1">IFERROR(__xludf.DUMMYFUNCTION("""COMPUTED_VALUE"""),"Web of Science, Scopus")</f>
        <v>Web of Science, Scopus</v>
      </c>
      <c r="G7629" s="10" t="str">
        <f ca="1">IFERROR(__xludf.DUMMYFUNCTION("""COMPUTED_VALUE"""),"T.Todorova, R. Krasteva,E. Tsvetkova.")</f>
        <v>T.Todorova, R. Krasteva,E. Tsvetkova.</v>
      </c>
      <c r="H7629" s="10"/>
      <c r="I7629" s="10"/>
      <c r="J7629" s="10"/>
      <c r="K7629" s="10"/>
      <c r="L7629" s="10"/>
      <c r="M7629" s="10"/>
      <c r="N7629" s="10"/>
      <c r="O7629" s="10"/>
      <c r="P7629" s="10"/>
      <c r="Q7629" s="10"/>
      <c r="R7629" s="10"/>
      <c r="S7629" s="10"/>
      <c r="T7629" s="10"/>
      <c r="U7629" s="10"/>
      <c r="V7629" s="10"/>
      <c r="W7629" s="10"/>
      <c r="X7629" s="10"/>
      <c r="Y7629" s="10"/>
      <c r="Z7629" s="10"/>
    </row>
    <row r="7630" spans="1:26" ht="12.75">
      <c r="A7630" s="10" t="str">
        <f ca="1">IFERROR(__xludf.DUMMYFUNCTION("""COMPUTED_VALUE"""),"Тереза Стоянова Тренчева")</f>
        <v>Тереза Стоянова Тренчева</v>
      </c>
      <c r="B7630" s="10" t="str">
        <f ca="1">IFERROR(__xludf.DUMMYFUNCTION("""COMPUTED_VALUE"""),"Доклад от конференция")</f>
        <v>Доклад от конференция</v>
      </c>
      <c r="C7630" s="10" t="str">
        <f ca="1">IFERROR(__xludf.DUMMYFUNCTION("""COMPUTED_VALUE"""),"Information Literacy of LIS Students in SULSIT: Survey Results and Academic Reflections")</f>
        <v>Information Literacy of LIS Students in SULSIT: Survey Results and Academic Reflections</v>
      </c>
      <c r="D7630" s="10">
        <f ca="1">IFERROR(__xludf.DUMMYFUNCTION("""COMPUTED_VALUE"""),2016)</f>
        <v>2016</v>
      </c>
      <c r="E7630" s="10" t="str">
        <f ca="1">IFERROR(__xludf.DUMMYFUNCTION("""COMPUTED_VALUE"""),"Conference Proceedings : Fifth edition of the International Conference „New Perspectives in Science Education”, Florence, Italy, 17-18 March 2016. – Florence : Liberariauniversitaria, 2016, p. 180-184. ISBN: 978-88-6292-705-5")</f>
        <v>Conference Proceedings : Fifth edition of the International Conference „New Perspectives in Science Education”, Florence, Italy, 17-18 March 2016. – Florence : Liberariauniversitaria, 2016, p. 180-184. ISBN: 978-88-6292-705-5</v>
      </c>
      <c r="F7630" s="10" t="str">
        <f ca="1">IFERROR(__xludf.DUMMYFUNCTION("""COMPUTED_VALUE"""),"SCOPUS")</f>
        <v>SCOPUS</v>
      </c>
      <c r="G7630" s="10" t="str">
        <f ca="1">IFERROR(__xludf.DUMMYFUNCTION("""COMPUTED_VALUE"""),"Tania Todorova, Elisaveta Tsvetkova")</f>
        <v>Tania Todorova, Elisaveta Tsvetkova</v>
      </c>
      <c r="H7630" s="10"/>
      <c r="I7630" s="10"/>
      <c r="J7630" s="10"/>
      <c r="K7630" s="10"/>
      <c r="L7630" s="10"/>
      <c r="M7630" s="10"/>
      <c r="N7630" s="10"/>
      <c r="O7630" s="10"/>
      <c r="P7630" s="10"/>
      <c r="Q7630" s="10"/>
      <c r="R7630" s="10"/>
      <c r="S7630" s="10"/>
      <c r="T7630" s="10"/>
      <c r="U7630" s="10"/>
      <c r="V7630" s="10"/>
      <c r="W7630" s="10"/>
      <c r="X7630" s="10"/>
      <c r="Y7630" s="10"/>
      <c r="Z7630" s="10"/>
    </row>
    <row r="7631" spans="1:26" ht="12.75">
      <c r="A7631" s="10" t="str">
        <f ca="1">IFERROR(__xludf.DUMMYFUNCTION("""COMPUTED_VALUE"""),"Тереза Стоянова Тренчева")</f>
        <v>Тереза Стоянова Тренчева</v>
      </c>
      <c r="B7631" s="10" t="str">
        <f ca="1">IFERROR(__xludf.DUMMYFUNCTION("""COMPUTED_VALUE"""),"Доклад от конференция")</f>
        <v>Доклад от конференция</v>
      </c>
      <c r="C7631" s="10" t="str">
        <f ca="1">IFERROR(__xludf.DUMMYFUNCTION("""COMPUTED_VALUE"""),"Intellectual Property as a Basic Part of the University’s Information Literacy")</f>
        <v>Intellectual Property as a Basic Part of the University’s Information Literacy</v>
      </c>
      <c r="D7631" s="10">
        <f ca="1">IFERROR(__xludf.DUMMYFUNCTION("""COMPUTED_VALUE"""),2016)</f>
        <v>2016</v>
      </c>
      <c r="E7631" s="10" t="str">
        <f ca="1">IFERROR(__xludf.DUMMYFUNCTION("""COMPUTED_VALUE"""),"Conference Proceedings : 2nd International Conference on Education and Management Science (ICEMS 2016), Beijing, China, 28-29 May 2016. – China : DEStech Publications, 2016, p. 74-78. ISBN: 978-1-60595-359-5")</f>
        <v>Conference Proceedings : 2nd International Conference on Education and Management Science (ICEMS 2016), Beijing, China, 28-29 May 2016. – China : DEStech Publications, 2016, p. 74-78. ISBN: 978-1-60595-359-5</v>
      </c>
      <c r="F7631" s="10" t="str">
        <f ca="1">IFERROR(__xludf.DUMMYFUNCTION("""COMPUTED_VALUE"""),"Cross Ref, SCOPUS, Web of Science")</f>
        <v>Cross Ref, SCOPUS, Web of Science</v>
      </c>
      <c r="G7631" s="10" t="str">
        <f ca="1">IFERROR(__xludf.DUMMYFUNCTION("""COMPUTED_VALUE"""),"Stoyan Denchev")</f>
        <v>Stoyan Denchev</v>
      </c>
      <c r="H7631" s="10"/>
      <c r="I7631" s="10"/>
      <c r="J7631" s="10"/>
      <c r="K7631" s="10"/>
      <c r="L7631" s="10"/>
      <c r="M7631" s="10"/>
      <c r="N7631" s="10"/>
      <c r="O7631" s="10"/>
      <c r="P7631" s="10"/>
      <c r="Q7631" s="10"/>
      <c r="R7631" s="10"/>
      <c r="S7631" s="10"/>
      <c r="T7631" s="10"/>
      <c r="U7631" s="10"/>
      <c r="V7631" s="10"/>
      <c r="W7631" s="10"/>
      <c r="X7631" s="10"/>
      <c r="Y7631" s="10"/>
      <c r="Z7631" s="10"/>
    </row>
    <row r="7632" spans="1:26" ht="12.75">
      <c r="A7632" s="10" t="str">
        <f ca="1">IFERROR(__xludf.DUMMYFUNCTION("""COMPUTED_VALUE"""),"Тереза Стоянова Тренчева")</f>
        <v>Тереза Стоянова Тренчева</v>
      </c>
      <c r="B7632" s="10" t="str">
        <f ca="1">IFERROR(__xludf.DUMMYFUNCTION("""COMPUTED_VALUE"""),"Доклад от конференция")</f>
        <v>Доклад от конференция</v>
      </c>
      <c r="C7632" s="10" t="str">
        <f ca="1">IFERROR(__xludf.DUMMYFUNCTION("""COMPUTED_VALUE"""),"The Role of Intellectual Property in Bioinformatics in Bulgaria")</f>
        <v>The Role of Intellectual Property in Bioinformatics in Bulgaria</v>
      </c>
      <c r="D7632" s="10">
        <f ca="1">IFERROR(__xludf.DUMMYFUNCTION("""COMPUTED_VALUE"""),2016)</f>
        <v>2016</v>
      </c>
      <c r="E7632" s="10" t="str">
        <f ca="1">IFERROR(__xludf.DUMMYFUNCTION("""COMPUTED_VALUE"""),"International Conference “The New Perspectives in Science Education”, Conference Proceedings, 17-18 March 2016, Florence, Italy, Simonelli Ed., Vol. 5, pp. 632-636. ISBN: 978-88-6292-705-5")</f>
        <v>International Conference “The New Perspectives in Science Education”, Conference Proceedings, 17-18 March 2016, Florence, Italy, Simonelli Ed., Vol. 5, pp. 632-636. ISBN: 978-88-6292-705-5</v>
      </c>
      <c r="F7632" s="10" t="str">
        <f ca="1">IFERROR(__xludf.DUMMYFUNCTION("""COMPUTED_VALUE"""),"SCOPUS")</f>
        <v>SCOPUS</v>
      </c>
      <c r="G7632" s="10" t="str">
        <f ca="1">IFERROR(__xludf.DUMMYFUNCTION("""COMPUTED_VALUE"""),"Ivan Trenchev")</f>
        <v>Ivan Trenchev</v>
      </c>
      <c r="H7632" s="10"/>
      <c r="I7632" s="10"/>
      <c r="J7632" s="10"/>
      <c r="K7632" s="10"/>
      <c r="L7632" s="10"/>
      <c r="M7632" s="10"/>
      <c r="N7632" s="10"/>
      <c r="O7632" s="10"/>
      <c r="P7632" s="10"/>
      <c r="Q7632" s="10"/>
      <c r="R7632" s="10"/>
      <c r="S7632" s="10"/>
      <c r="T7632" s="10"/>
      <c r="U7632" s="10"/>
      <c r="V7632" s="10"/>
      <c r="W7632" s="10"/>
      <c r="X7632" s="10"/>
      <c r="Y7632" s="10"/>
      <c r="Z7632" s="10"/>
    </row>
    <row r="7633" spans="1:26" ht="12.75">
      <c r="A7633" s="10" t="str">
        <f ca="1">IFERROR(__xludf.DUMMYFUNCTION("""COMPUTED_VALUE"""),"Тереза Стоянова Тренчева")</f>
        <v>Тереза Стоянова Тренчева</v>
      </c>
      <c r="B7633" s="10" t="str">
        <f ca="1">IFERROR(__xludf.DUMMYFUNCTION("""COMPUTED_VALUE"""),"Книга")</f>
        <v>Книга</v>
      </c>
      <c r="C7633" s="10" t="str">
        <f ca="1">IFERROR(__xludf.DUMMYFUNCTION("""COMPUTED_VALUE"""),"Интернет либерализацията – предизвикателства и добри практики пред интелектуалната собственост")</f>
        <v>Интернет либерализацията – предизвикателства и добри практики пред интелектуалната собственост</v>
      </c>
      <c r="D7633" s="10">
        <f ca="1">IFERROR(__xludf.DUMMYFUNCTION("""COMPUTED_VALUE"""),2016)</f>
        <v>2016</v>
      </c>
      <c r="E7633" s="10" t="str">
        <f ca="1">IFERROR(__xludf.DUMMYFUNCTION("""COMPUTED_VALUE"""),"Сборник с доклади от Четвърти национален семинар с международно участие, 26-27 април 2016 г., УниБИТ / Състав. Тереза Тренчева. – София : За буквите – О писменехь, 2016. – 412 с.")</f>
        <v>Сборник с доклади от Четвърти национален семинар с международно участие, 26-27 април 2016 г., УниБИТ / Състав. Тереза Тренчева. – София : За буквите – О писменехь, 2016. – 412 с.</v>
      </c>
      <c r="F7633" s="10"/>
      <c r="G7633" s="10"/>
      <c r="H7633" s="10"/>
      <c r="I7633" s="10"/>
      <c r="J7633" s="10"/>
      <c r="K7633" s="10"/>
      <c r="L7633" s="10"/>
      <c r="M7633" s="10"/>
      <c r="N7633" s="10"/>
      <c r="O7633" s="10"/>
      <c r="P7633" s="10"/>
      <c r="Q7633" s="10"/>
      <c r="R7633" s="10"/>
      <c r="S7633" s="10"/>
      <c r="T7633" s="10"/>
      <c r="U7633" s="10"/>
      <c r="V7633" s="10"/>
      <c r="W7633" s="10"/>
      <c r="X7633" s="10"/>
      <c r="Y7633" s="10"/>
      <c r="Z7633" s="10"/>
    </row>
    <row r="7634" spans="1:26" ht="12.75">
      <c r="A7634" s="10" t="str">
        <f ca="1">IFERROR(__xludf.DUMMYFUNCTION("""COMPUTED_VALUE"""),"Тереза Стоянова Тренчева")</f>
        <v>Тереза Стоянова Тренчева</v>
      </c>
      <c r="B7634" s="10" t="str">
        <f ca="1">IFERROR(__xludf.DUMMYFUNCTION("""COMPUTED_VALUE"""),"Доклад от конференция")</f>
        <v>Доклад от конференция</v>
      </c>
      <c r="C7634" s="10" t="str">
        <f ca="1">IFERROR(__xludf.DUMMYFUNCTION("""COMPUTED_VALUE"""),"Intellectual Property Awareness of SULSIT’s Students: Survey Results and Curricula Reflection")</f>
        <v>Intellectual Property Awareness of SULSIT’s Students: Survey Results and Curricula Reflection</v>
      </c>
      <c r="D7634" s="10">
        <f ca="1">IFERROR(__xludf.DUMMYFUNCTION("""COMPUTED_VALUE"""),2016)</f>
        <v>2016</v>
      </c>
      <c r="E7634" s="10" t="str">
        <f ca="1">IFERROR(__xludf.DUMMYFUNCTION("""COMPUTED_VALUE"""),"Conference Proceedings : 14th International Conference of E-Society, Vilamoura, Algarve, 9 – 11 April, 2016. – Portugal : IADIS Press, Portugal, 2016, p. 79-86., ISBN: 978-989-8533-48-7")</f>
        <v>Conference Proceedings : 14th International Conference of E-Society, Vilamoura, Algarve, 9 – 11 April, 2016. – Portugal : IADIS Press, Portugal, 2016, p. 79-86., ISBN: 978-989-8533-48-7</v>
      </c>
      <c r="F7634" s="10" t="str">
        <f ca="1">IFERROR(__xludf.DUMMYFUNCTION("""COMPUTED_VALUE"""),"Scopus, Thomson Reuters, EBSCO, Elsevier")</f>
        <v>Scopus, Thomson Reuters, EBSCO, Elsevier</v>
      </c>
      <c r="G7634" s="10" t="str">
        <f ca="1">IFERROR(__xludf.DUMMYFUNCTION("""COMPUTED_VALUE"""),"Stoyan Denchev")</f>
        <v>Stoyan Denchev</v>
      </c>
      <c r="H7634" s="10"/>
      <c r="I7634" s="10"/>
      <c r="J7634" s="10"/>
      <c r="K7634" s="10"/>
      <c r="L7634" s="10"/>
      <c r="M7634" s="10"/>
      <c r="N7634" s="10"/>
      <c r="O7634" s="10"/>
      <c r="P7634" s="10"/>
      <c r="Q7634" s="10"/>
      <c r="R7634" s="10"/>
      <c r="S7634" s="10"/>
      <c r="T7634" s="10"/>
      <c r="U7634" s="10"/>
      <c r="V7634" s="10"/>
      <c r="W7634" s="10"/>
      <c r="X7634" s="10"/>
      <c r="Y7634" s="10"/>
      <c r="Z7634" s="10"/>
    </row>
    <row r="7635" spans="1:26" ht="12.75">
      <c r="A7635" s="10" t="str">
        <f ca="1">IFERROR(__xludf.DUMMYFUNCTION("""COMPUTED_VALUE"""),"Тереза Стоянова Тренчева")</f>
        <v>Тереза Стоянова Тренчева</v>
      </c>
      <c r="B7635" s="10" t="str">
        <f ca="1">IFERROR(__xludf.DUMMYFUNCTION("""COMPUTED_VALUE"""),"Доклад от конференция")</f>
        <v>Доклад от конференция</v>
      </c>
      <c r="C7635" s="10" t="str">
        <f ca="1">IFERROR(__xludf.DUMMYFUNCTION("""COMPUTED_VALUE"""),"Университетска младежка академия за управление на знанията – един нов поглед в бъдещето")</f>
        <v>Университетска младежка академия за управление на знанията – един нов поглед в бъдещето</v>
      </c>
      <c r="D7635" s="10">
        <f ca="1">IFERROR(__xludf.DUMMYFUNCTION("""COMPUTED_VALUE"""),2015)</f>
        <v>2015</v>
      </c>
      <c r="E7635" s="10" t="str">
        <f ca="1">IFERROR(__xludf.DUMMYFUNCTION("""COMPUTED_VALUE"""),"Сборник с научни доклади и съобщения от Национална научна конференция: ИКТ в библиотечно-информационните науки, образо-ванието и културното наследство, 29 май 2015 г. / Състав. Т. Тодорова, Е. Ковачева, Р. Николов. – София : За буквите – О писменехь, 2015"&amp;", с. 168- 181. ISBN 978-619-185-164-5")</f>
        <v>Сборник с научни доклади и съобщения от Национална научна конференция: ИКТ в библиотечно-информационните науки, образо-ванието и културното наследство, 29 май 2015 г. / Състав. Т. Тодорова, Е. Ковачева, Р. Николов. – София : За буквите – О писменехь, 2015, с. 168- 181. ISBN 978-619-185-164-5</v>
      </c>
      <c r="F7635" s="10"/>
      <c r="G7635" s="10" t="str">
        <f ca="1">IFERROR(__xludf.DUMMYFUNCTION("""COMPUTED_VALUE"""),"Стоян Денчев")</f>
        <v>Стоян Денчев</v>
      </c>
      <c r="H7635" s="10"/>
      <c r="I7635" s="10"/>
      <c r="J7635" s="10"/>
      <c r="K7635" s="10"/>
      <c r="L7635" s="10"/>
      <c r="M7635" s="10"/>
      <c r="N7635" s="10"/>
      <c r="O7635" s="10"/>
      <c r="P7635" s="10"/>
      <c r="Q7635" s="10"/>
      <c r="R7635" s="10"/>
      <c r="S7635" s="10"/>
      <c r="T7635" s="10"/>
      <c r="U7635" s="10"/>
      <c r="V7635" s="10"/>
      <c r="W7635" s="10"/>
      <c r="X7635" s="10"/>
      <c r="Y7635" s="10"/>
      <c r="Z7635" s="10"/>
    </row>
    <row r="7636" spans="1:26" ht="12.75">
      <c r="A7636" s="10" t="str">
        <f ca="1">IFERROR(__xludf.DUMMYFUNCTION("""COMPUTED_VALUE"""),"Тереза Стоянова Тренчева")</f>
        <v>Тереза Стоянова Тренчева</v>
      </c>
      <c r="B7636" s="10" t="str">
        <f ca="1">IFERROR(__xludf.DUMMYFUNCTION("""COMPUTED_VALUE"""),"Книга")</f>
        <v>Книга</v>
      </c>
      <c r="C7636" s="10" t="str">
        <f ca="1">IFERROR(__xludf.DUMMYFUNCTION("""COMPUTED_VALUE"""),"Интелектуалната собственост – формула за успех, творчество и иновации")</f>
        <v>Интелектуалната собственост – формула за успех, творчество и иновации</v>
      </c>
      <c r="D7636" s="10">
        <f ca="1">IFERROR(__xludf.DUMMYFUNCTION("""COMPUTED_VALUE"""),2015)</f>
        <v>2015</v>
      </c>
      <c r="E7636" s="10" t="str">
        <f ca="1">IFERROR(__xludf.DUMMYFUNCTION("""COMPUTED_VALUE"""),"Сборник с доклади от Трети национален семинар с международно участие, 27-28 април 2015 г./ Състав. Т. Тренчева. – София : За буквите – О писменехь, 2015. – 358 с. ISBN: 978-619-185-160-7")</f>
        <v>Сборник с доклади от Трети национален семинар с международно участие, 27-28 април 2015 г./ Състав. Т. Тренчева. – София : За буквите – О писменехь, 2015. – 358 с. ISBN: 978-619-185-160-7</v>
      </c>
      <c r="F7636" s="10"/>
      <c r="G7636" s="10"/>
      <c r="H7636" s="10"/>
      <c r="I7636" s="10"/>
      <c r="J7636" s="10"/>
      <c r="K7636" s="10"/>
      <c r="L7636" s="10"/>
      <c r="M7636" s="10"/>
      <c r="N7636" s="10"/>
      <c r="O7636" s="10"/>
      <c r="P7636" s="10"/>
      <c r="Q7636" s="10"/>
      <c r="R7636" s="10"/>
      <c r="S7636" s="10"/>
      <c r="T7636" s="10"/>
      <c r="U7636" s="10"/>
      <c r="V7636" s="10"/>
      <c r="W7636" s="10"/>
      <c r="X7636" s="10"/>
      <c r="Y7636" s="10"/>
      <c r="Z7636" s="10"/>
    </row>
    <row r="7637" spans="1:26" ht="12.75">
      <c r="A7637" s="10" t="str">
        <f ca="1">IFERROR(__xludf.DUMMYFUNCTION("""COMPUTED_VALUE"""),"Тереза Стоянова Тренчева")</f>
        <v>Тереза Стоянова Тренчева</v>
      </c>
      <c r="B7637" s="10" t="str">
        <f ca="1">IFERROR(__xludf.DUMMYFUNCTION("""COMPUTED_VALUE"""),"Доклад от конференция")</f>
        <v>Доклад от конференция</v>
      </c>
      <c r="C7637" s="10" t="str">
        <f ca="1">IFERROR(__xludf.DUMMYFUNCTION("""COMPUTED_VALUE"""),"Управление на авторските правомощия върху музикални произведения в Интернет в България")</f>
        <v>Управление на авторските правомощия върху музикални произведения в Интернет в България</v>
      </c>
      <c r="D7637" s="10">
        <f ca="1">IFERROR(__xludf.DUMMYFUNCTION("""COMPUTED_VALUE"""),2015)</f>
        <v>2015</v>
      </c>
      <c r="E7637" s="10" t="str">
        <f ca="1">IFERROR(__xludf.DUMMYFUNCTION("""COMPUTED_VALUE"""),"Интелектуалната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УниБИТ / Състав. Т. Тренчева. – София : За буквите – О писменехь, 2015, с. 31-46. ISBN: 978-6"&amp;"19-185-160-7")</f>
        <v>Интелектуалната собственост – формула за успех, творчество и иновации : Сборник с доклади от Трети национален семинар с международно участие, 27-28 април 2015 г. УниБИТ / Състав. Т. Тренчева. – София : За буквите – О писменехь, 2015, с. 31-46. ISBN: 978-619-185-160-7</v>
      </c>
      <c r="F7637" s="10"/>
      <c r="G7637" s="10" t="str">
        <f ca="1">IFERROR(__xludf.DUMMYFUNCTION("""COMPUTED_VALUE"""),"Камелия Планска, Ася Йорданова")</f>
        <v>Камелия Планска, Ася Йорданова</v>
      </c>
      <c r="H7637" s="10"/>
      <c r="I7637" s="10"/>
      <c r="J7637" s="10"/>
      <c r="K7637" s="10"/>
      <c r="L7637" s="10"/>
      <c r="M7637" s="10"/>
      <c r="N7637" s="10"/>
      <c r="O7637" s="10"/>
      <c r="P7637" s="10"/>
      <c r="Q7637" s="10"/>
      <c r="R7637" s="10"/>
      <c r="S7637" s="10"/>
      <c r="T7637" s="10"/>
      <c r="U7637" s="10"/>
      <c r="V7637" s="10"/>
      <c r="W7637" s="10"/>
      <c r="X7637" s="10"/>
      <c r="Y7637" s="10"/>
      <c r="Z7637" s="10"/>
    </row>
    <row r="7638" spans="1:26" ht="12.75">
      <c r="A7638" s="10" t="str">
        <f ca="1">IFERROR(__xludf.DUMMYFUNCTION("""COMPUTED_VALUE"""),"Тереза Стоянова Тренчева")</f>
        <v>Тереза Стоянова Тренчева</v>
      </c>
      <c r="B7638" s="10" t="str">
        <f ca="1">IFERROR(__xludf.DUMMYFUNCTION("""COMPUTED_VALUE"""),"Доклад от конференция")</f>
        <v>Доклад от конференция</v>
      </c>
      <c r="C7638" s="10" t="str">
        <f ca="1">IFERROR(__xludf.DUMMYFUNCTION("""COMPUTED_VALUE"""),"The University’s R&amp;D Institutes as a New Educational Approach")</f>
        <v>The University’s R&amp;D Institutes as a New Educational Approach</v>
      </c>
      <c r="D7638" s="10">
        <f ca="1">IFERROR(__xludf.DUMMYFUNCTION("""COMPUTED_VALUE"""),2015)</f>
        <v>2015</v>
      </c>
      <c r="E7638" s="10" t="str">
        <f ca="1">IFERROR(__xludf.DUMMYFUNCTION("""COMPUTED_VALUE"""),"International Technology, Education and Development Conference, Conference Proceedings, 02-04 March 2015, Madrid, Spain, pp. 951-957 ISBN 978-84-606-5763-7")</f>
        <v>International Technology, Education and Development Conference, Conference Proceedings, 02-04 March 2015, Madrid, Spain, pp. 951-957 ISBN 978-84-606-5763-7</v>
      </c>
      <c r="F7638" s="10" t="str">
        <f ca="1">IFERROR(__xludf.DUMMYFUNCTION("""COMPUTED_VALUE"""),"ISI Web of Knowledge")</f>
        <v>ISI Web of Knowledge</v>
      </c>
      <c r="G7638" s="10" t="str">
        <f ca="1">IFERROR(__xludf.DUMMYFUNCTION("""COMPUTED_VALUE"""),"Stoyan Denchev")</f>
        <v>Stoyan Denchev</v>
      </c>
      <c r="H7638" s="10"/>
      <c r="I7638" s="10"/>
      <c r="J7638" s="10"/>
      <c r="K7638" s="10"/>
      <c r="L7638" s="10"/>
      <c r="M7638" s="10"/>
      <c r="N7638" s="10"/>
      <c r="O7638" s="10"/>
      <c r="P7638" s="10"/>
      <c r="Q7638" s="10"/>
      <c r="R7638" s="10"/>
      <c r="S7638" s="10"/>
      <c r="T7638" s="10"/>
      <c r="U7638" s="10"/>
      <c r="V7638" s="10"/>
      <c r="W7638" s="10"/>
      <c r="X7638" s="10"/>
      <c r="Y7638" s="10"/>
      <c r="Z7638" s="10"/>
    </row>
    <row r="7639" spans="1:26" ht="12.75">
      <c r="A7639" s="10" t="str">
        <f ca="1">IFERROR(__xludf.DUMMYFUNCTION("""COMPUTED_VALUE"""),"Тереза Стоянова Тренчева")</f>
        <v>Тереза Стоянова Тренчева</v>
      </c>
      <c r="B7639" s="10" t="str">
        <f ca="1">IFERROR(__xludf.DUMMYFUNCTION("""COMPUTED_VALUE"""),"Статия в списания и поредици")</f>
        <v>Статия в списания и поредици</v>
      </c>
      <c r="C7639" s="10" t="str">
        <f ca="1">IFERROR(__xludf.DUMMYFUNCTION("""COMPUTED_VALUE"""),"Университетска младежка академия за управление на знанията – една добавена реалност в реалността на УниБИТ")</f>
        <v>Университетска младежка академия за управление на знанията – една добавена реалност в реалността на УниБИТ</v>
      </c>
      <c r="D7639" s="10">
        <f ca="1">IFERROR(__xludf.DUMMYFUNCTION("""COMPUTED_VALUE"""),2015)</f>
        <v>2015</v>
      </c>
      <c r="E7639" s="10" t="str">
        <f ca="1">IFERROR(__xludf.DUMMYFUNCTION("""COMPUTED_VALUE"""),"Съвременни стратегии и иновации в управление на знанието : Доклади от Втората научна конференция на УМЛАУЗ, Костенец, 2-4 ноември 2015 / Състав. Стоян Денчев, Тереза Тренчева, Събина Ефтимова, Дияна Стоянова; Науч. ред. Поли Муканова; Науч. рец. Мариела Н"&amp;"анкова, Любомира Парижкова. – София : За буквите – О писменехь, 2017, с. 33-44. ISSN: 2535-0250 (print)")</f>
        <v>Съвременни стратегии и иновации в управление на знанието : Доклади от Втората научна конференция на УМЛАУЗ, Костенец, 2-4 ноември 2015 / Състав. Стоян Денчев, Тереза Тренчева, Събина Ефтимова, Дияна Стоянова; Науч. ред. Поли Муканова; Науч. рец. Мариела Нанкова, Любомира Парижкова. – София : За буквите – О писменехь, 2017, с. 33-44. ISSN: 2535-0250 (print)</v>
      </c>
      <c r="F7639" s="10"/>
      <c r="G7639" s="10" t="str">
        <f ca="1">IFERROR(__xludf.DUMMYFUNCTION("""COMPUTED_VALUE"""),"Стоян Денчев, Камелия Планска")</f>
        <v>Стоян Денчев, Камелия Планска</v>
      </c>
      <c r="H7639" s="10"/>
      <c r="I7639" s="10"/>
      <c r="J7639" s="10"/>
      <c r="K7639" s="10"/>
      <c r="L7639" s="10"/>
      <c r="M7639" s="10"/>
      <c r="N7639" s="10"/>
      <c r="O7639" s="10"/>
      <c r="P7639" s="10"/>
      <c r="Q7639" s="10"/>
      <c r="R7639" s="10"/>
      <c r="S7639" s="10"/>
      <c r="T7639" s="10"/>
      <c r="U7639" s="10"/>
      <c r="V7639" s="10"/>
      <c r="W7639" s="10"/>
      <c r="X7639" s="10"/>
      <c r="Y7639" s="10"/>
      <c r="Z7639" s="10"/>
    </row>
    <row r="7640" spans="1:26" ht="12.75">
      <c r="A7640" s="10" t="str">
        <f ca="1">IFERROR(__xludf.DUMMYFUNCTION("""COMPUTED_VALUE"""),"Тереза Стоянова Тренчева")</f>
        <v>Тереза Стоянова Тренчева</v>
      </c>
      <c r="B7640" s="10" t="str">
        <f ca="1">IFERROR(__xludf.DUMMYFUNCTION("""COMPUTED_VALUE"""),"Статия в списания и поредици")</f>
        <v>Статия в списания и поредици</v>
      </c>
      <c r="C7640" s="10" t="str">
        <f ca="1">IFERROR(__xludf.DUMMYFUNCTION("""COMPUTED_VALUE"""),"Интелектуалната собственост в университетската информационна среда на УниБИТ")</f>
        <v>Интелектуалната собственост в университетската информационна среда на УниБИТ</v>
      </c>
      <c r="D7640" s="10">
        <f ca="1">IFERROR(__xludf.DUMMYFUNCTION("""COMPUTED_VALUE"""),2015)</f>
        <v>2015</v>
      </c>
      <c r="E7640" s="10" t="str">
        <f ca="1">IFERROR(__xludf.DUMMYFUNCTION("""COMPUTED_VALUE"""),"Сборник с доклади от VII, VIII, IX, Международен пътуващ семинар на УниБИТ : Ч. VII : Българо-английски културни общувания, България – Великобритания, 25 – 31 май 2013 г., T. 3. – София : За буквите – О писменехь, 2015, с. 54-63. ISSN: 2367-7988 (print)")</f>
        <v>Сборник с доклади от VII, VIII, IX, Международен пътуващ семинар на УниБИТ : Ч. VII : Българо-английски културни общувания, България – Великобритания, 25 – 31 май 2013 г., T. 3. – София : За буквите – О писменехь, 2015, с. 54-63. ISSN: 2367-7988 (print)</v>
      </c>
      <c r="F7640" s="10"/>
      <c r="G7640" s="10"/>
      <c r="H7640" s="10"/>
      <c r="I7640" s="10"/>
      <c r="J7640" s="10"/>
      <c r="K7640" s="10"/>
      <c r="L7640" s="10"/>
      <c r="M7640" s="10"/>
      <c r="N7640" s="10"/>
      <c r="O7640" s="10"/>
      <c r="P7640" s="10"/>
      <c r="Q7640" s="10"/>
      <c r="R7640" s="10"/>
      <c r="S7640" s="10"/>
      <c r="T7640" s="10"/>
      <c r="U7640" s="10"/>
      <c r="V7640" s="10"/>
      <c r="W7640" s="10"/>
      <c r="X7640" s="10"/>
      <c r="Y7640" s="10"/>
      <c r="Z7640" s="10"/>
    </row>
    <row r="7641" spans="1:26" ht="12.75">
      <c r="A7641" s="10" t="str">
        <f ca="1">IFERROR(__xludf.DUMMYFUNCTION("""COMPUTED_VALUE"""),"Тереза Стоянова Тренчева")</f>
        <v>Тереза Стоянова Тренчева</v>
      </c>
      <c r="B7641" s="10" t="str">
        <f ca="1">IFERROR(__xludf.DUMMYFUNCTION("""COMPUTED_VALUE"""),"Статия в списания и поредици")</f>
        <v>Статия в списания и поредици</v>
      </c>
      <c r="C7641" s="10" t="str">
        <f ca="1">IFERROR(__xludf.DUMMYFUNCTION("""COMPUTED_VALUE"""),"Европейски проектни инициативи за отворен достъп")</f>
        <v>Европейски проектни инициативи за отворен достъп</v>
      </c>
      <c r="D7641" s="10">
        <f ca="1">IFERROR(__xludf.DUMMYFUNCTION("""COMPUTED_VALUE"""),2015)</f>
        <v>2015</v>
      </c>
      <c r="E7641" s="10" t="str">
        <f ca="1">IFERROR(__xludf.DUMMYFUNCTION("""COMPUTED_VALUE"""),"Научни трудове на Университета по библиотекознание и информационни технологии, Т. 12, 2014. – София : За буквите – О писменехь, 2015, с. 39-44. ISSN: 1314-2623 (print)")</f>
        <v>Научни трудове на Университета по библиотекознание и информационни технологии, Т. 12, 2014. – София : За буквите – О писменехь, 2015, с. 39-44. ISSN: 1314-2623 (print)</v>
      </c>
      <c r="F7641" s="10"/>
      <c r="G7641" s="10"/>
      <c r="H7641" s="10"/>
      <c r="I7641" s="10"/>
      <c r="J7641" s="10"/>
      <c r="K7641" s="10"/>
      <c r="L7641" s="10"/>
      <c r="M7641" s="10"/>
      <c r="N7641" s="10"/>
      <c r="O7641" s="10"/>
      <c r="P7641" s="10"/>
      <c r="Q7641" s="10"/>
      <c r="R7641" s="10"/>
      <c r="S7641" s="10"/>
      <c r="T7641" s="10"/>
      <c r="U7641" s="10"/>
      <c r="V7641" s="10"/>
      <c r="W7641" s="10"/>
      <c r="X7641" s="10"/>
      <c r="Y7641" s="10"/>
      <c r="Z7641" s="10"/>
    </row>
    <row r="7642" spans="1:26" ht="12.75">
      <c r="A7642" s="10" t="str">
        <f ca="1">IFERROR(__xludf.DUMMYFUNCTION("""COMPUTED_VALUE"""),"Тереза Стоянова Тренчева")</f>
        <v>Тереза Стоянова Тренчева</v>
      </c>
      <c r="B7642" s="10" t="str">
        <f ca="1">IFERROR(__xludf.DUMMYFUNCTION("""COMPUTED_VALUE"""),"Статия в списания и поредици")</f>
        <v>Статия в списания и поредици</v>
      </c>
      <c r="C7642" s="10" t="str">
        <f ca="1">IFERROR(__xludf.DUMMYFUNCTION("""COMPUTED_VALUE"""),"Нови образователни технологии в УниБИТ в прехода към формиране на умения в процеса на усвояване на знания")</f>
        <v>Нови образователни технологии в УниБИТ в прехода към формиране на умения в процеса на усвояване на знания</v>
      </c>
      <c r="D7642" s="10">
        <f ca="1">IFERROR(__xludf.DUMMYFUNCTION("""COMPUTED_VALUE"""),2015)</f>
        <v>2015</v>
      </c>
      <c r="E7642" s="10" t="str">
        <f ca="1">IFERROR(__xludf.DUMMYFUNCTION("""COMPUTED_VALUE"""),"Образование и технологии, 2015, № 6, с. 218-220. ISSN 1314–1791")</f>
        <v>Образование и технологии, 2015, № 6, с. 218-220. ISSN 1314–1791</v>
      </c>
      <c r="F7642" s="10"/>
      <c r="G7642" s="10" t="str">
        <f ca="1">IFERROR(__xludf.DUMMYFUNCTION("""COMPUTED_VALUE"""),"С. Денчев, К. Планска")</f>
        <v>С. Денчев, К. Планска</v>
      </c>
      <c r="H7642" s="10"/>
      <c r="I7642" s="10"/>
      <c r="J7642" s="10"/>
      <c r="K7642" s="10"/>
      <c r="L7642" s="10"/>
      <c r="M7642" s="10"/>
      <c r="N7642" s="10"/>
      <c r="O7642" s="10"/>
      <c r="P7642" s="10"/>
      <c r="Q7642" s="10"/>
      <c r="R7642" s="10"/>
      <c r="S7642" s="10"/>
      <c r="T7642" s="10"/>
      <c r="U7642" s="10"/>
      <c r="V7642" s="10"/>
      <c r="W7642" s="10"/>
      <c r="X7642" s="10"/>
      <c r="Y7642" s="10"/>
      <c r="Z7642" s="10"/>
    </row>
    <row r="7643" spans="1:26" ht="12.75">
      <c r="A7643" s="10" t="str">
        <f ca="1">IFERROR(__xludf.DUMMYFUNCTION("""COMPUTED_VALUE"""),"Тереза Стоянова Тренчева")</f>
        <v>Тереза Стоянова Тренчева</v>
      </c>
      <c r="B7643" s="10" t="str">
        <f ca="1">IFERROR(__xludf.DUMMYFUNCTION("""COMPUTED_VALUE"""),"Статия в списания и поредици")</f>
        <v>Статия в списания и поредици</v>
      </c>
      <c r="C7643" s="10" t="str">
        <f ca="1">IFERROR(__xludf.DUMMYFUNCTION("""COMPUTED_VALUE"""),"Феноменът „Bookcrossing”")</f>
        <v>Феноменът „Bookcrossing”</v>
      </c>
      <c r="D7643" s="10">
        <f ca="1">IFERROR(__xludf.DUMMYFUNCTION("""COMPUTED_VALUE"""),2015)</f>
        <v>2015</v>
      </c>
      <c r="E7643" s="10" t="str">
        <f ca="1">IFERROR(__xludf.DUMMYFUNCTION("""COMPUTED_VALUE"""),"Съвременни измерения на европейското образователно и научно пространство : Сборник с доклади от IV, V, VI, Международен пътуващ семинар на УниБИТ : Ч. VI : Българо-чешки културни общувания, България – Чехия, 17 – 22 април 2012 г., Т 2. – София : За буквит"&amp;"е – О писменехь, 2015, с. 308-311. ISSN: 2367-7988 (print)")</f>
        <v>Съвременни измерения на европейското образователно и научно пространство : Сборник с доклади от IV, V, VI, Международен пътуващ семинар на УниБИТ : Ч. VI : Българо-чешки културни общувания, България – Чехия, 17 – 22 април 2012 г., Т 2. – София : За буквите – О писменехь, 2015, с. 308-311. ISSN: 2367-7988 (print)</v>
      </c>
      <c r="F7643" s="10"/>
      <c r="G7643" s="10"/>
      <c r="H7643" s="10"/>
      <c r="I7643" s="10"/>
      <c r="J7643" s="10"/>
      <c r="K7643" s="10"/>
      <c r="L7643" s="10"/>
      <c r="M7643" s="10"/>
      <c r="N7643" s="10"/>
      <c r="O7643" s="10"/>
      <c r="P7643" s="10"/>
      <c r="Q7643" s="10"/>
      <c r="R7643" s="10"/>
      <c r="S7643" s="10"/>
      <c r="T7643" s="10"/>
      <c r="U7643" s="10"/>
      <c r="V7643" s="10"/>
      <c r="W7643" s="10"/>
      <c r="X7643" s="10"/>
      <c r="Y7643" s="10"/>
      <c r="Z7643" s="10"/>
    </row>
    <row r="7644" spans="1:26" ht="12.75">
      <c r="A7644" s="10" t="str">
        <f ca="1">IFERROR(__xludf.DUMMYFUNCTION("""COMPUTED_VALUE"""),"Тереза Стоянова Тренчева")</f>
        <v>Тереза Стоянова Тренчева</v>
      </c>
      <c r="B7644" s="10" t="str">
        <f ca="1">IFERROR(__xludf.DUMMYFUNCTION("""COMPUTED_VALUE"""),"Доклад от конференция")</f>
        <v>Доклад от конференция</v>
      </c>
      <c r="C7644" s="10" t="str">
        <f ca="1">IFERROR(__xludf.DUMMYFUNCTION("""COMPUTED_VALUE"""),"From Accredited Qualification to Certified Skills: The Summer Knowledge Academy – New Educational Approach in the State University of Library Studies and Information Technologies")</f>
        <v>From Accredited Qualification to Certified Skills: The Summer Knowledge Academy – New Educational Approach in the State University of Library Studies and Information Technologies</v>
      </c>
      <c r="D7644" s="10">
        <f ca="1">IFERROR(__xludf.DUMMYFUNCTION("""COMPUTED_VALUE"""),2015)</f>
        <v>2015</v>
      </c>
      <c r="E7644" s="10" t="str">
        <f ca="1">IFERROR(__xludf.DUMMYFUNCTION("""COMPUTED_VALUE"""),"Conference Proceedings: 2nd International Conference for Library and Information Science, 27-30 July 2015, Athens, Greece, p. in the Abstract book p. 45-47. ISBN: 978-960-598-023-8")</f>
        <v>Conference Proceedings: 2nd International Conference for Library and Information Science, 27-30 July 2015, Athens, Greece, p. in the Abstract book p. 45-47. ISBN: 978-960-598-023-8</v>
      </c>
      <c r="F7644" s="10"/>
      <c r="G7644" s="10" t="str">
        <f ca="1">IFERROR(__xludf.DUMMYFUNCTION("""COMPUTED_VALUE"""),"Dobri Boyadzhiev, Diana Stoyanova, Elena Ignatova, Konstantin Kazakov, Mariela Nankova, Nikolay Mitev, Vasil Zagorov.")</f>
        <v>Dobri Boyadzhiev, Diana Stoyanova, Elena Ignatova, Konstantin Kazakov, Mariela Nankova, Nikolay Mitev, Vasil Zagorov.</v>
      </c>
      <c r="H7644" s="10"/>
      <c r="I7644" s="10"/>
      <c r="J7644" s="10"/>
      <c r="K7644" s="10"/>
      <c r="L7644" s="10"/>
      <c r="M7644" s="10"/>
      <c r="N7644" s="10"/>
      <c r="O7644" s="10"/>
      <c r="P7644" s="10"/>
      <c r="Q7644" s="10"/>
      <c r="R7644" s="10"/>
      <c r="S7644" s="10"/>
      <c r="T7644" s="10"/>
      <c r="U7644" s="10"/>
      <c r="V7644" s="10"/>
      <c r="W7644" s="10"/>
      <c r="X7644" s="10"/>
      <c r="Y7644" s="10"/>
      <c r="Z7644" s="10"/>
    </row>
    <row r="7645" spans="1:26" ht="12.75">
      <c r="A7645" s="10" t="str">
        <f ca="1">IFERROR(__xludf.DUMMYFUNCTION("""COMPUTED_VALUE"""),"Тереза Стоянова Тренчева")</f>
        <v>Тереза Стоянова Тренчева</v>
      </c>
      <c r="B7645" s="10" t="str">
        <f ca="1">IFERROR(__xludf.DUMMYFUNCTION("""COMPUTED_VALUE"""),"Доклад от конференция")</f>
        <v>Доклад от конференция</v>
      </c>
      <c r="C7645" s="10" t="str">
        <f ca="1">IFERROR(__xludf.DUMMYFUNCTION("""COMPUTED_VALUE"""),"The Summer Knowledge Academy as a Part of the University Research and Educational Environment")</f>
        <v>The Summer Knowledge Academy as a Part of the University Research and Educational Environment</v>
      </c>
      <c r="D7645" s="10">
        <f ca="1">IFERROR(__xludf.DUMMYFUNCTION("""COMPUTED_VALUE"""),2015)</f>
        <v>2015</v>
      </c>
      <c r="E7645" s="10" t="str">
        <f ca="1">IFERROR(__xludf.DUMMYFUNCTION("""COMPUTED_VALUE"""),"Conference Proceedings : Forth edition of the International Conference „New Perspectives in Science Education”, Florence, Italy, 20-21 March 2015. – Florence : Liberariauniversitaria, 2015, p. 262-265. ISBN: 978-88-6292-600-3")</f>
        <v>Conference Proceedings : Forth edition of the International Conference „New Perspectives in Science Education”, Florence, Italy, 20-21 March 2015. – Florence : Liberariauniversitaria, 2015, p. 262-265. ISBN: 978-88-6292-600-3</v>
      </c>
      <c r="F7645" s="10" t="str">
        <f ca="1">IFERROR(__xludf.DUMMYFUNCTION("""COMPUTED_VALUE"""),"SCOPUS")</f>
        <v>SCOPUS</v>
      </c>
      <c r="G7645" s="10" t="str">
        <f ca="1">IFERROR(__xludf.DUMMYFUNCTION("""COMPUTED_VALUE"""),"Stoyan Denchev")</f>
        <v>Stoyan Denchev</v>
      </c>
      <c r="H7645" s="10"/>
      <c r="I7645" s="10"/>
      <c r="J7645" s="10"/>
      <c r="K7645" s="10"/>
      <c r="L7645" s="10"/>
      <c r="M7645" s="10"/>
      <c r="N7645" s="10"/>
      <c r="O7645" s="10"/>
      <c r="P7645" s="10"/>
      <c r="Q7645" s="10"/>
      <c r="R7645" s="10"/>
      <c r="S7645" s="10"/>
      <c r="T7645" s="10"/>
      <c r="U7645" s="10"/>
      <c r="V7645" s="10"/>
      <c r="W7645" s="10"/>
      <c r="X7645" s="10"/>
      <c r="Y7645" s="10"/>
      <c r="Z7645" s="10"/>
    </row>
    <row r="7646" spans="1:26" ht="12.75">
      <c r="A7646" s="10" t="str">
        <f ca="1">IFERROR(__xludf.DUMMYFUNCTION("""COMPUTED_VALUE"""),"Тереза Стоянова Тренчева")</f>
        <v>Тереза Стоянова Тренчева</v>
      </c>
      <c r="B7646" s="10" t="str">
        <f ca="1">IFERROR(__xludf.DUMMYFUNCTION("""COMPUTED_VALUE"""),"Доклад от конференция")</f>
        <v>Доклад от конференция</v>
      </c>
      <c r="C7646" s="10" t="str">
        <f ca="1">IFERROR(__xludf.DUMMYFUNCTION("""COMPUTED_VALUE"""),"Digital Citizenship and Cyberwellness.")</f>
        <v>Digital Citizenship and Cyberwellness.</v>
      </c>
      <c r="D7646" s="10">
        <f ca="1">IFERROR(__xludf.DUMMYFUNCTION("""COMPUTED_VALUE"""),2015)</f>
        <v>2015</v>
      </c>
      <c r="E7646" s="10" t="str">
        <f ca="1">IFERROR(__xludf.DUMMYFUNCTION("""COMPUTED_VALUE"""),"Summary Report of EdusummIT 2015. Ed. Kwok-Wing Lai. International Summit on ICT in Education – EDUsummIT 2015, 14-15 September 2015, Bangkok, Thailand, 2015, p. 55-59.")</f>
        <v>Summary Report of EdusummIT 2015. Ed. Kwok-Wing Lai. International Summit on ICT in Education – EDUsummIT 2015, 14-15 September 2015, Bangkok, Thailand, 2015, p. 55-59.</v>
      </c>
      <c r="F7646" s="10"/>
      <c r="G7646" s="10" t="str">
        <f ca="1">IFERROR(__xludf.DUMMYFUNCTION("""COMPUTED_VALUE"""),"M. Searson, J. Seo, C.Mattos de Assumpcao, A. Jones, V. Jadhav, L. Pradhan, E. Valenzuella, C. Frias, P. Arrayavinyoo, D. Olenik, E. Dobozy, Tereza Trencheva, J. Malyn-Smith, D. Dutta, H. Lee, M. Tan.")</f>
        <v>M. Searson, J. Seo, C.Mattos de Assumpcao, A. Jones, V. Jadhav, L. Pradhan, E. Valenzuella, C. Frias, P. Arrayavinyoo, D. Olenik, E. Dobozy, Tereza Trencheva, J. Malyn-Smith, D. Dutta, H. Lee, M. Tan.</v>
      </c>
      <c r="H7646" s="10"/>
      <c r="I7646" s="10"/>
      <c r="J7646" s="10"/>
      <c r="K7646" s="10"/>
      <c r="L7646" s="10"/>
      <c r="M7646" s="10"/>
      <c r="N7646" s="10"/>
      <c r="O7646" s="10"/>
      <c r="P7646" s="10"/>
      <c r="Q7646" s="10"/>
      <c r="R7646" s="10"/>
      <c r="S7646" s="10"/>
      <c r="T7646" s="10"/>
      <c r="U7646" s="10"/>
      <c r="V7646" s="10"/>
      <c r="W7646" s="10"/>
      <c r="X7646" s="10"/>
      <c r="Y7646" s="10"/>
      <c r="Z7646" s="10"/>
    </row>
    <row r="7647" spans="1:26" ht="12.75">
      <c r="A7647" s="10" t="str">
        <f ca="1">IFERROR(__xludf.DUMMYFUNCTION("""COMPUTED_VALUE"""),"Тереза Стоянова Тренчева")</f>
        <v>Тереза Стоянова Тренчева</v>
      </c>
      <c r="B7647" s="10" t="str">
        <f ca="1">IFERROR(__xludf.DUMMYFUNCTION("""COMPUTED_VALUE"""),"Доклад от конференция")</f>
        <v>Доклад от конференция</v>
      </c>
      <c r="C7647" s="10" t="str">
        <f ca="1">IFERROR(__xludf.DUMMYFUNCTION("""COMPUTED_VALUE"""),"The Attitude of the Bulgarian Students Towards Intellectual Property in Digital Environment")</f>
        <v>The Attitude of the Bulgarian Students Towards Intellectual Property in Digital Environment</v>
      </c>
      <c r="D7647" s="10">
        <f ca="1">IFERROR(__xludf.DUMMYFUNCTION("""COMPUTED_VALUE"""),2015)</f>
        <v>2015</v>
      </c>
      <c r="E7647" s="10" t="str">
        <f ca="1">IFERROR(__xludf.DUMMYFUNCTION("""COMPUTED_VALUE"""),"Conference Proceedings : Forth edition of the International Conference „New Perspectives in Science Education”, Florence, Italy, 20-21 March 2015. – Florence : Liberariauniversitaria, 2015, p. 230-234. ISBN: 978-88-6292-600-3")</f>
        <v>Conference Proceedings : Forth edition of the International Conference „New Perspectives in Science Education”, Florence, Italy, 20-21 March 2015. – Florence : Liberariauniversitaria, 2015, p. 230-234. ISBN: 978-88-6292-600-3</v>
      </c>
      <c r="F7647" s="10" t="str">
        <f ca="1">IFERROR(__xludf.DUMMYFUNCTION("""COMPUTED_VALUE"""),"SCOPUS")</f>
        <v>SCOPUS</v>
      </c>
      <c r="G7647" s="10" t="str">
        <f ca="1">IFERROR(__xludf.DUMMYFUNCTION("""COMPUTED_VALUE"""),"Stoyan Denchev, Sabina Eftomova")</f>
        <v>Stoyan Denchev, Sabina Eftomova</v>
      </c>
      <c r="H7647" s="10"/>
      <c r="I7647" s="10"/>
      <c r="J7647" s="10"/>
      <c r="K7647" s="10"/>
      <c r="L7647" s="10"/>
      <c r="M7647" s="10"/>
      <c r="N7647" s="10"/>
      <c r="O7647" s="10"/>
      <c r="P7647" s="10"/>
      <c r="Q7647" s="10"/>
      <c r="R7647" s="10"/>
      <c r="S7647" s="10"/>
      <c r="T7647" s="10"/>
      <c r="U7647" s="10"/>
      <c r="V7647" s="10"/>
      <c r="W7647" s="10"/>
      <c r="X7647" s="10"/>
      <c r="Y7647" s="10"/>
      <c r="Z7647" s="10"/>
    </row>
    <row r="7648" spans="1:26" ht="12.75">
      <c r="A7648" s="10" t="str">
        <f ca="1">IFERROR(__xludf.DUMMYFUNCTION("""COMPUTED_VALUE"""),"Тереза Стоянова Тренчева")</f>
        <v>Тереза Стоянова Тренчева</v>
      </c>
      <c r="B7648" s="10" t="str">
        <f ca="1">IFERROR(__xludf.DUMMYFUNCTION("""COMPUTED_VALUE"""),"Статия в списания и поредици")</f>
        <v>Статия в списания и поредици</v>
      </c>
      <c r="C7648" s="10" t="str">
        <f ca="1">IFERROR(__xludf.DUMMYFUNCTION("""COMPUTED_VALUE"""),"Специалност „Библиотечен и информационен мениджмънт” в УНИБИТ- състояние и перспективи : Резултати от проучване")</f>
        <v>Специалност „Библиотечен и информационен мениджмънт” в УНИБИТ- състояние и перспективи : Резултати от проучване</v>
      </c>
      <c r="D7648" s="10">
        <f ca="1">IFERROR(__xludf.DUMMYFUNCTION("""COMPUTED_VALUE"""),2015)</f>
        <v>2015</v>
      </c>
      <c r="E7648" s="10" t="str">
        <f ca="1">IFERROR(__xludf.DUMMYFUNCTION("""COMPUTED_VALUE"""),"Нови информационни технологии в образователния процес : Доклади и съобщения от Деветия научен семинар на УниБИТ, Камчия, 26-30 май 2014 г. – София : За буквите – О писменехь, 2015, с. 28-38. ISSN: 1313-2768")</f>
        <v>Нови информационни технологии в образователния процес : Доклади и съобщения от Деветия научен семинар на УниБИТ, Камчия, 26-30 май 2014 г. – София : За буквите – О писменехь, 2015, с. 28-38. ISSN: 1313-2768</v>
      </c>
      <c r="F7648" s="10"/>
      <c r="G7648" s="10" t="str">
        <f ca="1">IFERROR(__xludf.DUMMYFUNCTION("""COMPUTED_VALUE"""),"Събина Ефтимова, Таня Тодорова")</f>
        <v>Събина Ефтимова, Таня Тодорова</v>
      </c>
      <c r="H7648" s="10"/>
      <c r="I7648" s="10"/>
      <c r="J7648" s="10"/>
      <c r="K7648" s="10"/>
      <c r="L7648" s="10"/>
      <c r="M7648" s="10"/>
      <c r="N7648" s="10"/>
      <c r="O7648" s="10"/>
      <c r="P7648" s="10"/>
      <c r="Q7648" s="10"/>
      <c r="R7648" s="10"/>
      <c r="S7648" s="10"/>
      <c r="T7648" s="10"/>
      <c r="U7648" s="10"/>
      <c r="V7648" s="10"/>
      <c r="W7648" s="10"/>
      <c r="X7648" s="10"/>
      <c r="Y7648" s="10"/>
      <c r="Z7648" s="10"/>
    </row>
    <row r="7649" spans="1:26" ht="12.75">
      <c r="A7649" s="10" t="str">
        <f ca="1">IFERROR(__xludf.DUMMYFUNCTION("""COMPUTED_VALUE"""),"Тереза Стоянова Тренчева")</f>
        <v>Тереза Стоянова Тренчева</v>
      </c>
      <c r="B7649" s="10" t="str">
        <f ca="1">IFERROR(__xludf.DUMMYFUNCTION("""COMPUTED_VALUE"""),"Статия в списания и поредици")</f>
        <v>Статия в списания и поредици</v>
      </c>
      <c r="C7649" s="10" t="str">
        <f ca="1">IFERROR(__xludf.DUMMYFUNCTION("""COMPUTED_VALUE"""),"Academic Education in Library and Information Management in Bulgaria")</f>
        <v>Academic Education in Library and Information Management in Bulgaria</v>
      </c>
      <c r="D7649" s="10">
        <f ca="1">IFERROR(__xludf.DUMMYFUNCTION("""COMPUTED_VALUE"""),2014)</f>
        <v>2014</v>
      </c>
      <c r="E7649" s="10" t="str">
        <f ca="1">IFERROR(__xludf.DUMMYFUNCTION("""COMPUTED_VALUE"""),"Open Journal of Social Sciences, 2014, № 8, p. 160-171. ISSN: 2327-5952")</f>
        <v>Open Journal of Social Sciences, 2014, № 8, p. 160-171. ISSN: 2327-5952</v>
      </c>
      <c r="F7649" s="10"/>
      <c r="G7649" s="10" t="str">
        <f ca="1">IFERROR(__xludf.DUMMYFUNCTION("""COMPUTED_VALUE"""),"Rosica Krasteva, Sabina Eftimova, Tania Todorova.")</f>
        <v>Rosica Krasteva, Sabina Eftimova, Tania Todorova.</v>
      </c>
      <c r="H7649" s="10"/>
      <c r="I7649" s="10"/>
      <c r="J7649" s="10"/>
      <c r="K7649" s="10"/>
      <c r="L7649" s="10"/>
      <c r="M7649" s="10"/>
      <c r="N7649" s="10"/>
      <c r="O7649" s="10"/>
      <c r="P7649" s="10"/>
      <c r="Q7649" s="10"/>
      <c r="R7649" s="10"/>
      <c r="S7649" s="10"/>
      <c r="T7649" s="10"/>
      <c r="U7649" s="10"/>
      <c r="V7649" s="10"/>
      <c r="W7649" s="10"/>
      <c r="X7649" s="10"/>
      <c r="Y7649" s="10"/>
      <c r="Z7649" s="10"/>
    </row>
    <row r="7650" spans="1:26" ht="12.75">
      <c r="A7650" s="10" t="str">
        <f ca="1">IFERROR(__xludf.DUMMYFUNCTION("""COMPUTED_VALUE"""),"Тереза Стоянова Тренчева")</f>
        <v>Тереза Стоянова Тренчева</v>
      </c>
      <c r="B7650" s="10" t="str">
        <f ca="1">IFERROR(__xludf.DUMMYFUNCTION("""COMPUTED_VALUE"""),"Доклад от конференция")</f>
        <v>Доклад от конференция</v>
      </c>
      <c r="C7650" s="10" t="str">
        <f ca="1">IFERROR(__xludf.DUMMYFUNCTION("""COMPUTED_VALUE"""),"Основни видове нарушения на интелектуалната собственост в Интернет")</f>
        <v>Основни видове нарушения на интелектуалната собственост в Интернет</v>
      </c>
      <c r="D7650" s="10">
        <f ca="1">IFERROR(__xludf.DUMMYFUNCTION("""COMPUTED_VALUE"""),2014)</f>
        <v>2014</v>
      </c>
      <c r="E7650" s="10" t="str">
        <f ca="1">IFERROR(__xludf.DUMMYFUNCTION("""COMPUTED_VALUE"""),"Младите в науката – инвестиция в бъдещето : Сборник с доклади от Международна научна конференция, София-Пловдив, 18-20.10.2013 г. – София : За буквите – О Писменехь, 2014, с. 467-473. ISBN: 978-619-185-132-4")</f>
        <v>Младите в науката – инвестиция в бъдещето : Сборник с доклади от Международна научна конференция, София-Пловдив, 18-20.10.2013 г. – София : За буквите – О Писменехь, 2014, с. 467-473. ISBN: 978-619-185-132-4</v>
      </c>
      <c r="F7650" s="10"/>
      <c r="G7650" s="10"/>
      <c r="H7650" s="10"/>
      <c r="I7650" s="10"/>
      <c r="J7650" s="10"/>
      <c r="K7650" s="10"/>
      <c r="L7650" s="10"/>
      <c r="M7650" s="10"/>
      <c r="N7650" s="10"/>
      <c r="O7650" s="10"/>
      <c r="P7650" s="10"/>
      <c r="Q7650" s="10"/>
      <c r="R7650" s="10"/>
      <c r="S7650" s="10"/>
      <c r="T7650" s="10"/>
      <c r="U7650" s="10"/>
      <c r="V7650" s="10"/>
      <c r="W7650" s="10"/>
      <c r="X7650" s="10"/>
      <c r="Y7650" s="10"/>
      <c r="Z7650" s="10"/>
    </row>
    <row r="7651" spans="1:26" ht="12.75">
      <c r="A7651" s="10" t="str">
        <f ca="1">IFERROR(__xludf.DUMMYFUNCTION("""COMPUTED_VALUE"""),"Тереза Стоянова Тренчева")</f>
        <v>Тереза Стоянова Тренчева</v>
      </c>
      <c r="B7651" s="10" t="str">
        <f ca="1">IFERROR(__xludf.DUMMYFUNCTION("""COMPUTED_VALUE"""),"Статия в списания и поредици")</f>
        <v>Статия в списания и поредици</v>
      </c>
      <c r="C7651" s="10" t="str">
        <f ca="1">IFERROR(__xludf.DUMMYFUNCTION("""COMPUTED_VALUE"""),"Open Access to Scientific Information: Comparative study in DOAJ")</f>
        <v>Open Access to Scientific Information: Comparative study in DOAJ</v>
      </c>
      <c r="D7651" s="10">
        <f ca="1">IFERROR(__xludf.DUMMYFUNCTION("""COMPUTED_VALUE"""),2014)</f>
        <v>2014</v>
      </c>
      <c r="E7651" s="10" t="str">
        <f ca="1">IFERROR(__xludf.DUMMYFUNCTION("""COMPUTED_VALUE"""),"Library Management Journal, 2014, № 4-5, p. 364-374. ISSN: 0143-5124")</f>
        <v>Library Management Journal, 2014, № 4-5, p. 364-374. ISSN: 0143-5124</v>
      </c>
      <c r="F7651" s="10" t="str">
        <f ca="1">IFERROR(__xludf.DUMMYFUNCTION("""COMPUTED_VALUE"""),"ISI Web of Knowledge, Scopus")</f>
        <v>ISI Web of Knowledge, Scopus</v>
      </c>
      <c r="G7651" s="10" t="str">
        <f ca="1">IFERROR(__xludf.DUMMYFUNCTION("""COMPUTED_VALUE"""),"Tania Todorova")</f>
        <v>Tania Todorova</v>
      </c>
      <c r="H7651" s="10"/>
      <c r="I7651" s="10"/>
      <c r="J7651" s="10"/>
      <c r="K7651" s="10"/>
      <c r="L7651" s="10"/>
      <c r="M7651" s="10"/>
      <c r="N7651" s="10"/>
      <c r="O7651" s="10"/>
      <c r="P7651" s="10"/>
      <c r="Q7651" s="10"/>
      <c r="R7651" s="10"/>
      <c r="S7651" s="10"/>
      <c r="T7651" s="10"/>
      <c r="U7651" s="10"/>
      <c r="V7651" s="10"/>
      <c r="W7651" s="10"/>
      <c r="X7651" s="10"/>
      <c r="Y7651" s="10"/>
      <c r="Z7651" s="10"/>
    </row>
    <row r="7652" spans="1:26" ht="12.75">
      <c r="A7652" s="10" t="str">
        <f ca="1">IFERROR(__xludf.DUMMYFUNCTION("""COMPUTED_VALUE"""),"Тереза Стоянова Тренчева")</f>
        <v>Тереза Стоянова Тренчева</v>
      </c>
      <c r="B7652" s="10" t="str">
        <f ca="1">IFERROR(__xludf.DUMMYFUNCTION("""COMPUTED_VALUE"""),"Статия в списания и поредици")</f>
        <v>Статия в списания и поредици</v>
      </c>
      <c r="C7652" s="10" t="str">
        <f ca="1">IFERROR(__xludf.DUMMYFUNCTION("""COMPUTED_VALUE"""),"Intellectual Property Knowledge at the University's Information Environment: A Comparative Study")</f>
        <v>Intellectual Property Knowledge at the University's Information Environment: A Comparative Study</v>
      </c>
      <c r="D7652" s="10">
        <f ca="1">IFERROR(__xludf.DUMMYFUNCTION("""COMPUTED_VALUE"""),2014)</f>
        <v>2014</v>
      </c>
      <c r="E7652" s="10" t="str">
        <f ca="1">IFERROR(__xludf.DUMMYFUNCTION("""COMPUTED_VALUE"""),"Open Access Journal of Applied Sciences, Scientific Research Publishing, USA, vol. 4 № 3, 2014, p. 130-136. ISSN: 2165-3917")</f>
        <v>Open Access Journal of Applied Sciences, Scientific Research Publishing, USA, vol. 4 № 3, 2014, p. 130-136. ISSN: 2165-3917</v>
      </c>
      <c r="F7652" s="10"/>
      <c r="G7652" s="10" t="str">
        <f ca="1">IFERROR(__xludf.DUMMYFUNCTION("""COMPUTED_VALUE"""),"Stoyan Denchev")</f>
        <v>Stoyan Denchev</v>
      </c>
      <c r="H7652" s="10"/>
      <c r="I7652" s="10"/>
      <c r="J7652" s="10"/>
      <c r="K7652" s="10"/>
      <c r="L7652" s="10"/>
      <c r="M7652" s="10"/>
      <c r="N7652" s="10"/>
      <c r="O7652" s="10"/>
      <c r="P7652" s="10"/>
      <c r="Q7652" s="10"/>
      <c r="R7652" s="10"/>
      <c r="S7652" s="10"/>
      <c r="T7652" s="10"/>
      <c r="U7652" s="10"/>
      <c r="V7652" s="10"/>
      <c r="W7652" s="10"/>
      <c r="X7652" s="10"/>
      <c r="Y7652" s="10"/>
      <c r="Z7652" s="10"/>
    </row>
    <row r="7653" spans="1:26" ht="12.75">
      <c r="A7653" s="10" t="str">
        <f ca="1">IFERROR(__xludf.DUMMYFUNCTION("""COMPUTED_VALUE"""),"Тереза Стоянова Тренчева")</f>
        <v>Тереза Стоянова Тренчева</v>
      </c>
      <c r="B7653" s="10" t="str">
        <f ca="1">IFERROR(__xludf.DUMMYFUNCTION("""COMPUTED_VALUE"""),"Книга")</f>
        <v>Книга</v>
      </c>
      <c r="C7653" s="10" t="str">
        <f ca="1">IFERROR(__xludf.DUMMYFUNCTION("""COMPUTED_VALUE"""),"Интелектуалната собственост в XXI век : Българският опит в творческите и информационни индустрии")</f>
        <v>Интелектуалната собственост в XXI век : Българският опит в творческите и информационни индустрии</v>
      </c>
      <c r="D7653" s="10">
        <f ca="1">IFERROR(__xludf.DUMMYFUNCTION("""COMPUTED_VALUE"""),2014)</f>
        <v>2014</v>
      </c>
      <c r="E7653" s="10" t="str">
        <f ca="1">IFERROR(__xludf.DUMMYFUNCTION("""COMPUTED_VALUE"""),"Сборник с доклади от Научен семинар, 28 април 2014 г./ Състав. Т. Тренчева, С. Ефтимова. – София : За буквите – О писменехь, 2014. – 220 с. ISBN: 978-619-185-019-8")</f>
        <v>Сборник с доклади от Научен семинар, 28 април 2014 г./ Състав. Т. Тренчева, С. Ефтимова. – София : За буквите – О писменехь, 2014. – 220 с. ISBN: 978-619-185-019-8</v>
      </c>
      <c r="F7653" s="10"/>
      <c r="G7653" s="10" t="str">
        <f ca="1">IFERROR(__xludf.DUMMYFUNCTION("""COMPUTED_VALUE"""),"Събина Ефтимова")</f>
        <v>Събина Ефтимова</v>
      </c>
      <c r="H7653" s="10"/>
      <c r="I7653" s="10"/>
      <c r="J7653" s="10"/>
      <c r="K7653" s="10"/>
      <c r="L7653" s="10"/>
      <c r="M7653" s="10"/>
      <c r="N7653" s="10"/>
      <c r="O7653" s="10"/>
      <c r="P7653" s="10"/>
      <c r="Q7653" s="10"/>
      <c r="R7653" s="10"/>
      <c r="S7653" s="10"/>
      <c r="T7653" s="10"/>
      <c r="U7653" s="10"/>
      <c r="V7653" s="10"/>
      <c r="W7653" s="10"/>
      <c r="X7653" s="10"/>
      <c r="Y7653" s="10"/>
      <c r="Z7653" s="10"/>
    </row>
    <row r="7654" spans="1:26" ht="12.75">
      <c r="A7654" s="10" t="str">
        <f ca="1">IFERROR(__xludf.DUMMYFUNCTION("""COMPUTED_VALUE"""),"Тереза Стоянова Тренчева")</f>
        <v>Тереза Стоянова Тренчева</v>
      </c>
      <c r="B7654" s="10" t="str">
        <f ca="1">IFERROR(__xludf.DUMMYFUNCTION("""COMPUTED_VALUE"""),"Учебно пособие")</f>
        <v>Учебно пособие</v>
      </c>
      <c r="C7654" s="10" t="str">
        <f ca="1">IFERROR(__xludf.DUMMYFUNCTION("""COMPUTED_VALUE"""),"Интелектуалната собственост в Интернет")</f>
        <v>Интелектуалната собственост в Интернет</v>
      </c>
      <c r="D7654" s="10">
        <f ca="1">IFERROR(__xludf.DUMMYFUNCTION("""COMPUTED_VALUE"""),2014)</f>
        <v>2014</v>
      </c>
      <c r="E7654" s="10" t="str">
        <f ca="1">IFERROR(__xludf.DUMMYFUNCTION("""COMPUTED_VALUE"""),"София : За буквите – О писменехь, 2014. – 260 с. ISBN:978-619-185-022-8")</f>
        <v>София : За буквите – О писменехь, 2014. – 260 с. ISBN:978-619-185-022-8</v>
      </c>
      <c r="F7654" s="10"/>
      <c r="G7654" s="10"/>
      <c r="H7654" s="10"/>
      <c r="I7654" s="10"/>
      <c r="J7654" s="10"/>
      <c r="K7654" s="10"/>
      <c r="L7654" s="10"/>
      <c r="M7654" s="10"/>
      <c r="N7654" s="10"/>
      <c r="O7654" s="10"/>
      <c r="P7654" s="10"/>
      <c r="Q7654" s="10"/>
      <c r="R7654" s="10"/>
      <c r="S7654" s="10"/>
      <c r="T7654" s="10"/>
      <c r="U7654" s="10"/>
      <c r="V7654" s="10"/>
      <c r="W7654" s="10"/>
      <c r="X7654" s="10"/>
      <c r="Y7654" s="10"/>
      <c r="Z7654" s="10"/>
    </row>
    <row r="7655" spans="1:26" ht="12.75">
      <c r="A7655" s="10" t="str">
        <f ca="1">IFERROR(__xludf.DUMMYFUNCTION("""COMPUTED_VALUE"""),"Тереза Стоянова Тренчева")</f>
        <v>Тереза Стоянова Тренчева</v>
      </c>
      <c r="B7655" s="10" t="str">
        <f ca="1">IFERROR(__xludf.DUMMYFUNCTION("""COMPUTED_VALUE"""),"Статия в списания и поредици")</f>
        <v>Статия в списания и поредици</v>
      </c>
      <c r="C7655" s="10" t="str">
        <f ca="1">IFERROR(__xludf.DUMMYFUNCTION("""COMPUTED_VALUE"""),"Изследване на авторскоправната компетентност на специалистите от библиотечните и другите културни институции - методология и международно сътрудничество")</f>
        <v>Изследване на авторскоправната компетентност на специалистите от библиотечните и другите културни институции - методология и международно сътрудничество</v>
      </c>
      <c r="D7655" s="10">
        <f ca="1">IFERROR(__xludf.DUMMYFUNCTION("""COMPUTED_VALUE"""),2014)</f>
        <v>2014</v>
      </c>
      <c r="E7655" s="10" t="str">
        <f ca="1">IFERROR(__xludf.DUMMYFUNCTION("""COMPUTED_VALUE"""),"Обществото на знанието и хуманизмът на ХХІ век : Единадесета национална научна конференция с международно участие, София, 1 ноември 2013. – София: За буквите – О писменехь, 2014, с. 382-389. ISSN: 1314-7099 (print)")</f>
        <v>Обществото на знанието и хуманизмът на ХХІ век : Единадесета национална научна конференция с международно участие, София, 1 ноември 2013. – София: За буквите – О писменехь, 2014, с. 382-389. ISSN: 1314-7099 (print)</v>
      </c>
      <c r="F7655" s="10"/>
      <c r="G7655" s="10" t="str">
        <f ca="1">IFERROR(__xludf.DUMMYFUNCTION("""COMPUTED_VALUE"""),"Таня Тодорова, Серап Курбаноглу, Александра Хорват, Джумана Бустани.")</f>
        <v>Таня Тодорова, Серап Курбаноглу, Александра Хорват, Джумана Бустани.</v>
      </c>
      <c r="H7655" s="10"/>
      <c r="I7655" s="10"/>
      <c r="J7655" s="10"/>
      <c r="K7655" s="10"/>
      <c r="L7655" s="10"/>
      <c r="M7655" s="10"/>
      <c r="N7655" s="10"/>
      <c r="O7655" s="10"/>
      <c r="P7655" s="10"/>
      <c r="Q7655" s="10"/>
      <c r="R7655" s="10"/>
      <c r="S7655" s="10"/>
      <c r="T7655" s="10"/>
      <c r="U7655" s="10"/>
      <c r="V7655" s="10"/>
      <c r="W7655" s="10"/>
      <c r="X7655" s="10"/>
      <c r="Y7655" s="10"/>
      <c r="Z7655" s="10"/>
    </row>
    <row r="7656" spans="1:26" ht="12.75">
      <c r="A7656" s="10" t="str">
        <f ca="1">IFERROR(__xludf.DUMMYFUNCTION("""COMPUTED_VALUE"""),"Тереза Стоянова Тренчева")</f>
        <v>Тереза Стоянова Тренчева</v>
      </c>
      <c r="B7656" s="10" t="str">
        <f ca="1">IFERROR(__xludf.DUMMYFUNCTION("""COMPUTED_VALUE"""),"Доклад от конференция")</f>
        <v>Доклад от конференция</v>
      </c>
      <c r="C7656" s="10" t="str">
        <f ca="1">IFERROR(__xludf.DUMMYFUNCTION("""COMPUTED_VALUE"""),"Copyright Literacy in Memory Institutions: Findings from Scientific Project in Bulgaria")</f>
        <v>Copyright Literacy in Memory Institutions: Findings from Scientific Project in Bulgaria</v>
      </c>
      <c r="D7656" s="10">
        <f ca="1">IFERROR(__xludf.DUMMYFUNCTION("""COMPUTED_VALUE"""),2014)</f>
        <v>2014</v>
      </c>
      <c r="E7656" s="10" t="str">
        <f ca="1">IFERROR(__xludf.DUMMYFUNCTION("""COMPUTED_VALUE"""),"Conference Proceedings of the 3th International Conference : New Perspectives in Science Education, 20-21 March 2014, Florence, Italy, 2014, p. 228-231. ISBN: 978-88-6292-469-6")</f>
        <v>Conference Proceedings of the 3th International Conference : New Perspectives in Science Education, 20-21 March 2014, Florence, Italy, 2014, p. 228-231. ISBN: 978-88-6292-469-6</v>
      </c>
      <c r="F7656" s="10"/>
      <c r="G7656" s="10" t="str">
        <f ca="1">IFERROR(__xludf.DUMMYFUNCTION("""COMPUTED_VALUE"""),"Tania Todorova")</f>
        <v>Tania Todorova</v>
      </c>
      <c r="H7656" s="10"/>
      <c r="I7656" s="10"/>
      <c r="J7656" s="10"/>
      <c r="K7656" s="10"/>
      <c r="L7656" s="10"/>
      <c r="M7656" s="10"/>
      <c r="N7656" s="10"/>
      <c r="O7656" s="10"/>
      <c r="P7656" s="10"/>
      <c r="Q7656" s="10"/>
      <c r="R7656" s="10"/>
      <c r="S7656" s="10"/>
      <c r="T7656" s="10"/>
      <c r="U7656" s="10"/>
      <c r="V7656" s="10"/>
      <c r="W7656" s="10"/>
      <c r="X7656" s="10"/>
      <c r="Y7656" s="10"/>
      <c r="Z7656" s="10"/>
    </row>
    <row r="7657" spans="1:26" ht="12.75">
      <c r="A7657" s="10" t="str">
        <f ca="1">IFERROR(__xludf.DUMMYFUNCTION("""COMPUTED_VALUE"""),"Тереза Стоянова Тренчева")</f>
        <v>Тереза Стоянова Тренчева</v>
      </c>
      <c r="B7657" s="10" t="str">
        <f ca="1">IFERROR(__xludf.DUMMYFUNCTION("""COMPUTED_VALUE"""),"Доклад от конференция")</f>
        <v>Доклад от конференция</v>
      </c>
      <c r="C7657" s="10" t="str">
        <f ca="1">IFERROR(__xludf.DUMMYFUNCTION("""COMPUTED_VALUE"""),"A Multinational Study on Copyright Literacy Competencies of LIS Professionals")</f>
        <v>A Multinational Study on Copyright Literacy Competencies of LIS Professionals</v>
      </c>
      <c r="D7657" s="10">
        <f ca="1">IFERROR(__xludf.DUMMYFUNCTION("""COMPUTED_VALUE"""),2014)</f>
        <v>2014</v>
      </c>
      <c r="E7657" s="10" t="str">
        <f ca="1">IFERROR(__xludf.DUMMYFUNCTION("""COMPUTED_VALUE"""),"Information Literacy : Lifelong Learning and Digital Citizenship in the 21st Century : Second European Conference on Information Literacy (ECIL), Dubrovnik, Croatia, 20-23 Oct. 2014, Revised Selected Papers. Eds. By S. Kurbanoğlu et al. : Springer Interna"&amp;"tional Publishing Switzerland, 2014, p. 138-148. ISSN: 1865-0929; ISBN: 978-3-319-14135-0")</f>
        <v>Information Literacy : Lifelong Learning and Digital Citizenship in the 21st Century : Second European Conference on Information Literacy (ECIL), Dubrovnik, Croatia, 20-23 Oct. 2014, Revised Selected Papers. Eds. By S. Kurbanoğlu et al. : Springer International Publishing Switzerland, 2014, p. 138-148. ISSN: 1865-0929; ISBN: 978-3-319-14135-0</v>
      </c>
      <c r="F7657" s="10" t="str">
        <f ca="1">IFERROR(__xludf.DUMMYFUNCTION("""COMPUTED_VALUE"""),"Web of Science, Scopus")</f>
        <v>Web of Science, Scopus</v>
      </c>
      <c r="G7657" s="10" t="str">
        <f ca="1">IFERROR(__xludf.DUMMYFUNCTION("""COMPUTED_VALUE"""),"Tania Todorova, Serap Kurbanoğlu, G. Doğan, Aleksandra Horvat, Joumana Boustany")</f>
        <v>Tania Todorova, Serap Kurbanoğlu, G. Doğan, Aleksandra Horvat, Joumana Boustany</v>
      </c>
      <c r="H7657" s="10"/>
      <c r="I7657" s="10"/>
      <c r="J7657" s="10"/>
      <c r="K7657" s="10"/>
      <c r="L7657" s="10"/>
      <c r="M7657" s="10"/>
      <c r="N7657" s="10"/>
      <c r="O7657" s="10"/>
      <c r="P7657" s="10"/>
      <c r="Q7657" s="10"/>
      <c r="R7657" s="10"/>
      <c r="S7657" s="10"/>
      <c r="T7657" s="10"/>
      <c r="U7657" s="10"/>
      <c r="V7657" s="10"/>
      <c r="W7657" s="10"/>
      <c r="X7657" s="10"/>
      <c r="Y7657" s="10"/>
      <c r="Z7657" s="10"/>
    </row>
    <row r="7658" spans="1:26" ht="12.75">
      <c r="A7658" s="10" t="str">
        <f ca="1">IFERROR(__xludf.DUMMYFUNCTION("""COMPUTED_VALUE"""),"Тереза Стоянова Тренчева")</f>
        <v>Тереза Стоянова Тренчева</v>
      </c>
      <c r="B7658" s="10" t="str">
        <f ca="1">IFERROR(__xludf.DUMMYFUNCTION("""COMPUTED_VALUE"""),"Доклад от конференция")</f>
        <v>Доклад от конференция</v>
      </c>
      <c r="C7658" s="10" t="str">
        <f ca="1">IFERROR(__xludf.DUMMYFUNCTION("""COMPUTED_VALUE"""),"Отношение на българските студенти към интелектуалната собственост в дигитална среда")</f>
        <v>Отношение на българските студенти към интелектуалната собственост в дигитална среда</v>
      </c>
      <c r="D7658" s="10">
        <f ca="1">IFERROR(__xludf.DUMMYFUNCTION("""COMPUTED_VALUE"""),2014)</f>
        <v>2014</v>
      </c>
      <c r="E7658" s="10" t="str">
        <f ca="1">IFERROR(__xludf.DUMMYFUNCTION("""COMPUTED_VALUE"""),"Интелектуалната собственост в XXI век : Българският опит в творческите и информационни индустрии : Сборник с доклади от Научен семинар, 28 април 2014 г. УниБИТ / Състав. Т. Тренчева, С. Ефтимова. – София : За буквите – О писменехь, 2014, с. 49-63. ISBN: 9"&amp;"78-619-185-019-8")</f>
        <v>Интелектуалната собственост в XXI век : Българският опит в творческите и информационни индустрии : Сборник с доклади от Научен семинар, 28 април 2014 г. УниБИТ / Състав. Т. Тренчева, С. Ефтимова. – София : За буквите – О писменехь, 2014, с. 49-63. ISBN: 978-619-185-019-8</v>
      </c>
      <c r="F7658" s="10"/>
      <c r="G7658" s="10" t="str">
        <f ca="1">IFERROR(__xludf.DUMMYFUNCTION("""COMPUTED_VALUE"""),"Росица Кръстева, Събина Ефтимова")</f>
        <v>Росица Кръстева, Събина Ефтимова</v>
      </c>
      <c r="H7658" s="10"/>
      <c r="I7658" s="10"/>
      <c r="J7658" s="10"/>
      <c r="K7658" s="10"/>
      <c r="L7658" s="10"/>
      <c r="M7658" s="10"/>
      <c r="N7658" s="10"/>
      <c r="O7658" s="10"/>
      <c r="P7658" s="10"/>
      <c r="Q7658" s="10"/>
      <c r="R7658" s="10"/>
      <c r="S7658" s="10"/>
      <c r="T7658" s="10"/>
      <c r="U7658" s="10"/>
      <c r="V7658" s="10"/>
      <c r="W7658" s="10"/>
      <c r="X7658" s="10"/>
      <c r="Y7658" s="10"/>
      <c r="Z7658" s="10"/>
    </row>
    <row r="7659" spans="1:26" ht="12.75">
      <c r="A7659" s="10" t="str">
        <f ca="1">IFERROR(__xludf.DUMMYFUNCTION("""COMPUTED_VALUE"""),"Тереза Стоянова Тренчева")</f>
        <v>Тереза Стоянова Тренчева</v>
      </c>
      <c r="B7659" s="10" t="str">
        <f ca="1">IFERROR(__xludf.DUMMYFUNCTION("""COMPUTED_VALUE"""),"Доклад от конференция")</f>
        <v>Доклад от конференция</v>
      </c>
      <c r="C7659" s="10" t="str">
        <f ca="1">IFERROR(__xludf.DUMMYFUNCTION("""COMPUTED_VALUE"""),"Лятна академия за управление на знанията – същност и перспективи")</f>
        <v>Лятна академия за управление на знанията – същност и перспективи</v>
      </c>
      <c r="D7659" s="10">
        <f ca="1">IFERROR(__xludf.DUMMYFUNCTION("""COMPUTED_VALUE"""),2014)</f>
        <v>2014</v>
      </c>
      <c r="E7659" s="10" t="str">
        <f ca="1">IFERROR(__xludf.DUMMYFUNCTION("""COMPUTED_VALUE"""),"Съвременни стратегии и иновации в управление на знанието : Доклади от Първа научна конференция на УМЛАУЗ / Състав. С. Денчев, Т. Тренчева, Е. Игнатова, Д. Бояджиев, Д. Стоянова. – София : За буквите – О писменехь, 2014, с. 74-80. ISBN: 978-619-185-140-9")</f>
        <v>Съвременни стратегии и иновации в управление на знанието : Доклади от Първа научна конференция на УМЛАУЗ / Състав. С. Денчев, Т. Тренчева, Е. Игнатова, Д. Бояджиев, Д. Стоянова. – София : За буквите – О писменехь, 2014, с. 74-80. ISBN: 978-619-185-140-9</v>
      </c>
      <c r="F7659" s="10"/>
      <c r="G7659" s="10"/>
      <c r="H7659" s="10"/>
      <c r="I7659" s="10"/>
      <c r="J7659" s="10"/>
      <c r="K7659" s="10"/>
      <c r="L7659" s="10"/>
      <c r="M7659" s="10"/>
      <c r="N7659" s="10"/>
      <c r="O7659" s="10"/>
      <c r="P7659" s="10"/>
      <c r="Q7659" s="10"/>
      <c r="R7659" s="10"/>
      <c r="S7659" s="10"/>
      <c r="T7659" s="10"/>
      <c r="U7659" s="10"/>
      <c r="V7659" s="10"/>
      <c r="W7659" s="10"/>
      <c r="X7659" s="10"/>
      <c r="Y7659" s="10"/>
      <c r="Z7659" s="10"/>
    </row>
    <row r="7660" spans="1:26" ht="12.75">
      <c r="A7660" s="10" t="str">
        <f ca="1">IFERROR(__xludf.DUMMYFUNCTION("""COMPUTED_VALUE"""),"Тереза Стоянова Тренчева")</f>
        <v>Тереза Стоянова Тренчева</v>
      </c>
      <c r="B7660" s="10" t="str">
        <f ca="1">IFERROR(__xludf.DUMMYFUNCTION("""COMPUTED_VALUE"""),"Книга")</f>
        <v>Книга</v>
      </c>
      <c r="C7660" s="10" t="str">
        <f ca="1">IFERROR(__xludf.DUMMYFUNCTION("""COMPUTED_VALUE"""),"Съвременни стратегии и иновации в управление на знанието")</f>
        <v>Съвременни стратегии и иновации в управление на знанието</v>
      </c>
      <c r="D7660" s="10">
        <f ca="1">IFERROR(__xludf.DUMMYFUNCTION("""COMPUTED_VALUE"""),2014)</f>
        <v>2014</v>
      </c>
      <c r="E7660" s="10" t="str">
        <f ca="1">IFERROR(__xludf.DUMMYFUNCTION("""COMPUTED_VALUE"""),"Доклади от Първа научна конференция на УМЛАУЗ / Състав. С. Денчев, Т. Тренчева, Е. Игнатова, Д. Бояджиев, Д. Стоянова. – София : За буквите – О писменехь, 2014. – 293 с. ISBN: 978-619-185-140-9")</f>
        <v>Доклади от Първа научна конференция на УМЛАУЗ / Състав. С. Денчев, Т. Тренчева, Е. Игнатова, Д. Бояджиев, Д. Стоянова. – София : За буквите – О писменехь, 2014. – 293 с. ISBN: 978-619-185-140-9</v>
      </c>
      <c r="F7660" s="10"/>
      <c r="G7660" s="10" t="str">
        <f ca="1">IFERROR(__xludf.DUMMYFUNCTION("""COMPUTED_VALUE"""),"Стоян Денчев, Елена Игнатова, Добри Бояджиев, Дияна Стоянова")</f>
        <v>Стоян Денчев, Елена Игнатова, Добри Бояджиев, Дияна Стоянова</v>
      </c>
      <c r="H7660" s="10"/>
      <c r="I7660" s="10"/>
      <c r="J7660" s="10"/>
      <c r="K7660" s="10"/>
      <c r="L7660" s="10"/>
      <c r="M7660" s="10"/>
      <c r="N7660" s="10"/>
      <c r="O7660" s="10"/>
      <c r="P7660" s="10"/>
      <c r="Q7660" s="10"/>
      <c r="R7660" s="10"/>
      <c r="S7660" s="10"/>
      <c r="T7660" s="10"/>
      <c r="U7660" s="10"/>
      <c r="V7660" s="10"/>
      <c r="W7660" s="10"/>
      <c r="X7660" s="10"/>
      <c r="Y7660" s="10"/>
      <c r="Z7660" s="10"/>
    </row>
    <row r="7661" spans="1:26" ht="12.75">
      <c r="A7661" s="10" t="str">
        <f ca="1">IFERROR(__xludf.DUMMYFUNCTION("""COMPUTED_VALUE"""),"Тереза Стоянова Тренчева")</f>
        <v>Тереза Стоянова Тренчева</v>
      </c>
      <c r="B7661" s="10" t="str">
        <f ca="1">IFERROR(__xludf.DUMMYFUNCTION("""COMPUTED_VALUE"""),"Статия в списания и поредици")</f>
        <v>Статия в списания и поредици</v>
      </c>
      <c r="C7661" s="10" t="str">
        <f ca="1">IFERROR(__xludf.DUMMYFUNCTION("""COMPUTED_VALUE"""),"Развитие на компетенциите през целия живот")</f>
        <v>Развитие на компетенциите през целия живот</v>
      </c>
      <c r="D7661" s="10">
        <f ca="1">IFERROR(__xludf.DUMMYFUNCTION("""COMPUTED_VALUE"""),2014)</f>
        <v>2014</v>
      </c>
      <c r="E7661" s="10" t="str">
        <f ca="1">IFERROR(__xludf.DUMMYFUNCTION("""COMPUTED_VALUE"""),"Нови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181-185. ISSN: 1313-2768")</f>
        <v>Нови информационни технологии в образователния процес : Доклади и съобщения от Осмия научен семинар на УниБИТ, Камчия, 15-18 юни 2013 г. – София : За буквите – О писменехь, 2014, с. 181-185. ISSN: 1313-2768</v>
      </c>
      <c r="F7661" s="10"/>
      <c r="G7661" s="10" t="str">
        <f ca="1">IFERROR(__xludf.DUMMYFUNCTION("""COMPUTED_VALUE"""),"Събина Ефтимова")</f>
        <v>Събина Ефтимова</v>
      </c>
      <c r="H7661" s="10"/>
      <c r="I7661" s="10"/>
      <c r="J7661" s="10"/>
      <c r="K7661" s="10"/>
      <c r="L7661" s="10"/>
      <c r="M7661" s="10"/>
      <c r="N7661" s="10"/>
      <c r="O7661" s="10"/>
      <c r="P7661" s="10"/>
      <c r="Q7661" s="10"/>
      <c r="R7661" s="10"/>
      <c r="S7661" s="10"/>
      <c r="T7661" s="10"/>
      <c r="U7661" s="10"/>
      <c r="V7661" s="10"/>
      <c r="W7661" s="10"/>
      <c r="X7661" s="10"/>
      <c r="Y7661" s="10"/>
      <c r="Z7661" s="10"/>
    </row>
    <row r="7662" spans="1:26" ht="12.75">
      <c r="A7662" s="10" t="str">
        <f ca="1">IFERROR(__xludf.DUMMYFUNCTION("""COMPUTED_VALUE"""),"Тереза Стоянова Тренчева")</f>
        <v>Тереза Стоянова Тренчева</v>
      </c>
      <c r="B7662" s="10" t="str">
        <f ca="1">IFERROR(__xludf.DUMMYFUNCTION("""COMPUTED_VALUE"""),"Доклад от конференция")</f>
        <v>Доклад от конференция</v>
      </c>
      <c r="C7662" s="10" t="str">
        <f ca="1">IFERROR(__xludf.DUMMYFUNCTION("""COMPUTED_VALUE"""),"The new reality of Intellectual Property at the State University of Library Studies and Information Technologies: Project Initiatives")</f>
        <v>The new reality of Intellectual Property at the State University of Library Studies and Information Technologies: Project Initiatives</v>
      </c>
      <c r="D7662" s="10">
        <f ca="1">IFERROR(__xludf.DUMMYFUNCTION("""COMPUTED_VALUE"""),2014)</f>
        <v>2014</v>
      </c>
      <c r="E7662" s="10" t="str">
        <f ca="1">IFERROR(__xludf.DUMMYFUNCTION("""COMPUTED_VALUE"""),"Conference Proceedings of the 3th International Conference : New Perspectives in Science Education, 20-21 March 2014, Florence, Italy, 2014, p. 228-231. ISBN: 978-88-6292-469-6")</f>
        <v>Conference Proceedings of the 3th International Conference : New Perspectives in Science Education, 20-21 March 2014, Florence, Italy, 2014, p. 228-231. ISBN: 978-88-6292-469-6</v>
      </c>
      <c r="F7662" s="10"/>
      <c r="G7662" s="10"/>
      <c r="H7662" s="10"/>
      <c r="I7662" s="10"/>
      <c r="J7662" s="10"/>
      <c r="K7662" s="10"/>
      <c r="L7662" s="10"/>
      <c r="M7662" s="10"/>
      <c r="N7662" s="10"/>
      <c r="O7662" s="10"/>
      <c r="P7662" s="10"/>
      <c r="Q7662" s="10"/>
      <c r="R7662" s="10"/>
      <c r="S7662" s="10"/>
      <c r="T7662" s="10"/>
      <c r="U7662" s="10"/>
      <c r="V7662" s="10"/>
      <c r="W7662" s="10"/>
      <c r="X7662" s="10"/>
      <c r="Y7662" s="10"/>
      <c r="Z7662" s="10"/>
    </row>
    <row r="7663" spans="1:26" ht="12.75">
      <c r="A7663" s="10" t="str">
        <f ca="1">IFERROR(__xludf.DUMMYFUNCTION("""COMPUTED_VALUE"""),"Тереза Стоянова Тренчева")</f>
        <v>Тереза Стоянова Тренчева</v>
      </c>
      <c r="B7663" s="10" t="str">
        <f ca="1">IFERROR(__xludf.DUMMYFUNCTION("""COMPUTED_VALUE"""),"Монография")</f>
        <v>Монография</v>
      </c>
      <c r="C7663" s="10" t="str">
        <f ca="1">IFERROR(__xludf.DUMMYFUNCTION("""COMPUTED_VALUE"""),"Отвореният достъп до научна информация")</f>
        <v>Отвореният достъп до научна информация</v>
      </c>
      <c r="D7663" s="10">
        <f ca="1">IFERROR(__xludf.DUMMYFUNCTION("""COMPUTED_VALUE"""),2013)</f>
        <v>2013</v>
      </c>
      <c r="E7663" s="10" t="str">
        <f ca="1">IFERROR(__xludf.DUMMYFUNCTION("""COMPUTED_VALUE"""),"София : За буквите – О писменeхь, 2013. – 206 с. ISBN: 978-954-2946-85-4")</f>
        <v>София : За буквите – О писменeхь, 2013. – 206 с. ISBN: 978-954-2946-85-4</v>
      </c>
      <c r="F7663" s="10"/>
      <c r="G7663" s="10"/>
      <c r="H7663" s="10"/>
      <c r="I7663" s="10"/>
      <c r="J7663" s="10"/>
      <c r="K7663" s="10"/>
      <c r="L7663" s="10"/>
      <c r="M7663" s="10"/>
      <c r="N7663" s="10"/>
      <c r="O7663" s="10"/>
      <c r="P7663" s="10"/>
      <c r="Q7663" s="10"/>
      <c r="R7663" s="10"/>
      <c r="S7663" s="10"/>
      <c r="T7663" s="10"/>
      <c r="U7663" s="10"/>
      <c r="V7663" s="10"/>
      <c r="W7663" s="10"/>
      <c r="X7663" s="10"/>
      <c r="Y7663" s="10"/>
      <c r="Z7663" s="10"/>
    </row>
    <row r="7664" spans="1:26" ht="12.75">
      <c r="A7664" s="10" t="str">
        <f ca="1">IFERROR(__xludf.DUMMYFUNCTION("""COMPUTED_VALUE"""),"Тереза Стоянова Тренчева")</f>
        <v>Тереза Стоянова Тренчева</v>
      </c>
      <c r="B7664" s="10" t="str">
        <f ca="1">IFERROR(__xludf.DUMMYFUNCTION("""COMPUTED_VALUE"""),"Статия в списания и поредици")</f>
        <v>Статия в списания и поредици</v>
      </c>
      <c r="C7664" s="10" t="str">
        <f ca="1">IFERROR(__xludf.DUMMYFUNCTION("""COMPUTED_VALUE"""),"Съвремeнни тенденции на обучението по интелекутална собственост в УниБИТ")</f>
        <v>Съвремeнни тенденции на обучението по интелекутална собственост в УниБИТ</v>
      </c>
      <c r="D7664" s="10">
        <f ca="1">IFERROR(__xludf.DUMMYFUNCTION("""COMPUTED_VALUE"""),2013)</f>
        <v>2013</v>
      </c>
      <c r="E7664" s="10" t="str">
        <f ca="1">IFERROR(__xludf.DUMMYFUNCTION("""COMPUTED_VALUE"""),"сп. Образование и технологии, бр. 4, с. 142-144. ISSN: 1314–1791")</f>
        <v>сп. Образование и технологии, бр. 4, с. 142-144. ISSN: 1314–1791</v>
      </c>
      <c r="F7664" s="10"/>
      <c r="G7664" s="10"/>
      <c r="H7664" s="10"/>
      <c r="I7664" s="10"/>
      <c r="J7664" s="10"/>
      <c r="K7664" s="10"/>
      <c r="L7664" s="10"/>
      <c r="M7664" s="10"/>
      <c r="N7664" s="10"/>
      <c r="O7664" s="10"/>
      <c r="P7664" s="10"/>
      <c r="Q7664" s="10"/>
      <c r="R7664" s="10"/>
      <c r="S7664" s="10"/>
      <c r="T7664" s="10"/>
      <c r="U7664" s="10"/>
      <c r="V7664" s="10"/>
      <c r="W7664" s="10"/>
      <c r="X7664" s="10"/>
      <c r="Y7664" s="10"/>
      <c r="Z7664" s="10"/>
    </row>
    <row r="7665" spans="1:26" ht="12.75">
      <c r="A7665" s="10" t="str">
        <f ca="1">IFERROR(__xludf.DUMMYFUNCTION("""COMPUTED_VALUE"""),"Тереза Стоянова Тренчева")</f>
        <v>Тереза Стоянова Тренчева</v>
      </c>
      <c r="B7665" s="10" t="str">
        <f ca="1">IFERROR(__xludf.DUMMYFUNCTION("""COMPUTED_VALUE"""),"Статия в списания и поредици")</f>
        <v>Статия в списания и поредици</v>
      </c>
      <c r="C7665" s="10" t="str">
        <f ca="1">IFERROR(__xludf.DUMMYFUNCTION("""COMPUTED_VALUE"""),"Интернет достъпът до електронните онлайн издания обекти на интелектуалната собственост")</f>
        <v>Интернет достъпът до електронните онлайн издания обекти на интелектуалната собственост</v>
      </c>
      <c r="D7665" s="10">
        <f ca="1">IFERROR(__xludf.DUMMYFUNCTION("""COMPUTED_VALUE"""),2013)</f>
        <v>2013</v>
      </c>
      <c r="E7665"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138-146. ISSN: 1314-7323 (print)")</f>
        <v>Книгата – нашето по-смислено настояще : Сборник доклади от форума „Дни на книгата и авторското право в УниБИТ”, София, 23-25 април 2013 г. – София : За буквите – О Писменехь, 2013, с. 138-146. ISSN: 1314-7323 (print)</v>
      </c>
      <c r="F7665" s="10"/>
      <c r="G7665" s="10"/>
      <c r="H7665" s="10"/>
      <c r="I7665" s="10"/>
      <c r="J7665" s="10"/>
      <c r="K7665" s="10"/>
      <c r="L7665" s="10"/>
      <c r="M7665" s="10"/>
      <c r="N7665" s="10"/>
      <c r="O7665" s="10"/>
      <c r="P7665" s="10"/>
      <c r="Q7665" s="10"/>
      <c r="R7665" s="10"/>
      <c r="S7665" s="10"/>
      <c r="T7665" s="10"/>
      <c r="U7665" s="10"/>
      <c r="V7665" s="10"/>
      <c r="W7665" s="10"/>
      <c r="X7665" s="10"/>
      <c r="Y7665" s="10"/>
      <c r="Z7665" s="10"/>
    </row>
    <row r="7666" spans="1:26" ht="12.75">
      <c r="A7666" s="10" t="str">
        <f ca="1">IFERROR(__xludf.DUMMYFUNCTION("""COMPUTED_VALUE"""),"Тереза Стоянова Тренчева")</f>
        <v>Тереза Стоянова Тренчева</v>
      </c>
      <c r="B7666" s="10" t="str">
        <f ca="1">IFERROR(__xludf.DUMMYFUNCTION("""COMPUTED_VALUE"""),"Статия в списания и поредици")</f>
        <v>Статия в списания и поредици</v>
      </c>
      <c r="C7666" s="10" t="str">
        <f ca="1">IFERROR(__xludf.DUMMYFUNCTION("""COMPUTED_VALUE"""),"Изследване на „Bookcrossing” в Европа")</f>
        <v>Изследване на „Bookcrossing” в Европа</v>
      </c>
      <c r="D7666" s="10">
        <f ca="1">IFERROR(__xludf.DUMMYFUNCTION("""COMPUTED_VALUE"""),2013)</f>
        <v>2013</v>
      </c>
      <c r="E7666" s="10" t="str">
        <f ca="1">IFERROR(__xludf.DUMMYFUNCTION("""COMPUTED_VALUE"""),"Нови информационни технологии в образователния процес : Доклади и съобщения от Седмия научен семинар на УниБИТ, Охрид, 29-31 март 2012 г. – София : За буквите – О писменехь, 2013, с. 118-122. ISSN: 1313-2768")</f>
        <v>Нови информационни технологии в образователния процес : Доклади и съобщения от Седмия научен семинар на УниБИТ, Охрид, 29-31 март 2012 г. – София : За буквите – О писменехь, 2013, с. 118-122. ISSN: 1313-2768</v>
      </c>
      <c r="F7666" s="10"/>
      <c r="G7666" s="10"/>
      <c r="H7666" s="10"/>
      <c r="I7666" s="10"/>
      <c r="J7666" s="10"/>
      <c r="K7666" s="10"/>
      <c r="L7666" s="10"/>
      <c r="M7666" s="10"/>
      <c r="N7666" s="10"/>
      <c r="O7666" s="10"/>
      <c r="P7666" s="10"/>
      <c r="Q7666" s="10"/>
      <c r="R7666" s="10"/>
      <c r="S7666" s="10"/>
      <c r="T7666" s="10"/>
      <c r="U7666" s="10"/>
      <c r="V7666" s="10"/>
      <c r="W7666" s="10"/>
      <c r="X7666" s="10"/>
      <c r="Y7666" s="10"/>
      <c r="Z7666" s="10"/>
    </row>
    <row r="7667" spans="1:26" ht="12.75">
      <c r="A7667" s="10" t="str">
        <f ca="1">IFERROR(__xludf.DUMMYFUNCTION("""COMPUTED_VALUE"""),"Тереза Стоянова Тренчева")</f>
        <v>Тереза Стоянова Тренчева</v>
      </c>
      <c r="B7667" s="10" t="str">
        <f ca="1">IFERROR(__xludf.DUMMYFUNCTION("""COMPUTED_VALUE"""),"Книга")</f>
        <v>Книга</v>
      </c>
      <c r="C7667" s="10" t="str">
        <f ca="1">IFERROR(__xludf.DUMMYFUNCTION("""COMPUTED_VALUE"""),"Интелектуалната собственост в университетите : Творчество : Следващото поколение")</f>
        <v>Интелектуалната собственост в университетите : Творчество : Следващото поколение</v>
      </c>
      <c r="D7667" s="10">
        <f ca="1">IFERROR(__xludf.DUMMYFUNCTION("""COMPUTED_VALUE"""),2013)</f>
        <v>2013</v>
      </c>
      <c r="E7667" s="10" t="str">
        <f ca="1">IFERROR(__xludf.DUMMYFUNCTION("""COMPUTED_VALUE"""),"Сборник с доклади от Научен семинар, 25-26 април 2013 г. / Състав. Т. Тренчева, С. Ефтимова;. – София : За буквите – О писменехь, 2013. – 206 с. ISBN: 978-954-2946-67-0")</f>
        <v>Сборник с доклади от Научен семинар, 25-26 април 2013 г. / Състав. Т. Тренчева, С. Ефтимова;. – София : За буквите – О писменехь, 2013. – 206 с. ISBN: 978-954-2946-67-0</v>
      </c>
      <c r="F7667" s="10"/>
      <c r="G7667" s="10" t="str">
        <f ca="1">IFERROR(__xludf.DUMMYFUNCTION("""COMPUTED_VALUE"""),"Събина Ефтимова")</f>
        <v>Събина Ефтимова</v>
      </c>
      <c r="H7667" s="10"/>
      <c r="I7667" s="10"/>
      <c r="J7667" s="10"/>
      <c r="K7667" s="10"/>
      <c r="L7667" s="10"/>
      <c r="M7667" s="10"/>
      <c r="N7667" s="10"/>
      <c r="O7667" s="10"/>
      <c r="P7667" s="10"/>
      <c r="Q7667" s="10"/>
      <c r="R7667" s="10"/>
      <c r="S7667" s="10"/>
      <c r="T7667" s="10"/>
      <c r="U7667" s="10"/>
      <c r="V7667" s="10"/>
      <c r="W7667" s="10"/>
      <c r="X7667" s="10"/>
      <c r="Y7667" s="10"/>
      <c r="Z7667" s="10"/>
    </row>
    <row r="7668" spans="1:26" ht="12.75">
      <c r="A7668" s="10" t="str">
        <f ca="1">IFERROR(__xludf.DUMMYFUNCTION("""COMPUTED_VALUE"""),"Тереза Стоянова Тренчева")</f>
        <v>Тереза Стоянова Тренчева</v>
      </c>
      <c r="B7668" s="10" t="str">
        <f ca="1">IFERROR(__xludf.DUMMYFUNCTION("""COMPUTED_VALUE"""),"Статия в списания и поредици")</f>
        <v>Статия в списания и поредици</v>
      </c>
      <c r="C7668" s="10" t="str">
        <f ca="1">IFERROR(__xludf.DUMMYFUNCTION("""COMPUTED_VALUE"""),"Интелектуалната собственост и университетите в България")</f>
        <v>Интелектуалната собственост и университетите в България</v>
      </c>
      <c r="D7668" s="10">
        <f ca="1">IFERROR(__xludf.DUMMYFUNCTION("""COMPUTED_VALUE"""),2013)</f>
        <v>2013</v>
      </c>
      <c r="E7668" s="10" t="str">
        <f ca="1">IFERROR(__xludf.DUMMYFUNCTION("""COMPUTED_VALUE"""),"Обществото на знанието и хуманизмът на ХХІ век : Десета национална научна конференция с международно участие, София, 1 ноември 2012 г. – София : За буквите – О писменехь, 2013, с. 287-292. ISSN: 1314-7099 (print)")</f>
        <v>Обществото на знанието и хуманизмът на ХХІ век : Десета национална научна конференция с международно участие, София, 1 ноември 2012 г. – София : За буквите – О писменехь, 2013, с. 287-292. ISSN: 1314-7099 (print)</v>
      </c>
      <c r="F7668" s="10"/>
      <c r="G7668" s="10" t="str">
        <f ca="1">IFERROR(__xludf.DUMMYFUNCTION("""COMPUTED_VALUE"""),"Събина Ефтимова")</f>
        <v>Събина Ефтимова</v>
      </c>
      <c r="H7668" s="10"/>
      <c r="I7668" s="10"/>
      <c r="J7668" s="10"/>
      <c r="K7668" s="10"/>
      <c r="L7668" s="10"/>
      <c r="M7668" s="10"/>
      <c r="N7668" s="10"/>
      <c r="O7668" s="10"/>
      <c r="P7668" s="10"/>
      <c r="Q7668" s="10"/>
      <c r="R7668" s="10"/>
      <c r="S7668" s="10"/>
      <c r="T7668" s="10"/>
      <c r="U7668" s="10"/>
      <c r="V7668" s="10"/>
      <c r="W7668" s="10"/>
      <c r="X7668" s="10"/>
      <c r="Y7668" s="10"/>
      <c r="Z7668" s="10"/>
    </row>
    <row r="7669" spans="1:26" ht="12.75">
      <c r="A7669" s="10" t="str">
        <f ca="1">IFERROR(__xludf.DUMMYFUNCTION("""COMPUTED_VALUE"""),"Тереза Стоянова Тренчева")</f>
        <v>Тереза Стоянова Тренчева</v>
      </c>
      <c r="B7669" s="10" t="str">
        <f ca="1">IFERROR(__xludf.DUMMYFUNCTION("""COMPUTED_VALUE"""),"Доклад от конференция")</f>
        <v>Доклад от конференция</v>
      </c>
      <c r="C7669" s="10" t="str">
        <f ca="1">IFERROR(__xludf.DUMMYFUNCTION("""COMPUTED_VALUE"""),"Отвореният достъп до научна информация: Ретроспективен анализ на българската периодика в директорията за отворен достъп")</f>
        <v>Отвореният достъп до научна информация: Ретроспективен анализ на българската периодика в директорията за отворен достъп</v>
      </c>
      <c r="D7669" s="10">
        <f ca="1">IFERROR(__xludf.DUMMYFUNCTION("""COMPUTED_VALUE"""),2013)</f>
        <v>2013</v>
      </c>
      <c r="E7669" s="10" t="str">
        <f ca="1">IFERROR(__xludf.DUMMYFUNCTION("""COMPUTED_VALUE"""),"Дигиталното настояще и дигиталното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София / Състав. Р. Василева, С. Станчева; Науч. "&amp;"ред. Иванка Янкова. – София : За буквите – О писменехь, 2013, с. 208-213. ISBN 978-954-2946-64-9")</f>
        <v>Дигиталното настояще и дигиталното бъдеще : Икономически, културни, образователни, правни и технологични въздействия : Сборник с научни доклади от научна конференция с международно участие, 9-10 април 2013, София / Състав. Р. Василева, С. Станчева; Науч. ред. Иванка Янкова. – София : За буквите – О писменехь, 2013, с. 208-213. ISBN 978-954-2946-64-9</v>
      </c>
      <c r="F7669" s="10"/>
      <c r="G7669" s="10"/>
      <c r="H7669" s="10"/>
      <c r="I7669" s="10"/>
      <c r="J7669" s="10"/>
      <c r="K7669" s="10"/>
      <c r="L7669" s="10"/>
      <c r="M7669" s="10"/>
      <c r="N7669" s="10"/>
      <c r="O7669" s="10"/>
      <c r="P7669" s="10"/>
      <c r="Q7669" s="10"/>
      <c r="R7669" s="10"/>
      <c r="S7669" s="10"/>
      <c r="T7669" s="10"/>
      <c r="U7669" s="10"/>
      <c r="V7669" s="10"/>
      <c r="W7669" s="10"/>
      <c r="X7669" s="10"/>
      <c r="Y7669" s="10"/>
      <c r="Z7669" s="10"/>
    </row>
    <row r="7670" spans="1:26" ht="12.75">
      <c r="A7670" s="10" t="str">
        <f ca="1">IFERROR(__xludf.DUMMYFUNCTION("""COMPUTED_VALUE"""),"Тереза Стоянова Тренчева")</f>
        <v>Тереза Стоянова Тренчева</v>
      </c>
      <c r="B7670" s="10" t="str">
        <f ca="1">IFERROR(__xludf.DUMMYFUNCTION("""COMPUTED_VALUE"""),"Доклад от конференция")</f>
        <v>Доклад от конференция</v>
      </c>
      <c r="C7670" s="10" t="str">
        <f ca="1">IFERROR(__xludf.DUMMYFUNCTION("""COMPUTED_VALUE"""),"Intellectual Property Education in University Environment in Bulgaria")</f>
        <v>Intellectual Property Education in University Environment in Bulgaria</v>
      </c>
      <c r="D7670" s="10">
        <f ca="1">IFERROR(__xludf.DUMMYFUNCTION("""COMPUTED_VALUE"""),2013)</f>
        <v>2013</v>
      </c>
      <c r="E7670" s="10" t="str">
        <f ca="1">IFERROR(__xludf.DUMMYFUNCTION("""COMPUTED_VALUE"""),"Conference Proceedings: International Conference: The Future of Education, 13-14 June 2013, Florence, Italy, Simonelli Ed., Vol. 3. – Italy : Libreriauniversitaria, 2013, p. 743-746.")</f>
        <v>Conference Proceedings: International Conference: The Future of Education, 13-14 June 2013, Florence, Italy, Simonelli Ed., Vol. 3. – Italy : Libreriauniversitaria, 2013, p. 743-746.</v>
      </c>
      <c r="F7670" s="10"/>
      <c r="G7670" s="10" t="str">
        <f ca="1">IFERROR(__xludf.DUMMYFUNCTION("""COMPUTED_VALUE"""),"Stoyan Denchev")</f>
        <v>Stoyan Denchev</v>
      </c>
      <c r="H7670" s="10"/>
      <c r="I7670" s="10"/>
      <c r="J7670" s="10"/>
      <c r="K7670" s="10"/>
      <c r="L7670" s="10"/>
      <c r="M7670" s="10"/>
      <c r="N7670" s="10"/>
      <c r="O7670" s="10"/>
      <c r="P7670" s="10"/>
      <c r="Q7670" s="10"/>
      <c r="R7670" s="10"/>
      <c r="S7670" s="10"/>
      <c r="T7670" s="10"/>
      <c r="U7670" s="10"/>
      <c r="V7670" s="10"/>
      <c r="W7670" s="10"/>
      <c r="X7670" s="10"/>
      <c r="Y7670" s="10"/>
      <c r="Z7670" s="10"/>
    </row>
    <row r="7671" spans="1:26" ht="12.75">
      <c r="A7671" s="10" t="str">
        <f ca="1">IFERROR(__xludf.DUMMYFUNCTION("""COMPUTED_VALUE"""),"Тереза Стоянова Тренчева")</f>
        <v>Тереза Стоянова Тренчева</v>
      </c>
      <c r="B7671" s="10" t="str">
        <f ca="1">IFERROR(__xludf.DUMMYFUNCTION("""COMPUTED_VALUE"""),"Доклад от конференция")</f>
        <v>Доклад от конференция</v>
      </c>
      <c r="C7671" s="10" t="str">
        <f ca="1">IFERROR(__xludf.DUMMYFUNCTION("""COMPUTED_VALUE"""),"Интелектуалната собственост и университетската действителност – представяне на проект за Млади учени ДМУ 03/3")</f>
        <v>Интелектуалната собственост и университетската действителност – представяне на проект за Млади учени ДМУ 03/3</v>
      </c>
      <c r="D7671" s="10">
        <f ca="1">IFERROR(__xludf.DUMMYFUNCTION("""COMPUTED_VALUE"""),2013)</f>
        <v>2013</v>
      </c>
      <c r="E7671" s="10" t="str">
        <f ca="1">IFERROR(__xludf.DUMMYFUNCTION("""COMPUTED_VALUE"""),"Интелектуалната собственост в университетите : Творчество : Следващото поколение : Сборник с доклади от Научен семинар 25 - 26 април 2013 г. / Състав. Т. Тренчева, С. Ефтимова. – София : За буквите – О писменехь, 2013, с. 15-23. ISBN: 978-954-2946-67-0")</f>
        <v>Интелектуалната собственост в университетите : Творчество : Следващото поколение : Сборник с доклади от Научен семинар 25 - 26 април 2013 г. / Състав. Т. Тренчева, С. Ефтимова. – София : За буквите – О писменехь, 2013, с. 15-23. ISBN: 978-954-2946-67-0</v>
      </c>
      <c r="F7671" s="10"/>
      <c r="G7671" s="10" t="str">
        <f ca="1">IFERROR(__xludf.DUMMYFUNCTION("""COMPUTED_VALUE"""),"Събина Ефтимова")</f>
        <v>Събина Ефтимова</v>
      </c>
      <c r="H7671" s="10"/>
      <c r="I7671" s="10"/>
      <c r="J7671" s="10"/>
      <c r="K7671" s="10"/>
      <c r="L7671" s="10"/>
      <c r="M7671" s="10"/>
      <c r="N7671" s="10"/>
      <c r="O7671" s="10"/>
      <c r="P7671" s="10"/>
      <c r="Q7671" s="10"/>
      <c r="R7671" s="10"/>
      <c r="S7671" s="10"/>
      <c r="T7671" s="10"/>
      <c r="U7671" s="10"/>
      <c r="V7671" s="10"/>
      <c r="W7671" s="10"/>
      <c r="X7671" s="10"/>
      <c r="Y7671" s="10"/>
      <c r="Z7671" s="10"/>
    </row>
    <row r="7672" spans="1:26" ht="12.75">
      <c r="A7672" s="10" t="str">
        <f ca="1">IFERROR(__xludf.DUMMYFUNCTION("""COMPUTED_VALUE"""),"Тереза Стоянова Тренчева")</f>
        <v>Тереза Стоянова Тренчева</v>
      </c>
      <c r="B7672" s="10" t="str">
        <f ca="1">IFERROR(__xludf.DUMMYFUNCTION("""COMPUTED_VALUE"""),"Студия")</f>
        <v>Студия</v>
      </c>
      <c r="C7672" s="10" t="str">
        <f ca="1">IFERROR(__xludf.DUMMYFUNCTION("""COMPUTED_VALUE"""),"Резултати от национално анкетно проучване „Опазване на интелектуалната собстевност в Интернет“ по проект ДМУ 03/3")</f>
        <v>Резултати от национално анкетно проучване „Опазване на интелектуалната собстевност в Интернет“ по проект ДМУ 03/3</v>
      </c>
      <c r="D7672" s="10">
        <f ca="1">IFERROR(__xludf.DUMMYFUNCTION("""COMPUTED_VALUE"""),2013)</f>
        <v>2013</v>
      </c>
      <c r="E7672" s="10" t="str">
        <f ca="1">IFERROR(__xludf.DUMMYFUNCTION("""COMPUTED_VALUE"""),"Интелектуалната собственост в университетите : Творчество : Следващото поколение : Сборник с доклади от Научен семинар 25 - 26 април 2013 г. / Състав. Т. Тренчева, С. Ефтимова. – София : За буквите – О писменехь, 2013, с. 24-63 ISBN: 978-954-2946-67-0")</f>
        <v>Интелектуалната собственост в университетите : Творчество : Следващото поколение : Сборник с доклади от Научен семинар 25 - 26 април 2013 г. / Състав. Т. Тренчева, С. Ефтимова. – София : За буквите – О писменехь, 2013, с. 24-63 ISBN: 978-954-2946-67-0</v>
      </c>
      <c r="F7672" s="10"/>
      <c r="G7672" s="10" t="str">
        <f ca="1">IFERROR(__xludf.DUMMYFUNCTION("""COMPUTED_VALUE"""),"Росица Кръстева, Гошо Петков")</f>
        <v>Росица Кръстева, Гошо Петков</v>
      </c>
      <c r="H7672" s="10"/>
      <c r="I7672" s="10"/>
      <c r="J7672" s="10"/>
      <c r="K7672" s="10"/>
      <c r="L7672" s="10"/>
      <c r="M7672" s="10"/>
      <c r="N7672" s="10"/>
      <c r="O7672" s="10"/>
      <c r="P7672" s="10"/>
      <c r="Q7672" s="10"/>
      <c r="R7672" s="10"/>
      <c r="S7672" s="10"/>
      <c r="T7672" s="10"/>
      <c r="U7672" s="10"/>
      <c r="V7672" s="10"/>
      <c r="W7672" s="10"/>
      <c r="X7672" s="10"/>
      <c r="Y7672" s="10"/>
      <c r="Z7672" s="10"/>
    </row>
    <row r="7673" spans="1:26" ht="12.75">
      <c r="A7673" s="10" t="str">
        <f ca="1">IFERROR(__xludf.DUMMYFUNCTION("""COMPUTED_VALUE"""),"Тереза Стоянова Тренчева")</f>
        <v>Тереза Стоянова Тренчева</v>
      </c>
      <c r="B7673" s="10" t="str">
        <f ca="1">IFERROR(__xludf.DUMMYFUNCTION("""COMPUTED_VALUE"""),"Статия в списания и поредици")</f>
        <v>Статия в списания и поредици</v>
      </c>
      <c r="C7673" s="10" t="str">
        <f ca="1">IFERROR(__xludf.DUMMYFUNCTION("""COMPUTED_VALUE"""),"Приложение на 3-D моделите в електронното обучение")</f>
        <v>Приложение на 3-D моделите в електронното обучение</v>
      </c>
      <c r="D7673" s="10">
        <f ca="1">IFERROR(__xludf.DUMMYFUNCTION("""COMPUTED_VALUE"""),2012)</f>
        <v>2012</v>
      </c>
      <c r="E7673" s="10" t="str">
        <f ca="1">IFERROR(__xludf.DUMMYFUNCTION("""COMPUTED_VALUE"""),"Нови информационни технологии в образователния процес : Доклади и съобщения от Шестия научен семинар на УниБИТ, Костенец, 24-26 март 2011 г. – София : За буквите – О писменехь, 2012, с. 324-329. ISSN: 1313-2768")</f>
        <v>Нови информационни технологии в образователния процес : Доклади и съобщения от Шестия научен семинар на УниБИТ, Костенец, 24-26 март 2011 г. – София : За буквите – О писменехь, 2012, с. 324-329. ISSN: 1313-2768</v>
      </c>
      <c r="F7673" s="10"/>
      <c r="G7673" s="10" t="str">
        <f ca="1">IFERROR(__xludf.DUMMYFUNCTION("""COMPUTED_VALUE"""),"Иван Тренчев")</f>
        <v>Иван Тренчев</v>
      </c>
      <c r="H7673" s="10"/>
      <c r="I7673" s="10"/>
      <c r="J7673" s="10"/>
      <c r="K7673" s="10"/>
      <c r="L7673" s="10"/>
      <c r="M7673" s="10"/>
      <c r="N7673" s="10"/>
      <c r="O7673" s="10"/>
      <c r="P7673" s="10"/>
      <c r="Q7673" s="10"/>
      <c r="R7673" s="10"/>
      <c r="S7673" s="10"/>
      <c r="T7673" s="10"/>
      <c r="U7673" s="10"/>
      <c r="V7673" s="10"/>
      <c r="W7673" s="10"/>
      <c r="X7673" s="10"/>
      <c r="Y7673" s="10"/>
      <c r="Z7673" s="10"/>
    </row>
    <row r="7674" spans="1:26" ht="12.75">
      <c r="A7674" s="10" t="str">
        <f ca="1">IFERROR(__xludf.DUMMYFUNCTION("""COMPUTED_VALUE"""),"Тереза Стоянова Тренчева")</f>
        <v>Тереза Стоянова Тренчева</v>
      </c>
      <c r="B7674" s="10" t="str">
        <f ca="1">IFERROR(__xludf.DUMMYFUNCTION("""COMPUTED_VALUE"""),"Доклад от конференция")</f>
        <v>Доклад от конференция</v>
      </c>
      <c r="C7674" s="10" t="str">
        <f ca="1">IFERROR(__xludf.DUMMYFUNCTION("""COMPUTED_VALUE"""),"Добри практики в статията на Аугунус Намди Угбу „Качество на образованието по библиотечно-информационни науки в Нигерия: място на публично-частното сътрудничество")</f>
        <v>Добри практики в статията на Аугунус Намди Угбу „Качество на образованието по библиотечно-информационни науки в Нигерия: място на публично-частното сътрудничество</v>
      </c>
      <c r="D7674" s="10">
        <f ca="1">IFERROR(__xludf.DUMMYFUNCTION("""COMPUTED_VALUE"""),2012)</f>
        <v>2012</v>
      </c>
      <c r="E7674" s="10" t="str">
        <f ca="1">IFERROR(__xludf.DUMMYFUNCTION("""COMPUTED_VALUE"""),"Сборник с доклади от научно ателие за млади учени и докторанти, София, За буквите. О Писменехь., 2012, с. 27-32, ISBN: 978-954-2946-39-7")</f>
        <v>Сборник с доклади от научно ателие за млади учени и докторанти, София, За буквите. О Писменехь., 2012, с. 27-32, ISBN: 978-954-2946-39-7</v>
      </c>
      <c r="F7674" s="10"/>
      <c r="G7674" s="10"/>
      <c r="H7674" s="10"/>
      <c r="I7674" s="10"/>
      <c r="J7674" s="10"/>
      <c r="K7674" s="10"/>
      <c r="L7674" s="10"/>
      <c r="M7674" s="10"/>
      <c r="N7674" s="10"/>
      <c r="O7674" s="10"/>
      <c r="P7674" s="10"/>
      <c r="Q7674" s="10"/>
      <c r="R7674" s="10"/>
      <c r="S7674" s="10"/>
      <c r="T7674" s="10"/>
      <c r="U7674" s="10"/>
      <c r="V7674" s="10"/>
      <c r="W7674" s="10"/>
      <c r="X7674" s="10"/>
      <c r="Y7674" s="10"/>
      <c r="Z7674" s="10"/>
    </row>
    <row r="7675" spans="1:26" ht="12.75">
      <c r="A7675" s="10" t="str">
        <f ca="1">IFERROR(__xludf.DUMMYFUNCTION("""COMPUTED_VALUE"""),"Тереза Стоянова Тренчева")</f>
        <v>Тереза Стоянова Тренчева</v>
      </c>
      <c r="B7675" s="10" t="str">
        <f ca="1">IFERROR(__xludf.DUMMYFUNCTION("""COMPUTED_VALUE"""),"Доклад от конференция")</f>
        <v>Доклад от конференция</v>
      </c>
      <c r="C7675" s="10" t="str">
        <f ca="1">IFERROR(__xludf.DUMMYFUNCTION("""COMPUTED_VALUE"""),"Intellectual Property of information resources on the Internet")</f>
        <v>Intellectual Property of information resources on the Internet</v>
      </c>
      <c r="D7675" s="10">
        <f ca="1">IFERROR(__xludf.DUMMYFUNCTION("""COMPUTED_VALUE"""),2012)</f>
        <v>2012</v>
      </c>
      <c r="E7675" s="10" t="str">
        <f ca="1">IFERROR(__xludf.DUMMYFUNCTION("""COMPUTED_VALUE"""),"Textboof of IP Library, Information and Cultural Management – Academic Summer School, 2-15th September 2012, Zagreb, p.132-140, ISBN: 978-954-2946-44-1")</f>
        <v>Textboof of IP Library, Information and Cultural Management – Academic Summer School, 2-15th September 2012, Zagreb, p.132-140, ISBN: 978-954-2946-44-1</v>
      </c>
      <c r="F7675" s="10"/>
      <c r="G7675" s="10"/>
      <c r="H7675" s="10"/>
      <c r="I7675" s="10"/>
      <c r="J7675" s="10"/>
      <c r="K7675" s="10"/>
      <c r="L7675" s="10"/>
      <c r="M7675" s="10"/>
      <c r="N7675" s="10"/>
      <c r="O7675" s="10"/>
      <c r="P7675" s="10"/>
      <c r="Q7675" s="10"/>
      <c r="R7675" s="10"/>
      <c r="S7675" s="10"/>
      <c r="T7675" s="10"/>
      <c r="U7675" s="10"/>
      <c r="V7675" s="10"/>
      <c r="W7675" s="10"/>
      <c r="X7675" s="10"/>
      <c r="Y7675" s="10"/>
      <c r="Z7675" s="10"/>
    </row>
    <row r="7676" spans="1:26" ht="12.75">
      <c r="A7676" s="10" t="str">
        <f ca="1">IFERROR(__xludf.DUMMYFUNCTION("""COMPUTED_VALUE"""),"Тереза Стоянова Тренчева")</f>
        <v>Тереза Стоянова Тренчева</v>
      </c>
      <c r="B7676" s="10" t="str">
        <f ca="1">IFERROR(__xludf.DUMMYFUNCTION("""COMPUTED_VALUE"""),"Статия в списания и поредици")</f>
        <v>Статия в списания и поредици</v>
      </c>
      <c r="C7676" s="10" t="str">
        <f ca="1">IFERROR(__xludf.DUMMYFUNCTION("""COMPUTED_VALUE"""),"Анализ на обичайните практики при използването на продукти на интелектуалната собственост в университетска информационна среда")</f>
        <v>Анализ на обичайните практики при използването на продукти на интелектуалната собственост в университетска информационна среда</v>
      </c>
      <c r="D7676" s="10">
        <f ca="1">IFERROR(__xludf.DUMMYFUNCTION("""COMPUTED_VALUE"""),2012)</f>
        <v>2012</v>
      </c>
      <c r="E7676" s="10" t="str">
        <f ca="1">IFERROR(__xludf.DUMMYFUNCTION("""COMPUTED_VALUE"""),"Сп. Образование и технологии, 2012, № 3, с. 122-124. ISSN: 1314–1791")</f>
        <v>Сп. Образование и технологии, 2012, № 3, с. 122-124. ISSN: 1314–1791</v>
      </c>
      <c r="F7676" s="10"/>
      <c r="G7676" s="10"/>
      <c r="H7676" s="10"/>
      <c r="I7676" s="10"/>
      <c r="J7676" s="10"/>
      <c r="K7676" s="10"/>
      <c r="L7676" s="10"/>
      <c r="M7676" s="10"/>
      <c r="N7676" s="10"/>
      <c r="O7676" s="10"/>
      <c r="P7676" s="10"/>
      <c r="Q7676" s="10"/>
      <c r="R7676" s="10"/>
      <c r="S7676" s="10"/>
      <c r="T7676" s="10"/>
      <c r="U7676" s="10"/>
      <c r="V7676" s="10"/>
      <c r="W7676" s="10"/>
      <c r="X7676" s="10"/>
      <c r="Y7676" s="10"/>
      <c r="Z7676" s="10"/>
    </row>
    <row r="7677" spans="1:26" ht="12.75">
      <c r="A7677" s="10" t="str">
        <f ca="1">IFERROR(__xludf.DUMMYFUNCTION("""COMPUTED_VALUE"""),"Тереза Стоянова Тренчева")</f>
        <v>Тереза Стоянова Тренчева</v>
      </c>
      <c r="B7677" s="10" t="str">
        <f ca="1">IFERROR(__xludf.DUMMYFUNCTION("""COMPUTED_VALUE"""),"Доклад от конференция")</f>
        <v>Доклад от конференция</v>
      </c>
      <c r="C7677" s="10" t="str">
        <f ca="1">IFERROR(__xludf.DUMMYFUNCTION("""COMPUTED_VALUE"""),"Интелектуалната собственост, като елемент от информационната грамотност в университетска среда")</f>
        <v>Интелектуалната собственост, като елемент от информационната грамотност в университетска среда</v>
      </c>
      <c r="D7677" s="10">
        <f ca="1">IFERROR(__xludf.DUMMYFUNCTION("""COMPUTED_VALUE"""),2012)</f>
        <v>2012</v>
      </c>
      <c r="E7677" s="10" t="str">
        <f ca="1">IFERROR(__xludf.DUMMYFUNCTION("""COMPUTED_VALUE"""),"Информационната грамотност – модели за обучение и добри практики: Сборник с научни доклади и съобщения от научен семинар с международно участие, 18-19 окт. 2012 г., УБ на ИУ, гр. Варна / Състав. Т. Тодорова, Д. Стойкова. – София : За буквите – О писменехь"&amp;", 2012, с. 357-362. ISBN 978-954-2946-30-4")</f>
        <v>Информационната грамотност – модели за обучение и добри практики: Сборник с научни доклади и съобщения от научен семинар с международно участие, 18-19 окт. 2012 г., УБ на ИУ, гр. Варна / Състав. Т. Тодорова, Д. Стойкова. – София : За буквите – О писменехь, 2012, с. 357-362. ISBN 978-954-2946-30-4</v>
      </c>
      <c r="F7677" s="10"/>
      <c r="G7677" s="10" t="str">
        <f ca="1">IFERROR(__xludf.DUMMYFUNCTION("""COMPUTED_VALUE"""),"Божанка Неделчева")</f>
        <v>Божанка Неделчева</v>
      </c>
      <c r="H7677" s="10"/>
      <c r="I7677" s="10"/>
      <c r="J7677" s="10"/>
      <c r="K7677" s="10"/>
      <c r="L7677" s="10"/>
      <c r="M7677" s="10"/>
      <c r="N7677" s="10"/>
      <c r="O7677" s="10"/>
      <c r="P7677" s="10"/>
      <c r="Q7677" s="10"/>
      <c r="R7677" s="10"/>
      <c r="S7677" s="10"/>
      <c r="T7677" s="10"/>
      <c r="U7677" s="10"/>
      <c r="V7677" s="10"/>
      <c r="W7677" s="10"/>
      <c r="X7677" s="10"/>
      <c r="Y7677" s="10"/>
      <c r="Z7677" s="10"/>
    </row>
    <row r="7678" spans="1:26" ht="12.75">
      <c r="A7678" s="10" t="str">
        <f ca="1">IFERROR(__xludf.DUMMYFUNCTION("""COMPUTED_VALUE"""),"Тереза Стоянова Тренчева")</f>
        <v>Тереза Стоянова Тренчева</v>
      </c>
      <c r="B7678" s="10" t="str">
        <f ca="1">IFERROR(__xludf.DUMMYFUNCTION("""COMPUTED_VALUE"""),"Статия в списания и поредици")</f>
        <v>Статия в списания и поредици</v>
      </c>
      <c r="C7678" s="10" t="str">
        <f ca="1">IFERROR(__xludf.DUMMYFUNCTION("""COMPUTED_VALUE"""),"Авторски правомощия при използването на произведения в Интернет")</f>
        <v>Авторски правомощия при използването на произведения в Интернет</v>
      </c>
      <c r="D7678" s="10">
        <f ca="1">IFERROR(__xludf.DUMMYFUNCTION("""COMPUTED_VALUE"""),2012)</f>
        <v>2012</v>
      </c>
      <c r="E7678" s="10" t="str">
        <f ca="1">IFERROR(__xludf.DUMMYFUNCTION("""COMPUTED_VALUE"""),"Книгата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149-153. ISSN: 1314-7323 (print)")</f>
        <v>Книгата – нашето по-смислено настояще : Сборник доклади от форума „Дни на книгата и авторското право в УниБИТ”, София, 23-25 април 2012 г. – София : За буквите – О Писменехь, 2012, с. 149-153. ISSN: 1314-7323 (print)</v>
      </c>
      <c r="F7678" s="10"/>
      <c r="G7678" s="10"/>
      <c r="H7678" s="10"/>
      <c r="I7678" s="10"/>
      <c r="J7678" s="10"/>
      <c r="K7678" s="10"/>
      <c r="L7678" s="10"/>
      <c r="M7678" s="10"/>
      <c r="N7678" s="10"/>
      <c r="O7678" s="10"/>
      <c r="P7678" s="10"/>
      <c r="Q7678" s="10"/>
      <c r="R7678" s="10"/>
      <c r="S7678" s="10"/>
      <c r="T7678" s="10"/>
      <c r="U7678" s="10"/>
      <c r="V7678" s="10"/>
      <c r="W7678" s="10"/>
      <c r="X7678" s="10"/>
      <c r="Y7678" s="10"/>
      <c r="Z7678" s="10"/>
    </row>
    <row r="7679" spans="1:26" ht="12.75">
      <c r="A7679" s="10" t="str">
        <f ca="1">IFERROR(__xludf.DUMMYFUNCTION("""COMPUTED_VALUE"""),"Тереза Стоянова Тренчева")</f>
        <v>Тереза Стоянова Тренчева</v>
      </c>
      <c r="B7679" s="10" t="str">
        <f ca="1">IFERROR(__xludf.DUMMYFUNCTION("""COMPUTED_VALUE"""),"Статия в списания и поредици")</f>
        <v>Статия в списания и поредици</v>
      </c>
      <c r="C7679" s="10" t="str">
        <f ca="1">IFERROR(__xludf.DUMMYFUNCTION("""COMPUTED_VALUE"""),"Съвременно състояние на договорите Криейтив Комънс в Европа")</f>
        <v>Съвременно състояние на договорите Криейтив Комънс в Европа</v>
      </c>
      <c r="D7679" s="10">
        <f ca="1">IFERROR(__xludf.DUMMYFUNCTION("""COMPUTED_VALUE"""),2012)</f>
        <v>2012</v>
      </c>
      <c r="E7679" s="10" t="str">
        <f ca="1">IFERROR(__xludf.DUMMYFUNCTION("""COMPUTED_VALUE"""),"Библиотеки, четене, комуникации : Х национална научна конференция с международно участие, В. Търново, 17-18 ноем. 2011 г. – В. Търново : УИ “Св. Св. Кирил и Методий”, 2012, с. 272-278. ISSN: 1313-8138")</f>
        <v>Библиотеки, четене, комуникации : Х национална научна конференция с международно участие, В. Търново, 17-18 ноем. 2011 г. – В. Търново : УИ “Св. Св. Кирил и Методий”, 2012, с. 272-278. ISSN: 1313-8138</v>
      </c>
      <c r="F7679" s="10"/>
      <c r="G7679" s="10"/>
      <c r="H7679" s="10"/>
      <c r="I7679" s="10"/>
      <c r="J7679" s="10"/>
      <c r="K7679" s="10"/>
      <c r="L7679" s="10"/>
      <c r="M7679" s="10"/>
      <c r="N7679" s="10"/>
      <c r="O7679" s="10"/>
      <c r="P7679" s="10"/>
      <c r="Q7679" s="10"/>
      <c r="R7679" s="10"/>
      <c r="S7679" s="10"/>
      <c r="T7679" s="10"/>
      <c r="U7679" s="10"/>
      <c r="V7679" s="10"/>
      <c r="W7679" s="10"/>
      <c r="X7679" s="10"/>
      <c r="Y7679" s="10"/>
      <c r="Z7679" s="10"/>
    </row>
    <row r="7680" spans="1:26" ht="12.75">
      <c r="A7680" s="10" t="str">
        <f ca="1">IFERROR(__xludf.DUMMYFUNCTION("""COMPUTED_VALUE"""),"Тереза Стоянова Тренчева")</f>
        <v>Тереза Стоянова Тренчева</v>
      </c>
      <c r="B7680" s="10" t="str">
        <f ca="1">IFERROR(__xludf.DUMMYFUNCTION("""COMPUTED_VALUE"""),"Доклад от конференция")</f>
        <v>Доклад от конференция</v>
      </c>
      <c r="C7680" s="10" t="str">
        <f ca="1">IFERROR(__xludf.DUMMYFUNCTION("""COMPUTED_VALUE"""),"Digital Right Management (DRM) and Library Copyright Policy")</f>
        <v>Digital Right Management (DRM) and Library Copyright Policy</v>
      </c>
      <c r="D7680" s="10">
        <f ca="1">IFERROR(__xludf.DUMMYFUNCTION("""COMPUTED_VALUE"""),2012)</f>
        <v>2012</v>
      </c>
      <c r="E7680" s="10" t="str">
        <f ca="1">IFERROR(__xludf.DUMMYFUNCTION("""COMPUTED_VALUE"""),"Proceeding of DiPP 2012 : International Conference on Digital Presentation and Preservation of Cultural and Scientific Heritage, 18-21 September, 2012, V. Turnovo, Bulgaria. – Sofia : IMI – BAS, 2012, p. 123-131. ISSN: 1314 – 4006")</f>
        <v>Proceeding of DiPP 2012 : International Conference on Digital Presentation and Preservation of Cultural and Scientific Heritage, 18-21 September, 2012, V. Turnovo, Bulgaria. – Sofia : IMI – BAS, 2012, p. 123-131. ISSN: 1314 – 4006</v>
      </c>
      <c r="F7680" s="10"/>
      <c r="G7680" s="10" t="str">
        <f ca="1">IFERROR(__xludf.DUMMYFUNCTION("""COMPUTED_VALUE"""),"Tania Todorova, Ivan Trenchev")</f>
        <v>Tania Todorova, Ivan Trenchev</v>
      </c>
      <c r="H7680" s="10"/>
      <c r="I7680" s="10"/>
      <c r="J7680" s="10"/>
      <c r="K7680" s="10"/>
      <c r="L7680" s="10"/>
      <c r="M7680" s="10"/>
      <c r="N7680" s="10"/>
      <c r="O7680" s="10"/>
      <c r="P7680" s="10"/>
      <c r="Q7680" s="10"/>
      <c r="R7680" s="10"/>
      <c r="S7680" s="10"/>
      <c r="T7680" s="10"/>
      <c r="U7680" s="10"/>
      <c r="V7680" s="10"/>
      <c r="W7680" s="10"/>
      <c r="X7680" s="10"/>
      <c r="Y7680" s="10"/>
      <c r="Z7680" s="10"/>
    </row>
    <row r="7681" spans="1:26" ht="12.75">
      <c r="A7681" s="10" t="str">
        <f ca="1">IFERROR(__xludf.DUMMYFUNCTION("""COMPUTED_VALUE"""),"Тереза Стоянова Тренчева")</f>
        <v>Тереза Стоянова Тренчева</v>
      </c>
      <c r="B7681" s="10" t="str">
        <f ca="1">IFERROR(__xludf.DUMMYFUNCTION("""COMPUTED_VALUE"""),"Статия в списания и поредици")</f>
        <v>Статия в списания и поредици</v>
      </c>
      <c r="C7681" s="10" t="str">
        <f ca="1">IFERROR(__xludf.DUMMYFUNCTION("""COMPUTED_VALUE"""),"Приложение на софтуерни пакети със свободен лиценз в образователния процес")</f>
        <v>Приложение на софтуерни пакети със свободен лиценз в образователния процес</v>
      </c>
      <c r="D7681" s="10">
        <f ca="1">IFERROR(__xludf.DUMMYFUNCTION("""COMPUTED_VALUE"""),2011)</f>
        <v>2011</v>
      </c>
      <c r="E7681" s="10" t="str">
        <f ca="1">IFERROR(__xludf.DUMMYFUNCTION("""COMPUTED_VALUE"""),"Сп. Образование и технологии, 2011, № 2, с. 77- 80. ISSN 1314–1791")</f>
        <v>Сп. Образование и технологии, 2011, № 2, с. 77- 80. ISSN 1314–1791</v>
      </c>
      <c r="F7681" s="10"/>
      <c r="G7681" s="10" t="str">
        <f ca="1">IFERROR(__xludf.DUMMYFUNCTION("""COMPUTED_VALUE"""),"Иван Тренчев")</f>
        <v>Иван Тренчев</v>
      </c>
      <c r="H7681" s="10"/>
      <c r="I7681" s="10"/>
      <c r="J7681" s="10"/>
      <c r="K7681" s="10"/>
      <c r="L7681" s="10"/>
      <c r="M7681" s="10"/>
      <c r="N7681" s="10"/>
      <c r="O7681" s="10"/>
      <c r="P7681" s="10"/>
      <c r="Q7681" s="10"/>
      <c r="R7681" s="10"/>
      <c r="S7681" s="10"/>
      <c r="T7681" s="10"/>
      <c r="U7681" s="10"/>
      <c r="V7681" s="10"/>
      <c r="W7681" s="10"/>
      <c r="X7681" s="10"/>
      <c r="Y7681" s="10"/>
      <c r="Z7681" s="10"/>
    </row>
    <row r="7682" spans="1:26" ht="12.75">
      <c r="A7682" s="10" t="str">
        <f ca="1">IFERROR(__xludf.DUMMYFUNCTION("""COMPUTED_VALUE"""),"Тереза Стоянова Тренчева")</f>
        <v>Тереза Стоянова Тренчева</v>
      </c>
      <c r="B7682" s="10" t="str">
        <f ca="1">IFERROR(__xludf.DUMMYFUNCTION("""COMPUTED_VALUE"""),"Доклад от конференция")</f>
        <v>Доклад от конференция</v>
      </c>
      <c r="C7682" s="10" t="str">
        <f ca="1">IFERROR(__xludf.DUMMYFUNCTION("""COMPUTED_VALUE"""),"Съвременни тенденции на стандартизационното осигуряване в областта на информационните и комуникационни технологии в България")</f>
        <v>Съвременни тенденции на стандартизационното осигуряване в областта на информационните и комуникационни технологии в България</v>
      </c>
      <c r="D7682" s="10">
        <f ca="1">IFERROR(__xludf.DUMMYFUNCTION("""COMPUTED_VALUE"""),2011)</f>
        <v>2011</v>
      </c>
      <c r="E7682" s="10" t="str">
        <f ca="1">IFERROR(__xludf.DUMMYFUNCTION("""COMPUTED_VALUE"""),"Библиотечният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 Янкова, Т. Тодорова. – София : За буквите – О писменех"&amp;"ь, 2011, с. 182-193. ISBN 978-954-2946-14-4")</f>
        <v>Библиотечният и културен мениджмънт и информационно-комуникационните технологии : Сборник с научни доклади и съобщения от научна конференция с международно участие, 3-4 септ. 2011, Бургас / Състав. И. Янкова, Т. Тодорова. – София : За буквите – О писменехь, 2011, с. 182-193. ISBN 978-954-2946-14-4</v>
      </c>
      <c r="F7682" s="10"/>
      <c r="G7682" s="10" t="str">
        <f ca="1">IFERROR(__xludf.DUMMYFUNCTION("""COMPUTED_VALUE"""),"Росица Кръстева")</f>
        <v>Росица Кръстева</v>
      </c>
      <c r="H7682" s="10"/>
      <c r="I7682" s="10"/>
      <c r="J7682" s="10"/>
      <c r="K7682" s="10"/>
      <c r="L7682" s="10"/>
      <c r="M7682" s="10"/>
      <c r="N7682" s="10"/>
      <c r="O7682" s="10"/>
      <c r="P7682" s="10"/>
      <c r="Q7682" s="10"/>
      <c r="R7682" s="10"/>
      <c r="S7682" s="10"/>
      <c r="T7682" s="10"/>
      <c r="U7682" s="10"/>
      <c r="V7682" s="10"/>
      <c r="W7682" s="10"/>
      <c r="X7682" s="10"/>
      <c r="Y7682" s="10"/>
      <c r="Z7682" s="10"/>
    </row>
    <row r="7683" spans="1:26" ht="12.75">
      <c r="A7683" s="10" t="str">
        <f ca="1">IFERROR(__xludf.DUMMYFUNCTION("""COMPUTED_VALUE"""),"Тереза Стоянова Тренчева")</f>
        <v>Тереза Стоянова Тренчева</v>
      </c>
      <c r="B7683" s="10" t="str">
        <f ca="1">IFERROR(__xludf.DUMMYFUNCTION("""COMPUTED_VALUE"""),"Статия в списания и поредици")</f>
        <v>Статия в списания и поредици</v>
      </c>
      <c r="C7683" s="10" t="str">
        <f ca="1">IFERROR(__xludf.DUMMYFUNCTION("""COMPUTED_VALUE"""),"Добри практики за закрила на интелектуалната собственост в световната мрежа – Интернет")</f>
        <v>Добри практики за закрила на интелектуалната собственост в световната мрежа – Интернет</v>
      </c>
      <c r="D7683" s="10">
        <f ca="1">IFERROR(__xludf.DUMMYFUNCTION("""COMPUTED_VALUE"""),2011)</f>
        <v>2011</v>
      </c>
      <c r="E7683" s="10" t="str">
        <f ca="1">IFERROR(__xludf.DUMMYFUNCTION("""COMPUTED_VALUE"""),"Библиотеки, четене, комуникации : X национална научна конференция с международно участие, В. Търново, 17-18 ноем. 2010 г. – В. Търново : УИ “Св. Св. Кирил и Методий”, 2011, с. 375-381. ISSN 1313-8138")</f>
        <v>Библиотеки, четене, комуникации : X национална научна конференция с международно участие, В. Търново, 17-18 ноем. 2010 г. – В. Търново : УИ “Св. Св. Кирил и Методий”, 2011, с. 375-381. ISSN 1313-8138</v>
      </c>
      <c r="F7683" s="10"/>
      <c r="G7683" s="10"/>
      <c r="H7683" s="10"/>
      <c r="I7683" s="10"/>
      <c r="J7683" s="10"/>
      <c r="K7683" s="10"/>
      <c r="L7683" s="10"/>
      <c r="M7683" s="10"/>
      <c r="N7683" s="10"/>
      <c r="O7683" s="10"/>
      <c r="P7683" s="10"/>
      <c r="Q7683" s="10"/>
      <c r="R7683" s="10"/>
      <c r="S7683" s="10"/>
      <c r="T7683" s="10"/>
      <c r="U7683" s="10"/>
      <c r="V7683" s="10"/>
      <c r="W7683" s="10"/>
      <c r="X7683" s="10"/>
      <c r="Y7683" s="10"/>
      <c r="Z7683" s="10"/>
    </row>
    <row r="7684" spans="1:26" ht="12.75">
      <c r="A7684" s="10" t="str">
        <f ca="1">IFERROR(__xludf.DUMMYFUNCTION("""COMPUTED_VALUE"""),"Тереза Стоянова Тренчева")</f>
        <v>Тереза Стоянова Тренчева</v>
      </c>
      <c r="B7684" s="10" t="str">
        <f ca="1">IFERROR(__xludf.DUMMYFUNCTION("""COMPUTED_VALUE"""),"Статия в списания и поредици")</f>
        <v>Статия в списания и поредици</v>
      </c>
      <c r="C7684" s="10" t="str">
        <f ca="1">IFERROR(__xludf.DUMMYFUNCTION("""COMPUTED_VALUE"""),"Добри практики в свободното използване на произведения в дигиталното пространство")</f>
        <v>Добри практики в свободното използване на произведения в дигиталното пространство</v>
      </c>
      <c r="D7684" s="10">
        <f ca="1">IFERROR(__xludf.DUMMYFUNCTION("""COMPUTED_VALUE"""),2011)</f>
        <v>2011</v>
      </c>
      <c r="E7684" s="10" t="str">
        <f ca="1">IFERROR(__xludf.DUMMYFUNCTION("""COMPUTED_VALUE"""),"Книгата – нашето по-смислено настояще : Сборник доклади от форума „Седмица, посветена на Международния ден на книгата и АП”, София, 18-23 април 2011 г. – София : За буквите – О Писменехь, 2011, с. 92-100. ISBN: 978-954-2946-11-3")</f>
        <v>Книгата – нашето по-смислено настояще : Сборник доклади от форума „Седмица, посветена на Международния ден на книгата и АП”, София, 18-23 април 2011 г. – София : За буквите – О Писменехь, 2011, с. 92-100. ISBN: 978-954-2946-11-3</v>
      </c>
      <c r="F7684" s="10"/>
      <c r="G7684" s="10"/>
      <c r="H7684" s="10"/>
      <c r="I7684" s="10"/>
      <c r="J7684" s="10"/>
      <c r="K7684" s="10"/>
      <c r="L7684" s="10"/>
      <c r="M7684" s="10"/>
      <c r="N7684" s="10"/>
      <c r="O7684" s="10"/>
      <c r="P7684" s="10"/>
      <c r="Q7684" s="10"/>
      <c r="R7684" s="10"/>
      <c r="S7684" s="10"/>
      <c r="T7684" s="10"/>
      <c r="U7684" s="10"/>
      <c r="V7684" s="10"/>
      <c r="W7684" s="10"/>
      <c r="X7684" s="10"/>
      <c r="Y7684" s="10"/>
      <c r="Z7684" s="10"/>
    </row>
    <row r="7685" spans="1:26" ht="12.75">
      <c r="A7685" s="10" t="str">
        <f ca="1">IFERROR(__xludf.DUMMYFUNCTION("""COMPUTED_VALUE"""),"Тереза Стоянова Тренчева")</f>
        <v>Тереза Стоянова Тренчева</v>
      </c>
      <c r="B7685" s="10" t="str">
        <f ca="1">IFERROR(__xludf.DUMMYFUNCTION("""COMPUTED_VALUE"""),"Статия в списания и поредици")</f>
        <v>Статия в списания и поредици</v>
      </c>
      <c r="C7685" s="10" t="str">
        <f ca="1">IFERROR(__xludf.DUMMYFUNCTION("""COMPUTED_VALUE"""),"Computer programs and their intellectual property protection in Bulgaria")</f>
        <v>Computer programs and their intellectual property protection in Bulgaria</v>
      </c>
      <c r="D7685" s="10">
        <f ca="1">IFERROR(__xludf.DUMMYFUNCTION("""COMPUTED_VALUE"""),2011)</f>
        <v>2011</v>
      </c>
      <c r="E7685" s="10" t="str">
        <f ca="1">IFERROR(__xludf.DUMMYFUNCTION("""COMPUTED_VALUE"""),"Proceedings of the International Scientific Conference of the Faculty of mathematics and Natural Sciences - SWU, 8-11 June 2011. – Blagoevgrad : SWU, 2011, p. 125-131. ISSN: 1314 – 0272")</f>
        <v>Proceedings of the International Scientific Conference of the Faculty of mathematics and Natural Sciences - SWU, 8-11 June 2011. – Blagoevgrad : SWU, 2011, p. 125-131. ISSN: 1314 – 0272</v>
      </c>
      <c r="F7685" s="10"/>
      <c r="G7685" s="10"/>
      <c r="H7685" s="10"/>
      <c r="I7685" s="10"/>
      <c r="J7685" s="10"/>
      <c r="K7685" s="10"/>
      <c r="L7685" s="10"/>
      <c r="M7685" s="10"/>
      <c r="N7685" s="10"/>
      <c r="O7685" s="10"/>
      <c r="P7685" s="10"/>
      <c r="Q7685" s="10"/>
      <c r="R7685" s="10"/>
      <c r="S7685" s="10"/>
      <c r="T7685" s="10"/>
      <c r="U7685" s="10"/>
      <c r="V7685" s="10"/>
      <c r="W7685" s="10"/>
      <c r="X7685" s="10"/>
      <c r="Y7685" s="10"/>
      <c r="Z7685" s="10"/>
    </row>
    <row r="7686" spans="1:26" ht="12.75">
      <c r="A7686" s="10" t="str">
        <f ca="1">IFERROR(__xludf.DUMMYFUNCTION("""COMPUTED_VALUE"""),"Тереза Стоянова Тренчева")</f>
        <v>Тереза Стоянова Тренчева</v>
      </c>
      <c r="B7686" s="10" t="str">
        <f ca="1">IFERROR(__xludf.DUMMYFUNCTION("""COMPUTED_VALUE"""),"Статия в списания и поредици")</f>
        <v>Статия в списания и поредици</v>
      </c>
      <c r="C7686" s="10" t="str">
        <f ca="1">IFERROR(__xludf.DUMMYFUNCTION("""COMPUTED_VALUE"""),"Bioinformatics and Intellectual Property")</f>
        <v>Bioinformatics and Intellectual Property</v>
      </c>
      <c r="D7686" s="10">
        <f ca="1">IFERROR(__xludf.DUMMYFUNCTION("""COMPUTED_VALUE"""),2011)</f>
        <v>2011</v>
      </c>
      <c r="E7686" s="10" t="str">
        <f ca="1">IFERROR(__xludf.DUMMYFUNCTION("""COMPUTED_VALUE"""),"Proceedings of the International Scientific Conference of the Faculty of mathematics and Natural Sciences - SWU, 8-11 June 2011. – Blagoevgrad : SWU, 2011, p. 132-136. ISSN: 1314 – 0272")</f>
        <v>Proceedings of the International Scientific Conference of the Faculty of mathematics and Natural Sciences - SWU, 8-11 June 2011. – Blagoevgrad : SWU, 2011, p. 132-136. ISSN: 1314 – 0272</v>
      </c>
      <c r="F7686" s="10"/>
      <c r="G7686" s="10" t="str">
        <f ca="1">IFERROR(__xludf.DUMMYFUNCTION("""COMPUTED_VALUE"""),"Ivan Trenchev, Peter Milanov, Ivan Mirchev")</f>
        <v>Ivan Trenchev, Peter Milanov, Ivan Mirchev</v>
      </c>
      <c r="H7686" s="10"/>
      <c r="I7686" s="10"/>
      <c r="J7686" s="10"/>
      <c r="K7686" s="10"/>
      <c r="L7686" s="10"/>
      <c r="M7686" s="10"/>
      <c r="N7686" s="10"/>
      <c r="O7686" s="10"/>
      <c r="P7686" s="10"/>
      <c r="Q7686" s="10"/>
      <c r="R7686" s="10"/>
      <c r="S7686" s="10"/>
      <c r="T7686" s="10"/>
      <c r="U7686" s="10"/>
      <c r="V7686" s="10"/>
      <c r="W7686" s="10"/>
      <c r="X7686" s="10"/>
      <c r="Y7686" s="10"/>
      <c r="Z7686" s="10"/>
    </row>
    <row r="7687" spans="1:26" ht="12.75">
      <c r="A7687" s="10" t="str">
        <f ca="1">IFERROR(__xludf.DUMMYFUNCTION("""COMPUTED_VALUE"""),"Тереза Стоянова Тренчева")</f>
        <v>Тереза Стоянова Тренчева</v>
      </c>
      <c r="B7687" s="10" t="str">
        <f ca="1">IFERROR(__xludf.DUMMYFUNCTION("""COMPUTED_VALUE"""),"Доклад от конференция")</f>
        <v>Доклад от конференция</v>
      </c>
      <c r="C7687" s="10" t="str">
        <f ca="1">IFERROR(__xludf.DUMMYFUNCTION("""COMPUTED_VALUE"""),"Националната библиография за патенти в Република България и нейният електронен вариант")</f>
        <v>Националната библиография за патенти в Република България и нейният електронен вариант</v>
      </c>
      <c r="D7687" s="10">
        <f ca="1">IFERROR(__xludf.DUMMYFUNCTION("""COMPUTED_VALUE"""),2011)</f>
        <v>2011</v>
      </c>
      <c r="E7687" s="10" t="str">
        <f ca="1">IFERROR(__xludf.DUMMYFUNCTION("""COMPUTED_VALUE"""),"Актуальные вопросы библиографии. Болгария и Россия: Теоретические и прикладные исследования : Сборник научных докладов и сообщений / Под общ. ред. Генадий Иванович Матрюхина. – Москва-София : МГУП им. Ивана Федорова, 2011, с. 76-84. ISBN 978-5-8122-1142-4")</f>
        <v>Актуальные вопросы библиографии. Болгария и Россия: Теоретические и прикладные исследования : Сборник научных докладов и сообщений / Под общ. ред. Генадий Иванович Матрюхина. – Москва-София : МГУП им. Ивана Федорова, 2011, с. 76-84. ISBN 978-5-8122-1142-4</v>
      </c>
      <c r="F7687" s="10"/>
      <c r="G7687" s="10"/>
      <c r="H7687" s="10"/>
      <c r="I7687" s="10"/>
      <c r="J7687" s="10"/>
      <c r="K7687" s="10"/>
      <c r="L7687" s="10"/>
      <c r="M7687" s="10"/>
      <c r="N7687" s="10"/>
      <c r="O7687" s="10"/>
      <c r="P7687" s="10"/>
      <c r="Q7687" s="10"/>
      <c r="R7687" s="10"/>
      <c r="S7687" s="10"/>
      <c r="T7687" s="10"/>
      <c r="U7687" s="10"/>
      <c r="V7687" s="10"/>
      <c r="W7687" s="10"/>
      <c r="X7687" s="10"/>
      <c r="Y7687" s="10"/>
      <c r="Z7687" s="10"/>
    </row>
    <row r="7688" spans="1:26" ht="12.75">
      <c r="A7688" s="10" t="str">
        <f ca="1">IFERROR(__xludf.DUMMYFUNCTION("""COMPUTED_VALUE"""),"Тереза Стоянова Тренчева")</f>
        <v>Тереза Стоянова Тренчева</v>
      </c>
      <c r="B7688" s="10" t="str">
        <f ca="1">IFERROR(__xludf.DUMMYFUNCTION("""COMPUTED_VALUE"""),"Доклад от конференция")</f>
        <v>Доклад от конференция</v>
      </c>
      <c r="C7688" s="10" t="str">
        <f ca="1">IFERROR(__xludf.DUMMYFUNCTION("""COMPUTED_VALUE"""),"„Еуропеана” – извор на европейското културно-историческо наследство.")</f>
        <v>„Еуропеана” – извор на европейското културно-историческо наследство.</v>
      </c>
      <c r="D7688" s="10">
        <f ca="1">IFERROR(__xludf.DUMMYFUNCTION("""COMPUTED_VALUE"""),2011)</f>
        <v>2011</v>
      </c>
      <c r="E7688" s="10" t="str">
        <f ca="1">IFERROR(__xludf.DUMMYFUNCTION("""COMPUTED_VALUE"""),"Обществото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721-727. ISBN: 978-954-2946-09-0")</f>
        <v>Обществото на знанието и хуманизмът на ХХІ век : Осма национална научна конференция с международно участие, София, 1 ноември 2010 г. – София : За буквите – О писменехь, 2011, с. 721-727. ISBN: 978-954-2946-09-0</v>
      </c>
      <c r="F7688" s="10"/>
      <c r="G7688" s="10"/>
      <c r="H7688" s="10"/>
      <c r="I7688" s="10"/>
      <c r="J7688" s="10"/>
      <c r="K7688" s="10"/>
      <c r="L7688" s="10"/>
      <c r="M7688" s="10"/>
      <c r="N7688" s="10"/>
      <c r="O7688" s="10"/>
      <c r="P7688" s="10"/>
      <c r="Q7688" s="10"/>
      <c r="R7688" s="10"/>
      <c r="S7688" s="10"/>
      <c r="T7688" s="10"/>
      <c r="U7688" s="10"/>
      <c r="V7688" s="10"/>
      <c r="W7688" s="10"/>
      <c r="X7688" s="10"/>
      <c r="Y7688" s="10"/>
      <c r="Z7688" s="10"/>
    </row>
    <row r="7689" spans="1:26" ht="12.75">
      <c r="A7689" s="10" t="str">
        <f ca="1">IFERROR(__xludf.DUMMYFUNCTION("""COMPUTED_VALUE"""),"Тереза Стоянова Тренчева")</f>
        <v>Тереза Стоянова Тренчева</v>
      </c>
      <c r="B7689" s="10" t="str">
        <f ca="1">IFERROR(__xludf.DUMMYFUNCTION("""COMPUTED_VALUE"""),"Доклад от конференция")</f>
        <v>Доклад от конференция</v>
      </c>
      <c r="C7689" s="10" t="str">
        <f ca="1">IFERROR(__xludf.DUMMYFUNCTION("""COMPUTED_VALUE"""),"Европейски подход в развитието на интелектуалната собственост на информационното общество в дигиталната ера")</f>
        <v>Европейски подход в развитието на интелектуалната собственост на информационното общество в дигиталната ера</v>
      </c>
      <c r="D7689" s="10">
        <f ca="1">IFERROR(__xludf.DUMMYFUNCTION("""COMPUTED_VALUE"""),2011)</f>
        <v>2011</v>
      </c>
      <c r="E7689" s="10" t="str">
        <f ca="1">IFERROR(__xludf.DUMMYFUNCTION("""COMPUTED_VALUE"""),"Библиотечният и културен мениджмънт и информационно-комуника-ционните технологии: Сборник с научни доклади и съобщения от научна конференция с международно участие, 3-4 септ. 2011, Бургас / Състав. И. Янкова, Т. Тодорова. – София : За буквите – О писменех"&amp;"ь, 2011, с. 220-227. ISBN 978-954-2946-14-4")</f>
        <v>Библиотечният и културен мениджмънт и информационно-комуника-ционните технологии: Сборник с научни доклади и съобщения от научна конференция с международно участие, 3-4 септ. 2011, Бургас / Състав. И. Янкова, Т. Тодорова. – София : За буквите – О писменехь, 2011, с. 220-227. ISBN 978-954-2946-14-4</v>
      </c>
      <c r="F7689" s="10"/>
      <c r="G7689" s="10"/>
      <c r="H7689" s="10"/>
      <c r="I7689" s="10"/>
      <c r="J7689" s="10"/>
      <c r="K7689" s="10"/>
      <c r="L7689" s="10"/>
      <c r="M7689" s="10"/>
      <c r="N7689" s="10"/>
      <c r="O7689" s="10"/>
      <c r="P7689" s="10"/>
      <c r="Q7689" s="10"/>
      <c r="R7689" s="10"/>
      <c r="S7689" s="10"/>
      <c r="T7689" s="10"/>
      <c r="U7689" s="10"/>
      <c r="V7689" s="10"/>
      <c r="W7689" s="10"/>
      <c r="X7689" s="10"/>
      <c r="Y7689" s="10"/>
      <c r="Z7689" s="10"/>
    </row>
    <row r="7690" spans="1:26" ht="12.75">
      <c r="A7690" s="10" t="str">
        <f ca="1">IFERROR(__xludf.DUMMYFUNCTION("""COMPUTED_VALUE"""),"Тереза Стоянова Тренчева")</f>
        <v>Тереза Стоянова Тренчева</v>
      </c>
      <c r="B7690" s="10" t="str">
        <f ca="1">IFERROR(__xludf.DUMMYFUNCTION("""COMPUTED_VALUE"""),"Доклад от конференция")</f>
        <v>Доклад от конференция</v>
      </c>
      <c r="C7690" s="10" t="str">
        <f ca="1">IFERROR(__xludf.DUMMYFUNCTION("""COMPUTED_VALUE"""),"JTC 1 “Information Technology” – обединен технически комитет за международни стандарти.")</f>
        <v>JTC 1 “Information Technology” – обединен технически комитет за международни стандарти.</v>
      </c>
      <c r="D7690" s="10">
        <f ca="1">IFERROR(__xludf.DUMMYFUNCTION("""COMPUTED_VALUE"""),2010)</f>
        <v>2010</v>
      </c>
      <c r="E7690" s="10" t="str">
        <f ca="1">IFERROR(__xludf.DUMMYFUNCTION("""COMPUTED_VALUE"""),"България – кръстопът на култури и цивилизации : Седма национална научна конференция с международно участие, София, 1 ноември 2009 г. – София : За буквите – О писменехь, 2010, с. 466-471. ISBN: 978-954-8887-91-5")</f>
        <v>България – кръстопът на култури и цивилизации : Седма национална научна конференция с международно участие, София, 1 ноември 2009 г. – София : За буквите – О писменехь, 2010, с. 466-471. ISBN: 978-954-8887-91-5</v>
      </c>
      <c r="F7690" s="10"/>
      <c r="G7690" s="10"/>
      <c r="H7690" s="10"/>
      <c r="I7690" s="10"/>
      <c r="J7690" s="10"/>
      <c r="K7690" s="10"/>
      <c r="L7690" s="10"/>
      <c r="M7690" s="10"/>
      <c r="N7690" s="10"/>
      <c r="O7690" s="10"/>
      <c r="P7690" s="10"/>
      <c r="Q7690" s="10"/>
      <c r="R7690" s="10"/>
      <c r="S7690" s="10"/>
      <c r="T7690" s="10"/>
      <c r="U7690" s="10"/>
      <c r="V7690" s="10"/>
      <c r="W7690" s="10"/>
      <c r="X7690" s="10"/>
      <c r="Y7690" s="10"/>
      <c r="Z7690" s="10"/>
    </row>
    <row r="7691" spans="1:26" ht="12.75">
      <c r="A7691" s="10" t="str">
        <f ca="1">IFERROR(__xludf.DUMMYFUNCTION("""COMPUTED_VALUE"""),"Тереза Стоянова Тренчева")</f>
        <v>Тереза Стоянова Тренчева</v>
      </c>
      <c r="B7691" s="10" t="str">
        <f ca="1">IFERROR(__xludf.DUMMYFUNCTION("""COMPUTED_VALUE"""),"Доклад от конференция")</f>
        <v>Доклад от конференция</v>
      </c>
      <c r="C7691" s="10" t="str">
        <f ca="1">IFERROR(__xludf.DUMMYFUNCTION("""COMPUTED_VALUE"""),"Политика на библиотечния мениджър към обектите на авторското право")</f>
        <v>Политика на библиотечния мениджър към обектите на авторското право</v>
      </c>
      <c r="D7691" s="10">
        <f ca="1">IFERROR(__xludf.DUMMYFUNCTION("""COMPUTED_VALUE"""),2010)</f>
        <v>2010</v>
      </c>
      <c r="E7691" s="10" t="str">
        <f ca="1">IFERROR(__xludf.DUMMYFUNCTION("""COMPUTED_VALUE"""),"Сборник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978-954-400-249-"&amp;"7")</f>
        <v>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978-954-400-249-7</v>
      </c>
      <c r="F7691" s="10"/>
      <c r="G7691" s="10" t="str">
        <f ca="1">IFERROR(__xludf.DUMMYFUNCTION("""COMPUTED_VALUE"""),"Събина Ефтимова")</f>
        <v>Събина Ефтимова</v>
      </c>
      <c r="H7691" s="10"/>
      <c r="I7691" s="10"/>
      <c r="J7691" s="10"/>
      <c r="K7691" s="10"/>
      <c r="L7691" s="10"/>
      <c r="M7691" s="10"/>
      <c r="N7691" s="10"/>
      <c r="O7691" s="10"/>
      <c r="P7691" s="10"/>
      <c r="Q7691" s="10"/>
      <c r="R7691" s="10"/>
      <c r="S7691" s="10"/>
      <c r="T7691" s="10"/>
      <c r="U7691" s="10"/>
      <c r="V7691" s="10"/>
      <c r="W7691" s="10"/>
      <c r="X7691" s="10"/>
      <c r="Y7691" s="10"/>
      <c r="Z7691" s="10"/>
    </row>
    <row r="7692" spans="1:26" ht="12.75">
      <c r="A7692" s="10" t="str">
        <f ca="1">IFERROR(__xludf.DUMMYFUNCTION("""COMPUTED_VALUE"""),"Тереза Стоянова Тренчева")</f>
        <v>Тереза Стоянова Тренчева</v>
      </c>
      <c r="B7692" s="10" t="str">
        <f ca="1">IFERROR(__xludf.DUMMYFUNCTION("""COMPUTED_VALUE"""),"Доклад от конференция")</f>
        <v>Доклад от конференция</v>
      </c>
      <c r="C7692" s="10" t="str">
        <f ca="1">IFERROR(__xludf.DUMMYFUNCTION("""COMPUTED_VALUE"""),"Международна нормативна уредба на авторските права в Интернет")</f>
        <v>Международна нормативна уредба на авторските права в Интернет</v>
      </c>
      <c r="D7692" s="10">
        <f ca="1">IFERROR(__xludf.DUMMYFUNCTION("""COMPUTED_VALUE"""),2010)</f>
        <v>2010</v>
      </c>
      <c r="E7692" s="10" t="str">
        <f ca="1">IFERROR(__xludf.DUMMYFUNCTION("""COMPUTED_VALUE"""),"Сборник от Балканска научна конференция : Науката, образованието и изкуството през 21-и век, Благоевград, 10-11 септември 2010 г. – Благоевград : СУБ, 2010, с. 80-87. ISSN: 1313 - 5236")</f>
        <v>Сборник от Балканска научна конференция : Науката, образованието и изкуството през 21-и век, Благоевград, 10-11 септември 2010 г. – Благоевград : СУБ, 2010, с. 80-87. ISSN: 1313 - 5236</v>
      </c>
      <c r="F7692" s="10"/>
      <c r="G7692" s="10"/>
      <c r="H7692" s="10"/>
      <c r="I7692" s="10"/>
      <c r="J7692" s="10"/>
      <c r="K7692" s="10"/>
      <c r="L7692" s="10"/>
      <c r="M7692" s="10"/>
      <c r="N7692" s="10"/>
      <c r="O7692" s="10"/>
      <c r="P7692" s="10"/>
      <c r="Q7692" s="10"/>
      <c r="R7692" s="10"/>
      <c r="S7692" s="10"/>
      <c r="T7692" s="10"/>
      <c r="U7692" s="10"/>
      <c r="V7692" s="10"/>
      <c r="W7692" s="10"/>
      <c r="X7692" s="10"/>
      <c r="Y7692" s="10"/>
      <c r="Z7692" s="10"/>
    </row>
    <row r="7693" spans="1:26" ht="12.75">
      <c r="A7693" s="10" t="str">
        <f ca="1">IFERROR(__xludf.DUMMYFUNCTION("""COMPUTED_VALUE"""),"Тереза Стоянова Тренчева")</f>
        <v>Тереза Стоянова Тренчева</v>
      </c>
      <c r="B7693" s="10" t="str">
        <f ca="1">IFERROR(__xludf.DUMMYFUNCTION("""COMPUTED_VALUE"""),"Доклад от конференция")</f>
        <v>Доклад от конференция</v>
      </c>
      <c r="C7693" s="10" t="str">
        <f ca="1">IFERROR(__xludf.DUMMYFUNCTION("""COMPUTED_VALUE"""),"Приложимост на новите информационни системи в библиотечния мениджмънт")</f>
        <v>Приложимост на новите информационни системи в библиотечния мениджмънт</v>
      </c>
      <c r="D7693" s="10">
        <f ca="1">IFERROR(__xludf.DUMMYFUNCTION("""COMPUTED_VALUE"""),2010)</f>
        <v>2010</v>
      </c>
      <c r="E7693" s="10" t="str">
        <f ca="1">IFERROR(__xludf.DUMMYFUNCTION("""COMPUTED_VALUE"""),"Сборник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978-954-400-249-"&amp;"7")</f>
        <v>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978-954-400-249-7</v>
      </c>
      <c r="F7693" s="10"/>
      <c r="G7693" s="10" t="str">
        <f ca="1">IFERROR(__xludf.DUMMYFUNCTION("""COMPUTED_VALUE"""),"Иван Тренчев")</f>
        <v>Иван Тренчев</v>
      </c>
      <c r="H7693" s="10"/>
      <c r="I7693" s="10"/>
      <c r="J7693" s="10"/>
      <c r="K7693" s="10"/>
      <c r="L7693" s="10"/>
      <c r="M7693" s="10"/>
      <c r="N7693" s="10"/>
      <c r="O7693" s="10"/>
      <c r="P7693" s="10"/>
      <c r="Q7693" s="10"/>
      <c r="R7693" s="10"/>
      <c r="S7693" s="10"/>
      <c r="T7693" s="10"/>
      <c r="U7693" s="10"/>
      <c r="V7693" s="10"/>
      <c r="W7693" s="10"/>
      <c r="X7693" s="10"/>
      <c r="Y7693" s="10"/>
      <c r="Z7693" s="10"/>
    </row>
    <row r="7694" spans="1:26" ht="12.75">
      <c r="A7694" s="10" t="str">
        <f ca="1">IFERROR(__xludf.DUMMYFUNCTION("""COMPUTED_VALUE"""),"Тереза Стоянова Тренчева")</f>
        <v>Тереза Стоянова Тренчева</v>
      </c>
      <c r="B7694" s="10" t="str">
        <f ca="1">IFERROR(__xludf.DUMMYFUNCTION("""COMPUTED_VALUE"""),"Доклад от конференция")</f>
        <v>Доклад от конференция</v>
      </c>
      <c r="C7694" s="10" t="str">
        <f ca="1">IFERROR(__xludf.DUMMYFUNCTION("""COMPUTED_VALUE"""),"Изследване на тенденциите в европейски и американски университети в обучението по библиотечен мениджмънт и на потребителските нужди от тези специалисти в българските библиотеки")</f>
        <v>Изследване на тенденциите в европейски и американски университети в обучението по библиотечен мениджмънт и на потребителските нужди от тези специалисти в българските библиотеки</v>
      </c>
      <c r="D7694" s="10">
        <f ca="1">IFERROR(__xludf.DUMMYFUNCTION("""COMPUTED_VALUE"""),2010)</f>
        <v>2010</v>
      </c>
      <c r="E7694" s="10" t="str">
        <f ca="1">IFERROR(__xludf.DUMMYFUNCTION("""COMPUTED_VALUE"""),"Сборник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978-954-400-249-"&amp;"7")</f>
        <v>Сборник с научни доклади от Втора научна конференция с междунар. участие на тема „Библиотечният мениджмънт – научни и практически аспекти”, 26-27 ноември 2009 г., ДИПКУ, Варна / Състав. М. Петева;. – Шумен : Фабер, 2010, с. 102-110. ISBN: 978-954-400-249-7</v>
      </c>
      <c r="F7694" s="10"/>
      <c r="G7694" s="10"/>
      <c r="H7694" s="10"/>
      <c r="I7694" s="10"/>
      <c r="J7694" s="10"/>
      <c r="K7694" s="10"/>
      <c r="L7694" s="10"/>
      <c r="M7694" s="10"/>
      <c r="N7694" s="10"/>
      <c r="O7694" s="10"/>
      <c r="P7694" s="10"/>
      <c r="Q7694" s="10"/>
      <c r="R7694" s="10"/>
      <c r="S7694" s="10"/>
      <c r="T7694" s="10"/>
      <c r="U7694" s="10"/>
      <c r="V7694" s="10"/>
      <c r="W7694" s="10"/>
      <c r="X7694" s="10"/>
      <c r="Y7694" s="10"/>
      <c r="Z7694" s="10"/>
    </row>
    <row r="7695" spans="1:26" ht="12.75">
      <c r="A7695" s="10" t="str">
        <f ca="1">IFERROR(__xludf.DUMMYFUNCTION("""COMPUTED_VALUE"""),"Тереза Стоянова Тренчева")</f>
        <v>Тереза Стоянова Тренчева</v>
      </c>
      <c r="B7695" s="10" t="str">
        <f ca="1">IFERROR(__xludf.DUMMYFUNCTION("""COMPUTED_VALUE"""),"Доклад от конференция")</f>
        <v>Доклад от конференция</v>
      </c>
      <c r="C7695" s="10" t="str">
        <f ca="1">IFERROR(__xludf.DUMMYFUNCTION("""COMPUTED_VALUE"""),"Standardized structure of electronic records for information exchange")</f>
        <v>Standardized structure of electronic records for information exchange</v>
      </c>
      <c r="D7695" s="10">
        <f ca="1">IFERROR(__xludf.DUMMYFUNCTION("""COMPUTED_VALUE"""),2009)</f>
        <v>2009</v>
      </c>
      <c r="E7695" s="10" t="str">
        <f ca="1">IFERROR(__xludf.DUMMYFUNCTION("""COMPUTED_VALUE"""),"Proceedings of the International Scientific Conference of the Faculty of mathematics and Natural Sciences - SWU, 3-7 June 2009, SWU, Blagoevgrad, 2009, p. 219-226. ISSN: 1314 – 0272")</f>
        <v>Proceedings of the International Scientific Conference of the Faculty of mathematics and Natural Sciences - SWU, 3-7 June 2009, SWU, Blagoevgrad, 2009, p. 219-226. ISSN: 1314 – 0272</v>
      </c>
      <c r="F7695" s="10"/>
      <c r="G7695" s="10" t="str">
        <f ca="1">IFERROR(__xludf.DUMMYFUNCTION("""COMPUTED_VALUE"""),"Sevdalina Galabova, Ivan Trenchev")</f>
        <v>Sevdalina Galabova, Ivan Trenchev</v>
      </c>
      <c r="H7695" s="10"/>
      <c r="I7695" s="10"/>
      <c r="J7695" s="10"/>
      <c r="K7695" s="10"/>
      <c r="L7695" s="10"/>
      <c r="M7695" s="10"/>
      <c r="N7695" s="10"/>
      <c r="O7695" s="10"/>
      <c r="P7695" s="10"/>
      <c r="Q7695" s="10"/>
      <c r="R7695" s="10"/>
      <c r="S7695" s="10"/>
      <c r="T7695" s="10"/>
      <c r="U7695" s="10"/>
      <c r="V7695" s="10"/>
      <c r="W7695" s="10"/>
      <c r="X7695" s="10"/>
      <c r="Y7695" s="10"/>
      <c r="Z7695" s="10"/>
    </row>
    <row r="7696" spans="1:26" ht="12.75">
      <c r="A7696" s="10" t="str">
        <f ca="1">IFERROR(__xludf.DUMMYFUNCTION("""COMPUTED_VALUE"""),"Тереза Стоянова Тренчева")</f>
        <v>Тереза Стоянова Тренчева</v>
      </c>
      <c r="B7696" s="10" t="str">
        <f ca="1">IFERROR(__xludf.DUMMYFUNCTION("""COMPUTED_VALUE"""),"Доклад от конференция")</f>
        <v>Доклад от конференция</v>
      </c>
      <c r="C7696" s="10" t="str">
        <f ca="1">IFERROR(__xludf.DUMMYFUNCTION("""COMPUTED_VALUE"""),"Description of the digital formats of electronic documents used in digital library")</f>
        <v>Description of the digital formats of electronic documents used in digital library</v>
      </c>
      <c r="D7696" s="10">
        <f ca="1">IFERROR(__xludf.DUMMYFUNCTION("""COMPUTED_VALUE"""),2009)</f>
        <v>2009</v>
      </c>
      <c r="E7696" s="10" t="str">
        <f ca="1">IFERROR(__xludf.DUMMYFUNCTION("""COMPUTED_VALUE"""),"Proceedings of the International Scientific Conference of the Faculty of Mathematics and Natural Sciences - SWU, 3-7 June 2009, SWU, Blagoevgrad, 2009, p. 227-230. ISSN: 1314 – 0272")</f>
        <v>Proceedings of the International Scientific Conference of the Faculty of Mathematics and Natural Sciences - SWU, 3-7 June 2009, SWU, Blagoevgrad, 2009, p. 227-230. ISSN: 1314 – 0272</v>
      </c>
      <c r="F7696" s="10"/>
      <c r="G7696" s="10" t="str">
        <f ca="1">IFERROR(__xludf.DUMMYFUNCTION("""COMPUTED_VALUE"""),"Sevdalina Galabova, Ivan Trenchev")</f>
        <v>Sevdalina Galabova, Ivan Trenchev</v>
      </c>
      <c r="H7696" s="10"/>
      <c r="I7696" s="10"/>
      <c r="J7696" s="10"/>
      <c r="K7696" s="10"/>
      <c r="L7696" s="10"/>
      <c r="M7696" s="10"/>
      <c r="N7696" s="10"/>
      <c r="O7696" s="10"/>
      <c r="P7696" s="10"/>
      <c r="Q7696" s="10"/>
      <c r="R7696" s="10"/>
      <c r="S7696" s="10"/>
      <c r="T7696" s="10"/>
      <c r="U7696" s="10"/>
      <c r="V7696" s="10"/>
      <c r="W7696" s="10"/>
      <c r="X7696" s="10"/>
      <c r="Y7696" s="10"/>
      <c r="Z7696" s="10"/>
    </row>
    <row r="7697" spans="1:26" ht="12.75">
      <c r="A7697" s="10" t="str">
        <f ca="1">IFERROR(__xludf.DUMMYFUNCTION("""COMPUTED_VALUE"""),"Тина Василева Петрова")</f>
        <v>Тина Василева Петрова</v>
      </c>
      <c r="B7697" s="10" t="str">
        <f ca="1">IFERROR(__xludf.DUMMYFUNCTION("""COMPUTED_VALUE"""),"Доклад от конференция")</f>
        <v>Доклад от конференция</v>
      </c>
      <c r="C7697" s="10" t="str">
        <f ca="1">IFERROR(__xludf.DUMMYFUNCTION("""COMPUTED_VALUE"""),"Музей в архива. По примера на Главен архив на Индиите в Севиля")</f>
        <v>Музей в архива. По примера на Главен архив на Индиите в Севиля</v>
      </c>
      <c r="D7697" s="10">
        <f ca="1">IFERROR(__xludf.DUMMYFUNCTION("""COMPUTED_VALUE"""),2020)</f>
        <v>2020</v>
      </c>
      <c r="E7697" s="10" t="str">
        <f ca="1">IFERROR(__xludf.DUMMYFUNCTION("""COMPUTED_VALUE"""),"– В : Сборник с доклади от Национална научна конференция с международно участие „ Музейните колекции: Формиране, съхранение, изследване, представяне“, организирана от РИМ- Шумен. Проведена на 15-17.07.2020 г.. Шумен., изд. „Фабер“, 2020, с. 414 – 419. ISB"&amp;"N: 978-619-00-1163-7 """)</f>
        <v>– В : Сборник с доклади от Национална научна конференция с международно участие „ Музейните колекции: Формиране, съхранение, изследване, представяне“, организирана от РИМ- Шумен. Проведена на 15-17.07.2020 г.. Шумен., изд. „Фабер“, 2020, с. 414 – 419. ISBN: 978-619-00-1163-7 "</v>
      </c>
      <c r="F7697" s="10"/>
      <c r="G7697" s="10"/>
      <c r="H7697" s="10"/>
      <c r="I7697" s="10"/>
      <c r="J7697" s="10"/>
      <c r="K7697" s="10"/>
      <c r="L7697" s="10"/>
      <c r="M7697" s="10"/>
      <c r="N7697" s="10"/>
      <c r="O7697" s="10"/>
      <c r="P7697" s="10"/>
      <c r="Q7697" s="10"/>
      <c r="R7697" s="10"/>
      <c r="S7697" s="10"/>
      <c r="T7697" s="10"/>
      <c r="U7697" s="10"/>
      <c r="V7697" s="10"/>
      <c r="W7697" s="10"/>
      <c r="X7697" s="10"/>
      <c r="Y7697" s="10"/>
      <c r="Z7697" s="10"/>
    </row>
    <row r="7698" spans="1:26" ht="12.75">
      <c r="A7698" s="10" t="str">
        <f ca="1">IFERROR(__xludf.DUMMYFUNCTION("""COMPUTED_VALUE"""),"Тина Василева Петрова")</f>
        <v>Тина Василева Петрова</v>
      </c>
      <c r="B7698" s="10" t="str">
        <f ca="1">IFERROR(__xludf.DUMMYFUNCTION("""COMPUTED_VALUE"""),"Учебник")</f>
        <v>Учебник</v>
      </c>
      <c r="C7698" s="10" t="str">
        <f ca="1">IFERROR(__xludf.DUMMYFUNCTION("""COMPUTED_VALUE"""),"Опазване на архивното наследство. Документи в риск.")</f>
        <v>Опазване на архивното наследство. Документи в риск.</v>
      </c>
      <c r="D7698" s="10">
        <f ca="1">IFERROR(__xludf.DUMMYFUNCTION("""COMPUTED_VALUE"""),2020)</f>
        <v>2020</v>
      </c>
      <c r="E7698" s="10" t="str">
        <f ca="1">IFERROR(__xludf.DUMMYFUNCTION("""COMPUTED_VALUE"""),"София : За буквите – О писменехь, 2020, 169 с. ISBN 978-619-185-428-8")</f>
        <v>София : За буквите – О писменехь, 2020, 169 с. ISBN 978-619-185-428-8</v>
      </c>
      <c r="F7698" s="10"/>
      <c r="G7698" s="10"/>
      <c r="H7698" s="10"/>
      <c r="I7698" s="10"/>
      <c r="J7698" s="10"/>
      <c r="K7698" s="10"/>
      <c r="L7698" s="10"/>
      <c r="M7698" s="10"/>
      <c r="N7698" s="10"/>
      <c r="O7698" s="10"/>
      <c r="P7698" s="10"/>
      <c r="Q7698" s="10"/>
      <c r="R7698" s="10"/>
      <c r="S7698" s="10"/>
      <c r="T7698" s="10"/>
      <c r="U7698" s="10"/>
      <c r="V7698" s="10"/>
      <c r="W7698" s="10"/>
      <c r="X7698" s="10"/>
      <c r="Y7698" s="10"/>
      <c r="Z7698" s="10"/>
    </row>
    <row r="7699" spans="1:26" ht="12.75">
      <c r="A7699" s="10" t="str">
        <f ca="1">IFERROR(__xludf.DUMMYFUNCTION("""COMPUTED_VALUE"""),"Тина Василева Петрова")</f>
        <v>Тина Василева Петрова</v>
      </c>
      <c r="B7699" s="10" t="str">
        <f ca="1">IFERROR(__xludf.DUMMYFUNCTION("""COMPUTED_VALUE"""),"Статия в списания и поредици")</f>
        <v>Статия в списания и поредици</v>
      </c>
      <c r="C7699" s="10" t="str">
        <f ca="1">IFERROR(__xludf.DUMMYFUNCTION("""COMPUTED_VALUE"""),"НАЦИОНАЛНИЯТ АРХИВ TORRE DO TOMBO В ЛИСАБОН, сп. Архивен преглед - под печат")</f>
        <v>НАЦИОНАЛНИЯТ АРХИВ TORRE DO TOMBO В ЛИСАБОН, сп. Архивен преглед - под печат</v>
      </c>
      <c r="D7699" s="10">
        <f ca="1">IFERROR(__xludf.DUMMYFUNCTION("""COMPUTED_VALUE"""),2020)</f>
        <v>2020</v>
      </c>
      <c r="E7699" s="10" t="str">
        <f ca="1">IFERROR(__xludf.DUMMYFUNCTION("""COMPUTED_VALUE"""),"сп. Архивен преглед, ISSN 0204-8132 (под печат)")</f>
        <v>сп. Архивен преглед, ISSN 0204-8132 (под печат)</v>
      </c>
      <c r="F7699" s="10"/>
      <c r="G7699" s="10"/>
      <c r="H7699" s="10"/>
      <c r="I7699" s="10"/>
      <c r="J7699" s="10"/>
      <c r="K7699" s="10"/>
      <c r="L7699" s="10"/>
      <c r="M7699" s="10"/>
      <c r="N7699" s="10"/>
      <c r="O7699" s="10"/>
      <c r="P7699" s="10"/>
      <c r="Q7699" s="10"/>
      <c r="R7699" s="10"/>
      <c r="S7699" s="10"/>
      <c r="T7699" s="10"/>
      <c r="U7699" s="10"/>
      <c r="V7699" s="10"/>
      <c r="W7699" s="10"/>
      <c r="X7699" s="10"/>
      <c r="Y7699" s="10"/>
      <c r="Z7699" s="10"/>
    </row>
    <row r="7700" spans="1:26" ht="12.75">
      <c r="A7700" s="10" t="str">
        <f ca="1">IFERROR(__xludf.DUMMYFUNCTION("""COMPUTED_VALUE"""),"Тина Василева Петрова")</f>
        <v>Тина Василева Петрова</v>
      </c>
      <c r="B7700" s="10" t="str">
        <f ca="1">IFERROR(__xludf.DUMMYFUNCTION("""COMPUTED_VALUE"""),"Доклад от конференция")</f>
        <v>Доклад от конференция</v>
      </c>
      <c r="C7700" s="10" t="str">
        <f ca="1">IFERROR(__xludf.DUMMYFUNCTION("""COMPUTED_VALUE"""),"Георги Попиванов и приносът му за опазване на нематериалното културно наследство")</f>
        <v>Георги Попиванов и приносът му за опазване на нематериалното културно наследство</v>
      </c>
      <c r="D7700" s="10">
        <f ca="1">IFERROR(__xludf.DUMMYFUNCTION("""COMPUTED_VALUE"""),2020)</f>
        <v>2020</v>
      </c>
      <c r="E7700" s="10" t="str">
        <f ca="1">IFERROR(__xludf.DUMMYFUNCTION("""COMPUTED_VALUE"""),"– В: Сборник с доклади от научна конференция „Нематериално културно наследство: самобитност, приемственост, опорочаване“, проведена на 28.03.2018 г., София. - София : За буквите – О писменехь, 2020, с. 239 – 244. ISBN: 978-619-185-414-1")</f>
        <v>– В: Сборник с доклади от научна конференция „Нематериално културно наследство: самобитност, приемственост, опорочаване“, проведена на 28.03.2018 г., София. - София : За буквите – О писменехь, 2020, с. 239 – 244. ISBN: 978-619-185-414-1</v>
      </c>
      <c r="F7700" s="10"/>
      <c r="G7700" s="10"/>
      <c r="H7700" s="10"/>
      <c r="I7700" s="10"/>
      <c r="J7700" s="10"/>
      <c r="K7700" s="10"/>
      <c r="L7700" s="10"/>
      <c r="M7700" s="10"/>
      <c r="N7700" s="10"/>
      <c r="O7700" s="10"/>
      <c r="P7700" s="10"/>
      <c r="Q7700" s="10"/>
      <c r="R7700" s="10"/>
      <c r="S7700" s="10"/>
      <c r="T7700" s="10"/>
      <c r="U7700" s="10"/>
      <c r="V7700" s="10"/>
      <c r="W7700" s="10"/>
      <c r="X7700" s="10"/>
      <c r="Y7700" s="10"/>
      <c r="Z7700" s="10"/>
    </row>
    <row r="7701" spans="1:26" ht="12.75">
      <c r="A7701" s="10" t="str">
        <f ca="1">IFERROR(__xludf.DUMMYFUNCTION("""COMPUTED_VALUE"""),"Тина Василева Петрова")</f>
        <v>Тина Василева Петрова</v>
      </c>
      <c r="B7701" s="10" t="str">
        <f ca="1">IFERROR(__xludf.DUMMYFUNCTION("""COMPUTED_VALUE"""),"Доклад от конференция")</f>
        <v>Доклад от конференция</v>
      </c>
      <c r="C7701" s="10" t="str">
        <f ca="1">IFERROR(__xludf.DUMMYFUNCTION("""COMPUTED_VALUE"""),"Нефилмовият фонд на Българска национална филмотека – част от културното наследство")</f>
        <v>Нефилмовият фонд на Българска национална филмотека – част от културното наследство</v>
      </c>
      <c r="D7701" s="10">
        <f ca="1">IFERROR(__xludf.DUMMYFUNCTION("""COMPUTED_VALUE"""),2019)</f>
        <v>2019</v>
      </c>
      <c r="E7701" s="10" t="str">
        <f ca="1">IFERROR(__xludf.DUMMYFUNCTION("""COMPUTED_VALUE"""),"Обществото на знанието и хуманизмът на XXI век“, (сборник с доклади) от XVІІ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2019 г. – София : За бу"&amp;"квите – О писменехь, 2019, с. 334-341.
 ISSN 2683-0094")</f>
        <v>Обществото на знанието и хуманизмът на XXI век“, (сборник с доклади) от XVІІ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2019 г. – София : За буквите – О писменехь, 2019, с. 334-341.
 ISSN 2683-0094</v>
      </c>
      <c r="F7701" s="10"/>
      <c r="G7701" s="10"/>
      <c r="H7701" s="10"/>
      <c r="I7701" s="10"/>
      <c r="J7701" s="10"/>
      <c r="K7701" s="10"/>
      <c r="L7701" s="10"/>
      <c r="M7701" s="10"/>
      <c r="N7701" s="10"/>
      <c r="O7701" s="10"/>
      <c r="P7701" s="10"/>
      <c r="Q7701" s="10"/>
      <c r="R7701" s="10"/>
      <c r="S7701" s="10"/>
      <c r="T7701" s="10"/>
      <c r="U7701" s="10"/>
      <c r="V7701" s="10"/>
      <c r="W7701" s="10"/>
      <c r="X7701" s="10"/>
      <c r="Y7701" s="10"/>
      <c r="Z7701" s="10"/>
    </row>
    <row r="7702" spans="1:26" ht="12.75">
      <c r="A7702" s="10" t="str">
        <f ca="1">IFERROR(__xludf.DUMMYFUNCTION("""COMPUTED_VALUE"""),"Тина Василева Петрова")</f>
        <v>Тина Василева Петрова</v>
      </c>
      <c r="B7702" s="10" t="str">
        <f ca="1">IFERROR(__xludf.DUMMYFUNCTION("""COMPUTED_VALUE"""),"Доклад от конференция")</f>
        <v>Доклад от конференция</v>
      </c>
      <c r="C7702" s="10" t="str">
        <f ca="1">IFERROR(__xludf.DUMMYFUNCTION("""COMPUTED_VALUE"""),"Българският изследователски институт в Австрия и ролята на Главно управление на архивите при Министерски съвет за организацията и управлението му")</f>
        <v>Българският изследователски институт в Австрия и ролята на Главно управление на архивите при Министерски съвет за организацията и управлението му</v>
      </c>
      <c r="D7702" s="10">
        <f ca="1">IFERROR(__xludf.DUMMYFUNCTION("""COMPUTED_VALUE"""),2019)</f>
        <v>2019</v>
      </c>
      <c r="E7702" s="10" t="str">
        <f ca="1">IFERROR(__xludf.DUMMYFUNCTION("""COMPUTED_VALUE"""),"сборник с доклади от Тринадесети международен пътуващ семинар на УниБИТ, България-Австрия, 26-31 май 2019 г., „Съвременни изменения на Европейското образователно и научно пространство, Българо-австрийски културни общувания. - София : За буквите – О писмен"&amp;"ехь, 2019, с. 69-75. ISSN 2367-7988")</f>
        <v>сборник с доклади от Тринадесети международен пътуващ семинар на УниБИТ, България-Австрия, 26-31 май 2019 г., „Съвременни изменения на Европейското образователно и научно пространство, Българо-австрийски културни общувания. - София : За буквите – О писменехь, 2019, с. 69-75. ISSN 2367-7988</v>
      </c>
      <c r="F7702" s="10"/>
      <c r="G7702" s="10"/>
      <c r="H7702" s="10"/>
      <c r="I7702" s="10"/>
      <c r="J7702" s="10"/>
      <c r="K7702" s="10"/>
      <c r="L7702" s="10"/>
      <c r="M7702" s="10"/>
      <c r="N7702" s="10"/>
      <c r="O7702" s="10"/>
      <c r="P7702" s="10"/>
      <c r="Q7702" s="10"/>
      <c r="R7702" s="10"/>
      <c r="S7702" s="10"/>
      <c r="T7702" s="10"/>
      <c r="U7702" s="10"/>
      <c r="V7702" s="10"/>
      <c r="W7702" s="10"/>
      <c r="X7702" s="10"/>
      <c r="Y7702" s="10"/>
      <c r="Z7702" s="10"/>
    </row>
    <row r="7703" spans="1:26" ht="12.75">
      <c r="A7703" s="10" t="str">
        <f ca="1">IFERROR(__xludf.DUMMYFUNCTION("""COMPUTED_VALUE"""),"Тина Василева Петрова")</f>
        <v>Тина Василева Петрова</v>
      </c>
      <c r="B7703" s="10" t="str">
        <f ca="1">IFERROR(__xludf.DUMMYFUNCTION("""COMPUTED_VALUE"""),"Доклад от конференция")</f>
        <v>Доклад от конференция</v>
      </c>
      <c r="C7703" s="10" t="str">
        <f ca="1">IFERROR(__xludf.DUMMYFUNCTION("""COMPUTED_VALUE"""),"Международни архивни организации и членството на България в тях.")</f>
        <v>Международни архивни организации и членството на България в тях.</v>
      </c>
      <c r="D7703" s="10">
        <f ca="1">IFERROR(__xludf.DUMMYFUNCTION("""COMPUTED_VALUE"""),2019)</f>
        <v>2019</v>
      </c>
      <c r="E7703" s="10" t="str">
        <f ca="1">IFERROR(__xludf.DUMMYFUNCTION("""COMPUTED_VALUE"""),"Обществото на знанието и хуманизмът на XXI век“, (сборник с доклади) от XVI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2018 г. – София : За букв"&amp;"ите – О писменехь, 2019, с. 363-372. ISSN 1314-7099")</f>
        <v>Обществото на знанието и хуманизмът на XXI век“, (сборник с доклади) от XVI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2018 г. – София : За буквите – О писменехь, 2019, с. 363-372. ISSN 1314-7099</v>
      </c>
      <c r="F7703" s="10"/>
      <c r="G7703" s="10"/>
      <c r="H7703" s="10"/>
      <c r="I7703" s="10"/>
      <c r="J7703" s="10"/>
      <c r="K7703" s="10"/>
      <c r="L7703" s="10"/>
      <c r="M7703" s="10"/>
      <c r="N7703" s="10"/>
      <c r="O7703" s="10"/>
      <c r="P7703" s="10"/>
      <c r="Q7703" s="10"/>
      <c r="R7703" s="10"/>
      <c r="S7703" s="10"/>
      <c r="T7703" s="10"/>
      <c r="U7703" s="10"/>
      <c r="V7703" s="10"/>
      <c r="W7703" s="10"/>
      <c r="X7703" s="10"/>
      <c r="Y7703" s="10"/>
      <c r="Z7703" s="10"/>
    </row>
    <row r="7704" spans="1:26" ht="12.75">
      <c r="A7704" s="10" t="str">
        <f ca="1">IFERROR(__xludf.DUMMYFUNCTION("""COMPUTED_VALUE"""),"Тина Василева Петрова")</f>
        <v>Тина Василева Петрова</v>
      </c>
      <c r="B7704" s="10" t="str">
        <f ca="1">IFERROR(__xludf.DUMMYFUNCTION("""COMPUTED_VALUE"""),"Статия в списания и поредици")</f>
        <v>Статия в списания и поредици</v>
      </c>
      <c r="C7704" s="10" t="str">
        <f ca="1">IFERROR(__xludf.DUMMYFUNCTION("""COMPUTED_VALUE"""),"Англо-руско-български речник по библиотечна и информационна дейност : Естествено възникваща лингвистична полифония")</f>
        <v>Англо-руско-български речник по библиотечна и информационна дейност : Естествено възникваща лингвистична полифония</v>
      </c>
      <c r="D7704" s="10">
        <f ca="1">IFERROR(__xludf.DUMMYFUNCTION("""COMPUTED_VALUE"""),2019)</f>
        <v>2019</v>
      </c>
      <c r="E7704" s="10" t="str">
        <f ca="1">IFERROR(__xludf.DUMMYFUNCTION("""COMPUTED_VALUE"""),"/ Състав. А. Куманова ... [и др.] ; Отг. ред. С. Денчев ; Глав. ред. А. Куманова ; Ред. кол. Р. Бургер ... [и др.] ; Граф. ред. Н. Василев ... [и др.] ; Техн. ред. Н. Василев, В. Стефанова ; Рец. Ф. Майнхард ... [и др.]. – Ново ел. изд. – София, 2017]. //"&amp;" Тр. на Студентското науч. о-во при Унив. по библиотекознание и информ. технолог. (София). – ISSN 1314-2526. – Т. 14, 2019, с. 880-881.")</f>
        <v>/ Състав. А. Куманова ... [и др.] ; Отг. ред. С. Денчев ; Глав. ред. А. Куманова ; Ред. кол. Р. Бургер ... [и др.] ; Граф. ред. Н. Василев ... [и др.] ; Техн. ред. Н. Василев, В. Стефанова ; Рец. Ф. Майнхард ... [и др.]. – Ново ел. изд. – София, 2017]. // Тр. на Студентското науч. о-во при Унив. по библиотекознание и информ. технолог. (София). – ISSN 1314-2526. – Т. 14, 2019, с. 880-881.</v>
      </c>
      <c r="F7704" s="10"/>
      <c r="G7704" s="10"/>
      <c r="H7704" s="10"/>
      <c r="I7704" s="10"/>
      <c r="J7704" s="10"/>
      <c r="K7704" s="10"/>
      <c r="L7704" s="10"/>
      <c r="M7704" s="10"/>
      <c r="N7704" s="10"/>
      <c r="O7704" s="10"/>
      <c r="P7704" s="10"/>
      <c r="Q7704" s="10"/>
      <c r="R7704" s="10"/>
      <c r="S7704" s="10"/>
      <c r="T7704" s="10"/>
      <c r="U7704" s="10"/>
      <c r="V7704" s="10"/>
      <c r="W7704" s="10"/>
      <c r="X7704" s="10"/>
      <c r="Y7704" s="10"/>
      <c r="Z7704" s="10"/>
    </row>
    <row r="7705" spans="1:26" ht="12.75">
      <c r="A7705" s="10" t="str">
        <f ca="1">IFERROR(__xludf.DUMMYFUNCTION("""COMPUTED_VALUE"""),"Тина Василева Петрова")</f>
        <v>Тина Василева Петрова</v>
      </c>
      <c r="B7705" s="10" t="str">
        <f ca="1">IFERROR(__xludf.DUMMYFUNCTION("""COMPUTED_VALUE"""),"Доклад от конференция")</f>
        <v>Доклад от конференция</v>
      </c>
      <c r="C7705" s="10" t="str">
        <f ca="1">IFERROR(__xludf.DUMMYFUNCTION("""COMPUTED_VALUE"""),"""Virtual Reality Development and the Socialization of Bulgarian Cultural Heritage")</f>
        <v>"Virtual Reality Development and the Socialization of Bulgarian Cultural Heritage</v>
      </c>
      <c r="D7705" s="10">
        <f ca="1">IFERROR(__xludf.DUMMYFUNCTION("""COMPUTED_VALUE"""),2019)</f>
        <v>2019</v>
      </c>
      <c r="E7705" s="10" t="str">
        <f ca="1">IFERROR(__xludf.DUMMYFUNCTION("""COMPUTED_VALUE"""),"// Proceedings Book Academic Studies in Human Education and Social Sciences Tirane, 29-30 March, 2019, pp. 31-36"". ISBN 978-1-78911-005-0")</f>
        <v>// Proceedings Book Academic Studies in Human Education and Social Sciences Tirane, 29-30 March, 2019, pp. 31-36". ISBN 978-1-78911-005-0</v>
      </c>
      <c r="F7705" s="10"/>
      <c r="G7705" s="10" t="str">
        <f ca="1">IFERROR(__xludf.DUMMYFUNCTION("""COMPUTED_VALUE"""),"Sofia Vasileva, Tina Petrova")</f>
        <v>Sofia Vasileva, Tina Petrova</v>
      </c>
      <c r="H7705" s="10"/>
      <c r="I7705" s="10"/>
      <c r="J7705" s="10"/>
      <c r="K7705" s="10"/>
      <c r="L7705" s="10"/>
      <c r="M7705" s="10"/>
      <c r="N7705" s="10"/>
      <c r="O7705" s="10"/>
      <c r="P7705" s="10"/>
      <c r="Q7705" s="10"/>
      <c r="R7705" s="10"/>
      <c r="S7705" s="10"/>
      <c r="T7705" s="10"/>
      <c r="U7705" s="10"/>
      <c r="V7705" s="10"/>
      <c r="W7705" s="10"/>
      <c r="X7705" s="10"/>
      <c r="Y7705" s="10"/>
      <c r="Z7705" s="10"/>
    </row>
    <row r="7706" spans="1:26" ht="12.75">
      <c r="A7706" s="10" t="str">
        <f ca="1">IFERROR(__xludf.DUMMYFUNCTION("""COMPUTED_VALUE"""),"Тина Василева Петрова")</f>
        <v>Тина Василева Петрова</v>
      </c>
      <c r="B7706" s="10" t="str">
        <f ca="1">IFERROR(__xludf.DUMMYFUNCTION("""COMPUTED_VALUE"""),"Монография")</f>
        <v>Монография</v>
      </c>
      <c r="C7706" s="10" t="str">
        <f ca="1">IFERROR(__xludf.DUMMYFUNCTION("""COMPUTED_VALUE"""),"Опазване на архивите в ХХІ в. Ролята на информационните технологии.")</f>
        <v>Опазване на архивите в ХХІ в. Ролята на информационните технологии.</v>
      </c>
      <c r="D7706" s="10">
        <f ca="1">IFERROR(__xludf.DUMMYFUNCTION("""COMPUTED_VALUE"""),2019)</f>
        <v>2019</v>
      </c>
      <c r="E7706" s="10" t="str">
        <f ca="1">IFERROR(__xludf.DUMMYFUNCTION("""COMPUTED_VALUE"""),"София: За буквите - О’писменехь, 2019 – 232 с. ISBN: 976-619-185-363-2")</f>
        <v>София: За буквите - О’писменехь, 2019 – 232 с. ISBN: 976-619-185-363-2</v>
      </c>
      <c r="F7706" s="10"/>
      <c r="G7706" s="10"/>
      <c r="H7706" s="10"/>
      <c r="I7706" s="10"/>
      <c r="J7706" s="10"/>
      <c r="K7706" s="10"/>
      <c r="L7706" s="10"/>
      <c r="M7706" s="10"/>
      <c r="N7706" s="10"/>
      <c r="O7706" s="10"/>
      <c r="P7706" s="10"/>
      <c r="Q7706" s="10"/>
      <c r="R7706" s="10"/>
      <c r="S7706" s="10"/>
      <c r="T7706" s="10"/>
      <c r="U7706" s="10"/>
      <c r="V7706" s="10"/>
      <c r="W7706" s="10"/>
      <c r="X7706" s="10"/>
      <c r="Y7706" s="10"/>
      <c r="Z7706" s="10"/>
    </row>
    <row r="7707" spans="1:26" ht="12.75">
      <c r="A7707" s="10" t="str">
        <f ca="1">IFERROR(__xludf.DUMMYFUNCTION("""COMPUTED_VALUE"""),"Тина Василева Петрова")</f>
        <v>Тина Василева Петрова</v>
      </c>
      <c r="B7707" s="10" t="str">
        <f ca="1">IFERROR(__xludf.DUMMYFUNCTION("""COMPUTED_VALUE"""),"Доклад от конференция")</f>
        <v>Доклад от конференция</v>
      </c>
      <c r="C7707" s="10" t="str">
        <f ca="1">IFERROR(__xludf.DUMMYFUNCTION("""COMPUTED_VALUE"""),"Application Of Virtual Reality In Cultural Heritage Education and in Heritage Socialization. Academic Research Project Results")</f>
        <v>Application Of Virtual Reality In Cultural Heritage Education and in Heritage Socialization. Academic Research Project Results</v>
      </c>
      <c r="D7707" s="10">
        <f ca="1">IFERROR(__xludf.DUMMYFUNCTION("""COMPUTED_VALUE"""),2019)</f>
        <v>2019</v>
      </c>
      <c r="E7707" s="10" t="str">
        <f ca="1">IFERROR(__xludf.DUMMYFUNCTION("""COMPUTED_VALUE"""),"Proceedings of ICERI2019 Conference11th-13th November 2019, Seville, Spain. ISBN: 978-84-09-14755-7")</f>
        <v>Proceedings of ICERI2019 Conference11th-13th November 2019, Seville, Spain. ISBN: 978-84-09-14755-7</v>
      </c>
      <c r="F7707" s="10" t="str">
        <f ca="1">IFERROR(__xludf.DUMMYFUNCTION("""COMPUTED_VALUE"""),"web of science")</f>
        <v>web of science</v>
      </c>
      <c r="G7707" s="10" t="str">
        <f ca="1">IFERROR(__xludf.DUMMYFUNCTION("""COMPUTED_VALUE"""),"Sofia Vasileva")</f>
        <v>Sofia Vasileva</v>
      </c>
      <c r="H7707" s="10"/>
      <c r="I7707" s="10"/>
      <c r="J7707" s="10"/>
      <c r="K7707" s="10"/>
      <c r="L7707" s="10"/>
      <c r="M7707" s="10"/>
      <c r="N7707" s="10"/>
      <c r="O7707" s="10"/>
      <c r="P7707" s="10"/>
      <c r="Q7707" s="10"/>
      <c r="R7707" s="10"/>
      <c r="S7707" s="10"/>
      <c r="T7707" s="10"/>
      <c r="U7707" s="10"/>
      <c r="V7707" s="10"/>
      <c r="W7707" s="10"/>
      <c r="X7707" s="10"/>
      <c r="Y7707" s="10"/>
      <c r="Z7707" s="10"/>
    </row>
    <row r="7708" spans="1:26" ht="12.75">
      <c r="A7708" s="10" t="str">
        <f ca="1">IFERROR(__xludf.DUMMYFUNCTION("""COMPUTED_VALUE"""),"Тина Василева Петрова")</f>
        <v>Тина Василева Петрова</v>
      </c>
      <c r="B7708" s="10" t="str">
        <f ca="1">IFERROR(__xludf.DUMMYFUNCTION("""COMPUTED_VALUE"""),"Статия в списания и поредици")</f>
        <v>Статия в списания и поредици</v>
      </c>
      <c r="C7708" s="10" t="str">
        <f ca="1">IFERROR(__xludf.DUMMYFUNCTION("""COMPUTED_VALUE"""),"Virtual relity development and the cotsialization of Bulgarian cultural heritage // Jurnal of International Cooperation and Development,Vol.2, N 1, May 2019, pp. 34-39 E-ISSN: 2612-4793 / Print-ISSN: 2612-4815")</f>
        <v>Virtual relity development and the cotsialization of Bulgarian cultural heritage // Jurnal of International Cooperation and Development,Vol.2, N 1, May 2019, pp. 34-39 E-ISSN: 2612-4793 / Print-ISSN: 2612-4815</v>
      </c>
      <c r="D7708" s="10">
        <f ca="1">IFERROR(__xludf.DUMMYFUNCTION("""COMPUTED_VALUE"""),2019)</f>
        <v>2019</v>
      </c>
      <c r="E7708" s="10" t="str">
        <f ca="1">IFERROR(__xludf.DUMMYFUNCTION("""COMPUTED_VALUE"""),"// Jurnal of International Cooperation and Development,Vol.2, N 1, May 2019, pp. 34-39 E-ISSN: 2612-4793 / Print-ISSN: 2612-4815")</f>
        <v>// Jurnal of International Cooperation and Development,Vol.2, N 1, May 2019, pp. 34-39 E-ISSN: 2612-4793 / Print-ISSN: 2612-4815</v>
      </c>
      <c r="F7708" s="10"/>
      <c r="G7708" s="10" t="str">
        <f ca="1">IFERROR(__xludf.DUMMYFUNCTION("""COMPUTED_VALUE"""),"Sofia Vasileva, Tina Petrova")</f>
        <v>Sofia Vasileva, Tina Petrova</v>
      </c>
      <c r="H7708" s="10"/>
      <c r="I7708" s="10"/>
      <c r="J7708" s="10"/>
      <c r="K7708" s="10"/>
      <c r="L7708" s="10"/>
      <c r="M7708" s="10"/>
      <c r="N7708" s="10"/>
      <c r="O7708" s="10"/>
      <c r="P7708" s="10"/>
      <c r="Q7708" s="10"/>
      <c r="R7708" s="10"/>
      <c r="S7708" s="10"/>
      <c r="T7708" s="10"/>
      <c r="U7708" s="10"/>
      <c r="V7708" s="10"/>
      <c r="W7708" s="10"/>
      <c r="X7708" s="10"/>
      <c r="Y7708" s="10"/>
      <c r="Z7708" s="10"/>
    </row>
    <row r="7709" spans="1:26" ht="12.75">
      <c r="A7709" s="10" t="str">
        <f ca="1">IFERROR(__xludf.DUMMYFUNCTION("""COMPUTED_VALUE"""),"Тина Василева Петрова")</f>
        <v>Тина Василева Петрова</v>
      </c>
      <c r="B7709" s="10" t="str">
        <f ca="1">IFERROR(__xludf.DUMMYFUNCTION("""COMPUTED_VALUE"""),"Доклад от конференция")</f>
        <v>Доклад от конференция</v>
      </c>
      <c r="C7709" s="10" t="str">
        <f ca="1">IFERROR(__xludf.DUMMYFUNCTION("""COMPUTED_VALUE"""),"Модели за социализация и комуникация с културното наследство. По примера на Държавния архив и музеите на Дубровник")</f>
        <v>Модели за социализация и комуникация с културното наследство. По примера на Държавния архив и музеите на Дубровник</v>
      </c>
      <c r="D7709" s="10">
        <f ca="1">IFERROR(__xludf.DUMMYFUNCTION("""COMPUTED_VALUE"""),2018)</f>
        <v>2018</v>
      </c>
      <c r="E7709" s="10" t="str">
        <f ca="1">IFERROR(__xludf.DUMMYFUNCTION("""COMPUTED_VALUE"""),"Обществото на знанието и хуманизмът на XXI век“, (сборник с доклади) от XV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2017 г. – София : За букви"&amp;"те – О писменехь, 2018, с. 313-318. ISSN 1314-7099")</f>
        <v>Обществото на знанието и хуманизмът на XXI век“, (сборник с доклади) от XV Национална научна конференция с международно участие, организирана от Университета по библиотекознание и информационни технологии, проведена на 1 ноември 2017 г. – София : За буквите – О писменехь, 2018, с. 313-318. ISSN 1314-7099</v>
      </c>
      <c r="F7709" s="10"/>
      <c r="G7709" s="10"/>
      <c r="H7709" s="10"/>
      <c r="I7709" s="10"/>
      <c r="J7709" s="10"/>
      <c r="K7709" s="10"/>
      <c r="L7709" s="10"/>
      <c r="M7709" s="10"/>
      <c r="N7709" s="10"/>
      <c r="O7709" s="10"/>
      <c r="P7709" s="10"/>
      <c r="Q7709" s="10"/>
      <c r="R7709" s="10"/>
      <c r="S7709" s="10"/>
      <c r="T7709" s="10"/>
      <c r="U7709" s="10"/>
      <c r="V7709" s="10"/>
      <c r="W7709" s="10"/>
      <c r="X7709" s="10"/>
      <c r="Y7709" s="10"/>
      <c r="Z7709" s="10"/>
    </row>
    <row r="7710" spans="1:26" ht="12.75">
      <c r="A7710" s="10" t="str">
        <f ca="1">IFERROR(__xludf.DUMMYFUNCTION("""COMPUTED_VALUE"""),"Тина Василева Петрова")</f>
        <v>Тина Василева Петрова</v>
      </c>
      <c r="B7710" s="10" t="str">
        <f ca="1">IFERROR(__xludf.DUMMYFUNCTION("""COMPUTED_VALUE"""),"Доклад от конференция")</f>
        <v>Доклад от конференция</v>
      </c>
      <c r="C7710" s="10" t="str">
        <f ca="1">IFERROR(__xludf.DUMMYFUNCTION("""COMPUTED_VALUE"""),"Религиозен буквар – ценен документ с много послания.")</f>
        <v>Религиозен буквар – ценен документ с много послания.</v>
      </c>
      <c r="D7710" s="10">
        <f ca="1">IFERROR(__xludf.DUMMYFUNCTION("""COMPUTED_VALUE"""),2018)</f>
        <v>2018</v>
      </c>
      <c r="E7710" s="10" t="str">
        <f ca="1">IFERROR(__xludf.DUMMYFUNCTION("""COMPUTED_VALUE"""),"Пета научна конференция „Хармония в различията, (10.12.2018 г., София, УниБИТ), 2018, – София : За буквите – О писменехь с. 139-142. ISSN 2367-7899")</f>
        <v>Пета научна конференция „Хармония в различията, (10.12.2018 г., София, УниБИТ), 2018, – София : За буквите – О писменехь с. 139-142. ISSN 2367-7899</v>
      </c>
      <c r="F7710" s="10"/>
      <c r="G7710" s="10"/>
      <c r="H7710" s="10"/>
      <c r="I7710" s="10"/>
      <c r="J7710" s="10"/>
      <c r="K7710" s="10"/>
      <c r="L7710" s="10"/>
      <c r="M7710" s="10"/>
      <c r="N7710" s="10"/>
      <c r="O7710" s="10"/>
      <c r="P7710" s="10"/>
      <c r="Q7710" s="10"/>
      <c r="R7710" s="10"/>
      <c r="S7710" s="10"/>
      <c r="T7710" s="10"/>
      <c r="U7710" s="10"/>
      <c r="V7710" s="10"/>
      <c r="W7710" s="10"/>
      <c r="X7710" s="10"/>
      <c r="Y7710" s="10"/>
      <c r="Z7710" s="10"/>
    </row>
    <row r="7711" spans="1:26" ht="12.75">
      <c r="A7711" s="10" t="str">
        <f ca="1">IFERROR(__xludf.DUMMYFUNCTION("""COMPUTED_VALUE"""),"Тина Василева Петрова")</f>
        <v>Тина Василева Петрова</v>
      </c>
      <c r="B7711" s="10" t="str">
        <f ca="1">IFERROR(__xludf.DUMMYFUNCTION("""COMPUTED_VALUE"""),"Доклад от конференция")</f>
        <v>Доклад от конференция</v>
      </c>
      <c r="C7711" s="10" t="str">
        <f ca="1">IFERROR(__xludf.DUMMYFUNCTION("""COMPUTED_VALUE"""),"Обучението по архивистика в специалност „Културно-историческо наследство“")</f>
        <v>Обучението по архивистика в специалност „Културно-историческо наследство“</v>
      </c>
      <c r="D7711" s="10">
        <f ca="1">IFERROR(__xludf.DUMMYFUNCTION("""COMPUTED_VALUE"""),2018)</f>
        <v>2018</v>
      </c>
      <c r="E7711" s="10" t="str">
        <f ca="1">IFERROR(__xludf.DUMMYFUNCTION("""COMPUTED_VALUE"""),"ХI-та конференция на специалност Архивистика и документалистика в Софийски университет „Св. Климент Охридски”, 18-19 април , 2017 г., Университетски четения по архивистика, том VІ, 2018 г., с. 67-71. ISBN: 978-954-400-124-7")</f>
        <v>ХI-та конференция на специалност Архивистика и документалистика в Софийски университет „Св. Климент Охридски”, 18-19 април , 2017 г., Университетски четения по архивистика, том VІ, 2018 г., с. 67-71. ISBN: 978-954-400-124-7</v>
      </c>
      <c r="F7711" s="10"/>
      <c r="G7711" s="10"/>
      <c r="H7711" s="10"/>
      <c r="I7711" s="10"/>
      <c r="J7711" s="10"/>
      <c r="K7711" s="10"/>
      <c r="L7711" s="10"/>
      <c r="M7711" s="10"/>
      <c r="N7711" s="10"/>
      <c r="O7711" s="10"/>
      <c r="P7711" s="10"/>
      <c r="Q7711" s="10"/>
      <c r="R7711" s="10"/>
      <c r="S7711" s="10"/>
      <c r="T7711" s="10"/>
      <c r="U7711" s="10"/>
      <c r="V7711" s="10"/>
      <c r="W7711" s="10"/>
      <c r="X7711" s="10"/>
      <c r="Y7711" s="10"/>
      <c r="Z7711" s="10"/>
    </row>
    <row r="7712" spans="1:26" ht="12.75">
      <c r="A7712" s="10" t="str">
        <f ca="1">IFERROR(__xludf.DUMMYFUNCTION("""COMPUTED_VALUE"""),"Тина Василева Петрова")</f>
        <v>Тина Василева Петрова</v>
      </c>
      <c r="B7712" s="10" t="str">
        <f ca="1">IFERROR(__xludf.DUMMYFUNCTION("""COMPUTED_VALUE"""),"Доклад от конференция")</f>
        <v>Доклад от конференция</v>
      </c>
      <c r="C7712" s="10" t="str">
        <f ca="1">IFERROR(__xludf.DUMMYFUNCTION("""COMPUTED_VALUE"""),"Предизвикателства пред архивите при опазването им в съвременната информационна среда")</f>
        <v>Предизвикателства пред архивите при опазването им в съвременната информационна среда</v>
      </c>
      <c r="D7712" s="10">
        <f ca="1">IFERROR(__xludf.DUMMYFUNCTION("""COMPUTED_VALUE"""),2018)</f>
        <v>2018</v>
      </c>
      <c r="E7712" s="10" t="str">
        <f ca="1">IFERROR(__xludf.DUMMYFUNCTION("""COMPUTED_VALUE"""),"Шеста годишна научна конференция по организация, управление и защита на културно- историческото наследство, (19.12.2017 г., София, УниБИТ), 2018, Издателство Земя, с. 159 - 165. ISSN 1314-5517")</f>
        <v>Шеста годишна научна конференция по организация, управление и защита на културно- историческото наследство, (19.12.2017 г., София, УниБИТ), 2018, Издателство Земя, с. 159 - 165. ISSN 1314-5517</v>
      </c>
      <c r="F7712" s="10"/>
      <c r="G7712" s="10"/>
      <c r="H7712" s="10"/>
      <c r="I7712" s="10"/>
      <c r="J7712" s="10"/>
      <c r="K7712" s="10"/>
      <c r="L7712" s="10"/>
      <c r="M7712" s="10"/>
      <c r="N7712" s="10"/>
      <c r="O7712" s="10"/>
      <c r="P7712" s="10"/>
      <c r="Q7712" s="10"/>
      <c r="R7712" s="10"/>
      <c r="S7712" s="10"/>
      <c r="T7712" s="10"/>
      <c r="U7712" s="10"/>
      <c r="V7712" s="10"/>
      <c r="W7712" s="10"/>
      <c r="X7712" s="10"/>
      <c r="Y7712" s="10"/>
      <c r="Z7712" s="10"/>
    </row>
    <row r="7713" spans="1:26" ht="12.75">
      <c r="A7713" s="10" t="str">
        <f ca="1">IFERROR(__xludf.DUMMYFUNCTION("""COMPUTED_VALUE"""),"Тина Василева Петрова")</f>
        <v>Тина Василева Петрова</v>
      </c>
      <c r="B7713" s="10" t="str">
        <f ca="1">IFERROR(__xludf.DUMMYFUNCTION("""COMPUTED_VALUE"""),"Доклад от конференция")</f>
        <v>Доклад от конференция</v>
      </c>
      <c r="C7713" s="10" t="str">
        <f ca="1">IFERROR(__xludf.DUMMYFUNCTION("""COMPUTED_VALUE"""),"Нуждата от опазване на архивите по време в ектремни ситуации: образователни аспекти")</f>
        <v>Нуждата от опазване на архивите по време в ектремни ситуации: образователни аспекти</v>
      </c>
      <c r="D7713" s="10">
        <f ca="1">IFERROR(__xludf.DUMMYFUNCTION("""COMPUTED_VALUE"""),2017)</f>
        <v>2017</v>
      </c>
      <c r="E7713" s="10" t="str">
        <f ca="1">IFERROR(__xludf.DUMMYFUNCTION("""COMPUTED_VALUE"""),"X НАУЧНА КОНФЕРЕНЦИЯ АРХИВОЛОГИЯ, ПРОФЕСИОНАЛНО ОБРАЗОВАНИЕ ПО АРХИВИСТИКА И АРХИВНИ ИНСТИТУЦИИ – QUO VADIS? Проведена на 18–19 април 2016 г. УНИВЕРСИТЕТСКИ ЧЕТЕНИЯ ПО АРХИВИСТИКА ТОМ V.,2017 г., с. 213-218. ISBN: 978-954-400-124-7")</f>
        <v>X НАУЧНА КОНФЕРЕНЦИЯ АРХИВОЛОГИЯ, ПРОФЕСИОНАЛНО ОБРАЗОВАНИЕ ПО АРХИВИСТИКА И АРХИВНИ ИНСТИТУЦИИ – QUO VADIS? Проведена на 18–19 април 2016 г. УНИВЕРСИТЕТСКИ ЧЕТЕНИЯ ПО АРХИВИСТИКА ТОМ V.,2017 г., с. 213-218. ISBN: 978-954-400-124-7</v>
      </c>
      <c r="F7713" s="10"/>
      <c r="G7713" s="10"/>
      <c r="H7713" s="10"/>
      <c r="I7713" s="10"/>
      <c r="J7713" s="10"/>
      <c r="K7713" s="10"/>
      <c r="L7713" s="10"/>
      <c r="M7713" s="10"/>
      <c r="N7713" s="10"/>
      <c r="O7713" s="10"/>
      <c r="P7713" s="10"/>
      <c r="Q7713" s="10"/>
      <c r="R7713" s="10"/>
      <c r="S7713" s="10"/>
      <c r="T7713" s="10"/>
      <c r="U7713" s="10"/>
      <c r="V7713" s="10"/>
      <c r="W7713" s="10"/>
      <c r="X7713" s="10"/>
      <c r="Y7713" s="10"/>
      <c r="Z7713" s="10"/>
    </row>
    <row r="7714" spans="1:26" ht="12.75">
      <c r="A7714" s="10" t="str">
        <f ca="1">IFERROR(__xludf.DUMMYFUNCTION("""COMPUTED_VALUE"""),"Тина Василева Петрова")</f>
        <v>Тина Василева Петрова</v>
      </c>
      <c r="B7714" s="10" t="str">
        <f ca="1">IFERROR(__xludf.DUMMYFUNCTION("""COMPUTED_VALUE"""),"Статия в списания и поредици")</f>
        <v>Статия в списания и поредици</v>
      </c>
      <c r="C7714" s="10" t="str">
        <f ca="1">IFERROR(__xludf.DUMMYFUNCTION("""COMPUTED_VALUE"""),"Тенденции в опазването на архивите в новата информационна реалност")</f>
        <v>Тенденции в опазването на архивите в новата информационна реалност</v>
      </c>
      <c r="D7714" s="10">
        <f ca="1">IFERROR(__xludf.DUMMYFUNCTION("""COMPUTED_VALUE"""),2016)</f>
        <v>2016</v>
      </c>
      <c r="E7714" s="10" t="str">
        <f ca="1">IFERROR(__xludf.DUMMYFUNCTION("""COMPUTED_VALUE"""),"Сп. Архивен преглед, кн. 2. // Националната научна конференция „Българските архиви – памет за бъдещето“.,2016, с. 113-117. ISSN 0204-8132")</f>
        <v>Сп. Архивен преглед, кн. 2. // Националната научна конференция „Българските архиви – памет за бъдещето“.,2016, с. 113-117. ISSN 0204-8132</v>
      </c>
      <c r="F7714" s="10"/>
      <c r="G7714" s="10" t="str">
        <f ca="1">IFERROR(__xludf.DUMMYFUNCTION("""COMPUTED_VALUE"""),"София Василева")</f>
        <v>София Василева</v>
      </c>
      <c r="H7714" s="10"/>
      <c r="I7714" s="10"/>
      <c r="J7714" s="10"/>
      <c r="K7714" s="10"/>
      <c r="L7714" s="10"/>
      <c r="M7714" s="10"/>
      <c r="N7714" s="10"/>
      <c r="O7714" s="10"/>
      <c r="P7714" s="10"/>
      <c r="Q7714" s="10"/>
      <c r="R7714" s="10"/>
      <c r="S7714" s="10"/>
      <c r="T7714" s="10"/>
      <c r="U7714" s="10"/>
      <c r="V7714" s="10"/>
      <c r="W7714" s="10"/>
      <c r="X7714" s="10"/>
      <c r="Y7714" s="10"/>
      <c r="Z7714" s="10"/>
    </row>
    <row r="7715" spans="1:26" ht="12.75">
      <c r="A7715" s="10" t="str">
        <f ca="1">IFERROR(__xludf.DUMMYFUNCTION("""COMPUTED_VALUE"""),"Тина Василева Петрова")</f>
        <v>Тина Василева Петрова</v>
      </c>
      <c r="B7715" s="10" t="str">
        <f ca="1">IFERROR(__xludf.DUMMYFUNCTION("""COMPUTED_VALUE"""),"Доклад от конференция")</f>
        <v>Доклад от конференция</v>
      </c>
      <c r="C7715" s="10" t="str">
        <f ca="1">IFERROR(__xludf.DUMMYFUNCTION("""COMPUTED_VALUE"""),"Дигитализация в архивите")</f>
        <v>Дигитализация в архивите</v>
      </c>
      <c r="D7715" s="10">
        <f ca="1">IFERROR(__xludf.DUMMYFUNCTION("""COMPUTED_VALUE"""),2014)</f>
        <v>2014</v>
      </c>
      <c r="E7715" s="10" t="str">
        <f ca="1">IFERROR(__xludf.DUMMYFUNCTION("""COMPUTED_VALUE"""),"Сборник с доклади от Юбилейната научна конференция по повод 10-годишнината от създаването на Катедра ""Културно-историческо наследство"" при УниБИТ. Проведена на 10.10.2014 г., 2014, - София: За буквите О писменехь, с. 319-327. ISBN 978-619-185-150-8")</f>
        <v>Сборник с доклади от Юбилейната научна конференция по повод 10-годишнината от създаването на Катедра "Културно-историческо наследство" при УниБИТ. Проведена на 10.10.2014 г., 2014, - София: За буквите О писменехь, с. 319-327. ISBN 978-619-185-150-8</v>
      </c>
      <c r="F7715" s="10"/>
      <c r="G7715" s="10"/>
      <c r="H7715" s="10"/>
      <c r="I7715" s="10"/>
      <c r="J7715" s="10"/>
      <c r="K7715" s="10"/>
      <c r="L7715" s="10"/>
      <c r="M7715" s="10"/>
      <c r="N7715" s="10"/>
      <c r="O7715" s="10"/>
      <c r="P7715" s="10"/>
      <c r="Q7715" s="10"/>
      <c r="R7715" s="10"/>
      <c r="S7715" s="10"/>
      <c r="T7715" s="10"/>
      <c r="U7715" s="10"/>
      <c r="V7715" s="10"/>
      <c r="W7715" s="10"/>
      <c r="X7715" s="10"/>
      <c r="Y7715" s="10"/>
      <c r="Z7715" s="10"/>
    </row>
    <row r="7716" spans="1:26" ht="12.75">
      <c r="A7716" s="10" t="str">
        <f ca="1">IFERROR(__xludf.DUMMYFUNCTION("""COMPUTED_VALUE"""),"Тина Василева Петрова")</f>
        <v>Тина Василева Петрова</v>
      </c>
      <c r="B7716" s="10" t="str">
        <f ca="1">IFERROR(__xludf.DUMMYFUNCTION("""COMPUTED_VALUE"""),"Доклад от конференция")</f>
        <v>Доклад от конференция</v>
      </c>
      <c r="C7716" s="10" t="str">
        <f ca="1">IFERROR(__xludf.DUMMYFUNCTION("""COMPUTED_VALUE"""),"Някои терминологични решения при опазването на националното документално богатство")</f>
        <v>Някои терминологични решения при опазването на националното документално богатство</v>
      </c>
      <c r="D7716" s="10">
        <f ca="1">IFERROR(__xludf.DUMMYFUNCTION("""COMPUTED_VALUE"""),2014)</f>
        <v>2014</v>
      </c>
      <c r="E7716" s="10" t="str">
        <f ca="1">IFERROR(__xludf.DUMMYFUNCTION("""COMPUTED_VALUE"""),"Сборник с научни изследвания по случай 10-годишнината от създаването на Катедра ""Културно-историческо наследство"" при УниБИТ., 2014, - София: За буквите О писменехь, с.232-240. ISBN 978-619-185-025-9")</f>
        <v>Сборник с научни изследвания по случай 10-годишнината от създаването на Катедра "Културно-историческо наследство" при УниБИТ., 2014, - София: За буквите О писменехь, с.232-240. ISBN 978-619-185-025-9</v>
      </c>
      <c r="F7716" s="10"/>
      <c r="G7716" s="10"/>
      <c r="H7716" s="10"/>
      <c r="I7716" s="10"/>
      <c r="J7716" s="10"/>
      <c r="K7716" s="10"/>
      <c r="L7716" s="10"/>
      <c r="M7716" s="10"/>
      <c r="N7716" s="10"/>
      <c r="O7716" s="10"/>
      <c r="P7716" s="10"/>
      <c r="Q7716" s="10"/>
      <c r="R7716" s="10"/>
      <c r="S7716" s="10"/>
      <c r="T7716" s="10"/>
      <c r="U7716" s="10"/>
      <c r="V7716" s="10"/>
      <c r="W7716" s="10"/>
      <c r="X7716" s="10"/>
      <c r="Y7716" s="10"/>
      <c r="Z7716" s="10"/>
    </row>
    <row r="7717" spans="1:26" ht="12.75">
      <c r="A7717" s="10" t="str">
        <f ca="1">IFERROR(__xludf.DUMMYFUNCTION("""COMPUTED_VALUE"""),"Тодор Вълков Чобанов")</f>
        <v>Тодор Вълков Чобанов</v>
      </c>
      <c r="B7717" s="10" t="str">
        <f ca="1">IFERROR(__xludf.DUMMYFUNCTION("""COMPUTED_VALUE"""),"Статия в списания и поредици")</f>
        <v>Статия в списания и поредици</v>
      </c>
      <c r="C7717" s="10" t="str">
        <f ca="1">IFERROR(__xludf.DUMMYFUNCTION("""COMPUTED_VALUE"""),"Some metric observations on the St.Sofia church in Sofia")</f>
        <v>Some metric observations on the St.Sofia church in Sofia</v>
      </c>
      <c r="D7717" s="10">
        <f ca="1">IFERROR(__xludf.DUMMYFUNCTION("""COMPUTED_VALUE"""),2016)</f>
        <v>2016</v>
      </c>
      <c r="E7717" s="10" t="str">
        <f ca="1">IFERROR(__xludf.DUMMYFUNCTION("""COMPUTED_VALUE"""),"Archaeologia Bulgarica 3/2016, с. 41-50. ISSN 1310-9537")</f>
        <v>Archaeologia Bulgarica 3/2016, с. 41-50. ISSN 1310-9537</v>
      </c>
      <c r="F7717" s="10"/>
      <c r="G7717" s="10"/>
      <c r="H7717" s="10"/>
      <c r="I7717" s="10"/>
      <c r="J7717" s="10"/>
      <c r="K7717" s="10"/>
      <c r="L7717" s="10"/>
      <c r="M7717" s="10"/>
      <c r="N7717" s="10"/>
      <c r="O7717" s="10"/>
      <c r="P7717" s="10"/>
      <c r="Q7717" s="10"/>
      <c r="R7717" s="10"/>
      <c r="S7717" s="10"/>
      <c r="T7717" s="10"/>
      <c r="U7717" s="10"/>
      <c r="V7717" s="10"/>
      <c r="W7717" s="10"/>
      <c r="X7717" s="10"/>
      <c r="Y7717" s="10"/>
      <c r="Z7717" s="10"/>
    </row>
    <row r="7718" spans="1:26" ht="12.75">
      <c r="A7718" s="10" t="str">
        <f ca="1">IFERROR(__xludf.DUMMYFUNCTION("""COMPUTED_VALUE"""),"Тодор Вълков Чобанов")</f>
        <v>Тодор Вълков Чобанов</v>
      </c>
      <c r="B7718" s="10" t="str">
        <f ca="1">IFERROR(__xludf.DUMMYFUNCTION("""COMPUTED_VALUE"""),"Студия")</f>
        <v>Студия</v>
      </c>
      <c r="C7718" s="10" t="str">
        <f ca="1">IFERROR(__xludf.DUMMYFUNCTION("""COMPUTED_VALUE"""),"Езическите храмове на Дунавска България")</f>
        <v>Езическите храмове на Дунавска България</v>
      </c>
      <c r="D7718" s="10">
        <f ca="1">IFERROR(__xludf.DUMMYFUNCTION("""COMPUTED_VALUE"""),2014)</f>
        <v>2014</v>
      </c>
      <c r="E7718" s="10" t="str">
        <f ca="1">IFERROR(__xludf.DUMMYFUNCTION("""COMPUTED_VALUE"""),"„Древните българи-дискусията продължава“. София 2014, с.66-90 ISBN 978-954-378-109-6")</f>
        <v>„Древните българи-дискусията продължава“. София 2014, с.66-90 ISBN 978-954-378-109-6</v>
      </c>
      <c r="F7718" s="10"/>
      <c r="G7718" s="10"/>
      <c r="H7718" s="10"/>
      <c r="I7718" s="10"/>
      <c r="J7718" s="10"/>
      <c r="K7718" s="10"/>
      <c r="L7718" s="10"/>
      <c r="M7718" s="10"/>
      <c r="N7718" s="10"/>
      <c r="O7718" s="10"/>
      <c r="P7718" s="10"/>
      <c r="Q7718" s="10"/>
      <c r="R7718" s="10"/>
      <c r="S7718" s="10"/>
      <c r="T7718" s="10"/>
      <c r="U7718" s="10"/>
      <c r="V7718" s="10"/>
      <c r="W7718" s="10"/>
      <c r="X7718" s="10"/>
      <c r="Y7718" s="10"/>
      <c r="Z7718" s="10"/>
    </row>
    <row r="7719" spans="1:26" ht="12.75">
      <c r="A7719" s="10" t="str">
        <f ca="1">IFERROR(__xludf.DUMMYFUNCTION("""COMPUTED_VALUE"""),"Тодор Вълков Чобанов")</f>
        <v>Тодор Вълков Чобанов</v>
      </c>
      <c r="B7719" s="10" t="str">
        <f ca="1">IFERROR(__xludf.DUMMYFUNCTION("""COMPUTED_VALUE"""),"Статия в списания и поредици")</f>
        <v>Статия в списания и поредици</v>
      </c>
      <c r="C7719" s="10" t="str">
        <f ca="1">IFERROR(__xludf.DUMMYFUNCTION("""COMPUTED_VALUE"""),"Res-gestae на Шапур І от Накши Рустам като извор за най-старата българска история")</f>
        <v>Res-gestae на Шапур І от Накши Рустам като извор за най-старата българска история</v>
      </c>
      <c r="D7719" s="10">
        <f ca="1">IFERROR(__xludf.DUMMYFUNCTION("""COMPUTED_VALUE"""),2013)</f>
        <v>2013</v>
      </c>
      <c r="E7719" s="10" t="str">
        <f ca="1">IFERROR(__xludf.DUMMYFUNCTION("""COMPUTED_VALUE"""),"в сборник Добруджа 24-25 /2013 “Европейските степи и Долния Дунав през Средновековието”, с.73-83 . ISSN 0205-2210")</f>
        <v>в сборник Добруджа 24-25 /2013 “Европейските степи и Долния Дунав през Средновековието”, с.73-83 . ISSN 0205-2210</v>
      </c>
      <c r="F7719" s="10"/>
      <c r="G7719" s="10"/>
      <c r="H7719" s="10"/>
      <c r="I7719" s="10"/>
      <c r="J7719" s="10"/>
      <c r="K7719" s="10"/>
      <c r="L7719" s="10"/>
      <c r="M7719" s="10"/>
      <c r="N7719" s="10"/>
      <c r="O7719" s="10"/>
      <c r="P7719" s="10"/>
      <c r="Q7719" s="10"/>
      <c r="R7719" s="10"/>
      <c r="S7719" s="10"/>
      <c r="T7719" s="10"/>
      <c r="U7719" s="10"/>
      <c r="V7719" s="10"/>
      <c r="W7719" s="10"/>
      <c r="X7719" s="10"/>
      <c r="Y7719" s="10"/>
      <c r="Z7719" s="10"/>
    </row>
    <row r="7720" spans="1:26" ht="12.75">
      <c r="A7720" s="10" t="str">
        <f ca="1">IFERROR(__xludf.DUMMYFUNCTION("""COMPUTED_VALUE"""),"Тодор Вълков Чобанов")</f>
        <v>Тодор Вълков Чобанов</v>
      </c>
      <c r="B7720" s="10" t="str">
        <f ca="1">IFERROR(__xludf.DUMMYFUNCTION("""COMPUTED_VALUE"""),"Книга")</f>
        <v>Книга</v>
      </c>
      <c r="C7720" s="10" t="str">
        <f ca="1">IFERROR(__xludf.DUMMYFUNCTION("""COMPUTED_VALUE"""),"Изследвания върху културата на старите българи")</f>
        <v>Изследвания върху културата на старите българи</v>
      </c>
      <c r="D7720" s="10">
        <f ca="1">IFERROR(__xludf.DUMMYFUNCTION("""COMPUTED_VALUE"""),2010)</f>
        <v>2010</v>
      </c>
      <c r="E7720" s="10" t="str">
        <f ca="1">IFERROR(__xludf.DUMMYFUNCTION("""COMPUTED_VALUE"""),"София : Тангра ТанНакРа, 2010, 223 с. ISBN 978-954-378-068-6")</f>
        <v>София : Тангра ТанНакРа, 2010, 223 с. ISBN 978-954-378-068-6</v>
      </c>
      <c r="F7720" s="10"/>
      <c r="G7720" s="10"/>
      <c r="H7720" s="10"/>
      <c r="I7720" s="10"/>
      <c r="J7720" s="10"/>
      <c r="K7720" s="10"/>
      <c r="L7720" s="10"/>
      <c r="M7720" s="10"/>
      <c r="N7720" s="10"/>
      <c r="O7720" s="10"/>
      <c r="P7720" s="10"/>
      <c r="Q7720" s="10"/>
      <c r="R7720" s="10"/>
      <c r="S7720" s="10"/>
      <c r="T7720" s="10"/>
      <c r="U7720" s="10"/>
      <c r="V7720" s="10"/>
      <c r="W7720" s="10"/>
      <c r="X7720" s="10"/>
      <c r="Y7720" s="10"/>
      <c r="Z7720" s="10"/>
    </row>
    <row r="7721" spans="1:26" ht="12.75">
      <c r="A7721" s="10" t="str">
        <f ca="1">IFERROR(__xludf.DUMMYFUNCTION("""COMPUTED_VALUE"""),"Тодор Вълков Чобанов")</f>
        <v>Тодор Вълков Чобанов</v>
      </c>
      <c r="B7721" s="10" t="str">
        <f ca="1">IFERROR(__xludf.DUMMYFUNCTION("""COMPUTED_VALUE"""),"Статия в списания и поредици")</f>
        <v>Статия в списания и поредици</v>
      </c>
      <c r="C7721" s="10" t="str">
        <f ca="1">IFERROR(__xludf.DUMMYFUNCTION("""COMPUTED_VALUE"""),"Принос към дискусията за произхода на старобългарската монументална архитектура")</f>
        <v>Принос към дискусията за произхода на старобългарската монументална архитектура</v>
      </c>
      <c r="D7721" s="10">
        <f ca="1">IFERROR(__xludf.DUMMYFUNCTION("""COMPUTED_VALUE"""),2010)</f>
        <v>2010</v>
      </c>
      <c r="E7721" s="10" t="str">
        <f ca="1">IFERROR(__xludf.DUMMYFUNCTION("""COMPUTED_VALUE"""),"SAUS, Suppl. V. Stephanos Archaeologicos in honorem Professoris Stephcae Angelova, София 2010, с. 567 – 579 ISSN 1312-7284")</f>
        <v>SAUS, Suppl. V. Stephanos Archaeologicos in honorem Professoris Stephcae Angelova, София 2010, с. 567 – 579 ISSN 1312-7284</v>
      </c>
      <c r="F7721" s="10"/>
      <c r="G7721" s="10"/>
      <c r="H7721" s="10"/>
      <c r="I7721" s="10"/>
      <c r="J7721" s="10"/>
      <c r="K7721" s="10"/>
      <c r="L7721" s="10"/>
      <c r="M7721" s="10"/>
      <c r="N7721" s="10"/>
      <c r="O7721" s="10"/>
      <c r="P7721" s="10"/>
      <c r="Q7721" s="10"/>
      <c r="R7721" s="10"/>
      <c r="S7721" s="10"/>
      <c r="T7721" s="10"/>
      <c r="U7721" s="10"/>
      <c r="V7721" s="10"/>
      <c r="W7721" s="10"/>
      <c r="X7721" s="10"/>
      <c r="Y7721" s="10"/>
      <c r="Z7721" s="10"/>
    </row>
    <row r="7722" spans="1:26" ht="12.75">
      <c r="A7722" s="10" t="str">
        <f ca="1">IFERROR(__xludf.DUMMYFUNCTION("""COMPUTED_VALUE"""),"Тодор Вълков Чобанов")</f>
        <v>Тодор Вълков Чобанов</v>
      </c>
      <c r="B7722" s="10" t="str">
        <f ca="1">IFERROR(__xludf.DUMMYFUNCTION("""COMPUTED_VALUE"""),"Статия в списания и поредици")</f>
        <v>Статия в списания и поредици</v>
      </c>
      <c r="C7722" s="10" t="str">
        <f ca="1">IFERROR(__xludf.DUMMYFUNCTION("""COMPUTED_VALUE"""),"За датата и значението на „Крумовия“ дворец в Плиска")</f>
        <v>За датата и значението на „Крумовия“ дворец в Плиска</v>
      </c>
      <c r="D7722" s="10">
        <f ca="1">IFERROR(__xludf.DUMMYFUNCTION("""COMPUTED_VALUE"""),2009)</f>
        <v>2009</v>
      </c>
      <c r="E7722" s="10" t="str">
        <f ca="1">IFERROR(__xludf.DUMMYFUNCTION("""COMPUTED_VALUE"""),"„Проблеми и предизвикателства на археологическите и културно-историческите проучвания“ т.1, Пловдив 2009, с.212-231 ISBN 978-954-423-529-1")</f>
        <v>„Проблеми и предизвикателства на археологическите и културно-историческите проучвания“ т.1, Пловдив 2009, с.212-231 ISBN 978-954-423-529-1</v>
      </c>
      <c r="F7722" s="10"/>
      <c r="G7722" s="10"/>
      <c r="H7722" s="10"/>
      <c r="I7722" s="10"/>
      <c r="J7722" s="10"/>
      <c r="K7722" s="10"/>
      <c r="L7722" s="10"/>
      <c r="M7722" s="10"/>
      <c r="N7722" s="10"/>
      <c r="O7722" s="10"/>
      <c r="P7722" s="10"/>
      <c r="Q7722" s="10"/>
      <c r="R7722" s="10"/>
      <c r="S7722" s="10"/>
      <c r="T7722" s="10"/>
      <c r="U7722" s="10"/>
      <c r="V7722" s="10"/>
      <c r="W7722" s="10"/>
      <c r="X7722" s="10"/>
      <c r="Y7722" s="10"/>
      <c r="Z7722" s="10"/>
    </row>
    <row r="7723" spans="1:26" ht="12.75">
      <c r="A7723" s="10" t="str">
        <f ca="1">IFERROR(__xludf.DUMMYFUNCTION("""COMPUTED_VALUE"""),"Тодор Вълков Чобанов")</f>
        <v>Тодор Вълков Чобанов</v>
      </c>
      <c r="B7723" s="10" t="str">
        <f ca="1">IFERROR(__xludf.DUMMYFUNCTION("""COMPUTED_VALUE"""),"Статия в списания и поредици")</f>
        <v>Статия в списания и поредици</v>
      </c>
      <c r="C7723" s="10" t="str">
        <f ca="1">IFERROR(__xludf.DUMMYFUNCTION("""COMPUTED_VALUE"""),"Ролята на кучето в обредите на старобългарското езичество")</f>
        <v>Ролята на кучето в обредите на старобългарското езичество</v>
      </c>
      <c r="D7723" s="10">
        <f ca="1">IFERROR(__xludf.DUMMYFUNCTION("""COMPUTED_VALUE"""),2009)</f>
        <v>2009</v>
      </c>
      <c r="E7723" s="10" t="str">
        <f ca="1">IFERROR(__xludf.DUMMYFUNCTION("""COMPUTED_VALUE"""),"«Приноси към българската археология» т.V. София 2009, с.123-130. ISBN 978-954-8761-84-0")</f>
        <v>«Приноси към българската археология» т.V. София 2009, с.123-130. ISBN 978-954-8761-84-0</v>
      </c>
      <c r="F7723" s="10"/>
      <c r="G7723" s="10"/>
      <c r="H7723" s="10"/>
      <c r="I7723" s="10"/>
      <c r="J7723" s="10"/>
      <c r="K7723" s="10"/>
      <c r="L7723" s="10"/>
      <c r="M7723" s="10"/>
      <c r="N7723" s="10"/>
      <c r="O7723" s="10"/>
      <c r="P7723" s="10"/>
      <c r="Q7723" s="10"/>
      <c r="R7723" s="10"/>
      <c r="S7723" s="10"/>
      <c r="T7723" s="10"/>
      <c r="U7723" s="10"/>
      <c r="V7723" s="10"/>
      <c r="W7723" s="10"/>
      <c r="X7723" s="10"/>
      <c r="Y7723" s="10"/>
      <c r="Z7723" s="10"/>
    </row>
    <row r="7724" spans="1:26" ht="12.75">
      <c r="A7724" s="10" t="str">
        <f ca="1">IFERROR(__xludf.DUMMYFUNCTION("""COMPUTED_VALUE"""),"Тодор Вълков Чобанов")</f>
        <v>Тодор Вълков Чобанов</v>
      </c>
      <c r="B7724" s="10" t="str">
        <f ca="1">IFERROR(__xludf.DUMMYFUNCTION("""COMPUTED_VALUE"""),"Статия в списания и поредици")</f>
        <v>Статия в списания и поредици</v>
      </c>
      <c r="C7724" s="10" t="str">
        <f ca="1">IFERROR(__xludf.DUMMYFUNCTION("""COMPUTED_VALUE"""),"Източните корени на Мадарския конник")</f>
        <v>Източните корени на Мадарския конник</v>
      </c>
      <c r="D7724" s="10">
        <f ca="1">IFERROR(__xludf.DUMMYFUNCTION("""COMPUTED_VALUE"""),2009)</f>
        <v>2009</v>
      </c>
      <c r="E7724" s="10" t="str">
        <f ca="1">IFERROR(__xludf.DUMMYFUNCTION("""COMPUTED_VALUE"""),"„Laurea. In honorem Margaritae Vaklinova“ книга 2. София 2009, с.79-98 ISBN 978-954-92395-2-2")</f>
        <v>„Laurea. In honorem Margaritae Vaklinova“ книга 2. София 2009, с.79-98 ISBN 978-954-92395-2-2</v>
      </c>
      <c r="F7724" s="10"/>
      <c r="G7724" s="10"/>
      <c r="H7724" s="10"/>
      <c r="I7724" s="10"/>
      <c r="J7724" s="10"/>
      <c r="K7724" s="10"/>
      <c r="L7724" s="10"/>
      <c r="M7724" s="10"/>
      <c r="N7724" s="10"/>
      <c r="O7724" s="10"/>
      <c r="P7724" s="10"/>
      <c r="Q7724" s="10"/>
      <c r="R7724" s="10"/>
      <c r="S7724" s="10"/>
      <c r="T7724" s="10"/>
      <c r="U7724" s="10"/>
      <c r="V7724" s="10"/>
      <c r="W7724" s="10"/>
      <c r="X7724" s="10"/>
      <c r="Y7724" s="10"/>
      <c r="Z7724" s="10"/>
    </row>
    <row r="7725" spans="1:26" ht="12.75">
      <c r="A7725" s="10" t="str">
        <f ca="1">IFERROR(__xludf.DUMMYFUNCTION("""COMPUTED_VALUE"""),"Тодор Вълков Чобанов")</f>
        <v>Тодор Вълков Чобанов</v>
      </c>
      <c r="B7725" s="10" t="str">
        <f ca="1">IFERROR(__xludf.DUMMYFUNCTION("""COMPUTED_VALUE"""),"Доклад от конференция")</f>
        <v>Доклад от конференция</v>
      </c>
      <c r="C7725" s="10" t="str">
        <f ca="1">IFERROR(__xludf.DUMMYFUNCTION("""COMPUTED_VALUE"""),"Превземането на Сердика от кан Крум през 809г.- повратен момент в българската история")</f>
        <v>Превземането на Сердика от кан Крум през 809г.- повратен момент в българската история</v>
      </c>
      <c r="D7725" s="10">
        <f ca="1">IFERROR(__xludf.DUMMYFUNCTION("""COMPUTED_VALUE"""),2009)</f>
        <v>2009</v>
      </c>
      <c r="E7725" s="10" t="str">
        <f ca="1">IFERROR(__xludf.DUMMYFUNCTION("""COMPUTED_VALUE"""),"„София 130 г. столица“. София 2009, с.63-72 без ISBN")</f>
        <v>„София 130 г. столица“. София 2009, с.63-72 без ISBN</v>
      </c>
      <c r="F7725" s="10"/>
      <c r="G7725" s="10"/>
      <c r="H7725" s="10"/>
      <c r="I7725" s="10"/>
      <c r="J7725" s="10"/>
      <c r="K7725" s="10"/>
      <c r="L7725" s="10"/>
      <c r="M7725" s="10"/>
      <c r="N7725" s="10"/>
      <c r="O7725" s="10"/>
      <c r="P7725" s="10"/>
      <c r="Q7725" s="10"/>
      <c r="R7725" s="10"/>
      <c r="S7725" s="10"/>
      <c r="T7725" s="10"/>
      <c r="U7725" s="10"/>
      <c r="V7725" s="10"/>
      <c r="W7725" s="10"/>
      <c r="X7725" s="10"/>
      <c r="Y7725" s="10"/>
      <c r="Z7725" s="10"/>
    </row>
    <row r="7726" spans="1:26" ht="12.75">
      <c r="A7726" s="10" t="str">
        <f ca="1">IFERROR(__xludf.DUMMYFUNCTION("""COMPUTED_VALUE"""),"Тодор Вълков Чобанов")</f>
        <v>Тодор Вълков Чобанов</v>
      </c>
      <c r="B7726" s="10" t="str">
        <f ca="1">IFERROR(__xludf.DUMMYFUNCTION("""COMPUTED_VALUE"""),"Доклад от конференция")</f>
        <v>Доклад от конференция</v>
      </c>
      <c r="C7726" s="10" t="str">
        <f ca="1">IFERROR(__xludf.DUMMYFUNCTION("""COMPUTED_VALUE"""),"Прабългарски погребални ритуали с яйца")</f>
        <v>Прабългарски погребални ритуали с яйца</v>
      </c>
      <c r="D7726" s="10">
        <f ca="1">IFERROR(__xludf.DUMMYFUNCTION("""COMPUTED_VALUE"""),2009)</f>
        <v>2009</v>
      </c>
      <c r="E7726" s="10" t="str">
        <f ca="1">IFERROR(__xludf.DUMMYFUNCTION("""COMPUTED_VALUE"""),"Eurika. In honorem Ludmilae Donchevae-Petkovae. София 2009, с.301-307 ISBN 978-954-92395-4-6")</f>
        <v>Eurika. In honorem Ludmilae Donchevae-Petkovae. София 2009, с.301-307 ISBN 978-954-92395-4-6</v>
      </c>
      <c r="F7726" s="10"/>
      <c r="G7726" s="10"/>
      <c r="H7726" s="10"/>
      <c r="I7726" s="10"/>
      <c r="J7726" s="10"/>
      <c r="K7726" s="10"/>
      <c r="L7726" s="10"/>
      <c r="M7726" s="10"/>
      <c r="N7726" s="10"/>
      <c r="O7726" s="10"/>
      <c r="P7726" s="10"/>
      <c r="Q7726" s="10"/>
      <c r="R7726" s="10"/>
      <c r="S7726" s="10"/>
      <c r="T7726" s="10"/>
      <c r="U7726" s="10"/>
      <c r="V7726" s="10"/>
      <c r="W7726" s="10"/>
      <c r="X7726" s="10"/>
      <c r="Y7726" s="10"/>
      <c r="Z7726" s="10"/>
    </row>
    <row r="7727" spans="1:26" ht="12.75">
      <c r="A7727" s="10" t="str">
        <f ca="1">IFERROR(__xludf.DUMMYFUNCTION("""COMPUTED_VALUE"""),"Тодор Вълков Чобанов")</f>
        <v>Тодор Вълков Чобанов</v>
      </c>
      <c r="B7727" s="10" t="str">
        <f ca="1">IFERROR(__xludf.DUMMYFUNCTION("""COMPUTED_VALUE"""),"Монография")</f>
        <v>Монография</v>
      </c>
      <c r="C7727" s="10" t="str">
        <f ca="1">IFERROR(__xludf.DUMMYFUNCTION("""COMPUTED_VALUE"""),"Свещените дворци на българските канове")</f>
        <v>Свещените дворци на българските канове</v>
      </c>
      <c r="D7727" s="10">
        <f ca="1">IFERROR(__xludf.DUMMYFUNCTION("""COMPUTED_VALUE"""),2008)</f>
        <v>2008</v>
      </c>
      <c r="E7727" s="10" t="str">
        <f ca="1">IFERROR(__xludf.DUMMYFUNCTION("""COMPUTED_VALUE"""),"София: Агатó, 2008, с. 304. ISBN 978-954-8761-82-6")</f>
        <v>София: Агатó, 2008, с. 304. ISBN 978-954-8761-82-6</v>
      </c>
      <c r="F7727" s="10"/>
      <c r="G7727" s="10"/>
      <c r="H7727" s="10"/>
      <c r="I7727" s="10"/>
      <c r="J7727" s="10"/>
      <c r="K7727" s="10"/>
      <c r="L7727" s="10"/>
      <c r="M7727" s="10"/>
      <c r="N7727" s="10"/>
      <c r="O7727" s="10"/>
      <c r="P7727" s="10"/>
      <c r="Q7727" s="10"/>
      <c r="R7727" s="10"/>
      <c r="S7727" s="10"/>
      <c r="T7727" s="10"/>
      <c r="U7727" s="10"/>
      <c r="V7727" s="10"/>
      <c r="W7727" s="10"/>
      <c r="X7727" s="10"/>
      <c r="Y7727" s="10"/>
      <c r="Z7727" s="10"/>
    </row>
    <row r="7728" spans="1:26" ht="12.75">
      <c r="A7728" s="10" t="str">
        <f ca="1">IFERROR(__xludf.DUMMYFUNCTION("""COMPUTED_VALUE"""),"Тодор Вълков Чобанов")</f>
        <v>Тодор Вълков Чобанов</v>
      </c>
      <c r="B7728" s="10" t="str">
        <f ca="1">IFERROR(__xludf.DUMMYFUNCTION("""COMPUTED_VALUE"""),"Статия в списания и поредици")</f>
        <v>Статия в списания и поредици</v>
      </c>
      <c r="C7728" s="10" t="str">
        <f ca="1">IFERROR(__xludf.DUMMYFUNCTION("""COMPUTED_VALUE"""),"За шарапташите-жертвеници и ролята им в култовите практики на прабългарското езичество")</f>
        <v>За шарапташите-жертвеници и ролята им в култовите практики на прабългарското езичество</v>
      </c>
      <c r="D7728" s="10">
        <f ca="1">IFERROR(__xludf.DUMMYFUNCTION("""COMPUTED_VALUE"""),2008)</f>
        <v>2008</v>
      </c>
      <c r="E7728" s="10" t="str">
        <f ca="1">IFERROR(__xludf.DUMMYFUNCTION("""COMPUTED_VALUE"""),"сп.Археология 1-4 2008, с. 160-170. ISSN 0324-1203")</f>
        <v>сп.Археология 1-4 2008, с. 160-170. ISSN 0324-1203</v>
      </c>
      <c r="F7728" s="10"/>
      <c r="G7728" s="10"/>
      <c r="H7728" s="10"/>
      <c r="I7728" s="10"/>
      <c r="J7728" s="10"/>
      <c r="K7728" s="10"/>
      <c r="L7728" s="10"/>
      <c r="M7728" s="10"/>
      <c r="N7728" s="10"/>
      <c r="O7728" s="10"/>
      <c r="P7728" s="10"/>
      <c r="Q7728" s="10"/>
      <c r="R7728" s="10"/>
      <c r="S7728" s="10"/>
      <c r="T7728" s="10"/>
      <c r="U7728" s="10"/>
      <c r="V7728" s="10"/>
      <c r="W7728" s="10"/>
      <c r="X7728" s="10"/>
      <c r="Y7728" s="10"/>
      <c r="Z7728" s="10"/>
    </row>
    <row r="7729" spans="1:26" ht="12.75">
      <c r="A7729" s="10" t="str">
        <f ca="1">IFERROR(__xludf.DUMMYFUNCTION("""COMPUTED_VALUE"""),"Тодор Вълков Чобанов")</f>
        <v>Тодор Вълков Чобанов</v>
      </c>
      <c r="B7729" s="10" t="str">
        <f ca="1">IFERROR(__xludf.DUMMYFUNCTION("""COMPUTED_VALUE"""),"Статия в списания и поредици")</f>
        <v>Статия в списания и поредици</v>
      </c>
      <c r="C7729" s="10" t="str">
        <f ca="1">IFERROR(__xludf.DUMMYFUNCTION("""COMPUTED_VALUE"""),"Метрично изследване на езически монументи от Плиска и Преслав")</f>
        <v>Метрично изследване на езически монументи от Плиска и Преслав</v>
      </c>
      <c r="D7729" s="10">
        <f ca="1">IFERROR(__xludf.DUMMYFUNCTION("""COMPUTED_VALUE"""),2007)</f>
        <v>2007</v>
      </c>
      <c r="E7729" s="10" t="str">
        <f ca="1">IFERROR(__xludf.DUMMYFUNCTION("""COMPUTED_VALUE"""),"Сп. „Археология” кн.1-4 2007. с. 185-191. ISSN 0324-1203")</f>
        <v>Сп. „Археология” кн.1-4 2007. с. 185-191. ISSN 0324-1203</v>
      </c>
      <c r="F7729" s="10"/>
      <c r="G7729" s="10"/>
      <c r="H7729" s="10"/>
      <c r="I7729" s="10"/>
      <c r="J7729" s="10"/>
      <c r="K7729" s="10"/>
      <c r="L7729" s="10"/>
      <c r="M7729" s="10"/>
      <c r="N7729" s="10"/>
      <c r="O7729" s="10"/>
      <c r="P7729" s="10"/>
      <c r="Q7729" s="10"/>
      <c r="R7729" s="10"/>
      <c r="S7729" s="10"/>
      <c r="T7729" s="10"/>
      <c r="U7729" s="10"/>
      <c r="V7729" s="10"/>
      <c r="W7729" s="10"/>
      <c r="X7729" s="10"/>
      <c r="Y7729" s="10"/>
      <c r="Z7729" s="10"/>
    </row>
    <row r="7730" spans="1:26" ht="12.75">
      <c r="A7730" s="10" t="str">
        <f ca="1">IFERROR(__xludf.DUMMYFUNCTION("""COMPUTED_VALUE"""),"Тодор Вълков Чобанов")</f>
        <v>Тодор Вълков Чобанов</v>
      </c>
      <c r="B7730" s="10" t="str">
        <f ca="1">IFERROR(__xludf.DUMMYFUNCTION("""COMPUTED_VALUE"""),"Доклад от конференция")</f>
        <v>Доклад от конференция</v>
      </c>
      <c r="C7730" s="10" t="str">
        <f ca="1">IFERROR(__xludf.DUMMYFUNCTION("""COMPUTED_VALUE"""),"За един вид прабългарски култови съоръжения с кръгла форма")</f>
        <v>За един вид прабългарски култови съоръжения с кръгла форма</v>
      </c>
      <c r="D7730" s="10">
        <f ca="1">IFERROR(__xludf.DUMMYFUNCTION("""COMPUTED_VALUE"""),2007)</f>
        <v>2007</v>
      </c>
      <c r="E7730" s="10" t="str">
        <f ca="1">IFERROR(__xludf.DUMMYFUNCTION("""COMPUTED_VALUE"""),"С-к на «Каварна-средище на българския североизток». Каварна 2007, с.164-177 ISBN 978-954-775-870-4")</f>
        <v>С-к на «Каварна-средище на българския североизток». Каварна 2007, с.164-177 ISBN 978-954-775-870-4</v>
      </c>
      <c r="F7730" s="10"/>
      <c r="G7730" s="10"/>
      <c r="H7730" s="10"/>
      <c r="I7730" s="10"/>
      <c r="J7730" s="10"/>
      <c r="K7730" s="10"/>
      <c r="L7730" s="10"/>
      <c r="M7730" s="10"/>
      <c r="N7730" s="10"/>
      <c r="O7730" s="10"/>
      <c r="P7730" s="10"/>
      <c r="Q7730" s="10"/>
      <c r="R7730" s="10"/>
      <c r="S7730" s="10"/>
      <c r="T7730" s="10"/>
      <c r="U7730" s="10"/>
      <c r="V7730" s="10"/>
      <c r="W7730" s="10"/>
      <c r="X7730" s="10"/>
      <c r="Y7730" s="10"/>
      <c r="Z7730" s="10"/>
    </row>
    <row r="7731" spans="1:26" ht="12.75">
      <c r="A7731" s="10" t="str">
        <f ca="1">IFERROR(__xludf.DUMMYFUNCTION("""COMPUTED_VALUE"""),"Тодор Вълков Чобанов")</f>
        <v>Тодор Вълков Чобанов</v>
      </c>
      <c r="B7731" s="10" t="str">
        <f ca="1">IFERROR(__xludf.DUMMYFUNCTION("""COMPUTED_VALUE"""),"Книга")</f>
        <v>Книга</v>
      </c>
      <c r="C7731" s="10" t="str">
        <f ca="1">IFERROR(__xludf.DUMMYFUNCTION("""COMPUTED_VALUE"""),"Наследството на Сасанидска Персия у българите на Долния Дунав.")</f>
        <v>Наследството на Сасанидска Персия у българите на Долния Дунав.</v>
      </c>
      <c r="D7731" s="10">
        <f ca="1">IFERROR(__xludf.DUMMYFUNCTION("""COMPUTED_VALUE"""),2006)</f>
        <v>2006</v>
      </c>
      <c r="E7731" s="10" t="str">
        <f ca="1">IFERROR(__xludf.DUMMYFUNCTION("""COMPUTED_VALUE"""),"София: Сдружение-""Плиска"", 2006. с. 94. ISBN-10: 954-91652-8-0 ISBN-13: 978-954-91652-8-9")</f>
        <v>София: Сдружение-"Плиска", 2006. с. 94. ISBN-10: 954-91652-8-0 ISBN-13: 978-954-91652-8-9</v>
      </c>
      <c r="F7731" s="10"/>
      <c r="G7731" s="10"/>
      <c r="H7731" s="10"/>
      <c r="I7731" s="10"/>
      <c r="J7731" s="10"/>
      <c r="K7731" s="10"/>
      <c r="L7731" s="10"/>
      <c r="M7731" s="10"/>
      <c r="N7731" s="10"/>
      <c r="O7731" s="10"/>
      <c r="P7731" s="10"/>
      <c r="Q7731" s="10"/>
      <c r="R7731" s="10"/>
      <c r="S7731" s="10"/>
      <c r="T7731" s="10"/>
      <c r="U7731" s="10"/>
      <c r="V7731" s="10"/>
      <c r="W7731" s="10"/>
      <c r="X7731" s="10"/>
      <c r="Y7731" s="10"/>
      <c r="Z7731" s="10"/>
    </row>
    <row r="7732" spans="1:26" ht="12.75">
      <c r="A7732" s="10" t="str">
        <f ca="1">IFERROR(__xludf.DUMMYFUNCTION("""COMPUTED_VALUE"""),"Тодор Вълков Чобанов")</f>
        <v>Тодор Вълков Чобанов</v>
      </c>
      <c r="B7732" s="10"/>
      <c r="C7732" s="10" t="str">
        <f ca="1">IFERROR(__xludf.DUMMYFUNCTION("""COMPUTED_VALUE"""),"Сравнително изследване на законодателството в сферата на културното наследство в България и в някои европейски държави")</f>
        <v>Сравнително изследване на законодателството в сферата на културното наследство в България и в някои европейски държави</v>
      </c>
      <c r="D7732" s="10">
        <f ca="1">IFERROR(__xludf.DUMMYFUNCTION("""COMPUTED_VALUE"""),2006)</f>
        <v>2006</v>
      </c>
      <c r="E7732" s="10"/>
      <c r="F7732" s="10"/>
      <c r="G7732" s="10" t="str">
        <f ca="1">IFERROR(__xludf.DUMMYFUNCTION("""COMPUTED_VALUE"""),"Кр. Манов")</f>
        <v>Кр. Манов</v>
      </c>
      <c r="H7732" s="10"/>
      <c r="I7732" s="10"/>
      <c r="J7732" s="10"/>
      <c r="K7732" s="10"/>
      <c r="L7732" s="10"/>
      <c r="M7732" s="10"/>
      <c r="N7732" s="10"/>
      <c r="O7732" s="10"/>
      <c r="P7732" s="10"/>
      <c r="Q7732" s="10"/>
      <c r="R7732" s="10"/>
      <c r="S7732" s="10"/>
      <c r="T7732" s="10"/>
      <c r="U7732" s="10"/>
      <c r="V7732" s="10"/>
      <c r="W7732" s="10"/>
      <c r="X7732" s="10"/>
      <c r="Y7732" s="10"/>
      <c r="Z7732" s="10"/>
    </row>
    <row r="7733" spans="1:26" ht="12.75">
      <c r="A7733" s="10" t="str">
        <f ca="1">IFERROR(__xludf.DUMMYFUNCTION("""COMPUTED_VALUE"""),"Тодор Вълков Чобанов")</f>
        <v>Тодор Вълков Чобанов</v>
      </c>
      <c r="B7733" s="10" t="str">
        <f ca="1">IFERROR(__xludf.DUMMYFUNCTION("""COMPUTED_VALUE"""),"Статия в списания и поредици")</f>
        <v>Статия в списания и поредици</v>
      </c>
      <c r="C7733" s="10" t="str">
        <f ca="1">IFERROR(__xludf.DUMMYFUNCTION("""COMPUTED_VALUE"""),"Български владетелски имена и представителни сгради от региона на Кавказ")</f>
        <v>Български владетелски имена и представителни сгради от региона на Кавказ</v>
      </c>
      <c r="D7733" s="10">
        <f ca="1">IFERROR(__xludf.DUMMYFUNCTION("""COMPUTED_VALUE"""),2006)</f>
        <v>2006</v>
      </c>
      <c r="E7733" s="10" t="str">
        <f ca="1">IFERROR(__xludf.DUMMYFUNCTION("""COMPUTED_VALUE"""),"– ИНИМ т.ХVІІ ВТ 2006 г., с.77-87 ISSN 1311-5219")</f>
        <v>– ИНИМ т.ХVІІ ВТ 2006 г., с.77-87 ISSN 1311-5219</v>
      </c>
      <c r="F7733" s="10"/>
      <c r="G7733" s="10"/>
      <c r="H7733" s="10"/>
      <c r="I7733" s="10"/>
      <c r="J7733" s="10"/>
      <c r="K7733" s="10"/>
      <c r="L7733" s="10"/>
      <c r="M7733" s="10"/>
      <c r="N7733" s="10"/>
      <c r="O7733" s="10"/>
      <c r="P7733" s="10"/>
      <c r="Q7733" s="10"/>
      <c r="R7733" s="10"/>
      <c r="S7733" s="10"/>
      <c r="T7733" s="10"/>
      <c r="U7733" s="10"/>
      <c r="V7733" s="10"/>
      <c r="W7733" s="10"/>
      <c r="X7733" s="10"/>
      <c r="Y7733" s="10"/>
      <c r="Z7733" s="10"/>
    </row>
    <row r="7734" spans="1:26" ht="12.75">
      <c r="A7734" s="10" t="str">
        <f ca="1">IFERROR(__xludf.DUMMYFUNCTION("""COMPUTED_VALUE"""),"Тодор Вълков Чобанов")</f>
        <v>Тодор Вълков Чобанов</v>
      </c>
      <c r="B7734" s="10" t="str">
        <f ca="1">IFERROR(__xludf.DUMMYFUNCTION("""COMPUTED_VALUE"""),"Статия в списания и поредици")</f>
        <v>Статия в списания и поредици</v>
      </c>
      <c r="C7734" s="10" t="str">
        <f ca="1">IFERROR(__xludf.DUMMYFUNCTION("""COMPUTED_VALUE"""),"Към въпроса за Сасанидското влияние върху старобългарската култура на Долен Дунав")</f>
        <v>Към въпроса за Сасанидското влияние върху старобългарската култура на Долен Дунав</v>
      </c>
      <c r="D7734" s="10">
        <f ca="1">IFERROR(__xludf.DUMMYFUNCTION("""COMPUTED_VALUE"""),2005)</f>
        <v>2005</v>
      </c>
      <c r="E7734" s="10" t="str">
        <f ca="1">IFERROR(__xludf.DUMMYFUNCTION("""COMPUTED_VALUE"""),"SAUS, Suppl. IV. Stephanos Archaeologicos in honorem Professoris Ludmili Getov, София 2005, с. 717 – 728 ISSN 1312-7284")</f>
        <v>SAUS, Suppl. IV. Stephanos Archaeologicos in honorem Professoris Ludmili Getov, София 2005, с. 717 – 728 ISSN 1312-7284</v>
      </c>
      <c r="F7734" s="10"/>
      <c r="G7734" s="10"/>
      <c r="H7734" s="10"/>
      <c r="I7734" s="10"/>
      <c r="J7734" s="10"/>
      <c r="K7734" s="10"/>
      <c r="L7734" s="10"/>
      <c r="M7734" s="10"/>
      <c r="N7734" s="10"/>
      <c r="O7734" s="10"/>
      <c r="P7734" s="10"/>
      <c r="Q7734" s="10"/>
      <c r="R7734" s="10"/>
      <c r="S7734" s="10"/>
      <c r="T7734" s="10"/>
      <c r="U7734" s="10"/>
      <c r="V7734" s="10"/>
      <c r="W7734" s="10"/>
      <c r="X7734" s="10"/>
      <c r="Y7734" s="10"/>
      <c r="Z7734" s="10"/>
    </row>
    <row r="7735" spans="1:26" ht="12.75">
      <c r="A7735" s="10" t="str">
        <f ca="1">IFERROR(__xludf.DUMMYFUNCTION("""COMPUTED_VALUE"""),"Христина Димитрова Иванова-Дебрюне")</f>
        <v>Христина Димитрова Иванова-Дебрюне</v>
      </c>
      <c r="B7735" s="10" t="str">
        <f ca="1">IFERROR(__xludf.DUMMYFUNCTION("""COMPUTED_VALUE"""),"Статия в списания и поредици")</f>
        <v>Статия в списания и поредици</v>
      </c>
      <c r="C7735" s="10" t="str">
        <f ca="1">IFERROR(__xludf.DUMMYFUNCTION("""COMPUTED_VALUE"""),"Изследване на мотивацията за учене на студентите от специалност „културно-историческо наследство“ (учебни години 2018/2019 и 2019/2020)")</f>
        <v>Изследване на мотивацията за учене на студентите от специалност „културно-историческо наследство“ (учебни години 2018/2019 и 2019/2020)</v>
      </c>
      <c r="D7735" s="10">
        <f ca="1">IFERROR(__xludf.DUMMYFUNCTION("""COMPUTED_VALUE"""),2020)</f>
        <v>2020</v>
      </c>
      <c r="E7735" s="10" t="str">
        <f ca="1">IFERROR(__xludf.DUMMYFUNCTION("""COMPUTED_VALUE"""),"В: Научни трудове на Университета по библиотекознание и информационни технологии, Том 18, 2020. ISSN 1314-2623")</f>
        <v>В: Научни трудове на Университета по библиотекознание и информационни технологии, Том 18, 2020. ISSN 1314-2623</v>
      </c>
      <c r="F7735" s="10" t="str">
        <f ca="1">IFERROR(__xludf.DUMMYFUNCTION("""COMPUTED_VALUE"""),"ISSN 1314-2623 (под печат)")</f>
        <v>ISSN 1314-2623 (под печат)</v>
      </c>
      <c r="G7735" s="10"/>
      <c r="H7735" s="10"/>
      <c r="I7735" s="10"/>
      <c r="J7735" s="10"/>
      <c r="K7735" s="10"/>
      <c r="L7735" s="10"/>
      <c r="M7735" s="10"/>
      <c r="N7735" s="10"/>
      <c r="O7735" s="10"/>
      <c r="P7735" s="10"/>
      <c r="Q7735" s="10"/>
      <c r="R7735" s="10"/>
      <c r="S7735" s="10"/>
      <c r="T7735" s="10"/>
      <c r="U7735" s="10"/>
      <c r="V7735" s="10"/>
      <c r="W7735" s="10"/>
      <c r="X7735" s="10"/>
      <c r="Y7735" s="10"/>
      <c r="Z7735" s="10"/>
    </row>
    <row r="7736" spans="1:26" ht="12.75">
      <c r="A7736" s="10" t="str">
        <f ca="1">IFERROR(__xludf.DUMMYFUNCTION("""COMPUTED_VALUE"""),"Христина Димитрова Иванова-Дебрюне")</f>
        <v>Христина Димитрова Иванова-Дебрюне</v>
      </c>
      <c r="B7736" s="10" t="str">
        <f ca="1">IFERROR(__xludf.DUMMYFUNCTION("""COMPUTED_VALUE"""),"Доклад от конференция")</f>
        <v>Доклад от конференция</v>
      </c>
      <c r="C7736" s="10" t="str">
        <f ca="1">IFERROR(__xludf.DUMMYFUNCTION("""COMPUTED_VALUE"""),"Non-class teaching opportunities in cultural heritage at university level (The case of Bulgaria)")</f>
        <v>Non-class teaching opportunities in cultural heritage at university level (The case of Bulgaria)</v>
      </c>
      <c r="D7736" s="10">
        <f ca="1">IFERROR(__xludf.DUMMYFUNCTION("""COMPUTED_VALUE"""),2020)</f>
        <v>2020</v>
      </c>
      <c r="E7736" s="10" t="str">
        <f ca="1">IFERROR(__xludf.DUMMYFUNCTION("""COMPUTED_VALUE"""),"Приоритетные направления развития науки и образования. Сборник статей X Международной научно-практической конференции : в 2 ч. Том. Часть 1. - Пенза: МЦНС «Наука и просвещение», 2020, рр. 131-136.
  ISBN 978-5-00159-
 246-4,")</f>
        <v>Приоритетные направления развития науки и образования. Сборник статей X Международной научно-практической конференции : в 2 ч. Том. Часть 1. - Пенза: МЦНС «Наука и просвещение», 2020, рр. 131-136.
  ISBN 978-5-00159-
 246-4,</v>
      </c>
      <c r="F7736" s="28" t="str">
        <f ca="1">IFERROR(__xludf.DUMMYFUNCTION("""COMPUTED_VALUE"""),"Elibrary.ru")</f>
        <v>Elibrary.ru</v>
      </c>
      <c r="G7736" s="10"/>
      <c r="H7736" s="10"/>
      <c r="I7736" s="10"/>
      <c r="J7736" s="10"/>
      <c r="K7736" s="10"/>
      <c r="L7736" s="10"/>
      <c r="M7736" s="10"/>
      <c r="N7736" s="10"/>
      <c r="O7736" s="10"/>
      <c r="P7736" s="10"/>
      <c r="Q7736" s="10"/>
      <c r="R7736" s="10"/>
      <c r="S7736" s="10"/>
      <c r="T7736" s="10"/>
      <c r="U7736" s="10"/>
      <c r="V7736" s="10"/>
      <c r="W7736" s="10"/>
      <c r="X7736" s="10"/>
      <c r="Y7736" s="10"/>
      <c r="Z7736" s="10"/>
    </row>
    <row r="7737" spans="1:26" ht="12.75">
      <c r="A7737" s="10" t="str">
        <f ca="1">IFERROR(__xludf.DUMMYFUNCTION("""COMPUTED_VALUE"""),"Христина Димитрова Иванова-Дебрюне")</f>
        <v>Христина Димитрова Иванова-Дебрюне</v>
      </c>
      <c r="B7737" s="10" t="str">
        <f ca="1">IFERROR(__xludf.DUMMYFUNCTION("""COMPUTED_VALUE"""),"Статия в списания и поредици")</f>
        <v>Статия в списания и поредици</v>
      </c>
      <c r="C7737" s="10" t="str">
        <f ca="1">IFERROR(__xludf.DUMMYFUNCTION("""COMPUTED_VALUE"""),"Научната етика при социализацията на културното наследство")</f>
        <v>Научната етика при социализацията на културното наследство</v>
      </c>
      <c r="D7737" s="10">
        <f ca="1">IFERROR(__xludf.DUMMYFUNCTION("""COMPUTED_VALUE"""),2019)</f>
        <v>2019</v>
      </c>
      <c r="E7737" s="10" t="str">
        <f ca="1">IFERROR(__xludf.DUMMYFUNCTION("""COMPUTED_VALUE"""),"Индустриални отношения и обществено развитие, бр. 2, 12/2019. ISSN 2683-0167")</f>
        <v>Индустриални отношения и обществено развитие, бр. 2, 12/2019. ISSN 2683-0167</v>
      </c>
      <c r="F7737" s="10" t="str">
        <f ca="1">IFERROR(__xludf.DUMMYFUNCTION("""COMPUTED_VALUE"""),"CEEOL (Central and Eastern European Online Library)")</f>
        <v>CEEOL (Central and Eastern European Online Library)</v>
      </c>
      <c r="G7737" s="10"/>
      <c r="H7737" s="10"/>
      <c r="I7737" s="10"/>
      <c r="J7737" s="10"/>
      <c r="K7737" s="10"/>
      <c r="L7737" s="10"/>
      <c r="M7737" s="10"/>
      <c r="N7737" s="10"/>
      <c r="O7737" s="10"/>
      <c r="P7737" s="10"/>
      <c r="Q7737" s="10"/>
      <c r="R7737" s="10"/>
      <c r="S7737" s="10"/>
      <c r="T7737" s="10"/>
      <c r="U7737" s="10"/>
      <c r="V7737" s="10"/>
      <c r="W7737" s="10"/>
      <c r="X7737" s="10"/>
      <c r="Y7737" s="10"/>
      <c r="Z7737" s="10"/>
    </row>
    <row r="7738" spans="1:26" ht="12.75">
      <c r="A7738" s="10" t="str">
        <f ca="1">IFERROR(__xludf.DUMMYFUNCTION("""COMPUTED_VALUE"""),"Христина Димитрова Иванова-Дебрюне")</f>
        <v>Христина Димитрова Иванова-Дебрюне</v>
      </c>
      <c r="B7738" s="10" t="str">
        <f ca="1">IFERROR(__xludf.DUMMYFUNCTION("""COMPUTED_VALUE"""),"Статия в списания и поредици")</f>
        <v>Статия в списания и поредици</v>
      </c>
      <c r="C7738" s="10" t="str">
        <f ca="1">IFERROR(__xludf.DUMMYFUNCTION("""COMPUTED_VALUE"""),"Движими културни ценности – частна собственост. [Правно-нормативна уредба]")</f>
        <v>Движими културни ценности – частна собственост. [Правно-нормативна уредба]</v>
      </c>
      <c r="D7738" s="10">
        <f ca="1">IFERROR(__xludf.DUMMYFUNCTION("""COMPUTED_VALUE"""),2019)</f>
        <v>2019</v>
      </c>
      <c r="E7738" s="10" t="str">
        <f ca="1">IFERROR(__xludf.DUMMYFUNCTION("""COMPUTED_VALUE"""),"Български колекционер, година VI, бр. 1, 2019, кн. 11, с. 13-21. ISSN 2682-9568")</f>
        <v>Български колекционер, година VI, бр. 1, 2019, кн. 11, с. 13-21. ISSN 2682-9568</v>
      </c>
      <c r="F7738" s="10"/>
      <c r="G7738" s="10"/>
      <c r="H7738" s="10"/>
      <c r="I7738" s="10"/>
      <c r="J7738" s="10"/>
      <c r="K7738" s="10"/>
      <c r="L7738" s="10"/>
      <c r="M7738" s="10"/>
      <c r="N7738" s="10"/>
      <c r="O7738" s="10"/>
      <c r="P7738" s="10"/>
      <c r="Q7738" s="10"/>
      <c r="R7738" s="10"/>
      <c r="S7738" s="10"/>
      <c r="T7738" s="10"/>
      <c r="U7738" s="10"/>
      <c r="V7738" s="10"/>
      <c r="W7738" s="10"/>
      <c r="X7738" s="10"/>
      <c r="Y7738" s="10"/>
      <c r="Z7738" s="10"/>
    </row>
    <row r="7739" spans="1:26" ht="12.75">
      <c r="A7739" s="10" t="str">
        <f ca="1">IFERROR(__xludf.DUMMYFUNCTION("""COMPUTED_VALUE"""),"Христина Димитрова Иванова-Дебрюне")</f>
        <v>Христина Димитрова Иванова-Дебрюне</v>
      </c>
      <c r="B7739" s="10" t="str">
        <f ca="1">IFERROR(__xludf.DUMMYFUNCTION("""COMPUTED_VALUE"""),"Доклад от конференция")</f>
        <v>Доклад от конференция</v>
      </c>
      <c r="C7739" s="10" t="str">
        <f ca="1">IFERROR(__xludf.DUMMYFUNCTION("""COMPUTED_VALUE"""),"Летните студентски практики: комуникация и социализация на културно-историческото наследство чрез образование.")</f>
        <v>Летните студентски практики: комуникация и социализация на културно-историческото наследство чрез образование.</v>
      </c>
      <c r="D7739" s="10">
        <f ca="1">IFERROR(__xludf.DUMMYFUNCTION("""COMPUTED_VALUE"""),2019)</f>
        <v>2019</v>
      </c>
      <c r="E7739" s="10" t="str">
        <f ca="1">IFERROR(__xludf.DUMMYFUNCTION("""COMPUTED_VALUE"""),"Проблеми на обществената комуникация. Сб. доклади от Петата международна кръгла маса „Проблеми на обществената комуникация“, проведена в София, 4 – 5 юни 2019 г. София, За буквите – О писменехь, 2019, с. 197 – 207. ISSN 2534-9430")</f>
        <v>Проблеми на обществената комуникация. Сб. доклади от Петата международна кръгла маса „Проблеми на обществената комуникация“, проведена в София, 4 – 5 юни 2019 г. София, За буквите – О писменехь, 2019, с. 197 – 207. ISSN 2534-9430</v>
      </c>
      <c r="F7739" s="10"/>
      <c r="G7739" s="10"/>
      <c r="H7739" s="10"/>
      <c r="I7739" s="10"/>
      <c r="J7739" s="10"/>
      <c r="K7739" s="10"/>
      <c r="L7739" s="10"/>
      <c r="M7739" s="10"/>
      <c r="N7739" s="10"/>
      <c r="O7739" s="10"/>
      <c r="P7739" s="10"/>
      <c r="Q7739" s="10"/>
      <c r="R7739" s="10"/>
      <c r="S7739" s="10"/>
      <c r="T7739" s="10"/>
      <c r="U7739" s="10"/>
      <c r="V7739" s="10"/>
      <c r="W7739" s="10"/>
      <c r="X7739" s="10"/>
      <c r="Y7739" s="10"/>
      <c r="Z7739" s="10"/>
    </row>
    <row r="7740" spans="1:26" ht="12.75">
      <c r="A7740" s="10" t="str">
        <f ca="1">IFERROR(__xludf.DUMMYFUNCTION("""COMPUTED_VALUE"""),"Христина Димитрова Иванова-Дебрюне")</f>
        <v>Христина Димитрова Иванова-Дебрюне</v>
      </c>
      <c r="B7740" s="10" t="str">
        <f ca="1">IFERROR(__xludf.DUMMYFUNCTION("""COMPUTED_VALUE"""),"Доклад от конференция")</f>
        <v>Доклад от конференция</v>
      </c>
      <c r="C7740" s="10" t="str">
        <f ca="1">IFERROR(__xludf.DUMMYFUNCTION("""COMPUTED_VALUE"""),"Съвременни тенденции в изследването и представянето на културното наследство на малцинствата.")</f>
        <v>Съвременни тенденции в изследването и представянето на културното наследство на малцинствата.</v>
      </c>
      <c r="D7740" s="10">
        <f ca="1">IFERROR(__xludf.DUMMYFUNCTION("""COMPUTED_VALUE"""),2019)</f>
        <v>2019</v>
      </c>
      <c r="E7740" s="10" t="str">
        <f ca="1">IFERROR(__xludf.DUMMYFUNCTION("""COMPUTED_VALUE"""),"Хармония в различията, 10.12.2019, 325-334, ISSN 2367-7899")</f>
        <v>Хармония в различията, 10.12.2019, 325-334, ISSN 2367-7899</v>
      </c>
      <c r="F7740" s="10"/>
      <c r="G7740" s="10"/>
      <c r="H7740" s="10"/>
      <c r="I7740" s="10"/>
      <c r="J7740" s="10"/>
      <c r="K7740" s="10"/>
      <c r="L7740" s="10"/>
      <c r="M7740" s="10"/>
      <c r="N7740" s="10"/>
      <c r="O7740" s="10"/>
      <c r="P7740" s="10"/>
      <c r="Q7740" s="10"/>
      <c r="R7740" s="10"/>
      <c r="S7740" s="10"/>
      <c r="T7740" s="10"/>
      <c r="U7740" s="10"/>
      <c r="V7740" s="10"/>
      <c r="W7740" s="10"/>
      <c r="X7740" s="10"/>
      <c r="Y7740" s="10"/>
      <c r="Z7740" s="10"/>
    </row>
    <row r="7741" spans="1:26" ht="12.75">
      <c r="A7741" s="10" t="str">
        <f ca="1">IFERROR(__xludf.DUMMYFUNCTION("""COMPUTED_VALUE"""),"Христина Димитрова Иванова-Дебрюне")</f>
        <v>Христина Димитрова Иванова-Дебрюне</v>
      </c>
      <c r="B7741" s="10" t="str">
        <f ca="1">IFERROR(__xludf.DUMMYFUNCTION("""COMPUTED_VALUE"""),"Доклад от конференция")</f>
        <v>Доклад от конференция</v>
      </c>
      <c r="C7741" s="10" t="str">
        <f ca="1">IFERROR(__xludf.DUMMYFUNCTION("""COMPUTED_VALUE"""),"Practical considerations of the accounting of cultural heritage items (the case of Bulgaria)")</f>
        <v>Practical considerations of the accounting of cultural heritage items (the case of Bulgaria)</v>
      </c>
      <c r="D7741" s="10">
        <f ca="1">IFERROR(__xludf.DUMMYFUNCTION("""COMPUTED_VALUE"""),2019)</f>
        <v>2019</v>
      </c>
      <c r="E7741" s="10" t="str">
        <f ca="1">IFERROR(__xludf.DUMMYFUNCTION("""COMPUTED_VALUE"""),"Экономика в теории и на практике: Актуальные вопросы и современные аспекты. – Пенза: МЦНС «Наука и просвещение», 2019, , pp.101-105, ISBN 978-5-00159-120-7")</f>
        <v>Экономика в теории и на практике: Актуальные вопросы и современные аспекты. – Пенза: МЦНС «Наука и просвещение», 2019, , pp.101-105, ISBN 978-5-00159-120-7</v>
      </c>
      <c r="F7741" s="28" t="str">
        <f ca="1">IFERROR(__xludf.DUMMYFUNCTION("""COMPUTED_VALUE"""),"Elibrary.ru")</f>
        <v>Elibrary.ru</v>
      </c>
      <c r="G7741" s="10"/>
      <c r="H7741" s="10"/>
      <c r="I7741" s="10"/>
      <c r="J7741" s="10"/>
      <c r="K7741" s="10"/>
      <c r="L7741" s="10"/>
      <c r="M7741" s="10"/>
      <c r="N7741" s="10"/>
      <c r="O7741" s="10"/>
      <c r="P7741" s="10"/>
      <c r="Q7741" s="10"/>
      <c r="R7741" s="10"/>
      <c r="S7741" s="10"/>
      <c r="T7741" s="10"/>
      <c r="U7741" s="10"/>
      <c r="V7741" s="10"/>
      <c r="W7741" s="10"/>
      <c r="X7741" s="10"/>
      <c r="Y7741" s="10"/>
      <c r="Z7741" s="10"/>
    </row>
    <row r="7742" spans="1:26" ht="12.75">
      <c r="A7742" s="10" t="str">
        <f ca="1">IFERROR(__xludf.DUMMYFUNCTION("""COMPUTED_VALUE"""),"Христина Димитрова Иванова-Дебрюне")</f>
        <v>Христина Димитрова Иванова-Дебрюне</v>
      </c>
      <c r="B7742" s="10" t="str">
        <f ca="1">IFERROR(__xludf.DUMMYFUNCTION("""COMPUTED_VALUE"""),"Монография")</f>
        <v>Монография</v>
      </c>
      <c r="C7742" s="10" t="str">
        <f ca="1">IFERROR(__xludf.DUMMYFUNCTION("""COMPUTED_VALUE"""),"Социализация на културното наследство: Аспекти на теорията и практиката")</f>
        <v>Социализация на културното наследство: Аспекти на теорията и практиката</v>
      </c>
      <c r="D7742" s="10">
        <f ca="1">IFERROR(__xludf.DUMMYFUNCTION("""COMPUTED_VALUE"""),2019)</f>
        <v>2019</v>
      </c>
      <c r="E7742" s="10" t="str">
        <f ca="1">IFERROR(__xludf.DUMMYFUNCTION("""COMPUTED_VALUE"""),"София : За буквите – О писменехь, 2019. - 366 с. (ISBN 978-619-185-383-0)")</f>
        <v>София : За буквите – О писменехь, 2019. - 366 с. (ISBN 978-619-185-383-0)</v>
      </c>
      <c r="F7742" s="10"/>
      <c r="G7742" s="10"/>
      <c r="H7742" s="10"/>
      <c r="I7742" s="10"/>
      <c r="J7742" s="10"/>
      <c r="K7742" s="10"/>
      <c r="L7742" s="10"/>
      <c r="M7742" s="10"/>
      <c r="N7742" s="10"/>
      <c r="O7742" s="10"/>
      <c r="P7742" s="10"/>
      <c r="Q7742" s="10"/>
      <c r="R7742" s="10"/>
      <c r="S7742" s="10"/>
      <c r="T7742" s="10"/>
      <c r="U7742" s="10"/>
      <c r="V7742" s="10"/>
      <c r="W7742" s="10"/>
      <c r="X7742" s="10"/>
      <c r="Y7742" s="10"/>
      <c r="Z7742" s="10"/>
    </row>
    <row r="7743" spans="1:26" ht="12.75">
      <c r="A7743" s="10" t="str">
        <f ca="1">IFERROR(__xludf.DUMMYFUNCTION("""COMPUTED_VALUE"""),"Христина Димитрова Иванова-Дебрюне")</f>
        <v>Христина Димитрова Иванова-Дебрюне</v>
      </c>
      <c r="B7743" s="10" t="str">
        <f ca="1">IFERROR(__xludf.DUMMYFUNCTION("""COMPUTED_VALUE"""),"Статия в списания и поредици")</f>
        <v>Статия в списания и поредици</v>
      </c>
      <c r="C7743" s="10" t="str">
        <f ca="1">IFERROR(__xludf.DUMMYFUNCTION("""COMPUTED_VALUE"""),"Кратка история на музея. Част 1 От Античността до Просвещението")</f>
        <v>Кратка история на музея. Част 1 От Античността до Просвещението</v>
      </c>
      <c r="D7743" s="10">
        <f ca="1">IFERROR(__xludf.DUMMYFUNCTION("""COMPUTED_VALUE"""),2019)</f>
        <v>2019</v>
      </c>
      <c r="E7743" s="10" t="str">
        <f ca="1">IFERROR(__xludf.DUMMYFUNCTION("""COMPUTED_VALUE"""),"Български колекционер, година VI, бр. 2, 2019, кн. 12, 41-47, ISSN 2682-9568")</f>
        <v>Български колекционер, година VI, бр. 2, 2019, кн. 12, 41-47, ISSN 2682-9568</v>
      </c>
      <c r="F7743" s="10"/>
      <c r="G7743" s="10"/>
      <c r="H7743" s="10"/>
      <c r="I7743" s="10"/>
      <c r="J7743" s="10"/>
      <c r="K7743" s="10"/>
      <c r="L7743" s="10"/>
      <c r="M7743" s="10"/>
      <c r="N7743" s="10"/>
      <c r="O7743" s="10"/>
      <c r="P7743" s="10"/>
      <c r="Q7743" s="10"/>
      <c r="R7743" s="10"/>
      <c r="S7743" s="10"/>
      <c r="T7743" s="10"/>
      <c r="U7743" s="10"/>
      <c r="V7743" s="10"/>
      <c r="W7743" s="10"/>
      <c r="X7743" s="10"/>
      <c r="Y7743" s="10"/>
      <c r="Z7743" s="10"/>
    </row>
    <row r="7744" spans="1:26" ht="12.75">
      <c r="A7744" s="10" t="str">
        <f ca="1">IFERROR(__xludf.DUMMYFUNCTION("""COMPUTED_VALUE"""),"Христина Димитрова Иванова-Дебрюне")</f>
        <v>Христина Димитрова Иванова-Дебрюне</v>
      </c>
      <c r="B7744" s="10" t="str">
        <f ca="1">IFERROR(__xludf.DUMMYFUNCTION("""COMPUTED_VALUE"""),"Статия в списания и поредици")</f>
        <v>Статия в списания и поредици</v>
      </c>
      <c r="C7744" s="10" t="str">
        <f ca="1">IFERROR(__xludf.DUMMYFUNCTION("""COMPUTED_VALUE"""),"Оземляването на бежанците от Мала Азия в Емона")</f>
        <v>Оземляването на бежанците от Мала Азия в Емона</v>
      </c>
      <c r="D7744" s="10">
        <f ca="1">IFERROR(__xludf.DUMMYFUNCTION("""COMPUTED_VALUE"""),2016)</f>
        <v>2016</v>
      </c>
      <c r="E7744" s="10" t="str">
        <f ca="1">IFERROR(__xludf.DUMMYFUNCTION("""COMPUTED_VALUE"""),"Хармония в различията : сборник доклади от научната конференция ""Хармония в различията"", София : За буквите - О писменехь, [2014]-")</f>
        <v>Хармония в различията : сборник доклади от научната конференция "Хармония в различията", София : За буквите - О писменехь, [2014]-</v>
      </c>
      <c r="F7744" s="10"/>
      <c r="G7744" s="10"/>
      <c r="H7744" s="10"/>
      <c r="I7744" s="10"/>
      <c r="J7744" s="10"/>
      <c r="K7744" s="10"/>
      <c r="L7744" s="10"/>
      <c r="M7744" s="10"/>
      <c r="N7744" s="10"/>
      <c r="O7744" s="10"/>
      <c r="P7744" s="10"/>
      <c r="Q7744" s="10"/>
      <c r="R7744" s="10"/>
      <c r="S7744" s="10"/>
      <c r="T7744" s="10"/>
      <c r="U7744" s="10"/>
      <c r="V7744" s="10"/>
      <c r="W7744" s="10"/>
      <c r="X7744" s="10"/>
      <c r="Y7744" s="10"/>
      <c r="Z7744" s="10"/>
    </row>
    <row r="7745" spans="1:26" ht="12.75">
      <c r="A7745" s="10" t="str">
        <f ca="1">IFERROR(__xludf.DUMMYFUNCTION("""COMPUTED_VALUE"""),"Христина Димитрова Иванова-Дебрюне")</f>
        <v>Христина Димитрова Иванова-Дебрюне</v>
      </c>
      <c r="B7745" s="10" t="str">
        <f ca="1">IFERROR(__xludf.DUMMYFUNCTION("""COMPUTED_VALUE"""),"Статия в списания и поредици")</f>
        <v>Статия в списания и поредици</v>
      </c>
      <c r="C7745" s="10" t="str">
        <f ca="1">IFERROR(__xludf.DUMMYFUNCTION("""COMPUTED_VALUE"""),"Лингвокултурологичен анализ на паремии")</f>
        <v>Лингвокултурологичен анализ на паремии</v>
      </c>
      <c r="D7745" s="10">
        <f ca="1">IFERROR(__xludf.DUMMYFUNCTION("""COMPUTED_VALUE"""),2015)</f>
        <v>2015</v>
      </c>
      <c r="E7745" s="10" t="str">
        <f ca="1">IFERROR(__xludf.DUMMYFUNCTION("""COMPUTED_VALUE"""),"София : За буквите - О писменехь, 2006-")</f>
        <v>София : За буквите - О писменехь, 2006-</v>
      </c>
      <c r="F7745" s="10"/>
      <c r="G7745" s="10" t="str">
        <f ca="1">IFERROR(__xludf.DUMMYFUNCTION("""COMPUTED_VALUE"""),"Диана Илиева")</f>
        <v>Диана Илиева</v>
      </c>
      <c r="H7745" s="10"/>
      <c r="I7745" s="10"/>
      <c r="J7745" s="10"/>
      <c r="K7745" s="10"/>
      <c r="L7745" s="10"/>
      <c r="M7745" s="10"/>
      <c r="N7745" s="10"/>
      <c r="O7745" s="10"/>
      <c r="P7745" s="10"/>
      <c r="Q7745" s="10"/>
      <c r="R7745" s="10"/>
      <c r="S7745" s="10"/>
      <c r="T7745" s="10"/>
      <c r="U7745" s="10"/>
      <c r="V7745" s="10"/>
      <c r="W7745" s="10"/>
      <c r="X7745" s="10"/>
      <c r="Y7745" s="10"/>
      <c r="Z7745" s="10"/>
    </row>
    <row r="7746" spans="1:26" ht="12.75">
      <c r="A7746" s="10" t="str">
        <f ca="1">IFERROR(__xludf.DUMMYFUNCTION("""COMPUTED_VALUE"""),"Христина Димитрова Иванова-Дебрюне")</f>
        <v>Христина Димитрова Иванова-Дебрюне</v>
      </c>
      <c r="B7746" s="10" t="str">
        <f ca="1">IFERROR(__xludf.DUMMYFUNCTION("""COMPUTED_VALUE"""),"Книга")</f>
        <v>Книга</v>
      </c>
      <c r="C7746" s="10" t="str">
        <f ca="1">IFERROR(__xludf.DUMMYFUNCTION("""COMPUTED_VALUE"""),"Противодействие на иманярството и трансграничния трафик на културни ценности. Лекционен курс.")</f>
        <v>Противодействие на иманярството и трансграничния трафик на културни ценности. Лекционен курс.</v>
      </c>
      <c r="D7746" s="10">
        <f ca="1">IFERROR(__xludf.DUMMYFUNCTION("""COMPUTED_VALUE"""),2015)</f>
        <v>2015</v>
      </c>
      <c r="E7746" s="10" t="str">
        <f ca="1">IFERROR(__xludf.DUMMYFUNCTION("""COMPUTED_VALUE"""),"За буквите-О писменехь")</f>
        <v>За буквите-О писменехь</v>
      </c>
      <c r="F7746" s="10"/>
      <c r="G7746" s="10"/>
      <c r="H7746" s="10"/>
      <c r="I7746" s="10"/>
      <c r="J7746" s="10"/>
      <c r="K7746" s="10"/>
      <c r="L7746" s="10"/>
      <c r="M7746" s="10"/>
      <c r="N7746" s="10"/>
      <c r="O7746" s="10"/>
      <c r="P7746" s="10"/>
      <c r="Q7746" s="10"/>
      <c r="R7746" s="10"/>
      <c r="S7746" s="10"/>
      <c r="T7746" s="10"/>
      <c r="U7746" s="10"/>
      <c r="V7746" s="10"/>
      <c r="W7746" s="10"/>
      <c r="X7746" s="10"/>
      <c r="Y7746" s="10"/>
      <c r="Z7746" s="10"/>
    </row>
    <row r="7747" spans="1:26" ht="12.75">
      <c r="A7747" s="10" t="str">
        <f ca="1">IFERROR(__xludf.DUMMYFUNCTION("""COMPUTED_VALUE"""),"Христина Димитрова Иванова-Дебрюне")</f>
        <v>Христина Димитрова Иванова-Дебрюне</v>
      </c>
      <c r="B7747" s="10" t="str">
        <f ca="1">IFERROR(__xludf.DUMMYFUNCTION("""COMPUTED_VALUE"""),"Доклад от конференция")</f>
        <v>Доклад от конференция</v>
      </c>
      <c r="C7747" s="10" t="str">
        <f ca="1">IFERROR(__xludf.DUMMYFUNCTION("""COMPUTED_VALUE"""),"За факторите, определящи моделите на законодателство в областта на културното наследство")</f>
        <v>За факторите, определящи моделите на законодателство в областта на културното наследство</v>
      </c>
      <c r="D7747" s="10">
        <f ca="1">IFERROR(__xludf.DUMMYFUNCTION("""COMPUTED_VALUE"""),2015)</f>
        <v>2015</v>
      </c>
      <c r="E7747" s="10" t="str">
        <f ca="1">IFERROR(__xludf.DUMMYFUNCTION("""COMPUTED_VALUE"""),"Съвременни измерения на европейското образователно и научно пространство. Сборник с доклади от международните пътуващи семинари на УниБИТ. Лондон, 25-30.05.2013 и Рим, 7-12.05.2014 – София : Университет по библиотекознание и информационни технологии, 2014"&amp;", с. 226-235. ISSN 2367-7988")</f>
        <v>Съвременни измерения на европейското образователно и научно пространство. Сборник с доклади от международните пътуващи семинари на УниБИТ. Лондон, 25-30.05.2013 и Рим, 7-12.05.2014 – София : Университет по библиотекознание и информационни технологии, 2014, с. 226-235. ISSN 2367-7988</v>
      </c>
      <c r="F7747" s="10"/>
      <c r="G7747" s="10"/>
      <c r="H7747" s="10"/>
      <c r="I7747" s="10"/>
      <c r="J7747" s="10"/>
      <c r="K7747" s="10"/>
      <c r="L7747" s="10"/>
      <c r="M7747" s="10"/>
      <c r="N7747" s="10"/>
      <c r="O7747" s="10"/>
      <c r="P7747" s="10"/>
      <c r="Q7747" s="10"/>
      <c r="R7747" s="10"/>
      <c r="S7747" s="10"/>
      <c r="T7747" s="10"/>
      <c r="U7747" s="10"/>
      <c r="V7747" s="10"/>
      <c r="W7747" s="10"/>
      <c r="X7747" s="10"/>
      <c r="Y7747" s="10"/>
      <c r="Z7747" s="10"/>
    </row>
    <row r="7748" spans="1:26" ht="12.75">
      <c r="A7748" s="10" t="str">
        <f ca="1">IFERROR(__xludf.DUMMYFUNCTION("""COMPUTED_VALUE"""),"Христина Димитрова Иванова-Дебрюне")</f>
        <v>Христина Димитрова Иванова-Дебрюне</v>
      </c>
      <c r="B7748" s="10" t="str">
        <f ca="1">IFERROR(__xludf.DUMMYFUNCTION("""COMPUTED_VALUE"""),"Статия в списания и поредици")</f>
        <v>Статия в списания и поредици</v>
      </c>
      <c r="C7748" s="10" t="str">
        <f ca="1">IFERROR(__xludf.DUMMYFUNCTION("""COMPUTED_VALUE"""),"Предизвикателството ""Шекспир"" (на сцената на Народния театър ""Иван Вазов"" и на Кралската Шекспирова компания)")</f>
        <v>Предизвикателството "Шекспир" (на сцената на Народния театър "Иван Вазов" и на Кралската Шекспирова компания)</v>
      </c>
      <c r="D7748" s="10">
        <f ca="1">IFERROR(__xludf.DUMMYFUNCTION("""COMPUTED_VALUE"""),2015)</f>
        <v>2015</v>
      </c>
      <c r="E7748" s="10" t="str">
        <f ca="1">IFERROR(__xludf.DUMMYFUNCTION("""COMPUTED_VALUE"""),"София : За буквите - О писменехь, 2014-")</f>
        <v>София : За буквите - О писменехь, 2014-</v>
      </c>
      <c r="F7748" s="10"/>
      <c r="G7748" s="10" t="str">
        <f ca="1">IFERROR(__xludf.DUMMYFUNCTION("""COMPUTED_VALUE"""),"Мария Николова")</f>
        <v>Мария Николова</v>
      </c>
      <c r="H7748" s="10"/>
      <c r="I7748" s="10"/>
      <c r="J7748" s="10"/>
      <c r="K7748" s="10"/>
      <c r="L7748" s="10"/>
      <c r="M7748" s="10"/>
      <c r="N7748" s="10"/>
      <c r="O7748" s="10"/>
      <c r="P7748" s="10"/>
      <c r="Q7748" s="10"/>
      <c r="R7748" s="10"/>
      <c r="S7748" s="10"/>
      <c r="T7748" s="10"/>
      <c r="U7748" s="10"/>
      <c r="V7748" s="10"/>
      <c r="W7748" s="10"/>
      <c r="X7748" s="10"/>
      <c r="Y7748" s="10"/>
      <c r="Z7748" s="10"/>
    </row>
    <row r="7749" spans="1:26" ht="12.75">
      <c r="A7749" s="10" t="str">
        <f ca="1">IFERROR(__xludf.DUMMYFUNCTION("""COMPUTED_VALUE"""),"Христина Димитрова Иванова-Дебрюне")</f>
        <v>Христина Димитрова Иванова-Дебрюне</v>
      </c>
      <c r="B7749" s="10" t="str">
        <f ca="1">IFERROR(__xludf.DUMMYFUNCTION("""COMPUTED_VALUE"""),"Доклад от конференция")</f>
        <v>Доклад от конференция</v>
      </c>
      <c r="C7749" s="10" t="str">
        <f ca="1">IFERROR(__xludf.DUMMYFUNCTION("""COMPUTED_VALUE"""),"Публичният достъп до частните археологически колекции в България (2012-2014).")</f>
        <v>Публичният достъп до частните археологически колекции в България (2012-2014).</v>
      </c>
      <c r="D7749" s="10">
        <f ca="1">IFERROR(__xludf.DUMMYFUNCTION("""COMPUTED_VALUE"""),2014)</f>
        <v>2014</v>
      </c>
      <c r="E7749" s="10" t="str">
        <f ca="1">IFERROR(__xludf.DUMMYFUNCTION("""COMPUTED_VALUE"""),"Юбилеен сборник Катедра КИН, УниБИТ.")</f>
        <v>Юбилеен сборник Катедра КИН, УниБИТ.</v>
      </c>
      <c r="F7749" s="10"/>
      <c r="G7749" s="10"/>
      <c r="H7749" s="10"/>
      <c r="I7749" s="10"/>
      <c r="J7749" s="10"/>
      <c r="K7749" s="10"/>
      <c r="L7749" s="10"/>
      <c r="M7749" s="10"/>
      <c r="N7749" s="10"/>
      <c r="O7749" s="10"/>
      <c r="P7749" s="10"/>
      <c r="Q7749" s="10"/>
      <c r="R7749" s="10"/>
      <c r="S7749" s="10"/>
      <c r="T7749" s="10"/>
      <c r="U7749" s="10"/>
      <c r="V7749" s="10"/>
      <c r="W7749" s="10"/>
      <c r="X7749" s="10"/>
      <c r="Y7749" s="10"/>
      <c r="Z7749" s="10"/>
    </row>
    <row r="7750" spans="1:26" ht="12.75">
      <c r="A7750" s="10" t="str">
        <f ca="1">IFERROR(__xludf.DUMMYFUNCTION("""COMPUTED_VALUE"""),"Христина Димитрова Иванова-Дебрюне")</f>
        <v>Христина Димитрова Иванова-Дебрюне</v>
      </c>
      <c r="B7750" s="10" t="str">
        <f ca="1">IFERROR(__xludf.DUMMYFUNCTION("""COMPUTED_VALUE"""),"Книга")</f>
        <v>Книга</v>
      </c>
      <c r="C7750" s="10" t="str">
        <f ca="1">IFERROR(__xludf.DUMMYFUNCTION("""COMPUTED_VALUE"""),"От самото начало... (Приказка за с. Емона)")</f>
        <v>От самото начало... (Приказка за с. Емона)</v>
      </c>
      <c r="D7750" s="10">
        <f ca="1">IFERROR(__xludf.DUMMYFUNCTION("""COMPUTED_VALUE"""),2014)</f>
        <v>2014</v>
      </c>
      <c r="E7750" s="10" t="str">
        <f ca="1">IFERROR(__xludf.DUMMYFUNCTION("""COMPUTED_VALUE"""),"За буквите-О писменехь")</f>
        <v>За буквите-О писменехь</v>
      </c>
      <c r="F7750" s="10"/>
      <c r="G7750" s="10"/>
      <c r="H7750" s="10"/>
      <c r="I7750" s="10"/>
      <c r="J7750" s="10"/>
      <c r="K7750" s="10"/>
      <c r="L7750" s="10"/>
      <c r="M7750" s="10"/>
      <c r="N7750" s="10"/>
      <c r="O7750" s="10"/>
      <c r="P7750" s="10"/>
      <c r="Q7750" s="10"/>
      <c r="R7750" s="10"/>
      <c r="S7750" s="10"/>
      <c r="T7750" s="10"/>
      <c r="U7750" s="10"/>
      <c r="V7750" s="10"/>
      <c r="W7750" s="10"/>
      <c r="X7750" s="10"/>
      <c r="Y7750" s="10"/>
      <c r="Z7750" s="10"/>
    </row>
    <row r="7751" spans="1:26" ht="12.75">
      <c r="A7751" s="10" t="str">
        <f ca="1">IFERROR(__xludf.DUMMYFUNCTION("""COMPUTED_VALUE"""),"Христина Димитрова Иванова-Дебрюне")</f>
        <v>Христина Димитрова Иванова-Дебрюне</v>
      </c>
      <c r="B7751" s="10" t="str">
        <f ca="1">IFERROR(__xludf.DUMMYFUNCTION("""COMPUTED_VALUE"""),"Доклад от конференция")</f>
        <v>Доклад от конференция</v>
      </c>
      <c r="C7751" s="10" t="str">
        <f ca="1">IFERROR(__xludf.DUMMYFUNCTION("""COMPUTED_VALUE"""),"Notes on the challenges of the organisation and management of projects for the summer field internships at the SULSIT.")</f>
        <v>Notes on the challenges of the organisation and management of projects for the summer field internships at the SULSIT.</v>
      </c>
      <c r="D7751" s="10">
        <f ca="1">IFERROR(__xludf.DUMMYFUNCTION("""COMPUTED_VALUE"""),2014)</f>
        <v>2014</v>
      </c>
      <c r="E7751" s="10" t="str">
        <f ca="1">IFERROR(__xludf.DUMMYFUNCTION("""COMPUTED_VALUE"""),"The Young in Science – investment in the Future. Collections of papers from the international scientific conference Sofia-Plovdiv, 18-20.10.2013 – Sofia : University of Library Studies and Information Technologies, р. 310-321.
  ISBN 978-619-85-132-4")</f>
        <v>The Young in Science – investment in the Future. Collections of papers from the international scientific conference Sofia-Plovdiv, 18-20.10.2013 – Sofia : University of Library Studies and Information Technologies, р. 310-321.
  ISBN 978-619-85-132-4</v>
      </c>
      <c r="F7751" s="10"/>
      <c r="G7751" s="10"/>
      <c r="H7751" s="10"/>
      <c r="I7751" s="10"/>
      <c r="J7751" s="10"/>
      <c r="K7751" s="10"/>
      <c r="L7751" s="10"/>
      <c r="M7751" s="10"/>
      <c r="N7751" s="10"/>
      <c r="O7751" s="10"/>
      <c r="P7751" s="10"/>
      <c r="Q7751" s="10"/>
      <c r="R7751" s="10"/>
      <c r="S7751" s="10"/>
      <c r="T7751" s="10"/>
      <c r="U7751" s="10"/>
      <c r="V7751" s="10"/>
      <c r="W7751" s="10"/>
      <c r="X7751" s="10"/>
      <c r="Y7751" s="10"/>
      <c r="Z7751" s="10"/>
    </row>
    <row r="7752" spans="1:26" ht="12.75">
      <c r="A7752" s="10" t="str">
        <f ca="1">IFERROR(__xludf.DUMMYFUNCTION("""COMPUTED_VALUE"""),"Христина Димитрова Иванова-Дебрюне")</f>
        <v>Христина Димитрова Иванова-Дебрюне</v>
      </c>
      <c r="B7752" s="10" t="str">
        <f ca="1">IFERROR(__xludf.DUMMYFUNCTION("""COMPUTED_VALUE"""),"Доклад от конференция")</f>
        <v>Доклад от конференция</v>
      </c>
      <c r="C7752" s="10" t="str">
        <f ca="1">IFERROR(__xludf.DUMMYFUNCTION("""COMPUTED_VALUE"""),"About the factors determining the legislative models in the field of cultural heritage")</f>
        <v>About the factors determining the legislative models in the field of cultural heritage</v>
      </c>
      <c r="D7752" s="10">
        <f ca="1">IFERROR(__xludf.DUMMYFUNCTION("""COMPUTED_VALUE"""),2014)</f>
        <v>2014</v>
      </c>
      <c r="E7752" s="10" t="str">
        <f ca="1">IFERROR(__xludf.DUMMYFUNCTION("""COMPUTED_VALUE"""),"Contemporary Dimensions of the European Educational and Scientific Areas. Collections of papers from the international itinerant seminars of SULSIT, London, 25-30, p. 214-222.
 ISSN 2367-7988")</f>
        <v>Contemporary Dimensions of the European Educational and Scientific Areas. Collections of papers from the international itinerant seminars of SULSIT, London, 25-30, p. 214-222.
 ISSN 2367-7988</v>
      </c>
      <c r="F7752" s="10"/>
      <c r="G7752" s="10"/>
      <c r="H7752" s="10"/>
      <c r="I7752" s="10"/>
      <c r="J7752" s="10"/>
      <c r="K7752" s="10"/>
      <c r="L7752" s="10"/>
      <c r="M7752" s="10"/>
      <c r="N7752" s="10"/>
      <c r="O7752" s="10"/>
      <c r="P7752" s="10"/>
      <c r="Q7752" s="10"/>
      <c r="R7752" s="10"/>
      <c r="S7752" s="10"/>
      <c r="T7752" s="10"/>
      <c r="U7752" s="10"/>
      <c r="V7752" s="10"/>
      <c r="W7752" s="10"/>
      <c r="X7752" s="10"/>
      <c r="Y7752" s="10"/>
      <c r="Z7752" s="10"/>
    </row>
    <row r="7753" spans="1:26" ht="12.75">
      <c r="A7753" s="10" t="str">
        <f ca="1">IFERROR(__xludf.DUMMYFUNCTION("""COMPUTED_VALUE"""),"Христина Димитрова Иванова-Дебрюне")</f>
        <v>Христина Димитрова Иванова-Дебрюне</v>
      </c>
      <c r="B7753" s="10" t="str">
        <f ca="1">IFERROR(__xludf.DUMMYFUNCTION("""COMPUTED_VALUE"""),"Доклад от конференция")</f>
        <v>Доклад от конференция</v>
      </c>
      <c r="C7753" s="10" t="str">
        <f ca="1">IFERROR(__xludf.DUMMYFUNCTION("""COMPUTED_VALUE"""),"Бележки по предизвикателствата при организацията и ръководенето на проекти за летни студентски практики при УниБИТ.")</f>
        <v>Бележки по предизвикателствата при организацията и ръководенето на проекти за летни студентски практики при УниБИТ.</v>
      </c>
      <c r="D7753" s="10">
        <f ca="1">IFERROR(__xludf.DUMMYFUNCTION("""COMPUTED_VALUE"""),2014)</f>
        <v>2014</v>
      </c>
      <c r="E7753" s="10" t="str">
        <f ca="1">IFERROR(__xludf.DUMMYFUNCTION("""COMPUTED_VALUE"""),"Младите в науката – инвестиция в бъдещето. Сборник с доклади от международна научна конференция София-Пловдив, 18-20-10.2013 г. - София : Университет по библиотекознание и информационни технологии, 2014, с. 348-360. ISBN 978-619-85-132-4")</f>
        <v>Младите в науката – инвестиция в бъдещето. Сборник с доклади от международна научна конференция София-Пловдив, 18-20-10.2013 г. - София : Университет по библиотекознание и информационни технологии, 2014, с. 348-360. ISBN 978-619-85-132-4</v>
      </c>
      <c r="F7753" s="10"/>
      <c r="G7753" s="10"/>
      <c r="H7753" s="10"/>
      <c r="I7753" s="10"/>
      <c r="J7753" s="10"/>
      <c r="K7753" s="10"/>
      <c r="L7753" s="10"/>
      <c r="M7753" s="10"/>
      <c r="N7753" s="10"/>
      <c r="O7753" s="10"/>
      <c r="P7753" s="10"/>
      <c r="Q7753" s="10"/>
      <c r="R7753" s="10"/>
      <c r="S7753" s="10"/>
      <c r="T7753" s="10"/>
      <c r="U7753" s="10"/>
      <c r="V7753" s="10"/>
      <c r="W7753" s="10"/>
      <c r="X7753" s="10"/>
      <c r="Y7753" s="10"/>
      <c r="Z7753" s="10"/>
    </row>
    <row r="7754" spans="1:26" ht="12.75">
      <c r="A7754" s="10" t="str">
        <f ca="1">IFERROR(__xludf.DUMMYFUNCTION("""COMPUTED_VALUE"""),"Христина Димитрова Иванова-Дебрюне")</f>
        <v>Христина Димитрова Иванова-Дебрюне</v>
      </c>
      <c r="B7754" s="10" t="str">
        <f ca="1">IFERROR(__xludf.DUMMYFUNCTION("""COMPUTED_VALUE"""),"Статия в списания и поредици")</f>
        <v>Статия в списания и поредици</v>
      </c>
      <c r="C7754" s="10" t="str">
        <f ca="1">IFERROR(__xludf.DUMMYFUNCTION("""COMPUTED_VALUE"""),"Общински оброк на с. Сухаче")</f>
        <v>Общински оброк на с. Сухаче</v>
      </c>
      <c r="D7754" s="10">
        <f ca="1">IFERROR(__xludf.DUMMYFUNCTION("""COMPUTED_VALUE"""),2013)</f>
        <v>2013</v>
      </c>
      <c r="E7754" s="10" t="str">
        <f ca="1">IFERROR(__xludf.DUMMYFUNCTION("""COMPUTED_VALUE"""),"Материали от научноизследователските проекти на териториите на с. Емона, обл. Бургас, и с. Сухаче, обл. Плевен, през 2013 г. – София : За буквите – О писменехь, 2013, с. 124-125. ISBN 978-954-2946-99-1")</f>
        <v>Материали от научноизследователските проекти на териториите на с. Емона, обл. Бургас, и с. Сухаче, обл. Плевен, през 2013 г. – София : За буквите – О писменехь, 2013, с. 124-125. ISBN 978-954-2946-99-1</v>
      </c>
      <c r="F7754" s="10"/>
      <c r="G7754" s="10"/>
      <c r="H7754" s="10"/>
      <c r="I7754" s="10"/>
      <c r="J7754" s="10"/>
      <c r="K7754" s="10"/>
      <c r="L7754" s="10"/>
      <c r="M7754" s="10"/>
      <c r="N7754" s="10"/>
      <c r="O7754" s="10"/>
      <c r="P7754" s="10"/>
      <c r="Q7754" s="10"/>
      <c r="R7754" s="10"/>
      <c r="S7754" s="10"/>
      <c r="T7754" s="10"/>
      <c r="U7754" s="10"/>
      <c r="V7754" s="10"/>
      <c r="W7754" s="10"/>
      <c r="X7754" s="10"/>
      <c r="Y7754" s="10"/>
      <c r="Z7754" s="10"/>
    </row>
    <row r="7755" spans="1:26" ht="12.75">
      <c r="A7755" s="10" t="str">
        <f ca="1">IFERROR(__xludf.DUMMYFUNCTION("""COMPUTED_VALUE"""),"Христина Димитрова Иванова-Дебрюне")</f>
        <v>Христина Димитрова Иванова-Дебрюне</v>
      </c>
      <c r="B7755" s="10" t="str">
        <f ca="1">IFERROR(__xludf.DUMMYFUNCTION("""COMPUTED_VALUE"""),"Доклад от конференция")</f>
        <v>Доклад от конференция</v>
      </c>
      <c r="C7755" s="10" t="str">
        <f ca="1">IFERROR(__xludf.DUMMYFUNCTION("""COMPUTED_VALUE"""),"Публично-частното партньорство – път за социализацията на културно-историческото наследство")</f>
        <v>Публично-частното партньорство – път за социализацията на културно-историческото наследство</v>
      </c>
      <c r="D7755" s="10">
        <f ca="1">IFERROR(__xludf.DUMMYFUNCTION("""COMPUTED_VALUE"""),2013)</f>
        <v>2013</v>
      </c>
      <c r="E7755" s="10" t="str">
        <f ca="1">IFERROR(__xludf.DUMMYFUNCTION("""COMPUTED_VALUE"""),"Музеят и предизвикателствата на ХХІ век. Доклади от конференция, 1-2 юли 2011 г. – София : Национален военноисторически музей, 2013 г., с. 108-112. 
 ISBN 978-954-92777-4-6")</f>
        <v>Музеят и предизвикателствата на ХХІ век. Доклади от конференция, 1-2 юли 2011 г. – София : Национален военноисторически музей, 2013 г., с. 108-112. 
 ISBN 978-954-92777-4-6</v>
      </c>
      <c r="F7755" s="10"/>
      <c r="G7755" s="10"/>
      <c r="H7755" s="10"/>
      <c r="I7755" s="10"/>
      <c r="J7755" s="10"/>
      <c r="K7755" s="10"/>
      <c r="L7755" s="10"/>
      <c r="M7755" s="10"/>
      <c r="N7755" s="10"/>
      <c r="O7755" s="10"/>
      <c r="P7755" s="10"/>
      <c r="Q7755" s="10"/>
      <c r="R7755" s="10"/>
      <c r="S7755" s="10"/>
      <c r="T7755" s="10"/>
      <c r="U7755" s="10"/>
      <c r="V7755" s="10"/>
      <c r="W7755" s="10"/>
      <c r="X7755" s="10"/>
      <c r="Y7755" s="10"/>
      <c r="Z7755" s="10"/>
    </row>
    <row r="7756" spans="1:26" ht="12.75">
      <c r="A7756" s="10" t="str">
        <f ca="1">IFERROR(__xludf.DUMMYFUNCTION("""COMPUTED_VALUE"""),"Христина Димитрова Иванова-Дебрюне")</f>
        <v>Христина Димитрова Иванова-Дебрюне</v>
      </c>
      <c r="B7756" s="10" t="str">
        <f ca="1">IFERROR(__xludf.DUMMYFUNCTION("""COMPUTED_VALUE"""),"Статия в списания и поредици")</f>
        <v>Статия в списания и поредици</v>
      </c>
      <c r="C7756" s="10" t="str">
        <f ca="1">IFERROR(__xludf.DUMMYFUNCTION("""COMPUTED_VALUE"""),"Историческа справка за Емона")</f>
        <v>Историческа справка за Емона</v>
      </c>
      <c r="D7756" s="10">
        <f ca="1">IFERROR(__xludf.DUMMYFUNCTION("""COMPUTED_VALUE"""),2013)</f>
        <v>2013</v>
      </c>
      <c r="E7756" s="10" t="str">
        <f ca="1">IFERROR(__xludf.DUMMYFUNCTION("""COMPUTED_VALUE"""),"Материали от научноизследователските проекти на териториите на с. Емона, обл. Бургас, и с. Сухаче, обл. Плевен, през 2013 г. – София : За буквите – О писменехь, 2013, с. 9-22. ISBN 978-954-2946-99-1")</f>
        <v>Материали от научноизследователските проекти на териториите на с. Емона, обл. Бургас, и с. Сухаче, обл. Плевен, през 2013 г. – София : За буквите – О писменехь, 2013, с. 9-22. ISBN 978-954-2946-99-1</v>
      </c>
      <c r="F7756" s="10"/>
      <c r="G7756" s="10"/>
      <c r="H7756" s="10"/>
      <c r="I7756" s="10"/>
      <c r="J7756" s="10"/>
      <c r="K7756" s="10"/>
      <c r="L7756" s="10"/>
      <c r="M7756" s="10"/>
      <c r="N7756" s="10"/>
      <c r="O7756" s="10"/>
      <c r="P7756" s="10"/>
      <c r="Q7756" s="10"/>
      <c r="R7756" s="10"/>
      <c r="S7756" s="10"/>
      <c r="T7756" s="10"/>
      <c r="U7756" s="10"/>
      <c r="V7756" s="10"/>
      <c r="W7756" s="10"/>
      <c r="X7756" s="10"/>
      <c r="Y7756" s="10"/>
      <c r="Z7756" s="10"/>
    </row>
    <row r="7757" spans="1:26" ht="12.75">
      <c r="A7757" s="10" t="str">
        <f ca="1">IFERROR(__xludf.DUMMYFUNCTION("""COMPUTED_VALUE"""),"Христина Димитрова Иванова-Дебрюне")</f>
        <v>Христина Димитрова Иванова-Дебрюне</v>
      </c>
      <c r="B7757" s="10" t="str">
        <f ca="1">IFERROR(__xludf.DUMMYFUNCTION("""COMPUTED_VALUE"""),"Статия в списания и поредици")</f>
        <v>Статия в списания и поредици</v>
      </c>
      <c r="C7757" s="10" t="str">
        <f ca="1">IFERROR(__xludf.DUMMYFUNCTION("""COMPUTED_VALUE"""),"Теренни обходи [за документиране на потенциални обекти на културното наследство в района на с. Сухаче].")</f>
        <v>Теренни обходи [за документиране на потенциални обекти на културното наследство в района на с. Сухаче].</v>
      </c>
      <c r="D7757" s="10">
        <f ca="1">IFERROR(__xludf.DUMMYFUNCTION("""COMPUTED_VALUE"""),2013)</f>
        <v>2013</v>
      </c>
      <c r="E7757" s="10" t="str">
        <f ca="1">IFERROR(__xludf.DUMMYFUNCTION("""COMPUTED_VALUE"""),"Материали от научноизследователските проекти на териториите на с. Емона, обл. Бургас, и с. Сухаче, обл. Плевен, през 2013 г. – София : За буквите – О писменехь, 2013, с. 115-121. ISBN 978-954-2946-99-1")</f>
        <v>Материали от научноизследователските проекти на териториите на с. Емона, обл. Бургас, и с. Сухаче, обл. Плевен, през 2013 г. – София : За буквите – О писменехь, 2013, с. 115-121. ISBN 978-954-2946-99-1</v>
      </c>
      <c r="F7757" s="10"/>
      <c r="G7757" s="10"/>
      <c r="H7757" s="10"/>
      <c r="I7757" s="10"/>
      <c r="J7757" s="10"/>
      <c r="K7757" s="10"/>
      <c r="L7757" s="10"/>
      <c r="M7757" s="10"/>
      <c r="N7757" s="10"/>
      <c r="O7757" s="10"/>
      <c r="P7757" s="10"/>
      <c r="Q7757" s="10"/>
      <c r="R7757" s="10"/>
      <c r="S7757" s="10"/>
      <c r="T7757" s="10"/>
      <c r="U7757" s="10"/>
      <c r="V7757" s="10"/>
      <c r="W7757" s="10"/>
      <c r="X7757" s="10"/>
      <c r="Y7757" s="10"/>
      <c r="Z7757" s="10"/>
    </row>
    <row r="7758" spans="1:26" ht="12.75">
      <c r="A7758" s="10" t="str">
        <f ca="1">IFERROR(__xludf.DUMMYFUNCTION("""COMPUTED_VALUE"""),"Христина Димитрова Иванова-Дебрюне")</f>
        <v>Христина Димитрова Иванова-Дебрюне</v>
      </c>
      <c r="B7758" s="10" t="str">
        <f ca="1">IFERROR(__xludf.DUMMYFUNCTION("""COMPUTED_VALUE"""),"Доклад от конференция")</f>
        <v>Доклад от конференция</v>
      </c>
      <c r="C7758" s="10" t="str">
        <f ca="1">IFERROR(__xludf.DUMMYFUNCTION("""COMPUTED_VALUE"""),"Маркетинг, връзки с обществеността и реклама на частните колекции с археологичеки предмети в България")</f>
        <v>Маркетинг, връзки с обществеността и реклама на частните колекции с археологичеки предмети в България</v>
      </c>
      <c r="D7758" s="10">
        <f ca="1">IFERROR(__xludf.DUMMYFUNCTION("""COMPUTED_VALUE"""),2012)</f>
        <v>2012</v>
      </c>
      <c r="E7758" s="10" t="str">
        <f ca="1">IFERROR(__xludf.DUMMYFUNCTION("""COMPUTED_VALUE"""),"Унив. библиотекозн. и инф. технол., 10, 2012, с. 351-370. ISSN 1314-2623")</f>
        <v>Унив. библиотекозн. и инф. технол., 10, 2012, с. 351-370. ISSN 1314-2623</v>
      </c>
      <c r="F7758" s="10"/>
      <c r="G7758" s="10"/>
      <c r="H7758" s="10"/>
      <c r="I7758" s="10"/>
      <c r="J7758" s="10"/>
      <c r="K7758" s="10"/>
      <c r="L7758" s="10"/>
      <c r="M7758" s="10"/>
      <c r="N7758" s="10"/>
      <c r="O7758" s="10"/>
      <c r="P7758" s="10"/>
      <c r="Q7758" s="10"/>
      <c r="R7758" s="10"/>
      <c r="S7758" s="10"/>
      <c r="T7758" s="10"/>
      <c r="U7758" s="10"/>
      <c r="V7758" s="10"/>
      <c r="W7758" s="10"/>
      <c r="X7758" s="10"/>
      <c r="Y7758" s="10"/>
      <c r="Z7758" s="10"/>
    </row>
    <row r="7759" spans="1:26" ht="12.75">
      <c r="A7759" s="10" t="str">
        <f ca="1">IFERROR(__xludf.DUMMYFUNCTION("""COMPUTED_VALUE"""),"Христина Димитрова Иванова-Дебрюне")</f>
        <v>Христина Димитрова Иванова-Дебрюне</v>
      </c>
      <c r="B7759" s="10" t="str">
        <f ca="1">IFERROR(__xludf.DUMMYFUNCTION("""COMPUTED_VALUE"""),"Учебник")</f>
        <v>Учебник</v>
      </c>
      <c r="C7759" s="10" t="str">
        <f ca="1">IFERROR(__xludf.DUMMYFUNCTION("""COMPUTED_VALUE"""),"Историческият музей : Храм на добродетели")</f>
        <v>Историческият музей : Храм на добродетели</v>
      </c>
      <c r="D7759" s="10">
        <f ca="1">IFERROR(__xludf.DUMMYFUNCTION("""COMPUTED_VALUE"""),2012)</f>
        <v>2012</v>
      </c>
      <c r="E7759" s="10" t="str">
        <f ca="1">IFERROR(__xludf.DUMMYFUNCTION("""COMPUTED_VALUE"""),"София : За буквите – О писменехь. с.83 ISBN 978-954-2946-33-5")</f>
        <v>София : За буквите – О писменехь. с.83 ISBN 978-954-2946-33-5</v>
      </c>
      <c r="F7759" s="10"/>
      <c r="G7759" s="10" t="str">
        <f ca="1">IFERROR(__xludf.DUMMYFUNCTION("""COMPUTED_VALUE"""),"Димитър Иванов, Нина Дебрюне")</f>
        <v>Димитър Иванов, Нина Дебрюне</v>
      </c>
      <c r="H7759" s="10"/>
      <c r="I7759" s="10"/>
      <c r="J7759" s="10"/>
      <c r="K7759" s="10"/>
      <c r="L7759" s="10"/>
      <c r="M7759" s="10"/>
      <c r="N7759" s="10"/>
      <c r="O7759" s="10"/>
      <c r="P7759" s="10"/>
      <c r="Q7759" s="10"/>
      <c r="R7759" s="10"/>
      <c r="S7759" s="10"/>
      <c r="T7759" s="10"/>
      <c r="U7759" s="10"/>
      <c r="V7759" s="10"/>
      <c r="W7759" s="10"/>
      <c r="X7759" s="10"/>
      <c r="Y7759" s="10"/>
      <c r="Z7759" s="10"/>
    </row>
    <row r="7760" spans="1:26" ht="12.75">
      <c r="A7760" s="10" t="str">
        <f ca="1">IFERROR(__xludf.DUMMYFUNCTION("""COMPUTED_VALUE"""),"Христина Димитрова Иванова-Дебрюне")</f>
        <v>Христина Димитрова Иванова-Дебрюне</v>
      </c>
      <c r="B7760" s="10" t="str">
        <f ca="1">IFERROR(__xludf.DUMMYFUNCTION("""COMPUTED_VALUE"""),"Монография")</f>
        <v>Монография</v>
      </c>
      <c r="C7760" s="10" t="str">
        <f ca="1">IFERROR(__xludf.DUMMYFUNCTION("""COMPUTED_VALUE"""),"Частни археологически колекции в България : Пътища за социализация 1995 – 2011.")</f>
        <v>Частни археологически колекции в България : Пътища за социализация 1995 – 2011.</v>
      </c>
      <c r="D7760" s="10">
        <f ca="1">IFERROR(__xludf.DUMMYFUNCTION("""COMPUTED_VALUE"""),2012)</f>
        <v>2012</v>
      </c>
      <c r="E7760" s="10" t="str">
        <f ca="1">IFERROR(__xludf.DUMMYFUNCTION("""COMPUTED_VALUE"""),"София : За буквите – О писменехь, 2012. - 158 с. 
 ISBN 978-954-2946-29-8")</f>
        <v>София : За буквите – О писменехь, 2012. - 158 с. 
 ISBN 978-954-2946-29-8</v>
      </c>
      <c r="F7760" s="10"/>
      <c r="G7760" s="10"/>
      <c r="H7760" s="10"/>
      <c r="I7760" s="10"/>
      <c r="J7760" s="10"/>
      <c r="K7760" s="10"/>
      <c r="L7760" s="10"/>
      <c r="M7760" s="10"/>
      <c r="N7760" s="10"/>
      <c r="O7760" s="10"/>
      <c r="P7760" s="10"/>
      <c r="Q7760" s="10"/>
      <c r="R7760" s="10"/>
      <c r="S7760" s="10"/>
      <c r="T7760" s="10"/>
      <c r="U7760" s="10"/>
      <c r="V7760" s="10"/>
      <c r="W7760" s="10"/>
      <c r="X7760" s="10"/>
      <c r="Y7760" s="10"/>
      <c r="Z7760" s="10"/>
    </row>
    <row r="7761" spans="1:26" ht="12.75">
      <c r="A7761" s="10" t="str">
        <f ca="1">IFERROR(__xludf.DUMMYFUNCTION("""COMPUTED_VALUE"""),"Христина Димитрова Иванова-Дебрюне")</f>
        <v>Христина Димитрова Иванова-Дебрюне</v>
      </c>
      <c r="B7761" s="10" t="str">
        <f ca="1">IFERROR(__xludf.DUMMYFUNCTION("""COMPUTED_VALUE"""),"Доклад от конференция")</f>
        <v>Доклад от конференция</v>
      </c>
      <c r="C7761" s="10" t="str">
        <f ca="1">IFERROR(__xludf.DUMMYFUNCTION("""COMPUTED_VALUE"""),"Ролята на частното колекционерство в опазването на КИН в България.")</f>
        <v>Ролята на частното колекционерство в опазването на КИН в България.</v>
      </c>
      <c r="D7761" s="10">
        <f ca="1">IFERROR(__xludf.DUMMYFUNCTION("""COMPUTED_VALUE"""),2012)</f>
        <v>2012</v>
      </c>
      <c r="E7761" s="10" t="str">
        <f ca="1">IFERROR(__xludf.DUMMYFUNCTION("""COMPUTED_VALUE"""),"[Доклади от] Първа научна конференция по проблемите на културно-историческото наследство, София, 31 ян. 2011 г.. // Бюлетин „Аретè”, 2012, № 4, София. с.34-38.ISSN 1314-5517")</f>
        <v>[Доклади от] Първа научна конференция по проблемите на културно-историческото наследство, София, 31 ян. 2011 г.. // Бюлетин „Аретè”, 2012, № 4, София. с.34-38.ISSN 1314-5517</v>
      </c>
      <c r="F7761" s="10"/>
      <c r="G7761" s="10"/>
      <c r="H7761" s="10"/>
      <c r="I7761" s="10"/>
      <c r="J7761" s="10"/>
      <c r="K7761" s="10"/>
      <c r="L7761" s="10"/>
      <c r="M7761" s="10"/>
      <c r="N7761" s="10"/>
      <c r="O7761" s="10"/>
      <c r="P7761" s="10"/>
      <c r="Q7761" s="10"/>
      <c r="R7761" s="10"/>
      <c r="S7761" s="10"/>
      <c r="T7761" s="10"/>
      <c r="U7761" s="10"/>
      <c r="V7761" s="10"/>
      <c r="W7761" s="10"/>
      <c r="X7761" s="10"/>
      <c r="Y7761" s="10"/>
      <c r="Z7761" s="10"/>
    </row>
    <row r="7762" spans="1:26" ht="12.75">
      <c r="A7762" s="10" t="str">
        <f ca="1">IFERROR(__xludf.DUMMYFUNCTION("""COMPUTED_VALUE"""),"Христина Димитрова Иванова-Дебрюне")</f>
        <v>Христина Димитрова Иванова-Дебрюне</v>
      </c>
      <c r="B7762" s="10" t="str">
        <f ca="1">IFERROR(__xludf.DUMMYFUNCTION("""COMPUTED_VALUE"""),"Книга")</f>
        <v>Книга</v>
      </c>
      <c r="C7762" s="10" t="str">
        <f ca="1">IFERROR(__xludf.DUMMYFUNCTION("""COMPUTED_VALUE"""),"50 световни градини-музеи : Каталог")</f>
        <v>50 световни градини-музеи : Каталог</v>
      </c>
      <c r="D7762" s="10">
        <f ca="1">IFERROR(__xludf.DUMMYFUNCTION("""COMPUTED_VALUE"""),2012)</f>
        <v>2012</v>
      </c>
      <c r="E7762" s="10" t="str">
        <f ca="1">IFERROR(__xludf.DUMMYFUNCTION("""COMPUTED_VALUE"""),"София : За буквите – О писменехь, 2012, с. 176.
 ISBN 978-954-2946-23-6")</f>
        <v>София : За буквите – О писменехь, 2012, с. 176.
 ISBN 978-954-2946-23-6</v>
      </c>
      <c r="F7762" s="10"/>
      <c r="G7762" s="10" t="str">
        <f ca="1">IFERROR(__xludf.DUMMYFUNCTION("""COMPUTED_VALUE"""),"Станка Генова, Нина Дебрюне")</f>
        <v>Станка Генова, Нина Дебрюне</v>
      </c>
      <c r="H7762" s="10"/>
      <c r="I7762" s="10"/>
      <c r="J7762" s="10"/>
      <c r="K7762" s="10"/>
      <c r="L7762" s="10"/>
      <c r="M7762" s="10"/>
      <c r="N7762" s="10"/>
      <c r="O7762" s="10"/>
      <c r="P7762" s="10"/>
      <c r="Q7762" s="10"/>
      <c r="R7762" s="10"/>
      <c r="S7762" s="10"/>
      <c r="T7762" s="10"/>
      <c r="U7762" s="10"/>
      <c r="V7762" s="10"/>
      <c r="W7762" s="10"/>
      <c r="X7762" s="10"/>
      <c r="Y7762" s="10"/>
      <c r="Z7762" s="10"/>
    </row>
    <row r="7763" spans="1:26" ht="12.75">
      <c r="A7763" s="10" t="str">
        <f ca="1">IFERROR(__xludf.DUMMYFUNCTION("""COMPUTED_VALUE"""),"Христина Димитрова Иванова-Дебрюне")</f>
        <v>Христина Димитрова Иванова-Дебрюне</v>
      </c>
      <c r="B7763" s="10" t="str">
        <f ca="1">IFERROR(__xludf.DUMMYFUNCTION("""COMPUTED_VALUE"""),"Доклад от конференция")</f>
        <v>Доклад от конференция</v>
      </c>
      <c r="C7763" s="10" t="str">
        <f ca="1">IFERROR(__xludf.DUMMYFUNCTION("""COMPUTED_VALUE"""),"Мултирегионален проект ""Зетнукорту""")</f>
        <v>Мултирегионален проект "Зетнукорту"</v>
      </c>
      <c r="D7763" s="10">
        <f ca="1">IFERROR(__xludf.DUMMYFUNCTION("""COMPUTED_VALUE"""),2012)</f>
        <v>2012</v>
      </c>
      <c r="E7763" s="10" t="str">
        <f ca="1">IFERROR(__xludf.DUMMYFUNCTION("""COMPUTED_VALUE"""),"[Национална културна стратегия и европейска духовна интеграция. Сборник от доклади от Втора научна конференция по проблемите на културно-историческото наследство, София, 9.2.2012] Фондация Арете-Фол. Год. IV, no. 1 (2012), с. 48-50. ISSN 1314-5517")</f>
        <v>[Национална културна стратегия и европейска духовна интеграция. Сборник от доклади от Втора научна конференция по проблемите на културно-историческото наследство, София, 9.2.2012] Фондация Арете-Фол. Год. IV, no. 1 (2012), с. 48-50. ISSN 1314-5517</v>
      </c>
      <c r="F7763" s="10"/>
      <c r="G7763" s="10"/>
      <c r="H7763" s="10"/>
      <c r="I7763" s="10"/>
      <c r="J7763" s="10"/>
      <c r="K7763" s="10"/>
      <c r="L7763" s="10"/>
      <c r="M7763" s="10"/>
      <c r="N7763" s="10"/>
      <c r="O7763" s="10"/>
      <c r="P7763" s="10"/>
      <c r="Q7763" s="10"/>
      <c r="R7763" s="10"/>
      <c r="S7763" s="10"/>
      <c r="T7763" s="10"/>
      <c r="U7763" s="10"/>
      <c r="V7763" s="10"/>
      <c r="W7763" s="10"/>
      <c r="X7763" s="10"/>
      <c r="Y7763" s="10"/>
      <c r="Z7763" s="10"/>
    </row>
    <row r="7764" spans="1:26" ht="12.75">
      <c r="A7764" s="10" t="str">
        <f ca="1">IFERROR(__xludf.DUMMYFUNCTION("""COMPUTED_VALUE"""),"Христина Димитрова Иванова-Дебрюне")</f>
        <v>Христина Димитрова Иванова-Дебрюне</v>
      </c>
      <c r="B7764" s="10" t="str">
        <f ca="1">IFERROR(__xludf.DUMMYFUNCTION("""COMPUTED_VALUE"""),"Доклад от конференция")</f>
        <v>Доклад от конференция</v>
      </c>
      <c r="C7764" s="10" t="str">
        <f ca="1">IFERROR(__xludf.DUMMYFUNCTION("""COMPUTED_VALUE"""),"Еволюция на лидера")</f>
        <v>Еволюция на лидера</v>
      </c>
      <c r="D7764" s="10">
        <f ca="1">IFERROR(__xludf.DUMMYFUNCTION("""COMPUTED_VALUE"""),2011)</f>
        <v>2011</v>
      </c>
      <c r="E7764" s="10" t="str">
        <f ca="1">IFERROR(__xludf.DUMMYFUNCTION("""COMPUTED_VALUE"""),"[Доклад на] Петата научна сесия Лидерството пред новите предизвикателства на мултикултурната среда / [състав. и ред. Димитър Иванов] // Бюлетин - Институт по теория и практика на лидерството ""Стефан Стамболов"" ; Nо 5, 2011, с. 122-129. ISSN 1313-8782")</f>
        <v>[Доклад на] Петата научна сесия Лидерството пред новите предизвикателства на мултикултурната среда / [състав. и ред. Димитър Иванов] // Бюлетин - Институт по теория и практика на лидерството "Стефан Стамболов" ; Nо 5, 2011, с. 122-129. ISSN 1313-8782</v>
      </c>
      <c r="F7764" s="10"/>
      <c r="G7764" s="10" t="str">
        <f ca="1">IFERROR(__xludf.DUMMYFUNCTION("""COMPUTED_VALUE"""),"Борис Борисов, Нина Дебрюне")</f>
        <v>Борис Борисов, Нина Дебрюне</v>
      </c>
      <c r="H7764" s="10"/>
      <c r="I7764" s="10"/>
      <c r="J7764" s="10"/>
      <c r="K7764" s="10"/>
      <c r="L7764" s="10"/>
      <c r="M7764" s="10"/>
      <c r="N7764" s="10"/>
      <c r="O7764" s="10"/>
      <c r="P7764" s="10"/>
      <c r="Q7764" s="10"/>
      <c r="R7764" s="10"/>
      <c r="S7764" s="10"/>
      <c r="T7764" s="10"/>
      <c r="U7764" s="10"/>
      <c r="V7764" s="10"/>
      <c r="W7764" s="10"/>
      <c r="X7764" s="10"/>
      <c r="Y7764" s="10"/>
      <c r="Z7764" s="10"/>
    </row>
    <row r="7765" spans="1:26" ht="12.75">
      <c r="A7765" s="10" t="str">
        <f ca="1">IFERROR(__xludf.DUMMYFUNCTION("""COMPUTED_VALUE"""),"Христина Станчева Богова (Христова)")</f>
        <v>Христина Станчева Богова (Христова)</v>
      </c>
      <c r="B7765" s="10" t="str">
        <f ca="1">IFERROR(__xludf.DUMMYFUNCTION("""COMPUTED_VALUE"""),"Статия в списания и поредици")</f>
        <v>Статия в списания и поредици</v>
      </c>
      <c r="C7765" s="10" t="str">
        <f ca="1">IFERROR(__xludf.DUMMYFUNCTION("""COMPUTED_VALUE"""),"Преговорният процес – модели, стратегии и тактики")</f>
        <v>Преговорният процес – модели, стратегии и тактики</v>
      </c>
      <c r="D7765" s="10">
        <f ca="1">IFERROR(__xludf.DUMMYFUNCTION("""COMPUTED_VALUE"""),2020)</f>
        <v>2020</v>
      </c>
      <c r="E7765" s="10" t="str">
        <f ca="1">IFERROR(__xludf.DUMMYFUNCTION("""COMPUTED_VALUE"""),"В: Научни трудове на УниБИТ. София: За буквите – О писменехь, том 18, 2020. ISSN 1314-2623")</f>
        <v>В: Научни трудове на УниБИТ. София: За буквите – О писменехь, том 18, 2020. ISSN 1314-2623</v>
      </c>
      <c r="F7765" s="10"/>
      <c r="G7765" s="10" t="str">
        <f ca="1">IFERROR(__xludf.DUMMYFUNCTION("""COMPUTED_VALUE"""),"Красимира Кунчева")</f>
        <v>Красимира Кунчева</v>
      </c>
      <c r="H7765" s="10"/>
      <c r="I7765" s="10"/>
      <c r="J7765" s="10"/>
      <c r="K7765" s="10"/>
      <c r="L7765" s="10"/>
      <c r="M7765" s="10"/>
      <c r="N7765" s="10"/>
      <c r="O7765" s="10"/>
      <c r="P7765" s="10"/>
      <c r="Q7765" s="10"/>
      <c r="R7765" s="10"/>
      <c r="S7765" s="10"/>
      <c r="T7765" s="10"/>
      <c r="U7765" s="10"/>
      <c r="V7765" s="10"/>
      <c r="W7765" s="10"/>
      <c r="X7765" s="10"/>
      <c r="Y7765" s="10"/>
      <c r="Z7765" s="10"/>
    </row>
    <row r="7766" spans="1:26" ht="12.75">
      <c r="A7766" s="10" t="str">
        <f ca="1">IFERROR(__xludf.DUMMYFUNCTION("""COMPUTED_VALUE"""),"Христина Станчева Богова (Христова)")</f>
        <v>Христина Станчева Богова (Христова)</v>
      </c>
      <c r="B7766" s="10" t="str">
        <f ca="1">IFERROR(__xludf.DUMMYFUNCTION("""COMPUTED_VALUE"""),"Доклад от конференция")</f>
        <v>Доклад от конференция</v>
      </c>
      <c r="C7766" s="10" t="str">
        <f ca="1">IFERROR(__xludf.DUMMYFUNCTION("""COMPUTED_VALUE"""),"Фейк новините между илюзиите на обществото и реалността на властта")</f>
        <v>Фейк новините между илюзиите на обществото и реалността на властта</v>
      </c>
      <c r="D7766" s="10">
        <f ca="1">IFERROR(__xludf.DUMMYFUNCTION("""COMPUTED_VALUE"""),2020)</f>
        <v>2020</v>
      </c>
      <c r="E7766" s="10" t="str">
        <f ca="1">IFERROR(__xludf.DUMMYFUNCTION("""COMPUTED_VALUE"""),"Сборник с доклади от Шеста международна кръгла маса ""Проблеми на обществената комуникация"", 28-30 октомври 2020 г. (под печат).")</f>
        <v>Сборник с доклади от Шеста международна кръгла маса "Проблеми на обществената комуникация", 28-30 октомври 2020 г. (под печат).</v>
      </c>
      <c r="F7766" s="10"/>
      <c r="G7766" s="10"/>
      <c r="H7766" s="10"/>
      <c r="I7766" s="10"/>
      <c r="J7766" s="10"/>
      <c r="K7766" s="10"/>
      <c r="L7766" s="10"/>
      <c r="M7766" s="10"/>
      <c r="N7766" s="10"/>
      <c r="O7766" s="10"/>
      <c r="P7766" s="10"/>
      <c r="Q7766" s="10"/>
      <c r="R7766" s="10"/>
      <c r="S7766" s="10"/>
      <c r="T7766" s="10"/>
      <c r="U7766" s="10"/>
      <c r="V7766" s="10"/>
      <c r="W7766" s="10"/>
      <c r="X7766" s="10"/>
      <c r="Y7766" s="10"/>
      <c r="Z7766" s="10"/>
    </row>
    <row r="7767" spans="1:26" ht="12.75">
      <c r="A7767" s="10" t="str">
        <f ca="1">IFERROR(__xludf.DUMMYFUNCTION("""COMPUTED_VALUE"""),"Христина Станчева Богова (Христова)")</f>
        <v>Христина Станчева Богова (Христова)</v>
      </c>
      <c r="B7767" s="10" t="str">
        <f ca="1">IFERROR(__xludf.DUMMYFUNCTION("""COMPUTED_VALUE"""),"Доклад от конференция")</f>
        <v>Доклад от конференция</v>
      </c>
      <c r="C7767" s="10" t="str">
        <f ca="1">IFERROR(__xludf.DUMMYFUNCTION("""COMPUTED_VALUE"""),"Ролята на организациите в живота на съвременното общество")</f>
        <v>Ролята на организациите в живота на съвременното общество</v>
      </c>
      <c r="D7767" s="10">
        <f ca="1">IFERROR(__xludf.DUMMYFUNCTION("""COMPUTED_VALUE"""),2020)</f>
        <v>2020</v>
      </c>
      <c r="E7767" s="10" t="str">
        <f ca="1">IFERROR(__xludf.DUMMYFUNCTION("""COMPUTED_VALUE"""),"Сборник с научни доклади от XVIII национална научна конференция с международно участие ""Обществото на знанието и хуманизмът на XXI век"", „За буквите – О писменехь"", София, 1 ноември 2020 г. с.277-280 ISSN 2683-0094")</f>
        <v>Сборник с научни доклади от XVIII национална научна конференция с международно участие "Обществото на знанието и хуманизмът на XXI век", „За буквите – О писменехь", София, 1 ноември 2020 г. с.277-280 ISSN 2683-0094</v>
      </c>
      <c r="F7767" s="10"/>
      <c r="G7767" s="10" t="str">
        <f ca="1">IFERROR(__xludf.DUMMYFUNCTION("""COMPUTED_VALUE"""),"Красимира Кунчева")</f>
        <v>Красимира Кунчева</v>
      </c>
      <c r="H7767" s="10"/>
      <c r="I7767" s="10"/>
      <c r="J7767" s="10"/>
      <c r="K7767" s="10"/>
      <c r="L7767" s="10"/>
      <c r="M7767" s="10"/>
      <c r="N7767" s="10"/>
      <c r="O7767" s="10"/>
      <c r="P7767" s="10"/>
      <c r="Q7767" s="10"/>
      <c r="R7767" s="10"/>
      <c r="S7767" s="10"/>
      <c r="T7767" s="10"/>
      <c r="U7767" s="10"/>
      <c r="V7767" s="10"/>
      <c r="W7767" s="10"/>
      <c r="X7767" s="10"/>
      <c r="Y7767" s="10"/>
      <c r="Z7767" s="10"/>
    </row>
    <row r="7768" spans="1:26" ht="12.75">
      <c r="A7768" s="10" t="str">
        <f ca="1">IFERROR(__xludf.DUMMYFUNCTION("""COMPUTED_VALUE"""),"Христина Станчева Богова (Христова)")</f>
        <v>Христина Станчева Богова (Христова)</v>
      </c>
      <c r="B7768" s="10" t="str">
        <f ca="1">IFERROR(__xludf.DUMMYFUNCTION("""COMPUTED_VALUE"""),"Статия в списания и поредици")</f>
        <v>Статия в списания и поредици</v>
      </c>
      <c r="C7768" s="10" t="str">
        <f ca="1">IFERROR(__xludf.DUMMYFUNCTION("""COMPUTED_VALUE"""),"Критична теория на културата или културата като процес на хуманизация")</f>
        <v>Критична теория на културата или културата като процес на хуманизация</v>
      </c>
      <c r="D7768" s="10">
        <f ca="1">IFERROR(__xludf.DUMMYFUNCTION("""COMPUTED_VALUE"""),2020)</f>
        <v>2020</v>
      </c>
      <c r="E7768" s="10" t="str">
        <f ca="1">IFERROR(__xludf.DUMMYFUNCTION("""COMPUTED_VALUE"""),"В: Съвременни измерения на европейското образователно и научно пространство. София: За буквите – О писменехь, Том. 8, 2020. ISSN 2367-7988")</f>
        <v>В: Съвременни измерения на европейското образователно и научно пространство. София: За буквите – О писменехь, Том. 8, 2020. ISSN 2367-7988</v>
      </c>
      <c r="F7768" s="10"/>
      <c r="G7768" s="10" t="str">
        <f ca="1">IFERROR(__xludf.DUMMYFUNCTION("""COMPUTED_VALUE"""),"Мюмюн Тахиров")</f>
        <v>Мюмюн Тахиров</v>
      </c>
      <c r="H7768" s="10"/>
      <c r="I7768" s="10"/>
      <c r="J7768" s="10"/>
      <c r="K7768" s="10"/>
      <c r="L7768" s="10"/>
      <c r="M7768" s="10"/>
      <c r="N7768" s="10"/>
      <c r="O7768" s="10"/>
      <c r="P7768" s="10"/>
      <c r="Q7768" s="10"/>
      <c r="R7768" s="10"/>
      <c r="S7768" s="10"/>
      <c r="T7768" s="10"/>
      <c r="U7768" s="10"/>
      <c r="V7768" s="10"/>
      <c r="W7768" s="10"/>
      <c r="X7768" s="10"/>
      <c r="Y7768" s="10"/>
      <c r="Z7768" s="10"/>
    </row>
    <row r="7769" spans="1:26" ht="12.75">
      <c r="A7769" s="10" t="str">
        <f ca="1">IFERROR(__xludf.DUMMYFUNCTION("""COMPUTED_VALUE"""),"Христина Станчева Богова (Христова)")</f>
        <v>Христина Станчева Богова (Христова)</v>
      </c>
      <c r="B7769" s="10" t="str">
        <f ca="1">IFERROR(__xludf.DUMMYFUNCTION("""COMPUTED_VALUE"""),"Доклад от конференция")</f>
        <v>Доклад от конференция</v>
      </c>
      <c r="C7769" s="10" t="str">
        <f ca="1">IFERROR(__xludf.DUMMYFUNCTION("""COMPUTED_VALUE"""),"Общуването като духовен лек срещу отчуждението")</f>
        <v>Общуването като духовен лек срещу отчуждението</v>
      </c>
      <c r="D7769" s="10">
        <f ca="1">IFERROR(__xludf.DUMMYFUNCTION("""COMPUTED_VALUE"""),2019)</f>
        <v>2019</v>
      </c>
      <c r="E7769" s="10" t="str">
        <f ca="1">IFERROR(__xludf.DUMMYFUNCTION("""COMPUTED_VALUE"""),"Четвърта кръгла маса ""Проблеми на обществената комуникация"", Издателство "" За буквите - О писменехь"", София, 2019 ISSN 2534-9430")</f>
        <v>Четвърта кръгла маса "Проблеми на обществената комуникация", Издателство " За буквите - О писменехь", София, 2019 ISSN 2534-9430</v>
      </c>
      <c r="F7769" s="10"/>
      <c r="G7769" s="10" t="str">
        <f ca="1">IFERROR(__xludf.DUMMYFUNCTION("""COMPUTED_VALUE"""),"Мюмюн Тахиров")</f>
        <v>Мюмюн Тахиров</v>
      </c>
      <c r="H7769" s="10"/>
      <c r="I7769" s="10"/>
      <c r="J7769" s="10"/>
      <c r="K7769" s="10"/>
      <c r="L7769" s="10"/>
      <c r="M7769" s="10"/>
      <c r="N7769" s="10"/>
      <c r="O7769" s="10"/>
      <c r="P7769" s="10"/>
      <c r="Q7769" s="10"/>
      <c r="R7769" s="10"/>
      <c r="S7769" s="10"/>
      <c r="T7769" s="10"/>
      <c r="U7769" s="10"/>
      <c r="V7769" s="10"/>
      <c r="W7769" s="10"/>
      <c r="X7769" s="10"/>
      <c r="Y7769" s="10"/>
      <c r="Z7769" s="10"/>
    </row>
    <row r="7770" spans="1:26" ht="12.75">
      <c r="A7770" s="10" t="str">
        <f ca="1">IFERROR(__xludf.DUMMYFUNCTION("""COMPUTED_VALUE"""),"Христина Станчева Богова (Христова)")</f>
        <v>Христина Станчева Богова (Христова)</v>
      </c>
      <c r="B7770" s="10" t="str">
        <f ca="1">IFERROR(__xludf.DUMMYFUNCTION("""COMPUTED_VALUE"""),"Доклад от конференция")</f>
        <v>Доклад от конференция</v>
      </c>
      <c r="C7770" s="10" t="str">
        <f ca="1">IFERROR(__xludf.DUMMYFUNCTION("""COMPUTED_VALUE"""),"Медиация и обучение в мультикультурной среде")</f>
        <v>Медиация и обучение в мультикультурной среде</v>
      </c>
      <c r="D7770" s="10">
        <f ca="1">IFERROR(__xludf.DUMMYFUNCTION("""COMPUTED_VALUE"""),2019)</f>
        <v>2019</v>
      </c>
      <c r="E7770" s="10" t="str">
        <f ca="1">IFERROR(__xludf.DUMMYFUNCTION("""COMPUTED_VALUE"""),"The 11th International seminar of the Cycle “ Dialogue of civilizations and cross-cultural cooperation - Multilingualism as a factor to maintain the ethno-cultural diversity: educational strategies”")</f>
        <v>The 11th International seminar of the Cycle “ Dialogue of civilizations and cross-cultural cooperation - Multilingualism as a factor to maintain the ethno-cultural diversity: educational strategies”</v>
      </c>
      <c r="F7770" s="10"/>
      <c r="G7770" s="10" t="str">
        <f ca="1">IFERROR(__xludf.DUMMYFUNCTION("""COMPUTED_VALUE"""),"Мария Николова")</f>
        <v>Мария Николова</v>
      </c>
      <c r="H7770" s="10"/>
      <c r="I7770" s="10"/>
      <c r="J7770" s="10"/>
      <c r="K7770" s="10"/>
      <c r="L7770" s="10"/>
      <c r="M7770" s="10"/>
      <c r="N7770" s="10"/>
      <c r="O7770" s="10"/>
      <c r="P7770" s="10"/>
      <c r="Q7770" s="10"/>
      <c r="R7770" s="10"/>
      <c r="S7770" s="10"/>
      <c r="T7770" s="10"/>
      <c r="U7770" s="10"/>
      <c r="V7770" s="10"/>
      <c r="W7770" s="10"/>
      <c r="X7770" s="10"/>
      <c r="Y7770" s="10"/>
      <c r="Z7770" s="10"/>
    </row>
    <row r="7771" spans="1:26" ht="12.75">
      <c r="A7771" s="10" t="str">
        <f ca="1">IFERROR(__xludf.DUMMYFUNCTION("""COMPUTED_VALUE"""),"Христина Станчева Богова (Христова)")</f>
        <v>Христина Станчева Богова (Христова)</v>
      </c>
      <c r="B7771" s="10" t="str">
        <f ca="1">IFERROR(__xludf.DUMMYFUNCTION("""COMPUTED_VALUE"""),"Доклад от конференция")</f>
        <v>Доклад от конференция</v>
      </c>
      <c r="C7771" s="10" t="str">
        <f ca="1">IFERROR(__xludf.DUMMYFUNCTION("""COMPUTED_VALUE"""),"Елиас Канети – културен мост между България и Австрия")</f>
        <v>Елиас Канети – културен мост между България и Австрия</v>
      </c>
      <c r="D7771" s="10">
        <f ca="1">IFERROR(__xludf.DUMMYFUNCTION("""COMPUTED_VALUE"""),2019)</f>
        <v>2019</v>
      </c>
      <c r="E7771" s="10" t="str">
        <f ca="1">IFERROR(__xludf.DUMMYFUNCTION("""COMPUTED_VALUE"""),"Сборник Съвременни измерения на европейското образователно и научно пространство. Българо-австрийски културни общувания. София: За буквите - О писменехь, 2019, ISSN 2367-7988")</f>
        <v>Сборник Съвременни измерения на европейското образователно и научно пространство. Българо-австрийски културни общувания. София: За буквите - О писменехь, 2019, ISSN 2367-7988</v>
      </c>
      <c r="F7771" s="10"/>
      <c r="G7771" s="10" t="str">
        <f ca="1">IFERROR(__xludf.DUMMYFUNCTION("""COMPUTED_VALUE"""),"Мюмюн Тахиров")</f>
        <v>Мюмюн Тахиров</v>
      </c>
      <c r="H7771" s="10"/>
      <c r="I7771" s="10"/>
      <c r="J7771" s="10"/>
      <c r="K7771" s="10"/>
      <c r="L7771" s="10"/>
      <c r="M7771" s="10"/>
      <c r="N7771" s="10"/>
      <c r="O7771" s="10"/>
      <c r="P7771" s="10"/>
      <c r="Q7771" s="10"/>
      <c r="R7771" s="10"/>
      <c r="S7771" s="10"/>
      <c r="T7771" s="10"/>
      <c r="U7771" s="10"/>
      <c r="V7771" s="10"/>
      <c r="W7771" s="10"/>
      <c r="X7771" s="10"/>
      <c r="Y7771" s="10"/>
      <c r="Z7771" s="10"/>
    </row>
    <row r="7772" spans="1:26" ht="12.75">
      <c r="A7772" s="10" t="str">
        <f ca="1">IFERROR(__xludf.DUMMYFUNCTION("""COMPUTED_VALUE"""),"Христина Станчева Богова (Христова)")</f>
        <v>Христина Станчева Богова (Христова)</v>
      </c>
      <c r="B7772" s="10" t="str">
        <f ca="1">IFERROR(__xludf.DUMMYFUNCTION("""COMPUTED_VALUE"""),"Доклад от конференция")</f>
        <v>Доклад от конференция</v>
      </c>
      <c r="C7772" s="10" t="str">
        <f ca="1">IFERROR(__xludf.DUMMYFUNCTION("""COMPUTED_VALUE"""),"Единство между хуманитарните и естествените науки")</f>
        <v>Единство между хуманитарните и естествените науки</v>
      </c>
      <c r="D7772" s="10">
        <f ca="1">IFERROR(__xludf.DUMMYFUNCTION("""COMPUTED_VALUE"""),2019)</f>
        <v>2019</v>
      </c>
      <c r="E7772" s="10" t="str">
        <f ca="1">IFERROR(__xludf.DUMMYFUNCTION("""COMPUTED_VALUE"""),"Сборник с доклади „Обществото на знанието и хуманизмът на XXI“, За буквите „О писменехь“, София, 2019 ISSN 1314-7099")</f>
        <v>Сборник с доклади „Обществото на знанието и хуманизмът на XXI“, За буквите „О писменехь“, София, 2019 ISSN 1314-7099</v>
      </c>
      <c r="F7772" s="10"/>
      <c r="G7772" s="10" t="str">
        <f ca="1">IFERROR(__xludf.DUMMYFUNCTION("""COMPUTED_VALUE"""),"Мюмюн Тахиров")</f>
        <v>Мюмюн Тахиров</v>
      </c>
      <c r="H7772" s="10"/>
      <c r="I7772" s="10"/>
      <c r="J7772" s="10"/>
      <c r="K7772" s="10"/>
      <c r="L7772" s="10"/>
      <c r="M7772" s="10"/>
      <c r="N7772" s="10"/>
      <c r="O7772" s="10"/>
      <c r="P7772" s="10"/>
      <c r="Q7772" s="10"/>
      <c r="R7772" s="10"/>
      <c r="S7772" s="10"/>
      <c r="T7772" s="10"/>
      <c r="U7772" s="10"/>
      <c r="V7772" s="10"/>
      <c r="W7772" s="10"/>
      <c r="X7772" s="10"/>
      <c r="Y7772" s="10"/>
      <c r="Z7772" s="10"/>
    </row>
    <row r="7773" spans="1:26" ht="12.75">
      <c r="A7773" s="10" t="str">
        <f ca="1">IFERROR(__xludf.DUMMYFUNCTION("""COMPUTED_VALUE"""),"Христина Станчева Богова (Христова)")</f>
        <v>Христина Станчева Богова (Христова)</v>
      </c>
      <c r="B7773" s="10" t="str">
        <f ca="1">IFERROR(__xludf.DUMMYFUNCTION("""COMPUTED_VALUE"""),"Статия в списания и поредици")</f>
        <v>Статия в списания и поредици</v>
      </c>
      <c r="C7773" s="10" t="str">
        <f ca="1">IFERROR(__xludf.DUMMYFUNCTION("""COMPUTED_VALUE"""),"СМИ в политической жизни Болгарии")</f>
        <v>СМИ в политической жизни Болгарии</v>
      </c>
      <c r="D7773" s="10">
        <f ca="1">IFERROR(__xludf.DUMMYFUNCTION("""COMPUTED_VALUE"""),2019)</f>
        <v>2019</v>
      </c>
      <c r="E7773" s="10" t="str">
        <f ca="1">IFERROR(__xludf.DUMMYFUNCTION("""COMPUTED_VALUE"""),"Вестник электронных и печатных СМИ № 1 (27), Москва, 2019 ISBN 978-5-902899-45-7")</f>
        <v>Вестник электронных и печатных СМИ № 1 (27), Москва, 2019 ISBN 978-5-902899-45-7</v>
      </c>
      <c r="F7773" s="10"/>
      <c r="G7773" s="10" t="str">
        <f ca="1">IFERROR(__xludf.DUMMYFUNCTION("""COMPUTED_VALUE"""),"Стоян Денчев")</f>
        <v>Стоян Денчев</v>
      </c>
      <c r="H7773" s="10"/>
      <c r="I7773" s="10"/>
      <c r="J7773" s="10"/>
      <c r="K7773" s="10"/>
      <c r="L7773" s="10"/>
      <c r="M7773" s="10"/>
      <c r="N7773" s="10"/>
      <c r="O7773" s="10"/>
      <c r="P7773" s="10"/>
      <c r="Q7773" s="10"/>
      <c r="R7773" s="10"/>
      <c r="S7773" s="10"/>
      <c r="T7773" s="10"/>
      <c r="U7773" s="10"/>
      <c r="V7773" s="10"/>
      <c r="W7773" s="10"/>
      <c r="X7773" s="10"/>
      <c r="Y7773" s="10"/>
      <c r="Z7773" s="10"/>
    </row>
    <row r="7774" spans="1:26" ht="12.75">
      <c r="A7774" s="10" t="str">
        <f ca="1">IFERROR(__xludf.DUMMYFUNCTION("""COMPUTED_VALUE"""),"Христина Станчева Богова (Христова)")</f>
        <v>Христина Станчева Богова (Христова)</v>
      </c>
      <c r="B7774" s="10" t="str">
        <f ca="1">IFERROR(__xludf.DUMMYFUNCTION("""COMPUTED_VALUE"""),"Статия в списания и поредици")</f>
        <v>Статия в списания и поредици</v>
      </c>
      <c r="C7774" s="10" t="str">
        <f ca="1">IFERROR(__xludf.DUMMYFUNCTION("""COMPUTED_VALUE"""),"Организация и управление информационными процессами в нефтяной промышлености (Лукойл Нефтохим Бургас“АО)")</f>
        <v>Организация и управление информационными процессами в нефтяной промышлености (Лукойл Нефтохим Бургас“АО)</v>
      </c>
      <c r="D7774" s="10">
        <f ca="1">IFERROR(__xludf.DUMMYFUNCTION("""COMPUTED_VALUE"""),2019)</f>
        <v>2019</v>
      </c>
      <c r="E7774" s="10" t="str">
        <f ca="1">IFERROR(__xludf.DUMMYFUNCTION("""COMPUTED_VALUE"""),"Научный журнал «Труды БГТУ» ISSN 2520-6877")</f>
        <v>Научный журнал «Труды БГТУ» ISSN 2520-6877</v>
      </c>
      <c r="F7774" s="10"/>
      <c r="G7774" s="10" t="str">
        <f ca="1">IFERROR(__xludf.DUMMYFUNCTION("""COMPUTED_VALUE"""),"Стоян Денчев")</f>
        <v>Стоян Денчев</v>
      </c>
      <c r="H7774" s="10"/>
      <c r="I7774" s="10"/>
      <c r="J7774" s="10"/>
      <c r="K7774" s="10"/>
      <c r="L7774" s="10"/>
      <c r="M7774" s="10"/>
      <c r="N7774" s="10"/>
      <c r="O7774" s="10"/>
      <c r="P7774" s="10"/>
      <c r="Q7774" s="10"/>
      <c r="R7774" s="10"/>
      <c r="S7774" s="10"/>
      <c r="T7774" s="10"/>
      <c r="U7774" s="10"/>
      <c r="V7774" s="10"/>
      <c r="W7774" s="10"/>
      <c r="X7774" s="10"/>
      <c r="Y7774" s="10"/>
      <c r="Z7774" s="10"/>
    </row>
    <row r="7775" spans="1:26" ht="12.75">
      <c r="A7775" s="10" t="str">
        <f ca="1">IFERROR(__xludf.DUMMYFUNCTION("""COMPUTED_VALUE"""),"Христина Станчева Богова (Христова)")</f>
        <v>Христина Станчева Богова (Христова)</v>
      </c>
      <c r="B7775" s="10" t="str">
        <f ca="1">IFERROR(__xludf.DUMMYFUNCTION("""COMPUTED_VALUE"""),"Доклад от конференция")</f>
        <v>Доклад от конференция</v>
      </c>
      <c r="C7775" s="10" t="str">
        <f ca="1">IFERROR(__xludf.DUMMYFUNCTION("""COMPUTED_VALUE"""),"Fake news and its impact on university educational process")</f>
        <v>Fake news and its impact on university educational process</v>
      </c>
      <c r="D7775" s="10">
        <f ca="1">IFERROR(__xludf.DUMMYFUNCTION("""COMPUTED_VALUE"""),2019)</f>
        <v>2019</v>
      </c>
      <c r="E7775" s="10" t="str">
        <f ca="1">IFERROR(__xludf.DUMMYFUNCTION("""COMPUTED_VALUE"""),"12th annual International Conference of Education, Research and Innovation Seville (Spain). 11th - 13th of November, 2019. ICERI2019 Proceedings ISBN: 978-84-09-14755-7")</f>
        <v>12th annual International Conference of Education, Research and Innovation Seville (Spain). 11th - 13th of November, 2019. ICERI2019 Proceedings ISBN: 978-84-09-14755-7</v>
      </c>
      <c r="F7775" s="10" t="str">
        <f ca="1">IFERROR(__xludf.DUMMYFUNCTION("""COMPUTED_VALUE"""),"Web of science")</f>
        <v>Web of science</v>
      </c>
      <c r="G7775" s="10" t="str">
        <f ca="1">IFERROR(__xludf.DUMMYFUNCTION("""COMPUTED_VALUE"""),"Stoyan Denchev")</f>
        <v>Stoyan Denchev</v>
      </c>
      <c r="H7775" s="10"/>
      <c r="I7775" s="10"/>
      <c r="J7775" s="10"/>
      <c r="K7775" s="10"/>
      <c r="L7775" s="10"/>
      <c r="M7775" s="10"/>
      <c r="N7775" s="10"/>
      <c r="O7775" s="10"/>
      <c r="P7775" s="10"/>
      <c r="Q7775" s="10"/>
      <c r="R7775" s="10"/>
      <c r="S7775" s="10"/>
      <c r="T7775" s="10"/>
      <c r="U7775" s="10"/>
      <c r="V7775" s="10"/>
      <c r="W7775" s="10"/>
      <c r="X7775" s="10"/>
      <c r="Y7775" s="10"/>
      <c r="Z7775" s="10"/>
    </row>
    <row r="7776" spans="1:26" ht="12.75">
      <c r="A7776" s="10" t="str">
        <f ca="1">IFERROR(__xludf.DUMMYFUNCTION("""COMPUTED_VALUE"""),"Христина Станчева Богова (Христова)")</f>
        <v>Христина Станчева Богова (Христова)</v>
      </c>
      <c r="B7776" s="10" t="str">
        <f ca="1">IFERROR(__xludf.DUMMYFUNCTION("""COMPUTED_VALUE"""),"Статия в списания и поредици")</f>
        <v>Статия в списания и поредици</v>
      </c>
      <c r="C7776" s="10" t="str">
        <f ca="1">IFERROR(__xludf.DUMMYFUNCTION("""COMPUTED_VALUE"""),"Комуникационни аспекти на външната политика на Република България")</f>
        <v>Комуникационни аспекти на външната политика на Република България</v>
      </c>
      <c r="D7776" s="10">
        <f ca="1">IFERROR(__xludf.DUMMYFUNCTION("""COMPUTED_VALUE"""),2018)</f>
        <v>2018</v>
      </c>
      <c r="E7776" s="10" t="str">
        <f ca="1">IFERROR(__xludf.DUMMYFUNCTION("""COMPUTED_VALUE"""),"„За буквите – О писменехь“, /под печат/")</f>
        <v>„За буквите – О писменехь“, /под печат/</v>
      </c>
      <c r="F7776" s="10"/>
      <c r="G7776" s="10"/>
      <c r="H7776" s="10"/>
      <c r="I7776" s="10"/>
      <c r="J7776" s="10"/>
      <c r="K7776" s="10"/>
      <c r="L7776" s="10"/>
      <c r="M7776" s="10"/>
      <c r="N7776" s="10"/>
      <c r="O7776" s="10"/>
      <c r="P7776" s="10"/>
      <c r="Q7776" s="10"/>
      <c r="R7776" s="10"/>
      <c r="S7776" s="10"/>
      <c r="T7776" s="10"/>
      <c r="U7776" s="10"/>
      <c r="V7776" s="10"/>
      <c r="W7776" s="10"/>
      <c r="X7776" s="10"/>
      <c r="Y7776" s="10"/>
      <c r="Z7776" s="10"/>
    </row>
    <row r="7777" spans="1:26" ht="12.75">
      <c r="A7777" s="10" t="str">
        <f ca="1">IFERROR(__xludf.DUMMYFUNCTION("""COMPUTED_VALUE"""),"Христина Станчева Богова (Христова)")</f>
        <v>Христина Станчева Богова (Христова)</v>
      </c>
      <c r="B7777" s="10" t="str">
        <f ca="1">IFERROR(__xludf.DUMMYFUNCTION("""COMPUTED_VALUE"""),"Статия в списания и поредици")</f>
        <v>Статия в списания и поредици</v>
      </c>
      <c r="C7777" s="10" t="str">
        <f ca="1">IFERROR(__xludf.DUMMYFUNCTION("""COMPUTED_VALUE"""),"МОДЕЛИРОВАНИЕ ВОСПРИЯТИЯ ПОЛИТИЧЕСКОГО ИМИДЖА ЧЕРЕЗ ЭКРАН ТЕЛЕВИЗОРА")</f>
        <v>МОДЕЛИРОВАНИЕ ВОСПРИЯТИЯ ПОЛИТИЧЕСКОГО ИМИДЖА ЧЕРЕЗ ЭКРАН ТЕЛЕВИЗОРА</v>
      </c>
      <c r="D7777" s="10">
        <f ca="1">IFERROR(__xludf.DUMMYFUNCTION("""COMPUTED_VALUE"""),2018)</f>
        <v>2018</v>
      </c>
      <c r="E7777" s="10" t="str">
        <f ca="1">IFERROR(__xludf.DUMMYFUNCTION("""COMPUTED_VALUE"""),"Международная конференция «Медиасоставляющая цифровой экономики» 9 ноября 2018 г., Россия, Комуникации, медия, дизайн, ISSN 2542-1395")</f>
        <v>Международная конференция «Медиасоставляющая цифровой экономики» 9 ноября 2018 г., Россия, Комуникации, медия, дизайн, ISSN 2542-1395</v>
      </c>
      <c r="F7777" s="10"/>
      <c r="G7777" s="10" t="str">
        <f ca="1">IFERROR(__xludf.DUMMYFUNCTION("""COMPUTED_VALUE"""),"Денчев С.Г.")</f>
        <v>Денчев С.Г.</v>
      </c>
      <c r="H7777" s="10"/>
      <c r="I7777" s="10"/>
      <c r="J7777" s="10"/>
      <c r="K7777" s="10"/>
      <c r="L7777" s="10"/>
      <c r="M7777" s="10"/>
      <c r="N7777" s="10"/>
      <c r="O7777" s="10"/>
      <c r="P7777" s="10"/>
      <c r="Q7777" s="10"/>
      <c r="R7777" s="10"/>
      <c r="S7777" s="10"/>
      <c r="T7777" s="10"/>
      <c r="U7777" s="10"/>
      <c r="V7777" s="10"/>
      <c r="W7777" s="10"/>
      <c r="X7777" s="10"/>
      <c r="Y7777" s="10"/>
      <c r="Z7777" s="10"/>
    </row>
    <row r="7778" spans="1:26" ht="12.75">
      <c r="A7778" s="10" t="str">
        <f ca="1">IFERROR(__xludf.DUMMYFUNCTION("""COMPUTED_VALUE"""),"Христина Станчева Богова (Христова)")</f>
        <v>Христина Станчева Богова (Христова)</v>
      </c>
      <c r="B7778" s="10" t="str">
        <f ca="1">IFERROR(__xludf.DUMMYFUNCTION("""COMPUTED_VALUE"""),"Статия в списания и поредици")</f>
        <v>Статия в списания и поредици</v>
      </c>
      <c r="C7778" s="10" t="str">
        <f ca="1">IFERROR(__xludf.DUMMYFUNCTION("""COMPUTED_VALUE"""),"Ролята на медииите във външната политика на България")</f>
        <v>Ролята на медииите във външната политика на България</v>
      </c>
      <c r="D7778" s="10">
        <f ca="1">IFERROR(__xludf.DUMMYFUNCTION("""COMPUTED_VALUE"""),2018)</f>
        <v>2018</v>
      </c>
      <c r="E7778" s="10" t="str">
        <f ca="1">IFERROR(__xludf.DUMMYFUNCTION("""COMPUTED_VALUE"""),"Шестнадесета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2018г., организирана от УниБИТ и БАН, София (под печат)")</f>
        <v>Шестнадесета национална научна конференция с международно участие на тема „Обществото на знанието и хуманизма“,посветена на деня на народните будители 1-ноември 2018г., организирана от УниБИТ и БАН, София (под печат)</v>
      </c>
      <c r="F7778" s="10"/>
      <c r="G7778" s="10"/>
      <c r="H7778" s="10"/>
      <c r="I7778" s="10"/>
      <c r="J7778" s="10"/>
      <c r="K7778" s="10"/>
      <c r="L7778" s="10"/>
      <c r="M7778" s="10"/>
      <c r="N7778" s="10"/>
      <c r="O7778" s="10"/>
      <c r="P7778" s="10"/>
      <c r="Q7778" s="10"/>
      <c r="R7778" s="10"/>
      <c r="S7778" s="10"/>
      <c r="T7778" s="10"/>
      <c r="U7778" s="10"/>
      <c r="V7778" s="10"/>
      <c r="W7778" s="10"/>
      <c r="X7778" s="10"/>
      <c r="Y7778" s="10"/>
      <c r="Z7778" s="10"/>
    </row>
    <row r="7779" spans="1:26" ht="12.75">
      <c r="A7779" s="10" t="str">
        <f ca="1">IFERROR(__xludf.DUMMYFUNCTION("""COMPUTED_VALUE"""),"Христина Станчева Богова (Христова)")</f>
        <v>Христина Станчева Богова (Христова)</v>
      </c>
      <c r="B7779" s="10" t="str">
        <f ca="1">IFERROR(__xludf.DUMMYFUNCTION("""COMPUTED_VALUE"""),"Статия в списания и поредици")</f>
        <v>Статия в списания и поредици</v>
      </c>
      <c r="C7779" s="10" t="str">
        <f ca="1">IFERROR(__xludf.DUMMYFUNCTION("""COMPUTED_VALUE"""),"Обществените процеси в България и европейския съюз.")</f>
        <v>Обществените процеси в България и европейския съюз.</v>
      </c>
      <c r="D7779" s="10">
        <f ca="1">IFERROR(__xludf.DUMMYFUNCTION("""COMPUTED_VALUE"""),2018)</f>
        <v>2018</v>
      </c>
      <c r="E7779" s="10" t="str">
        <f ca="1">IFERROR(__xludf.DUMMYFUNCTION("""COMPUTED_VALUE"""),"За буквите – О писменехь“, 2017, с 171-198 ,ISBN 978-619-185-304-5 (Print), ISBN 978-619-185-305-2(Online)")</f>
        <v>За буквите – О писменехь“, 2017, с 171-198 ,ISBN 978-619-185-304-5 (Print), ISBN 978-619-185-305-2(Online)</v>
      </c>
      <c r="F7779" s="10"/>
      <c r="G7779" s="10" t="str">
        <f ca="1">IFERROR(__xludf.DUMMYFUNCTION("""COMPUTED_VALUE"""),"Тетевенска Белла")</f>
        <v>Тетевенска Белла</v>
      </c>
      <c r="H7779" s="10"/>
      <c r="I7779" s="10"/>
      <c r="J7779" s="10"/>
      <c r="K7779" s="10"/>
      <c r="L7779" s="10"/>
      <c r="M7779" s="10"/>
      <c r="N7779" s="10"/>
      <c r="O7779" s="10"/>
      <c r="P7779" s="10"/>
      <c r="Q7779" s="10"/>
      <c r="R7779" s="10"/>
      <c r="S7779" s="10"/>
      <c r="T7779" s="10"/>
      <c r="U7779" s="10"/>
      <c r="V7779" s="10"/>
      <c r="W7779" s="10"/>
      <c r="X7779" s="10"/>
      <c r="Y7779" s="10"/>
      <c r="Z7779" s="10"/>
    </row>
    <row r="7780" spans="1:26" ht="12.75">
      <c r="A7780" s="10" t="str">
        <f ca="1">IFERROR(__xludf.DUMMYFUNCTION("""COMPUTED_VALUE"""),"Христина Станчева Богова (Христова)")</f>
        <v>Христина Станчева Богова (Христова)</v>
      </c>
      <c r="B7780" s="10" t="str">
        <f ca="1">IFERROR(__xludf.DUMMYFUNCTION("""COMPUTED_VALUE"""),"Статия в списания и поредици")</f>
        <v>Статия в списания и поредици</v>
      </c>
      <c r="C7780" s="10" t="str">
        <f ca="1">IFERROR(__xludf.DUMMYFUNCTION("""COMPUTED_VALUE"""),"Екология на духа и невербална комуникация.")</f>
        <v>Екология на духа и невербална комуникация.</v>
      </c>
      <c r="D7780" s="10">
        <f ca="1">IFERROR(__xludf.DUMMYFUNCTION("""COMPUTED_VALUE"""),2018)</f>
        <v>2018</v>
      </c>
      <c r="E7780" s="10" t="str">
        <f ca="1">IFERROR(__xludf.DUMMYFUNCTION("""COMPUTED_VALUE"""),"„За буквите – О писменехь“, София, ISSN 1314-7099")</f>
        <v>„За буквите – О писменехь“, София, ISSN 1314-7099</v>
      </c>
      <c r="F7780" s="10"/>
      <c r="G7780" s="10" t="str">
        <f ca="1">IFERROR(__xludf.DUMMYFUNCTION("""COMPUTED_VALUE"""),"Тахиров Мюмюн")</f>
        <v>Тахиров Мюмюн</v>
      </c>
      <c r="H7780" s="10"/>
      <c r="I7780" s="10"/>
      <c r="J7780" s="10"/>
      <c r="K7780" s="10"/>
      <c r="L7780" s="10"/>
      <c r="M7780" s="10"/>
      <c r="N7780" s="10"/>
      <c r="O7780" s="10"/>
      <c r="P7780" s="10"/>
      <c r="Q7780" s="10"/>
      <c r="R7780" s="10"/>
      <c r="S7780" s="10"/>
      <c r="T7780" s="10"/>
      <c r="U7780" s="10"/>
      <c r="V7780" s="10"/>
      <c r="W7780" s="10"/>
      <c r="X7780" s="10"/>
      <c r="Y7780" s="10"/>
      <c r="Z7780" s="10"/>
    </row>
    <row r="7781" spans="1:26" ht="12.75">
      <c r="A7781" s="10" t="str">
        <f ca="1">IFERROR(__xludf.DUMMYFUNCTION("""COMPUTED_VALUE"""),"Христина Станчева Богова (Христова)")</f>
        <v>Христина Станчева Богова (Христова)</v>
      </c>
      <c r="B7781" s="10" t="str">
        <f ca="1">IFERROR(__xludf.DUMMYFUNCTION("""COMPUTED_VALUE"""),"Статия в списания и поредици")</f>
        <v>Статия в списания и поредици</v>
      </c>
      <c r="C7781" s="10" t="str">
        <f ca="1">IFERROR(__xludf.DUMMYFUNCTION("""COMPUTED_VALUE"""),"Фалшиви ли са новините в България?")</f>
        <v>Фалшиви ли са новините в България?</v>
      </c>
      <c r="D7781" s="10">
        <f ca="1">IFERROR(__xludf.DUMMYFUNCTION("""COMPUTED_VALUE"""),2018)</f>
        <v>2018</v>
      </c>
      <c r="E7781" s="10" t="str">
        <f ca="1">IFERROR(__xludf.DUMMYFUNCTION("""COMPUTED_VALUE"""),"Издателски комплекс-УНСС, ISBN 978-619-232-086-7")</f>
        <v>Издателски комплекс-УНСС, ISBN 978-619-232-086-7</v>
      </c>
      <c r="F7781" s="10"/>
      <c r="G7781" s="10" t="str">
        <f ca="1">IFERROR(__xludf.DUMMYFUNCTION("""COMPUTED_VALUE"""),"Палашев Николай")</f>
        <v>Палашев Николай</v>
      </c>
      <c r="H7781" s="10"/>
      <c r="I7781" s="10"/>
      <c r="J7781" s="10"/>
      <c r="K7781" s="10"/>
      <c r="L7781" s="10"/>
      <c r="M7781" s="10"/>
      <c r="N7781" s="10"/>
      <c r="O7781" s="10"/>
      <c r="P7781" s="10"/>
      <c r="Q7781" s="10"/>
      <c r="R7781" s="10"/>
      <c r="S7781" s="10"/>
      <c r="T7781" s="10"/>
      <c r="U7781" s="10"/>
      <c r="V7781" s="10"/>
      <c r="W7781" s="10"/>
      <c r="X7781" s="10"/>
      <c r="Y7781" s="10"/>
      <c r="Z7781" s="10"/>
    </row>
    <row r="7782" spans="1:26" ht="12.75">
      <c r="A7782" s="10" t="str">
        <f ca="1">IFERROR(__xludf.DUMMYFUNCTION("""COMPUTED_VALUE"""),"Христина Станчева Богова (Христова)")</f>
        <v>Христина Станчева Богова (Христова)</v>
      </c>
      <c r="B7782" s="10" t="str">
        <f ca="1">IFERROR(__xludf.DUMMYFUNCTION("""COMPUTED_VALUE"""),"Статия в списания и поредици")</f>
        <v>Статия в списания и поредици</v>
      </c>
      <c r="C7782" s="10" t="str">
        <f ca="1">IFERROR(__xludf.DUMMYFUNCTION("""COMPUTED_VALUE"""),"Conflicts in the Workplace.")</f>
        <v>Conflicts in the Workplace.</v>
      </c>
      <c r="D7782" s="10">
        <f ca="1">IFERROR(__xludf.DUMMYFUNCTION("""COMPUTED_VALUE"""),2017)</f>
        <v>2017</v>
      </c>
      <c r="E7782" s="10" t="str">
        <f ca="1">IFERROR(__xludf.DUMMYFUNCTION("""COMPUTED_VALUE"""),"ИННОВАЦИОННЫЕ НАУЧНЫЕ ИССЛЕДОВАНИЯ: ТЕОРИЯ, МЕТОДОЛОГИЯ, ПРАКТИКА")</f>
        <v>ИННОВАЦИОННЫЕ НАУЧНЫЕ ИССЛЕДОВАНИЯ: ТЕОРИЯ, МЕТОДОЛОГИЯ, ПРАКТИКА</v>
      </c>
      <c r="F7782" s="10"/>
      <c r="G7782" s="10"/>
      <c r="H7782" s="10"/>
      <c r="I7782" s="10"/>
      <c r="J7782" s="10"/>
      <c r="K7782" s="10"/>
      <c r="L7782" s="10"/>
      <c r="M7782" s="10"/>
      <c r="N7782" s="10"/>
      <c r="O7782" s="10"/>
      <c r="P7782" s="10"/>
      <c r="Q7782" s="10"/>
      <c r="R7782" s="10"/>
      <c r="S7782" s="10"/>
      <c r="T7782" s="10"/>
      <c r="U7782" s="10"/>
      <c r="V7782" s="10"/>
      <c r="W7782" s="10"/>
      <c r="X7782" s="10"/>
      <c r="Y7782" s="10"/>
      <c r="Z7782" s="10"/>
    </row>
    <row r="7783" spans="1:26" ht="12.75">
      <c r="A7783" s="10" t="str">
        <f ca="1">IFERROR(__xludf.DUMMYFUNCTION("""COMPUTED_VALUE"""),"Христина Станчева Богова (Христова)")</f>
        <v>Христина Станчева Богова (Христова)</v>
      </c>
      <c r="B7783" s="10" t="str">
        <f ca="1">IFERROR(__xludf.DUMMYFUNCTION("""COMPUTED_VALUE"""),"Статия в списания и поредици")</f>
        <v>Статия в списания и поредици</v>
      </c>
      <c r="C7783" s="10" t="str">
        <f ca="1">IFERROR(__xludf.DUMMYFUNCTION("""COMPUTED_VALUE"""),"Специфични особенности при воденето на преговори в мултикултурна бизнес среда.")</f>
        <v>Специфични особенности при воденето на преговори в мултикултурна бизнес среда.</v>
      </c>
      <c r="D7783" s="10">
        <f ca="1">IFERROR(__xludf.DUMMYFUNCTION("""COMPUTED_VALUE"""),2017)</f>
        <v>2017</v>
      </c>
      <c r="E7783" s="10" t="str">
        <f ca="1">IFERROR(__xludf.DUMMYFUNCTION("""COMPUTED_VALUE"""),"сп. „Издател“ брой 1 (кн. 1-2), 16–20, В.Търново, ISSN 1310-4624 .")</f>
        <v>сп. „Издател“ брой 1 (кн. 1-2), 16–20, В.Търново, ISSN 1310-4624 .</v>
      </c>
      <c r="F7783" s="10"/>
      <c r="G7783" s="10"/>
      <c r="H7783" s="10"/>
      <c r="I7783" s="10"/>
      <c r="J7783" s="10"/>
      <c r="K7783" s="10"/>
      <c r="L7783" s="10"/>
      <c r="M7783" s="10"/>
      <c r="N7783" s="10"/>
      <c r="O7783" s="10"/>
      <c r="P7783" s="10"/>
      <c r="Q7783" s="10"/>
      <c r="R7783" s="10"/>
      <c r="S7783" s="10"/>
      <c r="T7783" s="10"/>
      <c r="U7783" s="10"/>
      <c r="V7783" s="10"/>
      <c r="W7783" s="10"/>
      <c r="X7783" s="10"/>
      <c r="Y7783" s="10"/>
      <c r="Z7783" s="10"/>
    </row>
    <row r="7784" spans="1:26" ht="12.75">
      <c r="A7784" s="10" t="str">
        <f ca="1">IFERROR(__xludf.DUMMYFUNCTION("""COMPUTED_VALUE"""),"Христина Станчева Богова (Христова)")</f>
        <v>Христина Станчева Богова (Христова)</v>
      </c>
      <c r="B7784" s="10" t="str">
        <f ca="1">IFERROR(__xludf.DUMMYFUNCTION("""COMPUTED_VALUE"""),"Статия в списания и поредици")</f>
        <v>Статия в списания и поредици</v>
      </c>
      <c r="C7784" s="10" t="str">
        <f ca="1">IFERROR(__xludf.DUMMYFUNCTION("""COMPUTED_VALUE"""),"Комуникационни техники за манипулация и ""Не-етичен"" рейтинг на медиите.")</f>
        <v>Комуникационни техники за манипулация и "Не-етичен" рейтинг на медиите.</v>
      </c>
      <c r="D7784" s="10">
        <f ca="1">IFERROR(__xludf.DUMMYFUNCTION("""COMPUTED_VALUE"""),2017)</f>
        <v>2017</v>
      </c>
      <c r="E7784" s="10" t="str">
        <f ca="1">IFERROR(__xludf.DUMMYFUNCTION("""COMPUTED_VALUE"""),"Издателство "" За буквите - О писменехь"", ISSN 2534-9430")</f>
        <v>Издателство " За буквите - О писменехь", ISSN 2534-9430</v>
      </c>
      <c r="F7784" s="10"/>
      <c r="G7784" s="10" t="str">
        <f ca="1">IFERROR(__xludf.DUMMYFUNCTION("""COMPUTED_VALUE"""),"Атанасова Мариана")</f>
        <v>Атанасова Мариана</v>
      </c>
      <c r="H7784" s="10"/>
      <c r="I7784" s="10"/>
      <c r="J7784" s="10"/>
      <c r="K7784" s="10"/>
      <c r="L7784" s="10"/>
      <c r="M7784" s="10"/>
      <c r="N7784" s="10"/>
      <c r="O7784" s="10"/>
      <c r="P7784" s="10"/>
      <c r="Q7784" s="10"/>
      <c r="R7784" s="10"/>
      <c r="S7784" s="10"/>
      <c r="T7784" s="10"/>
      <c r="U7784" s="10"/>
      <c r="V7784" s="10"/>
      <c r="W7784" s="10"/>
      <c r="X7784" s="10"/>
      <c r="Y7784" s="10"/>
      <c r="Z7784" s="10"/>
    </row>
    <row r="7785" spans="1:26" ht="12.75">
      <c r="A7785" s="10" t="str">
        <f ca="1">IFERROR(__xludf.DUMMYFUNCTION("""COMPUTED_VALUE"""),"Христина Станчева Богова (Христова)")</f>
        <v>Христина Станчева Богова (Христова)</v>
      </c>
      <c r="B7785" s="10" t="str">
        <f ca="1">IFERROR(__xludf.DUMMYFUNCTION("""COMPUTED_VALUE"""),"Статия в списания и поредици")</f>
        <v>Статия в списания и поредици</v>
      </c>
      <c r="C7785" s="10" t="str">
        <f ca="1">IFERROR(__xludf.DUMMYFUNCTION("""COMPUTED_VALUE"""),"СМИ и отражение внешней политики Республики Болгария.")</f>
        <v>СМИ и отражение внешней политики Республики Болгария.</v>
      </c>
      <c r="D7785" s="10">
        <f ca="1">IFERROR(__xludf.DUMMYFUNCTION("""COMPUTED_VALUE"""),2017)</f>
        <v>2017</v>
      </c>
      <c r="E7785" s="10" t="str">
        <f ca="1">IFERROR(__xludf.DUMMYFUNCTION("""COMPUTED_VALUE"""),"Международный научный журнал ""Коммуникология"", том 5 №1, Москва, 156-164, ISSN 2311-3065.")</f>
        <v>Международный научный журнал "Коммуникология", том 5 №1, Москва, 156-164, ISSN 2311-3065.</v>
      </c>
      <c r="F7785" s="10"/>
      <c r="G7785" s="10"/>
      <c r="H7785" s="10"/>
      <c r="I7785" s="10"/>
      <c r="J7785" s="10"/>
      <c r="K7785" s="10"/>
      <c r="L7785" s="10"/>
      <c r="M7785" s="10"/>
      <c r="N7785" s="10"/>
      <c r="O7785" s="10"/>
      <c r="P7785" s="10"/>
      <c r="Q7785" s="10"/>
      <c r="R7785" s="10"/>
      <c r="S7785" s="10"/>
      <c r="T7785" s="10"/>
      <c r="U7785" s="10"/>
      <c r="V7785" s="10"/>
      <c r="W7785" s="10"/>
      <c r="X7785" s="10"/>
      <c r="Y7785" s="10"/>
      <c r="Z7785" s="10"/>
    </row>
    <row r="7786" spans="1:26" ht="12.75">
      <c r="A7786" s="10" t="str">
        <f ca="1">IFERROR(__xludf.DUMMYFUNCTION("""COMPUTED_VALUE"""),"Христина Станчева Богова (Христова)")</f>
        <v>Христина Станчева Богова (Христова)</v>
      </c>
      <c r="B7786" s="10" t="str">
        <f ca="1">IFERROR(__xludf.DUMMYFUNCTION("""COMPUTED_VALUE"""),"Статия в списания и поредици")</f>
        <v>Статия в списания и поредици</v>
      </c>
      <c r="C7786" s="10" t="str">
        <f ca="1">IFERROR(__xludf.DUMMYFUNCTION("""COMPUTED_VALUE"""),"Основни правила за ефективна комуникация при водене на преговори.")</f>
        <v>Основни правила за ефективна комуникация при водене на преговори.</v>
      </c>
      <c r="D7786" s="10">
        <f ca="1">IFERROR(__xludf.DUMMYFUNCTION("""COMPUTED_VALUE"""),2017)</f>
        <v>2017</v>
      </c>
      <c r="E7786" s="10" t="str">
        <f ca="1">IFERROR(__xludf.DUMMYFUNCTION("""COMPUTED_VALUE"""),"сп. ""Здравна икономика и мениджмънт"", бр. 1 (63), Варна, ISSN 1311-9729")</f>
        <v>сп. "Здравна икономика и мениджмънт", бр. 1 (63), Варна, ISSN 1311-9729</v>
      </c>
      <c r="F7786" s="10"/>
      <c r="G7786" s="10"/>
      <c r="H7786" s="10"/>
      <c r="I7786" s="10"/>
      <c r="J7786" s="10"/>
      <c r="K7786" s="10"/>
      <c r="L7786" s="10"/>
      <c r="M7786" s="10"/>
      <c r="N7786" s="10"/>
      <c r="O7786" s="10"/>
      <c r="P7786" s="10"/>
      <c r="Q7786" s="10"/>
      <c r="R7786" s="10"/>
      <c r="S7786" s="10"/>
      <c r="T7786" s="10"/>
      <c r="U7786" s="10"/>
      <c r="V7786" s="10"/>
      <c r="W7786" s="10"/>
      <c r="X7786" s="10"/>
      <c r="Y7786" s="10"/>
      <c r="Z7786" s="10"/>
    </row>
    <row r="7787" spans="1:26" ht="12.75">
      <c r="A7787" s="10" t="str">
        <f ca="1">IFERROR(__xludf.DUMMYFUNCTION("""COMPUTED_VALUE"""),"Христина Станчева Богова (Христова)")</f>
        <v>Христина Станчева Богова (Христова)</v>
      </c>
      <c r="B7787" s="10" t="str">
        <f ca="1">IFERROR(__xludf.DUMMYFUNCTION("""COMPUTED_VALUE"""),"Статия в списания и поредици")</f>
        <v>Статия в списания и поредици</v>
      </c>
      <c r="C7787" s="10" t="str">
        <f ca="1">IFERROR(__xludf.DUMMYFUNCTION("""COMPUTED_VALUE"""),"Комуникационни особенности при общуването лекар- пациент.")</f>
        <v>Комуникационни особенности при общуването лекар- пациент.</v>
      </c>
      <c r="D7787" s="10">
        <f ca="1">IFERROR(__xludf.DUMMYFUNCTION("""COMPUTED_VALUE"""),2017)</f>
        <v>2017</v>
      </c>
      <c r="E7787" s="10" t="str">
        <f ca="1">IFERROR(__xludf.DUMMYFUNCTION("""COMPUTED_VALUE"""),"сп. ""Съвременна медицина"", бр. 1, С., ISSN 0562-7192.")</f>
        <v>сп. "Съвременна медицина", бр. 1, С., ISSN 0562-7192.</v>
      </c>
      <c r="F7787" s="10"/>
      <c r="G7787" s="10" t="str">
        <f ca="1">IFERROR(__xludf.DUMMYFUNCTION("""COMPUTED_VALUE"""),"Б. Богов")</f>
        <v>Б. Богов</v>
      </c>
      <c r="H7787" s="10"/>
      <c r="I7787" s="10"/>
      <c r="J7787" s="10"/>
      <c r="K7787" s="10"/>
      <c r="L7787" s="10"/>
      <c r="M7787" s="10"/>
      <c r="N7787" s="10"/>
      <c r="O7787" s="10"/>
      <c r="P7787" s="10"/>
      <c r="Q7787" s="10"/>
      <c r="R7787" s="10"/>
      <c r="S7787" s="10"/>
      <c r="T7787" s="10"/>
      <c r="U7787" s="10"/>
      <c r="V7787" s="10"/>
      <c r="W7787" s="10"/>
      <c r="X7787" s="10"/>
      <c r="Y7787" s="10"/>
      <c r="Z7787" s="10"/>
    </row>
    <row r="7788" spans="1:26" ht="12.75">
      <c r="A7788" s="10" t="str">
        <f ca="1">IFERROR(__xludf.DUMMYFUNCTION("""COMPUTED_VALUE"""),"Христина Станчева Богова (Христова)")</f>
        <v>Христина Станчева Богова (Христова)</v>
      </c>
      <c r="B7788" s="10" t="str">
        <f ca="1">IFERROR(__xludf.DUMMYFUNCTION("""COMPUTED_VALUE"""),"Книга")</f>
        <v>Книга</v>
      </c>
      <c r="C7788" s="10" t="str">
        <f ca="1">IFERROR(__xludf.DUMMYFUNCTION("""COMPUTED_VALUE"""),"Организация и управление на обществените процеси.")</f>
        <v>Организация и управление на обществените процеси.</v>
      </c>
      <c r="D7788" s="10">
        <f ca="1">IFERROR(__xludf.DUMMYFUNCTION("""COMPUTED_VALUE"""),2017)</f>
        <v>2017</v>
      </c>
      <c r="E7788" s="10" t="str">
        <f ca="1">IFERROR(__xludf.DUMMYFUNCTION("""COMPUTED_VALUE"""),"Издателство „За Буквите – О писменехь”. Монография, 207 с., ISBN 978-619-185-274-1")</f>
        <v>Издателство „За Буквите – О писменехь”. Монография, 207 с., ISBN 978-619-185-274-1</v>
      </c>
      <c r="F7788" s="10"/>
      <c r="G7788" s="10"/>
      <c r="H7788" s="10"/>
      <c r="I7788" s="10"/>
      <c r="J7788" s="10"/>
      <c r="K7788" s="10"/>
      <c r="L7788" s="10"/>
      <c r="M7788" s="10"/>
      <c r="N7788" s="10"/>
      <c r="O7788" s="10"/>
      <c r="P7788" s="10"/>
      <c r="Q7788" s="10"/>
      <c r="R7788" s="10"/>
      <c r="S7788" s="10"/>
      <c r="T7788" s="10"/>
      <c r="U7788" s="10"/>
      <c r="V7788" s="10"/>
      <c r="W7788" s="10"/>
      <c r="X7788" s="10"/>
      <c r="Y7788" s="10"/>
      <c r="Z7788" s="10"/>
    </row>
    <row r="7789" spans="1:26" ht="12.75">
      <c r="A7789" s="10" t="str">
        <f ca="1">IFERROR(__xludf.DUMMYFUNCTION("""COMPUTED_VALUE"""),"Христина Станчева Богова (Христова)")</f>
        <v>Христина Станчева Богова (Христова)</v>
      </c>
      <c r="B7789" s="10" t="str">
        <f ca="1">IFERROR(__xludf.DUMMYFUNCTION("""COMPUTED_VALUE"""),"Монография")</f>
        <v>Монография</v>
      </c>
      <c r="C7789" s="10" t="str">
        <f ca="1">IFERROR(__xludf.DUMMYFUNCTION("""COMPUTED_VALUE"""),"Институции на ЕС.")</f>
        <v>Институции на ЕС.</v>
      </c>
      <c r="D7789" s="10">
        <f ca="1">IFERROR(__xludf.DUMMYFUNCTION("""COMPUTED_VALUE"""),2017)</f>
        <v>2017</v>
      </c>
      <c r="E7789" s="10" t="str">
        <f ca="1">IFERROR(__xludf.DUMMYFUNCTION("""COMPUTED_VALUE"""),"Издателство „За Буквите – О писменехь”. 164 с., ISBN 978-619-185-275-8")</f>
        <v>Издателство „За Буквите – О писменехь”. 164 с., ISBN 978-619-185-275-8</v>
      </c>
      <c r="F7789" s="10"/>
      <c r="G7789" s="10"/>
      <c r="H7789" s="10"/>
      <c r="I7789" s="10"/>
      <c r="J7789" s="10"/>
      <c r="K7789" s="10"/>
      <c r="L7789" s="10"/>
      <c r="M7789" s="10"/>
      <c r="N7789" s="10"/>
      <c r="O7789" s="10"/>
      <c r="P7789" s="10"/>
      <c r="Q7789" s="10"/>
      <c r="R7789" s="10"/>
      <c r="S7789" s="10"/>
      <c r="T7789" s="10"/>
      <c r="U7789" s="10"/>
      <c r="V7789" s="10"/>
      <c r="W7789" s="10"/>
      <c r="X7789" s="10"/>
      <c r="Y7789" s="10"/>
      <c r="Z7789" s="10"/>
    </row>
    <row r="7790" spans="1:26" ht="12.75">
      <c r="A7790" s="10" t="str">
        <f ca="1">IFERROR(__xludf.DUMMYFUNCTION("""COMPUTED_VALUE"""),"Христина Станчева Богова (Христова)")</f>
        <v>Христина Станчева Богова (Христова)</v>
      </c>
      <c r="B7790" s="10" t="str">
        <f ca="1">IFERROR(__xludf.DUMMYFUNCTION("""COMPUTED_VALUE"""),"Статия в списания и поредици")</f>
        <v>Статия в списания и поредици</v>
      </c>
      <c r="C7790" s="10" t="str">
        <f ca="1">IFERROR(__xludf.DUMMYFUNCTION("""COMPUTED_VALUE"""),"Активное общение - условия, формы и уровни коммуникации.")</f>
        <v>Активное общение - условия, формы и уровни коммуникации.</v>
      </c>
      <c r="D7790" s="10">
        <f ca="1">IFERROR(__xludf.DUMMYFUNCTION("""COMPUTED_VALUE"""),2017)</f>
        <v>2017</v>
      </c>
      <c r="E7790" s="10" t="str">
        <f ca="1">IFERROR(__xludf.DUMMYFUNCTION("""COMPUTED_VALUE"""),"УПРАВЛЕНИЕ СОЦИАЛЬНО - ЭКОНОМИЧЕСКИМИ СИСТЕМАМИ: ТЕОРИЯ, МЕТОДОЛОГИЯ, ПРАКТИКА: сборник статей Международной научно-практической конференции. В 2 ч. Ч.1- Пенза: МЦНС ""Наука и просвещение"", 209-215, ISBN 978-5-906973-40-5 Ч.1.")</f>
        <v>УПРАВЛЕНИЕ СОЦИАЛЬНО - ЭКОНОМИЧЕСКИМИ СИСТЕМАМИ: ТЕОРИЯ, МЕТОДОЛОГИЯ, ПРАКТИКА: сборник статей Международной научно-практической конференции. В 2 ч. Ч.1- Пенза: МЦНС "Наука и просвещение", 209-215, ISBN 978-5-906973-40-5 Ч.1.</v>
      </c>
      <c r="F7790" s="10"/>
      <c r="G7790" s="10"/>
      <c r="H7790" s="10"/>
      <c r="I7790" s="10"/>
      <c r="J7790" s="10"/>
      <c r="K7790" s="10"/>
      <c r="L7790" s="10"/>
      <c r="M7790" s="10"/>
      <c r="N7790" s="10"/>
      <c r="O7790" s="10"/>
      <c r="P7790" s="10"/>
      <c r="Q7790" s="10"/>
      <c r="R7790" s="10"/>
      <c r="S7790" s="10"/>
      <c r="T7790" s="10"/>
      <c r="U7790" s="10"/>
      <c r="V7790" s="10"/>
      <c r="W7790" s="10"/>
      <c r="X7790" s="10"/>
      <c r="Y7790" s="10"/>
      <c r="Z7790" s="10"/>
    </row>
    <row r="7791" spans="1:26" ht="12.75">
      <c r="A7791" s="10" t="str">
        <f ca="1">IFERROR(__xludf.DUMMYFUNCTION("""COMPUTED_VALUE"""),"Христина Станчева Богова (Христова)")</f>
        <v>Христина Станчева Богова (Христова)</v>
      </c>
      <c r="B7791" s="10" t="str">
        <f ca="1">IFERROR(__xludf.DUMMYFUNCTION("""COMPUTED_VALUE"""),"Доклад от конференция")</f>
        <v>Доклад от конференция</v>
      </c>
      <c r="C7791" s="10" t="str">
        <f ca="1">IFERROR(__xludf.DUMMYFUNCTION("""COMPUTED_VALUE"""),"Стратегии ведения переговоров в поликультурной среде.")</f>
        <v>Стратегии ведения переговоров в поликультурной среде.</v>
      </c>
      <c r="D7791" s="10">
        <f ca="1">IFERROR(__xludf.DUMMYFUNCTION("""COMPUTED_VALUE"""),2017)</f>
        <v>2017</v>
      </c>
      <c r="E7791" s="10" t="str">
        <f ca="1">IFERROR(__xludf.DUMMYFUNCTION("""COMPUTED_VALUE"""),"IITERNATIONAL INNOVATION RESEARCH: сборник статей IX Международной научно-практической конференции. В 2 ч. Ч.1- Пенза: МЦНС ""Наука и просвещение"", 276-280, ISBN 978-5-906973-36-8 Ч.1.")</f>
        <v>IITERNATIONAL INNOVATION RESEARCH: сборник статей IX Международной научно-практической конференции. В 2 ч. Ч.1- Пенза: МЦНС "Наука и просвещение", 276-280, ISBN 978-5-906973-36-8 Ч.1.</v>
      </c>
      <c r="F7791" s="10"/>
      <c r="G7791" s="10"/>
      <c r="H7791" s="10"/>
      <c r="I7791" s="10"/>
      <c r="J7791" s="10"/>
      <c r="K7791" s="10"/>
      <c r="L7791" s="10"/>
      <c r="M7791" s="10"/>
      <c r="N7791" s="10"/>
      <c r="O7791" s="10"/>
      <c r="P7791" s="10"/>
      <c r="Q7791" s="10"/>
      <c r="R7791" s="10"/>
      <c r="S7791" s="10"/>
      <c r="T7791" s="10"/>
      <c r="U7791" s="10"/>
      <c r="V7791" s="10"/>
      <c r="W7791" s="10"/>
      <c r="X7791" s="10"/>
      <c r="Y7791" s="10"/>
      <c r="Z7791" s="10"/>
    </row>
    <row r="7792" spans="1:26" ht="12.75">
      <c r="A7792" s="10" t="str">
        <f ca="1">IFERROR(__xludf.DUMMYFUNCTION("""COMPUTED_VALUE"""),"Христина Станчева Богова (Христова)")</f>
        <v>Христина Станчева Богова (Христова)</v>
      </c>
      <c r="B7792" s="10" t="str">
        <f ca="1">IFERROR(__xludf.DUMMYFUNCTION("""COMPUTED_VALUE"""),"Доклад от конференция")</f>
        <v>Доклад от конференция</v>
      </c>
      <c r="C7792" s="10" t="str">
        <f ca="1">IFERROR(__xludf.DUMMYFUNCTION("""COMPUTED_VALUE"""),"Използването на електронните медии при междуинституционалното общуване.")</f>
        <v>Използването на електронните медии при междуинституционалното общуване.</v>
      </c>
      <c r="D7792" s="10">
        <f ca="1">IFERROR(__xludf.DUMMYFUNCTION("""COMPUTED_VALUE"""),2016)</f>
        <v>2016</v>
      </c>
      <c r="E7792" s="10" t="str">
        <f ca="1">IFERROR(__xludf.DUMMYFUNCTION("""COMPUTED_VALUE"""),"Втора кръгла маса „Проблеми и деструкции при обществената комуникация”, проведена в София през м.юни 2016 г. С., Издателство "" За буквите - О писменехь"", 179-185, ISSN 2534-9430.")</f>
        <v>Втора кръгла маса „Проблеми и деструкции при обществената комуникация”, проведена в София през м.юни 2016 г. С., Издателство " За буквите - О писменехь", 179-185, ISSN 2534-9430.</v>
      </c>
      <c r="F7792" s="10"/>
      <c r="G7792" s="10"/>
      <c r="H7792" s="10"/>
      <c r="I7792" s="10"/>
      <c r="J7792" s="10"/>
      <c r="K7792" s="10"/>
      <c r="L7792" s="10"/>
      <c r="M7792" s="10"/>
      <c r="N7792" s="10"/>
      <c r="O7792" s="10"/>
      <c r="P7792" s="10"/>
      <c r="Q7792" s="10"/>
      <c r="R7792" s="10"/>
      <c r="S7792" s="10"/>
      <c r="T7792" s="10"/>
      <c r="U7792" s="10"/>
      <c r="V7792" s="10"/>
      <c r="W7792" s="10"/>
      <c r="X7792" s="10"/>
      <c r="Y7792" s="10"/>
      <c r="Z7792" s="10"/>
    </row>
    <row r="7793" spans="1:26" ht="12.75">
      <c r="A7793" s="10" t="str">
        <f ca="1">IFERROR(__xludf.DUMMYFUNCTION("""COMPUTED_VALUE"""),"Христина Станчева Богова (Христова)")</f>
        <v>Христина Станчева Богова (Христова)</v>
      </c>
      <c r="B7793" s="10" t="str">
        <f ca="1">IFERROR(__xludf.DUMMYFUNCTION("""COMPUTED_VALUE"""),"Статия в списания и поредици")</f>
        <v>Статия в списания и поредици</v>
      </c>
      <c r="C7793" s="10" t="str">
        <f ca="1">IFERROR(__xludf.DUMMYFUNCTION("""COMPUTED_VALUE"""),"Информационно-комуникационни модели при общуване.")</f>
        <v>Информационно-комуникационни модели при общуване.</v>
      </c>
      <c r="D7793" s="10">
        <f ca="1">IFERROR(__xludf.DUMMYFUNCTION("""COMPUTED_VALUE"""),2016)</f>
        <v>2016</v>
      </c>
      <c r="E7793" s="10" t="str">
        <f ca="1">IFERROR(__xludf.DUMMYFUNCTION("""COMPUTED_VALUE"""),"Издателство "" За буквите - О писменехь"", ISSN 1314-7099")</f>
        <v>Издателство " За буквите - О писменехь", ISSN 1314-7099</v>
      </c>
      <c r="F7793" s="10"/>
      <c r="G7793" s="10" t="str">
        <f ca="1">IFERROR(__xludf.DUMMYFUNCTION("""COMPUTED_VALUE"""),"Василева Евгения")</f>
        <v>Василева Евгения</v>
      </c>
      <c r="H7793" s="10"/>
      <c r="I7793" s="10"/>
      <c r="J7793" s="10"/>
      <c r="K7793" s="10"/>
      <c r="L7793" s="10"/>
      <c r="M7793" s="10"/>
      <c r="N7793" s="10"/>
      <c r="O7793" s="10"/>
      <c r="P7793" s="10"/>
      <c r="Q7793" s="10"/>
      <c r="R7793" s="10"/>
      <c r="S7793" s="10"/>
      <c r="T7793" s="10"/>
      <c r="U7793" s="10"/>
      <c r="V7793" s="10"/>
      <c r="W7793" s="10"/>
      <c r="X7793" s="10"/>
      <c r="Y7793" s="10"/>
      <c r="Z7793" s="10"/>
    </row>
    <row r="7794" spans="1:26" ht="12.75">
      <c r="A7794" s="10" t="str">
        <f ca="1">IFERROR(__xludf.DUMMYFUNCTION("""COMPUTED_VALUE"""),"Христина Станчева Богова (Христова)")</f>
        <v>Христина Станчева Богова (Христова)</v>
      </c>
      <c r="B7794" s="10" t="str">
        <f ca="1">IFERROR(__xludf.DUMMYFUNCTION("""COMPUTED_VALUE"""),"Статия в списания и поредици")</f>
        <v>Статия в списания и поредици</v>
      </c>
      <c r="C7794" s="10" t="str">
        <f ca="1">IFERROR(__xludf.DUMMYFUNCTION("""COMPUTED_VALUE"""),"Използването на комуникационните техники в образователния процес")</f>
        <v>Използването на комуникационните техники в образователния процес</v>
      </c>
      <c r="D7794" s="10">
        <f ca="1">IFERROR(__xludf.DUMMYFUNCTION("""COMPUTED_VALUE"""),2016)</f>
        <v>2016</v>
      </c>
      <c r="E7794" s="10" t="str">
        <f ca="1">IFERROR(__xludf.DUMMYFUNCTION("""COMPUTED_VALUE"""),"Издателство "" За буквите - О писменехь"", ISSN 1314-7099")</f>
        <v>Издателство " За буквите - О писменехь", ISSN 1314-7099</v>
      </c>
      <c r="F7794" s="10"/>
      <c r="G7794" s="10"/>
      <c r="H7794" s="10"/>
      <c r="I7794" s="10"/>
      <c r="J7794" s="10"/>
      <c r="K7794" s="10"/>
      <c r="L7794" s="10"/>
      <c r="M7794" s="10"/>
      <c r="N7794" s="10"/>
      <c r="O7794" s="10"/>
      <c r="P7794" s="10"/>
      <c r="Q7794" s="10"/>
      <c r="R7794" s="10"/>
      <c r="S7794" s="10"/>
      <c r="T7794" s="10"/>
      <c r="U7794" s="10"/>
      <c r="V7794" s="10"/>
      <c r="W7794" s="10"/>
      <c r="X7794" s="10"/>
      <c r="Y7794" s="10"/>
      <c r="Z7794" s="10"/>
    </row>
    <row r="7795" spans="1:26" ht="12.75">
      <c r="A7795" s="10" t="str">
        <f ca="1">IFERROR(__xludf.DUMMYFUNCTION("""COMPUTED_VALUE"""),"Христина Станчева Богова (Христова)")</f>
        <v>Христина Станчева Богова (Христова)</v>
      </c>
      <c r="B7795" s="10" t="str">
        <f ca="1">IFERROR(__xludf.DUMMYFUNCTION("""COMPUTED_VALUE"""),"Статия в списания и поредици")</f>
        <v>Статия в списания и поредици</v>
      </c>
      <c r="C7795" s="10" t="str">
        <f ca="1">IFERROR(__xludf.DUMMYFUNCTION("""COMPUTED_VALUE"""),"Конфликти и конфликтни ситуации. Разрешаване на конфликти")</f>
        <v>Конфликти и конфликтни ситуации. Разрешаване на конфликти</v>
      </c>
      <c r="D7795" s="10">
        <f ca="1">IFERROR(__xludf.DUMMYFUNCTION("""COMPUTED_VALUE"""),2016)</f>
        <v>2016</v>
      </c>
      <c r="E7795" s="10" t="str">
        <f ca="1">IFERROR(__xludf.DUMMYFUNCTION("""COMPUTED_VALUE"""),"Издателство "" За буквите - О писменехь"", ISSN 1314-2623")</f>
        <v>Издателство " За буквите - О писменехь", ISSN 1314-2623</v>
      </c>
      <c r="F7795" s="10"/>
      <c r="G7795" s="10"/>
      <c r="H7795" s="10"/>
      <c r="I7795" s="10"/>
      <c r="J7795" s="10"/>
      <c r="K7795" s="10"/>
      <c r="L7795" s="10"/>
      <c r="M7795" s="10"/>
      <c r="N7795" s="10"/>
      <c r="O7795" s="10"/>
      <c r="P7795" s="10"/>
      <c r="Q7795" s="10"/>
      <c r="R7795" s="10"/>
      <c r="S7795" s="10"/>
      <c r="T7795" s="10"/>
      <c r="U7795" s="10"/>
      <c r="V7795" s="10"/>
      <c r="W7795" s="10"/>
      <c r="X7795" s="10"/>
      <c r="Y7795" s="10"/>
      <c r="Z7795" s="10"/>
    </row>
    <row r="7796" spans="1:26" ht="12.75">
      <c r="A7796" s="10" t="str">
        <f ca="1">IFERROR(__xludf.DUMMYFUNCTION("""COMPUTED_VALUE"""),"Христина Станчева Богова (Христова)")</f>
        <v>Христина Станчева Богова (Христова)</v>
      </c>
      <c r="B7796" s="10" t="str">
        <f ca="1">IFERROR(__xludf.DUMMYFUNCTION("""COMPUTED_VALUE"""),"Доклад от конференция")</f>
        <v>Доклад от конференция</v>
      </c>
      <c r="C7796" s="10" t="str">
        <f ca="1">IFERROR(__xludf.DUMMYFUNCTION("""COMPUTED_VALUE"""),"Комуникации и култура.Управление на знанията")</f>
        <v>Комуникации и култура.Управление на знанията</v>
      </c>
      <c r="D7796" s="10">
        <f ca="1">IFERROR(__xludf.DUMMYFUNCTION("""COMPUTED_VALUE"""),2015)</f>
        <v>2015</v>
      </c>
      <c r="E7796" s="10" t="str">
        <f ca="1">IFERROR(__xludf.DUMMYFUNCTION("""COMPUTED_VALUE"""),"Дванадесета национална научна конференция с международно участие: “Обществото на знанието и хуманизмът на ХХІ век”, Издателство "" За буквите - О писменехь"", ISSN 1314-7099 с. 404-408")</f>
        <v>Дванадесета национална научна конференция с международно участие: “Обществото на знанието и хуманизмът на ХХІ век”, Издателство " За буквите - О писменехь", ISSN 1314-7099 с. 404-408</v>
      </c>
      <c r="F7796" s="10"/>
      <c r="G7796" s="10"/>
      <c r="H7796" s="10"/>
      <c r="I7796" s="10"/>
      <c r="J7796" s="10"/>
      <c r="K7796" s="10"/>
      <c r="L7796" s="10"/>
      <c r="M7796" s="10"/>
      <c r="N7796" s="10"/>
      <c r="O7796" s="10"/>
      <c r="P7796" s="10"/>
      <c r="Q7796" s="10"/>
      <c r="R7796" s="10"/>
      <c r="S7796" s="10"/>
      <c r="T7796" s="10"/>
      <c r="U7796" s="10"/>
      <c r="V7796" s="10"/>
      <c r="W7796" s="10"/>
      <c r="X7796" s="10"/>
      <c r="Y7796" s="10"/>
      <c r="Z7796" s="10"/>
    </row>
    <row r="7797" spans="1:26" ht="12.75">
      <c r="A7797" s="10" t="str">
        <f ca="1">IFERROR(__xludf.DUMMYFUNCTION("""COMPUTED_VALUE"""),"Христина Станчева Богова (Христова)")</f>
        <v>Христина Станчева Богова (Христова)</v>
      </c>
      <c r="B7797" s="10" t="str">
        <f ca="1">IFERROR(__xludf.DUMMYFUNCTION("""COMPUTED_VALUE"""),"Доклад от конференция")</f>
        <v>Доклад от конференция</v>
      </c>
      <c r="C7797" s="10" t="str">
        <f ca="1">IFERROR(__xludf.DUMMYFUNCTION("""COMPUTED_VALUE"""),"Ролята на медиите в съвременния свят и образованието")</f>
        <v>Ролята на медиите в съвременния свят и образованието</v>
      </c>
      <c r="D7797" s="10">
        <f ca="1">IFERROR(__xludf.DUMMYFUNCTION("""COMPUTED_VALUE"""),2015)</f>
        <v>2015</v>
      </c>
      <c r="E7797" s="10" t="str">
        <f ca="1">IFERROR(__xludf.DUMMYFUNCTION("""COMPUTED_VALUE"""),"Тринадесета национална научна конференция с международно участие: “Обществото на знанието и хуманизмът на ХХІ век”, Издателство "" За буквите - О писменехь"", ISSN 1314-7099, с. 557-564")</f>
        <v>Тринадесета национална научна конференция с международно участие: “Обществото на знанието и хуманизмът на ХХІ век”, Издателство " За буквите - О писменехь", ISSN 1314-7099, с. 557-564</v>
      </c>
      <c r="F7797" s="10"/>
      <c r="G7797" s="10"/>
      <c r="H7797" s="10"/>
      <c r="I7797" s="10"/>
      <c r="J7797" s="10"/>
      <c r="K7797" s="10"/>
      <c r="L7797" s="10"/>
      <c r="M7797" s="10"/>
      <c r="N7797" s="10"/>
      <c r="O7797" s="10"/>
      <c r="P7797" s="10"/>
      <c r="Q7797" s="10"/>
      <c r="R7797" s="10"/>
      <c r="S7797" s="10"/>
      <c r="T7797" s="10"/>
      <c r="U7797" s="10"/>
      <c r="V7797" s="10"/>
      <c r="W7797" s="10"/>
      <c r="X7797" s="10"/>
      <c r="Y7797" s="10"/>
      <c r="Z7797" s="10"/>
    </row>
    <row r="7798" spans="1:26" ht="12.75">
      <c r="A7798" s="10" t="str">
        <f ca="1">IFERROR(__xludf.DUMMYFUNCTION("""COMPUTED_VALUE"""),"Христина Станчева Богова (Христова)")</f>
        <v>Христина Станчева Богова (Христова)</v>
      </c>
      <c r="B7798" s="10" t="str">
        <f ca="1">IFERROR(__xludf.DUMMYFUNCTION("""COMPUTED_VALUE"""),"Доклад от конференция")</f>
        <v>Доклад от конференция</v>
      </c>
      <c r="C7798" s="10" t="str">
        <f ca="1">IFERROR(__xludf.DUMMYFUNCTION("""COMPUTED_VALUE"""),"Media and political changes in the Bulgarian society from 1989 to 2015")</f>
        <v>Media and political changes in the Bulgarian society from 1989 to 2015</v>
      </c>
      <c r="D7798" s="10">
        <f ca="1">IFERROR(__xludf.DUMMYFUNCTION("""COMPUTED_VALUE"""),2015)</f>
        <v>2015</v>
      </c>
      <c r="E7798" s="10" t="str">
        <f ca="1">IFERROR(__xludf.DUMMYFUNCTION("""COMPUTED_VALUE"""),"Second international scientific conference “Social change in the global world”, Shtip, September 3,4 2015, ISBN 978-608-244-")</f>
        <v>Second international scientific conference “Social change in the global world”, Shtip, September 3,4 2015, ISBN 978-608-244-</v>
      </c>
      <c r="F7798" s="10"/>
      <c r="G7798" s="10"/>
      <c r="H7798" s="10"/>
      <c r="I7798" s="10"/>
      <c r="J7798" s="10"/>
      <c r="K7798" s="10"/>
      <c r="L7798" s="10"/>
      <c r="M7798" s="10"/>
      <c r="N7798" s="10"/>
      <c r="O7798" s="10"/>
      <c r="P7798" s="10"/>
      <c r="Q7798" s="10"/>
      <c r="R7798" s="10"/>
      <c r="S7798" s="10"/>
      <c r="T7798" s="10"/>
      <c r="U7798" s="10"/>
      <c r="V7798" s="10"/>
      <c r="W7798" s="10"/>
      <c r="X7798" s="10"/>
      <c r="Y7798" s="10"/>
      <c r="Z7798" s="10"/>
    </row>
    <row r="7799" spans="1:26" ht="12.75">
      <c r="A7799" s="10" t="str">
        <f ca="1">IFERROR(__xludf.DUMMYFUNCTION("""COMPUTED_VALUE"""),"Христина Станчева Богова (Христова)")</f>
        <v>Христина Станчева Богова (Христова)</v>
      </c>
      <c r="B7799" s="10" t="str">
        <f ca="1">IFERROR(__xludf.DUMMYFUNCTION("""COMPUTED_VALUE"""),"Доклад от конференция")</f>
        <v>Доклад от конференция</v>
      </c>
      <c r="C7799" s="10" t="str">
        <f ca="1">IFERROR(__xludf.DUMMYFUNCTION("""COMPUTED_VALUE"""),"Същност и използване на интерактивните методи при обучението на студенти")</f>
        <v>Същност и използване на интерактивните методи при обучението на студенти</v>
      </c>
      <c r="D7799" s="10">
        <f ca="1">IFERROR(__xludf.DUMMYFUNCTION("""COMPUTED_VALUE"""),2015)</f>
        <v>2015</v>
      </c>
      <c r="E7799" s="10" t="str">
        <f ca="1">IFERROR(__xludf.DUMMYFUNCTION("""COMPUTED_VALUE"""),"Научни доклади от кръгла маса на тема: “ Приложението на дидактически методи с евристичен характер (интерактивни методи) в")</f>
        <v>Научни доклади от кръгла маса на тема: “ Приложението на дидактически методи с евристичен характер (интерактивни методи) в</v>
      </c>
      <c r="F7799" s="10"/>
      <c r="G7799" s="10" t="str">
        <f ca="1">IFERROR(__xludf.DUMMYFUNCTION("""COMPUTED_VALUE"""),"Атанасова, М.")</f>
        <v>Атанасова, М.</v>
      </c>
      <c r="H7799" s="10"/>
      <c r="I7799" s="10"/>
      <c r="J7799" s="10"/>
      <c r="K7799" s="10"/>
      <c r="L7799" s="10"/>
      <c r="M7799" s="10"/>
      <c r="N7799" s="10"/>
      <c r="O7799" s="10"/>
      <c r="P7799" s="10"/>
      <c r="Q7799" s="10"/>
      <c r="R7799" s="10"/>
      <c r="S7799" s="10"/>
      <c r="T7799" s="10"/>
      <c r="U7799" s="10"/>
      <c r="V7799" s="10"/>
      <c r="W7799" s="10"/>
      <c r="X7799" s="10"/>
      <c r="Y7799" s="10"/>
      <c r="Z7799" s="10"/>
    </row>
    <row r="7800" spans="1:26" ht="12.75">
      <c r="A7800" s="10" t="str">
        <f ca="1">IFERROR(__xludf.DUMMYFUNCTION("""COMPUTED_VALUE"""),"Христина Станчева Богова (Христова)")</f>
        <v>Христина Станчева Богова (Христова)</v>
      </c>
      <c r="B7800" s="10" t="str">
        <f ca="1">IFERROR(__xludf.DUMMYFUNCTION("""COMPUTED_VALUE"""),"Доклад от конференция")</f>
        <v>Доклад от конференция</v>
      </c>
      <c r="C7800" s="10" t="str">
        <f ca="1">IFERROR(__xludf.DUMMYFUNCTION("""COMPUTED_VALUE"""),"Отразяването на етнокултурата в медиите")</f>
        <v>Отразяването на етнокултурата в медиите</v>
      </c>
      <c r="D7800" s="10">
        <f ca="1">IFERROR(__xludf.DUMMYFUNCTION("""COMPUTED_VALUE"""),2015)</f>
        <v>2015</v>
      </c>
      <c r="E7800" s="10" t="str">
        <f ca="1">IFERROR(__xludf.DUMMYFUNCTION("""COMPUTED_VALUE"""),"Международна научна конференция на тема: “Европа гледа на изток”, 26-27 юни 2015 г., София")</f>
        <v>Международна научна конференция на тема: “Европа гледа на изток”, 26-27 юни 2015 г., София</v>
      </c>
      <c r="F7800" s="10"/>
      <c r="G7800" s="10"/>
      <c r="H7800" s="10"/>
      <c r="I7800" s="10"/>
      <c r="J7800" s="10"/>
      <c r="K7800" s="10"/>
      <c r="L7800" s="10"/>
      <c r="M7800" s="10"/>
      <c r="N7800" s="10"/>
      <c r="O7800" s="10"/>
      <c r="P7800" s="10"/>
      <c r="Q7800" s="10"/>
      <c r="R7800" s="10"/>
      <c r="S7800" s="10"/>
      <c r="T7800" s="10"/>
      <c r="U7800" s="10"/>
      <c r="V7800" s="10"/>
      <c r="W7800" s="10"/>
      <c r="X7800" s="10"/>
      <c r="Y7800" s="10"/>
      <c r="Z7800" s="10"/>
    </row>
    <row r="7801" spans="1:26" ht="12.75">
      <c r="A7801" s="10" t="str">
        <f ca="1">IFERROR(__xludf.DUMMYFUNCTION("""COMPUTED_VALUE"""),"Христина Станчева Богова (Христова)")</f>
        <v>Христина Станчева Богова (Христова)</v>
      </c>
      <c r="B7801" s="10" t="str">
        <f ca="1">IFERROR(__xludf.DUMMYFUNCTION("""COMPUTED_VALUE"""),"Доклад от конференция")</f>
        <v>Доклад от конференция</v>
      </c>
      <c r="C7801" s="10" t="str">
        <f ca="1">IFERROR(__xludf.DUMMYFUNCTION("""COMPUTED_VALUE"""),"Фактори, оказващи влияние върху успеха на публичните изказвания")</f>
        <v>Фактори, оказващи влияние върху успеха на публичните изказвания</v>
      </c>
      <c r="D7801" s="10">
        <f ca="1">IFERROR(__xludf.DUMMYFUNCTION("""COMPUTED_VALUE"""),2015)</f>
        <v>2015</v>
      </c>
      <c r="E7801" s="10" t="str">
        <f ca="1">IFERROR(__xludf.DUMMYFUNCTION("""COMPUTED_VALUE"""),"Научни доклади от Първа кръгла маса: “Проблеми на обществената комуникация” 2015, Издателство "" За буквите - О писменехь"", ISBN 978619-185-166-9, с.144-149")</f>
        <v>Научни доклади от Първа кръгла маса: “Проблеми на обществената комуникация” 2015, Издателство " За буквите - О писменехь", ISBN 978619-185-166-9, с.144-149</v>
      </c>
      <c r="F7801" s="10"/>
      <c r="G7801" s="10" t="str">
        <f ca="1">IFERROR(__xludf.DUMMYFUNCTION("""COMPUTED_VALUE"""),"Атанасова, М.")</f>
        <v>Атанасова, М.</v>
      </c>
      <c r="H7801" s="10"/>
      <c r="I7801" s="10"/>
      <c r="J7801" s="10"/>
      <c r="K7801" s="10"/>
      <c r="L7801" s="10"/>
      <c r="M7801" s="10"/>
      <c r="N7801" s="10"/>
      <c r="O7801" s="10"/>
      <c r="P7801" s="10"/>
      <c r="Q7801" s="10"/>
      <c r="R7801" s="10"/>
      <c r="S7801" s="10"/>
      <c r="T7801" s="10"/>
      <c r="U7801" s="10"/>
      <c r="V7801" s="10"/>
      <c r="W7801" s="10"/>
      <c r="X7801" s="10"/>
      <c r="Y7801" s="10"/>
      <c r="Z7801" s="10"/>
    </row>
    <row r="7802" spans="1:26" ht="12.75">
      <c r="A7802" s="10" t="str">
        <f ca="1">IFERROR(__xludf.DUMMYFUNCTION("""COMPUTED_VALUE"""),"Христина Станчева Богова (Христова)")</f>
        <v>Христина Станчева Богова (Христова)</v>
      </c>
      <c r="B7802" s="10" t="str">
        <f ca="1">IFERROR(__xludf.DUMMYFUNCTION("""COMPUTED_VALUE"""),"Статия в списания и поредици")</f>
        <v>Статия в списания и поредици</v>
      </c>
      <c r="C7802" s="10" t="str">
        <f ca="1">IFERROR(__xludf.DUMMYFUNCTION("""COMPUTED_VALUE"""),"Невербалните комуникационни знаци при обучението на студенти")</f>
        <v>Невербалните комуникационни знаци при обучението на студенти</v>
      </c>
      <c r="D7802" s="10">
        <f ca="1">IFERROR(__xludf.DUMMYFUNCTION("""COMPUTED_VALUE"""),2015)</f>
        <v>2015</v>
      </c>
      <c r="E7802" s="10" t="str">
        <f ca="1">IFERROR(__xludf.DUMMYFUNCTION("""COMPUTED_VALUE"""),"Научен семинарна УниБИТ “Нови информационни технологии в образователния процес”, 4-8 април 2015 г., Истанбул, Издателство "" За буквите - О писменехь"", ISSN 1313-2768, с 340-351")</f>
        <v>Научен семинарна УниБИТ “Нови информационни технологии в образователния процес”, 4-8 април 2015 г., Истанбул, Издателство " За буквите - О писменехь", ISSN 1313-2768, с 340-351</v>
      </c>
      <c r="F7802" s="10"/>
      <c r="G7802" s="10"/>
      <c r="H7802" s="10"/>
      <c r="I7802" s="10"/>
      <c r="J7802" s="10"/>
      <c r="K7802" s="10"/>
      <c r="L7802" s="10"/>
      <c r="M7802" s="10"/>
      <c r="N7802" s="10"/>
      <c r="O7802" s="10"/>
      <c r="P7802" s="10"/>
      <c r="Q7802" s="10"/>
      <c r="R7802" s="10"/>
      <c r="S7802" s="10"/>
      <c r="T7802" s="10"/>
      <c r="U7802" s="10"/>
      <c r="V7802" s="10"/>
      <c r="W7802" s="10"/>
      <c r="X7802" s="10"/>
      <c r="Y7802" s="10"/>
      <c r="Z7802" s="10"/>
    </row>
    <row r="7803" spans="1:26" ht="12.75">
      <c r="A7803" s="10" t="str">
        <f ca="1">IFERROR(__xludf.DUMMYFUNCTION("""COMPUTED_VALUE"""),"Христина Станчева Богова (Христова)")</f>
        <v>Христина Станчева Богова (Христова)</v>
      </c>
      <c r="B7803" s="10" t="str">
        <f ca="1">IFERROR(__xludf.DUMMYFUNCTION("""COMPUTED_VALUE"""),"Доклад от конференция")</f>
        <v>Доклад от конференция</v>
      </c>
      <c r="C7803" s="10" t="str">
        <f ca="1">IFERROR(__xludf.DUMMYFUNCTION("""COMPUTED_VALUE"""),"Формиране на комуникационни умения на лидера в академична среда")</f>
        <v>Формиране на комуникационни умения на лидера в академична среда</v>
      </c>
      <c r="D7803" s="10">
        <f ca="1">IFERROR(__xludf.DUMMYFUNCTION("""COMPUTED_VALUE"""),2015)</f>
        <v>2015</v>
      </c>
      <c r="E7803" s="10" t="str">
        <f ca="1">IFERROR(__xludf.DUMMYFUNCTION("""COMPUTED_VALUE"""),"Девета научна конференция на тема: “Лидерството в демократична България: изучаване, преподаване, възпитаване”. София, 30 януари")</f>
        <v>Девета научна конференция на тема: “Лидерството в демократична България: изучаване, преподаване, възпитаване”. София, 30 януари</v>
      </c>
      <c r="F7803" s="10"/>
      <c r="G7803" s="10" t="str">
        <f ca="1">IFERROR(__xludf.DUMMYFUNCTION("""COMPUTED_VALUE"""),"Атанасова, М.")</f>
        <v>Атанасова, М.</v>
      </c>
      <c r="H7803" s="10"/>
      <c r="I7803" s="10"/>
      <c r="J7803" s="10"/>
      <c r="K7803" s="10"/>
      <c r="L7803" s="10"/>
      <c r="M7803" s="10"/>
      <c r="N7803" s="10"/>
      <c r="O7803" s="10"/>
      <c r="P7803" s="10"/>
      <c r="Q7803" s="10"/>
      <c r="R7803" s="10"/>
      <c r="S7803" s="10"/>
      <c r="T7803" s="10"/>
      <c r="U7803" s="10"/>
      <c r="V7803" s="10"/>
      <c r="W7803" s="10"/>
      <c r="X7803" s="10"/>
      <c r="Y7803" s="10"/>
      <c r="Z7803" s="10"/>
    </row>
    <row r="7804" spans="1:26" ht="12.75">
      <c r="A7804" s="10" t="str">
        <f ca="1">IFERROR(__xludf.DUMMYFUNCTION("""COMPUTED_VALUE"""),"Христина Станчева Богова (Христова)")</f>
        <v>Христина Станчева Богова (Христова)</v>
      </c>
      <c r="B7804" s="10" t="str">
        <f ca="1">IFERROR(__xludf.DUMMYFUNCTION("""COMPUTED_VALUE"""),"Доклад от конференция")</f>
        <v>Доклад от конференция</v>
      </c>
      <c r="C7804" s="10" t="str">
        <f ca="1">IFERROR(__xludf.DUMMYFUNCTION("""COMPUTED_VALUE"""),"Същност и използване на интерактивните методи при обучението на студенти. Приложението на дидактически методи с евристичен характер в академична среда.")</f>
        <v>Същност и използване на интерактивните методи при обучението на студенти. Приложението на дидактически методи с евристичен характер в академична среда.</v>
      </c>
      <c r="D7804" s="10">
        <f ca="1">IFERROR(__xludf.DUMMYFUNCTION("""COMPUTED_VALUE"""),2014)</f>
        <v>2014</v>
      </c>
      <c r="E7804" s="10" t="str">
        <f ca="1">IFERROR(__xludf.DUMMYFUNCTION("""COMPUTED_VALUE"""),"Сборник с доклади по научноизследователски проект НИП-2014-04, С., Издателство "" За буквите - О писменехь"", 63-72, ISBN 978-619-185-144-7.")</f>
        <v>Сборник с доклади по научноизследователски проект НИП-2014-04, С., Издателство " За буквите - О писменехь", 63-72, ISBN 978-619-185-144-7.</v>
      </c>
      <c r="F7804" s="10"/>
      <c r="G7804" s="10" t="str">
        <f ca="1">IFERROR(__xludf.DUMMYFUNCTION("""COMPUTED_VALUE"""),"М. Атанасова")</f>
        <v>М. Атанасова</v>
      </c>
      <c r="H7804" s="10"/>
      <c r="I7804" s="10"/>
      <c r="J7804" s="10"/>
      <c r="K7804" s="10"/>
      <c r="L7804" s="10"/>
      <c r="M7804" s="10"/>
      <c r="N7804" s="10"/>
      <c r="O7804" s="10"/>
      <c r="P7804" s="10"/>
      <c r="Q7804" s="10"/>
      <c r="R7804" s="10"/>
      <c r="S7804" s="10"/>
      <c r="T7804" s="10"/>
      <c r="U7804" s="10"/>
      <c r="V7804" s="10"/>
      <c r="W7804" s="10"/>
      <c r="X7804" s="10"/>
      <c r="Y7804" s="10"/>
      <c r="Z7804" s="10"/>
    </row>
    <row r="7805" spans="1:26" ht="12.75">
      <c r="A7805" s="10" t="str">
        <f ca="1">IFERROR(__xludf.DUMMYFUNCTION("""COMPUTED_VALUE"""),"Христина Станчева Богова (Христова)")</f>
        <v>Христина Станчева Богова (Христова)</v>
      </c>
      <c r="B7805" s="10" t="str">
        <f ca="1">IFERROR(__xludf.DUMMYFUNCTION("""COMPUTED_VALUE"""),"Статия в списания и поредици")</f>
        <v>Статия в списания и поредици</v>
      </c>
      <c r="C7805" s="10" t="str">
        <f ca="1">IFERROR(__xludf.DUMMYFUNCTION("""COMPUTED_VALUE"""),"Обща характеристика на средствата за масова информация (СМИ) като обществено-политически институт.")</f>
        <v>Обща характеристика на средствата за масова информация (СМИ) като обществено-политически институт.</v>
      </c>
      <c r="D7805" s="10">
        <f ca="1">IFERROR(__xludf.DUMMYFUNCTION("""COMPUTED_VALUE"""),2003)</f>
        <v>2003</v>
      </c>
      <c r="E7805" s="10" t="str">
        <f ca="1">IFERROR(__xludf.DUMMYFUNCTION("""COMPUTED_VALUE"""),"Списание „Ново време“, бр. 5-6 от май/юни 2003, ISSN 0323-9055")</f>
        <v>Списание „Ново време“, бр. 5-6 от май/юни 2003, ISSN 0323-9055</v>
      </c>
      <c r="F7805" s="10"/>
      <c r="G7805" s="10"/>
      <c r="H7805" s="10"/>
      <c r="I7805" s="10"/>
      <c r="J7805" s="10"/>
      <c r="K7805" s="10"/>
      <c r="L7805" s="10"/>
      <c r="M7805" s="10"/>
      <c r="N7805" s="10"/>
      <c r="O7805" s="10"/>
      <c r="P7805" s="10"/>
      <c r="Q7805" s="10"/>
      <c r="R7805" s="10"/>
      <c r="S7805" s="10"/>
      <c r="T7805" s="10"/>
      <c r="U7805" s="10"/>
      <c r="V7805" s="10"/>
      <c r="W7805" s="10"/>
      <c r="X7805" s="10"/>
      <c r="Y7805" s="10"/>
      <c r="Z7805" s="10"/>
    </row>
    <row r="7806" spans="1:26" ht="12.75">
      <c r="A7806" s="10" t="str">
        <f ca="1">IFERROR(__xludf.DUMMYFUNCTION("""COMPUTED_VALUE"""),"Христина Станчева Богова (Христова)")</f>
        <v>Христина Станчева Богова (Христова)</v>
      </c>
      <c r="B7806" s="10" t="str">
        <f ca="1">IFERROR(__xludf.DUMMYFUNCTION("""COMPUTED_VALUE"""),"Статия в списания и поредици")</f>
        <v>Статия в списания и поредици</v>
      </c>
      <c r="C7806" s="10" t="str">
        <f ca="1">IFERROR(__xludf.DUMMYFUNCTION("""COMPUTED_VALUE"""),"Отношенията между България и Русия през последните десет години, отразени в средствата за масова информация")</f>
        <v>Отношенията между България и Русия през последните десет години, отразени в средствата за масова информация</v>
      </c>
      <c r="D7806" s="10">
        <f ca="1">IFERROR(__xludf.DUMMYFUNCTION("""COMPUTED_VALUE"""),2003)</f>
        <v>2003</v>
      </c>
      <c r="E7806" s="10" t="str">
        <f ca="1">IFERROR(__xludf.DUMMYFUNCTION("""COMPUTED_VALUE"""),"Списание „Международни отношения“, ISSN 0324-1092 бр. 1/2003")</f>
        <v>Списание „Международни отношения“, ISSN 0324-1092 бр. 1/2003</v>
      </c>
      <c r="F7806" s="10"/>
      <c r="G7806" s="10"/>
      <c r="H7806" s="10"/>
      <c r="I7806" s="10"/>
      <c r="J7806" s="10"/>
      <c r="K7806" s="10"/>
      <c r="L7806" s="10"/>
      <c r="M7806" s="10"/>
      <c r="N7806" s="10"/>
      <c r="O7806" s="10"/>
      <c r="P7806" s="10"/>
      <c r="Q7806" s="10"/>
      <c r="R7806" s="10"/>
      <c r="S7806" s="10"/>
      <c r="T7806" s="10"/>
      <c r="U7806" s="10"/>
      <c r="V7806" s="10"/>
      <c r="W7806" s="10"/>
      <c r="X7806" s="10"/>
      <c r="Y7806" s="10"/>
      <c r="Z7806" s="10"/>
    </row>
    <row r="7807" spans="1:26" ht="12.75">
      <c r="A7807" s="10" t="str">
        <f ca="1">IFERROR(__xludf.DUMMYFUNCTION("""COMPUTED_VALUE"""),"Христина Станчева Богова (Христова)")</f>
        <v>Христина Станчева Богова (Христова)</v>
      </c>
      <c r="B7807" s="10" t="str">
        <f ca="1">IFERROR(__xludf.DUMMYFUNCTION("""COMPUTED_VALUE"""),"Статия в списания и поредици")</f>
        <v>Статия в списания и поредици</v>
      </c>
      <c r="C7807" s="10" t="str">
        <f ca="1">IFERROR(__xludf.DUMMYFUNCTION("""COMPUTED_VALUE"""),"Изследване състоянието на водите от водосбора на р. Камчия. Сборник с доклади ""Развитие и състояние на природната среда""")</f>
        <v>Изследване състоянието на водите от водосбора на р. Камчия. Сборник с доклади "Развитие и състояние на природната среда"</v>
      </c>
      <c r="D7807" s="10">
        <f ca="1">IFERROR(__xludf.DUMMYFUNCTION("""COMPUTED_VALUE"""),2002)</f>
        <v>2002</v>
      </c>
      <c r="E7807" s="10" t="str">
        <f ca="1">IFERROR(__xludf.DUMMYFUNCTION("""COMPUTED_VALUE"""),"Сборник с доклади ""Развитие и състояние на природната среда"", Географски институт на БАН, С.,184-190, ISSN 954-95-31-09-00")</f>
        <v>Сборник с доклади "Развитие и състояние на природната среда", Географски институт на БАН, С.,184-190, ISSN 954-95-31-09-00</v>
      </c>
      <c r="F7807" s="10"/>
      <c r="G7807" s="10" t="str">
        <f ca="1">IFERROR(__xludf.DUMMYFUNCTION("""COMPUTED_VALUE"""),"Великов В.")</f>
        <v>Великов В.</v>
      </c>
      <c r="H7807" s="10"/>
      <c r="I7807" s="10"/>
      <c r="J7807" s="10"/>
      <c r="K7807" s="10"/>
      <c r="L7807" s="10"/>
      <c r="M7807" s="10"/>
      <c r="N7807" s="10"/>
      <c r="O7807" s="10"/>
      <c r="P7807" s="10"/>
      <c r="Q7807" s="10"/>
      <c r="R7807" s="10"/>
      <c r="S7807" s="10"/>
      <c r="T7807" s="10"/>
      <c r="U7807" s="10"/>
      <c r="V7807" s="10"/>
      <c r="W7807" s="10"/>
      <c r="X7807" s="10"/>
      <c r="Y7807" s="10"/>
      <c r="Z7807" s="10"/>
    </row>
    <row r="7808" spans="1:26" ht="12.75">
      <c r="A7808" s="10" t="str">
        <f ca="1">IFERROR(__xludf.DUMMYFUNCTION("""COMPUTED_VALUE"""),"Христина Станчева Богова (Христова)")</f>
        <v>Христина Станчева Богова (Христова)</v>
      </c>
      <c r="B7808" s="10" t="str">
        <f ca="1">IFERROR(__xludf.DUMMYFUNCTION("""COMPUTED_VALUE"""),"Доклад от конференция")</f>
        <v>Доклад от конференция</v>
      </c>
      <c r="C7808" s="10" t="str">
        <f ca="1">IFERROR(__xludf.DUMMYFUNCTION("""COMPUTED_VALUE"""),"Отношения между Болгарией и Россией в культурологическом аспекте")</f>
        <v>Отношения между Болгарией и Россией в культурологическом аспекте</v>
      </c>
      <c r="D7808" s="10">
        <f ca="1">IFERROR(__xludf.DUMMYFUNCTION("""COMPUTED_VALUE"""),2002)</f>
        <v>2002</v>
      </c>
      <c r="E7808" s="10" t="str">
        <f ca="1">IFERROR(__xludf.DUMMYFUNCTION("""COMPUTED_VALUE"""),"Списание ""Дипломатия и культура: Материальi научной конференции, 4 июня 2002")</f>
        <v>Списание "Дипломатия и культура: Материальi научной конференции, 4 июня 2002</v>
      </c>
      <c r="F7808" s="10"/>
      <c r="G7808" s="10"/>
      <c r="H7808" s="10"/>
      <c r="I7808" s="10"/>
      <c r="J7808" s="10"/>
      <c r="K7808" s="10"/>
      <c r="L7808" s="10"/>
      <c r="M7808" s="10"/>
      <c r="N7808" s="10"/>
      <c r="O7808" s="10"/>
      <c r="P7808" s="10"/>
      <c r="Q7808" s="10"/>
      <c r="R7808" s="10"/>
      <c r="S7808" s="10"/>
      <c r="T7808" s="10"/>
      <c r="U7808" s="10"/>
      <c r="V7808" s="10"/>
      <c r="W7808" s="10"/>
      <c r="X7808" s="10"/>
      <c r="Y7808" s="10"/>
      <c r="Z7808" s="10"/>
    </row>
    <row r="7809" spans="1:26" ht="12.75">
      <c r="A7809" s="10" t="str">
        <f ca="1">IFERROR(__xludf.DUMMYFUNCTION("""COMPUTED_VALUE"""),"Християн Атанасов Атанасов")</f>
        <v>Християн Атанасов Атанасов</v>
      </c>
      <c r="B7809" s="10" t="str">
        <f ca="1">IFERROR(__xludf.DUMMYFUNCTION("""COMPUTED_VALUE"""),"Доклад от конференция")</f>
        <v>Доклад от конференция</v>
      </c>
      <c r="C7809" s="10" t="str">
        <f ca="1">IFERROR(__xludf.DUMMYFUNCTION("""COMPUTED_VALUE"""),"Motivating Through Goal Setting: Examples of Working With Students in the Specialty of Archival and Documentary Studies and Library and Information Management Under the Project “Information Portal for Archival-Documentary Heritage of The Bulgarian Revival"&amp;"” Funded by the National Science Fund")</f>
        <v>Motivating Through Goal Setting: Examples of Working With Students in the Specialty of Archival and Documentary Studies and Library and Information Management Under the Project “Information Portal for Archival-Documentary Heritage of The Bulgarian Revival” Funded by the National Science Fund</v>
      </c>
      <c r="D7809" s="10">
        <f ca="1">IFERROR(__xludf.DUMMYFUNCTION("""COMPUTED_VALUE"""),2020)</f>
        <v>2020</v>
      </c>
      <c r="E7809" s="10" t="str">
        <f ca="1">IFERROR(__xludf.DUMMYFUNCTION("""COMPUTED_VALUE"""),"INTED2020 Proceedings, 14th International Technology, Education and Development Conference, 2-4 March, 2020 – Valencia, Spain, Edited by L. Gómez Chova, A. López Martínez, I. Candel Torres, Published by IATED Academy, 2020, pp. 5135-5140. 
  ISBN 978-84-0"&amp;"9-17939-8, ISSN 2340-1079")</f>
        <v>INTED2020 Proceedings, 14th International Technology, Education and Development Conference, 2-4 March, 2020 – Valencia, Spain, Edited by L. Gómez Chova, A. López Martínez, I. Candel Torres, Published by IATED Academy, 2020, pp. 5135-5140. 
  ISBN 978-84-09-17939-8, ISSN 2340-1079</v>
      </c>
      <c r="F7809" s="10" t="str">
        <f ca="1">IFERROR(__xludf.DUMMYFUNCTION("""COMPUTED_VALUE"""),"Web of Science, ResearchGate, Academia.edu")</f>
        <v>Web of Science, ResearchGate, Academia.edu</v>
      </c>
      <c r="G7809" s="10" t="str">
        <f ca="1">IFERROR(__xludf.DUMMYFUNCTION("""COMPUTED_VALUE"""),"Sabina Eftimova, Iva Marinova")</f>
        <v>Sabina Eftimova, Iva Marinova</v>
      </c>
      <c r="H7809" s="10"/>
      <c r="I7809" s="10"/>
      <c r="J7809" s="10"/>
      <c r="K7809" s="10"/>
      <c r="L7809" s="10"/>
      <c r="M7809" s="10"/>
      <c r="N7809" s="10"/>
      <c r="O7809" s="10"/>
      <c r="P7809" s="10"/>
      <c r="Q7809" s="10"/>
      <c r="R7809" s="10"/>
      <c r="S7809" s="10"/>
      <c r="T7809" s="10"/>
      <c r="U7809" s="10"/>
      <c r="V7809" s="10"/>
      <c r="W7809" s="10"/>
      <c r="X7809" s="10"/>
      <c r="Y7809" s="10"/>
      <c r="Z7809" s="10"/>
    </row>
    <row r="7810" spans="1:26" ht="12.75">
      <c r="A7810" s="10" t="str">
        <f ca="1">IFERROR(__xludf.DUMMYFUNCTION("""COMPUTED_VALUE"""),"Християн Атанасов Атанасов")</f>
        <v>Християн Атанасов Атанасов</v>
      </c>
      <c r="B7810" s="10" t="str">
        <f ca="1">IFERROR(__xludf.DUMMYFUNCTION("""COMPUTED_VALUE"""),"Статия в списания и поредици")</f>
        <v>Статия в списания и поредици</v>
      </c>
      <c r="C7810" s="10" t="str">
        <f ca="1">IFERROR(__xludf.DUMMYFUNCTION("""COMPUTED_VALUE"""),"Околийските градски съветници като кредитори: по повод на една публикация на вестник „Дунав“ от 1872 г.")</f>
        <v>Околийските градски съветници като кредитори: по повод на една публикация на вестник „Дунав“ от 1872 г.</v>
      </c>
      <c r="D7810" s="10">
        <f ca="1">IFERROR(__xludf.DUMMYFUNCTION("""COMPUTED_VALUE"""),2020)</f>
        <v>2020</v>
      </c>
      <c r="E7810" s="10" t="str">
        <f ca="1">IFERROR(__xludf.DUMMYFUNCTION("""COMPUTED_VALUE"""),"Известия на Центъра за стопанско-исторически изследвания, Том V, Пазари, общество, власт. c. 135-150. ISSN 2534-9244 (print), ISSN 2603-3526 (online)")</f>
        <v>Известия на Центъра за стопанско-исторически изследвания, Том V, Пазари, общество, власт. c. 135-150. ISSN 2534-9244 (print), ISSN 2603-3526 (online)</v>
      </c>
      <c r="F7810" s="10"/>
      <c r="G7810" s="10"/>
      <c r="H7810" s="10"/>
      <c r="I7810" s="10"/>
      <c r="J7810" s="10"/>
      <c r="K7810" s="10"/>
      <c r="L7810" s="10"/>
      <c r="M7810" s="10"/>
      <c r="N7810" s="10"/>
      <c r="O7810" s="10"/>
      <c r="P7810" s="10"/>
      <c r="Q7810" s="10"/>
      <c r="R7810" s="10"/>
      <c r="S7810" s="10"/>
      <c r="T7810" s="10"/>
      <c r="U7810" s="10"/>
      <c r="V7810" s="10"/>
      <c r="W7810" s="10"/>
      <c r="X7810" s="10"/>
      <c r="Y7810" s="10"/>
      <c r="Z7810" s="10"/>
    </row>
    <row r="7811" spans="1:26" ht="12.75">
      <c r="A7811" s="10" t="str">
        <f ca="1">IFERROR(__xludf.DUMMYFUNCTION("""COMPUTED_VALUE"""),"Християн Атанасов Атанасов")</f>
        <v>Християн Атанасов Атанасов</v>
      </c>
      <c r="B7811" s="10" t="str">
        <f ca="1">IFERROR(__xludf.DUMMYFUNCTION("""COMPUTED_VALUE"""),"Доклад от конференция")</f>
        <v>Доклад от конференция</v>
      </c>
      <c r="C7811" s="10" t="str">
        <f ca="1">IFERROR(__xludf.DUMMYFUNCTION("""COMPUTED_VALUE"""),"Обучението по архивистика в УниБИТ и интернет порталите с архивна информация")</f>
        <v>Обучението по архивистика в УниБИТ и интернет порталите с архивна информация</v>
      </c>
      <c r="D7811" s="10">
        <f ca="1">IFERROR(__xludf.DUMMYFUNCTION("""COMPUTED_VALUE"""),2020)</f>
        <v>2020</v>
      </c>
      <c r="E7811" s="10" t="str">
        <f ca="1">IFERROR(__xludf.DUMMYFUNCTION("""COMPUTED_VALUE"""),"Архиви и история: взаимодействия, перспективи. Сборник доклади от национален семинар, София, СУ „Св. Климент Охридски“, 16-17 октомври 2019. София, 2020, с. 99-106.
 ISBN 978-954-580-385-7")</f>
        <v>Архиви и история: взаимодействия, перспективи. Сборник доклади от национален семинар, София, СУ „Св. Климент Охридски“, 16-17 октомври 2019. София, 2020, с. 99-106.
 ISBN 978-954-580-385-7</v>
      </c>
      <c r="F7811" s="10" t="str">
        <f ca="1">IFERROR(__xludf.DUMMYFUNCTION("""COMPUTED_VALUE"""),"Academia.edu, ResearchGate, Google Scholar")</f>
        <v>Academia.edu, ResearchGate, Google Scholar</v>
      </c>
      <c r="G7811" s="10"/>
      <c r="H7811" s="10"/>
      <c r="I7811" s="10"/>
      <c r="J7811" s="10"/>
      <c r="K7811" s="10"/>
      <c r="L7811" s="10"/>
      <c r="M7811" s="10"/>
      <c r="N7811" s="10"/>
      <c r="O7811" s="10"/>
      <c r="P7811" s="10"/>
      <c r="Q7811" s="10"/>
      <c r="R7811" s="10"/>
      <c r="S7811" s="10"/>
      <c r="T7811" s="10"/>
      <c r="U7811" s="10"/>
      <c r="V7811" s="10"/>
      <c r="W7811" s="10"/>
      <c r="X7811" s="10"/>
      <c r="Y7811" s="10"/>
      <c r="Z7811" s="10"/>
    </row>
    <row r="7812" spans="1:26" ht="12.75">
      <c r="A7812" s="10" t="str">
        <f ca="1">IFERROR(__xludf.DUMMYFUNCTION("""COMPUTED_VALUE"""),"Християн Атанасов Атанасов")</f>
        <v>Християн Атанасов Атанасов</v>
      </c>
      <c r="B7812" s="10" t="str">
        <f ca="1">IFERROR(__xludf.DUMMYFUNCTION("""COMPUTED_VALUE"""),"Статия в списания и поредици")</f>
        <v>Статия в списания и поредици</v>
      </c>
      <c r="C7812" s="10" t="str">
        <f ca="1">IFERROR(__xludf.DUMMYFUNCTION("""COMPUTED_VALUE"""),"Обзор на османотурските документи за Казанлък и околността съхранявани в отдел „Ориенталски сбирки“ на Националната библиотека „Св. св. Кирил и Методий“")</f>
        <v>Обзор на османотурските документи за Казанлък и околността съхранявани в отдел „Ориенталски сбирки“ на Националната библиотека „Св. св. Кирил и Методий“</v>
      </c>
      <c r="D7812" s="10">
        <f ca="1">IFERROR(__xludf.DUMMYFUNCTION("""COMPUTED_VALUE"""),2020)</f>
        <v>2020</v>
      </c>
      <c r="E7812" s="10" t="str">
        <f ca="1">IFERROR(__xludf.DUMMYFUNCTION("""COMPUTED_VALUE"""),"Библиотека, 2020, Год. XXVII (LXVI), кн. 5, 47-58. 
 ISSN 0861-847Х.")</f>
        <v>Библиотека, 2020, Год. XXVII (LXVI), кн. 5, 47-58. 
 ISSN 0861-847Х.</v>
      </c>
      <c r="F7812" s="10"/>
      <c r="G7812" s="10"/>
      <c r="H7812" s="10"/>
      <c r="I7812" s="10"/>
      <c r="J7812" s="10"/>
      <c r="K7812" s="10"/>
      <c r="L7812" s="10"/>
      <c r="M7812" s="10"/>
      <c r="N7812" s="10"/>
      <c r="O7812" s="10"/>
      <c r="P7812" s="10"/>
      <c r="Q7812" s="10"/>
      <c r="R7812" s="10"/>
      <c r="S7812" s="10"/>
      <c r="T7812" s="10"/>
      <c r="U7812" s="10"/>
      <c r="V7812" s="10"/>
      <c r="W7812" s="10"/>
      <c r="X7812" s="10"/>
      <c r="Y7812" s="10"/>
      <c r="Z7812" s="10"/>
    </row>
    <row r="7813" spans="1:26" ht="12.75">
      <c r="A7813" s="10" t="str">
        <f ca="1">IFERROR(__xludf.DUMMYFUNCTION("""COMPUTED_VALUE"""),"Християн Атанасов Атанасов")</f>
        <v>Християн Атанасов Атанасов</v>
      </c>
      <c r="B7813" s="10" t="str">
        <f ca="1">IFERROR(__xludf.DUMMYFUNCTION("""COMPUTED_VALUE"""),"Доклад от конференция")</f>
        <v>Доклад от конференция</v>
      </c>
      <c r="C7813" s="10" t="str">
        <f ca="1">IFERROR(__xludf.DUMMYFUNCTION("""COMPUTED_VALUE"""),"Leaders in Bulgaria: Digitization in the State Archives – Current State and Perspectives")</f>
        <v>Leaders in Bulgaria: Digitization in the State Archives – Current State and Perspectives</v>
      </c>
      <c r="D7813" s="10">
        <f ca="1">IFERROR(__xludf.DUMMYFUNCTION("""COMPUTED_VALUE"""),2020)</f>
        <v>2020</v>
      </c>
      <c r="E7813" s="10" t="str">
        <f ca="1">IFERROR(__xludf.DUMMYFUNCTION("""COMPUTED_VALUE"""),"INTED2020 Proceedings, 14th International Technology, Education and Development Conference, 2-4 March, 2020 – Valencia, Spain, Edited by L. Gómez Chova, A. López Martínez, I. Candel Torres, Published by IATED Academy, 2020, pp. 5096-5105.
 ISBN 978-84-09-"&amp;"17939-8, ISSN 2340-1079")</f>
        <v>INTED2020 Proceedings, 14th International Technology, Education and Development Conference, 2-4 March, 2020 – Valencia, Spain, Edited by L. Gómez Chova, A. López Martínez, I. Candel Torres, Published by IATED Academy, 2020, pp. 5096-5105.
 ISBN 978-84-09-17939-8, ISSN 2340-1079</v>
      </c>
      <c r="F7813" s="10" t="str">
        <f ca="1">IFERROR(__xludf.DUMMYFUNCTION("""COMPUTED_VALUE"""),"Web of Science, ResearchGate, Academia.edu")</f>
        <v>Web of Science, ResearchGate, Academia.edu</v>
      </c>
      <c r="G7813" s="10" t="str">
        <f ca="1">IFERROR(__xludf.DUMMYFUNCTION("""COMPUTED_VALUE"""),"Ruslan Ivanov, Dimitar Popov")</f>
        <v>Ruslan Ivanov, Dimitar Popov</v>
      </c>
      <c r="H7813" s="10"/>
      <c r="I7813" s="10"/>
      <c r="J7813" s="10"/>
      <c r="K7813" s="10"/>
      <c r="L7813" s="10"/>
      <c r="M7813" s="10"/>
      <c r="N7813" s="10"/>
      <c r="O7813" s="10"/>
      <c r="P7813" s="10"/>
      <c r="Q7813" s="10"/>
      <c r="R7813" s="10"/>
      <c r="S7813" s="10"/>
      <c r="T7813" s="10"/>
      <c r="U7813" s="10"/>
      <c r="V7813" s="10"/>
      <c r="W7813" s="10"/>
      <c r="X7813" s="10"/>
      <c r="Y7813" s="10"/>
      <c r="Z7813" s="10"/>
    </row>
    <row r="7814" spans="1:26" ht="12.75">
      <c r="A7814" s="10" t="str">
        <f ca="1">IFERROR(__xludf.DUMMYFUNCTION("""COMPUTED_VALUE"""),"Християн Атанасов Атанасов")</f>
        <v>Християн Атанасов Атанасов</v>
      </c>
      <c r="B7814" s="10" t="str">
        <f ca="1">IFERROR(__xludf.DUMMYFUNCTION("""COMPUTED_VALUE"""),"Студия")</f>
        <v>Студия</v>
      </c>
      <c r="C7814" s="10" t="str">
        <f ca="1">IFERROR(__xludf.DUMMYFUNCTION("""COMPUTED_VALUE"""),"Money and Prices in the 18th – 19th Centuries. Bulgarian Historiography on the Monetary History of the Balkan Provinces of the Ottoman Empire")</f>
        <v>Money and Prices in the 18th – 19th Centuries. Bulgarian Historiography on the Monetary History of the Balkan Provinces of the Ottoman Empire</v>
      </c>
      <c r="D7814" s="10">
        <f ca="1">IFERROR(__xludf.DUMMYFUNCTION("""COMPUTED_VALUE"""),2019)</f>
        <v>2019</v>
      </c>
      <c r="E7814" s="10" t="str">
        <f ca="1">IFERROR(__xludf.DUMMYFUNCTION("""COMPUTED_VALUE"""),"Bulgarian Historical Review, 2019, Is. 1-2, pp. 80-111.
 ISSN 0204-8906")</f>
        <v>Bulgarian Historical Review, 2019, Is. 1-2, pp. 80-111.
 ISSN 0204-8906</v>
      </c>
      <c r="F7814" s="10" t="str">
        <f ca="1">IFERROR(__xludf.DUMMYFUNCTION("""COMPUTED_VALUE"""),"Scopus, Web of Science, ResearchGate, Academia.edu")</f>
        <v>Scopus, Web of Science, ResearchGate, Academia.edu</v>
      </c>
      <c r="G7814" s="10" t="str">
        <f ca="1">IFERROR(__xludf.DUMMYFUNCTION("""COMPUTED_VALUE"""),"Nikolay Nenovsky")</f>
        <v>Nikolay Nenovsky</v>
      </c>
      <c r="H7814" s="10"/>
      <c r="I7814" s="10"/>
      <c r="J7814" s="10"/>
      <c r="K7814" s="10"/>
      <c r="L7814" s="10"/>
      <c r="M7814" s="10"/>
      <c r="N7814" s="10"/>
      <c r="O7814" s="10"/>
      <c r="P7814" s="10"/>
      <c r="Q7814" s="10"/>
      <c r="R7814" s="10"/>
      <c r="S7814" s="10"/>
      <c r="T7814" s="10"/>
      <c r="U7814" s="10"/>
      <c r="V7814" s="10"/>
      <c r="W7814" s="10"/>
      <c r="X7814" s="10"/>
      <c r="Y7814" s="10"/>
      <c r="Z7814" s="10"/>
    </row>
    <row r="7815" spans="1:26" ht="12.75">
      <c r="A7815" s="10" t="str">
        <f ca="1">IFERROR(__xludf.DUMMYFUNCTION("""COMPUTED_VALUE"""),"Християн Атанасов Атанасов")</f>
        <v>Християн Атанасов Атанасов</v>
      </c>
      <c r="B7815" s="10" t="str">
        <f ca="1">IFERROR(__xludf.DUMMYFUNCTION("""COMPUTED_VALUE"""),"Доклад от конференция")</f>
        <v>Доклад от конференция</v>
      </c>
      <c r="C7815" s="10" t="str">
        <f ca="1">IFERROR(__xludf.DUMMYFUNCTION("""COMPUTED_VALUE"""),"Дигитализация на архивно-документално наследство в Национална библиотека „Св. св. Кирил и Методий” – настояще и перспективи")</f>
        <v>Дигитализация на архивно-документално наследство в Национална библиотека „Св. св. Кирил и Методий” – настояще и перспективи</v>
      </c>
      <c r="D7815" s="10">
        <f ca="1">IFERROR(__xludf.DUMMYFUNCTION("""COMPUTED_VALUE"""),2019)</f>
        <v>2019</v>
      </c>
      <c r="E7815" s="10" t="str">
        <f ca="1">IFERROR(__xludf.DUMMYFUNCTION("""COMPUTED_VALUE"""),"„Обществото на знанието и хуманизмът на XXI век“. Сборник с научни доклади от XVII-та национална научна конференция с международно участие, 1 ноември 2019 г. София, Академично издателство „За буквите – О писменехъ“, 2019,с. 224-235.
  ISSN 2683-0094")</f>
        <v>„Обществото на знанието и хуманизмът на XXI век“. Сборник с научни доклади от XVII-та национална научна конференция с международно участие, 1 ноември 2019 г. София, Академично издателство „За буквите – О писменехъ“, 2019,с. 224-235.
  ISSN 2683-0094</v>
      </c>
      <c r="F7815" s="10" t="str">
        <f ca="1">IFERROR(__xludf.DUMMYFUNCTION("""COMPUTED_VALUE"""),"Academia.edu, ResearchGate")</f>
        <v>Academia.edu, ResearchGate</v>
      </c>
      <c r="G7815" s="10" t="str">
        <f ca="1">IFERROR(__xludf.DUMMYFUNCTION("""COMPUTED_VALUE"""),"Красимира Александрова, Ваня Аврамова")</f>
        <v>Красимира Александрова, Ваня Аврамова</v>
      </c>
      <c r="H7815" s="10"/>
      <c r="I7815" s="10"/>
      <c r="J7815" s="10"/>
      <c r="K7815" s="10"/>
      <c r="L7815" s="10"/>
      <c r="M7815" s="10"/>
      <c r="N7815" s="10"/>
      <c r="O7815" s="10"/>
      <c r="P7815" s="10"/>
      <c r="Q7815" s="10"/>
      <c r="R7815" s="10"/>
      <c r="S7815" s="10"/>
      <c r="T7815" s="10"/>
      <c r="U7815" s="10"/>
      <c r="V7815" s="10"/>
      <c r="W7815" s="10"/>
      <c r="X7815" s="10"/>
      <c r="Y7815" s="10"/>
      <c r="Z7815" s="10"/>
    </row>
    <row r="7816" spans="1:26" ht="12.75">
      <c r="A7816" s="10" t="str">
        <f ca="1">IFERROR(__xludf.DUMMYFUNCTION("""COMPUTED_VALUE"""),"Християн Атанасов Атанасов")</f>
        <v>Християн Атанасов Атанасов</v>
      </c>
      <c r="B7816" s="10" t="str">
        <f ca="1">IFERROR(__xludf.DUMMYFUNCTION("""COMPUTED_VALUE"""),"Глава от колективна монография")</f>
        <v>Глава от колективна монография</v>
      </c>
      <c r="C7816" s="10" t="str">
        <f ca="1">IFERROR(__xludf.DUMMYFUNCTION("""COMPUTED_VALUE"""),"Сирашките каси в Дунавския вилает на Османската империя (60-те и 70-те години на XIX век)")</f>
        <v>Сирашките каси в Дунавския вилает на Османската империя (60-те и 70-те години на XIX век)</v>
      </c>
      <c r="D7816" s="10">
        <f ca="1">IFERROR(__xludf.DUMMYFUNCTION("""COMPUTED_VALUE"""),2019)</f>
        <v>2019</v>
      </c>
      <c r="E7816" s="10" t="str">
        <f ca="1">IFERROR(__xludf.DUMMYFUNCTION("""COMPUTED_VALUE"""),"Българският XIX век: нови архиви и прочити : Сборник / Състав. и науч. ред. О. Събев, Хр. Атанасов / Науч. рец. Р. Радкова, В. Бонева. София : За буквите – О писменехь, 2019,, с. 165-177. (Приложение – „Каталог на архивни материали“, изготвил Славка Драга"&amp;"нова, 1970 г.) 
 ISBN 978-619-185-382-3")</f>
        <v>Българският XIX век: нови архиви и прочити : Сборник / Състав. и науч. ред. О. Събев, Хр. Атанасов / Науч. рец. Р. Радкова, В. Бонева. София : За буквите – О писменехь, 2019,, с. 165-177. (Приложение – „Каталог на архивни материали“, изготвил Славка Драганова, 1970 г.) 
 ISBN 978-619-185-382-3</v>
      </c>
      <c r="F7816" s="10" t="str">
        <f ca="1">IFERROR(__xludf.DUMMYFUNCTION("""COMPUTED_VALUE"""),"ResearchGate, Google Scholar")</f>
        <v>ResearchGate, Google Scholar</v>
      </c>
      <c r="G7816" s="10" t="str">
        <f ca="1">IFERROR(__xludf.DUMMYFUNCTION("""COMPUTED_VALUE"""),"Надя Манолова-Николова")</f>
        <v>Надя Манолова-Николова</v>
      </c>
      <c r="H7816" s="10"/>
      <c r="I7816" s="10"/>
      <c r="J7816" s="10"/>
      <c r="K7816" s="10"/>
      <c r="L7816" s="10"/>
      <c r="M7816" s="10"/>
      <c r="N7816" s="10"/>
      <c r="O7816" s="10"/>
      <c r="P7816" s="10"/>
      <c r="Q7816" s="10"/>
      <c r="R7816" s="10"/>
      <c r="S7816" s="10"/>
      <c r="T7816" s="10"/>
      <c r="U7816" s="10"/>
      <c r="V7816" s="10"/>
      <c r="W7816" s="10"/>
      <c r="X7816" s="10"/>
      <c r="Y7816" s="10"/>
      <c r="Z7816" s="10"/>
    </row>
    <row r="7817" spans="1:26" ht="12.75">
      <c r="A7817" s="10" t="str">
        <f ca="1">IFERROR(__xludf.DUMMYFUNCTION("""COMPUTED_VALUE"""),"Християн Атанасов Атанасов")</f>
        <v>Християн Атанасов Атанасов</v>
      </c>
      <c r="B7817" s="10" t="str">
        <f ca="1">IFERROR(__xludf.DUMMYFUNCTION("""COMPUTED_VALUE"""),"Глава от колективна монография")</f>
        <v>Глава от колективна монография</v>
      </c>
      <c r="C7817" s="10" t="str">
        <f ca="1">IFERROR(__xludf.DUMMYFUNCTION("""COMPUTED_VALUE"""),"Един неизвестен досега ключ към информационното богатство на османския архив в София и важността му за българската история през XIX век: „Каталогът на Славка Драганова“")</f>
        <v>Един неизвестен досега ключ към информационното богатство на османския архив в София и важността му за българската история през XIX век: „Каталогът на Славка Драганова“</v>
      </c>
      <c r="D7817" s="10">
        <f ca="1">IFERROR(__xludf.DUMMYFUNCTION("""COMPUTED_VALUE"""),2019)</f>
        <v>2019</v>
      </c>
      <c r="E7817" s="10" t="str">
        <f ca="1">IFERROR(__xludf.DUMMYFUNCTION("""COMPUTED_VALUE"""),"В: Българският XIX век: нови архиви и прочити. Съставители: Орлин Събев, Християн Атанасов.София, Академично издателство „За буквите – О писменехь“, 2019, с. 221-231.
  ISBN: 978-619-185-382-3")</f>
        <v>В: Българският XIX век: нови архиви и прочити. Съставители: Орлин Събев, Християн Атанасов.София, Академично издателство „За буквите – О писменехь“, 2019, с. 221-231.
  ISBN: 978-619-185-382-3</v>
      </c>
      <c r="F7817" s="10" t="str">
        <f ca="1">IFERROR(__xludf.DUMMYFUNCTION("""COMPUTED_VALUE"""),"ResearchGate, Google Scholar")</f>
        <v>ResearchGate, Google Scholar</v>
      </c>
      <c r="G7817" s="10"/>
      <c r="H7817" s="10"/>
      <c r="I7817" s="10"/>
      <c r="J7817" s="10"/>
      <c r="K7817" s="10"/>
      <c r="L7817" s="10"/>
      <c r="M7817" s="10"/>
      <c r="N7817" s="10"/>
      <c r="O7817" s="10"/>
      <c r="P7817" s="10"/>
      <c r="Q7817" s="10"/>
      <c r="R7817" s="10"/>
      <c r="S7817" s="10"/>
      <c r="T7817" s="10"/>
      <c r="U7817" s="10"/>
      <c r="V7817" s="10"/>
      <c r="W7817" s="10"/>
      <c r="X7817" s="10"/>
      <c r="Y7817" s="10"/>
      <c r="Z7817" s="10"/>
    </row>
    <row r="7818" spans="1:26" ht="12.75">
      <c r="A7818" s="10" t="str">
        <f ca="1">IFERROR(__xludf.DUMMYFUNCTION("""COMPUTED_VALUE"""),"Християн Атанасов Атанасов")</f>
        <v>Християн Атанасов Атанасов</v>
      </c>
      <c r="B7818" s="10" t="str">
        <f ca="1">IFERROR(__xludf.DUMMYFUNCTION("""COMPUTED_VALUE"""),"Доклад от конференция")</f>
        <v>Доклад от конференция</v>
      </c>
      <c r="C7818" s="10" t="str">
        <f ca="1">IFERROR(__xludf.DUMMYFUNCTION("""COMPUTED_VALUE"""),"Available on the Internet: Digitization of the Archival Heritage Stored in Bulgarian Institutions of Memory")</f>
        <v>Available on the Internet: Digitization of the Archival Heritage Stored in Bulgarian Institutions of Memory</v>
      </c>
      <c r="D7818" s="10">
        <f ca="1">IFERROR(__xludf.DUMMYFUNCTION("""COMPUTED_VALUE"""),2019)</f>
        <v>2019</v>
      </c>
      <c r="E7818" s="10" t="str">
        <f ca="1">IFERROR(__xludf.DUMMYFUNCTION("""COMPUTED_VALUE"""),"Proceedings of ICERI2019 Conference11th-13th November 2019, Seville, Spain, 2019, pp. 3621-3627.
 ISBN: 978-84-09-14755-7")</f>
        <v>Proceedings of ICERI2019 Conference11th-13th November 2019, Seville, Spain, 2019, pp. 3621-3627.
 ISBN: 978-84-09-14755-7</v>
      </c>
      <c r="F7818" s="10" t="str">
        <f ca="1">IFERROR(__xludf.DUMMYFUNCTION("""COMPUTED_VALUE"""),"Web of Science, ResearchGate, Academia.edu")</f>
        <v>Web of Science, ResearchGate, Academia.edu</v>
      </c>
      <c r="G7818" s="10"/>
      <c r="H7818" s="10"/>
      <c r="I7818" s="10"/>
      <c r="J7818" s="10"/>
      <c r="K7818" s="10"/>
      <c r="L7818" s="10"/>
      <c r="M7818" s="10"/>
      <c r="N7818" s="10"/>
      <c r="O7818" s="10"/>
      <c r="P7818" s="10"/>
      <c r="Q7818" s="10"/>
      <c r="R7818" s="10"/>
      <c r="S7818" s="10"/>
      <c r="T7818" s="10"/>
      <c r="U7818" s="10"/>
      <c r="V7818" s="10"/>
      <c r="W7818" s="10"/>
      <c r="X7818" s="10"/>
      <c r="Y7818" s="10"/>
      <c r="Z7818" s="10"/>
    </row>
    <row r="7819" spans="1:26" ht="12.75">
      <c r="A7819" s="10" t="str">
        <f ca="1">IFERROR(__xludf.DUMMYFUNCTION("""COMPUTED_VALUE"""),"Християн Атанасов Атанасов")</f>
        <v>Християн Атанасов Атанасов</v>
      </c>
      <c r="B7819" s="10" t="str">
        <f ca="1">IFERROR(__xludf.DUMMYFUNCTION("""COMPUTED_VALUE"""),"Доклад от конференция")</f>
        <v>Доклад от конференция</v>
      </c>
      <c r="C7819" s="10" t="str">
        <f ca="1">IFERROR(__xludf.DUMMYFUNCTION("""COMPUTED_VALUE"""),"Improving Access to Information about the Cultural Heritage of the Bulgarian Revival")</f>
        <v>Improving Access to Information about the Cultural Heritage of the Bulgarian Revival</v>
      </c>
      <c r="D7819" s="10">
        <f ca="1">IFERROR(__xludf.DUMMYFUNCTION("""COMPUTED_VALUE"""),2019)</f>
        <v>2019</v>
      </c>
      <c r="E7819" s="10" t="str">
        <f ca="1">IFERROR(__xludf.DUMMYFUNCTION("""COMPUTED_VALUE"""),"Proceedings of ICERI2019 Conference 11th-13th November 2019, Seville, Spain, 2019, pp. 3617- 3620.
 ISBN: 978-84-09-14755-7")</f>
        <v>Proceedings of ICERI2019 Conference 11th-13th November 2019, Seville, Spain, 2019, pp. 3617- 3620.
 ISBN: 978-84-09-14755-7</v>
      </c>
      <c r="F7819" s="10" t="str">
        <f ca="1">IFERROR(__xludf.DUMMYFUNCTION("""COMPUTED_VALUE"""),"Web of Science, ResearchGate, Academia.edu")</f>
        <v>Web of Science, ResearchGate, Academia.edu</v>
      </c>
      <c r="G7819" s="10" t="str">
        <f ca="1">IFERROR(__xludf.DUMMYFUNCTION("""COMPUTED_VALUE"""),"Tania Todorova")</f>
        <v>Tania Todorova</v>
      </c>
      <c r="H7819" s="10"/>
      <c r="I7819" s="10"/>
      <c r="J7819" s="10"/>
      <c r="K7819" s="10"/>
      <c r="L7819" s="10"/>
      <c r="M7819" s="10"/>
      <c r="N7819" s="10"/>
      <c r="O7819" s="10"/>
      <c r="P7819" s="10"/>
      <c r="Q7819" s="10"/>
      <c r="R7819" s="10"/>
      <c r="S7819" s="10"/>
      <c r="T7819" s="10"/>
      <c r="U7819" s="10"/>
      <c r="V7819" s="10"/>
      <c r="W7819" s="10"/>
      <c r="X7819" s="10"/>
      <c r="Y7819" s="10"/>
      <c r="Z7819" s="10"/>
    </row>
    <row r="7820" spans="1:26" ht="12.75">
      <c r="A7820" s="10" t="str">
        <f ca="1">IFERROR(__xludf.DUMMYFUNCTION("""COMPUTED_VALUE"""),"Християн Атанасов Атанасов")</f>
        <v>Християн Атанасов Атанасов</v>
      </c>
      <c r="B7820" s="10" t="str">
        <f ca="1">IFERROR(__xludf.DUMMYFUNCTION("""COMPUTED_VALUE"""),"Статия в списания и поредици")</f>
        <v>Статия в списания и поредици</v>
      </c>
      <c r="C7820" s="10" t="str">
        <f ca="1">IFERROR(__xludf.DUMMYFUNCTION("""COMPUTED_VALUE"""),"Стопанската криза от 1875 г. на страниците на българския възрожденски печат")</f>
        <v>Стопанската криза от 1875 г. на страниците на българския възрожденски печат</v>
      </c>
      <c r="D7820" s="10">
        <f ca="1">IFERROR(__xludf.DUMMYFUNCTION("""COMPUTED_VALUE"""),2019)</f>
        <v>2019</v>
      </c>
      <c r="E7820" s="10" t="str">
        <f ca="1">IFERROR(__xludf.DUMMYFUNCTION("""COMPUTED_VALUE"""),"Proceedings of the Centre for Economic History Research, Vol IV, Crises and Economic Development through the Ages. Varna, 2019, с. 80-93.
  ISSN 2534-9244 (print), ISSN 2603-3526 (online)")</f>
        <v>Proceedings of the Centre for Economic History Research, Vol IV, Crises and Economic Development through the Ages. Varna, 2019, с. 80-93.
  ISSN 2534-9244 (print), ISSN 2603-3526 (online)</v>
      </c>
      <c r="F7820" s="10" t="str">
        <f ca="1">IFERROR(__xludf.DUMMYFUNCTION("""COMPUTED_VALUE"""),"Erix Plus, Google Scholar, CEEOL, Research Gate, Academia.edu")</f>
        <v>Erix Plus, Google Scholar, CEEOL, Research Gate, Academia.edu</v>
      </c>
      <c r="G7820" s="10"/>
      <c r="H7820" s="10"/>
      <c r="I7820" s="10"/>
      <c r="J7820" s="10"/>
      <c r="K7820" s="10"/>
      <c r="L7820" s="10"/>
      <c r="M7820" s="10"/>
      <c r="N7820" s="10"/>
      <c r="O7820" s="10"/>
      <c r="P7820" s="10"/>
      <c r="Q7820" s="10"/>
      <c r="R7820" s="10"/>
      <c r="S7820" s="10"/>
      <c r="T7820" s="10"/>
      <c r="U7820" s="10"/>
      <c r="V7820" s="10"/>
      <c r="W7820" s="10"/>
      <c r="X7820" s="10"/>
      <c r="Y7820" s="10"/>
      <c r="Z7820" s="10"/>
    </row>
    <row r="7821" spans="1:26" ht="12.75">
      <c r="A7821" s="10" t="str">
        <f ca="1">IFERROR(__xludf.DUMMYFUNCTION("""COMPUTED_VALUE"""),"Християн Атанасов Атанасов")</f>
        <v>Християн Атанасов Атанасов</v>
      </c>
      <c r="B7821" s="10" t="str">
        <f ca="1">IFERROR(__xludf.DUMMYFUNCTION("""COMPUTED_VALUE"""),"Доклад от конференция")</f>
        <v>Доклад от конференция</v>
      </c>
      <c r="C7821" s="10" t="str">
        <f ca="1">IFERROR(__xludf.DUMMYFUNCTION("""COMPUTED_VALUE"""),"Accessing Reliable Information: An Information Portal on Archival Records for Training BA Students in Archival and Documentary Studies Specialty")</f>
        <v>Accessing Reliable Information: An Information Portal on Archival Records for Training BA Students in Archival and Documentary Studies Specialty</v>
      </c>
      <c r="D7821" s="10">
        <f ca="1">IFERROR(__xludf.DUMMYFUNCTION("""COMPUTED_VALUE"""),2019)</f>
        <v>2019</v>
      </c>
      <c r="E7821" s="10" t="str">
        <f ca="1">IFERROR(__xludf.DUMMYFUNCTION("""COMPUTED_VALUE"""),"Proceedings of EDULEARN19 Conference 1st-3rd July 2019, Palma, Mallorca, Spain. ISBN: 978-84-09-12031-4, 10572-10579")</f>
        <v>Proceedings of EDULEARN19 Conference 1st-3rd July 2019, Palma, Mallorca, Spain. ISBN: 978-84-09-12031-4, 10572-10579</v>
      </c>
      <c r="F7821" s="10" t="str">
        <f ca="1">IFERROR(__xludf.DUMMYFUNCTION("""COMPUTED_VALUE"""),"Web of Science")</f>
        <v>Web of Science</v>
      </c>
      <c r="G7821" s="10"/>
      <c r="H7821" s="10"/>
      <c r="I7821" s="10"/>
      <c r="J7821" s="10"/>
      <c r="K7821" s="10"/>
      <c r="L7821" s="10"/>
      <c r="M7821" s="10"/>
      <c r="N7821" s="10"/>
      <c r="O7821" s="10"/>
      <c r="P7821" s="10"/>
      <c r="Q7821" s="10"/>
      <c r="R7821" s="10"/>
      <c r="S7821" s="10"/>
      <c r="T7821" s="10"/>
      <c r="U7821" s="10"/>
      <c r="V7821" s="10"/>
      <c r="W7821" s="10"/>
      <c r="X7821" s="10"/>
      <c r="Y7821" s="10"/>
      <c r="Z7821" s="10"/>
    </row>
    <row r="7822" spans="1:26" ht="12.75">
      <c r="A7822" s="10" t="str">
        <f ca="1">IFERROR(__xludf.DUMMYFUNCTION("""COMPUTED_VALUE"""),"Християн Атанасов Атанасов")</f>
        <v>Християн Атанасов Атанасов</v>
      </c>
      <c r="B7822" s="10" t="str">
        <f ca="1">IFERROR(__xludf.DUMMYFUNCTION("""COMPUTED_VALUE"""),"Доклад от конференция")</f>
        <v>Доклад от конференция</v>
      </c>
      <c r="C7822" s="10" t="str">
        <f ca="1">IFERROR(__xludf.DUMMYFUNCTION("""COMPUTED_VALUE"""),"Сирашките каси на страниците на българския възрожденски печат")</f>
        <v>Сирашките каси на страниците на българския възрожденски печат</v>
      </c>
      <c r="D7822" s="10">
        <f ca="1">IFERROR(__xludf.DUMMYFUNCTION("""COMPUTED_VALUE"""),2019)</f>
        <v>2019</v>
      </c>
      <c r="E7822" s="10" t="str">
        <f ca="1">IFERROR(__xludf.DUMMYFUNCTION("""COMPUTED_VALUE"""),"Обществото на знанието и хуманизмът на XXI век. XVI национална научна конференция с международно участие, София, 1 ноември 2018 г., Академично издателство „За буквите – О писменехъ“, С., 2019, с. 1003-1013.
  ISSN 1314-7099")</f>
        <v>Обществото на знанието и хуманизмът на XXI век. XVI национална научна конференция с международно участие, София, 1 ноември 2018 г., Академично издателство „За буквите – О писменехъ“, С., 2019, с. 1003-1013.
  ISSN 1314-7099</v>
      </c>
      <c r="F7822" s="10" t="str">
        <f ca="1">IFERROR(__xludf.DUMMYFUNCTION("""COMPUTED_VALUE"""),"Academia.edu, ResearchGate, Google Scholar")</f>
        <v>Academia.edu, ResearchGate, Google Scholar</v>
      </c>
      <c r="G7822" s="10"/>
      <c r="H7822" s="10"/>
      <c r="I7822" s="10"/>
      <c r="J7822" s="10"/>
      <c r="K7822" s="10"/>
      <c r="L7822" s="10"/>
      <c r="M7822" s="10"/>
      <c r="N7822" s="10"/>
      <c r="O7822" s="10"/>
      <c r="P7822" s="10"/>
      <c r="Q7822" s="10"/>
      <c r="R7822" s="10"/>
      <c r="S7822" s="10"/>
      <c r="T7822" s="10"/>
      <c r="U7822" s="10"/>
      <c r="V7822" s="10"/>
      <c r="W7822" s="10"/>
      <c r="X7822" s="10"/>
      <c r="Y7822" s="10"/>
      <c r="Z7822" s="10"/>
    </row>
    <row r="7823" spans="1:26" ht="12.75">
      <c r="A7823" s="10" t="str">
        <f ca="1">IFERROR(__xludf.DUMMYFUNCTION("""COMPUTED_VALUE"""),"Християн Атанасов Атанасов")</f>
        <v>Християн Атанасов Атанасов</v>
      </c>
      <c r="B7823" s="10" t="str">
        <f ca="1">IFERROR(__xludf.DUMMYFUNCTION("""COMPUTED_VALUE"""),"Книга")</f>
        <v>Книга</v>
      </c>
      <c r="C7823" s="10" t="str">
        <f ca="1">IFERROR(__xludf.DUMMYFUNCTION("""COMPUTED_VALUE"""),"Българският XIX век: нови архиви и прочити")</f>
        <v>Българският XIX век: нови архиви и прочити</v>
      </c>
      <c r="D7823" s="10">
        <f ca="1">IFERROR(__xludf.DUMMYFUNCTION("""COMPUTED_VALUE"""),2019)</f>
        <v>2019</v>
      </c>
      <c r="E7823" s="10" t="str">
        <f ca="1">IFERROR(__xludf.DUMMYFUNCTION("""COMPUTED_VALUE"""),"Българският XIX век: нови архиви и прочити : Сборник / Състав. и науч. ред. О. Събев, Хр. Атанасов / Науч. рец. Р. Радкова, В. Бонева. София : За буквите – О писменехь, 2019, 232 с.
 ISBN 978-619-185-382-3
 Автори: Ивайло Найденов, Ивелина Машева, Милена "&amp;"Тафрова, Надя Манолова-Николова, Орлин Събев, Пламен Митев, Таня Тодорова, Християн Атанасов
   Приложение – „Каталог на архивни материали“, изготвил Славка Драганова, 1970 г. – В: Манолова, Н., Атанасов, Хр., Машева, Ив., Събев, Ор., Найденов, Ив., Тодор"&amp;"ова, Т., Митев, Пл., Тафрова, М. Българският XIX век: нови архиви и прочити. Съставители: Орлин Събев, Християн Атанасов. ISBN: 978-619-185-382-3, София, Академично издателство „За буквите – О писменехь“, 2019.
 ISBN: 978-619-185-382-3")</f>
        <v>Българският XIX век: нови архиви и прочити : Сборник / Състав. и науч. ред. О. Събев, Хр. Атанасов / Науч. рец. Р. Радкова, В. Бонева. София : За буквите – О писменехь, 2019, 232 с.
 ISBN 978-619-185-382-3
 Автори: Ивайло Найденов, Ивелина Машева, Милена Тафрова, Надя Манолова-Николова, Орлин Събев, Пламен Митев, Таня Тодорова, Християн Атанасов
   Приложение – „Каталог на архивни материали“, изготвил Славка Драганова, 1970 г. – В: Манолова, Н., Атанасов, Хр., Машева, Ив., Събев, Ор., Найденов, Ив., Тодорова, Т., Митев, Пл., Тафрова, М. Българският XIX век: нови архиви и прочити. Съставители: Орлин Събев, Християн Атанасов. ISBN: 978-619-185-382-3, София, Академично издателство „За буквите – О писменехь“, 2019.
 ISBN: 978-619-185-382-3</v>
      </c>
      <c r="F7823" s="10" t="str">
        <f ca="1">IFERROR(__xludf.DUMMYFUNCTION("""COMPUTED_VALUE"""),"Academia.edu, ResearchGate, Google Scholar")</f>
        <v>Academia.edu, ResearchGate, Google Scholar</v>
      </c>
      <c r="G7823" s="10" t="str">
        <f ca="1">IFERROR(__xludf.DUMMYFUNCTION("""COMPUTED_VALUE"""),"Ивайло Найденов, Ивелина Машева, Милена Тафрова, Надя Манолова-Николова, Орлин Събев, Пламен Митев, Таня Тодорова")</f>
        <v>Ивайло Найденов, Ивелина Машева, Милена Тафрова, Надя Манолова-Николова, Орлин Събев, Пламен Митев, Таня Тодорова</v>
      </c>
      <c r="H7823" s="10"/>
      <c r="I7823" s="10"/>
      <c r="J7823" s="10"/>
      <c r="K7823" s="10"/>
      <c r="L7823" s="10"/>
      <c r="M7823" s="10"/>
      <c r="N7823" s="10"/>
      <c r="O7823" s="10"/>
      <c r="P7823" s="10"/>
      <c r="Q7823" s="10"/>
      <c r="R7823" s="10"/>
      <c r="S7823" s="10"/>
      <c r="T7823" s="10"/>
      <c r="U7823" s="10"/>
      <c r="V7823" s="10"/>
      <c r="W7823" s="10"/>
      <c r="X7823" s="10"/>
      <c r="Y7823" s="10"/>
      <c r="Z7823" s="10"/>
    </row>
    <row r="7824" spans="1:26" ht="12.75">
      <c r="A7824" s="10" t="str">
        <f ca="1">IFERROR(__xludf.DUMMYFUNCTION("""COMPUTED_VALUE"""),"Християн Атанасов Атанасов")</f>
        <v>Християн Атанасов Атанасов</v>
      </c>
      <c r="B7824" s="10" t="str">
        <f ca="1">IFERROR(__xludf.DUMMYFUNCTION("""COMPUTED_VALUE"""),"Статия в списания и поредици")</f>
        <v>Статия в списания и поредици</v>
      </c>
      <c r="C7824" s="10" t="str">
        <f ca="1">IFERROR(__xludf.DUMMYFUNCTION("""COMPUTED_VALUE"""),"Кредитни институции по българските земи през XVIII-XIX век. Опит за обзор/ Credit Institutions in the Bulgarian Lands during the 18th and 19th Centuries. An Attempt for Review.")</f>
        <v>Кредитни институции по българските земи през XVIII-XIX век. Опит за обзор/ Credit Institutions in the Bulgarian Lands during the 18th and 19th Centuries. An Attempt for Review.</v>
      </c>
      <c r="D7824" s="10">
        <f ca="1">IFERROR(__xludf.DUMMYFUNCTION("""COMPUTED_VALUE"""),2018)</f>
        <v>2018</v>
      </c>
      <c r="E7824" s="10" t="str">
        <f ca="1">IFERROR(__xludf.DUMMYFUNCTION("""COMPUTED_VALUE"""),"Известия на ЦСИИ/Proceedings of the Centre for Economic History Research, Print ISSN: 2534-9244, Online-ISSN: 2603-3526, 2018, vol. 3, 62-75. (In Bulgarian)")</f>
        <v>Известия на ЦСИИ/Proceedings of the Centre for Economic History Research, Print ISSN: 2534-9244, Online-ISSN: 2603-3526, 2018, vol. 3, 62-75. (In Bulgarian)</v>
      </c>
      <c r="F7824" s="10" t="str">
        <f ca="1">IFERROR(__xludf.DUMMYFUNCTION("""COMPUTED_VALUE"""),"ERIH PLUS/ CEEOL")</f>
        <v>ERIH PLUS/ CEEOL</v>
      </c>
      <c r="G7824" s="10"/>
      <c r="H7824" s="10"/>
      <c r="I7824" s="10"/>
      <c r="J7824" s="10"/>
      <c r="K7824" s="10"/>
      <c r="L7824" s="10"/>
      <c r="M7824" s="10"/>
      <c r="N7824" s="10"/>
      <c r="O7824" s="10"/>
      <c r="P7824" s="10"/>
      <c r="Q7824" s="10"/>
      <c r="R7824" s="10"/>
      <c r="S7824" s="10"/>
      <c r="T7824" s="10"/>
      <c r="U7824" s="10"/>
      <c r="V7824" s="10"/>
      <c r="W7824" s="10"/>
      <c r="X7824" s="10"/>
      <c r="Y7824" s="10"/>
      <c r="Z7824" s="10"/>
    </row>
    <row r="7825" spans="1:26" ht="12.75">
      <c r="A7825" s="10" t="str">
        <f ca="1">IFERROR(__xludf.DUMMYFUNCTION("""COMPUTED_VALUE"""),"Християн Атанасов Атанасов")</f>
        <v>Християн Атанасов Атанасов</v>
      </c>
      <c r="B7825" s="10" t="str">
        <f ca="1">IFERROR(__xludf.DUMMYFUNCTION("""COMPUTED_VALUE"""),"Доклад от конференция")</f>
        <v>Доклад от конференция</v>
      </c>
      <c r="C7825" s="10" t="str">
        <f ca="1">IFERROR(__xludf.DUMMYFUNCTION("""COMPUTED_VALUE"""),"За икономиката, финансите, демографията и политиката. Още един прочит на вестник „Напредък” (1874 – 1877 г.).")</f>
        <v>За икономиката, финансите, демографията и политиката. Още един прочит на вестник „Напредък” (1874 – 1877 г.).</v>
      </c>
      <c r="D7825" s="10">
        <f ca="1">IFERROR(__xludf.DUMMYFUNCTION("""COMPUTED_VALUE"""),2018)</f>
        <v>2018</v>
      </c>
      <c r="E7825" s="10" t="str">
        <f ca="1">IFERROR(__xludf.DUMMYFUNCTION("""COMPUTED_VALUE"""),"ХV национална научна конференция с международно участие. „Обществото на знанието и хуманизмът на ХХІ век”. София: 1 ноември 2017 г. УниБИТ, Академично издателство „За буквите – О писменехь“, ISSN 1314-7099, София, 2018, 698-706.")</f>
        <v>ХV национална научна конференция с международно участие. „Обществото на знанието и хуманизмът на ХХІ век”. София: 1 ноември 2017 г. УниБИТ, Академично издателство „За буквите – О писменехь“, ISSN 1314-7099, София, 2018, 698-706.</v>
      </c>
      <c r="F7825" s="10"/>
      <c r="G7825" s="10"/>
      <c r="H7825" s="10"/>
      <c r="I7825" s="10"/>
      <c r="J7825" s="10"/>
      <c r="K7825" s="10"/>
      <c r="L7825" s="10"/>
      <c r="M7825" s="10"/>
      <c r="N7825" s="10"/>
      <c r="O7825" s="10"/>
      <c r="P7825" s="10"/>
      <c r="Q7825" s="10"/>
      <c r="R7825" s="10"/>
      <c r="S7825" s="10"/>
      <c r="T7825" s="10"/>
      <c r="U7825" s="10"/>
      <c r="V7825" s="10"/>
      <c r="W7825" s="10"/>
      <c r="X7825" s="10"/>
      <c r="Y7825" s="10"/>
      <c r="Z7825" s="10"/>
    </row>
    <row r="7826" spans="1:26" ht="12.75">
      <c r="A7826" s="10" t="str">
        <f ca="1">IFERROR(__xludf.DUMMYFUNCTION("""COMPUTED_VALUE"""),"Християн Атанасов Атанасов")</f>
        <v>Християн Атанасов Атанасов</v>
      </c>
      <c r="B7826" s="10" t="str">
        <f ca="1">IFERROR(__xludf.DUMMYFUNCTION("""COMPUTED_VALUE"""),"Студия")</f>
        <v>Студия</v>
      </c>
      <c r="C7826" s="10" t="str">
        <f ca="1">IFERROR(__xludf.DUMMYFUNCTION("""COMPUTED_VALUE"""),"Османотурски документи във фонда на Българската екзархия (ф. 246 К, оп. 11).")</f>
        <v>Османотурски документи във фонда на Българската екзархия (ф. 246 К, оп. 11).</v>
      </c>
      <c r="D7826" s="10">
        <f ca="1">IFERROR(__xludf.DUMMYFUNCTION("""COMPUTED_VALUE"""),2018)</f>
        <v>2018</v>
      </c>
      <c r="E7826" s="10" t="str">
        <f ca="1">IFERROR(__xludf.DUMMYFUNCTION("""COMPUTED_VALUE"""),"Известия на държавните архиви, Print ISSN: 0323-9780, кн. 113-114, 2018,. 210-341.")</f>
        <v>Известия на държавните архиви, Print ISSN: 0323-9780, кн. 113-114, 2018,. 210-341.</v>
      </c>
      <c r="F7826" s="10"/>
      <c r="G7826" s="10" t="str">
        <f ca="1">IFERROR(__xludf.DUMMYFUNCTION("""COMPUTED_VALUE"""),"Зорка Иванова")</f>
        <v>Зорка Иванова</v>
      </c>
      <c r="H7826" s="10"/>
      <c r="I7826" s="10"/>
      <c r="J7826" s="10"/>
      <c r="K7826" s="10"/>
      <c r="L7826" s="10"/>
      <c r="M7826" s="10"/>
      <c r="N7826" s="10"/>
      <c r="O7826" s="10"/>
      <c r="P7826" s="10"/>
      <c r="Q7826" s="10"/>
      <c r="R7826" s="10"/>
      <c r="S7826" s="10"/>
      <c r="T7826" s="10"/>
      <c r="U7826" s="10"/>
      <c r="V7826" s="10"/>
      <c r="W7826" s="10"/>
      <c r="X7826" s="10"/>
      <c r="Y7826" s="10"/>
      <c r="Z7826" s="10"/>
    </row>
    <row r="7827" spans="1:26" ht="12.75">
      <c r="A7827" s="10" t="str">
        <f ca="1">IFERROR(__xludf.DUMMYFUNCTION("""COMPUTED_VALUE"""),"Християн Атанасов Атанасов")</f>
        <v>Християн Атанасов Атанасов</v>
      </c>
      <c r="B7827" s="10" t="str">
        <f ca="1">IFERROR(__xludf.DUMMYFUNCTION("""COMPUTED_VALUE"""),"Доклад от конференция")</f>
        <v>Доклад от конференция</v>
      </c>
      <c r="C7827" s="10" t="str">
        <f ca="1">IFERROR(__xludf.DUMMYFUNCTION("""COMPUTED_VALUE"""),"Сведения за живота и културата на лозенградчани във възрожденския вестник ""Право""")</f>
        <v>Сведения за живота и културата на лозенградчани във възрожденския вестник "Право"</v>
      </c>
      <c r="D7827" s="10">
        <f ca="1">IFERROR(__xludf.DUMMYFUNCTION("""COMPUTED_VALUE"""),2018)</f>
        <v>2018</v>
      </c>
      <c r="E7827" s="10" t="str">
        <f ca="1">IFERROR(__xludf.DUMMYFUNCTION("""COMPUTED_VALUE"""),"Съвременни измерения на европейското образователно и научно пространство. Културни връзки между България и Суверенния малтийски орден. – София: За буквите – О писменехь, 2018, с. 84 – 92. ISSN 2367-7988")</f>
        <v>Съвременни измерения на европейското образователно и научно пространство. Културни връзки между България и Суверенния малтийски орден. – София: За буквите – О писменехь, 2018, с. 84 – 92. ISSN 2367-7988</v>
      </c>
      <c r="F7827" s="10"/>
      <c r="G7827" s="10" t="str">
        <f ca="1">IFERROR(__xludf.DUMMYFUNCTION("""COMPUTED_VALUE"""),"Диана Стоянова")</f>
        <v>Диана Стоянова</v>
      </c>
      <c r="H7827" s="10"/>
      <c r="I7827" s="10"/>
      <c r="J7827" s="10"/>
      <c r="K7827" s="10"/>
      <c r="L7827" s="10"/>
      <c r="M7827" s="10"/>
      <c r="N7827" s="10"/>
      <c r="O7827" s="10"/>
      <c r="P7827" s="10"/>
      <c r="Q7827" s="10"/>
      <c r="R7827" s="10"/>
      <c r="S7827" s="10"/>
      <c r="T7827" s="10"/>
      <c r="U7827" s="10"/>
      <c r="V7827" s="10"/>
      <c r="W7827" s="10"/>
      <c r="X7827" s="10"/>
      <c r="Y7827" s="10"/>
      <c r="Z7827" s="10"/>
    </row>
    <row r="7828" spans="1:26" ht="12.75">
      <c r="A7828" s="10" t="str">
        <f ca="1">IFERROR(__xludf.DUMMYFUNCTION("""COMPUTED_VALUE"""),"Християн Атанасов Атанасов")</f>
        <v>Християн Атанасов Атанасов</v>
      </c>
      <c r="B7828" s="10" t="str">
        <f ca="1">IFERROR(__xludf.DUMMYFUNCTION("""COMPUTED_VALUE"""),"Доклад от конференция")</f>
        <v>Доклад от конференция</v>
      </c>
      <c r="C7828" s="10" t="str">
        <f ca="1">IFERROR(__xludf.DUMMYFUNCTION("""COMPUTED_VALUE"""),"Lozengrad and the Region on the Pages of the Bulgarian Revival Press (based on digitized periodicals by the National Library St. St. Cyril and Methodius)")</f>
        <v>Lozengrad and the Region on the Pages of the Bulgarian Revival Press (based on digitized periodicals by the National Library St. St. Cyril and Methodius)</v>
      </c>
      <c r="D7828" s="10">
        <f ca="1">IFERROR(__xludf.DUMMYFUNCTION("""COMPUTED_VALUE"""),2018)</f>
        <v>2018</v>
      </c>
      <c r="E7828" s="10" t="str">
        <f ca="1">IFERROR(__xludf.DUMMYFUNCTION("""COMPUTED_VALUE"""),"Съвременни стратегии и иновации в управлението на знанието, 4, 2018/ Contemporary Strategies and Innovations in the Knowledge Management, 4, 2018. Collections with Papers of the Fourth Scientific Conference 27th November, 2018, European Parliament in Brus"&amp;"sels.Academic Publishing House “Za bukvite – O Pismeneh”, Sofia, 2018, pp. 54-65. 
  ISSN 2535-0250")</f>
        <v>Съвременни стратегии и иновации в управлението на знанието, 4, 2018/ Contemporary Strategies and Innovations in the Knowledge Management, 4, 2018. Collections with Papers of the Fourth Scientific Conference 27th November, 2018, European Parliament in Brussels.Academic Publishing House “Za bukvite – O Pismeneh”, Sofia, 2018, pp. 54-65. 
  ISSN 2535-0250</v>
      </c>
      <c r="F7828" s="10" t="str">
        <f ca="1">IFERROR(__xludf.DUMMYFUNCTION("""COMPUTED_VALUE"""),"Research Gate, Academia.edu")</f>
        <v>Research Gate, Academia.edu</v>
      </c>
      <c r="G7828" s="10" t="str">
        <f ca="1">IFERROR(__xludf.DUMMYFUNCTION("""COMPUTED_VALUE"""),"Diana Stoyanova")</f>
        <v>Diana Stoyanova</v>
      </c>
      <c r="H7828" s="10"/>
      <c r="I7828" s="10"/>
      <c r="J7828" s="10"/>
      <c r="K7828" s="10"/>
      <c r="L7828" s="10"/>
      <c r="M7828" s="10"/>
      <c r="N7828" s="10"/>
      <c r="O7828" s="10"/>
      <c r="P7828" s="10"/>
      <c r="Q7828" s="10"/>
      <c r="R7828" s="10"/>
      <c r="S7828" s="10"/>
      <c r="T7828" s="10"/>
      <c r="U7828" s="10"/>
      <c r="V7828" s="10"/>
      <c r="W7828" s="10"/>
      <c r="X7828" s="10"/>
      <c r="Y7828" s="10"/>
      <c r="Z7828" s="10"/>
    </row>
    <row r="7829" spans="1:26" ht="12.75">
      <c r="A7829" s="10" t="str">
        <f ca="1">IFERROR(__xludf.DUMMYFUNCTION("""COMPUTED_VALUE"""),"Християн Атанасов Атанасов")</f>
        <v>Християн Атанасов Атанасов</v>
      </c>
      <c r="B7829" s="10" t="str">
        <f ca="1">IFERROR(__xludf.DUMMYFUNCTION("""COMPUTED_VALUE"""),"Книга")</f>
        <v>Книга</v>
      </c>
      <c r="C7829" s="10" t="str">
        <f ca="1">IFERROR(__xludf.DUMMYFUNCTION("""COMPUTED_VALUE"""),"Ottoman Documents from the Holdings of “Prof. Alexander Fol” Historical Museum, Malko Tarnovo Town. Assoc. Prof. Hristiyan Atanasov PhD, Compiler, Introduction and Annotation")</f>
        <v>Ottoman Documents from the Holdings of “Prof. Alexander Fol” Historical Museum, Malko Tarnovo Town. Assoc. Prof. Hristiyan Atanasov PhD, Compiler, Introduction and Annotation</v>
      </c>
      <c r="D7829" s="10">
        <f ca="1">IFERROR(__xludf.DUMMYFUNCTION("""COMPUTED_VALUE"""),2018)</f>
        <v>2018</v>
      </c>
      <c r="E7829" s="10" t="str">
        <f ca="1">IFERROR(__xludf.DUMMYFUNCTION("""COMPUTED_VALUE"""),"“Za Bukvite – O Pismeneh” Academic Publishing House, ISBN 978-619-185-332-8, Sofia, 2018, 100 p.")</f>
        <v>“Za Bukvite – O Pismeneh” Academic Publishing House, ISBN 978-619-185-332-8, Sofia, 2018, 100 p.</v>
      </c>
      <c r="F7829" s="10"/>
      <c r="G7829" s="10"/>
      <c r="H7829" s="10"/>
      <c r="I7829" s="10"/>
      <c r="J7829" s="10"/>
      <c r="K7829" s="10"/>
      <c r="L7829" s="10"/>
      <c r="M7829" s="10"/>
      <c r="N7829" s="10"/>
      <c r="O7829" s="10"/>
      <c r="P7829" s="10"/>
      <c r="Q7829" s="10"/>
      <c r="R7829" s="10"/>
      <c r="S7829" s="10"/>
      <c r="T7829" s="10"/>
      <c r="U7829" s="10"/>
      <c r="V7829" s="10"/>
      <c r="W7829" s="10"/>
      <c r="X7829" s="10"/>
      <c r="Y7829" s="10"/>
      <c r="Z7829" s="10"/>
    </row>
    <row r="7830" spans="1:26" ht="12.75">
      <c r="A7830" s="10" t="str">
        <f ca="1">IFERROR(__xludf.DUMMYFUNCTION("""COMPUTED_VALUE"""),"Християн Атанасов Атанасов")</f>
        <v>Християн Атанасов Атанасов</v>
      </c>
      <c r="B7830" s="10" t="str">
        <f ca="1">IFERROR(__xludf.DUMMYFUNCTION("""COMPUTED_VALUE"""),"Книга")</f>
        <v>Книга</v>
      </c>
      <c r="C7830" s="10" t="str">
        <f ca="1">IFERROR(__xludf.DUMMYFUNCTION("""COMPUTED_VALUE"""),"Османотурски документи от фонда на Исторически музей „проф. Александър Фол”, гр. Малко Търново. Доц. д-р Християн Атанасов, съставител, въведение и анотации")</f>
        <v>Османотурски документи от фонда на Исторически музей „проф. Александър Фол”, гр. Малко Търново. Доц. д-р Християн Атанасов, съставител, въведение и анотации</v>
      </c>
      <c r="D7830" s="10">
        <f ca="1">IFERROR(__xludf.DUMMYFUNCTION("""COMPUTED_VALUE"""),2018)</f>
        <v>2018</v>
      </c>
      <c r="E7830" s="10" t="str">
        <f ca="1">IFERROR(__xludf.DUMMYFUNCTION("""COMPUTED_VALUE"""),"Академично издателство „За буквите – О писменехь“, ISBN 978-619-185-333-5, София, 2018, 100 с.")</f>
        <v>Академично издателство „За буквите – О писменехь“, ISBN 978-619-185-333-5, София, 2018, 100 с.</v>
      </c>
      <c r="F7830" s="10"/>
      <c r="G7830" s="10"/>
      <c r="H7830" s="10"/>
      <c r="I7830" s="10"/>
      <c r="J7830" s="10"/>
      <c r="K7830" s="10"/>
      <c r="L7830" s="10"/>
      <c r="M7830" s="10"/>
      <c r="N7830" s="10"/>
      <c r="O7830" s="10"/>
      <c r="P7830" s="10"/>
      <c r="Q7830" s="10"/>
      <c r="R7830" s="10"/>
      <c r="S7830" s="10"/>
      <c r="T7830" s="10"/>
      <c r="U7830" s="10"/>
      <c r="V7830" s="10"/>
      <c r="W7830" s="10"/>
      <c r="X7830" s="10"/>
      <c r="Y7830" s="10"/>
      <c r="Z7830" s="10"/>
    </row>
    <row r="7831" spans="1:26" ht="12.75">
      <c r="A7831" s="10" t="str">
        <f ca="1">IFERROR(__xludf.DUMMYFUNCTION("""COMPUTED_VALUE"""),"Християн Атанасов Атанасов")</f>
        <v>Християн Атанасов Атанасов</v>
      </c>
      <c r="B7831" s="10" t="str">
        <f ca="1">IFERROR(__xludf.DUMMYFUNCTION("""COMPUTED_VALUE"""),"Статия в списания и поредици")</f>
        <v>Статия в списания и поредици</v>
      </c>
      <c r="C7831" s="10" t="str">
        <f ca="1">IFERROR(__xludf.DUMMYFUNCTION("""COMPUTED_VALUE"""),"Български и османски източници за общополезните каси на Мидхат паша от 60-те и 70-те години на XIX век")</f>
        <v>Български и османски източници за общополезните каси на Мидхат паша от 60-те и 70-те години на XIX век</v>
      </c>
      <c r="D7831" s="10">
        <f ca="1">IFERROR(__xludf.DUMMYFUNCTION("""COMPUTED_VALUE"""),2017)</f>
        <v>2017</v>
      </c>
      <c r="E7831" s="10" t="str">
        <f ca="1">IFERROR(__xludf.DUMMYFUNCTION("""COMPUTED_VALUE"""),"ХIV национална научна конференция с международно участие. „Обществото на знанието и хуманизмът на ХХІ век”. София: 1 ноември 2016 г. УниБИТ, Академично издателство „За буквите – О писменехь“, ISSN 1314-7099, София, 2017, 349-355.")</f>
        <v>ХIV национална научна конференция с международно участие. „Обществото на знанието и хуманизмът на ХХІ век”. София: 1 ноември 2016 г. УниБИТ, Академично издателство „За буквите – О писменехь“, ISSN 1314-7099, София, 2017, 349-355.</v>
      </c>
      <c r="F7831" s="10"/>
      <c r="G7831" s="10"/>
      <c r="H7831" s="10"/>
      <c r="I7831" s="10"/>
      <c r="J7831" s="10"/>
      <c r="K7831" s="10"/>
      <c r="L7831" s="10"/>
      <c r="M7831" s="10"/>
      <c r="N7831" s="10"/>
      <c r="O7831" s="10"/>
      <c r="P7831" s="10"/>
      <c r="Q7831" s="10"/>
      <c r="R7831" s="10"/>
      <c r="S7831" s="10"/>
      <c r="T7831" s="10"/>
      <c r="U7831" s="10"/>
      <c r="V7831" s="10"/>
      <c r="W7831" s="10"/>
      <c r="X7831" s="10"/>
      <c r="Y7831" s="10"/>
      <c r="Z7831" s="10"/>
    </row>
    <row r="7832" spans="1:26" ht="12.75">
      <c r="A7832" s="10" t="str">
        <f ca="1">IFERROR(__xludf.DUMMYFUNCTION("""COMPUTED_VALUE"""),"Християн Атанасов Атанасов")</f>
        <v>Християн Атанасов Атанасов</v>
      </c>
      <c r="B7832" s="10" t="str">
        <f ca="1">IFERROR(__xludf.DUMMYFUNCTION("""COMPUTED_VALUE"""),"Монография")</f>
        <v>Монография</v>
      </c>
      <c r="C7832" s="10" t="str">
        <f ca="1">IFERROR(__xludf.DUMMYFUNCTION("""COMPUTED_VALUE"""),"Развитие на земеделското кредитиране в Дунавския вилает: „Общополезните” каси през 60-те и 70-те години на XIX век (на базата на непубликувани информационни източници).")</f>
        <v>Развитие на земеделското кредитиране в Дунавския вилает: „Общополезните” каси през 60-те и 70-те години на XIX век (на базата на непубликувани информационни източници).</v>
      </c>
      <c r="D7832" s="10">
        <f ca="1">IFERROR(__xludf.DUMMYFUNCTION("""COMPUTED_VALUE"""),2017)</f>
        <v>2017</v>
      </c>
      <c r="E7832" s="10" t="str">
        <f ca="1">IFERROR(__xludf.DUMMYFUNCTION("""COMPUTED_VALUE"""),"ISBN 978-619-00-0560-5, София: Фабер, 2017, 252 стр.")</f>
        <v>ISBN 978-619-00-0560-5, София: Фабер, 2017, 252 стр.</v>
      </c>
      <c r="F7832" s="10"/>
      <c r="G7832" s="10"/>
      <c r="H7832" s="10"/>
      <c r="I7832" s="10"/>
      <c r="J7832" s="10"/>
      <c r="K7832" s="10"/>
      <c r="L7832" s="10"/>
      <c r="M7832" s="10"/>
      <c r="N7832" s="10"/>
      <c r="O7832" s="10"/>
      <c r="P7832" s="10"/>
      <c r="Q7832" s="10"/>
      <c r="R7832" s="10"/>
      <c r="S7832" s="10"/>
      <c r="T7832" s="10"/>
      <c r="U7832" s="10"/>
      <c r="V7832" s="10"/>
      <c r="W7832" s="10"/>
      <c r="X7832" s="10"/>
      <c r="Y7832" s="10"/>
      <c r="Z7832" s="10"/>
    </row>
    <row r="7833" spans="1:26" ht="12.75">
      <c r="A7833" s="10" t="str">
        <f ca="1">IFERROR(__xludf.DUMMYFUNCTION("""COMPUTED_VALUE"""),"Християн Атанасов Атанасов")</f>
        <v>Християн Атанасов Атанасов</v>
      </c>
      <c r="B7833" s="10" t="str">
        <f ca="1">IFERROR(__xludf.DUMMYFUNCTION("""COMPUTED_VALUE"""),"Учебно пособие")</f>
        <v>Учебно пособие</v>
      </c>
      <c r="C7833" s="10" t="str">
        <f ca="1">IFERROR(__xludf.DUMMYFUNCTION("""COMPUTED_VALUE"""),"Въведение в архивното и документално наследство на Централна Европа и Балканите (учебно помагало)")</f>
        <v>Въведение в архивното и документално наследство на Централна Европа и Балканите (учебно помагало)</v>
      </c>
      <c r="D7833" s="10">
        <f ca="1">IFERROR(__xludf.DUMMYFUNCTION("""COMPUTED_VALUE"""),2017)</f>
        <v>2017</v>
      </c>
      <c r="E7833" s="10" t="str">
        <f ca="1">IFERROR(__xludf.DUMMYFUNCTION("""COMPUTED_VALUE"""),"ISBN 978-619-160-814-0. Авангард-Прима, С., 2017, 128 стр. Електронно издание.")</f>
        <v>ISBN 978-619-160-814-0. Авангард-Прима, С., 2017, 128 стр. Електронно издание.</v>
      </c>
      <c r="F7833" s="10"/>
      <c r="G7833" s="10"/>
      <c r="H7833" s="10"/>
      <c r="I7833" s="10"/>
      <c r="J7833" s="10"/>
      <c r="K7833" s="10"/>
      <c r="L7833" s="10"/>
      <c r="M7833" s="10"/>
      <c r="N7833" s="10"/>
      <c r="O7833" s="10"/>
      <c r="P7833" s="10"/>
      <c r="Q7833" s="10"/>
      <c r="R7833" s="10"/>
      <c r="S7833" s="10"/>
      <c r="T7833" s="10"/>
      <c r="U7833" s="10"/>
      <c r="V7833" s="10"/>
      <c r="W7833" s="10"/>
      <c r="X7833" s="10"/>
      <c r="Y7833" s="10"/>
      <c r="Z7833" s="10"/>
    </row>
    <row r="7834" spans="1:26" ht="12.75">
      <c r="A7834" s="10" t="str">
        <f ca="1">IFERROR(__xludf.DUMMYFUNCTION("""COMPUTED_VALUE"""),"Християн Атанасов Атанасов")</f>
        <v>Християн Атанасов Атанасов</v>
      </c>
      <c r="B7834" s="10" t="str">
        <f ca="1">IFERROR(__xludf.DUMMYFUNCTION("""COMPUTED_VALUE"""),"Статия в списания и поредици")</f>
        <v>Статия в списания и поредици</v>
      </c>
      <c r="C7834" s="10" t="str">
        <f ca="1">IFERROR(__xludf.DUMMYFUNCTION("""COMPUTED_VALUE"""),"Сведения за българите и тяхното недвижимо културно наследство на територията на Лозенград в периода 1870-1900")</f>
        <v>Сведения за българите и тяхното недвижимо културно наследство на територията на Лозенград в периода 1870-1900</v>
      </c>
      <c r="D7834" s="10">
        <f ca="1">IFERROR(__xludf.DUMMYFUNCTION("""COMPUTED_VALUE"""),2017)</f>
        <v>2017</v>
      </c>
      <c r="E7834" s="10" t="str">
        <f ca="1">IFERROR(__xludf.DUMMYFUNCTION("""COMPUTED_VALUE"""),"Съвременни измерения на европейското образователно и научно пространство. Българо-гръцки културни общувания. – София: За Буквите – О писменехь, ISSN 2367-7988 (print), 2017, с. 201 – 208.")</f>
        <v>Съвременни измерения на европейското образователно и научно пространство. Българо-гръцки културни общувания. – София: За Буквите – О писменехь, ISSN 2367-7988 (print), 2017, с. 201 – 208.</v>
      </c>
      <c r="F7834" s="10"/>
      <c r="G7834" s="10" t="str">
        <f ca="1">IFERROR(__xludf.DUMMYFUNCTION("""COMPUTED_VALUE"""),"Диана Стоянова, Пламен Теодосиев")</f>
        <v>Диана Стоянова, Пламен Теодосиев</v>
      </c>
      <c r="H7834" s="10"/>
      <c r="I7834" s="10"/>
      <c r="J7834" s="10"/>
      <c r="K7834" s="10"/>
      <c r="L7834" s="10"/>
      <c r="M7834" s="10"/>
      <c r="N7834" s="10"/>
      <c r="O7834" s="10"/>
      <c r="P7834" s="10"/>
      <c r="Q7834" s="10"/>
      <c r="R7834" s="10"/>
      <c r="S7834" s="10"/>
      <c r="T7834" s="10"/>
      <c r="U7834" s="10"/>
      <c r="V7834" s="10"/>
      <c r="W7834" s="10"/>
      <c r="X7834" s="10"/>
      <c r="Y7834" s="10"/>
      <c r="Z7834" s="10"/>
    </row>
    <row r="7835" spans="1:26" ht="12.75">
      <c r="A7835" s="10" t="str">
        <f ca="1">IFERROR(__xludf.DUMMYFUNCTION("""COMPUTED_VALUE"""),"Християн Атанасов Атанасов")</f>
        <v>Християн Атанасов Атанасов</v>
      </c>
      <c r="B7835" s="10" t="str">
        <f ca="1">IFERROR(__xludf.DUMMYFUNCTION("""COMPUTED_VALUE"""),"Статия в списания и поредици")</f>
        <v>Статия в списания и поредици</v>
      </c>
      <c r="C7835" s="10" t="str">
        <f ca="1">IFERROR(__xludf.DUMMYFUNCTION("""COMPUTED_VALUE"""),"Сведения за българите в Лозенград, в периода 1870-1900 г. (преглед на османските статистически годишници)")</f>
        <v>Сведения за българите в Лозенград, в периода 1870-1900 г. (преглед на османските статистически годишници)</v>
      </c>
      <c r="D7835" s="10">
        <f ca="1">IFERROR(__xludf.DUMMYFUNCTION("""COMPUTED_VALUE"""),2017)</f>
        <v>2017</v>
      </c>
      <c r="E7835" s="10" t="str">
        <f ca="1">IFERROR(__xludf.DUMMYFUNCTION("""COMPUTED_VALUE"""),"Съвременни стратегии и иновации в управление на знания. – София: За Буквите – О писменехь. ISSN: 2535-0250, 2017, 55-63.")</f>
        <v>Съвременни стратегии и иновации в управление на знания. – София: За Буквите – О писменехь. ISSN: 2535-0250, 2017, 55-63.</v>
      </c>
      <c r="F7835" s="10"/>
      <c r="G7835" s="10" t="str">
        <f ca="1">IFERROR(__xludf.DUMMYFUNCTION("""COMPUTED_VALUE"""),"Диана Стоянова")</f>
        <v>Диана Стоянова</v>
      </c>
      <c r="H7835" s="10"/>
      <c r="I7835" s="10"/>
      <c r="J7835" s="10"/>
      <c r="K7835" s="10"/>
      <c r="L7835" s="10"/>
      <c r="M7835" s="10"/>
      <c r="N7835" s="10"/>
      <c r="O7835" s="10"/>
      <c r="P7835" s="10"/>
      <c r="Q7835" s="10"/>
      <c r="R7835" s="10"/>
      <c r="S7835" s="10"/>
      <c r="T7835" s="10"/>
      <c r="U7835" s="10"/>
      <c r="V7835" s="10"/>
      <c r="W7835" s="10"/>
      <c r="X7835" s="10"/>
      <c r="Y7835" s="10"/>
      <c r="Z7835" s="10"/>
    </row>
    <row r="7836" spans="1:26" ht="12.75">
      <c r="A7836" s="10" t="str">
        <f ca="1">IFERROR(__xludf.DUMMYFUNCTION("""COMPUTED_VALUE"""),"Християн Атанасов Атанасов")</f>
        <v>Християн Атанасов Атанасов</v>
      </c>
      <c r="B7836" s="10" t="str">
        <f ca="1">IFERROR(__xludf.DUMMYFUNCTION("""COMPUTED_VALUE"""),"Статия в списания и поредици")</f>
        <v>Статия в списания и поредици</v>
      </c>
      <c r="C7836" s="10" t="str">
        <f ca="1">IFERROR(__xludf.DUMMYFUNCTION("""COMPUTED_VALUE"""),"Опит за финансов прочит на Цариградски вестник (1848–1862)/А Financial Reading of the Tsarigradski newspaper. Аn Attemp 1848-1862")</f>
        <v>Опит за финансов прочит на Цариградски вестник (1848–1862)/А Financial Reading of the Tsarigradski newspaper. Аn Attemp 1848-1862</v>
      </c>
      <c r="D7836" s="10">
        <f ca="1">IFERROR(__xludf.DUMMYFUNCTION("""COMPUTED_VALUE"""),2017)</f>
        <v>2017</v>
      </c>
      <c r="E7836" s="10" t="str">
        <f ca="1">IFERROR(__xludf.DUMMYFUNCTION("""COMPUTED_VALUE"""),"Известия на ЦСИИ / Proceedings of CEHR, Print ISSN: 2534-9244, Online-ISSN: 2603-3526, Vol. II, 2017, 72-91. (In Bulgarian)")</f>
        <v>Известия на ЦСИИ / Proceedings of CEHR, Print ISSN: 2534-9244, Online-ISSN: 2603-3526, Vol. II, 2017, 72-91. (In Bulgarian)</v>
      </c>
      <c r="F7836" s="10" t="str">
        <f ca="1">IFERROR(__xludf.DUMMYFUNCTION("""COMPUTED_VALUE"""),"ERIH PLUS/ CEEOL")</f>
        <v>ERIH PLUS/ CEEOL</v>
      </c>
      <c r="G7836" s="10"/>
      <c r="H7836" s="10"/>
      <c r="I7836" s="10"/>
      <c r="J7836" s="10"/>
      <c r="K7836" s="10"/>
      <c r="L7836" s="10"/>
      <c r="M7836" s="10"/>
      <c r="N7836" s="10"/>
      <c r="O7836" s="10"/>
      <c r="P7836" s="10"/>
      <c r="Q7836" s="10"/>
      <c r="R7836" s="10"/>
      <c r="S7836" s="10"/>
      <c r="T7836" s="10"/>
      <c r="U7836" s="10"/>
      <c r="V7836" s="10"/>
      <c r="W7836" s="10"/>
      <c r="X7836" s="10"/>
      <c r="Y7836" s="10"/>
      <c r="Z7836" s="10"/>
    </row>
    <row r="7837" spans="1:26" ht="12.75">
      <c r="A7837" s="10" t="str">
        <f ca="1">IFERROR(__xludf.DUMMYFUNCTION("""COMPUTED_VALUE"""),"Християн Атанасов Атанасов")</f>
        <v>Християн Атанасов Атанасов</v>
      </c>
      <c r="B7837" s="10" t="str">
        <f ca="1">IFERROR(__xludf.DUMMYFUNCTION("""COMPUTED_VALUE"""),"Статия в списания и поредици")</f>
        <v>Статия в списания и поредици</v>
      </c>
      <c r="C7837" s="10" t="str">
        <f ca="1">IFERROR(__xludf.DUMMYFUNCTION("""COMPUTED_VALUE"""),"Архивите и инфомационната среда: Информационна система на държавните архиви (ИСДА)")</f>
        <v>Архивите и инфомационната среда: Информационна система на държавните архиви (ИСДА)</v>
      </c>
      <c r="D7837" s="10">
        <f ca="1">IFERROR(__xludf.DUMMYFUNCTION("""COMPUTED_VALUE"""),2016)</f>
        <v>2016</v>
      </c>
      <c r="E7837" s="10" t="str">
        <f ca="1">IFERROR(__xludf.DUMMYFUNCTION("""COMPUTED_VALUE"""),"Университетското професионално архивно образование и архивно-информационният сектор – реалности и предизвикателства. Университетски четения по архивистика. ISBN: 978-954-400-124-7, Т. IV, С., 2016, 29-41.")</f>
        <v>Университетското професионално архивно образование и архивно-информационният сектор – реалности и предизвикателства. Университетски четения по архивистика. ISBN: 978-954-400-124-7, Т. IV, С., 2016, 29-41.</v>
      </c>
      <c r="F7837" s="10"/>
      <c r="G7837" s="10" t="str">
        <f ca="1">IFERROR(__xludf.DUMMYFUNCTION("""COMPUTED_VALUE"""),"Милена Милчева, Николай Цеков, Галя Гълъбова и Иглика Бучова")</f>
        <v>Милена Милчева, Николай Цеков, Галя Гълъбова и Иглика Бучова</v>
      </c>
      <c r="H7837" s="10"/>
      <c r="I7837" s="10"/>
      <c r="J7837" s="10"/>
      <c r="K7837" s="10"/>
      <c r="L7837" s="10"/>
      <c r="M7837" s="10"/>
      <c r="N7837" s="10"/>
      <c r="O7837" s="10"/>
      <c r="P7837" s="10"/>
      <c r="Q7837" s="10"/>
      <c r="R7837" s="10"/>
      <c r="S7837" s="10"/>
      <c r="T7837" s="10"/>
      <c r="U7837" s="10"/>
      <c r="V7837" s="10"/>
      <c r="W7837" s="10"/>
      <c r="X7837" s="10"/>
      <c r="Y7837" s="10"/>
      <c r="Z7837" s="10"/>
    </row>
    <row r="7838" spans="1:26" ht="12.75">
      <c r="A7838" s="10" t="str">
        <f ca="1">IFERROR(__xludf.DUMMYFUNCTION("""COMPUTED_VALUE"""),"Християн Атанасов Атанасов")</f>
        <v>Християн Атанасов Атанасов</v>
      </c>
      <c r="B7838" s="10" t="str">
        <f ca="1">IFERROR(__xludf.DUMMYFUNCTION("""COMPUTED_VALUE"""),"Статия в списания и поредици")</f>
        <v>Статия в списания и поредици</v>
      </c>
      <c r="C7838" s="10" t="str">
        <f ca="1">IFERROR(__xludf.DUMMYFUNCTION("""COMPUTED_VALUE"""),"Повторната употреба на информацията, европейските директиви и българските държавни архиви")</f>
        <v>Повторната употреба на информацията, европейските директиви и българските държавни архиви</v>
      </c>
      <c r="D7838" s="10">
        <f ca="1">IFERROR(__xludf.DUMMYFUNCTION("""COMPUTED_VALUE"""),2016)</f>
        <v>2016</v>
      </c>
      <c r="E7838" s="10" t="str">
        <f ca="1">IFERROR(__xludf.DUMMYFUNCTION("""COMPUTED_VALUE"""),"Архивен преглед, ISSN 0204-8132, бр. 2, 2016, 42-47.")</f>
        <v>Архивен преглед, ISSN 0204-8132, бр. 2, 2016, 42-47.</v>
      </c>
      <c r="F7838" s="10"/>
      <c r="G7838" s="10"/>
      <c r="H7838" s="10"/>
      <c r="I7838" s="10"/>
      <c r="J7838" s="10"/>
      <c r="K7838" s="10"/>
      <c r="L7838" s="10"/>
      <c r="M7838" s="10"/>
      <c r="N7838" s="10"/>
      <c r="O7838" s="10"/>
      <c r="P7838" s="10"/>
      <c r="Q7838" s="10"/>
      <c r="R7838" s="10"/>
      <c r="S7838" s="10"/>
      <c r="T7838" s="10"/>
      <c r="U7838" s="10"/>
      <c r="V7838" s="10"/>
      <c r="W7838" s="10"/>
      <c r="X7838" s="10"/>
      <c r="Y7838" s="10"/>
      <c r="Z7838" s="10"/>
    </row>
    <row r="7839" spans="1:26" ht="12.75">
      <c r="A7839" s="10" t="str">
        <f ca="1">IFERROR(__xludf.DUMMYFUNCTION("""COMPUTED_VALUE"""),"Християн Атанасов Атанасов")</f>
        <v>Християн Атанасов Атанасов</v>
      </c>
      <c r="B7839" s="10" t="str">
        <f ca="1">IFERROR(__xludf.DUMMYFUNCTION("""COMPUTED_VALUE"""),"Статия в списания и поредици")</f>
        <v>Статия в списания и поредици</v>
      </c>
      <c r="C7839" s="10" t="str">
        <f ca="1">IFERROR(__xludf.DUMMYFUNCTION("""COMPUTED_VALUE"""),"Кредитиране на дребно: българската и чуждестранната историография за земеделските каси преди Освобождението.")</f>
        <v>Кредитиране на дребно: българската и чуждестранната историография за земеделските каси преди Освобождението.</v>
      </c>
      <c r="D7839" s="10">
        <f ca="1">IFERROR(__xludf.DUMMYFUNCTION("""COMPUTED_VALUE"""),2014)</f>
        <v>2014</v>
      </c>
      <c r="E7839" s="10" t="str">
        <f ca="1">IFERROR(__xludf.DUMMYFUNCTION("""COMPUTED_VALUE"""),"Икономика и общество: Глобални и регионални предизвикателства пред България. Сборник материали от научната конференция, проведена в УНСС – София, на 31.10.2013 г., Издателски комплекс УНСС, ISBN 978-954-644-580-3, С., 2014, 286-291.")</f>
        <v>Икономика и общество: Глобални и регионални предизвикателства пред България. Сборник материали от научната конференция, проведена в УНСС – София, на 31.10.2013 г., Издателски комплекс УНСС, ISBN 978-954-644-580-3, С., 2014, 286-291.</v>
      </c>
      <c r="F7839" s="10"/>
      <c r="G7839" s="10"/>
      <c r="H7839" s="10"/>
      <c r="I7839" s="10"/>
      <c r="J7839" s="10"/>
      <c r="K7839" s="10"/>
      <c r="L7839" s="10"/>
      <c r="M7839" s="10"/>
      <c r="N7839" s="10"/>
      <c r="O7839" s="10"/>
      <c r="P7839" s="10"/>
      <c r="Q7839" s="10"/>
      <c r="R7839" s="10"/>
      <c r="S7839" s="10"/>
      <c r="T7839" s="10"/>
      <c r="U7839" s="10"/>
      <c r="V7839" s="10"/>
      <c r="W7839" s="10"/>
      <c r="X7839" s="10"/>
      <c r="Y7839" s="10"/>
      <c r="Z7839" s="10"/>
    </row>
    <row r="7840" spans="1:26" ht="12.75">
      <c r="A7840" s="10" t="str">
        <f ca="1">IFERROR(__xludf.DUMMYFUNCTION("""COMPUTED_VALUE"""),"Християн Атанасов Атанасов")</f>
        <v>Християн Атанасов Атанасов</v>
      </c>
      <c r="B7840" s="10" t="str">
        <f ca="1">IFERROR(__xludf.DUMMYFUNCTION("""COMPUTED_VALUE"""),"Студия")</f>
        <v>Студия</v>
      </c>
      <c r="C7840" s="10" t="str">
        <f ca="1">IFERROR(__xludf.DUMMYFUNCTION("""COMPUTED_VALUE"""),"Към подреждането на пъзела: нормираните цени във Видин, Русе и София от средата на XVII до началото на XIX век.")</f>
        <v>Към подреждането на пъзела: нормираните цени във Видин, Русе и София от средата на XVII до началото на XIX век.</v>
      </c>
      <c r="D7840" s="10">
        <f ca="1">IFERROR(__xludf.DUMMYFUNCTION("""COMPUTED_VALUE"""),2014)</f>
        <v>2014</v>
      </c>
      <c r="E7840" s="10" t="str">
        <f ca="1">IFERROR(__xludf.DUMMYFUNCTION("""COMPUTED_VALUE"""),"Историческо бъдеще, Print ISSN: 1311-0144, 1-2, 2014, 3-52.")</f>
        <v>Историческо бъдеще, Print ISSN: 1311-0144, 1-2, 2014, 3-52.</v>
      </c>
      <c r="F7840" s="10" t="str">
        <f ca="1">IFERROR(__xludf.DUMMYFUNCTION("""COMPUTED_VALUE"""),"CEEOL")</f>
        <v>CEEOL</v>
      </c>
      <c r="G7840" s="10"/>
      <c r="H7840" s="10"/>
      <c r="I7840" s="10"/>
      <c r="J7840" s="10"/>
      <c r="K7840" s="10"/>
      <c r="L7840" s="10"/>
      <c r="M7840" s="10"/>
      <c r="N7840" s="10"/>
      <c r="O7840" s="10"/>
      <c r="P7840" s="10"/>
      <c r="Q7840" s="10"/>
      <c r="R7840" s="10"/>
      <c r="S7840" s="10"/>
      <c r="T7840" s="10"/>
      <c r="U7840" s="10"/>
      <c r="V7840" s="10"/>
      <c r="W7840" s="10"/>
      <c r="X7840" s="10"/>
      <c r="Y7840" s="10"/>
      <c r="Z7840" s="10"/>
    </row>
    <row r="7841" spans="1:26" ht="12.75">
      <c r="A7841" s="10" t="str">
        <f ca="1">IFERROR(__xludf.DUMMYFUNCTION("""COMPUTED_VALUE"""),"Християн Атанасов Атанасов")</f>
        <v>Християн Атанасов Атанасов</v>
      </c>
      <c r="B7841" s="10" t="str">
        <f ca="1">IFERROR(__xludf.DUMMYFUNCTION("""COMPUTED_VALUE"""),"Статия в списания и поредици")</f>
        <v>Статия в списания и поредици</v>
      </c>
      <c r="C7841" s="10" t="str">
        <f ca="1">IFERROR(__xludf.DUMMYFUNCTION("""COMPUTED_VALUE"""),"Имуществени тенденции сред градското население в България през XVIII и началото на XIX век според наследствени описи от Русе, София и Видин – пръв поглед")</f>
        <v>Имуществени тенденции сред градското население в България през XVIII и началото на XIX век според наследствени описи от Русе, София и Видин – пръв поглед</v>
      </c>
      <c r="D7841" s="10">
        <f ca="1">IFERROR(__xludf.DUMMYFUNCTION("""COMPUTED_VALUE"""),2014)</f>
        <v>2014</v>
      </c>
      <c r="E7841" s="10" t="str">
        <f ca="1">IFERROR(__xludf.DUMMYFUNCTION("""COMPUTED_VALUE"""),"Политическа икономия и икономическа теория. Сборник статии от Първа национална конференция по политическа икономия (21 – 22 ноември 2013 г.), Изд. На УННС, ISBN 978-954-644-583-4, С., 2014, 383-394.")</f>
        <v>Политическа икономия и икономическа теория. Сборник статии от Първа национална конференция по политическа икономия (21 – 22 ноември 2013 г.), Изд. На УННС, ISBN 978-954-644-583-4, С., 2014, 383-394.</v>
      </c>
      <c r="F7841" s="10"/>
      <c r="G7841" s="10"/>
      <c r="H7841" s="10"/>
      <c r="I7841" s="10"/>
      <c r="J7841" s="10"/>
      <c r="K7841" s="10"/>
      <c r="L7841" s="10"/>
      <c r="M7841" s="10"/>
      <c r="N7841" s="10"/>
      <c r="O7841" s="10"/>
      <c r="P7841" s="10"/>
      <c r="Q7841" s="10"/>
      <c r="R7841" s="10"/>
      <c r="S7841" s="10"/>
      <c r="T7841" s="10"/>
      <c r="U7841" s="10"/>
      <c r="V7841" s="10"/>
      <c r="W7841" s="10"/>
      <c r="X7841" s="10"/>
      <c r="Y7841" s="10"/>
      <c r="Z7841" s="10"/>
    </row>
    <row r="7842" spans="1:26" ht="12.75">
      <c r="A7842" s="10" t="str">
        <f ca="1">IFERROR(__xludf.DUMMYFUNCTION("""COMPUTED_VALUE"""),"Християн Атанасов Атанасов")</f>
        <v>Християн Атанасов Атанасов</v>
      </c>
      <c r="B7842" s="10" t="str">
        <f ca="1">IFERROR(__xludf.DUMMYFUNCTION("""COMPUTED_VALUE"""),"Статия в списания и поредици")</f>
        <v>Статия в списания и поредици</v>
      </c>
      <c r="C7842" s="10" t="str">
        <f ca="1">IFERROR(__xludf.DUMMYFUNCTION("""COMPUTED_VALUE"""),"Property trends among the urban population of Rumelia in the 18th century as indicated by inheritance inventories from Russe, Sofia and Vidin – a first glance.")</f>
        <v>Property trends among the urban population of Rumelia in the 18th century as indicated by inheritance inventories from Russe, Sofia and Vidin – a first glance.</v>
      </c>
      <c r="D7842" s="10">
        <f ca="1">IFERROR(__xludf.DUMMYFUNCTION("""COMPUTED_VALUE"""),2013)</f>
        <v>2013</v>
      </c>
      <c r="E7842" s="10" t="str">
        <f ca="1">IFERROR(__xludf.DUMMYFUNCTION("""COMPUTED_VALUE"""),"Bulgarian Historical Review, Print ISSN: 0204-8906, Vol. 41, Issue 3/4, 2013, 33-59, 27 p.")</f>
        <v>Bulgarian Historical Review, Print ISSN: 0204-8906, Vol. 41, Issue 3/4, 2013, 33-59, 27 p.</v>
      </c>
      <c r="F7842" s="10" t="str">
        <f ca="1">IFERROR(__xludf.DUMMYFUNCTION("""COMPUTED_VALUE"""),"SCOPUS")</f>
        <v>SCOPUS</v>
      </c>
      <c r="G7842" s="10"/>
      <c r="H7842" s="10"/>
      <c r="I7842" s="10"/>
      <c r="J7842" s="10"/>
      <c r="K7842" s="10"/>
      <c r="L7842" s="10"/>
      <c r="M7842" s="10"/>
      <c r="N7842" s="10"/>
      <c r="O7842" s="10"/>
      <c r="P7842" s="10"/>
      <c r="Q7842" s="10"/>
      <c r="R7842" s="10"/>
      <c r="S7842" s="10"/>
      <c r="T7842" s="10"/>
      <c r="U7842" s="10"/>
      <c r="V7842" s="10"/>
      <c r="W7842" s="10"/>
      <c r="X7842" s="10"/>
      <c r="Y7842" s="10"/>
      <c r="Z7842" s="10"/>
    </row>
    <row r="7843" spans="1:26" ht="12.75">
      <c r="A7843" s="10" t="str">
        <f ca="1">IFERROR(__xludf.DUMMYFUNCTION("""COMPUTED_VALUE"""),"Християн Атанасов Атанасов")</f>
        <v>Християн Атанасов Атанасов</v>
      </c>
      <c r="B7843" s="10" t="str">
        <f ca="1">IFERROR(__xludf.DUMMYFUNCTION("""COMPUTED_VALUE"""),"Книга")</f>
        <v>Книга</v>
      </c>
      <c r="C7843" s="10" t="str">
        <f ca="1">IFERROR(__xludf.DUMMYFUNCTION("""COMPUTED_VALUE"""),"Християни и евреи във Видинско: Джизие описи на Видинския санджак от 20-те години на XVIII век.")</f>
        <v>Християни и евреи във Видинско: Джизие описи на Видинския санджак от 20-те години на XVIII век.</v>
      </c>
      <c r="D7843" s="10">
        <f ca="1">IFERROR(__xludf.DUMMYFUNCTION("""COMPUTED_VALUE"""),2010)</f>
        <v>2010</v>
      </c>
      <c r="E7843" s="10" t="str">
        <f ca="1">IFERROR(__xludf.DUMMYFUNCTION("""COMPUTED_VALUE"""),"ISBN 978-954-9800-88-3. „Архивите говорят”, Т. 62, 2010, 230 стр.")</f>
        <v>ISBN 978-954-9800-88-3. „Архивите говорят”, Т. 62, 2010, 230 стр.</v>
      </c>
      <c r="F7843" s="10"/>
      <c r="G7843" s="10"/>
      <c r="H7843" s="10"/>
      <c r="I7843" s="10"/>
      <c r="J7843" s="10"/>
      <c r="K7843" s="10"/>
      <c r="L7843" s="10"/>
      <c r="M7843" s="10"/>
      <c r="N7843" s="10"/>
      <c r="O7843" s="10"/>
      <c r="P7843" s="10"/>
      <c r="Q7843" s="10"/>
      <c r="R7843" s="10"/>
      <c r="S7843" s="10"/>
      <c r="T7843" s="10"/>
      <c r="U7843" s="10"/>
      <c r="V7843" s="10"/>
      <c r="W7843" s="10"/>
      <c r="X7843" s="10"/>
      <c r="Y7843" s="10"/>
      <c r="Z7843" s="10"/>
    </row>
    <row r="7844" spans="1:26" ht="12.75">
      <c r="A7844" s="10" t="str">
        <f ca="1">IFERROR(__xludf.DUMMYFUNCTION("""COMPUTED_VALUE"""),"Християн Атанасов Атанасов")</f>
        <v>Християн Атанасов Атанасов</v>
      </c>
      <c r="B7844" s="10" t="str">
        <f ca="1">IFERROR(__xludf.DUMMYFUNCTION("""COMPUTED_VALUE"""),"Студия")</f>
        <v>Студия</v>
      </c>
      <c r="C7844" s="10" t="str">
        <f ca="1">IFERROR(__xludf.DUMMYFUNCTION("""COMPUTED_VALUE"""),"Тевзи дефтер на видинските вилаетски разходи от 7 май – 4 юни 1788 г.")</f>
        <v>Тевзи дефтер на видинските вилаетски разходи от 7 май – 4 юни 1788 г.</v>
      </c>
      <c r="D7844" s="10">
        <f ca="1">IFERROR(__xludf.DUMMYFUNCTION("""COMPUTED_VALUE"""),2008)</f>
        <v>2008</v>
      </c>
      <c r="E7844" s="10" t="str">
        <f ca="1">IFERROR(__xludf.DUMMYFUNCTION("""COMPUTED_VALUE"""),"Етнически и културни пространства на Балканите, Т. 1, ISBN: 9789540727134, 2008, 516-548.")</f>
        <v>Етнически и културни пространства на Балканите, Т. 1, ISBN: 9789540727134, 2008, 516-548.</v>
      </c>
      <c r="F7844" s="10" t="str">
        <f ca="1">IFERROR(__xludf.DUMMYFUNCTION("""COMPUTED_VALUE"""),"CEEOL")</f>
        <v>CEEOL</v>
      </c>
      <c r="G7844" s="10"/>
      <c r="H7844" s="10"/>
      <c r="I7844" s="10"/>
      <c r="J7844" s="10"/>
      <c r="K7844" s="10"/>
      <c r="L7844" s="10"/>
      <c r="M7844" s="10"/>
      <c r="N7844" s="10"/>
      <c r="O7844" s="10"/>
      <c r="P7844" s="10"/>
      <c r="Q7844" s="10"/>
      <c r="R7844" s="10"/>
      <c r="S7844" s="10"/>
      <c r="T7844" s="10"/>
      <c r="U7844" s="10"/>
      <c r="V7844" s="10"/>
      <c r="W7844" s="10"/>
      <c r="X7844" s="10"/>
      <c r="Y7844" s="10"/>
      <c r="Z7844" s="10"/>
    </row>
    <row r="7845" spans="1:26" ht="12.75">
      <c r="A7845" s="10" t="str">
        <f ca="1">IFERROR(__xludf.DUMMYFUNCTION("""COMPUTED_VALUE"""),"Християн Атанасов Атанасов")</f>
        <v>Християн Атанасов Атанасов</v>
      </c>
      <c r="B7845" s="10" t="str">
        <f ca="1">IFERROR(__xludf.DUMMYFUNCTION("""COMPUTED_VALUE"""),"Монография")</f>
        <v>Монография</v>
      </c>
      <c r="C7845" s="10" t="str">
        <f ca="1">IFERROR(__xludf.DUMMYFUNCTION("""COMPUTED_VALUE"""),"В османската периферия: Общество и икономика във Видин и околността през XVIII век.")</f>
        <v>В османската периферия: Общество и икономика във Видин и околността през XVIII век.</v>
      </c>
      <c r="D7845" s="10">
        <f ca="1">IFERROR(__xludf.DUMMYFUNCTION("""COMPUTED_VALUE"""),2008)</f>
        <v>2008</v>
      </c>
      <c r="E7845" s="10" t="str">
        <f ca="1">IFERROR(__xludf.DUMMYFUNCTION("""COMPUTED_VALUE"""),"ИК „Синева“, ISBN: 978-954-9983-76-0. София, 2008, 360 стр.")</f>
        <v>ИК „Синева“, ISBN: 978-954-9983-76-0. София, 2008, 360 стр.</v>
      </c>
      <c r="F7845" s="10"/>
      <c r="G7845" s="10"/>
      <c r="H7845" s="10"/>
      <c r="I7845" s="10"/>
      <c r="J7845" s="10"/>
      <c r="K7845" s="10"/>
      <c r="L7845" s="10"/>
      <c r="M7845" s="10"/>
      <c r="N7845" s="10"/>
      <c r="O7845" s="10"/>
      <c r="P7845" s="10"/>
      <c r="Q7845" s="10"/>
      <c r="R7845" s="10"/>
      <c r="S7845" s="10"/>
      <c r="T7845" s="10"/>
      <c r="U7845" s="10"/>
      <c r="V7845" s="10"/>
      <c r="W7845" s="10"/>
      <c r="X7845" s="10"/>
      <c r="Y7845" s="10"/>
      <c r="Z7845" s="10"/>
    </row>
    <row r="7846" spans="1:26" ht="12.75">
      <c r="A7846" s="10" t="str">
        <f ca="1">IFERROR(__xludf.DUMMYFUNCTION("""COMPUTED_VALUE"""),"Християн Атанасов Атанасов")</f>
        <v>Християн Атанасов Атанасов</v>
      </c>
      <c r="B7846" s="10" t="str">
        <f ca="1">IFERROR(__xludf.DUMMYFUNCTION("""COMPUTED_VALUE"""),"Статия в списания и поредици")</f>
        <v>Статия в списания и поредици</v>
      </c>
      <c r="C7846" s="10" t="str">
        <f ca="1">IFERROR(__xludf.DUMMYFUNCTION("""COMPUTED_VALUE"""),"Султан Селим III и Осман Пазвантоглу – „конфликтът на времето” (в Османската империя)")</f>
        <v>Султан Селим III и Осман Пазвантоглу – „конфликтът на времето” (в Османската империя)</v>
      </c>
      <c r="D7846" s="10">
        <f ca="1">IFERROR(__xludf.DUMMYFUNCTION("""COMPUTED_VALUE"""),2006)</f>
        <v>2006</v>
      </c>
      <c r="E7846" s="10" t="str">
        <f ca="1">IFERROR(__xludf.DUMMYFUNCTION("""COMPUTED_VALUE"""),"Мир и конфликти в Югоизточна Европа. Кюстендилски четения 2005 г. Съст. В. Станев. Велико Търново, ISBN10: 954-9445-07-0; ISBN-10: 978-954-9445-07-7, 2006, 91– 103.")</f>
        <v>Мир и конфликти в Югоизточна Европа. Кюстендилски четения 2005 г. Съст. В. Станев. Велико Търново, ISBN10: 954-9445-07-0; ISBN-10: 978-954-9445-07-7, 2006, 91– 103.</v>
      </c>
      <c r="F7846" s="10"/>
      <c r="G7846" s="10"/>
      <c r="H7846" s="10"/>
      <c r="I7846" s="10"/>
      <c r="J7846" s="10"/>
      <c r="K7846" s="10"/>
      <c r="L7846" s="10"/>
      <c r="M7846" s="10"/>
      <c r="N7846" s="10"/>
      <c r="O7846" s="10"/>
      <c r="P7846" s="10"/>
      <c r="Q7846" s="10"/>
      <c r="R7846" s="10"/>
      <c r="S7846" s="10"/>
      <c r="T7846" s="10"/>
      <c r="U7846" s="10"/>
      <c r="V7846" s="10"/>
      <c r="W7846" s="10"/>
      <c r="X7846" s="10"/>
      <c r="Y7846" s="10"/>
      <c r="Z7846" s="10"/>
    </row>
    <row r="7847" spans="1:26" ht="12.75">
      <c r="A7847" s="10" t="str">
        <f ca="1">IFERROR(__xludf.DUMMYFUNCTION("""COMPUTED_VALUE"""),"Християн Атанасов Атанасов")</f>
        <v>Християн Атанасов Атанасов</v>
      </c>
      <c r="B7847" s="10" t="str">
        <f ca="1">IFERROR(__xludf.DUMMYFUNCTION("""COMPUTED_VALUE"""),"Статия в списания и поредици")</f>
        <v>Статия в списания и поредици</v>
      </c>
      <c r="C7847" s="10" t="str">
        <f ca="1">IFERROR(__xludf.DUMMYFUNCTION("""COMPUTED_VALUE"""),"Опит за иономически и социален портрет на видинските “оджаклии” от втората половина на XVIII век.")</f>
        <v>Опит за иономически и социален портрет на видинските “оджаклии” от втората половина на XVIII век.</v>
      </c>
      <c r="D7847" s="10">
        <f ca="1">IFERROR(__xludf.DUMMYFUNCTION("""COMPUTED_VALUE"""),2005)</f>
        <v>2005</v>
      </c>
      <c r="E7847" s="10" t="str">
        <f ca="1">IFERROR(__xludf.DUMMYFUNCTION("""COMPUTED_VALUE"""),"История, XIII, кн. 5-6, ISSN 0861-3710 (Print), 2005, 50-60.")</f>
        <v>История, XIII, кн. 5-6, ISSN 0861-3710 (Print), 2005, 50-60.</v>
      </c>
      <c r="F7847" s="10" t="str">
        <f ca="1">IFERROR(__xludf.DUMMYFUNCTION("""COMPUTED_VALUE"""),"Web of Science")</f>
        <v>Web of Science</v>
      </c>
      <c r="G7847" s="10"/>
      <c r="H7847" s="10"/>
      <c r="I7847" s="10"/>
      <c r="J7847" s="10"/>
      <c r="K7847" s="10"/>
      <c r="L7847" s="10"/>
      <c r="M7847" s="10"/>
      <c r="N7847" s="10"/>
      <c r="O7847" s="10"/>
      <c r="P7847" s="10"/>
      <c r="Q7847" s="10"/>
      <c r="R7847" s="10"/>
      <c r="S7847" s="10"/>
      <c r="T7847" s="10"/>
      <c r="U7847" s="10"/>
      <c r="V7847" s="10"/>
      <c r="W7847" s="10"/>
      <c r="X7847" s="10"/>
      <c r="Y7847" s="10"/>
      <c r="Z7847" s="10"/>
    </row>
    <row r="7848" spans="1:26" ht="12.75">
      <c r="A7848" s="10" t="str">
        <f ca="1">IFERROR(__xludf.DUMMYFUNCTION("""COMPUTED_VALUE"""),"Христо Димитров Христов")</f>
        <v>Христо Димитров Христов</v>
      </c>
      <c r="B7848" s="10" t="str">
        <f ca="1">IFERROR(__xludf.DUMMYFUNCTION("""COMPUTED_VALUE"""),"Доклад от конференция")</f>
        <v>Доклад от конференция</v>
      </c>
      <c r="C7848" s="10" t="str">
        <f ca="1">IFERROR(__xludf.DUMMYFUNCTION("""COMPUTED_VALUE"""),"Модерност и бъдеще при визуалната графична идентичност на кирилицата.")</f>
        <v>Модерност и бъдеще при визуалната графична идентичност на кирилицата.</v>
      </c>
      <c r="D7848" s="10">
        <f ca="1">IFERROR(__xludf.DUMMYFUNCTION("""COMPUTED_VALUE"""),2019)</f>
        <v>2019</v>
      </c>
      <c r="E7848" s="10" t="str">
        <f ca="1">IFERROR(__xludf.DUMMYFUNCTION("""COMPUTED_VALUE"""),"Общество на знанието и хуманизмът на ХХI век. XVII национална научна конференция с межд. участие. „За буквите – О писменехъ“, София, 2019, ISSN 2683-0094; с. 56-66")</f>
        <v>Общество на знанието и хуманизмът на ХХI век. XVII национална научна конференция с межд. участие. „За буквите – О писменехъ“, София, 2019, ISSN 2683-0094; с. 56-66</v>
      </c>
      <c r="F7848" s="10"/>
      <c r="G7848" s="10"/>
      <c r="H7848" s="10"/>
      <c r="I7848" s="10"/>
      <c r="J7848" s="10"/>
      <c r="K7848" s="10"/>
      <c r="L7848" s="10"/>
      <c r="M7848" s="10"/>
      <c r="N7848" s="10"/>
      <c r="O7848" s="10"/>
      <c r="P7848" s="10"/>
      <c r="Q7848" s="10"/>
      <c r="R7848" s="10"/>
      <c r="S7848" s="10"/>
      <c r="T7848" s="10"/>
      <c r="U7848" s="10"/>
      <c r="V7848" s="10"/>
      <c r="W7848" s="10"/>
      <c r="X7848" s="10"/>
      <c r="Y7848" s="10"/>
      <c r="Z7848" s="10"/>
    </row>
    <row r="7849" spans="1:26" ht="12.75">
      <c r="A7849" s="10" t="str">
        <f ca="1">IFERROR(__xludf.DUMMYFUNCTION("""COMPUTED_VALUE"""),"Христо Димитров Христов")</f>
        <v>Христо Димитров Христов</v>
      </c>
      <c r="B7849" s="10" t="str">
        <f ca="1">IFERROR(__xludf.DUMMYFUNCTION("""COMPUTED_VALUE"""),"Доклад от конференция")</f>
        <v>Доклад от конференция</v>
      </c>
      <c r="C7849" s="10" t="str">
        <f ca="1">IFERROR(__xludf.DUMMYFUNCTION("""COMPUTED_VALUE"""),"Измерения и аспекти на културния обмен между Малта и България в дейността на детските творчески школи")</f>
        <v>Измерения и аспекти на културния обмен между Малта и България в дейността на детските творчески школи</v>
      </c>
      <c r="D7849" s="10">
        <f ca="1">IFERROR(__xludf.DUMMYFUNCTION("""COMPUTED_VALUE"""),2018)</f>
        <v>2018</v>
      </c>
      <c r="E7849" s="10" t="str">
        <f ca="1">IFERROR(__xludf.DUMMYFUNCTION("""COMPUTED_VALUE"""),"Сборник с доклади от дванадесети международен пътуващ семинар на УниБИТ, България – Италия – Малта, 18-23 май 2018 г. „За буквите – О писменехъ“, София, 2018, ISSN 2367-7988; с. 56-66")</f>
        <v>Сборник с доклади от дванадесети международен пътуващ семинар на УниБИТ, България – Италия – Малта, 18-23 май 2018 г. „За буквите – О писменехъ“, София, 2018, ISSN 2367-7988; с. 56-66</v>
      </c>
      <c r="F7849" s="10" t="str">
        <f ca="1">IFERROR(__xludf.DUMMYFUNCTION("""COMPUTED_VALUE"""),"COBIS НБКМ")</f>
        <v>COBIS НБКМ</v>
      </c>
      <c r="G7849" s="10"/>
      <c r="H7849" s="10"/>
      <c r="I7849" s="10"/>
      <c r="J7849" s="10"/>
      <c r="K7849" s="10"/>
      <c r="L7849" s="10"/>
      <c r="M7849" s="10"/>
      <c r="N7849" s="10"/>
      <c r="O7849" s="10"/>
      <c r="P7849" s="10"/>
      <c r="Q7849" s="10"/>
      <c r="R7849" s="10"/>
      <c r="S7849" s="10"/>
      <c r="T7849" s="10"/>
      <c r="U7849" s="10"/>
      <c r="V7849" s="10"/>
      <c r="W7849" s="10"/>
      <c r="X7849" s="10"/>
      <c r="Y7849" s="10"/>
      <c r="Z7849" s="10"/>
    </row>
    <row r="7850" spans="1:26" ht="12.75">
      <c r="A7850" s="10" t="str">
        <f ca="1">IFERROR(__xludf.DUMMYFUNCTION("""COMPUTED_VALUE"""),"Христо Димитров Христов")</f>
        <v>Христо Димитров Христов</v>
      </c>
      <c r="B7850" s="10" t="str">
        <f ca="1">IFERROR(__xludf.DUMMYFUNCTION("""COMPUTED_VALUE"""),"Доклад от конференция")</f>
        <v>Доклад от конференция</v>
      </c>
      <c r="C7850" s="10" t="str">
        <f ca="1">IFERROR(__xludf.DUMMYFUNCTION("""COMPUTED_VALUE"""),"Нравствено-естетическа роля на кирилицата. Научни и художествени измерения")</f>
        <v>Нравствено-естетическа роля на кирилицата. Научни и художествени измерения</v>
      </c>
      <c r="D7850" s="10">
        <f ca="1">IFERROR(__xludf.DUMMYFUNCTION("""COMPUTED_VALUE"""),2018)</f>
        <v>2018</v>
      </c>
      <c r="E7850" s="10" t="str">
        <f ca="1">IFERROR(__xludf.DUMMYFUNCTION("""COMPUTED_VALUE"""),"Сборник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"&amp;"София, 2018, ISBN 978-619-185-213-0; с. 416-424")</f>
        <v>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София, 2018, ISBN 978-619-185-213-0; с. 416-424</v>
      </c>
      <c r="F7850" s="10"/>
      <c r="G7850" s="10"/>
      <c r="H7850" s="10"/>
      <c r="I7850" s="10"/>
      <c r="J7850" s="10"/>
      <c r="K7850" s="10"/>
      <c r="L7850" s="10"/>
      <c r="M7850" s="10"/>
      <c r="N7850" s="10"/>
      <c r="O7850" s="10"/>
      <c r="P7850" s="10"/>
      <c r="Q7850" s="10"/>
      <c r="R7850" s="10"/>
      <c r="S7850" s="10"/>
      <c r="T7850" s="10"/>
      <c r="U7850" s="10"/>
      <c r="V7850" s="10"/>
      <c r="W7850" s="10"/>
      <c r="X7850" s="10"/>
      <c r="Y7850" s="10"/>
      <c r="Z7850" s="10"/>
    </row>
    <row r="7851" spans="1:26" ht="12.75">
      <c r="A7851" s="10" t="str">
        <f ca="1">IFERROR(__xludf.DUMMYFUNCTION("""COMPUTED_VALUE"""),"Христо Димитров Христов")</f>
        <v>Христо Димитров Христов</v>
      </c>
      <c r="B7851" s="10" t="str">
        <f ca="1">IFERROR(__xludf.DUMMYFUNCTION("""COMPUTED_VALUE"""),"Доклад от конференция")</f>
        <v>Доклад от конференция</v>
      </c>
      <c r="C7851" s="10" t="str">
        <f ca="1">IFERROR(__xludf.DUMMYFUNCTION("""COMPUTED_VALUE"""),"Арт пленерът и съпътстващите го културни събития в контекста на образованието по изкуство и култура през целия живот")</f>
        <v>Арт пленерът и съпътстващите го културни събития в контекста на образованието по изкуство и култура през целия живот</v>
      </c>
      <c r="D7851" s="10">
        <f ca="1">IFERROR(__xludf.DUMMYFUNCTION("""COMPUTED_VALUE"""),2018)</f>
        <v>2018</v>
      </c>
      <c r="E7851" s="10" t="str">
        <f ca="1">IFERROR(__xludf.DUMMYFUNCTION("""COMPUTED_VALUE"""),"Сборник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С"&amp;"офия, 2018, ISBN 978-619-185-213-0; с. 65-80")</f>
        <v>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София, 2018, ISBN 978-619-185-213-0; с. 65-80</v>
      </c>
      <c r="F7851" s="10"/>
      <c r="G7851" s="10"/>
      <c r="H7851" s="10"/>
      <c r="I7851" s="10"/>
      <c r="J7851" s="10"/>
      <c r="K7851" s="10"/>
      <c r="L7851" s="10"/>
      <c r="M7851" s="10"/>
      <c r="N7851" s="10"/>
      <c r="O7851" s="10"/>
      <c r="P7851" s="10"/>
      <c r="Q7851" s="10"/>
      <c r="R7851" s="10"/>
      <c r="S7851" s="10"/>
      <c r="T7851" s="10"/>
      <c r="U7851" s="10"/>
      <c r="V7851" s="10"/>
      <c r="W7851" s="10"/>
      <c r="X7851" s="10"/>
      <c r="Y7851" s="10"/>
      <c r="Z7851" s="10"/>
    </row>
    <row r="7852" spans="1:26" ht="12.75">
      <c r="A7852" s="10" t="str">
        <f ca="1">IFERROR(__xludf.DUMMYFUNCTION("""COMPUTED_VALUE"""),"Христо Димитров Христов")</f>
        <v>Христо Димитров Христов</v>
      </c>
      <c r="B7852" s="10" t="str">
        <f ca="1">IFERROR(__xludf.DUMMYFUNCTION("""COMPUTED_VALUE"""),"Доклад от конференция")</f>
        <v>Доклад от конференция</v>
      </c>
      <c r="C7852" s="10" t="str">
        <f ca="1">IFERROR(__xludf.DUMMYFUNCTION("""COMPUTED_VALUE"""),"Обменът на информация, култура и арт продукти, като част от мира, сигурността и добросъседството на Балканите.")</f>
        <v>Обменът на информация, култура и арт продукти, като част от мира, сигурността и добросъседството на Балканите.</v>
      </c>
      <c r="D7852" s="10">
        <f ca="1">IFERROR(__xludf.DUMMYFUNCTION("""COMPUTED_VALUE"""),2018)</f>
        <v>2018</v>
      </c>
      <c r="E7852" s="10" t="str">
        <f ca="1">IFERROR(__xludf.DUMMYFUNCTION("""COMPUTED_VALUE"""),"Сборник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С"&amp;"офия, 2018, ISBN 978-619-185-213-0; с. с. 383-390")</f>
        <v>Сборник с доклади от международните научни конференции „Традиционни и иновативни културни и арт събития в природна и градска среда“ и „Съвременни политики и практики в образованието по изкуствата и културата през целия живот“ „За буквите – О писменехъ“, София, 2018, ISBN 978-619-185-213-0; с. с. 383-390</v>
      </c>
      <c r="F7852" s="10"/>
      <c r="G7852" s="10"/>
      <c r="H7852" s="10"/>
      <c r="I7852" s="10"/>
      <c r="J7852" s="10"/>
      <c r="K7852" s="10"/>
      <c r="L7852" s="10"/>
      <c r="M7852" s="10"/>
      <c r="N7852" s="10"/>
      <c r="O7852" s="10"/>
      <c r="P7852" s="10"/>
      <c r="Q7852" s="10"/>
      <c r="R7852" s="10"/>
      <c r="S7852" s="10"/>
      <c r="T7852" s="10"/>
      <c r="U7852" s="10"/>
      <c r="V7852" s="10"/>
      <c r="W7852" s="10"/>
      <c r="X7852" s="10"/>
      <c r="Y7852" s="10"/>
      <c r="Z7852" s="10"/>
    </row>
    <row r="7853" spans="1:26" ht="12.75">
      <c r="A7853" s="10" t="str">
        <f ca="1">IFERROR(__xludf.DUMMYFUNCTION("""COMPUTED_VALUE"""),"Христо Димитров Христов")</f>
        <v>Христо Димитров Христов</v>
      </c>
      <c r="B7853" s="10" t="str">
        <f ca="1">IFERROR(__xludf.DUMMYFUNCTION("""COMPUTED_VALUE"""),"Доклад от конференция")</f>
        <v>Доклад от конференция</v>
      </c>
      <c r="C7853" s="10" t="str">
        <f ca="1">IFERROR(__xludf.DUMMYFUNCTION("""COMPUTED_VALUE"""),"Писмената комуникация и ролята на дизайна на шрифта.")</f>
        <v>Писмената комуникация и ролята на дизайна на шрифта.</v>
      </c>
      <c r="D7853" s="10">
        <f ca="1">IFERROR(__xludf.DUMMYFUNCTION("""COMPUTED_VALUE"""),2017)</f>
        <v>2017</v>
      </c>
      <c r="E7853" s="10" t="str">
        <f ca="1">IFERROR(__xludf.DUMMYFUNCTION("""COMPUTED_VALUE"""),"Общество на знанието и хуманизмът на ХХI век. XIV национална научна конференция с межд. участие. - София: „За буквите – О писменехъ“, 2017; ISSN 1314-7099; с.439-444")</f>
        <v>Общество на знанието и хуманизмът на ХХI век. XIV национална научна конференция с межд. участие. - София: „За буквите – О писменехъ“, 2017; ISSN 1314-7099; с.439-444</v>
      </c>
      <c r="F7853" s="10" t="str">
        <f ca="1">IFERROR(__xludf.DUMMYFUNCTION("""COMPUTED_VALUE"""),"COBIS НБКМ")</f>
        <v>COBIS НБКМ</v>
      </c>
      <c r="G7853" s="10"/>
      <c r="H7853" s="10"/>
      <c r="I7853" s="10"/>
      <c r="J7853" s="10"/>
      <c r="K7853" s="10"/>
      <c r="L7853" s="10"/>
      <c r="M7853" s="10"/>
      <c r="N7853" s="10"/>
      <c r="O7853" s="10"/>
      <c r="P7853" s="10"/>
      <c r="Q7853" s="10"/>
      <c r="R7853" s="10"/>
      <c r="S7853" s="10"/>
      <c r="T7853" s="10"/>
      <c r="U7853" s="10"/>
      <c r="V7853" s="10"/>
      <c r="W7853" s="10"/>
      <c r="X7853" s="10"/>
      <c r="Y7853" s="10"/>
      <c r="Z7853" s="10"/>
    </row>
    <row r="7854" spans="1:26" ht="12.75">
      <c r="A7854" s="10" t="str">
        <f ca="1">IFERROR(__xludf.DUMMYFUNCTION("""COMPUTED_VALUE"""),"Христо Димитров Христов")</f>
        <v>Христо Димитров Христов</v>
      </c>
      <c r="B7854" s="10" t="str">
        <f ca="1">IFERROR(__xludf.DUMMYFUNCTION("""COMPUTED_VALUE"""),"Доклад от конференция")</f>
        <v>Доклад от конференция</v>
      </c>
      <c r="C7854" s="10" t="str">
        <f ca="1">IFERROR(__xludf.DUMMYFUNCTION("""COMPUTED_VALUE"""),"Арт център Илинденци – пример за добра практика за развитие на арт и културен туризъм.")</f>
        <v>Арт център Илинденци – пример за добра практика за развитие на арт и културен туризъм.</v>
      </c>
      <c r="D7854" s="10">
        <f ca="1">IFERROR(__xludf.DUMMYFUNCTION("""COMPUTED_VALUE"""),2016)</f>
        <v>2016</v>
      </c>
      <c r="E7854" s="10" t="str">
        <f ca="1">IFERROR(__xludf.DUMMYFUNCTION("""COMPUTED_VALUE"""),"Общество на знанието и хуманизмът на ХХ век. XIII национална научна конференция с межд. участие. За буквите – О писменех, София, 2016 г. ISSN 1314-7099; с.743-749")</f>
        <v>Общество на знанието и хуманизмът на ХХ век. XIII национална научна конференция с межд. участие. За буквите – О писменех, София, 2016 г. ISSN 1314-7099; с.743-749</v>
      </c>
      <c r="F7854" s="10" t="str">
        <f ca="1">IFERROR(__xludf.DUMMYFUNCTION("""COMPUTED_VALUE"""),"COBIS НБКМ")</f>
        <v>COBIS НБКМ</v>
      </c>
      <c r="G7854" s="10"/>
      <c r="H7854" s="10"/>
      <c r="I7854" s="10"/>
      <c r="J7854" s="10"/>
      <c r="K7854" s="10"/>
      <c r="L7854" s="10"/>
      <c r="M7854" s="10"/>
      <c r="N7854" s="10"/>
      <c r="O7854" s="10"/>
      <c r="P7854" s="10"/>
      <c r="Q7854" s="10"/>
      <c r="R7854" s="10"/>
      <c r="S7854" s="10"/>
      <c r="T7854" s="10"/>
      <c r="U7854" s="10"/>
      <c r="V7854" s="10"/>
      <c r="W7854" s="10"/>
      <c r="X7854" s="10"/>
      <c r="Y7854" s="10"/>
      <c r="Z7854" s="10"/>
    </row>
    <row r="7855" spans="1:26" ht="12.75">
      <c r="A7855" s="10" t="str">
        <f ca="1">IFERROR(__xludf.DUMMYFUNCTION("""COMPUTED_VALUE"""),"Христо Димитров Христов")</f>
        <v>Христо Димитров Христов</v>
      </c>
      <c r="B7855" s="10" t="str">
        <f ca="1">IFERROR(__xludf.DUMMYFUNCTION("""COMPUTED_VALUE"""),"Доклад от конференция")</f>
        <v>Доклад от конференция</v>
      </c>
      <c r="C7855" s="10" t="str">
        <f ca="1">IFERROR(__xludf.DUMMYFUNCTION("""COMPUTED_VALUE"""),"Духовните куриери на Балканския югоизток")</f>
        <v>Духовните куриери на Балканския югоизток</v>
      </c>
      <c r="D7855" s="10">
        <f ca="1">IFERROR(__xludf.DUMMYFUNCTION("""COMPUTED_VALUE"""),2016)</f>
        <v>2016</v>
      </c>
      <c r="E7855" s="10" t="str">
        <f ca="1">IFERROR(__xludf.DUMMYFUNCTION("""COMPUTED_VALUE"""),"Научни комуникации в Югоизточна Европа. Българо-турски културни общувания")</f>
        <v>Научни комуникации в Югоизточна Европа. Българо-турски културни общувания</v>
      </c>
      <c r="F7855" s="10"/>
      <c r="G7855" s="10"/>
      <c r="H7855" s="10"/>
      <c r="I7855" s="10"/>
      <c r="J7855" s="10"/>
      <c r="K7855" s="10"/>
      <c r="L7855" s="10"/>
      <c r="M7855" s="10"/>
      <c r="N7855" s="10"/>
      <c r="O7855" s="10"/>
      <c r="P7855" s="10"/>
      <c r="Q7855" s="10"/>
      <c r="R7855" s="10"/>
      <c r="S7855" s="10"/>
      <c r="T7855" s="10"/>
      <c r="U7855" s="10"/>
      <c r="V7855" s="10"/>
      <c r="W7855" s="10"/>
      <c r="X7855" s="10"/>
      <c r="Y7855" s="10"/>
      <c r="Z7855" s="10"/>
    </row>
    <row r="7856" spans="1:26" ht="12.75">
      <c r="A7856" s="10" t="str">
        <f ca="1">IFERROR(__xludf.DUMMYFUNCTION("""COMPUTED_VALUE"""),"Христо Димитров Христов")</f>
        <v>Христо Димитров Христов</v>
      </c>
      <c r="B7856" s="10" t="str">
        <f ca="1">IFERROR(__xludf.DUMMYFUNCTION("""COMPUTED_VALUE"""),"Доклад от конференция")</f>
        <v>Доклад от конференция</v>
      </c>
      <c r="C7856" s="10" t="str">
        <f ca="1">IFERROR(__xludf.DUMMYFUNCTION("""COMPUTED_VALUE"""),"Арт пленерът и съпътстващите го културни събития в контекста на образованието по изкуство и култура през целия живот")</f>
        <v>Арт пленерът и съпътстващите го културни събития в контекста на образованието по изкуство и култура през целия живот</v>
      </c>
      <c r="D7856" s="10">
        <f ca="1">IFERROR(__xludf.DUMMYFUNCTION("""COMPUTED_VALUE"""),2016)</f>
        <v>2016</v>
      </c>
      <c r="E7856" s="10" t="str">
        <f ca="1">IFERROR(__xludf.DUMMYFUNCTION("""COMPUTED_VALUE"""),"ТРАДИЦИОННИ И ИНОВАТИВНИ КУЛТУРНИ И АРТ СЪБИТИЯ В ПРИРОДНА И ГРАДСКА СРЕДА” по научноизследователски проект (договор №")</f>
        <v>ТРАДИЦИОННИ И ИНОВАТИВНИ КУЛТУРНИ И АРТ СЪБИТИЯ В ПРИРОДНА И ГРАДСКА СРЕДА” по научноизследователски проект (договор №</v>
      </c>
      <c r="F7856" s="10"/>
      <c r="G7856" s="10" t="str">
        <f ca="1">IFERROR(__xludf.DUMMYFUNCTION("""COMPUTED_VALUE"""),"Стоян Денчев")</f>
        <v>Стоян Денчев</v>
      </c>
      <c r="H7856" s="10"/>
      <c r="I7856" s="10"/>
      <c r="J7856" s="10"/>
      <c r="K7856" s="10"/>
      <c r="L7856" s="10"/>
      <c r="M7856" s="10"/>
      <c r="N7856" s="10"/>
      <c r="O7856" s="10"/>
      <c r="P7856" s="10"/>
      <c r="Q7856" s="10"/>
      <c r="R7856" s="10"/>
      <c r="S7856" s="10"/>
      <c r="T7856" s="10"/>
      <c r="U7856" s="10"/>
      <c r="V7856" s="10"/>
      <c r="W7856" s="10"/>
      <c r="X7856" s="10"/>
      <c r="Y7856" s="10"/>
      <c r="Z7856" s="10"/>
    </row>
    <row r="7857" spans="1:26" ht="12.75">
      <c r="A7857" s="10" t="str">
        <f ca="1">IFERROR(__xludf.DUMMYFUNCTION("""COMPUTED_VALUE"""),"Христо Димитров Христов")</f>
        <v>Христо Димитров Христов</v>
      </c>
      <c r="B7857" s="10" t="str">
        <f ca="1">IFERROR(__xludf.DUMMYFUNCTION("""COMPUTED_VALUE"""),"Доклад от конференция")</f>
        <v>Доклад от конференция</v>
      </c>
      <c r="C7857" s="10" t="str">
        <f ca="1">IFERROR(__xludf.DUMMYFUNCTION("""COMPUTED_VALUE"""),"Възможната Скотуса: теренно-визуално изследване на материалните, културните и духовни ресурси за развитието на културния туризъм като елемент от образованието по изкуствата и културата през целия живот в района на с. Долно Спанчево, общ. Петрич")</f>
        <v>Възможната Скотуса: теренно-визуално изследване на материалните, културните и духовни ресурси за развитието на културния туризъм като елемент от образованието по изкуствата и културата през целия живот в района на с. Долно Спанчево, общ. Петрич</v>
      </c>
      <c r="D7857" s="10">
        <f ca="1">IFERROR(__xludf.DUMMYFUNCTION("""COMPUTED_VALUE"""),2015)</f>
        <v>2015</v>
      </c>
      <c r="E7857" s="10" t="str">
        <f ca="1">IFERROR(__xludf.DUMMYFUNCTION("""COMPUTED_VALUE"""),"Научна конференция „Хармония в различията“, „За буквите – О писменехъ“, 2015; ISSN 2367-7899; с. 365-374")</f>
        <v>Научна конференция „Хармония в различията“, „За буквите – О писменехъ“, 2015; ISSN 2367-7899; с. 365-374</v>
      </c>
      <c r="F7857" s="10" t="str">
        <f ca="1">IFERROR(__xludf.DUMMYFUNCTION("""COMPUTED_VALUE"""),"COBIS НБКМ")</f>
        <v>COBIS НБКМ</v>
      </c>
      <c r="G7857" s="10"/>
      <c r="H7857" s="10"/>
      <c r="I7857" s="10"/>
      <c r="J7857" s="10"/>
      <c r="K7857" s="10"/>
      <c r="L7857" s="10"/>
      <c r="M7857" s="10"/>
      <c r="N7857" s="10"/>
      <c r="O7857" s="10"/>
      <c r="P7857" s="10"/>
      <c r="Q7857" s="10"/>
      <c r="R7857" s="10"/>
      <c r="S7857" s="10"/>
      <c r="T7857" s="10"/>
      <c r="U7857" s="10"/>
      <c r="V7857" s="10"/>
      <c r="W7857" s="10"/>
      <c r="X7857" s="10"/>
      <c r="Y7857" s="10"/>
      <c r="Z7857" s="10"/>
    </row>
    <row r="7858" spans="1:26" ht="12.75">
      <c r="A7858" s="10" t="str">
        <f ca="1">IFERROR(__xludf.DUMMYFUNCTION("""COMPUTED_VALUE"""),"Христо Димитров Христов")</f>
        <v>Христо Димитров Христов</v>
      </c>
      <c r="B7858" s="10" t="str">
        <f ca="1">IFERROR(__xludf.DUMMYFUNCTION("""COMPUTED_VALUE"""),"Доклад от конференция")</f>
        <v>Доклад от конференция</v>
      </c>
      <c r="C7858" s="10" t="str">
        <f ca="1">IFERROR(__xludf.DUMMYFUNCTION("""COMPUTED_VALUE"""),"Иновативни регионални практики и политики в провеждането на културни и арт събития по примера на Флоренция, област Тоскана")</f>
        <v>Иновативни регионални практики и политики в провеждането на културни и арт събития по примера на Флоренция, област Тоскана</v>
      </c>
      <c r="D7858" s="10">
        <f ca="1">IFERROR(__xludf.DUMMYFUNCTION("""COMPUTED_VALUE"""),2015)</f>
        <v>2015</v>
      </c>
      <c r="E7858" s="10" t="str">
        <f ca="1">IFERROR(__xludf.DUMMYFUNCTION("""COMPUTED_VALUE"""),"Осми черноморски туристически форум – Варна, 2015")</f>
        <v>Осми черноморски туристически форум – Варна, 2015</v>
      </c>
      <c r="F7858" s="10" t="str">
        <f ca="1">IFERROR(__xludf.DUMMYFUNCTION("""COMPUTED_VALUE"""),"COBIS НБКМ")</f>
        <v>COBIS НБКМ</v>
      </c>
      <c r="G7858" s="10"/>
      <c r="H7858" s="10"/>
      <c r="I7858" s="10"/>
      <c r="J7858" s="10"/>
      <c r="K7858" s="10"/>
      <c r="L7858" s="10"/>
      <c r="M7858" s="10"/>
      <c r="N7858" s="10"/>
      <c r="O7858" s="10"/>
      <c r="P7858" s="10"/>
      <c r="Q7858" s="10"/>
      <c r="R7858" s="10"/>
      <c r="S7858" s="10"/>
      <c r="T7858" s="10"/>
      <c r="U7858" s="10"/>
      <c r="V7858" s="10"/>
      <c r="W7858" s="10"/>
      <c r="X7858" s="10"/>
      <c r="Y7858" s="10"/>
      <c r="Z7858" s="10"/>
    </row>
    <row r="7859" spans="1:26" ht="12.75">
      <c r="A7859" s="10" t="str">
        <f ca="1">IFERROR(__xludf.DUMMYFUNCTION("""COMPUTED_VALUE"""),"Христо Димитров Христов")</f>
        <v>Христо Димитров Христов</v>
      </c>
      <c r="B7859" s="10" t="str">
        <f ca="1">IFERROR(__xludf.DUMMYFUNCTION("""COMPUTED_VALUE"""),"Статия в списания и поредици")</f>
        <v>Статия в списания и поредици</v>
      </c>
      <c r="C7859" s="10" t="str">
        <f ca="1">IFERROR(__xludf.DUMMYFUNCTION("""COMPUTED_VALUE"""),"Италия 2015 – Биенале, Експо… и още нещо…")</f>
        <v>Италия 2015 – Биенале, Експо… и още нещо…</v>
      </c>
      <c r="D7859" s="10">
        <f ca="1">IFERROR(__xludf.DUMMYFUNCTION("""COMPUTED_VALUE"""),2015)</f>
        <v>2015</v>
      </c>
      <c r="E7859" s="10" t="str">
        <f ca="1">IFERROR(__xludf.DUMMYFUNCTION("""COMPUTED_VALUE"""),"Сборник научни трудове на УниБИТ, т.12 „За буквите – О писменехъ“, 2015; ISSN 1314-2623; с.485-495")</f>
        <v>Сборник научни трудове на УниБИТ, т.12 „За буквите – О писменехъ“, 2015; ISSN 1314-2623; с.485-495</v>
      </c>
      <c r="F7859" s="10"/>
      <c r="G7859" s="10"/>
      <c r="H7859" s="10"/>
      <c r="I7859" s="10"/>
      <c r="J7859" s="10"/>
      <c r="K7859" s="10"/>
      <c r="L7859" s="10"/>
      <c r="M7859" s="10"/>
      <c r="N7859" s="10"/>
      <c r="O7859" s="10"/>
      <c r="P7859" s="10"/>
      <c r="Q7859" s="10"/>
      <c r="R7859" s="10"/>
      <c r="S7859" s="10"/>
      <c r="T7859" s="10"/>
      <c r="U7859" s="10"/>
      <c r="V7859" s="10"/>
      <c r="W7859" s="10"/>
      <c r="X7859" s="10"/>
      <c r="Y7859" s="10"/>
      <c r="Z7859" s="10"/>
    </row>
    <row r="7860" spans="1:26" ht="12.75">
      <c r="A7860" s="10" t="str">
        <f ca="1">IFERROR(__xludf.DUMMYFUNCTION("""COMPUTED_VALUE"""),"Христо Димитров Христов")</f>
        <v>Христо Димитров Христов</v>
      </c>
      <c r="B7860" s="10" t="str">
        <f ca="1">IFERROR(__xludf.DUMMYFUNCTION("""COMPUTED_VALUE"""),"Доклад от конференция")</f>
        <v>Доклад от конференция</v>
      </c>
      <c r="C7860" s="10" t="str">
        <f ca="1">IFERROR(__xludf.DUMMYFUNCTION("""COMPUTED_VALUE"""),"Значимост и унифициране на кирилицата в сравнителния анализ на писмената и културна интеграция на славянския свят.")</f>
        <v>Значимост и унифициране на кирилицата в сравнителния анализ на писмената и културна интеграция на славянския свят.</v>
      </c>
      <c r="D7860" s="10">
        <f ca="1">IFERROR(__xludf.DUMMYFUNCTION("""COMPUTED_VALUE"""),2015)</f>
        <v>2015</v>
      </c>
      <c r="E7860" s="10" t="str">
        <f ca="1">IFERROR(__xludf.DUMMYFUNCTION("""COMPUTED_VALUE"""),"Дванадесета национална научна конференция с международно участие „Общество на знанието и хуманизмът през XXI век"" „За буквите – О писменехъ“, 2015; ISSN 1314-7099; с.541-548")</f>
        <v>Дванадесета национална научна конференция с международно участие „Общество на знанието и хуманизмът през XXI век" „За буквите – О писменехъ“, 2015; ISSN 1314-7099; с.541-548</v>
      </c>
      <c r="F7860" s="10"/>
      <c r="G7860" s="10"/>
      <c r="H7860" s="10"/>
      <c r="I7860" s="10"/>
      <c r="J7860" s="10"/>
      <c r="K7860" s="10"/>
      <c r="L7860" s="10"/>
      <c r="M7860" s="10"/>
      <c r="N7860" s="10"/>
      <c r="O7860" s="10"/>
      <c r="P7860" s="10"/>
      <c r="Q7860" s="10"/>
      <c r="R7860" s="10"/>
      <c r="S7860" s="10"/>
      <c r="T7860" s="10"/>
      <c r="U7860" s="10"/>
      <c r="V7860" s="10"/>
      <c r="W7860" s="10"/>
      <c r="X7860" s="10"/>
      <c r="Y7860" s="10"/>
      <c r="Z7860" s="10"/>
    </row>
    <row r="7861" spans="1:26" ht="12.75">
      <c r="A7861" s="10" t="str">
        <f ca="1">IFERROR(__xludf.DUMMYFUNCTION("""COMPUTED_VALUE"""),"Христо Димитров Христов")</f>
        <v>Христо Димитров Христов</v>
      </c>
      <c r="B7861" s="10" t="str">
        <f ca="1">IFERROR(__xludf.DUMMYFUNCTION("""COMPUTED_VALUE"""),"Книга")</f>
        <v>Книга</v>
      </c>
      <c r="C7861" s="10" t="str">
        <f ca="1">IFERROR(__xludf.DUMMYFUNCTION("""COMPUTED_VALUE"""),"СИСТЕМИ ЗА ГРАФИЧЕН ДИЗАЙН")</f>
        <v>СИСТЕМИ ЗА ГРАФИЧЕН ДИЗАЙН</v>
      </c>
      <c r="D7861" s="10">
        <f ca="1">IFERROR(__xludf.DUMMYFUNCTION("""COMPUTED_VALUE"""),2014)</f>
        <v>2014</v>
      </c>
      <c r="E7861" s="10" t="str">
        <f ca="1">IFERROR(__xludf.DUMMYFUNCTION("""COMPUTED_VALUE"""),"„За буквите – О писменехъ“, 2014; ISBN 978-619-185-094-5")</f>
        <v>„За буквите – О писменехъ“, 2014; ISBN 978-619-185-094-5</v>
      </c>
      <c r="F7861" s="10" t="str">
        <f ca="1">IFERROR(__xludf.DUMMYFUNCTION("""COMPUTED_VALUE"""),"COBIS НБКМ")</f>
        <v>COBIS НБКМ</v>
      </c>
      <c r="G7861" s="10"/>
      <c r="H7861" s="10"/>
      <c r="I7861" s="10"/>
      <c r="J7861" s="10"/>
      <c r="K7861" s="10"/>
      <c r="L7861" s="10"/>
      <c r="M7861" s="10"/>
      <c r="N7861" s="10"/>
      <c r="O7861" s="10"/>
      <c r="P7861" s="10"/>
      <c r="Q7861" s="10"/>
      <c r="R7861" s="10"/>
      <c r="S7861" s="10"/>
      <c r="T7861" s="10"/>
      <c r="U7861" s="10"/>
      <c r="V7861" s="10"/>
      <c r="W7861" s="10"/>
      <c r="X7861" s="10"/>
      <c r="Y7861" s="10"/>
      <c r="Z7861" s="10"/>
    </row>
    <row r="7862" spans="1:26" ht="12.75">
      <c r="A7862" s="10" t="str">
        <f ca="1">IFERROR(__xludf.DUMMYFUNCTION("""COMPUTED_VALUE"""),"Христо Димитров Христов")</f>
        <v>Христо Димитров Христов</v>
      </c>
      <c r="B7862" s="10" t="str">
        <f ca="1">IFERROR(__xludf.DUMMYFUNCTION("""COMPUTED_VALUE"""),"Доклад от конференция")</f>
        <v>Доклад от конференция</v>
      </c>
      <c r="C7862" s="10" t="str">
        <f ca="1">IFERROR(__xludf.DUMMYFUNCTION("""COMPUTED_VALUE"""),"Шифърът на кирилицата (преди Шифърът на Дан Браун)")</f>
        <v>Шифърът на кирилицата (преди Шифърът на Дан Браун)</v>
      </c>
      <c r="D7862" s="10">
        <f ca="1">IFERROR(__xludf.DUMMYFUNCTION("""COMPUTED_VALUE"""),2014)</f>
        <v>2014</v>
      </c>
      <c r="E7862" s="10" t="str">
        <f ca="1">IFERROR(__xludf.DUMMYFUNCTION("""COMPUTED_VALUE"""),"Сборник с доклади от Юбилейната научна конференция по повод 10- годишнината от създаването на Катедра „Културно-историческо наследство“ при УниБИТ, София, 2014 „За буквите – О писменехъ“, 2014; ISBN 978-619-185-150-8; с. 385-393")</f>
        <v>Сборник с доклади от Юбилейната научна конференция по повод 10- годишнината от създаването на Катедра „Културно-историческо наследство“ при УниБИТ, София, 2014 „За буквите – О писменехъ“, 2014; ISBN 978-619-185-150-8; с. 385-393</v>
      </c>
      <c r="F7862" s="10"/>
      <c r="G7862" s="10"/>
      <c r="H7862" s="10"/>
      <c r="I7862" s="10"/>
      <c r="J7862" s="10"/>
      <c r="K7862" s="10"/>
      <c r="L7862" s="10"/>
      <c r="M7862" s="10"/>
      <c r="N7862" s="10"/>
      <c r="O7862" s="10"/>
      <c r="P7862" s="10"/>
      <c r="Q7862" s="10"/>
      <c r="R7862" s="10"/>
      <c r="S7862" s="10"/>
      <c r="T7862" s="10"/>
      <c r="U7862" s="10"/>
      <c r="V7862" s="10"/>
      <c r="W7862" s="10"/>
      <c r="X7862" s="10"/>
      <c r="Y7862" s="10"/>
      <c r="Z7862" s="10"/>
    </row>
    <row r="7863" spans="1:26" ht="12.75">
      <c r="A7863" s="10" t="str">
        <f ca="1">IFERROR(__xludf.DUMMYFUNCTION("""COMPUTED_VALUE"""),"Христо Димитров Христов")</f>
        <v>Христо Димитров Христов</v>
      </c>
      <c r="B7863" s="10" t="str">
        <f ca="1">IFERROR(__xludf.DUMMYFUNCTION("""COMPUTED_VALUE"""),"Доклад от конференция")</f>
        <v>Доклад от конференция</v>
      </c>
      <c r="C7863" s="10" t="str">
        <f ca="1">IFERROR(__xludf.DUMMYFUNCTION("""COMPUTED_VALUE"""),"Кирилицата и управление на нейните институционални послания на Балканите и в Европа – представи, митове, публични ритуали”")</f>
        <v>Кирилицата и управление на нейните институционални послания на Балканите и в Европа – представи, митове, публични ритуали”</v>
      </c>
      <c r="D7863" s="10">
        <f ca="1">IFERROR(__xludf.DUMMYFUNCTION("""COMPUTED_VALUE"""),2013)</f>
        <v>2013</v>
      </c>
      <c r="E7863" s="10" t="str">
        <f ca="1">IFERROR(__xludf.DUMMYFUNCTION("""COMPUTED_VALUE"""),"„Управленски и маркетингови проблеми на арторганизации”, Пловдив, 2013")</f>
        <v>„Управленски и маркетингови проблеми на арторганизации”, Пловдив, 2013</v>
      </c>
      <c r="F7863" s="10"/>
      <c r="G7863" s="10"/>
      <c r="H7863" s="10"/>
      <c r="I7863" s="10"/>
      <c r="J7863" s="10"/>
      <c r="K7863" s="10"/>
      <c r="L7863" s="10"/>
      <c r="M7863" s="10"/>
      <c r="N7863" s="10"/>
      <c r="O7863" s="10"/>
      <c r="P7863" s="10"/>
      <c r="Q7863" s="10"/>
      <c r="R7863" s="10"/>
      <c r="S7863" s="10"/>
      <c r="T7863" s="10"/>
      <c r="U7863" s="10"/>
      <c r="V7863" s="10"/>
      <c r="W7863" s="10"/>
      <c r="X7863" s="10"/>
      <c r="Y7863" s="10"/>
      <c r="Z7863" s="10"/>
    </row>
    <row r="7864" spans="1:26" ht="12.75">
      <c r="A7864" s="10" t="str">
        <f ca="1">IFERROR(__xludf.DUMMYFUNCTION("""COMPUTED_VALUE"""),"Христо Ермилов Тутунаров")</f>
        <v>Христо Ермилов Тутунаров</v>
      </c>
      <c r="B7864" s="10" t="str">
        <f ca="1">IFERROR(__xludf.DUMMYFUNCTION("""COMPUTED_VALUE"""),"Доклад от конференция")</f>
        <v>Доклад от конференция</v>
      </c>
      <c r="C7864" s="10" t="str">
        <f ca="1">IFERROR(__xludf.DUMMYFUNCTION("""COMPUTED_VALUE"""),"Военен аутсорсинг")</f>
        <v>Военен аутсорсинг</v>
      </c>
      <c r="D7864" s="10">
        <f ca="1">IFERROR(__xludf.DUMMYFUNCTION("""COMPUTED_VALUE"""),2020)</f>
        <v>2020</v>
      </c>
      <c r="E7864" s="10" t="str">
        <f ca="1">IFERROR(__xludf.DUMMYFUNCTION("""COMPUTED_VALUE"""),"Издателски комплскс на НВУ ""Васил Левски"", 2020, с. 98-105, ISSN 2367-7465")</f>
        <v>Издателски комплскс на НВУ "Васил Левски", 2020, с. 98-105, ISSN 2367-7465</v>
      </c>
      <c r="F7864" s="10"/>
      <c r="G7864" s="10"/>
      <c r="H7864" s="10"/>
      <c r="I7864" s="10"/>
      <c r="J7864" s="10"/>
      <c r="K7864" s="10"/>
      <c r="L7864" s="10"/>
      <c r="M7864" s="10"/>
      <c r="N7864" s="10"/>
      <c r="O7864" s="10"/>
      <c r="P7864" s="10"/>
      <c r="Q7864" s="10"/>
      <c r="R7864" s="10"/>
      <c r="S7864" s="10"/>
      <c r="T7864" s="10"/>
      <c r="U7864" s="10"/>
      <c r="V7864" s="10"/>
      <c r="W7864" s="10"/>
      <c r="X7864" s="10"/>
      <c r="Y7864" s="10"/>
      <c r="Z7864" s="10"/>
    </row>
    <row r="7865" spans="1:26" ht="12.75">
      <c r="A7865" s="10" t="str">
        <f ca="1">IFERROR(__xludf.DUMMYFUNCTION("""COMPUTED_VALUE"""),"Христо Ермилов Тутунаров")</f>
        <v>Христо Ермилов Тутунаров</v>
      </c>
      <c r="B7865" s="10" t="str">
        <f ca="1">IFERROR(__xludf.DUMMYFUNCTION("""COMPUTED_VALUE"""),"Доклад от конференция")</f>
        <v>Доклад от конференция</v>
      </c>
      <c r="C7865" s="10" t="str">
        <f ca="1">IFERROR(__xludf.DUMMYFUNCTION("""COMPUTED_VALUE"""),"Форми и разновидности на българската диаспора в Република Турция")</f>
        <v>Форми и разновидности на българската диаспора в Република Турция</v>
      </c>
      <c r="D7865" s="10">
        <f ca="1">IFERROR(__xludf.DUMMYFUNCTION("""COMPUTED_VALUE"""),2020)</f>
        <v>2020</v>
      </c>
      <c r="E7865" s="10" t="str">
        <f ca="1">IFERROR(__xludf.DUMMYFUNCTION("""COMPUTED_VALUE"""),"За Буквите – О писменехь, 2020, с. 255-265.
 ISBN 978-619-185-415-8")</f>
        <v>За Буквите – О писменехь, 2020, с. 255-265.
 ISBN 978-619-185-415-8</v>
      </c>
      <c r="F7865" s="10"/>
      <c r="G7865" s="10"/>
      <c r="H7865" s="10"/>
      <c r="I7865" s="10"/>
      <c r="J7865" s="10"/>
      <c r="K7865" s="10"/>
      <c r="L7865" s="10"/>
      <c r="M7865" s="10"/>
      <c r="N7865" s="10"/>
      <c r="O7865" s="10"/>
      <c r="P7865" s="10"/>
      <c r="Q7865" s="10"/>
      <c r="R7865" s="10"/>
      <c r="S7865" s="10"/>
      <c r="T7865" s="10"/>
      <c r="U7865" s="10"/>
      <c r="V7865" s="10"/>
      <c r="W7865" s="10"/>
      <c r="X7865" s="10"/>
      <c r="Y7865" s="10"/>
      <c r="Z7865" s="10"/>
    </row>
    <row r="7866" spans="1:26" ht="12.75">
      <c r="A7866" s="10" t="str">
        <f ca="1">IFERROR(__xludf.DUMMYFUNCTION("""COMPUTED_VALUE"""),"Христо Ермилов Тутунаров")</f>
        <v>Христо Ермилов Тутунаров</v>
      </c>
      <c r="B7866" s="10" t="str">
        <f ca="1">IFERROR(__xludf.DUMMYFUNCTION("""COMPUTED_VALUE"""),"Статия в списания и поредици")</f>
        <v>Статия в списания и поредици</v>
      </c>
      <c r="C7866" s="10" t="str">
        <f ca="1">IFERROR(__xludf.DUMMYFUNCTION("""COMPUTED_VALUE"""),"Швейцарската гвардия-частната армия на папата")</f>
        <v>Швейцарската гвардия-частната армия на папата</v>
      </c>
      <c r="D7866" s="10">
        <f ca="1">IFERROR(__xludf.DUMMYFUNCTION("""COMPUTED_VALUE"""),2019)</f>
        <v>2019</v>
      </c>
      <c r="E7866" s="10" t="str">
        <f ca="1">IFERROR(__xludf.DUMMYFUNCTION("""COMPUTED_VALUE"""),"В: Научни трудове на Университета по библиотекознание и информационни технологии. За буквите - О писменехь, 2019, Том 17, 2019, с.96-101 - ISSN 1314-2623")</f>
        <v>В: Научни трудове на Университета по библиотекознание и информационни технологии. За буквите - О писменехь, 2019, Том 17, 2019, с.96-101 - ISSN 1314-2623</v>
      </c>
      <c r="F7866" s="10"/>
      <c r="G7866" s="10"/>
      <c r="H7866" s="10"/>
      <c r="I7866" s="10"/>
      <c r="J7866" s="10"/>
      <c r="K7866" s="10"/>
      <c r="L7866" s="10"/>
      <c r="M7866" s="10"/>
      <c r="N7866" s="10"/>
      <c r="O7866" s="10"/>
      <c r="P7866" s="10"/>
      <c r="Q7866" s="10"/>
      <c r="R7866" s="10"/>
      <c r="S7866" s="10"/>
      <c r="T7866" s="10"/>
      <c r="U7866" s="10"/>
      <c r="V7866" s="10"/>
      <c r="W7866" s="10"/>
      <c r="X7866" s="10"/>
      <c r="Y7866" s="10"/>
      <c r="Z7866" s="10"/>
    </row>
    <row r="7867" spans="1:26" ht="12.75">
      <c r="A7867" s="10" t="str">
        <f ca="1">IFERROR(__xludf.DUMMYFUNCTION("""COMPUTED_VALUE"""),"Христо Ермилов Тутунаров")</f>
        <v>Христо Ермилов Тутунаров</v>
      </c>
      <c r="B7867" s="10" t="str">
        <f ca="1">IFERROR(__xludf.DUMMYFUNCTION("""COMPUTED_VALUE"""),"Статия в списания и поредици")</f>
        <v>Статия в списания и поредици</v>
      </c>
      <c r="C7867" s="10" t="str">
        <f ca="1">IFERROR(__xludf.DUMMYFUNCTION("""COMPUTED_VALUE"""),"Гурките или най-свирепите бойци на планетата")</f>
        <v>Гурките или най-свирепите бойци на планетата</v>
      </c>
      <c r="D7867" s="10">
        <f ca="1">IFERROR(__xludf.DUMMYFUNCTION("""COMPUTED_VALUE"""),2019)</f>
        <v>2019</v>
      </c>
      <c r="E7867" s="10" t="str">
        <f ca="1">IFERROR(__xludf.DUMMYFUNCTION("""COMPUTED_VALUE"""),"В: Научни трудове на Университета по библиотекознание и информационни технологии. За буквите - О писменехь, 2018, Том 16, 2019, с. 126-134, ISSN 1314-2623")</f>
        <v>В: Научни трудове на Университета по библиотекознание и информационни технологии. За буквите - О писменехь, 2018, Том 16, 2019, с. 126-134, ISSN 1314-2623</v>
      </c>
      <c r="F7867" s="10"/>
      <c r="G7867" s="10"/>
      <c r="H7867" s="10"/>
      <c r="I7867" s="10"/>
      <c r="J7867" s="10"/>
      <c r="K7867" s="10"/>
      <c r="L7867" s="10"/>
      <c r="M7867" s="10"/>
      <c r="N7867" s="10"/>
      <c r="O7867" s="10"/>
      <c r="P7867" s="10"/>
      <c r="Q7867" s="10"/>
      <c r="R7867" s="10"/>
      <c r="S7867" s="10"/>
      <c r="T7867" s="10"/>
      <c r="U7867" s="10"/>
      <c r="V7867" s="10"/>
      <c r="W7867" s="10"/>
      <c r="X7867" s="10"/>
      <c r="Y7867" s="10"/>
      <c r="Z7867" s="10"/>
    </row>
    <row r="7868" spans="1:26" ht="12.75">
      <c r="A7868" s="10" t="str">
        <f ca="1">IFERROR(__xludf.DUMMYFUNCTION("""COMPUTED_VALUE"""),"Христо Ермилов Тутунаров")</f>
        <v>Христо Ермилов Тутунаров</v>
      </c>
      <c r="B7868" s="10" t="str">
        <f ca="1">IFERROR(__xludf.DUMMYFUNCTION("""COMPUTED_VALUE"""),"Доклад от конференция")</f>
        <v>Доклад от конференция</v>
      </c>
      <c r="C7868" s="10" t="str">
        <f ca="1">IFERROR(__xludf.DUMMYFUNCTION("""COMPUTED_VALUE"""),"Китай, новата родина на военните подизпълнители")</f>
        <v>Китай, новата родина на военните подизпълнители</v>
      </c>
      <c r="D7868" s="10">
        <f ca="1">IFERROR(__xludf.DUMMYFUNCTION("""COMPUTED_VALUE"""),2019)</f>
        <v>2019</v>
      </c>
      <c r="E7868" s="10" t="str">
        <f ca="1">IFERROR(__xludf.DUMMYFUNCTION("""COMPUTED_VALUE"""),"Съвременни стратегии и иновации в управлението на знанието. За Буквите – О писменехь, 2019, с. 149-156. 
 ISSN 2535-0250")</f>
        <v>Съвременни стратегии и иновации в управлението на знанието. За Буквите – О писменехь, 2019, с. 149-156. 
 ISSN 2535-0250</v>
      </c>
      <c r="F7868" s="10"/>
      <c r="G7868" s="10"/>
      <c r="H7868" s="10"/>
      <c r="I7868" s="10"/>
      <c r="J7868" s="10"/>
      <c r="K7868" s="10"/>
      <c r="L7868" s="10"/>
      <c r="M7868" s="10"/>
      <c r="N7868" s="10"/>
      <c r="O7868" s="10"/>
      <c r="P7868" s="10"/>
      <c r="Q7868" s="10"/>
      <c r="R7868" s="10"/>
      <c r="S7868" s="10"/>
      <c r="T7868" s="10"/>
      <c r="U7868" s="10"/>
      <c r="V7868" s="10"/>
      <c r="W7868" s="10"/>
      <c r="X7868" s="10"/>
      <c r="Y7868" s="10"/>
      <c r="Z7868" s="10"/>
    </row>
    <row r="7869" spans="1:26" ht="12.75">
      <c r="A7869" s="10" t="str">
        <f ca="1">IFERROR(__xludf.DUMMYFUNCTION("""COMPUTED_VALUE"""),"Христо Ермилов Тутунаров")</f>
        <v>Христо Ермилов Тутунаров</v>
      </c>
      <c r="B7869" s="10" t="str">
        <f ca="1">IFERROR(__xludf.DUMMYFUNCTION("""COMPUTED_VALUE"""),"Доклад от конференция")</f>
        <v>Доклад от конференция</v>
      </c>
      <c r="C7869" s="10" t="str">
        <f ca="1">IFERROR(__xludf.DUMMYFUNCTION("""COMPUTED_VALUE"""),"България, католицизъм и орден на Малта")</f>
        <v>България, католицизъм и орден на Малта</v>
      </c>
      <c r="D7869" s="10">
        <f ca="1">IFERROR(__xludf.DUMMYFUNCTION("""COMPUTED_VALUE"""),2018)</f>
        <v>2018</v>
      </c>
      <c r="E7869" s="10" t="str">
        <f ca="1">IFERROR(__xludf.DUMMYFUNCTION("""COMPUTED_VALUE"""),"Съвременни измерения на европейското образователно и научно пространство, За Буквите – О писменехь, 2018.с. 33-37. ISSN 2367-7988")</f>
        <v>Съвременни измерения на европейското образователно и научно пространство, За Буквите – О писменехь, 2018.с. 33-37. ISSN 2367-7988</v>
      </c>
      <c r="F7869" s="10"/>
      <c r="G7869" s="10" t="str">
        <f ca="1">IFERROR(__xludf.DUMMYFUNCTION("""COMPUTED_VALUE"""),"Христо Тутунаров, Светла Шапкалова")</f>
        <v>Христо Тутунаров, Светла Шапкалова</v>
      </c>
      <c r="H7869" s="10"/>
      <c r="I7869" s="10"/>
      <c r="J7869" s="10"/>
      <c r="K7869" s="10"/>
      <c r="L7869" s="10"/>
      <c r="M7869" s="10"/>
      <c r="N7869" s="10"/>
      <c r="O7869" s="10"/>
      <c r="P7869" s="10"/>
      <c r="Q7869" s="10"/>
      <c r="R7869" s="10"/>
      <c r="S7869" s="10"/>
      <c r="T7869" s="10"/>
      <c r="U7869" s="10"/>
      <c r="V7869" s="10"/>
      <c r="W7869" s="10"/>
      <c r="X7869" s="10"/>
      <c r="Y7869" s="10"/>
      <c r="Z7869" s="10"/>
    </row>
    <row r="7870" spans="1:26" ht="12.75">
      <c r="A7870" s="10" t="str">
        <f ca="1">IFERROR(__xludf.DUMMYFUNCTION("""COMPUTED_VALUE"""),"Христо Ермилов Тутунаров")</f>
        <v>Христо Ермилов Тутунаров</v>
      </c>
      <c r="B7870" s="10" t="str">
        <f ca="1">IFERROR(__xludf.DUMMYFUNCTION("""COMPUTED_VALUE"""),"Доклад от конференция")</f>
        <v>Доклад от конференция</v>
      </c>
      <c r="C7870" s="10" t="str">
        <f ca="1">IFERROR(__xludf.DUMMYFUNCTION("""COMPUTED_VALUE"""),"Блекуотър. Първи от многото")</f>
        <v>Блекуотър. Първи от многото</v>
      </c>
      <c r="D7870" s="10">
        <f ca="1">IFERROR(__xludf.DUMMYFUNCTION("""COMPUTED_VALUE"""),2018)</f>
        <v>2018</v>
      </c>
      <c r="E7870" s="10" t="str">
        <f ca="1">IFERROR(__xludf.DUMMYFUNCTION("""COMPUTED_VALUE"""),"Съвременни стратегии и иновации в управлението на знанието. За Буквите – О писменехь, 2018, 4, с. 94-99. ISSN 2535-0250")</f>
        <v>Съвременни стратегии и иновации в управлението на знанието. За Буквите – О писменехь, 2018, 4, с. 94-99. ISSN 2535-0250</v>
      </c>
      <c r="F7870" s="10"/>
      <c r="G7870" s="10"/>
      <c r="H7870" s="10"/>
      <c r="I7870" s="10"/>
      <c r="J7870" s="10"/>
      <c r="K7870" s="10"/>
      <c r="L7870" s="10"/>
      <c r="M7870" s="10"/>
      <c r="N7870" s="10"/>
      <c r="O7870" s="10"/>
      <c r="P7870" s="10"/>
      <c r="Q7870" s="10"/>
      <c r="R7870" s="10"/>
      <c r="S7870" s="10"/>
      <c r="T7870" s="10"/>
      <c r="U7870" s="10"/>
      <c r="V7870" s="10"/>
      <c r="W7870" s="10"/>
      <c r="X7870" s="10"/>
      <c r="Y7870" s="10"/>
      <c r="Z7870" s="10"/>
    </row>
    <row r="7871" spans="1:26" ht="12.75">
      <c r="A7871" s="10" t="str">
        <f ca="1">IFERROR(__xludf.DUMMYFUNCTION("""COMPUTED_VALUE"""),"Христо Ермилов Тутунаров")</f>
        <v>Христо Ермилов Тутунаров</v>
      </c>
      <c r="B7871" s="10" t="str">
        <f ca="1">IFERROR(__xludf.DUMMYFUNCTION("""COMPUTED_VALUE"""),"Книга")</f>
        <v>Книга</v>
      </c>
      <c r="C7871" s="10" t="str">
        <f ca="1">IFERROR(__xludf.DUMMYFUNCTION("""COMPUTED_VALUE"""),"Етнически общности и национална сигурност в България")</f>
        <v>Етнически общности и национална сигурност в България</v>
      </c>
      <c r="D7871" s="10">
        <f ca="1">IFERROR(__xludf.DUMMYFUNCTION("""COMPUTED_VALUE"""),2015)</f>
        <v>2015</v>
      </c>
      <c r="E7871" s="10" t="str">
        <f ca="1">IFERROR(__xludf.DUMMYFUNCTION("""COMPUTED_VALUE"""),"София: Изотк-Запад, 2015, 251 стр.")</f>
        <v>София: Изотк-Запад, 2015, 251 стр.</v>
      </c>
      <c r="F7871" s="10"/>
      <c r="G7871" s="10"/>
      <c r="H7871" s="10"/>
      <c r="I7871" s="10"/>
      <c r="J7871" s="10"/>
      <c r="K7871" s="10"/>
      <c r="L7871" s="10"/>
      <c r="M7871" s="10"/>
      <c r="N7871" s="10"/>
      <c r="O7871" s="10"/>
      <c r="P7871" s="10"/>
      <c r="Q7871" s="10"/>
      <c r="R7871" s="10"/>
      <c r="S7871" s="10"/>
      <c r="T7871" s="10"/>
      <c r="U7871" s="10"/>
      <c r="V7871" s="10"/>
      <c r="W7871" s="10"/>
      <c r="X7871" s="10"/>
      <c r="Y7871" s="10"/>
      <c r="Z7871" s="10"/>
    </row>
    <row r="7872" spans="1:26" ht="12.75">
      <c r="A7872" s="10" t="str">
        <f ca="1">IFERROR(__xludf.DUMMYFUNCTION("""COMPUTED_VALUE"""),"Христо Ермилов Тутунаров")</f>
        <v>Христо Ермилов Тутунаров</v>
      </c>
      <c r="B7872" s="10" t="str">
        <f ca="1">IFERROR(__xludf.DUMMYFUNCTION("""COMPUTED_VALUE"""),"Доклад от конференция")</f>
        <v>Доклад от конференция</v>
      </c>
      <c r="C7872" s="10" t="str">
        <f ca="1">IFERROR(__xludf.DUMMYFUNCTION("""COMPUTED_VALUE"""),"Интелигентност-Религия-толерантност")</f>
        <v>Интелигентност-Религия-толерантност</v>
      </c>
      <c r="D7872" s="10">
        <f ca="1">IFERROR(__xludf.DUMMYFUNCTION("""COMPUTED_VALUE"""),2015)</f>
        <v>2015</v>
      </c>
      <c r="E7872" s="10" t="str">
        <f ca="1">IFERROR(__xludf.DUMMYFUNCTION("""COMPUTED_VALUE"""),"Доклади от научната конференция ""Религии и политики на Балканите"", организирана от факултета по библиотекознание и информационни технологии, проведена на 16 април 2015 г. в гр. София), Редактор: проф. д.ф.н. Цветана Георгиева, София: Издателство Ан-Ди, "&amp;"2015,с.234-241. ISBN 978-619-7221-04-6")</f>
        <v>Доклади от научната конференция "Религии и политики на Балканите", организирана от факултета по библиотекознание и информационни технологии, проведена на 16 април 2015 г. в гр. София), Редактор: проф. д.ф.н. Цветана Георгиева, София: Издателство Ан-Ди, 2015,с.234-241. ISBN 978-619-7221-04-6</v>
      </c>
      <c r="F7872" s="10"/>
      <c r="G7872" s="10"/>
      <c r="H7872" s="10"/>
      <c r="I7872" s="10"/>
      <c r="J7872" s="10"/>
      <c r="K7872" s="10"/>
      <c r="L7872" s="10"/>
      <c r="M7872" s="10"/>
      <c r="N7872" s="10"/>
      <c r="O7872" s="10"/>
      <c r="P7872" s="10"/>
      <c r="Q7872" s="10"/>
      <c r="R7872" s="10"/>
      <c r="S7872" s="10"/>
      <c r="T7872" s="10"/>
      <c r="U7872" s="10"/>
      <c r="V7872" s="10"/>
      <c r="W7872" s="10"/>
      <c r="X7872" s="10"/>
      <c r="Y7872" s="10"/>
      <c r="Z7872" s="10"/>
    </row>
    <row r="7873" spans="1:26" ht="12.75">
      <c r="A7873" s="10" t="str">
        <f ca="1">IFERROR(__xludf.DUMMYFUNCTION("""COMPUTED_VALUE"""),"Христо Ермилов Тутунаров")</f>
        <v>Христо Ермилов Тутунаров</v>
      </c>
      <c r="B7873" s="10" t="str">
        <f ca="1">IFERROR(__xludf.DUMMYFUNCTION("""COMPUTED_VALUE"""),"Статия в списания и поредици")</f>
        <v>Статия в списания и поредици</v>
      </c>
      <c r="C7873" s="10" t="str">
        <f ca="1">IFERROR(__xludf.DUMMYFUNCTION("""COMPUTED_VALUE"""),"Историята на едно френско училище в България. Notre Dame de Sion")</f>
        <v>Историята на едно френско училище в България. Notre Dame de Sion</v>
      </c>
      <c r="D7873" s="10">
        <f ca="1">IFERROR(__xludf.DUMMYFUNCTION("""COMPUTED_VALUE"""),2015)</f>
        <v>2015</v>
      </c>
      <c r="E7873" s="10" t="str">
        <f ca="1">IFERROR(__xludf.DUMMYFUNCTION("""COMPUTED_VALUE"""),"„Съвременни измерения на европейското образователно и научно пространство, За Буквите – О писменехь, - Т. 2 2015, с. 261-266. ISSN 2367-7988")</f>
        <v>„Съвременни измерения на европейското образователно и научно пространство, За Буквите – О писменехь, - Т. 2 2015, с. 261-266. ISSN 2367-7988</v>
      </c>
      <c r="F7873" s="10"/>
      <c r="G7873" s="10"/>
      <c r="H7873" s="10"/>
      <c r="I7873" s="10"/>
      <c r="J7873" s="10"/>
      <c r="K7873" s="10"/>
      <c r="L7873" s="10"/>
      <c r="M7873" s="10"/>
      <c r="N7873" s="10"/>
      <c r="O7873" s="10"/>
      <c r="P7873" s="10"/>
      <c r="Q7873" s="10"/>
      <c r="R7873" s="10"/>
      <c r="S7873" s="10"/>
      <c r="T7873" s="10"/>
      <c r="U7873" s="10"/>
      <c r="V7873" s="10"/>
      <c r="W7873" s="10"/>
      <c r="X7873" s="10"/>
      <c r="Y7873" s="10"/>
      <c r="Z7873" s="10"/>
    </row>
    <row r="7874" spans="1:26" ht="12.75">
      <c r="A7874" s="10" t="str">
        <f ca="1">IFERROR(__xludf.DUMMYFUNCTION("""COMPUTED_VALUE"""),"Христо Ермилов Тутунаров")</f>
        <v>Христо Ермилов Тутунаров</v>
      </c>
      <c r="B7874" s="10" t="str">
        <f ca="1">IFERROR(__xludf.DUMMYFUNCTION("""COMPUTED_VALUE"""),"Доклад от конференция")</f>
        <v>Доклад от конференция</v>
      </c>
      <c r="C7874" s="10" t="str">
        <f ca="1">IFERROR(__xludf.DUMMYFUNCTION("""COMPUTED_VALUE"""),"Децата на Ислямска Държава. Поколение джихад.")</f>
        <v>Децата на Ислямска Държава. Поколение джихад.</v>
      </c>
      <c r="D7874" s="10">
        <f ca="1">IFERROR(__xludf.DUMMYFUNCTION("""COMPUTED_VALUE"""),2015)</f>
        <v>2015</v>
      </c>
      <c r="E7874" s="10" t="str">
        <f ca="1">IFERROR(__xludf.DUMMYFUNCTION("""COMPUTED_VALUE"""),"Сборник с доклади от Научната конференция “Xармония в различията”, СофияЗа Буквите – О писменехь, 2015 , с.172-178.
  ISSN 2367-7899")</f>
        <v>Сборник с доклади от Научната конференция “Xармония в различията”, СофияЗа Буквите – О писменехь, 2015 , с.172-178.
  ISSN 2367-7899</v>
      </c>
      <c r="F7874" s="10"/>
      <c r="G7874" s="10"/>
      <c r="H7874" s="10"/>
      <c r="I7874" s="10"/>
      <c r="J7874" s="10"/>
      <c r="K7874" s="10"/>
      <c r="L7874" s="10"/>
      <c r="M7874" s="10"/>
      <c r="N7874" s="10"/>
      <c r="O7874" s="10"/>
      <c r="P7874" s="10"/>
      <c r="Q7874" s="10"/>
      <c r="R7874" s="10"/>
      <c r="S7874" s="10"/>
      <c r="T7874" s="10"/>
      <c r="U7874" s="10"/>
      <c r="V7874" s="10"/>
      <c r="W7874" s="10"/>
      <c r="X7874" s="10"/>
      <c r="Y7874" s="10"/>
      <c r="Z7874" s="10"/>
    </row>
    <row r="7875" spans="1:26" ht="12.75">
      <c r="A7875" s="10" t="str">
        <f ca="1">IFERROR(__xludf.DUMMYFUNCTION("""COMPUTED_VALUE"""),"Христо Луков Матанов")</f>
        <v>Христо Луков Матанов</v>
      </c>
      <c r="B7875" s="10" t="str">
        <f ca="1">IFERROR(__xludf.DUMMYFUNCTION("""COMPUTED_VALUE"""),"Учебник")</f>
        <v>Учебник</v>
      </c>
      <c r="C7875" s="10" t="str">
        <f ca="1">IFERROR(__xludf.DUMMYFUNCTION("""COMPUTED_VALUE"""),"История и цивилизации за 10-ти клас")</f>
        <v>История и цивилизации за 10-ти клас</v>
      </c>
      <c r="D7875" s="10">
        <f ca="1">IFERROR(__xludf.DUMMYFUNCTION("""COMPUTED_VALUE"""),2019)</f>
        <v>2019</v>
      </c>
      <c r="E7875" s="10" t="str">
        <f ca="1">IFERROR(__xludf.DUMMYFUNCTION("""COMPUTED_VALUE"""),"Изд. Клет-Анубис ISBN 978 619 215 430 1")</f>
        <v>Изд. Клет-Анубис ISBN 978 619 215 430 1</v>
      </c>
      <c r="F7875" s="10"/>
      <c r="G7875" s="10"/>
      <c r="H7875" s="10"/>
      <c r="I7875" s="10"/>
      <c r="J7875" s="10"/>
      <c r="K7875" s="10"/>
      <c r="L7875" s="10"/>
      <c r="M7875" s="10"/>
      <c r="N7875" s="10"/>
      <c r="O7875" s="10"/>
      <c r="P7875" s="10"/>
      <c r="Q7875" s="10"/>
      <c r="R7875" s="10"/>
      <c r="S7875" s="10"/>
      <c r="T7875" s="10"/>
      <c r="U7875" s="10"/>
      <c r="V7875" s="10"/>
      <c r="W7875" s="10"/>
      <c r="X7875" s="10"/>
      <c r="Y7875" s="10"/>
      <c r="Z7875" s="10"/>
    </row>
    <row r="7876" spans="1:26" ht="12.75">
      <c r="A7876" s="10" t="str">
        <f ca="1">IFERROR(__xludf.DUMMYFUNCTION("""COMPUTED_VALUE"""),"Христо Луков Матанов")</f>
        <v>Христо Луков Матанов</v>
      </c>
      <c r="B7876" s="10" t="str">
        <f ca="1">IFERROR(__xludf.DUMMYFUNCTION("""COMPUTED_VALUE"""),"Учебник")</f>
        <v>Учебник</v>
      </c>
      <c r="C7876" s="10" t="str">
        <f ca="1">IFERROR(__xludf.DUMMYFUNCTION("""COMPUTED_VALUE"""),"История и цивилизации за 7- клас")</f>
        <v>История и цивилизации за 7- клас</v>
      </c>
      <c r="D7876" s="10">
        <f ca="1">IFERROR(__xludf.DUMMYFUNCTION("""COMPUTED_VALUE"""),2019)</f>
        <v>2019</v>
      </c>
      <c r="E7876" s="10" t="str">
        <f ca="1">IFERROR(__xludf.DUMMYFUNCTION("""COMPUTED_VALUE"""),"Изд. Клет-Анубис ISBN 9786192151461")</f>
        <v>Изд. Клет-Анубис ISBN 9786192151461</v>
      </c>
      <c r="F7876" s="10"/>
      <c r="G7876" s="10"/>
      <c r="H7876" s="10"/>
      <c r="I7876" s="10"/>
      <c r="J7876" s="10"/>
      <c r="K7876" s="10"/>
      <c r="L7876" s="10"/>
      <c r="M7876" s="10"/>
      <c r="N7876" s="10"/>
      <c r="O7876" s="10"/>
      <c r="P7876" s="10"/>
      <c r="Q7876" s="10"/>
      <c r="R7876" s="10"/>
      <c r="S7876" s="10"/>
      <c r="T7876" s="10"/>
      <c r="U7876" s="10"/>
      <c r="V7876" s="10"/>
      <c r="W7876" s="10"/>
      <c r="X7876" s="10"/>
      <c r="Y7876" s="10"/>
      <c r="Z7876" s="10"/>
    </row>
    <row r="7877" spans="1:26" ht="12.75">
      <c r="A7877" s="10" t="str">
        <f ca="1">IFERROR(__xludf.DUMMYFUNCTION("""COMPUTED_VALUE"""),"Христо Луков Матанов")</f>
        <v>Христо Луков Матанов</v>
      </c>
      <c r="B7877" s="10" t="str">
        <f ca="1">IFERROR(__xludf.DUMMYFUNCTION("""COMPUTED_VALUE"""),"Учебник")</f>
        <v>Учебник</v>
      </c>
      <c r="C7877" s="10" t="str">
        <f ca="1">IFERROR(__xludf.DUMMYFUNCTION("""COMPUTED_VALUE"""),"История и цивилизации за 6-ти клас")</f>
        <v>История и цивилизации за 6-ти клас</v>
      </c>
      <c r="D7877" s="10">
        <f ca="1">IFERROR(__xludf.DUMMYFUNCTION("""COMPUTED_VALUE"""),2019)</f>
        <v>2019</v>
      </c>
      <c r="E7877" s="10" t="str">
        <f ca="1">IFERROR(__xludf.DUMMYFUNCTION("""COMPUTED_VALUE"""),"Изд. Клет-Анубис ISBN 9 7861921520055")</f>
        <v>Изд. Клет-Анубис ISBN 9 7861921520055</v>
      </c>
      <c r="F7877" s="10"/>
      <c r="G7877" s="10"/>
      <c r="H7877" s="10"/>
      <c r="I7877" s="10"/>
      <c r="J7877" s="10"/>
      <c r="K7877" s="10"/>
      <c r="L7877" s="10"/>
      <c r="M7877" s="10"/>
      <c r="N7877" s="10"/>
      <c r="O7877" s="10"/>
      <c r="P7877" s="10"/>
      <c r="Q7877" s="10"/>
      <c r="R7877" s="10"/>
      <c r="S7877" s="10"/>
      <c r="T7877" s="10"/>
      <c r="U7877" s="10"/>
      <c r="V7877" s="10"/>
      <c r="W7877" s="10"/>
      <c r="X7877" s="10"/>
      <c r="Y7877" s="10"/>
      <c r="Z7877" s="10"/>
    </row>
    <row r="7878" spans="1:26" ht="12.75">
      <c r="A7878" s="10" t="str">
        <f ca="1">IFERROR(__xludf.DUMMYFUNCTION("""COMPUTED_VALUE"""),"Христо Луков Матанов")</f>
        <v>Христо Луков Матанов</v>
      </c>
      <c r="B7878" s="10" t="str">
        <f ca="1">IFERROR(__xludf.DUMMYFUNCTION("""COMPUTED_VALUE"""),"Монография")</f>
        <v>Монография</v>
      </c>
      <c r="C7878" s="10" t="str">
        <f ca="1">IFERROR(__xludf.DUMMYFUNCTION("""COMPUTED_VALUE"""),"Залезът на Средновековна България")</f>
        <v>Залезът на Средновековна България</v>
      </c>
      <c r="D7878" s="10">
        <f ca="1">IFERROR(__xludf.DUMMYFUNCTION("""COMPUTED_VALUE"""),2018)</f>
        <v>2018</v>
      </c>
      <c r="E7878" s="10" t="str">
        <f ca="1">IFERROR(__xludf.DUMMYFUNCTION("""COMPUTED_VALUE"""),"Изд. Изток-Запад. Второ издание 619152823-3")</f>
        <v>Изд. Изток-Запад. Второ издание 619152823-3</v>
      </c>
      <c r="F7878" s="10"/>
      <c r="G7878" s="10"/>
      <c r="H7878" s="10"/>
      <c r="I7878" s="10"/>
      <c r="J7878" s="10"/>
      <c r="K7878" s="10"/>
      <c r="L7878" s="10"/>
      <c r="M7878" s="10"/>
      <c r="N7878" s="10"/>
      <c r="O7878" s="10"/>
      <c r="P7878" s="10"/>
      <c r="Q7878" s="10"/>
      <c r="R7878" s="10"/>
      <c r="S7878" s="10"/>
      <c r="T7878" s="10"/>
      <c r="U7878" s="10"/>
      <c r="V7878" s="10"/>
      <c r="W7878" s="10"/>
      <c r="X7878" s="10"/>
      <c r="Y7878" s="10"/>
      <c r="Z7878" s="10"/>
    </row>
    <row r="7879" spans="1:26" ht="12.75">
      <c r="A7879" s="10" t="str">
        <f ca="1">IFERROR(__xludf.DUMMYFUNCTION("""COMPUTED_VALUE"""),"Христо Луков Матанов")</f>
        <v>Христо Луков Матанов</v>
      </c>
      <c r="B7879" s="10" t="str">
        <f ca="1">IFERROR(__xludf.DUMMYFUNCTION("""COMPUTED_VALUE"""),"Учебник")</f>
        <v>Учебник</v>
      </c>
      <c r="C7879" s="10" t="str">
        <f ca="1">IFERROR(__xludf.DUMMYFUNCTION("""COMPUTED_VALUE"""),"История и цивилизация. 7 клас.")</f>
        <v>История и цивилизация. 7 клас.</v>
      </c>
      <c r="D7879" s="10">
        <f ca="1">IFERROR(__xludf.DUMMYFUNCTION("""COMPUTED_VALUE"""),2018)</f>
        <v>2018</v>
      </c>
      <c r="E7879" s="10" t="str">
        <f ca="1">IFERROR(__xludf.DUMMYFUNCTION("""COMPUTED_VALUE"""),"Валери Колев, Христо Матанов, Румяна Христиди, Тоздор Мишев, История и цивилизация. 7 клас., ISBN:978-619-215-205-5, Анубис, София, Рецензирано")</f>
        <v>Валери Колев, Христо Матанов, Румяна Христиди, Тоздор Мишев, История и цивилизация. 7 клас., ISBN:978-619-215-205-5, Анубис, София, Рецензирано</v>
      </c>
      <c r="F7879" s="10"/>
      <c r="G7879" s="10" t="str">
        <f ca="1">IFERROR(__xludf.DUMMYFUNCTION("""COMPUTED_VALUE"""),"Валери Колев, Христо Матанов, Румяна Христиди, Тоздор Мишев")</f>
        <v>Валери Колев, Христо Матанов, Румяна Христиди, Тоздор Мишев</v>
      </c>
      <c r="H7879" s="10"/>
      <c r="I7879" s="10"/>
      <c r="J7879" s="10"/>
      <c r="K7879" s="10"/>
      <c r="L7879" s="10"/>
      <c r="M7879" s="10"/>
      <c r="N7879" s="10"/>
      <c r="O7879" s="10"/>
      <c r="P7879" s="10"/>
      <c r="Q7879" s="10"/>
      <c r="R7879" s="10"/>
      <c r="S7879" s="10"/>
      <c r="T7879" s="10"/>
      <c r="U7879" s="10"/>
      <c r="V7879" s="10"/>
      <c r="W7879" s="10"/>
      <c r="X7879" s="10"/>
      <c r="Y7879" s="10"/>
      <c r="Z7879" s="10"/>
    </row>
    <row r="7880" spans="1:26" ht="12.75">
      <c r="A7880" s="10" t="str">
        <f ca="1">IFERROR(__xludf.DUMMYFUNCTION("""COMPUTED_VALUE"""),"Христо Луков Матанов")</f>
        <v>Христо Луков Матанов</v>
      </c>
      <c r="B7880" s="10" t="str">
        <f ca="1">IFERROR(__xludf.DUMMYFUNCTION("""COMPUTED_VALUE"""),"Учебник")</f>
        <v>Учебник</v>
      </c>
      <c r="C7880" s="10" t="str">
        <f ca="1">IFERROR(__xludf.DUMMYFUNCTION("""COMPUTED_VALUE"""),"История и цивилизации за 9 клас. За профилирано и професионално образование с интензивно изучаване на чужд език")</f>
        <v>История и цивилизации за 9 клас. За профилирано и професионално образование с интензивно изучаване на чужд език</v>
      </c>
      <c r="D7880" s="10">
        <f ca="1">IFERROR(__xludf.DUMMYFUNCTION("""COMPUTED_VALUE"""),2018)</f>
        <v>2018</v>
      </c>
      <c r="E7880" s="10" t="str">
        <f ca="1">IFERROR(__xludf.DUMMYFUNCTION("""COMPUTED_VALUE"""),"Христо Матанов, Борис Стоянов, Даниел Вачков, Красимира Табакова, Христина Мирчева, Йордан Митев, Илия Илиев, Емилия Карабоева, История и цивилизации за 9 клас. За профилирано и професионално образование с интензивно изучаване на чужд език, ISBN:978-619-2"&amp;"15-264-2, ИК Анубис, София")</f>
        <v>Христо Матанов, Борис Стоянов, Даниел Вачков, Красимира Табакова, Христина Мирчева, Йордан Митев, Илия Илиев, Емилия Карабоева, История и цивилизации за 9 клас. За профилирано и професионално образование с интензивно изучаване на чужд език, ISBN:978-619-215-264-2, ИК Анубис, София</v>
      </c>
      <c r="F7880" s="10"/>
      <c r="G7880" s="10" t="str">
        <f ca="1">IFERROR(__xludf.DUMMYFUNCTION("""COMPUTED_VALUE"""),"Христо Матанов, Борис Стоянов, Даниел Вачков, Красимира Табакова, Христина Мирчева, Йордан Митев, Илия Илиев, Емилия Карабоева")</f>
        <v>Христо Матанов, Борис Стоянов, Даниел Вачков, Красимира Табакова, Христина Мирчева, Йордан Митев, Илия Илиев, Емилия Карабоева</v>
      </c>
      <c r="H7880" s="10"/>
      <c r="I7880" s="10"/>
      <c r="J7880" s="10"/>
      <c r="K7880" s="10"/>
      <c r="L7880" s="10"/>
      <c r="M7880" s="10"/>
      <c r="N7880" s="10"/>
      <c r="O7880" s="10"/>
      <c r="P7880" s="10"/>
      <c r="Q7880" s="10"/>
      <c r="R7880" s="10"/>
      <c r="S7880" s="10"/>
      <c r="T7880" s="10"/>
      <c r="U7880" s="10"/>
      <c r="V7880" s="10"/>
      <c r="W7880" s="10"/>
      <c r="X7880" s="10"/>
      <c r="Y7880" s="10"/>
      <c r="Z7880" s="10"/>
    </row>
    <row r="7881" spans="1:26" ht="12.75">
      <c r="A7881" s="10" t="str">
        <f ca="1">IFERROR(__xludf.DUMMYFUNCTION("""COMPUTED_VALUE"""),"Христо Луков Матанов")</f>
        <v>Христо Луков Матанов</v>
      </c>
      <c r="B7881" s="10" t="str">
        <f ca="1">IFERROR(__xludf.DUMMYFUNCTION("""COMPUTED_VALUE"""),"Учебно пособие")</f>
        <v>Учебно пособие</v>
      </c>
      <c r="C7881" s="10" t="str">
        <f ca="1">IFERROR(__xludf.DUMMYFUNCTION("""COMPUTED_VALUE"""),"Книга за учителя. История и цивилизации 8. клас")</f>
        <v>Книга за учителя. История и цивилизации 8. клас</v>
      </c>
      <c r="D7881" s="10">
        <f ca="1">IFERROR(__xludf.DUMMYFUNCTION("""COMPUTED_VALUE"""),2017)</f>
        <v>2017</v>
      </c>
      <c r="E7881" s="10" t="str">
        <f ca="1">IFERROR(__xludf.DUMMYFUNCTION("""COMPUTED_VALUE"""),"Христо Матанов, Даниел Вачков, Борис Стоянов, Емилия Карабоева, Табакова, Красимира , Книга за учителя. История и цивилизации 8. клас, Анубис, София, Рецензирано")</f>
        <v>Христо Матанов, Даниел Вачков, Борис Стоянов, Емилия Карабоева, Табакова, Красимира , Книга за учителя. История и цивилизации 8. клас, Анубис, София, Рецензирано</v>
      </c>
      <c r="F7881" s="10"/>
      <c r="G7881" s="10" t="str">
        <f ca="1">IFERROR(__xludf.DUMMYFUNCTION("""COMPUTED_VALUE"""),"Христо Матанов, Даниел Вачков, Борис Стоянов, Емилия Карабоева, Табакова, Красимира")</f>
        <v>Христо Матанов, Даниел Вачков, Борис Стоянов, Емилия Карабоева, Табакова, Красимира</v>
      </c>
      <c r="H7881" s="10"/>
      <c r="I7881" s="10"/>
      <c r="J7881" s="10"/>
      <c r="K7881" s="10"/>
      <c r="L7881" s="10"/>
      <c r="M7881" s="10"/>
      <c r="N7881" s="10"/>
      <c r="O7881" s="10"/>
      <c r="P7881" s="10"/>
      <c r="Q7881" s="10"/>
      <c r="R7881" s="10"/>
      <c r="S7881" s="10"/>
      <c r="T7881" s="10"/>
      <c r="U7881" s="10"/>
      <c r="V7881" s="10"/>
      <c r="W7881" s="10"/>
      <c r="X7881" s="10"/>
      <c r="Y7881" s="10"/>
      <c r="Z7881" s="10"/>
    </row>
    <row r="7882" spans="1:26" ht="12.75">
      <c r="A7882" s="10" t="str">
        <f ca="1">IFERROR(__xludf.DUMMYFUNCTION("""COMPUTED_VALUE"""),"Христо Луков Матанов")</f>
        <v>Христо Луков Матанов</v>
      </c>
      <c r="B7882" s="10" t="str">
        <f ca="1">IFERROR(__xludf.DUMMYFUNCTION("""COMPUTED_VALUE"""),"Учебник")</f>
        <v>Учебник</v>
      </c>
      <c r="C7882" s="10" t="str">
        <f ca="1">IFERROR(__xludf.DUMMYFUNCTION("""COMPUTED_VALUE"""),"История и цивилизации за 6. клас")</f>
        <v>История и цивилизации за 6. клас</v>
      </c>
      <c r="D7882" s="10">
        <f ca="1">IFERROR(__xludf.DUMMYFUNCTION("""COMPUTED_VALUE"""),2017)</f>
        <v>2017</v>
      </c>
      <c r="E7882" s="10" t="str">
        <f ca="1">IFERROR(__xludf.DUMMYFUNCTION("""COMPUTED_VALUE"""),"Христо Матанов, Теодор Димитров, Галя Иванова, История и цивилизации за 6. клас, Анубис, София")</f>
        <v>Христо Матанов, Теодор Димитров, Галя Иванова, История и цивилизации за 6. клас, Анубис, София</v>
      </c>
      <c r="F7882" s="10"/>
      <c r="G7882" s="10" t="str">
        <f ca="1">IFERROR(__xludf.DUMMYFUNCTION("""COMPUTED_VALUE"""),"Христо Матанов, Теодор Димитров, Галя Иванова")</f>
        <v>Христо Матанов, Теодор Димитров, Галя Иванова</v>
      </c>
      <c r="H7882" s="10"/>
      <c r="I7882" s="10"/>
      <c r="J7882" s="10"/>
      <c r="K7882" s="10"/>
      <c r="L7882" s="10"/>
      <c r="M7882" s="10"/>
      <c r="N7882" s="10"/>
      <c r="O7882" s="10"/>
      <c r="P7882" s="10"/>
      <c r="Q7882" s="10"/>
      <c r="R7882" s="10"/>
      <c r="S7882" s="10"/>
      <c r="T7882" s="10"/>
      <c r="U7882" s="10"/>
      <c r="V7882" s="10"/>
      <c r="W7882" s="10"/>
      <c r="X7882" s="10"/>
      <c r="Y7882" s="10"/>
      <c r="Z7882" s="10"/>
    </row>
    <row r="7883" spans="1:26" ht="12.75">
      <c r="A7883" s="10" t="str">
        <f ca="1">IFERROR(__xludf.DUMMYFUNCTION("""COMPUTED_VALUE"""),"Христо Луков Матанов")</f>
        <v>Христо Луков Матанов</v>
      </c>
      <c r="B7883" s="10" t="str">
        <f ca="1">IFERROR(__xludf.DUMMYFUNCTION("""COMPUTED_VALUE"""),"Учебник")</f>
        <v>Учебник</v>
      </c>
      <c r="C7883" s="10" t="str">
        <f ca="1">IFERROR(__xludf.DUMMYFUNCTION("""COMPUTED_VALUE"""),"История и цивилизация за 8 клас. Първа част за 9 клас при обучение с интензивно изучаване на чужд език")</f>
        <v>История и цивилизация за 8 клас. Първа част за 9 клас при обучение с интензивно изучаване на чужд език</v>
      </c>
      <c r="D7883" s="10">
        <f ca="1">IFERROR(__xludf.DUMMYFUNCTION("""COMPUTED_VALUE"""),2017)</f>
        <v>2017</v>
      </c>
      <c r="E7883" s="10" t="str">
        <f ca="1">IFERROR(__xludf.DUMMYFUNCTION("""COMPUTED_VALUE"""),"Христо Матанов, Даниел Вачков, Борис Стоянов, Емилия Карабоева, Красимира Табакова, История и цивилизация за 8 клас. Първа част за 9 клас при обучение с интензивно изучаване на чужд език, ISBN:978-619-215-124-9, ИК Анубис, София")</f>
        <v>Христо Матанов, Даниел Вачков, Борис Стоянов, Емилия Карабоева, Красимира Табакова, История и цивилизация за 8 клас. Първа част за 9 клас при обучение с интензивно изучаване на чужд език, ISBN:978-619-215-124-9, ИК Анубис, София</v>
      </c>
      <c r="F7883" s="10"/>
      <c r="G7883" s="10" t="str">
        <f ca="1">IFERROR(__xludf.DUMMYFUNCTION("""COMPUTED_VALUE"""),"Христо Матанов, Даниел Вачков, Борис Стоянов, Емилия Карабоева, Красимира Табакова")</f>
        <v>Христо Матанов, Даниел Вачков, Борис Стоянов, Емилия Карабоева, Красимира Табакова</v>
      </c>
      <c r="H7883" s="10"/>
      <c r="I7883" s="10"/>
      <c r="J7883" s="10"/>
      <c r="K7883" s="10"/>
      <c r="L7883" s="10"/>
      <c r="M7883" s="10"/>
      <c r="N7883" s="10"/>
      <c r="O7883" s="10"/>
      <c r="P7883" s="10"/>
      <c r="Q7883" s="10"/>
      <c r="R7883" s="10"/>
      <c r="S7883" s="10"/>
      <c r="T7883" s="10"/>
      <c r="U7883" s="10"/>
      <c r="V7883" s="10"/>
      <c r="W7883" s="10"/>
      <c r="X7883" s="10"/>
      <c r="Y7883" s="10"/>
      <c r="Z7883" s="10"/>
    </row>
    <row r="7884" spans="1:26" ht="12.75">
      <c r="A7884" s="10" t="str">
        <f ca="1">IFERROR(__xludf.DUMMYFUNCTION("""COMPUTED_VALUE"""),"Христо Луков Матанов")</f>
        <v>Христо Луков Матанов</v>
      </c>
      <c r="B7884" s="10" t="str">
        <f ca="1">IFERROR(__xludf.DUMMYFUNCTION("""COMPUTED_VALUE"""),"Доклад от конференция")</f>
        <v>Доклад от конференция</v>
      </c>
      <c r="C7884" s="10" t="str">
        <f ca="1">IFERROR(__xludf.DUMMYFUNCTION("""COMPUTED_VALUE"""),"The Human Cost of the Ottoman Invasion in Bulgaria. Discussion of Controversial Problems.")</f>
        <v>The Human Cost of the Ottoman Invasion in Bulgaria. Discussion of Controversial Problems.</v>
      </c>
      <c r="D7884" s="10">
        <f ca="1">IFERROR(__xludf.DUMMYFUNCTION("""COMPUTED_VALUE"""),2017)</f>
        <v>2017</v>
      </c>
      <c r="E7884" s="10" t="str">
        <f ca="1">IFERROR(__xludf.DUMMYFUNCTION("""COMPUTED_VALUE"""),"Христо Матанов, The Human Cost of the Ottoman Invasion in Bulgaria. Discussion of Controversial Problems., The First International Conference on Nations under Genocide., Унгария 2017")</f>
        <v>Христо Матанов, The Human Cost of the Ottoman Invasion in Bulgaria. Discussion of Controversial Problems., The First International Conference on Nations under Genocide., Унгария 2017</v>
      </c>
      <c r="F7884" s="10"/>
      <c r="G7884" s="10" t="str">
        <f ca="1">IFERROR(__xludf.DUMMYFUNCTION("""COMPUTED_VALUE"""),"Христо Матанов")</f>
        <v>Христо Матанов</v>
      </c>
      <c r="H7884" s="10"/>
      <c r="I7884" s="10"/>
      <c r="J7884" s="10"/>
      <c r="K7884" s="10"/>
      <c r="L7884" s="10"/>
      <c r="M7884" s="10"/>
      <c r="N7884" s="10"/>
      <c r="O7884" s="10"/>
      <c r="P7884" s="10"/>
      <c r="Q7884" s="10"/>
      <c r="R7884" s="10"/>
      <c r="S7884" s="10"/>
      <c r="T7884" s="10"/>
      <c r="U7884" s="10"/>
      <c r="V7884" s="10"/>
      <c r="W7884" s="10"/>
      <c r="X7884" s="10"/>
      <c r="Y7884" s="10"/>
      <c r="Z7884" s="10"/>
    </row>
    <row r="7885" spans="1:26" ht="12.75">
      <c r="A7885" s="10" t="str">
        <f ca="1">IFERROR(__xludf.DUMMYFUNCTION("""COMPUTED_VALUE"""),"Христо Луков Матанов")</f>
        <v>Христо Луков Матанов</v>
      </c>
      <c r="B7885" s="10" t="str">
        <f ca="1">IFERROR(__xludf.DUMMYFUNCTION("""COMPUTED_VALUE"""),"Книга")</f>
        <v>Книга</v>
      </c>
      <c r="C7885" s="10" t="str">
        <f ca="1">IFERROR(__xludf.DUMMYFUNCTION("""COMPUTED_VALUE"""),"Залезът на Средновековна България")</f>
        <v>Залезът на Средновековна България</v>
      </c>
      <c r="D7885" s="10">
        <f ca="1">IFERROR(__xludf.DUMMYFUNCTION("""COMPUTED_VALUE"""),2017)</f>
        <v>2017</v>
      </c>
      <c r="E7885" s="10" t="str">
        <f ca="1">IFERROR(__xludf.DUMMYFUNCTION("""COMPUTED_VALUE"""),"Христо Матанов, Залезът на Средновековна България, Изток-Запад, София")</f>
        <v>Христо Матанов, Залезът на Средновековна България, Изток-Запад, София</v>
      </c>
      <c r="F7885" s="10"/>
      <c r="G7885" s="10" t="str">
        <f ca="1">IFERROR(__xludf.DUMMYFUNCTION("""COMPUTED_VALUE"""),"Христо Матанов")</f>
        <v>Христо Матанов</v>
      </c>
      <c r="H7885" s="10"/>
      <c r="I7885" s="10"/>
      <c r="J7885" s="10"/>
      <c r="K7885" s="10"/>
      <c r="L7885" s="10"/>
      <c r="M7885" s="10"/>
      <c r="N7885" s="10"/>
      <c r="O7885" s="10"/>
      <c r="P7885" s="10"/>
      <c r="Q7885" s="10"/>
      <c r="R7885" s="10"/>
      <c r="S7885" s="10"/>
      <c r="T7885" s="10"/>
      <c r="U7885" s="10"/>
      <c r="V7885" s="10"/>
      <c r="W7885" s="10"/>
      <c r="X7885" s="10"/>
      <c r="Y7885" s="10"/>
      <c r="Z7885" s="10"/>
    </row>
    <row r="7886" spans="1:26" ht="12.75">
      <c r="A7886" s="10" t="str">
        <f ca="1">IFERROR(__xludf.DUMMYFUNCTION("""COMPUTED_VALUE"""),"Христо Луков Матанов")</f>
        <v>Христо Луков Матанов</v>
      </c>
      <c r="B7886" s="10" t="str">
        <f ca="1">IFERROR(__xludf.DUMMYFUNCTION("""COMPUTED_VALUE"""),"Книга")</f>
        <v>Книга</v>
      </c>
      <c r="C7886" s="10" t="str">
        <f ca="1">IFERROR(__xludf.DUMMYFUNCTION("""COMPUTED_VALUE"""),"Залезът на Средновековна България")</f>
        <v>Залезът на Средновековна България</v>
      </c>
      <c r="D7886" s="10">
        <f ca="1">IFERROR(__xludf.DUMMYFUNCTION("""COMPUTED_VALUE"""),2016)</f>
        <v>2016</v>
      </c>
      <c r="E7886" s="10" t="str">
        <f ca="1">IFERROR(__xludf.DUMMYFUNCTION("""COMPUTED_VALUE"""),"Христо Матанов, Залезът на Средновековна България, Изток-Запад, София")</f>
        <v>Христо Матанов, Залезът на Средновековна България, Изток-Запад, София</v>
      </c>
      <c r="F7886" s="10"/>
      <c r="G7886" s="10" t="str">
        <f ca="1">IFERROR(__xludf.DUMMYFUNCTION("""COMPUTED_VALUE"""),"Христо Матанов")</f>
        <v>Христо Матанов</v>
      </c>
      <c r="H7886" s="10"/>
      <c r="I7886" s="10"/>
      <c r="J7886" s="10"/>
      <c r="K7886" s="10"/>
      <c r="L7886" s="10"/>
      <c r="M7886" s="10"/>
      <c r="N7886" s="10"/>
      <c r="O7886" s="10"/>
      <c r="P7886" s="10"/>
      <c r="Q7886" s="10"/>
      <c r="R7886" s="10"/>
      <c r="S7886" s="10"/>
      <c r="T7886" s="10"/>
      <c r="U7886" s="10"/>
      <c r="V7886" s="10"/>
      <c r="W7886" s="10"/>
      <c r="X7886" s="10"/>
      <c r="Y7886" s="10"/>
      <c r="Z7886" s="10"/>
    </row>
    <row r="7887" spans="1:26" ht="12.75">
      <c r="A7887" s="10" t="str">
        <f ca="1">IFERROR(__xludf.DUMMYFUNCTION("""COMPUTED_VALUE"""),"Христо Луков Матанов")</f>
        <v>Христо Луков Матанов</v>
      </c>
      <c r="B7887" s="10" t="str">
        <f ca="1">IFERROR(__xludf.DUMMYFUNCTION("""COMPUTED_VALUE"""),"Учебник")</f>
        <v>Учебник</v>
      </c>
      <c r="C7887" s="10" t="str">
        <f ca="1">IFERROR(__xludf.DUMMYFUNCTION("""COMPUTED_VALUE"""),"Атлас по история и цивилизация за 11. клас и кандидат-студенти")</f>
        <v>Атлас по история и цивилизация за 11. клас и кандидат-студенти</v>
      </c>
      <c r="D7887" s="10">
        <f ca="1">IFERROR(__xludf.DUMMYFUNCTION("""COMPUTED_VALUE"""),2016)</f>
        <v>2016</v>
      </c>
      <c r="E7887" s="10" t="str">
        <f ca="1">IFERROR(__xludf.DUMMYFUNCTION("""COMPUTED_VALUE"""),"Христо Матанов, Теменужка Бандрова, Атлас по история и цивилизация за 11. клас и кандидат-студенти, Датамап, София")</f>
        <v>Христо Матанов, Теменужка Бандрова, Атлас по история и цивилизация за 11. клас и кандидат-студенти, Датамап, София</v>
      </c>
      <c r="F7887" s="10"/>
      <c r="G7887" s="10" t="str">
        <f ca="1">IFERROR(__xludf.DUMMYFUNCTION("""COMPUTED_VALUE"""),"Христо Матанов, Теменужка Бандрова")</f>
        <v>Христо Матанов, Теменужка Бандрова</v>
      </c>
      <c r="H7887" s="10"/>
      <c r="I7887" s="10"/>
      <c r="J7887" s="10"/>
      <c r="K7887" s="10"/>
      <c r="L7887" s="10"/>
      <c r="M7887" s="10"/>
      <c r="N7887" s="10"/>
      <c r="O7887" s="10"/>
      <c r="P7887" s="10"/>
      <c r="Q7887" s="10"/>
      <c r="R7887" s="10"/>
      <c r="S7887" s="10"/>
      <c r="T7887" s="10"/>
      <c r="U7887" s="10"/>
      <c r="V7887" s="10"/>
      <c r="W7887" s="10"/>
      <c r="X7887" s="10"/>
      <c r="Y7887" s="10"/>
      <c r="Z7887" s="10"/>
    </row>
    <row r="7888" spans="1:26" ht="12.75">
      <c r="A7888" s="10" t="str">
        <f ca="1">IFERROR(__xludf.DUMMYFUNCTION("""COMPUTED_VALUE"""),"Христо Луков Матанов")</f>
        <v>Христо Луков Матанов</v>
      </c>
      <c r="B7888" s="10" t="str">
        <f ca="1">IFERROR(__xludf.DUMMYFUNCTION("""COMPUTED_VALUE"""),"Учебник")</f>
        <v>Учебник</v>
      </c>
      <c r="C7888" s="10" t="str">
        <f ca="1">IFERROR(__xludf.DUMMYFUNCTION("""COMPUTED_VALUE"""),"История и цивилизация за 5 клас")</f>
        <v>История и цивилизация за 5 клас</v>
      </c>
      <c r="D7888" s="10">
        <f ca="1">IFERROR(__xludf.DUMMYFUNCTION("""COMPUTED_VALUE"""),2016)</f>
        <v>2016</v>
      </c>
      <c r="E7888" s="10" t="str">
        <f ca="1">IFERROR(__xludf.DUMMYFUNCTION("""COMPUTED_VALUE"""),"Хр. Матанов, П. Делев, Ц. Каснакова, К. Мукарзел, Т. Рангелова, История и цивилизация за 5 клас, Анубис, София, Рецензирано")</f>
        <v>Хр. Матанов, П. Делев, Ц. Каснакова, К. Мукарзел, Т. Рангелова, История и цивилизация за 5 клас, Анубис, София, Рецензирано</v>
      </c>
      <c r="F7888" s="10"/>
      <c r="G7888" s="10" t="str">
        <f ca="1">IFERROR(__xludf.DUMMYFUNCTION("""COMPUTED_VALUE"""),"Хр. Матанов, П. Делев, Ц. Каснакова, К. Мукарзел, Т. Рангелова")</f>
        <v>Хр. Матанов, П. Делев, Ц. Каснакова, К. Мукарзел, Т. Рангелова</v>
      </c>
      <c r="H7888" s="10"/>
      <c r="I7888" s="10"/>
      <c r="J7888" s="10"/>
      <c r="K7888" s="10"/>
      <c r="L7888" s="10"/>
      <c r="M7888" s="10"/>
      <c r="N7888" s="10"/>
      <c r="O7888" s="10"/>
      <c r="P7888" s="10"/>
      <c r="Q7888" s="10"/>
      <c r="R7888" s="10"/>
      <c r="S7888" s="10"/>
      <c r="T7888" s="10"/>
      <c r="U7888" s="10"/>
      <c r="V7888" s="10"/>
      <c r="W7888" s="10"/>
      <c r="X7888" s="10"/>
      <c r="Y7888" s="10"/>
      <c r="Z7888" s="10"/>
    </row>
    <row r="7889" spans="1:26" ht="12.75">
      <c r="A7889" s="10" t="str">
        <f ca="1">IFERROR(__xludf.DUMMYFUNCTION("""COMPUTED_VALUE"""),"Христо Луков Матанов")</f>
        <v>Христо Луков Матанов</v>
      </c>
      <c r="B7889" s="10" t="str">
        <f ca="1">IFERROR(__xludf.DUMMYFUNCTION("""COMPUTED_VALUE"""),"Учебник")</f>
        <v>Учебник</v>
      </c>
      <c r="C7889" s="10" t="str">
        <f ca="1">IFERROR(__xludf.DUMMYFUNCTION("""COMPUTED_VALUE"""),"История и цивилизации за пети клас")</f>
        <v>История и цивилизации за пети клас</v>
      </c>
      <c r="D7889" s="10">
        <f ca="1">IFERROR(__xludf.DUMMYFUNCTION("""COMPUTED_VALUE"""),2016)</f>
        <v>2016</v>
      </c>
      <c r="E7889" s="10" t="str">
        <f ca="1">IFERROR(__xludf.DUMMYFUNCTION("""COMPUTED_VALUE"""),"Хр. Матанов, П. Делев, Ц. Каснакова, К. Мукарзел, Т. Рангелова, История и цивилизации за пети клас , Анубис , София, ISBN 978-619-215-009-9 , Рецензирано")</f>
        <v>Хр. Матанов, П. Делев, Ц. Каснакова, К. Мукарзел, Т. Рангелова, История и цивилизации за пети клас , Анубис , София, ISBN 978-619-215-009-9 , Рецензирано</v>
      </c>
      <c r="F7889" s="10"/>
      <c r="G7889" s="10" t="str">
        <f ca="1">IFERROR(__xludf.DUMMYFUNCTION("""COMPUTED_VALUE"""),"Хр. Матанов, П. Делев, Ц. Каснакова, К. Мукарзел, Т. Рангелова")</f>
        <v>Хр. Матанов, П. Делев, Ц. Каснакова, К. Мукарзел, Т. Рангелова</v>
      </c>
      <c r="H7889" s="10"/>
      <c r="I7889" s="10"/>
      <c r="J7889" s="10"/>
      <c r="K7889" s="10"/>
      <c r="L7889" s="10"/>
      <c r="M7889" s="10"/>
      <c r="N7889" s="10"/>
      <c r="O7889" s="10"/>
      <c r="P7889" s="10"/>
      <c r="Q7889" s="10"/>
      <c r="R7889" s="10"/>
      <c r="S7889" s="10"/>
      <c r="T7889" s="10"/>
      <c r="U7889" s="10"/>
      <c r="V7889" s="10"/>
      <c r="W7889" s="10"/>
      <c r="X7889" s="10"/>
      <c r="Y7889" s="10"/>
      <c r="Z7889" s="10"/>
    </row>
    <row r="7890" spans="1:26" ht="12.75">
      <c r="A7890" s="10" t="str">
        <f ca="1">IFERROR(__xludf.DUMMYFUNCTION("""COMPUTED_VALUE"""),"Христо Луков Матанов")</f>
        <v>Христо Луков Матанов</v>
      </c>
      <c r="B7890" s="10" t="str">
        <f ca="1">IFERROR(__xludf.DUMMYFUNCTION("""COMPUTED_VALUE"""),"Статия в списания и поредици")</f>
        <v>Статия в списания и поредици</v>
      </c>
      <c r="C7890" s="10" t="str">
        <f ca="1">IFERROR(__xludf.DUMMYFUNCTION("""COMPUTED_VALUE"""),"Още за феномена ""Ивайло""")</f>
        <v>Още за феномена "Ивайло"</v>
      </c>
      <c r="D7890" s="10">
        <f ca="1">IFERROR(__xludf.DUMMYFUNCTION("""COMPUTED_VALUE"""),2016)</f>
        <v>2016</v>
      </c>
      <c r="E7890" s="10" t="str">
        <f ca="1">IFERROR(__xludf.DUMMYFUNCTION("""COMPUTED_VALUE"""),"Христо Матанов, Още за феномена ""Ивайло"", География и приятели. Сборник в чест на 60 годишнината на проф. д-р Веселин Бояджиев и на 35 години преподавателска работа в СУ ""Св. Климент Охридски"", 2016, стр.727-735")</f>
        <v>Христо Матанов, Още за феномена "Ивайло", География и приятели. Сборник в чест на 60 годишнината на проф. д-р Веселин Бояджиев и на 35 години преподавателска работа в СУ "Св. Климент Охридски", 2016, стр.727-735</v>
      </c>
      <c r="F7890" s="10"/>
      <c r="G7890" s="10" t="str">
        <f ca="1">IFERROR(__xludf.DUMMYFUNCTION("""COMPUTED_VALUE"""),"Христо Матанов")</f>
        <v>Христо Матанов</v>
      </c>
      <c r="H7890" s="10"/>
      <c r="I7890" s="10"/>
      <c r="J7890" s="10"/>
      <c r="K7890" s="10"/>
      <c r="L7890" s="10"/>
      <c r="M7890" s="10"/>
      <c r="N7890" s="10"/>
      <c r="O7890" s="10"/>
      <c r="P7890" s="10"/>
      <c r="Q7890" s="10"/>
      <c r="R7890" s="10"/>
      <c r="S7890" s="10"/>
      <c r="T7890" s="10"/>
      <c r="U7890" s="10"/>
      <c r="V7890" s="10"/>
      <c r="W7890" s="10"/>
      <c r="X7890" s="10"/>
      <c r="Y7890" s="10"/>
      <c r="Z7890" s="10"/>
    </row>
    <row r="7891" spans="1:26" ht="12.75">
      <c r="A7891" s="10" t="str">
        <f ca="1">IFERROR(__xludf.DUMMYFUNCTION("""COMPUTED_VALUE"""),"Христо Луков Матанов")</f>
        <v>Христо Луков Матанов</v>
      </c>
      <c r="B7891" s="10" t="str">
        <f ca="1">IFERROR(__xludf.DUMMYFUNCTION("""COMPUTED_VALUE"""),"Книга")</f>
        <v>Книга</v>
      </c>
      <c r="C7891" s="10" t="str">
        <f ca="1">IFERROR(__xludf.DUMMYFUNCTION("""COMPUTED_VALUE"""),"Ιστορια της Βουλγαριας")</f>
        <v>Ιστορια της Βουλγαριας</v>
      </c>
      <c r="D7891" s="10">
        <f ca="1">IFERROR(__xludf.DUMMYFUNCTION("""COMPUTED_VALUE"""),2016)</f>
        <v>2016</v>
      </c>
      <c r="E7891" s="10" t="str">
        <f ca="1">IFERROR(__xludf.DUMMYFUNCTION("""COMPUTED_VALUE"""),"Γκιοργκι Μπακαλοφ, Χριστο Ματανοφ, Πλαμεν Μιτεφ, Ιβαν Ιλτσεφ, Ρουμιανα Μαρινοβα-Χρηστιδη, Ιστορια της Βουλγαριας, Επικεντρο, Солун")</f>
        <v>Γκιοργκι Μπακαλοφ, Χριστο Ματανοφ, Πλαμεν Μιτεφ, Ιβαν Ιλτσεφ, Ρουμιανα Μαρινοβα-Χρηστιδη, Ιστορια της Βουλγαριας, Επικεντρο, Солун</v>
      </c>
      <c r="F7891" s="10"/>
      <c r="G7891" s="10" t="str">
        <f ca="1">IFERROR(__xludf.DUMMYFUNCTION("""COMPUTED_VALUE"""),"Γκιοργκι Μπακαλοφ, Χριστο Ματανοφ, Πλαμεν Μιτεφ, Ιβαν Ιλτσεφ, Ρουμιανα Μαρινοβα-Χρηστιδη")</f>
        <v>Γκιοργκι Μπακαλοφ, Χριστο Ματανοφ, Πλαμεν Μιτεφ, Ιβαν Ιλτσεφ, Ρουμιανα Μαρινοβα-Χρηστιδη</v>
      </c>
      <c r="H7891" s="10"/>
      <c r="I7891" s="10"/>
      <c r="J7891" s="10"/>
      <c r="K7891" s="10"/>
      <c r="L7891" s="10"/>
      <c r="M7891" s="10"/>
      <c r="N7891" s="10"/>
      <c r="O7891" s="10"/>
      <c r="P7891" s="10"/>
      <c r="Q7891" s="10"/>
      <c r="R7891" s="10"/>
      <c r="S7891" s="10"/>
      <c r="T7891" s="10"/>
      <c r="U7891" s="10"/>
      <c r="V7891" s="10"/>
      <c r="W7891" s="10"/>
      <c r="X7891" s="10"/>
      <c r="Y7891" s="10"/>
      <c r="Z7891" s="10"/>
    </row>
    <row r="7892" spans="1:26" ht="12.75">
      <c r="A7892" s="10" t="str">
        <f ca="1">IFERROR(__xludf.DUMMYFUNCTION("""COMPUTED_VALUE"""),"Христо Луков Матанов")</f>
        <v>Христо Луков Матанов</v>
      </c>
      <c r="B7892" s="10" t="str">
        <f ca="1">IFERROR(__xludf.DUMMYFUNCTION("""COMPUTED_VALUE"""),"Статия в списания и поредици")</f>
        <v>Статия в списания и поредици</v>
      </c>
      <c r="C7892" s="10" t="str">
        <f ca="1">IFERROR(__xludf.DUMMYFUNCTION("""COMPUTED_VALUE"""),"Добродетелите и пороците на ежедневието. Според съдебните решения на архиепископ Димитър Хоматиан")</f>
        <v>Добродетелите и пороците на ежедневието. Според съдебните решения на архиепископ Димитър Хоматиан</v>
      </c>
      <c r="D7892" s="10">
        <f ca="1">IFERROR(__xludf.DUMMYFUNCTION("""COMPUTED_VALUE"""),2016)</f>
        <v>2016</v>
      </c>
      <c r="E7892" s="10" t="str">
        <f ca="1">IFERROR(__xludf.DUMMYFUNCTION("""COMPUTED_VALUE"""),"Христо Матанов, Добродетелите и пороците на ежедневието. Според съдебните решения на архиепископ Димитър Хоматиан, Послания на историята. Юбилеен сборник в чест на проф. Мария Радева, издателство:УИ ""Св. Климент Охридски"", 2016, стр.197-204")</f>
        <v>Христо Матанов, Добродетелите и пороците на ежедневието. Според съдебните решения на архиепископ Димитър Хоматиан, Послания на историята. Юбилеен сборник в чест на проф. Мария Радева, издателство:УИ "Св. Климент Охридски", 2016, стр.197-204</v>
      </c>
      <c r="F7892" s="10"/>
      <c r="G7892" s="10" t="str">
        <f ca="1">IFERROR(__xludf.DUMMYFUNCTION("""COMPUTED_VALUE"""),"Христо Матанов")</f>
        <v>Христо Матанов</v>
      </c>
      <c r="H7892" s="10"/>
      <c r="I7892" s="10"/>
      <c r="J7892" s="10"/>
      <c r="K7892" s="10"/>
      <c r="L7892" s="10"/>
      <c r="M7892" s="10"/>
      <c r="N7892" s="10"/>
      <c r="O7892" s="10"/>
      <c r="P7892" s="10"/>
      <c r="Q7892" s="10"/>
      <c r="R7892" s="10"/>
      <c r="S7892" s="10"/>
      <c r="T7892" s="10"/>
      <c r="U7892" s="10"/>
      <c r="V7892" s="10"/>
      <c r="W7892" s="10"/>
      <c r="X7892" s="10"/>
      <c r="Y7892" s="10"/>
      <c r="Z7892" s="10"/>
    </row>
    <row r="7893" spans="1:26" ht="12.75">
      <c r="A7893" s="10" t="str">
        <f ca="1">IFERROR(__xludf.DUMMYFUNCTION("""COMPUTED_VALUE"""),"Христо Луков Матанов")</f>
        <v>Христо Луков Матанов</v>
      </c>
      <c r="B7893" s="10" t="str">
        <f ca="1">IFERROR(__xludf.DUMMYFUNCTION("""COMPUTED_VALUE"""),"Статия в списания и поредици")</f>
        <v>Статия в списания и поредици</v>
      </c>
      <c r="C7893" s="10" t="str">
        <f ca="1">IFERROR(__xludf.DUMMYFUNCTION("""COMPUTED_VALUE"""),"""Скорозрейно"" и ""нетрайно"" ли е българското развитие?")</f>
        <v>"Скорозрейно" и "нетрайно" ли е българското развитие?</v>
      </c>
      <c r="D7893" s="10">
        <f ca="1">IFERROR(__xludf.DUMMYFUNCTION("""COMPUTED_VALUE"""),2016)</f>
        <v>2016</v>
      </c>
      <c r="E7893" s="10" t="str">
        <f ca="1">IFERROR(__xludf.DUMMYFUNCTION("""COMPUTED_VALUE"""),"Христо Матанов, ""Скорозрейно"" и ""нетрайно"" ли е българското развитие?, Мултикултурният човек. Сборник в чест на проф. д.и.н. Кaмeн Гapeнoв (oтeц Пeтъp Гapeнa). Т.1, издателство:Гутенберг, 2016, стр.192-199")</f>
        <v>Христо Матанов, "Скорозрейно" и "нетрайно" ли е българското развитие?, Мултикултурният човек. Сборник в чест на проф. д.и.н. Кaмeн Гapeнoв (oтeц Пeтъp Гapeнa). Т.1, издателство:Гутенберг, 2016, стр.192-199</v>
      </c>
      <c r="F7893" s="10"/>
      <c r="G7893" s="10" t="str">
        <f ca="1">IFERROR(__xludf.DUMMYFUNCTION("""COMPUTED_VALUE"""),"Христо Матанов")</f>
        <v>Христо Матанов</v>
      </c>
      <c r="H7893" s="10"/>
      <c r="I7893" s="10"/>
      <c r="J7893" s="10"/>
      <c r="K7893" s="10"/>
      <c r="L7893" s="10"/>
      <c r="M7893" s="10"/>
      <c r="N7893" s="10"/>
      <c r="O7893" s="10"/>
      <c r="P7893" s="10"/>
      <c r="Q7893" s="10"/>
      <c r="R7893" s="10"/>
      <c r="S7893" s="10"/>
      <c r="T7893" s="10"/>
      <c r="U7893" s="10"/>
      <c r="V7893" s="10"/>
      <c r="W7893" s="10"/>
      <c r="X7893" s="10"/>
      <c r="Y7893" s="10"/>
      <c r="Z7893" s="10"/>
    </row>
    <row r="7894" spans="1:26" ht="12.75">
      <c r="A7894" s="10" t="str">
        <f ca="1">IFERROR(__xludf.DUMMYFUNCTION("""COMPUTED_VALUE"""),"Христо Луков Матанов")</f>
        <v>Христо Луков Матанов</v>
      </c>
      <c r="B7894" s="10" t="str">
        <f ca="1">IFERROR(__xludf.DUMMYFUNCTION("""COMPUTED_VALUE"""),"Книга")</f>
        <v>Книга</v>
      </c>
      <c r="C7894" s="10" t="str">
        <f ca="1">IFERROR(__xludf.DUMMYFUNCTION("""COMPUTED_VALUE"""),"Българи и турци")</f>
        <v>Българи и турци</v>
      </c>
      <c r="D7894" s="10">
        <f ca="1">IFERROR(__xludf.DUMMYFUNCTION("""COMPUTED_VALUE"""),2016)</f>
        <v>2016</v>
      </c>
      <c r="E7894" s="10" t="str">
        <f ca="1">IFERROR(__xludf.DUMMYFUNCTION("""COMPUTED_VALUE"""),"проф. Христо Матанов, проф. Валери Стоянов , проф. Пламен Митев, проф. Георги Бакалов, акад. Георги Марков, проф. Дойно Дойнов, проф. Евгения Калинова, проф. Искра Баева, проф. Илия Тодев, проф. Евгений Сачев, Българи и турци, Тангра-Танакра, София")</f>
        <v>проф. Христо Матанов, проф. Валери Стоянов , проф. Пламен Митев, проф. Георги Бакалов, акад. Георги Марков, проф. Дойно Дойнов, проф. Евгения Калинова, проф. Искра Баева, проф. Илия Тодев, проф. Евгений Сачев, Българи и турци, Тангра-Танакра, София</v>
      </c>
      <c r="F7894" s="10"/>
      <c r="G7894" s="10" t="str">
        <f ca="1">IFERROR(__xludf.DUMMYFUNCTION("""COMPUTED_VALUE"""),"проф. Христо Матанов, проф. Валери Стоянов , проф. Пламен Митев, проф. Георги Бакалов, акад. Георги Марков, проф. Дойно Дойнов, проф. Евгения Калинова, проф. Искра Баева, проф. Илия Тодев, проф. Евгений Сачев")</f>
        <v>проф. Христо Матанов, проф. Валери Стоянов , проф. Пламен Митев, проф. Георги Бакалов, акад. Георги Марков, проф. Дойно Дойнов, проф. Евгения Калинова, проф. Искра Баева, проф. Илия Тодев, проф. Евгений Сачев</v>
      </c>
      <c r="H7894" s="10"/>
      <c r="I7894" s="10"/>
      <c r="J7894" s="10"/>
      <c r="K7894" s="10"/>
      <c r="L7894" s="10"/>
      <c r="M7894" s="10"/>
      <c r="N7894" s="10"/>
      <c r="O7894" s="10"/>
      <c r="P7894" s="10"/>
      <c r="Q7894" s="10"/>
      <c r="R7894" s="10"/>
      <c r="S7894" s="10"/>
      <c r="T7894" s="10"/>
      <c r="U7894" s="10"/>
      <c r="V7894" s="10"/>
      <c r="W7894" s="10"/>
      <c r="X7894" s="10"/>
      <c r="Y7894" s="10"/>
      <c r="Z7894" s="10"/>
    </row>
    <row r="7895" spans="1:26" ht="12.75">
      <c r="A7895" s="10" t="str">
        <f ca="1">IFERROR(__xludf.DUMMYFUNCTION("""COMPUTED_VALUE"""),"Христо Луков Матанов")</f>
        <v>Христо Луков Матанов</v>
      </c>
      <c r="B7895" s="10" t="str">
        <f ca="1">IFERROR(__xludf.DUMMYFUNCTION("""COMPUTED_VALUE"""),"Книга")</f>
        <v>Книга</v>
      </c>
      <c r="C7895" s="10" t="str">
        <f ca="1">IFERROR(__xludf.DUMMYFUNCTION("""COMPUTED_VALUE"""),"Iσtopia thσ Boyλγapiασ")</f>
        <v>Iσtopia thσ Boyλγapiασ</v>
      </c>
      <c r="D7895" s="10">
        <f ca="1">IFERROR(__xludf.DUMMYFUNCTION("""COMPUTED_VALUE"""),2015)</f>
        <v>2015</v>
      </c>
      <c r="E7895" s="10" t="str">
        <f ca="1">IFERROR(__xludf.DUMMYFUNCTION("""COMPUTED_VALUE"""),"Ivan Ilchev, Georgi Bakalov, Christo Matanov, Plamen Mitev, Rumiana Marinova-Hristidi, Iσtopia thσ Boyλγapiασ, Eπικεητρο")</f>
        <v>Ivan Ilchev, Georgi Bakalov, Christo Matanov, Plamen Mitev, Rumiana Marinova-Hristidi, Iσtopia thσ Boyλγapiασ, Eπικεητρο</v>
      </c>
      <c r="F7895" s="10"/>
      <c r="G7895" s="10" t="str">
        <f ca="1">IFERROR(__xludf.DUMMYFUNCTION("""COMPUTED_VALUE"""),"Ivan Ilchev, Georgi Bakalov, Christo Matanov, Plamen Mitev, Rumiana Marinova-Hristidi")</f>
        <v>Ivan Ilchev, Georgi Bakalov, Christo Matanov, Plamen Mitev, Rumiana Marinova-Hristidi</v>
      </c>
      <c r="H7895" s="10"/>
      <c r="I7895" s="10"/>
      <c r="J7895" s="10"/>
      <c r="K7895" s="10"/>
      <c r="L7895" s="10"/>
      <c r="M7895" s="10"/>
      <c r="N7895" s="10"/>
      <c r="O7895" s="10"/>
      <c r="P7895" s="10"/>
      <c r="Q7895" s="10"/>
      <c r="R7895" s="10"/>
      <c r="S7895" s="10"/>
      <c r="T7895" s="10"/>
      <c r="U7895" s="10"/>
      <c r="V7895" s="10"/>
      <c r="W7895" s="10"/>
      <c r="X7895" s="10"/>
      <c r="Y7895" s="10"/>
      <c r="Z7895" s="10"/>
    </row>
    <row r="7896" spans="1:26" ht="12.75">
      <c r="A7896" s="10" t="str">
        <f ca="1">IFERROR(__xludf.DUMMYFUNCTION("""COMPUTED_VALUE"""),"Христо Луков Матанов")</f>
        <v>Христо Луков Матанов</v>
      </c>
      <c r="B7896" s="10" t="str">
        <f ca="1">IFERROR(__xludf.DUMMYFUNCTION("""COMPUTED_VALUE"""),"Книга")</f>
        <v>Книга</v>
      </c>
      <c r="C7896" s="10" t="str">
        <f ca="1">IFERROR(__xludf.DUMMYFUNCTION("""COMPUTED_VALUE"""),"В търсене на средновековното време. Неравният път на българите (VII - XV в.)")</f>
        <v>В търсене на средновековното време. Неравният път на българите (VII - XV в.)</v>
      </c>
      <c r="D7896" s="10">
        <f ca="1">IFERROR(__xludf.DUMMYFUNCTION("""COMPUTED_VALUE"""),2014)</f>
        <v>2014</v>
      </c>
      <c r="E7896" s="10" t="str">
        <f ca="1">IFERROR(__xludf.DUMMYFUNCTION("""COMPUTED_VALUE"""),"Христо Матанов, В търсене на средновековното време. Неравният път на българите (VII - XV в.) , Гутенберг, София")</f>
        <v>Христо Матанов, В търсене на средновековното време. Неравният път на българите (VII - XV в.) , Гутенберг, София</v>
      </c>
      <c r="F7896" s="10"/>
      <c r="G7896" s="10" t="str">
        <f ca="1">IFERROR(__xludf.DUMMYFUNCTION("""COMPUTED_VALUE"""),"Христо Матанов")</f>
        <v>Христо Матанов</v>
      </c>
      <c r="H7896" s="10"/>
      <c r="I7896" s="10"/>
      <c r="J7896" s="10"/>
      <c r="K7896" s="10"/>
      <c r="L7896" s="10"/>
      <c r="M7896" s="10"/>
      <c r="N7896" s="10"/>
      <c r="O7896" s="10"/>
      <c r="P7896" s="10"/>
      <c r="Q7896" s="10"/>
      <c r="R7896" s="10"/>
      <c r="S7896" s="10"/>
      <c r="T7896" s="10"/>
      <c r="U7896" s="10"/>
      <c r="V7896" s="10"/>
      <c r="W7896" s="10"/>
      <c r="X7896" s="10"/>
      <c r="Y7896" s="10"/>
      <c r="Z7896" s="10"/>
    </row>
    <row r="7897" spans="1:26" ht="12.75">
      <c r="A7897" s="10" t="str">
        <f ca="1">IFERROR(__xludf.DUMMYFUNCTION("""COMPUTED_VALUE"""),"Христо Луков Матанов")</f>
        <v>Христо Луков Матанов</v>
      </c>
      <c r="B7897" s="10" t="str">
        <f ca="1">IFERROR(__xludf.DUMMYFUNCTION("""COMPUTED_VALUE"""),"Статия в списания и поредици")</f>
        <v>Статия в списания и поредици</v>
      </c>
      <c r="C7897" s="10" t="str">
        <f ca="1">IFERROR(__xludf.DUMMYFUNCTION("""COMPUTED_VALUE"""),"Още по въпроса за “селджукското преселение” в Добруджа през 60-те години на XIII век.")</f>
        <v>Още по въпроса за “селджукското преселение” в Добруджа през 60-те години на XIII век.</v>
      </c>
      <c r="D7897" s="10">
        <f ca="1">IFERROR(__xludf.DUMMYFUNCTION("""COMPUTED_VALUE"""),2013)</f>
        <v>2013</v>
      </c>
      <c r="E7897" s="10" t="str">
        <f ca="1">IFERROR(__xludf.DUMMYFUNCTION("""COMPUTED_VALUE"""),"Българско средновековие: общество, власт, история. Сборник в чест на проф. д-р Милияна Каймакамова, УИ “Св. Климент Охридски”, С., 2013, 373-384.")</f>
        <v>Българско средновековие: общество, власт, история. Сборник в чест на проф. д-р Милияна Каймакамова, УИ “Св. Климент Охридски”, С., 2013, 373-384.</v>
      </c>
      <c r="F7897" s="10"/>
      <c r="G7897" s="10"/>
      <c r="H7897" s="10"/>
      <c r="I7897" s="10"/>
      <c r="J7897" s="10"/>
      <c r="K7897" s="10"/>
      <c r="L7897" s="10"/>
      <c r="M7897" s="10"/>
      <c r="N7897" s="10"/>
      <c r="O7897" s="10"/>
      <c r="P7897" s="10"/>
      <c r="Q7897" s="10"/>
      <c r="R7897" s="10"/>
      <c r="S7897" s="10"/>
      <c r="T7897" s="10"/>
      <c r="U7897" s="10"/>
      <c r="V7897" s="10"/>
      <c r="W7897" s="10"/>
      <c r="X7897" s="10"/>
      <c r="Y7897" s="10"/>
      <c r="Z7897" s="10"/>
    </row>
    <row r="7898" spans="1:26" ht="12.75">
      <c r="A7898" s="10" t="str">
        <f ca="1">IFERROR(__xludf.DUMMYFUNCTION("""COMPUTED_VALUE"""),"Христо Луков Матанов")</f>
        <v>Христо Луков Матанов</v>
      </c>
      <c r="B7898" s="10" t="str">
        <f ca="1">IFERROR(__xludf.DUMMYFUNCTION("""COMPUTED_VALUE"""),"Доклад от конференция")</f>
        <v>Доклад от конференция</v>
      </c>
      <c r="C7898" s="10" t="str">
        <f ca="1">IFERROR(__xludf.DUMMYFUNCTION("""COMPUTED_VALUE"""),"Факти и легенди за цар Иван Шишман")</f>
        <v>Факти и легенди за цар Иван Шишман</v>
      </c>
      <c r="D7898" s="10">
        <f ca="1">IFERROR(__xludf.DUMMYFUNCTION("""COMPUTED_VALUE"""),2013)</f>
        <v>2013</v>
      </c>
      <c r="E7898" s="10" t="str">
        <f ca="1">IFERROR(__xludf.DUMMYFUNCTION("""COMPUTED_VALUE"""),"Христо Матанов, Факти и легенди за цар Иван Шишман, Власт и моh. Властела Моравска Србиjе од 1365. -до 1402 године., Сърбия 2013")</f>
        <v>Христо Матанов, Факти и легенди за цар Иван Шишман, Власт и моh. Властела Моравска Србиjе од 1365. -до 1402 године., Сърбия 2013</v>
      </c>
      <c r="F7898" s="10"/>
      <c r="G7898" s="10" t="str">
        <f ca="1">IFERROR(__xludf.DUMMYFUNCTION("""COMPUTED_VALUE"""),"Христо Матанов")</f>
        <v>Христо Матанов</v>
      </c>
      <c r="H7898" s="10"/>
      <c r="I7898" s="10"/>
      <c r="J7898" s="10"/>
      <c r="K7898" s="10"/>
      <c r="L7898" s="10"/>
      <c r="M7898" s="10"/>
      <c r="N7898" s="10"/>
      <c r="O7898" s="10"/>
      <c r="P7898" s="10"/>
      <c r="Q7898" s="10"/>
      <c r="R7898" s="10"/>
      <c r="S7898" s="10"/>
      <c r="T7898" s="10"/>
      <c r="U7898" s="10"/>
      <c r="V7898" s="10"/>
      <c r="W7898" s="10"/>
      <c r="X7898" s="10"/>
      <c r="Y7898" s="10"/>
      <c r="Z7898" s="10"/>
    </row>
    <row r="7899" spans="1:26" ht="12.75">
      <c r="A7899" s="10" t="str">
        <f ca="1">IFERROR(__xludf.DUMMYFUNCTION("""COMPUTED_VALUE"""),"Христо Луков Матанов")</f>
        <v>Христо Луков Матанов</v>
      </c>
      <c r="B7899" s="10" t="str">
        <f ca="1">IFERROR(__xludf.DUMMYFUNCTION("""COMPUTED_VALUE"""),"Статия в списания и поредици")</f>
        <v>Статия в списания и поредици</v>
      </c>
      <c r="C7899" s="10" t="str">
        <f ca="1">IFERROR(__xludf.DUMMYFUNCTION("""COMPUTED_VALUE"""),"Continuity and Change in Southeastern Europe 14-16 C. The Mediterranean")</f>
        <v>Continuity and Change in Southeastern Europe 14-16 C. The Mediterranean</v>
      </c>
      <c r="D7899" s="10">
        <f ca="1">IFERROR(__xludf.DUMMYFUNCTION("""COMPUTED_VALUE"""),2012)</f>
        <v>2012</v>
      </c>
      <c r="E7899" s="10" t="str">
        <f ca="1">IFERROR(__xludf.DUMMYFUNCTION("""COMPUTED_VALUE"""),"Christo Matanov, Continuity and Change in Southeastern Europe 14-16 C. The Mediterranean, Сборник с материали за обучение в магистърска програма “Средиземноморие” – Малта , 2012")</f>
        <v>Christo Matanov, Continuity and Change in Southeastern Europe 14-16 C. The Mediterranean, Сборник с материали за обучение в магистърска програма “Средиземноморие” – Малта , 2012</v>
      </c>
      <c r="F7899" s="10"/>
      <c r="G7899" s="10" t="str">
        <f ca="1">IFERROR(__xludf.DUMMYFUNCTION("""COMPUTED_VALUE"""),"Christo Matanov")</f>
        <v>Christo Matanov</v>
      </c>
      <c r="H7899" s="10"/>
      <c r="I7899" s="10"/>
      <c r="J7899" s="10"/>
      <c r="K7899" s="10"/>
      <c r="L7899" s="10"/>
      <c r="M7899" s="10"/>
      <c r="N7899" s="10"/>
      <c r="O7899" s="10"/>
      <c r="P7899" s="10"/>
      <c r="Q7899" s="10"/>
      <c r="R7899" s="10"/>
      <c r="S7899" s="10"/>
      <c r="T7899" s="10"/>
      <c r="U7899" s="10"/>
      <c r="V7899" s="10"/>
      <c r="W7899" s="10"/>
      <c r="X7899" s="10"/>
      <c r="Y7899" s="10"/>
      <c r="Z7899" s="10"/>
    </row>
    <row r="7900" spans="1:26" ht="12.75">
      <c r="A7900" s="10" t="str">
        <f ca="1">IFERROR(__xludf.DUMMYFUNCTION("""COMPUTED_VALUE"""),"Христо Луков Матанов")</f>
        <v>Христо Луков Матанов</v>
      </c>
      <c r="B7900" s="10" t="str">
        <f ca="1">IFERROR(__xludf.DUMMYFUNCTION("""COMPUTED_VALUE"""),"Учебник")</f>
        <v>Учебник</v>
      </c>
      <c r="C7900" s="10" t="str">
        <f ca="1">IFERROR(__xludf.DUMMYFUNCTION("""COMPUTED_VALUE"""),"Исторически атлас на Югоизточна Европа")</f>
        <v>Исторически атлас на Югоизточна Европа</v>
      </c>
      <c r="D7900" s="10">
        <f ca="1">IFERROR(__xludf.DUMMYFUNCTION("""COMPUTED_VALUE"""),2012)</f>
        <v>2012</v>
      </c>
      <c r="E7900" s="10" t="str">
        <f ca="1">IFERROR(__xludf.DUMMYFUNCTION("""COMPUTED_VALUE"""),"Христо Матанов, Мария Баръмова, Владимир Станев, Исторически атлас на Югоизточна Европа, Датамап, София")</f>
        <v>Христо Матанов, Мария Баръмова, Владимир Станев, Исторически атлас на Югоизточна Европа, Датамап, София</v>
      </c>
      <c r="F7900" s="10"/>
      <c r="G7900" s="10" t="str">
        <f ca="1">IFERROR(__xludf.DUMMYFUNCTION("""COMPUTED_VALUE"""),"Христо Матанов, Мария Баръмова, Владимир Станев")</f>
        <v>Христо Матанов, Мария Баръмова, Владимир Станев</v>
      </c>
      <c r="H7900" s="10"/>
      <c r="I7900" s="10"/>
      <c r="J7900" s="10"/>
      <c r="K7900" s="10"/>
      <c r="L7900" s="10"/>
      <c r="M7900" s="10"/>
      <c r="N7900" s="10"/>
      <c r="O7900" s="10"/>
      <c r="P7900" s="10"/>
      <c r="Q7900" s="10"/>
      <c r="R7900" s="10"/>
      <c r="S7900" s="10"/>
      <c r="T7900" s="10"/>
      <c r="U7900" s="10"/>
      <c r="V7900" s="10"/>
      <c r="W7900" s="10"/>
      <c r="X7900" s="10"/>
      <c r="Y7900" s="10"/>
      <c r="Z7900" s="10"/>
    </row>
    <row r="7901" spans="1:26" ht="12.75">
      <c r="A7901" s="10" t="str">
        <f ca="1">IFERROR(__xludf.DUMMYFUNCTION("""COMPUTED_VALUE"""),"Христо Луков Матанов")</f>
        <v>Христо Луков Матанов</v>
      </c>
      <c r="B7901" s="10" t="str">
        <f ca="1">IFERROR(__xludf.DUMMYFUNCTION("""COMPUTED_VALUE"""),"Учебник")</f>
        <v>Учебник</v>
      </c>
      <c r="C7901" s="10" t="str">
        <f ca="1">IFERROR(__xludf.DUMMYFUNCTION("""COMPUTED_VALUE"""),"Исторически атлас на Югоизточна Европа.")</f>
        <v>Исторически атлас на Югоизточна Европа.</v>
      </c>
      <c r="D7901" s="10">
        <f ca="1">IFERROR(__xludf.DUMMYFUNCTION("""COMPUTED_VALUE"""),2012)</f>
        <v>2012</v>
      </c>
      <c r="E7901" s="10" t="str">
        <f ca="1">IFERROR(__xludf.DUMMYFUNCTION("""COMPUTED_VALUE"""),"Христо Матанов, Мария Баръмова, Владимир Станев, Теменужка Бандрова, Исторически атлас на Югоизточна Европа. 
 , ISBN:978-954-519-044-5, Датамап, София")</f>
        <v>Христо Матанов, Мария Баръмова, Владимир Станев, Теменужка Бандрова, Исторически атлас на Югоизточна Европа. 
 , ISBN:978-954-519-044-5, Датамап, София</v>
      </c>
      <c r="F7901" s="10"/>
      <c r="G7901" s="10" t="str">
        <f ca="1">IFERROR(__xludf.DUMMYFUNCTION("""COMPUTED_VALUE"""),"Христо Матанов, Мария Баръмова, Владимир Станев, Теменужка Бандрова")</f>
        <v>Христо Матанов, Мария Баръмова, Владимир Станев, Теменужка Бандрова</v>
      </c>
      <c r="H7901" s="10"/>
      <c r="I7901" s="10"/>
      <c r="J7901" s="10"/>
      <c r="K7901" s="10"/>
      <c r="L7901" s="10"/>
      <c r="M7901" s="10"/>
      <c r="N7901" s="10"/>
      <c r="O7901" s="10"/>
      <c r="P7901" s="10"/>
      <c r="Q7901" s="10"/>
      <c r="R7901" s="10"/>
      <c r="S7901" s="10"/>
      <c r="T7901" s="10"/>
      <c r="U7901" s="10"/>
      <c r="V7901" s="10"/>
      <c r="W7901" s="10"/>
      <c r="X7901" s="10"/>
      <c r="Y7901" s="10"/>
      <c r="Z7901" s="10"/>
    </row>
    <row r="7902" spans="1:26" ht="12.75">
      <c r="A7902" s="10" t="str">
        <f ca="1">IFERROR(__xludf.DUMMYFUNCTION("""COMPUTED_VALUE"""),"Христо Луков Матанов")</f>
        <v>Христо Луков Матанов</v>
      </c>
      <c r="B7902" s="10" t="str">
        <f ca="1">IFERROR(__xludf.DUMMYFUNCTION("""COMPUTED_VALUE"""),"Статия в списания и поредици")</f>
        <v>Статия в списания и поредици</v>
      </c>
      <c r="C7902" s="10" t="str">
        <f ca="1">IFERROR(__xludf.DUMMYFUNCTION("""COMPUTED_VALUE"""),"България в първите години (1257-1265) от управлението на цар Константин Тих Асен.")</f>
        <v>България в първите години (1257-1265) от управлението на цар Константин Тих Асен.</v>
      </c>
      <c r="D7902" s="10">
        <f ca="1">IFERROR(__xludf.DUMMYFUNCTION("""COMPUTED_VALUE"""),2011)</f>
        <v>2011</v>
      </c>
      <c r="E7902" s="10" t="str">
        <f ca="1">IFERROR(__xludf.DUMMYFUNCTION("""COMPUTED_VALUE"""),"Боянската църква между Изтока и Запада в изкуството на християнска Европа, изд. Национален исторически музей, С., 2011, 9-15.")</f>
        <v>Боянската църква между Изтока и Запада в изкуството на християнска Европа, изд. Национален исторически музей, С., 2011, 9-15.</v>
      </c>
      <c r="F7902" s="10"/>
      <c r="G7902" s="10"/>
      <c r="H7902" s="10"/>
      <c r="I7902" s="10"/>
      <c r="J7902" s="10"/>
      <c r="K7902" s="10"/>
      <c r="L7902" s="10"/>
      <c r="M7902" s="10"/>
      <c r="N7902" s="10"/>
      <c r="O7902" s="10"/>
      <c r="P7902" s="10"/>
      <c r="Q7902" s="10"/>
      <c r="R7902" s="10"/>
      <c r="S7902" s="10"/>
      <c r="T7902" s="10"/>
      <c r="U7902" s="10"/>
      <c r="V7902" s="10"/>
      <c r="W7902" s="10"/>
      <c r="X7902" s="10"/>
      <c r="Y7902" s="10"/>
      <c r="Z7902" s="10"/>
    </row>
    <row r="7903" spans="1:26" ht="12.75">
      <c r="A7903" s="10" t="str">
        <f ca="1">IFERROR(__xludf.DUMMYFUNCTION("""COMPUTED_VALUE"""),"Христо Луков Матанов")</f>
        <v>Христо Луков Матанов</v>
      </c>
      <c r="B7903" s="10" t="str">
        <f ca="1">IFERROR(__xludf.DUMMYFUNCTION("""COMPUTED_VALUE"""),"Статия в списания и поредици")</f>
        <v>Статия в списания и поредици</v>
      </c>
      <c r="C7903" s="10" t="str">
        <f ca="1">IFERROR(__xludf.DUMMYFUNCTION("""COMPUTED_VALUE"""),"The relations between the Ottoman conquerors and the Balkan states in the 1370s-1380s: typological aspects.")</f>
        <v>The relations between the Ottoman conquerors and the Balkan states in the 1370s-1380s: typological aspects.</v>
      </c>
      <c r="D7903" s="10">
        <f ca="1">IFERROR(__xludf.DUMMYFUNCTION("""COMPUTED_VALUE"""),2011)</f>
        <v>2011</v>
      </c>
      <c r="E7903" s="10" t="str">
        <f ca="1">IFERROR(__xludf.DUMMYFUNCTION("""COMPUTED_VALUE"""),"State and Church: Studies in medieval Bulgaria and Byzantium, American research center in Sofia, 2011, 83-91.")</f>
        <v>State and Church: Studies in medieval Bulgaria and Byzantium, American research center in Sofia, 2011, 83-91.</v>
      </c>
      <c r="F7903" s="10"/>
      <c r="G7903" s="10"/>
      <c r="H7903" s="10"/>
      <c r="I7903" s="10"/>
      <c r="J7903" s="10"/>
      <c r="K7903" s="10"/>
      <c r="L7903" s="10"/>
      <c r="M7903" s="10"/>
      <c r="N7903" s="10"/>
      <c r="O7903" s="10"/>
      <c r="P7903" s="10"/>
      <c r="Q7903" s="10"/>
      <c r="R7903" s="10"/>
      <c r="S7903" s="10"/>
      <c r="T7903" s="10"/>
      <c r="U7903" s="10"/>
      <c r="V7903" s="10"/>
      <c r="W7903" s="10"/>
      <c r="X7903" s="10"/>
      <c r="Y7903" s="10"/>
      <c r="Z7903" s="10"/>
    </row>
    <row r="7904" spans="1:26" ht="12.75">
      <c r="A7904" s="10" t="str">
        <f ca="1">IFERROR(__xludf.DUMMYFUNCTION("""COMPUTED_VALUE"""),"Христо Луков Матанов")</f>
        <v>Христо Луков Матанов</v>
      </c>
      <c r="B7904" s="10" t="str">
        <f ca="1">IFERROR(__xludf.DUMMYFUNCTION("""COMPUTED_VALUE"""),"Статия в списания и поредици")</f>
        <v>Статия в списания и поредици</v>
      </c>
      <c r="C7904" s="10" t="str">
        <f ca="1">IFERROR(__xludf.DUMMYFUNCTION("""COMPUTED_VALUE"""),"Battle of the Bosnian Highlands; Battle of Prinitza; Battle of Torvioli; Battle of Ujebardha; Vlach")</f>
        <v>Battle of the Bosnian Highlands; Battle of Prinitza; Battle of Torvioli; Battle of Ujebardha; Vlach</v>
      </c>
      <c r="D7904" s="10">
        <f ca="1">IFERROR(__xludf.DUMMYFUNCTION("""COMPUTED_VALUE"""),2010)</f>
        <v>2010</v>
      </c>
      <c r="E7904" s="10" t="str">
        <f ca="1">IFERROR(__xludf.DUMMYFUNCTION("""COMPUTED_VALUE"""),"The Oxford Encyclopaedia of Medieval Warfare and Military Technology, ed. Clifford Rogers, vol. 1, Oxford University Press, 2010")</f>
        <v>The Oxford Encyclopaedia of Medieval Warfare and Military Technology, ed. Clifford Rogers, vol. 1, Oxford University Press, 2010</v>
      </c>
      <c r="F7904" s="10"/>
      <c r="G7904" s="10"/>
      <c r="H7904" s="10"/>
      <c r="I7904" s="10"/>
      <c r="J7904" s="10"/>
      <c r="K7904" s="10"/>
      <c r="L7904" s="10"/>
      <c r="M7904" s="10"/>
      <c r="N7904" s="10"/>
      <c r="O7904" s="10"/>
      <c r="P7904" s="10"/>
      <c r="Q7904" s="10"/>
      <c r="R7904" s="10"/>
      <c r="S7904" s="10"/>
      <c r="T7904" s="10"/>
      <c r="U7904" s="10"/>
      <c r="V7904" s="10"/>
      <c r="W7904" s="10"/>
      <c r="X7904" s="10"/>
      <c r="Y7904" s="10"/>
      <c r="Z7904" s="10"/>
    </row>
    <row r="7905" spans="1:26" ht="12.75">
      <c r="A7905" s="10" t="str">
        <f ca="1">IFERROR(__xludf.DUMMYFUNCTION("""COMPUTED_VALUE"""),"Христо Луков Матанов")</f>
        <v>Христо Луков Матанов</v>
      </c>
      <c r="B7905" s="10" t="str">
        <f ca="1">IFERROR(__xludf.DUMMYFUNCTION("""COMPUTED_VALUE"""),"Учебник")</f>
        <v>Учебник</v>
      </c>
      <c r="C7905" s="10" t="str">
        <f ca="1">IFERROR(__xludf.DUMMYFUNCTION("""COMPUTED_VALUE"""),"История и цивилизация за 8 клас. Учебно пособие")</f>
        <v>История и цивилизация за 8 клас. Учебно пособие</v>
      </c>
      <c r="D7905" s="10">
        <f ca="1">IFERROR(__xludf.DUMMYFUNCTION("""COMPUTED_VALUE"""),2009)</f>
        <v>2009</v>
      </c>
      <c r="E7905" s="10" t="str">
        <f ca="1">IFERROR(__xludf.DUMMYFUNCTION("""COMPUTED_VALUE"""),"Христо Матанов, Галя Рангелова, История и цивилизация за 8 клас. Учебно пособие, Ануис, София")</f>
        <v>Христо Матанов, Галя Рангелова, История и цивилизация за 8 клас. Учебно пособие, Ануис, София</v>
      </c>
      <c r="F7905" s="10"/>
      <c r="G7905" s="10" t="str">
        <f ca="1">IFERROR(__xludf.DUMMYFUNCTION("""COMPUTED_VALUE"""),"Христо Матанов, Галя Рангелова")</f>
        <v>Христо Матанов, Галя Рангелова</v>
      </c>
      <c r="H7905" s="10"/>
      <c r="I7905" s="10"/>
      <c r="J7905" s="10"/>
      <c r="K7905" s="10"/>
      <c r="L7905" s="10"/>
      <c r="M7905" s="10"/>
      <c r="N7905" s="10"/>
      <c r="O7905" s="10"/>
      <c r="P7905" s="10"/>
      <c r="Q7905" s="10"/>
      <c r="R7905" s="10"/>
      <c r="S7905" s="10"/>
      <c r="T7905" s="10"/>
      <c r="U7905" s="10"/>
      <c r="V7905" s="10"/>
      <c r="W7905" s="10"/>
      <c r="X7905" s="10"/>
      <c r="Y7905" s="10"/>
      <c r="Z7905" s="10"/>
    </row>
    <row r="7906" spans="1:26" ht="12.75">
      <c r="A7906" s="10" t="str">
        <f ca="1">IFERROR(__xludf.DUMMYFUNCTION("""COMPUTED_VALUE"""),"Христо Луков Матанов")</f>
        <v>Христо Луков Матанов</v>
      </c>
      <c r="B7906" s="10" t="str">
        <f ca="1">IFERROR(__xludf.DUMMYFUNCTION("""COMPUTED_VALUE"""),"Статия в списания и поредици")</f>
        <v>Статия в списания и поредици</v>
      </c>
      <c r="C7906" s="10" t="str">
        <f ca="1">IFERROR(__xludf.DUMMYFUNCTION("""COMPUTED_VALUE"""),"Градове и градски живот в Кюстендилски санджак през 16 век")</f>
        <v>Градове и градски живот в Кюстендилски санджак през 16 век</v>
      </c>
      <c r="D7906" s="10">
        <f ca="1">IFERROR(__xludf.DUMMYFUNCTION("""COMPUTED_VALUE"""),2008)</f>
        <v>2008</v>
      </c>
      <c r="E7906" s="10" t="str">
        <f ca="1">IFERROR(__xludf.DUMMYFUNCTION("""COMPUTED_VALUE"""),"Известия на исторически музей Кюстендил, том 16, 2008, 9-18.")</f>
        <v>Известия на исторически музей Кюстендил, том 16, 2008, 9-18.</v>
      </c>
      <c r="F7906" s="10"/>
      <c r="G7906" s="10"/>
      <c r="H7906" s="10"/>
      <c r="I7906" s="10"/>
      <c r="J7906" s="10"/>
      <c r="K7906" s="10"/>
      <c r="L7906" s="10"/>
      <c r="M7906" s="10"/>
      <c r="N7906" s="10"/>
      <c r="O7906" s="10"/>
      <c r="P7906" s="10"/>
      <c r="Q7906" s="10"/>
      <c r="R7906" s="10"/>
      <c r="S7906" s="10"/>
      <c r="T7906" s="10"/>
      <c r="U7906" s="10"/>
      <c r="V7906" s="10"/>
      <c r="W7906" s="10"/>
      <c r="X7906" s="10"/>
      <c r="Y7906" s="10"/>
      <c r="Z7906" s="10"/>
    </row>
    <row r="7907" spans="1:26" ht="12.75">
      <c r="A7907" s="10" t="str">
        <f ca="1">IFERROR(__xludf.DUMMYFUNCTION("""COMPUTED_VALUE"""),"Христо Луков Матанов")</f>
        <v>Христо Луков Матанов</v>
      </c>
      <c r="B7907" s="10" t="str">
        <f ca="1">IFERROR(__xludf.DUMMYFUNCTION("""COMPUTED_VALUE"""),"Статия в списания и поредици")</f>
        <v>Статия в списания и поредици</v>
      </c>
      <c r="C7907" s="10" t="str">
        <f ca="1">IFERROR(__xludf.DUMMYFUNCTION("""COMPUTED_VALUE"""),"Типология на средновековна България.")</f>
        <v>Типология на средновековна България.</v>
      </c>
      <c r="D7907" s="10">
        <f ca="1">IFERROR(__xludf.DUMMYFUNCTION("""COMPUTED_VALUE"""),2008)</f>
        <v>2008</v>
      </c>
      <c r="E7907" s="10" t="str">
        <f ca="1">IFERROR(__xludf.DUMMYFUNCTION("""COMPUTED_VALUE"""),"Университетски четения и изследвания по българска история. IV Международен семинар, Смолян, 11-13 май 2006 г. С., УИ “Св. Кл. Охридски”, 2008, 83-87.")</f>
        <v>Университетски четения и изследвания по българска история. IV Международен семинар, Смолян, 11-13 май 2006 г. С., УИ “Св. Кл. Охридски”, 2008, 83-87.</v>
      </c>
      <c r="F7907" s="10"/>
      <c r="G7907" s="10"/>
      <c r="H7907" s="10"/>
      <c r="I7907" s="10"/>
      <c r="J7907" s="10"/>
      <c r="K7907" s="10"/>
      <c r="L7907" s="10"/>
      <c r="M7907" s="10"/>
      <c r="N7907" s="10"/>
      <c r="O7907" s="10"/>
      <c r="P7907" s="10"/>
      <c r="Q7907" s="10"/>
      <c r="R7907" s="10"/>
      <c r="S7907" s="10"/>
      <c r="T7907" s="10"/>
      <c r="U7907" s="10"/>
      <c r="V7907" s="10"/>
      <c r="W7907" s="10"/>
      <c r="X7907" s="10"/>
      <c r="Y7907" s="10"/>
      <c r="Z7907" s="10"/>
    </row>
    <row r="7908" spans="1:26" ht="12.75">
      <c r="A7908" s="10" t="str">
        <f ca="1">IFERROR(__xludf.DUMMYFUNCTION("""COMPUTED_VALUE"""),"Христо Луков Матанов")</f>
        <v>Христо Луков Матанов</v>
      </c>
      <c r="B7908" s="10" t="str">
        <f ca="1">IFERROR(__xludf.DUMMYFUNCTION("""COMPUTED_VALUE"""),"Статия в списания и поредици")</f>
        <v>Статия в списания и поредици</v>
      </c>
      <c r="C7908" s="10" t="str">
        <f ca="1">IFERROR(__xludf.DUMMYFUNCTION("""COMPUTED_VALUE"""),"Походите от 1443-1444 г.: угаснали надежди.")</f>
        <v>Походите от 1443-1444 г.: угаснали надежди.</v>
      </c>
      <c r="D7908" s="10">
        <f ca="1">IFERROR(__xludf.DUMMYFUNCTION("""COMPUTED_VALUE"""),2008)</f>
        <v>2008</v>
      </c>
      <c r="E7908" s="10" t="str">
        <f ca="1">IFERROR(__xludf.DUMMYFUNCTION("""COMPUTED_VALUE"""),"От Никопол до Виена 1396-1683. С., Свят Наука, 2008, 33-38")</f>
        <v>От Никопол до Виена 1396-1683. С., Свят Наука, 2008, 33-38</v>
      </c>
      <c r="F7908" s="10"/>
      <c r="G7908" s="10"/>
      <c r="H7908" s="10"/>
      <c r="I7908" s="10"/>
      <c r="J7908" s="10"/>
      <c r="K7908" s="10"/>
      <c r="L7908" s="10"/>
      <c r="M7908" s="10"/>
      <c r="N7908" s="10"/>
      <c r="O7908" s="10"/>
      <c r="P7908" s="10"/>
      <c r="Q7908" s="10"/>
      <c r="R7908" s="10"/>
      <c r="S7908" s="10"/>
      <c r="T7908" s="10"/>
      <c r="U7908" s="10"/>
      <c r="V7908" s="10"/>
      <c r="W7908" s="10"/>
      <c r="X7908" s="10"/>
      <c r="Y7908" s="10"/>
      <c r="Z7908" s="10"/>
    </row>
    <row r="7909" spans="1:26" ht="12.75">
      <c r="A7909" s="10" t="str">
        <f ca="1">IFERROR(__xludf.DUMMYFUNCTION("""COMPUTED_VALUE"""),"Христо Луков Матанов")</f>
        <v>Христо Луков Матанов</v>
      </c>
      <c r="B7909" s="10" t="str">
        <f ca="1">IFERROR(__xludf.DUMMYFUNCTION("""COMPUTED_VALUE"""),"Статия в списания и поредици")</f>
        <v>Статия в списания и поредици</v>
      </c>
      <c r="C7909" s="10" t="str">
        <f ca="1">IFERROR(__xludf.DUMMYFUNCTION("""COMPUTED_VALUE"""),"Проблеми пред Българската православна църква днес")</f>
        <v>Проблеми пред Българската православна църква днес</v>
      </c>
      <c r="D7909" s="10">
        <f ca="1">IFERROR(__xludf.DUMMYFUNCTION("""COMPUTED_VALUE"""),2007)</f>
        <v>2007</v>
      </c>
      <c r="E7909" s="10" t="str">
        <f ca="1">IFERROR(__xludf.DUMMYFUNCTION("""COMPUTED_VALUE"""),"Християнство и култура, 2007, № 1, 41-46.")</f>
        <v>Християнство и култура, 2007, № 1, 41-46.</v>
      </c>
      <c r="F7909" s="10"/>
      <c r="G7909" s="10"/>
      <c r="H7909" s="10"/>
      <c r="I7909" s="10"/>
      <c r="J7909" s="10"/>
      <c r="K7909" s="10"/>
      <c r="L7909" s="10"/>
      <c r="M7909" s="10"/>
      <c r="N7909" s="10"/>
      <c r="O7909" s="10"/>
      <c r="P7909" s="10"/>
      <c r="Q7909" s="10"/>
      <c r="R7909" s="10"/>
      <c r="S7909" s="10"/>
      <c r="T7909" s="10"/>
      <c r="U7909" s="10"/>
      <c r="V7909" s="10"/>
      <c r="W7909" s="10"/>
      <c r="X7909" s="10"/>
      <c r="Y7909" s="10"/>
      <c r="Z7909" s="10"/>
    </row>
    <row r="7910" spans="1:26" ht="12.75">
      <c r="A7910" s="10" t="str">
        <f ca="1">IFERROR(__xludf.DUMMYFUNCTION("""COMPUTED_VALUE"""),"Христо Луков Матанов")</f>
        <v>Христо Луков Матанов</v>
      </c>
      <c r="B7910" s="10" t="str">
        <f ca="1">IFERROR(__xludf.DUMMYFUNCTION("""COMPUTED_VALUE"""),"Книга")</f>
        <v>Книга</v>
      </c>
      <c r="C7910" s="10" t="str">
        <f ca="1">IFERROR(__xludf.DUMMYFUNCTION("""COMPUTED_VALUE"""),"Балкански хоризонти. История, общества, личности Т.1")</f>
        <v>Балкански хоризонти. История, общества, личности Т.1</v>
      </c>
      <c r="D7910" s="10">
        <f ca="1">IFERROR(__xludf.DUMMYFUNCTION("""COMPUTED_VALUE"""),2007)</f>
        <v>2007</v>
      </c>
      <c r="E7910" s="10" t="str">
        <f ca="1">IFERROR(__xludf.DUMMYFUNCTION("""COMPUTED_VALUE"""),"Христо Матанов, Балкански хоризонти. История, общества, личности Т.1, Парадигма, София")</f>
        <v>Христо Матанов, Балкански хоризонти. История, общества, личности Т.1, Парадигма, София</v>
      </c>
      <c r="F7910" s="10"/>
      <c r="G7910" s="10" t="str">
        <f ca="1">IFERROR(__xludf.DUMMYFUNCTION("""COMPUTED_VALUE"""),"Христо Матанов")</f>
        <v>Христо Матанов</v>
      </c>
      <c r="H7910" s="10"/>
      <c r="I7910" s="10"/>
      <c r="J7910" s="10"/>
      <c r="K7910" s="10"/>
      <c r="L7910" s="10"/>
      <c r="M7910" s="10"/>
      <c r="N7910" s="10"/>
      <c r="O7910" s="10"/>
      <c r="P7910" s="10"/>
      <c r="Q7910" s="10"/>
      <c r="R7910" s="10"/>
      <c r="S7910" s="10"/>
      <c r="T7910" s="10"/>
      <c r="U7910" s="10"/>
      <c r="V7910" s="10"/>
      <c r="W7910" s="10"/>
      <c r="X7910" s="10"/>
      <c r="Y7910" s="10"/>
      <c r="Z7910" s="10"/>
    </row>
    <row r="7911" spans="1:26" ht="12.75">
      <c r="A7911" s="10" t="str">
        <f ca="1">IFERROR(__xludf.DUMMYFUNCTION("""COMPUTED_VALUE"""),"Христо Луков Матанов")</f>
        <v>Христо Луков Матанов</v>
      </c>
      <c r="B7911" s="10" t="str">
        <f ca="1">IFERROR(__xludf.DUMMYFUNCTION("""COMPUTED_VALUE"""),"Статия в списания и поредици")</f>
        <v>Статия в списания и поредици</v>
      </c>
      <c r="C7911" s="10" t="str">
        <f ca="1">IFERROR(__xludf.DUMMYFUNCTION("""COMPUTED_VALUE"""),"Крали Марко. Между историческите реалности и митологията")</f>
        <v>Крали Марко. Между историческите реалности и митологията</v>
      </c>
      <c r="D7911" s="10">
        <f ca="1">IFERROR(__xludf.DUMMYFUNCTION("""COMPUTED_VALUE"""),2006)</f>
        <v>2006</v>
      </c>
      <c r="E7911" s="10" t="str">
        <f ca="1">IFERROR(__xludf.DUMMYFUNCTION("""COMPUTED_VALUE"""),"Анамнеза, 2006, N 2, 115- 122.")</f>
        <v>Анамнеза, 2006, N 2, 115- 122.</v>
      </c>
      <c r="F7911" s="10"/>
      <c r="G7911" s="10"/>
      <c r="H7911" s="10"/>
      <c r="I7911" s="10"/>
      <c r="J7911" s="10"/>
      <c r="K7911" s="10"/>
      <c r="L7911" s="10"/>
      <c r="M7911" s="10"/>
      <c r="N7911" s="10"/>
      <c r="O7911" s="10"/>
      <c r="P7911" s="10"/>
      <c r="Q7911" s="10"/>
      <c r="R7911" s="10"/>
      <c r="S7911" s="10"/>
      <c r="T7911" s="10"/>
      <c r="U7911" s="10"/>
      <c r="V7911" s="10"/>
      <c r="W7911" s="10"/>
      <c r="X7911" s="10"/>
      <c r="Y7911" s="10"/>
      <c r="Z7911" s="10"/>
    </row>
    <row r="7912" spans="1:26" ht="12.75">
      <c r="A7912" s="10" t="str">
        <f ca="1">IFERROR(__xludf.DUMMYFUNCTION("""COMPUTED_VALUE"""),"Христо Луков Матанов")</f>
        <v>Христо Луков Матанов</v>
      </c>
      <c r="B7912" s="10" t="str">
        <f ca="1">IFERROR(__xludf.DUMMYFUNCTION("""COMPUTED_VALUE"""),"Статия в списания и поредици")</f>
        <v>Статия в списания и поредици</v>
      </c>
      <c r="C7912" s="10" t="str">
        <f ca="1">IFERROR(__xludf.DUMMYFUNCTION("""COMPUTED_VALUE"""),"Българската медиевистика в условията на демокрация.")</f>
        <v>Българската медиевистика в условията на демокрация.</v>
      </c>
      <c r="D7912" s="10">
        <f ca="1">IFERROR(__xludf.DUMMYFUNCTION("""COMPUTED_VALUE"""),2006)</f>
        <v>2006</v>
      </c>
      <c r="E7912" s="10" t="str">
        <f ca="1">IFERROR(__xludf.DUMMYFUNCTION("""COMPUTED_VALUE"""),"Предизвикателствата на промяната. Национална научна конференция, София, 10-11 ноември 2004 г. С., УИ “Св. Кл. Охридски”, 2006, 88-97.")</f>
        <v>Предизвикателствата на промяната. Национална научна конференция, София, 10-11 ноември 2004 г. С., УИ “Св. Кл. Охридски”, 2006, 88-97.</v>
      </c>
      <c r="F7912" s="10"/>
      <c r="G7912" s="10"/>
      <c r="H7912" s="10"/>
      <c r="I7912" s="10"/>
      <c r="J7912" s="10"/>
      <c r="K7912" s="10"/>
      <c r="L7912" s="10"/>
      <c r="M7912" s="10"/>
      <c r="N7912" s="10"/>
      <c r="O7912" s="10"/>
      <c r="P7912" s="10"/>
      <c r="Q7912" s="10"/>
      <c r="R7912" s="10"/>
      <c r="S7912" s="10"/>
      <c r="T7912" s="10"/>
      <c r="U7912" s="10"/>
      <c r="V7912" s="10"/>
      <c r="W7912" s="10"/>
      <c r="X7912" s="10"/>
      <c r="Y7912" s="10"/>
      <c r="Z7912" s="10"/>
    </row>
    <row r="7913" spans="1:26" ht="12.75">
      <c r="A7913" s="10" t="str">
        <f ca="1">IFERROR(__xludf.DUMMYFUNCTION("""COMPUTED_VALUE"""),"Христо Луков Матанов")</f>
        <v>Христо Луков Матанов</v>
      </c>
      <c r="B7913" s="10" t="str">
        <f ca="1">IFERROR(__xludf.DUMMYFUNCTION("""COMPUTED_VALUE"""),"Статия в списания и поредици")</f>
        <v>Статия в списания и поредици</v>
      </c>
      <c r="C7913" s="10" t="str">
        <f ca="1">IFERROR(__xludf.DUMMYFUNCTION("""COMPUTED_VALUE"""),"Лесна наука ли е историята? (По повод на една “дискусия” във вестник “Труд”).")</f>
        <v>Лесна наука ли е историята? (По повод на една “дискусия” във вестник “Труд”).</v>
      </c>
      <c r="D7913" s="10">
        <f ca="1">IFERROR(__xludf.DUMMYFUNCTION("""COMPUTED_VALUE"""),2006)</f>
        <v>2006</v>
      </c>
      <c r="E7913" s="10" t="str">
        <f ca="1">IFERROR(__xludf.DUMMYFUNCTION("""COMPUTED_VALUE"""),"Учител на учителите. Юбилеен сборник в чест на проф. Йордан Шопов. С., УИ “Св. Кл. Охридски”, 2006, 263-268.")</f>
        <v>Учител на учителите. Юбилеен сборник в чест на проф. Йордан Шопов. С., УИ “Св. Кл. Охридски”, 2006, 263-268.</v>
      </c>
      <c r="F7913" s="10"/>
      <c r="G7913" s="10"/>
      <c r="H7913" s="10"/>
      <c r="I7913" s="10"/>
      <c r="J7913" s="10"/>
      <c r="K7913" s="10"/>
      <c r="L7913" s="10"/>
      <c r="M7913" s="10"/>
      <c r="N7913" s="10"/>
      <c r="O7913" s="10"/>
      <c r="P7913" s="10"/>
      <c r="Q7913" s="10"/>
      <c r="R7913" s="10"/>
      <c r="S7913" s="10"/>
      <c r="T7913" s="10"/>
      <c r="U7913" s="10"/>
      <c r="V7913" s="10"/>
      <c r="W7913" s="10"/>
      <c r="X7913" s="10"/>
      <c r="Y7913" s="10"/>
      <c r="Z7913" s="10"/>
    </row>
    <row r="7914" spans="1:26" ht="12.75">
      <c r="A7914" s="10" t="str">
        <f ca="1">IFERROR(__xludf.DUMMYFUNCTION("""COMPUTED_VALUE"""),"Христо Луков Матанов")</f>
        <v>Христо Луков Матанов</v>
      </c>
      <c r="B7914" s="10" t="str">
        <f ca="1">IFERROR(__xludf.DUMMYFUNCTION("""COMPUTED_VALUE"""),"Статия в списания и поредици")</f>
        <v>Статия в списания и поредици</v>
      </c>
      <c r="C7914" s="10" t="str">
        <f ca="1">IFERROR(__xludf.DUMMYFUNCTION("""COMPUTED_VALUE"""),"Православната църква в българските земи през XV-XVII в.")</f>
        <v>Православната църква в българските земи през XV-XVII в.</v>
      </c>
      <c r="D7914" s="10">
        <f ca="1">IFERROR(__xludf.DUMMYFUNCTION("""COMPUTED_VALUE"""),2006)</f>
        <v>2006</v>
      </c>
      <c r="E7914" s="10" t="str">
        <f ca="1">IFERROR(__xludf.DUMMYFUNCTION("""COMPUTED_VALUE"""),"Държава и Църква – Църква и Държава в българската история. Сборник по случай 135-годишнината от учредяването на Българската екзархия. С., УИ “Св. Кл. Охридски”, 2006, 121-125 .")</f>
        <v>Държава и Църква – Църква и Държава в българската история. Сборник по случай 135-годишнината от учредяването на Българската екзархия. С., УИ “Св. Кл. Охридски”, 2006, 121-125 .</v>
      </c>
      <c r="F7914" s="10"/>
      <c r="G7914" s="10"/>
      <c r="H7914" s="10"/>
      <c r="I7914" s="10"/>
      <c r="J7914" s="10"/>
      <c r="K7914" s="10"/>
      <c r="L7914" s="10"/>
      <c r="M7914" s="10"/>
      <c r="N7914" s="10"/>
      <c r="O7914" s="10"/>
      <c r="P7914" s="10"/>
      <c r="Q7914" s="10"/>
      <c r="R7914" s="10"/>
      <c r="S7914" s="10"/>
      <c r="T7914" s="10"/>
      <c r="U7914" s="10"/>
      <c r="V7914" s="10"/>
      <c r="W7914" s="10"/>
      <c r="X7914" s="10"/>
      <c r="Y7914" s="10"/>
      <c r="Z7914" s="10"/>
    </row>
    <row r="7915" spans="1:26" ht="12.75">
      <c r="A7915" s="10" t="str">
        <f ca="1">IFERROR(__xludf.DUMMYFUNCTION("""COMPUTED_VALUE"""),"Христо Луков Матанов")</f>
        <v>Христо Луков Матанов</v>
      </c>
      <c r="B7915" s="10" t="str">
        <f ca="1">IFERROR(__xludf.DUMMYFUNCTION("""COMPUTED_VALUE"""),"Статия в списания и поредици")</f>
        <v>Статия в списания и поредици</v>
      </c>
      <c r="C7915" s="10" t="str">
        <f ca="1">IFERROR(__xludf.DUMMYFUNCTION("""COMPUTED_VALUE"""),"Богат или беден е бил османският спахия?")</f>
        <v>Богат или беден е бил османският спахия?</v>
      </c>
      <c r="D7915" s="10">
        <f ca="1">IFERROR(__xludf.DUMMYFUNCTION("""COMPUTED_VALUE"""),2006)</f>
        <v>2006</v>
      </c>
      <c r="E7915" s="10" t="str">
        <f ca="1">IFERROR(__xludf.DUMMYFUNCTION("""COMPUTED_VALUE"""),"Тангра. Сборник в чест на 70-годишнината на акад. В. Гюзелев. С., УИ “Св. Кл. Охридски”, 2006, 837-846")</f>
        <v>Тангра. Сборник в чест на 70-годишнината на акад. В. Гюзелев. С., УИ “Св. Кл. Охридски”, 2006, 837-846</v>
      </c>
      <c r="F7915" s="10"/>
      <c r="G7915" s="10"/>
      <c r="H7915" s="10"/>
      <c r="I7915" s="10"/>
      <c r="J7915" s="10"/>
      <c r="K7915" s="10"/>
      <c r="L7915" s="10"/>
      <c r="M7915" s="10"/>
      <c r="N7915" s="10"/>
      <c r="O7915" s="10"/>
      <c r="P7915" s="10"/>
      <c r="Q7915" s="10"/>
      <c r="R7915" s="10"/>
      <c r="S7915" s="10"/>
      <c r="T7915" s="10"/>
      <c r="U7915" s="10"/>
      <c r="V7915" s="10"/>
      <c r="W7915" s="10"/>
      <c r="X7915" s="10"/>
      <c r="Y7915" s="10"/>
      <c r="Z7915" s="10"/>
    </row>
    <row r="7916" spans="1:26" ht="12.75">
      <c r="A7916" s="10" t="str">
        <f ca="1">IFERROR(__xludf.DUMMYFUNCTION("""COMPUTED_VALUE"""),"Христо Луков Матанов")</f>
        <v>Христо Луков Матанов</v>
      </c>
      <c r="B7916" s="10" t="str">
        <f ca="1">IFERROR(__xludf.DUMMYFUNCTION("""COMPUTED_VALUE"""),"Статия в списания и поредици")</f>
        <v>Статия в списания и поредици</v>
      </c>
      <c r="C7916" s="10" t="str">
        <f ca="1">IFERROR(__xludf.DUMMYFUNCTION("""COMPUTED_VALUE"""),"Християнските структури в Кюстендилски санджак под знака на полумесеца (XV-XVI в.).")</f>
        <v>Християнските структури в Кюстендилски санджак под знака на полумесеца (XV-XVI в.).</v>
      </c>
      <c r="D7916" s="10">
        <f ca="1">IFERROR(__xludf.DUMMYFUNCTION("""COMPUTED_VALUE"""),2005)</f>
        <v>2005</v>
      </c>
      <c r="E7916" s="10" t="str">
        <f ca="1">IFERROR(__xludf.DUMMYFUNCTION("""COMPUTED_VALUE"""),"Известия на исторически музей Кюстендил, 10, 2005, 25-35.")</f>
        <v>Известия на исторически музей Кюстендил, 10, 2005, 25-35.</v>
      </c>
      <c r="F7916" s="10"/>
      <c r="G7916" s="10"/>
      <c r="H7916" s="10"/>
      <c r="I7916" s="10"/>
      <c r="J7916" s="10"/>
      <c r="K7916" s="10"/>
      <c r="L7916" s="10"/>
      <c r="M7916" s="10"/>
      <c r="N7916" s="10"/>
      <c r="O7916" s="10"/>
      <c r="P7916" s="10"/>
      <c r="Q7916" s="10"/>
      <c r="R7916" s="10"/>
      <c r="S7916" s="10"/>
      <c r="T7916" s="10"/>
      <c r="U7916" s="10"/>
      <c r="V7916" s="10"/>
      <c r="W7916" s="10"/>
      <c r="X7916" s="10"/>
      <c r="Y7916" s="10"/>
      <c r="Z7916" s="10"/>
    </row>
    <row r="7917" spans="1:26" ht="12.75">
      <c r="A7917" s="10" t="str">
        <f ca="1">IFERROR(__xludf.DUMMYFUNCTION("""COMPUTED_VALUE"""),"Христо Луков Матанов")</f>
        <v>Христо Луков Матанов</v>
      </c>
      <c r="B7917" s="10" t="str">
        <f ca="1">IFERROR(__xludf.DUMMYFUNCTION("""COMPUTED_VALUE"""),"Книга")</f>
        <v>Книга</v>
      </c>
      <c r="C7917" s="10" t="str">
        <f ca="1">IFERROR(__xludf.DUMMYFUNCTION("""COMPUTED_VALUE"""),"Средновековните Балкани: Исторически очерци")</f>
        <v>Средновековните Балкани: Исторически очерци</v>
      </c>
      <c r="D7917" s="10">
        <f ca="1">IFERROR(__xludf.DUMMYFUNCTION("""COMPUTED_VALUE"""),2005)</f>
        <v>2005</v>
      </c>
      <c r="E7917" s="10" t="str">
        <f ca="1">IFERROR(__xludf.DUMMYFUNCTION("""COMPUTED_VALUE"""),"Христо Матанов, Средновековните Балкани: Исторически очерци, Парадигма, София")</f>
        <v>Христо Матанов, Средновековните Балкани: Исторически очерци, Парадигма, София</v>
      </c>
      <c r="F7917" s="10"/>
      <c r="G7917" s="10" t="str">
        <f ca="1">IFERROR(__xludf.DUMMYFUNCTION("""COMPUTED_VALUE"""),"Христо Матанов")</f>
        <v>Христо Матанов</v>
      </c>
      <c r="H7917" s="10"/>
      <c r="I7917" s="10"/>
      <c r="J7917" s="10"/>
      <c r="K7917" s="10"/>
      <c r="L7917" s="10"/>
      <c r="M7917" s="10"/>
      <c r="N7917" s="10"/>
      <c r="O7917" s="10"/>
      <c r="P7917" s="10"/>
      <c r="Q7917" s="10"/>
      <c r="R7917" s="10"/>
      <c r="S7917" s="10"/>
      <c r="T7917" s="10"/>
      <c r="U7917" s="10"/>
      <c r="V7917" s="10"/>
      <c r="W7917" s="10"/>
      <c r="X7917" s="10"/>
      <c r="Y7917" s="10"/>
      <c r="Z7917" s="10"/>
    </row>
    <row r="7918" spans="1:26" ht="12.75">
      <c r="A7918" s="10" t="str">
        <f ca="1">IFERROR(__xludf.DUMMYFUNCTION("""COMPUTED_VALUE"""),"Христо Луков Матанов")</f>
        <v>Христо Луков Матанов</v>
      </c>
      <c r="B7918" s="10" t="str">
        <f ca="1">IFERROR(__xludf.DUMMYFUNCTION("""COMPUTED_VALUE"""),"Статия в списания и поредици")</f>
        <v>Статия в списания и поредици</v>
      </c>
      <c r="C7918" s="10" t="str">
        <f ca="1">IFERROR(__xludf.DUMMYFUNCTION("""COMPUTED_VALUE"""),"Цар Калоян и папа Инокентий III.")</f>
        <v>Цар Калоян и папа Инокентий III.</v>
      </c>
      <c r="D7918" s="10">
        <f ca="1">IFERROR(__xludf.DUMMYFUNCTION("""COMPUTED_VALUE"""),2005)</f>
        <v>2005</v>
      </c>
      <c r="E7918" s="10" t="str">
        <f ca="1">IFERROR(__xludf.DUMMYFUNCTION("""COMPUTED_VALUE"""),"Одринската битка от 1205 г. С., УИ “Св. Кл. Охридски”, 2005, 27-42.")</f>
        <v>Одринската битка от 1205 г. С., УИ “Св. Кл. Охридски”, 2005, 27-42.</v>
      </c>
      <c r="F7918" s="10"/>
      <c r="G7918" s="10"/>
      <c r="H7918" s="10"/>
      <c r="I7918" s="10"/>
      <c r="J7918" s="10"/>
      <c r="K7918" s="10"/>
      <c r="L7918" s="10"/>
      <c r="M7918" s="10"/>
      <c r="N7918" s="10"/>
      <c r="O7918" s="10"/>
      <c r="P7918" s="10"/>
      <c r="Q7918" s="10"/>
      <c r="R7918" s="10"/>
      <c r="S7918" s="10"/>
      <c r="T7918" s="10"/>
      <c r="U7918" s="10"/>
      <c r="V7918" s="10"/>
      <c r="W7918" s="10"/>
      <c r="X7918" s="10"/>
      <c r="Y7918" s="10"/>
      <c r="Z7918" s="10"/>
    </row>
    <row r="7919" spans="1:26" ht="12.75">
      <c r="A7919" s="10" t="str">
        <f ca="1">IFERROR(__xludf.DUMMYFUNCTION("""COMPUTED_VALUE"""),"Христо Луков Матанов")</f>
        <v>Христо Луков Матанов</v>
      </c>
      <c r="B7919" s="10" t="str">
        <f ca="1">IFERROR(__xludf.DUMMYFUNCTION("""COMPUTED_VALUE"""),"Статия в списания и поредици")</f>
        <v>Статия в списания и поредици</v>
      </c>
      <c r="C7919" s="10" t="str">
        <f ca="1">IFERROR(__xludf.DUMMYFUNCTION("""COMPUTED_VALUE"""),"Чумни пандемии и история. “Юстиниановата чума” и “Черната смърт”: два повратни периода в историята на средновековните Балкани.")</f>
        <v>Чумни пандемии и история. “Юстиниановата чума” и “Черната смърт”: два повратни периода в историята на средновековните Балкани.</v>
      </c>
      <c r="D7919" s="10">
        <f ca="1">IFERROR(__xludf.DUMMYFUNCTION("""COMPUTED_VALUE"""),2004)</f>
        <v>2004</v>
      </c>
      <c r="E7919" s="10" t="str">
        <f ca="1">IFERROR(__xludf.DUMMYFUNCTION("""COMPUTED_VALUE"""),"Civitas humano-divina В чест на проф. Георги Бакалов. С., изд. Център за изследване на българите. 2004, стр. 339-347.")</f>
        <v>Civitas humano-divina В чест на проф. Георги Бакалов. С., изд. Център за изследване на българите. 2004, стр. 339-347.</v>
      </c>
      <c r="F7919" s="10"/>
      <c r="G7919" s="10"/>
      <c r="H7919" s="10"/>
      <c r="I7919" s="10"/>
      <c r="J7919" s="10"/>
      <c r="K7919" s="10"/>
      <c r="L7919" s="10"/>
      <c r="M7919" s="10"/>
      <c r="N7919" s="10"/>
      <c r="O7919" s="10"/>
      <c r="P7919" s="10"/>
      <c r="Q7919" s="10"/>
      <c r="R7919" s="10"/>
      <c r="S7919" s="10"/>
      <c r="T7919" s="10"/>
      <c r="U7919" s="10"/>
      <c r="V7919" s="10"/>
      <c r="W7919" s="10"/>
      <c r="X7919" s="10"/>
      <c r="Y7919" s="10"/>
      <c r="Z7919" s="10"/>
    </row>
    <row r="7920" spans="1:26" ht="12.75">
      <c r="A7920" s="10" t="str">
        <f ca="1">IFERROR(__xludf.DUMMYFUNCTION("""COMPUTED_VALUE"""),"Христо Луков Матанов")</f>
        <v>Христо Луков Матанов</v>
      </c>
      <c r="B7920" s="10" t="str">
        <f ca="1">IFERROR(__xludf.DUMMYFUNCTION("""COMPUTED_VALUE"""),"Статия в списания и поредици")</f>
        <v>Статия в списания и поредици</v>
      </c>
      <c r="C7920" s="10" t="str">
        <f ca="1">IFERROR(__xludf.DUMMYFUNCTION("""COMPUTED_VALUE"""),"Чумни пандемии и история. „Юстиниановата чума“ и „Черната смърт“: два повратни периода в историята на средновековните Балкани")</f>
        <v>Чумни пандемии и история. „Юстиниановата чума“ и „Черната смърт“: два повратни периода в историята на средновековните Балкани</v>
      </c>
      <c r="D7920" s="10">
        <f ca="1">IFERROR(__xludf.DUMMYFUNCTION("""COMPUTED_VALUE"""),2004)</f>
        <v>2004</v>
      </c>
      <c r="E7920" s="10" t="str">
        <f ca="1">IFERROR(__xludf.DUMMYFUNCTION("""COMPUTED_VALUE"""),"Civitas Divino-Humana. In Honorem LX annorum Georgi Bakalov. С., изд. Тангра TаНакра, 2004, 339-347.")</f>
        <v>Civitas Divino-Humana. In Honorem LX annorum Georgi Bakalov. С., изд. Тангра TаНакра, 2004, 339-347.</v>
      </c>
      <c r="F7920" s="10"/>
      <c r="G7920" s="10"/>
      <c r="H7920" s="10"/>
      <c r="I7920" s="10"/>
      <c r="J7920" s="10"/>
      <c r="K7920" s="10"/>
      <c r="L7920" s="10"/>
      <c r="M7920" s="10"/>
      <c r="N7920" s="10"/>
      <c r="O7920" s="10"/>
      <c r="P7920" s="10"/>
      <c r="Q7920" s="10"/>
      <c r="R7920" s="10"/>
      <c r="S7920" s="10"/>
      <c r="T7920" s="10"/>
      <c r="U7920" s="10"/>
      <c r="V7920" s="10"/>
      <c r="W7920" s="10"/>
      <c r="X7920" s="10"/>
      <c r="Y7920" s="10"/>
      <c r="Z7920" s="10"/>
    </row>
    <row r="7921" spans="1:26" ht="12.75">
      <c r="A7921" s="10" t="str">
        <f ca="1">IFERROR(__xludf.DUMMYFUNCTION("""COMPUTED_VALUE"""),"Христо Луков Матанов")</f>
        <v>Христо Луков Матанов</v>
      </c>
      <c r="B7921" s="10" t="str">
        <f ca="1">IFERROR(__xludf.DUMMYFUNCTION("""COMPUTED_VALUE"""),"Статия в списания и поредици")</f>
        <v>Статия в списания и поредици</v>
      </c>
      <c r="C7921" s="10" t="str">
        <f ca="1">IFERROR(__xludf.DUMMYFUNCTION("""COMPUTED_VALUE"""),"Състояние на енорийската структура и на манастирите в Кюстендилски санджак през XV-XVI в.")</f>
        <v>Състояние на енорийската структура и на манастирите в Кюстендилски санджак през XV-XVI в.</v>
      </c>
      <c r="D7921" s="10">
        <f ca="1">IFERROR(__xludf.DUMMYFUNCTION("""COMPUTED_VALUE"""),2004)</f>
        <v>2004</v>
      </c>
      <c r="E7921" s="10" t="str">
        <f ca="1">IFERROR(__xludf.DUMMYFUNCTION("""COMPUTED_VALUE"""),"Образ и слово. Юбилеен сборник по случай 60-годишнината на проф. Аксиния Джурова. С., УИ “Св. Кл. Охридски”, 2004, 177-188.")</f>
        <v>Образ и слово. Юбилеен сборник по случай 60-годишнината на проф. Аксиния Джурова. С., УИ “Св. Кл. Охридски”, 2004, 177-188.</v>
      </c>
      <c r="F7921" s="10"/>
      <c r="G7921" s="10"/>
      <c r="H7921" s="10"/>
      <c r="I7921" s="10"/>
      <c r="J7921" s="10"/>
      <c r="K7921" s="10"/>
      <c r="L7921" s="10"/>
      <c r="M7921" s="10"/>
      <c r="N7921" s="10"/>
      <c r="O7921" s="10"/>
      <c r="P7921" s="10"/>
      <c r="Q7921" s="10"/>
      <c r="R7921" s="10"/>
      <c r="S7921" s="10"/>
      <c r="T7921" s="10"/>
      <c r="U7921" s="10"/>
      <c r="V7921" s="10"/>
      <c r="W7921" s="10"/>
      <c r="X7921" s="10"/>
      <c r="Y7921" s="10"/>
      <c r="Z7921" s="10"/>
    </row>
    <row r="7922" spans="1:26" ht="12.75">
      <c r="A7922" s="10" t="str">
        <f ca="1">IFERROR(__xludf.DUMMYFUNCTION("""COMPUTED_VALUE"""),"Христо Луков Матанов")</f>
        <v>Христо Луков Матанов</v>
      </c>
      <c r="B7922" s="10" t="str">
        <f ca="1">IFERROR(__xludf.DUMMYFUNCTION("""COMPUTED_VALUE"""),"Статия в списания и поредици")</f>
        <v>Статия в списания и поредици</v>
      </c>
      <c r="C7922" s="10" t="str">
        <f ca="1">IFERROR(__xludf.DUMMYFUNCTION("""COMPUTED_VALUE"""),"Нови сведения за българи-роби от началото на XIV в., продавани на остров Крит.")</f>
        <v>Нови сведения за българи-роби от началото на XIV в., продавани на остров Крит.</v>
      </c>
      <c r="D7922" s="10">
        <f ca="1">IFERROR(__xludf.DUMMYFUNCTION("""COMPUTED_VALUE"""),2004)</f>
        <v>2004</v>
      </c>
      <c r="E7922" s="10" t="str">
        <f ca="1">IFERROR(__xludf.DUMMYFUNCTION("""COMPUTED_VALUE"""),"Иронията на историка. Сборник в памет на историка и приятеля проф. Милчо Лалков. С., УИ “Св. Кл. Охридски”, 2004, 64-69.")</f>
        <v>Иронията на историка. Сборник в памет на историка и приятеля проф. Милчо Лалков. С., УИ “Св. Кл. Охридски”, 2004, 64-69.</v>
      </c>
      <c r="F7922" s="10"/>
      <c r="G7922" s="10"/>
      <c r="H7922" s="10"/>
      <c r="I7922" s="10"/>
      <c r="J7922" s="10"/>
      <c r="K7922" s="10"/>
      <c r="L7922" s="10"/>
      <c r="M7922" s="10"/>
      <c r="N7922" s="10"/>
      <c r="O7922" s="10"/>
      <c r="P7922" s="10"/>
      <c r="Q7922" s="10"/>
      <c r="R7922" s="10"/>
      <c r="S7922" s="10"/>
      <c r="T7922" s="10"/>
      <c r="U7922" s="10"/>
      <c r="V7922" s="10"/>
      <c r="W7922" s="10"/>
      <c r="X7922" s="10"/>
      <c r="Y7922" s="10"/>
      <c r="Z7922" s="10"/>
    </row>
    <row r="7923" spans="1:26" ht="12.75">
      <c r="A7923" s="10" t="str">
        <f ca="1">IFERROR(__xludf.DUMMYFUNCTION("""COMPUTED_VALUE"""),"Христо Луков Матанов")</f>
        <v>Христо Луков Матанов</v>
      </c>
      <c r="B7923" s="10" t="str">
        <f ca="1">IFERROR(__xludf.DUMMYFUNCTION("""COMPUTED_VALUE"""),"Книга")</f>
        <v>Книга</v>
      </c>
      <c r="C7923" s="10" t="str">
        <f ca="1">IFERROR(__xludf.DUMMYFUNCTION("""COMPUTED_VALUE"""),"Балкански хоризонти. История, общества, личности.")</f>
        <v>Балкански хоризонти. История, общества, личности.</v>
      </c>
      <c r="D7923" s="10">
        <f ca="1">IFERROR(__xludf.DUMMYFUNCTION("""COMPUTED_VALUE"""),2004)</f>
        <v>2004</v>
      </c>
      <c r="E7923" s="10" t="str">
        <f ca="1">IFERROR(__xludf.DUMMYFUNCTION("""COMPUTED_VALUE"""),"С., изд. Парадигма, 2004, 318 стр. карти и библиография")</f>
        <v>С., изд. Парадигма, 2004, 318 стр. карти и библиография</v>
      </c>
      <c r="F7923" s="10"/>
      <c r="G7923" s="10"/>
      <c r="H7923" s="10"/>
      <c r="I7923" s="10"/>
      <c r="J7923" s="10"/>
      <c r="K7923" s="10"/>
      <c r="L7923" s="10"/>
      <c r="M7923" s="10"/>
      <c r="N7923" s="10"/>
      <c r="O7923" s="10"/>
      <c r="P7923" s="10"/>
      <c r="Q7923" s="10"/>
      <c r="R7923" s="10"/>
      <c r="S7923" s="10"/>
      <c r="T7923" s="10"/>
      <c r="U7923" s="10"/>
      <c r="V7923" s="10"/>
      <c r="W7923" s="10"/>
      <c r="X7923" s="10"/>
      <c r="Y7923" s="10"/>
      <c r="Z7923" s="10"/>
    </row>
    <row r="7924" spans="1:26" ht="12.75">
      <c r="A7924" s="10" t="str">
        <f ca="1">IFERROR(__xludf.DUMMYFUNCTION("""COMPUTED_VALUE"""),"Христо Луков Матанов")</f>
        <v>Христо Луков Матанов</v>
      </c>
      <c r="B7924" s="10" t="str">
        <f ca="1">IFERROR(__xludf.DUMMYFUNCTION("""COMPUTED_VALUE"""),"Книга")</f>
        <v>Книга</v>
      </c>
      <c r="C7924" s="10" t="str">
        <f ca="1">IFERROR(__xludf.DUMMYFUNCTION("""COMPUTED_VALUE"""),"Най-значимите българи на XX век.")</f>
        <v>Най-значимите българи на XX век.</v>
      </c>
      <c r="D7924" s="10">
        <f ca="1">IFERROR(__xludf.DUMMYFUNCTION("""COMPUTED_VALUE"""),2004)</f>
        <v>2004</v>
      </c>
      <c r="E7924" s="10" t="str">
        <f ca="1">IFERROR(__xludf.DUMMYFUNCTION("""COMPUTED_VALUE"""),"Валери Колев, Христо Матанов, Васил Гюзелев, Георги Бакалов, Най-значимите българи на XX век. , УИ Св. Кл. Охридски, Рецензирано")</f>
        <v>Валери Колев, Христо Матанов, Васил Гюзелев, Георги Бакалов, Най-значимите българи на XX век. , УИ Св. Кл. Охридски, Рецензирано</v>
      </c>
      <c r="F7924" s="10"/>
      <c r="G7924" s="10" t="str">
        <f ca="1">IFERROR(__xludf.DUMMYFUNCTION("""COMPUTED_VALUE"""),"Валери Колев, Христо Матанов, Васил Гюзелев, Георги Бакалов")</f>
        <v>Валери Колев, Христо Матанов, Васил Гюзелев, Георги Бакалов</v>
      </c>
      <c r="H7924" s="10"/>
      <c r="I7924" s="10"/>
      <c r="J7924" s="10"/>
      <c r="K7924" s="10"/>
      <c r="L7924" s="10"/>
      <c r="M7924" s="10"/>
      <c r="N7924" s="10"/>
      <c r="O7924" s="10"/>
      <c r="P7924" s="10"/>
      <c r="Q7924" s="10"/>
      <c r="R7924" s="10"/>
      <c r="S7924" s="10"/>
      <c r="T7924" s="10"/>
      <c r="U7924" s="10"/>
      <c r="V7924" s="10"/>
      <c r="W7924" s="10"/>
      <c r="X7924" s="10"/>
      <c r="Y7924" s="10"/>
      <c r="Z7924" s="10"/>
    </row>
    <row r="7925" spans="1:26" ht="12.75">
      <c r="A7925" s="10" t="str">
        <f ca="1">IFERROR(__xludf.DUMMYFUNCTION("""COMPUTED_VALUE"""),"Христо Луков Матанов")</f>
        <v>Христо Луков Матанов</v>
      </c>
      <c r="B7925" s="10" t="str">
        <f ca="1">IFERROR(__xludf.DUMMYFUNCTION("""COMPUTED_VALUE"""),"Статия в списания и поредици")</f>
        <v>Статия в списания и поредици</v>
      </c>
      <c r="C7925" s="10" t="str">
        <f ca="1">IFERROR(__xludf.DUMMYFUNCTION("""COMPUTED_VALUE"""),"Състояние на енорийската структура и на манастирите в Кюстендилски санджак през 15-16 в.")</f>
        <v>Състояние на енорийската структура и на манастирите в Кюстендилски санджак през 15-16 в.</v>
      </c>
      <c r="D7925" s="10">
        <f ca="1">IFERROR(__xludf.DUMMYFUNCTION("""COMPUTED_VALUE"""),2004)</f>
        <v>2004</v>
      </c>
      <c r="E7925" s="10" t="str">
        <f ca="1">IFERROR(__xludf.DUMMYFUNCTION("""COMPUTED_VALUE"""),"Образ и слово. Юбилеен сборник по случай 60-год. на проф. Аксиния Джурова. С., Унив. изд., 2004, стр. 177-188.")</f>
        <v>Образ и слово. Юбилеен сборник по случай 60-год. на проф. Аксиния Джурова. С., Унив. изд., 2004, стр. 177-188.</v>
      </c>
      <c r="F7925" s="10"/>
      <c r="G7925" s="10"/>
      <c r="H7925" s="10"/>
      <c r="I7925" s="10"/>
      <c r="J7925" s="10"/>
      <c r="K7925" s="10"/>
      <c r="L7925" s="10"/>
      <c r="M7925" s="10"/>
      <c r="N7925" s="10"/>
      <c r="O7925" s="10"/>
      <c r="P7925" s="10"/>
      <c r="Q7925" s="10"/>
      <c r="R7925" s="10"/>
      <c r="S7925" s="10"/>
      <c r="T7925" s="10"/>
      <c r="U7925" s="10"/>
      <c r="V7925" s="10"/>
      <c r="W7925" s="10"/>
      <c r="X7925" s="10"/>
      <c r="Y7925" s="10"/>
      <c r="Z7925" s="10"/>
    </row>
    <row r="7926" spans="1:26" ht="12.75">
      <c r="A7926" s="10" t="str">
        <f ca="1">IFERROR(__xludf.DUMMYFUNCTION("""COMPUTED_VALUE"""),"Христо Луков Матанов")</f>
        <v>Христо Луков Матанов</v>
      </c>
      <c r="B7926" s="10"/>
      <c r="C7926" s="10" t="str">
        <f ca="1">IFERROR(__xludf.DUMMYFUNCTION("""COMPUTED_VALUE"""),"Балкански хоризонти. История, общества, личности.")</f>
        <v>Балкански хоризонти. История, общества, личности.</v>
      </c>
      <c r="D7926" s="10">
        <f ca="1">IFERROR(__xludf.DUMMYFUNCTION("""COMPUTED_VALUE"""),2004)</f>
        <v>2004</v>
      </c>
      <c r="E7926" s="10" t="str">
        <f ca="1">IFERROR(__xludf.DUMMYFUNCTION("""COMPUTED_VALUE"""),"Т. I. С., Парадигма, 2004.")</f>
        <v>Т. I. С., Парадигма, 2004.</v>
      </c>
      <c r="F7926" s="10"/>
      <c r="G7926" s="10"/>
      <c r="H7926" s="10"/>
      <c r="I7926" s="10"/>
      <c r="J7926" s="10"/>
      <c r="K7926" s="10"/>
      <c r="L7926" s="10"/>
      <c r="M7926" s="10"/>
      <c r="N7926" s="10"/>
      <c r="O7926" s="10"/>
      <c r="P7926" s="10"/>
      <c r="Q7926" s="10"/>
      <c r="R7926" s="10"/>
      <c r="S7926" s="10"/>
      <c r="T7926" s="10"/>
      <c r="U7926" s="10"/>
      <c r="V7926" s="10"/>
      <c r="W7926" s="10"/>
      <c r="X7926" s="10"/>
      <c r="Y7926" s="10"/>
      <c r="Z7926" s="10"/>
    </row>
    <row r="7927" spans="1:26" ht="12.75">
      <c r="A7927" s="10" t="str">
        <f ca="1">IFERROR(__xludf.DUMMYFUNCTION("""COMPUTED_VALUE"""),"Христо Луков Матанов")</f>
        <v>Христо Луков Матанов</v>
      </c>
      <c r="B7927" s="10" t="str">
        <f ca="1">IFERROR(__xludf.DUMMYFUNCTION("""COMPUTED_VALUE"""),"Книга")</f>
        <v>Книга</v>
      </c>
      <c r="C7927" s="10" t="str">
        <f ca="1">IFERROR(__xludf.DUMMYFUNCTION("""COMPUTED_VALUE"""),"Средновековните Балкани. Исторически очерци.")</f>
        <v>Средновековните Балкани. Исторически очерци.</v>
      </c>
      <c r="D7927" s="10">
        <f ca="1">IFERROR(__xludf.DUMMYFUNCTION("""COMPUTED_VALUE"""),2002)</f>
        <v>2002</v>
      </c>
      <c r="E7927" s="10" t="str">
        <f ca="1">IFERROR(__xludf.DUMMYFUNCTION("""COMPUTED_VALUE"""),"С., Парадигма, 2002.")</f>
        <v>С., Парадигма, 2002.</v>
      </c>
      <c r="F7927" s="10"/>
      <c r="G7927" s="10"/>
      <c r="H7927" s="10"/>
      <c r="I7927" s="10"/>
      <c r="J7927" s="10"/>
      <c r="K7927" s="10"/>
      <c r="L7927" s="10"/>
      <c r="M7927" s="10"/>
      <c r="N7927" s="10"/>
      <c r="O7927" s="10"/>
      <c r="P7927" s="10"/>
      <c r="Q7927" s="10"/>
      <c r="R7927" s="10"/>
      <c r="S7927" s="10"/>
      <c r="T7927" s="10"/>
      <c r="U7927" s="10"/>
      <c r="V7927" s="10"/>
      <c r="W7927" s="10"/>
      <c r="X7927" s="10"/>
      <c r="Y7927" s="10"/>
      <c r="Z7927" s="10"/>
    </row>
    <row r="7928" spans="1:26" ht="12.75">
      <c r="A7928" s="10" t="str">
        <f ca="1">IFERROR(__xludf.DUMMYFUNCTION("""COMPUTED_VALUE"""),"Христо Луков Матанов")</f>
        <v>Христо Луков Матанов</v>
      </c>
      <c r="B7928" s="10" t="str">
        <f ca="1">IFERROR(__xludf.DUMMYFUNCTION("""COMPUTED_VALUE"""),"Статия в списания и поредици")</f>
        <v>Статия в списания и поредици</v>
      </c>
      <c r="C7928" s="10" t="str">
        <f ca="1">IFERROR(__xludf.DUMMYFUNCTION("""COMPUTED_VALUE"""),"Норманите през погледа на Анна Комнина")</f>
        <v>Норманите през погледа на Анна Комнина</v>
      </c>
      <c r="D7928" s="10">
        <f ca="1">IFERROR(__xludf.DUMMYFUNCTION("""COMPUTED_VALUE"""),2001)</f>
        <v>2001</v>
      </c>
      <c r="E7928" s="10" t="str">
        <f ca="1">IFERROR(__xludf.DUMMYFUNCTION("""COMPUTED_VALUE"""),"Викингите – мореплаватели, откриватели, създатели. Материали от международна конференция, проведена в Софийски университет „Св. Климент Охридски“ (15-17 май 2000). С., УИ “Св. Кл. Охридски”, 2001, 103-109.")</f>
        <v>Викингите – мореплаватели, откриватели, създатели. Материали от международна конференция, проведена в Софийски университет „Св. Климент Охридски“ (15-17 май 2000). С., УИ “Св. Кл. Охридски”, 2001, 103-109.</v>
      </c>
      <c r="F7928" s="10"/>
      <c r="G7928" s="10"/>
      <c r="H7928" s="10"/>
      <c r="I7928" s="10"/>
      <c r="J7928" s="10"/>
      <c r="K7928" s="10"/>
      <c r="L7928" s="10"/>
      <c r="M7928" s="10"/>
      <c r="N7928" s="10"/>
      <c r="O7928" s="10"/>
      <c r="P7928" s="10"/>
      <c r="Q7928" s="10"/>
      <c r="R7928" s="10"/>
      <c r="S7928" s="10"/>
      <c r="T7928" s="10"/>
      <c r="U7928" s="10"/>
      <c r="V7928" s="10"/>
      <c r="W7928" s="10"/>
      <c r="X7928" s="10"/>
      <c r="Y7928" s="10"/>
      <c r="Z7928" s="10"/>
    </row>
    <row r="7929" spans="1:26" ht="12.75">
      <c r="A7929" s="10" t="str">
        <f ca="1">IFERROR(__xludf.DUMMYFUNCTION("""COMPUTED_VALUE"""),"Христо Луков Матанов")</f>
        <v>Христо Луков Матанов</v>
      </c>
      <c r="B7929" s="10" t="str">
        <f ca="1">IFERROR(__xludf.DUMMYFUNCTION("""COMPUTED_VALUE"""),"Статия в списания и поредици")</f>
        <v>Статия в списания и поредици</v>
      </c>
      <c r="C7929" s="10" t="str">
        <f ca="1">IFERROR(__xludf.DUMMYFUNCTION("""COMPUTED_VALUE"""),"Тимари, зиамети и хасове в Кюстендилски санджак през XVI в.")</f>
        <v>Тимари, зиамети и хасове в Кюстендилски санджак през XVI в.</v>
      </c>
      <c r="D7929" s="10">
        <f ca="1">IFERROR(__xludf.DUMMYFUNCTION("""COMPUTED_VALUE"""),2001)</f>
        <v>2001</v>
      </c>
      <c r="E7929" s="10" t="str">
        <f ca="1">IFERROR(__xludf.DUMMYFUNCTION("""COMPUTED_VALUE"""),"Проучвания в чест на професор Вера Мутафчиева. С., Amicitia, 2001, с. 271-282.")</f>
        <v>Проучвания в чест на професор Вера Мутафчиева. С., Amicitia, 2001, с. 271-282.</v>
      </c>
      <c r="F7929" s="10"/>
      <c r="G7929" s="10"/>
      <c r="H7929" s="10"/>
      <c r="I7929" s="10"/>
      <c r="J7929" s="10"/>
      <c r="K7929" s="10"/>
      <c r="L7929" s="10"/>
      <c r="M7929" s="10"/>
      <c r="N7929" s="10"/>
      <c r="O7929" s="10"/>
      <c r="P7929" s="10"/>
      <c r="Q7929" s="10"/>
      <c r="R7929" s="10"/>
      <c r="S7929" s="10"/>
      <c r="T7929" s="10"/>
      <c r="U7929" s="10"/>
      <c r="V7929" s="10"/>
      <c r="W7929" s="10"/>
      <c r="X7929" s="10"/>
      <c r="Y7929" s="10"/>
      <c r="Z7929" s="10"/>
    </row>
    <row r="7930" spans="1:26" ht="12.75">
      <c r="A7930" s="10" t="str">
        <f ca="1">IFERROR(__xludf.DUMMYFUNCTION("""COMPUTED_VALUE"""),"Христо Луков Матанов")</f>
        <v>Христо Луков Матанов</v>
      </c>
      <c r="B7930" s="10" t="str">
        <f ca="1">IFERROR(__xludf.DUMMYFUNCTION("""COMPUTED_VALUE"""),"Статия в списания и поредици")</f>
        <v>Статия в списания и поредици</v>
      </c>
      <c r="C7930" s="10" t="str">
        <f ca="1">IFERROR(__xludf.DUMMYFUNCTION("""COMPUTED_VALUE"""),"Византийското наследство в „чужда“ среда. Византийско-балкански елементи в структурата на ранната Османска империя.")</f>
        <v>Византийското наследство в „чужда“ среда. Византийско-балкански елементи в структурата на ранната Османска империя.</v>
      </c>
      <c r="D7930" s="10">
        <f ca="1">IFERROR(__xludf.DUMMYFUNCTION("""COMPUTED_VALUE"""),2001)</f>
        <v>2001</v>
      </c>
      <c r="E7930" s="10" t="str">
        <f ca="1">IFERROR(__xludf.DUMMYFUNCTION("""COMPUTED_VALUE"""),"Международна конференция „Византийското културно наследство и Балканите“. Сборник доклади. Пловдив, 2001, 149-157")</f>
        <v>Международна конференция „Византийското културно наследство и Балканите“. Сборник доклади. Пловдив, 2001, 149-157</v>
      </c>
      <c r="F7930" s="10"/>
      <c r="G7930" s="10"/>
      <c r="H7930" s="10"/>
      <c r="I7930" s="10"/>
      <c r="J7930" s="10"/>
      <c r="K7930" s="10"/>
      <c r="L7930" s="10"/>
      <c r="M7930" s="10"/>
      <c r="N7930" s="10"/>
      <c r="O7930" s="10"/>
      <c r="P7930" s="10"/>
      <c r="Q7930" s="10"/>
      <c r="R7930" s="10"/>
      <c r="S7930" s="10"/>
      <c r="T7930" s="10"/>
      <c r="U7930" s="10"/>
      <c r="V7930" s="10"/>
      <c r="W7930" s="10"/>
      <c r="X7930" s="10"/>
      <c r="Y7930" s="10"/>
      <c r="Z7930" s="10"/>
    </row>
    <row r="7931" spans="1:26" ht="12.75">
      <c r="A7931" s="10" t="str">
        <f ca="1">IFERROR(__xludf.DUMMYFUNCTION("""COMPUTED_VALUE"""),"Христо Луков Матанов")</f>
        <v>Христо Луков Матанов</v>
      </c>
      <c r="B7931" s="10" t="str">
        <f ca="1">IFERROR(__xludf.DUMMYFUNCTION("""COMPUTED_VALUE"""),"Книга")</f>
        <v>Книга</v>
      </c>
      <c r="C7931" s="10" t="str">
        <f ca="1">IFERROR(__xludf.DUMMYFUNCTION("""COMPUTED_VALUE"""),"Възникване и облик на Кюстендилски санджак през XV-XVI в.")</f>
        <v>Възникване и облик на Кюстендилски санджак през XV-XVI в.</v>
      </c>
      <c r="D7931" s="10">
        <f ca="1">IFERROR(__xludf.DUMMYFUNCTION("""COMPUTED_VALUE"""),2000)</f>
        <v>2000</v>
      </c>
      <c r="E7931" s="10" t="str">
        <f ca="1">IFERROR(__xludf.DUMMYFUNCTION("""COMPUTED_VALUE"""),"С., ИФ-94, 2000.")</f>
        <v>С., ИФ-94, 2000.</v>
      </c>
      <c r="F7931" s="10"/>
      <c r="G7931" s="10"/>
      <c r="H7931" s="10"/>
      <c r="I7931" s="10"/>
      <c r="J7931" s="10"/>
      <c r="K7931" s="10"/>
      <c r="L7931" s="10"/>
      <c r="M7931" s="10"/>
      <c r="N7931" s="10"/>
      <c r="O7931" s="10"/>
      <c r="P7931" s="10"/>
      <c r="Q7931" s="10"/>
      <c r="R7931" s="10"/>
      <c r="S7931" s="10"/>
      <c r="T7931" s="10"/>
      <c r="U7931" s="10"/>
      <c r="V7931" s="10"/>
      <c r="W7931" s="10"/>
      <c r="X7931" s="10"/>
      <c r="Y7931" s="10"/>
      <c r="Z7931" s="10"/>
    </row>
    <row r="7932" spans="1:26" ht="12.75">
      <c r="A7932" s="10" t="str">
        <f ca="1">IFERROR(__xludf.DUMMYFUNCTION("""COMPUTED_VALUE"""),"Христо Луков Матанов")</f>
        <v>Христо Луков Матанов</v>
      </c>
      <c r="B7932" s="10" t="str">
        <f ca="1">IFERROR(__xludf.DUMMYFUNCTION("""COMPUTED_VALUE"""),"Статия в списания и поредици")</f>
        <v>Статия в списания и поредици</v>
      </c>
      <c r="C7932" s="10" t="str">
        <f ca="1">IFERROR(__xludf.DUMMYFUNCTION("""COMPUTED_VALUE"""),"The Imposition of Ottoman Rule in Bulgarian Lands")</f>
        <v>The Imposition of Ottoman Rule in Bulgarian Lands</v>
      </c>
      <c r="D7932" s="10">
        <f ca="1">IFERROR(__xludf.DUMMYFUNCTION("""COMPUTED_VALUE"""),1999)</f>
        <v>1999</v>
      </c>
      <c r="E7932" s="10" t="str">
        <f ca="1">IFERROR(__xludf.DUMMYFUNCTION("""COMPUTED_VALUE"""),"Bulgarian Centuries, 1, 1999, p. 15.")</f>
        <v>Bulgarian Centuries, 1, 1999, p. 15.</v>
      </c>
      <c r="F7932" s="10"/>
      <c r="G7932" s="10"/>
      <c r="H7932" s="10"/>
      <c r="I7932" s="10"/>
      <c r="J7932" s="10"/>
      <c r="K7932" s="10"/>
      <c r="L7932" s="10"/>
      <c r="M7932" s="10"/>
      <c r="N7932" s="10"/>
      <c r="O7932" s="10"/>
      <c r="P7932" s="10"/>
      <c r="Q7932" s="10"/>
      <c r="R7932" s="10"/>
      <c r="S7932" s="10"/>
      <c r="T7932" s="10"/>
      <c r="U7932" s="10"/>
      <c r="V7932" s="10"/>
      <c r="W7932" s="10"/>
      <c r="X7932" s="10"/>
      <c r="Y7932" s="10"/>
      <c r="Z7932" s="10"/>
    </row>
    <row r="7933" spans="1:26" ht="12.75">
      <c r="A7933" s="10" t="str">
        <f ca="1">IFERROR(__xludf.DUMMYFUNCTION("""COMPUTED_VALUE"""),"Христо Луков Матанов")</f>
        <v>Христо Луков Матанов</v>
      </c>
      <c r="B7933" s="10" t="str">
        <f ca="1">IFERROR(__xludf.DUMMYFUNCTION("""COMPUTED_VALUE"""),"Статия в списания и поредици")</f>
        <v>Статия в списания и поредици</v>
      </c>
      <c r="C7933" s="10" t="str">
        <f ca="1">IFERROR(__xludf.DUMMYFUNCTION("""COMPUTED_VALUE"""),"Религиите и сектитe")</f>
        <v>Религиите и сектитe</v>
      </c>
      <c r="D7933" s="10">
        <f ca="1">IFERROR(__xludf.DUMMYFUNCTION("""COMPUTED_VALUE"""),1999)</f>
        <v>1999</v>
      </c>
      <c r="E7933" s="10" t="str">
        <f ca="1">IFERROR(__xludf.DUMMYFUNCTION("""COMPUTED_VALUE"""),"Алманах България XX век. С., АБВ Кооп и Труд, 1999, 399-407.")</f>
        <v>Алманах България XX век. С., АБВ Кооп и Труд, 1999, 399-407.</v>
      </c>
      <c r="F7933" s="10"/>
      <c r="G7933" s="10"/>
      <c r="H7933" s="10"/>
      <c r="I7933" s="10"/>
      <c r="J7933" s="10"/>
      <c r="K7933" s="10"/>
      <c r="L7933" s="10"/>
      <c r="M7933" s="10"/>
      <c r="N7933" s="10"/>
      <c r="O7933" s="10"/>
      <c r="P7933" s="10"/>
      <c r="Q7933" s="10"/>
      <c r="R7933" s="10"/>
      <c r="S7933" s="10"/>
      <c r="T7933" s="10"/>
      <c r="U7933" s="10"/>
      <c r="V7933" s="10"/>
      <c r="W7933" s="10"/>
      <c r="X7933" s="10"/>
      <c r="Y7933" s="10"/>
      <c r="Z7933" s="10"/>
    </row>
    <row r="7934" spans="1:26" ht="12.75">
      <c r="A7934" s="10" t="str">
        <f ca="1">IFERROR(__xludf.DUMMYFUNCTION("""COMPUTED_VALUE"""),"Христо Луков Матанов")</f>
        <v>Христо Луков Матанов</v>
      </c>
      <c r="B7934" s="10" t="str">
        <f ca="1">IFERROR(__xludf.DUMMYFUNCTION("""COMPUTED_VALUE"""),"Книга")</f>
        <v>Книга</v>
      </c>
      <c r="C7934" s="10" t="str">
        <f ca="1">IFERROR(__xludf.DUMMYFUNCTION("""COMPUTED_VALUE"""),"Княжеството на Драгаши. Към историята на Източна и Североизточна Македония в доосманската епоха")</f>
        <v>Княжеството на Драгаши. Към историята на Източна и Североизточна Македония в доосманската епоха</v>
      </c>
      <c r="D7934" s="10">
        <f ca="1">IFERROR(__xludf.DUMMYFUNCTION("""COMPUTED_VALUE"""),1997)</f>
        <v>1997</v>
      </c>
      <c r="E7934" s="10" t="str">
        <f ca="1">IFERROR(__xludf.DUMMYFUNCTION("""COMPUTED_VALUE"""),"С., Гал-ико, 1997.")</f>
        <v>С., Гал-ико, 1997.</v>
      </c>
      <c r="F7934" s="10"/>
      <c r="G7934" s="10"/>
      <c r="H7934" s="10"/>
      <c r="I7934" s="10"/>
      <c r="J7934" s="10"/>
      <c r="K7934" s="10"/>
      <c r="L7934" s="10"/>
      <c r="M7934" s="10"/>
      <c r="N7934" s="10"/>
      <c r="O7934" s="10"/>
      <c r="P7934" s="10"/>
      <c r="Q7934" s="10"/>
      <c r="R7934" s="10"/>
      <c r="S7934" s="10"/>
      <c r="T7934" s="10"/>
      <c r="U7934" s="10"/>
      <c r="V7934" s="10"/>
      <c r="W7934" s="10"/>
      <c r="X7934" s="10"/>
      <c r="Y7934" s="10"/>
      <c r="Z7934" s="10"/>
    </row>
    <row r="7935" spans="1:26" ht="12.75">
      <c r="A7935" s="10" t="str">
        <f ca="1">IFERROR(__xludf.DUMMYFUNCTION("""COMPUTED_VALUE"""),"Христо Луков Матанов")</f>
        <v>Христо Луков Матанов</v>
      </c>
      <c r="B7935" s="10" t="str">
        <f ca="1">IFERROR(__xludf.DUMMYFUNCTION("""COMPUTED_VALUE"""),"Книга")</f>
        <v>Книга</v>
      </c>
      <c r="C7935" s="10" t="str">
        <f ca="1">IFERROR(__xludf.DUMMYFUNCTION("""COMPUTED_VALUE"""),"Георги Сфранцес. Дневникът на един византийски сановник.")</f>
        <v>Георги Сфранцес. Дневникът на един византийски сановник.</v>
      </c>
      <c r="D7935" s="10">
        <f ca="1">IFERROR(__xludf.DUMMYFUNCTION("""COMPUTED_VALUE"""),1996)</f>
        <v>1996</v>
      </c>
      <c r="E7935" s="10" t="str">
        <f ca="1">IFERROR(__xludf.DUMMYFUNCTION("""COMPUTED_VALUE"""),"С., Гал-ико, 1996.")</f>
        <v>С., Гал-ико, 1996.</v>
      </c>
      <c r="F7935" s="10"/>
      <c r="G7935" s="10"/>
      <c r="H7935" s="10"/>
      <c r="I7935" s="10"/>
      <c r="J7935" s="10"/>
      <c r="K7935" s="10"/>
      <c r="L7935" s="10"/>
      <c r="M7935" s="10"/>
      <c r="N7935" s="10"/>
      <c r="O7935" s="10"/>
      <c r="P7935" s="10"/>
      <c r="Q7935" s="10"/>
      <c r="R7935" s="10"/>
      <c r="S7935" s="10"/>
      <c r="T7935" s="10"/>
      <c r="U7935" s="10"/>
      <c r="V7935" s="10"/>
      <c r="W7935" s="10"/>
      <c r="X7935" s="10"/>
      <c r="Y7935" s="10"/>
      <c r="Z7935" s="10"/>
    </row>
    <row r="7936" spans="1:26" ht="12.75">
      <c r="A7936" s="10" t="str">
        <f ca="1">IFERROR(__xludf.DUMMYFUNCTION("""COMPUTED_VALUE"""),"Христо Луков Матанов")</f>
        <v>Христо Луков Матанов</v>
      </c>
      <c r="B7936" s="10" t="str">
        <f ca="1">IFERROR(__xludf.DUMMYFUNCTION("""COMPUTED_VALUE"""),"Статия в списания и поредици")</f>
        <v>Статия в списания и поредици</v>
      </c>
      <c r="C7936" s="10" t="str">
        <f ca="1">IFERROR(__xludf.DUMMYFUNCTION("""COMPUTED_VALUE"""),"Един неизвестен документ за Мелник от архива на светогорския манастир Ватопед")</f>
        <v>Един неизвестен документ за Мелник от архива на светогорския манастир Ватопед</v>
      </c>
      <c r="D7936" s="10">
        <f ca="1">IFERROR(__xludf.DUMMYFUNCTION("""COMPUTED_VALUE"""),1996)</f>
        <v>1996</v>
      </c>
      <c r="E7936" s="10" t="str">
        <f ca="1">IFERROR(__xludf.DUMMYFUNCTION("""COMPUTED_VALUE"""),"Светогорска обител Зограф II (В чест на 60-годишнината на проф. д-р В. Гюзелев). С., СУ “Св. Климент Охридски”, 1996, 103-108.")</f>
        <v>Светогорска обител Зограф II (В чест на 60-годишнината на проф. д-р В. Гюзелев). С., СУ “Св. Климент Охридски”, 1996, 103-108.</v>
      </c>
      <c r="F7936" s="10"/>
      <c r="G7936" s="10"/>
      <c r="H7936" s="10"/>
      <c r="I7936" s="10"/>
      <c r="J7936" s="10"/>
      <c r="K7936" s="10"/>
      <c r="L7936" s="10"/>
      <c r="M7936" s="10"/>
      <c r="N7936" s="10"/>
      <c r="O7936" s="10"/>
      <c r="P7936" s="10"/>
      <c r="Q7936" s="10"/>
      <c r="R7936" s="10"/>
      <c r="S7936" s="10"/>
      <c r="T7936" s="10"/>
      <c r="U7936" s="10"/>
      <c r="V7936" s="10"/>
      <c r="W7936" s="10"/>
      <c r="X7936" s="10"/>
      <c r="Y7936" s="10"/>
      <c r="Z7936" s="10"/>
    </row>
    <row r="7937" spans="1:26" ht="12.75">
      <c r="A7937" s="10" t="str">
        <f ca="1">IFERROR(__xludf.DUMMYFUNCTION("""COMPUTED_VALUE"""),"Христо Луков Матанов")</f>
        <v>Христо Луков Матанов</v>
      </c>
      <c r="B7937" s="10" t="str">
        <f ca="1">IFERROR(__xludf.DUMMYFUNCTION("""COMPUTED_VALUE"""),"Статия в списания и поредици")</f>
        <v>Статия в списания и поредици</v>
      </c>
      <c r="C7937" s="10" t="str">
        <f ca="1">IFERROR(__xludf.DUMMYFUNCTION("""COMPUTED_VALUE"""),"Към историята на един имотен спор между Зограф и Хилендар през XIV в.")</f>
        <v>Към историята на един имотен спор между Зограф и Хилендар през XIV в.</v>
      </c>
      <c r="D7937" s="10">
        <f ca="1">IFERROR(__xludf.DUMMYFUNCTION("""COMPUTED_VALUE"""),1995)</f>
        <v>1995</v>
      </c>
      <c r="E7937" s="10" t="str">
        <f ca="1">IFERROR(__xludf.DUMMYFUNCTION("""COMPUTED_VALUE"""),"Светогорска обител Зограф I. (В памет на Ат. Божков, Ат. Шаренков и Б. Райков). С., СУ “Св. Климент Охридски”, 1995, 23-31.")</f>
        <v>Светогорска обител Зограф I. (В памет на Ат. Божков, Ат. Шаренков и Б. Райков). С., СУ “Св. Климент Охридски”, 1995, 23-31.</v>
      </c>
      <c r="F7937" s="10"/>
      <c r="G7937" s="10"/>
      <c r="H7937" s="10"/>
      <c r="I7937" s="10"/>
      <c r="J7937" s="10"/>
      <c r="K7937" s="10"/>
      <c r="L7937" s="10"/>
      <c r="M7937" s="10"/>
      <c r="N7937" s="10"/>
      <c r="O7937" s="10"/>
      <c r="P7937" s="10"/>
      <c r="Q7937" s="10"/>
      <c r="R7937" s="10"/>
      <c r="S7937" s="10"/>
      <c r="T7937" s="10"/>
      <c r="U7937" s="10"/>
      <c r="V7937" s="10"/>
      <c r="W7937" s="10"/>
      <c r="X7937" s="10"/>
      <c r="Y7937" s="10"/>
      <c r="Z7937" s="10"/>
    </row>
    <row r="7938" spans="1:26" ht="12.75">
      <c r="A7938" s="10" t="str">
        <f ca="1">IFERROR(__xludf.DUMMYFUNCTION("""COMPUTED_VALUE"""),"Христо Луков Матанов")</f>
        <v>Христо Луков Матанов</v>
      </c>
      <c r="B7938" s="10" t="str">
        <f ca="1">IFERROR(__xludf.DUMMYFUNCTION("""COMPUTED_VALUE"""),"Статия в списания и поредици")</f>
        <v>Статия в списания и поредици</v>
      </c>
      <c r="C7938" s="10" t="str">
        <f ca="1">IFERROR(__xludf.DUMMYFUNCTION("""COMPUTED_VALUE"""),"Регионални особености на християнско-османския двубой във времето на Косовската битка")</f>
        <v>Регионални особености на християнско-османския двубой във времето на Косовската битка</v>
      </c>
      <c r="D7938" s="10">
        <f ca="1">IFERROR(__xludf.DUMMYFUNCTION("""COMPUTED_VALUE"""),1995)</f>
        <v>1995</v>
      </c>
      <c r="E7938" s="10" t="str">
        <f ca="1">IFERROR(__xludf.DUMMYFUNCTION("""COMPUTED_VALUE"""),"Год. СУ, ЦСВП “Иван Дуйчев”, 85 (5), 1995 [за 1992-1993], 59-70.")</f>
        <v>Год. СУ, ЦСВП “Иван Дуйчев”, 85 (5), 1995 [за 1992-1993], 59-70.</v>
      </c>
      <c r="F7938" s="10"/>
      <c r="G7938" s="10"/>
      <c r="H7938" s="10"/>
      <c r="I7938" s="10"/>
      <c r="J7938" s="10"/>
      <c r="K7938" s="10"/>
      <c r="L7938" s="10"/>
      <c r="M7938" s="10"/>
      <c r="N7938" s="10"/>
      <c r="O7938" s="10"/>
      <c r="P7938" s="10"/>
      <c r="Q7938" s="10"/>
      <c r="R7938" s="10"/>
      <c r="S7938" s="10"/>
      <c r="T7938" s="10"/>
      <c r="U7938" s="10"/>
      <c r="V7938" s="10"/>
      <c r="W7938" s="10"/>
      <c r="X7938" s="10"/>
      <c r="Y7938" s="10"/>
      <c r="Z7938" s="10"/>
    </row>
    <row r="7939" spans="1:26" ht="12.75">
      <c r="A7939" s="10" t="str">
        <f ca="1">IFERROR(__xludf.DUMMYFUNCTION("""COMPUTED_VALUE"""),"Христо Луков Матанов")</f>
        <v>Христо Луков Матанов</v>
      </c>
      <c r="B7939" s="10" t="str">
        <f ca="1">IFERROR(__xludf.DUMMYFUNCTION("""COMPUTED_VALUE"""),"Статия в списания и поредици")</f>
        <v>Статия в списания и поредици</v>
      </c>
      <c r="C7939" s="10" t="str">
        <f ca="1">IFERROR(__xludf.DUMMYFUNCTION("""COMPUTED_VALUE"""),"Към историческата география на Северна Македония през (втората четвърт на XIV в.) владенията на севастократор и деспот Деян.")</f>
        <v>Към историческата география на Северна Македония през (втората четвърт на XIV в.) владенията на севастократор и деспот Деян.</v>
      </c>
      <c r="D7939" s="10">
        <f ca="1">IFERROR(__xludf.DUMMYFUNCTION("""COMPUTED_VALUE"""),1994)</f>
        <v>1994</v>
      </c>
      <c r="E7939" s="10" t="str">
        <f ca="1">IFERROR(__xludf.DUMMYFUNCTION("""COMPUTED_VALUE"""),"Годишник на Софийския университет, Център за славяно-византийски проучвания ""Иван Дуйчев"", том 84/85 (1994), 9-22.")</f>
        <v>Годишник на Софийския университет, Център за славяно-византийски проучвания "Иван Дуйчев", том 84/85 (1994), 9-22.</v>
      </c>
      <c r="F7939" s="10"/>
      <c r="G7939" s="10"/>
      <c r="H7939" s="10"/>
      <c r="I7939" s="10"/>
      <c r="J7939" s="10"/>
      <c r="K7939" s="10"/>
      <c r="L7939" s="10"/>
      <c r="M7939" s="10"/>
      <c r="N7939" s="10"/>
      <c r="O7939" s="10"/>
      <c r="P7939" s="10"/>
      <c r="Q7939" s="10"/>
      <c r="R7939" s="10"/>
      <c r="S7939" s="10"/>
      <c r="T7939" s="10"/>
      <c r="U7939" s="10"/>
      <c r="V7939" s="10"/>
      <c r="W7939" s="10"/>
      <c r="X7939" s="10"/>
      <c r="Y7939" s="10"/>
      <c r="Z7939" s="10"/>
    </row>
    <row r="7940" spans="1:26" ht="12.75">
      <c r="A7940" s="10" t="str">
        <f ca="1">IFERROR(__xludf.DUMMYFUNCTION("""COMPUTED_VALUE"""),"Христо Луков Матанов")</f>
        <v>Христо Луков Матанов</v>
      </c>
      <c r="B7940" s="10" t="str">
        <f ca="1">IFERROR(__xludf.DUMMYFUNCTION("""COMPUTED_VALUE"""),"Статия в списания и поредици")</f>
        <v>Статия в списания и поредици</v>
      </c>
      <c r="C7940" s="10" t="str">
        <f ca="1">IFERROR(__xludf.DUMMYFUNCTION("""COMPUTED_VALUE"""),"Средновековие и българска историческа съдба: Предварителни наблюдения")</f>
        <v>Средновековие и българска историческа съдба: Предварителни наблюдения</v>
      </c>
      <c r="D7940" s="10">
        <f ca="1">IFERROR(__xludf.DUMMYFUNCTION("""COMPUTED_VALUE"""),1993)</f>
        <v>1993</v>
      </c>
      <c r="E7940" s="10" t="str">
        <f ca="1">IFERROR(__xludf.DUMMYFUNCTION("""COMPUTED_VALUE"""),"История, 1993, 36-43.")</f>
        <v>История, 1993, 36-43.</v>
      </c>
      <c r="F7940" s="10"/>
      <c r="G7940" s="10"/>
      <c r="H7940" s="10"/>
      <c r="I7940" s="10"/>
      <c r="J7940" s="10"/>
      <c r="K7940" s="10"/>
      <c r="L7940" s="10"/>
      <c r="M7940" s="10"/>
      <c r="N7940" s="10"/>
      <c r="O7940" s="10"/>
      <c r="P7940" s="10"/>
      <c r="Q7940" s="10"/>
      <c r="R7940" s="10"/>
      <c r="S7940" s="10"/>
      <c r="T7940" s="10"/>
      <c r="U7940" s="10"/>
      <c r="V7940" s="10"/>
      <c r="W7940" s="10"/>
      <c r="X7940" s="10"/>
      <c r="Y7940" s="10"/>
      <c r="Z7940" s="10"/>
    </row>
    <row r="7941" spans="1:26" ht="12.75">
      <c r="A7941" s="10" t="str">
        <f ca="1">IFERROR(__xludf.DUMMYFUNCTION("""COMPUTED_VALUE"""),"Христо Луков Матанов")</f>
        <v>Христо Луков Матанов</v>
      </c>
      <c r="B7941" s="10" t="str">
        <f ca="1">IFERROR(__xludf.DUMMYFUNCTION("""COMPUTED_VALUE"""),"Статия в списания и поредици")</f>
        <v>Статия в списания и поредици</v>
      </c>
      <c r="C7941" s="10" t="str">
        <f ca="1">IFERROR(__xludf.DUMMYFUNCTION("""COMPUTED_VALUE"""),"Bulgarian-Russian Cultural Relations in the Early Middle Ages (historiographic aspects).")</f>
        <v>Bulgarian-Russian Cultural Relations in the Early Middle Ages (historiographic aspects).</v>
      </c>
      <c r="D7941" s="10">
        <f ca="1">IFERROR(__xludf.DUMMYFUNCTION("""COMPUTED_VALUE"""),1992)</f>
        <v>1992</v>
      </c>
      <c r="E7941" s="10" t="str">
        <f ca="1">IFERROR(__xludf.DUMMYFUNCTION("""COMPUTED_VALUE"""),"The Legacy of Saints Cyril and Methodius to Kiev and Moscow. Proceedings of the International Congress of Rus' to Christianity. Thessaloniki, 26–28 nov. 1988, edited by A. E. Tachiaos, Thessaloniki, Hell. Assoc. Slav. Studies, 1992, 157-166.")</f>
        <v>The Legacy of Saints Cyril and Methodius to Kiev and Moscow. Proceedings of the International Congress of Rus' to Christianity. Thessaloniki, 26–28 nov. 1988, edited by A. E. Tachiaos, Thessaloniki, Hell. Assoc. Slav. Studies, 1992, 157-166.</v>
      </c>
      <c r="F7941" s="10"/>
      <c r="G7941" s="10"/>
      <c r="H7941" s="10"/>
      <c r="I7941" s="10"/>
      <c r="J7941" s="10"/>
      <c r="K7941" s="10"/>
      <c r="L7941" s="10"/>
      <c r="M7941" s="10"/>
      <c r="N7941" s="10"/>
      <c r="O7941" s="10"/>
      <c r="P7941" s="10"/>
      <c r="Q7941" s="10"/>
      <c r="R7941" s="10"/>
      <c r="S7941" s="10"/>
      <c r="T7941" s="10"/>
      <c r="U7941" s="10"/>
      <c r="V7941" s="10"/>
      <c r="W7941" s="10"/>
      <c r="X7941" s="10"/>
      <c r="Y7941" s="10"/>
      <c r="Z7941" s="10"/>
    </row>
    <row r="7942" spans="1:26" ht="12.75">
      <c r="A7942" s="10" t="str">
        <f ca="1">IFERROR(__xludf.DUMMYFUNCTION("""COMPUTED_VALUE"""),"Христо Луков Матанов")</f>
        <v>Христо Луков Матанов</v>
      </c>
      <c r="B7942" s="10" t="str">
        <f ca="1">IFERROR(__xludf.DUMMYFUNCTION("""COMPUTED_VALUE"""),"Статия в списания и поредици")</f>
        <v>Статия в списания и поредици</v>
      </c>
      <c r="C7942" s="10" t="str">
        <f ca="1">IFERROR(__xludf.DUMMYFUNCTION("""COMPUTED_VALUE"""),"Типологични аспекти на отношенията между османските завоеватели и балканските държави през 70-80-те години на 14 в.")</f>
        <v>Типологични аспекти на отношенията между османските завоеватели и балканските държави през 70-80-те години на 14 в.</v>
      </c>
      <c r="D7942" s="10">
        <f ca="1">IFERROR(__xludf.DUMMYFUNCTION("""COMPUTED_VALUE"""),1992)</f>
        <v>1992</v>
      </c>
      <c r="E7942" s="10" t="str">
        <f ca="1">IFERROR(__xludf.DUMMYFUNCTION("""COMPUTED_VALUE"""),": Турските завоевания и съдбата на балканските народи. Велико Търново, ВТУ “Св. Св. Кирил и Методий”, 1992")</f>
        <v>: Турските завоевания и съдбата на балканските народи. Велико Търново, ВТУ “Св. Св. Кирил и Методий”, 1992</v>
      </c>
      <c r="F7942" s="10"/>
      <c r="G7942" s="10"/>
      <c r="H7942" s="10"/>
      <c r="I7942" s="10"/>
      <c r="J7942" s="10"/>
      <c r="K7942" s="10"/>
      <c r="L7942" s="10"/>
      <c r="M7942" s="10"/>
      <c r="N7942" s="10"/>
      <c r="O7942" s="10"/>
      <c r="P7942" s="10"/>
      <c r="Q7942" s="10"/>
      <c r="R7942" s="10"/>
      <c r="S7942" s="10"/>
      <c r="T7942" s="10"/>
      <c r="U7942" s="10"/>
      <c r="V7942" s="10"/>
      <c r="W7942" s="10"/>
      <c r="X7942" s="10"/>
      <c r="Y7942" s="10"/>
      <c r="Z7942" s="10"/>
    </row>
    <row r="7943" spans="1:26" ht="12.75">
      <c r="A7943" s="10" t="str">
        <f ca="1">IFERROR(__xludf.DUMMYFUNCTION("""COMPUTED_VALUE"""),"Христо Луков Матанов")</f>
        <v>Христо Луков Матанов</v>
      </c>
      <c r="B7943" s="10" t="str">
        <f ca="1">IFERROR(__xludf.DUMMYFUNCTION("""COMPUTED_VALUE"""),"Статия в списания и поредици")</f>
        <v>Статия в списания и поредици</v>
      </c>
      <c r="C7943" s="10" t="str">
        <f ca="1">IFERROR(__xludf.DUMMYFUNCTION("""COMPUTED_VALUE"""),"The Phenomenon Thomas Preljubovic")</f>
        <v>The Phenomenon Thomas Preljubovic</v>
      </c>
      <c r="D7943" s="10">
        <f ca="1">IFERROR(__xludf.DUMMYFUNCTION("""COMPUTED_VALUE"""),1992)</f>
        <v>1992</v>
      </c>
      <c r="E7943" s="10" t="str">
        <f ca="1">IFERROR(__xludf.DUMMYFUNCTION("""COMPUTED_VALUE"""),"Praktika Diethnis Symposiou gia tou despotatou tis Epeirou. Arta, 1992, 63–68.")</f>
        <v>Praktika Diethnis Symposiou gia tou despotatou tis Epeirou. Arta, 1992, 63–68.</v>
      </c>
      <c r="F7943" s="10"/>
      <c r="G7943" s="10"/>
      <c r="H7943" s="10"/>
      <c r="I7943" s="10"/>
      <c r="J7943" s="10"/>
      <c r="K7943" s="10"/>
      <c r="L7943" s="10"/>
      <c r="M7943" s="10"/>
      <c r="N7943" s="10"/>
      <c r="O7943" s="10"/>
      <c r="P7943" s="10"/>
      <c r="Q7943" s="10"/>
      <c r="R7943" s="10"/>
      <c r="S7943" s="10"/>
      <c r="T7943" s="10"/>
      <c r="U7943" s="10"/>
      <c r="V7943" s="10"/>
      <c r="W7943" s="10"/>
      <c r="X7943" s="10"/>
      <c r="Y7943" s="10"/>
      <c r="Z7943" s="10"/>
    </row>
    <row r="7944" spans="1:26" ht="12.75">
      <c r="A7944" s="10" t="str">
        <f ca="1">IFERROR(__xludf.DUMMYFUNCTION("""COMPUTED_VALUE"""),"Христо Луков Матанов")</f>
        <v>Христо Луков Матанов</v>
      </c>
      <c r="B7944" s="10" t="str">
        <f ca="1">IFERROR(__xludf.DUMMYFUNCTION("""COMPUTED_VALUE"""),"Статия в списания и поредици")</f>
        <v>Статия в списания и поредици</v>
      </c>
      <c r="C7944" s="10" t="str">
        <f ca="1">IFERROR(__xludf.DUMMYFUNCTION("""COMPUTED_VALUE"""),"Процессы государственного развития у хорватов и сербов в IХ-ХII вв")</f>
        <v>Процессы государственного развития у хорватов и сербов в IХ-ХII вв</v>
      </c>
      <c r="D7944" s="10">
        <f ca="1">IFERROR(__xludf.DUMMYFUNCTION("""COMPUTED_VALUE"""),1991)</f>
        <v>1991</v>
      </c>
      <c r="E7944" s="10" t="str">
        <f ca="1">IFERROR(__xludf.DUMMYFUNCTION("""COMPUTED_VALUE"""),"Раннефеодальные государства и народности (южные и западные славяне VI-ХII вв.)., Москва, Наука, 1991, с. 150-167")</f>
        <v>Раннефеодальные государства и народности (южные и западные славяне VI-ХII вв.)., Москва, Наука, 1991, с. 150-167</v>
      </c>
      <c r="F7944" s="10"/>
      <c r="G7944" s="10" t="str">
        <f ca="1">IFERROR(__xludf.DUMMYFUNCTION("""COMPUTED_VALUE"""),"Снежанка Ракова")</f>
        <v>Снежанка Ракова</v>
      </c>
      <c r="H7944" s="10"/>
      <c r="I7944" s="10"/>
      <c r="J7944" s="10"/>
      <c r="K7944" s="10"/>
      <c r="L7944" s="10"/>
      <c r="M7944" s="10"/>
      <c r="N7944" s="10"/>
      <c r="O7944" s="10"/>
      <c r="P7944" s="10"/>
      <c r="Q7944" s="10"/>
      <c r="R7944" s="10"/>
      <c r="S7944" s="10"/>
      <c r="T7944" s="10"/>
      <c r="U7944" s="10"/>
      <c r="V7944" s="10"/>
      <c r="W7944" s="10"/>
      <c r="X7944" s="10"/>
      <c r="Y7944" s="10"/>
      <c r="Z7944" s="10"/>
    </row>
    <row r="7945" spans="1:26" ht="12.75">
      <c r="A7945" s="10" t="str">
        <f ca="1">IFERROR(__xludf.DUMMYFUNCTION("""COMPUTED_VALUE"""),"Христо Луков Матанов")</f>
        <v>Христо Луков Матанов</v>
      </c>
      <c r="B7945" s="10" t="str">
        <f ca="1">IFERROR(__xludf.DUMMYFUNCTION("""COMPUTED_VALUE"""),"Статия в списания и поредици")</f>
        <v>Статия в списания и поредици</v>
      </c>
      <c r="C7945" s="10" t="str">
        <f ca="1">IFERROR(__xludf.DUMMYFUNCTION("""COMPUTED_VALUE"""),"An Eastern Orthodox “Crusade” against the Ottoman Turcs in the 70s of the 14th Century.")</f>
        <v>An Eastern Orthodox “Crusade” against the Ottoman Turcs in the 70s of the 14th Century.</v>
      </c>
      <c r="D7945" s="10">
        <f ca="1">IFERROR(__xludf.DUMMYFUNCTION("""COMPUTED_VALUE"""),1990)</f>
        <v>1990</v>
      </c>
      <c r="E7945" s="10" t="str">
        <f ca="1">IFERROR(__xludf.DUMMYFUNCTION("""COMPUTED_VALUE"""),"Macedonian Studies, vol. 7, 1990, 60-68.")</f>
        <v>Macedonian Studies, vol. 7, 1990, 60-68.</v>
      </c>
      <c r="F7945" s="10"/>
      <c r="G7945" s="10"/>
      <c r="H7945" s="10"/>
      <c r="I7945" s="10"/>
      <c r="J7945" s="10"/>
      <c r="K7945" s="10"/>
      <c r="L7945" s="10"/>
      <c r="M7945" s="10"/>
      <c r="N7945" s="10"/>
      <c r="O7945" s="10"/>
      <c r="P7945" s="10"/>
      <c r="Q7945" s="10"/>
      <c r="R7945" s="10"/>
      <c r="S7945" s="10"/>
      <c r="T7945" s="10"/>
      <c r="U7945" s="10"/>
      <c r="V7945" s="10"/>
      <c r="W7945" s="10"/>
      <c r="X7945" s="10"/>
      <c r="Y7945" s="10"/>
      <c r="Z7945" s="10"/>
    </row>
    <row r="7946" spans="1:26" ht="12.75">
      <c r="A7946" s="10" t="str">
        <f ca="1">IFERROR(__xludf.DUMMYFUNCTION("""COMPUTED_VALUE"""),"Христо Луков Матанов")</f>
        <v>Христо Луков Матанов</v>
      </c>
      <c r="B7946" s="10" t="str">
        <f ca="1">IFERROR(__xludf.DUMMYFUNCTION("""COMPUTED_VALUE"""),"Статия в списания и поредици")</f>
        <v>Статия в списания и поредици</v>
      </c>
      <c r="C7946" s="10" t="str">
        <f ca="1">IFERROR(__xludf.DUMMYFUNCTION("""COMPUTED_VALUE"""),"Georg II. Terter, bulgarischer Zar (Nov.1321/+Nov./Dez. 1322); Georg I Terter, bulgarischer Zar (1280-92)(+1308/09).")</f>
        <v>Georg II. Terter, bulgarischer Zar (Nov.1321/+Nov./Dez. 1322); Georg I Terter, bulgarischer Zar (1280-92)(+1308/09).</v>
      </c>
      <c r="D7946" s="10">
        <f ca="1">IFERROR(__xludf.DUMMYFUNCTION("""COMPUTED_VALUE"""),1989)</f>
        <v>1989</v>
      </c>
      <c r="E7946" s="10" t="str">
        <f ca="1">IFERROR(__xludf.DUMMYFUNCTION("""COMPUTED_VALUE"""),"Lexikon des Mitellalters, vol. 1-9, Munchen-Zurich, 1980-1998, Bookset Part 4, 1989, 1276-1277.")</f>
        <v>Lexikon des Mitellalters, vol. 1-9, Munchen-Zurich, 1980-1998, Bookset Part 4, 1989, 1276-1277.</v>
      </c>
      <c r="F7946" s="10"/>
      <c r="G7946" s="10"/>
      <c r="H7946" s="10"/>
      <c r="I7946" s="10"/>
      <c r="J7946" s="10"/>
      <c r="K7946" s="10"/>
      <c r="L7946" s="10"/>
      <c r="M7946" s="10"/>
      <c r="N7946" s="10"/>
      <c r="O7946" s="10"/>
      <c r="P7946" s="10"/>
      <c r="Q7946" s="10"/>
      <c r="R7946" s="10"/>
      <c r="S7946" s="10"/>
      <c r="T7946" s="10"/>
      <c r="U7946" s="10"/>
      <c r="V7946" s="10"/>
      <c r="W7946" s="10"/>
      <c r="X7946" s="10"/>
      <c r="Y7946" s="10"/>
      <c r="Z7946" s="10"/>
    </row>
    <row r="7947" spans="1:26" ht="12.75">
      <c r="A7947" s="10" t="str">
        <f ca="1">IFERROR(__xludf.DUMMYFUNCTION("""COMPUTED_VALUE"""),"Христо Луков Матанов")</f>
        <v>Христо Луков Матанов</v>
      </c>
      <c r="B7947" s="10" t="str">
        <f ca="1">IFERROR(__xludf.DUMMYFUNCTION("""COMPUTED_VALUE"""),"Статия в списания и поредици")</f>
        <v>Статия в списания и поредици</v>
      </c>
      <c r="C7947" s="10" t="str">
        <f ca="1">IFERROR(__xludf.DUMMYFUNCTION("""COMPUTED_VALUE"""),"Кръстоносната идея в първия етап на османското нашествие (1332-1402 г.).")</f>
        <v>Кръстоносната идея в първия етап на османското нашествие (1332-1402 г.).</v>
      </c>
      <c r="D7947" s="10">
        <f ca="1">IFERROR(__xludf.DUMMYFUNCTION("""COMPUTED_VALUE"""),1989)</f>
        <v>1989</v>
      </c>
      <c r="E7947" s="10" t="str">
        <f ca="1">IFERROR(__xludf.DUMMYFUNCTION("""COMPUTED_VALUE"""),"Балканистика, 1, 1989, 5-32.")</f>
        <v>Балканистика, 1, 1989, 5-32.</v>
      </c>
      <c r="F7947" s="10"/>
      <c r="G7947" s="10"/>
      <c r="H7947" s="10"/>
      <c r="I7947" s="10"/>
      <c r="J7947" s="10"/>
      <c r="K7947" s="10"/>
      <c r="L7947" s="10"/>
      <c r="M7947" s="10"/>
      <c r="N7947" s="10"/>
      <c r="O7947" s="10"/>
      <c r="P7947" s="10"/>
      <c r="Q7947" s="10"/>
      <c r="R7947" s="10"/>
      <c r="S7947" s="10"/>
      <c r="T7947" s="10"/>
      <c r="U7947" s="10"/>
      <c r="V7947" s="10"/>
      <c r="W7947" s="10"/>
      <c r="X7947" s="10"/>
      <c r="Y7947" s="10"/>
      <c r="Z7947" s="10"/>
    </row>
    <row r="7948" spans="1:26" ht="12.75">
      <c r="A7948" s="10" t="str">
        <f ca="1">IFERROR(__xludf.DUMMYFUNCTION("""COMPUTED_VALUE"""),"Христо Луков Матанов")</f>
        <v>Христо Луков Матанов</v>
      </c>
      <c r="B7948" s="10"/>
      <c r="C7948" s="10" t="str">
        <f ca="1">IFERROR(__xludf.DUMMYFUNCTION("""COMPUTED_VALUE"""),"A Method of Conquest or a Stage of Social Development.")</f>
        <v>A Method of Conquest or a Stage of Social Development.</v>
      </c>
      <c r="D7948" s="10">
        <f ca="1">IFERROR(__xludf.DUMMYFUNCTION("""COMPUTED_VALUE"""),1989)</f>
        <v>1989</v>
      </c>
      <c r="E7948" s="10" t="str">
        <f ca="1">IFERROR(__xludf.DUMMYFUNCTION("""COMPUTED_VALUE"""),"Etudes Balkaniques, XXV, 1989, 3, 72-77.")</f>
        <v>Etudes Balkaniques, XXV, 1989, 3, 72-77.</v>
      </c>
      <c r="F7948" s="10"/>
      <c r="G7948" s="10"/>
      <c r="H7948" s="10"/>
      <c r="I7948" s="10"/>
      <c r="J7948" s="10"/>
      <c r="K7948" s="10"/>
      <c r="L7948" s="10"/>
      <c r="M7948" s="10"/>
      <c r="N7948" s="10"/>
      <c r="O7948" s="10"/>
      <c r="P7948" s="10"/>
      <c r="Q7948" s="10"/>
      <c r="R7948" s="10"/>
      <c r="S7948" s="10"/>
      <c r="T7948" s="10"/>
      <c r="U7948" s="10"/>
      <c r="V7948" s="10"/>
      <c r="W7948" s="10"/>
      <c r="X7948" s="10"/>
      <c r="Y7948" s="10"/>
      <c r="Z7948" s="10"/>
    </row>
    <row r="7949" spans="1:26" ht="12.75">
      <c r="A7949" s="10" t="str">
        <f ca="1">IFERROR(__xludf.DUMMYFUNCTION("""COMPUTED_VALUE"""),"Христо Луков Матанов")</f>
        <v>Христо Луков Матанов</v>
      </c>
      <c r="B7949" s="10" t="str">
        <f ca="1">IFERROR(__xludf.DUMMYFUNCTION("""COMPUTED_VALUE"""),"Книга")</f>
        <v>Книга</v>
      </c>
      <c r="C7949" s="10" t="str">
        <f ca="1">IFERROR(__xludf.DUMMYFUNCTION("""COMPUTED_VALUE"""),"От Галиполи до Лепанто. Европа, Балканите и османското нашествие (1354-1571 г.).")</f>
        <v>От Галиполи до Лепанто. Европа, Балканите и османското нашествие (1354-1571 г.).</v>
      </c>
      <c r="D7949" s="10">
        <f ca="1">IFERROR(__xludf.DUMMYFUNCTION("""COMPUTED_VALUE"""),1988)</f>
        <v>1988</v>
      </c>
      <c r="E7949" s="10" t="str">
        <f ca="1">IFERROR(__xludf.DUMMYFUNCTION("""COMPUTED_VALUE"""),"С., Наука и изкуство, 1988. Второ изд. Tилиа, 1998.")</f>
        <v>С., Наука и изкуство, 1988. Второ изд. Tилиа, 1998.</v>
      </c>
      <c r="F7949" s="10"/>
      <c r="G7949" s="10" t="str">
        <f ca="1">IFERROR(__xludf.DUMMYFUNCTION("""COMPUTED_VALUE"""),"Румяна Михнева")</f>
        <v>Румяна Михнева</v>
      </c>
      <c r="H7949" s="10"/>
      <c r="I7949" s="10"/>
      <c r="J7949" s="10"/>
      <c r="K7949" s="10"/>
      <c r="L7949" s="10"/>
      <c r="M7949" s="10"/>
      <c r="N7949" s="10"/>
      <c r="O7949" s="10"/>
      <c r="P7949" s="10"/>
      <c r="Q7949" s="10"/>
      <c r="R7949" s="10"/>
      <c r="S7949" s="10"/>
      <c r="T7949" s="10"/>
      <c r="U7949" s="10"/>
      <c r="V7949" s="10"/>
      <c r="W7949" s="10"/>
      <c r="X7949" s="10"/>
      <c r="Y7949" s="10"/>
      <c r="Z7949" s="10"/>
    </row>
    <row r="7950" spans="1:26" ht="12.75">
      <c r="A7950" s="10" t="str">
        <f ca="1">IFERROR(__xludf.DUMMYFUNCTION("""COMPUTED_VALUE"""),"Христо Луков Матанов")</f>
        <v>Христо Луков Матанов</v>
      </c>
      <c r="B7950" s="10" t="str">
        <f ca="1">IFERROR(__xludf.DUMMYFUNCTION("""COMPUTED_VALUE"""),"Статия в списания и поредици")</f>
        <v>Статия в списания и поредици</v>
      </c>
      <c r="C7950" s="10" t="str">
        <f ca="1">IFERROR(__xludf.DUMMYFUNCTION("""COMPUTED_VALUE"""),"Нови сведения за родственици на деспот Елтимир/Алдимир.")</f>
        <v>Нови сведения за родственици на деспот Елтимир/Алдимир.</v>
      </c>
      <c r="D7950" s="10">
        <f ca="1">IFERROR(__xludf.DUMMYFUNCTION("""COMPUTED_VALUE"""),1987)</f>
        <v>1987</v>
      </c>
      <c r="E7950" s="10" t="str">
        <f ca="1">IFERROR(__xludf.DUMMYFUNCTION("""COMPUTED_VALUE"""),"Годишник на СУ ""Св. Климент Охридски"" (ЦСВП ""Ив. Дуйчев""). Т. I (1987), 107-114.")</f>
        <v>Годишник на СУ "Св. Климент Охридски" (ЦСВП "Ив. Дуйчев"). Т. I (1987), 107-114.</v>
      </c>
      <c r="F7950" s="10"/>
      <c r="G7950" s="10"/>
      <c r="H7950" s="10"/>
      <c r="I7950" s="10"/>
      <c r="J7950" s="10"/>
      <c r="K7950" s="10"/>
      <c r="L7950" s="10"/>
      <c r="M7950" s="10"/>
      <c r="N7950" s="10"/>
      <c r="O7950" s="10"/>
      <c r="P7950" s="10"/>
      <c r="Q7950" s="10"/>
      <c r="R7950" s="10"/>
      <c r="S7950" s="10"/>
      <c r="T7950" s="10"/>
      <c r="U7950" s="10"/>
      <c r="V7950" s="10"/>
      <c r="W7950" s="10"/>
      <c r="X7950" s="10"/>
      <c r="Y7950" s="10"/>
      <c r="Z7950" s="10"/>
    </row>
    <row r="7951" spans="1:26" ht="12.75">
      <c r="A7951" s="10" t="str">
        <f ca="1">IFERROR(__xludf.DUMMYFUNCTION("""COMPUTED_VALUE"""),"Христо Луков Матанов")</f>
        <v>Христо Луков Матанов</v>
      </c>
      <c r="B7951" s="10" t="str">
        <f ca="1">IFERROR(__xludf.DUMMYFUNCTION("""COMPUTED_VALUE"""),"Статия в списания и поредици")</f>
        <v>Статия в списания и поредици</v>
      </c>
      <c r="C7951" s="10" t="str">
        <f ca="1">IFERROR(__xludf.DUMMYFUNCTION("""COMPUTED_VALUE"""),"Региональные особености процессов образования государства на Балканах в период феодальной раздробленности.")</f>
        <v>Региональные особености процессов образования государства на Балканах в период феодальной раздробленности.</v>
      </c>
      <c r="D7951" s="10">
        <f ca="1">IFERROR(__xludf.DUMMYFUNCTION("""COMPUTED_VALUE"""),1987)</f>
        <v>1987</v>
      </c>
      <c r="E7951" s="10" t="str">
        <f ca="1">IFERROR(__xludf.DUMMYFUNCTION("""COMPUTED_VALUE"""),"Этносоциальная политическая структура раннефеодальных славянских государств и народностей, Москва, Наука, 1987, 179-186")</f>
        <v>Этносоциальная политическая структура раннефеодальных славянских государств и народностей, Москва, Наука, 1987, 179-186</v>
      </c>
      <c r="F7951" s="10"/>
      <c r="G7951" s="10"/>
      <c r="H7951" s="10"/>
      <c r="I7951" s="10"/>
      <c r="J7951" s="10"/>
      <c r="K7951" s="10"/>
      <c r="L7951" s="10"/>
      <c r="M7951" s="10"/>
      <c r="N7951" s="10"/>
      <c r="O7951" s="10"/>
      <c r="P7951" s="10"/>
      <c r="Q7951" s="10"/>
      <c r="R7951" s="10"/>
      <c r="S7951" s="10"/>
      <c r="T7951" s="10"/>
      <c r="U7951" s="10"/>
      <c r="V7951" s="10"/>
      <c r="W7951" s="10"/>
      <c r="X7951" s="10"/>
      <c r="Y7951" s="10"/>
      <c r="Z7951" s="10"/>
    </row>
    <row r="7952" spans="1:26" ht="12.75">
      <c r="A7952" s="10" t="str">
        <f ca="1">IFERROR(__xludf.DUMMYFUNCTION("""COMPUTED_VALUE"""),"Христо Луков Матанов")</f>
        <v>Христо Луков Матанов</v>
      </c>
      <c r="B7952" s="10" t="str">
        <f ca="1">IFERROR(__xludf.DUMMYFUNCTION("""COMPUTED_VALUE"""),"Статия в списания и поредици")</f>
        <v>Статия в списания и поредици</v>
      </c>
      <c r="C7952" s="10" t="str">
        <f ca="1">IFERROR(__xludf.DUMMYFUNCTION("""COMPUTED_VALUE"""),"Югозападните български земи през XIV век.")</f>
        <v>Югозападните български земи през XIV век.</v>
      </c>
      <c r="D7952" s="10">
        <f ca="1">IFERROR(__xludf.DUMMYFUNCTION("""COMPUTED_VALUE"""),1987)</f>
        <v>1987</v>
      </c>
      <c r="E7952" s="10" t="str">
        <f ca="1">IFERROR(__xludf.DUMMYFUNCTION("""COMPUTED_VALUE"""),"Втори международен конгрес по българистика, София 23 май-3 юни 1986, Доклади. Българските земи в древността. България през Средновековието, том 6, С., БАН, 1987, 356-367")</f>
        <v>Втори международен конгрес по българистика, София 23 май-3 юни 1986, Доклади. Българските земи в древността. България през Средновековието, том 6, С., БАН, 1987, 356-367</v>
      </c>
      <c r="F7952" s="10"/>
      <c r="G7952" s="10"/>
      <c r="H7952" s="10"/>
      <c r="I7952" s="10"/>
      <c r="J7952" s="10"/>
      <c r="K7952" s="10"/>
      <c r="L7952" s="10"/>
      <c r="M7952" s="10"/>
      <c r="N7952" s="10"/>
      <c r="O7952" s="10"/>
      <c r="P7952" s="10"/>
      <c r="Q7952" s="10"/>
      <c r="R7952" s="10"/>
      <c r="S7952" s="10"/>
      <c r="T7952" s="10"/>
      <c r="U7952" s="10"/>
      <c r="V7952" s="10"/>
      <c r="W7952" s="10"/>
      <c r="X7952" s="10"/>
      <c r="Y7952" s="10"/>
      <c r="Z7952" s="10"/>
    </row>
    <row r="7953" spans="1:26" ht="12.75">
      <c r="A7953" s="10" t="str">
        <f ca="1">IFERROR(__xludf.DUMMYFUNCTION("""COMPUTED_VALUE"""),"Христо Луков Матанов")</f>
        <v>Христо Луков Матанов</v>
      </c>
      <c r="B7953" s="10" t="str">
        <f ca="1">IFERROR(__xludf.DUMMYFUNCTION("""COMPUTED_VALUE"""),"Книга")</f>
        <v>Книга</v>
      </c>
      <c r="C7953" s="10" t="str">
        <f ca="1">IFERROR(__xludf.DUMMYFUNCTION("""COMPUTED_VALUE"""),"Югозападните български земи през XIV в.")</f>
        <v>Югозападните български земи през XIV в.</v>
      </c>
      <c r="D7953" s="10">
        <f ca="1">IFERROR(__xludf.DUMMYFUNCTION("""COMPUTED_VALUE"""),1986)</f>
        <v>1986</v>
      </c>
      <c r="E7953" s="10" t="str">
        <f ca="1">IFERROR(__xludf.DUMMYFUNCTION("""COMPUTED_VALUE"""),"С., Наука и изкуство, 1986.")</f>
        <v>С., Наука и изкуство, 1986.</v>
      </c>
      <c r="F7953" s="10"/>
      <c r="G7953" s="10"/>
      <c r="H7953" s="10"/>
      <c r="I7953" s="10"/>
      <c r="J7953" s="10"/>
      <c r="K7953" s="10"/>
      <c r="L7953" s="10"/>
      <c r="M7953" s="10"/>
      <c r="N7953" s="10"/>
      <c r="O7953" s="10"/>
      <c r="P7953" s="10"/>
      <c r="Q7953" s="10"/>
      <c r="R7953" s="10"/>
      <c r="S7953" s="10"/>
      <c r="T7953" s="10"/>
      <c r="U7953" s="10"/>
      <c r="V7953" s="10"/>
      <c r="W7953" s="10"/>
      <c r="X7953" s="10"/>
      <c r="Y7953" s="10"/>
      <c r="Z7953" s="10"/>
    </row>
    <row r="7954" spans="1:26" ht="12.75">
      <c r="A7954" s="10" t="str">
        <f ca="1">IFERROR(__xludf.DUMMYFUNCTION("""COMPUTED_VALUE"""),"Христо Луков Матанов")</f>
        <v>Христо Луков Матанов</v>
      </c>
      <c r="B7954" s="10" t="str">
        <f ca="1">IFERROR(__xludf.DUMMYFUNCTION("""COMPUTED_VALUE"""),"Статия в списания и поредици")</f>
        <v>Статия в списания и поредици</v>
      </c>
      <c r="C7954" s="10" t="str">
        <f ca="1">IFERROR(__xludf.DUMMYFUNCTION("""COMPUTED_VALUE"""),"“Велбуждкото” княжество през XIV в. – непубликуван труд на Петър Ников")</f>
        <v>“Велбуждкото” княжество през XIV в. – непубликуван труд на Петър Ников</v>
      </c>
      <c r="D7954" s="10">
        <f ca="1">IFERROR(__xludf.DUMMYFUNCTION("""COMPUTED_VALUE"""),1986)</f>
        <v>1986</v>
      </c>
      <c r="E7954" s="10" t="str">
        <f ca="1">IFERROR(__xludf.DUMMYFUNCTION("""COMPUTED_VALUE"""),"ИБИД, том 38, 1986, 55-65.")</f>
        <v>ИБИД, том 38, 1986, 55-65.</v>
      </c>
      <c r="F7954" s="10"/>
      <c r="G7954" s="10"/>
      <c r="H7954" s="10"/>
      <c r="I7954" s="10"/>
      <c r="J7954" s="10"/>
      <c r="K7954" s="10"/>
      <c r="L7954" s="10"/>
      <c r="M7954" s="10"/>
      <c r="N7954" s="10"/>
      <c r="O7954" s="10"/>
      <c r="P7954" s="10"/>
      <c r="Q7954" s="10"/>
      <c r="R7954" s="10"/>
      <c r="S7954" s="10"/>
      <c r="T7954" s="10"/>
      <c r="U7954" s="10"/>
      <c r="V7954" s="10"/>
      <c r="W7954" s="10"/>
      <c r="X7954" s="10"/>
      <c r="Y7954" s="10"/>
      <c r="Z7954" s="10"/>
    </row>
    <row r="7955" spans="1:26" ht="12.75">
      <c r="A7955" s="10" t="str">
        <f ca="1">IFERROR(__xludf.DUMMYFUNCTION("""COMPUTED_VALUE"""),"Христо Луков Матанов")</f>
        <v>Христо Луков Матанов</v>
      </c>
      <c r="B7955" s="10" t="str">
        <f ca="1">IFERROR(__xludf.DUMMYFUNCTION("""COMPUTED_VALUE"""),"Статия в списания и поредици")</f>
        <v>Статия в списания и поредици</v>
      </c>
      <c r="C7955" s="10" t="str">
        <f ca="1">IFERROR(__xludf.DUMMYFUNCTION("""COMPUTED_VALUE"""),"Contribution to the Political History of South-eastern Macedonia after the Battle of Chernomen.")</f>
        <v>Contribution to the Political History of South-eastern Macedonia after the Battle of Chernomen.</v>
      </c>
      <c r="D7955" s="10">
        <f ca="1">IFERROR(__xludf.DUMMYFUNCTION("""COMPUTED_VALUE"""),1986)</f>
        <v>1986</v>
      </c>
      <c r="E7955" s="10" t="str">
        <f ca="1">IFERROR(__xludf.DUMMYFUNCTION("""COMPUTED_VALUE"""),"Etudes Balkaniques, XXII, 1986, 2, 31-43.")</f>
        <v>Etudes Balkaniques, XXII, 1986, 2, 31-43.</v>
      </c>
      <c r="F7955" s="10"/>
      <c r="G7955" s="10"/>
      <c r="H7955" s="10"/>
      <c r="I7955" s="10"/>
      <c r="J7955" s="10"/>
      <c r="K7955" s="10"/>
      <c r="L7955" s="10"/>
      <c r="M7955" s="10"/>
      <c r="N7955" s="10"/>
      <c r="O7955" s="10"/>
      <c r="P7955" s="10"/>
      <c r="Q7955" s="10"/>
      <c r="R7955" s="10"/>
      <c r="S7955" s="10"/>
      <c r="T7955" s="10"/>
      <c r="U7955" s="10"/>
      <c r="V7955" s="10"/>
      <c r="W7955" s="10"/>
      <c r="X7955" s="10"/>
      <c r="Y7955" s="10"/>
      <c r="Z7955" s="10"/>
    </row>
    <row r="7956" spans="1:26" ht="12.75">
      <c r="A7956" s="10" t="str">
        <f ca="1">IFERROR(__xludf.DUMMYFUNCTION("""COMPUTED_VALUE"""),"Христо Луков Матанов")</f>
        <v>Христо Луков Матанов</v>
      </c>
      <c r="B7956" s="10" t="str">
        <f ca="1">IFERROR(__xludf.DUMMYFUNCTION("""COMPUTED_VALUE"""),"Статия в списания и поредици")</f>
        <v>Статия в списания и поредици</v>
      </c>
      <c r="C7956" s="10" t="str">
        <f ca="1">IFERROR(__xludf.DUMMYFUNCTION("""COMPUTED_VALUE"""),"Кой е бил деспот Константин от миниатюрите на Лондонското евангелие?")</f>
        <v>Кой е бил деспот Константин от миниатюрите на Лондонското евангелие?</v>
      </c>
      <c r="D7956" s="10">
        <f ca="1">IFERROR(__xludf.DUMMYFUNCTION("""COMPUTED_VALUE"""),1985)</f>
        <v>1985</v>
      </c>
      <c r="E7956" s="10" t="str">
        <f ca="1">IFERROR(__xludf.DUMMYFUNCTION("""COMPUTED_VALUE"""),"Исторически преглед, 7, 1985, с. 40-56")</f>
        <v>Исторически преглед, 7, 1985, с. 40-56</v>
      </c>
      <c r="F7956" s="10"/>
      <c r="G7956" s="10"/>
      <c r="H7956" s="10"/>
      <c r="I7956" s="10"/>
      <c r="J7956" s="10"/>
      <c r="K7956" s="10"/>
      <c r="L7956" s="10"/>
      <c r="M7956" s="10"/>
      <c r="N7956" s="10"/>
      <c r="O7956" s="10"/>
      <c r="P7956" s="10"/>
      <c r="Q7956" s="10"/>
      <c r="R7956" s="10"/>
      <c r="S7956" s="10"/>
      <c r="T7956" s="10"/>
      <c r="U7956" s="10"/>
      <c r="V7956" s="10"/>
      <c r="W7956" s="10"/>
      <c r="X7956" s="10"/>
      <c r="Y7956" s="10"/>
      <c r="Z7956" s="10"/>
    </row>
    <row r="7957" spans="1:26" ht="12.75">
      <c r="A7957" s="10" t="str">
        <f ca="1">IFERROR(__xludf.DUMMYFUNCTION("""COMPUTED_VALUE"""),"Христо Луков Матанов")</f>
        <v>Христо Луков Матанов</v>
      </c>
      <c r="B7957" s="10" t="str">
        <f ca="1">IFERROR(__xludf.DUMMYFUNCTION("""COMPUTED_VALUE"""),"Статия в списания и поредици")</f>
        <v>Статия в списания и поредици</v>
      </c>
      <c r="C7957" s="10" t="str">
        <f ca="1">IFERROR(__xludf.DUMMYFUNCTION("""COMPUTED_VALUE"""),"West and Post-Byzantine source evidence about king Marko (kral Marko).")</f>
        <v>West and Post-Byzantine source evidence about king Marko (kral Marko).</v>
      </c>
      <c r="D7957" s="10">
        <f ca="1">IFERROR(__xludf.DUMMYFUNCTION("""COMPUTED_VALUE"""),1985)</f>
        <v>1985</v>
      </c>
      <c r="E7957" s="10" t="str">
        <f ca="1">IFERROR(__xludf.DUMMYFUNCTION("""COMPUTED_VALUE"""),"Etudes Balkaniques, XXI, 1985, 2, 45-61")</f>
        <v>Etudes Balkaniques, XXI, 1985, 2, 45-61</v>
      </c>
      <c r="F7957" s="10"/>
      <c r="G7957" s="10" t="str">
        <f ca="1">IFERROR(__xludf.DUMMYFUNCTION("""COMPUTED_VALUE"""),"Рая Заимова")</f>
        <v>Рая Заимова</v>
      </c>
      <c r="H7957" s="10"/>
      <c r="I7957" s="10"/>
      <c r="J7957" s="10"/>
      <c r="K7957" s="10"/>
      <c r="L7957" s="10"/>
      <c r="M7957" s="10"/>
      <c r="N7957" s="10"/>
      <c r="O7957" s="10"/>
      <c r="P7957" s="10"/>
      <c r="Q7957" s="10"/>
      <c r="R7957" s="10"/>
      <c r="S7957" s="10"/>
      <c r="T7957" s="10"/>
      <c r="U7957" s="10"/>
      <c r="V7957" s="10"/>
      <c r="W7957" s="10"/>
      <c r="X7957" s="10"/>
      <c r="Y7957" s="10"/>
      <c r="Z7957" s="10"/>
    </row>
    <row r="7958" spans="1:26" ht="12.75">
      <c r="A7958" s="10" t="str">
        <f ca="1">IFERROR(__xludf.DUMMYFUNCTION("""COMPUTED_VALUE"""),"Христо Луков Матанов")</f>
        <v>Христо Луков Матанов</v>
      </c>
      <c r="B7958" s="10" t="str">
        <f ca="1">IFERROR(__xludf.DUMMYFUNCTION("""COMPUTED_VALUE"""),"Статия в списания и поредици")</f>
        <v>Статия в списания и поредици</v>
      </c>
      <c r="C7958" s="10" t="str">
        <f ca="1">IFERROR(__xludf.DUMMYFUNCTION("""COMPUTED_VALUE"""),"Феодални княжества в Югозападните български земи, отразени в османската административно-териториална система")</f>
        <v>Феодални княжества в Югозападните български земи, отразени в османската административно-териториална система</v>
      </c>
      <c r="D7958" s="10">
        <f ca="1">IFERROR(__xludf.DUMMYFUNCTION("""COMPUTED_VALUE"""),1984)</f>
        <v>1984</v>
      </c>
      <c r="E7958" s="10" t="str">
        <f ca="1">IFERROR(__xludf.DUMMYFUNCTION("""COMPUTED_VALUE"""),"Исторически преглед, 5, 1984, 78-86.")</f>
        <v>Исторически преглед, 5, 1984, 78-86.</v>
      </c>
      <c r="F7958" s="10"/>
      <c r="G7958" s="10"/>
      <c r="H7958" s="10"/>
      <c r="I7958" s="10"/>
      <c r="J7958" s="10"/>
      <c r="K7958" s="10"/>
      <c r="L7958" s="10"/>
      <c r="M7958" s="10"/>
      <c r="N7958" s="10"/>
      <c r="O7958" s="10"/>
      <c r="P7958" s="10"/>
      <c r="Q7958" s="10"/>
      <c r="R7958" s="10"/>
      <c r="S7958" s="10"/>
      <c r="T7958" s="10"/>
      <c r="U7958" s="10"/>
      <c r="V7958" s="10"/>
      <c r="W7958" s="10"/>
      <c r="X7958" s="10"/>
      <c r="Y7958" s="10"/>
      <c r="Z7958" s="10"/>
    </row>
    <row r="7959" spans="1:26" ht="12.75">
      <c r="A7959" s="10" t="str">
        <f ca="1">IFERROR(__xludf.DUMMYFUNCTION("""COMPUTED_VALUE"""),"Христо Луков Матанов")</f>
        <v>Христо Луков Матанов</v>
      </c>
      <c r="B7959" s="10" t="str">
        <f ca="1">IFERROR(__xludf.DUMMYFUNCTION("""COMPUTED_VALUE"""),"Статия в списания и поредици")</f>
        <v>Статия в списания и поредици</v>
      </c>
      <c r="C7959" s="10" t="str">
        <f ca="1">IFERROR(__xludf.DUMMYFUNCTION("""COMPUTED_VALUE"""),"Problems of the State Structures in the South-West Balkan Lands during the Second Half of the 14-th Century")</f>
        <v>Problems of the State Structures in the South-West Balkan Lands during the Second Half of the 14-th Century</v>
      </c>
      <c r="D7959" s="10">
        <f ca="1">IFERROR(__xludf.DUMMYFUNCTION("""COMPUTED_VALUE"""),1984)</f>
        <v>1984</v>
      </c>
      <c r="E7959" s="10" t="str">
        <f ca="1">IFERROR(__xludf.DUMMYFUNCTION("""COMPUTED_VALUE"""),"Etudes Balkaniques, XX, 1984, 1, 116-125.")</f>
        <v>Etudes Balkaniques, XX, 1984, 1, 116-125.</v>
      </c>
      <c r="F7959" s="10"/>
      <c r="G7959" s="10"/>
      <c r="H7959" s="10"/>
      <c r="I7959" s="10"/>
      <c r="J7959" s="10"/>
      <c r="K7959" s="10"/>
      <c r="L7959" s="10"/>
      <c r="M7959" s="10"/>
      <c r="N7959" s="10"/>
      <c r="O7959" s="10"/>
      <c r="P7959" s="10"/>
      <c r="Q7959" s="10"/>
      <c r="R7959" s="10"/>
      <c r="S7959" s="10"/>
      <c r="T7959" s="10"/>
      <c r="U7959" s="10"/>
      <c r="V7959" s="10"/>
      <c r="W7959" s="10"/>
      <c r="X7959" s="10"/>
      <c r="Y7959" s="10"/>
      <c r="Z7959" s="10"/>
    </row>
    <row r="7960" spans="1:26" ht="12.75">
      <c r="A7960" s="10" t="str">
        <f ca="1">IFERROR(__xludf.DUMMYFUNCTION("""COMPUTED_VALUE"""),"Христо Луков Матанов")</f>
        <v>Христо Луков Матанов</v>
      </c>
      <c r="B7960" s="10" t="str">
        <f ca="1">IFERROR(__xludf.DUMMYFUNCTION("""COMPUTED_VALUE"""),"Статия в списания и поредици")</f>
        <v>Статия в списания и поредици</v>
      </c>
      <c r="C7960" s="10" t="str">
        <f ca="1">IFERROR(__xludf.DUMMYFUNCTION("""COMPUTED_VALUE"""),"Света гора и политическите отношения между балканските държави през третата четвърт на XIV в.")</f>
        <v>Света гора и политическите отношения между балканските държави през третата четвърт на XIV в.</v>
      </c>
      <c r="D7960" s="10">
        <f ca="1">IFERROR(__xludf.DUMMYFUNCTION("""COMPUTED_VALUE"""),1984)</f>
        <v>1984</v>
      </c>
      <c r="E7960" s="10" t="str">
        <f ca="1">IFERROR(__xludf.DUMMYFUNCTION("""COMPUTED_VALUE"""),"Търновска книжовна школа. Т. 3. Григорий Цамблак: Живот и творчество. Трети международен симпозиум Велико Търново, 12-15 ноември 1980. София, изд. БАН, 1984, 353-358.")</f>
        <v>Търновска книжовна школа. Т. 3. Григорий Цамблак: Живот и творчество. Трети международен симпозиум Велико Търново, 12-15 ноември 1980. София, изд. БАН, 1984, 353-358.</v>
      </c>
      <c r="F7960" s="10"/>
      <c r="G7960" s="10"/>
      <c r="H7960" s="10"/>
      <c r="I7960" s="10"/>
      <c r="J7960" s="10"/>
      <c r="K7960" s="10"/>
      <c r="L7960" s="10"/>
      <c r="M7960" s="10"/>
      <c r="N7960" s="10"/>
      <c r="O7960" s="10"/>
      <c r="P7960" s="10"/>
      <c r="Q7960" s="10"/>
      <c r="R7960" s="10"/>
      <c r="S7960" s="10"/>
      <c r="T7960" s="10"/>
      <c r="U7960" s="10"/>
      <c r="V7960" s="10"/>
      <c r="W7960" s="10"/>
      <c r="X7960" s="10"/>
      <c r="Y7960" s="10"/>
      <c r="Z7960" s="10"/>
    </row>
    <row r="7961" spans="1:26" ht="12.75">
      <c r="A7961" s="10" t="str">
        <f ca="1">IFERROR(__xludf.DUMMYFUNCTION("""COMPUTED_VALUE"""),"Христо Луков Матанов")</f>
        <v>Христо Луков Матанов</v>
      </c>
      <c r="B7961" s="10" t="str">
        <f ca="1">IFERROR(__xludf.DUMMYFUNCTION("""COMPUTED_VALUE"""),"Статия в списания и поредици")</f>
        <v>Статия в списания и поредици</v>
      </c>
      <c r="C7961" s="10" t="str">
        <f ca="1">IFERROR(__xludf.DUMMYFUNCTION("""COMPUTED_VALUE"""),"Произходът на феодалния род Драгаши (Деяновичи).")</f>
        <v>Произходът на феодалния род Драгаши (Деяновичи).</v>
      </c>
      <c r="D7961" s="10">
        <f ca="1">IFERROR(__xludf.DUMMYFUNCTION("""COMPUTED_VALUE"""),1984)</f>
        <v>1984</v>
      </c>
      <c r="E7961" s="10" t="str">
        <f ca="1">IFERROR(__xludf.DUMMYFUNCTION("""COMPUTED_VALUE"""),"Векове, 6, 1984, 34-38.")</f>
        <v>Векове, 6, 1984, 34-38.</v>
      </c>
      <c r="F7961" s="10"/>
      <c r="G7961" s="10"/>
      <c r="H7961" s="10"/>
      <c r="I7961" s="10"/>
      <c r="J7961" s="10"/>
      <c r="K7961" s="10"/>
      <c r="L7961" s="10"/>
      <c r="M7961" s="10"/>
      <c r="N7961" s="10"/>
      <c r="O7961" s="10"/>
      <c r="P7961" s="10"/>
      <c r="Q7961" s="10"/>
      <c r="R7961" s="10"/>
      <c r="S7961" s="10"/>
      <c r="T7961" s="10"/>
      <c r="U7961" s="10"/>
      <c r="V7961" s="10"/>
      <c r="W7961" s="10"/>
      <c r="X7961" s="10"/>
      <c r="Y7961" s="10"/>
      <c r="Z7961" s="10"/>
    </row>
    <row r="7962" spans="1:26" ht="12.75">
      <c r="A7962" s="10" t="str">
        <f ca="1">IFERROR(__xludf.DUMMYFUNCTION("""COMPUTED_VALUE"""),"Христо Луков Матанов")</f>
        <v>Христо Луков Матанов</v>
      </c>
      <c r="B7962" s="10" t="str">
        <f ca="1">IFERROR(__xludf.DUMMYFUNCTION("""COMPUTED_VALUE"""),"Статия в списания и поредици")</f>
        <v>Статия в списания и поредици</v>
      </c>
      <c r="C7962" s="10" t="str">
        <f ca="1">IFERROR(__xludf.DUMMYFUNCTION("""COMPUTED_VALUE"""),"Radoslav Hlapen - souverain feodale en Macedoine meridionale durant le troisieme quart du XIV-e siecle.")</f>
        <v>Radoslav Hlapen - souverain feodale en Macedoine meridionale durant le troisieme quart du XIV-e siecle.</v>
      </c>
      <c r="D7962" s="10">
        <f ca="1">IFERROR(__xludf.DUMMYFUNCTION("""COMPUTED_VALUE"""),1983)</f>
        <v>1983</v>
      </c>
      <c r="E7962" s="10" t="str">
        <f ca="1">IFERROR(__xludf.DUMMYFUNCTION("""COMPUTED_VALUE"""),"Etudes Balkaniques, XIX, 1983, 4, 68-87.")</f>
        <v>Etudes Balkaniques, XIX, 1983, 4, 68-87.</v>
      </c>
      <c r="F7962" s="10"/>
      <c r="G7962" s="10"/>
      <c r="H7962" s="10"/>
      <c r="I7962" s="10"/>
      <c r="J7962" s="10"/>
      <c r="K7962" s="10"/>
      <c r="L7962" s="10"/>
      <c r="M7962" s="10"/>
      <c r="N7962" s="10"/>
      <c r="O7962" s="10"/>
      <c r="P7962" s="10"/>
      <c r="Q7962" s="10"/>
      <c r="R7962" s="10"/>
      <c r="S7962" s="10"/>
      <c r="T7962" s="10"/>
      <c r="U7962" s="10"/>
      <c r="V7962" s="10"/>
      <c r="W7962" s="10"/>
      <c r="X7962" s="10"/>
      <c r="Y7962" s="10"/>
      <c r="Z7962" s="10"/>
    </row>
    <row r="7963" spans="1:26" ht="12.75">
      <c r="A7963" s="10" t="str">
        <f ca="1">IFERROR(__xludf.DUMMYFUNCTION("""COMPUTED_VALUE"""),"Христо Луков Матанов")</f>
        <v>Христо Луков Матанов</v>
      </c>
      <c r="B7963" s="10" t="str">
        <f ca="1">IFERROR(__xludf.DUMMYFUNCTION("""COMPUTED_VALUE"""),"Статия в списания и поредици")</f>
        <v>Статия в списания и поредици</v>
      </c>
      <c r="C7963" s="10" t="str">
        <f ca="1">IFERROR(__xludf.DUMMYFUNCTION("""COMPUTED_VALUE"""),"Два малко използвани извора за българи в Епир и Тесалия през XIV в.")</f>
        <v>Два малко използвани извора за българи в Епир и Тесалия през XIV в.</v>
      </c>
      <c r="D7963" s="10">
        <f ca="1">IFERROR(__xludf.DUMMYFUNCTION("""COMPUTED_VALUE"""),1982)</f>
        <v>1982</v>
      </c>
      <c r="E7963" s="10" t="str">
        <f ca="1">IFERROR(__xludf.DUMMYFUNCTION("""COMPUTED_VALUE"""),"Векове, 5, 1982, 81-87")</f>
        <v>Векове, 5, 1982, 81-87</v>
      </c>
      <c r="F7963" s="10"/>
      <c r="G7963" s="10"/>
      <c r="H7963" s="10"/>
      <c r="I7963" s="10"/>
      <c r="J7963" s="10"/>
      <c r="K7963" s="10"/>
      <c r="L7963" s="10"/>
      <c r="M7963" s="10"/>
      <c r="N7963" s="10"/>
      <c r="O7963" s="10"/>
      <c r="P7963" s="10"/>
      <c r="Q7963" s="10"/>
      <c r="R7963" s="10"/>
      <c r="S7963" s="10"/>
      <c r="T7963" s="10"/>
      <c r="U7963" s="10"/>
      <c r="V7963" s="10"/>
      <c r="W7963" s="10"/>
      <c r="X7963" s="10"/>
      <c r="Y7963" s="10"/>
      <c r="Z7963" s="10"/>
    </row>
    <row r="7964" spans="1:26" ht="12.75">
      <c r="A7964" s="10" t="str">
        <f ca="1">IFERROR(__xludf.DUMMYFUNCTION("""COMPUTED_VALUE"""),"Христо Луков Матанов")</f>
        <v>Христо Луков Матанов</v>
      </c>
      <c r="B7964" s="10" t="str">
        <f ca="1">IFERROR(__xludf.DUMMYFUNCTION("""COMPUTED_VALUE"""),"Статия в списания и поредици")</f>
        <v>Статия в списания и поредици</v>
      </c>
      <c r="C7964" s="10" t="str">
        <f ca="1">IFERROR(__xludf.DUMMYFUNCTION("""COMPUTED_VALUE"""),"Развитието на средновековната българска държава в системата на международните отношения на Балканите")</f>
        <v>Развитието на средновековната българска държава в системата на международните отношения на Балканите</v>
      </c>
      <c r="D7964" s="10">
        <f ca="1">IFERROR(__xludf.DUMMYFUNCTION("""COMPUTED_VALUE"""),1982)</f>
        <v>1982</v>
      </c>
      <c r="E7964" s="10" t="str">
        <f ca="1">IFERROR(__xludf.DUMMYFUNCTION("""COMPUTED_VALUE"""),"Първи международен конгрес по българистика. София, 23 май – 3 юни 1981 г. Българската държава през вековете. Т. 1. Средновековна българска държава. Българската държава през епохата на капитализма. С., БАН, 1982, 167–186.")</f>
        <v>Първи международен конгрес по българистика. София, 23 май – 3 юни 1981 г. Българската държава през вековете. Т. 1. Средновековна българска държава. Българската държава през епохата на капитализма. С., БАН, 1982, 167–186.</v>
      </c>
      <c r="F7964" s="10"/>
      <c r="G7964" s="10" t="str">
        <f ca="1">IFERROR(__xludf.DUMMYFUNCTION("""COMPUTED_VALUE"""),"В. Тъпкова-Заимова, И. Койчева")</f>
        <v>В. Тъпкова-Заимова, И. Койчева</v>
      </c>
      <c r="H7964" s="10"/>
      <c r="I7964" s="10"/>
      <c r="J7964" s="10"/>
      <c r="K7964" s="10"/>
      <c r="L7964" s="10"/>
      <c r="M7964" s="10"/>
      <c r="N7964" s="10"/>
      <c r="O7964" s="10"/>
      <c r="P7964" s="10"/>
      <c r="Q7964" s="10"/>
      <c r="R7964" s="10"/>
      <c r="S7964" s="10"/>
      <c r="T7964" s="10"/>
      <c r="U7964" s="10"/>
      <c r="V7964" s="10"/>
      <c r="W7964" s="10"/>
      <c r="X7964" s="10"/>
      <c r="Y7964" s="10"/>
      <c r="Z7964" s="10"/>
    </row>
    <row r="7965" spans="1:26" ht="12.75">
      <c r="A7965" s="10" t="str">
        <f ca="1">IFERROR(__xludf.DUMMYFUNCTION("""COMPUTED_VALUE"""),"Христо Луков Матанов")</f>
        <v>Христо Луков Матанов</v>
      </c>
      <c r="B7965" s="10" t="str">
        <f ca="1">IFERROR(__xludf.DUMMYFUNCTION("""COMPUTED_VALUE"""),"Статия в списания и поредици")</f>
        <v>Статия в списания и поредици</v>
      </c>
      <c r="C7965" s="10" t="str">
        <f ca="1">IFERROR(__xludf.DUMMYFUNCTION("""COMPUTED_VALUE"""),"Към въпроса за участието на българите в Черноменската битка 1371 г.")</f>
        <v>Към въпроса за участието на българите в Черноменската битка 1371 г.</v>
      </c>
      <c r="D7965" s="10">
        <f ca="1">IFERROR(__xludf.DUMMYFUNCTION("""COMPUTED_VALUE"""),1982)</f>
        <v>1982</v>
      </c>
      <c r="E7965" s="10" t="str">
        <f ca="1">IFERROR(__xludf.DUMMYFUNCTION("""COMPUTED_VALUE"""),"България и Балканите 681-1981. С., изд. Съюз на научните работници в България, 1982.")</f>
        <v>България и Балканите 681-1981. С., изд. Съюз на научните работници в България, 1982.</v>
      </c>
      <c r="F7965" s="10"/>
      <c r="G7965" s="10"/>
      <c r="H7965" s="10"/>
      <c r="I7965" s="10"/>
      <c r="J7965" s="10"/>
      <c r="K7965" s="10"/>
      <c r="L7965" s="10"/>
      <c r="M7965" s="10"/>
      <c r="N7965" s="10"/>
      <c r="O7965" s="10"/>
      <c r="P7965" s="10"/>
      <c r="Q7965" s="10"/>
      <c r="R7965" s="10"/>
      <c r="S7965" s="10"/>
      <c r="T7965" s="10"/>
      <c r="U7965" s="10"/>
      <c r="V7965" s="10"/>
      <c r="W7965" s="10"/>
      <c r="X7965" s="10"/>
      <c r="Y7965" s="10"/>
      <c r="Z7965" s="10"/>
    </row>
    <row r="7966" spans="1:26" ht="12.75">
      <c r="A7966" s="10" t="str">
        <f ca="1">IFERROR(__xludf.DUMMYFUNCTION("""COMPUTED_VALUE"""),"Христо Луков Матанов")</f>
        <v>Христо Луков Матанов</v>
      </c>
      <c r="B7966" s="10" t="str">
        <f ca="1">IFERROR(__xludf.DUMMYFUNCTION("""COMPUTED_VALUE"""),"Статия в списания и поредици")</f>
        <v>Статия в списания и поредици</v>
      </c>
      <c r="C7966" s="10" t="str">
        <f ca="1">IFERROR(__xludf.DUMMYFUNCTION("""COMPUTED_VALUE"""),"Le Mont Athos et les rapports politiques dans les Balkans durant la deuxieme moitie du XIV-e siecle. (1300e anniversaire de l’Etat bulgare).")</f>
        <v>Le Mont Athos et les rapports politiques dans les Balkans durant la deuxieme moitie du XIV-e siecle. (1300e anniversaire de l’Etat bulgare).</v>
      </c>
      <c r="D7966" s="10">
        <f ca="1">IFERROR(__xludf.DUMMYFUNCTION("""COMPUTED_VALUE"""),1981)</f>
        <v>1981</v>
      </c>
      <c r="E7966" s="10" t="str">
        <f ca="1">IFERROR(__xludf.DUMMYFUNCTION("""COMPUTED_VALUE"""),"Etudes Balkaniques, XVII, 1981, 2, 69-100.")</f>
        <v>Etudes Balkaniques, XVII, 1981, 2, 69-100.</v>
      </c>
      <c r="F7966" s="10"/>
      <c r="G7966" s="10"/>
      <c r="H7966" s="10"/>
      <c r="I7966" s="10"/>
      <c r="J7966" s="10"/>
      <c r="K7966" s="10"/>
      <c r="L7966" s="10"/>
      <c r="M7966" s="10"/>
      <c r="N7966" s="10"/>
      <c r="O7966" s="10"/>
      <c r="P7966" s="10"/>
      <c r="Q7966" s="10"/>
      <c r="R7966" s="10"/>
      <c r="S7966" s="10"/>
      <c r="T7966" s="10"/>
      <c r="U7966" s="10"/>
      <c r="V7966" s="10"/>
      <c r="W7966" s="10"/>
      <c r="X7966" s="10"/>
      <c r="Y7966" s="10"/>
      <c r="Z7966" s="10"/>
    </row>
    <row r="7967" spans="1:26" ht="12.75">
      <c r="A7967" s="10" t="str">
        <f ca="1">IFERROR(__xludf.DUMMYFUNCTION("""COMPUTED_VALUE"""),"Христо Луков Матанов")</f>
        <v>Христо Луков Матанов</v>
      </c>
      <c r="B7967" s="10" t="str">
        <f ca="1">IFERROR(__xludf.DUMMYFUNCTION("""COMPUTED_VALUE"""),"Статия в списания и поредици")</f>
        <v>Статия в списания и поредици</v>
      </c>
      <c r="C7967" s="10" t="str">
        <f ca="1">IFERROR(__xludf.DUMMYFUNCTION("""COMPUTED_VALUE"""),"Parents serbes et byzantins du Tsar Ivan Alexandre. (Quelques questions non élucidées des liens dynastiques dans les Balkans au XIVe siècle).")</f>
        <v>Parents serbes et byzantins du Tsar Ivan Alexandre. (Quelques questions non élucidées des liens dynastiques dans les Balkans au XIVe siècle).</v>
      </c>
      <c r="D7967" s="10">
        <f ca="1">IFERROR(__xludf.DUMMYFUNCTION("""COMPUTED_VALUE"""),1980)</f>
        <v>1980</v>
      </c>
      <c r="E7967" s="10" t="str">
        <f ca="1">IFERROR(__xludf.DUMMYFUNCTION("""COMPUTED_VALUE"""),"Etudes Balkaniques, XVI, 1980, 4, 107-117")</f>
        <v>Etudes Balkaniques, XVI, 1980, 4, 107-117</v>
      </c>
      <c r="F7967" s="10"/>
      <c r="G7967" s="10"/>
      <c r="H7967" s="10"/>
      <c r="I7967" s="10"/>
      <c r="J7967" s="10"/>
      <c r="K7967" s="10"/>
      <c r="L7967" s="10"/>
      <c r="M7967" s="10"/>
      <c r="N7967" s="10"/>
      <c r="O7967" s="10"/>
      <c r="P7967" s="10"/>
      <c r="Q7967" s="10"/>
      <c r="R7967" s="10"/>
      <c r="S7967" s="10"/>
      <c r="T7967" s="10"/>
      <c r="U7967" s="10"/>
      <c r="V7967" s="10"/>
      <c r="W7967" s="10"/>
      <c r="X7967" s="10"/>
      <c r="Y7967" s="10"/>
      <c r="Z7967" s="10"/>
    </row>
    <row r="7968" spans="1:26" ht="12.75">
      <c r="A7968" s="10" t="str">
        <f ca="1">IFERROR(__xludf.DUMMYFUNCTION("""COMPUTED_VALUE"""),"Христо Луков Матанов")</f>
        <v>Христо Луков Матанов</v>
      </c>
      <c r="B7968" s="10" t="str">
        <f ca="1">IFERROR(__xludf.DUMMYFUNCTION("""COMPUTED_VALUE"""),"Статия в списания и поредици")</f>
        <v>Статия в списания и поредици</v>
      </c>
      <c r="C7968" s="10" t="str">
        <f ca="1">IFERROR(__xludf.DUMMYFUNCTION("""COMPUTED_VALUE"""),"Представата за държавно устройство и царска власт в ""Българския апокрифен летопис"".")</f>
        <v>Представата за държавно устройство и царска власт в "Българския апокрифен летопис".</v>
      </c>
      <c r="D7968" s="10">
        <f ca="1">IFERROR(__xludf.DUMMYFUNCTION("""COMPUTED_VALUE"""),1980)</f>
        <v>1980</v>
      </c>
      <c r="E7968" s="10" t="str">
        <f ca="1">IFERROR(__xludf.DUMMYFUNCTION("""COMPUTED_VALUE"""),"Държавностно-политически традиции по българските земи: Сборник с материали от Втората национална конференция на младите историци, 14-16 ноем. 1979. Велико Търново, ВТУ ""Кирил и Методий"", 1980, 147-156.")</f>
        <v>Държавностно-политически традиции по българските земи: Сборник с материали от Втората национална конференция на младите историци, 14-16 ноем. 1979. Велико Търново, ВТУ "Кирил и Методий", 1980, 147-156.</v>
      </c>
      <c r="F7968" s="10"/>
      <c r="G7968" s="10"/>
      <c r="H7968" s="10"/>
      <c r="I7968" s="10"/>
      <c r="J7968" s="10"/>
      <c r="K7968" s="10"/>
      <c r="L7968" s="10"/>
      <c r="M7968" s="10"/>
      <c r="N7968" s="10"/>
      <c r="O7968" s="10"/>
      <c r="P7968" s="10"/>
      <c r="Q7968" s="10"/>
      <c r="R7968" s="10"/>
      <c r="S7968" s="10"/>
      <c r="T7968" s="10"/>
      <c r="U7968" s="10"/>
      <c r="V7968" s="10"/>
      <c r="W7968" s="10"/>
      <c r="X7968" s="10"/>
      <c r="Y7968" s="10"/>
      <c r="Z7968" s="10"/>
    </row>
    <row r="7969" spans="1:26" ht="12.75">
      <c r="A7969" s="10" t="str">
        <f ca="1">IFERROR(__xludf.DUMMYFUNCTION("""COMPUTED_VALUE"""),"Цветана Георгиева Петрова")</f>
        <v>Цветана Георгиева Петрова</v>
      </c>
      <c r="B7969" s="10" t="str">
        <f ca="1">IFERROR(__xludf.DUMMYFUNCTION("""COMPUTED_VALUE"""),"Статия в списания и поредици")</f>
        <v>Статия в списания и поредици</v>
      </c>
      <c r="C7969" s="10" t="str">
        <f ca="1">IFERROR(__xludf.DUMMYFUNCTION("""COMPUTED_VALUE"""),"„Змейова сватба“ на Петко Ю. Тодоров и „Горска песен“ на Леся Украинка (сецесионна/неоромантична топография)")</f>
        <v>„Змейова сватба“ на Петко Ю. Тодоров и „Горска песен“ на Леся Украинка (сецесионна/неоромантична топография)</v>
      </c>
      <c r="D7969" s="10">
        <f ca="1">IFERROR(__xludf.DUMMYFUNCTION("""COMPUTED_VALUE"""),2020)</f>
        <v>2020</v>
      </c>
      <c r="E7969" s="10" t="str">
        <f ca="1">IFERROR(__xludf.DUMMYFUNCTION("""COMPUTED_VALUE"""),"Български език и литература, т. 62, №2, 2020/ Bulgarian Language and Literature. Volume 62, Number 2, 2020. 124 – 139. ISSN 1314–8516 (Online) ISSN 0323–9519 (Print)")</f>
        <v>Български език и литература, т. 62, №2, 2020/ Bulgarian Language and Literature. Volume 62, Number 2, 2020. 124 – 139. ISSN 1314–8516 (Online) ISSN 0323–9519 (Print)</v>
      </c>
      <c r="F7969" s="10" t="str">
        <f ca="1">IFERROR(__xludf.DUMMYFUNCTION("""COMPUTED_VALUE"""),"Статиите на сп. Български език и литература
 се реферират, индексират и листват в:
 – Web of Science: Emerging Sources Citation Index
 – European Reference Index for the Humanities
 and the Social Sciences (ERIH PLUS)
 – Central and Eastern European Onlin"&amp;"e Library (CEEOL)
 – EBSCOhost Research Databases
 – Google Scholar, Primo (Ex Libris), Summon (ProQuest)")</f>
        <v>Статиите на сп. Български език и литература
 се реферират, индексират и листват в:
 – Web of Science: Emerging Sources Citation Index
 – European Reference Index for the Humanities
 and the Social Sciences (ERIH PLUS)
 – Central and Eastern European Online Library (CEEOL)
 – EBSCOhost Research Databases
 – Google Scholar, Primo (Ex Libris), Summon (ProQuest)</v>
      </c>
      <c r="G7969" s="10"/>
      <c r="H7969" s="10"/>
      <c r="I7969" s="10"/>
      <c r="J7969" s="10"/>
      <c r="K7969" s="10"/>
      <c r="L7969" s="10"/>
      <c r="M7969" s="10"/>
      <c r="N7969" s="10"/>
      <c r="O7969" s="10"/>
      <c r="P7969" s="10"/>
      <c r="Q7969" s="10"/>
      <c r="R7969" s="10"/>
      <c r="S7969" s="10"/>
      <c r="T7969" s="10"/>
      <c r="U7969" s="10"/>
      <c r="V7969" s="10"/>
      <c r="W7969" s="10"/>
      <c r="X7969" s="10"/>
      <c r="Y7969" s="10"/>
      <c r="Z7969" s="10"/>
    </row>
    <row r="7970" spans="1:26" ht="12.75">
      <c r="A7970" s="10" t="str">
        <f ca="1">IFERROR(__xludf.DUMMYFUNCTION("""COMPUTED_VALUE"""),"Цветана Георгиева Петрова")</f>
        <v>Цветана Георгиева Петрова</v>
      </c>
      <c r="B7970" s="10" t="str">
        <f ca="1">IFERROR(__xludf.DUMMYFUNCTION("""COMPUTED_VALUE"""),"Статия в списания и поредици")</f>
        <v>Статия в списания и поредици</v>
      </c>
      <c r="C7970" s="10" t="str">
        <f ca="1">IFERROR(__xludf.DUMMYFUNCTION("""COMPUTED_VALUE"""),"Сецесионът (декоративизмът) на Чавдар Мутафов: „Празникът“ и „Зимна утрин“")</f>
        <v>Сецесионът (декоративизмът) на Чавдар Мутафов: „Празникът“ и „Зимна утрин“</v>
      </c>
      <c r="D7970" s="10">
        <f ca="1">IFERROR(__xludf.DUMMYFUNCTION("""COMPUTED_VALUE"""),2019)</f>
        <v>2019</v>
      </c>
      <c r="E7970" s="10" t="str">
        <f ca="1">IFERROR(__xludf.DUMMYFUNCTION("""COMPUTED_VALUE"""),"// „Дзяло“. Е-списание в областта на хуманитаристиката за българистични изследвания в периода Х-ХХI век, ISSN 1314-9067, НАЦИД: ДЗЯЛО. 1314-9067 (оnline), год. VII, 2019, брой 13. [URL: http://www.abcdar.com/magazine/XIII/Georgieva_2_1314-9067_XIII.pdf] ("&amp;"видяно 15.07.2019)")</f>
        <v>// „Дзяло“. Е-списание в областта на хуманитаристиката за българистични изследвания в периода Х-ХХI век, ISSN 1314-9067, НАЦИД: ДЗЯЛО. 1314-9067 (оnline), год. VII, 2019, брой 13. [URL: http://www.abcdar.com/magazine/XIII/Georgieva_2_1314-9067_XIII.pdf] (видяно 15.07.2019)</v>
      </c>
      <c r="F7970" s="10"/>
      <c r="G7970" s="10"/>
      <c r="H7970" s="10"/>
      <c r="I7970" s="10"/>
      <c r="J7970" s="10"/>
      <c r="K7970" s="10"/>
      <c r="L7970" s="10"/>
      <c r="M7970" s="10"/>
      <c r="N7970" s="10"/>
      <c r="O7970" s="10"/>
      <c r="P7970" s="10"/>
      <c r="Q7970" s="10"/>
      <c r="R7970" s="10"/>
      <c r="S7970" s="10"/>
      <c r="T7970" s="10"/>
      <c r="U7970" s="10"/>
      <c r="V7970" s="10"/>
      <c r="W7970" s="10"/>
      <c r="X7970" s="10"/>
      <c r="Y7970" s="10"/>
      <c r="Z7970" s="10"/>
    </row>
    <row r="7971" spans="1:26" ht="12.75">
      <c r="A7971" s="10" t="str">
        <f ca="1">IFERROR(__xludf.DUMMYFUNCTION("""COMPUTED_VALUE"""),"Цветана Георгиева Петрова")</f>
        <v>Цветана Георгиева Петрова</v>
      </c>
      <c r="B7971" s="10" t="str">
        <f ca="1">IFERROR(__xludf.DUMMYFUNCTION("""COMPUTED_VALUE"""),"Учебно пособие")</f>
        <v>Учебно пособие</v>
      </c>
      <c r="C7971" s="10" t="str">
        <f ca="1">IFERROR(__xludf.DUMMYFUNCTION("""COMPUTED_VALUE"""),"История на българската литература")</f>
        <v>История на българската литература</v>
      </c>
      <c r="D7971" s="10">
        <f ca="1">IFERROR(__xludf.DUMMYFUNCTION("""COMPUTED_VALUE"""),2019)</f>
        <v>2019</v>
      </c>
      <c r="E7971" s="10" t="str">
        <f ca="1">IFERROR(__xludf.DUMMYFUNCTION("""COMPUTED_VALUE"""),"Iсторiя слов`янських лiтератур (сербсяка, хорватська, словенська, болгарська, чеська, бiлоруська). Навчально-методичний комплекс для студентiв освiтнього рiвня „бакалавр“ Кафедри слов`янськоï филологиï. МОН – Украïни, КНУ iменi Тараса Шевченка. Киïв. ВД „"&amp;"Освiта Украïни“, 2019. 118 – 159. ISBN: 978-617-7777-21-1")</f>
        <v>Iсторiя слов`янських лiтератур (сербсяка, хорватська, словенська, болгарська, чеська, бiлоруська). Навчально-методичний комплекс для студентiв освiтнього рiвня „бакалавр“ Кафедри слов`янськоï филологиï. МОН – Украïни, КНУ iменi Тараса Шевченка. Киïв. ВД „Освiта Украïни“, 2019. 118 – 159. ISBN: 978-617-7777-21-1</v>
      </c>
      <c r="F7971" s="10"/>
      <c r="G7971" s="10"/>
      <c r="H7971" s="10"/>
      <c r="I7971" s="10"/>
      <c r="J7971" s="10"/>
      <c r="K7971" s="10"/>
      <c r="L7971" s="10"/>
      <c r="M7971" s="10"/>
      <c r="N7971" s="10"/>
      <c r="O7971" s="10"/>
      <c r="P7971" s="10"/>
      <c r="Q7971" s="10"/>
      <c r="R7971" s="10"/>
      <c r="S7971" s="10"/>
      <c r="T7971" s="10"/>
      <c r="U7971" s="10"/>
      <c r="V7971" s="10"/>
      <c r="W7971" s="10"/>
      <c r="X7971" s="10"/>
      <c r="Y7971" s="10"/>
      <c r="Z7971" s="10"/>
    </row>
    <row r="7972" spans="1:26" ht="12.75">
      <c r="A7972" s="10" t="str">
        <f ca="1">IFERROR(__xludf.DUMMYFUNCTION("""COMPUTED_VALUE"""),"Цветана Георгиева Петрова")</f>
        <v>Цветана Георгиева Петрова</v>
      </c>
      <c r="B7972" s="10" t="str">
        <f ca="1">IFERROR(__xludf.DUMMYFUNCTION("""COMPUTED_VALUE"""),"Статия в списания и поредици")</f>
        <v>Статия в списания и поредици</v>
      </c>
      <c r="C7972" s="10" t="str">
        <f ca="1">IFERROR(__xludf.DUMMYFUNCTION("""COMPUTED_VALUE"""),"„Сецесион/ Модерн в София и Киев: европейски контекст“ („Сецесія/ Модерн у Києві та Софії: європейський контекст“)")</f>
        <v>„Сецесион/ Модерн в София и Киев: европейски контекст“ („Сецесія/ Модерн у Києві та Софії: європейський контекст“)</v>
      </c>
      <c r="D7972" s="10">
        <f ca="1">IFERROR(__xludf.DUMMYFUNCTION("""COMPUTED_VALUE"""),2019)</f>
        <v>2019</v>
      </c>
      <c r="E7972" s="10" t="str">
        <f ca="1">IFERROR(__xludf.DUMMYFUNCTION("""COMPUTED_VALUE"""),"Конференция // Дзяло. Е-списание в областта на хуманитаристиката за българистични изследвания в периода Х-ХХI век. ISSN 1314-9067, НАЦИД: ДЗЯЛО. 1314-9067 (оnline), год. VII, 2019, брой 13. [URL: http://www.abcdar.com/magazine/XIII/Georgieva_1_1314-9067_X"&amp;"III.pdf] (видяно 15.09.2019)")</f>
        <v>Конференция // Дзяло. Е-списание в областта на хуманитаристиката за българистични изследвания в периода Х-ХХI век. ISSN 1314-9067, НАЦИД: ДЗЯЛО. 1314-9067 (оnline), год. VII, 2019, брой 13. [URL: http://www.abcdar.com/magazine/XIII/Georgieva_1_1314-9067_XIII.pdf] (видяно 15.09.2019)</v>
      </c>
      <c r="F7972" s="10"/>
      <c r="G7972" s="10"/>
      <c r="H7972" s="10"/>
      <c r="I7972" s="10"/>
      <c r="J7972" s="10"/>
      <c r="K7972" s="10"/>
      <c r="L7972" s="10"/>
      <c r="M7972" s="10"/>
      <c r="N7972" s="10"/>
      <c r="O7972" s="10"/>
      <c r="P7972" s="10"/>
      <c r="Q7972" s="10"/>
      <c r="R7972" s="10"/>
      <c r="S7972" s="10"/>
      <c r="T7972" s="10"/>
      <c r="U7972" s="10"/>
      <c r="V7972" s="10"/>
      <c r="W7972" s="10"/>
      <c r="X7972" s="10"/>
      <c r="Y7972" s="10"/>
      <c r="Z7972" s="10"/>
    </row>
    <row r="7973" spans="1:26" ht="12.75">
      <c r="A7973" s="10" t="str">
        <f ca="1">IFERROR(__xludf.DUMMYFUNCTION("""COMPUTED_VALUE"""),"Цветана Георгиева Петрова")</f>
        <v>Цветана Георгиева Петрова</v>
      </c>
      <c r="B7973" s="10" t="str">
        <f ca="1">IFERROR(__xludf.DUMMYFUNCTION("""COMPUTED_VALUE"""),"Статия в списания и поредици")</f>
        <v>Статия в списания и поредици</v>
      </c>
      <c r="C7973" s="10" t="str">
        <f ca="1">IFERROR(__xludf.DUMMYFUNCTION("""COMPUTED_VALUE"""),"Окултната и християнска мистика на страниците на сп. „Хиперион“")</f>
        <v>Окултната и християнска мистика на страниците на сп. „Хиперион“</v>
      </c>
      <c r="D7973" s="10">
        <f ca="1">IFERROR(__xludf.DUMMYFUNCTION("""COMPUTED_VALUE"""),2019)</f>
        <v>2019</v>
      </c>
      <c r="E7973" s="10" t="str">
        <f ca="1">IFERROR(__xludf.DUMMYFUNCTION("""COMPUTED_VALUE"""),"// [URL: http://bgmodernism.com/Nauchni-statii/cv_georgieva] (видяно 15.07.2019)")</f>
        <v>// [URL: http://bgmodernism.com/Nauchni-statii/cv_georgieva] (видяно 15.07.2019)</v>
      </c>
      <c r="F7973" s="10"/>
      <c r="G7973" s="10"/>
      <c r="H7973" s="10"/>
      <c r="I7973" s="10"/>
      <c r="J7973" s="10"/>
      <c r="K7973" s="10"/>
      <c r="L7973" s="10"/>
      <c r="M7973" s="10"/>
      <c r="N7973" s="10"/>
      <c r="O7973" s="10"/>
      <c r="P7973" s="10"/>
      <c r="Q7973" s="10"/>
      <c r="R7973" s="10"/>
      <c r="S7973" s="10"/>
      <c r="T7973" s="10"/>
      <c r="U7973" s="10"/>
      <c r="V7973" s="10"/>
      <c r="W7973" s="10"/>
      <c r="X7973" s="10"/>
      <c r="Y7973" s="10"/>
      <c r="Z7973" s="10"/>
    </row>
    <row r="7974" spans="1:26" ht="12.75">
      <c r="A7974" s="10" t="str">
        <f ca="1">IFERROR(__xludf.DUMMYFUNCTION("""COMPUTED_VALUE"""),"Цветана Георгиева Петрова")</f>
        <v>Цветана Георгиева Петрова</v>
      </c>
      <c r="B7974" s="10" t="str">
        <f ca="1">IFERROR(__xludf.DUMMYFUNCTION("""COMPUTED_VALUE"""),"Статия в списания и поредици")</f>
        <v>Статия в списания и поредици</v>
      </c>
      <c r="C7974" s="10" t="str">
        <f ca="1">IFERROR(__xludf.DUMMYFUNCTION("""COMPUTED_VALUE"""),"Флорални мотиви в декоративната лирика на Емануил Попдимитров")</f>
        <v>Флорални мотиви в декоративната лирика на Емануил Попдимитров</v>
      </c>
      <c r="D7974" s="10">
        <f ca="1">IFERROR(__xludf.DUMMYFUNCTION("""COMPUTED_VALUE"""),2019)</f>
        <v>2019</v>
      </c>
      <c r="E7974" s="10" t="str">
        <f ca="1">IFERROR(__xludf.DUMMYFUNCTION("""COMPUTED_VALUE"""),"// Дзяло. Е-списание в областта на хуманитаристиката Х-ХХI в. год. VII, 2019, брой 13; ISSN 1314-9067 [URL: http://www.abcdar.com/magazine/XIII/Georgieva_1314-9067_XIII.pdf] (видяно 15.07.2019)")</f>
        <v>// Дзяло. Е-списание в областта на хуманитаристиката Х-ХХI в. год. VII, 2019, брой 13; ISSN 1314-9067 [URL: http://www.abcdar.com/magazine/XIII/Georgieva_1314-9067_XIII.pdf] (видяно 15.07.2019)</v>
      </c>
      <c r="F7974" s="10"/>
      <c r="G7974" s="10"/>
      <c r="H7974" s="10"/>
      <c r="I7974" s="10"/>
      <c r="J7974" s="10"/>
      <c r="K7974" s="10"/>
      <c r="L7974" s="10"/>
      <c r="M7974" s="10"/>
      <c r="N7974" s="10"/>
      <c r="O7974" s="10"/>
      <c r="P7974" s="10"/>
      <c r="Q7974" s="10"/>
      <c r="R7974" s="10"/>
      <c r="S7974" s="10"/>
      <c r="T7974" s="10"/>
      <c r="U7974" s="10"/>
      <c r="V7974" s="10"/>
      <c r="W7974" s="10"/>
      <c r="X7974" s="10"/>
      <c r="Y7974" s="10"/>
      <c r="Z7974" s="10"/>
    </row>
    <row r="7975" spans="1:26" ht="12.75">
      <c r="A7975" s="10" t="str">
        <f ca="1">IFERROR(__xludf.DUMMYFUNCTION("""COMPUTED_VALUE"""),"Цветана Георгиева Петрова")</f>
        <v>Цветана Георгиева Петрова</v>
      </c>
      <c r="B7975" s="10" t="str">
        <f ca="1">IFERROR(__xludf.DUMMYFUNCTION("""COMPUTED_VALUE"""),"Статия в списания и поредици")</f>
        <v>Статия в списания и поредици</v>
      </c>
      <c r="C7975" s="10" t="str">
        <f ca="1">IFERROR(__xludf.DUMMYFUNCTION("""COMPUTED_VALUE"""),"Хумористични концепции за историята. Христо Бръзицов и Райко Алексиев")</f>
        <v>Хумористични концепции за историята. Христо Бръзицов и Райко Алексиев</v>
      </c>
      <c r="D7975" s="10">
        <f ca="1">IFERROR(__xludf.DUMMYFUNCTION("""COMPUTED_VALUE"""),2019)</f>
        <v>2019</v>
      </c>
      <c r="E7975" s="10" t="str">
        <f ca="1">IFERROR(__xludf.DUMMYFUNCTION("""COMPUTED_VALUE"""),"// [URL: Balkan Academic Review, 2019/ №1. - http://balkan.academy/?fbclid=IwAR0TxnJyVe4vI-MqJn2HtWITyON5QyqVPyx7GBe1Iyhx8Oly6ODsnmsHXhw] (видяно 15.07.2019)")</f>
        <v>// [URL: Balkan Academic Review, 2019/ №1. - http://balkan.academy/?fbclid=IwAR0TxnJyVe4vI-MqJn2HtWITyON5QyqVPyx7GBe1Iyhx8Oly6ODsnmsHXhw] (видяно 15.07.2019)</v>
      </c>
      <c r="F7975" s="10"/>
      <c r="G7975" s="10"/>
      <c r="H7975" s="10"/>
      <c r="I7975" s="10"/>
      <c r="J7975" s="10"/>
      <c r="K7975" s="10"/>
      <c r="L7975" s="10"/>
      <c r="M7975" s="10"/>
      <c r="N7975" s="10"/>
      <c r="O7975" s="10"/>
      <c r="P7975" s="10"/>
      <c r="Q7975" s="10"/>
      <c r="R7975" s="10"/>
      <c r="S7975" s="10"/>
      <c r="T7975" s="10"/>
      <c r="U7975" s="10"/>
      <c r="V7975" s="10"/>
      <c r="W7975" s="10"/>
      <c r="X7975" s="10"/>
      <c r="Y7975" s="10"/>
      <c r="Z7975" s="10"/>
    </row>
    <row r="7976" spans="1:26" ht="12.75">
      <c r="A7976" s="10" t="str">
        <f ca="1">IFERROR(__xludf.DUMMYFUNCTION("""COMPUTED_VALUE"""),"Цветана Георгиева Петрова")</f>
        <v>Цветана Георгиева Петрова</v>
      </c>
      <c r="B7976" s="10" t="str">
        <f ca="1">IFERROR(__xludf.DUMMYFUNCTION("""COMPUTED_VALUE"""),"Статия в списания и поредици")</f>
        <v>Статия в списания и поредици</v>
      </c>
      <c r="C7976" s="10" t="str">
        <f ca="1">IFERROR(__xludf.DUMMYFUNCTION("""COMPUTED_VALUE"""),"Eвропейската война през погледа на левите експресионисти у нас (Гео Милев – Ламар)")</f>
        <v>Eвропейската война през погледа на левите експресионисти у нас (Гео Милев – Ламар)</v>
      </c>
      <c r="D7976" s="10">
        <f ca="1">IFERROR(__xludf.DUMMYFUNCTION("""COMPUTED_VALUE"""),2018)</f>
        <v>2018</v>
      </c>
      <c r="E7976" s="10" t="str">
        <f ca="1">IFERROR(__xludf.DUMMYFUNCTION("""COMPUTED_VALUE"""),"Сп. „Литературна мисъл“: ISSN (print) 0324-0495;ISSN: (online) 1314- 9237.Печатно.")</f>
        <v>Сп. „Литературна мисъл“: ISSN (print) 0324-0495;ISSN: (online) 1314- 9237.Печатно.</v>
      </c>
      <c r="F7976" s="10" t="str">
        <f ca="1">IFERROR(__xludf.DUMMYFUNCTION("""COMPUTED_VALUE"""),"Сп. „Литературна мисъл“ :
 Списък на европейските реферирани списания в хуманитарната област ЕRIH PLUS (European Reference Index for the Humanities), ESF Standing Committee for the Humanities (SCH) и е индексирано в РИНЦ (elibrary.ru)")</f>
        <v>Сп. „Литературна мисъл“ :
 Списък на европейските реферирани списания в хуманитарната област ЕRIH PLUS (European Reference Index for the Humanities), ESF Standing Committee for the Humanities (SCH) и е индексирано в РИНЦ (elibrary.ru)</v>
      </c>
      <c r="G7976" s="10"/>
      <c r="H7976" s="10"/>
      <c r="I7976" s="10"/>
      <c r="J7976" s="10"/>
      <c r="K7976" s="10"/>
      <c r="L7976" s="10"/>
      <c r="M7976" s="10"/>
      <c r="N7976" s="10"/>
      <c r="O7976" s="10"/>
      <c r="P7976" s="10"/>
      <c r="Q7976" s="10"/>
      <c r="R7976" s="10"/>
      <c r="S7976" s="10"/>
      <c r="T7976" s="10"/>
      <c r="U7976" s="10"/>
      <c r="V7976" s="10"/>
      <c r="W7976" s="10"/>
      <c r="X7976" s="10"/>
      <c r="Y7976" s="10"/>
      <c r="Z7976" s="10"/>
    </row>
    <row r="7977" spans="1:26" ht="12.75">
      <c r="A7977" s="10" t="str">
        <f ca="1">IFERROR(__xludf.DUMMYFUNCTION("""COMPUTED_VALUE"""),"Цветана Георгиева Петрова")</f>
        <v>Цветана Георгиева Петрова</v>
      </c>
      <c r="B7977" s="10" t="str">
        <f ca="1">IFERROR(__xludf.DUMMYFUNCTION("""COMPUTED_VALUE"""),"Статия в списания и поредици")</f>
        <v>Статия в списания и поредици</v>
      </c>
      <c r="C7977" s="10" t="str">
        <f ca="1">IFERROR(__xludf.DUMMYFUNCTION("""COMPUTED_VALUE"""),"„Иисус сред нивите“ – модерен прочит на евангелски притчи в българската литература")</f>
        <v>„Иисус сред нивите“ – модерен прочит на евангелски притчи в българската литература</v>
      </c>
      <c r="D7977" s="10">
        <f ca="1">IFERROR(__xludf.DUMMYFUNCTION("""COMPUTED_VALUE"""),2018)</f>
        <v>2018</v>
      </c>
      <c r="E7977" s="10" t="str">
        <f ca="1">IFERROR(__xludf.DUMMYFUNCTION("""COMPUTED_VALUE"""),"Компаративнi дослiдження слов`янських мов i лiтератур. Пам`ятi академiка Леонiда Булаховського. Збiрник наукових праць. / Випуск 34. „Освiта України“, Київ, 2018. С. 106 – 119. / ISSN 2075-437Х")</f>
        <v>Компаративнi дослiдження слов`янських мов i лiтератур. Пам`ятi академiка Леонiда Булаховського. Збiрник наукових праць. / Випуск 34. „Освiта України“, Київ, 2018. С. 106 – 119. / ISSN 2075-437Х</v>
      </c>
      <c r="F7977" s="10" t="str">
        <f ca="1">IFERROR(__xludf.DUMMYFUNCTION("""COMPUTED_VALUE"""),"Видання затверджено ДАК Украïни. МОН Украïни – 13.07.2015/№ 747 (фiлологiчнi науки)")</f>
        <v>Видання затверджено ДАК Украïни. МОН Украïни – 13.07.2015/№ 747 (фiлологiчнi науки)</v>
      </c>
      <c r="G7977" s="10"/>
      <c r="H7977" s="10"/>
      <c r="I7977" s="10"/>
      <c r="J7977" s="10"/>
      <c r="K7977" s="10"/>
      <c r="L7977" s="10"/>
      <c r="M7977" s="10"/>
      <c r="N7977" s="10"/>
      <c r="O7977" s="10"/>
      <c r="P7977" s="10"/>
      <c r="Q7977" s="10"/>
      <c r="R7977" s="10"/>
      <c r="S7977" s="10"/>
      <c r="T7977" s="10"/>
      <c r="U7977" s="10"/>
      <c r="V7977" s="10"/>
      <c r="W7977" s="10"/>
      <c r="X7977" s="10"/>
      <c r="Y7977" s="10"/>
      <c r="Z7977" s="10"/>
    </row>
    <row r="7978" spans="1:26" ht="12.75">
      <c r="A7978" s="10" t="str">
        <f ca="1">IFERROR(__xludf.DUMMYFUNCTION("""COMPUTED_VALUE"""),"Цветана Георгиева Петрова")</f>
        <v>Цветана Георгиева Петрова</v>
      </c>
      <c r="B7978" s="10" t="str">
        <f ca="1">IFERROR(__xludf.DUMMYFUNCTION("""COMPUTED_VALUE"""),"Статия в списания и поредици")</f>
        <v>Статия в списания и поредици</v>
      </c>
      <c r="C7978" s="10" t="str">
        <f ca="1">IFERROR(__xludf.DUMMYFUNCTION("""COMPUTED_VALUE"""),"Митодизайн: Фрина (по примери от българската култура)")</f>
        <v>Митодизайн: Фрина (по примери от българската култура)</v>
      </c>
      <c r="D7978" s="10">
        <f ca="1">IFERROR(__xludf.DUMMYFUNCTION("""COMPUTED_VALUE"""),2018)</f>
        <v>2018</v>
      </c>
      <c r="E7978" s="10" t="str">
        <f ca="1">IFERROR(__xludf.DUMMYFUNCTION("""COMPUTED_VALUE"""),"Сайт за хуманитаристика . Секция за история на българския език при Института за български език „Проф. Л. Андрейчин”, БАН. София, 2017 - е-списание в областта на хуманитаристиката Х-ХХI в. год. VI, 2018, брой 11. / ISSN 1314-9067.")</f>
        <v>Сайт за хуманитаристика . Секция за история на българския език при Института за български език „Проф. Л. Андрейчин”, БАН. София, 2017 - е-списание в областта на хуманитаристиката Х-ХХI в. год. VI, 2018, брой 11. / ISSN 1314-9067.</v>
      </c>
      <c r="F7978" s="10"/>
      <c r="G7978" s="10"/>
      <c r="H7978" s="10"/>
      <c r="I7978" s="10"/>
      <c r="J7978" s="10"/>
      <c r="K7978" s="10"/>
      <c r="L7978" s="10"/>
      <c r="M7978" s="10"/>
      <c r="N7978" s="10"/>
      <c r="O7978" s="10"/>
      <c r="P7978" s="10"/>
      <c r="Q7978" s="10"/>
      <c r="R7978" s="10"/>
      <c r="S7978" s="10"/>
      <c r="T7978" s="10"/>
      <c r="U7978" s="10"/>
      <c r="V7978" s="10"/>
      <c r="W7978" s="10"/>
      <c r="X7978" s="10"/>
      <c r="Y7978" s="10"/>
      <c r="Z7978" s="10"/>
    </row>
    <row r="7979" spans="1:26" ht="12.75">
      <c r="A7979" s="10" t="str">
        <f ca="1">IFERROR(__xludf.DUMMYFUNCTION("""COMPUTED_VALUE"""),"Цветана Георгиева Петрова")</f>
        <v>Цветана Георгиева Петрова</v>
      </c>
      <c r="B7979" s="10" t="str">
        <f ca="1">IFERROR(__xludf.DUMMYFUNCTION("""COMPUTED_VALUE"""),"Статия в списания и поредици")</f>
        <v>Статия в списания и поредици</v>
      </c>
      <c r="C7979" s="10" t="str">
        <f ca="1">IFERROR(__xludf.DUMMYFUNCTION("""COMPUTED_VALUE"""),"Българистиката в Киевския национален университет „Тарас Шевченко“")</f>
        <v>Българистиката в Киевския национален университет „Тарас Шевченко“</v>
      </c>
      <c r="D7979" s="10">
        <f ca="1">IFERROR(__xludf.DUMMYFUNCTION("""COMPUTED_VALUE"""),2018)</f>
        <v>2018</v>
      </c>
      <c r="E7979" s="10" t="str">
        <f ca="1">IFERROR(__xludf.DUMMYFUNCTION("""COMPUTED_VALUE"""),"Езиков свят. Orbis Linguarum. V. 16, Issue 2. ФФ, ЮЗУ „Неофит Рилски“, Благоевград. 2018. С. 25 – 31. / „Езиков свят. Orbis Linguarum“. ФФ, ЮЗУ „Неофит Рилски“, Благоевград: ISSN 1312 – 0484")</f>
        <v>Езиков свят. Orbis Linguarum. V. 16, Issue 2. ФФ, ЮЗУ „Неофит Рилски“, Благоевград. 2018. С. 25 – 31. / „Езиков свят. Orbis Linguarum“. ФФ, ЮЗУ „Неофит Рилски“, Благоевград: ISSN 1312 – 0484</v>
      </c>
      <c r="F7979" s="10"/>
      <c r="G7979" s="10"/>
      <c r="H7979" s="10"/>
      <c r="I7979" s="10"/>
      <c r="J7979" s="10"/>
      <c r="K7979" s="10"/>
      <c r="L7979" s="10"/>
      <c r="M7979" s="10"/>
      <c r="N7979" s="10"/>
      <c r="O7979" s="10"/>
      <c r="P7979" s="10"/>
      <c r="Q7979" s="10"/>
      <c r="R7979" s="10"/>
      <c r="S7979" s="10"/>
      <c r="T7979" s="10"/>
      <c r="U7979" s="10"/>
      <c r="V7979" s="10"/>
      <c r="W7979" s="10"/>
      <c r="X7979" s="10"/>
      <c r="Y7979" s="10"/>
      <c r="Z7979" s="10"/>
    </row>
    <row r="7980" spans="1:26" ht="12.75">
      <c r="A7980" s="10" t="str">
        <f ca="1">IFERROR(__xludf.DUMMYFUNCTION("""COMPUTED_VALUE"""),"Цветана Георгиева Петрова")</f>
        <v>Цветана Георгиева Петрова</v>
      </c>
      <c r="B7980" s="10" t="str">
        <f ca="1">IFERROR(__xludf.DUMMYFUNCTION("""COMPUTED_VALUE"""),"Статия в списания и поредици")</f>
        <v>Статия в списания и поредици</v>
      </c>
      <c r="C7980" s="10" t="str">
        <f ca="1">IFERROR(__xludf.DUMMYFUNCTION("""COMPUTED_VALUE"""),"Митологемата „Фрина“ (Български литературен контекст)")</f>
        <v>Митологемата „Фрина“ (Български литературен контекст)</v>
      </c>
      <c r="D7980" s="10">
        <f ca="1">IFERROR(__xludf.DUMMYFUNCTION("""COMPUTED_VALUE"""),2018)</f>
        <v>2018</v>
      </c>
      <c r="E7980" s="10" t="str">
        <f ca="1">IFERROR(__xludf.DUMMYFUNCTION("""COMPUTED_VALUE"""),"„Езиков свят. Orbis Linguarum“. ФФ, ЮЗУ „Неофит Рилски“, Благоевград: ISSN 1312 – 0484 / Езиков свят. Orbis Linguarum. V. 16, Issue 1. ФФ, ЮЗУ „Неофит Рилски“, Благоевград. 2018. С. 102 – 108.")</f>
        <v>„Езиков свят. Orbis Linguarum“. ФФ, ЮЗУ „Неофит Рилски“, Благоевград: ISSN 1312 – 0484 / Езиков свят. Orbis Linguarum. V. 16, Issue 1. ФФ, ЮЗУ „Неофит Рилски“, Благоевград. 2018. С. 102 – 108.</v>
      </c>
      <c r="F7980" s="10" t="str">
        <f ca="1">IFERROR(__xludf.DUMMYFUNCTION("""COMPUTED_VALUE"""),"Сп. „Езиков свят. Orbis Linguarum“:
 CEEOL - https://www.ceeol.com/search/article-detail?id=642984
 Индексирано в: ERIH PLUS – European Reference Index for the Humanities: https://dbh.nsd.uib.no/publiseringskanaler/erihplus/about/index
 CEEOL – Централно-"&amp;" и Източноевропейска онлайн библиотека: http://www.ceeol.com/; Ulrich's Periodicals Directory – Справочник на периодичните издания Ulrich: https://ulrichsweb.serialssolutions.com/login; РИНЦ – Российский индекс научного цитирования: https://elibrary.ru/de"&amp;"faultx.asp; Scopus: https://www.scopus.com/freelookup/form/author.uri")</f>
        <v>Сп. „Езиков свят. Orbis Linguarum“:
 CEEOL - https://www.ceeol.com/search/article-detail?id=642984
 Индексирано в: ERIH PLUS – European Reference Index for the Humanities: https://dbh.nsd.uib.no/publiseringskanaler/erihplus/about/index
 CEEOL – Централно- и Източноевропейска онлайн библиотека: http://www.ceeol.com/; Ulrich's Periodicals Directory – Справочник на периодичните издания Ulrich: https://ulrichsweb.serialssolutions.com/login; РИНЦ – Российский индекс научного цитирования: https://elibrary.ru/defaultx.asp; Scopus: https://www.scopus.com/freelookup/form/author.uri</v>
      </c>
      <c r="G7980" s="10"/>
      <c r="H7980" s="10"/>
      <c r="I7980" s="10"/>
      <c r="J7980" s="10"/>
      <c r="K7980" s="10"/>
      <c r="L7980" s="10"/>
      <c r="M7980" s="10"/>
      <c r="N7980" s="10"/>
      <c r="O7980" s="10"/>
      <c r="P7980" s="10"/>
      <c r="Q7980" s="10"/>
      <c r="R7980" s="10"/>
      <c r="S7980" s="10"/>
      <c r="T7980" s="10"/>
      <c r="U7980" s="10"/>
      <c r="V7980" s="10"/>
      <c r="W7980" s="10"/>
      <c r="X7980" s="10"/>
      <c r="Y7980" s="10"/>
      <c r="Z7980" s="10"/>
    </row>
    <row r="7981" spans="1:26" ht="12.75">
      <c r="A7981" s="10" t="str">
        <f ca="1">IFERROR(__xludf.DUMMYFUNCTION("""COMPUTED_VALUE"""),"Цветана Георгиева Петрова")</f>
        <v>Цветана Георгиева Петрова</v>
      </c>
      <c r="B7981" s="10" t="str">
        <f ca="1">IFERROR(__xludf.DUMMYFUNCTION("""COMPUTED_VALUE"""),"Монография")</f>
        <v>Монография</v>
      </c>
      <c r="C7981" s="10" t="str">
        <f ca="1">IFERROR(__xludf.DUMMYFUNCTION("""COMPUTED_VALUE"""),"Міфи та архетипи в болгарській літературі (друга половина 20. ст.).")</f>
        <v>Міфи та архетипи в болгарській літературі (друга половина 20. ст.).</v>
      </c>
      <c r="D7981" s="10">
        <f ca="1">IFERROR(__xludf.DUMMYFUNCTION("""COMPUTED_VALUE"""),2018)</f>
        <v>2018</v>
      </c>
      <c r="E7981" s="10" t="str">
        <f ca="1">IFERROR(__xludf.DUMMYFUNCTION("""COMPUTED_VALUE"""),"Освiта України“, Київ: ФОП Маслаков, 2018. – 246 с. ISBN: 978-617-7625-14-7")</f>
        <v>Освiта України“, Київ: ФОП Маслаков, 2018. – 246 с. ISBN: 978-617-7625-14-7</v>
      </c>
      <c r="F7981" s="10"/>
      <c r="G7981" s="10"/>
      <c r="H7981" s="10"/>
      <c r="I7981" s="10"/>
      <c r="J7981" s="10"/>
      <c r="K7981" s="10"/>
      <c r="L7981" s="10"/>
      <c r="M7981" s="10"/>
      <c r="N7981" s="10"/>
      <c r="O7981" s="10"/>
      <c r="P7981" s="10"/>
      <c r="Q7981" s="10"/>
      <c r="R7981" s="10"/>
      <c r="S7981" s="10"/>
      <c r="T7981" s="10"/>
      <c r="U7981" s="10"/>
      <c r="V7981" s="10"/>
      <c r="W7981" s="10"/>
      <c r="X7981" s="10"/>
      <c r="Y7981" s="10"/>
      <c r="Z7981" s="10"/>
    </row>
    <row r="7982" spans="1:26" ht="12.75">
      <c r="A7982" s="10" t="str">
        <f ca="1">IFERROR(__xludf.DUMMYFUNCTION("""COMPUTED_VALUE"""),"Цветана Георгиева Петрова")</f>
        <v>Цветана Георгиева Петрова</v>
      </c>
      <c r="B7982" s="10" t="str">
        <f ca="1">IFERROR(__xludf.DUMMYFUNCTION("""COMPUTED_VALUE"""),"Статия в списания и поредици")</f>
        <v>Статия в списания и поредици</v>
      </c>
      <c r="C7982" s="10" t="str">
        <f ca="1">IFERROR(__xludf.DUMMYFUNCTION("""COMPUTED_VALUE"""),"Акустичният код в поезията на Яворов")</f>
        <v>Акустичният код в поезията на Яворов</v>
      </c>
      <c r="D7982" s="10">
        <f ca="1">IFERROR(__xludf.DUMMYFUNCTION("""COMPUTED_VALUE"""),2018)</f>
        <v>2018</v>
      </c>
      <c r="E7982" s="10" t="str">
        <f ca="1">IFERROR(__xludf.DUMMYFUNCTION("""COMPUTED_VALUE"""),"Страница, год. ХІХ, бр. 3/2018 (75), бр. 3 / 2018. Издава „Сдружение `Литературна къща`“, Пловдив. 227 – 241. ISSN 1310-9081.")</f>
        <v>Страница, год. ХІХ, бр. 3/2018 (75), бр. 3 / 2018. Издава „Сдружение `Литературна къща`“, Пловдив. 227 – 241. ISSN 1310-9081.</v>
      </c>
      <c r="F7982" s="10"/>
      <c r="G7982" s="10"/>
      <c r="H7982" s="10"/>
      <c r="I7982" s="10"/>
      <c r="J7982" s="10"/>
      <c r="K7982" s="10"/>
      <c r="L7982" s="10"/>
      <c r="M7982" s="10"/>
      <c r="N7982" s="10"/>
      <c r="O7982" s="10"/>
      <c r="P7982" s="10"/>
      <c r="Q7982" s="10"/>
      <c r="R7982" s="10"/>
      <c r="S7982" s="10"/>
      <c r="T7982" s="10"/>
      <c r="U7982" s="10"/>
      <c r="V7982" s="10"/>
      <c r="W7982" s="10"/>
      <c r="X7982" s="10"/>
      <c r="Y7982" s="10"/>
      <c r="Z7982" s="10"/>
    </row>
    <row r="7983" spans="1:26" ht="12.75">
      <c r="A7983" s="10" t="str">
        <f ca="1">IFERROR(__xludf.DUMMYFUNCTION("""COMPUTED_VALUE"""),"Цветана Георгиева Петрова")</f>
        <v>Цветана Георгиева Петрова</v>
      </c>
      <c r="B7983" s="10" t="str">
        <f ca="1">IFERROR(__xludf.DUMMYFUNCTION("""COMPUTED_VALUE"""),"Статия в списания и поредици")</f>
        <v>Статия в списания и поредици</v>
      </c>
      <c r="C7983" s="10" t="str">
        <f ca="1">IFERROR(__xludf.DUMMYFUNCTION("""COMPUTED_VALUE"""),"Притчата на Иисус за талантите: съвременни аспекти")</f>
        <v>Притчата на Иисус за талантите: съвременни аспекти</v>
      </c>
      <c r="D7983" s="10">
        <f ca="1">IFERROR(__xludf.DUMMYFUNCTION("""COMPUTED_VALUE"""),2017)</f>
        <v>2017</v>
      </c>
      <c r="E7983" s="10" t="str">
        <f ca="1">IFERROR(__xludf.DUMMYFUNCTION("""COMPUTED_VALUE"""),"Любословие. Лингвистика / Литературознание / История / Журналистика / Теология. ШУ „Епископ Константин Преславски“, Шумен, 2017. С. 221 – 238. URL: http://lyuboslovie.shu.bg/2017/ts-georgieva.pdf / 2017. 17/2017 – 1314-6033.")</f>
        <v>Любословие. Лингвистика / Литературознание / История / Журналистика / Теология. ШУ „Епископ Константин Преславски“, Шумен, 2017. С. 221 – 238. URL: http://lyuboslovie.shu.bg/2017/ts-georgieva.pdf / 2017. 17/2017 – 1314-6033.</v>
      </c>
      <c r="F7983" s="10" t="str">
        <f ca="1">IFERROR(__xludf.DUMMYFUNCTION("""COMPUTED_VALUE"""),"Списание „Любословие“ е индексирано в РИНЦ и CEEOL.")</f>
        <v>Списание „Любословие“ е индексирано в РИНЦ и CEEOL.</v>
      </c>
      <c r="G7983" s="10"/>
      <c r="H7983" s="10"/>
      <c r="I7983" s="10"/>
      <c r="J7983" s="10"/>
      <c r="K7983" s="10"/>
      <c r="L7983" s="10"/>
      <c r="M7983" s="10"/>
      <c r="N7983" s="10"/>
      <c r="O7983" s="10"/>
      <c r="P7983" s="10"/>
      <c r="Q7983" s="10"/>
      <c r="R7983" s="10"/>
      <c r="S7983" s="10"/>
      <c r="T7983" s="10"/>
      <c r="U7983" s="10"/>
      <c r="V7983" s="10"/>
      <c r="W7983" s="10"/>
      <c r="X7983" s="10"/>
      <c r="Y7983" s="10"/>
      <c r="Z7983" s="10"/>
    </row>
    <row r="7984" spans="1:26" ht="12.75">
      <c r="A7984" s="10" t="str">
        <f ca="1">IFERROR(__xludf.DUMMYFUNCTION("""COMPUTED_VALUE"""),"Цветана Георгиева Петрова")</f>
        <v>Цветана Георгиева Петрова</v>
      </c>
      <c r="B7984" s="10" t="str">
        <f ca="1">IFERROR(__xludf.DUMMYFUNCTION("""COMPUTED_VALUE"""),"Статия в списания и поредици")</f>
        <v>Статия в списания и поредици</v>
      </c>
      <c r="C7984" s="10" t="str">
        <f ca="1">IFERROR(__xludf.DUMMYFUNCTION("""COMPUTED_VALUE"""),"Ідентичність i засоби масової інформації: на прикладі болгарської реклами")</f>
        <v>Ідентичність i засоби масової інформації: на прикладі болгарської реклами</v>
      </c>
      <c r="D7984" s="10">
        <f ca="1">IFERROR(__xludf.DUMMYFUNCTION("""COMPUTED_VALUE"""),2017)</f>
        <v>2017</v>
      </c>
      <c r="E7984" s="10" t="str">
        <f ca="1">IFERROR(__xludf.DUMMYFUNCTION("""COMPUTED_VALUE"""),"Науковi записки Національного університету «Острозька академія», Серия «Культурологiя», вип. 18 «Проблеми культурної ідентичності в ситуації сучасного діалогу культур». Матерiали Х міжнародної наукової конференції (Острог, 12-13 травня 2017 року). Видав. "&amp;"НУ «Острозька академія». Острог, 211 – 215. / ISSN 2519-2558")</f>
        <v>Науковi записки Національного університету «Острозька академія», Серия «Культурологiя», вип. 18 «Проблеми культурної ідентичності в ситуації сучасного діалогу культур». Матерiали Х міжнародної наукової конференції (Острог, 12-13 травня 2017 року). Видав. НУ «Острозька академія». Острог, 211 – 215. / ISSN 2519-2558</v>
      </c>
      <c r="F7984" s="10" t="str">
        <f ca="1">IFERROR(__xludf.DUMMYFUNCTION("""COMPUTED_VALUE"""),"Фахова реєстрація у ВАК України: Постанова Президії ВАК України від 22 квітня 2011 року № 1-05/4")</f>
        <v>Фахова реєстрація у ВАК України: Постанова Президії ВАК України від 22 квітня 2011 року № 1-05/4</v>
      </c>
      <c r="G7984" s="10"/>
      <c r="H7984" s="10"/>
      <c r="I7984" s="10"/>
      <c r="J7984" s="10"/>
      <c r="K7984" s="10"/>
      <c r="L7984" s="10"/>
      <c r="M7984" s="10"/>
      <c r="N7984" s="10"/>
      <c r="O7984" s="10"/>
      <c r="P7984" s="10"/>
      <c r="Q7984" s="10"/>
      <c r="R7984" s="10"/>
      <c r="S7984" s="10"/>
      <c r="T7984" s="10"/>
      <c r="U7984" s="10"/>
      <c r="V7984" s="10"/>
      <c r="W7984" s="10"/>
      <c r="X7984" s="10"/>
      <c r="Y7984" s="10"/>
      <c r="Z7984" s="10"/>
    </row>
    <row r="7985" spans="1:26" ht="12.75">
      <c r="A7985" s="10" t="str">
        <f ca="1">IFERROR(__xludf.DUMMYFUNCTION("""COMPUTED_VALUE"""),"Цветана Георгиева Петрова")</f>
        <v>Цветана Георгиева Петрова</v>
      </c>
      <c r="B7985" s="10" t="str">
        <f ca="1">IFERROR(__xludf.DUMMYFUNCTION("""COMPUTED_VALUE"""),"Статия в списания и поредици")</f>
        <v>Статия в списания и поредици</v>
      </c>
      <c r="C7985" s="10" t="str">
        <f ca="1">IFERROR(__xludf.DUMMYFUNCTION("""COMPUTED_VALUE"""),"„Пчела – кошер – мед“ – общ мотив за Емануил Попдимитров и Анри Бергсон")</f>
        <v>„Пчела – кошер – мед“ – общ мотив за Емануил Попдимитров и Анри Бергсон</v>
      </c>
      <c r="D7985" s="10">
        <f ca="1">IFERROR(__xludf.DUMMYFUNCTION("""COMPUTED_VALUE"""),2016)</f>
        <v>2016</v>
      </c>
      <c r="E7985" s="10" t="str">
        <f ca="1">IFERROR(__xludf.DUMMYFUNCTION("""COMPUTED_VALUE"""),"Сп. „Библиотека“. Тематичен брой „Синхронии на модернизма (Емануил Попдимитров, Николай Лилиев, Гео Милев)“. Бр. 3, 2016. София, с. 26 – 31. / ISSN 0204-7438")</f>
        <v>Сп. „Библиотека“. Тематичен брой „Синхронии на модернизма (Емануил Попдимитров, Николай Лилиев, Гео Милев)“. Бр. 3, 2016. София, с. 26 – 31. / ISSN 0204-7438</v>
      </c>
      <c r="F7985" s="10" t="str">
        <f ca="1">IFERROR(__xludf.DUMMYFUNCTION("""COMPUTED_VALUE"""),"Сп. „Библиотека“ е включено в „Национален референтен списък на съвременни български научни издания с научно рецензиране“")</f>
        <v>Сп. „Библиотека“ е включено в „Национален референтен списък на съвременни български научни издания с научно рецензиране“</v>
      </c>
      <c r="G7985" s="10"/>
      <c r="H7985" s="10"/>
      <c r="I7985" s="10"/>
      <c r="J7985" s="10"/>
      <c r="K7985" s="10"/>
      <c r="L7985" s="10"/>
      <c r="M7985" s="10"/>
      <c r="N7985" s="10"/>
      <c r="O7985" s="10"/>
      <c r="P7985" s="10"/>
      <c r="Q7985" s="10"/>
      <c r="R7985" s="10"/>
      <c r="S7985" s="10"/>
      <c r="T7985" s="10"/>
      <c r="U7985" s="10"/>
      <c r="V7985" s="10"/>
      <c r="W7985" s="10"/>
      <c r="X7985" s="10"/>
      <c r="Y7985" s="10"/>
      <c r="Z7985" s="10"/>
    </row>
    <row r="7986" spans="1:26" ht="12.75">
      <c r="A7986" s="10" t="str">
        <f ca="1">IFERROR(__xludf.DUMMYFUNCTION("""COMPUTED_VALUE"""),"Цветана Георгиева Петрова")</f>
        <v>Цветана Георгиева Петрова</v>
      </c>
      <c r="B7986" s="10" t="str">
        <f ca="1">IFERROR(__xludf.DUMMYFUNCTION("""COMPUTED_VALUE"""),"Статия в списания и поредици")</f>
        <v>Статия в списания и поредици</v>
      </c>
      <c r="C7986" s="10" t="str">
        <f ca="1">IFERROR(__xludf.DUMMYFUNCTION("""COMPUTED_VALUE"""),"Сторителинг като ретропохват в рекламата")</f>
        <v>Сторителинг като ретропохват в рекламата</v>
      </c>
      <c r="D7986" s="10">
        <f ca="1">IFERROR(__xludf.DUMMYFUNCTION("""COMPUTED_VALUE"""),2016)</f>
        <v>2016</v>
      </c>
      <c r="E7986" s="10" t="str">
        <f ca="1">IFERROR(__xludf.DUMMYFUNCTION("""COMPUTED_VALUE"""),"Езиков свят. Orbis Linguarum. Т. 14/№2 Медийни стратегии. Носталгии и перспективи. ЮЗУ „Неофит Рилски“, Благоевград. 2016, 36 – 40. / : ISSN 1312 – 0484")</f>
        <v>Езиков свят. Orbis Linguarum. Т. 14/№2 Медийни стратегии. Носталгии и перспективи. ЮЗУ „Неофит Рилски“, Благоевград. 2016, 36 – 40. / : ISSN 1312 – 0484</v>
      </c>
      <c r="F7986" s="10" t="str">
        <f ca="1">IFERROR(__xludf.DUMMYFUNCTION("""COMPUTED_VALUE"""),"Сп. „Езиков свят. Orbis Linguarum“:
 CEEOL - https://www.ceeol.com/search/article-detail?id=642984
 Индексирано в: ERIH PLUS – European Reference Index for the Humanities: https://dbh.nsd.uib.no/publiseringskanaler/erihplus/about/index
 CEEOL – Централно-"&amp;" и Източноевропейска онлайн библиотека: http://www.ceeol.com/; Ulrich's Periodicals Directory – Справочник на периодичните издания Ulrich: https://ulrichsweb.serialssolutions.com/login; РИНЦ – Российский индекс научного цитирования: https://elibrary.ru/de"&amp;"faultx.asp; Scopus: https://www.scopus.com/freelookup/form/author.uri")</f>
        <v>Сп. „Езиков свят. Orbis Linguarum“:
 CEEOL - https://www.ceeol.com/search/article-detail?id=642984
 Индексирано в: ERIH PLUS – European Reference Index for the Humanities: https://dbh.nsd.uib.no/publiseringskanaler/erihplus/about/index
 CEEOL – Централно- и Източноевропейска онлайн библиотека: http://www.ceeol.com/; Ulrich's Periodicals Directory – Справочник на периодичните издания Ulrich: https://ulrichsweb.serialssolutions.com/login; РИНЦ – Российский индекс научного цитирования: https://elibrary.ru/defaultx.asp; Scopus: https://www.scopus.com/freelookup/form/author.uri</v>
      </c>
      <c r="G7986" s="10"/>
      <c r="H7986" s="10"/>
      <c r="I7986" s="10"/>
      <c r="J7986" s="10"/>
      <c r="K7986" s="10"/>
      <c r="L7986" s="10"/>
      <c r="M7986" s="10"/>
      <c r="N7986" s="10"/>
      <c r="O7986" s="10"/>
      <c r="P7986" s="10"/>
      <c r="Q7986" s="10"/>
      <c r="R7986" s="10"/>
      <c r="S7986" s="10"/>
      <c r="T7986" s="10"/>
      <c r="U7986" s="10"/>
      <c r="V7986" s="10"/>
      <c r="W7986" s="10"/>
      <c r="X7986" s="10"/>
      <c r="Y7986" s="10"/>
      <c r="Z7986" s="10"/>
    </row>
    <row r="7987" spans="1:26" ht="12.75">
      <c r="A7987" s="10" t="str">
        <f ca="1">IFERROR(__xludf.DUMMYFUNCTION("""COMPUTED_VALUE"""),"Цветана Георгиева Петрова")</f>
        <v>Цветана Георгиева Петрова</v>
      </c>
      <c r="B7987" s="10" t="str">
        <f ca="1">IFERROR(__xludf.DUMMYFUNCTION("""COMPUTED_VALUE"""),"Статия в списания и поредици")</f>
        <v>Статия в списания и поредици</v>
      </c>
      <c r="C7987" s="10" t="str">
        <f ca="1">IFERROR(__xludf.DUMMYFUNCTION("""COMPUTED_VALUE"""),"Девети септември и митът за новите времена")</f>
        <v>Девети септември и митът за новите времена</v>
      </c>
      <c r="D7987" s="10">
        <f ca="1">IFERROR(__xludf.DUMMYFUNCTION("""COMPUTED_VALUE"""),2015)</f>
        <v>2015</v>
      </c>
      <c r="E7987" s="10" t="str">
        <f ca="1">IFERROR(__xludf.DUMMYFUNCTION("""COMPUTED_VALUE"""),"// 9 септември 1944: литература и политика. Съставител Пл. Дойнов. Изд. „Кралица Маб“, Департамент „Нова Българистика“ - НБУ. С., 2015. 179 – 192. ISBN: 978-954-533-142-8")</f>
        <v>// 9 септември 1944: литература и политика. Съставител Пл. Дойнов. Изд. „Кралица Маб“, Департамент „Нова Българистика“ - НБУ. С., 2015. 179 – 192. ISBN: 978-954-533-142-8</v>
      </c>
      <c r="F7987" s="10"/>
      <c r="G7987" s="10"/>
      <c r="H7987" s="10"/>
      <c r="I7987" s="10"/>
      <c r="J7987" s="10"/>
      <c r="K7987" s="10"/>
      <c r="L7987" s="10"/>
      <c r="M7987" s="10"/>
      <c r="N7987" s="10"/>
      <c r="O7987" s="10"/>
      <c r="P7987" s="10"/>
      <c r="Q7987" s="10"/>
      <c r="R7987" s="10"/>
      <c r="S7987" s="10"/>
      <c r="T7987" s="10"/>
      <c r="U7987" s="10"/>
      <c r="V7987" s="10"/>
      <c r="W7987" s="10"/>
      <c r="X7987" s="10"/>
      <c r="Y7987" s="10"/>
      <c r="Z7987" s="10"/>
    </row>
    <row r="7988" spans="1:26" ht="12.75">
      <c r="A7988" s="10" t="str">
        <f ca="1">IFERROR(__xludf.DUMMYFUNCTION("""COMPUTED_VALUE"""),"Цветана Георгиева Петрова")</f>
        <v>Цветана Георгиева Петрова</v>
      </c>
      <c r="B7988" s="10" t="str">
        <f ca="1">IFERROR(__xludf.DUMMYFUNCTION("""COMPUTED_VALUE"""),"Статия в списания и поредици")</f>
        <v>Статия в списания и поредици</v>
      </c>
      <c r="C7988" s="10" t="str">
        <f ca="1">IFERROR(__xludf.DUMMYFUNCTION("""COMPUTED_VALUE"""),"Политическата метафора (Манипулация и цензура)")</f>
        <v>Политическата метафора (Манипулация и цензура)</v>
      </c>
      <c r="D7988" s="10">
        <f ca="1">IFERROR(__xludf.DUMMYFUNCTION("""COMPUTED_VALUE"""),2015)</f>
        <v>2015</v>
      </c>
      <c r="E7988" s="10" t="str">
        <f ca="1">IFERROR(__xludf.DUMMYFUNCTION("""COMPUTED_VALUE"""),"// Езиков свят /Orbis linguarum, том 13, кн. 1. ЮЗУ „Неофит Рилски“, Филологически факултет. Гл. редактор: М. Костова-Панайотова. Университетско издателство „Неофит Рилски“, Благоевград, 2015. 108 – 113. ISSN: 1312-0484.")</f>
        <v>// Езиков свят /Orbis linguarum, том 13, кн. 1. ЮЗУ „Неофит Рилски“, Филологически факултет. Гл. редактор: М. Костова-Панайотова. Университетско издателство „Неофит Рилски“, Благоевград, 2015. 108 – 113. ISSN: 1312-0484.</v>
      </c>
      <c r="F7988" s="10"/>
      <c r="G7988" s="10"/>
      <c r="H7988" s="10"/>
      <c r="I7988" s="10"/>
      <c r="J7988" s="10"/>
      <c r="K7988" s="10"/>
      <c r="L7988" s="10"/>
      <c r="M7988" s="10"/>
      <c r="N7988" s="10"/>
      <c r="O7988" s="10"/>
      <c r="P7988" s="10"/>
      <c r="Q7988" s="10"/>
      <c r="R7988" s="10"/>
      <c r="S7988" s="10"/>
      <c r="T7988" s="10"/>
      <c r="U7988" s="10"/>
      <c r="V7988" s="10"/>
      <c r="W7988" s="10"/>
      <c r="X7988" s="10"/>
      <c r="Y7988" s="10"/>
      <c r="Z7988" s="10"/>
    </row>
    <row r="7989" spans="1:26" ht="12.75">
      <c r="A7989" s="10" t="str">
        <f ca="1">IFERROR(__xludf.DUMMYFUNCTION("""COMPUTED_VALUE"""),"Цветана Георгиева Петрова")</f>
        <v>Цветана Георгиева Петрова</v>
      </c>
      <c r="B7989" s="10" t="str">
        <f ca="1">IFERROR(__xludf.DUMMYFUNCTION("""COMPUTED_VALUE"""),"Статия в списания и поредици")</f>
        <v>Статия в списания и поредици</v>
      </c>
      <c r="C7989" s="10" t="str">
        <f ca="1">IFERROR(__xludf.DUMMYFUNCTION("""COMPUTED_VALUE"""),"Времето на суетния ни живот в „Книга на Еклисиаста“")</f>
        <v>Времето на суетния ни живот в „Книга на Еклисиаста“</v>
      </c>
      <c r="D7989" s="10">
        <f ca="1">IFERROR(__xludf.DUMMYFUNCTION("""COMPUTED_VALUE"""),2015)</f>
        <v>2015</v>
      </c>
      <c r="E7989" s="10" t="str">
        <f ca="1">IFERROR(__xludf.DUMMYFUNCTION("""COMPUTED_VALUE"""),"// Научни трудове на Университета по библиотекознание и информационни технологии. Том 12. 2014. Редакционна колегия: И. Петева, Б. Хинкова и др. Издателство „За буквите – О`писменех“. София, 2015. 147 – 163. ISSN: 1314-2623.")</f>
        <v>// Научни трудове на Университета по библиотекознание и информационни технологии. Том 12. 2014. Редакционна колегия: И. Петева, Б. Хинкова и др. Издателство „За буквите – О`писменех“. София, 2015. 147 – 163. ISSN: 1314-2623.</v>
      </c>
      <c r="F7989" s="10"/>
      <c r="G7989" s="10"/>
      <c r="H7989" s="10"/>
      <c r="I7989" s="10"/>
      <c r="J7989" s="10"/>
      <c r="K7989" s="10"/>
      <c r="L7989" s="10"/>
      <c r="M7989" s="10"/>
      <c r="N7989" s="10"/>
      <c r="O7989" s="10"/>
      <c r="P7989" s="10"/>
      <c r="Q7989" s="10"/>
      <c r="R7989" s="10"/>
      <c r="S7989" s="10"/>
      <c r="T7989" s="10"/>
      <c r="U7989" s="10"/>
      <c r="V7989" s="10"/>
      <c r="W7989" s="10"/>
      <c r="X7989" s="10"/>
      <c r="Y7989" s="10"/>
      <c r="Z7989" s="10"/>
    </row>
    <row r="7990" spans="1:26" ht="12.75">
      <c r="A7990" s="10" t="str">
        <f ca="1">IFERROR(__xludf.DUMMYFUNCTION("""COMPUTED_VALUE"""),"Цветана Георгиева Петрова")</f>
        <v>Цветана Георгиева Петрова</v>
      </c>
      <c r="B7990" s="10" t="str">
        <f ca="1">IFERROR(__xludf.DUMMYFUNCTION("""COMPUTED_VALUE"""),"Учебно пособие")</f>
        <v>Учебно пособие</v>
      </c>
      <c r="C7990" s="10" t="str">
        <f ca="1">IFERROR(__xludf.DUMMYFUNCTION("""COMPUTED_VALUE"""),"Библия и култура – Библейски сюжети. Bible and Culture – Bible stories")</f>
        <v>Библия и култура – Библейски сюжети. Bible and Culture – Bible stories</v>
      </c>
      <c r="D7990" s="10">
        <f ca="1">IFERROR(__xludf.DUMMYFUNCTION("""COMPUTED_VALUE"""),2015)</f>
        <v>2015</v>
      </c>
      <c r="E7990" s="10" t="str">
        <f ca="1">IFERROR(__xludf.DUMMYFUNCTION("""COMPUTED_VALUE"""),"Учебно ръководство. Науч. рецензент Д. Киров. Изд. „Ан-Ди“ С., 2015. –110 с. ISBN: 978-619-7221-01-5")</f>
        <v>Учебно ръководство. Науч. рецензент Д. Киров. Изд. „Ан-Ди“ С., 2015. –110 с. ISBN: 978-619-7221-01-5</v>
      </c>
      <c r="F7990" s="10"/>
      <c r="G7990" s="10"/>
      <c r="H7990" s="10"/>
      <c r="I7990" s="10"/>
      <c r="J7990" s="10"/>
      <c r="K7990" s="10"/>
      <c r="L7990" s="10"/>
      <c r="M7990" s="10"/>
      <c r="N7990" s="10"/>
      <c r="O7990" s="10"/>
      <c r="P7990" s="10"/>
      <c r="Q7990" s="10"/>
      <c r="R7990" s="10"/>
      <c r="S7990" s="10"/>
      <c r="T7990" s="10"/>
      <c r="U7990" s="10"/>
      <c r="V7990" s="10"/>
      <c r="W7990" s="10"/>
      <c r="X7990" s="10"/>
      <c r="Y7990" s="10"/>
      <c r="Z7990" s="10"/>
    </row>
    <row r="7991" spans="1:26" ht="12.75">
      <c r="A7991" s="10" t="str">
        <f ca="1">IFERROR(__xludf.DUMMYFUNCTION("""COMPUTED_VALUE"""),"Цветана Георгиева Петрова")</f>
        <v>Цветана Георгиева Петрова</v>
      </c>
      <c r="B7991" s="10" t="str">
        <f ca="1">IFERROR(__xludf.DUMMYFUNCTION("""COMPUTED_VALUE"""),"Статия в списания и поредици")</f>
        <v>Статия в списания и поредици</v>
      </c>
      <c r="C7991" s="10" t="str">
        <f ca="1">IFERROR(__xludf.DUMMYFUNCTION("""COMPUTED_VALUE"""),"„Свое – чужое“ в болгарской путевой литературе в СССР")</f>
        <v>„Свое – чужое“ в болгарской путевой литературе в СССР</v>
      </c>
      <c r="D7991" s="10">
        <f ca="1">IFERROR(__xludf.DUMMYFUNCTION("""COMPUTED_VALUE"""),2015)</f>
        <v>2015</v>
      </c>
      <c r="E7991" s="10" t="str">
        <f ca="1">IFERROR(__xludf.DUMMYFUNCTION("""COMPUTED_VALUE"""),"Славянская культура в Европе. История, настоящее и будущее. Сборник материалов Международной научно-практической онлайн-конференции „Славянската култура в Европа. История, настояще и бъдеще“/ Сборник с материали от Международната научно-практическа онлайн"&amp;"-конференция. УниБИТ/ Академия медиаиндустрии. София/Москва. Съставители: В. Николова, М. Николова, А. Цыганенко. Издателство „За буквите – О`Писменехь“, 2015. 252 – 254. ISBN: 978-5-902899-12-9; ISBN: 978-619-185-158-4")</f>
        <v>Славянская культура в Европе. История, настоящее и будущее. Сборник материалов Международной научно-практической онлайн-конференции „Славянската култура в Европа. История, настояще и бъдеще“/ Сборник с материали от Международната научно-практическа онлайн-конференция. УниБИТ/ Академия медиаиндустрии. София/Москва. Съставители: В. Николова, М. Николова, А. Цыганенко. Издателство „За буквите – О`Писменехь“, 2015. 252 – 254. ISBN: 978-5-902899-12-9; ISBN: 978-619-185-158-4</v>
      </c>
      <c r="F7991" s="10"/>
      <c r="G7991" s="10"/>
      <c r="H7991" s="10"/>
      <c r="I7991" s="10"/>
      <c r="J7991" s="10"/>
      <c r="K7991" s="10"/>
      <c r="L7991" s="10"/>
      <c r="M7991" s="10"/>
      <c r="N7991" s="10"/>
      <c r="O7991" s="10"/>
      <c r="P7991" s="10"/>
      <c r="Q7991" s="10"/>
      <c r="R7991" s="10"/>
      <c r="S7991" s="10"/>
      <c r="T7991" s="10"/>
      <c r="U7991" s="10"/>
      <c r="V7991" s="10"/>
      <c r="W7991" s="10"/>
      <c r="X7991" s="10"/>
      <c r="Y7991" s="10"/>
      <c r="Z7991" s="10"/>
    </row>
    <row r="7992" spans="1:26" ht="12.75">
      <c r="A7992" s="10" t="str">
        <f ca="1">IFERROR(__xludf.DUMMYFUNCTION("""COMPUTED_VALUE"""),"Цветана Георгиева Петрова")</f>
        <v>Цветана Георгиева Петрова</v>
      </c>
      <c r="B7992" s="10" t="str">
        <f ca="1">IFERROR(__xludf.DUMMYFUNCTION("""COMPUTED_VALUE"""),"Статия в списания и поредици")</f>
        <v>Статия в списания и поредици</v>
      </c>
      <c r="C7992" s="10" t="str">
        <f ca="1">IFERROR(__xludf.DUMMYFUNCTION("""COMPUTED_VALUE"""),"Има „време да мълчиш, време да говориш”: Към концепта мълчание в българската култура от началото на ХХ век")</f>
        <v>Има „време да мълчиш, време да говориш”: Към концепта мълчание в българската култура от началото на ХХ век</v>
      </c>
      <c r="D7992" s="10">
        <f ca="1">IFERROR(__xludf.DUMMYFUNCTION("""COMPUTED_VALUE"""),2015)</f>
        <v>2015</v>
      </c>
      <c r="E7992" s="10" t="str">
        <f ca="1">IFERROR(__xludf.DUMMYFUNCTION("""COMPUTED_VALUE"""),"Balkanistic Forum/Балканистичен форум 2015/2. Мълчанието на Балканите. Silence on the Balkan. ЮЗУ „Неофит Рилски”, Благоевград, с. 35–42. ISSN печатна версия 1310-3970")</f>
        <v>Balkanistic Forum/Балканистичен форум 2015/2. Мълчанието на Балканите. Silence on the Balkan. ЮЗУ „Неофит Рилски”, Благоевград, с. 35–42. ISSN печатна версия 1310-3970</v>
      </c>
      <c r="F7992" s="10" t="str">
        <f ca="1">IFERROR(__xludf.DUMMYFUNCTION("""COMPUTED_VALUE"""),"Сп. Balkanistic Forum/Балканистичен форум е Рецензирано
 Индексирано в:
 www.ceeol.com
 ERIH PLUS")</f>
        <v>Сп. Balkanistic Forum/Балканистичен форум е Рецензирано
 Индексирано в:
 www.ceeol.com
 ERIH PLUS</v>
      </c>
      <c r="G7992" s="10"/>
      <c r="H7992" s="10"/>
      <c r="I7992" s="10"/>
      <c r="J7992" s="10"/>
      <c r="K7992" s="10"/>
      <c r="L7992" s="10"/>
      <c r="M7992" s="10"/>
      <c r="N7992" s="10"/>
      <c r="O7992" s="10"/>
      <c r="P7992" s="10"/>
      <c r="Q7992" s="10"/>
      <c r="R7992" s="10"/>
      <c r="S7992" s="10"/>
      <c r="T7992" s="10"/>
      <c r="U7992" s="10"/>
      <c r="V7992" s="10"/>
      <c r="W7992" s="10"/>
      <c r="X7992" s="10"/>
      <c r="Y7992" s="10"/>
      <c r="Z7992" s="10"/>
    </row>
    <row r="7993" spans="1:26" ht="12.75">
      <c r="A7993" s="10" t="str">
        <f ca="1">IFERROR(__xludf.DUMMYFUNCTION("""COMPUTED_VALUE"""),"Цветана Георгиева Петрова")</f>
        <v>Цветана Георгиева Петрова</v>
      </c>
      <c r="B7993" s="10" t="str">
        <f ca="1">IFERROR(__xludf.DUMMYFUNCTION("""COMPUTED_VALUE"""),"Учебник")</f>
        <v>Учебник</v>
      </c>
      <c r="C7993" s="10" t="str">
        <f ca="1">IFERROR(__xludf.DUMMYFUNCTION("""COMPUTED_VALUE"""),"Проблеми на Културната антропология")</f>
        <v>Проблеми на Културната антропология</v>
      </c>
      <c r="D7993" s="10">
        <f ca="1">IFERROR(__xludf.DUMMYFUNCTION("""COMPUTED_VALUE"""),2015)</f>
        <v>2015</v>
      </c>
      <c r="E7993" s="10" t="str">
        <f ca="1">IFERROR(__xludf.DUMMYFUNCTION("""COMPUTED_VALUE"""),"Учебник. Ч. І. Първо изд. Издателство „Ан- Ди“, С., 2015. –196 с. ISBN: 978-519-7221-03-9.")</f>
        <v>Учебник. Ч. І. Първо изд. Издателство „Ан- Ди“, С., 2015. –196 с. ISBN: 978-519-7221-03-9.</v>
      </c>
      <c r="F7993" s="10"/>
      <c r="G7993" s="10"/>
      <c r="H7993" s="10"/>
      <c r="I7993" s="10"/>
      <c r="J7993" s="10"/>
      <c r="K7993" s="10"/>
      <c r="L7993" s="10"/>
      <c r="M7993" s="10"/>
      <c r="N7993" s="10"/>
      <c r="O7993" s="10"/>
      <c r="P7993" s="10"/>
      <c r="Q7993" s="10"/>
      <c r="R7993" s="10"/>
      <c r="S7993" s="10"/>
      <c r="T7993" s="10"/>
      <c r="U7993" s="10"/>
      <c r="V7993" s="10"/>
      <c r="W7993" s="10"/>
      <c r="X7993" s="10"/>
      <c r="Y7993" s="10"/>
      <c r="Z7993" s="10"/>
    </row>
    <row r="7994" spans="1:26" ht="12.75">
      <c r="A7994" s="10" t="str">
        <f ca="1">IFERROR(__xludf.DUMMYFUNCTION("""COMPUTED_VALUE"""),"Цветана Георгиева Петрова")</f>
        <v>Цветана Георгиева Петрова</v>
      </c>
      <c r="B7994" s="10" t="str">
        <f ca="1">IFERROR(__xludf.DUMMYFUNCTION("""COMPUTED_VALUE"""),"Доклад от конференция")</f>
        <v>Доклад от конференция</v>
      </c>
      <c r="C7994" s="10" t="str">
        <f ca="1">IFERROR(__xludf.DUMMYFUNCTION("""COMPUTED_VALUE"""),"Средиземноморието в интерпретацията на литературни творби, посветени на Османското владичество")</f>
        <v>Средиземноморието в интерпретацията на литературни творби, посветени на Османското владичество</v>
      </c>
      <c r="D7994" s="10">
        <f ca="1">IFERROR(__xludf.DUMMYFUNCTION("""COMPUTED_VALUE"""),2015)</f>
        <v>2015</v>
      </c>
      <c r="E7994" s="10" t="str">
        <f ca="1">IFERROR(__xludf.DUMMYFUNCTION("""COMPUTED_VALUE"""),"Нови информационни технологии в образователния процес. Доклади и съобщения от Десетия научен семинар на УниБИТ, проведен в Истанбул на 4–8 април 2015 г. Изд. „За буквите – О’ писменехь“. София, 2015. 17 – 28. ISSN: 1313-2768.")</f>
        <v>Нови информационни технологии в образователния процес. Доклади и съобщения от Десетия научен семинар на УниБИТ, проведен в Истанбул на 4–8 април 2015 г. Изд. „За буквите – О’ писменехь“. София, 2015. 17 – 28. ISSN: 1313-2768.</v>
      </c>
      <c r="F7994" s="10"/>
      <c r="G7994" s="10"/>
      <c r="H7994" s="10"/>
      <c r="I7994" s="10"/>
      <c r="J7994" s="10"/>
      <c r="K7994" s="10"/>
      <c r="L7994" s="10"/>
      <c r="M7994" s="10"/>
      <c r="N7994" s="10"/>
      <c r="O7994" s="10"/>
      <c r="P7994" s="10"/>
      <c r="Q7994" s="10"/>
      <c r="R7994" s="10"/>
      <c r="S7994" s="10"/>
      <c r="T7994" s="10"/>
      <c r="U7994" s="10"/>
      <c r="V7994" s="10"/>
      <c r="W7994" s="10"/>
      <c r="X7994" s="10"/>
      <c r="Y7994" s="10"/>
      <c r="Z7994" s="10"/>
    </row>
    <row r="7995" spans="1:26" ht="12.75">
      <c r="A7995" s="10" t="str">
        <f ca="1">IFERROR(__xludf.DUMMYFUNCTION("""COMPUTED_VALUE"""),"Цветана Георгиева Петрова")</f>
        <v>Цветана Георгиева Петрова</v>
      </c>
      <c r="B7995" s="10" t="str">
        <f ca="1">IFERROR(__xludf.DUMMYFUNCTION("""COMPUTED_VALUE"""),"Статия в списания и поредици")</f>
        <v>Статия в списания и поредици</v>
      </c>
      <c r="C7995" s="10" t="str">
        <f ca="1">IFERROR(__xludf.DUMMYFUNCTION("""COMPUTED_VALUE"""),"Обучението по религия и култура у нас. Визии и политики")</f>
        <v>Обучението по религия и култура у нас. Визии и политики</v>
      </c>
      <c r="D7995" s="10">
        <f ca="1">IFERROR(__xludf.DUMMYFUNCTION("""COMPUTED_VALUE"""),2015)</f>
        <v>2015</v>
      </c>
      <c r="E7995" s="10" t="str">
        <f ca="1">IFERROR(__xludf.DUMMYFUNCTION("""COMPUTED_VALUE"""),"// Религии: Култури и политики (Балканите 20.–21. век). Съставител и редактор Цв. Георгиева. Издателство „Ан-Ди“. С., 2015. 74–83. ISBN: 978-619-7221-04-6.")</f>
        <v>// Религии: Култури и политики (Балканите 20.–21. век). Съставител и редактор Цв. Георгиева. Издателство „Ан-Ди“. С., 2015. 74–83. ISBN: 978-619-7221-04-6.</v>
      </c>
      <c r="F7995" s="10"/>
      <c r="G7995" s="10"/>
      <c r="H7995" s="10"/>
      <c r="I7995" s="10"/>
      <c r="J7995" s="10"/>
      <c r="K7995" s="10"/>
      <c r="L7995" s="10"/>
      <c r="M7995" s="10"/>
      <c r="N7995" s="10"/>
      <c r="O7995" s="10"/>
      <c r="P7995" s="10"/>
      <c r="Q7995" s="10"/>
      <c r="R7995" s="10"/>
      <c r="S7995" s="10"/>
      <c r="T7995" s="10"/>
      <c r="U7995" s="10"/>
      <c r="V7995" s="10"/>
      <c r="W7995" s="10"/>
      <c r="X7995" s="10"/>
      <c r="Y7995" s="10"/>
      <c r="Z7995" s="10"/>
    </row>
    <row r="7996" spans="1:26" ht="12.75">
      <c r="A7996" s="10" t="str">
        <f ca="1">IFERROR(__xludf.DUMMYFUNCTION("""COMPUTED_VALUE"""),"Цветана Георгиева Петрова")</f>
        <v>Цветана Георгиева Петрова</v>
      </c>
      <c r="B7996" s="10" t="str">
        <f ca="1">IFERROR(__xludf.DUMMYFUNCTION("""COMPUTED_VALUE"""),"Статия в списания и поредици")</f>
        <v>Статия в списания и поредици</v>
      </c>
      <c r="C7996" s="10" t="str">
        <f ca="1">IFERROR(__xludf.DUMMYFUNCTION("""COMPUTED_VALUE"""),"Гласът в българската култура")</f>
        <v>Гласът в българската култура</v>
      </c>
      <c r="D7996" s="10">
        <f ca="1">IFERROR(__xludf.DUMMYFUNCTION("""COMPUTED_VALUE"""),2014)</f>
        <v>2014</v>
      </c>
      <c r="E7996" s="10" t="str">
        <f ca="1">IFERROR(__xludf.DUMMYFUNCTION("""COMPUTED_VALUE"""),"// Балканите – култури и манталитети. Сборник статии. Научен редактор и съставител Цв. Георгиева. Издателство „АН-ДИ“, С., 2014. 13–27. ISBN: 978-954-92709-7-6.")</f>
        <v>// Балканите – култури и манталитети. Сборник статии. Научен редактор и съставител Цв. Георгиева. Издателство „АН-ДИ“, С., 2014. 13–27. ISBN: 978-954-92709-7-6.</v>
      </c>
      <c r="F7996" s="10"/>
      <c r="G7996" s="10"/>
      <c r="H7996" s="10"/>
      <c r="I7996" s="10"/>
      <c r="J7996" s="10"/>
      <c r="K7996" s="10"/>
      <c r="L7996" s="10"/>
      <c r="M7996" s="10"/>
      <c r="N7996" s="10"/>
      <c r="O7996" s="10"/>
      <c r="P7996" s="10"/>
      <c r="Q7996" s="10"/>
      <c r="R7996" s="10"/>
      <c r="S7996" s="10"/>
      <c r="T7996" s="10"/>
      <c r="U7996" s="10"/>
      <c r="V7996" s="10"/>
      <c r="W7996" s="10"/>
      <c r="X7996" s="10"/>
      <c r="Y7996" s="10"/>
      <c r="Z7996" s="10"/>
    </row>
    <row r="7997" spans="1:26" ht="12.75">
      <c r="A7997" s="10" t="str">
        <f ca="1">IFERROR(__xludf.DUMMYFUNCTION("""COMPUTED_VALUE"""),"Цветана Георгиева Петрова")</f>
        <v>Цветана Георгиева Петрова</v>
      </c>
      <c r="B7997" s="10" t="str">
        <f ca="1">IFERROR(__xludf.DUMMYFUNCTION("""COMPUTED_VALUE"""),"Статия в списания и поредици")</f>
        <v>Статия в списания и поредици</v>
      </c>
      <c r="C7997" s="10" t="str">
        <f ca="1">IFERROR(__xludf.DUMMYFUNCTION("""COMPUTED_VALUE"""),"Резонанси от Европейската война в българската литература")</f>
        <v>Резонанси от Европейската война в българската литература</v>
      </c>
      <c r="D7997" s="10">
        <f ca="1">IFERROR(__xludf.DUMMYFUNCTION("""COMPUTED_VALUE"""),2014)</f>
        <v>2014</v>
      </c>
      <c r="E7997" s="10" t="str">
        <f ca="1">IFERROR(__xludf.DUMMYFUNCTION("""COMPUTED_VALUE"""),"Първата световна война: памет на поколенията. Сборник. Университет по библиотекознание и информационни технологии, Югозападен университет „Неофит Рилски“, Институт за исторически изследвания при БАН, със съдействието на Министерството на образованието и н"&amp;"ауката. Съставител, редактор и автор на предговора Цв. Георгиева. Издателство „Ан-Ди“. С., 2014, с. 24 – 42. ISBN: 978-954-92709-6-9.")</f>
        <v>Първата световна война: памет на поколенията. Сборник. Университет по библиотекознание и информационни технологии, Югозападен университет „Неофит Рилски“, Институт за исторически изследвания при БАН, със съдействието на Министерството на образованието и науката. Съставител, редактор и автор на предговора Цв. Георгиева. Издателство „Ан-Ди“. С., 2014, с. 24 – 42. ISBN: 978-954-92709-6-9.</v>
      </c>
      <c r="F7997" s="10"/>
      <c r="G7997" s="10"/>
      <c r="H7997" s="10"/>
      <c r="I7997" s="10"/>
      <c r="J7997" s="10"/>
      <c r="K7997" s="10"/>
      <c r="L7997" s="10"/>
      <c r="M7997" s="10"/>
      <c r="N7997" s="10"/>
      <c r="O7997" s="10"/>
      <c r="P7997" s="10"/>
      <c r="Q7997" s="10"/>
      <c r="R7997" s="10"/>
      <c r="S7997" s="10"/>
      <c r="T7997" s="10"/>
      <c r="U7997" s="10"/>
      <c r="V7997" s="10"/>
      <c r="W7997" s="10"/>
      <c r="X7997" s="10"/>
      <c r="Y7997" s="10"/>
      <c r="Z7997" s="10"/>
    </row>
    <row r="7998" spans="1:26" ht="12.75">
      <c r="A7998" s="10" t="str">
        <f ca="1">IFERROR(__xludf.DUMMYFUNCTION("""COMPUTED_VALUE"""),"Цветана Георгиева Петрова")</f>
        <v>Цветана Георгиева Петрова</v>
      </c>
      <c r="B7998" s="10" t="str">
        <f ca="1">IFERROR(__xludf.DUMMYFUNCTION("""COMPUTED_VALUE"""),"Статия в списания и поредици")</f>
        <v>Статия в списания и поредици</v>
      </c>
      <c r="C7998" s="10" t="str">
        <f ca="1">IFERROR(__xludf.DUMMYFUNCTION("""COMPUTED_VALUE"""),"Службата/ите в културно-политическата действителност на социализма и в настоящето")</f>
        <v>Службата/ите в културно-политическата действителност на социализма и в настоящето</v>
      </c>
      <c r="D7998" s="10">
        <f ca="1">IFERROR(__xludf.DUMMYFUNCTION("""COMPUTED_VALUE"""),2013)</f>
        <v>2013</v>
      </c>
      <c r="E7998" s="10" t="str">
        <f ca="1">IFERROR(__xludf.DUMMYFUNCTION("""COMPUTED_VALUE"""),"Културни концепти на политическото. Сборник от статии. Реактор и съставител Цв. Георгиева. Издателство „За буквите – О’ писменехь“, Университет по библиотекознание и информационни технологии. София, 2013. 157–175. ISBN: 978-954-2946-80-9.")</f>
        <v>Културни концепти на политическото. Сборник от статии. Реактор и съставител Цв. Георгиева. Издателство „За буквите – О’ писменехь“, Университет по библиотекознание и информационни технологии. София, 2013. 157–175. ISBN: 978-954-2946-80-9.</v>
      </c>
      <c r="F7998" s="10"/>
      <c r="G7998" s="10"/>
      <c r="H7998" s="10"/>
      <c r="I7998" s="10"/>
      <c r="J7998" s="10"/>
      <c r="K7998" s="10"/>
      <c r="L7998" s="10"/>
      <c r="M7998" s="10"/>
      <c r="N7998" s="10"/>
      <c r="O7998" s="10"/>
      <c r="P7998" s="10"/>
      <c r="Q7998" s="10"/>
      <c r="R7998" s="10"/>
      <c r="S7998" s="10"/>
      <c r="T7998" s="10"/>
      <c r="U7998" s="10"/>
      <c r="V7998" s="10"/>
      <c r="W7998" s="10"/>
      <c r="X7998" s="10"/>
      <c r="Y7998" s="10"/>
      <c r="Z7998" s="10"/>
    </row>
    <row r="7999" spans="1:26" ht="12.75">
      <c r="A7999" s="10" t="str">
        <f ca="1">IFERROR(__xludf.DUMMYFUNCTION("""COMPUTED_VALUE"""),"Цветана Георгиева Петрова")</f>
        <v>Цветана Георгиева Петрова</v>
      </c>
      <c r="B7999" s="10" t="str">
        <f ca="1">IFERROR(__xludf.DUMMYFUNCTION("""COMPUTED_VALUE"""),"Статия в списания и поредици")</f>
        <v>Статия в списания и поредици</v>
      </c>
      <c r="C7999" s="10" t="str">
        <f ca="1">IFERROR(__xludf.DUMMYFUNCTION("""COMPUTED_VALUE"""),"Богомилството, като културен концепт на политическото")</f>
        <v>Богомилството, като културен концепт на политическото</v>
      </c>
      <c r="D7999" s="10">
        <f ca="1">IFERROR(__xludf.DUMMYFUNCTION("""COMPUTED_VALUE"""),2013)</f>
        <v>2013</v>
      </c>
      <c r="E7999" s="10" t="str">
        <f ca="1">IFERROR(__xludf.DUMMYFUNCTION("""COMPUTED_VALUE"""),"// Трети международен конгрес по Българистика. 23 – 26 май 2013. Т. 20. Секция „История и археология“ (Подсекция „Българите през средновековието“). Съставител Т. Попнеделев. УИ „Св. Климент Охридски“. София, 2014. 566 – 576. ISBN: 978-954-07-3839-0.")</f>
        <v>// Трети международен конгрес по Българистика. 23 – 26 май 2013. Т. 20. Секция „История и археология“ (Подсекция „Българите през средновековието“). Съставител Т. Попнеделев. УИ „Св. Климент Охридски“. София, 2014. 566 – 576. ISBN: 978-954-07-3839-0.</v>
      </c>
      <c r="F7999" s="10"/>
      <c r="G7999" s="10"/>
      <c r="H7999" s="10"/>
      <c r="I7999" s="10"/>
      <c r="J7999" s="10"/>
      <c r="K7999" s="10"/>
      <c r="L7999" s="10"/>
      <c r="M7999" s="10"/>
      <c r="N7999" s="10"/>
      <c r="O7999" s="10"/>
      <c r="P7999" s="10"/>
      <c r="Q7999" s="10"/>
      <c r="R7999" s="10"/>
      <c r="S7999" s="10"/>
      <c r="T7999" s="10"/>
      <c r="U7999" s="10"/>
      <c r="V7999" s="10"/>
      <c r="W7999" s="10"/>
      <c r="X7999" s="10"/>
      <c r="Y7999" s="10"/>
      <c r="Z7999" s="10"/>
    </row>
    <row r="8000" spans="1:26" ht="12.75">
      <c r="A8000" s="10" t="str">
        <f ca="1">IFERROR(__xludf.DUMMYFUNCTION("""COMPUTED_VALUE"""),"Цветана Георгиева Петрова")</f>
        <v>Цветана Георгиева Петрова</v>
      </c>
      <c r="B8000" s="10" t="str">
        <f ca="1">IFERROR(__xludf.DUMMYFUNCTION("""COMPUTED_VALUE"""),"Статия в списания и поредици")</f>
        <v>Статия в списания и поредици</v>
      </c>
      <c r="C8000" s="10" t="str">
        <f ca="1">IFERROR(__xludf.DUMMYFUNCTION("""COMPUTED_VALUE"""),"Културни концепти на политическото")</f>
        <v>Културни концепти на политическото</v>
      </c>
      <c r="D8000" s="10">
        <f ca="1">IFERROR(__xludf.DUMMYFUNCTION("""COMPUTED_VALUE"""),2013)</f>
        <v>2013</v>
      </c>
      <c r="E8000" s="10" t="str">
        <f ca="1">IFERROR(__xludf.DUMMYFUNCTION("""COMPUTED_VALUE"""),"Сборник от статии. Реактор и съставител Цв. Георгиева. Издателство „За буквите – О’ писменехь“, Университет по библиотекознание и информационни технологии. София, 2013. 125–143. ISBN: 978-954-2946-80-9.")</f>
        <v>Сборник от статии. Реактор и съставител Цв. Георгиева. Издателство „За буквите – О’ писменехь“, Университет по библиотекознание и информационни технологии. София, 2013. 125–143. ISBN: 978-954-2946-80-9.</v>
      </c>
      <c r="F8000" s="10"/>
      <c r="G8000" s="10"/>
      <c r="H8000" s="10"/>
      <c r="I8000" s="10"/>
      <c r="J8000" s="10"/>
      <c r="K8000" s="10"/>
      <c r="L8000" s="10"/>
      <c r="M8000" s="10"/>
      <c r="N8000" s="10"/>
      <c r="O8000" s="10"/>
      <c r="P8000" s="10"/>
      <c r="Q8000" s="10"/>
      <c r="R8000" s="10"/>
      <c r="S8000" s="10"/>
      <c r="T8000" s="10"/>
      <c r="U8000" s="10"/>
      <c r="V8000" s="10"/>
      <c r="W8000" s="10"/>
      <c r="X8000" s="10"/>
      <c r="Y8000" s="10"/>
      <c r="Z8000" s="10"/>
    </row>
    <row r="8001" spans="1:26" ht="12.75">
      <c r="A8001" s="10" t="str">
        <f ca="1">IFERROR(__xludf.DUMMYFUNCTION("""COMPUTED_VALUE"""),"Цветана Георгиева Петрова")</f>
        <v>Цветана Георгиева Петрова</v>
      </c>
      <c r="B8001" s="10" t="str">
        <f ca="1">IFERROR(__xludf.DUMMYFUNCTION("""COMPUTED_VALUE"""),"Статия в списания и поредици")</f>
        <v>Статия в списания и поредици</v>
      </c>
      <c r="C8001" s="10" t="str">
        <f ca="1">IFERROR(__xludf.DUMMYFUNCTION("""COMPUTED_VALUE"""),"Поемата „Златни ниви и бойни полета“ на Ем. Попдимитров – документ и притча за Балканската война")</f>
        <v>Поемата „Златни ниви и бойни полета“ на Ем. Попдимитров – документ и притча за Балканската война</v>
      </c>
      <c r="D8001" s="10">
        <f ca="1">IFERROR(__xludf.DUMMYFUNCTION("""COMPUTED_VALUE"""),2012)</f>
        <v>2012</v>
      </c>
      <c r="E8001" s="10" t="str">
        <f ca="1">IFERROR(__xludf.DUMMYFUNCTION("""COMPUTED_VALUE"""),"// Езиков свят /Orbis linguarum, кн. 2 /2012. Югозападен университет „Неофит Рилски“, Филологически факултет. Редакционна колегия: М. Костова-Панайотова и др. УИ „Неофит Рилски“. Благоевград. 31–38. ISSN 1312-0484 (Print); ISSN: 2603-4026 (Online).")</f>
        <v>// Езиков свят /Orbis linguarum, кн. 2 /2012. Югозападен университет „Неофит Рилски“, Филологически факултет. Редакционна колегия: М. Костова-Панайотова и др. УИ „Неофит Рилски“. Благоевград. 31–38. ISSN 1312-0484 (Print); ISSN: 2603-4026 (Online).</v>
      </c>
      <c r="F8001" s="10"/>
      <c r="G8001" s="10"/>
      <c r="H8001" s="10"/>
      <c r="I8001" s="10"/>
      <c r="J8001" s="10"/>
      <c r="K8001" s="10"/>
      <c r="L8001" s="10"/>
      <c r="M8001" s="10"/>
      <c r="N8001" s="10"/>
      <c r="O8001" s="10"/>
      <c r="P8001" s="10"/>
      <c r="Q8001" s="10"/>
      <c r="R8001" s="10"/>
      <c r="S8001" s="10"/>
      <c r="T8001" s="10"/>
      <c r="U8001" s="10"/>
      <c r="V8001" s="10"/>
      <c r="W8001" s="10"/>
      <c r="X8001" s="10"/>
      <c r="Y8001" s="10"/>
      <c r="Z8001" s="10"/>
    </row>
    <row r="8002" spans="1:26" ht="12.75">
      <c r="A8002" s="10" t="str">
        <f ca="1">IFERROR(__xludf.DUMMYFUNCTION("""COMPUTED_VALUE"""),"Цветана Георгиева Петрова")</f>
        <v>Цветана Георгиева Петрова</v>
      </c>
      <c r="B8002" s="10" t="str">
        <f ca="1">IFERROR(__xludf.DUMMYFUNCTION("""COMPUTED_VALUE"""),"Монография")</f>
        <v>Монография</v>
      </c>
      <c r="C8002" s="10" t="str">
        <f ca="1">IFERROR(__xludf.DUMMYFUNCTION("""COMPUTED_VALUE"""),"Парадоксите на Еклисиаста. Първо издание")</f>
        <v>Парадоксите на Еклисиаста. Първо издание</v>
      </c>
      <c r="D8002" s="10">
        <f ca="1">IFERROR(__xludf.DUMMYFUNCTION("""COMPUTED_VALUE"""),2012)</f>
        <v>2012</v>
      </c>
      <c r="E8002" s="10" t="str">
        <f ca="1">IFERROR(__xludf.DUMMYFUNCTION("""COMPUTED_VALUE"""),"Изд. „АН-ДИ“. С., 2012. –150 с. Издателски код: 92709; ISBN: 978-954-92709-3-8.")</f>
        <v>Изд. „АН-ДИ“. С., 2012. –150 с. Издателски код: 92709; ISBN: 978-954-92709-3-8.</v>
      </c>
      <c r="F8002" s="10"/>
      <c r="G8002" s="10"/>
      <c r="H8002" s="10"/>
      <c r="I8002" s="10"/>
      <c r="J8002" s="10"/>
      <c r="K8002" s="10"/>
      <c r="L8002" s="10"/>
      <c r="M8002" s="10"/>
      <c r="N8002" s="10"/>
      <c r="O8002" s="10"/>
      <c r="P8002" s="10"/>
      <c r="Q8002" s="10"/>
      <c r="R8002" s="10"/>
      <c r="S8002" s="10"/>
      <c r="T8002" s="10"/>
      <c r="U8002" s="10"/>
      <c r="V8002" s="10"/>
      <c r="W8002" s="10"/>
      <c r="X8002" s="10"/>
      <c r="Y8002" s="10"/>
      <c r="Z8002" s="10"/>
    </row>
    <row r="8003" spans="1:26" ht="12.75">
      <c r="A8003" s="10" t="str">
        <f ca="1">IFERROR(__xludf.DUMMYFUNCTION("""COMPUTED_VALUE"""),"Цветана Георгиева Петрова")</f>
        <v>Цветана Георгиева Петрова</v>
      </c>
      <c r="B8003" s="10" t="str">
        <f ca="1">IFERROR(__xludf.DUMMYFUNCTION("""COMPUTED_VALUE"""),"Статия в списания и поредици")</f>
        <v>Статия в списания и поредици</v>
      </c>
      <c r="C8003" s="10" t="str">
        <f ca="1">IFERROR(__xludf.DUMMYFUNCTION("""COMPUTED_VALUE"""),"„Процесът против богомилите” на Стефан Цанев – пародия на театъра на властта")</f>
        <v>„Процесът против богомилите” на Стефан Цанев – пародия на театъра на властта</v>
      </c>
      <c r="D8003" s="10">
        <f ca="1">IFERROR(__xludf.DUMMYFUNCTION("""COMPUTED_VALUE"""),2012)</f>
        <v>2012</v>
      </c>
      <c r="E8003" s="10" t="str">
        <f ca="1">IFERROR(__xludf.DUMMYFUNCTION("""COMPUTED_VALUE"""),"Литература на близкото минало (1944–1989). Редакционна колегия: М. Костова-Панайотова, М. Кирова и др. Издание на ФФ на ЮЗУ „Неофит Рилски“, УИ „Неофит Рилски“. Благоевград, 2012. 166–177. ISSN: 978-954-680-852-3.")</f>
        <v>Литература на близкото минало (1944–1989). Редакционна колегия: М. Костова-Панайотова, М. Кирова и др. Издание на ФФ на ЮЗУ „Неофит Рилски“, УИ „Неофит Рилски“. Благоевград, 2012. 166–177. ISSN: 978-954-680-852-3.</v>
      </c>
      <c r="F8003" s="10"/>
      <c r="G8003" s="10"/>
      <c r="H8003" s="10"/>
      <c r="I8003" s="10"/>
      <c r="J8003" s="10"/>
      <c r="K8003" s="10"/>
      <c r="L8003" s="10"/>
      <c r="M8003" s="10"/>
      <c r="N8003" s="10"/>
      <c r="O8003" s="10"/>
      <c r="P8003" s="10"/>
      <c r="Q8003" s="10"/>
      <c r="R8003" s="10"/>
      <c r="S8003" s="10"/>
      <c r="T8003" s="10"/>
      <c r="U8003" s="10"/>
      <c r="V8003" s="10"/>
      <c r="W8003" s="10"/>
      <c r="X8003" s="10"/>
      <c r="Y8003" s="10"/>
      <c r="Z8003" s="10"/>
    </row>
    <row r="8004" spans="1:26" ht="12.75">
      <c r="A8004" s="10" t="str">
        <f ca="1">IFERROR(__xludf.DUMMYFUNCTION("""COMPUTED_VALUE"""),"Цветана Георгиева Петрова")</f>
        <v>Цветана Георгиева Петрова</v>
      </c>
      <c r="B8004" s="10" t="str">
        <f ca="1">IFERROR(__xludf.DUMMYFUNCTION("""COMPUTED_VALUE"""),"Доклад от конференция")</f>
        <v>Доклад от конференция</v>
      </c>
      <c r="C8004" s="10" t="str">
        <f ca="1">IFERROR(__xludf.DUMMYFUNCTION("""COMPUTED_VALUE"""),"Славейковата Библия като проект за устройването на новобългарския книжовен език")</f>
        <v>Славейковата Библия като проект за устройването на новобългарския книжовен език</v>
      </c>
      <c r="D8004" s="10">
        <f ca="1">IFERROR(__xludf.DUMMYFUNCTION("""COMPUTED_VALUE"""),2012)</f>
        <v>2012</v>
      </c>
      <c r="E8004" s="10" t="str">
        <f ca="1">IFERROR(__xludf.DUMMYFUNCTION("""COMPUTED_VALUE"""),"// 140 години Библията на говорим български език. Сборник доклади, изнесени на конференция, проведена на 21 май 2012 г. в аулата на СУ „Св. Климент Охридски“. Българско библейско дружество. Редактор: Л. Никифорова. Печат „Булгед“. София, 2012. 17–30. ISBN"&amp;": 978-954-8968-61-4.")</f>
        <v>// 140 години Библията на говорим български език. Сборник доклади, изнесени на конференция, проведена на 21 май 2012 г. в аулата на СУ „Св. Климент Охридски“. Българско библейско дружество. Редактор: Л. Никифорова. Печат „Булгед“. София, 2012. 17–30. ISBN: 978-954-8968-61-4.</v>
      </c>
      <c r="F8004" s="10"/>
      <c r="G8004" s="10" t="str">
        <f ca="1">IFERROR(__xludf.DUMMYFUNCTION("""COMPUTED_VALUE"""),"Валентина Цветкова")</f>
        <v>Валентина Цветкова</v>
      </c>
      <c r="H8004" s="10"/>
      <c r="I8004" s="10"/>
      <c r="J8004" s="10"/>
      <c r="K8004" s="10"/>
      <c r="L8004" s="10"/>
      <c r="M8004" s="10"/>
      <c r="N8004" s="10"/>
      <c r="O8004" s="10"/>
      <c r="P8004" s="10"/>
      <c r="Q8004" s="10"/>
      <c r="R8004" s="10"/>
      <c r="S8004" s="10"/>
      <c r="T8004" s="10"/>
      <c r="U8004" s="10"/>
      <c r="V8004" s="10"/>
      <c r="W8004" s="10"/>
      <c r="X8004" s="10"/>
      <c r="Y8004" s="10"/>
      <c r="Z8004" s="10"/>
    </row>
    <row r="8005" spans="1:26" ht="12.75">
      <c r="A8005" s="10" t="str">
        <f ca="1">IFERROR(__xludf.DUMMYFUNCTION("""COMPUTED_VALUE"""),"Цветана Георгиева Петрова")</f>
        <v>Цветана Георгиева Петрова</v>
      </c>
      <c r="B8005" s="10" t="str">
        <f ca="1">IFERROR(__xludf.DUMMYFUNCTION("""COMPUTED_VALUE"""),"Статия в списания и поредици")</f>
        <v>Статия в списания и поредици</v>
      </c>
      <c r="C8005" s="10" t="str">
        <f ca="1">IFERROR(__xludf.DUMMYFUNCTION("""COMPUTED_VALUE"""),"Книга на Еклисиаста като метатекст в епохата на барока")</f>
        <v>Книга на Еклисиаста като метатекст в епохата на барока</v>
      </c>
      <c r="D8005" s="10">
        <f ca="1">IFERROR(__xludf.DUMMYFUNCTION("""COMPUTED_VALUE"""),2012)</f>
        <v>2012</v>
      </c>
      <c r="E8005" s="10" t="str">
        <f ca="1">IFERROR(__xludf.DUMMYFUNCTION("""COMPUTED_VALUE"""),"// Езиков свят/Orbis linguarum, том 10, кн. 1. Югозападен университет „Неофит Рилски“, Филологически факултет. Редакционна колегия: М. Костова-Панайотова и др. УИ „Неофит Рилски“. Благоевград. 2012. 99–107. ISSN 1312-0484 (Print); ISSN: 2603-4026 (Online)"&amp;".")</f>
        <v>// Езиков свят/Orbis linguarum, том 10, кн. 1. Югозападен университет „Неофит Рилски“, Филологически факултет. Редакционна колегия: М. Костова-Панайотова и др. УИ „Неофит Рилски“. Благоевград. 2012. 99–107. ISSN 1312-0484 (Print); ISSN: 2603-4026 (Online).</v>
      </c>
      <c r="F8005" s="10"/>
      <c r="G8005" s="10"/>
      <c r="H8005" s="10"/>
      <c r="I8005" s="10"/>
      <c r="J8005" s="10"/>
      <c r="K8005" s="10"/>
      <c r="L8005" s="10"/>
      <c r="M8005" s="10"/>
      <c r="N8005" s="10"/>
      <c r="O8005" s="10"/>
      <c r="P8005" s="10"/>
      <c r="Q8005" s="10"/>
      <c r="R8005" s="10"/>
      <c r="S8005" s="10"/>
      <c r="T8005" s="10"/>
      <c r="U8005" s="10"/>
      <c r="V8005" s="10"/>
      <c r="W8005" s="10"/>
      <c r="X8005" s="10"/>
      <c r="Y8005" s="10"/>
      <c r="Z8005" s="10"/>
    </row>
    <row r="8006" spans="1:26" ht="12.75">
      <c r="A8006" s="10" t="str">
        <f ca="1">IFERROR(__xludf.DUMMYFUNCTION("""COMPUTED_VALUE"""),"Цветана Георгиева Петрова")</f>
        <v>Цветана Георгиева Петрова</v>
      </c>
      <c r="B8006" s="10" t="str">
        <f ca="1">IFERROR(__xludf.DUMMYFUNCTION("""COMPUTED_VALUE"""),"Статия в списания и поредици")</f>
        <v>Статия в списания и поредици</v>
      </c>
      <c r="C8006" s="10" t="str">
        <f ca="1">IFERROR(__xludf.DUMMYFUNCTION("""COMPUTED_VALUE"""),"Концепцията за изкуството на Иван Грозев от страниците на сп. „Хиперион“")</f>
        <v>Концепцията за изкуството на Иван Грозев от страниците на сп. „Хиперион“</v>
      </c>
      <c r="D8006" s="10">
        <f ca="1">IFERROR(__xludf.DUMMYFUNCTION("""COMPUTED_VALUE"""),2011)</f>
        <v>2011</v>
      </c>
      <c r="E8006" s="10" t="str">
        <f ca="1">IFERROR(__xludf.DUMMYFUNCTION("""COMPUTED_VALUE"""),"Критическото наследство на българския модернизъм. Т. 4. Как го четем сега. Съставителство и редакция: Е. Сугарев, Е. Димитрова, Цв. Атанасова. Институт за литература – БАН. Издателски център „Боян Пенев“. София, 2011. 160–168. ISBN: 978-954-8712-72-9. [UR"&amp;"L http://bgmodernism.com/files/books/Krit._nasledstvo_t.4.pdf] (видяно 26.09.2019)")</f>
        <v>Критическото наследство на българския модернизъм. Т. 4. Как го четем сега. Съставителство и редакция: Е. Сугарев, Е. Димитрова, Цв. Атанасова. Институт за литература – БАН. Издателски център „Боян Пенев“. София, 2011. 160–168. ISBN: 978-954-8712-72-9. [URL http://bgmodernism.com/files/books/Krit._nasledstvo_t.4.pdf] (видяно 26.09.2019)</v>
      </c>
      <c r="F8006" s="10"/>
      <c r="G8006" s="10"/>
      <c r="H8006" s="10"/>
      <c r="I8006" s="10"/>
      <c r="J8006" s="10"/>
      <c r="K8006" s="10"/>
      <c r="L8006" s="10"/>
      <c r="M8006" s="10"/>
      <c r="N8006" s="10"/>
      <c r="O8006" s="10"/>
      <c r="P8006" s="10"/>
      <c r="Q8006" s="10"/>
      <c r="R8006" s="10"/>
      <c r="S8006" s="10"/>
      <c r="T8006" s="10"/>
      <c r="U8006" s="10"/>
      <c r="V8006" s="10"/>
      <c r="W8006" s="10"/>
      <c r="X8006" s="10"/>
      <c r="Y8006" s="10"/>
      <c r="Z8006" s="10"/>
    </row>
    <row r="8007" spans="1:26" ht="12.75">
      <c r="A8007" s="10" t="str">
        <f ca="1">IFERROR(__xludf.DUMMYFUNCTION("""COMPUTED_VALUE"""),"Цветана Георгиева Петрова")</f>
        <v>Цветана Георгиева Петрова</v>
      </c>
      <c r="B8007" s="10" t="str">
        <f ca="1">IFERROR(__xludf.DUMMYFUNCTION("""COMPUTED_VALUE"""),"Статия в списания и поредици")</f>
        <v>Статия в списания и поредици</v>
      </c>
      <c r="C8007" s="10" t="str">
        <f ca="1">IFERROR(__xludf.DUMMYFUNCTION("""COMPUTED_VALUE"""),"Емануил Попдимитров – Елисавета Багряна в „Есенни пламъци“")</f>
        <v>Емануил Попдимитров – Елисавета Багряна в „Есенни пламъци“</v>
      </c>
      <c r="D8007" s="10">
        <f ca="1">IFERROR(__xludf.DUMMYFUNCTION("""COMPUTED_VALUE"""),2011)</f>
        <v>2011</v>
      </c>
      <c r="E8007" s="10" t="str">
        <f ca="1">IFERROR(__xludf.DUMMYFUNCTION("""COMPUTED_VALUE"""),"Български език и литература. Двумесечно научно-методическо списание на МОМН. LІІІ. Кн. 3 / 2011. Редакционна колегия: Вл. Атанасов, Т. Бояджиев и др. София. 28–37; ISSN: 0323-9519. [URL: http://liternet.bg/publish28/cvetana-georgieva/emanuil-popdimitrov.h"&amp;"tm] (видяно 30.09.2019)")</f>
        <v>Български език и литература. Двумесечно научно-методическо списание на МОМН. LІІІ. Кн. 3 / 2011. Редакционна колегия: Вл. Атанасов, Т. Бояджиев и др. София. 28–37; ISSN: 0323-9519. [URL: http://liternet.bg/publish28/cvetana-georgieva/emanuil-popdimitrov.htm] (видяно 30.09.2019)</v>
      </c>
      <c r="F8007" s="10"/>
      <c r="G8007" s="10"/>
      <c r="H8007" s="10"/>
      <c r="I8007" s="10"/>
      <c r="J8007" s="10"/>
      <c r="K8007" s="10"/>
      <c r="L8007" s="10"/>
      <c r="M8007" s="10"/>
      <c r="N8007" s="10"/>
      <c r="O8007" s="10"/>
      <c r="P8007" s="10"/>
      <c r="Q8007" s="10"/>
      <c r="R8007" s="10"/>
      <c r="S8007" s="10"/>
      <c r="T8007" s="10"/>
      <c r="U8007" s="10"/>
      <c r="V8007" s="10"/>
      <c r="W8007" s="10"/>
      <c r="X8007" s="10"/>
      <c r="Y8007" s="10"/>
      <c r="Z8007" s="10"/>
    </row>
    <row r="8008" spans="1:26" ht="12.75">
      <c r="A8008" s="10" t="str">
        <f ca="1">IFERROR(__xludf.DUMMYFUNCTION("""COMPUTED_VALUE"""),"Цветана Георгиева Петрова")</f>
        <v>Цветана Георгиева Петрова</v>
      </c>
      <c r="B8008" s="10" t="str">
        <f ca="1">IFERROR(__xludf.DUMMYFUNCTION("""COMPUTED_VALUE"""),"Учебно пособие")</f>
        <v>Учебно пособие</v>
      </c>
      <c r="C8008" s="10" t="str">
        <f ca="1">IFERROR(__xludf.DUMMYFUNCTION("""COMPUTED_VALUE"""),"Съвременна българска литература")</f>
        <v>Съвременна българска литература</v>
      </c>
      <c r="D8008" s="10">
        <f ca="1">IFERROR(__xludf.DUMMYFUNCTION("""COMPUTED_VALUE"""),2011)</f>
        <v>2011</v>
      </c>
      <c r="E8008" s="10" t="str">
        <f ca="1">IFERROR(__xludf.DUMMYFUNCTION("""COMPUTED_VALUE"""),"Изд. „АН-ДИ“, С., 2011. –280 с. ISBN: 978-954-92709-1-4.")</f>
        <v>Изд. „АН-ДИ“, С., 2011. –280 с. ISBN: 978-954-92709-1-4.</v>
      </c>
      <c r="F8008" s="10"/>
      <c r="G8008" s="10"/>
      <c r="H8008" s="10"/>
      <c r="I8008" s="10"/>
      <c r="J8008" s="10"/>
      <c r="K8008" s="10"/>
      <c r="L8008" s="10"/>
      <c r="M8008" s="10"/>
      <c r="N8008" s="10"/>
      <c r="O8008" s="10"/>
      <c r="P8008" s="10"/>
      <c r="Q8008" s="10"/>
      <c r="R8008" s="10"/>
      <c r="S8008" s="10"/>
      <c r="T8008" s="10"/>
      <c r="U8008" s="10"/>
      <c r="V8008" s="10"/>
      <c r="W8008" s="10"/>
      <c r="X8008" s="10"/>
      <c r="Y8008" s="10"/>
      <c r="Z8008" s="10"/>
    </row>
    <row r="8009" spans="1:26" ht="12.75">
      <c r="A8009" s="10" t="str">
        <f ca="1">IFERROR(__xludf.DUMMYFUNCTION("""COMPUTED_VALUE"""),"Цветана Георгиева Петрова")</f>
        <v>Цветана Георгиева Петрова</v>
      </c>
      <c r="B8009" s="10" t="str">
        <f ca="1">IFERROR(__xludf.DUMMYFUNCTION("""COMPUTED_VALUE"""),"Монография")</f>
        <v>Монография</v>
      </c>
      <c r="C8009" s="10" t="str">
        <f ca="1">IFERROR(__xludf.DUMMYFUNCTION("""COMPUTED_VALUE"""),"Емануил Попдимитров. Поезия и философия.")</f>
        <v>Емануил Попдимитров. Поезия и философия.</v>
      </c>
      <c r="D8009" s="10">
        <f ca="1">IFERROR(__xludf.DUMMYFUNCTION("""COMPUTED_VALUE"""),2010)</f>
        <v>2010</v>
      </c>
      <c r="E8009" s="10" t="str">
        <f ca="1">IFERROR(__xludf.DUMMYFUNCTION("""COMPUTED_VALUE"""),"Изд. „Ан-Ди“. Автор на корицата Андриян Тасев. С., 2010. –238 с. ISBN: 978-945-91730-8-6.")</f>
        <v>Изд. „Ан-Ди“. Автор на корицата Андриян Тасев. С., 2010. –238 с. ISBN: 978-945-91730-8-6.</v>
      </c>
      <c r="F8009" s="10"/>
      <c r="G8009" s="10"/>
      <c r="H8009" s="10"/>
      <c r="I8009" s="10"/>
      <c r="J8009" s="10"/>
      <c r="K8009" s="10"/>
      <c r="L8009" s="10"/>
      <c r="M8009" s="10"/>
      <c r="N8009" s="10"/>
      <c r="O8009" s="10"/>
      <c r="P8009" s="10"/>
      <c r="Q8009" s="10"/>
      <c r="R8009" s="10"/>
      <c r="S8009" s="10"/>
      <c r="T8009" s="10"/>
      <c r="U8009" s="10"/>
      <c r="V8009" s="10"/>
      <c r="W8009" s="10"/>
      <c r="X8009" s="10"/>
      <c r="Y8009" s="10"/>
      <c r="Z8009" s="10"/>
    </row>
    <row r="8010" spans="1:26" ht="12.75">
      <c r="A8010" s="10" t="str">
        <f ca="1">IFERROR(__xludf.DUMMYFUNCTION("""COMPUTED_VALUE"""),"Цветана Георгиева Петрова")</f>
        <v>Цветана Георгиева Петрова</v>
      </c>
      <c r="B8010" s="10" t="str">
        <f ca="1">IFERROR(__xludf.DUMMYFUNCTION("""COMPUTED_VALUE"""),"Статия в списания и поредици")</f>
        <v>Статия в списания и поредици</v>
      </c>
      <c r="C8010" s="10" t="str">
        <f ca="1">IFERROR(__xludf.DUMMYFUNCTION("""COMPUTED_VALUE"""),"Болестното и мотивът за „вграждането” в бригадирската социалистическа поезия")</f>
        <v>Болестното и мотивът за „вграждането” в бригадирската социалистическа поезия</v>
      </c>
      <c r="D8010" s="10">
        <f ca="1">IFERROR(__xludf.DUMMYFUNCTION("""COMPUTED_VALUE"""),2009)</f>
        <v>2009</v>
      </c>
      <c r="E8010" s="10" t="str">
        <f ca="1">IFERROR(__xludf.DUMMYFUNCTION("""COMPUTED_VALUE"""),"// Годишник на Филологическия факултет на Югозападния университет „Неофит Рилски“, том 7 / 2009. Редакционна колегия: Цв. Ракьовски и др. Университетско издателство „Неофит Рилски“, Благоевград. 105–119. ISSN: 1312-0493.")</f>
        <v>// Годишник на Филологическия факултет на Югозападния университет „Неофит Рилски“, том 7 / 2009. Редакционна колегия: Цв. Ракьовски и др. Университетско издателство „Неофит Рилски“, Благоевград. 105–119. ISSN: 1312-0493.</v>
      </c>
      <c r="F8010" s="10"/>
      <c r="G8010" s="10"/>
      <c r="H8010" s="10"/>
      <c r="I8010" s="10"/>
      <c r="J8010" s="10"/>
      <c r="K8010" s="10"/>
      <c r="L8010" s="10"/>
      <c r="M8010" s="10"/>
      <c r="N8010" s="10"/>
      <c r="O8010" s="10"/>
      <c r="P8010" s="10"/>
      <c r="Q8010" s="10"/>
      <c r="R8010" s="10"/>
      <c r="S8010" s="10"/>
      <c r="T8010" s="10"/>
      <c r="U8010" s="10"/>
      <c r="V8010" s="10"/>
      <c r="W8010" s="10"/>
      <c r="X8010" s="10"/>
      <c r="Y8010" s="10"/>
      <c r="Z8010" s="10"/>
    </row>
    <row r="8011" spans="1:26" ht="12.75">
      <c r="A8011" s="10" t="str">
        <f ca="1">IFERROR(__xludf.DUMMYFUNCTION("""COMPUTED_VALUE"""),"Цветана Георгиева Петрова")</f>
        <v>Цветана Георгиева Петрова</v>
      </c>
      <c r="B8011" s="10" t="str">
        <f ca="1">IFERROR(__xludf.DUMMYFUNCTION("""COMPUTED_VALUE"""),"Статия в списания и поредици")</f>
        <v>Статия в списания и поредици</v>
      </c>
      <c r="C8011" s="10" t="str">
        <f ca="1">IFERROR(__xludf.DUMMYFUNCTION("""COMPUTED_VALUE"""),"Поезията на Константин Павлов: Азът в ситуацията на екзистенциална фрустрация")</f>
        <v>Поезията на Константин Павлов: Азът в ситуацията на екзистенциална фрустрация</v>
      </c>
      <c r="D8011" s="10">
        <f ca="1">IFERROR(__xludf.DUMMYFUNCTION("""COMPUTED_VALUE"""),2009)</f>
        <v>2009</v>
      </c>
      <c r="E8011" s="10" t="str">
        <f ca="1">IFERROR(__xludf.DUMMYFUNCTION("""COMPUTED_VALUE"""),"// Антитоталитарната литература. БАН – Институт за литература. Редакционна колегия: В. Чернокожев, Б. Кунчев, Е. Сугарев. Издателски център „Боян Пенев“, София, 2009. 237–246. ISBN: 978-954-8712-56-9.")</f>
        <v>// Антитоталитарната литература. БАН – Институт за литература. Редакционна колегия: В. Чернокожев, Б. Кунчев, Е. Сугарев. Издателски център „Боян Пенев“, София, 2009. 237–246. ISBN: 978-954-8712-56-9.</v>
      </c>
      <c r="F8011" s="10"/>
      <c r="G8011" s="10"/>
      <c r="H8011" s="10"/>
      <c r="I8011" s="10"/>
      <c r="J8011" s="10"/>
      <c r="K8011" s="10"/>
      <c r="L8011" s="10"/>
      <c r="M8011" s="10"/>
      <c r="N8011" s="10"/>
      <c r="O8011" s="10"/>
      <c r="P8011" s="10"/>
      <c r="Q8011" s="10"/>
      <c r="R8011" s="10"/>
      <c r="S8011" s="10"/>
      <c r="T8011" s="10"/>
      <c r="U8011" s="10"/>
      <c r="V8011" s="10"/>
      <c r="W8011" s="10"/>
      <c r="X8011" s="10"/>
      <c r="Y8011" s="10"/>
      <c r="Z8011" s="10"/>
    </row>
    <row r="8012" spans="1:26" ht="12.75">
      <c r="A8012" s="10" t="str">
        <f ca="1">IFERROR(__xludf.DUMMYFUNCTION("""COMPUTED_VALUE"""),"Цветана Георгиева Петрова")</f>
        <v>Цветана Георгиева Петрова</v>
      </c>
      <c r="B8012" s="10" t="str">
        <f ca="1">IFERROR(__xludf.DUMMYFUNCTION("""COMPUTED_VALUE"""),"Монография")</f>
        <v>Монография</v>
      </c>
      <c r="C8012" s="10" t="str">
        <f ca="1">IFERROR(__xludf.DUMMYFUNCTION("""COMPUTED_VALUE"""),"Unio mystica и българският символизъм")</f>
        <v>Unio mystica и българският символизъм</v>
      </c>
      <c r="D8012" s="10">
        <f ca="1">IFERROR(__xludf.DUMMYFUNCTION("""COMPUTED_VALUE"""),2008)</f>
        <v>2008</v>
      </c>
      <c r="E8012" s="10" t="str">
        <f ca="1">IFERROR(__xludf.DUMMYFUNCTION("""COMPUTED_VALUE"""),". Издателство „За буквите – О` писменехь“. Рецензенти: Д. Киров, К. Янакиев. Първо издание. София, 2008. –438 с. Код 8887; ISBN: 978-954-8887-43-4.")</f>
        <v>. Издателство „За буквите – О` писменехь“. Рецензенти: Д. Киров, К. Янакиев. Първо издание. София, 2008. –438 с. Код 8887; ISBN: 978-954-8887-43-4.</v>
      </c>
      <c r="F8012" s="10"/>
      <c r="G8012" s="10"/>
      <c r="H8012" s="10"/>
      <c r="I8012" s="10"/>
      <c r="J8012" s="10"/>
      <c r="K8012" s="10"/>
      <c r="L8012" s="10"/>
      <c r="M8012" s="10"/>
      <c r="N8012" s="10"/>
      <c r="O8012" s="10"/>
      <c r="P8012" s="10"/>
      <c r="Q8012" s="10"/>
      <c r="R8012" s="10"/>
      <c r="S8012" s="10"/>
      <c r="T8012" s="10"/>
      <c r="U8012" s="10"/>
      <c r="V8012" s="10"/>
      <c r="W8012" s="10"/>
      <c r="X8012" s="10"/>
      <c r="Y8012" s="10"/>
      <c r="Z8012" s="10"/>
    </row>
    <row r="8013" spans="1:26" ht="12.75">
      <c r="A8013" s="10" t="str">
        <f ca="1">IFERROR(__xludf.DUMMYFUNCTION("""COMPUTED_VALUE"""),"Цветана Георгиева Петрова")</f>
        <v>Цветана Георгиева Петрова</v>
      </c>
      <c r="B8013" s="10" t="str">
        <f ca="1">IFERROR(__xludf.DUMMYFUNCTION("""COMPUTED_VALUE"""),"Статия в списания и поредици")</f>
        <v>Статия в списания и поредици</v>
      </c>
      <c r="C8013" s="10" t="str">
        <f ca="1">IFERROR(__xludf.DUMMYFUNCTION("""COMPUTED_VALUE"""),"„Лазар и Исус“ от 70-те (холизъм или прагматизъм)")</f>
        <v>„Лазар и Исус“ от 70-те (холизъм или прагматизъм)</v>
      </c>
      <c r="D8013" s="10">
        <f ca="1">IFERROR(__xludf.DUMMYFUNCTION("""COMPUTED_VALUE"""),2008)</f>
        <v>2008</v>
      </c>
      <c r="E8013" s="10" t="str">
        <f ca="1">IFERROR(__xludf.DUMMYFUNCTION("""COMPUTED_VALUE"""),"Емилиян Станев и безкрайните ловни полета на литературата. Юбилеен сборник по повод 100 години от рождението на писателя. Изследвания. Архив. Спомени. Съставители: И. Радев, С. Василев. Университетско издателство „Св. св. Кирил и Методий“. Велико Търново,"&amp;" 2008. 259–267. ISBN: 978-954-524-625-8.")</f>
        <v>Емилиян Станев и безкрайните ловни полета на литературата. Юбилеен сборник по повод 100 години от рождението на писателя. Изследвания. Архив. Спомени. Съставители: И. Радев, С. Василев. Университетско издателство „Св. св. Кирил и Методий“. Велико Търново, 2008. 259–267. ISBN: 978-954-524-625-8.</v>
      </c>
      <c r="F8013" s="10"/>
      <c r="G8013" s="10"/>
      <c r="H8013" s="10"/>
      <c r="I8013" s="10"/>
      <c r="J8013" s="10"/>
      <c r="K8013" s="10"/>
      <c r="L8013" s="10"/>
      <c r="M8013" s="10"/>
      <c r="N8013" s="10"/>
      <c r="O8013" s="10"/>
      <c r="P8013" s="10"/>
      <c r="Q8013" s="10"/>
      <c r="R8013" s="10"/>
      <c r="S8013" s="10"/>
      <c r="T8013" s="10"/>
      <c r="U8013" s="10"/>
      <c r="V8013" s="10"/>
      <c r="W8013" s="10"/>
      <c r="X8013" s="10"/>
      <c r="Y8013" s="10"/>
      <c r="Z8013" s="10"/>
    </row>
    <row r="8014" spans="1:26" ht="12.75">
      <c r="A8014" s="10" t="str">
        <f ca="1">IFERROR(__xludf.DUMMYFUNCTION("""COMPUTED_VALUE"""),"Цветана Георгиева Петрова")</f>
        <v>Цветана Георгиева Петрова</v>
      </c>
      <c r="B8014" s="10" t="str">
        <f ca="1">IFERROR(__xludf.DUMMYFUNCTION("""COMPUTED_VALUE"""),"Учебно пособие")</f>
        <v>Учебно пособие</v>
      </c>
      <c r="C8014" s="10" t="str">
        <f ca="1">IFERROR(__xludf.DUMMYFUNCTION("""COMPUTED_VALUE"""),"Български език. Българска литература")</f>
        <v>Български език. Българска литература</v>
      </c>
      <c r="D8014" s="10">
        <f ca="1">IFERROR(__xludf.DUMMYFUNCTION("""COMPUTED_VALUE"""),2007)</f>
        <v>2007</v>
      </c>
      <c r="E8014" s="10" t="str">
        <f ca="1">IFERROR(__xludf.DUMMYFUNCTION("""COMPUTED_VALUE"""),"Примерни въпроси за кандидатстудентски тестове / Специализирано училище по библиотекознание и информационни технологии. Съставители: С. Габровска, С. Гълъбова и др. Издателство „За буквите – О` писменехь“, София, 2007. 7–165. ISSN: 978-954-8887-27-4")</f>
        <v>Примерни въпроси за кандидатстудентски тестове / Специализирано училище по библиотекознание и информационни технологии. Съставители: С. Габровска, С. Гълъбова и др. Издателство „За буквите – О` писменехь“, София, 2007. 7–165. ISSN: 978-954-8887-27-4</v>
      </c>
      <c r="F8014" s="10"/>
      <c r="G8014" s="10" t="str">
        <f ca="1">IFERROR(__xludf.DUMMYFUNCTION("""COMPUTED_VALUE"""),"П. Парижков, С. Коларов, А. Тодорова")</f>
        <v>П. Парижков, С. Коларов, А. Тодорова</v>
      </c>
      <c r="H8014" s="10"/>
      <c r="I8014" s="10"/>
      <c r="J8014" s="10"/>
      <c r="K8014" s="10"/>
      <c r="L8014" s="10"/>
      <c r="M8014" s="10"/>
      <c r="N8014" s="10"/>
      <c r="O8014" s="10"/>
      <c r="P8014" s="10"/>
      <c r="Q8014" s="10"/>
      <c r="R8014" s="10"/>
      <c r="S8014" s="10"/>
      <c r="T8014" s="10"/>
      <c r="U8014" s="10"/>
      <c r="V8014" s="10"/>
      <c r="W8014" s="10"/>
      <c r="X8014" s="10"/>
      <c r="Y8014" s="10"/>
      <c r="Z8014" s="10"/>
    </row>
    <row r="8015" spans="1:26" ht="12.75">
      <c r="A8015" s="10" t="str">
        <f ca="1">IFERROR(__xludf.DUMMYFUNCTION("""COMPUTED_VALUE"""),"Цветана Георгиева Петрова")</f>
        <v>Цветана Георгиева Петрова</v>
      </c>
      <c r="B8015" s="10" t="str">
        <f ca="1">IFERROR(__xludf.DUMMYFUNCTION("""COMPUTED_VALUE"""),"Статия в списания и поредици")</f>
        <v>Статия в списания и поредици</v>
      </c>
      <c r="C8015" s="10" t="str">
        <f ca="1">IFERROR(__xludf.DUMMYFUNCTION("""COMPUTED_VALUE"""),"Мотиви на окултната и християнската мистика в ранната лирика на Емануил Попдимитров")</f>
        <v>Мотиви на окултната и християнската мистика в ранната лирика на Емануил Попдимитров</v>
      </c>
      <c r="D8015" s="10">
        <f ca="1">IFERROR(__xludf.DUMMYFUNCTION("""COMPUTED_VALUE"""),2007)</f>
        <v>2007</v>
      </c>
      <c r="E8015" s="10" t="str">
        <f ca="1">IFERROR(__xludf.DUMMYFUNCTION("""COMPUTED_VALUE"""),"// Годишник на Филологическия факултет. Югозападен университет „Неофит Рилски“, Т. 5 / 2007. Редакционна колегия: Цв. Ракьовски, Л. Атанасова. Университетско издателство „Неофит Рилски“, Благоевград. 27–34. ISSN: 1312-0493.")</f>
        <v>// Годишник на Филологическия факултет. Югозападен университет „Неофит Рилски“, Т. 5 / 2007. Редакционна колегия: Цв. Ракьовски, Л. Атанасова. Университетско издателство „Неофит Рилски“, Благоевград. 27–34. ISSN: 1312-0493.</v>
      </c>
      <c r="F8015" s="10"/>
      <c r="G8015" s="10"/>
      <c r="H8015" s="10"/>
      <c r="I8015" s="10"/>
      <c r="J8015" s="10"/>
      <c r="K8015" s="10"/>
      <c r="L8015" s="10"/>
      <c r="M8015" s="10"/>
      <c r="N8015" s="10"/>
      <c r="O8015" s="10"/>
      <c r="P8015" s="10"/>
      <c r="Q8015" s="10"/>
      <c r="R8015" s="10"/>
      <c r="S8015" s="10"/>
      <c r="T8015" s="10"/>
      <c r="U8015" s="10"/>
      <c r="V8015" s="10"/>
      <c r="W8015" s="10"/>
      <c r="X8015" s="10"/>
      <c r="Y8015" s="10"/>
      <c r="Z8015" s="10"/>
    </row>
    <row r="8016" spans="1:26" ht="12.75">
      <c r="A8016" s="10" t="str">
        <f ca="1">IFERROR(__xludf.DUMMYFUNCTION("""COMPUTED_VALUE"""),"Цветана Георгиева Петрова")</f>
        <v>Цветана Георгиева Петрова</v>
      </c>
      <c r="B8016" s="10" t="str">
        <f ca="1">IFERROR(__xludf.DUMMYFUNCTION("""COMPUTED_VALUE"""),"Статия в списания и поредици")</f>
        <v>Статия в списания и поредици</v>
      </c>
      <c r="C8016" s="10" t="str">
        <f ca="1">IFERROR(__xludf.DUMMYFUNCTION("""COMPUTED_VALUE"""),"Мистичният Аз – Иисус Христос в поемата на Емануил Попдимитров „Преображение“")</f>
        <v>Мистичният Аз – Иисус Христос в поемата на Емануил Попдимитров „Преображение“</v>
      </c>
      <c r="D8016" s="10">
        <f ca="1">IFERROR(__xludf.DUMMYFUNCTION("""COMPUTED_VALUE"""),2007)</f>
        <v>2007</v>
      </c>
      <c r="E8016" s="10" t="str">
        <f ca="1">IFERROR(__xludf.DUMMYFUNCTION("""COMPUTED_VALUE"""),"// Емануил Попдимитров – критически прочити. Сборник по случай 120 години от рождението на твореца. Съставител д-р Ноеми Стоичкова; редакционна колегия: М. Дачев, В. Стефанов, Я. Милчаков, М. Неделчев. Университетско издателство „Св. Климент Охридски“, С."&amp;", 2007. 74–84. ISBN: 978-954-07-2375-2.")</f>
        <v>// Емануил Попдимитров – критически прочити. Сборник по случай 120 години от рождението на твореца. Съставител д-р Ноеми Стоичкова; редакционна колегия: М. Дачев, В. Стефанов, Я. Милчаков, М. Неделчев. Университетско издателство „Св. Климент Охридски“, С., 2007. 74–84. ISBN: 978-954-07-2375-2.</v>
      </c>
      <c r="F8016" s="10"/>
      <c r="G8016" s="10"/>
      <c r="H8016" s="10"/>
      <c r="I8016" s="10"/>
      <c r="J8016" s="10"/>
      <c r="K8016" s="10"/>
      <c r="L8016" s="10"/>
      <c r="M8016" s="10"/>
      <c r="N8016" s="10"/>
      <c r="O8016" s="10"/>
      <c r="P8016" s="10"/>
      <c r="Q8016" s="10"/>
      <c r="R8016" s="10"/>
      <c r="S8016" s="10"/>
      <c r="T8016" s="10"/>
      <c r="U8016" s="10"/>
      <c r="V8016" s="10"/>
      <c r="W8016" s="10"/>
      <c r="X8016" s="10"/>
      <c r="Y8016" s="10"/>
      <c r="Z8016" s="10"/>
    </row>
    <row r="8017" spans="1:26" ht="12.75">
      <c r="A8017" s="10" t="str">
        <f ca="1">IFERROR(__xludf.DUMMYFUNCTION("""COMPUTED_VALUE"""),"Цветана Георгиева Петрова")</f>
        <v>Цветана Георгиева Петрова</v>
      </c>
      <c r="B8017" s="10" t="str">
        <f ca="1">IFERROR(__xludf.DUMMYFUNCTION("""COMPUTED_VALUE"""),"Статия в списания и поредици")</f>
        <v>Статия в списания и поредици</v>
      </c>
      <c r="C8017" s="10" t="str">
        <f ca="1">IFERROR(__xludf.DUMMYFUNCTION("""COMPUTED_VALUE"""),"„Лазар и Исус“ на Емилиян Станев: семантика на оптичното")</f>
        <v>„Лазар и Исус“ на Емилиян Станев: семантика на оптичното</v>
      </c>
      <c r="D8017" s="10">
        <f ca="1">IFERROR(__xludf.DUMMYFUNCTION("""COMPUTED_VALUE"""),2007)</f>
        <v>2007</v>
      </c>
      <c r="E8017" s="10" t="str">
        <f ca="1">IFERROR(__xludf.DUMMYFUNCTION("""COMPUTED_VALUE"""),"Писател български. 100 години от рождението на Емилиян Станев. Редакционна колегия: Ив. Сарандев, Р. Пенчева. ИК ЛИК, София, 2007. 177–187. ISSN: 978-954-607-760-8.")</f>
        <v>Писател български. 100 години от рождението на Емилиян Станев. Редакционна колегия: Ив. Сарандев, Р. Пенчева. ИК ЛИК, София, 2007. 177–187. ISSN: 978-954-607-760-8.</v>
      </c>
      <c r="F8017" s="10"/>
      <c r="G8017" s="10"/>
      <c r="H8017" s="10"/>
      <c r="I8017" s="10"/>
      <c r="J8017" s="10"/>
      <c r="K8017" s="10"/>
      <c r="L8017" s="10"/>
      <c r="M8017" s="10"/>
      <c r="N8017" s="10"/>
      <c r="O8017" s="10"/>
      <c r="P8017" s="10"/>
      <c r="Q8017" s="10"/>
      <c r="R8017" s="10"/>
      <c r="S8017" s="10"/>
      <c r="T8017" s="10"/>
      <c r="U8017" s="10"/>
      <c r="V8017" s="10"/>
      <c r="W8017" s="10"/>
      <c r="X8017" s="10"/>
      <c r="Y8017" s="10"/>
      <c r="Z8017" s="10"/>
    </row>
    <row r="8018" spans="1:26" ht="12.75">
      <c r="A8018" s="10" t="str">
        <f ca="1">IFERROR(__xludf.DUMMYFUNCTION("""COMPUTED_VALUE"""),"Цветана Георгиева Петрова")</f>
        <v>Цветана Георгиева Петрова</v>
      </c>
      <c r="B8018" s="10" t="str">
        <f ca="1">IFERROR(__xludf.DUMMYFUNCTION("""COMPUTED_VALUE"""),"Статия в списания и поредици")</f>
        <v>Статия в списания и поредици</v>
      </c>
      <c r="C8018" s="10" t="str">
        <f ca="1">IFERROR(__xludf.DUMMYFUNCTION("""COMPUTED_VALUE"""),"Смех / Smiech / Laughter")</f>
        <v>Смех / Smiech / Laughter</v>
      </c>
      <c r="D8018" s="10">
        <f ca="1">IFERROR(__xludf.DUMMYFUNCTION("""COMPUTED_VALUE"""),2007)</f>
        <v>2007</v>
      </c>
      <c r="E8018" s="10" t="str">
        <f ca="1">IFERROR(__xludf.DUMMYFUNCTION("""COMPUTED_VALUE"""),"// Идеи в России / Ideas in Russia / Idee w Rosji. Tom 6. Leksykon rosyjsko-polsko-angielski pod redakcją Justyny Kurczak. Wydawnictwo Ibidem. Łódź PL, 2007, 288–294. ISBN: 83-88679-63-5; ISBN: 978-83-88679-")</f>
        <v>// Идеи в России / Ideas in Russia / Idee w Rosji. Tom 6. Leksykon rosyjsko-polsko-angielski pod redakcją Justyny Kurczak. Wydawnictwo Ibidem. Łódź PL, 2007, 288–294. ISBN: 83-88679-63-5; ISBN: 978-83-88679-</v>
      </c>
      <c r="F8018" s="10"/>
      <c r="G8018" s="10"/>
      <c r="H8018" s="10"/>
      <c r="I8018" s="10"/>
      <c r="J8018" s="10"/>
      <c r="K8018" s="10"/>
      <c r="L8018" s="10"/>
      <c r="M8018" s="10"/>
      <c r="N8018" s="10"/>
      <c r="O8018" s="10"/>
      <c r="P8018" s="10"/>
      <c r="Q8018" s="10"/>
      <c r="R8018" s="10"/>
      <c r="S8018" s="10"/>
      <c r="T8018" s="10"/>
      <c r="U8018" s="10"/>
      <c r="V8018" s="10"/>
      <c r="W8018" s="10"/>
      <c r="X8018" s="10"/>
      <c r="Y8018" s="10"/>
      <c r="Z8018" s="10"/>
    </row>
    <row r="8019" spans="1:26" ht="12.75">
      <c r="A8019" s="10" t="str">
        <f ca="1">IFERROR(__xludf.DUMMYFUNCTION("""COMPUTED_VALUE"""),"Цветана Георгиева Петрова")</f>
        <v>Цветана Георгиева Петрова</v>
      </c>
      <c r="B8019" s="10" t="str">
        <f ca="1">IFERROR(__xludf.DUMMYFUNCTION("""COMPUTED_VALUE"""),"Статия в списания и поредици")</f>
        <v>Статия в списания и поредици</v>
      </c>
      <c r="C8019" s="10" t="str">
        <f ca="1">IFERROR(__xludf.DUMMYFUNCTION("""COMPUTED_VALUE"""),"„Voda“ u aranžmanu secesijske lirike bugarskoga simbolista Emanuila Popdimitrova")</f>
        <v>„Voda“ u aranžmanu secesijske lirike bugarskoga simbolista Emanuila Popdimitrova</v>
      </c>
      <c r="D8019" s="10">
        <f ca="1">IFERROR(__xludf.DUMMYFUNCTION("""COMPUTED_VALUE"""),2007)</f>
        <v>2007</v>
      </c>
      <c r="E8019" s="10" t="str">
        <f ca="1">IFERROR(__xludf.DUMMYFUNCTION("""COMPUTED_VALUE"""),"// Književna smotra: Voda: nacrt za jednu enciklopediju. Godište XXXІХ, broj 145 (3). Tajnica uredništva Irena Lukšić. Izdavač Hrvatsko filološko društvo. Zagreb, 2007. 57–62. ISSN: 0455-0463.")</f>
        <v>// Književna smotra: Voda: nacrt za jednu enciklopediju. Godište XXXІХ, broj 145 (3). Tajnica uredništva Irena Lukšić. Izdavač Hrvatsko filološko društvo. Zagreb, 2007. 57–62. ISSN: 0455-0463.</v>
      </c>
      <c r="F8019" s="10"/>
      <c r="G8019" s="10"/>
      <c r="H8019" s="10"/>
      <c r="I8019" s="10"/>
      <c r="J8019" s="10"/>
      <c r="K8019" s="10"/>
      <c r="L8019" s="10"/>
      <c r="M8019" s="10"/>
      <c r="N8019" s="10"/>
      <c r="O8019" s="10"/>
      <c r="P8019" s="10"/>
      <c r="Q8019" s="10"/>
      <c r="R8019" s="10"/>
      <c r="S8019" s="10"/>
      <c r="T8019" s="10"/>
      <c r="U8019" s="10"/>
      <c r="V8019" s="10"/>
      <c r="W8019" s="10"/>
      <c r="X8019" s="10"/>
      <c r="Y8019" s="10"/>
      <c r="Z8019" s="10"/>
    </row>
    <row r="8020" spans="1:26" ht="12.75">
      <c r="A8020" s="10" t="str">
        <f ca="1">IFERROR(__xludf.DUMMYFUNCTION("""COMPUTED_VALUE"""),"Цветана Георгиева Петрова")</f>
        <v>Цветана Георгиева Петрова</v>
      </c>
      <c r="B8020" s="10" t="str">
        <f ca="1">IFERROR(__xludf.DUMMYFUNCTION("""COMPUTED_VALUE"""),"Статия в списания и поредици")</f>
        <v>Статия в списания и поредици</v>
      </c>
      <c r="C8020" s="10" t="str">
        <f ca="1">IFERROR(__xludf.DUMMYFUNCTION("""COMPUTED_VALUE"""),"Bulharská literatúra 90. rokov minulého storočia v osvojovaní si postmoderného priestoru")</f>
        <v>Bulharská literatúra 90. rokov minulého storočia v osvojovaní si postmoderného priestoru</v>
      </c>
      <c r="D8020" s="10">
        <f ca="1">IFERROR(__xludf.DUMMYFUNCTION("""COMPUTED_VALUE"""),2006)</f>
        <v>2006</v>
      </c>
      <c r="E8020" s="10" t="str">
        <f ca="1">IFERROR(__xludf.DUMMYFUNCTION("""COMPUTED_VALUE"""),"Opera Slavica: slavistické rozhledy, 2006, vol. 16, iss. 1. OECD classifications: Languages and Literature. Publisher: Masarykova univerzita. Presov (Slovakija). 2006, 27–36. ISSN 1211-7676 (print); ISSN: 2336-4459 (online). [URL: http://www.phil.muni.cz/"&amp;"journals/opera-slavica] (видяно 25.09.2019)")</f>
        <v>Opera Slavica: slavistické rozhledy, 2006, vol. 16, iss. 1. OECD classifications: Languages and Literature. Publisher: Masarykova univerzita. Presov (Slovakija). 2006, 27–36. ISSN 1211-7676 (print); ISSN: 2336-4459 (online). [URL: http://www.phil.muni.cz/journals/opera-slavica] (видяно 25.09.2019)</v>
      </c>
      <c r="F8020" s="10"/>
      <c r="G8020" s="10"/>
      <c r="H8020" s="10"/>
      <c r="I8020" s="10"/>
      <c r="J8020" s="10"/>
      <c r="K8020" s="10"/>
      <c r="L8020" s="10"/>
      <c r="M8020" s="10"/>
      <c r="N8020" s="10"/>
      <c r="O8020" s="10"/>
      <c r="P8020" s="10"/>
      <c r="Q8020" s="10"/>
      <c r="R8020" s="10"/>
      <c r="S8020" s="10"/>
      <c r="T8020" s="10"/>
      <c r="U8020" s="10"/>
      <c r="V8020" s="10"/>
      <c r="W8020" s="10"/>
      <c r="X8020" s="10"/>
      <c r="Y8020" s="10"/>
      <c r="Z8020" s="10"/>
    </row>
    <row r="8021" spans="1:26" ht="12.75">
      <c r="A8021" s="10" t="str">
        <f ca="1">IFERROR(__xludf.DUMMYFUNCTION("""COMPUTED_VALUE"""),"Цветана Георгиева Петрова")</f>
        <v>Цветана Георгиева Петрова</v>
      </c>
      <c r="B8021" s="10" t="str">
        <f ca="1">IFERROR(__xludf.DUMMYFUNCTION("""COMPUTED_VALUE"""),"Статия в списания и поредици")</f>
        <v>Статия в списания и поредици</v>
      </c>
      <c r="C8021" s="10" t="str">
        <f ca="1">IFERROR(__xludf.DUMMYFUNCTION("""COMPUTED_VALUE"""),"`Книга на Иова` и две творби на българския модернизъм")</f>
        <v>`Книга на Иова` и две творби на българския модернизъм</v>
      </c>
      <c r="D8021" s="10">
        <f ca="1">IFERROR(__xludf.DUMMYFUNCTION("""COMPUTED_VALUE"""),2006)</f>
        <v>2006</v>
      </c>
      <c r="E8021" s="10" t="str">
        <f ca="1">IFERROR(__xludf.DUMMYFUNCTION("""COMPUTED_VALUE"""),"// Любословие, Т. 7. Хуманитаристика. Издание на ФБФИБ на ШУ „Епископ Константин Преславски“. Редакционна колегия: Стр. Цанов (отг. ред.), С. Сивриев, В. Бонева и др. Шумен, 2006. 67 – 82. ISSN: 1311-94-86.")</f>
        <v>// Любословие, Т. 7. Хуманитаристика. Издание на ФБФИБ на ШУ „Епископ Константин Преславски“. Редакционна колегия: Стр. Цанов (отг. ред.), С. Сивриев, В. Бонева и др. Шумен, 2006. 67 – 82. ISSN: 1311-94-86.</v>
      </c>
      <c r="F8021" s="10"/>
      <c r="G8021" s="10"/>
      <c r="H8021" s="10"/>
      <c r="I8021" s="10"/>
      <c r="J8021" s="10"/>
      <c r="K8021" s="10"/>
      <c r="L8021" s="10"/>
      <c r="M8021" s="10"/>
      <c r="N8021" s="10"/>
      <c r="O8021" s="10"/>
      <c r="P8021" s="10"/>
      <c r="Q8021" s="10"/>
      <c r="R8021" s="10"/>
      <c r="S8021" s="10"/>
      <c r="T8021" s="10"/>
      <c r="U8021" s="10"/>
      <c r="V8021" s="10"/>
      <c r="W8021" s="10"/>
      <c r="X8021" s="10"/>
      <c r="Y8021" s="10"/>
      <c r="Z8021" s="10"/>
    </row>
    <row r="8022" spans="1:26" ht="12.75">
      <c r="A8022" s="10" t="str">
        <f ca="1">IFERROR(__xludf.DUMMYFUNCTION("""COMPUTED_VALUE"""),"Цветана Георгиева Петрова")</f>
        <v>Цветана Георгиева Петрова</v>
      </c>
      <c r="B8022" s="10" t="str">
        <f ca="1">IFERROR(__xludf.DUMMYFUNCTION("""COMPUTED_VALUE"""),"Монография")</f>
        <v>Монография</v>
      </c>
      <c r="C8022" s="10" t="str">
        <f ca="1">IFERROR(__xludf.DUMMYFUNCTION("""COMPUTED_VALUE"""),"Йордан Радичков: Между нагледа и мита.")</f>
        <v>Йордан Радичков: Между нагледа и мита.</v>
      </c>
      <c r="D8022" s="10">
        <f ca="1">IFERROR(__xludf.DUMMYFUNCTION("""COMPUTED_VALUE"""),2006)</f>
        <v>2006</v>
      </c>
      <c r="E8022" s="10" t="str">
        <f ca="1">IFERROR(__xludf.DUMMYFUNCTION("""COMPUTED_VALUE"""),"Академично издателство „Марин Дринов“. Автор на предговора А. Алипиева. С., 2006. –250 с. ISBN 10: 954-322-022-0; ISBN 13: 978-954-322-022-9.")</f>
        <v>Академично издателство „Марин Дринов“. Автор на предговора А. Алипиева. С., 2006. –250 с. ISBN 10: 954-322-022-0; ISBN 13: 978-954-322-022-9.</v>
      </c>
      <c r="F8022" s="10"/>
      <c r="G8022" s="10"/>
      <c r="H8022" s="10"/>
      <c r="I8022" s="10"/>
      <c r="J8022" s="10"/>
      <c r="K8022" s="10"/>
      <c r="L8022" s="10"/>
      <c r="M8022" s="10"/>
      <c r="N8022" s="10"/>
      <c r="O8022" s="10"/>
      <c r="P8022" s="10"/>
      <c r="Q8022" s="10"/>
      <c r="R8022" s="10"/>
      <c r="S8022" s="10"/>
      <c r="T8022" s="10"/>
      <c r="U8022" s="10"/>
      <c r="V8022" s="10"/>
      <c r="W8022" s="10"/>
      <c r="X8022" s="10"/>
      <c r="Y8022" s="10"/>
      <c r="Z8022" s="10"/>
    </row>
    <row r="8023" spans="1:26" ht="12.75">
      <c r="A8023" s="10" t="str">
        <f ca="1">IFERROR(__xludf.DUMMYFUNCTION("""COMPUTED_VALUE"""),"Цветана Георгиева Петрова")</f>
        <v>Цветана Георгиева Петрова</v>
      </c>
      <c r="B8023" s="10" t="str">
        <f ca="1">IFERROR(__xludf.DUMMYFUNCTION("""COMPUTED_VALUE"""),"Статия в списания и поредици")</f>
        <v>Статия в списания и поредици</v>
      </c>
      <c r="C8023" s="10" t="str">
        <f ca="1">IFERROR(__xludf.DUMMYFUNCTION("""COMPUTED_VALUE"""),"„Песен на песните“ на Теодор Траянов в екзистенциално-религиозен диалог с философията на Сьорен Киркегор")</f>
        <v>„Песен на песните“ на Теодор Траянов в екзистенциално-религиозен диалог с философията на Сьорен Киркегор</v>
      </c>
      <c r="D8023" s="10">
        <f ca="1">IFERROR(__xludf.DUMMYFUNCTION("""COMPUTED_VALUE"""),2006)</f>
        <v>2006</v>
      </c>
      <c r="E8023" s="10" t="str">
        <f ca="1">IFERROR(__xludf.DUMMYFUNCTION("""COMPUTED_VALUE"""),"// Философски алтернативи/ Philosophical alternatives. 5 / 2006. Списание на Института за философски изследвания при БАН. Год. ХV. Vol. ХV. Редакционна колегия: Н. Богомилова (гл. ред.), Н. Димитрова и др. Печат: РК „Пони“. 2006, 110–117. ISSN: 0861-7899.")</f>
        <v>// Философски алтернативи/ Philosophical alternatives. 5 / 2006. Списание на Института за философски изследвания при БАН. Год. ХV. Vol. ХV. Редакционна колегия: Н. Богомилова (гл. ред.), Н. Димитрова и др. Печат: РК „Пони“. 2006, 110–117. ISSN: 0861-7899.</v>
      </c>
      <c r="F8023" s="10"/>
      <c r="G8023" s="10"/>
      <c r="H8023" s="10"/>
      <c r="I8023" s="10"/>
      <c r="J8023" s="10"/>
      <c r="K8023" s="10"/>
      <c r="L8023" s="10"/>
      <c r="M8023" s="10"/>
      <c r="N8023" s="10"/>
      <c r="O8023" s="10"/>
      <c r="P8023" s="10"/>
      <c r="Q8023" s="10"/>
      <c r="R8023" s="10"/>
      <c r="S8023" s="10"/>
      <c r="T8023" s="10"/>
      <c r="U8023" s="10"/>
      <c r="V8023" s="10"/>
      <c r="W8023" s="10"/>
      <c r="X8023" s="10"/>
      <c r="Y8023" s="10"/>
      <c r="Z8023" s="10"/>
    </row>
    <row r="8024" spans="1:26" ht="12.75">
      <c r="A8024" s="10" t="str">
        <f ca="1">IFERROR(__xludf.DUMMYFUNCTION("""COMPUTED_VALUE"""),"Цветана Георгиева Петрова")</f>
        <v>Цветана Георгиева Петрова</v>
      </c>
      <c r="B8024" s="10" t="str">
        <f ca="1">IFERROR(__xludf.DUMMYFUNCTION("""COMPUTED_VALUE"""),"Статия в списания и поредици")</f>
        <v>Статия в списания и поредици</v>
      </c>
      <c r="C8024" s="10" t="str">
        <f ca="1">IFERROR(__xludf.DUMMYFUNCTION("""COMPUTED_VALUE"""),"Религиозно-философски мотиви от учението на Л.Н. Толстой в творбите на Йордан Ковачев и Петко Топалов")</f>
        <v>Религиозно-философски мотиви от учението на Л.Н. Толстой в творбите на Йордан Ковачев и Петко Топалов</v>
      </c>
      <c r="D8024" s="10">
        <f ca="1">IFERROR(__xludf.DUMMYFUNCTION("""COMPUTED_VALUE"""),2005)</f>
        <v>2005</v>
      </c>
      <c r="E8024" s="10" t="str">
        <f ca="1">IFERROR(__xludf.DUMMYFUNCTION("""COMPUTED_VALUE"""),"// The tireless Seeker/Неуморният търсач. Авторски колектив. Издателство „Аксиос“, Шумен, 2005. 135–146. ISSN: 954-310-017-9.")</f>
        <v>// The tireless Seeker/Неуморният търсач. Авторски колектив. Издателство „Аксиос“, Шумен, 2005. 135–146. ISSN: 954-310-017-9.</v>
      </c>
      <c r="F8024" s="10"/>
      <c r="G8024" s="10"/>
      <c r="H8024" s="10"/>
      <c r="I8024" s="10"/>
      <c r="J8024" s="10"/>
      <c r="K8024" s="10"/>
      <c r="L8024" s="10"/>
      <c r="M8024" s="10"/>
      <c r="N8024" s="10"/>
      <c r="O8024" s="10"/>
      <c r="P8024" s="10"/>
      <c r="Q8024" s="10"/>
      <c r="R8024" s="10"/>
      <c r="S8024" s="10"/>
      <c r="T8024" s="10"/>
      <c r="U8024" s="10"/>
      <c r="V8024" s="10"/>
      <c r="W8024" s="10"/>
      <c r="X8024" s="10"/>
      <c r="Y8024" s="10"/>
      <c r="Z8024" s="10"/>
    </row>
    <row r="8025" spans="1:26" ht="12.75">
      <c r="A8025" s="10" t="str">
        <f ca="1">IFERROR(__xludf.DUMMYFUNCTION("""COMPUTED_VALUE"""),"Цветана Георгиева Петрова")</f>
        <v>Цветана Георгиева Петрова</v>
      </c>
      <c r="B8025" s="10" t="str">
        <f ca="1">IFERROR(__xludf.DUMMYFUNCTION("""COMPUTED_VALUE"""),"Монография")</f>
        <v>Монография</v>
      </c>
      <c r="C8025" s="10" t="str">
        <f ca="1">IFERROR(__xludf.DUMMYFUNCTION("""COMPUTED_VALUE"""),"Евангелието в литературата на българския модернизъм")</f>
        <v>Евангелието в литературата на българския модернизъм</v>
      </c>
      <c r="D8025" s="10">
        <f ca="1">IFERROR(__xludf.DUMMYFUNCTION("""COMPUTED_VALUE"""),2005)</f>
        <v>2005</v>
      </c>
      <c r="E8025" s="10" t="str">
        <f ca="1">IFERROR(__xludf.DUMMYFUNCTION("""COMPUTED_VALUE"""),"Рецензент Т. Тотев. Изд. „Фабер“, Велико Търново, 2005. –326 с. ISBN: 954-775-465-3.")</f>
        <v>Рецензент Т. Тотев. Изд. „Фабер“, Велико Търново, 2005. –326 с. ISBN: 954-775-465-3.</v>
      </c>
      <c r="F8025" s="10"/>
      <c r="G8025" s="10"/>
      <c r="H8025" s="10"/>
      <c r="I8025" s="10"/>
      <c r="J8025" s="10"/>
      <c r="K8025" s="10"/>
      <c r="L8025" s="10"/>
      <c r="M8025" s="10"/>
      <c r="N8025" s="10"/>
      <c r="O8025" s="10"/>
      <c r="P8025" s="10"/>
      <c r="Q8025" s="10"/>
      <c r="R8025" s="10"/>
      <c r="S8025" s="10"/>
      <c r="T8025" s="10"/>
      <c r="U8025" s="10"/>
      <c r="V8025" s="10"/>
      <c r="W8025" s="10"/>
      <c r="X8025" s="10"/>
      <c r="Y8025" s="10"/>
      <c r="Z8025" s="10"/>
    </row>
    <row r="8026" spans="1:26" ht="12.75">
      <c r="A8026" s="10" t="str">
        <f ca="1">IFERROR(__xludf.DUMMYFUNCTION("""COMPUTED_VALUE"""),"Цветана Георгиева Петрова")</f>
        <v>Цветана Георгиева Петрова</v>
      </c>
      <c r="B8026" s="10" t="str">
        <f ca="1">IFERROR(__xludf.DUMMYFUNCTION("""COMPUTED_VALUE"""),"Статия в списания и поредици")</f>
        <v>Статия в списания и поредици</v>
      </c>
      <c r="C8026" s="10" t="str">
        <f ca="1">IFERROR(__xludf.DUMMYFUNCTION("""COMPUTED_VALUE"""),"Диалози на другостта: българската литература от 90-те години на ХХ век")</f>
        <v>Диалози на другостта: българската литература от 90-те години на ХХ век</v>
      </c>
      <c r="D8026" s="10">
        <f ca="1">IFERROR(__xludf.DUMMYFUNCTION("""COMPUTED_VALUE"""),2004)</f>
        <v>2004</v>
      </c>
      <c r="E8026" s="10" t="str">
        <f ca="1">IFERROR(__xludf.DUMMYFUNCTION("""COMPUTED_VALUE"""),"// Любословие, Т. 5. Литературознание, Езикознание, Културология. Издание на ФБФИБ на ШУ „Епископ Константин Преславски“. Редакционна колегия: Цветана Георгиева (отгов. ред.), С. Сивриев, В. Бонева, Т. Тенева. Шумен, 2004. 3–18. ISSN: 1311-94-86.")</f>
        <v>// Любословие, Т. 5. Литературознание, Езикознание, Културология. Издание на ФБФИБ на ШУ „Епископ Константин Преславски“. Редакционна колегия: Цветана Георгиева (отгов. ред.), С. Сивриев, В. Бонева, Т. Тенева. Шумен, 2004. 3–18. ISSN: 1311-94-86.</v>
      </c>
      <c r="F8026" s="10"/>
      <c r="G8026" s="10"/>
      <c r="H8026" s="10"/>
      <c r="I8026" s="10"/>
      <c r="J8026" s="10"/>
      <c r="K8026" s="10"/>
      <c r="L8026" s="10"/>
      <c r="M8026" s="10"/>
      <c r="N8026" s="10"/>
      <c r="O8026" s="10"/>
      <c r="P8026" s="10"/>
      <c r="Q8026" s="10"/>
      <c r="R8026" s="10"/>
      <c r="S8026" s="10"/>
      <c r="T8026" s="10"/>
      <c r="U8026" s="10"/>
      <c r="V8026" s="10"/>
      <c r="W8026" s="10"/>
      <c r="X8026" s="10"/>
      <c r="Y8026" s="10"/>
      <c r="Z8026" s="10"/>
    </row>
    <row r="8027" spans="1:26" ht="12.75">
      <c r="A8027" s="10" t="str">
        <f ca="1">IFERROR(__xludf.DUMMYFUNCTION("""COMPUTED_VALUE"""),"Цветана Георгиева Петрова")</f>
        <v>Цветана Георгиева Петрова</v>
      </c>
      <c r="B8027" s="10" t="str">
        <f ca="1">IFERROR(__xludf.DUMMYFUNCTION("""COMPUTED_VALUE"""),"Монография")</f>
        <v>Монография</v>
      </c>
      <c r="C8027" s="10" t="str">
        <f ca="1">IFERROR(__xludf.DUMMYFUNCTION("""COMPUTED_VALUE"""),"Текст и памет (Българската литература: историческа поетика, митология, архетип)")</f>
        <v>Текст и памет (Българската литература: историческа поетика, митология, архетип)</v>
      </c>
      <c r="D8027" s="10">
        <f ca="1">IFERROR(__xludf.DUMMYFUNCTION("""COMPUTED_VALUE"""),2003)</f>
        <v>2003</v>
      </c>
      <c r="E8027" s="10" t="str">
        <f ca="1">IFERROR(__xludf.DUMMYFUNCTION("""COMPUTED_VALUE"""),"Рецензент С. Янев. Изд. „Фабер“, В. Търново, 2003. – 224. ISBN: 954-775-228-6.")</f>
        <v>Рецензент С. Янев. Изд. „Фабер“, В. Търново, 2003. – 224. ISBN: 954-775-228-6.</v>
      </c>
      <c r="F8027" s="10"/>
      <c r="G8027" s="10"/>
      <c r="H8027" s="10"/>
      <c r="I8027" s="10"/>
      <c r="J8027" s="10"/>
      <c r="K8027" s="10"/>
      <c r="L8027" s="10"/>
      <c r="M8027" s="10"/>
      <c r="N8027" s="10"/>
      <c r="O8027" s="10"/>
      <c r="P8027" s="10"/>
      <c r="Q8027" s="10"/>
      <c r="R8027" s="10"/>
      <c r="S8027" s="10"/>
      <c r="T8027" s="10"/>
      <c r="U8027" s="10"/>
      <c r="V8027" s="10"/>
      <c r="W8027" s="10"/>
      <c r="X8027" s="10"/>
      <c r="Y8027" s="10"/>
      <c r="Z8027" s="10"/>
    </row>
    <row r="8028" spans="1:26" ht="12.75">
      <c r="A8028" s="10" t="str">
        <f ca="1">IFERROR(__xludf.DUMMYFUNCTION("""COMPUTED_VALUE"""),"Цветана Георгиева Петрова")</f>
        <v>Цветана Георгиева Петрова</v>
      </c>
      <c r="B8028" s="10" t="str">
        <f ca="1">IFERROR(__xludf.DUMMYFUNCTION("""COMPUTED_VALUE"""),"Доклад от конференция")</f>
        <v>Доклад от конференция</v>
      </c>
      <c r="C8028" s="10" t="str">
        <f ca="1">IFERROR(__xludf.DUMMYFUNCTION("""COMPUTED_VALUE"""),"Документът фетиш")</f>
        <v>Документът фетиш</v>
      </c>
      <c r="D8028" s="10">
        <f ca="1">IFERROR(__xludf.DUMMYFUNCTION("""COMPUTED_VALUE"""),2003)</f>
        <v>2003</v>
      </c>
      <c r="E8028" s="10" t="str">
        <f ca="1">IFERROR(__xludf.DUMMYFUNCTION("""COMPUTED_VALUE"""),"// Епископ-Константинови четения 8: Изворът и документът в текста на литературата и културата. Шуменски университет „Епископ Константин Преславски“. Факултет по хуманитарни науки. УИ „Епископ Константин Преславски“. Шумен, 2003. 172–179. ISBN: 954-577-205"&amp;"-0.")</f>
        <v>// Епископ-Константинови четения 8: Изворът и документът в текста на литературата и културата. Шуменски университет „Епископ Константин Преславски“. Факултет по хуманитарни науки. УИ „Епископ Константин Преславски“. Шумен, 2003. 172–179. ISBN: 954-577-205-0.</v>
      </c>
      <c r="F8028" s="10"/>
      <c r="G8028" s="10"/>
      <c r="H8028" s="10"/>
      <c r="I8028" s="10"/>
      <c r="J8028" s="10"/>
      <c r="K8028" s="10"/>
      <c r="L8028" s="10"/>
      <c r="M8028" s="10"/>
      <c r="N8028" s="10"/>
      <c r="O8028" s="10"/>
      <c r="P8028" s="10"/>
      <c r="Q8028" s="10"/>
      <c r="R8028" s="10"/>
      <c r="S8028" s="10"/>
      <c r="T8028" s="10"/>
      <c r="U8028" s="10"/>
      <c r="V8028" s="10"/>
      <c r="W8028" s="10"/>
      <c r="X8028" s="10"/>
      <c r="Y8028" s="10"/>
      <c r="Z8028" s="10"/>
    </row>
    <row r="8029" spans="1:26" ht="12.75">
      <c r="A8029" s="10" t="str">
        <f ca="1">IFERROR(__xludf.DUMMYFUNCTION("""COMPUTED_VALUE"""),"Цветана Георгиева Петрова")</f>
        <v>Цветана Георгиева Петрова</v>
      </c>
      <c r="B8029" s="10" t="str">
        <f ca="1">IFERROR(__xludf.DUMMYFUNCTION("""COMPUTED_VALUE"""),"Статия в списания и поредици")</f>
        <v>Статия в списания и поредици</v>
      </c>
      <c r="C8029" s="10" t="str">
        <f ca="1">IFERROR(__xludf.DUMMYFUNCTION("""COMPUTED_VALUE"""),"„Женската“ тишина и маскулинизмът. В два романа на българския постмодернизъм")</f>
        <v>„Женската“ тишина и маскулинизмът. В два романа на българския постмодернизъм</v>
      </c>
      <c r="D8029" s="10">
        <f ca="1">IFERROR(__xludf.DUMMYFUNCTION("""COMPUTED_VALUE"""),2003)</f>
        <v>2003</v>
      </c>
      <c r="E8029" s="10" t="str">
        <f ca="1">IFERROR(__xludf.DUMMYFUNCTION("""COMPUTED_VALUE"""),"// Българската литература: история и съвременност. Редакционна колегия: Цв. Георгиева (отг. ред.), М. Костадинова, С. Цанов, Ю. Проданов. Университетско издателство „Епископ Константин Преславски“. Шумен, 2003. 202–212. ISBN: 954-577-148-8.")</f>
        <v>// Българската литература: история и съвременност. Редакционна колегия: Цв. Георгиева (отг. ред.), М. Костадинова, С. Цанов, Ю. Проданов. Университетско издателство „Епископ Константин Преславски“. Шумен, 2003. 202–212. ISBN: 954-577-148-8.</v>
      </c>
      <c r="F8029" s="10"/>
      <c r="G8029" s="10"/>
      <c r="H8029" s="10"/>
      <c r="I8029" s="10"/>
      <c r="J8029" s="10"/>
      <c r="K8029" s="10"/>
      <c r="L8029" s="10"/>
      <c r="M8029" s="10"/>
      <c r="N8029" s="10"/>
      <c r="O8029" s="10"/>
      <c r="P8029" s="10"/>
      <c r="Q8029" s="10"/>
      <c r="R8029" s="10"/>
      <c r="S8029" s="10"/>
      <c r="T8029" s="10"/>
      <c r="U8029" s="10"/>
      <c r="V8029" s="10"/>
      <c r="W8029" s="10"/>
      <c r="X8029" s="10"/>
      <c r="Y8029" s="10"/>
      <c r="Z8029" s="10"/>
    </row>
    <row r="8030" spans="1:26" ht="12.75">
      <c r="A8030" s="10" t="str">
        <f ca="1">IFERROR(__xludf.DUMMYFUNCTION("""COMPUTED_VALUE"""),"Цветана Георгиева Петрова")</f>
        <v>Цветана Георгиева Петрова</v>
      </c>
      <c r="B8030" s="10" t="str">
        <f ca="1">IFERROR(__xludf.DUMMYFUNCTION("""COMPUTED_VALUE"""),"Доклад от конференция")</f>
        <v>Доклад от конференция</v>
      </c>
      <c r="C8030" s="10" t="str">
        <f ca="1">IFERROR(__xludf.DUMMYFUNCTION("""COMPUTED_VALUE"""),"Екзистенциален избор – чужденец („Старецът и вълците“ и „Обладаване“ на Юлия Кръстева")</f>
        <v>Екзистенциален избор – чужденец („Старецът и вълците“ и „Обладаване“ на Юлия Кръстева</v>
      </c>
      <c r="D8030" s="10">
        <f ca="1">IFERROR(__xludf.DUMMYFUNCTION("""COMPUTED_VALUE"""),2003)</f>
        <v>2003</v>
      </c>
      <c r="E8030" s="10" t="str">
        <f ca="1">IFERROR(__xludf.DUMMYFUNCTION("""COMPUTED_VALUE"""),"Епископ-Константинови четения 6-7. Факултет по хуманитарни науки при ШУ „Епископ Константин Преславски“. Редакционна колегия: Т. Тотев (отг. ред.), Н. Неделчев, Д. Кръстева и др. Издателство „Антос“. Шумен, 2003. 117–189. ISBN: 954-8665-14-Х.")</f>
        <v>Епископ-Константинови четения 6-7. Факултет по хуманитарни науки при ШУ „Епископ Константин Преславски“. Редакционна колегия: Т. Тотев (отг. ред.), Н. Неделчев, Д. Кръстева и др. Издателство „Антос“. Шумен, 2003. 117–189. ISBN: 954-8665-14-Х.</v>
      </c>
      <c r="F8030" s="10"/>
      <c r="G8030" s="10"/>
      <c r="H8030" s="10"/>
      <c r="I8030" s="10"/>
      <c r="J8030" s="10"/>
      <c r="K8030" s="10"/>
      <c r="L8030" s="10"/>
      <c r="M8030" s="10"/>
      <c r="N8030" s="10"/>
      <c r="O8030" s="10"/>
      <c r="P8030" s="10"/>
      <c r="Q8030" s="10"/>
      <c r="R8030" s="10"/>
      <c r="S8030" s="10"/>
      <c r="T8030" s="10"/>
      <c r="U8030" s="10"/>
      <c r="V8030" s="10"/>
      <c r="W8030" s="10"/>
      <c r="X8030" s="10"/>
      <c r="Y8030" s="10"/>
      <c r="Z8030" s="10"/>
    </row>
    <row r="8031" spans="1:26" ht="12.75">
      <c r="A8031" s="10" t="str">
        <f ca="1">IFERROR(__xludf.DUMMYFUNCTION("""COMPUTED_VALUE"""),"Цветана Георгиева Петрова")</f>
        <v>Цветана Георгиева Петрова</v>
      </c>
      <c r="B8031" s="10" t="str">
        <f ca="1">IFERROR(__xludf.DUMMYFUNCTION("""COMPUTED_VALUE"""),"Статия в списания и поредици")</f>
        <v>Статия в списания и поредици</v>
      </c>
      <c r="C8031" s="10" t="str">
        <f ca="1">IFERROR(__xludf.DUMMYFUNCTION("""COMPUTED_VALUE"""),"Читателят в стратегията на разказване. Новелата „Дърворезачка” на Йордан Радичков")</f>
        <v>Читателят в стратегията на разказване. Новелата „Дърворезачка” на Йордан Радичков</v>
      </c>
      <c r="D8031" s="10">
        <f ca="1">IFERROR(__xludf.DUMMYFUNCTION("""COMPUTED_VALUE"""),2003)</f>
        <v>2003</v>
      </c>
      <c r="E8031" s="10" t="str">
        <f ca="1">IFERROR(__xludf.DUMMYFUNCTION("""COMPUTED_VALUE"""),"// Любословие, Т. 4. Литературознание, Езикознание, Културология. Издание на ФБФИБ на ШУ „Епископ Константин Преславски“. Редакционна колегия: доц. д-р Цветана Георгиева (отгов. ред.), доц. д-р С. Сивриев, доц. д-р В. Бонева. Шумен, 2003. 71 – 80. ISSN: 1"&amp;"311-94-86.")</f>
        <v>// Любословие, Т. 4. Литературознание, Езикознание, Културология. Издание на ФБФИБ на ШУ „Епископ Константин Преславски“. Редакционна колегия: доц. д-р Цветана Георгиева (отгов. ред.), доц. д-р С. Сивриев, доц. д-р В. Бонева. Шумен, 2003. 71 – 80. ISSN: 1311-94-86.</v>
      </c>
      <c r="F8031" s="10"/>
      <c r="G8031" s="10"/>
      <c r="H8031" s="10"/>
      <c r="I8031" s="10"/>
      <c r="J8031" s="10"/>
      <c r="K8031" s="10"/>
      <c r="L8031" s="10"/>
      <c r="M8031" s="10"/>
      <c r="N8031" s="10"/>
      <c r="O8031" s="10"/>
      <c r="P8031" s="10"/>
      <c r="Q8031" s="10"/>
      <c r="R8031" s="10"/>
      <c r="S8031" s="10"/>
      <c r="T8031" s="10"/>
      <c r="U8031" s="10"/>
      <c r="V8031" s="10"/>
      <c r="W8031" s="10"/>
      <c r="X8031" s="10"/>
      <c r="Y8031" s="10"/>
      <c r="Z8031" s="10"/>
    </row>
    <row r="8032" spans="1:26" ht="12.75">
      <c r="A8032" s="10" t="str">
        <f ca="1">IFERROR(__xludf.DUMMYFUNCTION("""COMPUTED_VALUE"""),"Цветана Георгиева Петрова")</f>
        <v>Цветана Георгиева Петрова</v>
      </c>
      <c r="B8032" s="10" t="str">
        <f ca="1">IFERROR(__xludf.DUMMYFUNCTION("""COMPUTED_VALUE"""),"Статия в списания и поредици")</f>
        <v>Статия в списания и поредици</v>
      </c>
      <c r="C8032" s="10" t="str">
        <f ca="1">IFERROR(__xludf.DUMMYFUNCTION("""COMPUTED_VALUE"""),"Българските „хумористични истории“")</f>
        <v>Българските „хумористични истории“</v>
      </c>
      <c r="D8032" s="10">
        <f ca="1">IFERROR(__xludf.DUMMYFUNCTION("""COMPUTED_VALUE"""),2002)</f>
        <v>2002</v>
      </c>
      <c r="E8032" s="10" t="str">
        <f ca="1">IFERROR(__xludf.DUMMYFUNCTION("""COMPUTED_VALUE"""),"Воля за облик. Юбилеен сборник в чест на проф. Симеон Янев. Съставител Б. Борисова, И. Иванов. ИК „Феномен 21“. С., 2002. 288–304. ISBN: 954-549-033-0.")</f>
        <v>Воля за облик. Юбилеен сборник в чест на проф. Симеон Янев. Съставител Б. Борисова, И. Иванов. ИК „Феномен 21“. С., 2002. 288–304. ISBN: 954-549-033-0.</v>
      </c>
      <c r="F8032" s="10"/>
      <c r="G8032" s="10"/>
      <c r="H8032" s="10"/>
      <c r="I8032" s="10"/>
      <c r="J8032" s="10"/>
      <c r="K8032" s="10"/>
      <c r="L8032" s="10"/>
      <c r="M8032" s="10"/>
      <c r="N8032" s="10"/>
      <c r="O8032" s="10"/>
      <c r="P8032" s="10"/>
      <c r="Q8032" s="10"/>
      <c r="R8032" s="10"/>
      <c r="S8032" s="10"/>
      <c r="T8032" s="10"/>
      <c r="U8032" s="10"/>
      <c r="V8032" s="10"/>
      <c r="W8032" s="10"/>
      <c r="X8032" s="10"/>
      <c r="Y8032" s="10"/>
      <c r="Z8032" s="10"/>
    </row>
    <row r="8033" spans="1:26" ht="12.75">
      <c r="A8033" s="10" t="str">
        <f ca="1">IFERROR(__xludf.DUMMYFUNCTION("""COMPUTED_VALUE"""),"Цветана Георгиева Петрова")</f>
        <v>Цветана Георгиева Петрова</v>
      </c>
      <c r="B8033" s="10" t="str">
        <f ca="1">IFERROR(__xludf.DUMMYFUNCTION("""COMPUTED_VALUE"""),"Статия в списания и поредици")</f>
        <v>Статия в списания и поредици</v>
      </c>
      <c r="C8033" s="10" t="str">
        <f ca="1">IFERROR(__xludf.DUMMYFUNCTION("""COMPUTED_VALUE"""),"Feministički projekt u bugarskoj postmodernističkoj književnosti")</f>
        <v>Feministički projekt u bugarskoj postmodernističkoj književnosti</v>
      </c>
      <c r="D8033" s="10">
        <f ca="1">IFERROR(__xludf.DUMMYFUNCTION("""COMPUTED_VALUE"""),2002)</f>
        <v>2002</v>
      </c>
      <c r="E8033" s="10" t="str">
        <f ca="1">IFERROR(__xludf.DUMMYFUNCTION("""COMPUTED_VALUE"""),"Književna smotra: Književnost u tranziciji. Godište XXXІV, Broj 124–125 (2–3). Tajnica uredništva Irena Lukšić. Izdavač Hrvatsko filološko društvo. Zagreb, 2002. 119–126. ISSN: 0455-0463.")</f>
        <v>Književna smotra: Književnost u tranziciji. Godište XXXІV, Broj 124–125 (2–3). Tajnica uredništva Irena Lukšić. Izdavač Hrvatsko filološko društvo. Zagreb, 2002. 119–126. ISSN: 0455-0463.</v>
      </c>
      <c r="F8033" s="10"/>
      <c r="G8033" s="10"/>
      <c r="H8033" s="10"/>
      <c r="I8033" s="10"/>
      <c r="J8033" s="10"/>
      <c r="K8033" s="10"/>
      <c r="L8033" s="10"/>
      <c r="M8033" s="10"/>
      <c r="N8033" s="10"/>
      <c r="O8033" s="10"/>
      <c r="P8033" s="10"/>
      <c r="Q8033" s="10"/>
      <c r="R8033" s="10"/>
      <c r="S8033" s="10"/>
      <c r="T8033" s="10"/>
      <c r="U8033" s="10"/>
      <c r="V8033" s="10"/>
      <c r="W8033" s="10"/>
      <c r="X8033" s="10"/>
      <c r="Y8033" s="10"/>
      <c r="Z8033" s="10"/>
    </row>
    <row r="8034" spans="1:26" ht="12.75">
      <c r="A8034" s="10" t="str">
        <f ca="1">IFERROR(__xludf.DUMMYFUNCTION("""COMPUTED_VALUE"""),"Цветана Георгиева Петрова")</f>
        <v>Цветана Георгиева Петрова</v>
      </c>
      <c r="B8034" s="10" t="str">
        <f ca="1">IFERROR(__xludf.DUMMYFUNCTION("""COMPUTED_VALUE"""),"Статия в списания и поредици")</f>
        <v>Статия в списания и поредици</v>
      </c>
      <c r="C8034" s="10" t="str">
        <f ca="1">IFERROR(__xludf.DUMMYFUNCTION("""COMPUTED_VALUE"""),"Историографски митове и литература (Романът на Антон Дончев „Време разделно”)")</f>
        <v>Историографски митове и литература (Романът на Антон Дончев „Време разделно”)</v>
      </c>
      <c r="D8034" s="10">
        <f ca="1">IFERROR(__xludf.DUMMYFUNCTION("""COMPUTED_VALUE"""),2002)</f>
        <v>2002</v>
      </c>
      <c r="E8034" s="10" t="str">
        <f ca="1">IFERROR(__xludf.DUMMYFUNCTION("""COMPUTED_VALUE"""),"// История. Истории. Наративи (Българската историческа проза от втората половина на ХХ век). Редакционна колегия: И. Радев, П. Стефанов, Р. Пенчева. Издателство „Фабер“, Велико Търново, 2002. 128–135. ISBN: 954-775-089-5. Също: [URL: http://www.scribd.com"&amp;"/doc/52804199/%D0%A6%D0%B2%D0%B5%]; [URL: http://www.rodopskistarini.com/2011/04/blog-post_7765.html]")</f>
        <v>// История. Истории. Наративи (Българската историческа проза от втората половина на ХХ век). Редакционна колегия: И. Радев, П. Стефанов, Р. Пенчева. Издателство „Фабер“, Велико Търново, 2002. 128–135. ISBN: 954-775-089-5. Също: [URL: http://www.scribd.com/doc/52804199/%D0%A6%D0%B2%D0%B5%]; [URL: http://www.rodopskistarini.com/2011/04/blog-post_7765.html]</v>
      </c>
      <c r="F8034" s="10"/>
      <c r="G8034" s="10"/>
      <c r="H8034" s="10"/>
      <c r="I8034" s="10"/>
      <c r="J8034" s="10"/>
      <c r="K8034" s="10"/>
      <c r="L8034" s="10"/>
      <c r="M8034" s="10"/>
      <c r="N8034" s="10"/>
      <c r="O8034" s="10"/>
      <c r="P8034" s="10"/>
      <c r="Q8034" s="10"/>
      <c r="R8034" s="10"/>
      <c r="S8034" s="10"/>
      <c r="T8034" s="10"/>
      <c r="U8034" s="10"/>
      <c r="V8034" s="10"/>
      <c r="W8034" s="10"/>
      <c r="X8034" s="10"/>
      <c r="Y8034" s="10"/>
      <c r="Z8034" s="10"/>
    </row>
    <row r="8035" spans="1:26" ht="12.75">
      <c r="A8035" s="10" t="str">
        <f ca="1">IFERROR(__xludf.DUMMYFUNCTION("""COMPUTED_VALUE"""),"Цветана Георгиева Петрова")</f>
        <v>Цветана Георгиева Петрова</v>
      </c>
      <c r="B8035" s="10" t="str">
        <f ca="1">IFERROR(__xludf.DUMMYFUNCTION("""COMPUTED_VALUE"""),"Статия в списания и поредици")</f>
        <v>Статия в списания и поредици</v>
      </c>
      <c r="C8035" s="10" t="str">
        <f ca="1">IFERROR(__xludf.DUMMYFUNCTION("""COMPUTED_VALUE"""),"Мотив болезни и мотив „вмурования“ в бригадирской социалистической поэзии")</f>
        <v>Мотив болезни и мотив „вмурования“ в бригадирской социалистической поэзии</v>
      </c>
      <c r="D8035" s="10">
        <f ca="1">IFERROR(__xludf.DUMMYFUNCTION("""COMPUTED_VALUE"""),2001)</f>
        <v>2001</v>
      </c>
      <c r="E8035" s="10" t="str">
        <f ca="1">IFERROR(__xludf.DUMMYFUNCTION("""COMPUTED_VALUE"""),"Studia Litteraria Polono-Slavica, 6: Morbus, medikamentum et sanus. Choroba, lek i zdrowie – Болезнь, лекарство и здоровье – Illness, Medicine and Health. Redakcja naukowa tomu Roman Bobryk, Jerzy Faryno. Slawistyczny Ośrodek Wydawniczy (SOW), przy Instyt"&amp;"ucie Slawistyki PAN. PL Warszawa 2001. 365–397. ISBN: 83-86619-69-4; ISSN: 1231-8922")</f>
        <v>Studia Litteraria Polono-Slavica, 6: Morbus, medikamentum et sanus. Choroba, lek i zdrowie – Болезнь, лекарство и здоровье – Illness, Medicine and Health. Redakcja naukowa tomu Roman Bobryk, Jerzy Faryno. Slawistyczny Ośrodek Wydawniczy (SOW), przy Instytucie Slawistyki PAN. PL Warszawa 2001. 365–397. ISBN: 83-86619-69-4; ISSN: 1231-8922</v>
      </c>
      <c r="F8035" s="10"/>
      <c r="G8035" s="10"/>
      <c r="H8035" s="10"/>
      <c r="I8035" s="10"/>
      <c r="J8035" s="10"/>
      <c r="K8035" s="10"/>
      <c r="L8035" s="10"/>
      <c r="M8035" s="10"/>
      <c r="N8035" s="10"/>
      <c r="O8035" s="10"/>
      <c r="P8035" s="10"/>
      <c r="Q8035" s="10"/>
      <c r="R8035" s="10"/>
      <c r="S8035" s="10"/>
      <c r="T8035" s="10"/>
      <c r="U8035" s="10"/>
      <c r="V8035" s="10"/>
      <c r="W8035" s="10"/>
      <c r="X8035" s="10"/>
      <c r="Y8035" s="10"/>
      <c r="Z8035" s="10"/>
    </row>
    <row r="8036" spans="1:26" ht="12.75">
      <c r="A8036" s="10" t="str">
        <f ca="1">IFERROR(__xludf.DUMMYFUNCTION("""COMPUTED_VALUE"""),"Цветана Георгиева Петрова")</f>
        <v>Цветана Георгиева Петрова</v>
      </c>
      <c r="B8036" s="10" t="str">
        <f ca="1">IFERROR(__xludf.DUMMYFUNCTION("""COMPUTED_VALUE"""),"Статия в списания и поредици")</f>
        <v>Статия в списания и поредици</v>
      </c>
      <c r="C8036" s="10" t="str">
        <f ca="1">IFERROR(__xludf.DUMMYFUNCTION("""COMPUTED_VALUE"""),"Внутренний – Внешний, Wewnetrzny – Zewnetrzny, Internal – External")</f>
        <v>Внутренний – Внешний, Wewnetrzny – Zewnetrzny, Internal – External</v>
      </c>
      <c r="D8036" s="10">
        <f ca="1">IFERROR(__xludf.DUMMYFUNCTION("""COMPUTED_VALUE"""),2001)</f>
        <v>2001</v>
      </c>
      <c r="E8036" s="10" t="str">
        <f ca="1">IFERROR(__xludf.DUMMYFUNCTION("""COMPUTED_VALUE"""),"// Идеи в России / Idee w Rosji / Ideas in Russia. Tom 4. Leksykon rosyjsko-polsko-angielski pod redakcją Andrzeja de Lazari. Wydawnictwo Ibidem. Łódź PL, 2001. 66-72. ISBN: 83-88679-05-8.")</f>
        <v>// Идеи в России / Idee w Rosji / Ideas in Russia. Tom 4. Leksykon rosyjsko-polsko-angielski pod redakcją Andrzeja de Lazari. Wydawnictwo Ibidem. Łódź PL, 2001. 66-72. ISBN: 83-88679-05-8.</v>
      </c>
      <c r="F8036" s="10"/>
      <c r="G8036" s="10"/>
      <c r="H8036" s="10"/>
      <c r="I8036" s="10"/>
      <c r="J8036" s="10"/>
      <c r="K8036" s="10"/>
      <c r="L8036" s="10"/>
      <c r="M8036" s="10"/>
      <c r="N8036" s="10"/>
      <c r="O8036" s="10"/>
      <c r="P8036" s="10"/>
      <c r="Q8036" s="10"/>
      <c r="R8036" s="10"/>
      <c r="S8036" s="10"/>
      <c r="T8036" s="10"/>
      <c r="U8036" s="10"/>
      <c r="V8036" s="10"/>
      <c r="W8036" s="10"/>
      <c r="X8036" s="10"/>
      <c r="Y8036" s="10"/>
      <c r="Z8036" s="10"/>
    </row>
    <row r="8037" spans="1:26" ht="12.75">
      <c r="A8037" s="10" t="str">
        <f ca="1">IFERROR(__xludf.DUMMYFUNCTION("""COMPUTED_VALUE"""),"Цветана Георгиева Петрова")</f>
        <v>Цветана Георгиева Петрова</v>
      </c>
      <c r="B8037" s="10" t="str">
        <f ca="1">IFERROR(__xludf.DUMMYFUNCTION("""COMPUTED_VALUE"""),"Статия в списания и поредици")</f>
        <v>Статия в списания и поредици</v>
      </c>
      <c r="C8037" s="10" t="str">
        <f ca="1">IFERROR(__xludf.DUMMYFUNCTION("""COMPUTED_VALUE"""),"Идентификацията на „родното“ („Родината“) в поезията на бесарабските българи")</f>
        <v>Идентификацията на „родното“ („Родината“) в поезията на бесарабските българи</v>
      </c>
      <c r="D8037" s="10">
        <f ca="1">IFERROR(__xludf.DUMMYFUNCTION("""COMPUTED_VALUE"""),2000)</f>
        <v>2000</v>
      </c>
      <c r="E8037" s="10" t="str">
        <f ca="1">IFERROR(__xludf.DUMMYFUNCTION("""COMPUTED_VALUE"""),"Българите в Северното Причерноморие. Изследвания и материали. Том седми. Редактори: П. Тодоров (отг. ред.), К. Попконстантинов, П. Павлов и др. УИ „Св. св. Кирил и Методий“. Велико Търново, 2000. 531–540. ISBN: 954-524-242—6 (т.7).")</f>
        <v>Българите в Северното Причерноморие. Изследвания и материали. Том седми. Редактори: П. Тодоров (отг. ред.), К. Попконстантинов, П. Павлов и др. УИ „Св. св. Кирил и Методий“. Велико Търново, 2000. 531–540. ISBN: 954-524-242—6 (т.7).</v>
      </c>
      <c r="F8037" s="10"/>
      <c r="G8037" s="10"/>
      <c r="H8037" s="10"/>
      <c r="I8037" s="10"/>
      <c r="J8037" s="10"/>
      <c r="K8037" s="10"/>
      <c r="L8037" s="10"/>
      <c r="M8037" s="10"/>
      <c r="N8037" s="10"/>
      <c r="O8037" s="10"/>
      <c r="P8037" s="10"/>
      <c r="Q8037" s="10"/>
      <c r="R8037" s="10"/>
      <c r="S8037" s="10"/>
      <c r="T8037" s="10"/>
      <c r="U8037" s="10"/>
      <c r="V8037" s="10"/>
      <c r="W8037" s="10"/>
      <c r="X8037" s="10"/>
      <c r="Y8037" s="10"/>
      <c r="Z8037" s="10"/>
    </row>
    <row r="8038" spans="1:26" ht="12.75">
      <c r="A8038" s="10" t="str">
        <f ca="1">IFERROR(__xludf.DUMMYFUNCTION("""COMPUTED_VALUE"""),"Цветана Георгиева Петрова")</f>
        <v>Цветана Георгиева Петрова</v>
      </c>
      <c r="B8038" s="10" t="str">
        <f ca="1">IFERROR(__xludf.DUMMYFUNCTION("""COMPUTED_VALUE"""),"Статия в списания и поредици")</f>
        <v>Статия в списания и поредици</v>
      </c>
      <c r="C8038" s="10" t="str">
        <f ca="1">IFERROR(__xludf.DUMMYFUNCTION("""COMPUTED_VALUE"""),"Музыкальная тема в литературе болгарского авангарда")</f>
        <v>Музыкальная тема в литературе болгарского авангарда</v>
      </c>
      <c r="D8038" s="10">
        <f ca="1">IFERROR(__xludf.DUMMYFUNCTION("""COMPUTED_VALUE"""),2000)</f>
        <v>2000</v>
      </c>
      <c r="E8038" s="10" t="str">
        <f ca="1">IFERROR(__xludf.DUMMYFUNCTION("""COMPUTED_VALUE"""),"Studia Litteraria Polono-Slavica, 5. Redakcja tomu Jerzy Faryno. Slawistyczny Ośrodek Wydawniczy (SOW), przy Instytucie Slawistyki PAN. PL Warszawa 2000. 219–228. ISBN: 83-86619-19-8; ISSN: 1231-8922.")</f>
        <v>Studia Litteraria Polono-Slavica, 5. Redakcja tomu Jerzy Faryno. Slawistyczny Ośrodek Wydawniczy (SOW), przy Instytucie Slawistyki PAN. PL Warszawa 2000. 219–228. ISBN: 83-86619-19-8; ISSN: 1231-8922.</v>
      </c>
      <c r="F8038" s="10"/>
      <c r="G8038" s="10"/>
      <c r="H8038" s="10"/>
      <c r="I8038" s="10"/>
      <c r="J8038" s="10"/>
      <c r="K8038" s="10"/>
      <c r="L8038" s="10"/>
      <c r="M8038" s="10"/>
      <c r="N8038" s="10"/>
      <c r="O8038" s="10"/>
      <c r="P8038" s="10"/>
      <c r="Q8038" s="10"/>
      <c r="R8038" s="10"/>
      <c r="S8038" s="10"/>
      <c r="T8038" s="10"/>
      <c r="U8038" s="10"/>
      <c r="V8038" s="10"/>
      <c r="W8038" s="10"/>
      <c r="X8038" s="10"/>
      <c r="Y8038" s="10"/>
      <c r="Z8038" s="10"/>
    </row>
    <row r="8039" spans="1:26" ht="12.75">
      <c r="A8039" s="10" t="str">
        <f ca="1">IFERROR(__xludf.DUMMYFUNCTION("""COMPUTED_VALUE"""),"Цветана Георгиева Петрова")</f>
        <v>Цветана Георгиева Петрова</v>
      </c>
      <c r="B8039" s="10" t="str">
        <f ca="1">IFERROR(__xludf.DUMMYFUNCTION("""COMPUTED_VALUE"""),"Статия в списания и поредици")</f>
        <v>Статия в списания и поредици</v>
      </c>
      <c r="C8039" s="10" t="str">
        <f ca="1">IFERROR(__xludf.DUMMYFUNCTION("""COMPUTED_VALUE"""),"Литературные архетипы в болгарской мифологической прозе (Поиски архетипических ситуаций в фольклоре и создание „новых мифов“)")</f>
        <v>Литературные архетипы в болгарской мифологической прозе (Поиски архетипических ситуаций в фольклоре и создание „новых мифов“)</v>
      </c>
      <c r="D8039" s="10">
        <f ca="1">IFERROR(__xludf.DUMMYFUNCTION("""COMPUTED_VALUE"""),2000)</f>
        <v>2000</v>
      </c>
      <c r="E8039" s="10" t="str">
        <f ca="1">IFERROR(__xludf.DUMMYFUNCTION("""COMPUTED_VALUE"""),"Славяноведение, № 6. РАН – Институт славяноведения. Ред. коллегия: Ю.С. Новопашин (гл. ред.), М.А. Робинсон и др. Москва, 2000. 37–45. ISSN: 0132-1366.")</f>
        <v>Славяноведение, № 6. РАН – Институт славяноведения. Ред. коллегия: Ю.С. Новопашин (гл. ред.), М.А. Робинсон и др. Москва, 2000. 37–45. ISSN: 0132-1366.</v>
      </c>
      <c r="F8039" s="10"/>
      <c r="G8039" s="10"/>
      <c r="H8039" s="10"/>
      <c r="I8039" s="10"/>
      <c r="J8039" s="10"/>
      <c r="K8039" s="10"/>
      <c r="L8039" s="10"/>
      <c r="M8039" s="10"/>
      <c r="N8039" s="10"/>
      <c r="O8039" s="10"/>
      <c r="P8039" s="10"/>
      <c r="Q8039" s="10"/>
      <c r="R8039" s="10"/>
      <c r="S8039" s="10"/>
      <c r="T8039" s="10"/>
      <c r="U8039" s="10"/>
      <c r="V8039" s="10"/>
      <c r="W8039" s="10"/>
      <c r="X8039" s="10"/>
      <c r="Y8039" s="10"/>
      <c r="Z8039" s="10"/>
    </row>
    <row r="8040" spans="1:26" ht="12.75">
      <c r="A8040" s="10" t="str">
        <f ca="1">IFERROR(__xludf.DUMMYFUNCTION("""COMPUTED_VALUE"""),"Цветана Георгиева Петрова")</f>
        <v>Цветана Георгиева Петрова</v>
      </c>
      <c r="B8040" s="10" t="str">
        <f ca="1">IFERROR(__xludf.DUMMYFUNCTION("""COMPUTED_VALUE"""),"Доклад от конференция")</f>
        <v>Доклад от конференция</v>
      </c>
      <c r="C8040" s="10" t="str">
        <f ca="1">IFERROR(__xludf.DUMMYFUNCTION("""COMPUTED_VALUE"""),"„Хитър Петър“ на Георги Марковски: интертекстуалност и аксиология")</f>
        <v>„Хитър Петър“ на Георги Марковски: интертекстуалност и аксиология</v>
      </c>
      <c r="D8040" s="10">
        <f ca="1">IFERROR(__xludf.DUMMYFUNCTION("""COMPUTED_VALUE"""),2000)</f>
        <v>2000</v>
      </c>
      <c r="E8040" s="10" t="str">
        <f ca="1">IFERROR(__xludf.DUMMYFUNCTION("""COMPUTED_VALUE"""),"Юбилейна научна конференция „25 години Шуменски университет „Епископ Константин Преславски“ 30. Х – 1. ХІ. 1996. Доклади. Редакционна колегия: Хр. Трендафилов, Л. Мончева и др. УИ „Епископ Константин Преславски“, Шумен, 2000. 153–160. ISBN: 954-577-091-0.")</f>
        <v>Юбилейна научна конференция „25 години Шуменски университет „Епископ Константин Преславски“ 30. Х – 1. ХІ. 1996. Доклади. Редакционна колегия: Хр. Трендафилов, Л. Мончева и др. УИ „Епископ Константин Преславски“, Шумен, 2000. 153–160. ISBN: 954-577-091-0.</v>
      </c>
      <c r="F8040" s="10"/>
      <c r="G8040" s="10"/>
      <c r="H8040" s="10"/>
      <c r="I8040" s="10"/>
      <c r="J8040" s="10"/>
      <c r="K8040" s="10"/>
      <c r="L8040" s="10"/>
      <c r="M8040" s="10"/>
      <c r="N8040" s="10"/>
      <c r="O8040" s="10"/>
      <c r="P8040" s="10"/>
      <c r="Q8040" s="10"/>
      <c r="R8040" s="10"/>
      <c r="S8040" s="10"/>
      <c r="T8040" s="10"/>
      <c r="U8040" s="10"/>
      <c r="V8040" s="10"/>
      <c r="W8040" s="10"/>
      <c r="X8040" s="10"/>
      <c r="Y8040" s="10"/>
      <c r="Z8040" s="10"/>
    </row>
    <row r="8041" spans="1:26" ht="12.75">
      <c r="A8041" s="10" t="str">
        <f ca="1">IFERROR(__xludf.DUMMYFUNCTION("""COMPUTED_VALUE"""),"Цветана Георгиева Петрова")</f>
        <v>Цветана Георгиева Петрова</v>
      </c>
      <c r="B8041" s="10" t="str">
        <f ca="1">IFERROR(__xludf.DUMMYFUNCTION("""COMPUTED_VALUE"""),"Статия в списания и поредици")</f>
        <v>Статия в списания и поредици</v>
      </c>
      <c r="C8041" s="10" t="str">
        <f ca="1">IFERROR(__xludf.DUMMYFUNCTION("""COMPUTED_VALUE"""),"Проблемите на екзистенцията – поетика на състоянията (по материал от бесарабската лирика)")</f>
        <v>Проблемите на екзистенцията – поетика на състоянията (по материал от бесарабската лирика)</v>
      </c>
      <c r="D8041" s="10">
        <f ca="1">IFERROR(__xludf.DUMMYFUNCTION("""COMPUTED_VALUE"""),1999)</f>
        <v>1999</v>
      </c>
      <c r="E8041" s="10" t="str">
        <f ca="1">IFERROR(__xludf.DUMMYFUNCTION("""COMPUTED_VALUE"""),"Науковий вiсник Iзмаïльського державного педагогiчного iнституту. Випуск 7. Редакцiйна колегiя: О.А Колескинов и др. Iзмаïл, 1999. 37–46. ISBN: 5-7763-2345- 2; ISBN: 5-7763-2346-0")</f>
        <v>Науковий вiсник Iзмаïльського державного педагогiчного iнституту. Випуск 7. Редакцiйна колегiя: О.А Колескинов и др. Iзмаïл, 1999. 37–46. ISBN: 5-7763-2345- 2; ISBN: 5-7763-2346-0</v>
      </c>
      <c r="F8041" s="10"/>
      <c r="G8041" s="10"/>
      <c r="H8041" s="10"/>
      <c r="I8041" s="10"/>
      <c r="J8041" s="10"/>
      <c r="K8041" s="10"/>
      <c r="L8041" s="10"/>
      <c r="M8041" s="10"/>
      <c r="N8041" s="10"/>
      <c r="O8041" s="10"/>
      <c r="P8041" s="10"/>
      <c r="Q8041" s="10"/>
      <c r="R8041" s="10"/>
      <c r="S8041" s="10"/>
      <c r="T8041" s="10"/>
      <c r="U8041" s="10"/>
      <c r="V8041" s="10"/>
      <c r="W8041" s="10"/>
      <c r="X8041" s="10"/>
      <c r="Y8041" s="10"/>
      <c r="Z8041" s="10"/>
    </row>
    <row r="8042" spans="1:26" ht="12.75">
      <c r="A8042" s="10" t="str">
        <f ca="1">IFERROR(__xludf.DUMMYFUNCTION("""COMPUTED_VALUE"""),"Цветана Георгиева Петрова")</f>
        <v>Цветана Георгиева Петрова</v>
      </c>
      <c r="B8042" s="10" t="str">
        <f ca="1">IFERROR(__xludf.DUMMYFUNCTION("""COMPUTED_VALUE"""),"Статия в списания и поредици")</f>
        <v>Статия в списания и поредици</v>
      </c>
      <c r="C8042" s="10" t="str">
        <f ca="1">IFERROR(__xludf.DUMMYFUNCTION("""COMPUTED_VALUE"""),"Уроци при Мелетински (Аудитория на векa)")</f>
        <v>Уроци при Мелетински (Аудитория на векa)</v>
      </c>
      <c r="D8042" s="10">
        <f ca="1">IFERROR(__xludf.DUMMYFUNCTION("""COMPUTED_VALUE"""),1999)</f>
        <v>1999</v>
      </c>
      <c r="E8042" s="10" t="str">
        <f ca="1">IFERROR(__xludf.DUMMYFUNCTION("""COMPUTED_VALUE"""),"// Литературата, кн. 2 (10), 1999. Издание за литературна история и теория на Университетското Вазово общество. Ред. колегия: Симеон Янев (гл. ред.), Н. Чернокожев, Св. Стойчева и др. УИ „Св. Климент Охридски“ - Тилид. 175–186. ISSN: 310-2877.")</f>
        <v>// Литературата, кн. 2 (10), 1999. Издание за литературна история и теория на Университетското Вазово общество. Ред. колегия: Симеон Янев (гл. ред.), Н. Чернокожев, Св. Стойчева и др. УИ „Св. Климент Охридски“ - Тилид. 175–186. ISSN: 310-2877.</v>
      </c>
      <c r="F8042" s="10"/>
      <c r="G8042" s="10"/>
      <c r="H8042" s="10"/>
      <c r="I8042" s="10"/>
      <c r="J8042" s="10"/>
      <c r="K8042" s="10"/>
      <c r="L8042" s="10"/>
      <c r="M8042" s="10"/>
      <c r="N8042" s="10"/>
      <c r="O8042" s="10"/>
      <c r="P8042" s="10"/>
      <c r="Q8042" s="10"/>
      <c r="R8042" s="10"/>
      <c r="S8042" s="10"/>
      <c r="T8042" s="10"/>
      <c r="U8042" s="10"/>
      <c r="V8042" s="10"/>
      <c r="W8042" s="10"/>
      <c r="X8042" s="10"/>
      <c r="Y8042" s="10"/>
      <c r="Z8042" s="10"/>
    </row>
    <row r="8043" spans="1:26" ht="12.75">
      <c r="A8043" s="10" t="str">
        <f ca="1">IFERROR(__xludf.DUMMYFUNCTION("""COMPUTED_VALUE"""),"Цветана Георгиева Петрова")</f>
        <v>Цветана Георгиева Петрова</v>
      </c>
      <c r="B8043" s="10" t="str">
        <f ca="1">IFERROR(__xludf.DUMMYFUNCTION("""COMPUTED_VALUE"""),"Доклад от конференция")</f>
        <v>Доклад от конференция</v>
      </c>
      <c r="C8043" s="10" t="str">
        <f ca="1">IFERROR(__xludf.DUMMYFUNCTION("""COMPUTED_VALUE"""),"За пародията-демитологизация в „Преди да се родя. И след това” на Ивайло Петров")</f>
        <v>За пародията-демитологизация в „Преди да се родя. И след това” на Ивайло Петров</v>
      </c>
      <c r="D8043" s="10">
        <f ca="1">IFERROR(__xludf.DUMMYFUNCTION("""COMPUTED_VALUE"""),1998)</f>
        <v>1998</v>
      </c>
      <c r="E8043" s="10" t="str">
        <f ca="1">IFERROR(__xludf.DUMMYFUNCTION("""COMPUTED_VALUE"""),"// Сборник научни трудове. ВВУАПВО „П. Волов“. Научна сесия с международно участие. Част І. Редакционна колегия: Р. Узунов и др. Редакционно-издателско бюро при ВВУАПВО „П. Волов“. Шумен, 1998. 228–235. ISBN: 954-9681-01-7.")</f>
        <v>// Сборник научни трудове. ВВУАПВО „П. Волов“. Научна сесия с международно участие. Част І. Редакционна колегия: Р. Узунов и др. Редакционно-издателско бюро при ВВУАПВО „П. Волов“. Шумен, 1998. 228–235. ISBN: 954-9681-01-7.</v>
      </c>
      <c r="F8043" s="10"/>
      <c r="G8043" s="10"/>
      <c r="H8043" s="10"/>
      <c r="I8043" s="10"/>
      <c r="J8043" s="10"/>
      <c r="K8043" s="10"/>
      <c r="L8043" s="10"/>
      <c r="M8043" s="10"/>
      <c r="N8043" s="10"/>
      <c r="O8043" s="10"/>
      <c r="P8043" s="10"/>
      <c r="Q8043" s="10"/>
      <c r="R8043" s="10"/>
      <c r="S8043" s="10"/>
      <c r="T8043" s="10"/>
      <c r="U8043" s="10"/>
      <c r="V8043" s="10"/>
      <c r="W8043" s="10"/>
      <c r="X8043" s="10"/>
      <c r="Y8043" s="10"/>
      <c r="Z8043" s="10"/>
    </row>
    <row r="8044" spans="1:26" ht="12.75">
      <c r="A8044" s="10" t="str">
        <f ca="1">IFERROR(__xludf.DUMMYFUNCTION("""COMPUTED_VALUE"""),"Цветана Георгиева Петрова")</f>
        <v>Цветана Георгиева Петрова</v>
      </c>
      <c r="B8044" s="10" t="str">
        <f ca="1">IFERROR(__xludf.DUMMYFUNCTION("""COMPUTED_VALUE"""),"Статия в списания и поредици")</f>
        <v>Статия в списания и поредици</v>
      </c>
      <c r="C8044" s="10" t="str">
        <f ca="1">IFERROR(__xludf.DUMMYFUNCTION("""COMPUTED_VALUE"""),"За два архетипни образи в литературата на 80-те години")</f>
        <v>За два архетипни образи в литературата на 80-те години</v>
      </c>
      <c r="D8044" s="10">
        <f ca="1">IFERROR(__xludf.DUMMYFUNCTION("""COMPUTED_VALUE"""),1998)</f>
        <v>1998</v>
      </c>
      <c r="E8044" s="10" t="str">
        <f ca="1">IFERROR(__xludf.DUMMYFUNCTION("""COMPUTED_VALUE"""),"// Български език и литература. Научно-методическо списание Министерство на образованието, младежта и науката. Редакционна колегия: Вл. Атанасов (гл. ред.), А. Дамянова и др. 1998 / бр.4. 43–48. ISSN: 1314–8516 (Online); ISSN: 0323–9519 (Print)")</f>
        <v>// Български език и литература. Научно-методическо списание Министерство на образованието, младежта и науката. Редакционна колегия: Вл. Атанасов (гл. ред.), А. Дамянова и др. 1998 / бр.4. 43–48. ISSN: 1314–8516 (Online); ISSN: 0323–9519 (Print)</v>
      </c>
      <c r="F8044" s="10"/>
      <c r="G8044" s="10"/>
      <c r="H8044" s="10"/>
      <c r="I8044" s="10"/>
      <c r="J8044" s="10"/>
      <c r="K8044" s="10"/>
      <c r="L8044" s="10"/>
      <c r="M8044" s="10"/>
      <c r="N8044" s="10"/>
      <c r="O8044" s="10"/>
      <c r="P8044" s="10"/>
      <c r="Q8044" s="10"/>
      <c r="R8044" s="10"/>
      <c r="S8044" s="10"/>
      <c r="T8044" s="10"/>
      <c r="U8044" s="10"/>
      <c r="V8044" s="10"/>
      <c r="W8044" s="10"/>
      <c r="X8044" s="10"/>
      <c r="Y8044" s="10"/>
      <c r="Z8044" s="10"/>
    </row>
    <row r="8045" spans="1:26" ht="12.75">
      <c r="A8045" s="10" t="str">
        <f ca="1">IFERROR(__xludf.DUMMYFUNCTION("""COMPUTED_VALUE"""),"Цветана Георгиева Петрова")</f>
        <v>Цветана Георгиева Петрова</v>
      </c>
      <c r="B8045" s="10" t="str">
        <f ca="1">IFERROR(__xludf.DUMMYFUNCTION("""COMPUTED_VALUE"""),"Монография")</f>
        <v>Монография</v>
      </c>
      <c r="C8045" s="10" t="str">
        <f ca="1">IFERROR(__xludf.DUMMYFUNCTION("""COMPUTED_VALUE"""),"Българска митологична проза")</f>
        <v>Българска митологична проза</v>
      </c>
      <c r="D8045" s="10">
        <f ca="1">IFERROR(__xludf.DUMMYFUNCTION("""COMPUTED_VALUE"""),1998)</f>
        <v>1998</v>
      </c>
      <c r="E8045" s="10" t="str">
        <f ca="1">IFERROR(__xludf.DUMMYFUNCTION("""COMPUTED_VALUE"""),"Първо издание 1998, Издателство „Аксиос“. Второ издание 1999. Рецензент Хр. Трендафилов. Научен редактор Ив. Петров. София, 1999. –188 с. ISBN: 954-8789-48-5.")</f>
        <v>Първо издание 1998, Издателство „Аксиос“. Второ издание 1999. Рецензент Хр. Трендафилов. Научен редактор Ив. Петров. София, 1999. –188 с. ISBN: 954-8789-48-5.</v>
      </c>
      <c r="F8045" s="10"/>
      <c r="G8045" s="10"/>
      <c r="H8045" s="10"/>
      <c r="I8045" s="10"/>
      <c r="J8045" s="10"/>
      <c r="K8045" s="10"/>
      <c r="L8045" s="10"/>
      <c r="M8045" s="10"/>
      <c r="N8045" s="10"/>
      <c r="O8045" s="10"/>
      <c r="P8045" s="10"/>
      <c r="Q8045" s="10"/>
      <c r="R8045" s="10"/>
      <c r="S8045" s="10"/>
      <c r="T8045" s="10"/>
      <c r="U8045" s="10"/>
      <c r="V8045" s="10"/>
      <c r="W8045" s="10"/>
      <c r="X8045" s="10"/>
      <c r="Y8045" s="10"/>
      <c r="Z8045" s="10"/>
    </row>
    <row r="8046" spans="1:26" ht="12.75">
      <c r="A8046" s="10" t="str">
        <f ca="1">IFERROR(__xludf.DUMMYFUNCTION("""COMPUTED_VALUE"""),"Цветана Георгиева Петрова")</f>
        <v>Цветана Георгиева Петрова</v>
      </c>
      <c r="B8046" s="10" t="str">
        <f ca="1">IFERROR(__xludf.DUMMYFUNCTION("""COMPUTED_VALUE"""),"Статия в списания и поредици")</f>
        <v>Статия в списания и поредици</v>
      </c>
      <c r="C8046" s="10" t="str">
        <f ca="1">IFERROR(__xludf.DUMMYFUNCTION("""COMPUTED_VALUE"""),"Фигура мастера в современной болгарской прозе")</f>
        <v>Фигура мастера в современной болгарской прозе</v>
      </c>
      <c r="D8046" s="10">
        <f ca="1">IFERROR(__xludf.DUMMYFUNCTION("""COMPUTED_VALUE"""),1998)</f>
        <v>1998</v>
      </c>
      <c r="E8046" s="10" t="str">
        <f ca="1">IFERROR(__xludf.DUMMYFUNCTION("""COMPUTED_VALUE"""),"// Мировое древо/ Arbor Mundi (В честь 80-тилетию Е. М. Мелетинского). Составитель С.Ю. Неклюдов. РГГУ – Институт гуманитарных исследований. Москва, 1998. 258–266. ISBN: 5-86795-002-6.")</f>
        <v>// Мировое древо/ Arbor Mundi (В честь 80-тилетию Е. М. Мелетинского). Составитель С.Ю. Неклюдов. РГГУ – Институт гуманитарных исследований. Москва, 1998. 258–266. ISBN: 5-86795-002-6.</v>
      </c>
      <c r="F8046" s="10"/>
      <c r="G8046" s="10"/>
      <c r="H8046" s="10"/>
      <c r="I8046" s="10"/>
      <c r="J8046" s="10"/>
      <c r="K8046" s="10"/>
      <c r="L8046" s="10"/>
      <c r="M8046" s="10"/>
      <c r="N8046" s="10"/>
      <c r="O8046" s="10"/>
      <c r="P8046" s="10"/>
      <c r="Q8046" s="10"/>
      <c r="R8046" s="10"/>
      <c r="S8046" s="10"/>
      <c r="T8046" s="10"/>
      <c r="U8046" s="10"/>
      <c r="V8046" s="10"/>
      <c r="W8046" s="10"/>
      <c r="X8046" s="10"/>
      <c r="Y8046" s="10"/>
      <c r="Z8046" s="10"/>
    </row>
    <row r="8047" spans="1:26" ht="12.75">
      <c r="A8047" s="10" t="str">
        <f ca="1">IFERROR(__xludf.DUMMYFUNCTION("""COMPUTED_VALUE"""),"Цветана Георгиева Петрова")</f>
        <v>Цветана Георгиева Петрова</v>
      </c>
      <c r="B8047" s="10" t="str">
        <f ca="1">IFERROR(__xludf.DUMMYFUNCTION("""COMPUTED_VALUE"""),"Статия в списания и поредици")</f>
        <v>Статия в списания и поредици</v>
      </c>
      <c r="C8047" s="10" t="str">
        <f ca="1">IFERROR(__xludf.DUMMYFUNCTION("""COMPUTED_VALUE"""),"Лирическият цикъл – начин на концептиране")</f>
        <v>Лирическият цикъл – начин на концептиране</v>
      </c>
      <c r="D8047" s="10">
        <f ca="1">IFERROR(__xludf.DUMMYFUNCTION("""COMPUTED_VALUE"""),1997)</f>
        <v>1997</v>
      </c>
      <c r="E8047" s="10" t="str">
        <f ca="1">IFERROR(__xludf.DUMMYFUNCTION("""COMPUTED_VALUE"""),"// Кирил Христов. Нови изследвания. Редакционна колегия: С. Янев, Хр. Трендафилов, С. Сивриев. Шумен, „Антос“, 1997. 86–92. ISBN: 954-8901-13-7.")</f>
        <v>// Кирил Христов. Нови изследвания. Редакционна колегия: С. Янев, Хр. Трендафилов, С. Сивриев. Шумен, „Антос“, 1997. 86–92. ISBN: 954-8901-13-7.</v>
      </c>
      <c r="F8047" s="10"/>
      <c r="G8047" s="10"/>
      <c r="H8047" s="10"/>
      <c r="I8047" s="10"/>
      <c r="J8047" s="10"/>
      <c r="K8047" s="10"/>
      <c r="L8047" s="10"/>
      <c r="M8047" s="10"/>
      <c r="N8047" s="10"/>
      <c r="O8047" s="10"/>
      <c r="P8047" s="10"/>
      <c r="Q8047" s="10"/>
      <c r="R8047" s="10"/>
      <c r="S8047" s="10"/>
      <c r="T8047" s="10"/>
      <c r="U8047" s="10"/>
      <c r="V8047" s="10"/>
      <c r="W8047" s="10"/>
      <c r="X8047" s="10"/>
      <c r="Y8047" s="10"/>
      <c r="Z8047" s="10"/>
    </row>
    <row r="8048" spans="1:26" ht="12.75">
      <c r="A8048" s="10" t="str">
        <f ca="1">IFERROR(__xludf.DUMMYFUNCTION("""COMPUTED_VALUE"""),"Цветана Георгиева Петрова")</f>
        <v>Цветана Георгиева Петрова</v>
      </c>
      <c r="B8048" s="10" t="str">
        <f ca="1">IFERROR(__xludf.DUMMYFUNCTION("""COMPUTED_VALUE"""),"Статия в списания и поредици")</f>
        <v>Статия в списания и поредици</v>
      </c>
      <c r="C8048" s="10" t="str">
        <f ca="1">IFERROR(__xludf.DUMMYFUNCTION("""COMPUTED_VALUE"""),"Светослав Минков. „Голем“-изацията като сатиричен похват")</f>
        <v>Светослав Минков. „Голем“-изацията като сатиричен похват</v>
      </c>
      <c r="D8048" s="10">
        <f ca="1">IFERROR(__xludf.DUMMYFUNCTION("""COMPUTED_VALUE"""),1996)</f>
        <v>1996</v>
      </c>
      <c r="E8048" s="10" t="str">
        <f ca="1">IFERROR(__xludf.DUMMYFUNCTION("""COMPUTED_VALUE"""),"Литературна мисъл. Главен редактор Николай Аретов. Издава Институт за литература при БАН. Година XXXIX-XL, 1995-1996/ № 1. 140–146. ISSN: (print) 0324-0495; ISSN: (online) 1314-9237")</f>
        <v>Литературна мисъл. Главен редактор Николай Аретов. Издава Институт за литература при БАН. Година XXXIX-XL, 1995-1996/ № 1. 140–146. ISSN: (print) 0324-0495; ISSN: (online) 1314-9237</v>
      </c>
      <c r="F8048" s="10"/>
      <c r="G8048" s="10"/>
      <c r="H8048" s="10"/>
      <c r="I8048" s="10"/>
      <c r="J8048" s="10"/>
      <c r="K8048" s="10"/>
      <c r="L8048" s="10"/>
      <c r="M8048" s="10"/>
      <c r="N8048" s="10"/>
      <c r="O8048" s="10"/>
      <c r="P8048" s="10"/>
      <c r="Q8048" s="10"/>
      <c r="R8048" s="10"/>
      <c r="S8048" s="10"/>
      <c r="T8048" s="10"/>
      <c r="U8048" s="10"/>
      <c r="V8048" s="10"/>
      <c r="W8048" s="10"/>
      <c r="X8048" s="10"/>
      <c r="Y8048" s="10"/>
      <c r="Z8048" s="10"/>
    </row>
    <row r="8049" spans="1:26" ht="12.75">
      <c r="A8049" s="10" t="str">
        <f ca="1">IFERROR(__xludf.DUMMYFUNCTION("""COMPUTED_VALUE"""),"Цветана Георгиева Петрова")</f>
        <v>Цветана Георгиева Петрова</v>
      </c>
      <c r="B8049" s="10" t="str">
        <f ca="1">IFERROR(__xludf.DUMMYFUNCTION("""COMPUTED_VALUE"""),"Доклад от конференция")</f>
        <v>Доклад от конференция</v>
      </c>
      <c r="C8049" s="10" t="str">
        <f ca="1">IFERROR(__xludf.DUMMYFUNCTION("""COMPUTED_VALUE"""),"Кадаврите (cadavres exquis) в поезията на Константин Павлов")</f>
        <v>Кадаврите (cadavres exquis) в поезията на Константин Павлов</v>
      </c>
      <c r="D8049" s="10">
        <f ca="1">IFERROR(__xludf.DUMMYFUNCTION("""COMPUTED_VALUE"""),1996)</f>
        <v>1996</v>
      </c>
      <c r="E8049" s="10" t="str">
        <f ca="1">IFERROR(__xludf.DUMMYFUNCTION("""COMPUTED_VALUE"""),"Епископ-Константинови четения 3. Май 1996. Факултет по българска филология, история и богословие при ШУ „Епископ Константин Преславски“. Редакционна колегия: Т. Тотев (отг. ред.), П. Георгиев и др. Издателство на Шуменския университет „Еп. Константин Прес"&amp;"лавски“. Шумен, 1996. 308–315. ISBN: 954-577-023-6.")</f>
        <v>Епископ-Константинови четения 3. Май 1996. Факултет по българска филология, история и богословие при ШУ „Епископ Константин Преславски“. Редакционна колегия: Т. Тотев (отг. ред.), П. Георгиев и др. Издателство на Шуменския университет „Еп. Константин Преславски“. Шумен, 1996. 308–315. ISBN: 954-577-023-6.</v>
      </c>
      <c r="F8049" s="10"/>
      <c r="G8049" s="10"/>
      <c r="H8049" s="10"/>
      <c r="I8049" s="10"/>
      <c r="J8049" s="10"/>
      <c r="K8049" s="10"/>
      <c r="L8049" s="10"/>
      <c r="M8049" s="10"/>
      <c r="N8049" s="10"/>
      <c r="O8049" s="10"/>
      <c r="P8049" s="10"/>
      <c r="Q8049" s="10"/>
      <c r="R8049" s="10"/>
      <c r="S8049" s="10"/>
      <c r="T8049" s="10"/>
      <c r="U8049" s="10"/>
      <c r="V8049" s="10"/>
      <c r="W8049" s="10"/>
      <c r="X8049" s="10"/>
      <c r="Y8049" s="10"/>
      <c r="Z8049" s="10"/>
    </row>
    <row r="8050" spans="1:26" ht="12.75">
      <c r="A8050" s="10" t="str">
        <f ca="1">IFERROR(__xludf.DUMMYFUNCTION("""COMPUTED_VALUE"""),"Цветана Георгиева Петрова")</f>
        <v>Цветана Георгиева Петрова</v>
      </c>
      <c r="B8050" s="10" t="str">
        <f ca="1">IFERROR(__xludf.DUMMYFUNCTION("""COMPUTED_VALUE"""),"Доклад от конференция")</f>
        <v>Доклад от конференция</v>
      </c>
      <c r="C8050" s="10" t="str">
        <f ca="1">IFERROR(__xludf.DUMMYFUNCTION("""COMPUTED_VALUE"""),"За библейския дискурс в поезията на Яворов")</f>
        <v>За библейския дискурс в поезията на Яворов</v>
      </c>
      <c r="D8050" s="10">
        <f ca="1">IFERROR(__xludf.DUMMYFUNCTION("""COMPUTED_VALUE"""),1996)</f>
        <v>1996</v>
      </c>
      <c r="E8050" s="10" t="str">
        <f ca="1">IFERROR(__xludf.DUMMYFUNCTION("""COMPUTED_VALUE"""),"// Епископ-Константинови четения 2. Май 1995. Факултет по българска филология, история и богословие, при ШУ „Константин Преславски“. Редакционна колегия: Т. Тотев (отг. ред.), П. Георгиев и др. Издателство на Шуменския университет „Константин Преславски“."&amp;" Шумен, 1996. 121–127. ISBN: 954-577-014-7.")</f>
        <v>// Епископ-Константинови четения 2. Май 1995. Факултет по българска филология, история и богословие, при ШУ „Константин Преславски“. Редакционна колегия: Т. Тотев (отг. ред.), П. Георгиев и др. Издателство на Шуменския университет „Константин Преславски“. Шумен, 1996. 121–127. ISBN: 954-577-014-7.</v>
      </c>
      <c r="F8050" s="10"/>
      <c r="G8050" s="10"/>
      <c r="H8050" s="10"/>
      <c r="I8050" s="10"/>
      <c r="J8050" s="10"/>
      <c r="K8050" s="10"/>
      <c r="L8050" s="10"/>
      <c r="M8050" s="10"/>
      <c r="N8050" s="10"/>
      <c r="O8050" s="10"/>
      <c r="P8050" s="10"/>
      <c r="Q8050" s="10"/>
      <c r="R8050" s="10"/>
      <c r="S8050" s="10"/>
      <c r="T8050" s="10"/>
      <c r="U8050" s="10"/>
      <c r="V8050" s="10"/>
      <c r="W8050" s="10"/>
      <c r="X8050" s="10"/>
      <c r="Y8050" s="10"/>
      <c r="Z8050" s="10"/>
    </row>
    <row r="8051" spans="1:26" ht="12.75">
      <c r="A8051" s="10" t="str">
        <f ca="1">IFERROR(__xludf.DUMMYFUNCTION("""COMPUTED_VALUE"""),"Цветана Георгиева Петрова")</f>
        <v>Цветана Георгиева Петрова</v>
      </c>
      <c r="B8051" s="10" t="str">
        <f ca="1">IFERROR(__xludf.DUMMYFUNCTION("""COMPUTED_VALUE"""),"Статия в списания и поредици")</f>
        <v>Статия в списания и поредици</v>
      </c>
      <c r="C8051" s="10" t="str">
        <f ca="1">IFERROR(__xludf.DUMMYFUNCTION("""COMPUTED_VALUE"""),"Диалогичност между два утопични модела")</f>
        <v>Диалогичност между два утопични модела</v>
      </c>
      <c r="D8051" s="10">
        <f ca="1">IFERROR(__xludf.DUMMYFUNCTION("""COMPUTED_VALUE"""),1995)</f>
        <v>1995</v>
      </c>
      <c r="E8051" s="10" t="str">
        <f ca="1">IFERROR(__xludf.DUMMYFUNCTION("""COMPUTED_VALUE"""),"// Никола Вапцаров. Нови изследвания. Сборник. Редакционна колегия: Л. Бумбалов, К. Динчев и др. Изд. ЮЗУ „Неофит Рилски“. Благоевград, 1995. 194–201. ISBN: 954-680-025-2.")</f>
        <v>// Никола Вапцаров. Нови изследвания. Сборник. Редакционна колегия: Л. Бумбалов, К. Динчев и др. Изд. ЮЗУ „Неофит Рилски“. Благоевград, 1995. 194–201. ISBN: 954-680-025-2.</v>
      </c>
      <c r="F8051" s="10"/>
      <c r="G8051" s="10"/>
      <c r="H8051" s="10"/>
      <c r="I8051" s="10"/>
      <c r="J8051" s="10"/>
      <c r="K8051" s="10"/>
      <c r="L8051" s="10"/>
      <c r="M8051" s="10"/>
      <c r="N8051" s="10"/>
      <c r="O8051" s="10"/>
      <c r="P8051" s="10"/>
      <c r="Q8051" s="10"/>
      <c r="R8051" s="10"/>
      <c r="S8051" s="10"/>
      <c r="T8051" s="10"/>
      <c r="U8051" s="10"/>
      <c r="V8051" s="10"/>
      <c r="W8051" s="10"/>
      <c r="X8051" s="10"/>
      <c r="Y8051" s="10"/>
      <c r="Z8051" s="10"/>
    </row>
    <row r="8052" spans="1:26" ht="12.75">
      <c r="A8052" s="10" t="str">
        <f ca="1">IFERROR(__xludf.DUMMYFUNCTION("""COMPUTED_VALUE"""),"Цветана Георгиева Петрова")</f>
        <v>Цветана Георгиева Петрова</v>
      </c>
      <c r="B8052" s="10" t="str">
        <f ca="1">IFERROR(__xludf.DUMMYFUNCTION("""COMPUTED_VALUE"""),"Статия в списания и поредици")</f>
        <v>Статия в списания и поредици</v>
      </c>
      <c r="C8052" s="10" t="str">
        <f ca="1">IFERROR(__xludf.DUMMYFUNCTION("""COMPUTED_VALUE"""),"„Мировое древо“/„The World Tree“ – Международен журнал по теория и история на световната култура")</f>
        <v>„Мировое древо“/„The World Tree“ – Международен журнал по теория и история на световната култура</v>
      </c>
      <c r="D8052" s="10">
        <f ca="1">IFERROR(__xludf.DUMMYFUNCTION("""COMPUTED_VALUE"""),1995)</f>
        <v>1995</v>
      </c>
      <c r="E8052" s="10" t="str">
        <f ca="1">IFERROR(__xludf.DUMMYFUNCTION("""COMPUTED_VALUE"""),"// Литературата, год. ІІ, кн. 2 (4), 1995. Издание за литературна история и теория на Университетското Вазово общество. Ред. колегия: Симеон Янев (гл. ред.), В. Стефанов и др. УИ „Св. Климент Охридски“. 252–256. ISSN: 310-2877.")</f>
        <v>// Литературата, год. ІІ, кн. 2 (4), 1995. Издание за литературна история и теория на Университетското Вазово общество. Ред. колегия: Симеон Янев (гл. ред.), В. Стефанов и др. УИ „Св. Климент Охридски“. 252–256. ISSN: 310-2877.</v>
      </c>
      <c r="F8052" s="10"/>
      <c r="G8052" s="10"/>
      <c r="H8052" s="10"/>
      <c r="I8052" s="10"/>
      <c r="J8052" s="10"/>
      <c r="K8052" s="10"/>
      <c r="L8052" s="10"/>
      <c r="M8052" s="10"/>
      <c r="N8052" s="10"/>
      <c r="O8052" s="10"/>
      <c r="P8052" s="10"/>
      <c r="Q8052" s="10"/>
      <c r="R8052" s="10"/>
      <c r="S8052" s="10"/>
      <c r="T8052" s="10"/>
      <c r="U8052" s="10"/>
      <c r="V8052" s="10"/>
      <c r="W8052" s="10"/>
      <c r="X8052" s="10"/>
      <c r="Y8052" s="10"/>
      <c r="Z8052" s="10"/>
    </row>
    <row r="8053" spans="1:26" ht="12.75">
      <c r="A8053" s="10" t="str">
        <f ca="1">IFERROR(__xludf.DUMMYFUNCTION("""COMPUTED_VALUE"""),"Цветана Георгиева Петрова")</f>
        <v>Цветана Георгиева Петрова</v>
      </c>
      <c r="B8053" s="10" t="str">
        <f ca="1">IFERROR(__xludf.DUMMYFUNCTION("""COMPUTED_VALUE"""),"Доклад от конференция")</f>
        <v>Доклад от конференция</v>
      </c>
      <c r="C8053" s="10" t="str">
        <f ca="1">IFERROR(__xludf.DUMMYFUNCTION("""COMPUTED_VALUE"""),"Поетика на орнамента в стила на Йордан Радичков")</f>
        <v>Поетика на орнамента в стила на Йордан Радичков</v>
      </c>
      <c r="D8053" s="10">
        <f ca="1">IFERROR(__xludf.DUMMYFUNCTION("""COMPUTED_VALUE"""),1994)</f>
        <v>1994</v>
      </c>
      <c r="E8053" s="10" t="str">
        <f ca="1">IFERROR(__xludf.DUMMYFUNCTION("""COMPUTED_VALUE"""),"// Епископ-Константинови четения 1. Май 1994. Факултет по българска филология, история и богословие, при Висшия педагогически институт „Константин Преславски“. Редакционна колегия: Т. Тотев (отг. ред.), П. Георгиев и др. Издателство на ВПИ „Константин Пре"&amp;"славски“. Шумен, 1994. 209–220. ISBN: 954-577-003-1.")</f>
        <v>// Епископ-Константинови четения 1. Май 1994. Факултет по българска филология, история и богословие, при Висшия педагогически институт „Константин Преславски“. Редакционна колегия: Т. Тотев (отг. ред.), П. Георгиев и др. Издателство на ВПИ „Константин Преславски“. Шумен, 1994. 209–220. ISBN: 954-577-003-1.</v>
      </c>
      <c r="F8053" s="10"/>
      <c r="G8053" s="10"/>
      <c r="H8053" s="10"/>
      <c r="I8053" s="10"/>
      <c r="J8053" s="10"/>
      <c r="K8053" s="10"/>
      <c r="L8053" s="10"/>
      <c r="M8053" s="10"/>
      <c r="N8053" s="10"/>
      <c r="O8053" s="10"/>
      <c r="P8053" s="10"/>
      <c r="Q8053" s="10"/>
      <c r="R8053" s="10"/>
      <c r="S8053" s="10"/>
      <c r="T8053" s="10"/>
      <c r="U8053" s="10"/>
      <c r="V8053" s="10"/>
      <c r="W8053" s="10"/>
      <c r="X8053" s="10"/>
      <c r="Y8053" s="10"/>
      <c r="Z8053" s="10"/>
    </row>
    <row r="8054" spans="1:26" ht="12.75">
      <c r="A8054" s="10" t="str">
        <f ca="1">IFERROR(__xludf.DUMMYFUNCTION("""COMPUTED_VALUE"""),"Цветана Георгиева Петрова")</f>
        <v>Цветана Георгиева Петрова</v>
      </c>
      <c r="B8054" s="10" t="str">
        <f ca="1">IFERROR(__xludf.DUMMYFUNCTION("""COMPUTED_VALUE"""),"Статия в списания и поредици")</f>
        <v>Статия в списания и поредици</v>
      </c>
      <c r="C8054" s="10" t="str">
        <f ca="1">IFERROR(__xludf.DUMMYFUNCTION("""COMPUTED_VALUE"""),"Геометричната фигура в българския модернизъм")</f>
        <v>Геометричната фигура в българския модернизъм</v>
      </c>
      <c r="D8054" s="10">
        <f ca="1">IFERROR(__xludf.DUMMYFUNCTION("""COMPUTED_VALUE"""),1991)</f>
        <v>1991</v>
      </c>
      <c r="E8054" s="10" t="str">
        <f ca="1">IFERROR(__xludf.DUMMYFUNCTION("""COMPUTED_VALUE"""),"Западноевропейският модернизъм и славянските литератури: краят на XIX – началото на XX век и 20-те години. УИ „Св. св. Кирил и Методий“, 1991. Велико Търново. 581–590. ISBN 954-524-189-6")</f>
        <v>Западноевропейският модернизъм и славянските литератури: краят на XIX – началото на XX век и 20-те години. УИ „Св. св. Кирил и Методий“, 1991. Велико Търново. 581–590. ISBN 954-524-189-6</v>
      </c>
      <c r="F8054" s="10"/>
      <c r="G8054" s="10"/>
      <c r="H8054" s="10"/>
      <c r="I8054" s="10"/>
      <c r="J8054" s="10"/>
      <c r="K8054" s="10"/>
      <c r="L8054" s="10"/>
      <c r="M8054" s="10"/>
      <c r="N8054" s="10"/>
      <c r="O8054" s="10"/>
      <c r="P8054" s="10"/>
      <c r="Q8054" s="10"/>
      <c r="R8054" s="10"/>
      <c r="S8054" s="10"/>
      <c r="T8054" s="10"/>
      <c r="U8054" s="10"/>
      <c r="V8054" s="10"/>
      <c r="W8054" s="10"/>
      <c r="X8054" s="10"/>
      <c r="Y8054" s="10"/>
      <c r="Z8054" s="10"/>
    </row>
    <row r="8055" spans="1:26" ht="12.75">
      <c r="A8055" s="10" t="str">
        <f ca="1">IFERROR(__xludf.DUMMYFUNCTION("""COMPUTED_VALUE"""),"Цветелина Боянова Варадинова")</f>
        <v>Цветелина Боянова Варадинова</v>
      </c>
      <c r="B8055" s="10" t="str">
        <f ca="1">IFERROR(__xludf.DUMMYFUNCTION("""COMPUTED_VALUE"""),"Доклад от конференция")</f>
        <v>Доклад от конференция</v>
      </c>
      <c r="C8055" s="10" t="str">
        <f ca="1">IFERROR(__xludf.DUMMYFUNCTION("""COMPUTED_VALUE"""),"Современные университетские формы организации образовательного процесса при обучении аспирантов.")</f>
        <v>Современные университетские формы организации образовательного процесса при обучении аспирантов.</v>
      </c>
      <c r="D8055" s="10">
        <f ca="1">IFERROR(__xludf.DUMMYFUNCTION("""COMPUTED_VALUE"""),2017)</f>
        <v>2017</v>
      </c>
      <c r="E8055" s="10" t="str">
        <f ca="1">IFERROR(__xludf.DUMMYFUNCTION("""COMPUTED_VALUE"""),"В сборнике материалы докладов VIII международной научно-практической конференции Академическая наука - проблемы и достижения (North Charleston, USA 15-16 февраля 2016), с. 69-78, ISBN: 978-1530149995")</f>
        <v>В сборнике материалы докладов VIII международной научно-практической конференции Академическая наука - проблемы и достижения (North Charleston, USA 15-16 февраля 2016), с. 69-78, ISBN: 978-1530149995</v>
      </c>
      <c r="F8055" s="10"/>
      <c r="G8055" s="10" t="str">
        <f ca="1">IFERROR(__xludf.DUMMYFUNCTION("""COMPUTED_VALUE"""),"Петева И. Й., Стоянова Д. М., Денчев С. Г.")</f>
        <v>Петева И. Й., Стоянова Д. М., Денчев С. Г.</v>
      </c>
      <c r="H8055" s="10"/>
      <c r="I8055" s="10"/>
      <c r="J8055" s="10"/>
      <c r="K8055" s="10"/>
      <c r="L8055" s="10"/>
      <c r="M8055" s="10"/>
      <c r="N8055" s="10"/>
      <c r="O8055" s="10"/>
      <c r="P8055" s="10"/>
      <c r="Q8055" s="10"/>
      <c r="R8055" s="10"/>
      <c r="S8055" s="10"/>
      <c r="T8055" s="10"/>
      <c r="U8055" s="10"/>
      <c r="V8055" s="10"/>
      <c r="W8055" s="10"/>
      <c r="X8055" s="10"/>
      <c r="Y8055" s="10"/>
      <c r="Z8055" s="10"/>
    </row>
    <row r="8056" spans="1:26" ht="12.75">
      <c r="A8056" s="10" t="str">
        <f ca="1">IFERROR(__xludf.DUMMYFUNCTION("""COMPUTED_VALUE"""),"Цветелина Боянова Варадинова")</f>
        <v>Цветелина Боянова Варадинова</v>
      </c>
      <c r="B8056" s="10" t="str">
        <f ca="1">IFERROR(__xludf.DUMMYFUNCTION("""COMPUTED_VALUE"""),"Доклад от конференция")</f>
        <v>Доклад от конференция</v>
      </c>
      <c r="C8056" s="10" t="str">
        <f ca="1">IFERROR(__xludf.DUMMYFUNCTION("""COMPUTED_VALUE"""),"Емоционалният статус като фактор за академичната мотивация")</f>
        <v>Емоционалният статус като фактор за академичната мотивация</v>
      </c>
      <c r="D8056" s="10">
        <f ca="1">IFERROR(__xludf.DUMMYFUNCTION("""COMPUTED_VALUE"""),2017)</f>
        <v>2017</v>
      </c>
      <c r="E8056" s="10" t="str">
        <f ca="1">IFERROR(__xludf.DUMMYFUNCTION("""COMPUTED_VALUE"""),"Национална научна конференция с международно участие, VI: България – кръстопът на култури и цивилизации, С., 1 ноември 2016, София, 2017")</f>
        <v>Национална научна конференция с международно участие, VI: България – кръстопът на култури и цивилизации, С., 1 ноември 2016, София, 2017</v>
      </c>
      <c r="F8056" s="10"/>
      <c r="G8056" s="10" t="str">
        <f ca="1">IFERROR(__xludf.DUMMYFUNCTION("""COMPUTED_VALUE"""),"Петков, Г. Митевска-Енчева, М., Йотова, Р.")</f>
        <v>Петков, Г. Митевска-Енчева, М., Йотова, Р.</v>
      </c>
      <c r="H8056" s="10"/>
      <c r="I8056" s="10"/>
      <c r="J8056" s="10"/>
      <c r="K8056" s="10"/>
      <c r="L8056" s="10"/>
      <c r="M8056" s="10"/>
      <c r="N8056" s="10"/>
      <c r="O8056" s="10"/>
      <c r="P8056" s="10"/>
      <c r="Q8056" s="10"/>
      <c r="R8056" s="10"/>
      <c r="S8056" s="10"/>
      <c r="T8056" s="10"/>
      <c r="U8056" s="10"/>
      <c r="V8056" s="10"/>
      <c r="W8056" s="10"/>
      <c r="X8056" s="10"/>
      <c r="Y8056" s="10"/>
      <c r="Z8056" s="10"/>
    </row>
    <row r="8057" spans="1:26" ht="12.75">
      <c r="A8057" s="10" t="str">
        <f ca="1">IFERROR(__xludf.DUMMYFUNCTION("""COMPUTED_VALUE"""),"Цветелина Боянова Варадинова")</f>
        <v>Цветелина Боянова Варадинова</v>
      </c>
      <c r="B8057" s="10" t="str">
        <f ca="1">IFERROR(__xludf.DUMMYFUNCTION("""COMPUTED_VALUE"""),"Доклад от конференция")</f>
        <v>Доклад от конференция</v>
      </c>
      <c r="C8057" s="10" t="str">
        <f ca="1">IFERROR(__xludf.DUMMYFUNCTION("""COMPUTED_VALUE"""),"Балансираната система от показатели – съвременен инструмент за управление в университетска информационна среда")</f>
        <v>Балансираната система от показатели – съвременен инструмент за управление в университетска информационна среда</v>
      </c>
      <c r="D8057" s="10">
        <f ca="1">IFERROR(__xludf.DUMMYFUNCTION("""COMPUTED_VALUE"""),2017)</f>
        <v>2017</v>
      </c>
      <c r="E8057" s="10" t="str">
        <f ca="1">IFERROR(__xludf.DUMMYFUNCTION("""COMPUTED_VALUE"""),"Обществото на знанието и хуманизмът на ХХІ век. ХІІ национална научна конференция с международно участие, София, 1 ноември 2016. София: За Буквите – О писменехь, 2017")</f>
        <v>Обществото на знанието и хуманизмът на ХХІ век. ХІІ национална научна конференция с международно участие, София, 1 ноември 2016. София: За Буквите – О писменехь, 2017</v>
      </c>
      <c r="F8057" s="10"/>
      <c r="G8057" s="10"/>
      <c r="H8057" s="10"/>
      <c r="I8057" s="10"/>
      <c r="J8057" s="10"/>
      <c r="K8057" s="10"/>
      <c r="L8057" s="10"/>
      <c r="M8057" s="10"/>
      <c r="N8057" s="10"/>
      <c r="O8057" s="10"/>
      <c r="P8057" s="10"/>
      <c r="Q8057" s="10"/>
      <c r="R8057" s="10"/>
      <c r="S8057" s="10"/>
      <c r="T8057" s="10"/>
      <c r="U8057" s="10"/>
      <c r="V8057" s="10"/>
      <c r="W8057" s="10"/>
      <c r="X8057" s="10"/>
      <c r="Y8057" s="10"/>
      <c r="Z8057" s="10"/>
    </row>
    <row r="8058" spans="1:26" ht="12.75">
      <c r="A8058" s="10" t="str">
        <f ca="1">IFERROR(__xludf.DUMMYFUNCTION("""COMPUTED_VALUE"""),"Цветелина Боянова Варадинова")</f>
        <v>Цветелина Боянова Варадинова</v>
      </c>
      <c r="B8058" s="10" t="str">
        <f ca="1">IFERROR(__xludf.DUMMYFUNCTION("""COMPUTED_VALUE"""),"Доклад от конференция")</f>
        <v>Доклад от конференция</v>
      </c>
      <c r="C8058" s="10" t="str">
        <f ca="1">IFERROR(__xludf.DUMMYFUNCTION("""COMPUTED_VALUE"""),"Личността като предиктор на академичната мотивация")</f>
        <v>Личността като предиктор на академичната мотивация</v>
      </c>
      <c r="D8058" s="10">
        <f ca="1">IFERROR(__xludf.DUMMYFUNCTION("""COMPUTED_VALUE"""),2017)</f>
        <v>2017</v>
      </c>
      <c r="E8058" s="10" t="str">
        <f ca="1">IFERROR(__xludf.DUMMYFUNCTION("""COMPUTED_VALUE"""),"Национална научна конференция с международно участие, VI: България – кръстопът на култури и цивилизации, С., 1 ноември 2016, София, 2017")</f>
        <v>Национална научна конференция с международно участие, VI: България – кръстопът на култури и цивилизации, С., 1 ноември 2016, София, 2017</v>
      </c>
      <c r="F8058" s="10"/>
      <c r="G8058" s="10" t="str">
        <f ca="1">IFERROR(__xludf.DUMMYFUNCTION("""COMPUTED_VALUE"""),"Петков, Г. Митевска-Енчева, М., Йотова, Р.")</f>
        <v>Петков, Г. Митевска-Енчева, М., Йотова, Р.</v>
      </c>
      <c r="H8058" s="10"/>
      <c r="I8058" s="10"/>
      <c r="J8058" s="10"/>
      <c r="K8058" s="10"/>
      <c r="L8058" s="10"/>
      <c r="M8058" s="10"/>
      <c r="N8058" s="10"/>
      <c r="O8058" s="10"/>
      <c r="P8058" s="10"/>
      <c r="Q8058" s="10"/>
      <c r="R8058" s="10"/>
      <c r="S8058" s="10"/>
      <c r="T8058" s="10"/>
      <c r="U8058" s="10"/>
      <c r="V8058" s="10"/>
      <c r="W8058" s="10"/>
      <c r="X8058" s="10"/>
      <c r="Y8058" s="10"/>
      <c r="Z8058" s="10"/>
    </row>
    <row r="8059" spans="1:26" ht="12.75">
      <c r="A8059" s="10" t="str">
        <f ca="1">IFERROR(__xludf.DUMMYFUNCTION("""COMPUTED_VALUE"""),"Цветелина Боянова Варадинова")</f>
        <v>Цветелина Боянова Варадинова</v>
      </c>
      <c r="B8059" s="10" t="str">
        <f ca="1">IFERROR(__xludf.DUMMYFUNCTION("""COMPUTED_VALUE"""),"Доклад от конференция")</f>
        <v>Доклад от конференция</v>
      </c>
      <c r="C8059" s="10" t="str">
        <f ca="1">IFERROR(__xludf.DUMMYFUNCTION("""COMPUTED_VALUE"""),"Значимост на стратегическите карти за дейността на организацията")</f>
        <v>Значимост на стратегическите карти за дейността на организацията</v>
      </c>
      <c r="D8059" s="10">
        <f ca="1">IFERROR(__xludf.DUMMYFUNCTION("""COMPUTED_VALUE"""),2017)</f>
        <v>2017</v>
      </c>
      <c r="E8059" s="10" t="str">
        <f ca="1">IFERROR(__xludf.DUMMYFUNCTION("""COMPUTED_VALUE"""),"Съвременни измерения на европейското образователно и научни пространство. Българо-унгарски културни общувания. 30.05.-05.06.2016 г., гр. Будапеща, Унгария. Доклади и съобщения от Международен научен семинар на УниБИТ, Будапеща. София: За Буквите – О писме"&amp;"нехь, 2017")</f>
        <v>Съвременни измерения на европейското образователно и научни пространство. Българо-унгарски културни общувания. 30.05.-05.06.2016 г., гр. Будапеща, Унгария. Доклади и съобщения от Международен научен семинар на УниБИТ, Будапеща. София: За Буквите – О писменехь, 2017</v>
      </c>
      <c r="F8059" s="10"/>
      <c r="G8059" s="10"/>
      <c r="H8059" s="10"/>
      <c r="I8059" s="10"/>
      <c r="J8059" s="10"/>
      <c r="K8059" s="10"/>
      <c r="L8059" s="10"/>
      <c r="M8059" s="10"/>
      <c r="N8059" s="10"/>
      <c r="O8059" s="10"/>
      <c r="P8059" s="10"/>
      <c r="Q8059" s="10"/>
      <c r="R8059" s="10"/>
      <c r="S8059" s="10"/>
      <c r="T8059" s="10"/>
      <c r="U8059" s="10"/>
      <c r="V8059" s="10"/>
      <c r="W8059" s="10"/>
      <c r="X8059" s="10"/>
      <c r="Y8059" s="10"/>
      <c r="Z8059" s="10"/>
    </row>
    <row r="8060" spans="1:26" ht="12.75">
      <c r="A8060" s="10" t="str">
        <f ca="1">IFERROR(__xludf.DUMMYFUNCTION("""COMPUTED_VALUE"""),"Цветелина Боянова Варадинова")</f>
        <v>Цветелина Боянова Варадинова</v>
      </c>
      <c r="B8060" s="10" t="str">
        <f ca="1">IFERROR(__xludf.DUMMYFUNCTION("""COMPUTED_VALUE"""),"Доклад от конференция")</f>
        <v>Доклад от конференция</v>
      </c>
      <c r="C8060" s="10" t="str">
        <f ca="1">IFERROR(__xludf.DUMMYFUNCTION("""COMPUTED_VALUE"""),"Innovations and Training: Integration of International Projects in The Process of Training in Cultural Heritage for Young Scientists, PhD Students and Students")</f>
        <v>Innovations and Training: Integration of International Projects in The Process of Training in Cultural Heritage for Young Scientists, PhD Students and Students</v>
      </c>
      <c r="D8060" s="10">
        <f ca="1">IFERROR(__xludf.DUMMYFUNCTION("""COMPUTED_VALUE"""),2017)</f>
        <v>2017</v>
      </c>
      <c r="E8060" s="10" t="str">
        <f ca="1">IFERROR(__xludf.DUMMYFUNCTION("""COMPUTED_VALUE"""),"9th annual International Conference on Education and New Learning Technologies Barcelona (Spain) 3rd - 5th of July, 2017")</f>
        <v>9th annual International Conference on Education and New Learning Technologies Barcelona (Spain) 3rd - 5th of July, 2017</v>
      </c>
      <c r="F8060" s="10"/>
      <c r="G8060" s="10" t="str">
        <f ca="1">IFERROR(__xludf.DUMMYFUNCTION("""COMPUTED_VALUE"""),"Stoyanova, D., R.Yotova")</f>
        <v>Stoyanova, D., R.Yotova</v>
      </c>
      <c r="H8060" s="10"/>
      <c r="I8060" s="10"/>
      <c r="J8060" s="10"/>
      <c r="K8060" s="10"/>
      <c r="L8060" s="10"/>
      <c r="M8060" s="10"/>
      <c r="N8060" s="10"/>
      <c r="O8060" s="10"/>
      <c r="P8060" s="10"/>
      <c r="Q8060" s="10"/>
      <c r="R8060" s="10"/>
      <c r="S8060" s="10"/>
      <c r="T8060" s="10"/>
      <c r="U8060" s="10"/>
      <c r="V8060" s="10"/>
      <c r="W8060" s="10"/>
      <c r="X8060" s="10"/>
      <c r="Y8060" s="10"/>
      <c r="Z8060" s="10"/>
    </row>
    <row r="8061" spans="1:26" ht="12.75">
      <c r="A8061" s="10" t="str">
        <f ca="1">IFERROR(__xludf.DUMMYFUNCTION("""COMPUTED_VALUE"""),"Цветелина Боянова Варадинова")</f>
        <v>Цветелина Боянова Варадинова</v>
      </c>
      <c r="B8061" s="10" t="str">
        <f ca="1">IFERROR(__xludf.DUMMYFUNCTION("""COMPUTED_VALUE"""),"Доклад от конференция")</f>
        <v>Доклад от конференция</v>
      </c>
      <c r="C8061" s="10" t="str">
        <f ca="1">IFERROR(__xludf.DUMMYFUNCTION("""COMPUTED_VALUE"""),"Балансираната система от показатели за ефективност като система за оценка на процеса на обучение на докторантите")</f>
        <v>Балансираната система от показатели за ефективност като система за оценка на процеса на обучение на докторантите</v>
      </c>
      <c r="D8061" s="10">
        <f ca="1">IFERROR(__xludf.DUMMYFUNCTION("""COMPUTED_VALUE"""),2016)</f>
        <v>2016</v>
      </c>
      <c r="E8061" s="10" t="str">
        <f ca="1">IFERROR(__xludf.DUMMYFUNCTION("""COMPUTED_VALUE"""),"Обществото на знанието и хуманизмът на ХХІ век. ХІІ национална научна конференция с международно участие, София, 1 ноември 2015. София: За Буквите – О писменехь, 2016")</f>
        <v>Обществото на знанието и хуманизмът на ХХІ век. ХІІ национална научна конференция с международно участие, София, 1 ноември 2015. София: За Буквите – О писменехь, 2016</v>
      </c>
      <c r="F8061" s="10"/>
      <c r="G8061" s="10"/>
      <c r="H8061" s="10"/>
      <c r="I8061" s="10"/>
      <c r="J8061" s="10"/>
      <c r="K8061" s="10"/>
      <c r="L8061" s="10"/>
      <c r="M8061" s="10"/>
      <c r="N8061" s="10"/>
      <c r="O8061" s="10"/>
      <c r="P8061" s="10"/>
      <c r="Q8061" s="10"/>
      <c r="R8061" s="10"/>
      <c r="S8061" s="10"/>
      <c r="T8061" s="10"/>
      <c r="U8061" s="10"/>
      <c r="V8061" s="10"/>
      <c r="W8061" s="10"/>
      <c r="X8061" s="10"/>
      <c r="Y8061" s="10"/>
      <c r="Z8061" s="10"/>
    </row>
    <row r="8062" spans="1:26" ht="12.75">
      <c r="A8062" s="10" t="str">
        <f ca="1">IFERROR(__xludf.DUMMYFUNCTION("""COMPUTED_VALUE"""),"Цветелина Боянова Варадинова")</f>
        <v>Цветелина Боянова Варадинова</v>
      </c>
      <c r="B8062" s="10" t="str">
        <f ca="1">IFERROR(__xludf.DUMMYFUNCTION("""COMPUTED_VALUE"""),"Доклад от конференция")</f>
        <v>Доклад от конференция</v>
      </c>
      <c r="C8062" s="10" t="str">
        <f ca="1">IFERROR(__xludf.DUMMYFUNCTION("""COMPUTED_VALUE"""),"Стратегическо планиране в докторантското училище чрез Балансирана система от показатели.")</f>
        <v>Стратегическо планиране в докторантското училище чрез Балансирана система от показатели.</v>
      </c>
      <c r="D8062" s="10">
        <f ca="1">IFERROR(__xludf.DUMMYFUNCTION("""COMPUTED_VALUE"""),2016)</f>
        <v>2016</v>
      </c>
      <c r="E8062" s="10" t="str">
        <f ca="1">IFERROR(__xludf.DUMMYFUNCTION("""COMPUTED_VALUE"""),"Съвременни стратегии и иновации в управление на знанието. Втора научна конференция на Лятна академия за управление на знания, 2 – 4 ноември 2015. София: За буквите – О писменехь, 2016")</f>
        <v>Съвременни стратегии и иновации в управление на знанието. Втора научна конференция на Лятна академия за управление на знания, 2 – 4 ноември 2015. София: За буквите – О писменехь, 2016</v>
      </c>
      <c r="F8062" s="10"/>
      <c r="G8062" s="10"/>
      <c r="H8062" s="10"/>
      <c r="I8062" s="10"/>
      <c r="J8062" s="10"/>
      <c r="K8062" s="10"/>
      <c r="L8062" s="10"/>
      <c r="M8062" s="10"/>
      <c r="N8062" s="10"/>
      <c r="O8062" s="10"/>
      <c r="P8062" s="10"/>
      <c r="Q8062" s="10"/>
      <c r="R8062" s="10"/>
      <c r="S8062" s="10"/>
      <c r="T8062" s="10"/>
      <c r="U8062" s="10"/>
      <c r="V8062" s="10"/>
      <c r="W8062" s="10"/>
      <c r="X8062" s="10"/>
      <c r="Y8062" s="10"/>
      <c r="Z8062" s="10"/>
    </row>
    <row r="8063" spans="1:26" ht="12.75">
      <c r="A8063" s="10" t="str">
        <f ca="1">IFERROR(__xludf.DUMMYFUNCTION("""COMPUTED_VALUE"""),"Цветелина Боянова Варадинова")</f>
        <v>Цветелина Боянова Варадинова</v>
      </c>
      <c r="B8063" s="10" t="str">
        <f ca="1">IFERROR(__xludf.DUMMYFUNCTION("""COMPUTED_VALUE"""),"Доклад от конференция")</f>
        <v>Доклад от конференция</v>
      </c>
      <c r="C8063" s="10" t="str">
        <f ca="1">IFERROR(__xludf.DUMMYFUNCTION("""COMPUTED_VALUE"""),"Балансираната система от показатели ефективност – гъвкав инструмент за измерване на ефективност на докторантското обучение")</f>
        <v>Балансираната система от показатели ефективност – гъвкав инструмент за измерване на ефективност на докторантското обучение</v>
      </c>
      <c r="D8063" s="10">
        <f ca="1">IFERROR(__xludf.DUMMYFUNCTION("""COMPUTED_VALUE"""),2016)</f>
        <v>2016</v>
      </c>
      <c r="E8063" s="10" t="str">
        <f ca="1">IFERROR(__xludf.DUMMYFUNCTION("""COMPUTED_VALUE"""),"Юбилеен сборник по случай 65 години от основаването на УниБИТ. Gloria Bibliospherae (Нишката на Ариадна). Издания в чест на акад. Проф. Александра Куманова. София: За буквите – О писменехь, 2016")</f>
        <v>Юбилеен сборник по случай 65 години от основаването на УниБИТ. Gloria Bibliospherae (Нишката на Ариадна). Издания в чест на акад. Проф. Александра Куманова. София: За буквите – О писменехь, 2016</v>
      </c>
      <c r="F8063" s="10"/>
      <c r="G8063" s="10"/>
      <c r="H8063" s="10"/>
      <c r="I8063" s="10"/>
      <c r="J8063" s="10"/>
      <c r="K8063" s="10"/>
      <c r="L8063" s="10"/>
      <c r="M8063" s="10"/>
      <c r="N8063" s="10"/>
      <c r="O8063" s="10"/>
      <c r="P8063" s="10"/>
      <c r="Q8063" s="10"/>
      <c r="R8063" s="10"/>
      <c r="S8063" s="10"/>
      <c r="T8063" s="10"/>
      <c r="U8063" s="10"/>
      <c r="V8063" s="10"/>
      <c r="W8063" s="10"/>
      <c r="X8063" s="10"/>
      <c r="Y8063" s="10"/>
      <c r="Z8063" s="10"/>
    </row>
    <row r="8064" spans="1:26" ht="12.75">
      <c r="A8064" s="10" t="str">
        <f ca="1">IFERROR(__xludf.DUMMYFUNCTION("""COMPUTED_VALUE"""),"Юлия Стефанова Савова")</f>
        <v>Юлия Стефанова Савова</v>
      </c>
      <c r="B8064" s="10" t="str">
        <f ca="1">IFERROR(__xludf.DUMMYFUNCTION("""COMPUTED_VALUE"""),"Статия в списания и поредици")</f>
        <v>Статия в списания и поредици</v>
      </c>
      <c r="C8064" s="10" t="str">
        <f ca="1">IFERROR(__xludf.DUMMYFUNCTION("""COMPUTED_VALUE"""),"Развитие концепции библиотеки как „третье место“, или как понимать библиотеку как „четвëртое место“ в цифровой среде")</f>
        <v>Развитие концепции библиотеки как „третье место“, или как понимать библиотеку как „четвëртое место“ в цифровой среде</v>
      </c>
      <c r="D8064" s="10">
        <f ca="1">IFERROR(__xludf.DUMMYFUNCTION("""COMPUTED_VALUE"""),2019)</f>
        <v>2019</v>
      </c>
      <c r="E8064" s="10" t="str">
        <f ca="1">IFERROR(__xludf.DUMMYFUNCTION("""COMPUTED_VALUE"""),"К у л ь т у р а: теория и практика. Электронный научный журнал. Московский
 государственный институт культуры. Москва. 06.04.2019
 http://theoryofculture.ru/issues/104/1218/; ISSN 2619-032X")</f>
        <v>К у л ь т у р а: теория и практика. Электронный научный журнал. Московский
 государственный институт культуры. Москва. 06.04.2019
 http://theoryofculture.ru/issues/104/1218/; ISSN 2619-032X</v>
      </c>
      <c r="F8064" s="10"/>
      <c r="G8064" s="10"/>
      <c r="H8064" s="10"/>
      <c r="I8064" s="10"/>
      <c r="J8064" s="10"/>
      <c r="K8064" s="10"/>
      <c r="L8064" s="10"/>
      <c r="M8064" s="10"/>
      <c r="N8064" s="10"/>
      <c r="O8064" s="10"/>
      <c r="P8064" s="10"/>
      <c r="Q8064" s="10"/>
      <c r="R8064" s="10"/>
      <c r="S8064" s="10"/>
      <c r="T8064" s="10"/>
      <c r="U8064" s="10"/>
      <c r="V8064" s="10"/>
      <c r="W8064" s="10"/>
      <c r="X8064" s="10"/>
      <c r="Y8064" s="10"/>
      <c r="Z8064" s="10"/>
    </row>
    <row r="8065" spans="1:26" ht="12.75">
      <c r="A8065" s="10" t="str">
        <f ca="1">IFERROR(__xludf.DUMMYFUNCTION("""COMPUTED_VALUE"""),"Юлия Стефанова Савова")</f>
        <v>Юлия Стефанова Савова</v>
      </c>
      <c r="B8065" s="10" t="str">
        <f ca="1">IFERROR(__xludf.DUMMYFUNCTION("""COMPUTED_VALUE"""),"Доклад от конференция")</f>
        <v>Доклад от конференция</v>
      </c>
      <c r="C8065" s="10" t="str">
        <f ca="1">IFERROR(__xludf.DUMMYFUNCTION("""COMPUTED_VALUE"""),"За модела на обществената библиотека и нейната социална роля")</f>
        <v>За модела на обществената библиотека и нейната социална роля</v>
      </c>
      <c r="D8065" s="10">
        <f ca="1">IFERROR(__xludf.DUMMYFUNCTION("""COMPUTED_VALUE"""),2019)</f>
        <v>2019</v>
      </c>
      <c r="E8065" s="10" t="str">
        <f ca="1">IFERROR(__xludf.DUMMYFUNCTION("""COMPUTED_VALUE"""),"Шестнадесет десетилетия от книжовно средище до навигатор в цифровия свят, Регионална библиотека ""Никола Фурнаджиев"" : Сборник с доклади от юбил. национ. науч. конф. - Пазарджик, 2019. - 85-90")</f>
        <v>Шестнадесет десетилетия от книжовно средище до навигатор в цифровия свят, Регионална библиотека "Никола Фурнаджиев" : Сборник с доклади от юбил. национ. науч. конф. - Пазарджик, 2019. - 85-90</v>
      </c>
      <c r="F8065" s="10"/>
      <c r="G8065" s="10"/>
      <c r="H8065" s="10"/>
      <c r="I8065" s="10"/>
      <c r="J8065" s="10"/>
      <c r="K8065" s="10"/>
      <c r="L8065" s="10"/>
      <c r="M8065" s="10"/>
      <c r="N8065" s="10"/>
      <c r="O8065" s="10"/>
      <c r="P8065" s="10"/>
      <c r="Q8065" s="10"/>
      <c r="R8065" s="10"/>
      <c r="S8065" s="10"/>
      <c r="T8065" s="10"/>
      <c r="U8065" s="10"/>
      <c r="V8065" s="10"/>
      <c r="W8065" s="10"/>
      <c r="X8065" s="10"/>
      <c r="Y8065" s="10"/>
      <c r="Z8065" s="10"/>
    </row>
    <row r="8066" spans="1:26" ht="12.75">
      <c r="A8066" s="10" t="str">
        <f ca="1">IFERROR(__xludf.DUMMYFUNCTION("""COMPUTED_VALUE"""),"Юлия Стефанова Савова")</f>
        <v>Юлия Стефанова Савова</v>
      </c>
      <c r="B8066" s="10" t="str">
        <f ca="1">IFERROR(__xludf.DUMMYFUNCTION("""COMPUTED_VALUE"""),"Доклад от конференция")</f>
        <v>Доклад от конференция</v>
      </c>
      <c r="C8066" s="10" t="str">
        <f ca="1">IFERROR(__xludf.DUMMYFUNCTION("""COMPUTED_VALUE"""),"Библиотеките и нематериалното културно наследство.")</f>
        <v>Библиотеките и нематериалното културно наследство.</v>
      </c>
      <c r="D8066" s="10">
        <f ca="1">IFERROR(__xludf.DUMMYFUNCTION("""COMPUTED_VALUE"""),2018)</f>
        <v>2018</v>
      </c>
      <c r="E8066" s="10" t="str">
        <f ca="1">IFERROR(__xludf.DUMMYFUNCTION("""COMPUTED_VALUE"""),"Б ъ л г а р с к а библиотечно – информационна асоциация. ХXVIII национална научна конференция: Българското книжовно наследство – част от европейското културно пространство. Пловдив, 7 – 8 юни 2018 г.: Доклади от ХXVIII Национална конференция на ББИА, Плов"&amp;"див, 7 – 8 юни 2017 г. – София: ББИА, 2018, с. 40 – 44 ISBN 978 – 954 – 9837 – 32 – 2")</f>
        <v>Б ъ л г а р с к а библиотечно – информационна асоциация. ХXVIII национална научна конференция: Българското книжовно наследство – част от европейското културно пространство. Пловдив, 7 – 8 юни 2018 г.: Доклади от ХXVIII Национална конференция на ББИА, Пловдив, 7 – 8 юни 2017 г. – София: ББИА, 2018, с. 40 – 44 ISBN 978 – 954 – 9837 – 32 – 2</v>
      </c>
      <c r="F8066" s="10"/>
      <c r="G8066" s="10"/>
      <c r="H8066" s="10"/>
      <c r="I8066" s="10"/>
      <c r="J8066" s="10"/>
      <c r="K8066" s="10"/>
      <c r="L8066" s="10"/>
      <c r="M8066" s="10"/>
      <c r="N8066" s="10"/>
      <c r="O8066" s="10"/>
      <c r="P8066" s="10"/>
      <c r="Q8066" s="10"/>
      <c r="R8066" s="10"/>
      <c r="S8066" s="10"/>
      <c r="T8066" s="10"/>
      <c r="U8066" s="10"/>
      <c r="V8066" s="10"/>
      <c r="W8066" s="10"/>
      <c r="X8066" s="10"/>
      <c r="Y8066" s="10"/>
      <c r="Z8066" s="10"/>
    </row>
    <row r="8067" spans="1:26" ht="12.75">
      <c r="A8067" s="10" t="str">
        <f ca="1">IFERROR(__xludf.DUMMYFUNCTION("""COMPUTED_VALUE"""),"Юлия Стефанова Савова")</f>
        <v>Юлия Стефанова Савова</v>
      </c>
      <c r="B8067" s="10" t="str">
        <f ca="1">IFERROR(__xludf.DUMMYFUNCTION("""COMPUTED_VALUE"""),"Доклад от конференция")</f>
        <v>Доклад от конференция</v>
      </c>
      <c r="C8067" s="10" t="str">
        <f ca="1">IFERROR(__xludf.DUMMYFUNCTION("""COMPUTED_VALUE"""),"За идентичността на библиотеките и бъдещето на библиотекарите")</f>
        <v>За идентичността на библиотеките и бъдещето на библиотекарите</v>
      </c>
      <c r="D8067" s="10">
        <f ca="1">IFERROR(__xludf.DUMMYFUNCTION("""COMPUTED_VALUE"""),2018)</f>
        <v>2018</v>
      </c>
      <c r="E8067" s="10" t="str">
        <f ca="1">IFERROR(__xludf.DUMMYFUNCTION("""COMPUTED_VALUE"""),"Европейски хоризонти. Библиотеките между буквите и бинарния код. Сборник доклади от национална научна конференция 8 – 9
 октомври 2018 г. Силистра. РБ „Партений Павлович“. 2018 с. 155 – 163 
 ISBN 978 – 619 – 7400 – 36 – 6")</f>
        <v>Европейски хоризонти. Библиотеките между буквите и бинарния код. Сборник доклади от национална научна конференция 8 – 9
 октомври 2018 г. Силистра. РБ „Партений Павлович“. 2018 с. 155 – 163 
 ISBN 978 – 619 – 7400 – 36 – 6</v>
      </c>
      <c r="F8067" s="10"/>
      <c r="G8067" s="10"/>
      <c r="H8067" s="10"/>
      <c r="I8067" s="10"/>
      <c r="J8067" s="10"/>
      <c r="K8067" s="10"/>
      <c r="L8067" s="10"/>
      <c r="M8067" s="10"/>
      <c r="N8067" s="10"/>
      <c r="O8067" s="10"/>
      <c r="P8067" s="10"/>
      <c r="Q8067" s="10"/>
      <c r="R8067" s="10"/>
      <c r="S8067" s="10"/>
      <c r="T8067" s="10"/>
      <c r="U8067" s="10"/>
      <c r="V8067" s="10"/>
      <c r="W8067" s="10"/>
      <c r="X8067" s="10"/>
      <c r="Y8067" s="10"/>
      <c r="Z8067" s="10"/>
    </row>
    <row r="8068" spans="1:26" ht="12.75">
      <c r="A8068" s="10" t="str">
        <f ca="1">IFERROR(__xludf.DUMMYFUNCTION("""COMPUTED_VALUE"""),"Юлия Стефанова Савова")</f>
        <v>Юлия Стефанова Савова</v>
      </c>
      <c r="B8068" s="10" t="str">
        <f ca="1">IFERROR(__xludf.DUMMYFUNCTION("""COMPUTED_VALUE"""),"Доклад от конференция")</f>
        <v>Доклад от конференция</v>
      </c>
      <c r="C8068" s="10" t="str">
        <f ca="1">IFERROR(__xludf.DUMMYFUNCTION("""COMPUTED_VALUE"""),"За „Нощта на четенето“ и държавната политика по отношение на библиотеките. ”")</f>
        <v>За „Нощта на четенето“ и държавната политика по отношение на библиотеките. ”</v>
      </c>
      <c r="D8068" s="10">
        <f ca="1">IFERROR(__xludf.DUMMYFUNCTION("""COMPUTED_VALUE"""),2017)</f>
        <v>2017</v>
      </c>
      <c r="E8068" s="10" t="str">
        <f ca="1">IFERROR(__xludf.DUMMYFUNCTION("""COMPUTED_VALUE"""),"Б ъ л г а р с к а библиотечно – информационна асоциация. ХXVII национална научна конференция: Библиотеките – национална идентичност и многообразие. София, 8 – 9 юни 2017 г.: Доклади от ХXVII Национална конференция на ББИА, София, 8 – 9 юни 2017 г., с. 26 "&amp;"– 30. София: ББИА, 2017 ISBN 978 – 954 – 9837 – 31 - 5")</f>
        <v>Б ъ л г а р с к а библиотечно – информационна асоциация. ХXVII национална научна конференция: Библиотеките – национална идентичност и многообразие. София, 8 – 9 юни 2017 г.: Доклади от ХXVII Национална конференция на ББИА, София, 8 – 9 юни 2017 г., с. 26 – 30. София: ББИА, 2017 ISBN 978 – 954 – 9837 – 31 - 5</v>
      </c>
      <c r="F8068" s="10"/>
      <c r="G8068" s="10"/>
      <c r="H8068" s="10"/>
      <c r="I8068" s="10"/>
      <c r="J8068" s="10"/>
      <c r="K8068" s="10"/>
      <c r="L8068" s="10"/>
      <c r="M8068" s="10"/>
      <c r="N8068" s="10"/>
      <c r="O8068" s="10"/>
      <c r="P8068" s="10"/>
      <c r="Q8068" s="10"/>
      <c r="R8068" s="10"/>
      <c r="S8068" s="10"/>
      <c r="T8068" s="10"/>
      <c r="U8068" s="10"/>
      <c r="V8068" s="10"/>
      <c r="W8068" s="10"/>
      <c r="X8068" s="10"/>
      <c r="Y8068" s="10"/>
      <c r="Z8068" s="10"/>
    </row>
    <row r="8069" spans="1:26" ht="12.75">
      <c r="A8069" s="10" t="str">
        <f ca="1">IFERROR(__xludf.DUMMYFUNCTION("""COMPUTED_VALUE"""),"Юлия Стефанова Савова")</f>
        <v>Юлия Стефанова Савова</v>
      </c>
      <c r="B8069" s="10" t="str">
        <f ca="1">IFERROR(__xludf.DUMMYFUNCTION("""COMPUTED_VALUE"""),"Доклад от конференция")</f>
        <v>Доклад от конференция</v>
      </c>
      <c r="C8069" s="10" t="str">
        <f ca="1">IFERROR(__xludf.DUMMYFUNCTION("""COMPUTED_VALUE"""),"Развитие на концепцията за библиотеката като „трето място” или как да разбираме библиотеката като „четвърто място”")</f>
        <v>Развитие на концепцията за библиотеката като „трето място” или как да разбираме библиотеката като „четвърто място”</v>
      </c>
      <c r="D8069" s="10">
        <f ca="1">IFERROR(__xludf.DUMMYFUNCTION("""COMPUTED_VALUE"""),2016)</f>
        <v>2016</v>
      </c>
      <c r="E8069" s="10" t="str">
        <f ca="1">IFERROR(__xludf.DUMMYFUNCTION("""COMPUTED_VALUE"""),"Българска библиотечно – информационна асоциация. ХXVI национална научна конференция: Динамични библиотеки – достъп, развитие, промяна. София, 9 – 10 юни 2016 г.: Доклади от ХХVI Национална конференция на ББИА, София, 9 – 10 юни 2016 г., с. 11 – 14. София:"&amp;" ББИА, 2016 ISBN 978 – 954 – 9837 – 30 - 8")</f>
        <v>Българска библиотечно – информационна асоциация. ХXVI национална научна конференция: Динамични библиотеки – достъп, развитие, промяна. София, 9 – 10 юни 2016 г.: Доклади от ХХVI Национална конференция на ББИА, София, 9 – 10 юни 2016 г., с. 11 – 14. София: ББИА, 2016 ISBN 978 – 954 – 9837 – 30 - 8</v>
      </c>
      <c r="F8069" s="10"/>
      <c r="G8069" s="10"/>
      <c r="H8069" s="10"/>
      <c r="I8069" s="10"/>
      <c r="J8069" s="10"/>
      <c r="K8069" s="10"/>
      <c r="L8069" s="10"/>
      <c r="M8069" s="10"/>
      <c r="N8069" s="10"/>
      <c r="O8069" s="10"/>
      <c r="P8069" s="10"/>
      <c r="Q8069" s="10"/>
      <c r="R8069" s="10"/>
      <c r="S8069" s="10"/>
      <c r="T8069" s="10"/>
      <c r="U8069" s="10"/>
      <c r="V8069" s="10"/>
      <c r="W8069" s="10"/>
      <c r="X8069" s="10"/>
      <c r="Y8069" s="10"/>
      <c r="Z8069" s="10"/>
    </row>
    <row r="8070" spans="1:26" ht="12.75">
      <c r="A8070" s="10" t="str">
        <f ca="1">IFERROR(__xludf.DUMMYFUNCTION("""COMPUTED_VALUE"""),"Юлия Стефанова Савова")</f>
        <v>Юлия Стефанова Савова</v>
      </c>
      <c r="B8070" s="10" t="str">
        <f ca="1">IFERROR(__xludf.DUMMYFUNCTION("""COMPUTED_VALUE"""),"Статия в списания и поредици")</f>
        <v>Статия в списания и поредици</v>
      </c>
      <c r="C8070" s="10" t="str">
        <f ca="1">IFERROR(__xludf.DUMMYFUNCTION("""COMPUTED_VALUE"""),"Поява и развитие на библиотечно – информационното образование в международен контекст. Примерът на САЩ.")</f>
        <v>Поява и развитие на библиотечно – информационното образование в международен контекст. Примерът на САЩ.</v>
      </c>
      <c r="D8070" s="10">
        <f ca="1">IFERROR(__xludf.DUMMYFUNCTION("""COMPUTED_VALUE"""),2016)</f>
        <v>2016</v>
      </c>
      <c r="E8070" s="10" t="str">
        <f ca="1">IFERROR(__xludf.DUMMYFUNCTION("""COMPUTED_VALUE"""),"GLORIA BIBLIOSPHERAE = GLORIA BIBLIOSPHERAE Изследвания в чест на акад. проф. Александра Куманова (Юбилеен сборник по случай 65 години от основаването на УниБИТ) = Studia in honorem acad. prof. Alexandra Kumanova (A festschrift for 65th golden jubilee of "&amp;"the University of Library Studies and Information Technologies in Sofia). София, Издателство ""За буквите - О писменехь"". 2016 ISBN 978 – 619 – 185 – 212 - 3")</f>
        <v>GLORIA BIBLIOSPHERAE = GLORIA BIBLIOSPHERAE Изследвания в чест на акад. проф. Александра Куманова (Юбилеен сборник по случай 65 години от основаването на УниБИТ) = Studia in honorem acad. prof. Alexandra Kumanova (A festschrift for 65th golden jubilee of the University of Library Studies and Information Technologies in Sofia). София, Издателство "За буквите - О писменехь". 2016 ISBN 978 – 619 – 185 – 212 - 3</v>
      </c>
      <c r="F8070" s="10"/>
      <c r="G8070" s="10"/>
      <c r="H8070" s="10"/>
      <c r="I8070" s="10"/>
      <c r="J8070" s="10"/>
      <c r="K8070" s="10"/>
      <c r="L8070" s="10"/>
      <c r="M8070" s="10"/>
      <c r="N8070" s="10"/>
      <c r="O8070" s="10"/>
      <c r="P8070" s="10"/>
      <c r="Q8070" s="10"/>
      <c r="R8070" s="10"/>
      <c r="S8070" s="10"/>
      <c r="T8070" s="10"/>
      <c r="U8070" s="10"/>
      <c r="V8070" s="10"/>
      <c r="W8070" s="10"/>
      <c r="X8070" s="10"/>
      <c r="Y8070" s="10"/>
      <c r="Z8070" s="10"/>
    </row>
    <row r="8071" spans="1:26" ht="12.75">
      <c r="A8071" s="10" t="str">
        <f ca="1">IFERROR(__xludf.DUMMYFUNCTION("""COMPUTED_VALUE"""),"Юлия Стефанова Савова")</f>
        <v>Юлия Стефанова Савова</v>
      </c>
      <c r="B8071" s="10" t="str">
        <f ca="1">IFERROR(__xludf.DUMMYFUNCTION("""COMPUTED_VALUE"""),"Доклад от конференция")</f>
        <v>Доклад от конференция</v>
      </c>
      <c r="C8071" s="10" t="str">
        <f ca="1">IFERROR(__xludf.DUMMYFUNCTION("""COMPUTED_VALUE"""),"Добавленная стоимость библиотек и их будущее")</f>
        <v>Добавленная стоимость библиотек и их будущее</v>
      </c>
      <c r="D8071" s="10">
        <f ca="1">IFERROR(__xludf.DUMMYFUNCTION("""COMPUTED_VALUE"""),2016)</f>
        <v>2016</v>
      </c>
      <c r="E8071" s="10" t="str">
        <f ca="1">IFERROR(__xludf.DUMMYFUNCTION("""COMPUTED_VALUE"""),"Библиотечное дело – 2016: Библиотечно-информационные коммуникации в поликультурном пространстве. Сворцовские чтения: Материалы двадцать первой международной научной конференции (Москва, 27-28 апреля 2016 г. ), с. 123 -128. Москва, 2016 ISBN 998 – 5 – 9477"&amp;"8 – 450 – 3")</f>
        <v>Библиотечное дело – 2016: Библиотечно-информационные коммуникации в поликультурном пространстве. Сворцовские чтения: Материалы двадцать первой международной научной конференции (Москва, 27-28 апреля 2016 г. ), с. 123 -128. Москва, 2016 ISBN 998 – 5 – 94778 – 450 – 3</v>
      </c>
      <c r="F8071" s="10" t="str">
        <f ca="1">IFERROR(__xludf.DUMMYFUNCTION("""COMPUTED_VALUE"""),"Российский индекс научного цитирования (РИНЦ)")</f>
        <v>Российский индекс научного цитирования (РИНЦ)</v>
      </c>
      <c r="G8071" s="10"/>
      <c r="H8071" s="10"/>
      <c r="I8071" s="10"/>
      <c r="J8071" s="10"/>
      <c r="K8071" s="10"/>
      <c r="L8071" s="10"/>
      <c r="M8071" s="10"/>
      <c r="N8071" s="10"/>
      <c r="O8071" s="10"/>
      <c r="P8071" s="10"/>
      <c r="Q8071" s="10"/>
      <c r="R8071" s="10"/>
      <c r="S8071" s="10"/>
      <c r="T8071" s="10"/>
      <c r="U8071" s="10"/>
      <c r="V8071" s="10"/>
      <c r="W8071" s="10"/>
      <c r="X8071" s="10"/>
      <c r="Y8071" s="10"/>
      <c r="Z8071" s="10"/>
    </row>
    <row r="8072" spans="1:26" ht="12.75">
      <c r="A8072" s="10" t="str">
        <f ca="1">IFERROR(__xludf.DUMMYFUNCTION("""COMPUTED_VALUE"""),"Юлия Стефанова Савова")</f>
        <v>Юлия Стефанова Савова</v>
      </c>
      <c r="B8072" s="10" t="str">
        <f ca="1">IFERROR(__xludf.DUMMYFUNCTION("""COMPUTED_VALUE"""),"Доклад от конференция")</f>
        <v>Доклад от конференция</v>
      </c>
      <c r="C8072" s="10" t="str">
        <f ca="1">IFERROR(__xludf.DUMMYFUNCTION("""COMPUTED_VALUE"""),"За добавената стойност на библиотеките и тяхното бъдеще")</f>
        <v>За добавената стойност на библиотеките и тяхното бъдеще</v>
      </c>
      <c r="D8072" s="10">
        <f ca="1">IFERROR(__xludf.DUMMYFUNCTION("""COMPUTED_VALUE"""),2015)</f>
        <v>2015</v>
      </c>
      <c r="E8072" s="10" t="str">
        <f ca="1">IFERROR(__xludf.DUMMYFUNCTION("""COMPUTED_VALUE"""),"Б ъ л г а р с к а библиотечно – информационна асоциация. ХXV национална научна конференция: Визия за бъдещето на библиотеките в България. Стара Загора, 4 – 5 юни 2015 г.: Доклади от ХХV Национална конференция на ББИА, Стара Загора, 4 – 5 юни 2015 г. , с. "&amp;"93 – 96. София: ББИА, 2015 ISBN 978 – 954 – 9837 – 29 – 2")</f>
        <v>Б ъ л г а р с к а библиотечно – информационна асоциация. ХXV национална научна конференция: Визия за бъдещето на библиотеките в България. Стара Загора, 4 – 5 юни 2015 г.: Доклади от ХХV Национална конференция на ББИА, Стара Загора, 4 – 5 юни 2015 г. , с. 93 – 96. София: ББИА, 2015 ISBN 978 – 954 – 9837 – 29 – 2</v>
      </c>
      <c r="F8072" s="10"/>
      <c r="G8072" s="10"/>
      <c r="H8072" s="10"/>
      <c r="I8072" s="10"/>
      <c r="J8072" s="10"/>
      <c r="K8072" s="10"/>
      <c r="L8072" s="10"/>
      <c r="M8072" s="10"/>
      <c r="N8072" s="10"/>
      <c r="O8072" s="10"/>
      <c r="P8072" s="10"/>
      <c r="Q8072" s="10"/>
      <c r="R8072" s="10"/>
      <c r="S8072" s="10"/>
      <c r="T8072" s="10"/>
      <c r="U8072" s="10"/>
      <c r="V8072" s="10"/>
      <c r="W8072" s="10"/>
      <c r="X8072" s="10"/>
      <c r="Y8072" s="10"/>
      <c r="Z8072" s="10"/>
    </row>
    <row r="8073" spans="1:26" ht="12.75">
      <c r="A8073" s="10" t="str">
        <f ca="1">IFERROR(__xludf.DUMMYFUNCTION("""COMPUTED_VALUE"""),"Юлия Стефанова Савова")</f>
        <v>Юлия Стефанова Савова</v>
      </c>
      <c r="B8073" s="10" t="str">
        <f ca="1">IFERROR(__xludf.DUMMYFUNCTION("""COMPUTED_VALUE"""),"Доклад от конференция")</f>
        <v>Доклад от конференция</v>
      </c>
      <c r="C8073" s="10" t="str">
        <f ca="1">IFERROR(__xludf.DUMMYFUNCTION("""COMPUTED_VALUE"""),"Професионалното образование в Словения")</f>
        <v>Професионалното образование в Словения</v>
      </c>
      <c r="D8073" s="10">
        <f ca="1">IFERROR(__xludf.DUMMYFUNCTION("""COMPUTED_VALUE"""),2015)</f>
        <v>2015</v>
      </c>
      <c r="E8073" s="10" t="str">
        <f ca="1">IFERROR(__xludf.DUMMYFUNCTION("""COMPUTED_VALUE"""),"Съвременни измерения на европейското образователно и научно пространство: Сборник с доклади. Том 1., с. 95-97. София. „За буквите – О писменехь”. 2015 ISSN 2367 - 7988")</f>
        <v>Съвременни измерения на европейското образователно и научно пространство: Сборник с доклади. Том 1., с. 95-97. София. „За буквите – О писменехь”. 2015 ISSN 2367 - 7988</v>
      </c>
      <c r="F8073" s="10"/>
      <c r="G8073" s="10"/>
      <c r="H8073" s="10"/>
      <c r="I8073" s="10"/>
      <c r="J8073" s="10"/>
      <c r="K8073" s="10"/>
      <c r="L8073" s="10"/>
      <c r="M8073" s="10"/>
      <c r="N8073" s="10"/>
      <c r="O8073" s="10"/>
      <c r="P8073" s="10"/>
      <c r="Q8073" s="10"/>
      <c r="R8073" s="10"/>
      <c r="S8073" s="10"/>
      <c r="T8073" s="10"/>
      <c r="U8073" s="10"/>
      <c r="V8073" s="10"/>
      <c r="W8073" s="10"/>
      <c r="X8073" s="10"/>
      <c r="Y8073" s="10"/>
      <c r="Z8073" s="10"/>
    </row>
    <row r="8074" spans="1:26" ht="12.75">
      <c r="A8074" s="10" t="str">
        <f ca="1">IFERROR(__xludf.DUMMYFUNCTION("""COMPUTED_VALUE"""),"Юлия Стефанова Савова")</f>
        <v>Юлия Стефанова Савова</v>
      </c>
      <c r="B8074" s="10" t="str">
        <f ca="1">IFERROR(__xludf.DUMMYFUNCTION("""COMPUTED_VALUE"""),"Статия в списания и поредици")</f>
        <v>Статия в списания и поредици</v>
      </c>
      <c r="C8074" s="10" t="str">
        <f ca="1">IFERROR(__xludf.DUMMYFUNCTION("""COMPUTED_VALUE"""),"Сертификация на информационните професионалисти в Европа")</f>
        <v>Сертификация на информационните професионалисти в Европа</v>
      </c>
      <c r="D8074" s="10">
        <f ca="1">IFERROR(__xludf.DUMMYFUNCTION("""COMPUTED_VALUE"""),2015)</f>
        <v>2015</v>
      </c>
      <c r="E8074" s="10" t="str">
        <f ca="1">IFERROR(__xludf.DUMMYFUNCTION("""COMPUTED_VALUE"""),"Научни трудове на УниБИТ, 12, с. 51-60. София. Издателство „За буквите – О писменехь”, 2015 ISSN 1314 – 2623")</f>
        <v>Научни трудове на УниБИТ, 12, с. 51-60. София. Издателство „За буквите – О писменехь”, 2015 ISSN 1314 – 2623</v>
      </c>
      <c r="F8074" s="10"/>
      <c r="G8074" s="10"/>
      <c r="H8074" s="10"/>
      <c r="I8074" s="10"/>
      <c r="J8074" s="10"/>
      <c r="K8074" s="10"/>
      <c r="L8074" s="10"/>
      <c r="M8074" s="10"/>
      <c r="N8074" s="10"/>
      <c r="O8074" s="10"/>
      <c r="P8074" s="10"/>
      <c r="Q8074" s="10"/>
      <c r="R8074" s="10"/>
      <c r="S8074" s="10"/>
      <c r="T8074" s="10"/>
      <c r="U8074" s="10"/>
      <c r="V8074" s="10"/>
      <c r="W8074" s="10"/>
      <c r="X8074" s="10"/>
      <c r="Y8074" s="10"/>
      <c r="Z8074" s="10"/>
    </row>
    <row r="8075" spans="1:26" ht="12.75">
      <c r="A8075" s="10" t="str">
        <f ca="1">IFERROR(__xludf.DUMMYFUNCTION("""COMPUTED_VALUE"""),"Юлия Стефанова Савова")</f>
        <v>Юлия Стефанова Савова</v>
      </c>
      <c r="B8075" s="10" t="str">
        <f ca="1">IFERROR(__xludf.DUMMYFUNCTION("""COMPUTED_VALUE"""),"Доклад от конференция")</f>
        <v>Доклад от конференция</v>
      </c>
      <c r="C8075" s="10" t="str">
        <f ca="1">IFERROR(__xludf.DUMMYFUNCTION("""COMPUTED_VALUE"""),"Les bibliotheques et les bibliothecaires dans la societe contemporaine bulgare")</f>
        <v>Les bibliotheques et les bibliothecaires dans la societe contemporaine bulgare</v>
      </c>
      <c r="D8075" s="10">
        <f ca="1">IFERROR(__xludf.DUMMYFUNCTION("""COMPUTED_VALUE"""),2015)</f>
        <v>2015</v>
      </c>
      <c r="E8075" s="10" t="str">
        <f ca="1">IFERROR(__xludf.DUMMYFUNCTION("""COMPUTED_VALUE"""),"Proceedings of the International Symposium Books, Romania, Europe: Actes du Symposium International Le livre, la Roumanie, l’Europe Travaux du symposium international: Le livre. La Roumanie. L’Europe. 5ème èdition, 24 – 27 septembre 2012. Tome 2. p. 23-30"&amp;". Bucarest, 2015, // http://www.enssib.fr/bibliotheque-numerique/documents/65196-actes-du-symposium-international-le-livre-la-roumanie-l-europe-proceedings-of-the-international-symposium-books-romania-europe-5eme-edition-24-26-septembre-2012.pdf ISSN 2068"&amp;" - 9756")</f>
        <v>Proceedings of the International Symposium Books, Romania, Europe: Actes du Symposium International Le livre, la Roumanie, l’Europe Travaux du symposium international: Le livre. La Roumanie. L’Europe. 5ème èdition, 24 – 27 septembre 2012. Tome 2. p. 23-30. Bucarest, 2015, // http://www.enssib.fr/bibliotheque-numerique/documents/65196-actes-du-symposium-international-le-livre-la-roumanie-l-europe-proceedings-of-the-international-symposium-books-romania-europe-5eme-edition-24-26-septembre-2012.pdf ISSN 2068 - 9756</v>
      </c>
      <c r="F8075" s="10"/>
      <c r="G8075" s="10"/>
      <c r="H8075" s="10"/>
      <c r="I8075" s="10"/>
      <c r="J8075" s="10"/>
      <c r="K8075" s="10"/>
      <c r="L8075" s="10"/>
      <c r="M8075" s="10"/>
      <c r="N8075" s="10"/>
      <c r="O8075" s="10"/>
      <c r="P8075" s="10"/>
      <c r="Q8075" s="10"/>
      <c r="R8075" s="10"/>
      <c r="S8075" s="10"/>
      <c r="T8075" s="10"/>
      <c r="U8075" s="10"/>
      <c r="V8075" s="10"/>
      <c r="W8075" s="10"/>
      <c r="X8075" s="10"/>
      <c r="Y8075" s="10"/>
      <c r="Z8075" s="10"/>
    </row>
    <row r="8076" spans="1:26" ht="12.75">
      <c r="A8076" s="10" t="str">
        <f ca="1">IFERROR(__xludf.DUMMYFUNCTION("""COMPUTED_VALUE"""),"Юлия Стефанова Савова")</f>
        <v>Юлия Стефанова Савова</v>
      </c>
      <c r="B8076" s="10" t="str">
        <f ca="1">IFERROR(__xludf.DUMMYFUNCTION("""COMPUTED_VALUE"""),"Книга")</f>
        <v>Книга</v>
      </c>
      <c r="C8076" s="10" t="str">
        <f ca="1">IFERROR(__xludf.DUMMYFUNCTION("""COMPUTED_VALUE"""),"Тенденции в развитието на библиотекознанието 20-21 век")</f>
        <v>Тенденции в развитието на библиотекознанието 20-21 век</v>
      </c>
      <c r="D8076" s="10">
        <f ca="1">IFERROR(__xludf.DUMMYFUNCTION("""COMPUTED_VALUE"""),2014)</f>
        <v>2014</v>
      </c>
      <c r="E8076" s="10" t="str">
        <f ca="1">IFERROR(__xludf.DUMMYFUNCTION("""COMPUTED_VALUE"""),"Издателство „За буквите – О писменехь”. 2014 E-ISBN 978-619-185-079-2")</f>
        <v>Издателство „За буквите – О писменехь”. 2014 E-ISBN 978-619-185-079-2</v>
      </c>
      <c r="F8076" s="10"/>
      <c r="G8076" s="10"/>
      <c r="H8076" s="10"/>
      <c r="I8076" s="10"/>
      <c r="J8076" s="10"/>
      <c r="K8076" s="10"/>
      <c r="L8076" s="10"/>
      <c r="M8076" s="10"/>
      <c r="N8076" s="10"/>
      <c r="O8076" s="10"/>
      <c r="P8076" s="10"/>
      <c r="Q8076" s="10"/>
      <c r="R8076" s="10"/>
      <c r="S8076" s="10"/>
      <c r="T8076" s="10"/>
      <c r="U8076" s="10"/>
      <c r="V8076" s="10"/>
      <c r="W8076" s="10"/>
      <c r="X8076" s="10"/>
      <c r="Y8076" s="10"/>
      <c r="Z8076" s="10"/>
    </row>
    <row r="8077" spans="1:26" ht="12.75">
      <c r="A8077" s="10" t="str">
        <f ca="1">IFERROR(__xludf.DUMMYFUNCTION("""COMPUTED_VALUE"""),"Юлия Стефанова Савова")</f>
        <v>Юлия Стефанова Савова</v>
      </c>
      <c r="B8077" s="10" t="str">
        <f ca="1">IFERROR(__xludf.DUMMYFUNCTION("""COMPUTED_VALUE"""),"Учебно пособие")</f>
        <v>Учебно пособие</v>
      </c>
      <c r="C8077" s="10" t="str">
        <f ca="1">IFERROR(__xludf.DUMMYFUNCTION("""COMPUTED_VALUE"""),"Политики в развитието на библиотечната професия: Учебно помагало")</f>
        <v>Политики в развитието на библиотечната професия: Учебно помагало</v>
      </c>
      <c r="D8077" s="10">
        <f ca="1">IFERROR(__xludf.DUMMYFUNCTION("""COMPUTED_VALUE"""),2014)</f>
        <v>2014</v>
      </c>
      <c r="E8077" s="10" t="str">
        <f ca="1">IFERROR(__xludf.DUMMYFUNCTION("""COMPUTED_VALUE"""),"София. Издателство „За буквите – О писменехь”. 2014. 79 с. E-ISBN 978-619-185-078-5")</f>
        <v>София. Издателство „За буквите – О писменехь”. 2014. 79 с. E-ISBN 978-619-185-078-5</v>
      </c>
      <c r="F8077" s="10"/>
      <c r="G8077" s="10"/>
      <c r="H8077" s="10"/>
      <c r="I8077" s="10"/>
      <c r="J8077" s="10"/>
      <c r="K8077" s="10"/>
      <c r="L8077" s="10"/>
      <c r="M8077" s="10"/>
      <c r="N8077" s="10"/>
      <c r="O8077" s="10"/>
      <c r="P8077" s="10"/>
      <c r="Q8077" s="10"/>
      <c r="R8077" s="10"/>
      <c r="S8077" s="10"/>
      <c r="T8077" s="10"/>
      <c r="U8077" s="10"/>
      <c r="V8077" s="10"/>
      <c r="W8077" s="10"/>
      <c r="X8077" s="10"/>
      <c r="Y8077" s="10"/>
      <c r="Z8077" s="10"/>
    </row>
    <row r="8078" spans="1:26" ht="12.75">
      <c r="A8078" s="10" t="str">
        <f ca="1">IFERROR(__xludf.DUMMYFUNCTION("""COMPUTED_VALUE"""),"Юлия Стефанова Савова")</f>
        <v>Юлия Стефанова Савова</v>
      </c>
      <c r="B8078" s="10" t="str">
        <f ca="1">IFERROR(__xludf.DUMMYFUNCTION("""COMPUTED_VALUE"""),"Доклад от конференция")</f>
        <v>Доклад от конференция</v>
      </c>
      <c r="C8078" s="10" t="str">
        <f ca="1">IFERROR(__xludf.DUMMYFUNCTION("""COMPUTED_VALUE"""),"Библиотечната професия във Франция")</f>
        <v>Библиотечната професия във Франция</v>
      </c>
      <c r="D8078" s="10">
        <f ca="1">IFERROR(__xludf.DUMMYFUNCTION("""COMPUTED_VALUE"""),2014)</f>
        <v>2014</v>
      </c>
      <c r="E8078" s="10" t="str">
        <f ca="1">IFERROR(__xludf.DUMMYFUNCTION("""COMPUTED_VALUE"""),"""Младите в науката - инвестиция в бъдещето"": Сборник с доклади от Международна научна конференция София - Пловдив, 18-20.10.2013 г. София. Университет по библиотекознание и информационни технологии. 2014, с. 504-517 ISBN 978 – 619 – 185 – 132 – 4")</f>
        <v>"Младите в науката - инвестиция в бъдещето": Сборник с доклади от Международна научна конференция София - Пловдив, 18-20.10.2013 г. София. Университет по библиотекознание и информационни технологии. 2014, с. 504-517 ISBN 978 – 619 – 185 – 132 – 4</v>
      </c>
      <c r="F8078" s="10"/>
      <c r="G8078" s="10"/>
      <c r="H8078" s="10"/>
      <c r="I8078" s="10"/>
      <c r="J8078" s="10"/>
      <c r="K8078" s="10"/>
      <c r="L8078" s="10"/>
      <c r="M8078" s="10"/>
      <c r="N8078" s="10"/>
      <c r="O8078" s="10"/>
      <c r="P8078" s="10"/>
      <c r="Q8078" s="10"/>
      <c r="R8078" s="10"/>
      <c r="S8078" s="10"/>
      <c r="T8078" s="10"/>
      <c r="U8078" s="10"/>
      <c r="V8078" s="10"/>
      <c r="W8078" s="10"/>
      <c r="X8078" s="10"/>
      <c r="Y8078" s="10"/>
      <c r="Z8078" s="10"/>
    </row>
    <row r="8079" spans="1:26" ht="12.75">
      <c r="A8079" s="10" t="str">
        <f ca="1">IFERROR(__xludf.DUMMYFUNCTION("""COMPUTED_VALUE"""),"Юлия Стефанова Савова")</f>
        <v>Юлия Стефанова Савова</v>
      </c>
      <c r="B8079" s="10" t="str">
        <f ca="1">IFERROR(__xludf.DUMMYFUNCTION("""COMPUTED_VALUE"""),"Доклад от конференция")</f>
        <v>Доклад от конференция</v>
      </c>
      <c r="C8079" s="10" t="str">
        <f ca="1">IFERROR(__xludf.DUMMYFUNCTION("""COMPUTED_VALUE"""),"Някои характеристики на библиотечното образование във Франция и участието на държавата в управлението на библиотечната професия")</f>
        <v>Някои характеристики на библиотечното образование във Франция и участието на държавата в управлението на библиотечната професия</v>
      </c>
      <c r="D8079" s="10">
        <f ca="1">IFERROR(__xludf.DUMMYFUNCTION("""COMPUTED_VALUE"""),2014)</f>
        <v>2014</v>
      </c>
      <c r="E8079" s="10" t="str">
        <f ca="1">IFERROR(__xludf.DUMMYFUNCTION("""COMPUTED_VALUE"""),"Б ъ л г а р с к а библиотечно – информационна асоциация.. ХXІV национална научна конференция: Библиотеки в трансформация: проблеми, предизвикателства, нови възможности. София, 5 – 6 юни 2014 г.: Доклади от ХХІV Национална конференция на ББИА, София, 6-7 ю"&amp;"ни 2014 г. – София: ББИА, 2014, с. 85-89 ISBN 978 – 954 – 9837 – 28 - 5")</f>
        <v>Б ъ л г а р с к а библиотечно – информационна асоциация.. ХXІV национална научна конференция: Библиотеки в трансформация: проблеми, предизвикателства, нови възможности. София, 5 – 6 юни 2014 г.: Доклади от ХХІV Национална конференция на ББИА, София, 6-7 юни 2014 г. – София: ББИА, 2014, с. 85-89 ISBN 978 – 954 – 9837 – 28 - 5</v>
      </c>
      <c r="F8079" s="10"/>
      <c r="G8079" s="10"/>
      <c r="H8079" s="10"/>
      <c r="I8079" s="10"/>
      <c r="J8079" s="10"/>
      <c r="K8079" s="10"/>
      <c r="L8079" s="10"/>
      <c r="M8079" s="10"/>
      <c r="N8079" s="10"/>
      <c r="O8079" s="10"/>
      <c r="P8079" s="10"/>
      <c r="Q8079" s="10"/>
      <c r="R8079" s="10"/>
      <c r="S8079" s="10"/>
      <c r="T8079" s="10"/>
      <c r="U8079" s="10"/>
      <c r="V8079" s="10"/>
      <c r="W8079" s="10"/>
      <c r="X8079" s="10"/>
      <c r="Y8079" s="10"/>
      <c r="Z8079" s="10"/>
    </row>
    <row r="8080" spans="1:26" ht="12.75">
      <c r="A8080" s="10" t="str">
        <f ca="1">IFERROR(__xludf.DUMMYFUNCTION("""COMPUTED_VALUE"""),"Юлия Стефанова Савова")</f>
        <v>Юлия Стефанова Савова</v>
      </c>
      <c r="B8080" s="10" t="str">
        <f ca="1">IFERROR(__xludf.DUMMYFUNCTION("""COMPUTED_VALUE"""),"Доклад от конференция")</f>
        <v>Доклад от конференция</v>
      </c>
      <c r="C8080" s="10" t="str">
        <f ca="1">IFERROR(__xludf.DUMMYFUNCTION("""COMPUTED_VALUE"""),"Управления кадрами библиотек: опыт Франции и Болгарии")</f>
        <v>Управления кадрами библиотек: опыт Франции и Болгарии</v>
      </c>
      <c r="D8080" s="10">
        <f ca="1">IFERROR(__xludf.DUMMYFUNCTION("""COMPUTED_VALUE"""),2014)</f>
        <v>2014</v>
      </c>
      <c r="E8080" s="10" t="str">
        <f ca="1">IFERROR(__xludf.DUMMYFUNCTION("""COMPUTED_VALUE"""),"Библиотечное дело – 2014: Библиотечно-информационная деятельность и документно-информационные коммуникации в сфере культуры и образования. Сворцовские чтения: Материалы девятнадцатой международной научной конференции (Москва), 23-24 апреля 2014 г. – Москв"&amp;"а, 2014, Часть 2, с. 97-101, ISBN 978 – 5 – 94778 – 383 - 4")</f>
        <v>Библиотечное дело – 2014: Библиотечно-информационная деятельность и документно-информационные коммуникации в сфере культуры и образования. Сворцовские чтения: Материалы девятнадцатой международной научной конференции (Москва), 23-24 апреля 2014 г. – Москва, 2014, Часть 2, с. 97-101, ISBN 978 – 5 – 94778 – 383 - 4</v>
      </c>
      <c r="F8080" s="10" t="str">
        <f ca="1">IFERROR(__xludf.DUMMYFUNCTION("""COMPUTED_VALUE"""),"Российский индекс научного цитирования (РИНЦ)")</f>
        <v>Российский индекс научного цитирования (РИНЦ)</v>
      </c>
      <c r="G8080" s="10"/>
      <c r="H8080" s="10"/>
      <c r="I8080" s="10"/>
      <c r="J8080" s="10"/>
      <c r="K8080" s="10"/>
      <c r="L8080" s="10"/>
      <c r="M8080" s="10"/>
      <c r="N8080" s="10"/>
      <c r="O8080" s="10"/>
      <c r="P8080" s="10"/>
      <c r="Q8080" s="10"/>
      <c r="R8080" s="10"/>
      <c r="S8080" s="10"/>
      <c r="T8080" s="10"/>
      <c r="U8080" s="10"/>
      <c r="V8080" s="10"/>
      <c r="W8080" s="10"/>
      <c r="X8080" s="10"/>
      <c r="Y8080" s="10"/>
      <c r="Z8080" s="10"/>
    </row>
    <row r="8081" spans="1:26" ht="12.75">
      <c r="A8081" s="10" t="str">
        <f ca="1">IFERROR(__xludf.DUMMYFUNCTION("""COMPUTED_VALUE"""),"Юлия Стефанова Савова")</f>
        <v>Юлия Стефанова Савова</v>
      </c>
      <c r="B8081" s="10" t="str">
        <f ca="1">IFERROR(__xludf.DUMMYFUNCTION("""COMPUTED_VALUE"""),"Доклад от конференция")</f>
        <v>Доклад от конференция</v>
      </c>
      <c r="C8081" s="10" t="str">
        <f ca="1">IFERROR(__xludf.DUMMYFUNCTION("""COMPUTED_VALUE"""),"Политическият смисъл на БИО в България и изискванията за заемане на библиотечни длъжности")</f>
        <v>Политическият смисъл на БИО в България и изискванията за заемане на библиотечни длъжности</v>
      </c>
      <c r="D8081" s="10">
        <f ca="1">IFERROR(__xludf.DUMMYFUNCTION("""COMPUTED_VALUE"""),2014)</f>
        <v>2014</v>
      </c>
      <c r="E8081" s="10" t="str">
        <f ca="1">IFERROR(__xludf.DUMMYFUNCTION("""COMPUTED_VALUE"""),"Б ъ л г а р с к а библиотечно – информационна асоциация. ХХІII. Нац. конференция на ББИА – 2013. София. Ефективността на библиотеките и подготовката на библиотечните кадри – залог за тяхното бъдеще: Доклади от ХХІІІ Национална конференция на ББИА, София, "&amp;"6-7 юни 2013 г. – София: ББИА, 2014, с. 24-27 ISBN 978 – 954 – 9837 – 27 - 8")</f>
        <v>Б ъ л г а р с к а библиотечно – информационна асоциация. ХХІII. Нац. конференция на ББИА – 2013. София. Ефективността на библиотеките и подготовката на библиотечните кадри – залог за тяхното бъдеще: Доклади от ХХІІІ Национална конференция на ББИА, София, 6-7 юни 2013 г. – София: ББИА, 2014, с. 24-27 ISBN 978 – 954 – 9837 – 27 - 8</v>
      </c>
      <c r="F8081" s="10"/>
      <c r="G8081" s="10"/>
      <c r="H8081" s="10"/>
      <c r="I8081" s="10"/>
      <c r="J8081" s="10"/>
      <c r="K8081" s="10"/>
      <c r="L8081" s="10"/>
      <c r="M8081" s="10"/>
      <c r="N8081" s="10"/>
      <c r="O8081" s="10"/>
      <c r="P8081" s="10"/>
      <c r="Q8081" s="10"/>
      <c r="R8081" s="10"/>
      <c r="S8081" s="10"/>
      <c r="T8081" s="10"/>
      <c r="U8081" s="10"/>
      <c r="V8081" s="10"/>
      <c r="W8081" s="10"/>
      <c r="X8081" s="10"/>
      <c r="Y8081" s="10"/>
      <c r="Z8081" s="10"/>
    </row>
    <row r="8082" spans="1:26" ht="12.75">
      <c r="A8082" s="10" t="str">
        <f ca="1">IFERROR(__xludf.DUMMYFUNCTION("""COMPUTED_VALUE"""),"Юлия Стефанова Савова")</f>
        <v>Юлия Стефанова Савова</v>
      </c>
      <c r="B8082" s="10" t="str">
        <f ca="1">IFERROR(__xludf.DUMMYFUNCTION("""COMPUTED_VALUE"""),"Учебно пособие")</f>
        <v>Учебно пособие</v>
      </c>
      <c r="C8082" s="10" t="str">
        <f ca="1">IFERROR(__xludf.DUMMYFUNCTION("""COMPUTED_VALUE"""),"Електронна среда на библиотеките: Учебно помагало.")</f>
        <v>Електронна среда на библиотеките: Учебно помагало.</v>
      </c>
      <c r="D8082" s="10">
        <f ca="1">IFERROR(__xludf.DUMMYFUNCTION("""COMPUTED_VALUE"""),2014)</f>
        <v>2014</v>
      </c>
      <c r="E8082" s="10" t="str">
        <f ca="1">IFERROR(__xludf.DUMMYFUNCTION("""COMPUTED_VALUE"""),"София. Издателство „За буквите – О писменехь”. 2014. 32 с. E-ISBN 978-619-185-080-8")</f>
        <v>София. Издателство „За буквите – О писменехь”. 2014. 32 с. E-ISBN 978-619-185-080-8</v>
      </c>
      <c r="F8082" s="10"/>
      <c r="G8082" s="10"/>
      <c r="H8082" s="10"/>
      <c r="I8082" s="10"/>
      <c r="J8082" s="10"/>
      <c r="K8082" s="10"/>
      <c r="L8082" s="10"/>
      <c r="M8082" s="10"/>
      <c r="N8082" s="10"/>
      <c r="O8082" s="10"/>
      <c r="P8082" s="10"/>
      <c r="Q8082" s="10"/>
      <c r="R8082" s="10"/>
      <c r="S8082" s="10"/>
      <c r="T8082" s="10"/>
      <c r="U8082" s="10"/>
      <c r="V8082" s="10"/>
      <c r="W8082" s="10"/>
      <c r="X8082" s="10"/>
      <c r="Y8082" s="10"/>
      <c r="Z8082" s="10"/>
    </row>
    <row r="8083" spans="1:26" ht="12.75">
      <c r="A8083" s="10" t="str">
        <f ca="1">IFERROR(__xludf.DUMMYFUNCTION("""COMPUTED_VALUE"""),"Юлия Стефанова Савова")</f>
        <v>Юлия Стефанова Савова</v>
      </c>
      <c r="B8083" s="10" t="str">
        <f ca="1">IFERROR(__xludf.DUMMYFUNCTION("""COMPUTED_VALUE"""),"Учебно пособие")</f>
        <v>Учебно пособие</v>
      </c>
      <c r="C8083" s="10" t="str">
        <f ca="1">IFERROR(__xludf.DUMMYFUNCTION("""COMPUTED_VALUE"""),"Тенденции в развитието на библиотекознанието 20-21 век: Учебно помагало.")</f>
        <v>Тенденции в развитието на библиотекознанието 20-21 век: Учебно помагало.</v>
      </c>
      <c r="D8083" s="10">
        <f ca="1">IFERROR(__xludf.DUMMYFUNCTION("""COMPUTED_VALUE"""),2014)</f>
        <v>2014</v>
      </c>
      <c r="E8083" s="10" t="str">
        <f ca="1">IFERROR(__xludf.DUMMYFUNCTION("""COMPUTED_VALUE"""),"София. Издателство „За буквите – О писменехь”. 2014. 47 с. E-ISBN 978-619-185-079-2")</f>
        <v>София. Издателство „За буквите – О писменехь”. 2014. 47 с. E-ISBN 978-619-185-079-2</v>
      </c>
      <c r="F8083" s="10"/>
      <c r="G8083" s="10"/>
      <c r="H8083" s="10"/>
      <c r="I8083" s="10"/>
      <c r="J8083" s="10"/>
      <c r="K8083" s="10"/>
      <c r="L8083" s="10"/>
      <c r="M8083" s="10"/>
      <c r="N8083" s="10"/>
      <c r="O8083" s="10"/>
      <c r="P8083" s="10"/>
      <c r="Q8083" s="10"/>
      <c r="R8083" s="10"/>
      <c r="S8083" s="10"/>
      <c r="T8083" s="10"/>
      <c r="U8083" s="10"/>
      <c r="V8083" s="10"/>
      <c r="W8083" s="10"/>
      <c r="X8083" s="10"/>
      <c r="Y8083" s="10"/>
      <c r="Z8083" s="10"/>
    </row>
    <row r="8084" spans="1:26" ht="12.75">
      <c r="A8084" s="10" t="str">
        <f ca="1">IFERROR(__xludf.DUMMYFUNCTION("""COMPUTED_VALUE"""),"Юлия Стефанова Савова")</f>
        <v>Юлия Стефанова Савова</v>
      </c>
      <c r="B8084" s="10" t="str">
        <f ca="1">IFERROR(__xludf.DUMMYFUNCTION("""COMPUTED_VALUE"""),"Книга")</f>
        <v>Книга</v>
      </c>
      <c r="C8084" s="10" t="str">
        <f ca="1">IFERROR(__xludf.DUMMYFUNCTION("""COMPUTED_VALUE"""),"Политики в развитието на библиотечната професия")</f>
        <v>Политики в развитието на библиотечната професия</v>
      </c>
      <c r="D8084" s="10">
        <f ca="1">IFERROR(__xludf.DUMMYFUNCTION("""COMPUTED_VALUE"""),2014)</f>
        <v>2014</v>
      </c>
      <c r="E8084" s="10" t="str">
        <f ca="1">IFERROR(__xludf.DUMMYFUNCTION("""COMPUTED_VALUE"""),"Издателство „За буквите – О писменехь”. 2014 E-ISBN 978-619-185-078-5")</f>
        <v>Издателство „За буквите – О писменехь”. 2014 E-ISBN 978-619-185-078-5</v>
      </c>
      <c r="F8084" s="10"/>
      <c r="G8084" s="10"/>
      <c r="H8084" s="10"/>
      <c r="I8084" s="10"/>
      <c r="J8084" s="10"/>
      <c r="K8084" s="10"/>
      <c r="L8084" s="10"/>
      <c r="M8084" s="10"/>
      <c r="N8084" s="10"/>
      <c r="O8084" s="10"/>
      <c r="P8084" s="10"/>
      <c r="Q8084" s="10"/>
      <c r="R8084" s="10"/>
      <c r="S8084" s="10"/>
      <c r="T8084" s="10"/>
      <c r="U8084" s="10"/>
      <c r="V8084" s="10"/>
      <c r="W8084" s="10"/>
      <c r="X8084" s="10"/>
      <c r="Y8084" s="10"/>
      <c r="Z8084" s="10"/>
    </row>
    <row r="8085" spans="1:26" ht="12.75">
      <c r="A8085" s="10" t="str">
        <f ca="1">IFERROR(__xludf.DUMMYFUNCTION("""COMPUTED_VALUE"""),"Юлия Стефанова Савова")</f>
        <v>Юлия Стефанова Савова</v>
      </c>
      <c r="B8085" s="10" t="str">
        <f ca="1">IFERROR(__xludf.DUMMYFUNCTION("""COMPUTED_VALUE"""),"Статия в списания и поредици")</f>
        <v>Статия в списания и поредици</v>
      </c>
      <c r="C8085" s="10" t="str">
        <f ca="1">IFERROR(__xludf.DUMMYFUNCTION("""COMPUTED_VALUE"""),"Книга за мястото на младите кадри в съвременните руски библиотеки")</f>
        <v>Книга за мястото на младите кадри в съвременните руски библиотеки</v>
      </c>
      <c r="D8085" s="10">
        <f ca="1">IFERROR(__xludf.DUMMYFUNCTION("""COMPUTED_VALUE"""),2013)</f>
        <v>2013</v>
      </c>
      <c r="E8085" s="10" t="str">
        <f ca="1">IFERROR(__xludf.DUMMYFUNCTION("""COMPUTED_VALUE"""),"Б Б И А онлайн (Списание на българската библиотечно – информационна асоциация), 2013, № 5. с. 51-53 ISSN 1314 - 7285")</f>
        <v>Б Б И А онлайн (Списание на българската библиотечно – информационна асоциация), 2013, № 5. с. 51-53 ISSN 1314 - 7285</v>
      </c>
      <c r="F8085" s="10"/>
      <c r="G8085" s="10"/>
      <c r="H8085" s="10"/>
      <c r="I8085" s="10"/>
      <c r="J8085" s="10"/>
      <c r="K8085" s="10"/>
      <c r="L8085" s="10"/>
      <c r="M8085" s="10"/>
      <c r="N8085" s="10"/>
      <c r="O8085" s="10"/>
      <c r="P8085" s="10"/>
      <c r="Q8085" s="10"/>
      <c r="R8085" s="10"/>
      <c r="S8085" s="10"/>
      <c r="T8085" s="10"/>
      <c r="U8085" s="10"/>
      <c r="V8085" s="10"/>
      <c r="W8085" s="10"/>
      <c r="X8085" s="10"/>
      <c r="Y8085" s="10"/>
      <c r="Z8085" s="10"/>
    </row>
    <row r="8086" spans="1:26" ht="12.75">
      <c r="A8086" s="10" t="str">
        <f ca="1">IFERROR(__xludf.DUMMYFUNCTION("""COMPUTED_VALUE"""),"Юлия Стефанова Савова")</f>
        <v>Юлия Стефанова Савова</v>
      </c>
      <c r="B8086" s="10" t="str">
        <f ca="1">IFERROR(__xludf.DUMMYFUNCTION("""COMPUTED_VALUE"""),"Статия в списания и поредици")</f>
        <v>Статия в списания и поредици</v>
      </c>
      <c r="C8086" s="10" t="str">
        <f ca="1">IFERROR(__xludf.DUMMYFUNCTION("""COMPUTED_VALUE"""),"Съвременно руско издание по библиотечен мениджмънт
 Рец. за: Клюев, В.К. Менеджмент ресурсного потенциала библиотеки:Учеб.-метод. пособие. Москва. Литера, 2011. 112 с.")</f>
        <v>Съвременно руско издание по библиотечен мениджмънт
 Рец. за: Клюев, В.К. Менеджмент ресурсного потенциала библиотеки:Учеб.-метод. пособие. Москва. Литера, 2011. 112 с.</v>
      </c>
      <c r="D8086" s="10">
        <f ca="1">IFERROR(__xludf.DUMMYFUNCTION("""COMPUTED_VALUE"""),2013)</f>
        <v>2013</v>
      </c>
      <c r="E8086" s="10" t="str">
        <f ca="1">IFERROR(__xludf.DUMMYFUNCTION("""COMPUTED_VALUE"""),"Б Б И А онлайн (Списание на българската библиотечно – информационна асоциация), 2013, № 3, с. 64-66 ISSN 1314 - 7285")</f>
        <v>Б Б И А онлайн (Списание на българската библиотечно – информационна асоциация), 2013, № 3, с. 64-66 ISSN 1314 - 7285</v>
      </c>
      <c r="F8086" s="10"/>
      <c r="G8086" s="10"/>
      <c r="H8086" s="10"/>
      <c r="I8086" s="10"/>
      <c r="J8086" s="10"/>
      <c r="K8086" s="10"/>
      <c r="L8086" s="10"/>
      <c r="M8086" s="10"/>
      <c r="N8086" s="10"/>
      <c r="O8086" s="10"/>
      <c r="P8086" s="10"/>
      <c r="Q8086" s="10"/>
      <c r="R8086" s="10"/>
      <c r="S8086" s="10"/>
      <c r="T8086" s="10"/>
      <c r="U8086" s="10"/>
      <c r="V8086" s="10"/>
      <c r="W8086" s="10"/>
      <c r="X8086" s="10"/>
      <c r="Y8086" s="10"/>
      <c r="Z8086" s="10"/>
    </row>
    <row r="8087" spans="1:26" ht="12.75">
      <c r="A8087" s="10" t="str">
        <f ca="1">IFERROR(__xludf.DUMMYFUNCTION("""COMPUTED_VALUE"""),"Юлия Стефанова Савова")</f>
        <v>Юлия Стефанова Савова</v>
      </c>
      <c r="B8087" s="10" t="str">
        <f ca="1">IFERROR(__xludf.DUMMYFUNCTION("""COMPUTED_VALUE"""),"Доклад от конференция")</f>
        <v>Доклад от конференция</v>
      </c>
      <c r="C8087" s="10" t="str">
        <f ca="1">IFERROR(__xludf.DUMMYFUNCTION("""COMPUTED_VALUE"""),"Имидж библиотек и библиотекарей в современном болгарском обществе")</f>
        <v>Имидж библиотек и библиотекарей в современном болгарском обществе</v>
      </c>
      <c r="D8087" s="10">
        <f ca="1">IFERROR(__xludf.DUMMYFUNCTION("""COMPUTED_VALUE"""),2013)</f>
        <v>2013</v>
      </c>
      <c r="E8087" s="10" t="str">
        <f ca="1">IFERROR(__xludf.DUMMYFUNCTION("""COMPUTED_VALUE"""),"Б и б л и о т е ч н о е дело – 2013: Библиотечно – информационная деятельность в современной системе информации, документных коммуникаций и культуры. Сворцовские чтения: Материалы восемнадцатой международной научной конференции (Москва), 24-25 апреля 2013"&amp;" г. – Москва, 2013, с. 94-97, ISBN 987 – 5 – 94778 – 327 - 8")</f>
        <v>Б и б л и о т е ч н о е дело – 2013: Библиотечно – информационная деятельность в современной системе информации, документных коммуникаций и культуры. Сворцовские чтения: Материалы восемнадцатой международной научной конференции (Москва), 24-25 апреля 2013 г. – Москва, 2013, с. 94-97, ISBN 987 – 5 – 94778 – 327 - 8</v>
      </c>
      <c r="F8087" s="10" t="str">
        <f ca="1">IFERROR(__xludf.DUMMYFUNCTION("""COMPUTED_VALUE"""),"Российский индекс научного цитирования (РИНЦ)")</f>
        <v>Российский индекс научного цитирования (РИНЦ)</v>
      </c>
      <c r="G8087" s="10"/>
      <c r="H8087" s="10"/>
      <c r="I8087" s="10"/>
      <c r="J8087" s="10"/>
      <c r="K8087" s="10"/>
      <c r="L8087" s="10"/>
      <c r="M8087" s="10"/>
      <c r="N8087" s="10"/>
      <c r="O8087" s="10"/>
      <c r="P8087" s="10"/>
      <c r="Q8087" s="10"/>
      <c r="R8087" s="10"/>
      <c r="S8087" s="10"/>
      <c r="T8087" s="10"/>
      <c r="U8087" s="10"/>
      <c r="V8087" s="10"/>
      <c r="W8087" s="10"/>
      <c r="X8087" s="10"/>
      <c r="Y8087" s="10"/>
      <c r="Z8087" s="10"/>
    </row>
    <row r="8088" spans="1:26" ht="12.75">
      <c r="A8088" s="10" t="str">
        <f ca="1">IFERROR(__xludf.DUMMYFUNCTION("""COMPUTED_VALUE"""),"Юлия Стефанова Савова")</f>
        <v>Юлия Стефанова Савова</v>
      </c>
      <c r="B8088" s="10" t="str">
        <f ca="1">IFERROR(__xludf.DUMMYFUNCTION("""COMPUTED_VALUE"""),"Статия в списания и поредици")</f>
        <v>Статия в списания и поредици</v>
      </c>
      <c r="C8088" s="10" t="str">
        <f ca="1">IFERROR(__xludf.DUMMYFUNCTION("""COMPUTED_VALUE"""),"Дейността на IFLA и други международни организации по отношение на библиотечно – информационното образование (БИО)")</f>
        <v>Дейността на IFLA и други международни организации по отношение на библиотечно – информационното образование (БИО)</v>
      </c>
      <c r="D8088" s="10">
        <f ca="1">IFERROR(__xludf.DUMMYFUNCTION("""COMPUTED_VALUE"""),2013)</f>
        <v>2013</v>
      </c>
      <c r="E8088" s="10" t="str">
        <f ca="1">IFERROR(__xludf.DUMMYFUNCTION("""COMPUTED_VALUE"""),"Н а у ч н и трудове на УниБИТ, 10, 2012, с. 65-82. София. 2013 ISSN 1314 – 2623")</f>
        <v>Н а у ч н и трудове на УниБИТ, 10, 2012, с. 65-82. София. 2013 ISSN 1314 – 2623</v>
      </c>
      <c r="F8088" s="10"/>
      <c r="G8088" s="10"/>
      <c r="H8088" s="10"/>
      <c r="I8088" s="10"/>
      <c r="J8088" s="10"/>
      <c r="K8088" s="10"/>
      <c r="L8088" s="10"/>
      <c r="M8088" s="10"/>
      <c r="N8088" s="10"/>
      <c r="O8088" s="10"/>
      <c r="P8088" s="10"/>
      <c r="Q8088" s="10"/>
      <c r="R8088" s="10"/>
      <c r="S8088" s="10"/>
      <c r="T8088" s="10"/>
      <c r="U8088" s="10"/>
      <c r="V8088" s="10"/>
      <c r="W8088" s="10"/>
      <c r="X8088" s="10"/>
      <c r="Y8088" s="10"/>
      <c r="Z8088" s="10"/>
    </row>
    <row r="8089" spans="1:26" ht="12.75">
      <c r="A8089" s="10" t="str">
        <f ca="1">IFERROR(__xludf.DUMMYFUNCTION("""COMPUTED_VALUE"""),"Юлия Стефанова Савова")</f>
        <v>Юлия Стефанова Савова</v>
      </c>
      <c r="B8089" s="10" t="str">
        <f ca="1">IFERROR(__xludf.DUMMYFUNCTION("""COMPUTED_VALUE"""),"Статия в списания и поредици")</f>
        <v>Статия в списания и поредици</v>
      </c>
      <c r="C8089" s="10" t="str">
        <f ca="1">IFERROR(__xludf.DUMMYFUNCTION("""COMPUTED_VALUE"""),"Някои съвременни тенденции в развитието на библиотеките")</f>
        <v>Някои съвременни тенденции в развитието на библиотеките</v>
      </c>
      <c r="D8089" s="10">
        <f ca="1">IFERROR(__xludf.DUMMYFUNCTION("""COMPUTED_VALUE"""),2012)</f>
        <v>2012</v>
      </c>
      <c r="E8089" s="10" t="str">
        <f ca="1">IFERROR(__xludf.DUMMYFUNCTION("""COMPUTED_VALUE"""),"Б и б л и о т е к а, 2012, № 3-4, с. 87-89 ISSN 0861 847 X")</f>
        <v>Б и б л и о т е к а, 2012, № 3-4, с. 87-89 ISSN 0861 847 X</v>
      </c>
      <c r="F8089" s="10"/>
      <c r="G8089" s="10"/>
      <c r="H8089" s="10"/>
      <c r="I8089" s="10"/>
      <c r="J8089" s="10"/>
      <c r="K8089" s="10"/>
      <c r="L8089" s="10"/>
      <c r="M8089" s="10"/>
      <c r="N8089" s="10"/>
      <c r="O8089" s="10"/>
      <c r="P8089" s="10"/>
      <c r="Q8089" s="10"/>
      <c r="R8089" s="10"/>
      <c r="S8089" s="10"/>
      <c r="T8089" s="10"/>
      <c r="U8089" s="10"/>
      <c r="V8089" s="10"/>
      <c r="W8089" s="10"/>
      <c r="X8089" s="10"/>
      <c r="Y8089" s="10"/>
      <c r="Z8089" s="10"/>
    </row>
    <row r="8090" spans="1:26" ht="12.75">
      <c r="A8090" s="10" t="str">
        <f ca="1">IFERROR(__xludf.DUMMYFUNCTION("""COMPUTED_VALUE"""),"Юлия Стефанова Савова")</f>
        <v>Юлия Стефанова Савова</v>
      </c>
      <c r="B8090" s="10" t="str">
        <f ca="1">IFERROR(__xludf.DUMMYFUNCTION("""COMPUTED_VALUE"""),"Монография")</f>
        <v>Монография</v>
      </c>
      <c r="C8090" s="10" t="str">
        <f ca="1">IFERROR(__xludf.DUMMYFUNCTION("""COMPUTED_VALUE"""),"Информационни професии: Мястото на библиотекарите.")</f>
        <v>Информационни професии: Мястото на библиотекарите.</v>
      </c>
      <c r="D8090" s="10">
        <f ca="1">IFERROR(__xludf.DUMMYFUNCTION("""COMPUTED_VALUE"""),2012)</f>
        <v>2012</v>
      </c>
      <c r="E8090" s="10" t="str">
        <f ca="1">IFERROR(__xludf.DUMMYFUNCTION("""COMPUTED_VALUE"""),"София: Авангард Прима, 2012. – ISBN 978-619-160-002-1")</f>
        <v>София: Авангард Прима, 2012. – ISBN 978-619-160-002-1</v>
      </c>
      <c r="F8090" s="10"/>
      <c r="G8090" s="10"/>
      <c r="H8090" s="10"/>
      <c r="I8090" s="10"/>
      <c r="J8090" s="10"/>
      <c r="K8090" s="10"/>
      <c r="L8090" s="10"/>
      <c r="M8090" s="10"/>
      <c r="N8090" s="10"/>
      <c r="O8090" s="10"/>
      <c r="P8090" s="10"/>
      <c r="Q8090" s="10"/>
      <c r="R8090" s="10"/>
      <c r="S8090" s="10"/>
      <c r="T8090" s="10"/>
      <c r="U8090" s="10"/>
      <c r="V8090" s="10"/>
      <c r="W8090" s="10"/>
      <c r="X8090" s="10"/>
      <c r="Y8090" s="10"/>
      <c r="Z8090" s="10"/>
    </row>
    <row r="8091" spans="1:26" ht="12.75">
      <c r="A8091" s="10" t="str">
        <f ca="1">IFERROR(__xludf.DUMMYFUNCTION("""COMPUTED_VALUE"""),"Юлия Стефанова Савова")</f>
        <v>Юлия Стефанова Савова</v>
      </c>
      <c r="B8091" s="10" t="str">
        <f ca="1">IFERROR(__xludf.DUMMYFUNCTION("""COMPUTED_VALUE"""),"Студия")</f>
        <v>Студия</v>
      </c>
      <c r="C8091" s="10" t="str">
        <f ca="1">IFERROR(__xludf.DUMMYFUNCTION("""COMPUTED_VALUE"""),"Развитие на българското библиотечно – информационно образование в периода 1944 – 1989 г.")</f>
        <v>Развитие на българското библиотечно – информационно образование в периода 1944 – 1989 г.</v>
      </c>
      <c r="D8091" s="10">
        <f ca="1">IFERROR(__xludf.DUMMYFUNCTION("""COMPUTED_VALUE"""),2012)</f>
        <v>2012</v>
      </c>
      <c r="E8091" s="10" t="str">
        <f ca="1">IFERROR(__xludf.DUMMYFUNCTION("""COMPUTED_VALUE"""),"Н а у ч н и трудове на УниБИТ, 9, 2012, с. 11-34. София. 2012 ISSN 1314 – 2623")</f>
        <v>Н а у ч н и трудове на УниБИТ, 9, 2012, с. 11-34. София. 2012 ISSN 1314 – 2623</v>
      </c>
      <c r="F8091" s="10"/>
      <c r="G8091" s="10"/>
      <c r="H8091" s="10"/>
      <c r="I8091" s="10"/>
      <c r="J8091" s="10"/>
      <c r="K8091" s="10"/>
      <c r="L8091" s="10"/>
      <c r="M8091" s="10"/>
      <c r="N8091" s="10"/>
      <c r="O8091" s="10"/>
      <c r="P8091" s="10"/>
      <c r="Q8091" s="10"/>
      <c r="R8091" s="10"/>
      <c r="S8091" s="10"/>
      <c r="T8091" s="10"/>
      <c r="U8091" s="10"/>
      <c r="V8091" s="10"/>
      <c r="W8091" s="10"/>
      <c r="X8091" s="10"/>
      <c r="Y8091" s="10"/>
      <c r="Z8091" s="10"/>
    </row>
    <row r="8092" spans="1:26" ht="12.75">
      <c r="A8092" s="10" t="str">
        <f ca="1">IFERROR(__xludf.DUMMYFUNCTION("""COMPUTED_VALUE"""),"Юлия Стефанова Савова")</f>
        <v>Юлия Стефанова Савова</v>
      </c>
      <c r="B8092" s="10" t="str">
        <f ca="1">IFERROR(__xludf.DUMMYFUNCTION("""COMPUTED_VALUE"""),"Доклад от конференция")</f>
        <v>Доклад от конференция</v>
      </c>
      <c r="C8092" s="10" t="str">
        <f ca="1">IFERROR(__xludf.DUMMYFUNCTION("""COMPUTED_VALUE"""),"Библиотеките като „трето място” в живота на съвременния човек и предизвикателствата в България")</f>
        <v>Библиотеките като „трето място” в живота на съвременния човек и предизвикателствата в България</v>
      </c>
      <c r="D8092" s="10">
        <f ca="1">IFERROR(__xludf.DUMMYFUNCTION("""COMPUTED_VALUE"""),2012)</f>
        <v>2012</v>
      </c>
      <c r="E8092" s="10" t="str">
        <f ca="1">IFERROR(__xludf.DUMMYFUNCTION("""COMPUTED_VALUE"""),"Б ъ л г а р с к а библиотечно – информационна асоциация. ХХІ. Нац. конференция на ББИА – 2011. Благоевград. Потребностите на информационното общество и библиотеките: хармония и конфликт. – София, 2012, с. 15-22 ISBN 978 – 954 – 9837 – 21 - 6")</f>
        <v>Б ъ л г а р с к а библиотечно – информационна асоциация. ХХІ. Нац. конференция на ББИА – 2011. Благоевград. Потребностите на информационното общество и библиотеките: хармония и конфликт. – София, 2012, с. 15-22 ISBN 978 – 954 – 9837 – 21 - 6</v>
      </c>
      <c r="F8092" s="10"/>
      <c r="G8092" s="10"/>
      <c r="H8092" s="10"/>
      <c r="I8092" s="10"/>
      <c r="J8092" s="10"/>
      <c r="K8092" s="10"/>
      <c r="L8092" s="10"/>
      <c r="M8092" s="10"/>
      <c r="N8092" s="10"/>
      <c r="O8092" s="10"/>
      <c r="P8092" s="10"/>
      <c r="Q8092" s="10"/>
      <c r="R8092" s="10"/>
      <c r="S8092" s="10"/>
      <c r="T8092" s="10"/>
      <c r="U8092" s="10"/>
      <c r="V8092" s="10"/>
      <c r="W8092" s="10"/>
      <c r="X8092" s="10"/>
      <c r="Y8092" s="10"/>
      <c r="Z8092" s="10"/>
    </row>
    <row r="8093" spans="1:26" ht="12.75">
      <c r="A8093" s="10" t="str">
        <f ca="1">IFERROR(__xludf.DUMMYFUNCTION("""COMPUTED_VALUE"""),"Юлия Стефанова Савова")</f>
        <v>Юлия Стефанова Савова</v>
      </c>
      <c r="B8093" s="10" t="str">
        <f ca="1">IFERROR(__xludf.DUMMYFUNCTION("""COMPUTED_VALUE"""),"Доклад от конференция")</f>
        <v>Доклад от конференция</v>
      </c>
      <c r="C8093" s="10" t="str">
        <f ca="1">IFERROR(__xludf.DUMMYFUNCTION("""COMPUTED_VALUE"""),"Основные моменты современного развития библиотечно – информационного образования в Болгарии")</f>
        <v>Основные моменты современного развития библиотечно – информационного образования в Болгарии</v>
      </c>
      <c r="D8093" s="10">
        <f ca="1">IFERROR(__xludf.DUMMYFUNCTION("""COMPUTED_VALUE"""),2012)</f>
        <v>2012</v>
      </c>
      <c r="E8093" s="10" t="str">
        <f ca="1">IFERROR(__xludf.DUMMYFUNCTION("""COMPUTED_VALUE"""),"Б и б л и о т е ч н о е дело – 2012: Библиотечно – информационная деятельность в пространстве науки, культуры и образования. Сворцовские чтения: Материалы семнадцатой международной научной конференции (Москва), 25-26 апреля 2012 г. – Москва, 2012, с. 255-"&amp;"259")</f>
        <v>Б и б л и о т е ч н о е дело – 2012: Библиотечно – информационная деятельность в пространстве науки, культуры и образования. Сворцовские чтения: Материалы семнадцатой международной научной конференции (Москва), 25-26 апреля 2012 г. – Москва, 2012, с. 255-259</v>
      </c>
      <c r="F8093" s="10" t="str">
        <f ca="1">IFERROR(__xludf.DUMMYFUNCTION("""COMPUTED_VALUE"""),"Российский индекс научного цитирования (РИНЦ)")</f>
        <v>Российский индекс научного цитирования (РИНЦ)</v>
      </c>
      <c r="G8093" s="10"/>
      <c r="H8093" s="10"/>
      <c r="I8093" s="10"/>
      <c r="J8093" s="10"/>
      <c r="K8093" s="10"/>
      <c r="L8093" s="10"/>
      <c r="M8093" s="10"/>
      <c r="N8093" s="10"/>
      <c r="O8093" s="10"/>
      <c r="P8093" s="10"/>
      <c r="Q8093" s="10"/>
      <c r="R8093" s="10"/>
      <c r="S8093" s="10"/>
      <c r="T8093" s="10"/>
      <c r="U8093" s="10"/>
      <c r="V8093" s="10"/>
      <c r="W8093" s="10"/>
      <c r="X8093" s="10"/>
      <c r="Y8093" s="10"/>
      <c r="Z8093" s="10"/>
    </row>
    <row r="8094" spans="1:26" ht="12.75">
      <c r="A8094" s="10" t="str">
        <f ca="1">IFERROR(__xludf.DUMMYFUNCTION("""COMPUTED_VALUE"""),"Юлия Стефанова Савова")</f>
        <v>Юлия Стефанова Савова</v>
      </c>
      <c r="B8094" s="10" t="str">
        <f ca="1">IFERROR(__xludf.DUMMYFUNCTION("""COMPUTED_VALUE"""),"Доклад от конференция")</f>
        <v>Доклад от конференция</v>
      </c>
      <c r="C8094" s="10" t="str">
        <f ca="1">IFERROR(__xludf.DUMMYFUNCTION("""COMPUTED_VALUE"""),"Le modèle actuel de la formation professionnelle en Bulgarie : entre les influences historiques et la perspective européenne")</f>
        <v>Le modèle actuel de la formation professionnelle en Bulgarie : entre les influences historiques et la perspective européenne</v>
      </c>
      <c r="D8094" s="10">
        <f ca="1">IFERROR(__xludf.DUMMYFUNCTION("""COMPUTED_VALUE"""),2012)</f>
        <v>2012</v>
      </c>
      <c r="E8094" s="10" t="str">
        <f ca="1">IFERROR(__xludf.DUMMYFUNCTION("""COMPUTED_VALUE"""),"Travaux du symposium international: Le livre. La Roumanie. L’Europe. 4ème èdition, 20 – 23 septembre 2011. Tome 2. – Bucarest, 2012, p. 72-82 ISSN 2068 - 9756")</f>
        <v>Travaux du symposium international: Le livre. La Roumanie. L’Europe. 4ème èdition, 20 – 23 septembre 2011. Tome 2. – Bucarest, 2012, p. 72-82 ISSN 2068 - 9756</v>
      </c>
      <c r="F8094" s="10"/>
      <c r="G8094" s="10"/>
      <c r="H8094" s="10"/>
      <c r="I8094" s="10"/>
      <c r="J8094" s="10"/>
      <c r="K8094" s="10"/>
      <c r="L8094" s="10"/>
      <c r="M8094" s="10"/>
      <c r="N8094" s="10"/>
      <c r="O8094" s="10"/>
      <c r="P8094" s="10"/>
      <c r="Q8094" s="10"/>
      <c r="R8094" s="10"/>
      <c r="S8094" s="10"/>
      <c r="T8094" s="10"/>
      <c r="U8094" s="10"/>
      <c r="V8094" s="10"/>
      <c r="W8094" s="10"/>
      <c r="X8094" s="10"/>
      <c r="Y8094" s="10"/>
      <c r="Z8094" s="10"/>
    </row>
    <row r="8095" spans="1:26" ht="12.75">
      <c r="A8095" s="10" t="str">
        <f ca="1">IFERROR(__xludf.DUMMYFUNCTION("""COMPUTED_VALUE"""),"Юлия Стефанова Савова")</f>
        <v>Юлия Стефанова Савова</v>
      </c>
      <c r="B8095" s="10" t="str">
        <f ca="1">IFERROR(__xludf.DUMMYFUNCTION("""COMPUTED_VALUE"""),"Доклад от конференция")</f>
        <v>Доклад от конференция</v>
      </c>
      <c r="C8095" s="10" t="str">
        <f ca="1">IFERROR(__xludf.DUMMYFUNCTION("""COMPUTED_VALUE"""),"Developing a Culture of Reading in Contemporary Bulgarian Society: The Role of Libraries")</f>
        <v>Developing a Culture of Reading in Contemporary Bulgarian Society: The Role of Libraries</v>
      </c>
      <c r="D8095" s="10">
        <f ca="1">IFERROR(__xludf.DUMMYFUNCTION("""COMPUTED_VALUE"""),2012)</f>
        <v>2012</v>
      </c>
      <c r="E8095" s="10" t="str">
        <f ca="1">IFERROR(__xludf.DUMMYFUNCTION("""COMPUTED_VALUE"""),"Intergenerational Solidarity in Libraries - La solidarité intergénérationnelle dans les bibliothèques"", Actes du colloque organisé à Hammamet du 21 au 23 Septembre 2011 sur ""La lecture, lien entre les générations : vers une société plus solidaire"".- Iv"&amp;"anka Stricevic and Ahmed Ksibi (Eds.), De Gruyter, Saur, 2012, IFLA Publications 156, p. 111 – 122 ISBN 978-3110280821")</f>
        <v>Intergenerational Solidarity in Libraries - La solidarité intergénérationnelle dans les bibliothèques", Actes du colloque organisé à Hammamet du 21 au 23 Septembre 2011 sur "La lecture, lien entre les générations : vers une société plus solidaire".- Ivanka Stricevic and Ahmed Ksibi (Eds.), De Gruyter, Saur, 2012, IFLA Publications 156, p. 111 – 122 ISBN 978-3110280821</v>
      </c>
      <c r="F8095" s="10"/>
      <c r="G8095" s="10"/>
      <c r="H8095" s="10"/>
      <c r="I8095" s="10"/>
      <c r="J8095" s="10"/>
      <c r="K8095" s="10"/>
      <c r="L8095" s="10"/>
      <c r="M8095" s="10"/>
      <c r="N8095" s="10"/>
      <c r="O8095" s="10"/>
      <c r="P8095" s="10"/>
      <c r="Q8095" s="10"/>
      <c r="R8095" s="10"/>
      <c r="S8095" s="10"/>
      <c r="T8095" s="10"/>
      <c r="U8095" s="10"/>
      <c r="V8095" s="10"/>
      <c r="W8095" s="10"/>
      <c r="X8095" s="10"/>
      <c r="Y8095" s="10"/>
      <c r="Z8095" s="10"/>
    </row>
    <row r="8096" spans="1:26" ht="12.75">
      <c r="A8096" s="10" t="str">
        <f ca="1">IFERROR(__xludf.DUMMYFUNCTION("""COMPUTED_VALUE"""),"Юлия Стефанова Савова")</f>
        <v>Юлия Стефанова Савова</v>
      </c>
      <c r="B8096" s="10" t="str">
        <f ca="1">IFERROR(__xludf.DUMMYFUNCTION("""COMPUTED_VALUE"""),"Доклад от конференция")</f>
        <v>Доклад от конференция</v>
      </c>
      <c r="C8096" s="10" t="str">
        <f ca="1">IFERROR(__xludf.DUMMYFUNCTION("""COMPUTED_VALUE"""),"Библиотеки, културно наследство и развитие на четенето. Примерът на Франция")</f>
        <v>Библиотеки, културно наследство и развитие на четенето. Примерът на Франция</v>
      </c>
      <c r="D8096" s="10">
        <f ca="1">IFERROR(__xludf.DUMMYFUNCTION("""COMPUTED_VALUE"""),2011)</f>
        <v>2011</v>
      </c>
      <c r="E8096" s="10" t="str">
        <f ca="1">IFERROR(__xludf.DUMMYFUNCTION("""COMPUTED_VALUE"""),"Н о в и информационни технологии в образователния процес: Сборник доклади и съобщения от Петия научен семинар на УниБИТ проведен в Кюстендил на 2-4 юни 2010 г. – София, 2011, с. 13-16, ISSN 1313 – 2768")</f>
        <v>Н о в и информационни технологии в образователния процес: Сборник доклади и съобщения от Петия научен семинар на УниБИТ проведен в Кюстендил на 2-4 юни 2010 г. – София, 2011, с. 13-16, ISSN 1313 – 2768</v>
      </c>
      <c r="F8096" s="10"/>
      <c r="G8096" s="10"/>
      <c r="H8096" s="10"/>
      <c r="I8096" s="10"/>
      <c r="J8096" s="10"/>
      <c r="K8096" s="10"/>
      <c r="L8096" s="10"/>
      <c r="M8096" s="10"/>
      <c r="N8096" s="10"/>
      <c r="O8096" s="10"/>
      <c r="P8096" s="10"/>
      <c r="Q8096" s="10"/>
      <c r="R8096" s="10"/>
      <c r="S8096" s="10"/>
      <c r="T8096" s="10"/>
      <c r="U8096" s="10"/>
      <c r="V8096" s="10"/>
      <c r="W8096" s="10"/>
      <c r="X8096" s="10"/>
      <c r="Y8096" s="10"/>
      <c r="Z8096" s="10"/>
    </row>
    <row r="8097" spans="1:26" ht="12.75">
      <c r="A8097" s="10" t="str">
        <f ca="1">IFERROR(__xludf.DUMMYFUNCTION("""COMPUTED_VALUE"""),"Юлия Стефанова Савова")</f>
        <v>Юлия Стефанова Савова</v>
      </c>
      <c r="B8097" s="10" t="str">
        <f ca="1">IFERROR(__xludf.DUMMYFUNCTION("""COMPUTED_VALUE"""),"Доклад от конференция")</f>
        <v>Доклад от конференция</v>
      </c>
      <c r="C8097" s="10" t="str">
        <f ca="1">IFERROR(__xludf.DUMMYFUNCTION("""COMPUTED_VALUE"""),"Небольшие публичные библиотеки Болгарии в контексте Web 2.0: управленческий аспект")</f>
        <v>Небольшие публичные библиотеки Болгарии в контексте Web 2.0: управленческий аспект</v>
      </c>
      <c r="D8097" s="10">
        <f ca="1">IFERROR(__xludf.DUMMYFUNCTION("""COMPUTED_VALUE"""),2011)</f>
        <v>2011</v>
      </c>
      <c r="E8097" s="10" t="str">
        <f ca="1">IFERROR(__xludf.DUMMYFUNCTION("""COMPUTED_VALUE"""),"Б и б л и о т е ч н о е дело – 2011: Библиотечно – информационная деятельность в условиях модернизации общества. Скворцовские чтения: Материалы шестнадцатой международной научной конференции (Москва), 27-29 апреля 2011 г. Москва, 2011, с. 103-107")</f>
        <v>Б и б л и о т е ч н о е дело – 2011: Библиотечно – информационная деятельность в условиях модернизации общества. Скворцовские чтения: Материалы шестнадцатой международной научной конференции (Москва), 27-29 апреля 2011 г. Москва, 2011, с. 103-107</v>
      </c>
      <c r="F8097" s="10" t="str">
        <f ca="1">IFERROR(__xludf.DUMMYFUNCTION("""COMPUTED_VALUE"""),"Российский индекс научного цитирования (РИНЦ)")</f>
        <v>Российский индекс научного цитирования (РИНЦ)</v>
      </c>
      <c r="G8097" s="10"/>
      <c r="H8097" s="10"/>
      <c r="I8097" s="10"/>
      <c r="J8097" s="10"/>
      <c r="K8097" s="10"/>
      <c r="L8097" s="10"/>
      <c r="M8097" s="10"/>
      <c r="N8097" s="10"/>
      <c r="O8097" s="10"/>
      <c r="P8097" s="10"/>
      <c r="Q8097" s="10"/>
      <c r="R8097" s="10"/>
      <c r="S8097" s="10"/>
      <c r="T8097" s="10"/>
      <c r="U8097" s="10"/>
      <c r="V8097" s="10"/>
      <c r="W8097" s="10"/>
      <c r="X8097" s="10"/>
      <c r="Y8097" s="10"/>
      <c r="Z8097" s="10"/>
    </row>
    <row r="8098" spans="1:26" ht="12.75">
      <c r="A8098" s="10" t="str">
        <f ca="1">IFERROR(__xludf.DUMMYFUNCTION("""COMPUTED_VALUE"""),"Юлия Стефанова Савова")</f>
        <v>Юлия Стефанова Савова</v>
      </c>
      <c r="B8098" s="10" t="str">
        <f ca="1">IFERROR(__xludf.DUMMYFUNCTION("""COMPUTED_VALUE"""),"Доклад от конференция")</f>
        <v>Доклад от конференция</v>
      </c>
      <c r="C8098" s="10" t="str">
        <f ca="1">IFERROR(__xludf.DUMMYFUNCTION("""COMPUTED_VALUE"""),"Les petites bibliothèques bulgares à l’ère du Web 2.0")</f>
        <v>Les petites bibliothèques bulgares à l’ère du Web 2.0</v>
      </c>
      <c r="D8098" s="10">
        <f ca="1">IFERROR(__xludf.DUMMYFUNCTION("""COMPUTED_VALUE"""),2011)</f>
        <v>2011</v>
      </c>
      <c r="E8098" s="10" t="str">
        <f ca="1">IFERROR(__xludf.DUMMYFUNCTION("""COMPUTED_VALUE"""),"Travaux du symposium international: Le livre. La Roumanie. L’Europe. Troisième edition, 20 – 24 septembre 2010. Tome 2. – Bucarest, 2011, p. 215-223 ISSN 2068 – 9756")</f>
        <v>Travaux du symposium international: Le livre. La Roumanie. L’Europe. Troisième edition, 20 – 24 septembre 2010. Tome 2. – Bucarest, 2011, p. 215-223 ISSN 2068 – 9756</v>
      </c>
      <c r="F8098" s="10"/>
      <c r="G8098" s="10"/>
      <c r="H8098" s="10"/>
      <c r="I8098" s="10"/>
      <c r="J8098" s="10"/>
      <c r="K8098" s="10"/>
      <c r="L8098" s="10"/>
      <c r="M8098" s="10"/>
      <c r="N8098" s="10"/>
      <c r="O8098" s="10"/>
      <c r="P8098" s="10"/>
      <c r="Q8098" s="10"/>
      <c r="R8098" s="10"/>
      <c r="S8098" s="10"/>
      <c r="T8098" s="10"/>
      <c r="U8098" s="10"/>
      <c r="V8098" s="10"/>
      <c r="W8098" s="10"/>
      <c r="X8098" s="10"/>
      <c r="Y8098" s="10"/>
      <c r="Z8098" s="10"/>
    </row>
    <row r="8099" spans="1:26" ht="12.75">
      <c r="A8099" s="10" t="str">
        <f ca="1">IFERROR(__xludf.DUMMYFUNCTION("""COMPUTED_VALUE"""),"Юлия Стефанова Савова")</f>
        <v>Юлия Стефанова Савова</v>
      </c>
      <c r="B8099" s="10" t="str">
        <f ca="1">IFERROR(__xludf.DUMMYFUNCTION("""COMPUTED_VALUE"""),"Доклад от конференция")</f>
        <v>Доклад от конференция</v>
      </c>
      <c r="C8099" s="10" t="str">
        <f ca="1">IFERROR(__xludf.DUMMYFUNCTION("""COMPUTED_VALUE"""),"Малките публични библиотеки във времето на web 2.0")</f>
        <v>Малките публични библиотеки във времето на web 2.0</v>
      </c>
      <c r="D8099" s="10">
        <f ca="1">IFERROR(__xludf.DUMMYFUNCTION("""COMPUTED_VALUE"""),2010)</f>
        <v>2010</v>
      </c>
      <c r="E8099" s="10" t="str">
        <f ca="1">IFERROR(__xludf.DUMMYFUNCTION("""COMPUTED_VALUE"""),"О б щ е с т в о т о на знанието и хуманизмът на ХХІ век: Осма национална научна конференция с международно участие, 1 ноември 2010. – София, 2010, с. 572-578 ISBN 978 – 954 – 2496 – 09 - 0")</f>
        <v>О б щ е с т в о т о на знанието и хуманизмът на ХХІ век: Осма национална научна конференция с международно участие, 1 ноември 2010. – София, 2010, с. 572-578 ISBN 978 – 954 – 2496 – 09 - 0</v>
      </c>
      <c r="F8099" s="10"/>
      <c r="G8099" s="10"/>
      <c r="H8099" s="10"/>
      <c r="I8099" s="10"/>
      <c r="J8099" s="10"/>
      <c r="K8099" s="10"/>
      <c r="L8099" s="10"/>
      <c r="M8099" s="10"/>
      <c r="N8099" s="10"/>
      <c r="O8099" s="10"/>
      <c r="P8099" s="10"/>
      <c r="Q8099" s="10"/>
      <c r="R8099" s="10"/>
      <c r="S8099" s="10"/>
      <c r="T8099" s="10"/>
      <c r="U8099" s="10"/>
      <c r="V8099" s="10"/>
      <c r="W8099" s="10"/>
      <c r="X8099" s="10"/>
      <c r="Y8099" s="10"/>
      <c r="Z8099" s="10"/>
    </row>
    <row r="8100" spans="1:26" ht="12.75">
      <c r="A8100" s="10" t="str">
        <f ca="1">IFERROR(__xludf.DUMMYFUNCTION("""COMPUTED_VALUE"""),"Юлия Стефанова Савова")</f>
        <v>Юлия Стефанова Савова</v>
      </c>
      <c r="B8100" s="10" t="str">
        <f ca="1">IFERROR(__xludf.DUMMYFUNCTION("""COMPUTED_VALUE"""),"Студия")</f>
        <v>Студия</v>
      </c>
      <c r="C8100" s="10" t="str">
        <f ca="1">IFERROR(__xludf.DUMMYFUNCTION("""COMPUTED_VALUE"""),"Преходът на Държавния библиотекарски институт от професионално полувисше учебно заведение до специализирано висше училище. Обща характеристика на моделите на учебни планове")</f>
        <v>Преходът на Държавния библиотекарски институт от професионално полувисше учебно заведение до специализирано висше училище. Обща характеристика на моделите на учебни планове</v>
      </c>
      <c r="D8100" s="10">
        <f ca="1">IFERROR(__xludf.DUMMYFUNCTION("""COMPUTED_VALUE"""),2010)</f>
        <v>2010</v>
      </c>
      <c r="E8100" s="10" t="str">
        <f ca="1">IFERROR(__xludf.DUMMYFUNCTION("""COMPUTED_VALUE"""),"Т р у д о в е на СВУБИТ, 8, 2010, с. 99-116, ISSN 1312 - 5834")</f>
        <v>Т р у д о в е на СВУБИТ, 8, 2010, с. 99-116, ISSN 1312 - 5834</v>
      </c>
      <c r="F8100" s="10"/>
      <c r="G8100" s="10"/>
      <c r="H8100" s="10"/>
      <c r="I8100" s="10"/>
      <c r="J8100" s="10"/>
      <c r="K8100" s="10"/>
      <c r="L8100" s="10"/>
      <c r="M8100" s="10"/>
      <c r="N8100" s="10"/>
      <c r="O8100" s="10"/>
      <c r="P8100" s="10"/>
      <c r="Q8100" s="10"/>
      <c r="R8100" s="10"/>
      <c r="S8100" s="10"/>
      <c r="T8100" s="10"/>
      <c r="U8100" s="10"/>
      <c r="V8100" s="10"/>
      <c r="W8100" s="10"/>
      <c r="X8100" s="10"/>
      <c r="Y8100" s="10"/>
      <c r="Z8100" s="10"/>
    </row>
    <row r="8101" spans="1:26" ht="12.75">
      <c r="A8101" s="10" t="str">
        <f ca="1">IFERROR(__xludf.DUMMYFUNCTION("""COMPUTED_VALUE"""),"Юлия Стефанова Савова")</f>
        <v>Юлия Стефанова Савова</v>
      </c>
      <c r="B8101" s="10" t="str">
        <f ca="1">IFERROR(__xludf.DUMMYFUNCTION("""COMPUTED_VALUE"""),"Доклад от конференция")</f>
        <v>Доклад от конференция</v>
      </c>
      <c r="C8101" s="10" t="str">
        <f ca="1">IFERROR(__xludf.DUMMYFUNCTION("""COMPUTED_VALUE"""),"Ролята на библиотеките за развитието на четенето в електронна среда – примерът на Франция")</f>
        <v>Ролята на библиотеките за развитието на четенето в електронна среда – примерът на Франция</v>
      </c>
      <c r="D8101" s="10">
        <f ca="1">IFERROR(__xludf.DUMMYFUNCTION("""COMPUTED_VALUE"""),2010)</f>
        <v>2010</v>
      </c>
      <c r="E8101" s="10" t="str">
        <f ca="1">IFERROR(__xludf.DUMMYFUNCTION("""COMPUTED_VALUE"""),"Б ъ л г а р с к а библиотечно -информационна асоциация. Национална конф. ХХ. София. Съвременната библиотека – център за информация и знание. – София, 2010, с. 35-37 ISBN 987 – 954 – 9837 – 18 - 6")</f>
        <v>Б ъ л г а р с к а библиотечно -информационна асоциация. Национална конф. ХХ. София. Съвременната библиотека – център за информация и знание. – София, 2010, с. 35-37 ISBN 987 – 954 – 9837 – 18 - 6</v>
      </c>
      <c r="F8101" s="10"/>
      <c r="G8101" s="10"/>
      <c r="H8101" s="10"/>
      <c r="I8101" s="10"/>
      <c r="J8101" s="10"/>
      <c r="K8101" s="10"/>
      <c r="L8101" s="10"/>
      <c r="M8101" s="10"/>
      <c r="N8101" s="10"/>
      <c r="O8101" s="10"/>
      <c r="P8101" s="10"/>
      <c r="Q8101" s="10"/>
      <c r="R8101" s="10"/>
      <c r="S8101" s="10"/>
      <c r="T8101" s="10"/>
      <c r="U8101" s="10"/>
      <c r="V8101" s="10"/>
      <c r="W8101" s="10"/>
      <c r="X8101" s="10"/>
      <c r="Y8101" s="10"/>
      <c r="Z8101" s="10"/>
    </row>
    <row r="8102" spans="1:26" ht="12.75">
      <c r="A8102" s="10" t="str">
        <f ca="1">IFERROR(__xludf.DUMMYFUNCTION("""COMPUTED_VALUE"""),"Юлия Стефанова Савова")</f>
        <v>Юлия Стефанова Савова</v>
      </c>
      <c r="B8102" s="10" t="str">
        <f ca="1">IFERROR(__xludf.DUMMYFUNCTION("""COMPUTED_VALUE"""),"Доклад от конференция")</f>
        <v>Доклад от конференция</v>
      </c>
      <c r="C8102" s="10" t="str">
        <f ca="1">IFERROR(__xludf.DUMMYFUNCTION("""COMPUTED_VALUE"""),"Библиотеки и културно наследство: Франкофонски подходи")</f>
        <v>Библиотеки и културно наследство: Франкофонски подходи</v>
      </c>
      <c r="D8102" s="10">
        <f ca="1">IFERROR(__xludf.DUMMYFUNCTION("""COMPUTED_VALUE"""),2010)</f>
        <v>2010</v>
      </c>
      <c r="E8102" s="10" t="str">
        <f ca="1">IFERROR(__xludf.DUMMYFUNCTION("""COMPUTED_VALUE"""),"Н о в и информационни технологии в образователния процес: Сборник научни доклади и съобщения от семинар, проведен в Хисаря, на 27 – 29 март 2009 г. – София, 2010, с. 75-82, ISSN 1313 – 2768")</f>
        <v>Н о в и информационни технологии в образователния процес: Сборник научни доклади и съобщения от семинар, проведен в Хисаря, на 27 – 29 март 2009 г. – София, 2010, с. 75-82, ISSN 1313 – 2768</v>
      </c>
      <c r="F8102" s="10"/>
      <c r="G8102" s="10"/>
      <c r="H8102" s="10"/>
      <c r="I8102" s="10"/>
      <c r="J8102" s="10"/>
      <c r="K8102" s="10"/>
      <c r="L8102" s="10"/>
      <c r="M8102" s="10"/>
      <c r="N8102" s="10"/>
      <c r="O8102" s="10"/>
      <c r="P8102" s="10"/>
      <c r="Q8102" s="10"/>
      <c r="R8102" s="10"/>
      <c r="S8102" s="10"/>
      <c r="T8102" s="10"/>
      <c r="U8102" s="10"/>
      <c r="V8102" s="10"/>
      <c r="W8102" s="10"/>
      <c r="X8102" s="10"/>
      <c r="Y8102" s="10"/>
      <c r="Z8102" s="10"/>
    </row>
    <row r="8103" spans="1:26" ht="12.75">
      <c r="A8103" s="10" t="str">
        <f ca="1">IFERROR(__xludf.DUMMYFUNCTION("""COMPUTED_VALUE"""),"Юлия Стефанова Савова")</f>
        <v>Юлия Стефанова Савова</v>
      </c>
      <c r="B8103" s="10" t="str">
        <f ca="1">IFERROR(__xludf.DUMMYFUNCTION("""COMPUTED_VALUE"""),"Доклад от конференция")</f>
        <v>Доклад от конференция</v>
      </c>
      <c r="C8103" s="10" t="str">
        <f ca="1">IFERROR(__xludf.DUMMYFUNCTION("""COMPUTED_VALUE"""),"La formation en sciences de l’information et des bibliothèques en Bulgarie : une orientation vers le futur / Dominique Gazo, Réjean Savard")</f>
        <v>La formation en sciences de l’information et des bibliothèques en Bulgarie : une orientation vers le futur / Dominique Gazo, Réjean Savard</v>
      </c>
      <c r="D8103" s="10">
        <f ca="1">IFERROR(__xludf.DUMMYFUNCTION("""COMPUTED_VALUE"""),2009)</f>
        <v>2009</v>
      </c>
      <c r="E8103" s="10" t="str">
        <f ca="1">IFERROR(__xludf.DUMMYFUNCTION("""COMPUTED_VALUE"""),"Actes du premier congrès de l’Association Internationale Francophone des Bibliothécaires et Documentalistes et satellite IFLA, 3 - 6 août 2008. – Montréal, 2009, p. 55-61. ISBN 978-2-9811018-0-8")</f>
        <v>Actes du premier congrès de l’Association Internationale Francophone des Bibliothécaires et Documentalistes et satellite IFLA, 3 - 6 août 2008. – Montréal, 2009, p. 55-61. ISBN 978-2-9811018-0-8</v>
      </c>
      <c r="F8103" s="10"/>
      <c r="G8103" s="10"/>
      <c r="H8103" s="10"/>
      <c r="I8103" s="10"/>
      <c r="J8103" s="10"/>
      <c r="K8103" s="10"/>
      <c r="L8103" s="10"/>
      <c r="M8103" s="10"/>
      <c r="N8103" s="10"/>
      <c r="O8103" s="10"/>
      <c r="P8103" s="10"/>
      <c r="Q8103" s="10"/>
      <c r="R8103" s="10"/>
      <c r="S8103" s="10"/>
      <c r="T8103" s="10"/>
      <c r="U8103" s="10"/>
      <c r="V8103" s="10"/>
      <c r="W8103" s="10"/>
      <c r="X8103" s="10"/>
      <c r="Y8103" s="10"/>
      <c r="Z8103" s="10"/>
    </row>
    <row r="8104" spans="1:26" ht="12.75">
      <c r="A8104" s="10" t="str">
        <f ca="1">IFERROR(__xludf.DUMMYFUNCTION("""COMPUTED_VALUE"""),"Юлия Стефанова Савова")</f>
        <v>Юлия Стефанова Савова</v>
      </c>
      <c r="B8104" s="10" t="str">
        <f ca="1">IFERROR(__xludf.DUMMYFUNCTION("""COMPUTED_VALUE"""),"Доклад от конференция")</f>
        <v>Доклад от конференция</v>
      </c>
      <c r="C8104" s="10" t="str">
        <f ca="1">IFERROR(__xludf.DUMMYFUNCTION("""COMPUTED_VALUE"""),"Библиотеката като социално пространство")</f>
        <v>Библиотеката като социално пространство</v>
      </c>
      <c r="D8104" s="10">
        <f ca="1">IFERROR(__xludf.DUMMYFUNCTION("""COMPUTED_VALUE"""),2009)</f>
        <v>2009</v>
      </c>
      <c r="E8104" s="10" t="str">
        <f ca="1">IFERROR(__xludf.DUMMYFUNCTION("""COMPUTED_VALUE"""),"Б ъ л г а р и я в културното многообразие на Европа: Шеста национална научна конференция с международно участие, 1 ноември 2008. – София, 2009, с.258-264 ISBN 978 – 954 – 8887 – 65 – 6")</f>
        <v>Б ъ л г а р и я в културното многообразие на Европа: Шеста национална научна конференция с международно участие, 1 ноември 2008. – София, 2009, с.258-264 ISBN 978 – 954 – 8887 – 65 – 6</v>
      </c>
      <c r="F8104" s="10"/>
      <c r="G8104" s="10"/>
      <c r="H8104" s="10"/>
      <c r="I8104" s="10"/>
      <c r="J8104" s="10"/>
      <c r="K8104" s="10"/>
      <c r="L8104" s="10"/>
      <c r="M8104" s="10"/>
      <c r="N8104" s="10"/>
      <c r="O8104" s="10"/>
      <c r="P8104" s="10"/>
      <c r="Q8104" s="10"/>
      <c r="R8104" s="10"/>
      <c r="S8104" s="10"/>
      <c r="T8104" s="10"/>
      <c r="U8104" s="10"/>
      <c r="V8104" s="10"/>
      <c r="W8104" s="10"/>
      <c r="X8104" s="10"/>
      <c r="Y8104" s="10"/>
      <c r="Z8104" s="10"/>
    </row>
    <row r="8105" spans="1:26" ht="12.75">
      <c r="A8105" s="10" t="str">
        <f ca="1">IFERROR(__xludf.DUMMYFUNCTION("""COMPUTED_VALUE"""),"Юлия Стефанова Савова")</f>
        <v>Юлия Стефанова Савова</v>
      </c>
      <c r="B8105" s="10" t="str">
        <f ca="1">IFERROR(__xludf.DUMMYFUNCTION("""COMPUTED_VALUE"""),"Доклад от конференция")</f>
        <v>Доклад от конференция</v>
      </c>
      <c r="C8105" s="10" t="str">
        <f ca="1">IFERROR(__xludf.DUMMYFUNCTION("""COMPUTED_VALUE"""),"Balkan perspective of the Library and Information Education (Kütüphanecilik ve Bilgi Eğitiminde Balkan Bakiş Açisi)/ Ender Bilar, Yaşagül Ekinci")</f>
        <v>Balkan perspective of the Library and Information Education (Kütüphanecilik ve Bilgi Eğitiminde Balkan Bakiş Açisi)/ Ender Bilar, Yaşagül Ekinci</v>
      </c>
      <c r="D8105" s="10">
        <f ca="1">IFERROR(__xludf.DUMMYFUNCTION("""COMPUTED_VALUE"""),2008)</f>
        <v>2008</v>
      </c>
      <c r="E8105" s="10" t="str">
        <f ca="1">IFERROR(__xludf.DUMMYFUNCTION("""COMPUTED_VALUE"""),"“Documentation Management and Cooperation among the Libraries in the Balkan Countries” (Balkan ülkeleri kütüphaneler arasi bilgi-belge yőnetimi ve işbirliği). Symposium Papers. 5-7 June 2008 Edirne, Turkey. – Edirne, 2008, p. 44-46 ISBN 978 – 975 – 374090"&amp;" - 6")</f>
        <v>“Documentation Management and Cooperation among the Libraries in the Balkan Countries” (Balkan ülkeleri kütüphaneler arasi bilgi-belge yőnetimi ve işbirliği). Symposium Papers. 5-7 June 2008 Edirne, Turkey. – Edirne, 2008, p. 44-46 ISBN 978 – 975 – 374090 - 6</v>
      </c>
      <c r="F8105" s="10"/>
      <c r="G8105" s="10"/>
      <c r="H8105" s="10"/>
      <c r="I8105" s="10"/>
      <c r="J8105" s="10"/>
      <c r="K8105" s="10"/>
      <c r="L8105" s="10"/>
      <c r="M8105" s="10"/>
      <c r="N8105" s="10"/>
      <c r="O8105" s="10"/>
      <c r="P8105" s="10"/>
      <c r="Q8105" s="10"/>
      <c r="R8105" s="10"/>
      <c r="S8105" s="10"/>
      <c r="T8105" s="10"/>
      <c r="U8105" s="10"/>
      <c r="V8105" s="10"/>
      <c r="W8105" s="10"/>
      <c r="X8105" s="10"/>
      <c r="Y8105" s="10"/>
      <c r="Z8105" s="10"/>
    </row>
    <row r="8106" spans="1:26" ht="12.75">
      <c r="A8106" s="10" t="str">
        <f ca="1">IFERROR(__xludf.DUMMYFUNCTION("""COMPUTED_VALUE"""),"Юлия Стефанова Савова")</f>
        <v>Юлия Стефанова Савова</v>
      </c>
      <c r="B8106" s="10" t="str">
        <f ca="1">IFERROR(__xludf.DUMMYFUNCTION("""COMPUTED_VALUE"""),"Статия в списания и поредици")</f>
        <v>Статия в списания и поредици</v>
      </c>
      <c r="C8106" s="10" t="str">
        <f ca="1">IFERROR(__xludf.DUMMYFUNCTION("""COMPUTED_VALUE"""),"La formation professionnelle en Bulgarie")</f>
        <v>La formation professionnelle en Bulgarie</v>
      </c>
      <c r="D8106" s="10">
        <f ca="1">IFERROR(__xludf.DUMMYFUNCTION("""COMPUTED_VALUE"""),2008)</f>
        <v>2008</v>
      </c>
      <c r="E8106" s="10" t="str">
        <f ca="1">IFERROR(__xludf.DUMMYFUNCTION("""COMPUTED_VALUE"""),"B u l l e t i n des bibliothèques de France, 2008, N1, p. 48-51 ISSN 0006 – 2006")</f>
        <v>B u l l e t i n des bibliothèques de France, 2008, N1, p. 48-51 ISSN 0006 – 2006</v>
      </c>
      <c r="F8106" s="10"/>
      <c r="G8106" s="10"/>
      <c r="H8106" s="10"/>
      <c r="I8106" s="10"/>
      <c r="J8106" s="10"/>
      <c r="K8106" s="10"/>
      <c r="L8106" s="10"/>
      <c r="M8106" s="10"/>
      <c r="N8106" s="10"/>
      <c r="O8106" s="10"/>
      <c r="P8106" s="10"/>
      <c r="Q8106" s="10"/>
      <c r="R8106" s="10"/>
      <c r="S8106" s="10"/>
      <c r="T8106" s="10"/>
      <c r="U8106" s="10"/>
      <c r="V8106" s="10"/>
      <c r="W8106" s="10"/>
      <c r="X8106" s="10"/>
      <c r="Y8106" s="10"/>
      <c r="Z8106" s="10"/>
    </row>
    <row r="8107" spans="1:26" ht="12.75">
      <c r="A8107" s="10" t="str">
        <f ca="1">IFERROR(__xludf.DUMMYFUNCTION("""COMPUTED_VALUE"""),"Юлия Стефанова Савова")</f>
        <v>Юлия Стефанова Савова</v>
      </c>
      <c r="B8107" s="10" t="str">
        <f ca="1">IFERROR(__xludf.DUMMYFUNCTION("""COMPUTED_VALUE"""),"Доклад от конференция")</f>
        <v>Доклад от конференция</v>
      </c>
      <c r="C8107" s="10" t="str">
        <f ca="1">IFERROR(__xludf.DUMMYFUNCTION("""COMPUTED_VALUE"""),"За библиотеките и библиотекарите")</f>
        <v>За библиотеките и библиотекарите</v>
      </c>
      <c r="D8107" s="10">
        <f ca="1">IFERROR(__xludf.DUMMYFUNCTION("""COMPUTED_VALUE"""),2007)</f>
        <v>2007</v>
      </c>
      <c r="E8107" s="10" t="str">
        <f ca="1">IFERROR(__xludf.DUMMYFUNCTION("""COMPUTED_VALUE"""),"Н о в и информационни технологии в образователния процес: Сборник научни доклади и съобщения от семинар, проведен в Чифлика, Троянско на 11 – 13 апр. 2007 г. – София, 2007, с. 9-17, ISSN 1313 – 2768")</f>
        <v>Н о в и информационни технологии в образователния процес: Сборник научни доклади и съобщения от семинар, проведен в Чифлика, Троянско на 11 – 13 апр. 2007 г. – София, 2007, с. 9-17, ISSN 1313 – 2768</v>
      </c>
      <c r="F8107" s="10"/>
      <c r="G8107" s="10"/>
      <c r="H8107" s="10"/>
      <c r="I8107" s="10"/>
      <c r="J8107" s="10"/>
      <c r="K8107" s="10"/>
      <c r="L8107" s="10"/>
      <c r="M8107" s="10"/>
      <c r="N8107" s="10"/>
      <c r="O8107" s="10"/>
      <c r="P8107" s="10"/>
      <c r="Q8107" s="10"/>
      <c r="R8107" s="10"/>
      <c r="S8107" s="10"/>
      <c r="T8107" s="10"/>
      <c r="U8107" s="10"/>
      <c r="V8107" s="10"/>
      <c r="W8107" s="10"/>
      <c r="X8107" s="10"/>
      <c r="Y8107" s="10"/>
      <c r="Z8107" s="10"/>
    </row>
    <row r="8108" spans="1:26" ht="12.75">
      <c r="A8108" s="10" t="str">
        <f ca="1">IFERROR(__xludf.DUMMYFUNCTION("""COMPUTED_VALUE"""),"Юлия Стефанова Савова")</f>
        <v>Юлия Стефанова Савова</v>
      </c>
      <c r="B8108" s="10" t="str">
        <f ca="1">IFERROR(__xludf.DUMMYFUNCTION("""COMPUTED_VALUE"""),"Доклад от конференция")</f>
        <v>Доклад от конференция</v>
      </c>
      <c r="C8108" s="10" t="str">
        <f ca="1">IFERROR(__xludf.DUMMYFUNCTION("""COMPUTED_VALUE"""),"Библиотеките и библиотечната професия в конкурентна среда")</f>
        <v>Библиотеките и библиотечната професия в конкурентна среда</v>
      </c>
      <c r="D8108" s="10">
        <f ca="1">IFERROR(__xludf.DUMMYFUNCTION("""COMPUTED_VALUE"""),2006)</f>
        <v>2006</v>
      </c>
      <c r="E8108" s="10" t="str">
        <f ca="1">IFERROR(__xludf.DUMMYFUNCTION("""COMPUTED_VALUE"""),"К н и г а т а и „безкнижната” цивилизация: Трета нац. науч. конф. с международно участие, 1 ноември 2005. – София, 2006, с.424-430 ISBN 978 – 954 – 8887 – 19 – 9")</f>
        <v>К н и г а т а и „безкнижната” цивилизация: Трета нац. науч. конф. с международно участие, 1 ноември 2005. – София, 2006, с.424-430 ISBN 978 – 954 – 8887 – 19 – 9</v>
      </c>
      <c r="F8108" s="10"/>
      <c r="G8108" s="10"/>
      <c r="H8108" s="10"/>
      <c r="I8108" s="10"/>
      <c r="J8108" s="10"/>
      <c r="K8108" s="10"/>
      <c r="L8108" s="10"/>
      <c r="M8108" s="10"/>
      <c r="N8108" s="10"/>
      <c r="O8108" s="10"/>
      <c r="P8108" s="10"/>
      <c r="Q8108" s="10"/>
      <c r="R8108" s="10"/>
      <c r="S8108" s="10"/>
      <c r="T8108" s="10"/>
      <c r="U8108" s="10"/>
      <c r="V8108" s="10"/>
      <c r="W8108" s="10"/>
      <c r="X8108" s="10"/>
      <c r="Y8108" s="10"/>
      <c r="Z8108" s="10"/>
    </row>
    <row r="8109" spans="1:26" ht="12.75">
      <c r="A8109" s="10" t="str">
        <f ca="1">IFERROR(__xludf.DUMMYFUNCTION("""COMPUTED_VALUE"""),"Юлия Стефанова Савова")</f>
        <v>Юлия Стефанова Савова</v>
      </c>
      <c r="B8109" s="10" t="str">
        <f ca="1">IFERROR(__xludf.DUMMYFUNCTION("""COMPUTED_VALUE"""),"Доклад от конференция")</f>
        <v>Доклад от конференция</v>
      </c>
      <c r="C8109" s="10" t="str">
        <f ca="1">IFERROR(__xludf.DUMMYFUNCTION("""COMPUTED_VALUE"""),"Библиотекознанието днес и мястото на СВУБИТ в образователното и изследователското пространство")</f>
        <v>Библиотекознанието днес и мястото на СВУБИТ в образователното и изследователското пространство</v>
      </c>
      <c r="D8109" s="10">
        <f ca="1">IFERROR(__xludf.DUMMYFUNCTION("""COMPUTED_VALUE"""),2006)</f>
        <v>2006</v>
      </c>
      <c r="E8109" s="10" t="str">
        <f ca="1">IFERROR(__xludf.DUMMYFUNCTION("""COMPUTED_VALUE"""),"Н о в и информационни технологии в образователния процес: Сборник. научни доклади. и съобщения. от семинар, проведен в Долна Баня на 31 март и 1 април 2006 г. – София, 2006, с. 57-65, ISSN 1313 – 2768")</f>
        <v>Н о в и информационни технологии в образователния процес: Сборник. научни доклади. и съобщения. от семинар, проведен в Долна Баня на 31 март и 1 април 2006 г. – София, 2006, с. 57-65, ISSN 1313 – 2768</v>
      </c>
      <c r="F8109" s="10"/>
      <c r="G8109" s="10"/>
      <c r="H8109" s="10"/>
      <c r="I8109" s="10"/>
      <c r="J8109" s="10"/>
      <c r="K8109" s="10"/>
      <c r="L8109" s="10"/>
      <c r="M8109" s="10"/>
      <c r="N8109" s="10"/>
      <c r="O8109" s="10"/>
      <c r="P8109" s="10"/>
      <c r="Q8109" s="10"/>
      <c r="R8109" s="10"/>
      <c r="S8109" s="10"/>
      <c r="T8109" s="10"/>
      <c r="U8109" s="10"/>
      <c r="V8109" s="10"/>
      <c r="W8109" s="10"/>
      <c r="X8109" s="10"/>
      <c r="Y8109" s="10"/>
      <c r="Z8109" s="10"/>
    </row>
    <row r="8110" spans="1:26" ht="12.75">
      <c r="A8110" s="10" t="str">
        <f ca="1">IFERROR(__xludf.DUMMYFUNCTION("""COMPUTED_VALUE"""),"Юлия Стефанова Савова")</f>
        <v>Юлия Стефанова Савова</v>
      </c>
      <c r="B8110" s="10" t="str">
        <f ca="1">IFERROR(__xludf.DUMMYFUNCTION("""COMPUTED_VALUE"""),"Статия в списания и поредици")</f>
        <v>Статия в списания и поредици</v>
      </c>
      <c r="C8110" s="10" t="str">
        <f ca="1">IFERROR(__xludf.DUMMYFUNCTION("""COMPUTED_VALUE"""),"Съвременната роля на библиотеките и предизвикателствата пред професията")</f>
        <v>Съвременната роля на библиотеките и предизвикателствата пред професията</v>
      </c>
      <c r="D8110" s="10">
        <f ca="1">IFERROR(__xludf.DUMMYFUNCTION("""COMPUTED_VALUE"""),2005)</f>
        <v>2005</v>
      </c>
      <c r="E8110" s="10" t="str">
        <f ca="1">IFERROR(__xludf.DUMMYFUNCTION("""COMPUTED_VALUE"""),"Б и б л и о т е к а, 2005, №2, с.16-21 ISSN 0861 847 X")</f>
        <v>Б и б л и о т е к а, 2005, №2, с.16-21 ISSN 0861 847 X</v>
      </c>
      <c r="F8110" s="10"/>
      <c r="G8110" s="10"/>
      <c r="H8110" s="10"/>
      <c r="I8110" s="10"/>
      <c r="J8110" s="10"/>
      <c r="K8110" s="10"/>
      <c r="L8110" s="10"/>
      <c r="M8110" s="10"/>
      <c r="N8110" s="10"/>
      <c r="O8110" s="10"/>
      <c r="P8110" s="10"/>
      <c r="Q8110" s="10"/>
      <c r="R8110" s="10"/>
      <c r="S8110" s="10"/>
      <c r="T8110" s="10"/>
      <c r="U8110" s="10"/>
      <c r="V8110" s="10"/>
      <c r="W8110" s="10"/>
      <c r="X8110" s="10"/>
      <c r="Y8110" s="10"/>
      <c r="Z8110" s="10"/>
    </row>
    <row r="8111" spans="1:26" ht="12.75">
      <c r="A8111" s="10" t="str">
        <f ca="1">IFERROR(__xludf.DUMMYFUNCTION("""COMPUTED_VALUE"""),"Юлия Стефанова Савова")</f>
        <v>Юлия Стефанова Савова</v>
      </c>
      <c r="B8111" s="10" t="str">
        <f ca="1">IFERROR(__xludf.DUMMYFUNCTION("""COMPUTED_VALUE"""),"Статия в списания и поредици")</f>
        <v>Статия в списания и поредици</v>
      </c>
      <c r="C8111" s="10" t="str">
        <f ca="1">IFERROR(__xludf.DUMMYFUNCTION("""COMPUTED_VALUE"""),"Променената роля на информацията и информационните дейности в глобалния свят: краят на Студената война и заплахата от тероризъм")</f>
        <v>Променената роля на информацията и информационните дейности в глобалния свят: краят на Студената война и заплахата от тероризъм</v>
      </c>
      <c r="D8111" s="10">
        <f ca="1">IFERROR(__xludf.DUMMYFUNCTION("""COMPUTED_VALUE"""),2005)</f>
        <v>2005</v>
      </c>
      <c r="E8111" s="10" t="str">
        <f ca="1">IFERROR(__xludf.DUMMYFUNCTION("""COMPUTED_VALUE"""),"П у б л и ч н о с т и тероризъм: комуникационни и поведенчески модели: Сборник статии. – София, 2005, с. 99-104, ISBN 954 – 07 – 2170 – 9")</f>
        <v>П у б л и ч н о с т и тероризъм: комуникационни и поведенчески модели: Сборник статии. – София, 2005, с. 99-104, ISBN 954 – 07 – 2170 – 9</v>
      </c>
      <c r="F8111" s="10"/>
      <c r="G8111" s="10"/>
      <c r="H8111" s="10"/>
      <c r="I8111" s="10"/>
      <c r="J8111" s="10"/>
      <c r="K8111" s="10"/>
      <c r="L8111" s="10"/>
      <c r="M8111" s="10"/>
      <c r="N8111" s="10"/>
      <c r="O8111" s="10"/>
      <c r="P8111" s="10"/>
      <c r="Q8111" s="10"/>
      <c r="R8111" s="10"/>
      <c r="S8111" s="10"/>
      <c r="T8111" s="10"/>
      <c r="U8111" s="10"/>
      <c r="V8111" s="10"/>
      <c r="W8111" s="10"/>
      <c r="X8111" s="10"/>
      <c r="Y8111" s="10"/>
      <c r="Z8111" s="10"/>
    </row>
    <row r="8112" spans="1:26" ht="12.75">
      <c r="A8112" s="10" t="str">
        <f ca="1">IFERROR(__xludf.DUMMYFUNCTION("""COMPUTED_VALUE"""),"Юлия Стефанова Савова")</f>
        <v>Юлия Стефанова Савова</v>
      </c>
      <c r="B8112" s="10" t="str">
        <f ca="1">IFERROR(__xludf.DUMMYFUNCTION("""COMPUTED_VALUE"""),"Статия в списания и поредици")</f>
        <v>Статия в списания и поредици</v>
      </c>
      <c r="C8112" s="10" t="str">
        <f ca="1">IFERROR(__xludf.DUMMYFUNCTION("""COMPUTED_VALUE"""),"Книжният пазар и библиотеките: Подходът в Русия")</f>
        <v>Книжният пазар и библиотеките: Подходът в Русия</v>
      </c>
      <c r="D8112" s="10">
        <f ca="1">IFERROR(__xludf.DUMMYFUNCTION("""COMPUTED_VALUE"""),2004)</f>
        <v>2004</v>
      </c>
      <c r="E8112" s="10" t="str">
        <f ca="1">IFERROR(__xludf.DUMMYFUNCTION("""COMPUTED_VALUE"""),"Б и б л и о т е к а, 2004, №2, с. 184-193 ISSN 0861 847 X")</f>
        <v>Б и б л и о т е к а, 2004, №2, с. 184-193 ISSN 0861 847 X</v>
      </c>
      <c r="F8112" s="10"/>
      <c r="G8112" s="10"/>
      <c r="H8112" s="10"/>
      <c r="I8112" s="10"/>
      <c r="J8112" s="10"/>
      <c r="K8112" s="10"/>
      <c r="L8112" s="10"/>
      <c r="M8112" s="10"/>
      <c r="N8112" s="10"/>
      <c r="O8112" s="10"/>
      <c r="P8112" s="10"/>
      <c r="Q8112" s="10"/>
      <c r="R8112" s="10"/>
      <c r="S8112" s="10"/>
      <c r="T8112" s="10"/>
      <c r="U8112" s="10"/>
      <c r="V8112" s="10"/>
      <c r="W8112" s="10"/>
      <c r="X8112" s="10"/>
      <c r="Y8112" s="10"/>
      <c r="Z8112" s="10"/>
    </row>
    <row r="8113" spans="1:26" ht="12.75">
      <c r="A8113" s="10" t="str">
        <f ca="1">IFERROR(__xludf.DUMMYFUNCTION("""COMPUTED_VALUE"""),"Юлия Стефанова Савова")</f>
        <v>Юлия Стефанова Савова</v>
      </c>
      <c r="B8113" s="10" t="str">
        <f ca="1">IFERROR(__xludf.DUMMYFUNCTION("""COMPUTED_VALUE"""),"Статия в списания и поредици")</f>
        <v>Статия в списания и поредици</v>
      </c>
      <c r="C8113" s="10" t="str">
        <f ca="1">IFERROR(__xludf.DUMMYFUNCTION("""COMPUTED_VALUE"""),"Да работиш с носталгия към настоящето: Ценко Цветанов и библиотечното образование")</f>
        <v>Да работиш с носталгия към настоящето: Ценко Цветанов и библиотечното образование</v>
      </c>
      <c r="D8113" s="10">
        <f ca="1">IFERROR(__xludf.DUMMYFUNCTION("""COMPUTED_VALUE"""),2004)</f>
        <v>2004</v>
      </c>
      <c r="E8113" s="10" t="str">
        <f ca="1">IFERROR(__xludf.DUMMYFUNCTION("""COMPUTED_VALUE"""),"Ценко Ц в е т а н о в и българската книжовна култура: Юбил. сб. – София, 2004, с. 144-150 ISBN 954 – 91603 – 1- 9")</f>
        <v>Ценко Ц в е т а н о в и българската книжовна култура: Юбил. сб. – София, 2004, с. 144-150 ISBN 954 – 91603 – 1- 9</v>
      </c>
      <c r="F8113" s="10"/>
      <c r="G8113" s="10"/>
      <c r="H8113" s="10"/>
      <c r="I8113" s="10"/>
      <c r="J8113" s="10"/>
      <c r="K8113" s="10"/>
      <c r="L8113" s="10"/>
      <c r="M8113" s="10"/>
      <c r="N8113" s="10"/>
      <c r="O8113" s="10"/>
      <c r="P8113" s="10"/>
      <c r="Q8113" s="10"/>
      <c r="R8113" s="10"/>
      <c r="S8113" s="10"/>
      <c r="T8113" s="10"/>
      <c r="U8113" s="10"/>
      <c r="V8113" s="10"/>
      <c r="W8113" s="10"/>
      <c r="X8113" s="10"/>
      <c r="Y8113" s="10"/>
      <c r="Z8113" s="10"/>
    </row>
    <row r="8114" spans="1:26" ht="12.75">
      <c r="A8114" s="10" t="str">
        <f ca="1">IFERROR(__xludf.DUMMYFUNCTION("""COMPUTED_VALUE"""),"Юлия Стефанова Савова")</f>
        <v>Юлия Стефанова Савова</v>
      </c>
      <c r="B8114" s="10" t="str">
        <f ca="1">IFERROR(__xludf.DUMMYFUNCTION("""COMPUTED_VALUE"""),"Статия в списания и поредици")</f>
        <v>Статия в списания и поредици</v>
      </c>
      <c r="C8114" s="10" t="str">
        <f ca="1">IFERROR(__xludf.DUMMYFUNCTION("""COMPUTED_VALUE"""),"Ценко Цветанов и библиотечното образование")</f>
        <v>Ценко Цветанов и библиотечното образование</v>
      </c>
      <c r="D8114" s="10">
        <f ca="1">IFERROR(__xludf.DUMMYFUNCTION("""COMPUTED_VALUE"""),2004)</f>
        <v>2004</v>
      </c>
      <c r="E8114" s="10" t="str">
        <f ca="1">IFERROR(__xludf.DUMMYFUNCTION("""COMPUTED_VALUE"""),"Б и б л и о т е к а, 2004, № 3-4, с. 13-17 ISSN 0861 847 X")</f>
        <v>Б и б л и о т е к а, 2004, № 3-4, с. 13-17 ISSN 0861 847 X</v>
      </c>
      <c r="F8114" s="10"/>
      <c r="G8114" s="10"/>
      <c r="H8114" s="10"/>
      <c r="I8114" s="10"/>
      <c r="J8114" s="10"/>
      <c r="K8114" s="10"/>
      <c r="L8114" s="10"/>
      <c r="M8114" s="10"/>
      <c r="N8114" s="10"/>
      <c r="O8114" s="10"/>
      <c r="P8114" s="10"/>
      <c r="Q8114" s="10"/>
      <c r="R8114" s="10"/>
      <c r="S8114" s="10"/>
      <c r="T8114" s="10"/>
      <c r="U8114" s="10"/>
      <c r="V8114" s="10"/>
      <c r="W8114" s="10"/>
      <c r="X8114" s="10"/>
      <c r="Y8114" s="10"/>
      <c r="Z8114" s="10"/>
    </row>
    <row r="8115" spans="1:26" ht="12.75">
      <c r="A8115" s="10" t="str">
        <f ca="1">IFERROR(__xludf.DUMMYFUNCTION("""COMPUTED_VALUE"""),"Юлия Стефанова Савова")</f>
        <v>Юлия Стефанова Савова</v>
      </c>
      <c r="B8115" s="10" t="str">
        <f ca="1">IFERROR(__xludf.DUMMYFUNCTION("""COMPUTED_VALUE"""),"Доклад от конференция")</f>
        <v>Доклад от конференция</v>
      </c>
      <c r="C8115" s="10" t="str">
        <f ca="1">IFERROR(__xludf.DUMMYFUNCTION("""COMPUTED_VALUE"""),"Взаимодействие основных участников книжного сектора: состояние Болгарии")</f>
        <v>Взаимодействие основных участников книжного сектора: состояние Болгарии</v>
      </c>
      <c r="D8115" s="10">
        <f ca="1">IFERROR(__xludf.DUMMYFUNCTION("""COMPUTED_VALUE"""),2004)</f>
        <v>2004</v>
      </c>
      <c r="E8115" s="10" t="str">
        <f ca="1">IFERROR(__xludf.DUMMYFUNCTION("""COMPUTED_VALUE"""),"Р А Н. Материалы одиннацатой международной научной конференции по проблемам книговедения. Книга и мировая цивилизация. Т. 3. – Москва: Наука, 2004, с. 330-334 ISBN 5 – 02 – 033267 – 4")</f>
        <v>Р А Н. Материалы одиннацатой международной научной конференции по проблемам книговедения. Книга и мировая цивилизация. Т. 3. – Москва: Наука, 2004, с. 330-334 ISBN 5 – 02 – 033267 – 4</v>
      </c>
      <c r="F8115" s="10"/>
      <c r="G8115" s="10"/>
      <c r="H8115" s="10"/>
      <c r="I8115" s="10"/>
      <c r="J8115" s="10"/>
      <c r="K8115" s="10"/>
      <c r="L8115" s="10"/>
      <c r="M8115" s="10"/>
      <c r="N8115" s="10"/>
      <c r="O8115" s="10"/>
      <c r="P8115" s="10"/>
      <c r="Q8115" s="10"/>
      <c r="R8115" s="10"/>
      <c r="S8115" s="10"/>
      <c r="T8115" s="10"/>
      <c r="U8115" s="10"/>
      <c r="V8115" s="10"/>
      <c r="W8115" s="10"/>
      <c r="X8115" s="10"/>
      <c r="Y8115" s="10"/>
      <c r="Z8115" s="10"/>
    </row>
    <row r="8116" spans="1:26" ht="12.75">
      <c r="A8116" s="10" t="str">
        <f ca="1">IFERROR(__xludf.DUMMYFUNCTION("""COMPUTED_VALUE"""),"Юлия Стефанова Савова")</f>
        <v>Юлия Стефанова Савова</v>
      </c>
      <c r="B8116" s="10" t="str">
        <f ca="1">IFERROR(__xludf.DUMMYFUNCTION("""COMPUTED_VALUE"""),"Статия в списания и поредици")</f>
        <v>Статия в списания и поредици</v>
      </c>
      <c r="C8116" s="10" t="str">
        <f ca="1">IFERROR(__xludf.DUMMYFUNCTION("""COMPUTED_VALUE"""),"Българското библиотечно-информационно образование в контекста на промените и съвременните тенденции")</f>
        <v>Българското библиотечно-информационно образование в контекста на промените и съвременните тенденции</v>
      </c>
      <c r="D8116" s="10">
        <f ca="1">IFERROR(__xludf.DUMMYFUNCTION("""COMPUTED_VALUE"""),2004)</f>
        <v>2004</v>
      </c>
      <c r="E8116" s="10" t="str">
        <f ca="1">IFERROR(__xludf.DUMMYFUNCTION("""COMPUTED_VALUE"""),"Б и б л и о т е к а, 2004, №1, с. 15-25 ISSN 0861 847 X")</f>
        <v>Б и б л и о т е к а, 2004, №1, с. 15-25 ISSN 0861 847 X</v>
      </c>
      <c r="F8116" s="10"/>
      <c r="G8116" s="10"/>
      <c r="H8116" s="10"/>
      <c r="I8116" s="10"/>
      <c r="J8116" s="10"/>
      <c r="K8116" s="10"/>
      <c r="L8116" s="10"/>
      <c r="M8116" s="10"/>
      <c r="N8116" s="10"/>
      <c r="O8116" s="10"/>
      <c r="P8116" s="10"/>
      <c r="Q8116" s="10"/>
      <c r="R8116" s="10"/>
      <c r="S8116" s="10"/>
      <c r="T8116" s="10"/>
      <c r="U8116" s="10"/>
      <c r="V8116" s="10"/>
      <c r="W8116" s="10"/>
      <c r="X8116" s="10"/>
      <c r="Y8116" s="10"/>
      <c r="Z8116" s="10"/>
    </row>
    <row r="8117" spans="1:26" ht="12.75">
      <c r="A8117" s="10" t="str">
        <f ca="1">IFERROR(__xludf.DUMMYFUNCTION("""COMPUTED_VALUE"""),"Юлия Стефанова Савова")</f>
        <v>Юлия Стефанова Савова</v>
      </c>
      <c r="B8117" s="10" t="str">
        <f ca="1">IFERROR(__xludf.DUMMYFUNCTION("""COMPUTED_VALUE"""),"Доклад от конференция")</f>
        <v>Доклад от конференция</v>
      </c>
      <c r="C8117" s="10" t="str">
        <f ca="1">IFERROR(__xludf.DUMMYFUNCTION("""COMPUTED_VALUE"""),"Взаимодействие между основните участници в книжния сектор: новият подход в Русия")</f>
        <v>Взаимодействие между основните участници в книжния сектор: новият подход в Русия</v>
      </c>
      <c r="D8117" s="10">
        <f ca="1">IFERROR(__xludf.DUMMYFUNCTION("""COMPUTED_VALUE"""),2004)</f>
        <v>2004</v>
      </c>
      <c r="E8117" s="10" t="str">
        <f ca="1">IFERROR(__xludf.DUMMYFUNCTION("""COMPUTED_VALUE"""),"К н и г а т а: бъдеще време в миналото?!: Национална науч. конф., 1 ноември 2003 г. – София, 2004, с. 184-193 ISBN 954 – 739 – 580 – 7")</f>
        <v>К н и г а т а: бъдеще време в миналото?!: Национална науч. конф., 1 ноември 2003 г. – София, 2004, с. 184-193 ISBN 954 – 739 – 580 – 7</v>
      </c>
      <c r="F8117" s="10"/>
      <c r="G8117" s="10"/>
      <c r="H8117" s="10"/>
      <c r="I8117" s="10"/>
      <c r="J8117" s="10"/>
      <c r="K8117" s="10"/>
      <c r="L8117" s="10"/>
      <c r="M8117" s="10"/>
      <c r="N8117" s="10"/>
      <c r="O8117" s="10"/>
      <c r="P8117" s="10"/>
      <c r="Q8117" s="10"/>
      <c r="R8117" s="10"/>
      <c r="S8117" s="10"/>
      <c r="T8117" s="10"/>
      <c r="U8117" s="10"/>
      <c r="V8117" s="10"/>
      <c r="W8117" s="10"/>
      <c r="X8117" s="10"/>
      <c r="Y8117" s="10"/>
      <c r="Z8117" s="10"/>
    </row>
    <row r="8118" spans="1:26" ht="12.75">
      <c r="A8118" s="10" t="str">
        <f ca="1">IFERROR(__xludf.DUMMYFUNCTION("""COMPUTED_VALUE"""),"Юлия Стефанова Савова")</f>
        <v>Юлия Стефанова Савова</v>
      </c>
      <c r="B8118" s="10" t="str">
        <f ca="1">IFERROR(__xludf.DUMMYFUNCTION("""COMPUTED_VALUE"""),"Доклад от конференция")</f>
        <v>Доклад от конференция</v>
      </c>
      <c r="C8118" s="10" t="str">
        <f ca="1">IFERROR(__xludf.DUMMYFUNCTION("""COMPUTED_VALUE"""),"Еволюция и конкуренция в областта на информационните професии. Нови образователни възможности")</f>
        <v>Еволюция и конкуренция в областта на информационните професии. Нови образователни възможности</v>
      </c>
      <c r="D8118" s="10">
        <f ca="1">IFERROR(__xludf.DUMMYFUNCTION("""COMPUTED_VALUE"""),2004)</f>
        <v>2004</v>
      </c>
      <c r="E8118" s="10" t="str">
        <f ca="1">IFERROR(__xludf.DUMMYFUNCTION("""COMPUTED_VALUE"""),"М е ж д у н а р о д н о висше бизнес училище – Ботевград. Международна научно – практическа конференция. Правец. Преподаване, учене и контрол във висшето образование. – Ботевград, 2004, с. 468-474 ISBN 954-9432-02-5")</f>
        <v>М е ж д у н а р о д н о висше бизнес училище – Ботевград. Международна научно – практическа конференция. Правец. Преподаване, учене и контрол във висшето образование. – Ботевград, 2004, с. 468-474 ISBN 954-9432-02-5</v>
      </c>
      <c r="F8118" s="10"/>
      <c r="G8118" s="10"/>
      <c r="H8118" s="10"/>
      <c r="I8118" s="10"/>
      <c r="J8118" s="10"/>
      <c r="K8118" s="10"/>
      <c r="L8118" s="10"/>
      <c r="M8118" s="10"/>
      <c r="N8118" s="10"/>
      <c r="O8118" s="10"/>
      <c r="P8118" s="10"/>
      <c r="Q8118" s="10"/>
      <c r="R8118" s="10"/>
      <c r="S8118" s="10"/>
      <c r="T8118" s="10"/>
      <c r="U8118" s="10"/>
      <c r="V8118" s="10"/>
      <c r="W8118" s="10"/>
      <c r="X8118" s="10"/>
      <c r="Y8118" s="10"/>
      <c r="Z8118" s="10"/>
    </row>
    <row r="8119" spans="1:26" ht="12.75">
      <c r="A8119" s="10" t="str">
        <f ca="1">IFERROR(__xludf.DUMMYFUNCTION("""COMPUTED_VALUE"""),"Юлия Стефанова Савова")</f>
        <v>Юлия Стефанова Савова</v>
      </c>
      <c r="B8119" s="10" t="str">
        <f ca="1">IFERROR(__xludf.DUMMYFUNCTION("""COMPUTED_VALUE"""),"Статия в списания и поредици")</f>
        <v>Статия в списания и поредици</v>
      </c>
      <c r="C8119" s="10" t="str">
        <f ca="1">IFERROR(__xludf.DUMMYFUNCTION("""COMPUTED_VALUE"""),"За библиографията и нейното място в библиотечно – информационното образование")</f>
        <v>За библиографията и нейното място в библиотечно – информационното образование</v>
      </c>
      <c r="D8119" s="10">
        <f ca="1">IFERROR(__xludf.DUMMYFUNCTION("""COMPUTED_VALUE"""),2003)</f>
        <v>2003</v>
      </c>
      <c r="E8119" s="10" t="str">
        <f ca="1">IFERROR(__xludf.DUMMYFUNCTION("""COMPUTED_VALUE"""),"Б и б л и о т е к а, 2003, №1-2, с. 71-81 ISSN 0861 847 X")</f>
        <v>Б и б л и о т е к а, 2003, №1-2, с. 71-81 ISSN 0861 847 X</v>
      </c>
      <c r="F8119" s="10"/>
      <c r="G8119" s="10"/>
      <c r="H8119" s="10"/>
      <c r="I8119" s="10"/>
      <c r="J8119" s="10"/>
      <c r="K8119" s="10"/>
      <c r="L8119" s="10"/>
      <c r="M8119" s="10"/>
      <c r="N8119" s="10"/>
      <c r="O8119" s="10"/>
      <c r="P8119" s="10"/>
      <c r="Q8119" s="10"/>
      <c r="R8119" s="10"/>
      <c r="S8119" s="10"/>
      <c r="T8119" s="10"/>
      <c r="U8119" s="10"/>
      <c r="V8119" s="10"/>
      <c r="W8119" s="10"/>
      <c r="X8119" s="10"/>
      <c r="Y8119" s="10"/>
      <c r="Z8119" s="10"/>
    </row>
    <row r="8120" spans="1:26" ht="12.75">
      <c r="A8120" s="10" t="str">
        <f ca="1">IFERROR(__xludf.DUMMYFUNCTION("""COMPUTED_VALUE"""),"Юлия Стефанова Савова")</f>
        <v>Юлия Стефанова Савова</v>
      </c>
      <c r="B8120" s="10" t="str">
        <f ca="1">IFERROR(__xludf.DUMMYFUNCTION("""COMPUTED_VALUE"""),"Доклад от конференция")</f>
        <v>Доклад от конференция</v>
      </c>
      <c r="C8120" s="10" t="str">
        <f ca="1">IFERROR(__xludf.DUMMYFUNCTION("""COMPUTED_VALUE"""),"Българското библиотечно – информационно образование (БИО) в контекста на промените и съвременните тенденции")</f>
        <v>Българското библиотечно – информационно образование (БИО) в контекста на промените и съвременните тенденции</v>
      </c>
      <c r="D8120" s="10">
        <f ca="1">IFERROR(__xludf.DUMMYFUNCTION("""COMPUTED_VALUE"""),2003)</f>
        <v>2003</v>
      </c>
      <c r="E8120" s="10" t="str">
        <f ca="1">IFERROR(__xludf.DUMMYFUNCTION("""COMPUTED_VALUE"""),"О б щ е с т в о на знанието и образование за всички: Юбилейна научна сесия “10 години “Стратегии на образователната и научната политика”. – София: МОН, 2003, с. 76 – 84, ISBN 954 – 9783 – 54 – 5")</f>
        <v>О б щ е с т в о на знанието и образование за всички: Юбилейна научна сесия “10 години “Стратегии на образователната и научната политика”. – София: МОН, 2003, с. 76 – 84, ISBN 954 – 9783 – 54 – 5</v>
      </c>
      <c r="F8120" s="10"/>
      <c r="G8120" s="10"/>
      <c r="H8120" s="10"/>
      <c r="I8120" s="10"/>
      <c r="J8120" s="10"/>
      <c r="K8120" s="10"/>
      <c r="L8120" s="10"/>
      <c r="M8120" s="10"/>
      <c r="N8120" s="10"/>
      <c r="O8120" s="10"/>
      <c r="P8120" s="10"/>
      <c r="Q8120" s="10"/>
      <c r="R8120" s="10"/>
      <c r="S8120" s="10"/>
      <c r="T8120" s="10"/>
      <c r="U8120" s="10"/>
      <c r="V8120" s="10"/>
      <c r="W8120" s="10"/>
      <c r="X8120" s="10"/>
      <c r="Y8120" s="10"/>
      <c r="Z8120" s="10"/>
    </row>
    <row r="8121" spans="1:26" ht="12.75">
      <c r="A8121" s="10" t="str">
        <f ca="1">IFERROR(__xludf.DUMMYFUNCTION("""COMPUTED_VALUE"""),"Юлия Стефанова Савова")</f>
        <v>Юлия Стефанова Савова</v>
      </c>
      <c r="B8121" s="10" t="str">
        <f ca="1">IFERROR(__xludf.DUMMYFUNCTION("""COMPUTED_VALUE"""),"Статия в списания и поредици")</f>
        <v>Статия в списания и поредици</v>
      </c>
      <c r="C8121" s="10" t="str">
        <f ca="1">IFERROR(__xludf.DUMMYFUNCTION("""COMPUTED_VALUE"""),"Библиография и маркетинг на книгата")</f>
        <v>Библиография и маркетинг на книгата</v>
      </c>
      <c r="D8121" s="10">
        <f ca="1">IFERROR(__xludf.DUMMYFUNCTION("""COMPUTED_VALUE"""),2002)</f>
        <v>2002</v>
      </c>
      <c r="E8121" s="10" t="str">
        <f ca="1">IFERROR(__xludf.DUMMYFUNCTION("""COMPUTED_VALUE"""),"Б ъ л г а р с к а библиография 1852 – 2002 г.: Юбилеен сборник. – В. Търново. Астарта, 2002, с. 50-54 ISBN 954-91193-2-7")</f>
        <v>Б ъ л г а р с к а библиография 1852 – 2002 г.: Юбилеен сборник. – В. Търново. Астарта, 2002, с. 50-54 ISBN 954-91193-2-7</v>
      </c>
      <c r="F8121" s="10"/>
      <c r="G8121" s="10"/>
      <c r="H8121" s="10"/>
      <c r="I8121" s="10"/>
      <c r="J8121" s="10"/>
      <c r="K8121" s="10"/>
      <c r="L8121" s="10"/>
      <c r="M8121" s="10"/>
      <c r="N8121" s="10"/>
      <c r="O8121" s="10"/>
      <c r="P8121" s="10"/>
      <c r="Q8121" s="10"/>
      <c r="R8121" s="10"/>
      <c r="S8121" s="10"/>
      <c r="T8121" s="10"/>
      <c r="U8121" s="10"/>
      <c r="V8121" s="10"/>
      <c r="W8121" s="10"/>
      <c r="X8121" s="10"/>
      <c r="Y8121" s="10"/>
      <c r="Z8121" s="10"/>
    </row>
    <row r="8122" spans="1:26" ht="12.75">
      <c r="A8122" s="10" t="str">
        <f ca="1">IFERROR(__xludf.DUMMYFUNCTION("""COMPUTED_VALUE"""),"Юлия Стефанова Савова")</f>
        <v>Юлия Стефанова Савова</v>
      </c>
      <c r="B8122" s="10" t="str">
        <f ca="1">IFERROR(__xludf.DUMMYFUNCTION("""COMPUTED_VALUE"""),"Доклад от конференция")</f>
        <v>Доклад от конференция</v>
      </c>
      <c r="C8122" s="10" t="str">
        <f ca="1">IFERROR(__xludf.DUMMYFUNCTION("""COMPUTED_VALUE"""),"Моделът на библиотечно – информационното образование в Швеция")</f>
        <v>Моделът на библиотечно – информационното образование в Швеция</v>
      </c>
      <c r="D8122" s="10">
        <f ca="1">IFERROR(__xludf.DUMMYFUNCTION("""COMPUTED_VALUE"""),2002)</f>
        <v>2002</v>
      </c>
      <c r="E8122" s="10" t="str">
        <f ca="1">IFERROR(__xludf.DUMMYFUNCTION("""COMPUTED_VALUE"""),"С ъ ю з на библиотечните и информационни работници. Национална науч. конф. ХІ. София. СБИР в началото на 21 век. – София. СБИР, 2002, с. 68-74 ISBN 954 – 9837 – 06 - 8")</f>
        <v>С ъ ю з на библиотечните и информационни работници. Национална науч. конф. ХІ. София. СБИР в началото на 21 век. – София. СБИР, 2002, с. 68-74 ISBN 954 – 9837 – 06 - 8</v>
      </c>
      <c r="F8122" s="10"/>
      <c r="G8122" s="10"/>
      <c r="H8122" s="10"/>
      <c r="I8122" s="10"/>
      <c r="J8122" s="10"/>
      <c r="K8122" s="10"/>
      <c r="L8122" s="10"/>
      <c r="M8122" s="10"/>
      <c r="N8122" s="10"/>
      <c r="O8122" s="10"/>
      <c r="P8122" s="10"/>
      <c r="Q8122" s="10"/>
      <c r="R8122" s="10"/>
      <c r="S8122" s="10"/>
      <c r="T8122" s="10"/>
      <c r="U8122" s="10"/>
      <c r="V8122" s="10"/>
      <c r="W8122" s="10"/>
      <c r="X8122" s="10"/>
      <c r="Y8122" s="10"/>
      <c r="Z8122" s="10"/>
    </row>
    <row r="8123" spans="1:26" ht="12.75">
      <c r="A8123" s="10" t="str">
        <f ca="1">IFERROR(__xludf.DUMMYFUNCTION("""COMPUTED_VALUE"""),"Юлия Стефанова Савова")</f>
        <v>Юлия Стефанова Савова</v>
      </c>
      <c r="B8123" s="10" t="str">
        <f ca="1">IFERROR(__xludf.DUMMYFUNCTION("""COMPUTED_VALUE"""),"Доклад от конференция")</f>
        <v>Доклад от конференция</v>
      </c>
      <c r="C8123" s="10" t="str">
        <f ca="1">IFERROR(__xludf.DUMMYFUNCTION("""COMPUTED_VALUE"""),"Стоян Аргиров и библиотечното образование")</f>
        <v>Стоян Аргиров и библиотечното образование</v>
      </c>
      <c r="D8123" s="10">
        <f ca="1">IFERROR(__xludf.DUMMYFUNCTION("""COMPUTED_VALUE"""),2001)</f>
        <v>2001</v>
      </c>
      <c r="E8123" s="10" t="str">
        <f ca="1">IFERROR(__xludf.DUMMYFUNCTION("""COMPUTED_VALUE"""),"Академик Стоян А р г и р о в и библиотечното дело в България: Юбилейна научна конференция 28 – 29 февруари 2001 г. - София: Унив. изд. „Св. Климент Охридски”, 2001, с. 69-73, ISBN 954–07–1577-6")</f>
        <v>Академик Стоян А р г и р о в и библиотечното дело в България: Юбилейна научна конференция 28 – 29 февруари 2001 г. - София: Унив. изд. „Св. Климент Охридски”, 2001, с. 69-73, ISBN 954–07–1577-6</v>
      </c>
      <c r="F8123" s="10"/>
      <c r="G8123" s="10"/>
      <c r="H8123" s="10"/>
      <c r="I8123" s="10"/>
      <c r="J8123" s="10"/>
      <c r="K8123" s="10"/>
      <c r="L8123" s="10"/>
      <c r="M8123" s="10"/>
      <c r="N8123" s="10"/>
      <c r="O8123" s="10"/>
      <c r="P8123" s="10"/>
      <c r="Q8123" s="10"/>
      <c r="R8123" s="10"/>
      <c r="S8123" s="10"/>
      <c r="T8123" s="10"/>
      <c r="U8123" s="10"/>
      <c r="V8123" s="10"/>
      <c r="W8123" s="10"/>
      <c r="X8123" s="10"/>
      <c r="Y8123" s="10"/>
      <c r="Z8123" s="10"/>
    </row>
    <row r="8124" spans="1:26" ht="12.75">
      <c r="A8124" s="10" t="str">
        <f ca="1">IFERROR(__xludf.DUMMYFUNCTION("""COMPUTED_VALUE"""),"Юлия Стефанова Савова")</f>
        <v>Юлия Стефанова Савова</v>
      </c>
      <c r="B8124" s="10" t="str">
        <f ca="1">IFERROR(__xludf.DUMMYFUNCTION("""COMPUTED_VALUE"""),"Доклад от конференция")</f>
        <v>Доклад от конференция</v>
      </c>
      <c r="C8124" s="10" t="str">
        <f ca="1">IFERROR(__xludf.DUMMYFUNCTION("""COMPUTED_VALUE"""),"Библиотечно – информационното образование в България – традиции, тенденции, бъдеще")</f>
        <v>Библиотечно – информационното образование в България – традиции, тенденции, бъдеще</v>
      </c>
      <c r="D8124" s="10">
        <f ca="1">IFERROR(__xludf.DUMMYFUNCTION("""COMPUTED_VALUE"""),2001)</f>
        <v>2001</v>
      </c>
      <c r="E8124" s="10" t="str">
        <f ca="1">IFERROR(__xludf.DUMMYFUNCTION("""COMPUTED_VALUE"""),"С ъ ю з на библиотечните и информационни работници. Национална науч. конф. на СБИР. Х. 2000. София. Библиотечната система в България. – София, 2001, с. 41-46 ISBN 954 – 9837 – 05 – X")</f>
        <v>С ъ ю з на библиотечните и информационни работници. Национална науч. конф. на СБИР. Х. 2000. София. Библиотечната система в България. – София, 2001, с. 41-46 ISBN 954 – 9837 – 05 – X</v>
      </c>
      <c r="F8124" s="10"/>
      <c r="G8124" s="10"/>
      <c r="H8124" s="10"/>
      <c r="I8124" s="10"/>
      <c r="J8124" s="10"/>
      <c r="K8124" s="10"/>
      <c r="L8124" s="10"/>
      <c r="M8124" s="10"/>
      <c r="N8124" s="10"/>
      <c r="O8124" s="10"/>
      <c r="P8124" s="10"/>
      <c r="Q8124" s="10"/>
      <c r="R8124" s="10"/>
      <c r="S8124" s="10"/>
      <c r="T8124" s="10"/>
      <c r="U8124" s="10"/>
      <c r="V8124" s="10"/>
      <c r="W8124" s="10"/>
      <c r="X8124" s="10"/>
      <c r="Y8124" s="10"/>
      <c r="Z8124" s="10"/>
    </row>
    <row r="8125" spans="1:26" ht="12.75">
      <c r="A8125" s="10" t="str">
        <f ca="1">IFERROR(__xludf.DUMMYFUNCTION("""COMPUTED_VALUE"""),"Юлия Стефанова Савова")</f>
        <v>Юлия Стефанова Савова</v>
      </c>
      <c r="B8125" s="10" t="str">
        <f ca="1">IFERROR(__xludf.DUMMYFUNCTION("""COMPUTED_VALUE"""),"Статия в списания и поредици")</f>
        <v>Статия в списания и поредици</v>
      </c>
      <c r="C8125" s="10" t="str">
        <f ca="1">IFERROR(__xludf.DUMMYFUNCTION("""COMPUTED_VALUE"""),"Българското библиотечно – информационно образование в огледалото на професионалния печат (1990 – 2000)")</f>
        <v>Българското библиотечно – информационно образование в огледалото на професионалния печат (1990 – 2000)</v>
      </c>
      <c r="D8125" s="10">
        <f ca="1">IFERROR(__xludf.DUMMYFUNCTION("""COMPUTED_VALUE"""),2001)</f>
        <v>2001</v>
      </c>
      <c r="E8125" s="10" t="str">
        <f ca="1">IFERROR(__xludf.DUMMYFUNCTION("""COMPUTED_VALUE"""),"Б и б л и о т е к а, 2001, № 3-4, с. 16 – 23 ISSN 0861 847 X")</f>
        <v>Б и б л и о т е к а, 2001, № 3-4, с. 16 – 23 ISSN 0861 847 X</v>
      </c>
      <c r="F8125" s="10"/>
      <c r="G8125" s="10"/>
      <c r="H8125" s="10"/>
      <c r="I8125" s="10"/>
      <c r="J8125" s="10"/>
      <c r="K8125" s="10"/>
      <c r="L8125" s="10"/>
      <c r="M8125" s="10"/>
      <c r="N8125" s="10"/>
      <c r="O8125" s="10"/>
      <c r="P8125" s="10"/>
      <c r="Q8125" s="10"/>
      <c r="R8125" s="10"/>
      <c r="S8125" s="10"/>
      <c r="T8125" s="10"/>
      <c r="U8125" s="10"/>
      <c r="V8125" s="10"/>
      <c r="W8125" s="10"/>
      <c r="X8125" s="10"/>
      <c r="Y8125" s="10"/>
      <c r="Z8125" s="10"/>
    </row>
    <row r="8126" spans="1:26" ht="12.75">
      <c r="A8126" s="10" t="str">
        <f ca="1">IFERROR(__xludf.DUMMYFUNCTION("""COMPUTED_VALUE"""),"Юлия Стефанова Савова")</f>
        <v>Юлия Стефанова Савова</v>
      </c>
      <c r="B8126" s="10" t="str">
        <f ca="1">IFERROR(__xludf.DUMMYFUNCTION("""COMPUTED_VALUE"""),"Статия в списания и поредици")</f>
        <v>Статия в списания и поредици</v>
      </c>
      <c r="C8126" s="10" t="str">
        <f ca="1">IFERROR(__xludf.DUMMYFUNCTION("""COMPUTED_VALUE"""),"Информатизация на библиографията и проблеми на преподаването и на студентите по библиотечно - информационни науки")</f>
        <v>Информатизация на библиографията и проблеми на преподаването и на студентите по библиотечно - информационни науки</v>
      </c>
      <c r="D8126" s="10">
        <f ca="1">IFERROR(__xludf.DUMMYFUNCTION("""COMPUTED_VALUE"""),1998)</f>
        <v>1998</v>
      </c>
      <c r="E8126" s="10" t="str">
        <f ca="1">IFERROR(__xludf.DUMMYFUNCTION("""COMPUTED_VALUE"""),"Б и б л и о т е к о з н а н и е, библиография, книгознание, 1998, №7, с. 128-132 ISSN 0861 – 4881")</f>
        <v>Б и б л и о т е к о з н а н и е, библиография, книгознание, 1998, №7, с. 128-132 ISSN 0861 – 4881</v>
      </c>
      <c r="F8126" s="10"/>
      <c r="G8126" s="10"/>
      <c r="H8126" s="10"/>
      <c r="I8126" s="10"/>
      <c r="J8126" s="10"/>
      <c r="K8126" s="10"/>
      <c r="L8126" s="10"/>
      <c r="M8126" s="10"/>
      <c r="N8126" s="10"/>
      <c r="O8126" s="10"/>
      <c r="P8126" s="10"/>
      <c r="Q8126" s="10"/>
      <c r="R8126" s="10"/>
      <c r="S8126" s="10"/>
      <c r="T8126" s="10"/>
      <c r="U8126" s="10"/>
      <c r="V8126" s="10"/>
      <c r="W8126" s="10"/>
      <c r="X8126" s="10"/>
      <c r="Y8126" s="10"/>
      <c r="Z8126" s="10"/>
    </row>
    <row r="8127" spans="1:26" ht="12.75">
      <c r="A8127" s="10" t="str">
        <f ca="1">IFERROR(__xludf.DUMMYFUNCTION("""COMPUTED_VALUE"""),"Юлия Стефанова Савова")</f>
        <v>Юлия Стефанова Савова</v>
      </c>
      <c r="B8127" s="10" t="str">
        <f ca="1">IFERROR(__xludf.DUMMYFUNCTION("""COMPUTED_VALUE"""),"Статия в списания и поредици")</f>
        <v>Статия в списания и поредици</v>
      </c>
      <c r="C8127" s="10" t="str">
        <f ca="1">IFERROR(__xludf.DUMMYFUNCTION("""COMPUTED_VALUE"""),"Приносът на Пол Отле. Универсалната десетична класификация в България")</f>
        <v>Приносът на Пол Отле. Универсалната десетична класификация в България</v>
      </c>
      <c r="D8127" s="10">
        <f ca="1">IFERROR(__xludf.DUMMYFUNCTION("""COMPUTED_VALUE"""),1997)</f>
        <v>1997</v>
      </c>
      <c r="E8127" s="10" t="str">
        <f ca="1">IFERROR(__xludf.DUMMYFUNCTION("""COMPUTED_VALUE"""),"Ч и т а л и щ е, 1997, №9-10, с.10, ISSN 0324 – 0746")</f>
        <v>Ч и т а л и щ е, 1997, №9-10, с.10, ISSN 0324 – 0746</v>
      </c>
      <c r="F8127" s="10"/>
      <c r="G8127" s="10"/>
      <c r="H8127" s="10"/>
      <c r="I8127" s="10"/>
      <c r="J8127" s="10"/>
      <c r="K8127" s="10"/>
      <c r="L8127" s="10"/>
      <c r="M8127" s="10"/>
      <c r="N8127" s="10"/>
      <c r="O8127" s="10"/>
      <c r="P8127" s="10"/>
      <c r="Q8127" s="10"/>
      <c r="R8127" s="10"/>
      <c r="S8127" s="10"/>
      <c r="T8127" s="10"/>
      <c r="U8127" s="10"/>
      <c r="V8127" s="10"/>
      <c r="W8127" s="10"/>
      <c r="X8127" s="10"/>
      <c r="Y8127" s="10"/>
      <c r="Z8127" s="10"/>
    </row>
    <row r="8128" spans="1:26" ht="12.75">
      <c r="A8128" s="10" t="str">
        <f ca="1">IFERROR(__xludf.DUMMYFUNCTION("""COMPUTED_VALUE"""),"Юлия Стефанова Савова")</f>
        <v>Юлия Стефанова Савова</v>
      </c>
      <c r="B8128" s="10" t="str">
        <f ca="1">IFERROR(__xludf.DUMMYFUNCTION("""COMPUTED_VALUE"""),"Статия в списания и поредици")</f>
        <v>Статия в списания и поредици</v>
      </c>
      <c r="C8128" s="10" t="str">
        <f ca="1">IFERROR(__xludf.DUMMYFUNCTION("""COMPUTED_VALUE"""),"Български интелектуалец и читалищен деец")</f>
        <v>Български интелектуалец и читалищен деец</v>
      </c>
      <c r="D8128" s="10">
        <f ca="1">IFERROR(__xludf.DUMMYFUNCTION("""COMPUTED_VALUE"""),1997)</f>
        <v>1997</v>
      </c>
      <c r="E8128" s="10" t="str">
        <f ca="1">IFERROR(__xludf.DUMMYFUNCTION("""COMPUTED_VALUE"""),"Ч и т а л и щ е, 1997, № 7-8, с. 22, ISSN 0324 – 0746")</f>
        <v>Ч и т а л и щ е, 1997, № 7-8, с. 22, ISSN 0324 – 0746</v>
      </c>
      <c r="F8128" s="10"/>
      <c r="G8128" s="10"/>
      <c r="H8128" s="10"/>
      <c r="I8128" s="10"/>
      <c r="J8128" s="10"/>
      <c r="K8128" s="10"/>
      <c r="L8128" s="10"/>
      <c r="M8128" s="10"/>
      <c r="N8128" s="10"/>
      <c r="O8128" s="10"/>
      <c r="P8128" s="10"/>
      <c r="Q8128" s="10"/>
      <c r="R8128" s="10"/>
      <c r="S8128" s="10"/>
      <c r="T8128" s="10"/>
      <c r="U8128" s="10"/>
      <c r="V8128" s="10"/>
      <c r="W8128" s="10"/>
      <c r="X8128" s="10"/>
      <c r="Y8128" s="10"/>
      <c r="Z8128" s="10"/>
    </row>
    <row r="8129" spans="1:26" ht="12.75">
      <c r="A8129" s="10" t="str">
        <f ca="1">IFERROR(__xludf.DUMMYFUNCTION("""COMPUTED_VALUE"""),"Юлия Стефанова Савова")</f>
        <v>Юлия Стефанова Савова</v>
      </c>
      <c r="B8129" s="10" t="str">
        <f ca="1">IFERROR(__xludf.DUMMYFUNCTION("""COMPUTED_VALUE"""),"Студия")</f>
        <v>Студия</v>
      </c>
      <c r="C8129" s="10" t="str">
        <f ca="1">IFERROR(__xludf.DUMMYFUNCTION("""COMPUTED_VALUE"""),"Периодика и библиография. Анализ на информационно-библиографските отдели на някои от централните български вестници")</f>
        <v>Периодика и библиография. Анализ на информационно-библиографските отдели на някои от централните български вестници</v>
      </c>
      <c r="D8129" s="10">
        <f ca="1">IFERROR(__xludf.DUMMYFUNCTION("""COMPUTED_VALUE"""),1995)</f>
        <v>1995</v>
      </c>
      <c r="E8129" s="10" t="str">
        <f ca="1">IFERROR(__xludf.DUMMYFUNCTION("""COMPUTED_VALUE"""),"Т р у д о в е на ИБД, 1, 1995, с. 140-155 ISSN 1310 – 6244")</f>
        <v>Т р у д о в е на ИБД, 1, 1995, с. 140-155 ISSN 1310 – 6244</v>
      </c>
      <c r="F8129" s="10"/>
      <c r="G8129" s="10"/>
      <c r="H8129" s="10"/>
      <c r="I8129" s="10"/>
      <c r="J8129" s="10"/>
      <c r="K8129" s="10"/>
      <c r="L8129" s="10"/>
      <c r="M8129" s="10"/>
      <c r="N8129" s="10"/>
      <c r="O8129" s="10"/>
      <c r="P8129" s="10"/>
      <c r="Q8129" s="10"/>
      <c r="R8129" s="10"/>
      <c r="S8129" s="10"/>
      <c r="T8129" s="10"/>
      <c r="U8129" s="10"/>
      <c r="V8129" s="10"/>
      <c r="W8129" s="10"/>
      <c r="X8129" s="10"/>
      <c r="Y8129" s="10"/>
      <c r="Z8129" s="10"/>
    </row>
    <row r="8130" spans="1:26" ht="12.75">
      <c r="A8130" s="10" t="str">
        <f ca="1">IFERROR(__xludf.DUMMYFUNCTION("""COMPUTED_VALUE"""),"Юлия Стефанова Савова")</f>
        <v>Юлия Стефанова Савова</v>
      </c>
      <c r="B8130" s="10" t="str">
        <f ca="1">IFERROR(__xludf.DUMMYFUNCTION("""COMPUTED_VALUE"""),"Статия в списания и поредици")</f>
        <v>Статия в списания и поредици</v>
      </c>
      <c r="C8130" s="10" t="str">
        <f ca="1">IFERROR(__xludf.DUMMYFUNCTION("""COMPUTED_VALUE"""),"Списание “Книжовник” – Плевен и проблемите на българската библиография")</f>
        <v>Списание “Книжовник” – Плевен и проблемите на българската библиография</v>
      </c>
      <c r="D8130" s="10">
        <f ca="1">IFERROR(__xludf.DUMMYFUNCTION("""COMPUTED_VALUE"""),1995)</f>
        <v>1995</v>
      </c>
      <c r="E8130" s="10" t="str">
        <f ca="1">IFERROR(__xludf.DUMMYFUNCTION("""COMPUTED_VALUE"""),"А р х и в з а поселищни проучвания, 1995, ІV, №2, с. 100-104 ISSN 0861 6507")</f>
        <v>А р х и в з а поселищни проучвания, 1995, ІV, №2, с. 100-104 ISSN 0861 6507</v>
      </c>
      <c r="F8130" s="10"/>
      <c r="G8130" s="10"/>
      <c r="H8130" s="10"/>
      <c r="I8130" s="10"/>
      <c r="J8130" s="10"/>
      <c r="K8130" s="10"/>
      <c r="L8130" s="10"/>
      <c r="M8130" s="10"/>
      <c r="N8130" s="10"/>
      <c r="O8130" s="10"/>
      <c r="P8130" s="10"/>
      <c r="Q8130" s="10"/>
      <c r="R8130" s="10"/>
      <c r="S8130" s="10"/>
      <c r="T8130" s="10"/>
      <c r="U8130" s="10"/>
      <c r="V8130" s="10"/>
      <c r="W8130" s="10"/>
      <c r="X8130" s="10"/>
      <c r="Y8130" s="10"/>
      <c r="Z8130" s="10"/>
    </row>
    <row r="8131" spans="1:26" ht="12.75">
      <c r="A8131" s="10" t="str">
        <f ca="1">IFERROR(__xludf.DUMMYFUNCTION("""COMPUTED_VALUE"""),"Юлия Стефанова Савова")</f>
        <v>Юлия Стефанова Савова</v>
      </c>
      <c r="B8131" s="10" t="str">
        <f ca="1">IFERROR(__xludf.DUMMYFUNCTION("""COMPUTED_VALUE"""),"Статия в списания и поредици")</f>
        <v>Статия в списания и поредици</v>
      </c>
      <c r="C8131" s="10" t="str">
        <f ca="1">IFERROR(__xludf.DUMMYFUNCTION("""COMPUTED_VALUE"""),"Местният периодичен печат през погледа на библиографа – краевед")</f>
        <v>Местният периодичен печат през погледа на библиографа – краевед</v>
      </c>
      <c r="D8131" s="10">
        <f ca="1">IFERROR(__xludf.DUMMYFUNCTION("""COMPUTED_VALUE"""),1995)</f>
        <v>1995</v>
      </c>
      <c r="E8131" s="10" t="str">
        <f ca="1">IFERROR(__xludf.DUMMYFUNCTION("""COMPUTED_VALUE"""),"Б и б л и о т е к а, 1995, №11, с.33-36 ISSN 0861 847 X")</f>
        <v>Б и б л и о т е к а, 1995, №11, с.33-36 ISSN 0861 847 X</v>
      </c>
      <c r="F8131" s="10"/>
      <c r="G8131" s="10"/>
      <c r="H8131" s="10"/>
      <c r="I8131" s="10"/>
      <c r="J8131" s="10"/>
      <c r="K8131" s="10"/>
      <c r="L8131" s="10"/>
      <c r="M8131" s="10"/>
      <c r="N8131" s="10"/>
      <c r="O8131" s="10"/>
      <c r="P8131" s="10"/>
      <c r="Q8131" s="10"/>
      <c r="R8131" s="10"/>
      <c r="S8131" s="10"/>
      <c r="T8131" s="10"/>
      <c r="U8131" s="10"/>
      <c r="V8131" s="10"/>
      <c r="W8131" s="10"/>
      <c r="X8131" s="10"/>
      <c r="Y8131" s="10"/>
      <c r="Z8131" s="10"/>
    </row>
    <row r="8132" spans="1:26" ht="12.75">
      <c r="A8132" s="10" t="str">
        <f ca="1">IFERROR(__xludf.DUMMYFUNCTION("""COMPUTED_VALUE"""),"Юлия Стефанова Савова")</f>
        <v>Юлия Стефанова Савова</v>
      </c>
      <c r="B8132" s="10" t="str">
        <f ca="1">IFERROR(__xludf.DUMMYFUNCTION("""COMPUTED_VALUE"""),"Статия в списания и поредици")</f>
        <v>Статия в списания и поредици</v>
      </c>
      <c r="C8132" s="10" t="str">
        <f ca="1">IFERROR(__xludf.DUMMYFUNCTION("""COMPUTED_VALUE"""),"Великата френска революция, отразена в пресата от 1789 г.")</f>
        <v>Великата френска революция, отразена в пресата от 1789 г.</v>
      </c>
      <c r="D8132" s="10">
        <f ca="1">IFERROR(__xludf.DUMMYFUNCTION("""COMPUTED_VALUE"""),1995)</f>
        <v>1995</v>
      </c>
      <c r="E8132" s="10" t="str">
        <f ca="1">IFERROR(__xludf.DUMMYFUNCTION("""COMPUTED_VALUE"""),"П р о б л е м и на специалните библиотеки: Темат. сборник. – София , 1995, с. 94-98 ISBN 954 430 17 20 ISBN 978 954 430 17 29")</f>
        <v>П р о б л е м и на специалните библиотеки: Темат. сборник. – София , 1995, с. 94-98 ISBN 954 430 17 20 ISBN 978 954 430 17 29</v>
      </c>
      <c r="F8132" s="10"/>
      <c r="G8132" s="10"/>
      <c r="H8132" s="10"/>
      <c r="I8132" s="10"/>
      <c r="J8132" s="10"/>
      <c r="K8132" s="10"/>
      <c r="L8132" s="10"/>
      <c r="M8132" s="10"/>
      <c r="N8132" s="10"/>
      <c r="O8132" s="10"/>
      <c r="P8132" s="10"/>
      <c r="Q8132" s="10"/>
      <c r="R8132" s="10"/>
      <c r="S8132" s="10"/>
      <c r="T8132" s="10"/>
      <c r="U8132" s="10"/>
      <c r="V8132" s="10"/>
      <c r="W8132" s="10"/>
      <c r="X8132" s="10"/>
      <c r="Y8132" s="10"/>
      <c r="Z8132" s="10"/>
    </row>
    <row r="8133" spans="1:26" ht="12.75">
      <c r="A8133" s="10" t="str">
        <f ca="1">IFERROR(__xludf.DUMMYFUNCTION("""COMPUTED_VALUE"""),"Юлия Стефанова Савова")</f>
        <v>Юлия Стефанова Савова</v>
      </c>
      <c r="B8133" s="10" t="str">
        <f ca="1">IFERROR(__xludf.DUMMYFUNCTION("""COMPUTED_VALUE"""),"Статия в списания и поредици")</f>
        <v>Статия в списания и поредици</v>
      </c>
      <c r="C8133" s="10" t="str">
        <f ca="1">IFERROR(__xludf.DUMMYFUNCTION("""COMPUTED_VALUE"""),"Симпозиум в Будапеща")</f>
        <v>Симпозиум в Будапеща</v>
      </c>
      <c r="D8133" s="10">
        <f ca="1">IFERROR(__xludf.DUMMYFUNCTION("""COMPUTED_VALUE"""),1994)</f>
        <v>1994</v>
      </c>
      <c r="E8133" s="10" t="str">
        <f ca="1">IFERROR(__xludf.DUMMYFUNCTION("""COMPUTED_VALUE"""),"Б и б л и о т е к а, 1994, №4, с. 44-46 ISSN 0861 847 X")</f>
        <v>Б и б л и о т е к а, 1994, №4, с. 44-46 ISSN 0861 847 X</v>
      </c>
      <c r="F8133" s="10"/>
      <c r="G8133" s="10"/>
      <c r="H8133" s="10"/>
      <c r="I8133" s="10"/>
      <c r="J8133" s="10"/>
      <c r="K8133" s="10"/>
      <c r="L8133" s="10"/>
      <c r="M8133" s="10"/>
      <c r="N8133" s="10"/>
      <c r="O8133" s="10"/>
      <c r="P8133" s="10"/>
      <c r="Q8133" s="10"/>
      <c r="R8133" s="10"/>
      <c r="S8133" s="10"/>
      <c r="T8133" s="10"/>
      <c r="U8133" s="10"/>
      <c r="V8133" s="10"/>
      <c r="W8133" s="10"/>
      <c r="X8133" s="10"/>
      <c r="Y8133" s="10"/>
      <c r="Z8133" s="10"/>
    </row>
    <row r="8134" spans="1:26" ht="12.75">
      <c r="A8134" s="10" t="str">
        <f ca="1">IFERROR(__xludf.DUMMYFUNCTION("""COMPUTED_VALUE"""),"Юлия Стефанова Савова")</f>
        <v>Юлия Стефанова Савова</v>
      </c>
      <c r="B8134" s="10" t="str">
        <f ca="1">IFERROR(__xludf.DUMMYFUNCTION("""COMPUTED_VALUE"""),"Статия в списания и поредици")</f>
        <v>Статия в списания и поредици</v>
      </c>
      <c r="C8134" s="10" t="str">
        <f ca="1">IFERROR(__xludf.DUMMYFUNCTION("""COMPUTED_VALUE"""),"Още едно възкръснало заглавие")</f>
        <v>Още едно възкръснало заглавие</v>
      </c>
      <c r="D8134" s="10">
        <f ca="1">IFERROR(__xludf.DUMMYFUNCTION("""COMPUTED_VALUE"""),1993)</f>
        <v>1993</v>
      </c>
      <c r="E8134" s="10" t="str">
        <f ca="1">IFERROR(__xludf.DUMMYFUNCTION("""COMPUTED_VALUE"""),"Б и б л и о т е к а, 1993, № 2, с. 57-59 ISSN 0861 847 X")</f>
        <v>Б и б л и о т е к а, 1993, № 2, с. 57-59 ISSN 0861 847 X</v>
      </c>
      <c r="F8134" s="10"/>
      <c r="G8134" s="10"/>
      <c r="H8134" s="10"/>
      <c r="I8134" s="10"/>
      <c r="J8134" s="10"/>
      <c r="K8134" s="10"/>
      <c r="L8134" s="10"/>
      <c r="M8134" s="10"/>
      <c r="N8134" s="10"/>
      <c r="O8134" s="10"/>
      <c r="P8134" s="10"/>
      <c r="Q8134" s="10"/>
      <c r="R8134" s="10"/>
      <c r="S8134" s="10"/>
      <c r="T8134" s="10"/>
      <c r="U8134" s="10"/>
      <c r="V8134" s="10"/>
      <c r="W8134" s="10"/>
      <c r="X8134" s="10"/>
      <c r="Y8134" s="10"/>
      <c r="Z8134" s="10"/>
    </row>
    <row r="8135" spans="1:26" ht="12.75">
      <c r="A8135" s="10" t="str">
        <f ca="1">IFERROR(__xludf.DUMMYFUNCTION("""COMPUTED_VALUE"""),"Юлия Стефанова Савова")</f>
        <v>Юлия Стефанова Савова</v>
      </c>
      <c r="B8135" s="10" t="str">
        <f ca="1">IFERROR(__xludf.DUMMYFUNCTION("""COMPUTED_VALUE"""),"Статия в списания и поредици")</f>
        <v>Статия в списания и поредици</v>
      </c>
      <c r="C8135" s="10" t="str">
        <f ca="1">IFERROR(__xludf.DUMMYFUNCTION("""COMPUTED_VALUE"""),"Към библиографското издание с любов")</f>
        <v>Към библиографското издание с любов</v>
      </c>
      <c r="D8135" s="10">
        <f ca="1">IFERROR(__xludf.DUMMYFUNCTION("""COMPUTED_VALUE"""),1993)</f>
        <v>1993</v>
      </c>
      <c r="E8135" s="10" t="str">
        <f ca="1">IFERROR(__xludf.DUMMYFUNCTION("""COMPUTED_VALUE"""),"Б и б л и о т е к а, 1993, №6, с. 49-51 ISSN 0861 847 X")</f>
        <v>Б и б л и о т е к а, 1993, №6, с. 49-51 ISSN 0861 847 X</v>
      </c>
      <c r="F8135" s="10"/>
      <c r="G8135" s="10"/>
      <c r="H8135" s="10"/>
      <c r="I8135" s="10"/>
      <c r="J8135" s="10"/>
      <c r="K8135" s="10"/>
      <c r="L8135" s="10"/>
      <c r="M8135" s="10"/>
      <c r="N8135" s="10"/>
      <c r="O8135" s="10"/>
      <c r="P8135" s="10"/>
      <c r="Q8135" s="10"/>
      <c r="R8135" s="10"/>
      <c r="S8135" s="10"/>
      <c r="T8135" s="10"/>
      <c r="U8135" s="10"/>
      <c r="V8135" s="10"/>
      <c r="W8135" s="10"/>
      <c r="X8135" s="10"/>
      <c r="Y8135" s="10"/>
      <c r="Z8135" s="10"/>
    </row>
    <row r="8136" spans="1:26" ht="12.75">
      <c r="A8136" s="10" t="str">
        <f ca="1">IFERROR(__xludf.DUMMYFUNCTION("""COMPUTED_VALUE"""),"Юлия Стефанова Савова")</f>
        <v>Юлия Стефанова Савова</v>
      </c>
      <c r="B8136" s="10" t="str">
        <f ca="1">IFERROR(__xludf.DUMMYFUNCTION("""COMPUTED_VALUE"""),"Статия в списания и поредици")</f>
        <v>Статия в списания и поредици</v>
      </c>
      <c r="C8136" s="10" t="str">
        <f ca="1">IFERROR(__xludf.DUMMYFUNCTION("""COMPUTED_VALUE"""),"Нови учебни пособия за овладяващите библиотечната професия")</f>
        <v>Нови учебни пособия за овладяващите библиотечната професия</v>
      </c>
      <c r="D8136" s="10">
        <f ca="1">IFERROR(__xludf.DUMMYFUNCTION("""COMPUTED_VALUE"""),1993)</f>
        <v>1993</v>
      </c>
      <c r="E8136" s="10" t="str">
        <f ca="1">IFERROR(__xludf.DUMMYFUNCTION("""COMPUTED_VALUE"""),"Б и б л и о т е к а, 1993 г., № 11, с. 39 – 40 ISSN 0861 847 X")</f>
        <v>Б и б л и о т е к а, 1993 г., № 11, с. 39 – 40 ISSN 0861 847 X</v>
      </c>
      <c r="F8136" s="10"/>
      <c r="G8136" s="10"/>
      <c r="H8136" s="10"/>
      <c r="I8136" s="10"/>
      <c r="J8136" s="10"/>
      <c r="K8136" s="10"/>
      <c r="L8136" s="10"/>
      <c r="M8136" s="10"/>
      <c r="N8136" s="10"/>
      <c r="O8136" s="10"/>
      <c r="P8136" s="10"/>
      <c r="Q8136" s="10"/>
      <c r="R8136" s="10"/>
      <c r="S8136" s="10"/>
      <c r="T8136" s="10"/>
      <c r="U8136" s="10"/>
      <c r="V8136" s="10"/>
      <c r="W8136" s="10"/>
      <c r="X8136" s="10"/>
      <c r="Y8136" s="10"/>
      <c r="Z8136" s="10"/>
    </row>
    <row r="8137" spans="1:26" ht="12.75">
      <c r="A8137" s="10" t="str">
        <f ca="1">IFERROR(__xludf.DUMMYFUNCTION("""COMPUTED_VALUE"""),"Юлия Стефанова Савова")</f>
        <v>Юлия Стефанова Савова</v>
      </c>
      <c r="B8137" s="10" t="str">
        <f ca="1">IFERROR(__xludf.DUMMYFUNCTION("""COMPUTED_VALUE"""),"Статия в списания и поредици")</f>
        <v>Статия в списания и поредици</v>
      </c>
      <c r="C8137" s="10" t="str">
        <f ca="1">IFERROR(__xludf.DUMMYFUNCTION("""COMPUTED_VALUE"""),"Издателско-книготърговската библиография – визитна картичка на книгоиздаването и търговията с книги")</f>
        <v>Издателско-книготърговската библиография – визитна картичка на книгоиздаването и търговията с книги</v>
      </c>
      <c r="D8137" s="10">
        <f ca="1">IFERROR(__xludf.DUMMYFUNCTION("""COMPUTED_VALUE"""),1992)</f>
        <v>1992</v>
      </c>
      <c r="E8137" s="10" t="str">
        <f ca="1">IFERROR(__xludf.DUMMYFUNCTION("""COMPUTED_VALUE"""),"Б ъ л г а р с к а к н и г а, 1992, №11, с. 65-68 ISSN 0861 - 6779")</f>
        <v>Б ъ л г а р с к а к н и г а, 1992, №11, с. 65-68 ISSN 0861 - 6779</v>
      </c>
      <c r="F8137" s="10"/>
      <c r="G8137" s="10"/>
      <c r="H8137" s="10"/>
      <c r="I8137" s="10"/>
      <c r="J8137" s="10"/>
      <c r="K8137" s="10"/>
      <c r="L8137" s="10"/>
      <c r="M8137" s="10"/>
      <c r="N8137" s="10"/>
      <c r="O8137" s="10"/>
      <c r="P8137" s="10"/>
      <c r="Q8137" s="10"/>
      <c r="R8137" s="10"/>
      <c r="S8137" s="10"/>
      <c r="T8137" s="10"/>
      <c r="U8137" s="10"/>
      <c r="V8137" s="10"/>
      <c r="W8137" s="10"/>
      <c r="X8137" s="10"/>
      <c r="Y8137" s="10"/>
      <c r="Z8137" s="10"/>
    </row>
    <row r="8138" spans="1:26" ht="12.75">
      <c r="A8138" s="10" t="str">
        <f ca="1">IFERROR(__xludf.DUMMYFUNCTION("""COMPUTED_VALUE"""),"Яница Петкова Димитрова")</f>
        <v>Яница Петкова Димитрова</v>
      </c>
      <c r="B8138" s="10" t="str">
        <f ca="1">IFERROR(__xludf.DUMMYFUNCTION("""COMPUTED_VALUE"""),"Статия в списания и поредици")</f>
        <v>Статия в списания и поредици</v>
      </c>
      <c r="C8138" s="10" t="str">
        <f ca="1">IFERROR(__xludf.DUMMYFUNCTION("""COMPUTED_VALUE"""),"Corporate Social Responsibility and Innovation – the Meaningfull Connection")</f>
        <v>Corporate Social Responsibility and Innovation – the Meaningfull Connection</v>
      </c>
      <c r="D8138" s="10">
        <f ca="1">IFERROR(__xludf.DUMMYFUNCTION("""COMPUTED_VALUE"""),2020)</f>
        <v>2020</v>
      </c>
      <c r="E8138" s="10" t="str">
        <f ca="1">IFERROR(__xludf.DUMMYFUNCTION("""COMPUTED_VALUE"""),"Economic Studies journal, Bulgarian Academy of Sciences - Economic Research Institute, Vol. 29, issue 4, p. 89-108, ISSN 0205-3292, pp.89-108")</f>
        <v>Economic Studies journal, Bulgarian Academy of Sciences - Economic Research Institute, Vol. 29, issue 4, p. 89-108, ISSN 0205-3292, pp.89-108</v>
      </c>
      <c r="F8138" s="10" t="str">
        <f ca="1">IFERROR(__xludf.DUMMYFUNCTION("""COMPUTED_VALUE"""),"Scopus")</f>
        <v>Scopus</v>
      </c>
      <c r="G8138" s="10"/>
      <c r="H8138" s="10"/>
      <c r="I8138" s="10"/>
      <c r="J8138" s="10"/>
      <c r="K8138" s="10"/>
      <c r="L8138" s="10"/>
      <c r="M8138" s="10"/>
      <c r="N8138" s="10"/>
      <c r="O8138" s="10"/>
      <c r="P8138" s="10"/>
      <c r="Q8138" s="10"/>
      <c r="R8138" s="10"/>
      <c r="S8138" s="10"/>
      <c r="T8138" s="10"/>
      <c r="U8138" s="10"/>
      <c r="V8138" s="10"/>
      <c r="W8138" s="10"/>
      <c r="X8138" s="10"/>
      <c r="Y8138" s="10"/>
      <c r="Z8138" s="10"/>
    </row>
    <row r="8139" spans="1:26" ht="12.75">
      <c r="A8139" s="10" t="str">
        <f ca="1">IFERROR(__xludf.DUMMYFUNCTION("""COMPUTED_VALUE"""),"Яница Петкова Димитрова")</f>
        <v>Яница Петкова Димитрова</v>
      </c>
      <c r="B8139" s="10" t="str">
        <f ca="1">IFERROR(__xludf.DUMMYFUNCTION("""COMPUTED_VALUE"""),"Монография")</f>
        <v>Монография</v>
      </c>
      <c r="C8139" s="10" t="str">
        <f ca="1">IFERROR(__xludf.DUMMYFUNCTION("""COMPUTED_VALUE"""),"Иновации и корпоративна социална отговорност")</f>
        <v>Иновации и корпоративна социална отговорност</v>
      </c>
      <c r="D8139" s="10">
        <f ca="1">IFERROR(__xludf.DUMMYFUNCTION("""COMPUTED_VALUE"""),2020)</f>
        <v>2020</v>
      </c>
      <c r="E8139" s="10" t="str">
        <f ca="1">IFERROR(__xludf.DUMMYFUNCTION("""COMPUTED_VALUE"""),"ИК „Горекс Прес“, с. 193, ISBN 978-954-616-305-9")</f>
        <v>ИК „Горекс Прес“, с. 193, ISBN 978-954-616-305-9</v>
      </c>
      <c r="F8139" s="10"/>
      <c r="G8139" s="10"/>
      <c r="H8139" s="10"/>
      <c r="I8139" s="10"/>
      <c r="J8139" s="10"/>
      <c r="K8139" s="10"/>
      <c r="L8139" s="10"/>
      <c r="M8139" s="10"/>
      <c r="N8139" s="10"/>
      <c r="O8139" s="10"/>
      <c r="P8139" s="10"/>
      <c r="Q8139" s="10"/>
      <c r="R8139" s="10"/>
      <c r="S8139" s="10"/>
      <c r="T8139" s="10"/>
      <c r="U8139" s="10"/>
      <c r="V8139" s="10"/>
      <c r="W8139" s="10"/>
      <c r="X8139" s="10"/>
      <c r="Y8139" s="10"/>
      <c r="Z8139" s="10"/>
    </row>
    <row r="8140" spans="1:26" ht="12.75">
      <c r="A8140" s="10" t="str">
        <f ca="1">IFERROR(__xludf.DUMMYFUNCTION("""COMPUTED_VALUE"""),"Яница Петкова Димитрова")</f>
        <v>Яница Петкова Димитрова</v>
      </c>
      <c r="B8140" s="10" t="str">
        <f ca="1">IFERROR(__xludf.DUMMYFUNCTION("""COMPUTED_VALUE"""),"Статия в списания и поредици")</f>
        <v>Статия в списания и поредици</v>
      </c>
      <c r="C8140" s="10" t="str">
        <f ca="1">IFERROR(__xludf.DUMMYFUNCTION("""COMPUTED_VALUE"""),"Амбидекстралната организация и иновациите")</f>
        <v>Амбидекстралната организация и иновациите</v>
      </c>
      <c r="D8140" s="10">
        <f ca="1">IFERROR(__xludf.DUMMYFUNCTION("""COMPUTED_VALUE"""),2020)</f>
        <v>2020</v>
      </c>
      <c r="E8140" s="10" t="str">
        <f ca="1">IFERROR(__xludf.DUMMYFUNCTION("""COMPUTED_VALUE"""),"Научни трудове на УниБИТ. София: За буквите – О писменехь, том 18, 2020. ISSN 1314-2623, 134-144")</f>
        <v>Научни трудове на УниБИТ. София: За буквите – О писменехь, том 18, 2020. ISSN 1314-2623, 134-144</v>
      </c>
      <c r="F8140" s="10"/>
      <c r="G8140" s="10"/>
      <c r="H8140" s="10"/>
      <c r="I8140" s="10"/>
      <c r="J8140" s="10"/>
      <c r="K8140" s="10"/>
      <c r="L8140" s="10"/>
      <c r="M8140" s="10"/>
      <c r="N8140" s="10"/>
      <c r="O8140" s="10"/>
      <c r="P8140" s="10"/>
      <c r="Q8140" s="10"/>
      <c r="R8140" s="10"/>
      <c r="S8140" s="10"/>
      <c r="T8140" s="10"/>
      <c r="U8140" s="10"/>
      <c r="V8140" s="10"/>
      <c r="W8140" s="10"/>
      <c r="X8140" s="10"/>
      <c r="Y8140" s="10"/>
      <c r="Z8140" s="10"/>
    </row>
    <row r="8141" spans="1:26" ht="12.75">
      <c r="A8141" s="10" t="str">
        <f ca="1">IFERROR(__xludf.DUMMYFUNCTION("""COMPUTED_VALUE"""),"Яница Петкова Димитрова")</f>
        <v>Яница Петкова Димитрова</v>
      </c>
      <c r="B8141" s="10" t="str">
        <f ca="1">IFERROR(__xludf.DUMMYFUNCTION("""COMPUTED_VALUE"""),"Статия в списания и поредици")</f>
        <v>Статия в списания и поредици</v>
      </c>
      <c r="C8141" s="10" t="str">
        <f ca="1">IFERROR(__xludf.DUMMYFUNCTION("""COMPUTED_VALUE"""),"Променливост, несигурност, сложност – съвременната бизнес среда и развитието на комуникациите")</f>
        <v>Променливост, несигурност, сложност – съвременната бизнес среда и развитието на комуникациите</v>
      </c>
      <c r="D8141" s="10">
        <f ca="1">IFERROR(__xludf.DUMMYFUNCTION("""COMPUTED_VALUE"""),2019)</f>
        <v>2019</v>
      </c>
      <c r="E8141" s="10" t="str">
        <f ca="1">IFERROR(__xludf.DUMMYFUNCTION("""COMPUTED_VALUE"""),"Сборник от Четвърта кръгла маса «Проблеми на обществената коммуникация» София, 05-06 юни 2019, .изд. За Буквите с. , ISSN 2534-9430, с. 74-81.")</f>
        <v>Сборник от Четвърта кръгла маса «Проблеми на обществената коммуникация» София, 05-06 юни 2019, .изд. За Буквите с. , ISSN 2534-9430, с. 74-81.</v>
      </c>
      <c r="F8141" s="10"/>
      <c r="G8141" s="10"/>
      <c r="H8141" s="10"/>
      <c r="I8141" s="10"/>
      <c r="J8141" s="10"/>
      <c r="K8141" s="10"/>
      <c r="L8141" s="10"/>
      <c r="M8141" s="10"/>
      <c r="N8141" s="10"/>
      <c r="O8141" s="10"/>
      <c r="P8141" s="10"/>
      <c r="Q8141" s="10"/>
      <c r="R8141" s="10"/>
      <c r="S8141" s="10"/>
      <c r="T8141" s="10"/>
      <c r="U8141" s="10"/>
      <c r="V8141" s="10"/>
      <c r="W8141" s="10"/>
      <c r="X8141" s="10"/>
      <c r="Y8141" s="10"/>
      <c r="Z8141" s="10"/>
    </row>
    <row r="8142" spans="1:26" ht="12.75">
      <c r="A8142" s="10" t="str">
        <f ca="1">IFERROR(__xludf.DUMMYFUNCTION("""COMPUTED_VALUE"""),"Яница Петкова Димитрова")</f>
        <v>Яница Петкова Димитрова</v>
      </c>
      <c r="B8142" s="10" t="str">
        <f ca="1">IFERROR(__xludf.DUMMYFUNCTION("""COMPUTED_VALUE"""),"Учебник")</f>
        <v>Учебник</v>
      </c>
      <c r="C8142" s="10" t="str">
        <f ca="1">IFERROR(__xludf.DUMMYFUNCTION("""COMPUTED_VALUE"""),"Комуникация на организацията в публичното пространство")</f>
        <v>Комуникация на организацията в публичното пространство</v>
      </c>
      <c r="D8142" s="10">
        <f ca="1">IFERROR(__xludf.DUMMYFUNCTION("""COMPUTED_VALUE"""),2019)</f>
        <v>2019</v>
      </c>
      <c r="E8142" s="10" t="str">
        <f ca="1">IFERROR(__xludf.DUMMYFUNCTION("""COMPUTED_VALUE"""),"ГорексПрес, С. ISBN 978-954-616-290-8")</f>
        <v>ГорексПрес, С. ISBN 978-954-616-290-8</v>
      </c>
      <c r="F8142" s="10"/>
      <c r="G8142" s="10"/>
      <c r="H8142" s="10"/>
      <c r="I8142" s="10"/>
      <c r="J8142" s="10"/>
      <c r="K8142" s="10"/>
      <c r="L8142" s="10"/>
      <c r="M8142" s="10"/>
      <c r="N8142" s="10"/>
      <c r="O8142" s="10"/>
      <c r="P8142" s="10"/>
      <c r="Q8142" s="10"/>
      <c r="R8142" s="10"/>
      <c r="S8142" s="10"/>
      <c r="T8142" s="10"/>
      <c r="U8142" s="10"/>
      <c r="V8142" s="10"/>
      <c r="W8142" s="10"/>
      <c r="X8142" s="10"/>
      <c r="Y8142" s="10"/>
      <c r="Z8142" s="10"/>
    </row>
    <row r="8143" spans="1:26" ht="12.75">
      <c r="A8143" s="10" t="str">
        <f ca="1">IFERROR(__xludf.DUMMYFUNCTION("""COMPUTED_VALUE"""),"Яница Петкова Димитрова")</f>
        <v>Яница Петкова Димитрова</v>
      </c>
      <c r="B8143" s="10" t="str">
        <f ca="1">IFERROR(__xludf.DUMMYFUNCTION("""COMPUTED_VALUE"""),"Статия в списания и поредици")</f>
        <v>Статия в списания и поредици</v>
      </c>
      <c r="C8143" s="10" t="str">
        <f ca="1">IFERROR(__xludf.DUMMYFUNCTION("""COMPUTED_VALUE"""),"Иновационни нагласи и размер на фирмите")</f>
        <v>Иновационни нагласи и размер на фирмите</v>
      </c>
      <c r="D8143" s="10">
        <f ca="1">IFERROR(__xludf.DUMMYFUNCTION("""COMPUTED_VALUE"""),2019)</f>
        <v>2019</v>
      </c>
      <c r="E8143" s="10" t="str">
        <f ca="1">IFERROR(__xludf.DUMMYFUNCTION("""COMPUTED_VALUE"""),"Научни трудове на УНСС, бр. 5, с. 241-253, ISSN (print) 0861-9344; 
 ISSN (online) 2534-8957")</f>
        <v>Научни трудове на УНСС, бр. 5, с. 241-253, ISSN (print) 0861-9344; 
 ISSN (online) 2534-8957</v>
      </c>
      <c r="F8143" s="10" t="str">
        <f ca="1">IFERROR(__xludf.DUMMYFUNCTION("""COMPUTED_VALUE"""),"CEEOL")</f>
        <v>CEEOL</v>
      </c>
      <c r="G8143" s="10"/>
      <c r="H8143" s="10"/>
      <c r="I8143" s="10"/>
      <c r="J8143" s="10"/>
      <c r="K8143" s="10"/>
      <c r="L8143" s="10"/>
      <c r="M8143" s="10"/>
      <c r="N8143" s="10"/>
      <c r="O8143" s="10"/>
      <c r="P8143" s="10"/>
      <c r="Q8143" s="10"/>
      <c r="R8143" s="10"/>
      <c r="S8143" s="10"/>
      <c r="T8143" s="10"/>
      <c r="U8143" s="10"/>
      <c r="V8143" s="10"/>
      <c r="W8143" s="10"/>
      <c r="X8143" s="10"/>
      <c r="Y8143" s="10"/>
      <c r="Z8143" s="10"/>
    </row>
    <row r="8144" spans="1:26" ht="12.75">
      <c r="A8144" s="10" t="str">
        <f ca="1">IFERROR(__xludf.DUMMYFUNCTION("""COMPUTED_VALUE"""),"Яница Петкова Димитрова")</f>
        <v>Яница Петкова Димитрова</v>
      </c>
      <c r="B8144" s="10" t="str">
        <f ca="1">IFERROR(__xludf.DUMMYFUNCTION("""COMPUTED_VALUE"""),"Статия в списания и поредици")</f>
        <v>Статия в списания и поредици</v>
      </c>
      <c r="C8144" s="10" t="str">
        <f ca="1">IFERROR(__xludf.DUMMYFUNCTION("""COMPUTED_VALUE"""),"Characteristic of Successful Company in the Modern Business Environment")</f>
        <v>Characteristic of Successful Company in the Modern Business Environment</v>
      </c>
      <c r="D8144" s="10">
        <f ca="1">IFERROR(__xludf.DUMMYFUNCTION("""COMPUTED_VALUE"""),2019)</f>
        <v>2019</v>
      </c>
      <c r="E8144" s="10" t="str">
        <f ca="1">IFERROR(__xludf.DUMMYFUNCTION("""COMPUTED_VALUE"""),"Economic Studies journal, Bulgarian Academy of Sciences - Economic Research Institute, Vol. 27, issue 5, p. 86-91, ISSN 0205-3292.")</f>
        <v>Economic Studies journal, Bulgarian Academy of Sciences - Economic Research Institute, Vol. 27, issue 5, p. 86-91, ISSN 0205-3292.</v>
      </c>
      <c r="F8144" s="10" t="str">
        <f ca="1">IFERROR(__xludf.DUMMYFUNCTION("""COMPUTED_VALUE"""),"Journal of Economic Literature/EconLit, RePEc, EBSCO, SCOPUS")</f>
        <v>Journal of Economic Literature/EconLit, RePEc, EBSCO, SCOPUS</v>
      </c>
      <c r="G8144" s="10"/>
      <c r="H8144" s="10"/>
      <c r="I8144" s="10"/>
      <c r="J8144" s="10"/>
      <c r="K8144" s="10"/>
      <c r="L8144" s="10"/>
      <c r="M8144" s="10"/>
      <c r="N8144" s="10"/>
      <c r="O8144" s="10"/>
      <c r="P8144" s="10"/>
      <c r="Q8144" s="10"/>
      <c r="R8144" s="10"/>
      <c r="S8144" s="10"/>
      <c r="T8144" s="10"/>
      <c r="U8144" s="10"/>
      <c r="V8144" s="10"/>
      <c r="W8144" s="10"/>
      <c r="X8144" s="10"/>
      <c r="Y8144" s="10"/>
      <c r="Z8144" s="10"/>
    </row>
    <row r="8145" spans="1:26" ht="12.75">
      <c r="A8145" s="10" t="str">
        <f ca="1">IFERROR(__xludf.DUMMYFUNCTION("""COMPUTED_VALUE"""),"Яница Петкова Димитрова")</f>
        <v>Яница Петкова Димитрова</v>
      </c>
      <c r="B8145" s="10" t="str">
        <f ca="1">IFERROR(__xludf.DUMMYFUNCTION("""COMPUTED_VALUE"""),"Статия в списания и поредици")</f>
        <v>Статия в списания и поредици</v>
      </c>
      <c r="C8145" s="10" t="str">
        <f ca="1">IFERROR(__xludf.DUMMYFUNCTION("""COMPUTED_VALUE"""),"Corporate Culture Change Management")</f>
        <v>Corporate Culture Change Management</v>
      </c>
      <c r="D8145" s="10">
        <f ca="1">IFERROR(__xludf.DUMMYFUNCTION("""COMPUTED_VALUE"""),2019)</f>
        <v>2019</v>
      </c>
      <c r="E8145" s="10" t="str">
        <f ca="1">IFERROR(__xludf.DUMMYFUNCTION("""COMPUTED_VALUE"""),"Economic Alternatives, Vol. 13, Issue 2, pp. 296-312, ISSN (print) 1312-7462, ISSN (online) 2367-9409")</f>
        <v>Economic Alternatives, Vol. 13, Issue 2, pp. 296-312, ISSN (print) 1312-7462, ISSN (online) 2367-9409</v>
      </c>
      <c r="F8145" s="10" t="str">
        <f ca="1">IFERROR(__xludf.DUMMYFUNCTION("""COMPUTED_VALUE"""),"ERIH Plus, EconLit, EBSCO, RePec, Econbiz, Google Scholar, JournalTOCs, InfoBase Index, SIS")</f>
        <v>ERIH Plus, EconLit, EBSCO, RePec, Econbiz, Google Scholar, JournalTOCs, InfoBase Index, SIS</v>
      </c>
      <c r="G8145" s="10"/>
      <c r="H8145" s="10"/>
      <c r="I8145" s="10"/>
      <c r="J8145" s="10"/>
      <c r="K8145" s="10"/>
      <c r="L8145" s="10"/>
      <c r="M8145" s="10"/>
      <c r="N8145" s="10"/>
      <c r="O8145" s="10"/>
      <c r="P8145" s="10"/>
      <c r="Q8145" s="10"/>
      <c r="R8145" s="10"/>
      <c r="S8145" s="10"/>
      <c r="T8145" s="10"/>
      <c r="U8145" s="10"/>
      <c r="V8145" s="10"/>
      <c r="W8145" s="10"/>
      <c r="X8145" s="10"/>
      <c r="Y8145" s="10"/>
      <c r="Z8145" s="10"/>
    </row>
    <row r="8146" spans="1:26" ht="12.75">
      <c r="A8146" s="10" t="str">
        <f ca="1">IFERROR(__xludf.DUMMYFUNCTION("""COMPUTED_VALUE"""),"Яница Петкова Димитрова")</f>
        <v>Яница Петкова Димитрова</v>
      </c>
      <c r="B8146" s="10" t="str">
        <f ca="1">IFERROR(__xludf.DUMMYFUNCTION("""COMPUTED_VALUE"""),"Статия в списания и поредици")</f>
        <v>Статия в списания и поредици</v>
      </c>
      <c r="C8146" s="10" t="str">
        <f ca="1">IFERROR(__xludf.DUMMYFUNCTION("""COMPUTED_VALUE"""),"Corporate Culture as a Prerequisite for Innovation in Company")</f>
        <v>Corporate Culture as a Prerequisite for Innovation in Company</v>
      </c>
      <c r="D8146" s="10">
        <f ca="1">IFERROR(__xludf.DUMMYFUNCTION("""COMPUTED_VALUE"""),2019)</f>
        <v>2019</v>
      </c>
      <c r="E8146" s="10" t="str">
        <f ca="1">IFERROR(__xludf.DUMMYFUNCTION("""COMPUTED_VALUE"""),"Сборник Съвременни измерения на европейското образователно и научно пространство. Българо-австрийски културни общувания. София: За буквите - О писменехь, 2019, ISSN 2367-7988, с. 67-78.")</f>
        <v>Сборник Съвременни измерения на европейското образователно и научно пространство. Българо-австрийски културни общувания. София: За буквите - О писменехь, 2019, ISSN 2367-7988, с. 67-78.</v>
      </c>
      <c r="F8146" s="10"/>
      <c r="G8146" s="10"/>
      <c r="H8146" s="10"/>
      <c r="I8146" s="10"/>
      <c r="J8146" s="10"/>
      <c r="K8146" s="10"/>
      <c r="L8146" s="10"/>
      <c r="M8146" s="10"/>
      <c r="N8146" s="10"/>
      <c r="O8146" s="10"/>
      <c r="P8146" s="10"/>
      <c r="Q8146" s="10"/>
      <c r="R8146" s="10"/>
      <c r="S8146" s="10"/>
      <c r="T8146" s="10"/>
      <c r="U8146" s="10"/>
      <c r="V8146" s="10"/>
      <c r="W8146" s="10"/>
      <c r="X8146" s="10"/>
      <c r="Y8146" s="10"/>
      <c r="Z8146" s="10"/>
    </row>
    <row r="8147" spans="1:26" ht="12.75">
      <c r="A8147" s="10" t="str">
        <f ca="1">IFERROR(__xludf.DUMMYFUNCTION("""COMPUTED_VALUE"""),"Яница Петкова Димитрова")</f>
        <v>Яница Петкова Димитрова</v>
      </c>
      <c r="B8147" s="10" t="str">
        <f ca="1">IFERROR(__xludf.DUMMYFUNCTION("""COMPUTED_VALUE"""),"Статия в списания и поредици")</f>
        <v>Статия в списания и поредици</v>
      </c>
      <c r="C8147" s="10" t="str">
        <f ca="1">IFERROR(__xludf.DUMMYFUNCTION("""COMPUTED_VALUE"""),"Digital Manifestations of Corporate Stories")</f>
        <v>Digital Manifestations of Corporate Stories</v>
      </c>
      <c r="D8147" s="10">
        <f ca="1">IFERROR(__xludf.DUMMYFUNCTION("""COMPUTED_VALUE"""),2018)</f>
        <v>2018</v>
      </c>
      <c r="E8147" s="10" t="str">
        <f ca="1">IFERROR(__xludf.DUMMYFUNCTION("""COMPUTED_VALUE"""),"Journal Association 1901 ""SEPIKE"" pp. 93-97, e-ISSN: 2372-7438, available from http://docs.wixstatic.com/ugd/b199e2_3b1c20ab75e544fa8b2831792621cf12.pdf")</f>
        <v>Journal Association 1901 "SEPIKE" pp. 93-97, e-ISSN: 2372-7438, available from http://docs.wixstatic.com/ugd/b199e2_3b1c20ab75e544fa8b2831792621cf12.pdf</v>
      </c>
      <c r="F8147" s="10" t="str">
        <f ca="1">IFERROR(__xludf.DUMMYFUNCTION("""COMPUTED_VALUE"""),"Index Copernicus, Research Bible, Google Scholar")</f>
        <v>Index Copernicus, Research Bible, Google Scholar</v>
      </c>
      <c r="G8147" s="10"/>
      <c r="H8147" s="10"/>
      <c r="I8147" s="10"/>
      <c r="J8147" s="10"/>
      <c r="K8147" s="10"/>
      <c r="L8147" s="10"/>
      <c r="M8147" s="10"/>
      <c r="N8147" s="10"/>
      <c r="O8147" s="10"/>
      <c r="P8147" s="10"/>
      <c r="Q8147" s="10"/>
      <c r="R8147" s="10"/>
      <c r="S8147" s="10"/>
      <c r="T8147" s="10"/>
      <c r="U8147" s="10"/>
      <c r="V8147" s="10"/>
      <c r="W8147" s="10"/>
      <c r="X8147" s="10"/>
      <c r="Y8147" s="10"/>
      <c r="Z8147" s="10"/>
    </row>
    <row r="8148" spans="1:26" ht="12.75">
      <c r="A8148" s="10" t="str">
        <f ca="1">IFERROR(__xludf.DUMMYFUNCTION("""COMPUTED_VALUE"""),"Яница Петкова Димитрова")</f>
        <v>Яница Петкова Димитрова</v>
      </c>
      <c r="B8148" s="10" t="str">
        <f ca="1">IFERROR(__xludf.DUMMYFUNCTION("""COMPUTED_VALUE"""),"Статия в списания и поредици")</f>
        <v>Статия в списания и поредици</v>
      </c>
      <c r="C8148" s="10" t="str">
        <f ca="1">IFERROR(__xludf.DUMMYFUNCTION("""COMPUTED_VALUE"""),"Отворената иновация - характеристики, особености и предимства")</f>
        <v>Отворената иновация - характеристики, особености и предимства</v>
      </c>
      <c r="D8148" s="10">
        <f ca="1">IFERROR(__xludf.DUMMYFUNCTION("""COMPUTED_VALUE"""),2018)</f>
        <v>2018</v>
      </c>
      <c r="E8148" s="10" t="str">
        <f ca="1">IFERROR(__xludf.DUMMYFUNCTION("""COMPUTED_VALUE"""),"сп. „Икономика и мениджмънт”, кн.1/2018, Economics and Management , ISSN: 2367-7600; 1312-594Х Volume: XIV, Issue:I, Year:2018, pp.88-104")</f>
        <v>сп. „Икономика и мениджмънт”, кн.1/2018, Economics and Management , ISSN: 2367-7600; 1312-594Х Volume: XIV, Issue:I, Year:2018, pp.88-104</v>
      </c>
      <c r="F8148" s="10" t="str">
        <f ca="1">IFERROR(__xludf.DUMMYFUNCTION("""COMPUTED_VALUE"""),"American Economic Association, ErihPlus, RePEc, CEEOL, Соционет, IIJIF")</f>
        <v>American Economic Association, ErihPlus, RePEc, CEEOL, Соционет, IIJIF</v>
      </c>
      <c r="G8148" s="10"/>
      <c r="H8148" s="10"/>
      <c r="I8148" s="10"/>
      <c r="J8148" s="10"/>
      <c r="K8148" s="10"/>
      <c r="L8148" s="10"/>
      <c r="M8148" s="10"/>
      <c r="N8148" s="10"/>
      <c r="O8148" s="10"/>
      <c r="P8148" s="10"/>
      <c r="Q8148" s="10"/>
      <c r="R8148" s="10"/>
      <c r="S8148" s="10"/>
      <c r="T8148" s="10"/>
      <c r="U8148" s="10"/>
      <c r="V8148" s="10"/>
      <c r="W8148" s="10"/>
      <c r="X8148" s="10"/>
      <c r="Y8148" s="10"/>
      <c r="Z8148" s="10"/>
    </row>
    <row r="8149" spans="1:26" ht="12.75">
      <c r="A8149" s="10" t="str">
        <f ca="1">IFERROR(__xludf.DUMMYFUNCTION("""COMPUTED_VALUE"""),"Яница Петкова Димитрова")</f>
        <v>Яница Петкова Димитрова</v>
      </c>
      <c r="B8149" s="10" t="str">
        <f ca="1">IFERROR(__xludf.DUMMYFUNCTION("""COMPUTED_VALUE"""),"Статия в списания и поредици")</f>
        <v>Статия в списания и поредици</v>
      </c>
      <c r="C8149" s="10" t="str">
        <f ca="1">IFERROR(__xludf.DUMMYFUNCTION("""COMPUTED_VALUE"""),"Corporate Image as a Key Factor of Presentation of the Company’s Innovative Activities")</f>
        <v>Corporate Image as a Key Factor of Presentation of the Company’s Innovative Activities</v>
      </c>
      <c r="D8149" s="10">
        <f ca="1">IFERROR(__xludf.DUMMYFUNCTION("""COMPUTED_VALUE"""),2018)</f>
        <v>2018</v>
      </c>
      <c r="E8149" s="10" t="str">
        <f ca="1">IFERROR(__xludf.DUMMYFUNCTION("""COMPUTED_VALUE"""),"Journal Association 1901 Sepike, Ed.20, 06, pp. 101-108, e-ISSN: 2372-7438, available from http://docs.wixstatic.com/ugd/b199e2_aa19f4a7b50d43a2b113be7b08b8a820.pdf")</f>
        <v>Journal Association 1901 Sepike, Ed.20, 06, pp. 101-108, e-ISSN: 2372-7438, available from http://docs.wixstatic.com/ugd/b199e2_aa19f4a7b50d43a2b113be7b08b8a820.pdf</v>
      </c>
      <c r="F8149" s="10" t="str">
        <f ca="1">IFERROR(__xludf.DUMMYFUNCTION("""COMPUTED_VALUE"""),"Index Copernicus, Research Bible, Google Scholar")</f>
        <v>Index Copernicus, Research Bible, Google Scholar</v>
      </c>
      <c r="G8149" s="10"/>
      <c r="H8149" s="10"/>
      <c r="I8149" s="10"/>
      <c r="J8149" s="10"/>
      <c r="K8149" s="10"/>
      <c r="L8149" s="10"/>
      <c r="M8149" s="10"/>
      <c r="N8149" s="10"/>
      <c r="O8149" s="10"/>
      <c r="P8149" s="10"/>
      <c r="Q8149" s="10"/>
      <c r="R8149" s="10"/>
      <c r="S8149" s="10"/>
      <c r="T8149" s="10"/>
      <c r="U8149" s="10"/>
      <c r="V8149" s="10"/>
      <c r="W8149" s="10"/>
      <c r="X8149" s="10"/>
      <c r="Y8149" s="10"/>
      <c r="Z8149" s="10"/>
    </row>
    <row r="8150" spans="1:26" ht="12.75">
      <c r="A8150" s="10" t="str">
        <f ca="1">IFERROR(__xludf.DUMMYFUNCTION("""COMPUTED_VALUE"""),"Яница Петкова Димитрова")</f>
        <v>Яница Петкова Димитрова</v>
      </c>
      <c r="B8150" s="10" t="str">
        <f ca="1">IFERROR(__xludf.DUMMYFUNCTION("""COMPUTED_VALUE"""),"Статия в списания и поредици")</f>
        <v>Статия в списания и поредици</v>
      </c>
      <c r="C8150" s="10" t="str">
        <f ca="1">IFERROR(__xludf.DUMMYFUNCTION("""COMPUTED_VALUE"""),"Communication for Innovation in the Context of Corporate Culture – Competitiveness Relationship.")</f>
        <v>Communication for Innovation in the Context of Corporate Culture – Competitiveness Relationship.</v>
      </c>
      <c r="D8150" s="10">
        <f ca="1">IFERROR(__xludf.DUMMYFUNCTION("""COMPUTED_VALUE"""),2018)</f>
        <v>2018</v>
      </c>
      <c r="E8150" s="10" t="str">
        <f ca="1">IFERROR(__xludf.DUMMYFUNCTION("""COMPUTED_VALUE"""),"Mechanical Engineering – Scientific Journal, Vol. 36,N1,pp.55-61, ISSN 1857-5293.")</f>
        <v>Mechanical Engineering – Scientific Journal, Vol. 36,N1,pp.55-61, ISSN 1857-5293.</v>
      </c>
      <c r="F8150" s="10"/>
      <c r="G8150" s="10"/>
      <c r="H8150" s="10"/>
      <c r="I8150" s="10"/>
      <c r="J8150" s="10"/>
      <c r="K8150" s="10"/>
      <c r="L8150" s="10"/>
      <c r="M8150" s="10"/>
      <c r="N8150" s="10"/>
      <c r="O8150" s="10"/>
      <c r="P8150" s="10"/>
      <c r="Q8150" s="10"/>
      <c r="R8150" s="10"/>
      <c r="S8150" s="10"/>
      <c r="T8150" s="10"/>
      <c r="U8150" s="10"/>
      <c r="V8150" s="10"/>
      <c r="W8150" s="10"/>
      <c r="X8150" s="10"/>
      <c r="Y8150" s="10"/>
      <c r="Z8150" s="10"/>
    </row>
    <row r="8151" spans="1:26" ht="12.75">
      <c r="A8151" s="10" t="str">
        <f ca="1">IFERROR(__xludf.DUMMYFUNCTION("""COMPUTED_VALUE"""),"Яница Петкова Димитрова")</f>
        <v>Яница Петкова Димитрова</v>
      </c>
      <c r="B8151" s="10" t="str">
        <f ca="1">IFERROR(__xludf.DUMMYFUNCTION("""COMPUTED_VALUE"""),"Статия в списания и поредици")</f>
        <v>Статия в списания и поредици</v>
      </c>
      <c r="C8151" s="10" t="str">
        <f ca="1">IFERROR(__xludf.DUMMYFUNCTION("""COMPUTED_VALUE"""),"Communication on Corporate Social Responsibility and Management of Responsible Corporate Reputation")</f>
        <v>Communication on Corporate Social Responsibility and Management of Responsible Corporate Reputation</v>
      </c>
      <c r="D8151" s="10">
        <f ca="1">IFERROR(__xludf.DUMMYFUNCTION("""COMPUTED_VALUE"""),2018)</f>
        <v>2018</v>
      </c>
      <c r="E8151" s="10" t="str">
        <f ca="1">IFERROR(__xludf.DUMMYFUNCTION("""COMPUTED_VALUE"""),"Year Book of UNWE, Special Edition on CSR, /14/ , ISSN (print): 1312-5486; ISSN (online): 2534-8949")</f>
        <v>Year Book of UNWE, Special Edition on CSR, /14/ , ISSN (print): 1312-5486; ISSN (online): 2534-8949</v>
      </c>
      <c r="F8151" s="10" t="str">
        <f ca="1">IFERROR(__xludf.DUMMYFUNCTION("""COMPUTED_VALUE"""),"RePEC, Google Scholar, ROAD,SIS,j-GATE, CEOOL")</f>
        <v>RePEC, Google Scholar, ROAD,SIS,j-GATE, CEOOL</v>
      </c>
      <c r="G8151" s="10"/>
      <c r="H8151" s="10"/>
      <c r="I8151" s="10"/>
      <c r="J8151" s="10"/>
      <c r="K8151" s="10"/>
      <c r="L8151" s="10"/>
      <c r="M8151" s="10"/>
      <c r="N8151" s="10"/>
      <c r="O8151" s="10"/>
      <c r="P8151" s="10"/>
      <c r="Q8151" s="10"/>
      <c r="R8151" s="10"/>
      <c r="S8151" s="10"/>
      <c r="T8151" s="10"/>
      <c r="U8151" s="10"/>
      <c r="V8151" s="10"/>
      <c r="W8151" s="10"/>
      <c r="X8151" s="10"/>
      <c r="Y8151" s="10"/>
      <c r="Z8151" s="10"/>
    </row>
    <row r="8152" spans="1:26" ht="12.75">
      <c r="A8152" s="10" t="str">
        <f ca="1">IFERROR(__xludf.DUMMYFUNCTION("""COMPUTED_VALUE"""),"Яница Петкова Димитрова")</f>
        <v>Яница Петкова Димитрова</v>
      </c>
      <c r="B8152" s="10" t="str">
        <f ca="1">IFERROR(__xludf.DUMMYFUNCTION("""COMPUTED_VALUE"""),"Статия в списания и поредици")</f>
        <v>Статия в списания и поредици</v>
      </c>
      <c r="C8152" s="10" t="str">
        <f ca="1">IFERROR(__xludf.DUMMYFUNCTION("""COMPUTED_VALUE"""),"Корпоративна култура – конкурентоспособност през призмата на иновацията")</f>
        <v>Корпоративна култура – конкурентоспособност през призмата на иновацията</v>
      </c>
      <c r="D8152" s="10">
        <f ca="1">IFERROR(__xludf.DUMMYFUNCTION("""COMPUTED_VALUE"""),2018)</f>
        <v>2018</v>
      </c>
      <c r="E8152" s="10" t="str">
        <f ca="1">IFERROR(__xludf.DUMMYFUNCTION("""COMPUTED_VALUE"""),"сп.Социално икономически анализи, Кн.1/2018 (13), с. 82-91, ISSN 1313-6909.")</f>
        <v>сп.Социално икономически анализи, Кн.1/2018 (13), с. 82-91, ISSN 1313-6909.</v>
      </c>
      <c r="F8152" s="10"/>
      <c r="G8152" s="10"/>
      <c r="H8152" s="10"/>
      <c r="I8152" s="10"/>
      <c r="J8152" s="10"/>
      <c r="K8152" s="10"/>
      <c r="L8152" s="10"/>
      <c r="M8152" s="10"/>
      <c r="N8152" s="10"/>
      <c r="O8152" s="10"/>
      <c r="P8152" s="10"/>
      <c r="Q8152" s="10"/>
      <c r="R8152" s="10"/>
      <c r="S8152" s="10"/>
      <c r="T8152" s="10"/>
      <c r="U8152" s="10"/>
      <c r="V8152" s="10"/>
      <c r="W8152" s="10"/>
      <c r="X8152" s="10"/>
      <c r="Y8152" s="10"/>
      <c r="Z8152" s="10"/>
    </row>
    <row r="8153" spans="1:26" ht="12.75">
      <c r="A8153" s="10" t="str">
        <f ca="1">IFERROR(__xludf.DUMMYFUNCTION("""COMPUTED_VALUE"""),"Яница Петкова Димитрова")</f>
        <v>Яница Петкова Димитрова</v>
      </c>
      <c r="B8153" s="10" t="str">
        <f ca="1">IFERROR(__xludf.DUMMYFUNCTION("""COMPUTED_VALUE"""),"Статия в списания и поредици")</f>
        <v>Статия в списания и поредици</v>
      </c>
      <c r="C8153" s="10" t="str">
        <f ca="1">IFERROR(__xludf.DUMMYFUNCTION("""COMPUTED_VALUE"""),"The Culture of Innovation Model")</f>
        <v>The Culture of Innovation Model</v>
      </c>
      <c r="D8153" s="10">
        <f ca="1">IFERROR(__xludf.DUMMYFUNCTION("""COMPUTED_VALUE"""),2018)</f>
        <v>2018</v>
      </c>
      <c r="E8153" s="10" t="str">
        <f ca="1">IFERROR(__xludf.DUMMYFUNCTION("""COMPUTED_VALUE"""),"Economic Studies journal, Bulgarian Academy of Sciences - Economic Research Institute, Vol. 27, issue 1, p. 39-68, ISSN 0205-3292.")</f>
        <v>Economic Studies journal, Bulgarian Academy of Sciences - Economic Research Institute, Vol. 27, issue 1, p. 39-68, ISSN 0205-3292.</v>
      </c>
      <c r="F8153" s="10" t="str">
        <f ca="1">IFERROR(__xludf.DUMMYFUNCTION("""COMPUTED_VALUE"""),"Journal of Economic Literature/EconLit, RePEc, EBSCO, SCOPUS")</f>
        <v>Journal of Economic Literature/EconLit, RePEc, EBSCO, SCOPUS</v>
      </c>
      <c r="G8153" s="10"/>
      <c r="H8153" s="10"/>
      <c r="I8153" s="10"/>
      <c r="J8153" s="10"/>
      <c r="K8153" s="10"/>
      <c r="L8153" s="10"/>
      <c r="M8153" s="10"/>
      <c r="N8153" s="10"/>
      <c r="O8153" s="10"/>
      <c r="P8153" s="10"/>
      <c r="Q8153" s="10"/>
      <c r="R8153" s="10"/>
      <c r="S8153" s="10"/>
      <c r="T8153" s="10"/>
      <c r="U8153" s="10"/>
      <c r="V8153" s="10"/>
      <c r="W8153" s="10"/>
      <c r="X8153" s="10"/>
      <c r="Y8153" s="10"/>
      <c r="Z8153" s="10"/>
    </row>
    <row r="8154" spans="1:26" ht="12.75">
      <c r="A8154" s="10" t="str">
        <f ca="1">IFERROR(__xludf.DUMMYFUNCTION("""COMPUTED_VALUE"""),"Яница Петкова Димитрова")</f>
        <v>Яница Петкова Димитрова</v>
      </c>
      <c r="B8154" s="10" t="str">
        <f ca="1">IFERROR(__xludf.DUMMYFUNCTION("""COMPUTED_VALUE"""),"Статия в списания и поредици")</f>
        <v>Статия в списания и поредици</v>
      </c>
      <c r="C8154" s="10" t="str">
        <f ca="1">IFERROR(__xludf.DUMMYFUNCTION("""COMPUTED_VALUE"""),"Corporate Culture Diagnosis for the Competitive Business Performance (In the Case of VB Studio Ltd.)")</f>
        <v>Corporate Culture Diagnosis for the Competitive Business Performance (In the Case of VB Studio Ltd.)</v>
      </c>
      <c r="D8154" s="10">
        <f ca="1">IFERROR(__xludf.DUMMYFUNCTION("""COMPUTED_VALUE"""),2018)</f>
        <v>2018</v>
      </c>
      <c r="E8154" s="10" t="str">
        <f ca="1">IFERROR(__xludf.DUMMYFUNCTION("""COMPUTED_VALUE"""),"Journal Association 1901 ""SEPIKE"" pp. 82-86, e-ISSN: 2372-7438, available from http://docs.wixstatic.com/ugd/b199e2_3b1c20ab75e544fa8b2831792621cf12.pdf")</f>
        <v>Journal Association 1901 "SEPIKE" pp. 82-86, e-ISSN: 2372-7438, available from http://docs.wixstatic.com/ugd/b199e2_3b1c20ab75e544fa8b2831792621cf12.pdf</v>
      </c>
      <c r="F8154" s="10" t="str">
        <f ca="1">IFERROR(__xludf.DUMMYFUNCTION("""COMPUTED_VALUE"""),"Index Copernicus, Research Bible, Google Scholar")</f>
        <v>Index Copernicus, Research Bible, Google Scholar</v>
      </c>
      <c r="G8154" s="10"/>
      <c r="H8154" s="10"/>
      <c r="I8154" s="10"/>
      <c r="J8154" s="10"/>
      <c r="K8154" s="10"/>
      <c r="L8154" s="10"/>
      <c r="M8154" s="10"/>
      <c r="N8154" s="10"/>
      <c r="O8154" s="10"/>
      <c r="P8154" s="10"/>
      <c r="Q8154" s="10"/>
      <c r="R8154" s="10"/>
      <c r="S8154" s="10"/>
      <c r="T8154" s="10"/>
      <c r="U8154" s="10"/>
      <c r="V8154" s="10"/>
      <c r="W8154" s="10"/>
      <c r="X8154" s="10"/>
      <c r="Y8154" s="10"/>
      <c r="Z8154" s="10"/>
    </row>
    <row r="8155" spans="1:26" ht="12.75">
      <c r="A8155" s="10" t="str">
        <f ca="1">IFERROR(__xludf.DUMMYFUNCTION("""COMPUTED_VALUE"""),"Яница Петкова Димитрова")</f>
        <v>Яница Петкова Димитрова</v>
      </c>
      <c r="B8155" s="10" t="str">
        <f ca="1">IFERROR(__xludf.DUMMYFUNCTION("""COMPUTED_VALUE"""),"Книга")</f>
        <v>Книга</v>
      </c>
      <c r="C8155" s="10" t="str">
        <f ca="1">IFERROR(__xludf.DUMMYFUNCTION("""COMPUTED_VALUE"""),"Култура на иновацията")</f>
        <v>Култура на иновацията</v>
      </c>
      <c r="D8155" s="10">
        <f ca="1">IFERROR(__xludf.DUMMYFUNCTION("""COMPUTED_VALUE"""),2017)</f>
        <v>2017</v>
      </c>
      <c r="E8155" s="10" t="str">
        <f ca="1">IFERROR(__xludf.DUMMYFUNCTION("""COMPUTED_VALUE"""),"Издателски комплекс на УНСС")</f>
        <v>Издателски комплекс на УНСС</v>
      </c>
      <c r="F8155" s="10"/>
      <c r="G8155" s="10"/>
      <c r="H8155" s="10"/>
      <c r="I8155" s="10"/>
      <c r="J8155" s="10"/>
      <c r="K8155" s="10"/>
      <c r="L8155" s="10"/>
      <c r="M8155" s="10"/>
      <c r="N8155" s="10"/>
      <c r="O8155" s="10"/>
      <c r="P8155" s="10"/>
      <c r="Q8155" s="10"/>
      <c r="R8155" s="10"/>
      <c r="S8155" s="10"/>
      <c r="T8155" s="10"/>
      <c r="U8155" s="10"/>
      <c r="V8155" s="10"/>
      <c r="W8155" s="10"/>
      <c r="X8155" s="10"/>
      <c r="Y8155" s="10"/>
      <c r="Z8155" s="10"/>
    </row>
    <row r="8156" spans="1:26" ht="12.75">
      <c r="A8156" s="10" t="str">
        <f ca="1">IFERROR(__xludf.DUMMYFUNCTION("""COMPUTED_VALUE"""),"Яница Петкова Димитрова")</f>
        <v>Яница Петкова Димитрова</v>
      </c>
      <c r="B8156" s="10" t="str">
        <f ca="1">IFERROR(__xludf.DUMMYFUNCTION("""COMPUTED_VALUE"""),"Статия в списания и поредици")</f>
        <v>Статия в списания и поредици</v>
      </c>
      <c r="C8156" s="10" t="str">
        <f ca="1">IFERROR(__xludf.DUMMYFUNCTION("""COMPUTED_VALUE"""),"Проект за създаване на модел за управление на корпоративната култура в контекста на глобална компания")</f>
        <v>Проект за създаване на модел за управление на корпоративната култура в контекста на глобална компания</v>
      </c>
      <c r="D8156" s="10">
        <f ca="1">IFERROR(__xludf.DUMMYFUNCTION("""COMPUTED_VALUE"""),2017)</f>
        <v>2017</v>
      </c>
      <c r="E8156" s="10" t="str">
        <f ca="1">IFERROR(__xludf.DUMMYFUNCTION("""COMPUTED_VALUE"""),"Списание Икономика и управление Economics and Management, ISSN 2367-7600, Volume XIII, Issue 1, Year 2017, pp. 201-214")</f>
        <v>Списание Икономика и управление Economics and Management, ISSN 2367-7600, Volume XIII, Issue 1, Year 2017, pp. 201-214</v>
      </c>
      <c r="F8156" s="10"/>
      <c r="G8156" s="10"/>
      <c r="H8156" s="10"/>
      <c r="I8156" s="10"/>
      <c r="J8156" s="10"/>
      <c r="K8156" s="10"/>
      <c r="L8156" s="10"/>
      <c r="M8156" s="10"/>
      <c r="N8156" s="10"/>
      <c r="O8156" s="10"/>
      <c r="P8156" s="10"/>
      <c r="Q8156" s="10"/>
      <c r="R8156" s="10"/>
      <c r="S8156" s="10"/>
      <c r="T8156" s="10"/>
      <c r="U8156" s="10"/>
      <c r="V8156" s="10"/>
      <c r="W8156" s="10"/>
      <c r="X8156" s="10"/>
      <c r="Y8156" s="10"/>
      <c r="Z8156" s="10"/>
    </row>
    <row r="8157" spans="1:26" ht="12.75">
      <c r="A8157" s="10" t="str">
        <f ca="1">IFERROR(__xludf.DUMMYFUNCTION("""COMPUTED_VALUE"""),"Яница Петкова Димитрова")</f>
        <v>Яница Петкова Димитрова</v>
      </c>
      <c r="B8157" s="10" t="str">
        <f ca="1">IFERROR(__xludf.DUMMYFUNCTION("""COMPUTED_VALUE"""),"Статия в списания и поредици")</f>
        <v>Статия в списания и поредици</v>
      </c>
      <c r="C8157" s="10" t="str">
        <f ca="1">IFERROR(__xludf.DUMMYFUNCTION("""COMPUTED_VALUE"""),"Иновации и мрежовост – визии за лидерството")</f>
        <v>Иновации и мрежовост – визии за лидерството</v>
      </c>
      <c r="D8157" s="10">
        <f ca="1">IFERROR(__xludf.DUMMYFUNCTION("""COMPUTED_VALUE"""),2017)</f>
        <v>2017</v>
      </c>
      <c r="E8157" s="10" t="str">
        <f ca="1">IFERROR(__xludf.DUMMYFUNCTION("""COMPUTED_VALUE"""),"Предприемачество, кн. 2/2017, с.32-50, ISSN 1314-9598; 2367-7597")</f>
        <v>Предприемачество, кн. 2/2017, с.32-50, ISSN 1314-9598; 2367-7597</v>
      </c>
      <c r="F8157" s="10" t="str">
        <f ca="1">IFERROR(__xludf.DUMMYFUNCTION("""COMPUTED_VALUE"""),"CEOOL, RePEc")</f>
        <v>CEOOL, RePEc</v>
      </c>
      <c r="G8157" s="10"/>
      <c r="H8157" s="10"/>
      <c r="I8157" s="10"/>
      <c r="J8157" s="10"/>
      <c r="K8157" s="10"/>
      <c r="L8157" s="10"/>
      <c r="M8157" s="10"/>
      <c r="N8157" s="10"/>
      <c r="O8157" s="10"/>
      <c r="P8157" s="10"/>
      <c r="Q8157" s="10"/>
      <c r="R8157" s="10"/>
      <c r="S8157" s="10"/>
      <c r="T8157" s="10"/>
      <c r="U8157" s="10"/>
      <c r="V8157" s="10"/>
      <c r="W8157" s="10"/>
      <c r="X8157" s="10"/>
      <c r="Y8157" s="10"/>
      <c r="Z8157" s="10"/>
    </row>
    <row r="8158" spans="1:26" ht="12.75">
      <c r="A8158" s="10" t="str">
        <f ca="1">IFERROR(__xludf.DUMMYFUNCTION("""COMPUTED_VALUE"""),"Яница Петкова Димитрова")</f>
        <v>Яница Петкова Димитрова</v>
      </c>
      <c r="B8158" s="10" t="str">
        <f ca="1">IFERROR(__xludf.DUMMYFUNCTION("""COMPUTED_VALUE"""),"Статия в списания и поредици")</f>
        <v>Статия в списания и поредици</v>
      </c>
      <c r="C8158" s="10" t="str">
        <f ca="1">IFERROR(__xludf.DUMMYFUNCTION("""COMPUTED_VALUE"""),"Тенденции и предизвикателства пред съвременната компания")</f>
        <v>Тенденции и предизвикателства пред съвременната компания</v>
      </c>
      <c r="D8158" s="10">
        <f ca="1">IFERROR(__xludf.DUMMYFUNCTION("""COMPUTED_VALUE"""),2017)</f>
        <v>2017</v>
      </c>
      <c r="E8158" s="10" t="str">
        <f ca="1">IFERROR(__xludf.DUMMYFUNCTION("""COMPUTED_VALUE"""),"NewMedia21.eu http://www.newmedia21.eu/analizi/tendentsii-i-predizvikatelstva-pred-savremennata-kompaniya/")</f>
        <v>NewMedia21.eu http://www.newmedia21.eu/analizi/tendentsii-i-predizvikatelstva-pred-savremennata-kompaniya/</v>
      </c>
      <c r="F8158" s="10"/>
      <c r="G8158" s="10"/>
      <c r="H8158" s="10"/>
      <c r="I8158" s="10"/>
      <c r="J8158" s="10"/>
      <c r="K8158" s="10"/>
      <c r="L8158" s="10"/>
      <c r="M8158" s="10"/>
      <c r="N8158" s="10"/>
      <c r="O8158" s="10"/>
      <c r="P8158" s="10"/>
      <c r="Q8158" s="10"/>
      <c r="R8158" s="10"/>
      <c r="S8158" s="10"/>
      <c r="T8158" s="10"/>
      <c r="U8158" s="10"/>
      <c r="V8158" s="10"/>
      <c r="W8158" s="10"/>
      <c r="X8158" s="10"/>
      <c r="Y8158" s="10"/>
      <c r="Z8158" s="10"/>
    </row>
    <row r="8159" spans="1:26" ht="12.75">
      <c r="A8159" s="10" t="str">
        <f ca="1">IFERROR(__xludf.DUMMYFUNCTION("""COMPUTED_VALUE"""),"Яница Петкова Димитрова")</f>
        <v>Яница Петкова Димитрова</v>
      </c>
      <c r="B8159" s="10" t="str">
        <f ca="1">IFERROR(__xludf.DUMMYFUNCTION("""COMPUTED_VALUE"""),"Статия в списания и поредици")</f>
        <v>Статия в списания и поредици</v>
      </c>
      <c r="C8159" s="10" t="str">
        <f ca="1">IFERROR(__xludf.DUMMYFUNCTION("""COMPUTED_VALUE"""),"Комуникация за иновация: приложение на модела DART за съвместно създаване на ценност")</f>
        <v>Комуникация за иновация: приложение на модела DART за съвместно създаване на ценност</v>
      </c>
      <c r="D8159" s="10">
        <f ca="1">IFERROR(__xludf.DUMMYFUNCTION("""COMPUTED_VALUE"""),2017)</f>
        <v>2017</v>
      </c>
      <c r="E8159" s="10" t="str">
        <f ca="1">IFERROR(__xludf.DUMMYFUNCTION("""COMPUTED_VALUE"""),"NewMedia21.eu http://www.newmedia21.eu/analizi/komunikatsiya-za-inovatsiya-prilozhenie-na-modela-dart-za-savmestno-sazdavane-na-tsennost/")</f>
        <v>NewMedia21.eu http://www.newmedia21.eu/analizi/komunikatsiya-za-inovatsiya-prilozhenie-na-modela-dart-za-savmestno-sazdavane-na-tsennost/</v>
      </c>
      <c r="F8159" s="10"/>
      <c r="G8159" s="10"/>
      <c r="H8159" s="10"/>
      <c r="I8159" s="10"/>
      <c r="J8159" s="10"/>
      <c r="K8159" s="10"/>
      <c r="L8159" s="10"/>
      <c r="M8159" s="10"/>
      <c r="N8159" s="10"/>
      <c r="O8159" s="10"/>
      <c r="P8159" s="10"/>
      <c r="Q8159" s="10"/>
      <c r="R8159" s="10"/>
      <c r="S8159" s="10"/>
      <c r="T8159" s="10"/>
      <c r="U8159" s="10"/>
      <c r="V8159" s="10"/>
      <c r="W8159" s="10"/>
      <c r="X8159" s="10"/>
      <c r="Y8159" s="10"/>
      <c r="Z8159" s="10"/>
    </row>
    <row r="8160" spans="1:26" ht="12.75">
      <c r="A8160" s="10" t="str">
        <f ca="1">IFERROR(__xludf.DUMMYFUNCTION("""COMPUTED_VALUE"""),"Яница Петкова Димитрова")</f>
        <v>Яница Петкова Димитрова</v>
      </c>
      <c r="B8160" s="10" t="str">
        <f ca="1">IFERROR(__xludf.DUMMYFUNCTION("""COMPUTED_VALUE"""),"Статия в списания и поредици")</f>
        <v>Статия в списания и поредици</v>
      </c>
      <c r="C8160" s="10" t="str">
        <f ca="1">IFERROR(__xludf.DUMMYFUNCTION("""COMPUTED_VALUE"""),"Communication Strategies for Reputation Management of the Company")</f>
        <v>Communication Strategies for Reputation Management of the Company</v>
      </c>
      <c r="D8160" s="10">
        <f ca="1">IFERROR(__xludf.DUMMYFUNCTION("""COMPUTED_VALUE"""),2016)</f>
        <v>2016</v>
      </c>
      <c r="E8160" s="10" t="str">
        <f ca="1">IFERROR(__xludf.DUMMYFUNCTION("""COMPUTED_VALUE"""),"Romanian Journal of Economics, vol.43, Issue 2 (52), The Institute of National Economy Romanian Academy, pp.5-13, ISSN: L 1220-5567.")</f>
        <v>Romanian Journal of Economics, vol.43, Issue 2 (52), The Institute of National Economy Romanian Academy, pp.5-13, ISSN: L 1220-5567.</v>
      </c>
      <c r="F8160" s="10" t="str">
        <f ca="1">IFERROR(__xludf.DUMMYFUNCTION("""COMPUTED_VALUE"""),"RePEc, EBSCO, DOAJ, WorldCat, Citefactor, Database Rosetti. 
 http://revecon.ro/content/volume-43-2016")</f>
        <v>RePEc, EBSCO, DOAJ, WorldCat, Citefactor, Database Rosetti. 
 http://revecon.ro/content/volume-43-2016</v>
      </c>
      <c r="G8160" s="10"/>
      <c r="H8160" s="10"/>
      <c r="I8160" s="10"/>
      <c r="J8160" s="10"/>
      <c r="K8160" s="10"/>
      <c r="L8160" s="10"/>
      <c r="M8160" s="10"/>
      <c r="N8160" s="10"/>
      <c r="O8160" s="10"/>
      <c r="P8160" s="10"/>
      <c r="Q8160" s="10"/>
      <c r="R8160" s="10"/>
      <c r="S8160" s="10"/>
      <c r="T8160" s="10"/>
      <c r="U8160" s="10"/>
      <c r="V8160" s="10"/>
      <c r="W8160" s="10"/>
      <c r="X8160" s="10"/>
      <c r="Y8160" s="10"/>
      <c r="Z8160" s="10"/>
    </row>
    <row r="8161" spans="1:26" ht="12.75">
      <c r="A8161" s="10" t="str">
        <f ca="1">IFERROR(__xludf.DUMMYFUNCTION("""COMPUTED_VALUE"""),"Яница Петкова Димитрова")</f>
        <v>Яница Петкова Димитрова</v>
      </c>
      <c r="B8161" s="10" t="str">
        <f ca="1">IFERROR(__xludf.DUMMYFUNCTION("""COMPUTED_VALUE"""),"Доклад от конференция")</f>
        <v>Доклад от конференция</v>
      </c>
      <c r="C8161" s="10" t="str">
        <f ca="1">IFERROR(__xludf.DUMMYFUNCTION("""COMPUTED_VALUE"""),"Модерни тенденции за развитието на компанията – АФ „Икономика”, „Алтернативи на икономическото развитие през 21")</f>
        <v>Модерни тенденции за развитието на компанията – АФ „Икономика”, „Алтернативи на икономическото развитие през 21</v>
      </c>
      <c r="D8161" s="10">
        <f ca="1">IFERROR(__xludf.DUMMYFUNCTION("""COMPUTED_VALUE"""),2016)</f>
        <v>2016</v>
      </c>
      <c r="E8161" s="10" t="str">
        <f ca="1">IFERROR(__xludf.DUMMYFUNCTION("""COMPUTED_VALUE"""),"Теории, политики, решения”, Клуб “Икономика”, С. 2016, с. 207-215, ISBN 978-954-90138-3-2")</f>
        <v>Теории, политики, решения”, Клуб “Икономика”, С. 2016, с. 207-215, ISBN 978-954-90138-3-2</v>
      </c>
      <c r="F8161" s="10"/>
      <c r="G8161" s="10"/>
      <c r="H8161" s="10"/>
      <c r="I8161" s="10"/>
      <c r="J8161" s="10"/>
      <c r="K8161" s="10"/>
      <c r="L8161" s="10"/>
      <c r="M8161" s="10"/>
      <c r="N8161" s="10"/>
      <c r="O8161" s="10"/>
      <c r="P8161" s="10"/>
      <c r="Q8161" s="10"/>
      <c r="R8161" s="10"/>
      <c r="S8161" s="10"/>
      <c r="T8161" s="10"/>
      <c r="U8161" s="10"/>
      <c r="V8161" s="10"/>
      <c r="W8161" s="10"/>
      <c r="X8161" s="10"/>
      <c r="Y8161" s="10"/>
      <c r="Z8161" s="10"/>
    </row>
    <row r="8162" spans="1:26" ht="12.75">
      <c r="A8162" s="10" t="str">
        <f ca="1">IFERROR(__xludf.DUMMYFUNCTION("""COMPUTED_VALUE"""),"Яница Петкова Димитрова")</f>
        <v>Яница Петкова Димитрова</v>
      </c>
      <c r="B8162" s="10" t="str">
        <f ca="1">IFERROR(__xludf.DUMMYFUNCTION("""COMPUTED_VALUE"""),"Статия в списания и поредици")</f>
        <v>Статия в списания и поредици</v>
      </c>
      <c r="C8162" s="10" t="str">
        <f ca="1">IFERROR(__xludf.DUMMYFUNCTION("""COMPUTED_VALUE"""),"Значение на „невидимите ценности” на компанията за измерване на конкурентното представяне")</f>
        <v>Значение на „невидимите ценности” на компанията за измерване на конкурентното представяне</v>
      </c>
      <c r="D8162" s="10">
        <f ca="1">IFERROR(__xludf.DUMMYFUNCTION("""COMPUTED_VALUE"""),2016)</f>
        <v>2016</v>
      </c>
      <c r="E8162" s="10" t="str">
        <f ca="1">IFERROR(__xludf.DUMMYFUNCTION("""COMPUTED_VALUE"""),"сп. Предприемачество, кн.1, с. 127-143, ISSN 2367-7597.")</f>
        <v>сп. Предприемачество, кн.1, с. 127-143, ISSN 2367-7597.</v>
      </c>
      <c r="F8162" s="10" t="str">
        <f ca="1">IFERROR(__xludf.DUMMYFUNCTION("""COMPUTED_VALUE"""),"CEOOL, RePEc")</f>
        <v>CEOOL, RePEc</v>
      </c>
      <c r="G8162" s="10"/>
      <c r="H8162" s="10"/>
      <c r="I8162" s="10"/>
      <c r="J8162" s="10"/>
      <c r="K8162" s="10"/>
      <c r="L8162" s="10"/>
      <c r="M8162" s="10"/>
      <c r="N8162" s="10"/>
      <c r="O8162" s="10"/>
      <c r="P8162" s="10"/>
      <c r="Q8162" s="10"/>
      <c r="R8162" s="10"/>
      <c r="S8162" s="10"/>
      <c r="T8162" s="10"/>
      <c r="U8162" s="10"/>
      <c r="V8162" s="10"/>
      <c r="W8162" s="10"/>
      <c r="X8162" s="10"/>
      <c r="Y8162" s="10"/>
      <c r="Z8162" s="10"/>
    </row>
    <row r="8163" spans="1:26" ht="12.75">
      <c r="A8163" s="10" t="str">
        <f ca="1">IFERROR(__xludf.DUMMYFUNCTION("""COMPUTED_VALUE"""),"Яница Петкова Димитрова")</f>
        <v>Яница Петкова Димитрова</v>
      </c>
      <c r="B8163" s="10" t="str">
        <f ca="1">IFERROR(__xludf.DUMMYFUNCTION("""COMPUTED_VALUE"""),"Доклад от конференция")</f>
        <v>Доклад от конференция</v>
      </c>
      <c r="C8163" s="10" t="str">
        <f ca="1">IFERROR(__xludf.DUMMYFUNCTION("""COMPUTED_VALUE"""),"Икономическият растеж в България – алтернативи, възможности и политика")</f>
        <v>Икономическият растеж в България – алтернативи, възможности и политика</v>
      </c>
      <c r="D8163" s="10">
        <f ca="1">IFERROR(__xludf.DUMMYFUNCTION("""COMPUTED_VALUE"""),2016)</f>
        <v>2016</v>
      </c>
      <c r="E8163" s="10" t="str">
        <f ca="1">IFERROR(__xludf.DUMMYFUNCTION("""COMPUTED_VALUE"""),"Алтернативи на икономическото развитие през ХХI век: теории, политики, решения. Клуб Икономика 2000, С., 276с. ISBN 978-954-90138-3-2")</f>
        <v>Алтернативи на икономическото развитие през ХХI век: теории, политики, решения. Клуб Икономика 2000, С., 276с. ISBN 978-954-90138-3-2</v>
      </c>
      <c r="F8163" s="10"/>
      <c r="G8163" s="10"/>
      <c r="H8163" s="10"/>
      <c r="I8163" s="10"/>
      <c r="J8163" s="10"/>
      <c r="K8163" s="10"/>
      <c r="L8163" s="10"/>
      <c r="M8163" s="10"/>
      <c r="N8163" s="10"/>
      <c r="O8163" s="10"/>
      <c r="P8163" s="10"/>
      <c r="Q8163" s="10"/>
      <c r="R8163" s="10"/>
      <c r="S8163" s="10"/>
      <c r="T8163" s="10"/>
      <c r="U8163" s="10"/>
      <c r="V8163" s="10"/>
      <c r="W8163" s="10"/>
      <c r="X8163" s="10"/>
      <c r="Y8163" s="10"/>
      <c r="Z8163" s="10"/>
    </row>
    <row r="8164" spans="1:26" ht="12.75">
      <c r="A8164" s="10" t="str">
        <f ca="1">IFERROR(__xludf.DUMMYFUNCTION("""COMPUTED_VALUE"""),"Яница Петкова Димитрова")</f>
        <v>Яница Петкова Димитрова</v>
      </c>
      <c r="B8164" s="10" t="str">
        <f ca="1">IFERROR(__xludf.DUMMYFUNCTION("""COMPUTED_VALUE"""),"Статия в списания и поредици")</f>
        <v>Статия в списания и поредици</v>
      </c>
      <c r="C8164" s="10" t="str">
        <f ca="1">IFERROR(__xludf.DUMMYFUNCTION("""COMPUTED_VALUE"""),"Corporate Culture Change Management")</f>
        <v>Corporate Culture Change Management</v>
      </c>
      <c r="D8164" s="10">
        <f ca="1">IFERROR(__xludf.DUMMYFUNCTION("""COMPUTED_VALUE"""),2016)</f>
        <v>2016</v>
      </c>
      <c r="E8164" s="10" t="str">
        <f ca="1">IFERROR(__xludf.DUMMYFUNCTION("""COMPUTED_VALUE"""),"Journal of Academic Management Publications, 1/2016 рр.5-16")</f>
        <v>Journal of Academic Management Publications, 1/2016 рр.5-16</v>
      </c>
      <c r="F8164" s="10"/>
      <c r="G8164" s="10"/>
      <c r="H8164" s="10"/>
      <c r="I8164" s="10"/>
      <c r="J8164" s="10"/>
      <c r="K8164" s="10"/>
      <c r="L8164" s="10"/>
      <c r="M8164" s="10"/>
      <c r="N8164" s="10"/>
      <c r="O8164" s="10"/>
      <c r="P8164" s="10"/>
      <c r="Q8164" s="10"/>
      <c r="R8164" s="10"/>
      <c r="S8164" s="10"/>
      <c r="T8164" s="10"/>
      <c r="U8164" s="10"/>
      <c r="V8164" s="10"/>
      <c r="W8164" s="10"/>
      <c r="X8164" s="10"/>
      <c r="Y8164" s="10"/>
      <c r="Z8164" s="10"/>
    </row>
    <row r="8165" spans="1:26" ht="12.75">
      <c r="A8165" s="10" t="str">
        <f ca="1">IFERROR(__xludf.DUMMYFUNCTION("""COMPUTED_VALUE"""),"Яница Петкова Димитрова")</f>
        <v>Яница Петкова Димитрова</v>
      </c>
      <c r="B8165" s="10" t="str">
        <f ca="1">IFERROR(__xludf.DUMMYFUNCTION("""COMPUTED_VALUE"""),"Доклад от конференция")</f>
        <v>Доклад от конференция</v>
      </c>
      <c r="C8165" s="10" t="str">
        <f ca="1">IFERROR(__xludf.DUMMYFUNCTION("""COMPUTED_VALUE"""),"Култура на иновациите – необходимо условие за устойчиво развитие на съвременната компания")</f>
        <v>Култура на иновациите – необходимо условие за устойчиво развитие на съвременната компания</v>
      </c>
      <c r="D8165" s="10">
        <f ca="1">IFERROR(__xludf.DUMMYFUNCTION("""COMPUTED_VALUE"""),2016)</f>
        <v>2016</v>
      </c>
      <c r="E8165" s="10" t="str">
        <f ca="1">IFERROR(__xludf.DUMMYFUNCTION("""COMPUTED_VALUE"""),"„Икономически предизвикателства, растеж, дисбаланси, устойчиво развитие”, с. 366-374, УНСС, С., ISBN 978-954-644-834-7")</f>
        <v>„Икономически предизвикателства, растеж, дисбаланси, устойчиво развитие”, с. 366-374, УНСС, С., ISBN 978-954-644-834-7</v>
      </c>
      <c r="F8165" s="10"/>
      <c r="G8165" s="10"/>
      <c r="H8165" s="10"/>
      <c r="I8165" s="10"/>
      <c r="J8165" s="10"/>
      <c r="K8165" s="10"/>
      <c r="L8165" s="10"/>
      <c r="M8165" s="10"/>
      <c r="N8165" s="10"/>
      <c r="O8165" s="10"/>
      <c r="P8165" s="10"/>
      <c r="Q8165" s="10"/>
      <c r="R8165" s="10"/>
      <c r="S8165" s="10"/>
      <c r="T8165" s="10"/>
      <c r="U8165" s="10"/>
      <c r="V8165" s="10"/>
      <c r="W8165" s="10"/>
      <c r="X8165" s="10"/>
      <c r="Y8165" s="10"/>
      <c r="Z8165" s="10"/>
    </row>
    <row r="8166" spans="1:26" ht="12.75">
      <c r="A8166" s="10" t="str">
        <f ca="1">IFERROR(__xludf.DUMMYFUNCTION("""COMPUTED_VALUE"""),"Яница Петкова Димитрова")</f>
        <v>Яница Петкова Димитрова</v>
      </c>
      <c r="B8166" s="10" t="str">
        <f ca="1">IFERROR(__xludf.DUMMYFUNCTION("""COMPUTED_VALUE"""),"Статия в списания и поредици")</f>
        <v>Статия в списания и поредици</v>
      </c>
      <c r="C8166" s="10" t="str">
        <f ca="1">IFERROR(__xludf.DUMMYFUNCTION("""COMPUTED_VALUE"""),"Importance of Corporate Communications for successful development of contemporary Bulgarian enterprises")</f>
        <v>Importance of Corporate Communications for successful development of contemporary Bulgarian enterprises</v>
      </c>
      <c r="D8166" s="10">
        <f ca="1">IFERROR(__xludf.DUMMYFUNCTION("""COMPUTED_VALUE"""),2016)</f>
        <v>2016</v>
      </c>
      <c r="E8166" s="10" t="str">
        <f ca="1">IFERROR(__xludf.DUMMYFUNCTION("""COMPUTED_VALUE"""),"NewMedia21.eu, Медиите на 21 век. Онлайн издание за изследвания, анализи и критика. ISSN 1314-3794, available from http://www.newmedia21.eu/analizi/importance-of-corporate-communications-for-successful-development-of-contemporary-bulgarian-enterprises/")</f>
        <v>NewMedia21.eu, Медиите на 21 век. Онлайн издание за изследвания, анализи и критика. ISSN 1314-3794, available from http://www.newmedia21.eu/analizi/importance-of-corporate-communications-for-successful-development-of-contemporary-bulgarian-enterprises/</v>
      </c>
      <c r="F8166" s="10"/>
      <c r="G8166" s="10"/>
      <c r="H8166" s="10"/>
      <c r="I8166" s="10"/>
      <c r="J8166" s="10"/>
      <c r="K8166" s="10"/>
      <c r="L8166" s="10"/>
      <c r="M8166" s="10"/>
      <c r="N8166" s="10"/>
      <c r="O8166" s="10"/>
      <c r="P8166" s="10"/>
      <c r="Q8166" s="10"/>
      <c r="R8166" s="10"/>
      <c r="S8166" s="10"/>
      <c r="T8166" s="10"/>
      <c r="U8166" s="10"/>
      <c r="V8166" s="10"/>
      <c r="W8166" s="10"/>
      <c r="X8166" s="10"/>
      <c r="Y8166" s="10"/>
      <c r="Z8166" s="10"/>
    </row>
    <row r="8167" spans="1:26" ht="12.75">
      <c r="A8167" s="10" t="str">
        <f ca="1">IFERROR(__xludf.DUMMYFUNCTION("""COMPUTED_VALUE"""),"Яница Петкова Димитрова")</f>
        <v>Яница Петкова Димитрова</v>
      </c>
      <c r="B8167" s="10" t="str">
        <f ca="1">IFERROR(__xludf.DUMMYFUNCTION("""COMPUTED_VALUE"""),"Статия в списания и поредици")</f>
        <v>Статия в списания и поредици</v>
      </c>
      <c r="C8167" s="10" t="str">
        <f ca="1">IFERROR(__xludf.DUMMYFUNCTION("""COMPUTED_VALUE"""),"Corporate Culture and Competitive Performance in the Context of Bulgarian Enterprises")</f>
        <v>Corporate Culture and Competitive Performance in the Context of Bulgarian Enterprises</v>
      </c>
      <c r="D8167" s="10">
        <f ca="1">IFERROR(__xludf.DUMMYFUNCTION("""COMPUTED_VALUE"""),2016)</f>
        <v>2016</v>
      </c>
      <c r="E8167" s="10" t="str">
        <f ca="1">IFERROR(__xludf.DUMMYFUNCTION("""COMPUTED_VALUE"""),"Списание Прилози МАНУ, Скопие, 2016")</f>
        <v>Списание Прилози МАНУ, Скопие, 2016</v>
      </c>
      <c r="F8167" s="10"/>
      <c r="G8167" s="10"/>
      <c r="H8167" s="10"/>
      <c r="I8167" s="10"/>
      <c r="J8167" s="10"/>
      <c r="K8167" s="10"/>
      <c r="L8167" s="10"/>
      <c r="M8167" s="10"/>
      <c r="N8167" s="10"/>
      <c r="O8167" s="10"/>
      <c r="P8167" s="10"/>
      <c r="Q8167" s="10"/>
      <c r="R8167" s="10"/>
      <c r="S8167" s="10"/>
      <c r="T8167" s="10"/>
      <c r="U8167" s="10"/>
      <c r="V8167" s="10"/>
      <c r="W8167" s="10"/>
      <c r="X8167" s="10"/>
      <c r="Y8167" s="10"/>
      <c r="Z8167" s="10"/>
    </row>
    <row r="8168" spans="1:26" ht="12.75">
      <c r="A8168" s="10" t="str">
        <f ca="1">IFERROR(__xludf.DUMMYFUNCTION("""COMPUTED_VALUE"""),"Яница Петкова Димитрова")</f>
        <v>Яница Петкова Димитрова</v>
      </c>
      <c r="B8168" s="10" t="str">
        <f ca="1">IFERROR(__xludf.DUMMYFUNCTION("""COMPUTED_VALUE"""),"Статия в списания и поредици")</f>
        <v>Статия в списания и поредици</v>
      </c>
      <c r="C8168" s="10" t="str">
        <f ca="1">IFERROR(__xludf.DUMMYFUNCTION("""COMPUTED_VALUE"""),"Корпоративна култура и конкурентоспособност – реалната връзка")</f>
        <v>Корпоративна култура и конкурентоспособност – реалната връзка</v>
      </c>
      <c r="D8168" s="10">
        <f ca="1">IFERROR(__xludf.DUMMYFUNCTION("""COMPUTED_VALUE"""),2015)</f>
        <v>2015</v>
      </c>
      <c r="E8168" s="10" t="str">
        <f ca="1">IFERROR(__xludf.DUMMYFUNCTION("""COMPUTED_VALUE"""),"Социология и икономика, год. V, бр.3, с. 56-73, ISSN 1314-3603.")</f>
        <v>Социология и икономика, год. V, бр.3, с. 56-73, ISSN 1314-3603.</v>
      </c>
      <c r="F8168" s="10"/>
      <c r="G8168" s="10"/>
      <c r="H8168" s="10"/>
      <c r="I8168" s="10"/>
      <c r="J8168" s="10"/>
      <c r="K8168" s="10"/>
      <c r="L8168" s="10"/>
      <c r="M8168" s="10"/>
      <c r="N8168" s="10"/>
      <c r="O8168" s="10"/>
      <c r="P8168" s="10"/>
      <c r="Q8168" s="10"/>
      <c r="R8168" s="10"/>
      <c r="S8168" s="10"/>
      <c r="T8168" s="10"/>
      <c r="U8168" s="10"/>
      <c r="V8168" s="10"/>
      <c r="W8168" s="10"/>
      <c r="X8168" s="10"/>
      <c r="Y8168" s="10"/>
      <c r="Z8168" s="10"/>
    </row>
    <row r="8169" spans="1:26" ht="12.75">
      <c r="A8169" s="10" t="str">
        <f ca="1">IFERROR(__xludf.DUMMYFUNCTION("""COMPUTED_VALUE"""),"Яница Петкова Димитрова")</f>
        <v>Яница Петкова Димитрова</v>
      </c>
      <c r="B8169" s="10" t="str">
        <f ca="1">IFERROR(__xludf.DUMMYFUNCTION("""COMPUTED_VALUE"""),"Статия в списания и поредици")</f>
        <v>Статия в списания и поредици</v>
      </c>
      <c r="C8169" s="10" t="str">
        <f ca="1">IFERROR(__xludf.DUMMYFUNCTION("""COMPUTED_VALUE"""),"Корпоративният имидж – оценяван или пренебрегван от фирмите в България?")</f>
        <v>Корпоративният имидж – оценяван или пренебрегван от фирмите в България?</v>
      </c>
      <c r="D8169" s="10">
        <f ca="1">IFERROR(__xludf.DUMMYFUNCTION("""COMPUTED_VALUE"""),2015)</f>
        <v>2015</v>
      </c>
      <c r="E8169" s="10" t="str">
        <f ca="1">IFERROR(__xludf.DUMMYFUNCTION("""COMPUTED_VALUE"""),"Електронно научно списание NewMedia21.eu, ISSN 1314-3794")</f>
        <v>Електронно научно списание NewMedia21.eu, ISSN 1314-3794</v>
      </c>
      <c r="F8169" s="10"/>
      <c r="G8169" s="10"/>
      <c r="H8169" s="10"/>
      <c r="I8169" s="10"/>
      <c r="J8169" s="10"/>
      <c r="K8169" s="10"/>
      <c r="L8169" s="10"/>
      <c r="M8169" s="10"/>
      <c r="N8169" s="10"/>
      <c r="O8169" s="10"/>
      <c r="P8169" s="10"/>
      <c r="Q8169" s="10"/>
      <c r="R8169" s="10"/>
      <c r="S8169" s="10"/>
      <c r="T8169" s="10"/>
      <c r="U8169" s="10"/>
      <c r="V8169" s="10"/>
      <c r="W8169" s="10"/>
      <c r="X8169" s="10"/>
      <c r="Y8169" s="10"/>
      <c r="Z8169" s="10"/>
    </row>
    <row r="8170" spans="1:26" ht="12.75">
      <c r="A8170" s="10" t="str">
        <f ca="1">IFERROR(__xludf.DUMMYFUNCTION("""COMPUTED_VALUE"""),"Яница Петкова Димитрова")</f>
        <v>Яница Петкова Димитрова</v>
      </c>
      <c r="B8170" s="10" t="str">
        <f ca="1">IFERROR(__xludf.DUMMYFUNCTION("""COMPUTED_VALUE"""),"Статия в списания и поредици")</f>
        <v>Статия в списания и поредици</v>
      </c>
      <c r="C8170" s="10" t="str">
        <f ca="1">IFERROR(__xludf.DUMMYFUNCTION("""COMPUTED_VALUE"""),"Съвременни концепции за лидерството")</f>
        <v>Съвременни концепции за лидерството</v>
      </c>
      <c r="D8170" s="10">
        <f ca="1">IFERROR(__xludf.DUMMYFUNCTION("""COMPUTED_VALUE"""),2015)</f>
        <v>2015</v>
      </c>
      <c r="E8170" s="10" t="str">
        <f ca="1">IFERROR(__xludf.DUMMYFUNCTION("""COMPUTED_VALUE"""),"сп. Икономика и управление, Година XI, бр. 2/2015г. с.105-112, ISSN 2367-7600")</f>
        <v>сп. Икономика и управление, Година XI, бр. 2/2015г. с.105-112, ISSN 2367-7600</v>
      </c>
      <c r="F8170" s="10"/>
      <c r="G8170" s="10"/>
      <c r="H8170" s="10"/>
      <c r="I8170" s="10"/>
      <c r="J8170" s="10"/>
      <c r="K8170" s="10"/>
      <c r="L8170" s="10"/>
      <c r="M8170" s="10"/>
      <c r="N8170" s="10"/>
      <c r="O8170" s="10"/>
      <c r="P8170" s="10"/>
      <c r="Q8170" s="10"/>
      <c r="R8170" s="10"/>
      <c r="S8170" s="10"/>
      <c r="T8170" s="10"/>
      <c r="U8170" s="10"/>
      <c r="V8170" s="10"/>
      <c r="W8170" s="10"/>
      <c r="X8170" s="10"/>
      <c r="Y8170" s="10"/>
      <c r="Z8170" s="10"/>
    </row>
    <row r="8171" spans="1:26" ht="12.75">
      <c r="A8171" s="10" t="str">
        <f ca="1">IFERROR(__xludf.DUMMYFUNCTION("""COMPUTED_VALUE"""),"Яница Петкова Димитрова")</f>
        <v>Яница Петкова Димитрова</v>
      </c>
      <c r="B8171" s="10" t="str">
        <f ca="1">IFERROR(__xludf.DUMMYFUNCTION("""COMPUTED_VALUE"""),"Доклад от конференция")</f>
        <v>Доклад от конференция</v>
      </c>
      <c r="C8171" s="10" t="str">
        <f ca="1">IFERROR(__xludf.DUMMYFUNCTION("""COMPUTED_VALUE"""),"New Media – Opportunities and Challenges of Modern Business Organization Management")</f>
        <v>New Media – Opportunities and Challenges of Modern Business Organization Management</v>
      </c>
      <c r="D8171" s="10">
        <f ca="1">IFERROR(__xludf.DUMMYFUNCTION("""COMPUTED_VALUE"""),2015)</f>
        <v>2015</v>
      </c>
      <c r="E8171" s="10" t="str">
        <f ca="1">IFERROR(__xludf.DUMMYFUNCTION("""COMPUTED_VALUE"""),"Proceedings of International Conference “Social Change in the Global World”, Shtip, Macedonia, 03-05.09. 2015, pp.1265-1276")</f>
        <v>Proceedings of International Conference “Social Change in the Global World”, Shtip, Macedonia, 03-05.09. 2015, pp.1265-1276</v>
      </c>
      <c r="F8171" s="10"/>
      <c r="G8171" s="10"/>
      <c r="H8171" s="10"/>
      <c r="I8171" s="10"/>
      <c r="J8171" s="10"/>
      <c r="K8171" s="10"/>
      <c r="L8171" s="10"/>
      <c r="M8171" s="10"/>
      <c r="N8171" s="10"/>
      <c r="O8171" s="10"/>
      <c r="P8171" s="10"/>
      <c r="Q8171" s="10"/>
      <c r="R8171" s="10"/>
      <c r="S8171" s="10"/>
      <c r="T8171" s="10"/>
      <c r="U8171" s="10"/>
      <c r="V8171" s="10"/>
      <c r="W8171" s="10"/>
      <c r="X8171" s="10"/>
      <c r="Y8171" s="10"/>
      <c r="Z8171" s="10"/>
    </row>
    <row r="8172" spans="1:26" ht="12.75">
      <c r="A8172" s="10" t="str">
        <f ca="1">IFERROR(__xludf.DUMMYFUNCTION("""COMPUTED_VALUE"""),"Яница Петкова Димитрова")</f>
        <v>Яница Петкова Димитрова</v>
      </c>
      <c r="B8172" s="10" t="str">
        <f ca="1">IFERROR(__xludf.DUMMYFUNCTION("""COMPUTED_VALUE"""),"Статия в списания и поредици")</f>
        <v>Статия в списания и поредици</v>
      </c>
      <c r="C8172" s="10" t="str">
        <f ca="1">IFERROR(__xludf.DUMMYFUNCTION("""COMPUTED_VALUE"""),"Възприемане на връзката корпоративна култура-конкурентно представяне в българските предприятия")</f>
        <v>Възприемане на връзката корпоративна култура-конкурентно представяне в българските предприятия</v>
      </c>
      <c r="D8172" s="10">
        <f ca="1">IFERROR(__xludf.DUMMYFUNCTION("""COMPUTED_VALUE"""),2015)</f>
        <v>2015</v>
      </c>
      <c r="E8172" s="10" t="str">
        <f ca="1">IFERROR(__xludf.DUMMYFUNCTION("""COMPUTED_VALUE"""),"сп. Предприемачество, Година III , 2015, с. 180-194, ISSN 2367-7597")</f>
        <v>сп. Предприемачество, Година III , 2015, с. 180-194, ISSN 2367-7597</v>
      </c>
      <c r="F8172" s="10" t="str">
        <f ca="1">IFERROR(__xludf.DUMMYFUNCTION("""COMPUTED_VALUE"""),"CEOOL, RePEc")</f>
        <v>CEOOL, RePEc</v>
      </c>
      <c r="G8172" s="10"/>
      <c r="H8172" s="10"/>
      <c r="I8172" s="10"/>
      <c r="J8172" s="10"/>
      <c r="K8172" s="10"/>
      <c r="L8172" s="10"/>
      <c r="M8172" s="10"/>
      <c r="N8172" s="10"/>
      <c r="O8172" s="10"/>
      <c r="P8172" s="10"/>
      <c r="Q8172" s="10"/>
      <c r="R8172" s="10"/>
      <c r="S8172" s="10"/>
      <c r="T8172" s="10"/>
      <c r="U8172" s="10"/>
      <c r="V8172" s="10"/>
      <c r="W8172" s="10"/>
      <c r="X8172" s="10"/>
      <c r="Y8172" s="10"/>
      <c r="Z8172" s="10"/>
    </row>
    <row r="8173" spans="1:26" ht="12.75">
      <c r="A8173" s="10" t="str">
        <f ca="1">IFERROR(__xludf.DUMMYFUNCTION("""COMPUTED_VALUE"""),"Яница Петкова Димитрова")</f>
        <v>Яница Петкова Димитрова</v>
      </c>
      <c r="B8173" s="10" t="str">
        <f ca="1">IFERROR(__xludf.DUMMYFUNCTION("""COMPUTED_VALUE"""),"Статия в списания и поредици")</f>
        <v>Статия в списания и поредици</v>
      </c>
      <c r="C8173" s="10" t="str">
        <f ca="1">IFERROR(__xludf.DUMMYFUNCTION("""COMPUTED_VALUE"""),"Корпоративна култура и концепцията за корпоративна социална отговорност")</f>
        <v>Корпоративна култура и концепцията за корпоративна социална отговорност</v>
      </c>
      <c r="D8173" s="10">
        <f ca="1">IFERROR(__xludf.DUMMYFUNCTION("""COMPUTED_VALUE"""),2015)</f>
        <v>2015</v>
      </c>
      <c r="E8173" s="10" t="str">
        <f ca="1">IFERROR(__xludf.DUMMYFUNCTION("""COMPUTED_VALUE"""),"сп. Социално-икономически анализи, кн. 1/2015 (7), с. 61-72, ISSN 1313-6909")</f>
        <v>сп. Социално-икономически анализи, кн. 1/2015 (7), с. 61-72, ISSN 1313-6909</v>
      </c>
      <c r="F8173" s="10"/>
      <c r="G8173" s="10"/>
      <c r="H8173" s="10"/>
      <c r="I8173" s="10"/>
      <c r="J8173" s="10"/>
      <c r="K8173" s="10"/>
      <c r="L8173" s="10"/>
      <c r="M8173" s="10"/>
      <c r="N8173" s="10"/>
      <c r="O8173" s="10"/>
      <c r="P8173" s="10"/>
      <c r="Q8173" s="10"/>
      <c r="R8173" s="10"/>
      <c r="S8173" s="10"/>
      <c r="T8173" s="10"/>
      <c r="U8173" s="10"/>
      <c r="V8173" s="10"/>
      <c r="W8173" s="10"/>
      <c r="X8173" s="10"/>
      <c r="Y8173" s="10"/>
      <c r="Z8173" s="10"/>
    </row>
    <row r="8174" spans="1:26" ht="12.75">
      <c r="A8174" s="10" t="str">
        <f ca="1">IFERROR(__xludf.DUMMYFUNCTION("""COMPUTED_VALUE"""),"Яница Петкова Димитрова")</f>
        <v>Яница Петкова Димитрова</v>
      </c>
      <c r="B8174" s="10" t="str">
        <f ca="1">IFERROR(__xludf.DUMMYFUNCTION("""COMPUTED_VALUE"""),"Статия в списания и поредици")</f>
        <v>Статия в списания и поредици</v>
      </c>
      <c r="C8174" s="10" t="str">
        <f ca="1">IFERROR(__xludf.DUMMYFUNCTION("""COMPUTED_VALUE"""),"Парадигми за изследване и изучаване на корпоративната култура")</f>
        <v>Парадигми за изследване и изучаване на корпоративната култура</v>
      </c>
      <c r="D8174" s="10">
        <f ca="1">IFERROR(__xludf.DUMMYFUNCTION("""COMPUTED_VALUE"""),2015)</f>
        <v>2015</v>
      </c>
      <c r="E8174" s="10" t="str">
        <f ca="1">IFERROR(__xludf.DUMMYFUNCTION("""COMPUTED_VALUE"""),"Научни трудове на съюза на учените в България-Пловдив, Серия А: Обществени науки, изкуство и култура, т.II, 5-6.11.2015 г., ISSN 1311-9400")</f>
        <v>Научни трудове на съюза на учените в България-Пловдив, Серия А: Обществени науки, изкуство и култура, т.II, 5-6.11.2015 г., ISSN 1311-9400</v>
      </c>
      <c r="F8174" s="10"/>
      <c r="G8174" s="10"/>
      <c r="H8174" s="10"/>
      <c r="I8174" s="10"/>
      <c r="J8174" s="10"/>
      <c r="K8174" s="10"/>
      <c r="L8174" s="10"/>
      <c r="M8174" s="10"/>
      <c r="N8174" s="10"/>
      <c r="O8174" s="10"/>
      <c r="P8174" s="10"/>
      <c r="Q8174" s="10"/>
      <c r="R8174" s="10"/>
      <c r="S8174" s="10"/>
      <c r="T8174" s="10"/>
      <c r="U8174" s="10"/>
      <c r="V8174" s="10"/>
      <c r="W8174" s="10"/>
      <c r="X8174" s="10"/>
      <c r="Y8174" s="10"/>
      <c r="Z8174" s="10"/>
    </row>
    <row r="8175" spans="1:26" ht="12.75">
      <c r="A8175" s="10" t="str">
        <f ca="1">IFERROR(__xludf.DUMMYFUNCTION("""COMPUTED_VALUE"""),"Яница Петкова Димитрова")</f>
        <v>Яница Петкова Димитрова</v>
      </c>
      <c r="B8175" s="10" t="str">
        <f ca="1">IFERROR(__xludf.DUMMYFUNCTION("""COMPUTED_VALUE"""),"Доклад от конференция")</f>
        <v>Доклад от конференция</v>
      </c>
      <c r="C8175" s="10" t="str">
        <f ca="1">IFERROR(__xludf.DUMMYFUNCTION("""COMPUTED_VALUE"""),"Specificity of the corporate culture of Bulgarian Small and Medium Enterprises")</f>
        <v>Specificity of the corporate culture of Bulgarian Small and Medium Enterprises</v>
      </c>
      <c r="D8175" s="10">
        <f ca="1">IFERROR(__xludf.DUMMYFUNCTION("""COMPUTED_VALUE"""),2015)</f>
        <v>2015</v>
      </c>
      <c r="E8175" s="10" t="str">
        <f ca="1">IFERROR(__xludf.DUMMYFUNCTION("""COMPUTED_VALUE"""),"Enterpreneurial/Managerial Innovative Strategies and Behavior in Global Multicultural Environment, Proceedings of the Sixth Inte")</f>
        <v>Enterpreneurial/Managerial Innovative Strategies and Behavior in Global Multicultural Environment, Proceedings of the Sixth Inte</v>
      </c>
      <c r="F8175" s="10"/>
      <c r="G8175" s="10"/>
      <c r="H8175" s="10"/>
      <c r="I8175" s="10"/>
      <c r="J8175" s="10"/>
      <c r="K8175" s="10"/>
      <c r="L8175" s="10"/>
      <c r="M8175" s="10"/>
      <c r="N8175" s="10"/>
      <c r="O8175" s="10"/>
      <c r="P8175" s="10"/>
      <c r="Q8175" s="10"/>
      <c r="R8175" s="10"/>
      <c r="S8175" s="10"/>
      <c r="T8175" s="10"/>
      <c r="U8175" s="10"/>
      <c r="V8175" s="10"/>
      <c r="W8175" s="10"/>
      <c r="X8175" s="10"/>
      <c r="Y8175" s="10"/>
      <c r="Z8175" s="10"/>
    </row>
    <row r="8176" spans="1:26" ht="12.75">
      <c r="A8176" s="10" t="str">
        <f ca="1">IFERROR(__xludf.DUMMYFUNCTION("""COMPUTED_VALUE"""),"Яница Петкова Димитрова")</f>
        <v>Яница Петкова Димитрова</v>
      </c>
      <c r="B8176" s="10" t="str">
        <f ca="1">IFERROR(__xludf.DUMMYFUNCTION("""COMPUTED_VALUE"""),"Статия в списания и поредици")</f>
        <v>Статия в списания и поредици</v>
      </c>
      <c r="C8176" s="10" t="str">
        <f ca="1">IFERROR(__xludf.DUMMYFUNCTION("""COMPUTED_VALUE"""),"Управлението на организационната идентичност чрез инструментариума на новите медии")</f>
        <v>Управлението на организационната идентичност чрез инструментариума на новите медии</v>
      </c>
      <c r="D8176" s="10">
        <f ca="1">IFERROR(__xludf.DUMMYFUNCTION("""COMPUTED_VALUE"""),2014)</f>
        <v>2014</v>
      </c>
      <c r="E8176" s="10" t="str">
        <f ca="1">IFERROR(__xludf.DUMMYFUNCTION("""COMPUTED_VALUE"""),"Електронно научно списание Реторика и комуникации ISSN 1314-4464, бр. 12")</f>
        <v>Електронно научно списание Реторика и комуникации ISSN 1314-4464, бр. 12</v>
      </c>
      <c r="F8176" s="10"/>
      <c r="G8176" s="10"/>
      <c r="H8176" s="10"/>
      <c r="I8176" s="10"/>
      <c r="J8176" s="10"/>
      <c r="K8176" s="10"/>
      <c r="L8176" s="10"/>
      <c r="M8176" s="10"/>
      <c r="N8176" s="10"/>
      <c r="O8176" s="10"/>
      <c r="P8176" s="10"/>
      <c r="Q8176" s="10"/>
      <c r="R8176" s="10"/>
      <c r="S8176" s="10"/>
      <c r="T8176" s="10"/>
      <c r="U8176" s="10"/>
      <c r="V8176" s="10"/>
      <c r="W8176" s="10"/>
      <c r="X8176" s="10"/>
      <c r="Y8176" s="10"/>
      <c r="Z8176" s="10"/>
    </row>
    <row r="8177" spans="1:26" ht="12.75">
      <c r="A8177" s="10" t="str">
        <f ca="1">IFERROR(__xludf.DUMMYFUNCTION("""COMPUTED_VALUE"""),"Яница Петкова Димитрова")</f>
        <v>Яница Петкова Димитрова</v>
      </c>
      <c r="B8177" s="10" t="str">
        <f ca="1">IFERROR(__xludf.DUMMYFUNCTION("""COMPUTED_VALUE"""),"Доклад от конференция")</f>
        <v>Доклад от конференция</v>
      </c>
      <c r="C8177" s="10" t="str">
        <f ca="1">IFERROR(__xludf.DUMMYFUNCTION("""COMPUTED_VALUE"""),"Значението на новите медии за промяната на корпоративната култура")</f>
        <v>Значението на новите медии за промяната на корпоративната култура</v>
      </c>
      <c r="D8177" s="10">
        <f ca="1">IFERROR(__xludf.DUMMYFUNCTION("""COMPUTED_VALUE"""),2013)</f>
        <v>2013</v>
      </c>
      <c r="E8177" s="10" t="str">
        <f ca="1">IFERROR(__xludf.DUMMYFUNCTION("""COMPUTED_VALUE"""),"Сборник доклади от юбилейна международна научна конференция Перспективи пред индустриалния бизнес, ИУ Варна 06-07.12.2013 с.270-273, ISBN 978-954-8235-09-9.")</f>
        <v>Сборник доклади от юбилейна международна научна конференция Перспективи пред индустриалния бизнес, ИУ Варна 06-07.12.2013 с.270-273, ISBN 978-954-8235-09-9.</v>
      </c>
      <c r="F8177" s="10"/>
      <c r="G8177" s="10"/>
      <c r="H8177" s="10"/>
      <c r="I8177" s="10"/>
      <c r="J8177" s="10"/>
      <c r="K8177" s="10"/>
      <c r="L8177" s="10"/>
      <c r="M8177" s="10"/>
      <c r="N8177" s="10"/>
      <c r="O8177" s="10"/>
      <c r="P8177" s="10"/>
      <c r="Q8177" s="10"/>
      <c r="R8177" s="10"/>
      <c r="S8177" s="10"/>
      <c r="T8177" s="10"/>
      <c r="U8177" s="10"/>
      <c r="V8177" s="10"/>
      <c r="W8177" s="10"/>
      <c r="X8177" s="10"/>
      <c r="Y8177" s="10"/>
      <c r="Z8177" s="10"/>
    </row>
    <row r="8178" spans="1:26" ht="12.75">
      <c r="A8178" s="10" t="str">
        <f ca="1">IFERROR(__xludf.DUMMYFUNCTION("""COMPUTED_VALUE"""),"Яница Петкова Димитрова")</f>
        <v>Яница Петкова Димитрова</v>
      </c>
      <c r="B8178" s="10" t="str">
        <f ca="1">IFERROR(__xludf.DUMMYFUNCTION("""COMPUTED_VALUE"""),"Монография")</f>
        <v>Монография</v>
      </c>
      <c r="C8178" s="10" t="str">
        <f ca="1">IFERROR(__xludf.DUMMYFUNCTION("""COMPUTED_VALUE"""),"Организационната идентичност – „невидимата ценност” на съвременната организация")</f>
        <v>Организационната идентичност – „невидимата ценност” на съвременната организация</v>
      </c>
      <c r="D8178" s="10">
        <f ca="1">IFERROR(__xludf.DUMMYFUNCTION("""COMPUTED_VALUE"""),2013)</f>
        <v>2013</v>
      </c>
      <c r="E8178" s="10" t="str">
        <f ca="1">IFERROR(__xludf.DUMMYFUNCTION("""COMPUTED_VALUE"""),"АИ „ Проф. Марин Дринов”, С.2013, с. 384, ISBN 978-954-322-566-8")</f>
        <v>АИ „ Проф. Марин Дринов”, С.2013, с. 384, ISBN 978-954-322-566-8</v>
      </c>
      <c r="F8178" s="10"/>
      <c r="G8178" s="10"/>
      <c r="H8178" s="10"/>
      <c r="I8178" s="10"/>
      <c r="J8178" s="10"/>
      <c r="K8178" s="10"/>
      <c r="L8178" s="10"/>
      <c r="M8178" s="10"/>
      <c r="N8178" s="10"/>
      <c r="O8178" s="10"/>
      <c r="P8178" s="10"/>
      <c r="Q8178" s="10"/>
      <c r="R8178" s="10"/>
      <c r="S8178" s="10"/>
      <c r="T8178" s="10"/>
      <c r="U8178" s="10"/>
      <c r="V8178" s="10"/>
      <c r="W8178" s="10"/>
      <c r="X8178" s="10"/>
      <c r="Y8178" s="10"/>
      <c r="Z8178" s="10"/>
    </row>
    <row r="8179" spans="1:26" ht="12.75">
      <c r="A8179" s="10" t="str">
        <f ca="1">IFERROR(__xludf.DUMMYFUNCTION("""COMPUTED_VALUE"""),"Яница Петкова Димитрова")</f>
        <v>Яница Петкова Димитрова</v>
      </c>
      <c r="B8179" s="10" t="str">
        <f ca="1">IFERROR(__xludf.DUMMYFUNCTION("""COMPUTED_VALUE"""),"Доклад от конференция")</f>
        <v>Доклад от конференция</v>
      </c>
      <c r="C8179" s="10" t="str">
        <f ca="1">IFERROR(__xludf.DUMMYFUNCTION("""COMPUTED_VALUE"""),"Корпоративната култура, която мотивира")</f>
        <v>Корпоративната култура, която мотивира</v>
      </c>
      <c r="D8179" s="10">
        <f ca="1">IFERROR(__xludf.DUMMYFUNCTION("""COMPUTED_VALUE"""),2012)</f>
        <v>2012</v>
      </c>
      <c r="E8179" s="10" t="str">
        <f ca="1">IFERROR(__xludf.DUMMYFUNCTION("""COMPUTED_VALUE"""),"Сборник доклади от международна научна конференция Тенденции и предизвикателства в икономиката, ИУ Варна, 10-11.05.2012 , т. IV, с.285-293, ISBN 978-954-21-0603-6.")</f>
        <v>Сборник доклади от международна научна конференция Тенденции и предизвикателства в икономиката, ИУ Варна, 10-11.05.2012 , т. IV, с.285-293, ISBN 978-954-21-0603-6.</v>
      </c>
      <c r="F8179" s="10"/>
      <c r="G8179" s="10"/>
      <c r="H8179" s="10"/>
      <c r="I8179" s="10"/>
      <c r="J8179" s="10"/>
      <c r="K8179" s="10"/>
      <c r="L8179" s="10"/>
      <c r="M8179" s="10"/>
      <c r="N8179" s="10"/>
      <c r="O8179" s="10"/>
      <c r="P8179" s="10"/>
      <c r="Q8179" s="10"/>
      <c r="R8179" s="10"/>
      <c r="S8179" s="10"/>
      <c r="T8179" s="10"/>
      <c r="U8179" s="10"/>
      <c r="V8179" s="10"/>
      <c r="W8179" s="10"/>
      <c r="X8179" s="10"/>
      <c r="Y8179" s="10"/>
      <c r="Z8179" s="10"/>
    </row>
    <row r="8180" spans="1:26" ht="12.75">
      <c r="A8180" s="10" t="str">
        <f ca="1">IFERROR(__xludf.DUMMYFUNCTION("""COMPUTED_VALUE"""),"Яница Петкова Димитрова")</f>
        <v>Яница Петкова Димитрова</v>
      </c>
      <c r="B8180" s="10" t="str">
        <f ca="1">IFERROR(__xludf.DUMMYFUNCTION("""COMPUTED_VALUE"""),"Монография")</f>
        <v>Монография</v>
      </c>
      <c r="C8180" s="10" t="str">
        <f ca="1">IFERROR(__xludf.DUMMYFUNCTION("""COMPUTED_VALUE"""),"Корпоративната култура като конкурентно предимство")</f>
        <v>Корпоративната култура като конкурентно предимство</v>
      </c>
      <c r="D8180" s="10">
        <f ca="1">IFERROR(__xludf.DUMMYFUNCTION("""COMPUTED_VALUE"""),2012)</f>
        <v>2012</v>
      </c>
      <c r="E8180" s="10" t="str">
        <f ca="1">IFERROR(__xludf.DUMMYFUNCTION("""COMPUTED_VALUE"""),"АИ „Проф. Марин Дринов”, С.с. 245, ISBN 978-954-322-549-1")</f>
        <v>АИ „Проф. Марин Дринов”, С.с. 245, ISBN 978-954-322-549-1</v>
      </c>
      <c r="F8180" s="10"/>
      <c r="G8180" s="10"/>
      <c r="H8180" s="10"/>
      <c r="I8180" s="10"/>
      <c r="J8180" s="10"/>
      <c r="K8180" s="10"/>
      <c r="L8180" s="10"/>
      <c r="M8180" s="10"/>
      <c r="N8180" s="10"/>
      <c r="O8180" s="10"/>
      <c r="P8180" s="10"/>
      <c r="Q8180" s="10"/>
      <c r="R8180" s="10"/>
      <c r="S8180" s="10"/>
      <c r="T8180" s="10"/>
      <c r="U8180" s="10"/>
      <c r="V8180" s="10"/>
      <c r="W8180" s="10"/>
      <c r="X8180" s="10"/>
      <c r="Y8180" s="10"/>
      <c r="Z8180" s="10"/>
    </row>
    <row r="8181" spans="1:26" ht="12.75">
      <c r="A8181" s="10" t="str">
        <f ca="1">IFERROR(__xludf.DUMMYFUNCTION("""COMPUTED_VALUE"""),"Ясена Костадинова Чантова")</f>
        <v>Ясена Костадинова Чантова</v>
      </c>
      <c r="B8181" s="10" t="str">
        <f ca="1">IFERROR(__xludf.DUMMYFUNCTION("""COMPUTED_VALUE"""),"Доклад от конференция")</f>
        <v>Доклад от конференция</v>
      </c>
      <c r="C8181" s="10" t="str">
        <f ca="1">IFERROR(__xludf.DUMMYFUNCTION("""COMPUTED_VALUE"""),"Les signes, ces « termes positifs » du Cours")</f>
        <v>Les signes, ces « termes positifs » du Cours</v>
      </c>
      <c r="D8181" s="10">
        <f ca="1">IFERROR(__xludf.DUMMYFUNCTION("""COMPUTED_VALUE"""),2017)</f>
        <v>2017</v>
      </c>
      <c r="E8181" s="10" t="str">
        <f ca="1">IFERROR(__xludf.DUMMYFUNCTION("""COMPUTED_VALUE"""),"In Daniele Gambarara et Fabienne Reboul (éds), Le Cours de linguistique générale. 1916-2016. L’Émergence (Colloque de Genève, 9-13 janvier 2017), Université de Genève, ISBN:978-2- 8399-2282-1,")</f>
        <v>In Daniele Gambarara et Fabienne Reboul (éds), Le Cours de linguistique générale. 1916-2016. L’Émergence (Colloque de Genève, 9-13 janvier 2017), Université de Genève, ISBN:978-2- 8399-2282-1,</v>
      </c>
      <c r="F8181" s="28" t="str">
        <f ca="1">IFERROR(__xludf.DUMMYFUNCTION("""COMPUTED_VALUE"""),"https://www.clg2016.org/documents/CLG2016-Chantova.pdf.")</f>
        <v>https://www.clg2016.org/documents/CLG2016-Chantova.pdf.</v>
      </c>
      <c r="G8181" s="10"/>
      <c r="H8181" s="10"/>
      <c r="I8181" s="10"/>
      <c r="J8181" s="10"/>
      <c r="K8181" s="10"/>
      <c r="L8181" s="10"/>
      <c r="M8181" s="10"/>
      <c r="N8181" s="10"/>
      <c r="O8181" s="10"/>
      <c r="P8181" s="10"/>
      <c r="Q8181" s="10"/>
      <c r="R8181" s="10"/>
      <c r="S8181" s="10"/>
      <c r="T8181" s="10"/>
      <c r="U8181" s="10"/>
      <c r="V8181" s="10"/>
      <c r="W8181" s="10"/>
      <c r="X8181" s="10"/>
      <c r="Y8181" s="10"/>
      <c r="Z8181" s="10"/>
    </row>
    <row r="8182" spans="1:26" ht="12.75">
      <c r="A8182" s="10" t="str">
        <f ca="1">IFERROR(__xludf.DUMMYFUNCTION("""COMPUTED_VALUE"""),"Ясена Костадинова Чантова")</f>
        <v>Ясена Костадинова Чантова</v>
      </c>
      <c r="B8182" s="10" t="str">
        <f ca="1">IFERROR(__xludf.DUMMYFUNCTION("""COMPUTED_VALUE"""),"Доклад от конференция")</f>
        <v>Доклад от конференция</v>
      </c>
      <c r="C8182" s="10" t="str">
        <f ca="1">IFERROR(__xludf.DUMMYFUNCTION("""COMPUTED_VALUE"""),"Les valeurs archétypales en français. Une perspective néo- saussurienne de la valeur linguistique")</f>
        <v>Les valeurs archétypales en français. Une perspective néo- saussurienne de la valeur linguistique</v>
      </c>
      <c r="D8182" s="10">
        <f ca="1">IFERROR(__xludf.DUMMYFUNCTION("""COMPUTED_VALUE"""),2017)</f>
        <v>2017</v>
      </c>
      <c r="E8182" s="10" t="str">
        <f ca="1">IFERROR(__xludf.DUMMYFUNCTION("""COMPUTED_VALUE"""),"UNIVERSITÉ PARIS-SORBONNE (Paris 4), 2017. Français. NNT:2017PA040038")</f>
        <v>UNIVERSITÉ PARIS-SORBONNE (Paris 4), 2017. Français. NNT:2017PA040038</v>
      </c>
      <c r="F8182" s="10"/>
      <c r="G8182" s="10"/>
      <c r="H8182" s="10"/>
      <c r="I8182" s="10"/>
      <c r="J8182" s="10"/>
      <c r="K8182" s="10"/>
      <c r="L8182" s="10"/>
      <c r="M8182" s="10"/>
      <c r="N8182" s="10"/>
      <c r="O8182" s="10"/>
      <c r="P8182" s="10"/>
      <c r="Q8182" s="10"/>
      <c r="R8182" s="10"/>
      <c r="S8182" s="10"/>
      <c r="T8182" s="10"/>
      <c r="U8182" s="10"/>
      <c r="V8182" s="10"/>
      <c r="W8182" s="10"/>
      <c r="X8182" s="10"/>
      <c r="Y8182" s="10"/>
      <c r="Z8182" s="10"/>
    </row>
    <row r="8183" spans="1:26" ht="12.75">
      <c r="A8183" s="10" t="str">
        <f ca="1">IFERROR(__xludf.DUMMYFUNCTION("""COMPUTED_VALUE"""),"Ясена Костадинова Чантова")</f>
        <v>Ясена Костадинова Чантова</v>
      </c>
      <c r="B8183" s="10" t="str">
        <f ca="1">IFERROR(__xludf.DUMMYFUNCTION("""COMPUTED_VALUE"""),"Доклад от конференция")</f>
        <v>Доклад от конференция</v>
      </c>
      <c r="C8183" s="10" t="str">
        <f ca="1">IFERROR(__xludf.DUMMYFUNCTION("""COMPUTED_VALUE"""),"Pour une sémantique des valeurs archétypales : le cas des mots croisés N17 de Georges Perec")</f>
        <v>Pour une sémantique des valeurs archétypales : le cas des mots croisés N17 de Georges Perec</v>
      </c>
      <c r="D8183" s="10">
        <f ca="1">IFERROR(__xludf.DUMMYFUNCTION("""COMPUTED_VALUE"""),2014)</f>
        <v>2014</v>
      </c>
      <c r="E8183" s="10" t="str">
        <f ca="1">IFERROR(__xludf.DUMMYFUNCTION("""COMPUTED_VALUE"""),"in Franck Neveu, Peter Blumenthal, Linda Hriba, Annette Gerstenberg, Judith Meinschaefer et Sophie Prévost (éds.), Actes du 4e Congrès Mondial de Linguistique Française (19-23 juillet 2014), Berlin, Allemagne : 621–636,")</f>
        <v>in Franck Neveu, Peter Blumenthal, Linda Hriba, Annette Gerstenberg, Judith Meinschaefer et Sophie Prévost (éds.), Actes du 4e Congrès Mondial de Linguistique Française (19-23 juillet 2014), Berlin, Allemagne : 621–636,</v>
      </c>
      <c r="F8183" s="28" t="str">
        <f ca="1">IFERROR(__xludf.DUMMYFUNCTION("""COMPUTED_VALUE"""),"https://doi.org/10.1051/shsconf/20140801154.")</f>
        <v>https://doi.org/10.1051/shsconf/20140801154.</v>
      </c>
      <c r="G8183" s="10"/>
      <c r="H8183" s="10"/>
      <c r="I8183" s="10"/>
      <c r="J8183" s="10"/>
      <c r="K8183" s="10"/>
      <c r="L8183" s="10"/>
      <c r="M8183" s="10"/>
      <c r="N8183" s="10"/>
      <c r="O8183" s="10"/>
      <c r="P8183" s="10"/>
      <c r="Q8183" s="10"/>
      <c r="R8183" s="10"/>
      <c r="S8183" s="10"/>
      <c r="T8183" s="10"/>
      <c r="U8183" s="10"/>
      <c r="V8183" s="10"/>
      <c r="W8183" s="10"/>
      <c r="X8183" s="10"/>
      <c r="Y8183" s="10"/>
      <c r="Z8183" s="10"/>
    </row>
    <row r="8184" spans="1:26" ht="12.75">
      <c r="A8184" s="10" t="str">
        <f ca="1">IFERROR(__xludf.DUMMYFUNCTION("""COMPUTED_VALUE"""),"Ясена Костадинова Чантова")</f>
        <v>Ясена Костадинова Чантова</v>
      </c>
      <c r="B8184" s="10" t="str">
        <f ca="1">IFERROR(__xludf.DUMMYFUNCTION("""COMPUTED_VALUE"""),"Доклад от конференция")</f>
        <v>Доклад от конференция</v>
      </c>
      <c r="C8184" s="10" t="str">
        <f ca="1">IFERROR(__xludf.DUMMYFUNCTION("""COMPUTED_VALUE"""),"Учебното занятие почужд език като комуникативен акт: семиотичен анализ")</f>
        <v>Учебното занятие почужд език като комуникативен акт: семиотичен анализ</v>
      </c>
      <c r="D8184" s="10">
        <f ca="1">IFERROR(__xludf.DUMMYFUNCTION("""COMPUTED_VALUE"""),2008)</f>
        <v>2008</v>
      </c>
      <c r="E8184" s="10" t="str">
        <f ca="1">IFERROR(__xludf.DUMMYFUNCTION("""COMPUTED_VALUE"""),"Трудове на специализираното висше училище по библиотекознание и информационни технологии, том 7. София: За буквите – О писменехь, 529-540. ISSN 1312-5834")</f>
        <v>Трудове на специализираното висше училище по библиотекознание и информационни технологии, том 7. София: За буквите – О писменехь, 529-540. ISSN 1312-5834</v>
      </c>
      <c r="F8184" s="10"/>
      <c r="G8184" s="10"/>
      <c r="H8184" s="10"/>
      <c r="I8184" s="10"/>
      <c r="J8184" s="10"/>
      <c r="K8184" s="10"/>
      <c r="L8184" s="10"/>
      <c r="M8184" s="10"/>
      <c r="N8184" s="10"/>
      <c r="O8184" s="10"/>
      <c r="P8184" s="10"/>
      <c r="Q8184" s="10"/>
      <c r="R8184" s="10"/>
      <c r="S8184" s="10"/>
      <c r="T8184" s="10"/>
      <c r="U8184" s="10"/>
      <c r="V8184" s="10"/>
      <c r="W8184" s="10"/>
      <c r="X8184" s="10"/>
      <c r="Y8184" s="10"/>
      <c r="Z8184" s="10"/>
    </row>
    <row r="8185" spans="1:26" ht="12.75">
      <c r="A8185" s="10"/>
      <c r="B8185" s="10"/>
      <c r="C8185" s="10"/>
      <c r="D8185" s="10"/>
      <c r="E8185" s="10"/>
      <c r="F8185" s="10"/>
      <c r="G8185" s="10"/>
      <c r="H8185" s="10"/>
      <c r="I8185" s="10"/>
      <c r="J8185" s="10"/>
      <c r="K8185" s="10"/>
      <c r="L8185" s="10"/>
      <c r="M8185" s="10"/>
      <c r="N8185" s="10"/>
      <c r="O8185" s="10"/>
      <c r="P8185" s="10"/>
      <c r="Q8185" s="10"/>
      <c r="R8185" s="10"/>
      <c r="S8185" s="10"/>
      <c r="T8185" s="10"/>
      <c r="U8185" s="10"/>
      <c r="V8185" s="10"/>
      <c r="W8185" s="10"/>
      <c r="X8185" s="10"/>
      <c r="Y8185" s="10"/>
      <c r="Z8185" s="10"/>
    </row>
    <row r="8186" spans="1:26" ht="12.75">
      <c r="A8186" s="10"/>
      <c r="B8186" s="10"/>
      <c r="C8186" s="10"/>
      <c r="D8186" s="10"/>
      <c r="E8186" s="10"/>
      <c r="F8186" s="10"/>
      <c r="G8186" s="10"/>
      <c r="H8186" s="10"/>
      <c r="I8186" s="10"/>
      <c r="J8186" s="10"/>
      <c r="K8186" s="10"/>
      <c r="L8186" s="10"/>
      <c r="M8186" s="10"/>
      <c r="N8186" s="10"/>
      <c r="O8186" s="10"/>
      <c r="P8186" s="10"/>
      <c r="Q8186" s="10"/>
      <c r="R8186" s="10"/>
      <c r="S8186" s="10"/>
      <c r="T8186" s="10"/>
      <c r="U8186" s="10"/>
      <c r="V8186" s="10"/>
      <c r="W8186" s="10"/>
      <c r="X8186" s="10"/>
      <c r="Y8186" s="10"/>
      <c r="Z8186" s="10"/>
    </row>
    <row r="8187" spans="1:26" ht="12.75">
      <c r="A8187" s="10"/>
      <c r="B8187" s="10"/>
      <c r="C8187" s="10"/>
      <c r="D8187" s="10"/>
      <c r="E8187" s="10"/>
      <c r="F8187" s="10"/>
      <c r="G8187" s="10"/>
      <c r="H8187" s="10"/>
      <c r="I8187" s="10"/>
      <c r="J8187" s="10"/>
      <c r="K8187" s="10"/>
      <c r="L8187" s="10"/>
      <c r="M8187" s="10"/>
      <c r="N8187" s="10"/>
      <c r="O8187" s="10"/>
      <c r="P8187" s="10"/>
      <c r="Q8187" s="10"/>
      <c r="R8187" s="10"/>
      <c r="S8187" s="10"/>
      <c r="T8187" s="10"/>
      <c r="U8187" s="10"/>
      <c r="V8187" s="10"/>
      <c r="W8187" s="10"/>
      <c r="X8187" s="10"/>
      <c r="Y8187" s="10"/>
      <c r="Z8187" s="10"/>
    </row>
    <row r="8188" spans="1:26" ht="12.75">
      <c r="A8188" s="10"/>
      <c r="B8188" s="10"/>
      <c r="C8188" s="10"/>
      <c r="D8188" s="10"/>
      <c r="E8188" s="10"/>
      <c r="F8188" s="10"/>
      <c r="G8188" s="10"/>
      <c r="H8188" s="10"/>
      <c r="I8188" s="10"/>
      <c r="J8188" s="10"/>
      <c r="K8188" s="10"/>
      <c r="L8188" s="10"/>
      <c r="M8188" s="10"/>
      <c r="N8188" s="10"/>
      <c r="O8188" s="10"/>
      <c r="P8188" s="10"/>
      <c r="Q8188" s="10"/>
      <c r="R8188" s="10"/>
      <c r="S8188" s="10"/>
      <c r="T8188" s="10"/>
      <c r="U8188" s="10"/>
      <c r="V8188" s="10"/>
      <c r="W8188" s="10"/>
      <c r="X8188" s="10"/>
      <c r="Y8188" s="10"/>
      <c r="Z8188" s="10"/>
    </row>
    <row r="8189" spans="1:26" ht="12.75">
      <c r="A8189" s="10"/>
      <c r="B8189" s="10"/>
      <c r="C8189" s="10"/>
      <c r="D8189" s="10"/>
      <c r="E8189" s="10"/>
      <c r="F8189" s="10"/>
      <c r="G8189" s="10"/>
      <c r="H8189" s="10"/>
      <c r="I8189" s="10"/>
      <c r="J8189" s="10"/>
      <c r="K8189" s="10"/>
      <c r="L8189" s="10"/>
      <c r="M8189" s="10"/>
      <c r="N8189" s="10"/>
      <c r="O8189" s="10"/>
      <c r="P8189" s="10"/>
      <c r="Q8189" s="10"/>
      <c r="R8189" s="10"/>
      <c r="S8189" s="10"/>
      <c r="T8189" s="10"/>
      <c r="U8189" s="10"/>
      <c r="V8189" s="10"/>
      <c r="W8189" s="10"/>
      <c r="X8189" s="10"/>
      <c r="Y8189" s="10"/>
      <c r="Z8189" s="10"/>
    </row>
    <row r="8190" spans="1:26" ht="12.75">
      <c r="A8190" s="10"/>
      <c r="B8190" s="10"/>
      <c r="C8190" s="10"/>
      <c r="D8190" s="10"/>
      <c r="E8190" s="10"/>
      <c r="F8190" s="10"/>
      <c r="G8190" s="10"/>
      <c r="H8190" s="10"/>
      <c r="I8190" s="10"/>
      <c r="J8190" s="10"/>
      <c r="K8190" s="10"/>
      <c r="L8190" s="10"/>
      <c r="M8190" s="10"/>
      <c r="N8190" s="10"/>
      <c r="O8190" s="10"/>
      <c r="P8190" s="10"/>
      <c r="Q8190" s="10"/>
      <c r="R8190" s="10"/>
      <c r="S8190" s="10"/>
      <c r="T8190" s="10"/>
      <c r="U8190" s="10"/>
      <c r="V8190" s="10"/>
      <c r="W8190" s="10"/>
      <c r="X8190" s="10"/>
      <c r="Y8190" s="10"/>
      <c r="Z8190" s="10"/>
    </row>
    <row r="8191" spans="1:26" ht="12.75">
      <c r="A8191" s="10"/>
      <c r="B8191" s="10"/>
      <c r="C8191" s="10"/>
      <c r="D8191" s="10"/>
      <c r="E8191" s="10"/>
      <c r="F8191" s="10"/>
      <c r="G8191" s="10"/>
      <c r="H8191" s="10"/>
      <c r="I8191" s="10"/>
      <c r="J8191" s="10"/>
      <c r="K8191" s="10"/>
      <c r="L8191" s="10"/>
      <c r="M8191" s="10"/>
      <c r="N8191" s="10"/>
      <c r="O8191" s="10"/>
      <c r="P8191" s="10"/>
      <c r="Q8191" s="10"/>
      <c r="R8191" s="10"/>
      <c r="S8191" s="10"/>
      <c r="T8191" s="10"/>
      <c r="U8191" s="10"/>
      <c r="V8191" s="10"/>
      <c r="W8191" s="10"/>
      <c r="X8191" s="10"/>
      <c r="Y8191" s="10"/>
      <c r="Z8191" s="10"/>
    </row>
    <row r="8192" spans="1:26" ht="12.75">
      <c r="A8192" s="10"/>
      <c r="B8192" s="10"/>
      <c r="C8192" s="10"/>
      <c r="D8192" s="10"/>
      <c r="E8192" s="10"/>
      <c r="F8192" s="10"/>
      <c r="G8192" s="10"/>
      <c r="H8192" s="10"/>
      <c r="I8192" s="10"/>
      <c r="J8192" s="10"/>
      <c r="K8192" s="10"/>
      <c r="L8192" s="10"/>
      <c r="M8192" s="10"/>
      <c r="N8192" s="10"/>
      <c r="O8192" s="10"/>
      <c r="P8192" s="10"/>
      <c r="Q8192" s="10"/>
      <c r="R8192" s="10"/>
      <c r="S8192" s="10"/>
      <c r="T8192" s="10"/>
      <c r="U8192" s="10"/>
      <c r="V8192" s="10"/>
      <c r="W8192" s="10"/>
      <c r="X8192" s="10"/>
      <c r="Y8192" s="10"/>
      <c r="Z8192" s="10"/>
    </row>
    <row r="8193" spans="1:26" ht="12.75">
      <c r="A8193" s="10"/>
      <c r="B8193" s="10"/>
      <c r="C8193" s="10"/>
      <c r="D8193" s="10"/>
      <c r="E8193" s="10"/>
      <c r="F8193" s="10"/>
      <c r="G8193" s="10"/>
      <c r="H8193" s="10"/>
      <c r="I8193" s="10"/>
      <c r="J8193" s="10"/>
      <c r="K8193" s="10"/>
      <c r="L8193" s="10"/>
      <c r="M8193" s="10"/>
      <c r="N8193" s="10"/>
      <c r="O8193" s="10"/>
      <c r="P8193" s="10"/>
      <c r="Q8193" s="10"/>
      <c r="R8193" s="10"/>
      <c r="S8193" s="10"/>
      <c r="T8193" s="10"/>
      <c r="U8193" s="10"/>
      <c r="V8193" s="10"/>
      <c r="W8193" s="10"/>
      <c r="X8193" s="10"/>
      <c r="Y8193" s="10"/>
      <c r="Z8193" s="10"/>
    </row>
    <row r="8194" spans="1:26" ht="12.75">
      <c r="A8194" s="10"/>
      <c r="B8194" s="10"/>
      <c r="C8194" s="10"/>
      <c r="D8194" s="10"/>
      <c r="E8194" s="10"/>
      <c r="F8194" s="10"/>
      <c r="G8194" s="10"/>
      <c r="H8194" s="10"/>
      <c r="I8194" s="10"/>
      <c r="J8194" s="10"/>
      <c r="K8194" s="10"/>
      <c r="L8194" s="10"/>
      <c r="M8194" s="10"/>
      <c r="N8194" s="10"/>
      <c r="O8194" s="10"/>
      <c r="P8194" s="10"/>
      <c r="Q8194" s="10"/>
      <c r="R8194" s="10"/>
      <c r="S8194" s="10"/>
      <c r="T8194" s="10"/>
      <c r="U8194" s="10"/>
      <c r="V8194" s="10"/>
      <c r="W8194" s="10"/>
      <c r="X8194" s="10"/>
      <c r="Y8194" s="10"/>
      <c r="Z8194" s="10"/>
    </row>
    <row r="8195" spans="1:26" ht="12.75">
      <c r="A8195" s="10"/>
      <c r="B8195" s="10"/>
      <c r="C8195" s="10"/>
      <c r="D8195" s="10"/>
      <c r="E8195" s="10"/>
      <c r="F8195" s="10"/>
      <c r="G8195" s="10"/>
      <c r="H8195" s="10"/>
      <c r="I8195" s="10"/>
      <c r="J8195" s="10"/>
      <c r="K8195" s="10"/>
      <c r="L8195" s="10"/>
      <c r="M8195" s="10"/>
      <c r="N8195" s="10"/>
      <c r="O8195" s="10"/>
      <c r="P8195" s="10"/>
      <c r="Q8195" s="10"/>
      <c r="R8195" s="10"/>
      <c r="S8195" s="10"/>
      <c r="T8195" s="10"/>
      <c r="U8195" s="10"/>
      <c r="V8195" s="10"/>
      <c r="W8195" s="10"/>
      <c r="X8195" s="10"/>
      <c r="Y8195" s="10"/>
      <c r="Z8195" s="10"/>
    </row>
    <row r="8196" spans="1:26" ht="12.75">
      <c r="A8196" s="10"/>
      <c r="B8196" s="10"/>
      <c r="C8196" s="10"/>
      <c r="D8196" s="10"/>
      <c r="E8196" s="10"/>
      <c r="F8196" s="10"/>
      <c r="G8196" s="10"/>
      <c r="H8196" s="10"/>
      <c r="I8196" s="10"/>
      <c r="J8196" s="10"/>
      <c r="K8196" s="10"/>
      <c r="L8196" s="10"/>
      <c r="M8196" s="10"/>
      <c r="N8196" s="10"/>
      <c r="O8196" s="10"/>
      <c r="P8196" s="10"/>
      <c r="Q8196" s="10"/>
      <c r="R8196" s="10"/>
      <c r="S8196" s="10"/>
      <c r="T8196" s="10"/>
      <c r="U8196" s="10"/>
      <c r="V8196" s="10"/>
      <c r="W8196" s="10"/>
      <c r="X8196" s="10"/>
      <c r="Y8196" s="10"/>
      <c r="Z8196" s="10"/>
    </row>
    <row r="8197" spans="1:26" ht="12.75">
      <c r="A8197" s="10"/>
      <c r="B8197" s="10"/>
      <c r="C8197" s="10"/>
      <c r="D8197" s="10"/>
      <c r="E8197" s="10"/>
      <c r="F8197" s="10"/>
      <c r="G8197" s="10"/>
      <c r="H8197" s="10"/>
      <c r="I8197" s="10"/>
      <c r="J8197" s="10"/>
      <c r="K8197" s="10"/>
      <c r="L8197" s="10"/>
      <c r="M8197" s="10"/>
      <c r="N8197" s="10"/>
      <c r="O8197" s="10"/>
      <c r="P8197" s="10"/>
      <c r="Q8197" s="10"/>
      <c r="R8197" s="10"/>
      <c r="S8197" s="10"/>
      <c r="T8197" s="10"/>
      <c r="U8197" s="10"/>
      <c r="V8197" s="10"/>
      <c r="W8197" s="10"/>
      <c r="X8197" s="10"/>
      <c r="Y8197" s="10"/>
      <c r="Z8197" s="10"/>
    </row>
    <row r="8198" spans="1:26" ht="12.75">
      <c r="A8198" s="10"/>
      <c r="B8198" s="10"/>
      <c r="C8198" s="10"/>
      <c r="D8198" s="10"/>
      <c r="E8198" s="10"/>
      <c r="F8198" s="10"/>
      <c r="G8198" s="10"/>
      <c r="H8198" s="10"/>
      <c r="I8198" s="10"/>
      <c r="J8198" s="10"/>
      <c r="K8198" s="10"/>
      <c r="L8198" s="10"/>
      <c r="M8198" s="10"/>
      <c r="N8198" s="10"/>
      <c r="O8198" s="10"/>
      <c r="P8198" s="10"/>
      <c r="Q8198" s="10"/>
      <c r="R8198" s="10"/>
      <c r="S8198" s="10"/>
      <c r="T8198" s="10"/>
      <c r="U8198" s="10"/>
      <c r="V8198" s="10"/>
      <c r="W8198" s="10"/>
      <c r="X8198" s="10"/>
      <c r="Y8198" s="10"/>
      <c r="Z8198" s="10"/>
    </row>
    <row r="8199" spans="1:26" ht="12.75">
      <c r="A8199" s="10"/>
      <c r="B8199" s="10"/>
      <c r="C8199" s="10"/>
      <c r="D8199" s="10"/>
      <c r="E8199" s="10"/>
      <c r="F8199" s="10"/>
      <c r="G8199" s="10"/>
      <c r="H8199" s="10"/>
      <c r="I8199" s="10"/>
      <c r="J8199" s="10"/>
      <c r="K8199" s="10"/>
      <c r="L8199" s="10"/>
      <c r="M8199" s="10"/>
      <c r="N8199" s="10"/>
      <c r="O8199" s="10"/>
      <c r="P8199" s="10"/>
      <c r="Q8199" s="10"/>
      <c r="R8199" s="10"/>
      <c r="S8199" s="10"/>
      <c r="T8199" s="10"/>
      <c r="U8199" s="10"/>
      <c r="V8199" s="10"/>
      <c r="W8199" s="10"/>
      <c r="X8199" s="10"/>
      <c r="Y8199" s="10"/>
      <c r="Z8199" s="10"/>
    </row>
    <row r="8200" spans="1:26" ht="12.75">
      <c r="A8200" s="10"/>
      <c r="B8200" s="10"/>
      <c r="C8200" s="10"/>
      <c r="D8200" s="10"/>
      <c r="E8200" s="10"/>
      <c r="F8200" s="10"/>
      <c r="G8200" s="10"/>
      <c r="H8200" s="10"/>
      <c r="I8200" s="10"/>
      <c r="J8200" s="10"/>
      <c r="K8200" s="10"/>
      <c r="L8200" s="10"/>
      <c r="M8200" s="10"/>
      <c r="N8200" s="10"/>
      <c r="O8200" s="10"/>
      <c r="P8200" s="10"/>
      <c r="Q8200" s="10"/>
      <c r="R8200" s="10"/>
      <c r="S8200" s="10"/>
      <c r="T8200" s="10"/>
      <c r="U8200" s="10"/>
      <c r="V8200" s="10"/>
      <c r="W8200" s="10"/>
      <c r="X8200" s="10"/>
      <c r="Y8200" s="10"/>
      <c r="Z8200" s="10"/>
    </row>
    <row r="8201" spans="1:26" ht="12.75">
      <c r="A8201" s="10"/>
      <c r="B8201" s="10"/>
      <c r="C8201" s="10"/>
      <c r="D8201" s="10"/>
      <c r="E8201" s="10"/>
      <c r="F8201" s="10"/>
      <c r="G8201" s="10"/>
      <c r="H8201" s="10"/>
      <c r="I8201" s="10"/>
      <c r="J8201" s="10"/>
      <c r="K8201" s="10"/>
      <c r="L8201" s="10"/>
      <c r="M8201" s="10"/>
      <c r="N8201" s="10"/>
      <c r="O8201" s="10"/>
      <c r="P8201" s="10"/>
      <c r="Q8201" s="10"/>
      <c r="R8201" s="10"/>
      <c r="S8201" s="10"/>
      <c r="T8201" s="10"/>
      <c r="U8201" s="10"/>
      <c r="V8201" s="10"/>
      <c r="W8201" s="10"/>
      <c r="X8201" s="10"/>
      <c r="Y8201" s="10"/>
      <c r="Z8201" s="10"/>
    </row>
    <row r="8202" spans="1:26" ht="12.75">
      <c r="A8202" s="10"/>
      <c r="B8202" s="10"/>
      <c r="C8202" s="10"/>
      <c r="D8202" s="10"/>
      <c r="E8202" s="10"/>
      <c r="F8202" s="10"/>
      <c r="G8202" s="10"/>
      <c r="H8202" s="10"/>
      <c r="I8202" s="10"/>
      <c r="J8202" s="10"/>
      <c r="K8202" s="10"/>
      <c r="L8202" s="10"/>
      <c r="M8202" s="10"/>
      <c r="N8202" s="10"/>
      <c r="O8202" s="10"/>
      <c r="P8202" s="10"/>
      <c r="Q8202" s="10"/>
      <c r="R8202" s="10"/>
      <c r="S8202" s="10"/>
      <c r="T8202" s="10"/>
      <c r="U8202" s="10"/>
      <c r="V8202" s="10"/>
      <c r="W8202" s="10"/>
      <c r="X8202" s="10"/>
      <c r="Y8202" s="10"/>
      <c r="Z8202" s="10"/>
    </row>
    <row r="8203" spans="1:26" ht="12.75">
      <c r="A8203" s="10"/>
      <c r="B8203" s="10"/>
      <c r="C8203" s="10"/>
      <c r="D8203" s="10"/>
      <c r="E8203" s="10"/>
      <c r="F8203" s="10"/>
      <c r="G8203" s="10"/>
      <c r="H8203" s="10"/>
      <c r="I8203" s="10"/>
      <c r="J8203" s="10"/>
      <c r="K8203" s="10"/>
      <c r="L8203" s="10"/>
      <c r="M8203" s="10"/>
      <c r="N8203" s="10"/>
      <c r="O8203" s="10"/>
      <c r="P8203" s="10"/>
      <c r="Q8203" s="10"/>
      <c r="R8203" s="10"/>
      <c r="S8203" s="10"/>
      <c r="T8203" s="10"/>
      <c r="U8203" s="10"/>
      <c r="V8203" s="10"/>
      <c r="W8203" s="10"/>
      <c r="X8203" s="10"/>
      <c r="Y8203" s="10"/>
      <c r="Z8203" s="10"/>
    </row>
    <row r="8204" spans="1:26" ht="12.75">
      <c r="A8204" s="10"/>
      <c r="B8204" s="10"/>
      <c r="C8204" s="10"/>
      <c r="D8204" s="10"/>
      <c r="E8204" s="10"/>
      <c r="F8204" s="10"/>
      <c r="G8204" s="10"/>
      <c r="H8204" s="10"/>
      <c r="I8204" s="10"/>
      <c r="J8204" s="10"/>
      <c r="K8204" s="10"/>
      <c r="L8204" s="10"/>
      <c r="M8204" s="10"/>
      <c r="N8204" s="10"/>
      <c r="O8204" s="10"/>
      <c r="P8204" s="10"/>
      <c r="Q8204" s="10"/>
      <c r="R8204" s="10"/>
      <c r="S8204" s="10"/>
      <c r="T8204" s="10"/>
      <c r="U8204" s="10"/>
      <c r="V8204" s="10"/>
      <c r="W8204" s="10"/>
      <c r="X8204" s="10"/>
      <c r="Y8204" s="10"/>
      <c r="Z8204" s="10"/>
    </row>
    <row r="8205" spans="1:26" ht="12.75">
      <c r="A8205" s="10"/>
      <c r="B8205" s="10"/>
      <c r="C8205" s="10"/>
      <c r="D8205" s="10"/>
      <c r="E8205" s="10"/>
      <c r="F8205" s="10"/>
      <c r="G8205" s="10"/>
      <c r="H8205" s="10"/>
      <c r="I8205" s="10"/>
      <c r="J8205" s="10"/>
      <c r="K8205" s="10"/>
      <c r="L8205" s="10"/>
      <c r="M8205" s="10"/>
      <c r="N8205" s="10"/>
      <c r="O8205" s="10"/>
      <c r="P8205" s="10"/>
      <c r="Q8205" s="10"/>
      <c r="R8205" s="10"/>
      <c r="S8205" s="10"/>
      <c r="T8205" s="10"/>
      <c r="U8205" s="10"/>
      <c r="V8205" s="10"/>
      <c r="W8205" s="10"/>
      <c r="X8205" s="10"/>
      <c r="Y8205" s="10"/>
      <c r="Z8205" s="10"/>
    </row>
    <row r="8206" spans="1:26" ht="12.75">
      <c r="A8206" s="10"/>
      <c r="B8206" s="10"/>
      <c r="C8206" s="10"/>
      <c r="D8206" s="10"/>
      <c r="E8206" s="10"/>
      <c r="F8206" s="10"/>
      <c r="G8206" s="10"/>
      <c r="H8206" s="10"/>
      <c r="I8206" s="10"/>
      <c r="J8206" s="10"/>
      <c r="K8206" s="10"/>
      <c r="L8206" s="10"/>
      <c r="M8206" s="10"/>
      <c r="N8206" s="10"/>
      <c r="O8206" s="10"/>
      <c r="P8206" s="10"/>
      <c r="Q8206" s="10"/>
      <c r="R8206" s="10"/>
      <c r="S8206" s="10"/>
      <c r="T8206" s="10"/>
      <c r="U8206" s="10"/>
      <c r="V8206" s="10"/>
      <c r="W8206" s="10"/>
      <c r="X8206" s="10"/>
      <c r="Y8206" s="10"/>
      <c r="Z8206" s="10"/>
    </row>
    <row r="8207" spans="1:26" ht="12.75">
      <c r="A8207" s="10"/>
      <c r="B8207" s="10"/>
      <c r="C8207" s="10"/>
      <c r="D8207" s="10"/>
      <c r="E8207" s="10"/>
      <c r="F8207" s="10"/>
      <c r="G8207" s="10"/>
      <c r="H8207" s="10"/>
      <c r="I8207" s="10"/>
      <c r="J8207" s="10"/>
      <c r="K8207" s="10"/>
      <c r="L8207" s="10"/>
      <c r="M8207" s="10"/>
      <c r="N8207" s="10"/>
      <c r="O8207" s="10"/>
      <c r="P8207" s="10"/>
      <c r="Q8207" s="10"/>
      <c r="R8207" s="10"/>
      <c r="S8207" s="10"/>
      <c r="T8207" s="10"/>
      <c r="U8207" s="10"/>
      <c r="V8207" s="10"/>
      <c r="W8207" s="10"/>
      <c r="X8207" s="10"/>
      <c r="Y8207" s="10"/>
      <c r="Z8207" s="10"/>
    </row>
    <row r="8208" spans="1:26" ht="12.75">
      <c r="A8208" s="10"/>
      <c r="B8208" s="10"/>
      <c r="C8208" s="10"/>
      <c r="D8208" s="10"/>
      <c r="E8208" s="10"/>
      <c r="F8208" s="10"/>
      <c r="G8208" s="10"/>
      <c r="H8208" s="10"/>
      <c r="I8208" s="10"/>
      <c r="J8208" s="10"/>
      <c r="K8208" s="10"/>
      <c r="L8208" s="10"/>
      <c r="M8208" s="10"/>
      <c r="N8208" s="10"/>
      <c r="O8208" s="10"/>
      <c r="P8208" s="10"/>
      <c r="Q8208" s="10"/>
      <c r="R8208" s="10"/>
      <c r="S8208" s="10"/>
      <c r="T8208" s="10"/>
      <c r="U8208" s="10"/>
      <c r="V8208" s="10"/>
      <c r="W8208" s="10"/>
      <c r="X8208" s="10"/>
      <c r="Y8208" s="10"/>
      <c r="Z8208" s="10"/>
    </row>
    <row r="8209" spans="1:26" ht="12.75">
      <c r="A8209" s="10"/>
      <c r="B8209" s="10"/>
      <c r="C8209" s="10"/>
      <c r="D8209" s="10"/>
      <c r="E8209" s="10"/>
      <c r="F8209" s="10"/>
      <c r="G8209" s="10"/>
      <c r="H8209" s="10"/>
      <c r="I8209" s="10"/>
      <c r="J8209" s="10"/>
      <c r="K8209" s="10"/>
      <c r="L8209" s="10"/>
      <c r="M8209" s="10"/>
      <c r="N8209" s="10"/>
      <c r="O8209" s="10"/>
      <c r="P8209" s="10"/>
      <c r="Q8209" s="10"/>
      <c r="R8209" s="10"/>
      <c r="S8209" s="10"/>
      <c r="T8209" s="10"/>
      <c r="U8209" s="10"/>
      <c r="V8209" s="10"/>
      <c r="W8209" s="10"/>
      <c r="X8209" s="10"/>
      <c r="Y8209" s="10"/>
      <c r="Z8209" s="10"/>
    </row>
    <row r="8210" spans="1:26" ht="12.75">
      <c r="A8210" s="10"/>
      <c r="B8210" s="10"/>
      <c r="C8210" s="10"/>
      <c r="D8210" s="10"/>
      <c r="E8210" s="10"/>
      <c r="F8210" s="10"/>
      <c r="G8210" s="10"/>
      <c r="H8210" s="10"/>
      <c r="I8210" s="10"/>
      <c r="J8210" s="10"/>
      <c r="K8210" s="10"/>
      <c r="L8210" s="10"/>
      <c r="M8210" s="10"/>
      <c r="N8210" s="10"/>
      <c r="O8210" s="10"/>
      <c r="P8210" s="10"/>
      <c r="Q8210" s="10"/>
      <c r="R8210" s="10"/>
      <c r="S8210" s="10"/>
      <c r="T8210" s="10"/>
      <c r="U8210" s="10"/>
      <c r="V8210" s="10"/>
      <c r="W8210" s="10"/>
      <c r="X8210" s="10"/>
      <c r="Y8210" s="10"/>
      <c r="Z8210" s="10"/>
    </row>
    <row r="8211" spans="1:26" ht="12.75">
      <c r="A8211" s="10"/>
      <c r="B8211" s="10"/>
      <c r="C8211" s="10"/>
      <c r="D8211" s="10"/>
      <c r="E8211" s="10"/>
      <c r="F8211" s="10"/>
      <c r="G8211" s="10"/>
      <c r="H8211" s="10"/>
      <c r="I8211" s="10"/>
      <c r="J8211" s="10"/>
      <c r="K8211" s="10"/>
      <c r="L8211" s="10"/>
      <c r="M8211" s="10"/>
      <c r="N8211" s="10"/>
      <c r="O8211" s="10"/>
      <c r="P8211" s="10"/>
      <c r="Q8211" s="10"/>
      <c r="R8211" s="10"/>
      <c r="S8211" s="10"/>
      <c r="T8211" s="10"/>
      <c r="U8211" s="10"/>
      <c r="V8211" s="10"/>
      <c r="W8211" s="10"/>
      <c r="X8211" s="10"/>
      <c r="Y8211" s="10"/>
      <c r="Z8211" s="10"/>
    </row>
    <row r="8212" spans="1:26" ht="12.75">
      <c r="A8212" s="10"/>
      <c r="B8212" s="10"/>
      <c r="C8212" s="10"/>
      <c r="D8212" s="10"/>
      <c r="E8212" s="10"/>
      <c r="F8212" s="10"/>
      <c r="G8212" s="10"/>
      <c r="H8212" s="10"/>
      <c r="I8212" s="10"/>
      <c r="J8212" s="10"/>
      <c r="K8212" s="10"/>
      <c r="L8212" s="10"/>
      <c r="M8212" s="10"/>
      <c r="N8212" s="10"/>
      <c r="O8212" s="10"/>
      <c r="P8212" s="10"/>
      <c r="Q8212" s="10"/>
      <c r="R8212" s="10"/>
      <c r="S8212" s="10"/>
      <c r="T8212" s="10"/>
      <c r="U8212" s="10"/>
      <c r="V8212" s="10"/>
      <c r="W8212" s="10"/>
      <c r="X8212" s="10"/>
      <c r="Y8212" s="10"/>
      <c r="Z8212" s="10"/>
    </row>
    <row r="8213" spans="1:26" ht="12.75">
      <c r="A8213" s="10"/>
      <c r="B8213" s="10"/>
      <c r="C8213" s="10"/>
      <c r="D8213" s="10"/>
      <c r="E8213" s="10"/>
      <c r="F8213" s="10"/>
      <c r="G8213" s="10"/>
      <c r="H8213" s="10"/>
      <c r="I8213" s="10"/>
      <c r="J8213" s="10"/>
      <c r="K8213" s="10"/>
      <c r="L8213" s="10"/>
      <c r="M8213" s="10"/>
      <c r="N8213" s="10"/>
      <c r="O8213" s="10"/>
      <c r="P8213" s="10"/>
      <c r="Q8213" s="10"/>
      <c r="R8213" s="10"/>
      <c r="S8213" s="10"/>
      <c r="T8213" s="10"/>
      <c r="U8213" s="10"/>
      <c r="V8213" s="10"/>
      <c r="W8213" s="10"/>
      <c r="X8213" s="10"/>
      <c r="Y8213" s="10"/>
      <c r="Z8213" s="10"/>
    </row>
    <row r="8214" spans="1:26" ht="12.75">
      <c r="A8214" s="10"/>
      <c r="B8214" s="10"/>
      <c r="C8214" s="10"/>
      <c r="D8214" s="10"/>
      <c r="E8214" s="10"/>
      <c r="F8214" s="10"/>
      <c r="G8214" s="10"/>
      <c r="H8214" s="10"/>
      <c r="I8214" s="10"/>
      <c r="J8214" s="10"/>
      <c r="K8214" s="10"/>
      <c r="L8214" s="10"/>
      <c r="M8214" s="10"/>
      <c r="N8214" s="10"/>
      <c r="O8214" s="10"/>
      <c r="P8214" s="10"/>
      <c r="Q8214" s="10"/>
      <c r="R8214" s="10"/>
      <c r="S8214" s="10"/>
      <c r="T8214" s="10"/>
      <c r="U8214" s="10"/>
      <c r="V8214" s="10"/>
      <c r="W8214" s="10"/>
      <c r="X8214" s="10"/>
      <c r="Y8214" s="10"/>
      <c r="Z8214" s="10"/>
    </row>
    <row r="8215" spans="1:26" ht="12.75">
      <c r="A8215" s="10"/>
      <c r="B8215" s="10"/>
      <c r="C8215" s="10"/>
      <c r="D8215" s="10"/>
      <c r="E8215" s="10"/>
      <c r="F8215" s="10"/>
      <c r="G8215" s="10"/>
      <c r="H8215" s="10"/>
      <c r="I8215" s="10"/>
      <c r="J8215" s="10"/>
      <c r="K8215" s="10"/>
      <c r="L8215" s="10"/>
      <c r="M8215" s="10"/>
      <c r="N8215" s="10"/>
      <c r="O8215" s="10"/>
      <c r="P8215" s="10"/>
      <c r="Q8215" s="10"/>
      <c r="R8215" s="10"/>
      <c r="S8215" s="10"/>
      <c r="T8215" s="10"/>
      <c r="U8215" s="10"/>
      <c r="V8215" s="10"/>
      <c r="W8215" s="10"/>
      <c r="X8215" s="10"/>
      <c r="Y8215" s="10"/>
      <c r="Z8215" s="10"/>
    </row>
    <row r="8216" spans="1:26" ht="12.75">
      <c r="A8216" s="10"/>
      <c r="B8216" s="10"/>
      <c r="C8216" s="10"/>
      <c r="D8216" s="10"/>
      <c r="E8216" s="10"/>
      <c r="F8216" s="10"/>
      <c r="G8216" s="10"/>
      <c r="H8216" s="10"/>
      <c r="I8216" s="10"/>
      <c r="J8216" s="10"/>
      <c r="K8216" s="10"/>
      <c r="L8216" s="10"/>
      <c r="M8216" s="10"/>
      <c r="N8216" s="10"/>
      <c r="O8216" s="10"/>
      <c r="P8216" s="10"/>
      <c r="Q8216" s="10"/>
      <c r="R8216" s="10"/>
      <c r="S8216" s="10"/>
      <c r="T8216" s="10"/>
      <c r="U8216" s="10"/>
      <c r="V8216" s="10"/>
      <c r="W8216" s="10"/>
      <c r="X8216" s="10"/>
      <c r="Y8216" s="10"/>
      <c r="Z8216" s="10"/>
    </row>
    <row r="8217" spans="1:26" ht="12.75">
      <c r="A8217" s="10"/>
      <c r="B8217" s="10"/>
      <c r="C8217" s="10"/>
      <c r="D8217" s="10"/>
      <c r="E8217" s="10"/>
      <c r="F8217" s="10"/>
      <c r="G8217" s="10"/>
      <c r="H8217" s="10"/>
      <c r="I8217" s="10"/>
      <c r="J8217" s="10"/>
      <c r="K8217" s="10"/>
      <c r="L8217" s="10"/>
      <c r="M8217" s="10"/>
      <c r="N8217" s="10"/>
      <c r="O8217" s="10"/>
      <c r="P8217" s="10"/>
      <c r="Q8217" s="10"/>
      <c r="R8217" s="10"/>
      <c r="S8217" s="10"/>
      <c r="T8217" s="10"/>
      <c r="U8217" s="10"/>
      <c r="V8217" s="10"/>
      <c r="W8217" s="10"/>
      <c r="X8217" s="10"/>
      <c r="Y8217" s="10"/>
      <c r="Z8217" s="10"/>
    </row>
    <row r="8218" spans="1:26" ht="12.75">
      <c r="A8218" s="10"/>
      <c r="B8218" s="10"/>
      <c r="C8218" s="10"/>
      <c r="D8218" s="10"/>
      <c r="E8218" s="10"/>
      <c r="F8218" s="10"/>
      <c r="G8218" s="10"/>
      <c r="H8218" s="10"/>
      <c r="I8218" s="10"/>
      <c r="J8218" s="10"/>
      <c r="K8218" s="10"/>
      <c r="L8218" s="10"/>
      <c r="M8218" s="10"/>
      <c r="N8218" s="10"/>
      <c r="O8218" s="10"/>
      <c r="P8218" s="10"/>
      <c r="Q8218" s="10"/>
      <c r="R8218" s="10"/>
      <c r="S8218" s="10"/>
      <c r="T8218" s="10"/>
      <c r="U8218" s="10"/>
      <c r="V8218" s="10"/>
      <c r="W8218" s="10"/>
      <c r="X8218" s="10"/>
      <c r="Y8218" s="10"/>
      <c r="Z8218" s="10"/>
    </row>
    <row r="8219" spans="1:26" ht="12.75">
      <c r="A8219" s="10"/>
      <c r="B8219" s="10"/>
      <c r="C8219" s="10"/>
      <c r="D8219" s="10"/>
      <c r="E8219" s="10"/>
      <c r="F8219" s="10"/>
      <c r="G8219" s="10"/>
      <c r="H8219" s="10"/>
      <c r="I8219" s="10"/>
      <c r="J8219" s="10"/>
      <c r="K8219" s="10"/>
      <c r="L8219" s="10"/>
      <c r="M8219" s="10"/>
      <c r="N8219" s="10"/>
      <c r="O8219" s="10"/>
      <c r="P8219" s="10"/>
      <c r="Q8219" s="10"/>
      <c r="R8219" s="10"/>
      <c r="S8219" s="10"/>
      <c r="T8219" s="10"/>
      <c r="U8219" s="10"/>
      <c r="V8219" s="10"/>
      <c r="W8219" s="10"/>
      <c r="X8219" s="10"/>
      <c r="Y8219" s="10"/>
      <c r="Z8219" s="10"/>
    </row>
    <row r="8220" spans="1:26" ht="12.75">
      <c r="A8220" s="10"/>
      <c r="B8220" s="10"/>
      <c r="C8220" s="10"/>
      <c r="D8220" s="10"/>
      <c r="E8220" s="10"/>
      <c r="F8220" s="10"/>
      <c r="G8220" s="10"/>
      <c r="H8220" s="10"/>
      <c r="I8220" s="10"/>
      <c r="J8220" s="10"/>
      <c r="K8220" s="10"/>
      <c r="L8220" s="10"/>
      <c r="M8220" s="10"/>
      <c r="N8220" s="10"/>
      <c r="O8220" s="10"/>
      <c r="P8220" s="10"/>
      <c r="Q8220" s="10"/>
      <c r="R8220" s="10"/>
      <c r="S8220" s="10"/>
      <c r="T8220" s="10"/>
      <c r="U8220" s="10"/>
      <c r="V8220" s="10"/>
      <c r="W8220" s="10"/>
      <c r="X8220" s="10"/>
      <c r="Y8220" s="10"/>
      <c r="Z8220" s="10"/>
    </row>
    <row r="8221" spans="1:26" ht="12.75">
      <c r="A8221" s="10"/>
      <c r="B8221" s="10"/>
      <c r="C8221" s="10"/>
      <c r="D8221" s="10"/>
      <c r="E8221" s="10"/>
      <c r="F8221" s="10"/>
      <c r="G8221" s="10"/>
      <c r="H8221" s="10"/>
      <c r="I8221" s="10"/>
      <c r="J8221" s="10"/>
      <c r="K8221" s="10"/>
      <c r="L8221" s="10"/>
      <c r="M8221" s="10"/>
      <c r="N8221" s="10"/>
      <c r="O8221" s="10"/>
      <c r="P8221" s="10"/>
      <c r="Q8221" s="10"/>
      <c r="R8221" s="10"/>
      <c r="S8221" s="10"/>
      <c r="T8221" s="10"/>
      <c r="U8221" s="10"/>
      <c r="V8221" s="10"/>
      <c r="W8221" s="10"/>
      <c r="X8221" s="10"/>
      <c r="Y8221" s="10"/>
      <c r="Z8221" s="10"/>
    </row>
    <row r="8222" spans="1:26" ht="12.75">
      <c r="A8222" s="10"/>
      <c r="B8222" s="10"/>
      <c r="C8222" s="10"/>
      <c r="D8222" s="10"/>
      <c r="E8222" s="10"/>
      <c r="F8222" s="10"/>
      <c r="G8222" s="10"/>
      <c r="H8222" s="10"/>
      <c r="I8222" s="10"/>
      <c r="J8222" s="10"/>
      <c r="K8222" s="10"/>
      <c r="L8222" s="10"/>
      <c r="M8222" s="10"/>
      <c r="N8222" s="10"/>
      <c r="O8222" s="10"/>
      <c r="P8222" s="10"/>
      <c r="Q8222" s="10"/>
      <c r="R8222" s="10"/>
      <c r="S8222" s="10"/>
      <c r="T8222" s="10"/>
      <c r="U8222" s="10"/>
      <c r="V8222" s="10"/>
      <c r="W8222" s="10"/>
      <c r="X8222" s="10"/>
      <c r="Y8222" s="10"/>
      <c r="Z8222" s="10"/>
    </row>
    <row r="8223" spans="1:26" ht="12.75">
      <c r="A8223" s="10"/>
      <c r="B8223" s="10"/>
      <c r="C8223" s="10"/>
      <c r="D8223" s="10"/>
      <c r="E8223" s="10"/>
      <c r="F8223" s="10"/>
      <c r="G8223" s="10"/>
      <c r="H8223" s="10"/>
      <c r="I8223" s="10"/>
      <c r="J8223" s="10"/>
      <c r="K8223" s="10"/>
      <c r="L8223" s="10"/>
      <c r="M8223" s="10"/>
      <c r="N8223" s="10"/>
      <c r="O8223" s="10"/>
      <c r="P8223" s="10"/>
      <c r="Q8223" s="10"/>
      <c r="R8223" s="10"/>
      <c r="S8223" s="10"/>
      <c r="T8223" s="10"/>
      <c r="U8223" s="10"/>
      <c r="V8223" s="10"/>
      <c r="W8223" s="10"/>
      <c r="X8223" s="10"/>
      <c r="Y8223" s="10"/>
      <c r="Z8223" s="10"/>
    </row>
    <row r="8224" spans="1:26" ht="12.75">
      <c r="A8224" s="10"/>
      <c r="B8224" s="10"/>
      <c r="C8224" s="10"/>
      <c r="D8224" s="10"/>
      <c r="E8224" s="10"/>
      <c r="F8224" s="10"/>
      <c r="G8224" s="10"/>
      <c r="H8224" s="10"/>
      <c r="I8224" s="10"/>
      <c r="J8224" s="10"/>
      <c r="K8224" s="10"/>
      <c r="L8224" s="10"/>
      <c r="M8224" s="10"/>
      <c r="N8224" s="10"/>
      <c r="O8224" s="10"/>
      <c r="P8224" s="10"/>
      <c r="Q8224" s="10"/>
      <c r="R8224" s="10"/>
      <c r="S8224" s="10"/>
      <c r="T8224" s="10"/>
      <c r="U8224" s="10"/>
      <c r="V8224" s="10"/>
      <c r="W8224" s="10"/>
      <c r="X8224" s="10"/>
      <c r="Y8224" s="10"/>
      <c r="Z8224" s="10"/>
    </row>
    <row r="8225" spans="1:26" ht="12.75">
      <c r="A8225" s="10"/>
      <c r="B8225" s="10"/>
      <c r="C8225" s="10"/>
      <c r="D8225" s="10"/>
      <c r="E8225" s="10"/>
      <c r="F8225" s="10"/>
      <c r="G8225" s="10"/>
      <c r="H8225" s="10"/>
      <c r="I8225" s="10"/>
      <c r="J8225" s="10"/>
      <c r="K8225" s="10"/>
      <c r="L8225" s="10"/>
      <c r="M8225" s="10"/>
      <c r="N8225" s="10"/>
      <c r="O8225" s="10"/>
      <c r="P8225" s="10"/>
      <c r="Q8225" s="10"/>
      <c r="R8225" s="10"/>
      <c r="S8225" s="10"/>
      <c r="T8225" s="10"/>
      <c r="U8225" s="10"/>
      <c r="V8225" s="10"/>
      <c r="W8225" s="10"/>
      <c r="X8225" s="10"/>
      <c r="Y8225" s="10"/>
      <c r="Z8225" s="10"/>
    </row>
    <row r="8226" spans="1:26" ht="12.75">
      <c r="A8226" s="10"/>
      <c r="B8226" s="10"/>
      <c r="C8226" s="10"/>
      <c r="D8226" s="10"/>
      <c r="E8226" s="10"/>
      <c r="F8226" s="10"/>
      <c r="G8226" s="10"/>
      <c r="H8226" s="10"/>
      <c r="I8226" s="10"/>
      <c r="J8226" s="10"/>
      <c r="K8226" s="10"/>
      <c r="L8226" s="10"/>
      <c r="M8226" s="10"/>
      <c r="N8226" s="10"/>
      <c r="O8226" s="10"/>
      <c r="P8226" s="10"/>
      <c r="Q8226" s="10"/>
      <c r="R8226" s="10"/>
      <c r="S8226" s="10"/>
      <c r="T8226" s="10"/>
      <c r="U8226" s="10"/>
      <c r="V8226" s="10"/>
      <c r="W8226" s="10"/>
      <c r="X8226" s="10"/>
      <c r="Y8226" s="10"/>
      <c r="Z8226" s="10"/>
    </row>
    <row r="8227" spans="1:26" ht="12.75">
      <c r="A8227" s="10"/>
      <c r="B8227" s="10"/>
      <c r="C8227" s="10"/>
      <c r="D8227" s="10"/>
      <c r="E8227" s="10"/>
      <c r="F8227" s="10"/>
      <c r="G8227" s="10"/>
      <c r="H8227" s="10"/>
      <c r="I8227" s="10"/>
      <c r="J8227" s="10"/>
      <c r="K8227" s="10"/>
      <c r="L8227" s="10"/>
      <c r="M8227" s="10"/>
      <c r="N8227" s="10"/>
      <c r="O8227" s="10"/>
      <c r="P8227" s="10"/>
      <c r="Q8227" s="10"/>
      <c r="R8227" s="10"/>
      <c r="S8227" s="10"/>
      <c r="T8227" s="10"/>
      <c r="U8227" s="10"/>
      <c r="V8227" s="10"/>
      <c r="W8227" s="10"/>
      <c r="X8227" s="10"/>
      <c r="Y8227" s="10"/>
      <c r="Z8227" s="10"/>
    </row>
    <row r="8228" spans="1:26" ht="12.75">
      <c r="A8228" s="10"/>
      <c r="B8228" s="10"/>
      <c r="C8228" s="10"/>
      <c r="D8228" s="10"/>
      <c r="E8228" s="10"/>
      <c r="F8228" s="10"/>
      <c r="G8228" s="10"/>
      <c r="H8228" s="10"/>
      <c r="I8228" s="10"/>
      <c r="J8228" s="10"/>
      <c r="K8228" s="10"/>
      <c r="L8228" s="10"/>
      <c r="M8228" s="10"/>
      <c r="N8228" s="10"/>
      <c r="O8228" s="10"/>
      <c r="P8228" s="10"/>
      <c r="Q8228" s="10"/>
      <c r="R8228" s="10"/>
      <c r="S8228" s="10"/>
      <c r="T8228" s="10"/>
      <c r="U8228" s="10"/>
      <c r="V8228" s="10"/>
      <c r="W8228" s="10"/>
      <c r="X8228" s="10"/>
      <c r="Y8228" s="10"/>
      <c r="Z8228" s="10"/>
    </row>
    <row r="8229" spans="1:26" ht="12.75">
      <c r="A8229" s="10"/>
      <c r="B8229" s="10"/>
      <c r="C8229" s="10"/>
      <c r="D8229" s="10"/>
      <c r="E8229" s="10"/>
      <c r="F8229" s="10"/>
      <c r="G8229" s="10"/>
      <c r="H8229" s="10"/>
      <c r="I8229" s="10"/>
      <c r="J8229" s="10"/>
      <c r="K8229" s="10"/>
      <c r="L8229" s="10"/>
      <c r="M8229" s="10"/>
      <c r="N8229" s="10"/>
      <c r="O8229" s="10"/>
      <c r="P8229" s="10"/>
      <c r="Q8229" s="10"/>
      <c r="R8229" s="10"/>
      <c r="S8229" s="10"/>
      <c r="T8229" s="10"/>
      <c r="U8229" s="10"/>
      <c r="V8229" s="10"/>
      <c r="W8229" s="10"/>
      <c r="X8229" s="10"/>
      <c r="Y8229" s="10"/>
      <c r="Z8229" s="10"/>
    </row>
    <row r="8230" spans="1:26" ht="12.75">
      <c r="A8230" s="10"/>
      <c r="B8230" s="10"/>
      <c r="C8230" s="10"/>
      <c r="D8230" s="10"/>
      <c r="E8230" s="10"/>
      <c r="F8230" s="10"/>
      <c r="G8230" s="10"/>
      <c r="H8230" s="10"/>
      <c r="I8230" s="10"/>
      <c r="J8230" s="10"/>
      <c r="K8230" s="10"/>
      <c r="L8230" s="10"/>
      <c r="M8230" s="10"/>
      <c r="N8230" s="10"/>
      <c r="O8230" s="10"/>
      <c r="P8230" s="10"/>
      <c r="Q8230" s="10"/>
      <c r="R8230" s="10"/>
      <c r="S8230" s="10"/>
      <c r="T8230" s="10"/>
      <c r="U8230" s="10"/>
      <c r="V8230" s="10"/>
      <c r="W8230" s="10"/>
      <c r="X8230" s="10"/>
      <c r="Y8230" s="10"/>
      <c r="Z8230" s="10"/>
    </row>
    <row r="8231" spans="1:26" ht="12.75">
      <c r="A8231" s="10"/>
      <c r="B8231" s="10"/>
      <c r="C8231" s="10"/>
      <c r="D8231" s="10"/>
      <c r="E8231" s="10"/>
      <c r="F8231" s="10"/>
      <c r="G8231" s="10"/>
      <c r="H8231" s="10"/>
      <c r="I8231" s="10"/>
      <c r="J8231" s="10"/>
      <c r="K8231" s="10"/>
      <c r="L8231" s="10"/>
      <c r="M8231" s="10"/>
      <c r="N8231" s="10"/>
      <c r="O8231" s="10"/>
      <c r="P8231" s="10"/>
      <c r="Q8231" s="10"/>
      <c r="R8231" s="10"/>
      <c r="S8231" s="10"/>
      <c r="T8231" s="10"/>
      <c r="U8231" s="10"/>
      <c r="V8231" s="10"/>
      <c r="W8231" s="10"/>
      <c r="X8231" s="10"/>
      <c r="Y8231" s="10"/>
      <c r="Z8231" s="10"/>
    </row>
    <row r="8232" spans="1:26" ht="12.75">
      <c r="A8232" s="10"/>
      <c r="B8232" s="10"/>
      <c r="C8232" s="10"/>
      <c r="D8232" s="10"/>
      <c r="E8232" s="10"/>
      <c r="F8232" s="10"/>
      <c r="G8232" s="10"/>
      <c r="H8232" s="10"/>
      <c r="I8232" s="10"/>
      <c r="J8232" s="10"/>
      <c r="K8232" s="10"/>
      <c r="L8232" s="10"/>
      <c r="M8232" s="10"/>
      <c r="N8232" s="10"/>
      <c r="O8232" s="10"/>
      <c r="P8232" s="10"/>
      <c r="Q8232" s="10"/>
      <c r="R8232" s="10"/>
      <c r="S8232" s="10"/>
      <c r="T8232" s="10"/>
      <c r="U8232" s="10"/>
      <c r="V8232" s="10"/>
      <c r="W8232" s="10"/>
      <c r="X8232" s="10"/>
      <c r="Y8232" s="10"/>
      <c r="Z8232" s="10"/>
    </row>
    <row r="8233" spans="1:26" ht="12.75">
      <c r="A8233" s="10"/>
      <c r="B8233" s="10"/>
      <c r="C8233" s="10"/>
      <c r="D8233" s="10"/>
      <c r="E8233" s="10"/>
      <c r="F8233" s="10"/>
      <c r="G8233" s="10"/>
      <c r="H8233" s="10"/>
      <c r="I8233" s="10"/>
      <c r="J8233" s="10"/>
      <c r="K8233" s="10"/>
      <c r="L8233" s="10"/>
      <c r="M8233" s="10"/>
      <c r="N8233" s="10"/>
      <c r="O8233" s="10"/>
      <c r="P8233" s="10"/>
      <c r="Q8233" s="10"/>
      <c r="R8233" s="10"/>
      <c r="S8233" s="10"/>
      <c r="T8233" s="10"/>
      <c r="U8233" s="10"/>
      <c r="V8233" s="10"/>
      <c r="W8233" s="10"/>
      <c r="X8233" s="10"/>
      <c r="Y8233" s="10"/>
      <c r="Z8233" s="10"/>
    </row>
    <row r="8234" spans="1:26" ht="12.75">
      <c r="A8234" s="10"/>
      <c r="B8234" s="10"/>
      <c r="C8234" s="10"/>
      <c r="D8234" s="10"/>
      <c r="E8234" s="10"/>
      <c r="F8234" s="10"/>
      <c r="G8234" s="10"/>
      <c r="H8234" s="10"/>
      <c r="I8234" s="10"/>
      <c r="J8234" s="10"/>
      <c r="K8234" s="10"/>
      <c r="L8234" s="10"/>
      <c r="M8234" s="10"/>
      <c r="N8234" s="10"/>
      <c r="O8234" s="10"/>
      <c r="P8234" s="10"/>
      <c r="Q8234" s="10"/>
      <c r="R8234" s="10"/>
      <c r="S8234" s="10"/>
      <c r="T8234" s="10"/>
      <c r="U8234" s="10"/>
      <c r="V8234" s="10"/>
      <c r="W8234" s="10"/>
      <c r="X8234" s="10"/>
      <c r="Y8234" s="10"/>
      <c r="Z8234" s="10"/>
    </row>
    <row r="8235" spans="1:26" ht="12.75">
      <c r="A8235" s="10"/>
      <c r="B8235" s="10"/>
      <c r="C8235" s="10"/>
      <c r="D8235" s="10"/>
      <c r="E8235" s="10"/>
      <c r="F8235" s="10"/>
      <c r="G8235" s="10"/>
      <c r="H8235" s="10"/>
      <c r="I8235" s="10"/>
      <c r="J8235" s="10"/>
      <c r="K8235" s="10"/>
      <c r="L8235" s="10"/>
      <c r="M8235" s="10"/>
      <c r="N8235" s="10"/>
      <c r="O8235" s="10"/>
      <c r="P8235" s="10"/>
      <c r="Q8235" s="10"/>
      <c r="R8235" s="10"/>
      <c r="S8235" s="10"/>
      <c r="T8235" s="10"/>
      <c r="U8235" s="10"/>
      <c r="V8235" s="10"/>
      <c r="W8235" s="10"/>
      <c r="X8235" s="10"/>
      <c r="Y8235" s="10"/>
      <c r="Z8235" s="10"/>
    </row>
    <row r="8236" spans="1:26" ht="12.75">
      <c r="A8236" s="10"/>
      <c r="B8236" s="10"/>
      <c r="C8236" s="10"/>
      <c r="D8236" s="10"/>
      <c r="E8236" s="10"/>
      <c r="F8236" s="10"/>
      <c r="G8236" s="10"/>
      <c r="H8236" s="10"/>
      <c r="I8236" s="10"/>
      <c r="J8236" s="10"/>
      <c r="K8236" s="10"/>
      <c r="L8236" s="10"/>
      <c r="M8236" s="10"/>
      <c r="N8236" s="10"/>
      <c r="O8236" s="10"/>
      <c r="P8236" s="10"/>
      <c r="Q8236" s="10"/>
      <c r="R8236" s="10"/>
      <c r="S8236" s="10"/>
      <c r="T8236" s="10"/>
      <c r="U8236" s="10"/>
      <c r="V8236" s="10"/>
      <c r="W8236" s="10"/>
      <c r="X8236" s="10"/>
      <c r="Y8236" s="10"/>
      <c r="Z8236" s="10"/>
    </row>
    <row r="8237" spans="1:26" ht="12.75">
      <c r="A8237" s="10"/>
      <c r="B8237" s="10"/>
      <c r="C8237" s="10"/>
      <c r="D8237" s="10"/>
      <c r="E8237" s="10"/>
      <c r="F8237" s="10"/>
      <c r="G8237" s="10"/>
      <c r="H8237" s="10"/>
      <c r="I8237" s="10"/>
      <c r="J8237" s="10"/>
      <c r="K8237" s="10"/>
      <c r="L8237" s="10"/>
      <c r="M8237" s="10"/>
      <c r="N8237" s="10"/>
      <c r="O8237" s="10"/>
      <c r="P8237" s="10"/>
      <c r="Q8237" s="10"/>
      <c r="R8237" s="10"/>
      <c r="S8237" s="10"/>
      <c r="T8237" s="10"/>
      <c r="U8237" s="10"/>
      <c r="V8237" s="10"/>
      <c r="W8237" s="10"/>
      <c r="X8237" s="10"/>
      <c r="Y8237" s="10"/>
      <c r="Z8237" s="10"/>
    </row>
    <row r="8238" spans="1:26" ht="12.75">
      <c r="A8238" s="10"/>
      <c r="B8238" s="10"/>
      <c r="C8238" s="10"/>
      <c r="D8238" s="10"/>
      <c r="E8238" s="10"/>
      <c r="F8238" s="10"/>
      <c r="G8238" s="10"/>
      <c r="H8238" s="10"/>
      <c r="I8238" s="10"/>
      <c r="J8238" s="10"/>
      <c r="K8238" s="10"/>
      <c r="L8238" s="10"/>
      <c r="M8238" s="10"/>
      <c r="N8238" s="10"/>
      <c r="O8238" s="10"/>
      <c r="P8238" s="10"/>
      <c r="Q8238" s="10"/>
      <c r="R8238" s="10"/>
      <c r="S8238" s="10"/>
      <c r="T8238" s="10"/>
      <c r="U8238" s="10"/>
      <c r="V8238" s="10"/>
      <c r="W8238" s="10"/>
      <c r="X8238" s="10"/>
      <c r="Y8238" s="10"/>
      <c r="Z8238" s="10"/>
    </row>
    <row r="8239" spans="1:26" ht="12.75">
      <c r="A8239" s="10"/>
      <c r="B8239" s="10"/>
      <c r="C8239" s="10"/>
      <c r="D8239" s="10"/>
      <c r="E8239" s="10"/>
      <c r="F8239" s="10"/>
      <c r="G8239" s="10"/>
      <c r="H8239" s="10"/>
      <c r="I8239" s="10"/>
      <c r="J8239" s="10"/>
      <c r="K8239" s="10"/>
      <c r="L8239" s="10"/>
      <c r="M8239" s="10"/>
      <c r="N8239" s="10"/>
      <c r="O8239" s="10"/>
      <c r="P8239" s="10"/>
      <c r="Q8239" s="10"/>
      <c r="R8239" s="10"/>
      <c r="S8239" s="10"/>
      <c r="T8239" s="10"/>
      <c r="U8239" s="10"/>
      <c r="V8239" s="10"/>
      <c r="W8239" s="10"/>
      <c r="X8239" s="10"/>
      <c r="Y8239" s="10"/>
      <c r="Z8239" s="10"/>
    </row>
    <row r="8240" spans="1:26" ht="12.75">
      <c r="A8240" s="10"/>
      <c r="B8240" s="10"/>
      <c r="C8240" s="10"/>
      <c r="D8240" s="10"/>
      <c r="E8240" s="10"/>
      <c r="F8240" s="10"/>
      <c r="G8240" s="10"/>
      <c r="H8240" s="10"/>
      <c r="I8240" s="10"/>
      <c r="J8240" s="10"/>
      <c r="K8240" s="10"/>
      <c r="L8240" s="10"/>
      <c r="M8240" s="10"/>
      <c r="N8240" s="10"/>
      <c r="O8240" s="10"/>
      <c r="P8240" s="10"/>
      <c r="Q8240" s="10"/>
      <c r="R8240" s="10"/>
      <c r="S8240" s="10"/>
      <c r="T8240" s="10"/>
      <c r="U8240" s="10"/>
      <c r="V8240" s="10"/>
      <c r="W8240" s="10"/>
      <c r="X8240" s="10"/>
      <c r="Y8240" s="10"/>
      <c r="Z8240" s="10"/>
    </row>
    <row r="8241" spans="1:26" ht="12.75">
      <c r="A8241" s="10"/>
      <c r="B8241" s="10"/>
      <c r="C8241" s="10"/>
      <c r="D8241" s="10"/>
      <c r="E8241" s="10"/>
      <c r="F8241" s="10"/>
      <c r="G8241" s="10"/>
      <c r="H8241" s="10"/>
      <c r="I8241" s="10"/>
      <c r="J8241" s="10"/>
      <c r="K8241" s="10"/>
      <c r="L8241" s="10"/>
      <c r="M8241" s="10"/>
      <c r="N8241" s="10"/>
      <c r="O8241" s="10"/>
      <c r="P8241" s="10"/>
      <c r="Q8241" s="10"/>
      <c r="R8241" s="10"/>
      <c r="S8241" s="10"/>
      <c r="T8241" s="10"/>
      <c r="U8241" s="10"/>
      <c r="V8241" s="10"/>
      <c r="W8241" s="10"/>
      <c r="X8241" s="10"/>
      <c r="Y8241" s="10"/>
      <c r="Z8241" s="10"/>
    </row>
    <row r="8242" spans="1:26" ht="12.75">
      <c r="A8242" s="10"/>
      <c r="B8242" s="10"/>
      <c r="C8242" s="10"/>
      <c r="D8242" s="10"/>
      <c r="E8242" s="10"/>
      <c r="F8242" s="10"/>
      <c r="G8242" s="10"/>
      <c r="H8242" s="10"/>
      <c r="I8242" s="10"/>
      <c r="J8242" s="10"/>
      <c r="K8242" s="10"/>
      <c r="L8242" s="10"/>
      <c r="M8242" s="10"/>
      <c r="N8242" s="10"/>
      <c r="O8242" s="10"/>
      <c r="P8242" s="10"/>
      <c r="Q8242" s="10"/>
      <c r="R8242" s="10"/>
      <c r="S8242" s="10"/>
      <c r="T8242" s="10"/>
      <c r="U8242" s="10"/>
      <c r="V8242" s="10"/>
      <c r="W8242" s="10"/>
      <c r="X8242" s="10"/>
      <c r="Y8242" s="10"/>
      <c r="Z8242" s="10"/>
    </row>
    <row r="8243" spans="1:26" ht="12.75">
      <c r="A8243" s="10"/>
      <c r="B8243" s="10"/>
      <c r="C8243" s="10"/>
      <c r="D8243" s="10"/>
      <c r="E8243" s="10"/>
      <c r="F8243" s="10"/>
      <c r="G8243" s="10"/>
      <c r="H8243" s="10"/>
      <c r="I8243" s="10"/>
      <c r="J8243" s="10"/>
      <c r="K8243" s="10"/>
      <c r="L8243" s="10"/>
      <c r="M8243" s="10"/>
      <c r="N8243" s="10"/>
      <c r="O8243" s="10"/>
      <c r="P8243" s="10"/>
      <c r="Q8243" s="10"/>
      <c r="R8243" s="10"/>
      <c r="S8243" s="10"/>
      <c r="T8243" s="10"/>
      <c r="U8243" s="10"/>
      <c r="V8243" s="10"/>
      <c r="W8243" s="10"/>
      <c r="X8243" s="10"/>
      <c r="Y8243" s="10"/>
      <c r="Z8243" s="10"/>
    </row>
    <row r="8244" spans="1:26" ht="12.75">
      <c r="A8244" s="10"/>
      <c r="B8244" s="10"/>
      <c r="C8244" s="10"/>
      <c r="D8244" s="10"/>
      <c r="E8244" s="10"/>
      <c r="F8244" s="10"/>
      <c r="G8244" s="10"/>
      <c r="H8244" s="10"/>
      <c r="I8244" s="10"/>
      <c r="J8244" s="10"/>
      <c r="K8244" s="10"/>
      <c r="L8244" s="10"/>
      <c r="M8244" s="10"/>
      <c r="N8244" s="10"/>
      <c r="O8244" s="10"/>
      <c r="P8244" s="10"/>
      <c r="Q8244" s="10"/>
      <c r="R8244" s="10"/>
      <c r="S8244" s="10"/>
      <c r="T8244" s="10"/>
      <c r="U8244" s="10"/>
      <c r="V8244" s="10"/>
      <c r="W8244" s="10"/>
      <c r="X8244" s="10"/>
      <c r="Y8244" s="10"/>
      <c r="Z8244" s="10"/>
    </row>
    <row r="8245" spans="1:26" ht="12.75">
      <c r="A8245" s="10"/>
      <c r="B8245" s="10"/>
      <c r="C8245" s="10"/>
      <c r="D8245" s="10"/>
      <c r="E8245" s="10"/>
      <c r="F8245" s="10"/>
      <c r="G8245" s="10"/>
      <c r="H8245" s="10"/>
      <c r="I8245" s="10"/>
      <c r="J8245" s="10"/>
      <c r="K8245" s="10"/>
      <c r="L8245" s="10"/>
      <c r="M8245" s="10"/>
      <c r="N8245" s="10"/>
      <c r="O8245" s="10"/>
      <c r="P8245" s="10"/>
      <c r="Q8245" s="10"/>
      <c r="R8245" s="10"/>
      <c r="S8245" s="10"/>
      <c r="T8245" s="10"/>
      <c r="U8245" s="10"/>
      <c r="V8245" s="10"/>
      <c r="W8245" s="10"/>
      <c r="X8245" s="10"/>
      <c r="Y8245" s="10"/>
      <c r="Z8245" s="10"/>
    </row>
    <row r="8246" spans="1:26" ht="12.75">
      <c r="A8246" s="10"/>
      <c r="B8246" s="10"/>
      <c r="C8246" s="10"/>
      <c r="D8246" s="10"/>
      <c r="E8246" s="10"/>
      <c r="F8246" s="10"/>
      <c r="G8246" s="10"/>
      <c r="H8246" s="10"/>
      <c r="I8246" s="10"/>
      <c r="J8246" s="10"/>
      <c r="K8246" s="10"/>
      <c r="L8246" s="10"/>
      <c r="M8246" s="10"/>
      <c r="N8246" s="10"/>
      <c r="O8246" s="10"/>
      <c r="P8246" s="10"/>
      <c r="Q8246" s="10"/>
      <c r="R8246" s="10"/>
      <c r="S8246" s="10"/>
      <c r="T8246" s="10"/>
      <c r="U8246" s="10"/>
      <c r="V8246" s="10"/>
      <c r="W8246" s="10"/>
      <c r="X8246" s="10"/>
      <c r="Y8246" s="10"/>
      <c r="Z8246" s="10"/>
    </row>
    <row r="8247" spans="1:26" ht="12.75">
      <c r="A8247" s="10"/>
      <c r="B8247" s="10"/>
      <c r="C8247" s="10"/>
      <c r="D8247" s="10"/>
      <c r="E8247" s="10"/>
      <c r="F8247" s="10"/>
      <c r="G8247" s="10"/>
      <c r="H8247" s="10"/>
      <c r="I8247" s="10"/>
      <c r="J8247" s="10"/>
      <c r="K8247" s="10"/>
      <c r="L8247" s="10"/>
      <c r="M8247" s="10"/>
      <c r="N8247" s="10"/>
      <c r="O8247" s="10"/>
      <c r="P8247" s="10"/>
      <c r="Q8247" s="10"/>
      <c r="R8247" s="10"/>
      <c r="S8247" s="10"/>
      <c r="T8247" s="10"/>
      <c r="U8247" s="10"/>
      <c r="V8247" s="10"/>
      <c r="W8247" s="10"/>
      <c r="X8247" s="10"/>
      <c r="Y8247" s="10"/>
      <c r="Z8247" s="10"/>
    </row>
    <row r="8248" spans="1:26" ht="12.75">
      <c r="A8248" s="10"/>
      <c r="B8248" s="10"/>
      <c r="C8248" s="10"/>
      <c r="D8248" s="10"/>
      <c r="E8248" s="10"/>
      <c r="F8248" s="10"/>
      <c r="G8248" s="10"/>
      <c r="H8248" s="10"/>
      <c r="I8248" s="10"/>
      <c r="J8248" s="10"/>
      <c r="K8248" s="10"/>
      <c r="L8248" s="10"/>
      <c r="M8248" s="10"/>
      <c r="N8248" s="10"/>
      <c r="O8248" s="10"/>
      <c r="P8248" s="10"/>
      <c r="Q8248" s="10"/>
      <c r="R8248" s="10"/>
      <c r="S8248" s="10"/>
      <c r="T8248" s="10"/>
      <c r="U8248" s="10"/>
      <c r="V8248" s="10"/>
      <c r="W8248" s="10"/>
      <c r="X8248" s="10"/>
      <c r="Y8248" s="10"/>
      <c r="Z8248" s="10"/>
    </row>
    <row r="8249" spans="1:26" ht="12.75">
      <c r="A8249" s="10"/>
      <c r="B8249" s="10"/>
      <c r="C8249" s="10"/>
      <c r="D8249" s="10"/>
      <c r="E8249" s="10"/>
      <c r="F8249" s="10"/>
      <c r="G8249" s="10"/>
      <c r="H8249" s="10"/>
      <c r="I8249" s="10"/>
      <c r="J8249" s="10"/>
      <c r="K8249" s="10"/>
      <c r="L8249" s="10"/>
      <c r="M8249" s="10"/>
      <c r="N8249" s="10"/>
      <c r="O8249" s="10"/>
      <c r="P8249" s="10"/>
      <c r="Q8249" s="10"/>
      <c r="R8249" s="10"/>
      <c r="S8249" s="10"/>
      <c r="T8249" s="10"/>
      <c r="U8249" s="10"/>
      <c r="V8249" s="10"/>
      <c r="W8249" s="10"/>
      <c r="X8249" s="10"/>
      <c r="Y8249" s="10"/>
      <c r="Z8249" s="10"/>
    </row>
    <row r="8250" spans="1:26" ht="12.75">
      <c r="A8250" s="10"/>
      <c r="B8250" s="10"/>
      <c r="C8250" s="10"/>
      <c r="D8250" s="10"/>
      <c r="E8250" s="10"/>
      <c r="F8250" s="10"/>
      <c r="G8250" s="10"/>
      <c r="H8250" s="10"/>
      <c r="I8250" s="10"/>
      <c r="J8250" s="10"/>
      <c r="K8250" s="10"/>
      <c r="L8250" s="10"/>
      <c r="M8250" s="10"/>
      <c r="N8250" s="10"/>
      <c r="O8250" s="10"/>
      <c r="P8250" s="10"/>
      <c r="Q8250" s="10"/>
      <c r="R8250" s="10"/>
      <c r="S8250" s="10"/>
      <c r="T8250" s="10"/>
      <c r="U8250" s="10"/>
      <c r="V8250" s="10"/>
      <c r="W8250" s="10"/>
      <c r="X8250" s="10"/>
      <c r="Y8250" s="10"/>
      <c r="Z8250" s="10"/>
    </row>
    <row r="8251" spans="1:26" ht="12.75">
      <c r="A8251" s="10"/>
      <c r="B8251" s="10"/>
      <c r="C8251" s="10"/>
      <c r="D8251" s="10"/>
      <c r="E8251" s="10"/>
      <c r="F8251" s="10"/>
      <c r="G8251" s="10"/>
      <c r="H8251" s="10"/>
      <c r="I8251" s="10"/>
      <c r="J8251" s="10"/>
      <c r="K8251" s="10"/>
      <c r="L8251" s="10"/>
      <c r="M8251" s="10"/>
      <c r="N8251" s="10"/>
      <c r="O8251" s="10"/>
      <c r="P8251" s="10"/>
      <c r="Q8251" s="10"/>
      <c r="R8251" s="10"/>
      <c r="S8251" s="10"/>
      <c r="T8251" s="10"/>
      <c r="U8251" s="10"/>
      <c r="V8251" s="10"/>
      <c r="W8251" s="10"/>
      <c r="X8251" s="10"/>
      <c r="Y8251" s="10"/>
      <c r="Z8251" s="10"/>
    </row>
    <row r="8252" spans="1:26" ht="12.75">
      <c r="A8252" s="10"/>
      <c r="B8252" s="10"/>
      <c r="C8252" s="10"/>
      <c r="D8252" s="10"/>
      <c r="E8252" s="10"/>
      <c r="F8252" s="10"/>
      <c r="G8252" s="10"/>
      <c r="H8252" s="10"/>
      <c r="I8252" s="10"/>
      <c r="J8252" s="10"/>
      <c r="K8252" s="10"/>
      <c r="L8252" s="10"/>
      <c r="M8252" s="10"/>
      <c r="N8252" s="10"/>
      <c r="O8252" s="10"/>
      <c r="P8252" s="10"/>
      <c r="Q8252" s="10"/>
      <c r="R8252" s="10"/>
      <c r="S8252" s="10"/>
      <c r="T8252" s="10"/>
      <c r="U8252" s="10"/>
      <c r="V8252" s="10"/>
      <c r="W8252" s="10"/>
      <c r="X8252" s="10"/>
      <c r="Y8252" s="10"/>
      <c r="Z8252" s="10"/>
    </row>
    <row r="8253" spans="1:26" ht="12.75">
      <c r="A8253" s="10"/>
      <c r="B8253" s="10"/>
      <c r="C8253" s="10"/>
      <c r="D8253" s="10"/>
      <c r="E8253" s="10"/>
      <c r="F8253" s="10"/>
      <c r="G8253" s="10"/>
      <c r="H8253" s="10"/>
      <c r="I8253" s="10"/>
      <c r="J8253" s="10"/>
      <c r="K8253" s="10"/>
      <c r="L8253" s="10"/>
      <c r="M8253" s="10"/>
      <c r="N8253" s="10"/>
      <c r="O8253" s="10"/>
      <c r="P8253" s="10"/>
      <c r="Q8253" s="10"/>
      <c r="R8253" s="10"/>
      <c r="S8253" s="10"/>
      <c r="T8253" s="10"/>
      <c r="U8253" s="10"/>
      <c r="V8253" s="10"/>
      <c r="W8253" s="10"/>
      <c r="X8253" s="10"/>
      <c r="Y8253" s="10"/>
      <c r="Z8253" s="10"/>
    </row>
    <row r="8254" spans="1:26" ht="12.75">
      <c r="A8254" s="10"/>
      <c r="B8254" s="10"/>
      <c r="C8254" s="10"/>
      <c r="D8254" s="10"/>
      <c r="E8254" s="10"/>
      <c r="F8254" s="10"/>
      <c r="G8254" s="10"/>
      <c r="H8254" s="10"/>
      <c r="I8254" s="10"/>
      <c r="J8254" s="10"/>
      <c r="K8254" s="10"/>
      <c r="L8254" s="10"/>
      <c r="M8254" s="10"/>
      <c r="N8254" s="10"/>
      <c r="O8254" s="10"/>
      <c r="P8254" s="10"/>
      <c r="Q8254" s="10"/>
      <c r="R8254" s="10"/>
      <c r="S8254" s="10"/>
      <c r="T8254" s="10"/>
      <c r="U8254" s="10"/>
      <c r="V8254" s="10"/>
      <c r="W8254" s="10"/>
      <c r="X8254" s="10"/>
      <c r="Y8254" s="10"/>
      <c r="Z8254" s="10"/>
    </row>
    <row r="8255" spans="1:26" ht="12.75">
      <c r="A8255" s="10"/>
      <c r="B8255" s="10"/>
      <c r="C8255" s="10"/>
      <c r="D8255" s="10"/>
      <c r="E8255" s="10"/>
      <c r="F8255" s="10"/>
      <c r="G8255" s="10"/>
      <c r="H8255" s="10"/>
      <c r="I8255" s="10"/>
      <c r="J8255" s="10"/>
      <c r="K8255" s="10"/>
      <c r="L8255" s="10"/>
      <c r="M8255" s="10"/>
      <c r="N8255" s="10"/>
      <c r="O8255" s="10"/>
      <c r="P8255" s="10"/>
      <c r="Q8255" s="10"/>
      <c r="R8255" s="10"/>
      <c r="S8255" s="10"/>
      <c r="T8255" s="10"/>
      <c r="U8255" s="10"/>
      <c r="V8255" s="10"/>
      <c r="W8255" s="10"/>
      <c r="X8255" s="10"/>
      <c r="Y8255" s="10"/>
      <c r="Z8255" s="10"/>
    </row>
    <row r="8256" spans="1:26" ht="12.75">
      <c r="A8256" s="10"/>
      <c r="B8256" s="10"/>
      <c r="C8256" s="10"/>
      <c r="D8256" s="10"/>
      <c r="E8256" s="10"/>
      <c r="F8256" s="10"/>
      <c r="G8256" s="10"/>
      <c r="H8256" s="10"/>
      <c r="I8256" s="10"/>
      <c r="J8256" s="10"/>
      <c r="K8256" s="10"/>
      <c r="L8256" s="10"/>
      <c r="M8256" s="10"/>
      <c r="N8256" s="10"/>
      <c r="O8256" s="10"/>
      <c r="P8256" s="10"/>
      <c r="Q8256" s="10"/>
      <c r="R8256" s="10"/>
      <c r="S8256" s="10"/>
      <c r="T8256" s="10"/>
      <c r="U8256" s="10"/>
      <c r="V8256" s="10"/>
      <c r="W8256" s="10"/>
      <c r="X8256" s="10"/>
      <c r="Y8256" s="10"/>
      <c r="Z8256" s="10"/>
    </row>
    <row r="8257" spans="1:26" ht="12.75">
      <c r="A8257" s="10"/>
      <c r="B8257" s="10"/>
      <c r="C8257" s="10"/>
      <c r="D8257" s="10"/>
      <c r="E8257" s="10"/>
      <c r="F8257" s="10"/>
      <c r="G8257" s="10"/>
      <c r="H8257" s="10"/>
      <c r="I8257" s="10"/>
      <c r="J8257" s="10"/>
      <c r="K8257" s="10"/>
      <c r="L8257" s="10"/>
      <c r="M8257" s="10"/>
      <c r="N8257" s="10"/>
      <c r="O8257" s="10"/>
      <c r="P8257" s="10"/>
      <c r="Q8257" s="10"/>
      <c r="R8257" s="10"/>
      <c r="S8257" s="10"/>
      <c r="T8257" s="10"/>
      <c r="U8257" s="10"/>
      <c r="V8257" s="10"/>
      <c r="W8257" s="10"/>
      <c r="X8257" s="10"/>
      <c r="Y8257" s="10"/>
      <c r="Z8257" s="10"/>
    </row>
    <row r="8258" spans="1:26" ht="12.75">
      <c r="A8258" s="10"/>
      <c r="B8258" s="10"/>
      <c r="C8258" s="10"/>
      <c r="D8258" s="10"/>
      <c r="E8258" s="10"/>
      <c r="F8258" s="10"/>
      <c r="G8258" s="10"/>
      <c r="H8258" s="10"/>
      <c r="I8258" s="10"/>
      <c r="J8258" s="10"/>
      <c r="K8258" s="10"/>
      <c r="L8258" s="10"/>
      <c r="M8258" s="10"/>
      <c r="N8258" s="10"/>
      <c r="O8258" s="10"/>
      <c r="P8258" s="10"/>
      <c r="Q8258" s="10"/>
      <c r="R8258" s="10"/>
      <c r="S8258" s="10"/>
      <c r="T8258" s="10"/>
      <c r="U8258" s="10"/>
      <c r="V8258" s="10"/>
      <c r="W8258" s="10"/>
      <c r="X8258" s="10"/>
      <c r="Y8258" s="10"/>
      <c r="Z8258" s="10"/>
    </row>
    <row r="8259" spans="1:26" ht="12.75">
      <c r="A8259" s="10"/>
      <c r="B8259" s="10"/>
      <c r="C8259" s="10"/>
      <c r="D8259" s="10"/>
      <c r="E8259" s="10"/>
      <c r="F8259" s="10"/>
      <c r="G8259" s="10"/>
      <c r="H8259" s="10"/>
      <c r="I8259" s="10"/>
      <c r="J8259" s="10"/>
      <c r="K8259" s="10"/>
      <c r="L8259" s="10"/>
      <c r="M8259" s="10"/>
      <c r="N8259" s="10"/>
      <c r="O8259" s="10"/>
      <c r="P8259" s="10"/>
      <c r="Q8259" s="10"/>
      <c r="R8259" s="10"/>
      <c r="S8259" s="10"/>
      <c r="T8259" s="10"/>
      <c r="U8259" s="10"/>
      <c r="V8259" s="10"/>
      <c r="W8259" s="10"/>
      <c r="X8259" s="10"/>
      <c r="Y8259" s="10"/>
      <c r="Z8259" s="10"/>
    </row>
    <row r="8260" spans="1:26" ht="12.75">
      <c r="A8260" s="10"/>
      <c r="B8260" s="10"/>
      <c r="C8260" s="10"/>
      <c r="D8260" s="10"/>
      <c r="E8260" s="10"/>
      <c r="F8260" s="10"/>
      <c r="G8260" s="10"/>
      <c r="H8260" s="10"/>
      <c r="I8260" s="10"/>
      <c r="J8260" s="10"/>
      <c r="K8260" s="10"/>
      <c r="L8260" s="10"/>
      <c r="M8260" s="10"/>
      <c r="N8260" s="10"/>
      <c r="O8260" s="10"/>
      <c r="P8260" s="10"/>
      <c r="Q8260" s="10"/>
      <c r="R8260" s="10"/>
      <c r="S8260" s="10"/>
      <c r="T8260" s="10"/>
      <c r="U8260" s="10"/>
      <c r="V8260" s="10"/>
      <c r="W8260" s="10"/>
      <c r="X8260" s="10"/>
      <c r="Y8260" s="10"/>
      <c r="Z8260" s="10"/>
    </row>
    <row r="8261" spans="1:26" ht="12.75">
      <c r="A8261" s="10"/>
      <c r="B8261" s="10"/>
      <c r="C8261" s="10"/>
      <c r="D8261" s="10"/>
      <c r="E8261" s="10"/>
      <c r="F8261" s="10"/>
      <c r="G8261" s="10"/>
      <c r="H8261" s="10"/>
      <c r="I8261" s="10"/>
      <c r="J8261" s="10"/>
      <c r="K8261" s="10"/>
      <c r="L8261" s="10"/>
      <c r="M8261" s="10"/>
      <c r="N8261" s="10"/>
      <c r="O8261" s="10"/>
      <c r="P8261" s="10"/>
      <c r="Q8261" s="10"/>
      <c r="R8261" s="10"/>
      <c r="S8261" s="10"/>
      <c r="T8261" s="10"/>
      <c r="U8261" s="10"/>
      <c r="V8261" s="10"/>
      <c r="W8261" s="10"/>
      <c r="X8261" s="10"/>
      <c r="Y8261" s="10"/>
      <c r="Z8261" s="10"/>
    </row>
    <row r="8262" spans="1:26" ht="12.75">
      <c r="A8262" s="10"/>
      <c r="B8262" s="10"/>
      <c r="C8262" s="10"/>
      <c r="D8262" s="10"/>
      <c r="E8262" s="10"/>
      <c r="F8262" s="10"/>
      <c r="G8262" s="10"/>
      <c r="H8262" s="10"/>
      <c r="I8262" s="10"/>
      <c r="J8262" s="10"/>
      <c r="K8262" s="10"/>
      <c r="L8262" s="10"/>
      <c r="M8262" s="10"/>
      <c r="N8262" s="10"/>
      <c r="O8262" s="10"/>
      <c r="P8262" s="10"/>
      <c r="Q8262" s="10"/>
      <c r="R8262" s="10"/>
      <c r="S8262" s="10"/>
      <c r="T8262" s="10"/>
      <c r="U8262" s="10"/>
      <c r="V8262" s="10"/>
      <c r="W8262" s="10"/>
      <c r="X8262" s="10"/>
      <c r="Y8262" s="10"/>
      <c r="Z8262" s="10"/>
    </row>
    <row r="8263" spans="1:26" ht="12.75">
      <c r="A8263" s="10"/>
      <c r="B8263" s="10"/>
      <c r="C8263" s="10"/>
      <c r="D8263" s="10"/>
      <c r="E8263" s="10"/>
      <c r="F8263" s="10"/>
      <c r="G8263" s="10"/>
      <c r="H8263" s="10"/>
      <c r="I8263" s="10"/>
      <c r="J8263" s="10"/>
      <c r="K8263" s="10"/>
      <c r="L8263" s="10"/>
      <c r="M8263" s="10"/>
      <c r="N8263" s="10"/>
      <c r="O8263" s="10"/>
      <c r="P8263" s="10"/>
      <c r="Q8263" s="10"/>
      <c r="R8263" s="10"/>
      <c r="S8263" s="10"/>
      <c r="T8263" s="10"/>
      <c r="U8263" s="10"/>
      <c r="V8263" s="10"/>
      <c r="W8263" s="10"/>
      <c r="X8263" s="10"/>
      <c r="Y8263" s="10"/>
      <c r="Z8263" s="10"/>
    </row>
    <row r="8264" spans="1:26" ht="12.75">
      <c r="A8264" s="10"/>
      <c r="B8264" s="10"/>
      <c r="C8264" s="10"/>
      <c r="D8264" s="10"/>
      <c r="E8264" s="10"/>
      <c r="F8264" s="10"/>
      <c r="G8264" s="10"/>
      <c r="H8264" s="10"/>
      <c r="I8264" s="10"/>
      <c r="J8264" s="10"/>
      <c r="K8264" s="10"/>
      <c r="L8264" s="10"/>
      <c r="M8264" s="10"/>
      <c r="N8264" s="10"/>
      <c r="O8264" s="10"/>
      <c r="P8264" s="10"/>
      <c r="Q8264" s="10"/>
      <c r="R8264" s="10"/>
      <c r="S8264" s="10"/>
      <c r="T8264" s="10"/>
      <c r="U8264" s="10"/>
      <c r="V8264" s="10"/>
      <c r="W8264" s="10"/>
      <c r="X8264" s="10"/>
      <c r="Y8264" s="10"/>
      <c r="Z8264" s="10"/>
    </row>
    <row r="8265" spans="1:26" ht="12.75">
      <c r="A8265" s="10"/>
      <c r="B8265" s="10"/>
      <c r="C8265" s="10"/>
      <c r="D8265" s="10"/>
      <c r="E8265" s="10"/>
      <c r="F8265" s="10"/>
      <c r="G8265" s="10"/>
      <c r="H8265" s="10"/>
      <c r="I8265" s="10"/>
      <c r="J8265" s="10"/>
      <c r="K8265" s="10"/>
      <c r="L8265" s="10"/>
      <c r="M8265" s="10"/>
      <c r="N8265" s="10"/>
      <c r="O8265" s="10"/>
      <c r="P8265" s="10"/>
      <c r="Q8265" s="10"/>
      <c r="R8265" s="10"/>
      <c r="S8265" s="10"/>
      <c r="T8265" s="10"/>
      <c r="U8265" s="10"/>
      <c r="V8265" s="10"/>
      <c r="W8265" s="10"/>
      <c r="X8265" s="10"/>
      <c r="Y8265" s="10"/>
      <c r="Z8265" s="10"/>
    </row>
    <row r="8266" spans="1:26" ht="12.75">
      <c r="A8266" s="10"/>
      <c r="B8266" s="10"/>
      <c r="C8266" s="10"/>
      <c r="D8266" s="10"/>
      <c r="E8266" s="10"/>
      <c r="F8266" s="10"/>
      <c r="G8266" s="10"/>
      <c r="H8266" s="10"/>
      <c r="I8266" s="10"/>
      <c r="J8266" s="10"/>
      <c r="K8266" s="10"/>
      <c r="L8266" s="10"/>
      <c r="M8266" s="10"/>
      <c r="N8266" s="10"/>
      <c r="O8266" s="10"/>
      <c r="P8266" s="10"/>
      <c r="Q8266" s="10"/>
      <c r="R8266" s="10"/>
      <c r="S8266" s="10"/>
      <c r="T8266" s="10"/>
      <c r="U8266" s="10"/>
      <c r="V8266" s="10"/>
      <c r="W8266" s="10"/>
      <c r="X8266" s="10"/>
      <c r="Y8266" s="10"/>
      <c r="Z8266" s="10"/>
    </row>
    <row r="8267" spans="1:26" ht="12.75">
      <c r="A8267" s="10"/>
      <c r="B8267" s="10"/>
      <c r="C8267" s="10"/>
      <c r="D8267" s="10"/>
      <c r="E8267" s="10"/>
      <c r="F8267" s="10"/>
      <c r="G8267" s="10"/>
      <c r="H8267" s="10"/>
      <c r="I8267" s="10"/>
      <c r="J8267" s="10"/>
      <c r="K8267" s="10"/>
      <c r="L8267" s="10"/>
      <c r="M8267" s="10"/>
      <c r="N8267" s="10"/>
      <c r="O8267" s="10"/>
      <c r="P8267" s="10"/>
      <c r="Q8267" s="10"/>
      <c r="R8267" s="10"/>
      <c r="S8267" s="10"/>
      <c r="T8267" s="10"/>
      <c r="U8267" s="10"/>
      <c r="V8267" s="10"/>
      <c r="W8267" s="10"/>
      <c r="X8267" s="10"/>
      <c r="Y8267" s="10"/>
      <c r="Z8267" s="10"/>
    </row>
    <row r="8268" spans="1:26" ht="12.75">
      <c r="A8268" s="10"/>
      <c r="B8268" s="10"/>
      <c r="C8268" s="10"/>
      <c r="D8268" s="10"/>
      <c r="E8268" s="10"/>
      <c r="F8268" s="10"/>
      <c r="G8268" s="10"/>
      <c r="H8268" s="10"/>
      <c r="I8268" s="10"/>
      <c r="J8268" s="10"/>
      <c r="K8268" s="10"/>
      <c r="L8268" s="10"/>
      <c r="M8268" s="10"/>
      <c r="N8268" s="10"/>
      <c r="O8268" s="10"/>
      <c r="P8268" s="10"/>
      <c r="Q8268" s="10"/>
      <c r="R8268" s="10"/>
      <c r="S8268" s="10"/>
      <c r="T8268" s="10"/>
      <c r="U8268" s="10"/>
      <c r="V8268" s="10"/>
      <c r="W8268" s="10"/>
      <c r="X8268" s="10"/>
      <c r="Y8268" s="10"/>
      <c r="Z8268" s="10"/>
    </row>
    <row r="8269" spans="1:26" ht="12.75">
      <c r="A8269" s="10"/>
      <c r="B8269" s="10"/>
      <c r="C8269" s="10"/>
      <c r="D8269" s="10"/>
      <c r="E8269" s="10"/>
      <c r="F8269" s="10"/>
      <c r="G8269" s="10"/>
      <c r="H8269" s="10"/>
      <c r="I8269" s="10"/>
      <c r="J8269" s="10"/>
      <c r="K8269" s="10"/>
      <c r="L8269" s="10"/>
      <c r="M8269" s="10"/>
      <c r="N8269" s="10"/>
      <c r="O8269" s="10"/>
      <c r="P8269" s="10"/>
      <c r="Q8269" s="10"/>
      <c r="R8269" s="10"/>
      <c r="S8269" s="10"/>
      <c r="T8269" s="10"/>
      <c r="U8269" s="10"/>
      <c r="V8269" s="10"/>
      <c r="W8269" s="10"/>
      <c r="X8269" s="10"/>
      <c r="Y8269" s="10"/>
      <c r="Z8269" s="10"/>
    </row>
    <row r="8270" spans="1:26" ht="12.75">
      <c r="A8270" s="10"/>
      <c r="B8270" s="10"/>
      <c r="C8270" s="10"/>
      <c r="D8270" s="10"/>
      <c r="E8270" s="10"/>
      <c r="F8270" s="10"/>
      <c r="G8270" s="10"/>
      <c r="H8270" s="10"/>
      <c r="I8270" s="10"/>
      <c r="J8270" s="10"/>
      <c r="K8270" s="10"/>
      <c r="L8270" s="10"/>
      <c r="M8270" s="10"/>
      <c r="N8270" s="10"/>
      <c r="O8270" s="10"/>
      <c r="P8270" s="10"/>
      <c r="Q8270" s="10"/>
      <c r="R8270" s="10"/>
      <c r="S8270" s="10"/>
      <c r="T8270" s="10"/>
      <c r="U8270" s="10"/>
      <c r="V8270" s="10"/>
      <c r="W8270" s="10"/>
      <c r="X8270" s="10"/>
      <c r="Y8270" s="10"/>
      <c r="Z8270" s="10"/>
    </row>
    <row r="8271" spans="1:26" ht="12.75">
      <c r="A8271" s="10"/>
      <c r="B8271" s="10"/>
      <c r="C8271" s="10"/>
      <c r="D8271" s="10"/>
      <c r="E8271" s="10"/>
      <c r="F8271" s="10"/>
      <c r="G8271" s="10"/>
      <c r="H8271" s="10"/>
      <c r="I8271" s="10"/>
      <c r="J8271" s="10"/>
      <c r="K8271" s="10"/>
      <c r="L8271" s="10"/>
      <c r="M8271" s="10"/>
      <c r="N8271" s="10"/>
      <c r="O8271" s="10"/>
      <c r="P8271" s="10"/>
      <c r="Q8271" s="10"/>
      <c r="R8271" s="10"/>
      <c r="S8271" s="10"/>
      <c r="T8271" s="10"/>
      <c r="U8271" s="10"/>
      <c r="V8271" s="10"/>
      <c r="W8271" s="10"/>
      <c r="X8271" s="10"/>
      <c r="Y8271" s="10"/>
      <c r="Z8271" s="10"/>
    </row>
    <row r="8272" spans="1:26" ht="12.75">
      <c r="A8272" s="10"/>
      <c r="B8272" s="10"/>
      <c r="C8272" s="10"/>
      <c r="D8272" s="10"/>
      <c r="E8272" s="10"/>
      <c r="F8272" s="10"/>
      <c r="G8272" s="10"/>
      <c r="H8272" s="10"/>
      <c r="I8272" s="10"/>
      <c r="J8272" s="10"/>
      <c r="K8272" s="10"/>
      <c r="L8272" s="10"/>
      <c r="M8272" s="10"/>
      <c r="N8272" s="10"/>
      <c r="O8272" s="10"/>
      <c r="P8272" s="10"/>
      <c r="Q8272" s="10"/>
      <c r="R8272" s="10"/>
      <c r="S8272" s="10"/>
      <c r="T8272" s="10"/>
      <c r="U8272" s="10"/>
      <c r="V8272" s="10"/>
      <c r="W8272" s="10"/>
      <c r="X8272" s="10"/>
      <c r="Y8272" s="10"/>
      <c r="Z8272" s="10"/>
    </row>
    <row r="8273" spans="1:26" ht="12.75">
      <c r="A8273" s="10"/>
      <c r="B8273" s="10"/>
      <c r="C8273" s="10"/>
      <c r="D8273" s="10"/>
      <c r="E8273" s="10"/>
      <c r="F8273" s="10"/>
      <c r="G8273" s="10"/>
      <c r="H8273" s="10"/>
      <c r="I8273" s="10"/>
      <c r="J8273" s="10"/>
      <c r="K8273" s="10"/>
      <c r="L8273" s="10"/>
      <c r="M8273" s="10"/>
      <c r="N8273" s="10"/>
      <c r="O8273" s="10"/>
      <c r="P8273" s="10"/>
      <c r="Q8273" s="10"/>
      <c r="R8273" s="10"/>
      <c r="S8273" s="10"/>
      <c r="T8273" s="10"/>
      <c r="U8273" s="10"/>
      <c r="V8273" s="10"/>
      <c r="W8273" s="10"/>
      <c r="X8273" s="10"/>
      <c r="Y8273" s="10"/>
      <c r="Z8273" s="10"/>
    </row>
    <row r="8274" spans="1:26" ht="12.75">
      <c r="A8274" s="10"/>
      <c r="B8274" s="10"/>
      <c r="C8274" s="10"/>
      <c r="D8274" s="10"/>
      <c r="E8274" s="10"/>
      <c r="F8274" s="10"/>
      <c r="G8274" s="10"/>
      <c r="H8274" s="10"/>
      <c r="I8274" s="10"/>
      <c r="J8274" s="10"/>
      <c r="K8274" s="10"/>
      <c r="L8274" s="10"/>
      <c r="M8274" s="10"/>
      <c r="N8274" s="10"/>
      <c r="O8274" s="10"/>
      <c r="P8274" s="10"/>
      <c r="Q8274" s="10"/>
      <c r="R8274" s="10"/>
      <c r="S8274" s="10"/>
      <c r="T8274" s="10"/>
      <c r="U8274" s="10"/>
      <c r="V8274" s="10"/>
      <c r="W8274" s="10"/>
      <c r="X8274" s="10"/>
      <c r="Y8274" s="10"/>
      <c r="Z8274" s="10"/>
    </row>
    <row r="8275" spans="1:26" ht="12.75">
      <c r="A8275" s="10"/>
      <c r="B8275" s="10"/>
      <c r="C8275" s="10"/>
      <c r="D8275" s="10"/>
      <c r="E8275" s="10"/>
      <c r="F8275" s="10"/>
      <c r="G8275" s="10"/>
      <c r="H8275" s="10"/>
      <c r="I8275" s="10"/>
      <c r="J8275" s="10"/>
      <c r="K8275" s="10"/>
      <c r="L8275" s="10"/>
      <c r="M8275" s="10"/>
      <c r="N8275" s="10"/>
      <c r="O8275" s="10"/>
      <c r="P8275" s="10"/>
      <c r="Q8275" s="10"/>
      <c r="R8275" s="10"/>
      <c r="S8275" s="10"/>
      <c r="T8275" s="10"/>
      <c r="U8275" s="10"/>
      <c r="V8275" s="10"/>
      <c r="W8275" s="10"/>
      <c r="X8275" s="10"/>
      <c r="Y8275" s="10"/>
      <c r="Z8275" s="10"/>
    </row>
    <row r="8276" spans="1:26" ht="12.75">
      <c r="A8276" s="10"/>
      <c r="B8276" s="10"/>
      <c r="C8276" s="10"/>
      <c r="D8276" s="10"/>
      <c r="E8276" s="10"/>
      <c r="F8276" s="10"/>
      <c r="G8276" s="10"/>
      <c r="H8276" s="10"/>
      <c r="I8276" s="10"/>
      <c r="J8276" s="10"/>
      <c r="K8276" s="10"/>
      <c r="L8276" s="10"/>
      <c r="M8276" s="10"/>
      <c r="N8276" s="10"/>
      <c r="O8276" s="10"/>
      <c r="P8276" s="10"/>
      <c r="Q8276" s="10"/>
      <c r="R8276" s="10"/>
      <c r="S8276" s="10"/>
      <c r="T8276" s="10"/>
      <c r="U8276" s="10"/>
      <c r="V8276" s="10"/>
      <c r="W8276" s="10"/>
      <c r="X8276" s="10"/>
      <c r="Y8276" s="10"/>
      <c r="Z8276" s="10"/>
    </row>
    <row r="8277" spans="1:26" ht="12.75">
      <c r="A8277" s="10"/>
      <c r="B8277" s="10"/>
      <c r="C8277" s="10"/>
      <c r="D8277" s="10"/>
      <c r="E8277" s="10"/>
      <c r="F8277" s="10"/>
      <c r="G8277" s="10"/>
      <c r="H8277" s="10"/>
      <c r="I8277" s="10"/>
      <c r="J8277" s="10"/>
      <c r="K8277" s="10"/>
      <c r="L8277" s="10"/>
      <c r="M8277" s="10"/>
      <c r="N8277" s="10"/>
      <c r="O8277" s="10"/>
      <c r="P8277" s="10"/>
      <c r="Q8277" s="10"/>
      <c r="R8277" s="10"/>
      <c r="S8277" s="10"/>
      <c r="T8277" s="10"/>
      <c r="U8277" s="10"/>
      <c r="V8277" s="10"/>
      <c r="W8277" s="10"/>
      <c r="X8277" s="10"/>
      <c r="Y8277" s="10"/>
      <c r="Z8277" s="10"/>
    </row>
    <row r="8278" spans="1:26" ht="12.75">
      <c r="A8278" s="10"/>
      <c r="B8278" s="10"/>
      <c r="C8278" s="10"/>
      <c r="D8278" s="10"/>
      <c r="E8278" s="10"/>
      <c r="F8278" s="10"/>
      <c r="G8278" s="10"/>
      <c r="H8278" s="10"/>
      <c r="I8278" s="10"/>
      <c r="J8278" s="10"/>
      <c r="K8278" s="10"/>
      <c r="L8278" s="10"/>
      <c r="M8278" s="10"/>
      <c r="N8278" s="10"/>
      <c r="O8278" s="10"/>
      <c r="P8278" s="10"/>
      <c r="Q8278" s="10"/>
      <c r="R8278" s="10"/>
      <c r="S8278" s="10"/>
      <c r="T8278" s="10"/>
      <c r="U8278" s="10"/>
      <c r="V8278" s="10"/>
      <c r="W8278" s="10"/>
      <c r="X8278" s="10"/>
      <c r="Y8278" s="10"/>
      <c r="Z8278" s="10"/>
    </row>
    <row r="8279" spans="1:26" ht="12.75">
      <c r="A8279" s="10"/>
      <c r="B8279" s="10"/>
      <c r="C8279" s="10"/>
      <c r="D8279" s="10"/>
      <c r="E8279" s="10"/>
      <c r="F8279" s="10"/>
      <c r="G8279" s="10"/>
      <c r="H8279" s="10"/>
      <c r="I8279" s="10"/>
      <c r="J8279" s="10"/>
      <c r="K8279" s="10"/>
      <c r="L8279" s="10"/>
      <c r="M8279" s="10"/>
      <c r="N8279" s="10"/>
      <c r="O8279" s="10"/>
      <c r="P8279" s="10"/>
      <c r="Q8279" s="10"/>
      <c r="R8279" s="10"/>
      <c r="S8279" s="10"/>
      <c r="T8279" s="10"/>
      <c r="U8279" s="10"/>
      <c r="V8279" s="10"/>
      <c r="W8279" s="10"/>
      <c r="X8279" s="10"/>
      <c r="Y8279" s="10"/>
      <c r="Z8279" s="10"/>
    </row>
    <row r="8280" spans="1:26" ht="12.75">
      <c r="A8280" s="10"/>
      <c r="B8280" s="10"/>
      <c r="C8280" s="10"/>
      <c r="D8280" s="10"/>
      <c r="E8280" s="10"/>
      <c r="F8280" s="10"/>
      <c r="G8280" s="10"/>
      <c r="H8280" s="10"/>
      <c r="I8280" s="10"/>
      <c r="J8280" s="10"/>
      <c r="K8280" s="10"/>
      <c r="L8280" s="10"/>
      <c r="M8280" s="10"/>
      <c r="N8280" s="10"/>
      <c r="O8280" s="10"/>
      <c r="P8280" s="10"/>
      <c r="Q8280" s="10"/>
      <c r="R8280" s="10"/>
      <c r="S8280" s="10"/>
      <c r="T8280" s="10"/>
      <c r="U8280" s="10"/>
      <c r="V8280" s="10"/>
      <c r="W8280" s="10"/>
      <c r="X8280" s="10"/>
      <c r="Y8280" s="10"/>
      <c r="Z8280" s="10"/>
    </row>
    <row r="8281" spans="1:26" ht="12.75">
      <c r="A8281" s="10"/>
      <c r="B8281" s="10"/>
      <c r="C8281" s="10"/>
      <c r="D8281" s="10"/>
      <c r="E8281" s="10"/>
      <c r="F8281" s="10"/>
      <c r="G8281" s="10"/>
      <c r="H8281" s="10"/>
      <c r="I8281" s="10"/>
      <c r="J8281" s="10"/>
      <c r="K8281" s="10"/>
      <c r="L8281" s="10"/>
      <c r="M8281" s="10"/>
      <c r="N8281" s="10"/>
      <c r="O8281" s="10"/>
      <c r="P8281" s="10"/>
      <c r="Q8281" s="10"/>
      <c r="R8281" s="10"/>
      <c r="S8281" s="10"/>
      <c r="T8281" s="10"/>
      <c r="U8281" s="10"/>
      <c r="V8281" s="10"/>
      <c r="W8281" s="10"/>
      <c r="X8281" s="10"/>
      <c r="Y8281" s="10"/>
      <c r="Z8281" s="10"/>
    </row>
    <row r="8282" spans="1:26" ht="12.75">
      <c r="A8282" s="10"/>
      <c r="B8282" s="10"/>
      <c r="C8282" s="10"/>
      <c r="D8282" s="10"/>
      <c r="E8282" s="10"/>
      <c r="F8282" s="10"/>
      <c r="G8282" s="10"/>
      <c r="H8282" s="10"/>
      <c r="I8282" s="10"/>
      <c r="J8282" s="10"/>
      <c r="K8282" s="10"/>
      <c r="L8282" s="10"/>
      <c r="M8282" s="10"/>
      <c r="N8282" s="10"/>
      <c r="O8282" s="10"/>
      <c r="P8282" s="10"/>
      <c r="Q8282" s="10"/>
      <c r="R8282" s="10"/>
      <c r="S8282" s="10"/>
      <c r="T8282" s="10"/>
      <c r="U8282" s="10"/>
      <c r="V8282" s="10"/>
      <c r="W8282" s="10"/>
      <c r="X8282" s="10"/>
      <c r="Y8282" s="10"/>
      <c r="Z8282" s="10"/>
    </row>
    <row r="8283" spans="1:26" ht="12.75">
      <c r="A8283" s="10"/>
      <c r="B8283" s="10"/>
      <c r="C8283" s="10"/>
      <c r="D8283" s="10"/>
      <c r="E8283" s="10"/>
      <c r="F8283" s="10"/>
      <c r="G8283" s="10"/>
      <c r="H8283" s="10"/>
      <c r="I8283" s="10"/>
      <c r="J8283" s="10"/>
      <c r="K8283" s="10"/>
      <c r="L8283" s="10"/>
      <c r="M8283" s="10"/>
      <c r="N8283" s="10"/>
      <c r="O8283" s="10"/>
      <c r="P8283" s="10"/>
      <c r="Q8283" s="10"/>
      <c r="R8283" s="10"/>
      <c r="S8283" s="10"/>
      <c r="T8283" s="10"/>
      <c r="U8283" s="10"/>
      <c r="V8283" s="10"/>
      <c r="W8283" s="10"/>
      <c r="X8283" s="10"/>
      <c r="Y8283" s="10"/>
      <c r="Z8283" s="10"/>
    </row>
    <row r="8284" spans="1:26" ht="12.75">
      <c r="A8284" s="10"/>
      <c r="B8284" s="10"/>
      <c r="C8284" s="10"/>
      <c r="D8284" s="10"/>
      <c r="E8284" s="10"/>
      <c r="F8284" s="10"/>
      <c r="G8284" s="10"/>
      <c r="H8284" s="10"/>
      <c r="I8284" s="10"/>
      <c r="J8284" s="10"/>
      <c r="K8284" s="10"/>
      <c r="L8284" s="10"/>
      <c r="M8284" s="10"/>
      <c r="N8284" s="10"/>
      <c r="O8284" s="10"/>
      <c r="P8284" s="10"/>
      <c r="Q8284" s="10"/>
      <c r="R8284" s="10"/>
      <c r="S8284" s="10"/>
      <c r="T8284" s="10"/>
      <c r="U8284" s="10"/>
      <c r="V8284" s="10"/>
      <c r="W8284" s="10"/>
      <c r="X8284" s="10"/>
      <c r="Y8284" s="10"/>
      <c r="Z8284" s="10"/>
    </row>
    <row r="8285" spans="1:26" ht="12.75">
      <c r="A8285" s="10"/>
      <c r="B8285" s="10"/>
      <c r="C8285" s="10"/>
      <c r="D8285" s="10"/>
      <c r="E8285" s="10"/>
      <c r="F8285" s="10"/>
      <c r="G8285" s="10"/>
      <c r="H8285" s="10"/>
      <c r="I8285" s="10"/>
      <c r="J8285" s="10"/>
      <c r="K8285" s="10"/>
      <c r="L8285" s="10"/>
      <c r="M8285" s="10"/>
      <c r="N8285" s="10"/>
      <c r="O8285" s="10"/>
      <c r="P8285" s="10"/>
      <c r="Q8285" s="10"/>
      <c r="R8285" s="10"/>
      <c r="S8285" s="10"/>
      <c r="T8285" s="10"/>
      <c r="U8285" s="10"/>
      <c r="V8285" s="10"/>
      <c r="W8285" s="10"/>
      <c r="X8285" s="10"/>
      <c r="Y8285" s="10"/>
      <c r="Z8285" s="10"/>
    </row>
    <row r="8286" spans="1:26" ht="12.75">
      <c r="A8286" s="10"/>
      <c r="B8286" s="10"/>
      <c r="C8286" s="10"/>
      <c r="D8286" s="10"/>
      <c r="E8286" s="10"/>
      <c r="F8286" s="10"/>
      <c r="G8286" s="10"/>
      <c r="H8286" s="10"/>
      <c r="I8286" s="10"/>
      <c r="J8286" s="10"/>
      <c r="K8286" s="10"/>
      <c r="L8286" s="10"/>
      <c r="M8286" s="10"/>
      <c r="N8286" s="10"/>
      <c r="O8286" s="10"/>
      <c r="P8286" s="10"/>
      <c r="Q8286" s="10"/>
      <c r="R8286" s="10"/>
      <c r="S8286" s="10"/>
      <c r="T8286" s="10"/>
      <c r="U8286" s="10"/>
      <c r="V8286" s="10"/>
      <c r="W8286" s="10"/>
      <c r="X8286" s="10"/>
      <c r="Y8286" s="10"/>
      <c r="Z8286" s="10"/>
    </row>
    <row r="8287" spans="1:26" ht="12.75">
      <c r="A8287" s="10"/>
      <c r="B8287" s="10"/>
      <c r="C8287" s="10"/>
      <c r="D8287" s="10"/>
      <c r="E8287" s="10"/>
      <c r="F8287" s="10"/>
      <c r="G8287" s="10"/>
      <c r="H8287" s="10"/>
      <c r="I8287" s="10"/>
      <c r="J8287" s="10"/>
      <c r="K8287" s="10"/>
      <c r="L8287" s="10"/>
      <c r="M8287" s="10"/>
      <c r="N8287" s="10"/>
      <c r="O8287" s="10"/>
      <c r="P8287" s="10"/>
      <c r="Q8287" s="10"/>
      <c r="R8287" s="10"/>
      <c r="S8287" s="10"/>
      <c r="T8287" s="10"/>
      <c r="U8287" s="10"/>
      <c r="V8287" s="10"/>
      <c r="W8287" s="10"/>
      <c r="X8287" s="10"/>
      <c r="Y8287" s="10"/>
      <c r="Z8287" s="10"/>
    </row>
    <row r="8288" spans="1:26" ht="12.75">
      <c r="A8288" s="10"/>
      <c r="B8288" s="10"/>
      <c r="C8288" s="10"/>
      <c r="D8288" s="10"/>
      <c r="E8288" s="10"/>
      <c r="F8288" s="10"/>
      <c r="G8288" s="10"/>
      <c r="H8288" s="10"/>
      <c r="I8288" s="10"/>
      <c r="J8288" s="10"/>
      <c r="K8288" s="10"/>
      <c r="L8288" s="10"/>
      <c r="M8288" s="10"/>
      <c r="N8288" s="10"/>
      <c r="O8288" s="10"/>
      <c r="P8288" s="10"/>
      <c r="Q8288" s="10"/>
      <c r="R8288" s="10"/>
      <c r="S8288" s="10"/>
      <c r="T8288" s="10"/>
      <c r="U8288" s="10"/>
      <c r="V8288" s="10"/>
      <c r="W8288" s="10"/>
      <c r="X8288" s="10"/>
      <c r="Y8288" s="10"/>
      <c r="Z8288" s="10"/>
    </row>
    <row r="8289" spans="1:26" ht="12.75">
      <c r="A8289" s="10"/>
      <c r="B8289" s="10"/>
      <c r="C8289" s="10"/>
      <c r="D8289" s="10"/>
      <c r="E8289" s="10"/>
      <c r="F8289" s="10"/>
      <c r="G8289" s="10"/>
      <c r="H8289" s="10"/>
      <c r="I8289" s="10"/>
      <c r="J8289" s="10"/>
      <c r="K8289" s="10"/>
      <c r="L8289" s="10"/>
      <c r="M8289" s="10"/>
      <c r="N8289" s="10"/>
      <c r="O8289" s="10"/>
      <c r="P8289" s="10"/>
      <c r="Q8289" s="10"/>
      <c r="R8289" s="10"/>
      <c r="S8289" s="10"/>
      <c r="T8289" s="10"/>
      <c r="U8289" s="10"/>
      <c r="V8289" s="10"/>
      <c r="W8289" s="10"/>
      <c r="X8289" s="10"/>
      <c r="Y8289" s="10"/>
      <c r="Z8289" s="10"/>
    </row>
    <row r="8290" spans="1:26" ht="12.75">
      <c r="A8290" s="10"/>
      <c r="B8290" s="10"/>
      <c r="C8290" s="10"/>
      <c r="D8290" s="10"/>
      <c r="E8290" s="10"/>
      <c r="F8290" s="10"/>
      <c r="G8290" s="10"/>
      <c r="H8290" s="10"/>
      <c r="I8290" s="10"/>
      <c r="J8290" s="10"/>
      <c r="K8290" s="10"/>
      <c r="L8290" s="10"/>
      <c r="M8290" s="10"/>
      <c r="N8290" s="10"/>
      <c r="O8290" s="10"/>
      <c r="P8290" s="10"/>
      <c r="Q8290" s="10"/>
      <c r="R8290" s="10"/>
      <c r="S8290" s="10"/>
      <c r="T8290" s="10"/>
      <c r="U8290" s="10"/>
      <c r="V8290" s="10"/>
      <c r="W8290" s="10"/>
      <c r="X8290" s="10"/>
      <c r="Y8290" s="10"/>
      <c r="Z8290" s="10"/>
    </row>
    <row r="8291" spans="1:26" ht="12.75">
      <c r="A8291" s="10"/>
      <c r="B8291" s="10"/>
      <c r="C8291" s="10"/>
      <c r="D8291" s="10"/>
      <c r="E8291" s="10"/>
      <c r="F8291" s="10"/>
      <c r="G8291" s="10"/>
      <c r="H8291" s="10"/>
      <c r="I8291" s="10"/>
      <c r="J8291" s="10"/>
      <c r="K8291" s="10"/>
      <c r="L8291" s="10"/>
      <c r="M8291" s="10"/>
      <c r="N8291" s="10"/>
      <c r="O8291" s="10"/>
      <c r="P8291" s="10"/>
      <c r="Q8291" s="10"/>
      <c r="R8291" s="10"/>
      <c r="S8291" s="10"/>
      <c r="T8291" s="10"/>
      <c r="U8291" s="10"/>
      <c r="V8291" s="10"/>
      <c r="W8291" s="10"/>
      <c r="X8291" s="10"/>
      <c r="Y8291" s="10"/>
      <c r="Z8291" s="10"/>
    </row>
    <row r="8292" spans="1:26" ht="12.75">
      <c r="A8292" s="10"/>
      <c r="B8292" s="10"/>
      <c r="C8292" s="10"/>
      <c r="D8292" s="10"/>
      <c r="E8292" s="10"/>
      <c r="F8292" s="10"/>
      <c r="G8292" s="10"/>
      <c r="H8292" s="10"/>
      <c r="I8292" s="10"/>
      <c r="J8292" s="10"/>
      <c r="K8292" s="10"/>
      <c r="L8292" s="10"/>
      <c r="M8292" s="10"/>
      <c r="N8292" s="10"/>
      <c r="O8292" s="10"/>
      <c r="P8292" s="10"/>
      <c r="Q8292" s="10"/>
      <c r="R8292" s="10"/>
      <c r="S8292" s="10"/>
      <c r="T8292" s="10"/>
      <c r="U8292" s="10"/>
      <c r="V8292" s="10"/>
      <c r="W8292" s="10"/>
      <c r="X8292" s="10"/>
      <c r="Y8292" s="10"/>
      <c r="Z8292" s="10"/>
    </row>
    <row r="8293" spans="1:26" ht="12.75">
      <c r="A8293" s="10"/>
      <c r="B8293" s="10"/>
      <c r="C8293" s="10"/>
      <c r="D8293" s="10"/>
      <c r="E8293" s="10"/>
      <c r="F8293" s="10"/>
      <c r="G8293" s="10"/>
      <c r="H8293" s="10"/>
      <c r="I8293" s="10"/>
      <c r="J8293" s="10"/>
      <c r="K8293" s="10"/>
      <c r="L8293" s="10"/>
      <c r="M8293" s="10"/>
      <c r="N8293" s="10"/>
      <c r="O8293" s="10"/>
      <c r="P8293" s="10"/>
      <c r="Q8293" s="10"/>
      <c r="R8293" s="10"/>
      <c r="S8293" s="10"/>
      <c r="T8293" s="10"/>
      <c r="U8293" s="10"/>
      <c r="V8293" s="10"/>
      <c r="W8293" s="10"/>
      <c r="X8293" s="10"/>
      <c r="Y8293" s="10"/>
      <c r="Z8293" s="10"/>
    </row>
    <row r="8294" spans="1:26" ht="12.75">
      <c r="A8294" s="10"/>
      <c r="B8294" s="10"/>
      <c r="C8294" s="10"/>
      <c r="D8294" s="10"/>
      <c r="E8294" s="10"/>
      <c r="F8294" s="10"/>
      <c r="G8294" s="10"/>
      <c r="H8294" s="10"/>
      <c r="I8294" s="10"/>
      <c r="J8294" s="10"/>
      <c r="K8294" s="10"/>
      <c r="L8294" s="10"/>
      <c r="M8294" s="10"/>
      <c r="N8294" s="10"/>
      <c r="O8294" s="10"/>
      <c r="P8294" s="10"/>
      <c r="Q8294" s="10"/>
      <c r="R8294" s="10"/>
      <c r="S8294" s="10"/>
      <c r="T8294" s="10"/>
      <c r="U8294" s="10"/>
      <c r="V8294" s="10"/>
      <c r="W8294" s="10"/>
      <c r="X8294" s="10"/>
      <c r="Y8294" s="10"/>
      <c r="Z8294" s="10"/>
    </row>
    <row r="8295" spans="1:26" ht="12.75">
      <c r="A8295" s="10"/>
      <c r="B8295" s="10"/>
      <c r="C8295" s="10"/>
      <c r="D8295" s="10"/>
      <c r="E8295" s="10"/>
      <c r="F8295" s="10"/>
      <c r="G8295" s="10"/>
      <c r="H8295" s="10"/>
      <c r="I8295" s="10"/>
      <c r="J8295" s="10"/>
      <c r="K8295" s="10"/>
      <c r="L8295" s="10"/>
      <c r="M8295" s="10"/>
      <c r="N8295" s="10"/>
      <c r="O8295" s="10"/>
      <c r="P8295" s="10"/>
      <c r="Q8295" s="10"/>
      <c r="R8295" s="10"/>
      <c r="S8295" s="10"/>
      <c r="T8295" s="10"/>
      <c r="U8295" s="10"/>
      <c r="V8295" s="10"/>
      <c r="W8295" s="10"/>
      <c r="X8295" s="10"/>
      <c r="Y8295" s="10"/>
      <c r="Z8295" s="10"/>
    </row>
    <row r="8296" spans="1:26" ht="12.75">
      <c r="A8296" s="10"/>
      <c r="B8296" s="10"/>
      <c r="C8296" s="10"/>
      <c r="D8296" s="10"/>
      <c r="E8296" s="10"/>
      <c r="F8296" s="10"/>
      <c r="G8296" s="10"/>
      <c r="H8296" s="10"/>
      <c r="I8296" s="10"/>
      <c r="J8296" s="10"/>
      <c r="K8296" s="10"/>
      <c r="L8296" s="10"/>
      <c r="M8296" s="10"/>
      <c r="N8296" s="10"/>
      <c r="O8296" s="10"/>
      <c r="P8296" s="10"/>
      <c r="Q8296" s="10"/>
      <c r="R8296" s="10"/>
      <c r="S8296" s="10"/>
      <c r="T8296" s="10"/>
      <c r="U8296" s="10"/>
      <c r="V8296" s="10"/>
      <c r="W8296" s="10"/>
      <c r="X8296" s="10"/>
      <c r="Y8296" s="10"/>
      <c r="Z8296" s="10"/>
    </row>
    <row r="8297" spans="1:26" ht="12.75">
      <c r="A8297" s="10"/>
      <c r="B8297" s="10"/>
      <c r="C8297" s="10"/>
      <c r="D8297" s="10"/>
      <c r="E8297" s="10"/>
      <c r="F8297" s="10"/>
      <c r="G8297" s="10"/>
      <c r="H8297" s="10"/>
      <c r="I8297" s="10"/>
      <c r="J8297" s="10"/>
      <c r="K8297" s="10"/>
      <c r="L8297" s="10"/>
      <c r="M8297" s="10"/>
      <c r="N8297" s="10"/>
      <c r="O8297" s="10"/>
      <c r="P8297" s="10"/>
      <c r="Q8297" s="10"/>
      <c r="R8297" s="10"/>
      <c r="S8297" s="10"/>
      <c r="T8297" s="10"/>
      <c r="U8297" s="10"/>
      <c r="V8297" s="10"/>
      <c r="W8297" s="10"/>
      <c r="X8297" s="10"/>
      <c r="Y8297" s="10"/>
      <c r="Z8297" s="10"/>
    </row>
    <row r="8298" spans="1:26" ht="12.75">
      <c r="A8298" s="10"/>
      <c r="B8298" s="10"/>
      <c r="C8298" s="10"/>
      <c r="D8298" s="10"/>
      <c r="E8298" s="10"/>
      <c r="F8298" s="10"/>
      <c r="G8298" s="10"/>
      <c r="H8298" s="10"/>
      <c r="I8298" s="10"/>
      <c r="J8298" s="10"/>
      <c r="K8298" s="10"/>
      <c r="L8298" s="10"/>
      <c r="M8298" s="10"/>
      <c r="N8298" s="10"/>
      <c r="O8298" s="10"/>
      <c r="P8298" s="10"/>
      <c r="Q8298" s="10"/>
      <c r="R8298" s="10"/>
      <c r="S8298" s="10"/>
      <c r="T8298" s="10"/>
      <c r="U8298" s="10"/>
      <c r="V8298" s="10"/>
      <c r="W8298" s="10"/>
      <c r="X8298" s="10"/>
      <c r="Y8298" s="10"/>
      <c r="Z8298" s="10"/>
    </row>
    <row r="8299" spans="1:26" ht="12.75">
      <c r="A8299" s="10"/>
      <c r="B8299" s="10"/>
      <c r="C8299" s="10"/>
      <c r="D8299" s="10"/>
      <c r="E8299" s="10"/>
      <c r="F8299" s="10"/>
      <c r="G8299" s="10"/>
      <c r="H8299" s="10"/>
      <c r="I8299" s="10"/>
      <c r="J8299" s="10"/>
      <c r="K8299" s="10"/>
      <c r="L8299" s="10"/>
      <c r="M8299" s="10"/>
      <c r="N8299" s="10"/>
      <c r="O8299" s="10"/>
      <c r="P8299" s="10"/>
      <c r="Q8299" s="10"/>
      <c r="R8299" s="10"/>
      <c r="S8299" s="10"/>
      <c r="T8299" s="10"/>
      <c r="U8299" s="10"/>
      <c r="V8299" s="10"/>
      <c r="W8299" s="10"/>
      <c r="X8299" s="10"/>
      <c r="Y8299" s="10"/>
      <c r="Z8299" s="10"/>
    </row>
    <row r="8300" spans="1:26" ht="12.75">
      <c r="A8300" s="10"/>
      <c r="B8300" s="10"/>
      <c r="C8300" s="10"/>
      <c r="D8300" s="10"/>
      <c r="E8300" s="10"/>
      <c r="F8300" s="10"/>
      <c r="G8300" s="10"/>
      <c r="H8300" s="10"/>
      <c r="I8300" s="10"/>
      <c r="J8300" s="10"/>
      <c r="K8300" s="10"/>
      <c r="L8300" s="10"/>
      <c r="M8300" s="10"/>
      <c r="N8300" s="10"/>
      <c r="O8300" s="10"/>
      <c r="P8300" s="10"/>
      <c r="Q8300" s="10"/>
      <c r="R8300" s="10"/>
      <c r="S8300" s="10"/>
      <c r="T8300" s="10"/>
      <c r="U8300" s="10"/>
      <c r="V8300" s="10"/>
      <c r="W8300" s="10"/>
      <c r="X8300" s="10"/>
      <c r="Y8300" s="10"/>
      <c r="Z8300" s="10"/>
    </row>
    <row r="8301" spans="1:26" ht="12.75">
      <c r="A8301" s="10"/>
      <c r="B8301" s="10"/>
      <c r="C8301" s="10"/>
      <c r="D8301" s="10"/>
      <c r="E8301" s="10"/>
      <c r="F8301" s="10"/>
      <c r="G8301" s="10"/>
      <c r="H8301" s="10"/>
      <c r="I8301" s="10"/>
      <c r="J8301" s="10"/>
      <c r="K8301" s="10"/>
      <c r="L8301" s="10"/>
      <c r="M8301" s="10"/>
      <c r="N8301" s="10"/>
      <c r="O8301" s="10"/>
      <c r="P8301" s="10"/>
      <c r="Q8301" s="10"/>
      <c r="R8301" s="10"/>
      <c r="S8301" s="10"/>
      <c r="T8301" s="10"/>
      <c r="U8301" s="10"/>
      <c r="V8301" s="10"/>
      <c r="W8301" s="10"/>
      <c r="X8301" s="10"/>
      <c r="Y8301" s="10"/>
      <c r="Z8301" s="10"/>
    </row>
    <row r="8302" spans="1:26" ht="12.75">
      <c r="A8302" s="10"/>
      <c r="B8302" s="10"/>
      <c r="C8302" s="10"/>
      <c r="D8302" s="10"/>
      <c r="E8302" s="10"/>
      <c r="F8302" s="10"/>
      <c r="G8302" s="10"/>
      <c r="H8302" s="10"/>
      <c r="I8302" s="10"/>
      <c r="J8302" s="10"/>
      <c r="K8302" s="10"/>
      <c r="L8302" s="10"/>
      <c r="M8302" s="10"/>
      <c r="N8302" s="10"/>
      <c r="O8302" s="10"/>
      <c r="P8302" s="10"/>
      <c r="Q8302" s="10"/>
      <c r="R8302" s="10"/>
      <c r="S8302" s="10"/>
      <c r="T8302" s="10"/>
      <c r="U8302" s="10"/>
      <c r="V8302" s="10"/>
      <c r="W8302" s="10"/>
      <c r="X8302" s="10"/>
      <c r="Y8302" s="10"/>
      <c r="Z8302" s="10"/>
    </row>
    <row r="8303" spans="1:26" ht="12.75">
      <c r="A8303" s="10"/>
      <c r="B8303" s="10"/>
      <c r="C8303" s="10"/>
      <c r="D8303" s="10"/>
      <c r="E8303" s="10"/>
      <c r="F8303" s="10"/>
      <c r="G8303" s="10"/>
      <c r="H8303" s="10"/>
      <c r="I8303" s="10"/>
      <c r="J8303" s="10"/>
      <c r="K8303" s="10"/>
      <c r="L8303" s="10"/>
      <c r="M8303" s="10"/>
      <c r="N8303" s="10"/>
      <c r="O8303" s="10"/>
      <c r="P8303" s="10"/>
      <c r="Q8303" s="10"/>
      <c r="R8303" s="10"/>
      <c r="S8303" s="10"/>
      <c r="T8303" s="10"/>
      <c r="U8303" s="10"/>
      <c r="V8303" s="10"/>
      <c r="W8303" s="10"/>
      <c r="X8303" s="10"/>
      <c r="Y8303" s="10"/>
      <c r="Z8303" s="10"/>
    </row>
    <row r="8304" spans="1:26" ht="12.75">
      <c r="A8304" s="10"/>
      <c r="B8304" s="10"/>
      <c r="C8304" s="10"/>
      <c r="D8304" s="10"/>
      <c r="E8304" s="10"/>
      <c r="F8304" s="10"/>
      <c r="G8304" s="10"/>
      <c r="H8304" s="10"/>
      <c r="I8304" s="10"/>
      <c r="J8304" s="10"/>
      <c r="K8304" s="10"/>
      <c r="L8304" s="10"/>
      <c r="M8304" s="10"/>
      <c r="N8304" s="10"/>
      <c r="O8304" s="10"/>
      <c r="P8304" s="10"/>
      <c r="Q8304" s="10"/>
      <c r="R8304" s="10"/>
      <c r="S8304" s="10"/>
      <c r="T8304" s="10"/>
      <c r="U8304" s="10"/>
      <c r="V8304" s="10"/>
      <c r="W8304" s="10"/>
      <c r="X8304" s="10"/>
      <c r="Y8304" s="10"/>
      <c r="Z8304" s="10"/>
    </row>
    <row r="8305" spans="1:26" ht="12.75">
      <c r="A8305" s="10"/>
      <c r="B8305" s="10"/>
      <c r="C8305" s="10"/>
      <c r="D8305" s="10"/>
      <c r="E8305" s="10"/>
      <c r="F8305" s="10"/>
      <c r="G8305" s="10"/>
      <c r="H8305" s="10"/>
      <c r="I8305" s="10"/>
      <c r="J8305" s="10"/>
      <c r="K8305" s="10"/>
      <c r="L8305" s="10"/>
      <c r="M8305" s="10"/>
      <c r="N8305" s="10"/>
      <c r="O8305" s="10"/>
      <c r="P8305" s="10"/>
      <c r="Q8305" s="10"/>
      <c r="R8305" s="10"/>
      <c r="S8305" s="10"/>
      <c r="T8305" s="10"/>
      <c r="U8305" s="10"/>
      <c r="V8305" s="10"/>
      <c r="W8305" s="10"/>
      <c r="X8305" s="10"/>
      <c r="Y8305" s="10"/>
      <c r="Z8305" s="10"/>
    </row>
    <row r="8306" spans="1:26" ht="12.75">
      <c r="A8306" s="10"/>
      <c r="B8306" s="10"/>
      <c r="C8306" s="10"/>
      <c r="D8306" s="10"/>
      <c r="E8306" s="10"/>
      <c r="F8306" s="10"/>
      <c r="G8306" s="10"/>
      <c r="H8306" s="10"/>
      <c r="I8306" s="10"/>
      <c r="J8306" s="10"/>
      <c r="K8306" s="10"/>
      <c r="L8306" s="10"/>
      <c r="M8306" s="10"/>
      <c r="N8306" s="10"/>
      <c r="O8306" s="10"/>
      <c r="P8306" s="10"/>
      <c r="Q8306" s="10"/>
      <c r="R8306" s="10"/>
      <c r="S8306" s="10"/>
      <c r="T8306" s="10"/>
      <c r="U8306" s="10"/>
      <c r="V8306" s="10"/>
      <c r="W8306" s="10"/>
      <c r="X8306" s="10"/>
      <c r="Y8306" s="10"/>
      <c r="Z8306" s="10"/>
    </row>
    <row r="8307" spans="1:26" ht="12.75">
      <c r="A8307" s="10"/>
      <c r="B8307" s="10"/>
      <c r="C8307" s="10"/>
      <c r="D8307" s="10"/>
      <c r="E8307" s="10"/>
      <c r="F8307" s="10"/>
      <c r="G8307" s="10"/>
      <c r="H8307" s="10"/>
      <c r="I8307" s="10"/>
      <c r="J8307" s="10"/>
      <c r="K8307" s="10"/>
      <c r="L8307" s="10"/>
      <c r="M8307" s="10"/>
      <c r="N8307" s="10"/>
      <c r="O8307" s="10"/>
      <c r="P8307" s="10"/>
      <c r="Q8307" s="10"/>
      <c r="R8307" s="10"/>
      <c r="S8307" s="10"/>
      <c r="T8307" s="10"/>
      <c r="U8307" s="10"/>
      <c r="V8307" s="10"/>
      <c r="W8307" s="10"/>
      <c r="X8307" s="10"/>
      <c r="Y8307" s="10"/>
      <c r="Z8307" s="10"/>
    </row>
    <row r="8308" spans="1:26" ht="12.75">
      <c r="A8308" s="10"/>
      <c r="B8308" s="10"/>
      <c r="C8308" s="10"/>
      <c r="D8308" s="10"/>
      <c r="E8308" s="10"/>
      <c r="F8308" s="10"/>
      <c r="G8308" s="10"/>
      <c r="H8308" s="10"/>
      <c r="I8308" s="10"/>
      <c r="J8308" s="10"/>
      <c r="K8308" s="10"/>
      <c r="L8308" s="10"/>
      <c r="M8308" s="10"/>
      <c r="N8308" s="10"/>
      <c r="O8308" s="10"/>
      <c r="P8308" s="10"/>
      <c r="Q8308" s="10"/>
      <c r="R8308" s="10"/>
      <c r="S8308" s="10"/>
      <c r="T8308" s="10"/>
      <c r="U8308" s="10"/>
      <c r="V8308" s="10"/>
      <c r="W8308" s="10"/>
      <c r="X8308" s="10"/>
      <c r="Y8308" s="10"/>
      <c r="Z8308" s="10"/>
    </row>
    <row r="8309" spans="1:26" ht="12.75">
      <c r="A8309" s="10"/>
      <c r="B8309" s="10"/>
      <c r="C8309" s="10"/>
      <c r="D8309" s="10"/>
      <c r="E8309" s="10"/>
      <c r="F8309" s="10"/>
      <c r="G8309" s="10"/>
      <c r="H8309" s="10"/>
      <c r="I8309" s="10"/>
      <c r="J8309" s="10"/>
      <c r="K8309" s="10"/>
      <c r="L8309" s="10"/>
      <c r="M8309" s="10"/>
      <c r="N8309" s="10"/>
      <c r="O8309" s="10"/>
      <c r="P8309" s="10"/>
      <c r="Q8309" s="10"/>
      <c r="R8309" s="10"/>
      <c r="S8309" s="10"/>
      <c r="T8309" s="10"/>
      <c r="U8309" s="10"/>
      <c r="V8309" s="10"/>
      <c r="W8309" s="10"/>
      <c r="X8309" s="10"/>
      <c r="Y8309" s="10"/>
      <c r="Z8309" s="10"/>
    </row>
    <row r="8310" spans="1:26" ht="12.75">
      <c r="A8310" s="10"/>
      <c r="B8310" s="10"/>
      <c r="C8310" s="10"/>
      <c r="D8310" s="10"/>
      <c r="E8310" s="10"/>
      <c r="F8310" s="10"/>
      <c r="G8310" s="10"/>
      <c r="H8310" s="10"/>
      <c r="I8310" s="10"/>
      <c r="J8310" s="10"/>
      <c r="K8310" s="10"/>
      <c r="L8310" s="10"/>
      <c r="M8310" s="10"/>
      <c r="N8310" s="10"/>
      <c r="O8310" s="10"/>
      <c r="P8310" s="10"/>
      <c r="Q8310" s="10"/>
      <c r="R8310" s="10"/>
      <c r="S8310" s="10"/>
      <c r="T8310" s="10"/>
      <c r="U8310" s="10"/>
      <c r="V8310" s="10"/>
      <c r="W8310" s="10"/>
      <c r="X8310" s="10"/>
      <c r="Y8310" s="10"/>
      <c r="Z8310" s="10"/>
    </row>
    <row r="8311" spans="1:26" ht="12.75">
      <c r="A8311" s="10"/>
      <c r="B8311" s="10"/>
      <c r="C8311" s="10"/>
      <c r="D8311" s="10"/>
      <c r="E8311" s="10"/>
      <c r="F8311" s="10"/>
      <c r="G8311" s="10"/>
      <c r="H8311" s="10"/>
      <c r="I8311" s="10"/>
      <c r="J8311" s="10"/>
      <c r="K8311" s="10"/>
      <c r="L8311" s="10"/>
      <c r="M8311" s="10"/>
      <c r="N8311" s="10"/>
      <c r="O8311" s="10"/>
      <c r="P8311" s="10"/>
      <c r="Q8311" s="10"/>
      <c r="R8311" s="10"/>
      <c r="S8311" s="10"/>
      <c r="T8311" s="10"/>
      <c r="U8311" s="10"/>
      <c r="V8311" s="10"/>
      <c r="W8311" s="10"/>
      <c r="X8311" s="10"/>
      <c r="Y8311" s="10"/>
      <c r="Z8311" s="10"/>
    </row>
    <row r="8312" spans="1:26" ht="12.75">
      <c r="A8312" s="10"/>
      <c r="B8312" s="10"/>
      <c r="C8312" s="10"/>
      <c r="D8312" s="10"/>
      <c r="E8312" s="10"/>
      <c r="F8312" s="10"/>
      <c r="G8312" s="10"/>
      <c r="H8312" s="10"/>
      <c r="I8312" s="10"/>
      <c r="J8312" s="10"/>
      <c r="K8312" s="10"/>
      <c r="L8312" s="10"/>
      <c r="M8312" s="10"/>
      <c r="N8312" s="10"/>
      <c r="O8312" s="10"/>
      <c r="P8312" s="10"/>
      <c r="Q8312" s="10"/>
      <c r="R8312" s="10"/>
      <c r="S8312" s="10"/>
      <c r="T8312" s="10"/>
      <c r="U8312" s="10"/>
      <c r="V8312" s="10"/>
      <c r="W8312" s="10"/>
      <c r="X8312" s="10"/>
      <c r="Y8312" s="10"/>
      <c r="Z8312" s="10"/>
    </row>
    <row r="8313" spans="1:26" ht="12.75">
      <c r="A8313" s="10"/>
      <c r="B8313" s="10"/>
      <c r="C8313" s="10"/>
      <c r="D8313" s="10"/>
      <c r="E8313" s="10"/>
      <c r="F8313" s="10"/>
      <c r="G8313" s="10"/>
      <c r="H8313" s="10"/>
      <c r="I8313" s="10"/>
      <c r="J8313" s="10"/>
      <c r="K8313" s="10"/>
      <c r="L8313" s="10"/>
      <c r="M8313" s="10"/>
      <c r="N8313" s="10"/>
      <c r="O8313" s="10"/>
      <c r="P8313" s="10"/>
      <c r="Q8313" s="10"/>
      <c r="R8313" s="10"/>
      <c r="S8313" s="10"/>
      <c r="T8313" s="10"/>
      <c r="U8313" s="10"/>
      <c r="V8313" s="10"/>
      <c r="W8313" s="10"/>
      <c r="X8313" s="10"/>
      <c r="Y8313" s="10"/>
      <c r="Z8313" s="10"/>
    </row>
    <row r="8314" spans="1:26" ht="12.75">
      <c r="A8314" s="10"/>
      <c r="B8314" s="10"/>
      <c r="C8314" s="10"/>
      <c r="D8314" s="10"/>
      <c r="E8314" s="10"/>
      <c r="F8314" s="10"/>
      <c r="G8314" s="10"/>
      <c r="H8314" s="10"/>
      <c r="I8314" s="10"/>
      <c r="J8314" s="10"/>
      <c r="K8314" s="10"/>
      <c r="L8314" s="10"/>
      <c r="M8314" s="10"/>
      <c r="N8314" s="10"/>
      <c r="O8314" s="10"/>
      <c r="P8314" s="10"/>
      <c r="Q8314" s="10"/>
      <c r="R8314" s="10"/>
      <c r="S8314" s="10"/>
      <c r="T8314" s="10"/>
      <c r="U8314" s="10"/>
      <c r="V8314" s="10"/>
      <c r="W8314" s="10"/>
      <c r="X8314" s="10"/>
      <c r="Y8314" s="10"/>
      <c r="Z8314" s="10"/>
    </row>
    <row r="8315" spans="1:26" ht="12.75">
      <c r="A8315" s="10"/>
      <c r="B8315" s="10"/>
      <c r="C8315" s="10"/>
      <c r="D8315" s="10"/>
      <c r="E8315" s="10"/>
      <c r="F8315" s="10"/>
      <c r="G8315" s="10"/>
      <c r="H8315" s="10"/>
      <c r="I8315" s="10"/>
      <c r="J8315" s="10"/>
      <c r="K8315" s="10"/>
      <c r="L8315" s="10"/>
      <c r="M8315" s="10"/>
      <c r="N8315" s="10"/>
      <c r="O8315" s="10"/>
      <c r="P8315" s="10"/>
      <c r="Q8315" s="10"/>
      <c r="R8315" s="10"/>
      <c r="S8315" s="10"/>
      <c r="T8315" s="10"/>
      <c r="U8315" s="10"/>
      <c r="V8315" s="10"/>
      <c r="W8315" s="10"/>
      <c r="X8315" s="10"/>
      <c r="Y8315" s="10"/>
      <c r="Z8315" s="10"/>
    </row>
    <row r="8316" spans="1:26" ht="12.75">
      <c r="A8316" s="10"/>
      <c r="B8316" s="10"/>
      <c r="C8316" s="10"/>
      <c r="D8316" s="10"/>
      <c r="E8316" s="10"/>
      <c r="F8316" s="10"/>
      <c r="G8316" s="10"/>
      <c r="H8316" s="10"/>
      <c r="I8316" s="10"/>
      <c r="J8316" s="10"/>
      <c r="K8316" s="10"/>
      <c r="L8316" s="10"/>
      <c r="M8316" s="10"/>
      <c r="N8316" s="10"/>
      <c r="O8316" s="10"/>
      <c r="P8316" s="10"/>
      <c r="Q8316" s="10"/>
      <c r="R8316" s="10"/>
      <c r="S8316" s="10"/>
      <c r="T8316" s="10"/>
      <c r="U8316" s="10"/>
      <c r="V8316" s="10"/>
      <c r="W8316" s="10"/>
      <c r="X8316" s="10"/>
      <c r="Y8316" s="10"/>
      <c r="Z8316" s="10"/>
    </row>
    <row r="8317" spans="1:26" ht="12.75">
      <c r="A8317" s="10"/>
      <c r="B8317" s="10"/>
      <c r="C8317" s="10"/>
      <c r="D8317" s="10"/>
      <c r="E8317" s="10"/>
      <c r="F8317" s="10"/>
      <c r="G8317" s="10"/>
      <c r="H8317" s="10"/>
      <c r="I8317" s="10"/>
      <c r="J8317" s="10"/>
      <c r="K8317" s="10"/>
      <c r="L8317" s="10"/>
      <c r="M8317" s="10"/>
      <c r="N8317" s="10"/>
      <c r="O8317" s="10"/>
      <c r="P8317" s="10"/>
      <c r="Q8317" s="10"/>
      <c r="R8317" s="10"/>
      <c r="S8317" s="10"/>
      <c r="T8317" s="10"/>
      <c r="U8317" s="10"/>
      <c r="V8317" s="10"/>
      <c r="W8317" s="10"/>
      <c r="X8317" s="10"/>
      <c r="Y8317" s="10"/>
      <c r="Z8317" s="10"/>
    </row>
    <row r="8318" spans="1:26" ht="12.75">
      <c r="A8318" s="10"/>
      <c r="B8318" s="10"/>
      <c r="C8318" s="10"/>
      <c r="D8318" s="10"/>
      <c r="E8318" s="10"/>
      <c r="F8318" s="10"/>
      <c r="G8318" s="10"/>
      <c r="H8318" s="10"/>
      <c r="I8318" s="10"/>
      <c r="J8318" s="10"/>
      <c r="K8318" s="10"/>
      <c r="L8318" s="10"/>
      <c r="M8318" s="10"/>
      <c r="N8318" s="10"/>
      <c r="O8318" s="10"/>
      <c r="P8318" s="10"/>
      <c r="Q8318" s="10"/>
      <c r="R8318" s="10"/>
      <c r="S8318" s="10"/>
      <c r="T8318" s="10"/>
      <c r="U8318" s="10"/>
      <c r="V8318" s="10"/>
      <c r="W8318" s="10"/>
      <c r="X8318" s="10"/>
      <c r="Y8318" s="10"/>
      <c r="Z8318" s="10"/>
    </row>
    <row r="8319" spans="1:26" ht="12.75">
      <c r="A8319" s="10"/>
      <c r="B8319" s="10"/>
      <c r="C8319" s="10"/>
      <c r="D8319" s="10"/>
      <c r="E8319" s="10"/>
      <c r="F8319" s="10"/>
      <c r="G8319" s="10"/>
      <c r="H8319" s="10"/>
      <c r="I8319" s="10"/>
      <c r="J8319" s="10"/>
      <c r="K8319" s="10"/>
      <c r="L8319" s="10"/>
      <c r="M8319" s="10"/>
      <c r="N8319" s="10"/>
      <c r="O8319" s="10"/>
      <c r="P8319" s="10"/>
      <c r="Q8319" s="10"/>
      <c r="R8319" s="10"/>
      <c r="S8319" s="10"/>
      <c r="T8319" s="10"/>
      <c r="U8319" s="10"/>
      <c r="V8319" s="10"/>
      <c r="W8319" s="10"/>
      <c r="X8319" s="10"/>
      <c r="Y8319" s="10"/>
      <c r="Z8319" s="10"/>
    </row>
    <row r="8320" spans="1:26" ht="12.75">
      <c r="A8320" s="10"/>
      <c r="B8320" s="10"/>
      <c r="C8320" s="10"/>
      <c r="D8320" s="10"/>
      <c r="E8320" s="10"/>
      <c r="F8320" s="10"/>
      <c r="G8320" s="10"/>
      <c r="H8320" s="10"/>
      <c r="I8320" s="10"/>
      <c r="J8320" s="10"/>
      <c r="K8320" s="10"/>
      <c r="L8320" s="10"/>
      <c r="M8320" s="10"/>
      <c r="N8320" s="10"/>
      <c r="O8320" s="10"/>
      <c r="P8320" s="10"/>
      <c r="Q8320" s="10"/>
      <c r="R8320" s="10"/>
      <c r="S8320" s="10"/>
      <c r="T8320" s="10"/>
      <c r="U8320" s="10"/>
      <c r="V8320" s="10"/>
      <c r="W8320" s="10"/>
      <c r="X8320" s="10"/>
      <c r="Y8320" s="10"/>
      <c r="Z8320" s="10"/>
    </row>
    <row r="8321" spans="1:26" ht="12.75">
      <c r="A8321" s="10"/>
      <c r="B8321" s="10"/>
      <c r="C8321" s="10"/>
      <c r="D8321" s="10"/>
      <c r="E8321" s="10"/>
      <c r="F8321" s="10"/>
      <c r="G8321" s="10"/>
      <c r="H8321" s="10"/>
      <c r="I8321" s="10"/>
      <c r="J8321" s="10"/>
      <c r="K8321" s="10"/>
      <c r="L8321" s="10"/>
      <c r="M8321" s="10"/>
      <c r="N8321" s="10"/>
      <c r="O8321" s="10"/>
      <c r="P8321" s="10"/>
      <c r="Q8321" s="10"/>
      <c r="R8321" s="10"/>
      <c r="S8321" s="10"/>
      <c r="T8321" s="10"/>
      <c r="U8321" s="10"/>
      <c r="V8321" s="10"/>
      <c r="W8321" s="10"/>
      <c r="X8321" s="10"/>
      <c r="Y8321" s="10"/>
      <c r="Z8321" s="10"/>
    </row>
    <row r="8322" spans="1:26" ht="12.75">
      <c r="A8322" s="10"/>
      <c r="B8322" s="10"/>
      <c r="C8322" s="10"/>
      <c r="D8322" s="10"/>
      <c r="E8322" s="10"/>
      <c r="F8322" s="10"/>
      <c r="G8322" s="10"/>
      <c r="H8322" s="10"/>
      <c r="I8322" s="10"/>
      <c r="J8322" s="10"/>
      <c r="K8322" s="10"/>
      <c r="L8322" s="10"/>
      <c r="M8322" s="10"/>
      <c r="N8322" s="10"/>
      <c r="O8322" s="10"/>
      <c r="P8322" s="10"/>
      <c r="Q8322" s="10"/>
      <c r="R8322" s="10"/>
      <c r="S8322" s="10"/>
      <c r="T8322" s="10"/>
      <c r="U8322" s="10"/>
      <c r="V8322" s="10"/>
      <c r="W8322" s="10"/>
      <c r="X8322" s="10"/>
      <c r="Y8322" s="10"/>
      <c r="Z8322" s="10"/>
    </row>
    <row r="8323" spans="1:26" ht="12.75">
      <c r="A8323" s="10"/>
      <c r="B8323" s="10"/>
      <c r="C8323" s="10"/>
      <c r="D8323" s="10"/>
      <c r="E8323" s="10"/>
      <c r="F8323" s="10"/>
      <c r="G8323" s="10"/>
      <c r="H8323" s="10"/>
      <c r="I8323" s="10"/>
      <c r="J8323" s="10"/>
      <c r="K8323" s="10"/>
      <c r="L8323" s="10"/>
      <c r="M8323" s="10"/>
      <c r="N8323" s="10"/>
      <c r="O8323" s="10"/>
      <c r="P8323" s="10"/>
      <c r="Q8323" s="10"/>
      <c r="R8323" s="10"/>
      <c r="S8323" s="10"/>
      <c r="T8323" s="10"/>
      <c r="U8323" s="10"/>
      <c r="V8323" s="10"/>
      <c r="W8323" s="10"/>
      <c r="X8323" s="10"/>
      <c r="Y8323" s="10"/>
      <c r="Z8323" s="10"/>
    </row>
    <row r="8324" spans="1:26" ht="12.75">
      <c r="A8324" s="10"/>
      <c r="B8324" s="10"/>
      <c r="C8324" s="10"/>
      <c r="D8324" s="10"/>
      <c r="E8324" s="10"/>
      <c r="F8324" s="10"/>
      <c r="G8324" s="10"/>
      <c r="H8324" s="10"/>
      <c r="I8324" s="10"/>
      <c r="J8324" s="10"/>
      <c r="K8324" s="10"/>
      <c r="L8324" s="10"/>
      <c r="M8324" s="10"/>
      <c r="N8324" s="10"/>
      <c r="O8324" s="10"/>
      <c r="P8324" s="10"/>
      <c r="Q8324" s="10"/>
      <c r="R8324" s="10"/>
      <c r="S8324" s="10"/>
      <c r="T8324" s="10"/>
      <c r="U8324" s="10"/>
      <c r="V8324" s="10"/>
      <c r="W8324" s="10"/>
      <c r="X8324" s="10"/>
      <c r="Y8324" s="10"/>
      <c r="Z8324" s="10"/>
    </row>
    <row r="8325" spans="1:26" ht="12.75">
      <c r="A8325" s="10"/>
      <c r="B8325" s="10"/>
      <c r="C8325" s="10"/>
      <c r="D8325" s="10"/>
      <c r="E8325" s="10"/>
      <c r="F8325" s="10"/>
      <c r="G8325" s="10"/>
      <c r="H8325" s="10"/>
      <c r="I8325" s="10"/>
      <c r="J8325" s="10"/>
      <c r="K8325" s="10"/>
      <c r="L8325" s="10"/>
      <c r="M8325" s="10"/>
      <c r="N8325" s="10"/>
      <c r="O8325" s="10"/>
      <c r="P8325" s="10"/>
      <c r="Q8325" s="10"/>
      <c r="R8325" s="10"/>
      <c r="S8325" s="10"/>
      <c r="T8325" s="10"/>
      <c r="U8325" s="10"/>
      <c r="V8325" s="10"/>
      <c r="W8325" s="10"/>
      <c r="X8325" s="10"/>
      <c r="Y8325" s="10"/>
      <c r="Z8325" s="10"/>
    </row>
    <row r="8326" spans="1:26" ht="12.75">
      <c r="A8326" s="10"/>
      <c r="B8326" s="10"/>
      <c r="C8326" s="10"/>
      <c r="D8326" s="10"/>
      <c r="E8326" s="10"/>
      <c r="F8326" s="10"/>
      <c r="G8326" s="10"/>
      <c r="H8326" s="10"/>
      <c r="I8326" s="10"/>
      <c r="J8326" s="10"/>
      <c r="K8326" s="10"/>
      <c r="L8326" s="10"/>
      <c r="M8326" s="10"/>
      <c r="N8326" s="10"/>
      <c r="O8326" s="10"/>
      <c r="P8326" s="10"/>
      <c r="Q8326" s="10"/>
      <c r="R8326" s="10"/>
      <c r="S8326" s="10"/>
      <c r="T8326" s="10"/>
      <c r="U8326" s="10"/>
      <c r="V8326" s="10"/>
      <c r="W8326" s="10"/>
      <c r="X8326" s="10"/>
      <c r="Y8326" s="10"/>
      <c r="Z8326" s="10"/>
    </row>
    <row r="8327" spans="1:26" ht="12.75">
      <c r="A8327" s="10"/>
      <c r="B8327" s="10"/>
      <c r="C8327" s="10"/>
      <c r="D8327" s="10"/>
      <c r="E8327" s="10"/>
      <c r="F8327" s="10"/>
      <c r="G8327" s="10"/>
      <c r="H8327" s="10"/>
      <c r="I8327" s="10"/>
      <c r="J8327" s="10"/>
      <c r="K8327" s="10"/>
      <c r="L8327" s="10"/>
      <c r="M8327" s="10"/>
      <c r="N8327" s="10"/>
      <c r="O8327" s="10"/>
      <c r="P8327" s="10"/>
      <c r="Q8327" s="10"/>
      <c r="R8327" s="10"/>
      <c r="S8327" s="10"/>
      <c r="T8327" s="10"/>
      <c r="U8327" s="10"/>
      <c r="V8327" s="10"/>
      <c r="W8327" s="10"/>
      <c r="X8327" s="10"/>
      <c r="Y8327" s="10"/>
      <c r="Z8327" s="10"/>
    </row>
    <row r="8328" spans="1:26" ht="12.75">
      <c r="A8328" s="10"/>
      <c r="B8328" s="10"/>
      <c r="C8328" s="10"/>
      <c r="D8328" s="10"/>
      <c r="E8328" s="10"/>
      <c r="F8328" s="10"/>
      <c r="G8328" s="10"/>
      <c r="H8328" s="10"/>
      <c r="I8328" s="10"/>
      <c r="J8328" s="10"/>
      <c r="K8328" s="10"/>
      <c r="L8328" s="10"/>
      <c r="M8328" s="10"/>
      <c r="N8328" s="10"/>
      <c r="O8328" s="10"/>
      <c r="P8328" s="10"/>
      <c r="Q8328" s="10"/>
      <c r="R8328" s="10"/>
      <c r="S8328" s="10"/>
      <c r="T8328" s="10"/>
      <c r="U8328" s="10"/>
      <c r="V8328" s="10"/>
      <c r="W8328" s="10"/>
      <c r="X8328" s="10"/>
      <c r="Y8328" s="10"/>
      <c r="Z8328" s="10"/>
    </row>
    <row r="8329" spans="1:26" ht="12.75">
      <c r="A8329" s="10"/>
      <c r="B8329" s="10"/>
      <c r="C8329" s="10"/>
      <c r="D8329" s="10"/>
      <c r="E8329" s="10"/>
      <c r="F8329" s="10"/>
      <c r="G8329" s="10"/>
      <c r="H8329" s="10"/>
      <c r="I8329" s="10"/>
      <c r="J8329" s="10"/>
      <c r="K8329" s="10"/>
      <c r="L8329" s="10"/>
      <c r="M8329" s="10"/>
      <c r="N8329" s="10"/>
      <c r="O8329" s="10"/>
      <c r="P8329" s="10"/>
      <c r="Q8329" s="10"/>
      <c r="R8329" s="10"/>
      <c r="S8329" s="10"/>
      <c r="T8329" s="10"/>
      <c r="U8329" s="10"/>
      <c r="V8329" s="10"/>
      <c r="W8329" s="10"/>
      <c r="X8329" s="10"/>
      <c r="Y8329" s="10"/>
      <c r="Z8329" s="10"/>
    </row>
    <row r="8330" spans="1:26" ht="12.75">
      <c r="A8330" s="10"/>
      <c r="B8330" s="10"/>
      <c r="C8330" s="10"/>
      <c r="D8330" s="10"/>
      <c r="E8330" s="10"/>
      <c r="F8330" s="10"/>
      <c r="G8330" s="10"/>
      <c r="H8330" s="10"/>
      <c r="I8330" s="10"/>
      <c r="J8330" s="10"/>
      <c r="K8330" s="10"/>
      <c r="L8330" s="10"/>
      <c r="M8330" s="10"/>
      <c r="N8330" s="10"/>
      <c r="O8330" s="10"/>
      <c r="P8330" s="10"/>
      <c r="Q8330" s="10"/>
      <c r="R8330" s="10"/>
      <c r="S8330" s="10"/>
      <c r="T8330" s="10"/>
      <c r="U8330" s="10"/>
      <c r="V8330" s="10"/>
      <c r="W8330" s="10"/>
      <c r="X8330" s="10"/>
      <c r="Y8330" s="10"/>
      <c r="Z8330" s="10"/>
    </row>
    <row r="8331" spans="1:26" ht="12.75">
      <c r="A8331" s="10"/>
      <c r="B8331" s="10"/>
      <c r="C8331" s="10"/>
      <c r="D8331" s="10"/>
      <c r="E8331" s="10"/>
      <c r="F8331" s="10"/>
      <c r="G8331" s="10"/>
      <c r="H8331" s="10"/>
      <c r="I8331" s="10"/>
      <c r="J8331" s="10"/>
      <c r="K8331" s="10"/>
      <c r="L8331" s="10"/>
      <c r="M8331" s="10"/>
      <c r="N8331" s="10"/>
      <c r="O8331" s="10"/>
      <c r="P8331" s="10"/>
      <c r="Q8331" s="10"/>
      <c r="R8331" s="10"/>
      <c r="S8331" s="10"/>
      <c r="T8331" s="10"/>
      <c r="U8331" s="10"/>
      <c r="V8331" s="10"/>
      <c r="W8331" s="10"/>
      <c r="X8331" s="10"/>
      <c r="Y8331" s="10"/>
      <c r="Z8331" s="10"/>
    </row>
    <row r="8332" spans="1:26" ht="12.75">
      <c r="A8332" s="10"/>
      <c r="B8332" s="10"/>
      <c r="C8332" s="10"/>
      <c r="D8332" s="10"/>
      <c r="E8332" s="10"/>
      <c r="F8332" s="10"/>
      <c r="G8332" s="10"/>
      <c r="H8332" s="10"/>
      <c r="I8332" s="10"/>
      <c r="J8332" s="10"/>
      <c r="K8332" s="10"/>
      <c r="L8332" s="10"/>
      <c r="M8332" s="10"/>
      <c r="N8332" s="10"/>
      <c r="O8332" s="10"/>
      <c r="P8332" s="10"/>
      <c r="Q8332" s="10"/>
      <c r="R8332" s="10"/>
      <c r="S8332" s="10"/>
      <c r="T8332" s="10"/>
      <c r="U8332" s="10"/>
      <c r="V8332" s="10"/>
      <c r="W8332" s="10"/>
      <c r="X8332" s="10"/>
      <c r="Y8332" s="10"/>
      <c r="Z8332" s="10"/>
    </row>
    <row r="8333" spans="1:26" ht="12.75">
      <c r="A8333" s="10"/>
      <c r="B8333" s="10"/>
      <c r="C8333" s="10"/>
      <c r="D8333" s="10"/>
      <c r="E8333" s="10"/>
      <c r="F8333" s="10"/>
      <c r="G8333" s="10"/>
      <c r="H8333" s="10"/>
      <c r="I8333" s="10"/>
      <c r="J8333" s="10"/>
      <c r="K8333" s="10"/>
      <c r="L8333" s="10"/>
      <c r="M8333" s="10"/>
      <c r="N8333" s="10"/>
      <c r="O8333" s="10"/>
      <c r="P8333" s="10"/>
      <c r="Q8333" s="10"/>
      <c r="R8333" s="10"/>
      <c r="S8333" s="10"/>
      <c r="T8333" s="10"/>
      <c r="U8333" s="10"/>
      <c r="V8333" s="10"/>
      <c r="W8333" s="10"/>
      <c r="X8333" s="10"/>
      <c r="Y8333" s="10"/>
      <c r="Z8333" s="10"/>
    </row>
    <row r="8334" spans="1:26" ht="12.75">
      <c r="A8334" s="10"/>
      <c r="B8334" s="10"/>
      <c r="C8334" s="10"/>
      <c r="D8334" s="10"/>
      <c r="E8334" s="10"/>
      <c r="F8334" s="10"/>
      <c r="G8334" s="10"/>
      <c r="H8334" s="10"/>
      <c r="I8334" s="10"/>
      <c r="J8334" s="10"/>
      <c r="K8334" s="10"/>
      <c r="L8334" s="10"/>
      <c r="M8334" s="10"/>
      <c r="N8334" s="10"/>
      <c r="O8334" s="10"/>
      <c r="P8334" s="10"/>
      <c r="Q8334" s="10"/>
      <c r="R8334" s="10"/>
      <c r="S8334" s="10"/>
      <c r="T8334" s="10"/>
      <c r="U8334" s="10"/>
      <c r="V8334" s="10"/>
      <c r="W8334" s="10"/>
      <c r="X8334" s="10"/>
      <c r="Y8334" s="10"/>
      <c r="Z8334" s="10"/>
    </row>
    <row r="8335" spans="1:26" ht="12.75">
      <c r="A8335" s="10"/>
      <c r="B8335" s="10"/>
      <c r="C8335" s="10"/>
      <c r="D8335" s="10"/>
      <c r="E8335" s="10"/>
      <c r="F8335" s="10"/>
      <c r="G8335" s="10"/>
      <c r="H8335" s="10"/>
      <c r="I8335" s="10"/>
      <c r="J8335" s="10"/>
      <c r="K8335" s="10"/>
      <c r="L8335" s="10"/>
      <c r="M8335" s="10"/>
      <c r="N8335" s="10"/>
      <c r="O8335" s="10"/>
      <c r="P8335" s="10"/>
      <c r="Q8335" s="10"/>
      <c r="R8335" s="10"/>
      <c r="S8335" s="10"/>
      <c r="T8335" s="10"/>
      <c r="U8335" s="10"/>
      <c r="V8335" s="10"/>
      <c r="W8335" s="10"/>
      <c r="X8335" s="10"/>
      <c r="Y8335" s="10"/>
      <c r="Z8335" s="10"/>
    </row>
    <row r="8336" spans="1:26" ht="12.75">
      <c r="A8336" s="10"/>
      <c r="B8336" s="10"/>
      <c r="C8336" s="10"/>
      <c r="D8336" s="10"/>
      <c r="E8336" s="10"/>
      <c r="F8336" s="10"/>
      <c r="G8336" s="10"/>
      <c r="H8336" s="10"/>
      <c r="I8336" s="10"/>
      <c r="J8336" s="10"/>
      <c r="K8336" s="10"/>
      <c r="L8336" s="10"/>
      <c r="M8336" s="10"/>
      <c r="N8336" s="10"/>
      <c r="O8336" s="10"/>
      <c r="P8336" s="10"/>
      <c r="Q8336" s="10"/>
      <c r="R8336" s="10"/>
      <c r="S8336" s="10"/>
      <c r="T8336" s="10"/>
      <c r="U8336" s="10"/>
      <c r="V8336" s="10"/>
      <c r="W8336" s="10"/>
      <c r="X8336" s="10"/>
      <c r="Y8336" s="10"/>
      <c r="Z8336" s="10"/>
    </row>
    <row r="8337" spans="1:26" ht="12.75">
      <c r="A8337" s="10"/>
      <c r="B8337" s="10"/>
      <c r="C8337" s="10"/>
      <c r="D8337" s="10"/>
      <c r="E8337" s="10"/>
      <c r="F8337" s="10"/>
      <c r="G8337" s="10"/>
      <c r="H8337" s="10"/>
      <c r="I8337" s="10"/>
      <c r="J8337" s="10"/>
      <c r="K8337" s="10"/>
      <c r="L8337" s="10"/>
      <c r="M8337" s="10"/>
      <c r="N8337" s="10"/>
      <c r="O8337" s="10"/>
      <c r="P8337" s="10"/>
      <c r="Q8337" s="10"/>
      <c r="R8337" s="10"/>
      <c r="S8337" s="10"/>
      <c r="T8337" s="10"/>
      <c r="U8337" s="10"/>
      <c r="V8337" s="10"/>
      <c r="W8337" s="10"/>
      <c r="X8337" s="10"/>
      <c r="Y8337" s="10"/>
      <c r="Z8337" s="10"/>
    </row>
    <row r="8338" spans="1:26" ht="12.75">
      <c r="A8338" s="10"/>
      <c r="B8338" s="10"/>
      <c r="C8338" s="10"/>
      <c r="D8338" s="10"/>
      <c r="E8338" s="10"/>
      <c r="F8338" s="10"/>
      <c r="G8338" s="10"/>
      <c r="H8338" s="10"/>
      <c r="I8338" s="10"/>
      <c r="J8338" s="10"/>
      <c r="K8338" s="10"/>
      <c r="L8338" s="10"/>
      <c r="M8338" s="10"/>
      <c r="N8338" s="10"/>
      <c r="O8338" s="10"/>
      <c r="P8338" s="10"/>
      <c r="Q8338" s="10"/>
      <c r="R8338" s="10"/>
      <c r="S8338" s="10"/>
      <c r="T8338" s="10"/>
      <c r="U8338" s="10"/>
      <c r="V8338" s="10"/>
      <c r="W8338" s="10"/>
      <c r="X8338" s="10"/>
      <c r="Y8338" s="10"/>
      <c r="Z8338" s="10"/>
    </row>
    <row r="8339" spans="1:26" ht="12.75">
      <c r="A8339" s="10"/>
      <c r="B8339" s="10"/>
      <c r="C8339" s="10"/>
      <c r="D8339" s="10"/>
      <c r="E8339" s="10"/>
      <c r="F8339" s="10"/>
      <c r="G8339" s="10"/>
      <c r="H8339" s="10"/>
      <c r="I8339" s="10"/>
      <c r="J8339" s="10"/>
      <c r="K8339" s="10"/>
      <c r="L8339" s="10"/>
      <c r="M8339" s="10"/>
      <c r="N8339" s="10"/>
      <c r="O8339" s="10"/>
      <c r="P8339" s="10"/>
      <c r="Q8339" s="10"/>
      <c r="R8339" s="10"/>
      <c r="S8339" s="10"/>
      <c r="T8339" s="10"/>
      <c r="U8339" s="10"/>
      <c r="V8339" s="10"/>
      <c r="W8339" s="10"/>
      <c r="X8339" s="10"/>
      <c r="Y8339" s="10"/>
      <c r="Z8339" s="10"/>
    </row>
    <row r="8340" spans="1:26" ht="12.75">
      <c r="A8340" s="10"/>
      <c r="B8340" s="10"/>
      <c r="C8340" s="10"/>
      <c r="D8340" s="10"/>
      <c r="E8340" s="10"/>
      <c r="F8340" s="10"/>
      <c r="G8340" s="10"/>
      <c r="H8340" s="10"/>
      <c r="I8340" s="10"/>
      <c r="J8340" s="10"/>
      <c r="K8340" s="10"/>
      <c r="L8340" s="10"/>
      <c r="M8340" s="10"/>
      <c r="N8340" s="10"/>
      <c r="O8340" s="10"/>
      <c r="P8340" s="10"/>
      <c r="Q8340" s="10"/>
      <c r="R8340" s="10"/>
      <c r="S8340" s="10"/>
      <c r="T8340" s="10"/>
      <c r="U8340" s="10"/>
      <c r="V8340" s="10"/>
      <c r="W8340" s="10"/>
      <c r="X8340" s="10"/>
      <c r="Y8340" s="10"/>
      <c r="Z8340" s="10"/>
    </row>
    <row r="8341" spans="1:26" ht="12.75">
      <c r="A8341" s="10"/>
      <c r="B8341" s="10"/>
      <c r="C8341" s="10"/>
      <c r="D8341" s="10"/>
      <c r="E8341" s="10"/>
      <c r="F8341" s="10"/>
      <c r="G8341" s="10"/>
      <c r="H8341" s="10"/>
      <c r="I8341" s="10"/>
      <c r="J8341" s="10"/>
      <c r="K8341" s="10"/>
      <c r="L8341" s="10"/>
      <c r="M8341" s="10"/>
      <c r="N8341" s="10"/>
      <c r="O8341" s="10"/>
      <c r="P8341" s="10"/>
      <c r="Q8341" s="10"/>
      <c r="R8341" s="10"/>
      <c r="S8341" s="10"/>
      <c r="T8341" s="10"/>
      <c r="U8341" s="10"/>
      <c r="V8341" s="10"/>
      <c r="W8341" s="10"/>
      <c r="X8341" s="10"/>
      <c r="Y8341" s="10"/>
      <c r="Z8341" s="10"/>
    </row>
    <row r="8342" spans="1:26" ht="12.75">
      <c r="A8342" s="10"/>
      <c r="B8342" s="10"/>
      <c r="C8342" s="10"/>
      <c r="D8342" s="10"/>
      <c r="E8342" s="10"/>
      <c r="F8342" s="10"/>
      <c r="G8342" s="10"/>
      <c r="H8342" s="10"/>
      <c r="I8342" s="10"/>
      <c r="J8342" s="10"/>
      <c r="K8342" s="10"/>
      <c r="L8342" s="10"/>
      <c r="M8342" s="10"/>
      <c r="N8342" s="10"/>
      <c r="O8342" s="10"/>
      <c r="P8342" s="10"/>
      <c r="Q8342" s="10"/>
      <c r="R8342" s="10"/>
      <c r="S8342" s="10"/>
      <c r="T8342" s="10"/>
      <c r="U8342" s="10"/>
      <c r="V8342" s="10"/>
      <c r="W8342" s="10"/>
      <c r="X8342" s="10"/>
      <c r="Y8342" s="10"/>
      <c r="Z8342" s="10"/>
    </row>
    <row r="8343" spans="1:26" ht="12.75">
      <c r="A8343" s="10"/>
      <c r="B8343" s="10"/>
      <c r="C8343" s="10"/>
      <c r="D8343" s="10"/>
      <c r="E8343" s="10"/>
      <c r="F8343" s="10"/>
      <c r="G8343" s="10"/>
      <c r="H8343" s="10"/>
      <c r="I8343" s="10"/>
      <c r="J8343" s="10"/>
      <c r="K8343" s="10"/>
      <c r="L8343" s="10"/>
      <c r="M8343" s="10"/>
      <c r="N8343" s="10"/>
      <c r="O8343" s="10"/>
      <c r="P8343" s="10"/>
      <c r="Q8343" s="10"/>
      <c r="R8343" s="10"/>
      <c r="S8343" s="10"/>
      <c r="T8343" s="10"/>
      <c r="U8343" s="10"/>
      <c r="V8343" s="10"/>
      <c r="W8343" s="10"/>
      <c r="X8343" s="10"/>
      <c r="Y8343" s="10"/>
      <c r="Z8343" s="10"/>
    </row>
    <row r="8344" spans="1:26" ht="12.75">
      <c r="A8344" s="10"/>
      <c r="B8344" s="10"/>
      <c r="C8344" s="10"/>
      <c r="D8344" s="10"/>
      <c r="E8344" s="10"/>
      <c r="F8344" s="10"/>
      <c r="G8344" s="10"/>
      <c r="H8344" s="10"/>
      <c r="I8344" s="10"/>
      <c r="J8344" s="10"/>
      <c r="K8344" s="10"/>
      <c r="L8344" s="10"/>
      <c r="M8344" s="10"/>
      <c r="N8344" s="10"/>
      <c r="O8344" s="10"/>
      <c r="P8344" s="10"/>
      <c r="Q8344" s="10"/>
      <c r="R8344" s="10"/>
      <c r="S8344" s="10"/>
      <c r="T8344" s="10"/>
      <c r="U8344" s="10"/>
      <c r="V8344" s="10"/>
      <c r="W8344" s="10"/>
      <c r="X8344" s="10"/>
      <c r="Y8344" s="10"/>
      <c r="Z8344" s="10"/>
    </row>
    <row r="8345" spans="1:26" ht="12.75">
      <c r="A8345" s="10"/>
      <c r="B8345" s="10"/>
      <c r="C8345" s="10"/>
      <c r="D8345" s="10"/>
      <c r="E8345" s="10"/>
      <c r="F8345" s="10"/>
      <c r="G8345" s="10"/>
      <c r="H8345" s="10"/>
      <c r="I8345" s="10"/>
      <c r="J8345" s="10"/>
      <c r="K8345" s="10"/>
      <c r="L8345" s="10"/>
      <c r="M8345" s="10"/>
      <c r="N8345" s="10"/>
      <c r="O8345" s="10"/>
      <c r="P8345" s="10"/>
      <c r="Q8345" s="10"/>
      <c r="R8345" s="10"/>
      <c r="S8345" s="10"/>
      <c r="T8345" s="10"/>
      <c r="U8345" s="10"/>
      <c r="V8345" s="10"/>
      <c r="W8345" s="10"/>
      <c r="X8345" s="10"/>
      <c r="Y8345" s="10"/>
      <c r="Z8345" s="10"/>
    </row>
    <row r="8346" spans="1:26" ht="12.75">
      <c r="A8346" s="10"/>
      <c r="B8346" s="10"/>
      <c r="C8346" s="10"/>
      <c r="D8346" s="10"/>
      <c r="E8346" s="10"/>
      <c r="F8346" s="10"/>
      <c r="G8346" s="10"/>
      <c r="H8346" s="10"/>
      <c r="I8346" s="10"/>
      <c r="J8346" s="10"/>
      <c r="K8346" s="10"/>
      <c r="L8346" s="10"/>
      <c r="M8346" s="10"/>
      <c r="N8346" s="10"/>
      <c r="O8346" s="10"/>
      <c r="P8346" s="10"/>
      <c r="Q8346" s="10"/>
      <c r="R8346" s="10"/>
      <c r="S8346" s="10"/>
      <c r="T8346" s="10"/>
      <c r="U8346" s="10"/>
      <c r="V8346" s="10"/>
      <c r="W8346" s="10"/>
      <c r="X8346" s="10"/>
      <c r="Y8346" s="10"/>
      <c r="Z8346" s="10"/>
    </row>
    <row r="8347" spans="1:26" ht="12.75">
      <c r="A8347" s="10"/>
      <c r="B8347" s="10"/>
      <c r="C8347" s="10"/>
      <c r="D8347" s="10"/>
      <c r="E8347" s="10"/>
      <c r="F8347" s="10"/>
      <c r="G8347" s="10"/>
      <c r="H8347" s="10"/>
      <c r="I8347" s="10"/>
      <c r="J8347" s="10"/>
      <c r="K8347" s="10"/>
      <c r="L8347" s="10"/>
      <c r="M8347" s="10"/>
      <c r="N8347" s="10"/>
      <c r="O8347" s="10"/>
      <c r="P8347" s="10"/>
      <c r="Q8347" s="10"/>
      <c r="R8347" s="10"/>
      <c r="S8347" s="10"/>
      <c r="T8347" s="10"/>
      <c r="U8347" s="10"/>
      <c r="V8347" s="10"/>
      <c r="W8347" s="10"/>
      <c r="X8347" s="10"/>
      <c r="Y8347" s="10"/>
      <c r="Z8347" s="10"/>
    </row>
    <row r="8348" spans="1:26" ht="12.75">
      <c r="A8348" s="10"/>
      <c r="B8348" s="10"/>
      <c r="C8348" s="10"/>
      <c r="D8348" s="10"/>
      <c r="E8348" s="10"/>
      <c r="F8348" s="10"/>
      <c r="G8348" s="10"/>
      <c r="H8348" s="10"/>
      <c r="I8348" s="10"/>
      <c r="J8348" s="10"/>
      <c r="K8348" s="10"/>
      <c r="L8348" s="10"/>
      <c r="M8348" s="10"/>
      <c r="N8348" s="10"/>
      <c r="O8348" s="10"/>
      <c r="P8348" s="10"/>
      <c r="Q8348" s="10"/>
      <c r="R8348" s="10"/>
      <c r="S8348" s="10"/>
      <c r="T8348" s="10"/>
      <c r="U8348" s="10"/>
      <c r="V8348" s="10"/>
      <c r="W8348" s="10"/>
      <c r="X8348" s="10"/>
      <c r="Y8348" s="10"/>
      <c r="Z8348" s="10"/>
    </row>
    <row r="8349" spans="1:26" ht="12.75">
      <c r="A8349" s="10"/>
      <c r="B8349" s="10"/>
      <c r="C8349" s="10"/>
      <c r="D8349" s="10"/>
      <c r="E8349" s="10"/>
      <c r="F8349" s="10"/>
      <c r="G8349" s="10"/>
      <c r="H8349" s="10"/>
      <c r="I8349" s="10"/>
      <c r="J8349" s="10"/>
      <c r="K8349" s="10"/>
      <c r="L8349" s="10"/>
      <c r="M8349" s="10"/>
      <c r="N8349" s="10"/>
      <c r="O8349" s="10"/>
      <c r="P8349" s="10"/>
      <c r="Q8349" s="10"/>
      <c r="R8349" s="10"/>
      <c r="S8349" s="10"/>
      <c r="T8349" s="10"/>
      <c r="U8349" s="10"/>
      <c r="V8349" s="10"/>
      <c r="W8349" s="10"/>
      <c r="X8349" s="10"/>
      <c r="Y8349" s="10"/>
      <c r="Z8349" s="10"/>
    </row>
    <row r="8350" spans="1:26" ht="12.75">
      <c r="A8350" s="10"/>
      <c r="B8350" s="10"/>
      <c r="C8350" s="10"/>
      <c r="D8350" s="10"/>
      <c r="E8350" s="10"/>
      <c r="F8350" s="10"/>
      <c r="G8350" s="10"/>
      <c r="H8350" s="10"/>
      <c r="I8350" s="10"/>
      <c r="J8350" s="10"/>
      <c r="K8350" s="10"/>
      <c r="L8350" s="10"/>
      <c r="M8350" s="10"/>
      <c r="N8350" s="10"/>
      <c r="O8350" s="10"/>
      <c r="P8350" s="10"/>
      <c r="Q8350" s="10"/>
      <c r="R8350" s="10"/>
      <c r="S8350" s="10"/>
      <c r="T8350" s="10"/>
      <c r="U8350" s="10"/>
      <c r="V8350" s="10"/>
      <c r="W8350" s="10"/>
      <c r="X8350" s="10"/>
      <c r="Y8350" s="10"/>
      <c r="Z8350" s="10"/>
    </row>
    <row r="8351" spans="1:26" ht="12.75">
      <c r="A8351" s="10"/>
      <c r="B8351" s="10"/>
      <c r="C8351" s="10"/>
      <c r="D8351" s="10"/>
      <c r="E8351" s="10"/>
      <c r="F8351" s="10"/>
      <c r="G8351" s="10"/>
      <c r="H8351" s="10"/>
      <c r="I8351" s="10"/>
      <c r="J8351" s="10"/>
      <c r="K8351" s="10"/>
      <c r="L8351" s="10"/>
      <c r="M8351" s="10"/>
      <c r="N8351" s="10"/>
      <c r="O8351" s="10"/>
      <c r="P8351" s="10"/>
      <c r="Q8351" s="10"/>
      <c r="R8351" s="10"/>
      <c r="S8351" s="10"/>
      <c r="T8351" s="10"/>
      <c r="U8351" s="10"/>
      <c r="V8351" s="10"/>
      <c r="W8351" s="10"/>
      <c r="X8351" s="10"/>
      <c r="Y8351" s="10"/>
      <c r="Z8351" s="10"/>
    </row>
    <row r="8352" spans="1:26" ht="12.75">
      <c r="A8352" s="10"/>
      <c r="B8352" s="10"/>
      <c r="C8352" s="10"/>
      <c r="D8352" s="10"/>
      <c r="E8352" s="10"/>
      <c r="F8352" s="10"/>
      <c r="G8352" s="10"/>
      <c r="H8352" s="10"/>
      <c r="I8352" s="10"/>
      <c r="J8352" s="10"/>
      <c r="K8352" s="10"/>
      <c r="L8352" s="10"/>
      <c r="M8352" s="10"/>
      <c r="N8352" s="10"/>
      <c r="O8352" s="10"/>
      <c r="P8352" s="10"/>
      <c r="Q8352" s="10"/>
      <c r="R8352" s="10"/>
      <c r="S8352" s="10"/>
      <c r="T8352" s="10"/>
      <c r="U8352" s="10"/>
      <c r="V8352" s="10"/>
      <c r="W8352" s="10"/>
      <c r="X8352" s="10"/>
      <c r="Y8352" s="10"/>
      <c r="Z8352" s="10"/>
    </row>
    <row r="8353" spans="1:26" ht="12.75">
      <c r="A8353" s="10"/>
      <c r="B8353" s="10"/>
      <c r="C8353" s="10"/>
      <c r="D8353" s="10"/>
      <c r="E8353" s="10"/>
      <c r="F8353" s="10"/>
      <c r="G8353" s="10"/>
      <c r="H8353" s="10"/>
      <c r="I8353" s="10"/>
      <c r="J8353" s="10"/>
      <c r="K8353" s="10"/>
      <c r="L8353" s="10"/>
      <c r="M8353" s="10"/>
      <c r="N8353" s="10"/>
      <c r="O8353" s="10"/>
      <c r="P8353" s="10"/>
      <c r="Q8353" s="10"/>
      <c r="R8353" s="10"/>
      <c r="S8353" s="10"/>
      <c r="T8353" s="10"/>
      <c r="U8353" s="10"/>
      <c r="V8353" s="10"/>
      <c r="W8353" s="10"/>
      <c r="X8353" s="10"/>
      <c r="Y8353" s="10"/>
      <c r="Z8353" s="10"/>
    </row>
    <row r="8354" spans="1:26" ht="12.75">
      <c r="A8354" s="10"/>
      <c r="B8354" s="10"/>
      <c r="C8354" s="10"/>
      <c r="D8354" s="10"/>
      <c r="E8354" s="10"/>
      <c r="F8354" s="10"/>
      <c r="G8354" s="10"/>
      <c r="H8354" s="10"/>
      <c r="I8354" s="10"/>
      <c r="J8354" s="10"/>
      <c r="K8354" s="10"/>
      <c r="L8354" s="10"/>
      <c r="M8354" s="10"/>
      <c r="N8354" s="10"/>
      <c r="O8354" s="10"/>
      <c r="P8354" s="10"/>
      <c r="Q8354" s="10"/>
      <c r="R8354" s="10"/>
      <c r="S8354" s="10"/>
      <c r="T8354" s="10"/>
      <c r="U8354" s="10"/>
      <c r="V8354" s="10"/>
      <c r="W8354" s="10"/>
      <c r="X8354" s="10"/>
      <c r="Y8354" s="10"/>
      <c r="Z8354" s="10"/>
    </row>
    <row r="8355" spans="1:26" ht="12.75">
      <c r="A8355" s="10"/>
      <c r="B8355" s="10"/>
      <c r="C8355" s="10"/>
      <c r="D8355" s="10"/>
      <c r="E8355" s="10"/>
      <c r="F8355" s="10"/>
      <c r="G8355" s="10"/>
      <c r="H8355" s="10"/>
      <c r="I8355" s="10"/>
      <c r="J8355" s="10"/>
      <c r="K8355" s="10"/>
      <c r="L8355" s="10"/>
      <c r="M8355" s="10"/>
      <c r="N8355" s="10"/>
      <c r="O8355" s="10"/>
      <c r="P8355" s="10"/>
      <c r="Q8355" s="10"/>
      <c r="R8355" s="10"/>
      <c r="S8355" s="10"/>
      <c r="T8355" s="10"/>
      <c r="U8355" s="10"/>
      <c r="V8355" s="10"/>
      <c r="W8355" s="10"/>
      <c r="X8355" s="10"/>
      <c r="Y8355" s="10"/>
      <c r="Z8355" s="10"/>
    </row>
    <row r="8356" spans="1:26" ht="12.75">
      <c r="A8356" s="10"/>
      <c r="B8356" s="10"/>
      <c r="C8356" s="10"/>
      <c r="D8356" s="10"/>
      <c r="E8356" s="10"/>
      <c r="F8356" s="10"/>
      <c r="G8356" s="10"/>
      <c r="H8356" s="10"/>
      <c r="I8356" s="10"/>
      <c r="J8356" s="10"/>
      <c r="K8356" s="10"/>
      <c r="L8356" s="10"/>
      <c r="M8356" s="10"/>
      <c r="N8356" s="10"/>
      <c r="O8356" s="10"/>
      <c r="P8356" s="10"/>
      <c r="Q8356" s="10"/>
      <c r="R8356" s="10"/>
      <c r="S8356" s="10"/>
      <c r="T8356" s="10"/>
      <c r="U8356" s="10"/>
      <c r="V8356" s="10"/>
      <c r="W8356" s="10"/>
      <c r="X8356" s="10"/>
      <c r="Y8356" s="10"/>
      <c r="Z8356" s="10"/>
    </row>
    <row r="8357" spans="1:26" ht="12.75">
      <c r="A8357" s="10"/>
      <c r="B8357" s="10"/>
      <c r="C8357" s="10"/>
      <c r="D8357" s="10"/>
      <c r="E8357" s="10"/>
      <c r="F8357" s="10"/>
      <c r="G8357" s="10"/>
      <c r="H8357" s="10"/>
      <c r="I8357" s="10"/>
      <c r="J8357" s="10"/>
      <c r="K8357" s="10"/>
      <c r="L8357" s="10"/>
      <c r="M8357" s="10"/>
      <c r="N8357" s="10"/>
      <c r="O8357" s="10"/>
      <c r="P8357" s="10"/>
      <c r="Q8357" s="10"/>
      <c r="R8357" s="10"/>
      <c r="S8357" s="10"/>
      <c r="T8357" s="10"/>
      <c r="U8357" s="10"/>
      <c r="V8357" s="10"/>
      <c r="W8357" s="10"/>
      <c r="X8357" s="10"/>
      <c r="Y8357" s="10"/>
      <c r="Z8357" s="10"/>
    </row>
    <row r="8358" spans="1:26" ht="12.75">
      <c r="A8358" s="10"/>
      <c r="B8358" s="10"/>
      <c r="C8358" s="10"/>
      <c r="D8358" s="10"/>
      <c r="E8358" s="10"/>
      <c r="F8358" s="10"/>
      <c r="G8358" s="10"/>
      <c r="H8358" s="10"/>
      <c r="I8358" s="10"/>
      <c r="J8358" s="10"/>
      <c r="K8358" s="10"/>
      <c r="L8358" s="10"/>
      <c r="M8358" s="10"/>
      <c r="N8358" s="10"/>
      <c r="O8358" s="10"/>
      <c r="P8358" s="10"/>
      <c r="Q8358" s="10"/>
      <c r="R8358" s="10"/>
      <c r="S8358" s="10"/>
      <c r="T8358" s="10"/>
      <c r="U8358" s="10"/>
      <c r="V8358" s="10"/>
      <c r="W8358" s="10"/>
      <c r="X8358" s="10"/>
      <c r="Y8358" s="10"/>
      <c r="Z8358" s="10"/>
    </row>
    <row r="8359" spans="1:26" ht="12.75">
      <c r="A8359" s="10"/>
      <c r="B8359" s="10"/>
      <c r="C8359" s="10"/>
      <c r="D8359" s="10"/>
      <c r="E8359" s="10"/>
      <c r="F8359" s="10"/>
      <c r="G8359" s="10"/>
      <c r="H8359" s="10"/>
      <c r="I8359" s="10"/>
      <c r="J8359" s="10"/>
      <c r="K8359" s="10"/>
      <c r="L8359" s="10"/>
      <c r="M8359" s="10"/>
      <c r="N8359" s="10"/>
      <c r="O8359" s="10"/>
      <c r="P8359" s="10"/>
      <c r="Q8359" s="10"/>
      <c r="R8359" s="10"/>
      <c r="S8359" s="10"/>
      <c r="T8359" s="10"/>
      <c r="U8359" s="10"/>
      <c r="V8359" s="10"/>
      <c r="W8359" s="10"/>
      <c r="X8359" s="10"/>
      <c r="Y8359" s="10"/>
      <c r="Z8359" s="10"/>
    </row>
    <row r="8360" spans="1:26" ht="12.75">
      <c r="A8360" s="10"/>
      <c r="B8360" s="10"/>
      <c r="C8360" s="10"/>
      <c r="D8360" s="10"/>
      <c r="E8360" s="10"/>
      <c r="F8360" s="10"/>
      <c r="G8360" s="10"/>
      <c r="H8360" s="10"/>
      <c r="I8360" s="10"/>
      <c r="J8360" s="10"/>
      <c r="K8360" s="10"/>
      <c r="L8360" s="10"/>
      <c r="M8360" s="10"/>
      <c r="N8360" s="10"/>
      <c r="O8360" s="10"/>
      <c r="P8360" s="10"/>
      <c r="Q8360" s="10"/>
      <c r="R8360" s="10"/>
      <c r="S8360" s="10"/>
      <c r="T8360" s="10"/>
      <c r="U8360" s="10"/>
      <c r="V8360" s="10"/>
      <c r="W8360" s="10"/>
      <c r="X8360" s="10"/>
      <c r="Y8360" s="10"/>
      <c r="Z8360" s="10"/>
    </row>
    <row r="8361" spans="1:26" ht="12.75">
      <c r="A8361" s="10"/>
      <c r="B8361" s="10"/>
      <c r="C8361" s="10"/>
      <c r="D8361" s="10"/>
      <c r="E8361" s="10"/>
      <c r="F8361" s="10"/>
      <c r="G8361" s="10"/>
      <c r="H8361" s="10"/>
      <c r="I8361" s="10"/>
      <c r="J8361" s="10"/>
      <c r="K8361" s="10"/>
      <c r="L8361" s="10"/>
      <c r="M8361" s="10"/>
      <c r="N8361" s="10"/>
      <c r="O8361" s="10"/>
      <c r="P8361" s="10"/>
      <c r="Q8361" s="10"/>
      <c r="R8361" s="10"/>
      <c r="S8361" s="10"/>
      <c r="T8361" s="10"/>
      <c r="U8361" s="10"/>
      <c r="V8361" s="10"/>
      <c r="W8361" s="10"/>
      <c r="X8361" s="10"/>
      <c r="Y8361" s="10"/>
      <c r="Z8361" s="10"/>
    </row>
    <row r="8362" spans="1:26" ht="12.75">
      <c r="A8362" s="10"/>
      <c r="B8362" s="10"/>
      <c r="C8362" s="10"/>
      <c r="D8362" s="10"/>
      <c r="E8362" s="10"/>
      <c r="F8362" s="10"/>
      <c r="G8362" s="10"/>
      <c r="H8362" s="10"/>
      <c r="I8362" s="10"/>
      <c r="J8362" s="10"/>
      <c r="K8362" s="10"/>
      <c r="L8362" s="10"/>
      <c r="M8362" s="10"/>
      <c r="N8362" s="10"/>
      <c r="O8362" s="10"/>
      <c r="P8362" s="10"/>
      <c r="Q8362" s="10"/>
      <c r="R8362" s="10"/>
      <c r="S8362" s="10"/>
      <c r="T8362" s="10"/>
      <c r="U8362" s="10"/>
      <c r="V8362" s="10"/>
      <c r="W8362" s="10"/>
      <c r="X8362" s="10"/>
      <c r="Y8362" s="10"/>
      <c r="Z8362" s="10"/>
    </row>
    <row r="8363" spans="1:26" ht="12.75">
      <c r="A8363" s="10"/>
      <c r="B8363" s="10"/>
      <c r="C8363" s="10"/>
      <c r="D8363" s="10"/>
      <c r="E8363" s="10"/>
      <c r="F8363" s="10"/>
      <c r="G8363" s="10"/>
      <c r="H8363" s="10"/>
      <c r="I8363" s="10"/>
      <c r="J8363" s="10"/>
      <c r="K8363" s="10"/>
      <c r="L8363" s="10"/>
      <c r="M8363" s="10"/>
      <c r="N8363" s="10"/>
      <c r="O8363" s="10"/>
      <c r="P8363" s="10"/>
      <c r="Q8363" s="10"/>
      <c r="R8363" s="10"/>
      <c r="S8363" s="10"/>
      <c r="T8363" s="10"/>
      <c r="U8363" s="10"/>
      <c r="V8363" s="10"/>
      <c r="W8363" s="10"/>
      <c r="X8363" s="10"/>
      <c r="Y8363" s="10"/>
      <c r="Z8363" s="10"/>
    </row>
    <row r="8364" spans="1:26" ht="12.75">
      <c r="A8364" s="10"/>
      <c r="B8364" s="10"/>
      <c r="C8364" s="10"/>
      <c r="D8364" s="10"/>
      <c r="E8364" s="10"/>
      <c r="F8364" s="10"/>
      <c r="G8364" s="10"/>
      <c r="H8364" s="10"/>
      <c r="I8364" s="10"/>
      <c r="J8364" s="10"/>
      <c r="K8364" s="10"/>
      <c r="L8364" s="10"/>
      <c r="M8364" s="10"/>
      <c r="N8364" s="10"/>
      <c r="O8364" s="10"/>
      <c r="P8364" s="10"/>
      <c r="Q8364" s="10"/>
      <c r="R8364" s="10"/>
      <c r="S8364" s="10"/>
      <c r="T8364" s="10"/>
      <c r="U8364" s="10"/>
      <c r="V8364" s="10"/>
      <c r="W8364" s="10"/>
      <c r="X8364" s="10"/>
      <c r="Y8364" s="10"/>
      <c r="Z8364" s="10"/>
    </row>
    <row r="8365" spans="1:26" ht="12.75">
      <c r="A8365" s="10"/>
      <c r="B8365" s="10"/>
      <c r="C8365" s="10"/>
      <c r="D8365" s="10"/>
      <c r="E8365" s="10"/>
      <c r="F8365" s="10"/>
      <c r="G8365" s="10"/>
      <c r="H8365" s="10"/>
      <c r="I8365" s="10"/>
      <c r="J8365" s="10"/>
      <c r="K8365" s="10"/>
      <c r="L8365" s="10"/>
      <c r="M8365" s="10"/>
      <c r="N8365" s="10"/>
      <c r="O8365" s="10"/>
      <c r="P8365" s="10"/>
      <c r="Q8365" s="10"/>
      <c r="R8365" s="10"/>
      <c r="S8365" s="10"/>
      <c r="T8365" s="10"/>
      <c r="U8365" s="10"/>
      <c r="V8365" s="10"/>
      <c r="W8365" s="10"/>
      <c r="X8365" s="10"/>
      <c r="Y8365" s="10"/>
      <c r="Z8365" s="10"/>
    </row>
    <row r="8366" spans="1:26" ht="12.75">
      <c r="A8366" s="10"/>
      <c r="B8366" s="10"/>
      <c r="C8366" s="10"/>
      <c r="D8366" s="10"/>
      <c r="E8366" s="10"/>
      <c r="F8366" s="10"/>
      <c r="G8366" s="10"/>
      <c r="H8366" s="10"/>
      <c r="I8366" s="10"/>
      <c r="J8366" s="10"/>
      <c r="K8366" s="10"/>
      <c r="L8366" s="10"/>
      <c r="M8366" s="10"/>
      <c r="N8366" s="10"/>
      <c r="O8366" s="10"/>
      <c r="P8366" s="10"/>
      <c r="Q8366" s="10"/>
      <c r="R8366" s="10"/>
      <c r="S8366" s="10"/>
      <c r="T8366" s="10"/>
      <c r="U8366" s="10"/>
      <c r="V8366" s="10"/>
      <c r="W8366" s="10"/>
      <c r="X8366" s="10"/>
      <c r="Y8366" s="10"/>
      <c r="Z8366" s="10"/>
    </row>
    <row r="8367" spans="1:26" ht="12.75">
      <c r="A8367" s="10"/>
      <c r="B8367" s="10"/>
      <c r="C8367" s="10"/>
      <c r="D8367" s="10"/>
      <c r="E8367" s="10"/>
      <c r="F8367" s="10"/>
      <c r="G8367" s="10"/>
      <c r="H8367" s="10"/>
      <c r="I8367" s="10"/>
      <c r="J8367" s="10"/>
      <c r="K8367" s="10"/>
      <c r="L8367" s="10"/>
      <c r="M8367" s="10"/>
      <c r="N8367" s="10"/>
      <c r="O8367" s="10"/>
      <c r="P8367" s="10"/>
      <c r="Q8367" s="10"/>
      <c r="R8367" s="10"/>
      <c r="S8367" s="10"/>
      <c r="T8367" s="10"/>
      <c r="U8367" s="10"/>
      <c r="V8367" s="10"/>
      <c r="W8367" s="10"/>
      <c r="X8367" s="10"/>
      <c r="Y8367" s="10"/>
      <c r="Z8367" s="10"/>
    </row>
    <row r="8368" spans="1:26" ht="12.75">
      <c r="A8368" s="10"/>
      <c r="B8368" s="10"/>
      <c r="C8368" s="10"/>
      <c r="D8368" s="10"/>
      <c r="E8368" s="10"/>
      <c r="F8368" s="10"/>
      <c r="G8368" s="10"/>
      <c r="H8368" s="10"/>
      <c r="I8368" s="10"/>
      <c r="J8368" s="10"/>
      <c r="K8368" s="10"/>
      <c r="L8368" s="10"/>
      <c r="M8368" s="10"/>
      <c r="N8368" s="10"/>
      <c r="O8368" s="10"/>
      <c r="P8368" s="10"/>
      <c r="Q8368" s="10"/>
      <c r="R8368" s="10"/>
      <c r="S8368" s="10"/>
      <c r="T8368" s="10"/>
      <c r="U8368" s="10"/>
      <c r="V8368" s="10"/>
      <c r="W8368" s="10"/>
      <c r="X8368" s="10"/>
      <c r="Y8368" s="10"/>
      <c r="Z8368" s="10"/>
    </row>
    <row r="8369" spans="1:26" ht="12.75">
      <c r="A8369" s="10"/>
      <c r="B8369" s="10"/>
      <c r="C8369" s="10"/>
      <c r="D8369" s="10"/>
      <c r="E8369" s="10"/>
      <c r="F8369" s="10"/>
      <c r="G8369" s="10"/>
      <c r="H8369" s="10"/>
      <c r="I8369" s="10"/>
      <c r="J8369" s="10"/>
      <c r="K8369" s="10"/>
      <c r="L8369" s="10"/>
      <c r="M8369" s="10"/>
      <c r="N8369" s="10"/>
      <c r="O8369" s="10"/>
      <c r="P8369" s="10"/>
      <c r="Q8369" s="10"/>
      <c r="R8369" s="10"/>
      <c r="S8369" s="10"/>
      <c r="T8369" s="10"/>
      <c r="U8369" s="10"/>
      <c r="V8369" s="10"/>
      <c r="W8369" s="10"/>
      <c r="X8369" s="10"/>
      <c r="Y8369" s="10"/>
      <c r="Z8369" s="10"/>
    </row>
    <row r="8370" spans="1:26" ht="12.75">
      <c r="A8370" s="10"/>
      <c r="B8370" s="10"/>
      <c r="C8370" s="10"/>
      <c r="D8370" s="10"/>
      <c r="E8370" s="10"/>
      <c r="F8370" s="10"/>
      <c r="G8370" s="10"/>
      <c r="H8370" s="10"/>
      <c r="I8370" s="10"/>
      <c r="J8370" s="10"/>
      <c r="K8370" s="10"/>
      <c r="L8370" s="10"/>
      <c r="M8370" s="10"/>
      <c r="N8370" s="10"/>
      <c r="O8370" s="10"/>
      <c r="P8370" s="10"/>
      <c r="Q8370" s="10"/>
      <c r="R8370" s="10"/>
      <c r="S8370" s="10"/>
      <c r="T8370" s="10"/>
      <c r="U8370" s="10"/>
      <c r="V8370" s="10"/>
      <c r="W8370" s="10"/>
      <c r="X8370" s="10"/>
      <c r="Y8370" s="10"/>
      <c r="Z8370" s="10"/>
    </row>
    <row r="8371" spans="1:26" ht="12.75">
      <c r="A8371" s="10"/>
      <c r="B8371" s="10"/>
      <c r="C8371" s="10"/>
      <c r="D8371" s="10"/>
      <c r="E8371" s="10"/>
      <c r="F8371" s="10"/>
      <c r="G8371" s="10"/>
      <c r="H8371" s="10"/>
      <c r="I8371" s="10"/>
      <c r="J8371" s="10"/>
      <c r="K8371" s="10"/>
      <c r="L8371" s="10"/>
      <c r="M8371" s="10"/>
      <c r="N8371" s="10"/>
      <c r="O8371" s="10"/>
      <c r="P8371" s="10"/>
      <c r="Q8371" s="10"/>
      <c r="R8371" s="10"/>
      <c r="S8371" s="10"/>
      <c r="T8371" s="10"/>
      <c r="U8371" s="10"/>
      <c r="V8371" s="10"/>
      <c r="W8371" s="10"/>
      <c r="X8371" s="10"/>
      <c r="Y8371" s="10"/>
      <c r="Z8371" s="10"/>
    </row>
    <row r="8372" spans="1:26" ht="12.75">
      <c r="A8372" s="10"/>
      <c r="B8372" s="10"/>
      <c r="C8372" s="10"/>
      <c r="D8372" s="10"/>
      <c r="E8372" s="10"/>
      <c r="F8372" s="10"/>
      <c r="G8372" s="10"/>
      <c r="H8372" s="10"/>
      <c r="I8372" s="10"/>
      <c r="J8372" s="10"/>
      <c r="K8372" s="10"/>
      <c r="L8372" s="10"/>
      <c r="M8372" s="10"/>
      <c r="N8372" s="10"/>
      <c r="O8372" s="10"/>
      <c r="P8372" s="10"/>
      <c r="Q8372" s="10"/>
      <c r="R8372" s="10"/>
      <c r="S8372" s="10"/>
      <c r="T8372" s="10"/>
      <c r="U8372" s="10"/>
      <c r="V8372" s="10"/>
      <c r="W8372" s="10"/>
      <c r="X8372" s="10"/>
      <c r="Y8372" s="10"/>
      <c r="Z8372" s="10"/>
    </row>
    <row r="8373" spans="1:26" ht="12.75">
      <c r="A8373" s="10"/>
      <c r="B8373" s="10"/>
      <c r="C8373" s="10"/>
      <c r="D8373" s="10"/>
      <c r="E8373" s="10"/>
      <c r="F8373" s="10"/>
      <c r="G8373" s="10"/>
      <c r="H8373" s="10"/>
      <c r="I8373" s="10"/>
      <c r="J8373" s="10"/>
      <c r="K8373" s="10"/>
      <c r="L8373" s="10"/>
      <c r="M8373" s="10"/>
      <c r="N8373" s="10"/>
      <c r="O8373" s="10"/>
      <c r="P8373" s="10"/>
      <c r="Q8373" s="10"/>
      <c r="R8373" s="10"/>
      <c r="S8373" s="10"/>
      <c r="T8373" s="10"/>
      <c r="U8373" s="10"/>
      <c r="V8373" s="10"/>
      <c r="W8373" s="10"/>
      <c r="X8373" s="10"/>
      <c r="Y8373" s="10"/>
      <c r="Z8373" s="10"/>
    </row>
    <row r="8374" spans="1:26" ht="12.75">
      <c r="A8374" s="10"/>
      <c r="B8374" s="10"/>
      <c r="C8374" s="10"/>
      <c r="D8374" s="10"/>
      <c r="E8374" s="10"/>
      <c r="F8374" s="10"/>
      <c r="G8374" s="10"/>
      <c r="H8374" s="10"/>
      <c r="I8374" s="10"/>
      <c r="J8374" s="10"/>
      <c r="K8374" s="10"/>
      <c r="L8374" s="10"/>
      <c r="M8374" s="10"/>
      <c r="N8374" s="10"/>
      <c r="O8374" s="10"/>
      <c r="P8374" s="10"/>
      <c r="Q8374" s="10"/>
      <c r="R8374" s="10"/>
      <c r="S8374" s="10"/>
      <c r="T8374" s="10"/>
      <c r="U8374" s="10"/>
      <c r="V8374" s="10"/>
      <c r="W8374" s="10"/>
      <c r="X8374" s="10"/>
      <c r="Y8374" s="10"/>
      <c r="Z8374" s="10"/>
    </row>
    <row r="8375" spans="1:26" ht="12.75">
      <c r="A8375" s="10"/>
      <c r="B8375" s="10"/>
      <c r="C8375" s="10"/>
      <c r="D8375" s="10"/>
      <c r="E8375" s="10"/>
      <c r="F8375" s="10"/>
      <c r="G8375" s="10"/>
      <c r="H8375" s="10"/>
      <c r="I8375" s="10"/>
      <c r="J8375" s="10"/>
      <c r="K8375" s="10"/>
      <c r="L8375" s="10"/>
      <c r="M8375" s="10"/>
      <c r="N8375" s="10"/>
      <c r="O8375" s="10"/>
      <c r="P8375" s="10"/>
      <c r="Q8375" s="10"/>
      <c r="R8375" s="10"/>
      <c r="S8375" s="10"/>
      <c r="T8375" s="10"/>
      <c r="U8375" s="10"/>
      <c r="V8375" s="10"/>
      <c r="W8375" s="10"/>
      <c r="X8375" s="10"/>
      <c r="Y8375" s="10"/>
      <c r="Z8375" s="10"/>
    </row>
    <row r="8376" spans="1:26" ht="12.75">
      <c r="A8376" s="10"/>
      <c r="B8376" s="10"/>
      <c r="C8376" s="10"/>
      <c r="D8376" s="10"/>
      <c r="E8376" s="10"/>
      <c r="F8376" s="10"/>
      <c r="G8376" s="10"/>
      <c r="H8376" s="10"/>
      <c r="I8376" s="10"/>
      <c r="J8376" s="10"/>
      <c r="K8376" s="10"/>
      <c r="L8376" s="10"/>
      <c r="M8376" s="10"/>
      <c r="N8376" s="10"/>
      <c r="O8376" s="10"/>
      <c r="P8376" s="10"/>
      <c r="Q8376" s="10"/>
      <c r="R8376" s="10"/>
      <c r="S8376" s="10"/>
      <c r="T8376" s="10"/>
      <c r="U8376" s="10"/>
      <c r="V8376" s="10"/>
      <c r="W8376" s="10"/>
      <c r="X8376" s="10"/>
      <c r="Y8376" s="10"/>
      <c r="Z8376" s="10"/>
    </row>
    <row r="8377" spans="1:26" ht="12.75">
      <c r="A8377" s="10"/>
      <c r="B8377" s="10"/>
      <c r="C8377" s="10"/>
      <c r="D8377" s="10"/>
      <c r="E8377" s="10"/>
      <c r="F8377" s="10"/>
      <c r="G8377" s="10"/>
      <c r="H8377" s="10"/>
      <c r="I8377" s="10"/>
      <c r="J8377" s="10"/>
      <c r="K8377" s="10"/>
      <c r="L8377" s="10"/>
      <c r="M8377" s="10"/>
      <c r="N8377" s="10"/>
      <c r="O8377" s="10"/>
      <c r="P8377" s="10"/>
      <c r="Q8377" s="10"/>
      <c r="R8377" s="10"/>
      <c r="S8377" s="10"/>
      <c r="T8377" s="10"/>
      <c r="U8377" s="10"/>
      <c r="V8377" s="10"/>
      <c r="W8377" s="10"/>
      <c r="X8377" s="10"/>
      <c r="Y8377" s="10"/>
      <c r="Z8377" s="10"/>
    </row>
    <row r="8378" spans="1:26" ht="12.75">
      <c r="A8378" s="10"/>
      <c r="B8378" s="10"/>
      <c r="C8378" s="10"/>
      <c r="D8378" s="10"/>
      <c r="E8378" s="10"/>
      <c r="F8378" s="10"/>
      <c r="G8378" s="10"/>
      <c r="H8378" s="10"/>
      <c r="I8378" s="10"/>
      <c r="J8378" s="10"/>
      <c r="K8378" s="10"/>
      <c r="L8378" s="10"/>
      <c r="M8378" s="10"/>
      <c r="N8378" s="10"/>
      <c r="O8378" s="10"/>
      <c r="P8378" s="10"/>
      <c r="Q8378" s="10"/>
      <c r="R8378" s="10"/>
      <c r="S8378" s="10"/>
      <c r="T8378" s="10"/>
      <c r="U8378" s="10"/>
      <c r="V8378" s="10"/>
      <c r="W8378" s="10"/>
      <c r="X8378" s="10"/>
      <c r="Y8378" s="10"/>
      <c r="Z8378" s="10"/>
    </row>
    <row r="8379" spans="1:26" ht="12.75">
      <c r="A8379" s="10"/>
      <c r="B8379" s="10"/>
      <c r="C8379" s="10"/>
      <c r="D8379" s="10"/>
      <c r="E8379" s="10"/>
      <c r="F8379" s="10"/>
      <c r="G8379" s="10"/>
      <c r="H8379" s="10"/>
      <c r="I8379" s="10"/>
      <c r="J8379" s="10"/>
      <c r="K8379" s="10"/>
      <c r="L8379" s="10"/>
      <c r="M8379" s="10"/>
      <c r="N8379" s="10"/>
      <c r="O8379" s="10"/>
      <c r="P8379" s="10"/>
      <c r="Q8379" s="10"/>
      <c r="R8379" s="10"/>
      <c r="S8379" s="10"/>
      <c r="T8379" s="10"/>
      <c r="U8379" s="10"/>
      <c r="V8379" s="10"/>
      <c r="W8379" s="10"/>
      <c r="X8379" s="10"/>
      <c r="Y8379" s="10"/>
      <c r="Z8379" s="10"/>
    </row>
    <row r="8380" spans="1:26" ht="12.75">
      <c r="A8380" s="10"/>
      <c r="B8380" s="10"/>
      <c r="C8380" s="10"/>
      <c r="D8380" s="10"/>
      <c r="E8380" s="10"/>
      <c r="F8380" s="10"/>
      <c r="G8380" s="10"/>
      <c r="H8380" s="10"/>
      <c r="I8380" s="10"/>
      <c r="J8380" s="10"/>
      <c r="K8380" s="10"/>
      <c r="L8380" s="10"/>
      <c r="M8380" s="10"/>
      <c r="N8380" s="10"/>
      <c r="O8380" s="10"/>
      <c r="P8380" s="10"/>
      <c r="Q8380" s="10"/>
      <c r="R8380" s="10"/>
      <c r="S8380" s="10"/>
      <c r="T8380" s="10"/>
      <c r="U8380" s="10"/>
      <c r="V8380" s="10"/>
      <c r="W8380" s="10"/>
      <c r="X8380" s="10"/>
      <c r="Y8380" s="10"/>
      <c r="Z8380" s="10"/>
    </row>
    <row r="8381" spans="1:26" ht="12.75">
      <c r="A8381" s="10"/>
      <c r="B8381" s="10"/>
      <c r="C8381" s="10"/>
      <c r="D8381" s="10"/>
      <c r="E8381" s="10"/>
      <c r="F8381" s="10"/>
      <c r="G8381" s="10"/>
      <c r="H8381" s="10"/>
      <c r="I8381" s="10"/>
      <c r="J8381" s="10"/>
      <c r="K8381" s="10"/>
      <c r="L8381" s="10"/>
      <c r="M8381" s="10"/>
      <c r="N8381" s="10"/>
      <c r="O8381" s="10"/>
      <c r="P8381" s="10"/>
      <c r="Q8381" s="10"/>
      <c r="R8381" s="10"/>
      <c r="S8381" s="10"/>
      <c r="T8381" s="10"/>
      <c r="U8381" s="10"/>
      <c r="V8381" s="10"/>
      <c r="W8381" s="10"/>
      <c r="X8381" s="10"/>
      <c r="Y8381" s="10"/>
      <c r="Z8381" s="10"/>
    </row>
    <row r="8382" spans="1:26" ht="12.75">
      <c r="A8382" s="10"/>
      <c r="B8382" s="10"/>
      <c r="C8382" s="10"/>
      <c r="D8382" s="10"/>
      <c r="E8382" s="10"/>
      <c r="F8382" s="10"/>
      <c r="G8382" s="10"/>
      <c r="H8382" s="10"/>
      <c r="I8382" s="10"/>
      <c r="J8382" s="10"/>
      <c r="K8382" s="10"/>
      <c r="L8382" s="10"/>
      <c r="M8382" s="10"/>
      <c r="N8382" s="10"/>
      <c r="O8382" s="10"/>
      <c r="P8382" s="10"/>
      <c r="Q8382" s="10"/>
      <c r="R8382" s="10"/>
      <c r="S8382" s="10"/>
      <c r="T8382" s="10"/>
      <c r="U8382" s="10"/>
      <c r="V8382" s="10"/>
      <c r="W8382" s="10"/>
      <c r="X8382" s="10"/>
      <c r="Y8382" s="10"/>
      <c r="Z8382" s="10"/>
    </row>
    <row r="8383" spans="1:26" ht="12.75">
      <c r="A8383" s="10"/>
      <c r="B8383" s="10"/>
      <c r="C8383" s="10"/>
      <c r="D8383" s="10"/>
      <c r="E8383" s="10"/>
      <c r="F8383" s="10"/>
      <c r="G8383" s="10"/>
      <c r="H8383" s="10"/>
      <c r="I8383" s="10"/>
      <c r="J8383" s="10"/>
      <c r="K8383" s="10"/>
      <c r="L8383" s="10"/>
      <c r="M8383" s="10"/>
      <c r="N8383" s="10"/>
      <c r="O8383" s="10"/>
      <c r="P8383" s="10"/>
      <c r="Q8383" s="10"/>
      <c r="R8383" s="10"/>
      <c r="S8383" s="10"/>
      <c r="T8383" s="10"/>
      <c r="U8383" s="10"/>
      <c r="V8383" s="10"/>
      <c r="W8383" s="10"/>
      <c r="X8383" s="10"/>
      <c r="Y8383" s="10"/>
      <c r="Z8383" s="10"/>
    </row>
    <row r="8384" spans="1:26" ht="12.75">
      <c r="A8384" s="10"/>
      <c r="B8384" s="10"/>
      <c r="C8384" s="10"/>
      <c r="D8384" s="10"/>
      <c r="E8384" s="10"/>
      <c r="F8384" s="10"/>
      <c r="G8384" s="10"/>
      <c r="H8384" s="10"/>
      <c r="I8384" s="10"/>
      <c r="J8384" s="10"/>
      <c r="K8384" s="10"/>
      <c r="L8384" s="10"/>
      <c r="M8384" s="10"/>
      <c r="N8384" s="10"/>
      <c r="O8384" s="10"/>
      <c r="P8384" s="10"/>
      <c r="Q8384" s="10"/>
      <c r="R8384" s="10"/>
      <c r="S8384" s="10"/>
      <c r="T8384" s="10"/>
      <c r="U8384" s="10"/>
      <c r="V8384" s="10"/>
      <c r="W8384" s="10"/>
      <c r="X8384" s="10"/>
      <c r="Y8384" s="10"/>
      <c r="Z8384" s="10"/>
    </row>
    <row r="8385" spans="1:26" ht="12.75">
      <c r="A8385" s="10"/>
      <c r="B8385" s="10"/>
      <c r="C8385" s="10"/>
      <c r="D8385" s="10"/>
      <c r="E8385" s="10"/>
      <c r="F8385" s="10"/>
      <c r="G8385" s="10"/>
      <c r="H8385" s="10"/>
      <c r="I8385" s="10"/>
      <c r="J8385" s="10"/>
      <c r="K8385" s="10"/>
      <c r="L8385" s="10"/>
      <c r="M8385" s="10"/>
      <c r="N8385" s="10"/>
      <c r="O8385" s="10"/>
      <c r="P8385" s="10"/>
      <c r="Q8385" s="10"/>
      <c r="R8385" s="10"/>
      <c r="S8385" s="10"/>
      <c r="T8385" s="10"/>
      <c r="U8385" s="10"/>
      <c r="V8385" s="10"/>
      <c r="W8385" s="10"/>
      <c r="X8385" s="10"/>
      <c r="Y8385" s="10"/>
      <c r="Z8385" s="10"/>
    </row>
    <row r="8386" spans="1:26" ht="12.75">
      <c r="A8386" s="10"/>
      <c r="B8386" s="10"/>
      <c r="C8386" s="10"/>
      <c r="D8386" s="10"/>
      <c r="E8386" s="10"/>
      <c r="F8386" s="10"/>
      <c r="G8386" s="10"/>
      <c r="H8386" s="10"/>
      <c r="I8386" s="10"/>
      <c r="J8386" s="10"/>
      <c r="K8386" s="10"/>
      <c r="L8386" s="10"/>
      <c r="M8386" s="10"/>
      <c r="N8386" s="10"/>
      <c r="O8386" s="10"/>
      <c r="P8386" s="10"/>
      <c r="Q8386" s="10"/>
      <c r="R8386" s="10"/>
      <c r="S8386" s="10"/>
      <c r="T8386" s="10"/>
      <c r="U8386" s="10"/>
      <c r="V8386" s="10"/>
      <c r="W8386" s="10"/>
      <c r="X8386" s="10"/>
      <c r="Y8386" s="10"/>
      <c r="Z8386" s="10"/>
    </row>
    <row r="8387" spans="1:26" ht="12.75">
      <c r="A8387" s="10"/>
      <c r="B8387" s="10"/>
      <c r="C8387" s="10"/>
      <c r="D8387" s="10"/>
      <c r="E8387" s="10"/>
      <c r="F8387" s="10"/>
      <c r="G8387" s="10"/>
      <c r="H8387" s="10"/>
      <c r="I8387" s="10"/>
      <c r="J8387" s="10"/>
      <c r="K8387" s="10"/>
      <c r="L8387" s="10"/>
      <c r="M8387" s="10"/>
      <c r="N8387" s="10"/>
      <c r="O8387" s="10"/>
      <c r="P8387" s="10"/>
      <c r="Q8387" s="10"/>
      <c r="R8387" s="10"/>
      <c r="S8387" s="10"/>
      <c r="T8387" s="10"/>
      <c r="U8387" s="10"/>
      <c r="V8387" s="10"/>
      <c r="W8387" s="10"/>
      <c r="X8387" s="10"/>
      <c r="Y8387" s="10"/>
      <c r="Z8387" s="10"/>
    </row>
    <row r="8388" spans="1:26" ht="12.75">
      <c r="A8388" s="10"/>
      <c r="B8388" s="10"/>
      <c r="C8388" s="10"/>
      <c r="D8388" s="10"/>
      <c r="E8388" s="10"/>
      <c r="F8388" s="10"/>
      <c r="G8388" s="10"/>
      <c r="H8388" s="10"/>
      <c r="I8388" s="10"/>
      <c r="J8388" s="10"/>
      <c r="K8388" s="10"/>
      <c r="L8388" s="10"/>
      <c r="M8388" s="10"/>
      <c r="N8388" s="10"/>
      <c r="O8388" s="10"/>
      <c r="P8388" s="10"/>
      <c r="Q8388" s="10"/>
      <c r="R8388" s="10"/>
      <c r="S8388" s="10"/>
      <c r="T8388" s="10"/>
      <c r="U8388" s="10"/>
      <c r="V8388" s="10"/>
      <c r="W8388" s="10"/>
      <c r="X8388" s="10"/>
      <c r="Y8388" s="10"/>
      <c r="Z8388" s="10"/>
    </row>
    <row r="8389" spans="1:26" ht="12.75">
      <c r="A8389" s="10"/>
      <c r="B8389" s="10"/>
      <c r="C8389" s="10"/>
      <c r="D8389" s="10"/>
      <c r="E8389" s="10"/>
      <c r="F8389" s="10"/>
      <c r="G8389" s="10"/>
      <c r="H8389" s="10"/>
      <c r="I8389" s="10"/>
      <c r="J8389" s="10"/>
      <c r="K8389" s="10"/>
      <c r="L8389" s="10"/>
      <c r="M8389" s="10"/>
      <c r="N8389" s="10"/>
      <c r="O8389" s="10"/>
      <c r="P8389" s="10"/>
      <c r="Q8389" s="10"/>
      <c r="R8389" s="10"/>
      <c r="S8389" s="10"/>
      <c r="T8389" s="10"/>
      <c r="U8389" s="10"/>
      <c r="V8389" s="10"/>
      <c r="W8389" s="10"/>
      <c r="X8389" s="10"/>
      <c r="Y8389" s="10"/>
      <c r="Z8389" s="10"/>
    </row>
    <row r="8390" spans="1:26" ht="12.75">
      <c r="A8390" s="10"/>
      <c r="B8390" s="10"/>
      <c r="C8390" s="10"/>
      <c r="D8390" s="10"/>
      <c r="E8390" s="10"/>
      <c r="F8390" s="10"/>
      <c r="G8390" s="10"/>
      <c r="H8390" s="10"/>
      <c r="I8390" s="10"/>
      <c r="J8390" s="10"/>
      <c r="K8390" s="10"/>
      <c r="L8390" s="10"/>
      <c r="M8390" s="10"/>
      <c r="N8390" s="10"/>
      <c r="O8390" s="10"/>
      <c r="P8390" s="10"/>
      <c r="Q8390" s="10"/>
      <c r="R8390" s="10"/>
      <c r="S8390" s="10"/>
      <c r="T8390" s="10"/>
      <c r="U8390" s="10"/>
      <c r="V8390" s="10"/>
      <c r="W8390" s="10"/>
      <c r="X8390" s="10"/>
      <c r="Y8390" s="10"/>
      <c r="Z8390" s="10"/>
    </row>
    <row r="8391" spans="1:26" ht="12.75">
      <c r="A8391" s="10"/>
      <c r="B8391" s="10"/>
      <c r="C8391" s="10"/>
      <c r="D8391" s="10"/>
      <c r="E8391" s="10"/>
      <c r="F8391" s="10"/>
      <c r="G8391" s="10"/>
      <c r="H8391" s="10"/>
      <c r="I8391" s="10"/>
      <c r="J8391" s="10"/>
      <c r="K8391" s="10"/>
      <c r="L8391" s="10"/>
      <c r="M8391" s="10"/>
      <c r="N8391" s="10"/>
      <c r="O8391" s="10"/>
      <c r="P8391" s="10"/>
      <c r="Q8391" s="10"/>
      <c r="R8391" s="10"/>
      <c r="S8391" s="10"/>
      <c r="T8391" s="10"/>
      <c r="U8391" s="10"/>
      <c r="V8391" s="10"/>
      <c r="W8391" s="10"/>
      <c r="X8391" s="10"/>
      <c r="Y8391" s="10"/>
      <c r="Z8391" s="10"/>
    </row>
    <row r="8392" spans="1:26" ht="12.75">
      <c r="A8392" s="10"/>
      <c r="B8392" s="10"/>
      <c r="C8392" s="10"/>
      <c r="D8392" s="10"/>
      <c r="E8392" s="10"/>
      <c r="F8392" s="10"/>
      <c r="G8392" s="10"/>
      <c r="H8392" s="10"/>
      <c r="I8392" s="10"/>
      <c r="J8392" s="10"/>
      <c r="K8392" s="10"/>
      <c r="L8392" s="10"/>
      <c r="M8392" s="10"/>
      <c r="N8392" s="10"/>
      <c r="O8392" s="10"/>
      <c r="P8392" s="10"/>
      <c r="Q8392" s="10"/>
      <c r="R8392" s="10"/>
      <c r="S8392" s="10"/>
      <c r="T8392" s="10"/>
      <c r="U8392" s="10"/>
      <c r="V8392" s="10"/>
      <c r="W8392" s="10"/>
      <c r="X8392" s="10"/>
      <c r="Y8392" s="10"/>
      <c r="Z8392" s="10"/>
    </row>
    <row r="8393" spans="1:26" ht="12.75">
      <c r="A8393" s="10"/>
      <c r="B8393" s="10"/>
      <c r="C8393" s="10"/>
      <c r="D8393" s="10"/>
      <c r="E8393" s="10"/>
      <c r="F8393" s="10"/>
      <c r="G8393" s="10"/>
      <c r="H8393" s="10"/>
      <c r="I8393" s="10"/>
      <c r="J8393" s="10"/>
      <c r="K8393" s="10"/>
      <c r="L8393" s="10"/>
      <c r="M8393" s="10"/>
      <c r="N8393" s="10"/>
      <c r="O8393" s="10"/>
      <c r="P8393" s="10"/>
      <c r="Q8393" s="10"/>
      <c r="R8393" s="10"/>
      <c r="S8393" s="10"/>
      <c r="T8393" s="10"/>
      <c r="U8393" s="10"/>
      <c r="V8393" s="10"/>
      <c r="W8393" s="10"/>
      <c r="X8393" s="10"/>
      <c r="Y8393" s="10"/>
      <c r="Z8393" s="10"/>
    </row>
    <row r="8394" spans="1:26" ht="12.75">
      <c r="A8394" s="10"/>
      <c r="B8394" s="10"/>
      <c r="C8394" s="10"/>
      <c r="D8394" s="10"/>
      <c r="E8394" s="10"/>
      <c r="F8394" s="10"/>
      <c r="G8394" s="10"/>
      <c r="H8394" s="10"/>
      <c r="I8394" s="10"/>
      <c r="J8394" s="10"/>
      <c r="K8394" s="10"/>
      <c r="L8394" s="10"/>
      <c r="M8394" s="10"/>
      <c r="N8394" s="10"/>
      <c r="O8394" s="10"/>
      <c r="P8394" s="10"/>
      <c r="Q8394" s="10"/>
      <c r="R8394" s="10"/>
      <c r="S8394" s="10"/>
      <c r="T8394" s="10"/>
      <c r="U8394" s="10"/>
      <c r="V8394" s="10"/>
      <c r="W8394" s="10"/>
      <c r="X8394" s="10"/>
      <c r="Y8394" s="10"/>
      <c r="Z8394" s="10"/>
    </row>
    <row r="8395" spans="1:26" ht="12.75">
      <c r="A8395" s="10"/>
      <c r="B8395" s="10"/>
      <c r="C8395" s="10"/>
      <c r="D8395" s="10"/>
      <c r="E8395" s="10"/>
      <c r="F8395" s="10"/>
      <c r="G8395" s="10"/>
      <c r="H8395" s="10"/>
      <c r="I8395" s="10"/>
      <c r="J8395" s="10"/>
      <c r="K8395" s="10"/>
      <c r="L8395" s="10"/>
      <c r="M8395" s="10"/>
      <c r="N8395" s="10"/>
      <c r="O8395" s="10"/>
      <c r="P8395" s="10"/>
      <c r="Q8395" s="10"/>
      <c r="R8395" s="10"/>
      <c r="S8395" s="10"/>
      <c r="T8395" s="10"/>
      <c r="U8395" s="10"/>
      <c r="V8395" s="10"/>
      <c r="W8395" s="10"/>
      <c r="X8395" s="10"/>
      <c r="Y8395" s="10"/>
      <c r="Z8395" s="10"/>
    </row>
    <row r="8396" spans="1:26" ht="12.75">
      <c r="A8396" s="10"/>
      <c r="B8396" s="10"/>
      <c r="C8396" s="10"/>
      <c r="D8396" s="10"/>
      <c r="E8396" s="10"/>
      <c r="F8396" s="10"/>
      <c r="G8396" s="10"/>
      <c r="H8396" s="10"/>
      <c r="I8396" s="10"/>
      <c r="J8396" s="10"/>
      <c r="K8396" s="10"/>
      <c r="L8396" s="10"/>
      <c r="M8396" s="10"/>
      <c r="N8396" s="10"/>
      <c r="O8396" s="10"/>
      <c r="P8396" s="10"/>
      <c r="Q8396" s="10"/>
      <c r="R8396" s="10"/>
      <c r="S8396" s="10"/>
      <c r="T8396" s="10"/>
      <c r="U8396" s="10"/>
      <c r="V8396" s="10"/>
      <c r="W8396" s="10"/>
      <c r="X8396" s="10"/>
      <c r="Y8396" s="10"/>
      <c r="Z8396" s="10"/>
    </row>
    <row r="8397" spans="1:26" ht="12.75">
      <c r="A8397" s="10"/>
      <c r="B8397" s="10"/>
      <c r="C8397" s="10"/>
      <c r="D8397" s="10"/>
      <c r="E8397" s="10"/>
      <c r="F8397" s="10"/>
      <c r="G8397" s="10"/>
      <c r="H8397" s="10"/>
      <c r="I8397" s="10"/>
      <c r="J8397" s="10"/>
      <c r="K8397" s="10"/>
      <c r="L8397" s="10"/>
      <c r="M8397" s="10"/>
      <c r="N8397" s="10"/>
      <c r="O8397" s="10"/>
      <c r="P8397" s="10"/>
      <c r="Q8397" s="10"/>
      <c r="R8397" s="10"/>
      <c r="S8397" s="10"/>
      <c r="T8397" s="10"/>
      <c r="U8397" s="10"/>
      <c r="V8397" s="10"/>
      <c r="W8397" s="10"/>
      <c r="X8397" s="10"/>
      <c r="Y8397" s="10"/>
      <c r="Z8397" s="10"/>
    </row>
    <row r="8398" spans="1:26" ht="12.75">
      <c r="A8398" s="10"/>
      <c r="B8398" s="10"/>
      <c r="C8398" s="10"/>
      <c r="D8398" s="10"/>
      <c r="E8398" s="10"/>
      <c r="F8398" s="10"/>
      <c r="G8398" s="10"/>
      <c r="H8398" s="10"/>
      <c r="I8398" s="10"/>
      <c r="J8398" s="10"/>
      <c r="K8398" s="10"/>
      <c r="L8398" s="10"/>
      <c r="M8398" s="10"/>
      <c r="N8398" s="10"/>
      <c r="O8398" s="10"/>
      <c r="P8398" s="10"/>
      <c r="Q8398" s="10"/>
      <c r="R8398" s="10"/>
      <c r="S8398" s="10"/>
      <c r="T8398" s="10"/>
      <c r="U8398" s="10"/>
      <c r="V8398" s="10"/>
      <c r="W8398" s="10"/>
      <c r="X8398" s="10"/>
      <c r="Y8398" s="10"/>
      <c r="Z8398" s="10"/>
    </row>
    <row r="8399" spans="1:26" ht="12.75">
      <c r="A8399" s="10"/>
      <c r="B8399" s="10"/>
      <c r="C8399" s="10"/>
      <c r="D8399" s="10"/>
      <c r="E8399" s="10"/>
      <c r="F8399" s="10"/>
      <c r="G8399" s="10"/>
      <c r="H8399" s="10"/>
      <c r="I8399" s="10"/>
      <c r="J8399" s="10"/>
      <c r="K8399" s="10"/>
      <c r="L8399" s="10"/>
      <c r="M8399" s="10"/>
      <c r="N8399" s="10"/>
      <c r="O8399" s="10"/>
      <c r="P8399" s="10"/>
      <c r="Q8399" s="10"/>
      <c r="R8399" s="10"/>
      <c r="S8399" s="10"/>
      <c r="T8399" s="10"/>
      <c r="U8399" s="10"/>
      <c r="V8399" s="10"/>
      <c r="W8399" s="10"/>
      <c r="X8399" s="10"/>
      <c r="Y8399" s="10"/>
      <c r="Z8399" s="10"/>
    </row>
    <row r="8400" spans="1:26" ht="12.75">
      <c r="A8400" s="10"/>
      <c r="B8400" s="10"/>
      <c r="C8400" s="10"/>
      <c r="D8400" s="10"/>
      <c r="E8400" s="10"/>
      <c r="F8400" s="10"/>
      <c r="G8400" s="10"/>
      <c r="H8400" s="10"/>
      <c r="I8400" s="10"/>
      <c r="J8400" s="10"/>
      <c r="K8400" s="10"/>
      <c r="L8400" s="10"/>
      <c r="M8400" s="10"/>
      <c r="N8400" s="10"/>
      <c r="O8400" s="10"/>
      <c r="P8400" s="10"/>
      <c r="Q8400" s="10"/>
      <c r="R8400" s="10"/>
      <c r="S8400" s="10"/>
      <c r="T8400" s="10"/>
      <c r="U8400" s="10"/>
      <c r="V8400" s="10"/>
      <c r="W8400" s="10"/>
      <c r="X8400" s="10"/>
      <c r="Y8400" s="10"/>
      <c r="Z8400" s="10"/>
    </row>
    <row r="8401" spans="1:26" ht="12.75">
      <c r="A8401" s="10"/>
      <c r="B8401" s="10"/>
      <c r="C8401" s="10"/>
      <c r="D8401" s="10"/>
      <c r="E8401" s="10"/>
      <c r="F8401" s="10"/>
      <c r="G8401" s="10"/>
      <c r="H8401" s="10"/>
      <c r="I8401" s="10"/>
      <c r="J8401" s="10"/>
      <c r="K8401" s="10"/>
      <c r="L8401" s="10"/>
      <c r="M8401" s="10"/>
      <c r="N8401" s="10"/>
      <c r="O8401" s="10"/>
      <c r="P8401" s="10"/>
      <c r="Q8401" s="10"/>
      <c r="R8401" s="10"/>
      <c r="S8401" s="10"/>
      <c r="T8401" s="10"/>
      <c r="U8401" s="10"/>
      <c r="V8401" s="10"/>
      <c r="W8401" s="10"/>
      <c r="X8401" s="10"/>
      <c r="Y8401" s="10"/>
      <c r="Z8401" s="10"/>
    </row>
    <row r="8402" spans="1:26" ht="12.75">
      <c r="A8402" s="10"/>
      <c r="B8402" s="10"/>
      <c r="C8402" s="10"/>
      <c r="D8402" s="10"/>
      <c r="E8402" s="10"/>
      <c r="F8402" s="10"/>
      <c r="G8402" s="10"/>
      <c r="H8402" s="10"/>
      <c r="I8402" s="10"/>
      <c r="J8402" s="10"/>
      <c r="K8402" s="10"/>
      <c r="L8402" s="10"/>
      <c r="M8402" s="10"/>
      <c r="N8402" s="10"/>
      <c r="O8402" s="10"/>
      <c r="P8402" s="10"/>
      <c r="Q8402" s="10"/>
      <c r="R8402" s="10"/>
      <c r="S8402" s="10"/>
      <c r="T8402" s="10"/>
      <c r="U8402" s="10"/>
      <c r="V8402" s="10"/>
      <c r="W8402" s="10"/>
      <c r="X8402" s="10"/>
      <c r="Y8402" s="10"/>
      <c r="Z8402" s="10"/>
    </row>
    <row r="8403" spans="1:26" ht="12.75">
      <c r="A8403" s="10"/>
      <c r="B8403" s="10"/>
      <c r="C8403" s="10"/>
      <c r="D8403" s="10"/>
      <c r="E8403" s="10"/>
      <c r="F8403" s="10"/>
      <c r="G8403" s="10"/>
      <c r="H8403" s="10"/>
      <c r="I8403" s="10"/>
      <c r="J8403" s="10"/>
      <c r="K8403" s="10"/>
      <c r="L8403" s="10"/>
      <c r="M8403" s="10"/>
      <c r="N8403" s="10"/>
      <c r="O8403" s="10"/>
      <c r="P8403" s="10"/>
      <c r="Q8403" s="10"/>
      <c r="R8403" s="10"/>
      <c r="S8403" s="10"/>
      <c r="T8403" s="10"/>
      <c r="U8403" s="10"/>
      <c r="V8403" s="10"/>
      <c r="W8403" s="10"/>
      <c r="X8403" s="10"/>
      <c r="Y8403" s="10"/>
      <c r="Z8403" s="10"/>
    </row>
    <row r="8404" spans="1:26" ht="12.75">
      <c r="A8404" s="10"/>
      <c r="B8404" s="10"/>
      <c r="C8404" s="10"/>
      <c r="D8404" s="10"/>
      <c r="E8404" s="10"/>
      <c r="F8404" s="10"/>
      <c r="G8404" s="10"/>
      <c r="H8404" s="10"/>
      <c r="I8404" s="10"/>
      <c r="J8404" s="10"/>
      <c r="K8404" s="10"/>
      <c r="L8404" s="10"/>
      <c r="M8404" s="10"/>
      <c r="N8404" s="10"/>
      <c r="O8404" s="10"/>
      <c r="P8404" s="10"/>
      <c r="Q8404" s="10"/>
      <c r="R8404" s="10"/>
      <c r="S8404" s="10"/>
      <c r="T8404" s="10"/>
      <c r="U8404" s="10"/>
      <c r="V8404" s="10"/>
      <c r="W8404" s="10"/>
      <c r="X8404" s="10"/>
      <c r="Y8404" s="10"/>
      <c r="Z8404" s="10"/>
    </row>
    <row r="8405" spans="1:26" ht="12.75">
      <c r="A8405" s="10"/>
      <c r="B8405" s="10"/>
      <c r="C8405" s="10"/>
      <c r="D8405" s="10"/>
      <c r="E8405" s="10"/>
      <c r="F8405" s="10"/>
      <c r="G8405" s="10"/>
      <c r="H8405" s="10"/>
      <c r="I8405" s="10"/>
      <c r="J8405" s="10"/>
      <c r="K8405" s="10"/>
      <c r="L8405" s="10"/>
      <c r="M8405" s="10"/>
      <c r="N8405" s="10"/>
      <c r="O8405" s="10"/>
      <c r="P8405" s="10"/>
      <c r="Q8405" s="10"/>
      <c r="R8405" s="10"/>
      <c r="S8405" s="10"/>
      <c r="T8405" s="10"/>
      <c r="U8405" s="10"/>
      <c r="V8405" s="10"/>
      <c r="W8405" s="10"/>
      <c r="X8405" s="10"/>
      <c r="Y8405" s="10"/>
      <c r="Z8405" s="10"/>
    </row>
    <row r="8406" spans="1:26" ht="12.75">
      <c r="A8406" s="10"/>
      <c r="B8406" s="10"/>
      <c r="C8406" s="10"/>
      <c r="D8406" s="10"/>
      <c r="E8406" s="10"/>
      <c r="F8406" s="10"/>
      <c r="G8406" s="10"/>
      <c r="H8406" s="10"/>
      <c r="I8406" s="10"/>
      <c r="J8406" s="10"/>
      <c r="K8406" s="10"/>
      <c r="L8406" s="10"/>
      <c r="M8406" s="10"/>
      <c r="N8406" s="10"/>
      <c r="O8406" s="10"/>
      <c r="P8406" s="10"/>
      <c r="Q8406" s="10"/>
      <c r="R8406" s="10"/>
      <c r="S8406" s="10"/>
      <c r="T8406" s="10"/>
      <c r="U8406" s="10"/>
      <c r="V8406" s="10"/>
      <c r="W8406" s="10"/>
      <c r="X8406" s="10"/>
      <c r="Y8406" s="10"/>
      <c r="Z8406" s="10"/>
    </row>
    <row r="8407" spans="1:26" ht="12.75">
      <c r="A8407" s="10"/>
      <c r="B8407" s="10"/>
      <c r="C8407" s="10"/>
      <c r="D8407" s="10"/>
      <c r="E8407" s="10"/>
      <c r="F8407" s="10"/>
      <c r="G8407" s="10"/>
      <c r="H8407" s="10"/>
      <c r="I8407" s="10"/>
      <c r="J8407" s="10"/>
      <c r="K8407" s="10"/>
      <c r="L8407" s="10"/>
      <c r="M8407" s="10"/>
      <c r="N8407" s="10"/>
      <c r="O8407" s="10"/>
      <c r="P8407" s="10"/>
      <c r="Q8407" s="10"/>
      <c r="R8407" s="10"/>
      <c r="S8407" s="10"/>
      <c r="T8407" s="10"/>
      <c r="U8407" s="10"/>
      <c r="V8407" s="10"/>
      <c r="W8407" s="10"/>
      <c r="X8407" s="10"/>
      <c r="Y8407" s="10"/>
      <c r="Z8407" s="10"/>
    </row>
    <row r="8408" spans="1:26" ht="12.75">
      <c r="A8408" s="10"/>
      <c r="B8408" s="10"/>
      <c r="C8408" s="10"/>
      <c r="D8408" s="10"/>
      <c r="E8408" s="10"/>
      <c r="F8408" s="10"/>
      <c r="G8408" s="10"/>
      <c r="H8408" s="10"/>
      <c r="I8408" s="10"/>
      <c r="J8408" s="10"/>
      <c r="K8408" s="10"/>
      <c r="L8408" s="10"/>
      <c r="M8408" s="10"/>
      <c r="N8408" s="10"/>
      <c r="O8408" s="10"/>
      <c r="P8408" s="10"/>
      <c r="Q8408" s="10"/>
      <c r="R8408" s="10"/>
      <c r="S8408" s="10"/>
      <c r="T8408" s="10"/>
      <c r="U8408" s="10"/>
      <c r="V8408" s="10"/>
      <c r="W8408" s="10"/>
      <c r="X8408" s="10"/>
      <c r="Y8408" s="10"/>
      <c r="Z8408" s="10"/>
    </row>
    <row r="8409" spans="1:26" ht="12.75">
      <c r="A8409" s="10"/>
      <c r="B8409" s="10"/>
      <c r="C8409" s="10"/>
      <c r="D8409" s="10"/>
      <c r="E8409" s="10"/>
      <c r="F8409" s="10"/>
      <c r="G8409" s="10"/>
      <c r="H8409" s="10"/>
      <c r="I8409" s="10"/>
      <c r="J8409" s="10"/>
      <c r="K8409" s="10"/>
      <c r="L8409" s="10"/>
      <c r="M8409" s="10"/>
      <c r="N8409" s="10"/>
      <c r="O8409" s="10"/>
      <c r="P8409" s="10"/>
      <c r="Q8409" s="10"/>
      <c r="R8409" s="10"/>
      <c r="S8409" s="10"/>
      <c r="T8409" s="10"/>
      <c r="U8409" s="10"/>
      <c r="V8409" s="10"/>
      <c r="W8409" s="10"/>
      <c r="X8409" s="10"/>
      <c r="Y8409" s="10"/>
      <c r="Z8409" s="10"/>
    </row>
    <row r="8410" spans="1:26" ht="12.75">
      <c r="A8410" s="10"/>
      <c r="B8410" s="10"/>
      <c r="C8410" s="10"/>
      <c r="D8410" s="10"/>
      <c r="E8410" s="10"/>
      <c r="F8410" s="10"/>
      <c r="G8410" s="10"/>
      <c r="H8410" s="10"/>
      <c r="I8410" s="10"/>
      <c r="J8410" s="10"/>
      <c r="K8410" s="10"/>
      <c r="L8410" s="10"/>
      <c r="M8410" s="10"/>
      <c r="N8410" s="10"/>
      <c r="O8410" s="10"/>
      <c r="P8410" s="10"/>
      <c r="Q8410" s="10"/>
      <c r="R8410" s="10"/>
      <c r="S8410" s="10"/>
      <c r="T8410" s="10"/>
      <c r="U8410" s="10"/>
      <c r="V8410" s="10"/>
      <c r="W8410" s="10"/>
      <c r="X8410" s="10"/>
      <c r="Y8410" s="10"/>
      <c r="Z8410" s="10"/>
    </row>
    <row r="8411" spans="1:26" ht="12.75">
      <c r="A8411" s="10"/>
      <c r="B8411" s="10"/>
      <c r="C8411" s="10"/>
      <c r="D8411" s="10"/>
      <c r="E8411" s="10"/>
      <c r="F8411" s="10"/>
      <c r="G8411" s="10"/>
      <c r="H8411" s="10"/>
      <c r="I8411" s="10"/>
      <c r="J8411" s="10"/>
      <c r="K8411" s="10"/>
      <c r="L8411" s="10"/>
      <c r="M8411" s="10"/>
      <c r="N8411" s="10"/>
      <c r="O8411" s="10"/>
      <c r="P8411" s="10"/>
      <c r="Q8411" s="10"/>
      <c r="R8411" s="10"/>
      <c r="S8411" s="10"/>
      <c r="T8411" s="10"/>
      <c r="U8411" s="10"/>
      <c r="V8411" s="10"/>
      <c r="W8411" s="10"/>
      <c r="X8411" s="10"/>
      <c r="Y8411" s="10"/>
      <c r="Z8411" s="10"/>
    </row>
    <row r="8412" spans="1:26" ht="12.75">
      <c r="A8412" s="10"/>
      <c r="B8412" s="10"/>
      <c r="C8412" s="10"/>
      <c r="D8412" s="10"/>
      <c r="E8412" s="10"/>
      <c r="F8412" s="10"/>
      <c r="G8412" s="10"/>
      <c r="H8412" s="10"/>
      <c r="I8412" s="10"/>
      <c r="J8412" s="10"/>
      <c r="K8412" s="10"/>
      <c r="L8412" s="10"/>
      <c r="M8412" s="10"/>
      <c r="N8412" s="10"/>
      <c r="O8412" s="10"/>
      <c r="P8412" s="10"/>
      <c r="Q8412" s="10"/>
      <c r="R8412" s="10"/>
      <c r="S8412" s="10"/>
      <c r="T8412" s="10"/>
      <c r="U8412" s="10"/>
      <c r="V8412" s="10"/>
      <c r="W8412" s="10"/>
      <c r="X8412" s="10"/>
      <c r="Y8412" s="10"/>
      <c r="Z8412" s="10"/>
    </row>
    <row r="8413" spans="1:26" ht="12.75">
      <c r="A8413" s="10"/>
      <c r="B8413" s="10"/>
      <c r="C8413" s="10"/>
      <c r="D8413" s="10"/>
      <c r="E8413" s="10"/>
      <c r="F8413" s="10"/>
      <c r="G8413" s="10"/>
      <c r="H8413" s="10"/>
      <c r="I8413" s="10"/>
      <c r="J8413" s="10"/>
      <c r="K8413" s="10"/>
      <c r="L8413" s="10"/>
      <c r="M8413" s="10"/>
      <c r="N8413" s="10"/>
      <c r="O8413" s="10"/>
      <c r="P8413" s="10"/>
      <c r="Q8413" s="10"/>
      <c r="R8413" s="10"/>
      <c r="S8413" s="10"/>
      <c r="T8413" s="10"/>
      <c r="U8413" s="10"/>
      <c r="V8413" s="10"/>
      <c r="W8413" s="10"/>
      <c r="X8413" s="10"/>
      <c r="Y8413" s="10"/>
      <c r="Z8413" s="10"/>
    </row>
    <row r="8414" spans="1:26" ht="12.75">
      <c r="A8414" s="10"/>
      <c r="B8414" s="10"/>
      <c r="C8414" s="10"/>
      <c r="D8414" s="10"/>
      <c r="E8414" s="10"/>
      <c r="F8414" s="10"/>
      <c r="G8414" s="10"/>
      <c r="H8414" s="10"/>
      <c r="I8414" s="10"/>
      <c r="J8414" s="10"/>
      <c r="K8414" s="10"/>
      <c r="L8414" s="10"/>
      <c r="M8414" s="10"/>
      <c r="N8414" s="10"/>
      <c r="O8414" s="10"/>
      <c r="P8414" s="10"/>
      <c r="Q8414" s="10"/>
      <c r="R8414" s="10"/>
      <c r="S8414" s="10"/>
      <c r="T8414" s="10"/>
      <c r="U8414" s="10"/>
      <c r="V8414" s="10"/>
      <c r="W8414" s="10"/>
      <c r="X8414" s="10"/>
      <c r="Y8414" s="10"/>
      <c r="Z8414" s="10"/>
    </row>
    <row r="8415" spans="1:26" ht="12.75">
      <c r="A8415" s="10"/>
      <c r="B8415" s="10"/>
      <c r="C8415" s="10"/>
      <c r="D8415" s="10"/>
      <c r="E8415" s="10"/>
      <c r="F8415" s="10"/>
      <c r="G8415" s="10"/>
      <c r="H8415" s="10"/>
      <c r="I8415" s="10"/>
      <c r="J8415" s="10"/>
      <c r="K8415" s="10"/>
      <c r="L8415" s="10"/>
      <c r="M8415" s="10"/>
      <c r="N8415" s="10"/>
      <c r="O8415" s="10"/>
      <c r="P8415" s="10"/>
      <c r="Q8415" s="10"/>
      <c r="R8415" s="10"/>
      <c r="S8415" s="10"/>
      <c r="T8415" s="10"/>
      <c r="U8415" s="10"/>
      <c r="V8415" s="10"/>
      <c r="W8415" s="10"/>
      <c r="X8415" s="10"/>
      <c r="Y8415" s="10"/>
      <c r="Z8415" s="10"/>
    </row>
    <row r="8416" spans="1:26" ht="12.75">
      <c r="A8416" s="10"/>
      <c r="B8416" s="10"/>
      <c r="C8416" s="10"/>
      <c r="D8416" s="10"/>
      <c r="E8416" s="10"/>
      <c r="F8416" s="10"/>
      <c r="G8416" s="10"/>
      <c r="H8416" s="10"/>
      <c r="I8416" s="10"/>
      <c r="J8416" s="10"/>
      <c r="K8416" s="10"/>
      <c r="L8416" s="10"/>
      <c r="M8416" s="10"/>
      <c r="N8416" s="10"/>
      <c r="O8416" s="10"/>
      <c r="P8416" s="10"/>
      <c r="Q8416" s="10"/>
      <c r="R8416" s="10"/>
      <c r="S8416" s="10"/>
      <c r="T8416" s="10"/>
      <c r="U8416" s="10"/>
      <c r="V8416" s="10"/>
      <c r="W8416" s="10"/>
      <c r="X8416" s="10"/>
      <c r="Y8416" s="10"/>
      <c r="Z8416" s="10"/>
    </row>
    <row r="8417" spans="1:26" ht="12.75">
      <c r="A8417" s="10"/>
      <c r="B8417" s="10"/>
      <c r="C8417" s="10"/>
      <c r="D8417" s="10"/>
      <c r="E8417" s="10"/>
      <c r="F8417" s="10"/>
      <c r="G8417" s="10"/>
      <c r="H8417" s="10"/>
      <c r="I8417" s="10"/>
      <c r="J8417" s="10"/>
      <c r="K8417" s="10"/>
      <c r="L8417" s="10"/>
      <c r="M8417" s="10"/>
      <c r="N8417" s="10"/>
      <c r="O8417" s="10"/>
      <c r="P8417" s="10"/>
      <c r="Q8417" s="10"/>
      <c r="R8417" s="10"/>
      <c r="S8417" s="10"/>
      <c r="T8417" s="10"/>
      <c r="U8417" s="10"/>
      <c r="V8417" s="10"/>
      <c r="W8417" s="10"/>
      <c r="X8417" s="10"/>
      <c r="Y8417" s="10"/>
      <c r="Z8417" s="10"/>
    </row>
    <row r="8418" spans="1:26" ht="12.75">
      <c r="A8418" s="10"/>
      <c r="B8418" s="10"/>
      <c r="C8418" s="10"/>
      <c r="D8418" s="10"/>
      <c r="E8418" s="10"/>
      <c r="F8418" s="10"/>
      <c r="G8418" s="10"/>
      <c r="H8418" s="10"/>
      <c r="I8418" s="10"/>
      <c r="J8418" s="10"/>
      <c r="K8418" s="10"/>
      <c r="L8418" s="10"/>
      <c r="M8418" s="10"/>
      <c r="N8418" s="10"/>
      <c r="O8418" s="10"/>
      <c r="P8418" s="10"/>
      <c r="Q8418" s="10"/>
      <c r="R8418" s="10"/>
      <c r="S8418" s="10"/>
      <c r="T8418" s="10"/>
      <c r="U8418" s="10"/>
      <c r="V8418" s="10"/>
      <c r="W8418" s="10"/>
      <c r="X8418" s="10"/>
      <c r="Y8418" s="10"/>
      <c r="Z8418" s="10"/>
    </row>
    <row r="8419" spans="1:26" ht="12.75">
      <c r="A8419" s="10"/>
      <c r="B8419" s="10"/>
      <c r="C8419" s="10"/>
      <c r="D8419" s="10"/>
      <c r="E8419" s="10"/>
      <c r="F8419" s="10"/>
      <c r="G8419" s="10"/>
      <c r="H8419" s="10"/>
      <c r="I8419" s="10"/>
      <c r="J8419" s="10"/>
      <c r="K8419" s="10"/>
      <c r="L8419" s="10"/>
      <c r="M8419" s="10"/>
      <c r="N8419" s="10"/>
      <c r="O8419" s="10"/>
      <c r="P8419" s="10"/>
      <c r="Q8419" s="10"/>
      <c r="R8419" s="10"/>
      <c r="S8419" s="10"/>
      <c r="T8419" s="10"/>
      <c r="U8419" s="10"/>
      <c r="V8419" s="10"/>
      <c r="W8419" s="10"/>
      <c r="X8419" s="10"/>
      <c r="Y8419" s="10"/>
      <c r="Z8419" s="10"/>
    </row>
    <row r="8420" spans="1:26" ht="12.75">
      <c r="A8420" s="10"/>
      <c r="B8420" s="10"/>
      <c r="C8420" s="10"/>
      <c r="D8420" s="10"/>
      <c r="E8420" s="10"/>
      <c r="F8420" s="10"/>
      <c r="G8420" s="10"/>
      <c r="H8420" s="10"/>
      <c r="I8420" s="10"/>
      <c r="J8420" s="10"/>
      <c r="K8420" s="10"/>
      <c r="L8420" s="10"/>
      <c r="M8420" s="10"/>
      <c r="N8420" s="10"/>
      <c r="O8420" s="10"/>
      <c r="P8420" s="10"/>
      <c r="Q8420" s="10"/>
      <c r="R8420" s="10"/>
      <c r="S8420" s="10"/>
      <c r="T8420" s="10"/>
      <c r="U8420" s="10"/>
      <c r="V8420" s="10"/>
      <c r="W8420" s="10"/>
      <c r="X8420" s="10"/>
      <c r="Y8420" s="10"/>
      <c r="Z8420" s="10"/>
    </row>
    <row r="8421" spans="1:26" ht="12.75">
      <c r="A8421" s="10"/>
      <c r="B8421" s="10"/>
      <c r="C8421" s="10"/>
      <c r="D8421" s="10"/>
      <c r="E8421" s="10"/>
      <c r="F8421" s="10"/>
      <c r="G8421" s="10"/>
      <c r="H8421" s="10"/>
      <c r="I8421" s="10"/>
      <c r="J8421" s="10"/>
      <c r="K8421" s="10"/>
      <c r="L8421" s="10"/>
      <c r="M8421" s="10"/>
      <c r="N8421" s="10"/>
      <c r="O8421" s="10"/>
      <c r="P8421" s="10"/>
      <c r="Q8421" s="10"/>
      <c r="R8421" s="10"/>
      <c r="S8421" s="10"/>
      <c r="T8421" s="10"/>
      <c r="U8421" s="10"/>
      <c r="V8421" s="10"/>
      <c r="W8421" s="10"/>
      <c r="X8421" s="10"/>
      <c r="Y8421" s="10"/>
      <c r="Z8421" s="10"/>
    </row>
    <row r="8422" spans="1:26" ht="12.75">
      <c r="A8422" s="10"/>
      <c r="B8422" s="10"/>
      <c r="C8422" s="10"/>
      <c r="D8422" s="10"/>
      <c r="E8422" s="10"/>
      <c r="F8422" s="10"/>
      <c r="G8422" s="10"/>
      <c r="H8422" s="10"/>
      <c r="I8422" s="10"/>
      <c r="J8422" s="10"/>
      <c r="K8422" s="10"/>
      <c r="L8422" s="10"/>
      <c r="M8422" s="10"/>
      <c r="N8422" s="10"/>
      <c r="O8422" s="10"/>
      <c r="P8422" s="10"/>
      <c r="Q8422" s="10"/>
      <c r="R8422" s="10"/>
      <c r="S8422" s="10"/>
      <c r="T8422" s="10"/>
      <c r="U8422" s="10"/>
      <c r="V8422" s="10"/>
      <c r="W8422" s="10"/>
      <c r="X8422" s="10"/>
      <c r="Y8422" s="10"/>
      <c r="Z8422" s="10"/>
    </row>
    <row r="8423" spans="1:26" ht="12.75">
      <c r="A8423" s="10"/>
      <c r="B8423" s="10"/>
      <c r="C8423" s="10"/>
      <c r="D8423" s="10"/>
      <c r="E8423" s="10"/>
      <c r="F8423" s="10"/>
      <c r="G8423" s="10"/>
      <c r="H8423" s="10"/>
      <c r="I8423" s="10"/>
      <c r="J8423" s="10"/>
      <c r="K8423" s="10"/>
      <c r="L8423" s="10"/>
      <c r="M8423" s="10"/>
      <c r="N8423" s="10"/>
      <c r="O8423" s="10"/>
      <c r="P8423" s="10"/>
      <c r="Q8423" s="10"/>
      <c r="R8423" s="10"/>
      <c r="S8423" s="10"/>
      <c r="T8423" s="10"/>
      <c r="U8423" s="10"/>
      <c r="V8423" s="10"/>
      <c r="W8423" s="10"/>
      <c r="X8423" s="10"/>
      <c r="Y8423" s="10"/>
      <c r="Z8423" s="10"/>
    </row>
    <row r="8424" spans="1:26" ht="12.75">
      <c r="A8424" s="10"/>
      <c r="B8424" s="10"/>
      <c r="C8424" s="10"/>
      <c r="D8424" s="10"/>
      <c r="E8424" s="10"/>
      <c r="F8424" s="10"/>
      <c r="G8424" s="10"/>
      <c r="H8424" s="10"/>
      <c r="I8424" s="10"/>
      <c r="J8424" s="10"/>
      <c r="K8424" s="10"/>
      <c r="L8424" s="10"/>
      <c r="M8424" s="10"/>
      <c r="N8424" s="10"/>
      <c r="O8424" s="10"/>
      <c r="P8424" s="10"/>
      <c r="Q8424" s="10"/>
      <c r="R8424" s="10"/>
      <c r="S8424" s="10"/>
      <c r="T8424" s="10"/>
      <c r="U8424" s="10"/>
      <c r="V8424" s="10"/>
      <c r="W8424" s="10"/>
      <c r="X8424" s="10"/>
      <c r="Y8424" s="10"/>
      <c r="Z8424" s="10"/>
    </row>
    <row r="8425" spans="1:26" ht="12.75">
      <c r="A8425" s="10"/>
      <c r="B8425" s="10"/>
      <c r="C8425" s="10"/>
      <c r="D8425" s="10"/>
      <c r="E8425" s="10"/>
      <c r="F8425" s="10"/>
      <c r="G8425" s="10"/>
      <c r="H8425" s="10"/>
      <c r="I8425" s="10"/>
      <c r="J8425" s="10"/>
      <c r="K8425" s="10"/>
      <c r="L8425" s="10"/>
      <c r="M8425" s="10"/>
      <c r="N8425" s="10"/>
      <c r="O8425" s="10"/>
      <c r="P8425" s="10"/>
      <c r="Q8425" s="10"/>
      <c r="R8425" s="10"/>
      <c r="S8425" s="10"/>
      <c r="T8425" s="10"/>
      <c r="U8425" s="10"/>
      <c r="V8425" s="10"/>
      <c r="W8425" s="10"/>
      <c r="X8425" s="10"/>
      <c r="Y8425" s="10"/>
      <c r="Z8425" s="10"/>
    </row>
    <row r="8426" spans="1:26" ht="12.75">
      <c r="A8426" s="10"/>
      <c r="B8426" s="10"/>
      <c r="C8426" s="10"/>
      <c r="D8426" s="10"/>
      <c r="E8426" s="10"/>
      <c r="F8426" s="10"/>
      <c r="G8426" s="10"/>
      <c r="H8426" s="10"/>
      <c r="I8426" s="10"/>
      <c r="J8426" s="10"/>
      <c r="K8426" s="10"/>
      <c r="L8426" s="10"/>
      <c r="M8426" s="10"/>
      <c r="N8426" s="10"/>
      <c r="O8426" s="10"/>
      <c r="P8426" s="10"/>
      <c r="Q8426" s="10"/>
      <c r="R8426" s="10"/>
      <c r="S8426" s="10"/>
      <c r="T8426" s="10"/>
      <c r="U8426" s="10"/>
      <c r="V8426" s="10"/>
      <c r="W8426" s="10"/>
      <c r="X8426" s="10"/>
      <c r="Y8426" s="10"/>
      <c r="Z8426" s="10"/>
    </row>
    <row r="8427" spans="1:26" ht="12.75">
      <c r="A8427" s="10"/>
      <c r="B8427" s="10"/>
      <c r="C8427" s="10"/>
      <c r="D8427" s="10"/>
      <c r="E8427" s="10"/>
      <c r="F8427" s="10"/>
      <c r="G8427" s="10"/>
      <c r="H8427" s="10"/>
      <c r="I8427" s="10"/>
      <c r="J8427" s="10"/>
      <c r="K8427" s="10"/>
      <c r="L8427" s="10"/>
      <c r="M8427" s="10"/>
      <c r="N8427" s="10"/>
      <c r="O8427" s="10"/>
      <c r="P8427" s="10"/>
      <c r="Q8427" s="10"/>
      <c r="R8427" s="10"/>
      <c r="S8427" s="10"/>
      <c r="T8427" s="10"/>
      <c r="U8427" s="10"/>
      <c r="V8427" s="10"/>
      <c r="W8427" s="10"/>
      <c r="X8427" s="10"/>
      <c r="Y8427" s="10"/>
      <c r="Z8427" s="10"/>
    </row>
    <row r="8428" spans="1:26" ht="12.75">
      <c r="A8428" s="10"/>
      <c r="B8428" s="10"/>
      <c r="C8428" s="10"/>
      <c r="D8428" s="10"/>
      <c r="E8428" s="10"/>
      <c r="F8428" s="10"/>
      <c r="G8428" s="10"/>
      <c r="H8428" s="10"/>
      <c r="I8428" s="10"/>
      <c r="J8428" s="10"/>
      <c r="K8428" s="10"/>
      <c r="L8428" s="10"/>
      <c r="M8428" s="10"/>
      <c r="N8428" s="10"/>
      <c r="O8428" s="10"/>
      <c r="P8428" s="10"/>
      <c r="Q8428" s="10"/>
      <c r="R8428" s="10"/>
      <c r="S8428" s="10"/>
      <c r="T8428" s="10"/>
      <c r="U8428" s="10"/>
      <c r="V8428" s="10"/>
      <c r="W8428" s="10"/>
      <c r="X8428" s="10"/>
      <c r="Y8428" s="10"/>
      <c r="Z8428" s="10"/>
    </row>
    <row r="8429" spans="1:26" ht="12.75">
      <c r="A8429" s="10"/>
      <c r="B8429" s="10"/>
      <c r="C8429" s="10"/>
      <c r="D8429" s="10"/>
      <c r="E8429" s="10"/>
      <c r="F8429" s="10"/>
      <c r="G8429" s="10"/>
      <c r="H8429" s="10"/>
      <c r="I8429" s="10"/>
      <c r="J8429" s="10"/>
      <c r="K8429" s="10"/>
      <c r="L8429" s="10"/>
      <c r="M8429" s="10"/>
      <c r="N8429" s="10"/>
      <c r="O8429" s="10"/>
      <c r="P8429" s="10"/>
      <c r="Q8429" s="10"/>
      <c r="R8429" s="10"/>
      <c r="S8429" s="10"/>
      <c r="T8429" s="10"/>
      <c r="U8429" s="10"/>
      <c r="V8429" s="10"/>
      <c r="W8429" s="10"/>
      <c r="X8429" s="10"/>
      <c r="Y8429" s="10"/>
      <c r="Z8429" s="10"/>
    </row>
    <row r="8430" spans="1:26" ht="12.75">
      <c r="A8430" s="10"/>
      <c r="B8430" s="10"/>
      <c r="C8430" s="10"/>
      <c r="D8430" s="10"/>
      <c r="E8430" s="10"/>
      <c r="F8430" s="10"/>
      <c r="G8430" s="10"/>
      <c r="H8430" s="10"/>
      <c r="I8430" s="10"/>
      <c r="J8430" s="10"/>
      <c r="K8430" s="10"/>
      <c r="L8430" s="10"/>
      <c r="M8430" s="10"/>
      <c r="N8430" s="10"/>
      <c r="O8430" s="10"/>
      <c r="P8430" s="10"/>
      <c r="Q8430" s="10"/>
      <c r="R8430" s="10"/>
      <c r="S8430" s="10"/>
      <c r="T8430" s="10"/>
      <c r="U8430" s="10"/>
      <c r="V8430" s="10"/>
      <c r="W8430" s="10"/>
      <c r="X8430" s="10"/>
      <c r="Y8430" s="10"/>
      <c r="Z8430" s="10"/>
    </row>
    <row r="8431" spans="1:26" ht="12.75">
      <c r="A8431" s="10"/>
      <c r="B8431" s="10"/>
      <c r="C8431" s="10"/>
      <c r="D8431" s="10"/>
      <c r="E8431" s="10"/>
      <c r="F8431" s="10"/>
      <c r="G8431" s="10"/>
      <c r="H8431" s="10"/>
      <c r="I8431" s="10"/>
      <c r="J8431" s="10"/>
      <c r="K8431" s="10"/>
      <c r="L8431" s="10"/>
      <c r="M8431" s="10"/>
      <c r="N8431" s="10"/>
      <c r="O8431" s="10"/>
      <c r="P8431" s="10"/>
      <c r="Q8431" s="10"/>
      <c r="R8431" s="10"/>
      <c r="S8431" s="10"/>
      <c r="T8431" s="10"/>
      <c r="U8431" s="10"/>
      <c r="V8431" s="10"/>
      <c r="W8431" s="10"/>
      <c r="X8431" s="10"/>
      <c r="Y8431" s="10"/>
      <c r="Z8431" s="10"/>
    </row>
    <row r="8432" spans="1:26" ht="12.75">
      <c r="A8432" s="10"/>
      <c r="B8432" s="10"/>
      <c r="C8432" s="10"/>
      <c r="D8432" s="10"/>
      <c r="E8432" s="10"/>
      <c r="F8432" s="10"/>
      <c r="G8432" s="10"/>
      <c r="H8432" s="10"/>
      <c r="I8432" s="10"/>
      <c r="J8432" s="10"/>
      <c r="K8432" s="10"/>
      <c r="L8432" s="10"/>
      <c r="M8432" s="10"/>
      <c r="N8432" s="10"/>
      <c r="O8432" s="10"/>
      <c r="P8432" s="10"/>
      <c r="Q8432" s="10"/>
      <c r="R8432" s="10"/>
      <c r="S8432" s="10"/>
      <c r="T8432" s="10"/>
      <c r="U8432" s="10"/>
      <c r="V8432" s="10"/>
      <c r="W8432" s="10"/>
      <c r="X8432" s="10"/>
      <c r="Y8432" s="10"/>
      <c r="Z8432" s="10"/>
    </row>
    <row r="8433" spans="1:26" ht="12.75">
      <c r="A8433" s="10"/>
      <c r="B8433" s="10"/>
      <c r="C8433" s="10"/>
      <c r="D8433" s="10"/>
      <c r="E8433" s="10"/>
      <c r="F8433" s="10"/>
      <c r="G8433" s="10"/>
      <c r="H8433" s="10"/>
      <c r="I8433" s="10"/>
      <c r="J8433" s="10"/>
      <c r="K8433" s="10"/>
      <c r="L8433" s="10"/>
      <c r="M8433" s="10"/>
      <c r="N8433" s="10"/>
      <c r="O8433" s="10"/>
      <c r="P8433" s="10"/>
      <c r="Q8433" s="10"/>
      <c r="R8433" s="10"/>
      <c r="S8433" s="10"/>
      <c r="T8433" s="10"/>
      <c r="U8433" s="10"/>
      <c r="V8433" s="10"/>
      <c r="W8433" s="10"/>
      <c r="X8433" s="10"/>
      <c r="Y8433" s="10"/>
      <c r="Z8433" s="10"/>
    </row>
    <row r="8434" spans="1:26" ht="12.75">
      <c r="A8434" s="10"/>
      <c r="B8434" s="10"/>
      <c r="C8434" s="10"/>
      <c r="D8434" s="10"/>
      <c r="E8434" s="10"/>
      <c r="F8434" s="10"/>
      <c r="G8434" s="10"/>
      <c r="H8434" s="10"/>
      <c r="I8434" s="10"/>
      <c r="J8434" s="10"/>
      <c r="K8434" s="10"/>
      <c r="L8434" s="10"/>
      <c r="M8434" s="10"/>
      <c r="N8434" s="10"/>
      <c r="O8434" s="10"/>
      <c r="P8434" s="10"/>
      <c r="Q8434" s="10"/>
      <c r="R8434" s="10"/>
      <c r="S8434" s="10"/>
      <c r="T8434" s="10"/>
      <c r="U8434" s="10"/>
      <c r="V8434" s="10"/>
      <c r="W8434" s="10"/>
      <c r="X8434" s="10"/>
      <c r="Y8434" s="10"/>
      <c r="Z8434" s="10"/>
    </row>
    <row r="8435" spans="1:26" ht="12.75">
      <c r="A8435" s="10"/>
      <c r="B8435" s="10"/>
      <c r="C8435" s="10"/>
      <c r="D8435" s="10"/>
      <c r="E8435" s="10"/>
      <c r="F8435" s="10"/>
      <c r="G8435" s="10"/>
      <c r="H8435" s="10"/>
      <c r="I8435" s="10"/>
      <c r="J8435" s="10"/>
      <c r="K8435" s="10"/>
      <c r="L8435" s="10"/>
      <c r="M8435" s="10"/>
      <c r="N8435" s="10"/>
      <c r="O8435" s="10"/>
      <c r="P8435" s="10"/>
      <c r="Q8435" s="10"/>
      <c r="R8435" s="10"/>
      <c r="S8435" s="10"/>
      <c r="T8435" s="10"/>
      <c r="U8435" s="10"/>
      <c r="V8435" s="10"/>
      <c r="W8435" s="10"/>
      <c r="X8435" s="10"/>
      <c r="Y8435" s="10"/>
      <c r="Z8435" s="10"/>
    </row>
    <row r="8436" spans="1:26" ht="12.75">
      <c r="A8436" s="10"/>
      <c r="B8436" s="10"/>
      <c r="C8436" s="10"/>
      <c r="D8436" s="10"/>
      <c r="E8436" s="10"/>
      <c r="F8436" s="10"/>
      <c r="G8436" s="10"/>
      <c r="H8436" s="10"/>
      <c r="I8436" s="10"/>
      <c r="J8436" s="10"/>
      <c r="K8436" s="10"/>
      <c r="L8436" s="10"/>
      <c r="M8436" s="10"/>
      <c r="N8436" s="10"/>
      <c r="O8436" s="10"/>
      <c r="P8436" s="10"/>
      <c r="Q8436" s="10"/>
      <c r="R8436" s="10"/>
      <c r="S8436" s="10"/>
      <c r="T8436" s="10"/>
      <c r="U8436" s="10"/>
      <c r="V8436" s="10"/>
      <c r="W8436" s="10"/>
      <c r="X8436" s="10"/>
      <c r="Y8436" s="10"/>
      <c r="Z8436" s="10"/>
    </row>
    <row r="8437" spans="1:26" ht="12.75">
      <c r="A8437" s="10"/>
      <c r="B8437" s="10"/>
      <c r="C8437" s="10"/>
      <c r="D8437" s="10"/>
      <c r="E8437" s="10"/>
      <c r="F8437" s="10"/>
      <c r="G8437" s="10"/>
      <c r="H8437" s="10"/>
      <c r="I8437" s="10"/>
      <c r="J8437" s="10"/>
      <c r="K8437" s="10"/>
      <c r="L8437" s="10"/>
      <c r="M8437" s="10"/>
      <c r="N8437" s="10"/>
      <c r="O8437" s="10"/>
      <c r="P8437" s="10"/>
      <c r="Q8437" s="10"/>
      <c r="R8437" s="10"/>
      <c r="S8437" s="10"/>
      <c r="T8437" s="10"/>
      <c r="U8437" s="10"/>
      <c r="V8437" s="10"/>
      <c r="W8437" s="10"/>
      <c r="X8437" s="10"/>
      <c r="Y8437" s="10"/>
      <c r="Z8437" s="10"/>
    </row>
    <row r="8438" spans="1:26" ht="12.75">
      <c r="A8438" s="10"/>
      <c r="B8438" s="10"/>
      <c r="C8438" s="10"/>
      <c r="D8438" s="10"/>
      <c r="E8438" s="10"/>
      <c r="F8438" s="10"/>
      <c r="G8438" s="10"/>
      <c r="H8438" s="10"/>
      <c r="I8438" s="10"/>
      <c r="J8438" s="10"/>
      <c r="K8438" s="10"/>
      <c r="L8438" s="10"/>
      <c r="M8438" s="10"/>
      <c r="N8438" s="10"/>
      <c r="O8438" s="10"/>
      <c r="P8438" s="10"/>
      <c r="Q8438" s="10"/>
      <c r="R8438" s="10"/>
      <c r="S8438" s="10"/>
      <c r="T8438" s="10"/>
      <c r="U8438" s="10"/>
      <c r="V8438" s="10"/>
      <c r="W8438" s="10"/>
      <c r="X8438" s="10"/>
      <c r="Y8438" s="10"/>
      <c r="Z8438" s="10"/>
    </row>
    <row r="8439" spans="1:26" ht="12.75">
      <c r="A8439" s="10"/>
      <c r="B8439" s="10"/>
      <c r="C8439" s="10"/>
      <c r="D8439" s="10"/>
      <c r="E8439" s="10"/>
      <c r="F8439" s="10"/>
      <c r="G8439" s="10"/>
      <c r="H8439" s="10"/>
      <c r="I8439" s="10"/>
      <c r="J8439" s="10"/>
      <c r="K8439" s="10"/>
      <c r="L8439" s="10"/>
      <c r="M8439" s="10"/>
      <c r="N8439" s="10"/>
      <c r="O8439" s="10"/>
      <c r="P8439" s="10"/>
      <c r="Q8439" s="10"/>
      <c r="R8439" s="10"/>
      <c r="S8439" s="10"/>
      <c r="T8439" s="10"/>
      <c r="U8439" s="10"/>
      <c r="V8439" s="10"/>
      <c r="W8439" s="10"/>
      <c r="X8439" s="10"/>
      <c r="Y8439" s="10"/>
      <c r="Z8439" s="10"/>
    </row>
    <row r="8440" spans="1:26" ht="12.75">
      <c r="A8440" s="10"/>
      <c r="B8440" s="10"/>
      <c r="C8440" s="10"/>
      <c r="D8440" s="10"/>
      <c r="E8440" s="10"/>
      <c r="F8440" s="10"/>
      <c r="G8440" s="10"/>
      <c r="H8440" s="10"/>
      <c r="I8440" s="10"/>
      <c r="J8440" s="10"/>
      <c r="K8440" s="10"/>
      <c r="L8440" s="10"/>
      <c r="M8440" s="10"/>
      <c r="N8440" s="10"/>
      <c r="O8440" s="10"/>
      <c r="P8440" s="10"/>
      <c r="Q8440" s="10"/>
      <c r="R8440" s="10"/>
      <c r="S8440" s="10"/>
      <c r="T8440" s="10"/>
      <c r="U8440" s="10"/>
      <c r="V8440" s="10"/>
      <c r="W8440" s="10"/>
      <c r="X8440" s="10"/>
      <c r="Y8440" s="10"/>
      <c r="Z8440" s="10"/>
    </row>
    <row r="8441" spans="1:26" ht="12.75">
      <c r="A8441" s="10"/>
      <c r="B8441" s="10"/>
      <c r="C8441" s="10"/>
      <c r="D8441" s="10"/>
      <c r="E8441" s="10"/>
      <c r="F8441" s="10"/>
      <c r="G8441" s="10"/>
      <c r="H8441" s="10"/>
      <c r="I8441" s="10"/>
      <c r="J8441" s="10"/>
      <c r="K8441" s="10"/>
      <c r="L8441" s="10"/>
      <c r="M8441" s="10"/>
      <c r="N8441" s="10"/>
      <c r="O8441" s="10"/>
      <c r="P8441" s="10"/>
      <c r="Q8441" s="10"/>
      <c r="R8441" s="10"/>
      <c r="S8441" s="10"/>
      <c r="T8441" s="10"/>
      <c r="U8441" s="10"/>
      <c r="V8441" s="10"/>
      <c r="W8441" s="10"/>
      <c r="X8441" s="10"/>
      <c r="Y8441" s="10"/>
      <c r="Z8441" s="10"/>
    </row>
    <row r="8442" spans="1:26" ht="12.75">
      <c r="A8442" s="10"/>
      <c r="B8442" s="10"/>
      <c r="C8442" s="10"/>
      <c r="D8442" s="10"/>
      <c r="E8442" s="10"/>
      <c r="F8442" s="10"/>
      <c r="G8442" s="10"/>
      <c r="H8442" s="10"/>
      <c r="I8442" s="10"/>
      <c r="J8442" s="10"/>
      <c r="K8442" s="10"/>
      <c r="L8442" s="10"/>
      <c r="M8442" s="10"/>
      <c r="N8442" s="10"/>
      <c r="O8442" s="10"/>
      <c r="P8442" s="10"/>
      <c r="Q8442" s="10"/>
      <c r="R8442" s="10"/>
      <c r="S8442" s="10"/>
      <c r="T8442" s="10"/>
      <c r="U8442" s="10"/>
      <c r="V8442" s="10"/>
      <c r="W8442" s="10"/>
      <c r="X8442" s="10"/>
      <c r="Y8442" s="10"/>
      <c r="Z8442" s="10"/>
    </row>
    <row r="8443" spans="1:26" ht="12.75">
      <c r="A8443" s="10"/>
      <c r="B8443" s="10"/>
      <c r="C8443" s="10"/>
      <c r="D8443" s="10"/>
      <c r="E8443" s="10"/>
      <c r="F8443" s="10"/>
      <c r="G8443" s="10"/>
      <c r="H8443" s="10"/>
      <c r="I8443" s="10"/>
      <c r="J8443" s="10"/>
      <c r="K8443" s="10"/>
      <c r="L8443" s="10"/>
      <c r="M8443" s="10"/>
      <c r="N8443" s="10"/>
      <c r="O8443" s="10"/>
      <c r="P8443" s="10"/>
      <c r="Q8443" s="10"/>
      <c r="R8443" s="10"/>
      <c r="S8443" s="10"/>
      <c r="T8443" s="10"/>
      <c r="U8443" s="10"/>
      <c r="V8443" s="10"/>
      <c r="W8443" s="10"/>
      <c r="X8443" s="10"/>
      <c r="Y8443" s="10"/>
      <c r="Z8443" s="10"/>
    </row>
    <row r="8444" spans="1:26" ht="12.75">
      <c r="A8444" s="10"/>
      <c r="B8444" s="10"/>
      <c r="C8444" s="10"/>
      <c r="D8444" s="10"/>
      <c r="E8444" s="10"/>
      <c r="F8444" s="10"/>
      <c r="G8444" s="10"/>
      <c r="H8444" s="10"/>
      <c r="I8444" s="10"/>
      <c r="J8444" s="10"/>
      <c r="K8444" s="10"/>
      <c r="L8444" s="10"/>
      <c r="M8444" s="10"/>
      <c r="N8444" s="10"/>
      <c r="O8444" s="10"/>
      <c r="P8444" s="10"/>
      <c r="Q8444" s="10"/>
      <c r="R8444" s="10"/>
      <c r="S8444" s="10"/>
      <c r="T8444" s="10"/>
      <c r="U8444" s="10"/>
      <c r="V8444" s="10"/>
      <c r="W8444" s="10"/>
      <c r="X8444" s="10"/>
      <c r="Y8444" s="10"/>
      <c r="Z8444" s="10"/>
    </row>
    <row r="8445" spans="1:26" ht="12.75">
      <c r="A8445" s="10"/>
      <c r="B8445" s="10"/>
      <c r="C8445" s="10"/>
      <c r="D8445" s="10"/>
      <c r="E8445" s="10"/>
      <c r="F8445" s="10"/>
      <c r="G8445" s="10"/>
      <c r="H8445" s="10"/>
      <c r="I8445" s="10"/>
      <c r="J8445" s="10"/>
      <c r="K8445" s="10"/>
      <c r="L8445" s="10"/>
      <c r="M8445" s="10"/>
      <c r="N8445" s="10"/>
      <c r="O8445" s="10"/>
      <c r="P8445" s="10"/>
      <c r="Q8445" s="10"/>
      <c r="R8445" s="10"/>
      <c r="S8445" s="10"/>
      <c r="T8445" s="10"/>
      <c r="U8445" s="10"/>
      <c r="V8445" s="10"/>
      <c r="W8445" s="10"/>
      <c r="X8445" s="10"/>
      <c r="Y8445" s="10"/>
      <c r="Z8445" s="10"/>
    </row>
    <row r="8446" spans="1:26" ht="12.75">
      <c r="A8446" s="10"/>
      <c r="B8446" s="10"/>
      <c r="C8446" s="10"/>
      <c r="D8446" s="10"/>
      <c r="E8446" s="10"/>
      <c r="F8446" s="10"/>
      <c r="G8446" s="10"/>
      <c r="H8446" s="10"/>
      <c r="I8446" s="10"/>
      <c r="J8446" s="10"/>
      <c r="K8446" s="10"/>
      <c r="L8446" s="10"/>
      <c r="M8446" s="10"/>
      <c r="N8446" s="10"/>
      <c r="O8446" s="10"/>
      <c r="P8446" s="10"/>
      <c r="Q8446" s="10"/>
      <c r="R8446" s="10"/>
      <c r="S8446" s="10"/>
      <c r="T8446" s="10"/>
      <c r="U8446" s="10"/>
      <c r="V8446" s="10"/>
      <c r="W8446" s="10"/>
      <c r="X8446" s="10"/>
      <c r="Y8446" s="10"/>
      <c r="Z8446" s="10"/>
    </row>
    <row r="8447" spans="1:26" ht="12.75">
      <c r="A8447" s="10"/>
      <c r="B8447" s="10"/>
      <c r="C8447" s="10"/>
      <c r="D8447" s="10"/>
      <c r="E8447" s="10"/>
      <c r="F8447" s="10"/>
      <c r="G8447" s="10"/>
      <c r="H8447" s="10"/>
      <c r="I8447" s="10"/>
      <c r="J8447" s="10"/>
      <c r="K8447" s="10"/>
      <c r="L8447" s="10"/>
      <c r="M8447" s="10"/>
      <c r="N8447" s="10"/>
      <c r="O8447" s="10"/>
      <c r="P8447" s="10"/>
      <c r="Q8447" s="10"/>
      <c r="R8447" s="10"/>
      <c r="S8447" s="10"/>
      <c r="T8447" s="10"/>
      <c r="U8447" s="10"/>
      <c r="V8447" s="10"/>
      <c r="W8447" s="10"/>
      <c r="X8447" s="10"/>
      <c r="Y8447" s="10"/>
      <c r="Z8447" s="10"/>
    </row>
    <row r="8448" spans="1:26" ht="12.75">
      <c r="A8448" s="10"/>
      <c r="B8448" s="10"/>
      <c r="C8448" s="10"/>
      <c r="D8448" s="10"/>
      <c r="E8448" s="10"/>
      <c r="F8448" s="10"/>
      <c r="G8448" s="10"/>
      <c r="H8448" s="10"/>
      <c r="I8448" s="10"/>
      <c r="J8448" s="10"/>
      <c r="K8448" s="10"/>
      <c r="L8448" s="10"/>
      <c r="M8448" s="10"/>
      <c r="N8448" s="10"/>
      <c r="O8448" s="10"/>
      <c r="P8448" s="10"/>
      <c r="Q8448" s="10"/>
      <c r="R8448" s="10"/>
      <c r="S8448" s="10"/>
      <c r="T8448" s="10"/>
      <c r="U8448" s="10"/>
      <c r="V8448" s="10"/>
      <c r="W8448" s="10"/>
      <c r="X8448" s="10"/>
      <c r="Y8448" s="10"/>
      <c r="Z8448" s="10"/>
    </row>
    <row r="8449" spans="1:26" ht="12.75">
      <c r="A8449" s="10"/>
      <c r="B8449" s="10"/>
      <c r="C8449" s="10"/>
      <c r="D8449" s="10"/>
      <c r="E8449" s="10"/>
      <c r="F8449" s="10"/>
      <c r="G8449" s="10"/>
      <c r="H8449" s="10"/>
      <c r="I8449" s="10"/>
      <c r="J8449" s="10"/>
      <c r="K8449" s="10"/>
      <c r="L8449" s="10"/>
      <c r="M8449" s="10"/>
      <c r="N8449" s="10"/>
      <c r="O8449" s="10"/>
      <c r="P8449" s="10"/>
      <c r="Q8449" s="10"/>
      <c r="R8449" s="10"/>
      <c r="S8449" s="10"/>
      <c r="T8449" s="10"/>
      <c r="U8449" s="10"/>
      <c r="V8449" s="10"/>
      <c r="W8449" s="10"/>
      <c r="X8449" s="10"/>
      <c r="Y8449" s="10"/>
      <c r="Z8449" s="10"/>
    </row>
    <row r="8450" spans="1:26" ht="12.75">
      <c r="A8450" s="10"/>
      <c r="B8450" s="10"/>
      <c r="C8450" s="10"/>
      <c r="D8450" s="10"/>
      <c r="E8450" s="10"/>
      <c r="F8450" s="10"/>
      <c r="G8450" s="10"/>
      <c r="H8450" s="10"/>
      <c r="I8450" s="10"/>
      <c r="J8450" s="10"/>
      <c r="K8450" s="10"/>
      <c r="L8450" s="10"/>
      <c r="M8450" s="10"/>
      <c r="N8450" s="10"/>
      <c r="O8450" s="10"/>
      <c r="P8450" s="10"/>
      <c r="Q8450" s="10"/>
      <c r="R8450" s="10"/>
      <c r="S8450" s="10"/>
      <c r="T8450" s="10"/>
      <c r="U8450" s="10"/>
      <c r="V8450" s="10"/>
      <c r="W8450" s="10"/>
      <c r="X8450" s="10"/>
      <c r="Y8450" s="10"/>
      <c r="Z8450" s="10"/>
    </row>
    <row r="8451" spans="1:26" ht="12.75">
      <c r="A8451" s="10"/>
      <c r="B8451" s="10"/>
      <c r="C8451" s="10"/>
      <c r="D8451" s="10"/>
      <c r="E8451" s="10"/>
      <c r="F8451" s="10"/>
      <c r="G8451" s="10"/>
      <c r="H8451" s="10"/>
      <c r="I8451" s="10"/>
      <c r="J8451" s="10"/>
      <c r="K8451" s="10"/>
      <c r="L8451" s="10"/>
      <c r="M8451" s="10"/>
      <c r="N8451" s="10"/>
      <c r="O8451" s="10"/>
      <c r="P8451" s="10"/>
      <c r="Q8451" s="10"/>
      <c r="R8451" s="10"/>
      <c r="S8451" s="10"/>
      <c r="T8451" s="10"/>
      <c r="U8451" s="10"/>
      <c r="V8451" s="10"/>
      <c r="W8451" s="10"/>
      <c r="X8451" s="10"/>
      <c r="Y8451" s="10"/>
      <c r="Z8451" s="10"/>
    </row>
    <row r="8452" spans="1:26" ht="12.75">
      <c r="A8452" s="10"/>
      <c r="B8452" s="10"/>
      <c r="C8452" s="10"/>
      <c r="D8452" s="10"/>
      <c r="E8452" s="10"/>
      <c r="F8452" s="10"/>
      <c r="G8452" s="10"/>
      <c r="H8452" s="10"/>
      <c r="I8452" s="10"/>
      <c r="J8452" s="10"/>
      <c r="K8452" s="10"/>
      <c r="L8452" s="10"/>
      <c r="M8452" s="10"/>
      <c r="N8452" s="10"/>
      <c r="O8452" s="10"/>
      <c r="P8452" s="10"/>
      <c r="Q8452" s="10"/>
      <c r="R8452" s="10"/>
      <c r="S8452" s="10"/>
      <c r="T8452" s="10"/>
      <c r="U8452" s="10"/>
      <c r="V8452" s="10"/>
      <c r="W8452" s="10"/>
      <c r="X8452" s="10"/>
      <c r="Y8452" s="10"/>
      <c r="Z8452" s="10"/>
    </row>
    <row r="8453" spans="1:26" ht="12.75">
      <c r="A8453" s="10"/>
      <c r="B8453" s="10"/>
      <c r="C8453" s="10"/>
      <c r="D8453" s="10"/>
      <c r="E8453" s="10"/>
      <c r="F8453" s="10"/>
      <c r="G8453" s="10"/>
      <c r="H8453" s="10"/>
      <c r="I8453" s="10"/>
      <c r="J8453" s="10"/>
      <c r="K8453" s="10"/>
      <c r="L8453" s="10"/>
      <c r="M8453" s="10"/>
      <c r="N8453" s="10"/>
      <c r="O8453" s="10"/>
      <c r="P8453" s="10"/>
      <c r="Q8453" s="10"/>
      <c r="R8453" s="10"/>
      <c r="S8453" s="10"/>
      <c r="T8453" s="10"/>
      <c r="U8453" s="10"/>
      <c r="V8453" s="10"/>
      <c r="W8453" s="10"/>
      <c r="X8453" s="10"/>
      <c r="Y8453" s="10"/>
      <c r="Z8453" s="10"/>
    </row>
    <row r="8454" spans="1:26" ht="12.75">
      <c r="A8454" s="10"/>
      <c r="B8454" s="10"/>
      <c r="C8454" s="10"/>
      <c r="D8454" s="10"/>
      <c r="E8454" s="10"/>
      <c r="F8454" s="10"/>
      <c r="G8454" s="10"/>
      <c r="H8454" s="10"/>
      <c r="I8454" s="10"/>
      <c r="J8454" s="10"/>
      <c r="K8454" s="10"/>
      <c r="L8454" s="10"/>
      <c r="M8454" s="10"/>
      <c r="N8454" s="10"/>
      <c r="O8454" s="10"/>
      <c r="P8454" s="10"/>
      <c r="Q8454" s="10"/>
      <c r="R8454" s="10"/>
      <c r="S8454" s="10"/>
      <c r="T8454" s="10"/>
      <c r="U8454" s="10"/>
      <c r="V8454" s="10"/>
      <c r="W8454" s="10"/>
      <c r="X8454" s="10"/>
      <c r="Y8454" s="10"/>
      <c r="Z8454" s="10"/>
    </row>
    <row r="8455" spans="1:26" ht="12.75">
      <c r="A8455" s="10"/>
      <c r="B8455" s="10"/>
      <c r="C8455" s="10"/>
      <c r="D8455" s="10"/>
      <c r="E8455" s="10"/>
      <c r="F8455" s="10"/>
      <c r="G8455" s="10"/>
      <c r="H8455" s="10"/>
      <c r="I8455" s="10"/>
      <c r="J8455" s="10"/>
      <c r="K8455" s="10"/>
      <c r="L8455" s="10"/>
      <c r="M8455" s="10"/>
      <c r="N8455" s="10"/>
      <c r="O8455" s="10"/>
      <c r="P8455" s="10"/>
      <c r="Q8455" s="10"/>
      <c r="R8455" s="10"/>
      <c r="S8455" s="10"/>
      <c r="T8455" s="10"/>
      <c r="U8455" s="10"/>
      <c r="V8455" s="10"/>
      <c r="W8455" s="10"/>
      <c r="X8455" s="10"/>
      <c r="Y8455" s="10"/>
      <c r="Z8455" s="10"/>
    </row>
    <row r="8456" spans="1:26" ht="12.75">
      <c r="A8456" s="10"/>
      <c r="B8456" s="10"/>
      <c r="C8456" s="10"/>
      <c r="D8456" s="10"/>
      <c r="E8456" s="10"/>
      <c r="F8456" s="10"/>
      <c r="G8456" s="10"/>
      <c r="H8456" s="10"/>
      <c r="I8456" s="10"/>
      <c r="J8456" s="10"/>
      <c r="K8456" s="10"/>
      <c r="L8456" s="10"/>
      <c r="M8456" s="10"/>
      <c r="N8456" s="10"/>
      <c r="O8456" s="10"/>
      <c r="P8456" s="10"/>
      <c r="Q8456" s="10"/>
      <c r="R8456" s="10"/>
      <c r="S8456" s="10"/>
      <c r="T8456" s="10"/>
      <c r="U8456" s="10"/>
      <c r="V8456" s="10"/>
      <c r="W8456" s="10"/>
      <c r="X8456" s="10"/>
      <c r="Y8456" s="10"/>
      <c r="Z8456" s="10"/>
    </row>
    <row r="8457" spans="1:26" ht="12.75">
      <c r="A8457" s="10"/>
      <c r="B8457" s="10"/>
      <c r="C8457" s="10"/>
      <c r="D8457" s="10"/>
      <c r="E8457" s="10"/>
      <c r="F8457" s="10"/>
      <c r="G8457" s="10"/>
      <c r="H8457" s="10"/>
      <c r="I8457" s="10"/>
      <c r="J8457" s="10"/>
      <c r="K8457" s="10"/>
      <c r="L8457" s="10"/>
      <c r="M8457" s="10"/>
      <c r="N8457" s="10"/>
      <c r="O8457" s="10"/>
      <c r="P8457" s="10"/>
      <c r="Q8457" s="10"/>
      <c r="R8457" s="10"/>
      <c r="S8457" s="10"/>
      <c r="T8457" s="10"/>
      <c r="U8457" s="10"/>
      <c r="V8457" s="10"/>
      <c r="W8457" s="10"/>
      <c r="X8457" s="10"/>
      <c r="Y8457" s="10"/>
      <c r="Z8457" s="10"/>
    </row>
    <row r="8458" spans="1:26" ht="12.75">
      <c r="A8458" s="10"/>
      <c r="B8458" s="10"/>
      <c r="C8458" s="10"/>
      <c r="D8458" s="10"/>
      <c r="E8458" s="10"/>
      <c r="F8458" s="10"/>
      <c r="G8458" s="10"/>
      <c r="H8458" s="10"/>
      <c r="I8458" s="10"/>
      <c r="J8458" s="10"/>
      <c r="K8458" s="10"/>
      <c r="L8458" s="10"/>
      <c r="M8458" s="10"/>
      <c r="N8458" s="10"/>
      <c r="O8458" s="10"/>
      <c r="P8458" s="10"/>
      <c r="Q8458" s="10"/>
      <c r="R8458" s="10"/>
      <c r="S8458" s="10"/>
      <c r="T8458" s="10"/>
      <c r="U8458" s="10"/>
      <c r="V8458" s="10"/>
      <c r="W8458" s="10"/>
      <c r="X8458" s="10"/>
      <c r="Y8458" s="10"/>
      <c r="Z8458" s="10"/>
    </row>
    <row r="8459" spans="1:26" ht="12.75">
      <c r="A8459" s="10"/>
      <c r="B8459" s="10"/>
      <c r="C8459" s="10"/>
      <c r="D8459" s="10"/>
      <c r="E8459" s="10"/>
      <c r="F8459" s="10"/>
      <c r="G8459" s="10"/>
      <c r="H8459" s="10"/>
      <c r="I8459" s="10"/>
      <c r="J8459" s="10"/>
      <c r="K8459" s="10"/>
      <c r="L8459" s="10"/>
      <c r="M8459" s="10"/>
      <c r="N8459" s="10"/>
      <c r="O8459" s="10"/>
      <c r="P8459" s="10"/>
      <c r="Q8459" s="10"/>
      <c r="R8459" s="10"/>
      <c r="S8459" s="10"/>
      <c r="T8459" s="10"/>
      <c r="U8459" s="10"/>
      <c r="V8459" s="10"/>
      <c r="W8459" s="10"/>
      <c r="X8459" s="10"/>
      <c r="Y8459" s="10"/>
      <c r="Z8459" s="10"/>
    </row>
    <row r="8460" spans="1:26" ht="12.75">
      <c r="A8460" s="10"/>
      <c r="B8460" s="10"/>
      <c r="C8460" s="10"/>
      <c r="D8460" s="10"/>
      <c r="E8460" s="10"/>
      <c r="F8460" s="10"/>
      <c r="G8460" s="10"/>
      <c r="H8460" s="10"/>
      <c r="I8460" s="10"/>
      <c r="J8460" s="10"/>
      <c r="K8460" s="10"/>
      <c r="L8460" s="10"/>
      <c r="M8460" s="10"/>
      <c r="N8460" s="10"/>
      <c r="O8460" s="10"/>
      <c r="P8460" s="10"/>
      <c r="Q8460" s="10"/>
      <c r="R8460" s="10"/>
      <c r="S8460" s="10"/>
      <c r="T8460" s="10"/>
      <c r="U8460" s="10"/>
      <c r="V8460" s="10"/>
      <c r="W8460" s="10"/>
      <c r="X8460" s="10"/>
      <c r="Y8460" s="10"/>
      <c r="Z8460" s="10"/>
    </row>
    <row r="8461" spans="1:26" ht="12.75">
      <c r="A8461" s="10"/>
      <c r="B8461" s="10"/>
      <c r="C8461" s="10"/>
      <c r="D8461" s="10"/>
      <c r="E8461" s="10"/>
      <c r="F8461" s="10"/>
      <c r="G8461" s="10"/>
      <c r="H8461" s="10"/>
      <c r="I8461" s="10"/>
      <c r="J8461" s="10"/>
      <c r="K8461" s="10"/>
      <c r="L8461" s="10"/>
      <c r="M8461" s="10"/>
      <c r="N8461" s="10"/>
      <c r="O8461" s="10"/>
      <c r="P8461" s="10"/>
      <c r="Q8461" s="10"/>
      <c r="R8461" s="10"/>
      <c r="S8461" s="10"/>
      <c r="T8461" s="10"/>
      <c r="U8461" s="10"/>
      <c r="V8461" s="10"/>
      <c r="W8461" s="10"/>
      <c r="X8461" s="10"/>
      <c r="Y8461" s="10"/>
      <c r="Z8461" s="10"/>
    </row>
    <row r="8462" spans="1:26" ht="12.75">
      <c r="A8462" s="10"/>
      <c r="B8462" s="10"/>
      <c r="C8462" s="10"/>
      <c r="D8462" s="10"/>
      <c r="E8462" s="10"/>
      <c r="F8462" s="10"/>
      <c r="G8462" s="10"/>
      <c r="H8462" s="10"/>
      <c r="I8462" s="10"/>
      <c r="J8462" s="10"/>
      <c r="K8462" s="10"/>
      <c r="L8462" s="10"/>
      <c r="M8462" s="10"/>
      <c r="N8462" s="10"/>
      <c r="O8462" s="10"/>
      <c r="P8462" s="10"/>
      <c r="Q8462" s="10"/>
      <c r="R8462" s="10"/>
      <c r="S8462" s="10"/>
      <c r="T8462" s="10"/>
      <c r="U8462" s="10"/>
      <c r="V8462" s="10"/>
      <c r="W8462" s="10"/>
      <c r="X8462" s="10"/>
      <c r="Y8462" s="10"/>
      <c r="Z8462" s="10"/>
    </row>
    <row r="8463" spans="1:26" ht="12.75">
      <c r="A8463" s="10"/>
      <c r="B8463" s="10"/>
      <c r="C8463" s="10"/>
      <c r="D8463" s="10"/>
      <c r="E8463" s="10"/>
      <c r="F8463" s="10"/>
      <c r="G8463" s="10"/>
      <c r="H8463" s="10"/>
      <c r="I8463" s="10"/>
      <c r="J8463" s="10"/>
      <c r="K8463" s="10"/>
      <c r="L8463" s="10"/>
      <c r="M8463" s="10"/>
      <c r="N8463" s="10"/>
      <c r="O8463" s="10"/>
      <c r="P8463" s="10"/>
      <c r="Q8463" s="10"/>
      <c r="R8463" s="10"/>
      <c r="S8463" s="10"/>
      <c r="T8463" s="10"/>
      <c r="U8463" s="10"/>
      <c r="V8463" s="10"/>
      <c r="W8463" s="10"/>
      <c r="X8463" s="10"/>
      <c r="Y8463" s="10"/>
      <c r="Z8463" s="10"/>
    </row>
    <row r="8464" spans="1:26" ht="12.75">
      <c r="A8464" s="10"/>
      <c r="B8464" s="10"/>
      <c r="C8464" s="10"/>
      <c r="D8464" s="10"/>
      <c r="E8464" s="10"/>
      <c r="F8464" s="10"/>
      <c r="G8464" s="10"/>
      <c r="H8464" s="10"/>
      <c r="I8464" s="10"/>
      <c r="J8464" s="10"/>
      <c r="K8464" s="10"/>
      <c r="L8464" s="10"/>
      <c r="M8464" s="10"/>
      <c r="N8464" s="10"/>
      <c r="O8464" s="10"/>
      <c r="P8464" s="10"/>
      <c r="Q8464" s="10"/>
      <c r="R8464" s="10"/>
      <c r="S8464" s="10"/>
      <c r="T8464" s="10"/>
      <c r="U8464" s="10"/>
      <c r="V8464" s="10"/>
      <c r="W8464" s="10"/>
      <c r="X8464" s="10"/>
      <c r="Y8464" s="10"/>
      <c r="Z8464" s="10"/>
    </row>
    <row r="8465" spans="1:26" ht="12.75">
      <c r="A8465" s="10"/>
      <c r="B8465" s="10"/>
      <c r="C8465" s="10"/>
      <c r="D8465" s="10"/>
      <c r="E8465" s="10"/>
      <c r="F8465" s="10"/>
      <c r="G8465" s="10"/>
      <c r="H8465" s="10"/>
      <c r="I8465" s="10"/>
      <c r="J8465" s="10"/>
      <c r="K8465" s="10"/>
      <c r="L8465" s="10"/>
      <c r="M8465" s="10"/>
      <c r="N8465" s="10"/>
      <c r="O8465" s="10"/>
      <c r="P8465" s="10"/>
      <c r="Q8465" s="10"/>
      <c r="R8465" s="10"/>
      <c r="S8465" s="10"/>
      <c r="T8465" s="10"/>
      <c r="U8465" s="10"/>
      <c r="V8465" s="10"/>
      <c r="W8465" s="10"/>
      <c r="X8465" s="10"/>
      <c r="Y8465" s="10"/>
      <c r="Z8465" s="10"/>
    </row>
    <row r="8466" spans="1:26" ht="12.75">
      <c r="A8466" s="10"/>
      <c r="B8466" s="10"/>
      <c r="C8466" s="10"/>
      <c r="D8466" s="10"/>
      <c r="E8466" s="10"/>
      <c r="F8466" s="10"/>
      <c r="G8466" s="10"/>
      <c r="H8466" s="10"/>
      <c r="I8466" s="10"/>
      <c r="J8466" s="10"/>
      <c r="K8466" s="10"/>
      <c r="L8466" s="10"/>
      <c r="M8466" s="10"/>
      <c r="N8466" s="10"/>
      <c r="O8466" s="10"/>
      <c r="P8466" s="10"/>
      <c r="Q8466" s="10"/>
      <c r="R8466" s="10"/>
      <c r="S8466" s="10"/>
      <c r="T8466" s="10"/>
      <c r="U8466" s="10"/>
      <c r="V8466" s="10"/>
      <c r="W8466" s="10"/>
      <c r="X8466" s="10"/>
      <c r="Y8466" s="10"/>
      <c r="Z8466" s="10"/>
    </row>
    <row r="8467" spans="1:26" ht="12.75">
      <c r="A8467" s="10"/>
      <c r="B8467" s="10"/>
      <c r="C8467" s="10"/>
      <c r="D8467" s="10"/>
      <c r="E8467" s="10"/>
      <c r="F8467" s="10"/>
      <c r="G8467" s="10"/>
      <c r="H8467" s="10"/>
      <c r="I8467" s="10"/>
      <c r="J8467" s="10"/>
      <c r="K8467" s="10"/>
      <c r="L8467" s="10"/>
      <c r="M8467" s="10"/>
      <c r="N8467" s="10"/>
      <c r="O8467" s="10"/>
      <c r="P8467" s="10"/>
      <c r="Q8467" s="10"/>
      <c r="R8467" s="10"/>
      <c r="S8467" s="10"/>
      <c r="T8467" s="10"/>
      <c r="U8467" s="10"/>
      <c r="V8467" s="10"/>
      <c r="W8467" s="10"/>
      <c r="X8467" s="10"/>
      <c r="Y8467" s="10"/>
      <c r="Z8467" s="10"/>
    </row>
    <row r="8468" spans="1:26" ht="12.75">
      <c r="A8468" s="10"/>
      <c r="B8468" s="10"/>
      <c r="C8468" s="10"/>
      <c r="D8468" s="10"/>
      <c r="E8468" s="10"/>
      <c r="F8468" s="10"/>
      <c r="G8468" s="10"/>
      <c r="H8468" s="10"/>
      <c r="I8468" s="10"/>
      <c r="J8468" s="10"/>
      <c r="K8468" s="10"/>
      <c r="L8468" s="10"/>
      <c r="M8468" s="10"/>
      <c r="N8468" s="10"/>
      <c r="O8468" s="10"/>
      <c r="P8468" s="10"/>
      <c r="Q8468" s="10"/>
      <c r="R8468" s="10"/>
      <c r="S8468" s="10"/>
      <c r="T8468" s="10"/>
      <c r="U8468" s="10"/>
      <c r="V8468" s="10"/>
      <c r="W8468" s="10"/>
      <c r="X8468" s="10"/>
      <c r="Y8468" s="10"/>
      <c r="Z8468" s="10"/>
    </row>
    <row r="8469" spans="1:26" ht="12.75">
      <c r="A8469" s="10"/>
      <c r="B8469" s="10"/>
      <c r="C8469" s="10"/>
      <c r="D8469" s="10"/>
      <c r="E8469" s="10"/>
      <c r="F8469" s="10"/>
      <c r="G8469" s="10"/>
      <c r="H8469" s="10"/>
      <c r="I8469" s="10"/>
      <c r="J8469" s="10"/>
      <c r="K8469" s="10"/>
      <c r="L8469" s="10"/>
      <c r="M8469" s="10"/>
      <c r="N8469" s="10"/>
      <c r="O8469" s="10"/>
      <c r="P8469" s="10"/>
      <c r="Q8469" s="10"/>
      <c r="R8469" s="10"/>
      <c r="S8469" s="10"/>
      <c r="T8469" s="10"/>
      <c r="U8469" s="10"/>
      <c r="V8469" s="10"/>
      <c r="W8469" s="10"/>
      <c r="X8469" s="10"/>
      <c r="Y8469" s="10"/>
      <c r="Z8469" s="10"/>
    </row>
    <row r="8470" spans="1:26" ht="12.75">
      <c r="A8470" s="10"/>
      <c r="B8470" s="10"/>
      <c r="C8470" s="10"/>
      <c r="D8470" s="10"/>
      <c r="E8470" s="10"/>
      <c r="F8470" s="10"/>
      <c r="G8470" s="10"/>
      <c r="H8470" s="10"/>
      <c r="I8470" s="10"/>
      <c r="J8470" s="10"/>
      <c r="K8470" s="10"/>
      <c r="L8470" s="10"/>
      <c r="M8470" s="10"/>
      <c r="N8470" s="10"/>
      <c r="O8470" s="10"/>
      <c r="P8470" s="10"/>
      <c r="Q8470" s="10"/>
      <c r="R8470" s="10"/>
      <c r="S8470" s="10"/>
      <c r="T8470" s="10"/>
      <c r="U8470" s="10"/>
      <c r="V8470" s="10"/>
      <c r="W8470" s="10"/>
      <c r="X8470" s="10"/>
      <c r="Y8470" s="10"/>
      <c r="Z8470" s="10"/>
    </row>
    <row r="8471" spans="1:26" ht="12.75">
      <c r="A8471" s="10"/>
      <c r="B8471" s="10"/>
      <c r="C8471" s="10"/>
      <c r="D8471" s="10"/>
      <c r="E8471" s="10"/>
      <c r="F8471" s="10"/>
      <c r="G8471" s="10"/>
      <c r="H8471" s="10"/>
      <c r="I8471" s="10"/>
      <c r="J8471" s="10"/>
      <c r="K8471" s="10"/>
      <c r="L8471" s="10"/>
      <c r="M8471" s="10"/>
      <c r="N8471" s="10"/>
      <c r="O8471" s="10"/>
      <c r="P8471" s="10"/>
      <c r="Q8471" s="10"/>
      <c r="R8471" s="10"/>
      <c r="S8471" s="10"/>
      <c r="T8471" s="10"/>
      <c r="U8471" s="10"/>
      <c r="V8471" s="10"/>
      <c r="W8471" s="10"/>
      <c r="X8471" s="10"/>
      <c r="Y8471" s="10"/>
      <c r="Z8471" s="10"/>
    </row>
    <row r="8472" spans="1:26" ht="12.75">
      <c r="A8472" s="10"/>
      <c r="B8472" s="10"/>
      <c r="C8472" s="10"/>
      <c r="D8472" s="10"/>
      <c r="E8472" s="10"/>
      <c r="F8472" s="10"/>
      <c r="G8472" s="10"/>
      <c r="H8472" s="10"/>
      <c r="I8472" s="10"/>
      <c r="J8472" s="10"/>
      <c r="K8472" s="10"/>
      <c r="L8472" s="10"/>
      <c r="M8472" s="10"/>
      <c r="N8472" s="10"/>
      <c r="O8472" s="10"/>
      <c r="P8472" s="10"/>
      <c r="Q8472" s="10"/>
      <c r="R8472" s="10"/>
      <c r="S8472" s="10"/>
      <c r="T8472" s="10"/>
      <c r="U8472" s="10"/>
      <c r="V8472" s="10"/>
      <c r="W8472" s="10"/>
      <c r="X8472" s="10"/>
      <c r="Y8472" s="10"/>
      <c r="Z8472" s="10"/>
    </row>
    <row r="8473" spans="1:26" ht="12.75">
      <c r="A8473" s="10"/>
      <c r="B8473" s="10"/>
      <c r="C8473" s="10"/>
      <c r="D8473" s="10"/>
      <c r="E8473" s="10"/>
      <c r="F8473" s="10"/>
      <c r="G8473" s="10"/>
      <c r="H8473" s="10"/>
      <c r="I8473" s="10"/>
      <c r="J8473" s="10"/>
      <c r="K8473" s="10"/>
      <c r="L8473" s="10"/>
      <c r="M8473" s="10"/>
      <c r="N8473" s="10"/>
      <c r="O8473" s="10"/>
      <c r="P8473" s="10"/>
      <c r="Q8473" s="10"/>
      <c r="R8473" s="10"/>
      <c r="S8473" s="10"/>
      <c r="T8473" s="10"/>
      <c r="U8473" s="10"/>
      <c r="V8473" s="10"/>
      <c r="W8473" s="10"/>
      <c r="X8473" s="10"/>
      <c r="Y8473" s="10"/>
      <c r="Z8473" s="10"/>
    </row>
    <row r="8474" spans="1:26" ht="12.75">
      <c r="A8474" s="10"/>
      <c r="B8474" s="10"/>
      <c r="C8474" s="10"/>
      <c r="D8474" s="10"/>
      <c r="E8474" s="10"/>
      <c r="F8474" s="10"/>
      <c r="G8474" s="10"/>
      <c r="H8474" s="10"/>
      <c r="I8474" s="10"/>
      <c r="J8474" s="10"/>
      <c r="K8474" s="10"/>
      <c r="L8474" s="10"/>
      <c r="M8474" s="10"/>
      <c r="N8474" s="10"/>
      <c r="O8474" s="10"/>
      <c r="P8474" s="10"/>
      <c r="Q8474" s="10"/>
      <c r="R8474" s="10"/>
      <c r="S8474" s="10"/>
      <c r="T8474" s="10"/>
      <c r="U8474" s="10"/>
      <c r="V8474" s="10"/>
      <c r="W8474" s="10"/>
      <c r="X8474" s="10"/>
      <c r="Y8474" s="10"/>
      <c r="Z8474" s="10"/>
    </row>
    <row r="8475" spans="1:26" ht="12.75">
      <c r="A8475" s="10"/>
      <c r="B8475" s="10"/>
      <c r="C8475" s="10"/>
      <c r="D8475" s="10"/>
      <c r="E8475" s="10"/>
      <c r="F8475" s="10"/>
      <c r="G8475" s="10"/>
      <c r="H8475" s="10"/>
      <c r="I8475" s="10"/>
      <c r="J8475" s="10"/>
      <c r="K8475" s="10"/>
      <c r="L8475" s="10"/>
      <c r="M8475" s="10"/>
      <c r="N8475" s="10"/>
      <c r="O8475" s="10"/>
      <c r="P8475" s="10"/>
      <c r="Q8475" s="10"/>
      <c r="R8475" s="10"/>
      <c r="S8475" s="10"/>
      <c r="T8475" s="10"/>
      <c r="U8475" s="10"/>
      <c r="V8475" s="10"/>
      <c r="W8475" s="10"/>
      <c r="X8475" s="10"/>
      <c r="Y8475" s="10"/>
      <c r="Z8475" s="10"/>
    </row>
    <row r="8476" spans="1:26" ht="12.75">
      <c r="A8476" s="10"/>
      <c r="B8476" s="10"/>
      <c r="C8476" s="10"/>
      <c r="D8476" s="10"/>
      <c r="E8476" s="10"/>
      <c r="F8476" s="10"/>
      <c r="G8476" s="10"/>
      <c r="H8476" s="10"/>
      <c r="I8476" s="10"/>
      <c r="J8476" s="10"/>
      <c r="K8476" s="10"/>
      <c r="L8476" s="10"/>
      <c r="M8476" s="10"/>
      <c r="N8476" s="10"/>
      <c r="O8476" s="10"/>
      <c r="P8476" s="10"/>
      <c r="Q8476" s="10"/>
      <c r="R8476" s="10"/>
      <c r="S8476" s="10"/>
      <c r="T8476" s="10"/>
      <c r="U8476" s="10"/>
      <c r="V8476" s="10"/>
      <c r="W8476" s="10"/>
      <c r="X8476" s="10"/>
      <c r="Y8476" s="10"/>
      <c r="Z8476" s="10"/>
    </row>
    <row r="8477" spans="1:26" ht="12.75">
      <c r="A8477" s="10"/>
      <c r="B8477" s="10"/>
      <c r="C8477" s="10"/>
      <c r="D8477" s="10"/>
      <c r="E8477" s="10"/>
      <c r="F8477" s="10"/>
      <c r="G8477" s="10"/>
      <c r="H8477" s="10"/>
      <c r="I8477" s="10"/>
      <c r="J8477" s="10"/>
      <c r="K8477" s="10"/>
      <c r="L8477" s="10"/>
      <c r="M8477" s="10"/>
      <c r="N8477" s="10"/>
      <c r="O8477" s="10"/>
      <c r="P8477" s="10"/>
      <c r="Q8477" s="10"/>
      <c r="R8477" s="10"/>
      <c r="S8477" s="10"/>
      <c r="T8477" s="10"/>
      <c r="U8477" s="10"/>
      <c r="V8477" s="10"/>
      <c r="W8477" s="10"/>
      <c r="X8477" s="10"/>
      <c r="Y8477" s="10"/>
      <c r="Z8477" s="10"/>
    </row>
    <row r="8478" spans="1:26" ht="12.75">
      <c r="A8478" s="10"/>
      <c r="B8478" s="10"/>
      <c r="C8478" s="10"/>
      <c r="D8478" s="10"/>
      <c r="E8478" s="10"/>
      <c r="F8478" s="10"/>
      <c r="G8478" s="10"/>
      <c r="H8478" s="10"/>
      <c r="I8478" s="10"/>
      <c r="J8478" s="10"/>
      <c r="K8478" s="10"/>
      <c r="L8478" s="10"/>
      <c r="M8478" s="10"/>
      <c r="N8478" s="10"/>
      <c r="O8478" s="10"/>
      <c r="P8478" s="10"/>
      <c r="Q8478" s="10"/>
      <c r="R8478" s="10"/>
      <c r="S8478" s="10"/>
      <c r="T8478" s="10"/>
      <c r="U8478" s="10"/>
      <c r="V8478" s="10"/>
      <c r="W8478" s="10"/>
      <c r="X8478" s="10"/>
      <c r="Y8478" s="10"/>
      <c r="Z8478" s="10"/>
    </row>
    <row r="8479" spans="1:26" ht="12.75">
      <c r="A8479" s="10"/>
      <c r="B8479" s="10"/>
      <c r="C8479" s="10"/>
      <c r="D8479" s="10"/>
      <c r="E8479" s="10"/>
      <c r="F8479" s="10"/>
      <c r="G8479" s="10"/>
      <c r="H8479" s="10"/>
      <c r="I8479" s="10"/>
      <c r="J8479" s="10"/>
      <c r="K8479" s="10"/>
      <c r="L8479" s="10"/>
      <c r="M8479" s="10"/>
      <c r="N8479" s="10"/>
      <c r="O8479" s="10"/>
      <c r="P8479" s="10"/>
      <c r="Q8479" s="10"/>
      <c r="R8479" s="10"/>
      <c r="S8479" s="10"/>
      <c r="T8479" s="10"/>
      <c r="U8479" s="10"/>
      <c r="V8479" s="10"/>
      <c r="W8479" s="10"/>
      <c r="X8479" s="10"/>
      <c r="Y8479" s="10"/>
      <c r="Z8479" s="10"/>
    </row>
    <row r="8480" spans="1:26" ht="12.75">
      <c r="A8480" s="10"/>
      <c r="B8480" s="10"/>
      <c r="C8480" s="10"/>
      <c r="D8480" s="10"/>
      <c r="E8480" s="10"/>
      <c r="F8480" s="10"/>
      <c r="G8480" s="10"/>
      <c r="H8480" s="10"/>
      <c r="I8480" s="10"/>
      <c r="J8480" s="10"/>
      <c r="K8480" s="10"/>
      <c r="L8480" s="10"/>
      <c r="M8480" s="10"/>
      <c r="N8480" s="10"/>
      <c r="O8480" s="10"/>
      <c r="P8480" s="10"/>
      <c r="Q8480" s="10"/>
      <c r="R8480" s="10"/>
      <c r="S8480" s="10"/>
      <c r="T8480" s="10"/>
      <c r="U8480" s="10"/>
      <c r="V8480" s="10"/>
      <c r="W8480" s="10"/>
      <c r="X8480" s="10"/>
      <c r="Y8480" s="10"/>
      <c r="Z8480" s="10"/>
    </row>
    <row r="8481" spans="1:26" ht="12.75">
      <c r="A8481" s="10"/>
      <c r="B8481" s="10"/>
      <c r="C8481" s="10"/>
      <c r="D8481" s="10"/>
      <c r="E8481" s="10"/>
      <c r="F8481" s="10"/>
      <c r="G8481" s="10"/>
      <c r="H8481" s="10"/>
      <c r="I8481" s="10"/>
      <c r="J8481" s="10"/>
      <c r="K8481" s="10"/>
      <c r="L8481" s="10"/>
      <c r="M8481" s="10"/>
      <c r="N8481" s="10"/>
      <c r="O8481" s="10"/>
      <c r="P8481" s="10"/>
      <c r="Q8481" s="10"/>
      <c r="R8481" s="10"/>
      <c r="S8481" s="10"/>
      <c r="T8481" s="10"/>
      <c r="U8481" s="10"/>
      <c r="V8481" s="10"/>
      <c r="W8481" s="10"/>
      <c r="X8481" s="10"/>
      <c r="Y8481" s="10"/>
      <c r="Z8481" s="10"/>
    </row>
    <row r="8482" spans="1:26" ht="12.75">
      <c r="A8482" s="10"/>
      <c r="B8482" s="10"/>
      <c r="C8482" s="10"/>
      <c r="D8482" s="10"/>
      <c r="E8482" s="10"/>
      <c r="F8482" s="10"/>
      <c r="G8482" s="10"/>
      <c r="H8482" s="10"/>
      <c r="I8482" s="10"/>
      <c r="J8482" s="10"/>
      <c r="K8482" s="10"/>
      <c r="L8482" s="10"/>
      <c r="M8482" s="10"/>
      <c r="N8482" s="10"/>
      <c r="O8482" s="10"/>
      <c r="P8482" s="10"/>
      <c r="Q8482" s="10"/>
      <c r="R8482" s="10"/>
      <c r="S8482" s="10"/>
      <c r="T8482" s="10"/>
      <c r="U8482" s="10"/>
      <c r="V8482" s="10"/>
      <c r="W8482" s="10"/>
      <c r="X8482" s="10"/>
      <c r="Y8482" s="10"/>
      <c r="Z8482" s="10"/>
    </row>
    <row r="8483" spans="1:26" ht="12.75">
      <c r="A8483" s="10"/>
      <c r="B8483" s="10"/>
      <c r="C8483" s="10"/>
      <c r="D8483" s="10"/>
      <c r="E8483" s="10"/>
      <c r="F8483" s="10"/>
      <c r="G8483" s="10"/>
      <c r="H8483" s="10"/>
      <c r="I8483" s="10"/>
      <c r="J8483" s="10"/>
      <c r="K8483" s="10"/>
      <c r="L8483" s="10"/>
      <c r="M8483" s="10"/>
      <c r="N8483" s="10"/>
      <c r="O8483" s="10"/>
      <c r="P8483" s="10"/>
      <c r="Q8483" s="10"/>
      <c r="R8483" s="10"/>
      <c r="S8483" s="10"/>
      <c r="T8483" s="10"/>
      <c r="U8483" s="10"/>
      <c r="V8483" s="10"/>
      <c r="W8483" s="10"/>
      <c r="X8483" s="10"/>
      <c r="Y8483" s="10"/>
      <c r="Z8483" s="10"/>
    </row>
    <row r="8484" spans="1:26" ht="12.75">
      <c r="A8484" s="10"/>
      <c r="B8484" s="10"/>
      <c r="C8484" s="10"/>
      <c r="D8484" s="10"/>
      <c r="E8484" s="10"/>
      <c r="F8484" s="10"/>
      <c r="G8484" s="10"/>
      <c r="H8484" s="10"/>
      <c r="I8484" s="10"/>
      <c r="J8484" s="10"/>
      <c r="K8484" s="10"/>
      <c r="L8484" s="10"/>
      <c r="M8484" s="10"/>
      <c r="N8484" s="10"/>
      <c r="O8484" s="10"/>
      <c r="P8484" s="10"/>
      <c r="Q8484" s="10"/>
      <c r="R8484" s="10"/>
      <c r="S8484" s="10"/>
      <c r="T8484" s="10"/>
      <c r="U8484" s="10"/>
      <c r="V8484" s="10"/>
      <c r="W8484" s="10"/>
      <c r="X8484" s="10"/>
      <c r="Y8484" s="10"/>
      <c r="Z8484" s="10"/>
    </row>
    <row r="8485" spans="1:26" ht="12.75">
      <c r="A8485" s="10"/>
      <c r="B8485" s="10"/>
      <c r="C8485" s="10"/>
      <c r="D8485" s="10"/>
      <c r="E8485" s="10"/>
      <c r="F8485" s="10"/>
      <c r="G8485" s="10"/>
      <c r="H8485" s="10"/>
      <c r="I8485" s="10"/>
      <c r="J8485" s="10"/>
      <c r="K8485" s="10"/>
      <c r="L8485" s="10"/>
      <c r="M8485" s="10"/>
      <c r="N8485" s="10"/>
      <c r="O8485" s="10"/>
      <c r="P8485" s="10"/>
      <c r="Q8485" s="10"/>
      <c r="R8485" s="10"/>
      <c r="S8485" s="10"/>
      <c r="T8485" s="10"/>
      <c r="U8485" s="10"/>
      <c r="V8485" s="10"/>
      <c r="W8485" s="10"/>
      <c r="X8485" s="10"/>
      <c r="Y8485" s="10"/>
      <c r="Z8485" s="10"/>
    </row>
    <row r="8486" spans="1:26" ht="12.75">
      <c r="A8486" s="10"/>
      <c r="B8486" s="10"/>
      <c r="C8486" s="10"/>
      <c r="D8486" s="10"/>
      <c r="E8486" s="10"/>
      <c r="F8486" s="10"/>
      <c r="G8486" s="10"/>
      <c r="H8486" s="10"/>
      <c r="I8486" s="10"/>
      <c r="J8486" s="10"/>
      <c r="K8486" s="10"/>
      <c r="L8486" s="10"/>
      <c r="M8486" s="10"/>
      <c r="N8486" s="10"/>
      <c r="O8486" s="10"/>
      <c r="P8486" s="10"/>
      <c r="Q8486" s="10"/>
      <c r="R8486" s="10"/>
      <c r="S8486" s="10"/>
      <c r="T8486" s="10"/>
      <c r="U8486" s="10"/>
      <c r="V8486" s="10"/>
      <c r="W8486" s="10"/>
      <c r="X8486" s="10"/>
      <c r="Y8486" s="10"/>
      <c r="Z8486" s="10"/>
    </row>
    <row r="8487" spans="1:26" ht="12.75">
      <c r="A8487" s="10"/>
      <c r="B8487" s="10"/>
      <c r="C8487" s="10"/>
      <c r="D8487" s="10"/>
      <c r="E8487" s="10"/>
      <c r="F8487" s="10"/>
      <c r="G8487" s="10"/>
      <c r="H8487" s="10"/>
      <c r="I8487" s="10"/>
      <c r="J8487" s="10"/>
      <c r="K8487" s="10"/>
      <c r="L8487" s="10"/>
      <c r="M8487" s="10"/>
      <c r="N8487" s="10"/>
      <c r="O8487" s="10"/>
      <c r="P8487" s="10"/>
      <c r="Q8487" s="10"/>
      <c r="R8487" s="10"/>
      <c r="S8487" s="10"/>
      <c r="T8487" s="10"/>
      <c r="U8487" s="10"/>
      <c r="V8487" s="10"/>
      <c r="W8487" s="10"/>
      <c r="X8487" s="10"/>
      <c r="Y8487" s="10"/>
      <c r="Z8487" s="10"/>
    </row>
    <row r="8488" spans="1:26" ht="12.75">
      <c r="A8488" s="10"/>
      <c r="B8488" s="10"/>
      <c r="C8488" s="10"/>
      <c r="D8488" s="10"/>
      <c r="E8488" s="10"/>
      <c r="F8488" s="10"/>
      <c r="G8488" s="10"/>
      <c r="H8488" s="10"/>
      <c r="I8488" s="10"/>
      <c r="J8488" s="10"/>
      <c r="K8488" s="10"/>
      <c r="L8488" s="10"/>
      <c r="M8488" s="10"/>
      <c r="N8488" s="10"/>
      <c r="O8488" s="10"/>
      <c r="P8488" s="10"/>
      <c r="Q8488" s="10"/>
      <c r="R8488" s="10"/>
      <c r="S8488" s="10"/>
      <c r="T8488" s="10"/>
      <c r="U8488" s="10"/>
      <c r="V8488" s="10"/>
      <c r="W8488" s="10"/>
      <c r="X8488" s="10"/>
      <c r="Y8488" s="10"/>
      <c r="Z8488" s="10"/>
    </row>
    <row r="8489" spans="1:26" ht="12.75">
      <c r="A8489" s="10"/>
      <c r="B8489" s="10"/>
      <c r="C8489" s="10"/>
      <c r="D8489" s="10"/>
      <c r="E8489" s="10"/>
      <c r="F8489" s="10"/>
      <c r="G8489" s="10"/>
      <c r="H8489" s="10"/>
      <c r="I8489" s="10"/>
      <c r="J8489" s="10"/>
      <c r="K8489" s="10"/>
      <c r="L8489" s="10"/>
      <c r="M8489" s="10"/>
      <c r="N8489" s="10"/>
      <c r="O8489" s="10"/>
      <c r="P8489" s="10"/>
      <c r="Q8489" s="10"/>
      <c r="R8489" s="10"/>
      <c r="S8489" s="10"/>
      <c r="T8489" s="10"/>
      <c r="U8489" s="10"/>
      <c r="V8489" s="10"/>
      <c r="W8489" s="10"/>
      <c r="X8489" s="10"/>
      <c r="Y8489" s="10"/>
      <c r="Z8489" s="10"/>
    </row>
    <row r="8490" spans="1:26" ht="12.75">
      <c r="A8490" s="10"/>
      <c r="B8490" s="10"/>
      <c r="C8490" s="10"/>
      <c r="D8490" s="10"/>
      <c r="E8490" s="10"/>
      <c r="F8490" s="10"/>
      <c r="G8490" s="10"/>
      <c r="H8490" s="10"/>
      <c r="I8490" s="10"/>
      <c r="J8490" s="10"/>
      <c r="K8490" s="10"/>
      <c r="L8490" s="10"/>
      <c r="M8490" s="10"/>
      <c r="N8490" s="10"/>
      <c r="O8490" s="10"/>
      <c r="P8490" s="10"/>
      <c r="Q8490" s="10"/>
      <c r="R8490" s="10"/>
      <c r="S8490" s="10"/>
      <c r="T8490" s="10"/>
      <c r="U8490" s="10"/>
      <c r="V8490" s="10"/>
      <c r="W8490" s="10"/>
      <c r="X8490" s="10"/>
      <c r="Y8490" s="10"/>
      <c r="Z8490" s="10"/>
    </row>
    <row r="8491" spans="1:26" ht="12.75">
      <c r="A8491" s="10"/>
      <c r="B8491" s="10"/>
      <c r="C8491" s="10"/>
      <c r="D8491" s="10"/>
      <c r="E8491" s="10"/>
      <c r="F8491" s="10"/>
      <c r="G8491" s="10"/>
      <c r="H8491" s="10"/>
      <c r="I8491" s="10"/>
      <c r="J8491" s="10"/>
      <c r="K8491" s="10"/>
      <c r="L8491" s="10"/>
      <c r="M8491" s="10"/>
      <c r="N8491" s="10"/>
      <c r="O8491" s="10"/>
      <c r="P8491" s="10"/>
      <c r="Q8491" s="10"/>
      <c r="R8491" s="10"/>
      <c r="S8491" s="10"/>
      <c r="T8491" s="10"/>
      <c r="U8491" s="10"/>
      <c r="V8491" s="10"/>
      <c r="W8491" s="10"/>
      <c r="X8491" s="10"/>
      <c r="Y8491" s="10"/>
      <c r="Z8491" s="10"/>
    </row>
    <row r="8492" spans="1:26" ht="12.75">
      <c r="A8492" s="10"/>
      <c r="B8492" s="10"/>
      <c r="C8492" s="10"/>
      <c r="D8492" s="10"/>
      <c r="E8492" s="10"/>
      <c r="F8492" s="10"/>
      <c r="G8492" s="10"/>
      <c r="H8492" s="10"/>
      <c r="I8492" s="10"/>
      <c r="J8492" s="10"/>
      <c r="K8492" s="10"/>
      <c r="L8492" s="10"/>
      <c r="M8492" s="10"/>
      <c r="N8492" s="10"/>
      <c r="O8492" s="10"/>
      <c r="P8492" s="10"/>
      <c r="Q8492" s="10"/>
      <c r="R8492" s="10"/>
      <c r="S8492" s="10"/>
      <c r="T8492" s="10"/>
      <c r="U8492" s="10"/>
      <c r="V8492" s="10"/>
      <c r="W8492" s="10"/>
      <c r="X8492" s="10"/>
      <c r="Y8492" s="10"/>
      <c r="Z8492" s="10"/>
    </row>
    <row r="8493" spans="1:26" ht="12.75">
      <c r="A8493" s="10"/>
      <c r="B8493" s="10"/>
      <c r="C8493" s="10"/>
      <c r="D8493" s="10"/>
      <c r="E8493" s="10"/>
      <c r="F8493" s="10"/>
      <c r="G8493" s="10"/>
      <c r="H8493" s="10"/>
      <c r="I8493" s="10"/>
      <c r="J8493" s="10"/>
      <c r="K8493" s="10"/>
      <c r="L8493" s="10"/>
      <c r="M8493" s="10"/>
      <c r="N8493" s="10"/>
      <c r="O8493" s="10"/>
      <c r="P8493" s="10"/>
      <c r="Q8493" s="10"/>
      <c r="R8493" s="10"/>
      <c r="S8493" s="10"/>
      <c r="T8493" s="10"/>
      <c r="U8493" s="10"/>
      <c r="V8493" s="10"/>
      <c r="W8493" s="10"/>
      <c r="X8493" s="10"/>
      <c r="Y8493" s="10"/>
      <c r="Z8493" s="10"/>
    </row>
    <row r="8494" spans="1:26" ht="12.75">
      <c r="A8494" s="10"/>
      <c r="B8494" s="10"/>
      <c r="C8494" s="10"/>
      <c r="D8494" s="10"/>
      <c r="E8494" s="10"/>
      <c r="F8494" s="10"/>
      <c r="G8494" s="10"/>
      <c r="H8494" s="10"/>
      <c r="I8494" s="10"/>
      <c r="J8494" s="10"/>
      <c r="K8494" s="10"/>
      <c r="L8494" s="10"/>
      <c r="M8494" s="10"/>
      <c r="N8494" s="10"/>
      <c r="O8494" s="10"/>
      <c r="P8494" s="10"/>
      <c r="Q8494" s="10"/>
      <c r="R8494" s="10"/>
      <c r="S8494" s="10"/>
      <c r="T8494" s="10"/>
      <c r="U8494" s="10"/>
      <c r="V8494" s="10"/>
      <c r="W8494" s="10"/>
      <c r="X8494" s="10"/>
      <c r="Y8494" s="10"/>
      <c r="Z8494" s="10"/>
    </row>
    <row r="8495" spans="1:26" ht="12.75">
      <c r="A8495" s="10"/>
      <c r="B8495" s="10"/>
      <c r="C8495" s="10"/>
      <c r="D8495" s="10"/>
      <c r="E8495" s="10"/>
      <c r="F8495" s="10"/>
      <c r="G8495" s="10"/>
      <c r="H8495" s="10"/>
      <c r="I8495" s="10"/>
      <c r="J8495" s="10"/>
      <c r="K8495" s="10"/>
      <c r="L8495" s="10"/>
      <c r="M8495" s="10"/>
      <c r="N8495" s="10"/>
      <c r="O8495" s="10"/>
      <c r="P8495" s="10"/>
      <c r="Q8495" s="10"/>
      <c r="R8495" s="10"/>
      <c r="S8495" s="10"/>
      <c r="T8495" s="10"/>
      <c r="U8495" s="10"/>
      <c r="V8495" s="10"/>
      <c r="W8495" s="10"/>
      <c r="X8495" s="10"/>
      <c r="Y8495" s="10"/>
      <c r="Z8495" s="10"/>
    </row>
    <row r="8496" spans="1:26" ht="12.75">
      <c r="A8496" s="10"/>
      <c r="B8496" s="10"/>
      <c r="C8496" s="10"/>
      <c r="D8496" s="10"/>
      <c r="E8496" s="10"/>
      <c r="F8496" s="10"/>
      <c r="G8496" s="10"/>
      <c r="H8496" s="10"/>
      <c r="I8496" s="10"/>
      <c r="J8496" s="10"/>
      <c r="K8496" s="10"/>
      <c r="L8496" s="10"/>
      <c r="M8496" s="10"/>
      <c r="N8496" s="10"/>
      <c r="O8496" s="10"/>
      <c r="P8496" s="10"/>
      <c r="Q8496" s="10"/>
      <c r="R8496" s="10"/>
      <c r="S8496" s="10"/>
      <c r="T8496" s="10"/>
      <c r="U8496" s="10"/>
      <c r="V8496" s="10"/>
      <c r="W8496" s="10"/>
      <c r="X8496" s="10"/>
      <c r="Y8496" s="10"/>
      <c r="Z8496" s="10"/>
    </row>
    <row r="8497" spans="1:26" ht="12.75">
      <c r="A8497" s="10"/>
      <c r="B8497" s="10"/>
      <c r="C8497" s="10"/>
      <c r="D8497" s="10"/>
      <c r="E8497" s="10"/>
      <c r="F8497" s="10"/>
      <c r="G8497" s="10"/>
      <c r="H8497" s="10"/>
      <c r="I8497" s="10"/>
      <c r="J8497" s="10"/>
      <c r="K8497" s="10"/>
      <c r="L8497" s="10"/>
      <c r="M8497" s="10"/>
      <c r="N8497" s="10"/>
      <c r="O8497" s="10"/>
      <c r="P8497" s="10"/>
      <c r="Q8497" s="10"/>
      <c r="R8497" s="10"/>
      <c r="S8497" s="10"/>
      <c r="T8497" s="10"/>
      <c r="U8497" s="10"/>
      <c r="V8497" s="10"/>
      <c r="W8497" s="10"/>
      <c r="X8497" s="10"/>
      <c r="Y8497" s="10"/>
      <c r="Z8497" s="10"/>
    </row>
    <row r="8498" spans="1:26" ht="12.75">
      <c r="A8498" s="10"/>
      <c r="B8498" s="10"/>
      <c r="C8498" s="10"/>
      <c r="D8498" s="10"/>
      <c r="E8498" s="10"/>
      <c r="F8498" s="10"/>
      <c r="G8498" s="10"/>
      <c r="H8498" s="10"/>
      <c r="I8498" s="10"/>
      <c r="J8498" s="10"/>
      <c r="K8498" s="10"/>
      <c r="L8498" s="10"/>
      <c r="M8498" s="10"/>
      <c r="N8498" s="10"/>
      <c r="O8498" s="10"/>
      <c r="P8498" s="10"/>
      <c r="Q8498" s="10"/>
      <c r="R8498" s="10"/>
      <c r="S8498" s="10"/>
      <c r="T8498" s="10"/>
      <c r="U8498" s="10"/>
      <c r="V8498" s="10"/>
      <c r="W8498" s="10"/>
      <c r="X8498" s="10"/>
      <c r="Y8498" s="10"/>
      <c r="Z8498" s="10"/>
    </row>
    <row r="8499" spans="1:26" ht="12.75">
      <c r="A8499" s="10"/>
      <c r="B8499" s="10"/>
      <c r="C8499" s="10"/>
      <c r="D8499" s="10"/>
      <c r="E8499" s="10"/>
      <c r="F8499" s="10"/>
      <c r="G8499" s="10"/>
      <c r="H8499" s="10"/>
      <c r="I8499" s="10"/>
      <c r="J8499" s="10"/>
      <c r="K8499" s="10"/>
      <c r="L8499" s="10"/>
      <c r="M8499" s="10"/>
      <c r="N8499" s="10"/>
      <c r="O8499" s="10"/>
      <c r="P8499" s="10"/>
      <c r="Q8499" s="10"/>
      <c r="R8499" s="10"/>
      <c r="S8499" s="10"/>
      <c r="T8499" s="10"/>
      <c r="U8499" s="10"/>
      <c r="V8499" s="10"/>
      <c r="W8499" s="10"/>
      <c r="X8499" s="10"/>
      <c r="Y8499" s="10"/>
      <c r="Z8499" s="10"/>
    </row>
    <row r="8500" spans="1:26" ht="12.75">
      <c r="A8500" s="10"/>
      <c r="B8500" s="10"/>
      <c r="C8500" s="10"/>
      <c r="D8500" s="10"/>
      <c r="E8500" s="10"/>
      <c r="F8500" s="10"/>
      <c r="G8500" s="10"/>
      <c r="H8500" s="10"/>
      <c r="I8500" s="10"/>
      <c r="J8500" s="10"/>
      <c r="K8500" s="10"/>
      <c r="L8500" s="10"/>
      <c r="M8500" s="10"/>
      <c r="N8500" s="10"/>
      <c r="O8500" s="10"/>
      <c r="P8500" s="10"/>
      <c r="Q8500" s="10"/>
      <c r="R8500" s="10"/>
      <c r="S8500" s="10"/>
      <c r="T8500" s="10"/>
      <c r="U8500" s="10"/>
      <c r="V8500" s="10"/>
      <c r="W8500" s="10"/>
      <c r="X8500" s="10"/>
      <c r="Y8500" s="10"/>
      <c r="Z8500" s="10"/>
    </row>
    <row r="8501" spans="1:26" ht="12.75">
      <c r="A8501" s="10"/>
      <c r="B8501" s="10"/>
      <c r="C8501" s="10"/>
      <c r="D8501" s="10"/>
      <c r="E8501" s="10"/>
      <c r="F8501" s="10"/>
      <c r="G8501" s="10"/>
      <c r="H8501" s="10"/>
      <c r="I8501" s="10"/>
      <c r="J8501" s="10"/>
      <c r="K8501" s="10"/>
      <c r="L8501" s="10"/>
      <c r="M8501" s="10"/>
      <c r="N8501" s="10"/>
      <c r="O8501" s="10"/>
      <c r="P8501" s="10"/>
      <c r="Q8501" s="10"/>
      <c r="R8501" s="10"/>
      <c r="S8501" s="10"/>
      <c r="T8501" s="10"/>
      <c r="U8501" s="10"/>
      <c r="V8501" s="10"/>
      <c r="W8501" s="10"/>
      <c r="X8501" s="10"/>
      <c r="Y8501" s="10"/>
      <c r="Z8501" s="10"/>
    </row>
    <row r="8502" spans="1:26" ht="12.75">
      <c r="A8502" s="10"/>
      <c r="B8502" s="10"/>
      <c r="C8502" s="10"/>
      <c r="D8502" s="10"/>
      <c r="E8502" s="10"/>
      <c r="F8502" s="10"/>
      <c r="G8502" s="10"/>
      <c r="H8502" s="10"/>
      <c r="I8502" s="10"/>
      <c r="J8502" s="10"/>
      <c r="K8502" s="10"/>
      <c r="L8502" s="10"/>
      <c r="M8502" s="10"/>
      <c r="N8502" s="10"/>
      <c r="O8502" s="10"/>
      <c r="P8502" s="10"/>
      <c r="Q8502" s="10"/>
      <c r="R8502" s="10"/>
      <c r="S8502" s="10"/>
      <c r="T8502" s="10"/>
      <c r="U8502" s="10"/>
      <c r="V8502" s="10"/>
      <c r="W8502" s="10"/>
      <c r="X8502" s="10"/>
      <c r="Y8502" s="10"/>
      <c r="Z8502" s="10"/>
    </row>
    <row r="8503" spans="1:26" ht="12.75">
      <c r="A8503" s="10"/>
      <c r="B8503" s="10"/>
      <c r="C8503" s="10"/>
      <c r="D8503" s="10"/>
      <c r="E8503" s="10"/>
      <c r="F8503" s="10"/>
      <c r="G8503" s="10"/>
      <c r="H8503" s="10"/>
      <c r="I8503" s="10"/>
      <c r="J8503" s="10"/>
      <c r="K8503" s="10"/>
      <c r="L8503" s="10"/>
      <c r="M8503" s="10"/>
      <c r="N8503" s="10"/>
      <c r="O8503" s="10"/>
      <c r="P8503" s="10"/>
      <c r="Q8503" s="10"/>
      <c r="R8503" s="10"/>
      <c r="S8503" s="10"/>
      <c r="T8503" s="10"/>
      <c r="U8503" s="10"/>
      <c r="V8503" s="10"/>
      <c r="W8503" s="10"/>
      <c r="X8503" s="10"/>
      <c r="Y8503" s="10"/>
      <c r="Z8503" s="10"/>
    </row>
    <row r="8504" spans="1:26" ht="12.75">
      <c r="A8504" s="10"/>
      <c r="B8504" s="10"/>
      <c r="C8504" s="10"/>
      <c r="D8504" s="10"/>
      <c r="E8504" s="10"/>
      <c r="F8504" s="10"/>
      <c r="G8504" s="10"/>
      <c r="H8504" s="10"/>
      <c r="I8504" s="10"/>
      <c r="J8504" s="10"/>
      <c r="K8504" s="10"/>
      <c r="L8504" s="10"/>
      <c r="M8504" s="10"/>
      <c r="N8504" s="10"/>
      <c r="O8504" s="10"/>
      <c r="P8504" s="10"/>
      <c r="Q8504" s="10"/>
      <c r="R8504" s="10"/>
      <c r="S8504" s="10"/>
      <c r="T8504" s="10"/>
      <c r="U8504" s="10"/>
      <c r="V8504" s="10"/>
      <c r="W8504" s="10"/>
      <c r="X8504" s="10"/>
      <c r="Y8504" s="10"/>
      <c r="Z8504" s="10"/>
    </row>
    <row r="8505" spans="1:26" ht="12.75">
      <c r="A8505" s="10"/>
      <c r="B8505" s="10"/>
      <c r="C8505" s="10"/>
      <c r="D8505" s="10"/>
      <c r="E8505" s="10"/>
      <c r="F8505" s="10"/>
      <c r="G8505" s="10"/>
      <c r="H8505" s="10"/>
      <c r="I8505" s="10"/>
      <c r="J8505" s="10"/>
      <c r="K8505" s="10"/>
      <c r="L8505" s="10"/>
      <c r="M8505" s="10"/>
      <c r="N8505" s="10"/>
      <c r="O8505" s="10"/>
      <c r="P8505" s="10"/>
      <c r="Q8505" s="10"/>
      <c r="R8505" s="10"/>
      <c r="S8505" s="10"/>
      <c r="T8505" s="10"/>
      <c r="U8505" s="10"/>
      <c r="V8505" s="10"/>
      <c r="W8505" s="10"/>
      <c r="X8505" s="10"/>
      <c r="Y8505" s="10"/>
      <c r="Z8505" s="10"/>
    </row>
    <row r="8506" spans="1:26" ht="12.75">
      <c r="A8506" s="10"/>
      <c r="B8506" s="10"/>
      <c r="C8506" s="10"/>
      <c r="D8506" s="10"/>
      <c r="E8506" s="10"/>
      <c r="F8506" s="10"/>
      <c r="G8506" s="10"/>
      <c r="H8506" s="10"/>
      <c r="I8506" s="10"/>
      <c r="J8506" s="10"/>
      <c r="K8506" s="10"/>
      <c r="L8506" s="10"/>
      <c r="M8506" s="10"/>
      <c r="N8506" s="10"/>
      <c r="O8506" s="10"/>
      <c r="P8506" s="10"/>
      <c r="Q8506" s="10"/>
      <c r="R8506" s="10"/>
      <c r="S8506" s="10"/>
      <c r="T8506" s="10"/>
      <c r="U8506" s="10"/>
      <c r="V8506" s="10"/>
      <c r="W8506" s="10"/>
      <c r="X8506" s="10"/>
      <c r="Y8506" s="10"/>
      <c r="Z8506" s="10"/>
    </row>
    <row r="8507" spans="1:26" ht="12.75">
      <c r="A8507" s="10"/>
      <c r="B8507" s="10"/>
      <c r="C8507" s="10"/>
      <c r="D8507" s="10"/>
      <c r="E8507" s="10"/>
      <c r="F8507" s="10"/>
      <c r="G8507" s="10"/>
      <c r="H8507" s="10"/>
      <c r="I8507" s="10"/>
      <c r="J8507" s="10"/>
      <c r="K8507" s="10"/>
      <c r="L8507" s="10"/>
      <c r="M8507" s="10"/>
      <c r="N8507" s="10"/>
      <c r="O8507" s="10"/>
      <c r="P8507" s="10"/>
      <c r="Q8507" s="10"/>
      <c r="R8507" s="10"/>
      <c r="S8507" s="10"/>
      <c r="T8507" s="10"/>
      <c r="U8507" s="10"/>
      <c r="V8507" s="10"/>
      <c r="W8507" s="10"/>
      <c r="X8507" s="10"/>
      <c r="Y8507" s="10"/>
      <c r="Z8507" s="10"/>
    </row>
    <row r="8508" spans="1:26" ht="12.75">
      <c r="A8508" s="10"/>
      <c r="B8508" s="10"/>
      <c r="C8508" s="10"/>
      <c r="D8508" s="10"/>
      <c r="E8508" s="10"/>
      <c r="F8508" s="10"/>
      <c r="G8508" s="10"/>
      <c r="H8508" s="10"/>
      <c r="I8508" s="10"/>
      <c r="J8508" s="10"/>
      <c r="K8508" s="10"/>
      <c r="L8508" s="10"/>
      <c r="M8508" s="10"/>
      <c r="N8508" s="10"/>
      <c r="O8508" s="10"/>
      <c r="P8508" s="10"/>
      <c r="Q8508" s="10"/>
      <c r="R8508" s="10"/>
      <c r="S8508" s="10"/>
      <c r="T8508" s="10"/>
      <c r="U8508" s="10"/>
      <c r="V8508" s="10"/>
      <c r="W8508" s="10"/>
      <c r="X8508" s="10"/>
      <c r="Y8508" s="10"/>
      <c r="Z8508" s="10"/>
    </row>
    <row r="8509" spans="1:26" ht="12.75">
      <c r="A8509" s="10"/>
      <c r="B8509" s="10"/>
      <c r="C8509" s="10"/>
      <c r="D8509" s="10"/>
      <c r="E8509" s="10"/>
      <c r="F8509" s="10"/>
      <c r="G8509" s="10"/>
      <c r="H8509" s="10"/>
      <c r="I8509" s="10"/>
      <c r="J8509" s="10"/>
      <c r="K8509" s="10"/>
      <c r="L8509" s="10"/>
      <c r="M8509" s="10"/>
      <c r="N8509" s="10"/>
      <c r="O8509" s="10"/>
      <c r="P8509" s="10"/>
      <c r="Q8509" s="10"/>
      <c r="R8509" s="10"/>
      <c r="S8509" s="10"/>
      <c r="T8509" s="10"/>
      <c r="U8509" s="10"/>
      <c r="V8509" s="10"/>
      <c r="W8509" s="10"/>
      <c r="X8509" s="10"/>
      <c r="Y8509" s="10"/>
      <c r="Z8509" s="10"/>
    </row>
    <row r="8510" spans="1:26" ht="12.75">
      <c r="A8510" s="10"/>
      <c r="B8510" s="10"/>
      <c r="C8510" s="10"/>
      <c r="D8510" s="10"/>
      <c r="E8510" s="10"/>
      <c r="F8510" s="10"/>
      <c r="G8510" s="10"/>
      <c r="H8510" s="10"/>
      <c r="I8510" s="10"/>
      <c r="J8510" s="10"/>
      <c r="K8510" s="10"/>
      <c r="L8510" s="10"/>
      <c r="M8510" s="10"/>
      <c r="N8510" s="10"/>
      <c r="O8510" s="10"/>
      <c r="P8510" s="10"/>
      <c r="Q8510" s="10"/>
      <c r="R8510" s="10"/>
      <c r="S8510" s="10"/>
      <c r="T8510" s="10"/>
      <c r="U8510" s="10"/>
      <c r="V8510" s="10"/>
      <c r="W8510" s="10"/>
      <c r="X8510" s="10"/>
      <c r="Y8510" s="10"/>
      <c r="Z8510" s="10"/>
    </row>
    <row r="8511" spans="1:26" ht="12.75">
      <c r="A8511" s="10"/>
      <c r="B8511" s="10"/>
      <c r="C8511" s="10"/>
      <c r="D8511" s="10"/>
      <c r="E8511" s="10"/>
      <c r="F8511" s="10"/>
      <c r="G8511" s="10"/>
      <c r="H8511" s="10"/>
      <c r="I8511" s="10"/>
      <c r="J8511" s="10"/>
      <c r="K8511" s="10"/>
      <c r="L8511" s="10"/>
      <c r="M8511" s="10"/>
      <c r="N8511" s="10"/>
      <c r="O8511" s="10"/>
      <c r="P8511" s="10"/>
      <c r="Q8511" s="10"/>
      <c r="R8511" s="10"/>
      <c r="S8511" s="10"/>
      <c r="T8511" s="10"/>
      <c r="U8511" s="10"/>
      <c r="V8511" s="10"/>
      <c r="W8511" s="10"/>
      <c r="X8511" s="10"/>
      <c r="Y8511" s="10"/>
      <c r="Z8511" s="10"/>
    </row>
    <row r="8512" spans="1:26" ht="12.75">
      <c r="A8512" s="10"/>
      <c r="B8512" s="10"/>
      <c r="C8512" s="10"/>
      <c r="D8512" s="10"/>
      <c r="E8512" s="10"/>
      <c r="F8512" s="10"/>
      <c r="G8512" s="10"/>
      <c r="H8512" s="10"/>
      <c r="I8512" s="10"/>
      <c r="J8512" s="10"/>
      <c r="K8512" s="10"/>
      <c r="L8512" s="10"/>
      <c r="M8512" s="10"/>
      <c r="N8512" s="10"/>
      <c r="O8512" s="10"/>
      <c r="P8512" s="10"/>
      <c r="Q8512" s="10"/>
      <c r="R8512" s="10"/>
      <c r="S8512" s="10"/>
      <c r="T8512" s="10"/>
      <c r="U8512" s="10"/>
      <c r="V8512" s="10"/>
      <c r="W8512" s="10"/>
      <c r="X8512" s="10"/>
      <c r="Y8512" s="10"/>
      <c r="Z8512" s="10"/>
    </row>
    <row r="8513" spans="1:26" ht="12.75">
      <c r="A8513" s="10"/>
      <c r="B8513" s="10"/>
      <c r="C8513" s="10"/>
      <c r="D8513" s="10"/>
      <c r="E8513" s="10"/>
      <c r="F8513" s="10"/>
      <c r="G8513" s="10"/>
      <c r="H8513" s="10"/>
      <c r="I8513" s="10"/>
      <c r="J8513" s="10"/>
      <c r="K8513" s="10"/>
      <c r="L8513" s="10"/>
      <c r="M8513" s="10"/>
      <c r="N8513" s="10"/>
      <c r="O8513" s="10"/>
      <c r="P8513" s="10"/>
      <c r="Q8513" s="10"/>
      <c r="R8513" s="10"/>
      <c r="S8513" s="10"/>
      <c r="T8513" s="10"/>
      <c r="U8513" s="10"/>
      <c r="V8513" s="10"/>
      <c r="W8513" s="10"/>
      <c r="X8513" s="10"/>
      <c r="Y8513" s="10"/>
      <c r="Z8513" s="10"/>
    </row>
    <row r="8514" spans="1:26" ht="12.75">
      <c r="A8514" s="10"/>
      <c r="B8514" s="10"/>
      <c r="C8514" s="10"/>
      <c r="D8514" s="10"/>
      <c r="E8514" s="10"/>
      <c r="F8514" s="10"/>
      <c r="G8514" s="10"/>
      <c r="H8514" s="10"/>
      <c r="I8514" s="10"/>
      <c r="J8514" s="10"/>
      <c r="K8514" s="10"/>
      <c r="L8514" s="10"/>
      <c r="M8514" s="10"/>
      <c r="N8514" s="10"/>
      <c r="O8514" s="10"/>
      <c r="P8514" s="10"/>
      <c r="Q8514" s="10"/>
      <c r="R8514" s="10"/>
      <c r="S8514" s="10"/>
      <c r="T8514" s="10"/>
      <c r="U8514" s="10"/>
      <c r="V8514" s="10"/>
      <c r="W8514" s="10"/>
      <c r="X8514" s="10"/>
      <c r="Y8514" s="10"/>
      <c r="Z8514" s="10"/>
    </row>
    <row r="8515" spans="1:26" ht="12.75">
      <c r="A8515" s="10"/>
      <c r="B8515" s="10"/>
      <c r="C8515" s="10"/>
      <c r="D8515" s="10"/>
      <c r="E8515" s="10"/>
      <c r="F8515" s="10"/>
      <c r="G8515" s="10"/>
      <c r="H8515" s="10"/>
      <c r="I8515" s="10"/>
      <c r="J8515" s="10"/>
      <c r="K8515" s="10"/>
      <c r="L8515" s="10"/>
      <c r="M8515" s="10"/>
      <c r="N8515" s="10"/>
      <c r="O8515" s="10"/>
      <c r="P8515" s="10"/>
      <c r="Q8515" s="10"/>
      <c r="R8515" s="10"/>
      <c r="S8515" s="10"/>
      <c r="T8515" s="10"/>
      <c r="U8515" s="10"/>
      <c r="V8515" s="10"/>
      <c r="W8515" s="10"/>
      <c r="X8515" s="10"/>
      <c r="Y8515" s="10"/>
      <c r="Z8515" s="10"/>
    </row>
    <row r="8516" spans="1:26" ht="12.75">
      <c r="A8516" s="10"/>
      <c r="B8516" s="10"/>
      <c r="C8516" s="10"/>
      <c r="D8516" s="10"/>
      <c r="E8516" s="10"/>
      <c r="F8516" s="10"/>
      <c r="G8516" s="10"/>
      <c r="H8516" s="10"/>
      <c r="I8516" s="10"/>
      <c r="J8516" s="10"/>
      <c r="K8516" s="10"/>
      <c r="L8516" s="10"/>
      <c r="M8516" s="10"/>
      <c r="N8516" s="10"/>
      <c r="O8516" s="10"/>
      <c r="P8516" s="10"/>
      <c r="Q8516" s="10"/>
      <c r="R8516" s="10"/>
      <c r="S8516" s="10"/>
      <c r="T8516" s="10"/>
      <c r="U8516" s="10"/>
      <c r="V8516" s="10"/>
      <c r="W8516" s="10"/>
      <c r="X8516" s="10"/>
      <c r="Y8516" s="10"/>
      <c r="Z8516" s="10"/>
    </row>
    <row r="8517" spans="1:26" ht="12.75">
      <c r="A8517" s="10"/>
      <c r="B8517" s="10"/>
      <c r="C8517" s="10"/>
      <c r="D8517" s="10"/>
      <c r="E8517" s="10"/>
      <c r="F8517" s="10"/>
      <c r="G8517" s="10"/>
      <c r="H8517" s="10"/>
      <c r="I8517" s="10"/>
      <c r="J8517" s="10"/>
      <c r="K8517" s="10"/>
      <c r="L8517" s="10"/>
      <c r="M8517" s="10"/>
      <c r="N8517" s="10"/>
      <c r="O8517" s="10"/>
      <c r="P8517" s="10"/>
      <c r="Q8517" s="10"/>
      <c r="R8517" s="10"/>
      <c r="S8517" s="10"/>
      <c r="T8517" s="10"/>
      <c r="U8517" s="10"/>
      <c r="V8517" s="10"/>
      <c r="W8517" s="10"/>
      <c r="X8517" s="10"/>
      <c r="Y8517" s="10"/>
      <c r="Z8517" s="10"/>
    </row>
    <row r="8518" spans="1:26" ht="12.75">
      <c r="A8518" s="10"/>
      <c r="B8518" s="10"/>
      <c r="C8518" s="10"/>
      <c r="D8518" s="10"/>
      <c r="E8518" s="10"/>
      <c r="F8518" s="10"/>
      <c r="G8518" s="10"/>
      <c r="H8518" s="10"/>
      <c r="I8518" s="10"/>
      <c r="J8518" s="10"/>
      <c r="K8518" s="10"/>
      <c r="L8518" s="10"/>
      <c r="M8518" s="10"/>
      <c r="N8518" s="10"/>
      <c r="O8518" s="10"/>
      <c r="P8518" s="10"/>
      <c r="Q8518" s="10"/>
      <c r="R8518" s="10"/>
      <c r="S8518" s="10"/>
      <c r="T8518" s="10"/>
      <c r="U8518" s="10"/>
      <c r="V8518" s="10"/>
      <c r="W8518" s="10"/>
      <c r="X8518" s="10"/>
      <c r="Y8518" s="10"/>
      <c r="Z8518" s="10"/>
    </row>
    <row r="8519" spans="1:26" ht="12.75">
      <c r="A8519" s="10"/>
      <c r="B8519" s="10"/>
      <c r="C8519" s="10"/>
      <c r="D8519" s="10"/>
      <c r="E8519" s="10"/>
      <c r="F8519" s="10"/>
      <c r="G8519" s="10"/>
      <c r="H8519" s="10"/>
      <c r="I8519" s="10"/>
      <c r="J8519" s="10"/>
      <c r="K8519" s="10"/>
      <c r="L8519" s="10"/>
      <c r="M8519" s="10"/>
      <c r="N8519" s="10"/>
      <c r="O8519" s="10"/>
      <c r="P8519" s="10"/>
      <c r="Q8519" s="10"/>
      <c r="R8519" s="10"/>
      <c r="S8519" s="10"/>
      <c r="T8519" s="10"/>
      <c r="U8519" s="10"/>
      <c r="V8519" s="10"/>
      <c r="W8519" s="10"/>
      <c r="X8519" s="10"/>
      <c r="Y8519" s="10"/>
      <c r="Z8519" s="10"/>
    </row>
    <row r="8520" spans="1:26" ht="12.75">
      <c r="A8520" s="10"/>
      <c r="B8520" s="10"/>
      <c r="C8520" s="10"/>
      <c r="D8520" s="10"/>
      <c r="E8520" s="10"/>
      <c r="F8520" s="10"/>
      <c r="G8520" s="10"/>
      <c r="H8520" s="10"/>
      <c r="I8520" s="10"/>
      <c r="J8520" s="10"/>
      <c r="K8520" s="10"/>
      <c r="L8520" s="10"/>
      <c r="M8520" s="10"/>
      <c r="N8520" s="10"/>
      <c r="O8520" s="10"/>
      <c r="P8520" s="10"/>
      <c r="Q8520" s="10"/>
      <c r="R8520" s="10"/>
      <c r="S8520" s="10"/>
      <c r="T8520" s="10"/>
      <c r="U8520" s="10"/>
      <c r="V8520" s="10"/>
      <c r="W8520" s="10"/>
      <c r="X8520" s="10"/>
      <c r="Y8520" s="10"/>
      <c r="Z8520" s="10"/>
    </row>
    <row r="8521" spans="1:26" ht="12.75">
      <c r="A8521" s="10"/>
      <c r="B8521" s="10"/>
      <c r="C8521" s="10"/>
      <c r="D8521" s="10"/>
      <c r="E8521" s="10"/>
      <c r="F8521" s="10"/>
      <c r="G8521" s="10"/>
      <c r="H8521" s="10"/>
      <c r="I8521" s="10"/>
      <c r="J8521" s="10"/>
      <c r="K8521" s="10"/>
      <c r="L8521" s="10"/>
      <c r="M8521" s="10"/>
      <c r="N8521" s="10"/>
      <c r="O8521" s="10"/>
      <c r="P8521" s="10"/>
      <c r="Q8521" s="10"/>
      <c r="R8521" s="10"/>
      <c r="S8521" s="10"/>
      <c r="T8521" s="10"/>
      <c r="U8521" s="10"/>
      <c r="V8521" s="10"/>
      <c r="W8521" s="10"/>
      <c r="X8521" s="10"/>
      <c r="Y8521" s="10"/>
      <c r="Z8521" s="10"/>
    </row>
    <row r="8522" spans="1:26" ht="12.75">
      <c r="A8522" s="10"/>
      <c r="B8522" s="10"/>
      <c r="C8522" s="10"/>
      <c r="D8522" s="10"/>
      <c r="E8522" s="10"/>
      <c r="F8522" s="10"/>
      <c r="G8522" s="10"/>
      <c r="H8522" s="10"/>
      <c r="I8522" s="10"/>
      <c r="J8522" s="10"/>
      <c r="K8522" s="10"/>
      <c r="L8522" s="10"/>
      <c r="M8522" s="10"/>
      <c r="N8522" s="10"/>
      <c r="O8522" s="10"/>
      <c r="P8522" s="10"/>
      <c r="Q8522" s="10"/>
      <c r="R8522" s="10"/>
      <c r="S8522" s="10"/>
      <c r="T8522" s="10"/>
      <c r="U8522" s="10"/>
      <c r="V8522" s="10"/>
      <c r="W8522" s="10"/>
      <c r="X8522" s="10"/>
      <c r="Y8522" s="10"/>
      <c r="Z8522" s="10"/>
    </row>
    <row r="8523" spans="1:26" ht="12.75">
      <c r="A8523" s="10"/>
      <c r="B8523" s="10"/>
      <c r="C8523" s="10"/>
      <c r="D8523" s="10"/>
      <c r="E8523" s="10"/>
      <c r="F8523" s="10"/>
      <c r="G8523" s="10"/>
      <c r="H8523" s="10"/>
      <c r="I8523" s="10"/>
      <c r="J8523" s="10"/>
      <c r="K8523" s="10"/>
      <c r="L8523" s="10"/>
      <c r="M8523" s="10"/>
      <c r="N8523" s="10"/>
      <c r="O8523" s="10"/>
      <c r="P8523" s="10"/>
      <c r="Q8523" s="10"/>
      <c r="R8523" s="10"/>
      <c r="S8523" s="10"/>
      <c r="T8523" s="10"/>
      <c r="U8523" s="10"/>
      <c r="V8523" s="10"/>
      <c r="W8523" s="10"/>
      <c r="X8523" s="10"/>
      <c r="Y8523" s="10"/>
      <c r="Z8523" s="10"/>
    </row>
    <row r="8524" spans="1:26" ht="12.75">
      <c r="A8524" s="10"/>
      <c r="B8524" s="10"/>
      <c r="C8524" s="10"/>
      <c r="D8524" s="10"/>
      <c r="E8524" s="10"/>
      <c r="F8524" s="10"/>
      <c r="G8524" s="10"/>
      <c r="H8524" s="10"/>
      <c r="I8524" s="10"/>
      <c r="J8524" s="10"/>
      <c r="K8524" s="10"/>
      <c r="L8524" s="10"/>
      <c r="M8524" s="10"/>
      <c r="N8524" s="10"/>
      <c r="O8524" s="10"/>
      <c r="P8524" s="10"/>
      <c r="Q8524" s="10"/>
      <c r="R8524" s="10"/>
      <c r="S8524" s="10"/>
      <c r="T8524" s="10"/>
      <c r="U8524" s="10"/>
      <c r="V8524" s="10"/>
      <c r="W8524" s="10"/>
      <c r="X8524" s="10"/>
      <c r="Y8524" s="10"/>
      <c r="Z8524" s="10"/>
    </row>
    <row r="8525" spans="1:26" ht="12.75">
      <c r="A8525" s="10"/>
      <c r="B8525" s="10"/>
      <c r="C8525" s="10"/>
      <c r="D8525" s="10"/>
      <c r="E8525" s="10"/>
      <c r="F8525" s="10"/>
      <c r="G8525" s="10"/>
      <c r="H8525" s="10"/>
      <c r="I8525" s="10"/>
      <c r="J8525" s="10"/>
      <c r="K8525" s="10"/>
      <c r="L8525" s="10"/>
      <c r="M8525" s="10"/>
      <c r="N8525" s="10"/>
      <c r="O8525" s="10"/>
      <c r="P8525" s="10"/>
      <c r="Q8525" s="10"/>
      <c r="R8525" s="10"/>
      <c r="S8525" s="10"/>
      <c r="T8525" s="10"/>
      <c r="U8525" s="10"/>
      <c r="V8525" s="10"/>
      <c r="W8525" s="10"/>
      <c r="X8525" s="10"/>
      <c r="Y8525" s="10"/>
      <c r="Z8525" s="10"/>
    </row>
    <row r="8526" spans="1:26" ht="12.75">
      <c r="A8526" s="10"/>
      <c r="B8526" s="10"/>
      <c r="C8526" s="10"/>
      <c r="D8526" s="10"/>
      <c r="E8526" s="10"/>
      <c r="F8526" s="10"/>
      <c r="G8526" s="10"/>
      <c r="H8526" s="10"/>
      <c r="I8526" s="10"/>
      <c r="J8526" s="10"/>
      <c r="K8526" s="10"/>
      <c r="L8526" s="10"/>
      <c r="M8526" s="10"/>
      <c r="N8526" s="10"/>
      <c r="O8526" s="10"/>
      <c r="P8526" s="10"/>
      <c r="Q8526" s="10"/>
      <c r="R8526" s="10"/>
      <c r="S8526" s="10"/>
      <c r="T8526" s="10"/>
      <c r="U8526" s="10"/>
      <c r="V8526" s="10"/>
      <c r="W8526" s="10"/>
      <c r="X8526" s="10"/>
      <c r="Y8526" s="10"/>
      <c r="Z8526" s="10"/>
    </row>
    <row r="8527" spans="1:26" ht="12.75">
      <c r="A8527" s="10"/>
      <c r="B8527" s="10"/>
      <c r="C8527" s="10"/>
      <c r="D8527" s="10"/>
      <c r="E8527" s="10"/>
      <c r="F8527" s="10"/>
      <c r="G8527" s="10"/>
      <c r="H8527" s="10"/>
      <c r="I8527" s="10"/>
      <c r="J8527" s="10"/>
      <c r="K8527" s="10"/>
      <c r="L8527" s="10"/>
      <c r="M8527" s="10"/>
      <c r="N8527" s="10"/>
      <c r="O8527" s="10"/>
      <c r="P8527" s="10"/>
      <c r="Q8527" s="10"/>
      <c r="R8527" s="10"/>
      <c r="S8527" s="10"/>
      <c r="T8527" s="10"/>
      <c r="U8527" s="10"/>
      <c r="V8527" s="10"/>
      <c r="W8527" s="10"/>
      <c r="X8527" s="10"/>
      <c r="Y8527" s="10"/>
      <c r="Z8527" s="10"/>
    </row>
    <row r="8528" spans="1:26" ht="12.75">
      <c r="A8528" s="10"/>
      <c r="B8528" s="10"/>
      <c r="C8528" s="10"/>
      <c r="D8528" s="10"/>
      <c r="E8528" s="10"/>
      <c r="F8528" s="10"/>
      <c r="G8528" s="10"/>
      <c r="H8528" s="10"/>
      <c r="I8528" s="10"/>
      <c r="J8528" s="10"/>
      <c r="K8528" s="10"/>
      <c r="L8528" s="10"/>
      <c r="M8528" s="10"/>
      <c r="N8528" s="10"/>
      <c r="O8528" s="10"/>
      <c r="P8528" s="10"/>
      <c r="Q8528" s="10"/>
      <c r="R8528" s="10"/>
      <c r="S8528" s="10"/>
      <c r="T8528" s="10"/>
      <c r="U8528" s="10"/>
      <c r="V8528" s="10"/>
      <c r="W8528" s="10"/>
      <c r="X8528" s="10"/>
      <c r="Y8528" s="10"/>
      <c r="Z8528" s="10"/>
    </row>
    <row r="8529" spans="1:26" ht="12.75">
      <c r="A8529" s="10"/>
      <c r="B8529" s="10"/>
      <c r="C8529" s="10"/>
      <c r="D8529" s="10"/>
      <c r="E8529" s="10"/>
      <c r="F8529" s="10"/>
      <c r="G8529" s="10"/>
      <c r="H8529" s="10"/>
      <c r="I8529" s="10"/>
      <c r="J8529" s="10"/>
      <c r="K8529" s="10"/>
      <c r="L8529" s="10"/>
      <c r="M8529" s="10"/>
      <c r="N8529" s="10"/>
      <c r="O8529" s="10"/>
      <c r="P8529" s="10"/>
      <c r="Q8529" s="10"/>
      <c r="R8529" s="10"/>
      <c r="S8529" s="10"/>
      <c r="T8529" s="10"/>
      <c r="U8529" s="10"/>
      <c r="V8529" s="10"/>
      <c r="W8529" s="10"/>
      <c r="X8529" s="10"/>
      <c r="Y8529" s="10"/>
      <c r="Z8529" s="10"/>
    </row>
    <row r="8530" spans="1:26" ht="12.75">
      <c r="A8530" s="10"/>
      <c r="B8530" s="10"/>
      <c r="C8530" s="10"/>
      <c r="D8530" s="10"/>
      <c r="E8530" s="10"/>
      <c r="F8530" s="10"/>
      <c r="G8530" s="10"/>
      <c r="H8530" s="10"/>
      <c r="I8530" s="10"/>
      <c r="J8530" s="10"/>
      <c r="K8530" s="10"/>
      <c r="L8530" s="10"/>
      <c r="M8530" s="10"/>
      <c r="N8530" s="10"/>
      <c r="O8530" s="10"/>
      <c r="P8530" s="10"/>
      <c r="Q8530" s="10"/>
      <c r="R8530" s="10"/>
      <c r="S8530" s="10"/>
      <c r="T8530" s="10"/>
      <c r="U8530" s="10"/>
      <c r="V8530" s="10"/>
      <c r="W8530" s="10"/>
      <c r="X8530" s="10"/>
      <c r="Y8530" s="10"/>
      <c r="Z8530" s="10"/>
    </row>
    <row r="8531" spans="1:26" ht="12.75">
      <c r="A8531" s="10"/>
      <c r="B8531" s="10"/>
      <c r="C8531" s="10"/>
      <c r="D8531" s="10"/>
      <c r="E8531" s="10"/>
      <c r="F8531" s="10"/>
      <c r="G8531" s="10"/>
      <c r="H8531" s="10"/>
      <c r="I8531" s="10"/>
      <c r="J8531" s="10"/>
      <c r="K8531" s="10"/>
      <c r="L8531" s="10"/>
      <c r="M8531" s="10"/>
      <c r="N8531" s="10"/>
      <c r="O8531" s="10"/>
      <c r="P8531" s="10"/>
      <c r="Q8531" s="10"/>
      <c r="R8531" s="10"/>
      <c r="S8531" s="10"/>
      <c r="T8531" s="10"/>
      <c r="U8531" s="10"/>
      <c r="V8531" s="10"/>
      <c r="W8531" s="10"/>
      <c r="X8531" s="10"/>
      <c r="Y8531" s="10"/>
      <c r="Z8531" s="10"/>
    </row>
    <row r="8532" spans="1:26" ht="12.75">
      <c r="A8532" s="10"/>
      <c r="B8532" s="10"/>
      <c r="C8532" s="10"/>
      <c r="D8532" s="10"/>
      <c r="E8532" s="10"/>
      <c r="F8532" s="10"/>
      <c r="G8532" s="10"/>
      <c r="H8532" s="10"/>
      <c r="I8532" s="10"/>
      <c r="J8532" s="10"/>
      <c r="K8532" s="10"/>
      <c r="L8532" s="10"/>
      <c r="M8532" s="10"/>
      <c r="N8532" s="10"/>
      <c r="O8532" s="10"/>
      <c r="P8532" s="10"/>
      <c r="Q8532" s="10"/>
      <c r="R8532" s="10"/>
      <c r="S8532" s="10"/>
      <c r="T8532" s="10"/>
      <c r="U8532" s="10"/>
      <c r="V8532" s="10"/>
      <c r="W8532" s="10"/>
      <c r="X8532" s="10"/>
      <c r="Y8532" s="10"/>
      <c r="Z8532" s="10"/>
    </row>
    <row r="8533" spans="1:26" ht="12.75">
      <c r="A8533" s="10"/>
      <c r="B8533" s="10"/>
      <c r="C8533" s="10"/>
      <c r="D8533" s="10"/>
      <c r="E8533" s="10"/>
      <c r="F8533" s="10"/>
      <c r="G8533" s="10"/>
      <c r="H8533" s="10"/>
      <c r="I8533" s="10"/>
      <c r="J8533" s="10"/>
      <c r="K8533" s="10"/>
      <c r="L8533" s="10"/>
      <c r="M8533" s="10"/>
      <c r="N8533" s="10"/>
      <c r="O8533" s="10"/>
      <c r="P8533" s="10"/>
      <c r="Q8533" s="10"/>
      <c r="R8533" s="10"/>
      <c r="S8533" s="10"/>
      <c r="T8533" s="10"/>
      <c r="U8533" s="10"/>
      <c r="V8533" s="10"/>
      <c r="W8533" s="10"/>
      <c r="X8533" s="10"/>
      <c r="Y8533" s="10"/>
      <c r="Z8533" s="10"/>
    </row>
    <row r="8534" spans="1:26" ht="12.75">
      <c r="A8534" s="10"/>
      <c r="B8534" s="10"/>
      <c r="C8534" s="10"/>
      <c r="D8534" s="10"/>
      <c r="E8534" s="10"/>
      <c r="F8534" s="10"/>
      <c r="G8534" s="10"/>
      <c r="H8534" s="10"/>
      <c r="I8534" s="10"/>
      <c r="J8534" s="10"/>
      <c r="K8534" s="10"/>
      <c r="L8534" s="10"/>
      <c r="M8534" s="10"/>
      <c r="N8534" s="10"/>
      <c r="O8534" s="10"/>
      <c r="P8534" s="10"/>
      <c r="Q8534" s="10"/>
      <c r="R8534" s="10"/>
      <c r="S8534" s="10"/>
      <c r="T8534" s="10"/>
      <c r="U8534" s="10"/>
      <c r="V8534" s="10"/>
      <c r="W8534" s="10"/>
      <c r="X8534" s="10"/>
      <c r="Y8534" s="10"/>
      <c r="Z8534" s="10"/>
    </row>
    <row r="8535" spans="1:26" ht="12.75">
      <c r="A8535" s="10"/>
      <c r="B8535" s="10"/>
      <c r="C8535" s="10"/>
      <c r="D8535" s="10"/>
      <c r="E8535" s="10"/>
      <c r="F8535" s="10"/>
      <c r="G8535" s="10"/>
      <c r="H8535" s="10"/>
      <c r="I8535" s="10"/>
      <c r="J8535" s="10"/>
      <c r="K8535" s="10"/>
      <c r="L8535" s="10"/>
      <c r="M8535" s="10"/>
      <c r="N8535" s="10"/>
      <c r="O8535" s="10"/>
      <c r="P8535" s="10"/>
      <c r="Q8535" s="10"/>
      <c r="R8535" s="10"/>
      <c r="S8535" s="10"/>
      <c r="T8535" s="10"/>
      <c r="U8535" s="10"/>
      <c r="V8535" s="10"/>
      <c r="W8535" s="10"/>
      <c r="X8535" s="10"/>
      <c r="Y8535" s="10"/>
      <c r="Z8535" s="10"/>
    </row>
    <row r="8536" spans="1:26" ht="12.75">
      <c r="A8536" s="10"/>
      <c r="B8536" s="10"/>
      <c r="C8536" s="10"/>
      <c r="D8536" s="10"/>
      <c r="E8536" s="10"/>
      <c r="F8536" s="10"/>
      <c r="G8536" s="10"/>
      <c r="H8536" s="10"/>
      <c r="I8536" s="10"/>
      <c r="J8536" s="10"/>
      <c r="K8536" s="10"/>
      <c r="L8536" s="10"/>
      <c r="M8536" s="10"/>
      <c r="N8536" s="10"/>
      <c r="O8536" s="10"/>
      <c r="P8536" s="10"/>
      <c r="Q8536" s="10"/>
      <c r="R8536" s="10"/>
      <c r="S8536" s="10"/>
      <c r="T8536" s="10"/>
      <c r="U8536" s="10"/>
      <c r="V8536" s="10"/>
      <c r="W8536" s="10"/>
      <c r="X8536" s="10"/>
      <c r="Y8536" s="10"/>
      <c r="Z8536" s="10"/>
    </row>
    <row r="8537" spans="1:26" ht="12.75">
      <c r="A8537" s="10"/>
      <c r="B8537" s="10"/>
      <c r="C8537" s="10"/>
      <c r="D8537" s="10"/>
      <c r="E8537" s="10"/>
      <c r="F8537" s="10"/>
      <c r="G8537" s="10"/>
      <c r="H8537" s="10"/>
      <c r="I8537" s="10"/>
      <c r="J8537" s="10"/>
      <c r="K8537" s="10"/>
      <c r="L8537" s="10"/>
      <c r="M8537" s="10"/>
      <c r="N8537" s="10"/>
      <c r="O8537" s="10"/>
      <c r="P8537" s="10"/>
      <c r="Q8537" s="10"/>
      <c r="R8537" s="10"/>
      <c r="S8537" s="10"/>
      <c r="T8537" s="10"/>
      <c r="U8537" s="10"/>
      <c r="V8537" s="10"/>
      <c r="W8537" s="10"/>
      <c r="X8537" s="10"/>
      <c r="Y8537" s="10"/>
      <c r="Z8537" s="10"/>
    </row>
    <row r="8538" spans="1:26" ht="12.75">
      <c r="A8538" s="10"/>
      <c r="B8538" s="10"/>
      <c r="C8538" s="10"/>
      <c r="D8538" s="10"/>
      <c r="E8538" s="10"/>
      <c r="F8538" s="10"/>
      <c r="G8538" s="10"/>
      <c r="H8538" s="10"/>
      <c r="I8538" s="10"/>
      <c r="J8538" s="10"/>
      <c r="K8538" s="10"/>
      <c r="L8538" s="10"/>
      <c r="M8538" s="10"/>
      <c r="N8538" s="10"/>
      <c r="O8538" s="10"/>
      <c r="P8538" s="10"/>
      <c r="Q8538" s="10"/>
      <c r="R8538" s="10"/>
      <c r="S8538" s="10"/>
      <c r="T8538" s="10"/>
      <c r="U8538" s="10"/>
      <c r="V8538" s="10"/>
      <c r="W8538" s="10"/>
      <c r="X8538" s="10"/>
      <c r="Y8538" s="10"/>
      <c r="Z8538" s="10"/>
    </row>
    <row r="8539" spans="1:26" ht="12.75">
      <c r="A8539" s="10"/>
      <c r="B8539" s="10"/>
      <c r="C8539" s="10"/>
      <c r="D8539" s="10"/>
      <c r="E8539" s="10"/>
      <c r="F8539" s="10"/>
      <c r="G8539" s="10"/>
      <c r="H8539" s="10"/>
      <c r="I8539" s="10"/>
      <c r="J8539" s="10"/>
      <c r="K8539" s="10"/>
      <c r="L8539" s="10"/>
      <c r="M8539" s="10"/>
      <c r="N8539" s="10"/>
      <c r="O8539" s="10"/>
      <c r="P8539" s="10"/>
      <c r="Q8539" s="10"/>
      <c r="R8539" s="10"/>
      <c r="S8539" s="10"/>
      <c r="T8539" s="10"/>
      <c r="U8539" s="10"/>
      <c r="V8539" s="10"/>
      <c r="W8539" s="10"/>
      <c r="X8539" s="10"/>
      <c r="Y8539" s="10"/>
      <c r="Z8539" s="10"/>
    </row>
    <row r="8540" spans="1:26" ht="12.75">
      <c r="A8540" s="10"/>
      <c r="B8540" s="10"/>
      <c r="C8540" s="10"/>
      <c r="D8540" s="10"/>
      <c r="E8540" s="10"/>
      <c r="F8540" s="10"/>
      <c r="G8540" s="10"/>
      <c r="H8540" s="10"/>
      <c r="I8540" s="10"/>
      <c r="J8540" s="10"/>
      <c r="K8540" s="10"/>
      <c r="L8540" s="10"/>
      <c r="M8540" s="10"/>
      <c r="N8540" s="10"/>
      <c r="O8540" s="10"/>
      <c r="P8540" s="10"/>
      <c r="Q8540" s="10"/>
      <c r="R8540" s="10"/>
      <c r="S8540" s="10"/>
      <c r="T8540" s="10"/>
      <c r="U8540" s="10"/>
      <c r="V8540" s="10"/>
      <c r="W8540" s="10"/>
      <c r="X8540" s="10"/>
      <c r="Y8540" s="10"/>
      <c r="Z8540" s="10"/>
    </row>
    <row r="8541" spans="1:26" ht="12.75">
      <c r="A8541" s="10"/>
      <c r="B8541" s="10"/>
      <c r="C8541" s="10"/>
      <c r="D8541" s="10"/>
      <c r="E8541" s="10"/>
      <c r="F8541" s="10"/>
      <c r="G8541" s="10"/>
      <c r="H8541" s="10"/>
      <c r="I8541" s="10"/>
      <c r="J8541" s="10"/>
      <c r="K8541" s="10"/>
      <c r="L8541" s="10"/>
      <c r="M8541" s="10"/>
      <c r="N8541" s="10"/>
      <c r="O8541" s="10"/>
      <c r="P8541" s="10"/>
      <c r="Q8541" s="10"/>
      <c r="R8541" s="10"/>
      <c r="S8541" s="10"/>
      <c r="T8541" s="10"/>
      <c r="U8541" s="10"/>
      <c r="V8541" s="10"/>
      <c r="W8541" s="10"/>
      <c r="X8541" s="10"/>
      <c r="Y8541" s="10"/>
      <c r="Z8541" s="10"/>
    </row>
    <row r="8542" spans="1:26" ht="12.75">
      <c r="A8542" s="10"/>
      <c r="B8542" s="10"/>
      <c r="C8542" s="10"/>
      <c r="D8542" s="10"/>
      <c r="E8542" s="10"/>
      <c r="F8542" s="10"/>
      <c r="G8542" s="10"/>
      <c r="H8542" s="10"/>
      <c r="I8542" s="10"/>
      <c r="J8542" s="10"/>
      <c r="K8542" s="10"/>
      <c r="L8542" s="10"/>
      <c r="M8542" s="10"/>
      <c r="N8542" s="10"/>
      <c r="O8542" s="10"/>
      <c r="P8542" s="10"/>
      <c r="Q8542" s="10"/>
      <c r="R8542" s="10"/>
      <c r="S8542" s="10"/>
      <c r="T8542" s="10"/>
      <c r="U8542" s="10"/>
      <c r="V8542" s="10"/>
      <c r="W8542" s="10"/>
      <c r="X8542" s="10"/>
      <c r="Y8542" s="10"/>
      <c r="Z8542" s="10"/>
    </row>
    <row r="8543" spans="1:26" ht="12.75">
      <c r="A8543" s="10"/>
      <c r="B8543" s="10"/>
      <c r="C8543" s="10"/>
      <c r="D8543" s="10"/>
      <c r="E8543" s="10"/>
      <c r="F8543" s="10"/>
      <c r="G8543" s="10"/>
      <c r="H8543" s="10"/>
      <c r="I8543" s="10"/>
      <c r="J8543" s="10"/>
      <c r="K8543" s="10"/>
      <c r="L8543" s="10"/>
      <c r="M8543" s="10"/>
      <c r="N8543" s="10"/>
      <c r="O8543" s="10"/>
      <c r="P8543" s="10"/>
      <c r="Q8543" s="10"/>
      <c r="R8543" s="10"/>
      <c r="S8543" s="10"/>
      <c r="T8543" s="10"/>
      <c r="U8543" s="10"/>
      <c r="V8543" s="10"/>
      <c r="W8543" s="10"/>
      <c r="X8543" s="10"/>
      <c r="Y8543" s="10"/>
      <c r="Z8543" s="10"/>
    </row>
    <row r="8544" spans="1:26" ht="12.75">
      <c r="A8544" s="10"/>
      <c r="B8544" s="10"/>
      <c r="C8544" s="10"/>
      <c r="D8544" s="10"/>
      <c r="E8544" s="10"/>
      <c r="F8544" s="10"/>
      <c r="G8544" s="10"/>
      <c r="H8544" s="10"/>
      <c r="I8544" s="10"/>
      <c r="J8544" s="10"/>
      <c r="K8544" s="10"/>
      <c r="L8544" s="10"/>
      <c r="M8544" s="10"/>
      <c r="N8544" s="10"/>
      <c r="O8544" s="10"/>
      <c r="P8544" s="10"/>
      <c r="Q8544" s="10"/>
      <c r="R8544" s="10"/>
      <c r="S8544" s="10"/>
      <c r="T8544" s="10"/>
      <c r="U8544" s="10"/>
      <c r="V8544" s="10"/>
      <c r="W8544" s="10"/>
      <c r="X8544" s="10"/>
      <c r="Y8544" s="10"/>
      <c r="Z8544" s="10"/>
    </row>
    <row r="8545" spans="1:26" ht="12.75">
      <c r="A8545" s="10"/>
      <c r="B8545" s="10"/>
      <c r="C8545" s="10"/>
      <c r="D8545" s="10"/>
      <c r="E8545" s="10"/>
      <c r="F8545" s="10"/>
      <c r="G8545" s="10"/>
      <c r="H8545" s="10"/>
      <c r="I8545" s="10"/>
      <c r="J8545" s="10"/>
      <c r="K8545" s="10"/>
      <c r="L8545" s="10"/>
      <c r="M8545" s="10"/>
      <c r="N8545" s="10"/>
      <c r="O8545" s="10"/>
      <c r="P8545" s="10"/>
      <c r="Q8545" s="10"/>
      <c r="R8545" s="10"/>
      <c r="S8545" s="10"/>
      <c r="T8545" s="10"/>
      <c r="U8545" s="10"/>
      <c r="V8545" s="10"/>
      <c r="W8545" s="10"/>
      <c r="X8545" s="10"/>
      <c r="Y8545" s="10"/>
      <c r="Z8545" s="10"/>
    </row>
    <row r="8546" spans="1:26" ht="12.75">
      <c r="A8546" s="10"/>
      <c r="B8546" s="10"/>
      <c r="C8546" s="10"/>
      <c r="D8546" s="10"/>
      <c r="E8546" s="10"/>
      <c r="F8546" s="10"/>
      <c r="G8546" s="10"/>
      <c r="H8546" s="10"/>
      <c r="I8546" s="10"/>
      <c r="J8546" s="10"/>
      <c r="K8546" s="10"/>
      <c r="L8546" s="10"/>
      <c r="M8546" s="10"/>
      <c r="N8546" s="10"/>
      <c r="O8546" s="10"/>
      <c r="P8546" s="10"/>
      <c r="Q8546" s="10"/>
      <c r="R8546" s="10"/>
      <c r="S8546" s="10"/>
      <c r="T8546" s="10"/>
      <c r="U8546" s="10"/>
      <c r="V8546" s="10"/>
      <c r="W8546" s="10"/>
      <c r="X8546" s="10"/>
      <c r="Y8546" s="10"/>
      <c r="Z8546" s="10"/>
    </row>
    <row r="8547" spans="1:26" ht="12.75">
      <c r="A8547" s="10"/>
      <c r="B8547" s="10"/>
      <c r="C8547" s="10"/>
      <c r="D8547" s="10"/>
      <c r="E8547" s="10"/>
      <c r="F8547" s="10"/>
      <c r="G8547" s="10"/>
      <c r="H8547" s="10"/>
      <c r="I8547" s="10"/>
      <c r="J8547" s="10"/>
      <c r="K8547" s="10"/>
      <c r="L8547" s="10"/>
      <c r="M8547" s="10"/>
      <c r="N8547" s="10"/>
      <c r="O8547" s="10"/>
      <c r="P8547" s="10"/>
      <c r="Q8547" s="10"/>
      <c r="R8547" s="10"/>
      <c r="S8547" s="10"/>
      <c r="T8547" s="10"/>
      <c r="U8547" s="10"/>
      <c r="V8547" s="10"/>
      <c r="W8547" s="10"/>
      <c r="X8547" s="10"/>
      <c r="Y8547" s="10"/>
      <c r="Z8547" s="10"/>
    </row>
    <row r="8548" spans="1:26" ht="12.75">
      <c r="A8548" s="10"/>
      <c r="B8548" s="10"/>
      <c r="C8548" s="10"/>
      <c r="D8548" s="10"/>
      <c r="E8548" s="10"/>
      <c r="F8548" s="10"/>
      <c r="G8548" s="10"/>
      <c r="H8548" s="10"/>
      <c r="I8548" s="10"/>
      <c r="J8548" s="10"/>
      <c r="K8548" s="10"/>
      <c r="L8548" s="10"/>
      <c r="M8548" s="10"/>
      <c r="N8548" s="10"/>
      <c r="O8548" s="10"/>
      <c r="P8548" s="10"/>
      <c r="Q8548" s="10"/>
      <c r="R8548" s="10"/>
      <c r="S8548" s="10"/>
      <c r="T8548" s="10"/>
      <c r="U8548" s="10"/>
      <c r="V8548" s="10"/>
      <c r="W8548" s="10"/>
      <c r="X8548" s="10"/>
      <c r="Y8548" s="10"/>
      <c r="Z8548" s="10"/>
    </row>
    <row r="8549" spans="1:26" ht="12.75">
      <c r="A8549" s="10"/>
      <c r="B8549" s="10"/>
      <c r="C8549" s="10"/>
      <c r="D8549" s="10"/>
      <c r="E8549" s="10"/>
      <c r="F8549" s="10"/>
      <c r="G8549" s="10"/>
      <c r="H8549" s="10"/>
      <c r="I8549" s="10"/>
      <c r="J8549" s="10"/>
      <c r="K8549" s="10"/>
      <c r="L8549" s="10"/>
      <c r="M8549" s="10"/>
      <c r="N8549" s="10"/>
      <c r="O8549" s="10"/>
      <c r="P8549" s="10"/>
      <c r="Q8549" s="10"/>
      <c r="R8549" s="10"/>
      <c r="S8549" s="10"/>
      <c r="T8549" s="10"/>
      <c r="U8549" s="10"/>
      <c r="V8549" s="10"/>
      <c r="W8549" s="10"/>
      <c r="X8549" s="10"/>
      <c r="Y8549" s="10"/>
      <c r="Z8549" s="10"/>
    </row>
    <row r="8550" spans="1:26" ht="12.75">
      <c r="A8550" s="10"/>
      <c r="B8550" s="10"/>
      <c r="C8550" s="10"/>
      <c r="D8550" s="10"/>
      <c r="E8550" s="10"/>
      <c r="F8550" s="10"/>
      <c r="G8550" s="10"/>
      <c r="H8550" s="10"/>
      <c r="I8550" s="10"/>
      <c r="J8550" s="10"/>
      <c r="K8550" s="10"/>
      <c r="L8550" s="10"/>
      <c r="M8550" s="10"/>
      <c r="N8550" s="10"/>
      <c r="O8550" s="10"/>
      <c r="P8550" s="10"/>
      <c r="Q8550" s="10"/>
      <c r="R8550" s="10"/>
      <c r="S8550" s="10"/>
      <c r="T8550" s="10"/>
      <c r="U8550" s="10"/>
      <c r="V8550" s="10"/>
      <c r="W8550" s="10"/>
      <c r="X8550" s="10"/>
      <c r="Y8550" s="10"/>
      <c r="Z8550" s="10"/>
    </row>
    <row r="8551" spans="1:26" ht="12.75">
      <c r="A8551" s="10"/>
      <c r="B8551" s="10"/>
      <c r="C8551" s="10"/>
      <c r="D8551" s="10"/>
      <c r="E8551" s="10"/>
      <c r="F8551" s="10"/>
      <c r="G8551" s="10"/>
      <c r="H8551" s="10"/>
      <c r="I8551" s="10"/>
      <c r="J8551" s="10"/>
      <c r="K8551" s="10"/>
      <c r="L8551" s="10"/>
      <c r="M8551" s="10"/>
      <c r="N8551" s="10"/>
      <c r="O8551" s="10"/>
      <c r="P8551" s="10"/>
      <c r="Q8551" s="10"/>
      <c r="R8551" s="10"/>
      <c r="S8551" s="10"/>
      <c r="T8551" s="10"/>
      <c r="U8551" s="10"/>
      <c r="V8551" s="10"/>
      <c r="W8551" s="10"/>
      <c r="X8551" s="10"/>
      <c r="Y8551" s="10"/>
      <c r="Z8551" s="10"/>
    </row>
    <row r="8552" spans="1:26" ht="12.75">
      <c r="A8552" s="10"/>
      <c r="B8552" s="10"/>
      <c r="C8552" s="10"/>
      <c r="D8552" s="10"/>
      <c r="E8552" s="10"/>
      <c r="F8552" s="10"/>
      <c r="G8552" s="10"/>
      <c r="H8552" s="10"/>
      <c r="I8552" s="10"/>
      <c r="J8552" s="10"/>
      <c r="K8552" s="10"/>
      <c r="L8552" s="10"/>
      <c r="M8552" s="10"/>
      <c r="N8552" s="10"/>
      <c r="O8552" s="10"/>
      <c r="P8552" s="10"/>
      <c r="Q8552" s="10"/>
      <c r="R8552" s="10"/>
      <c r="S8552" s="10"/>
      <c r="T8552" s="10"/>
      <c r="U8552" s="10"/>
      <c r="V8552" s="10"/>
      <c r="W8552" s="10"/>
      <c r="X8552" s="10"/>
      <c r="Y8552" s="10"/>
      <c r="Z8552" s="10"/>
    </row>
    <row r="8553" spans="1:26" ht="12.75">
      <c r="A8553" s="10"/>
      <c r="B8553" s="10"/>
      <c r="C8553" s="10"/>
      <c r="D8553" s="10"/>
      <c r="E8553" s="10"/>
      <c r="F8553" s="10"/>
      <c r="G8553" s="10"/>
      <c r="H8553" s="10"/>
      <c r="I8553" s="10"/>
      <c r="J8553" s="10"/>
      <c r="K8553" s="10"/>
      <c r="L8553" s="10"/>
      <c r="M8553" s="10"/>
      <c r="N8553" s="10"/>
      <c r="O8553" s="10"/>
      <c r="P8553" s="10"/>
      <c r="Q8553" s="10"/>
      <c r="R8553" s="10"/>
      <c r="S8553" s="10"/>
      <c r="T8553" s="10"/>
      <c r="U8553" s="10"/>
      <c r="V8553" s="10"/>
      <c r="W8553" s="10"/>
      <c r="X8553" s="10"/>
      <c r="Y8553" s="10"/>
      <c r="Z8553" s="10"/>
    </row>
    <row r="8554" spans="1:26" ht="12.75">
      <c r="A8554" s="10"/>
      <c r="B8554" s="10"/>
      <c r="C8554" s="10"/>
      <c r="D8554" s="10"/>
      <c r="E8554" s="10"/>
      <c r="F8554" s="10"/>
      <c r="G8554" s="10"/>
      <c r="H8554" s="10"/>
      <c r="I8554" s="10"/>
      <c r="J8554" s="10"/>
      <c r="K8554" s="10"/>
      <c r="L8554" s="10"/>
      <c r="M8554" s="10"/>
      <c r="N8554" s="10"/>
      <c r="O8554" s="10"/>
      <c r="P8554" s="10"/>
      <c r="Q8554" s="10"/>
      <c r="R8554" s="10"/>
      <c r="S8554" s="10"/>
      <c r="T8554" s="10"/>
      <c r="U8554" s="10"/>
      <c r="V8554" s="10"/>
      <c r="W8554" s="10"/>
      <c r="X8554" s="10"/>
      <c r="Y8554" s="10"/>
      <c r="Z8554" s="10"/>
    </row>
    <row r="8555" spans="1:26" ht="12.75">
      <c r="A8555" s="10"/>
      <c r="B8555" s="10"/>
      <c r="C8555" s="10"/>
      <c r="D8555" s="10"/>
      <c r="E8555" s="10"/>
      <c r="F8555" s="10"/>
      <c r="G8555" s="10"/>
      <c r="H8555" s="10"/>
      <c r="I8555" s="10"/>
      <c r="J8555" s="10"/>
      <c r="K8555" s="10"/>
      <c r="L8555" s="10"/>
      <c r="M8555" s="10"/>
      <c r="N8555" s="10"/>
      <c r="O8555" s="10"/>
      <c r="P8555" s="10"/>
      <c r="Q8555" s="10"/>
      <c r="R8555" s="10"/>
      <c r="S8555" s="10"/>
      <c r="T8555" s="10"/>
      <c r="U8555" s="10"/>
      <c r="V8555" s="10"/>
      <c r="W8555" s="10"/>
      <c r="X8555" s="10"/>
      <c r="Y8555" s="10"/>
      <c r="Z8555" s="10"/>
    </row>
    <row r="8556" spans="1:26" ht="12.75">
      <c r="A8556" s="10"/>
      <c r="B8556" s="10"/>
      <c r="C8556" s="10"/>
      <c r="D8556" s="10"/>
      <c r="E8556" s="10"/>
      <c r="F8556" s="10"/>
      <c r="G8556" s="10"/>
      <c r="H8556" s="10"/>
      <c r="I8556" s="10"/>
      <c r="J8556" s="10"/>
      <c r="K8556" s="10"/>
      <c r="L8556" s="10"/>
      <c r="M8556" s="10"/>
      <c r="N8556" s="10"/>
      <c r="O8556" s="10"/>
      <c r="P8556" s="10"/>
      <c r="Q8556" s="10"/>
      <c r="R8556" s="10"/>
      <c r="S8556" s="10"/>
      <c r="T8556" s="10"/>
      <c r="U8556" s="10"/>
      <c r="V8556" s="10"/>
      <c r="W8556" s="10"/>
      <c r="X8556" s="10"/>
      <c r="Y8556" s="10"/>
      <c r="Z8556" s="10"/>
    </row>
    <row r="8557" spans="1:26" ht="12.75">
      <c r="A8557" s="10"/>
      <c r="B8557" s="10"/>
      <c r="C8557" s="10"/>
      <c r="D8557" s="10"/>
      <c r="E8557" s="10"/>
      <c r="F8557" s="10"/>
      <c r="G8557" s="10"/>
      <c r="H8557" s="10"/>
      <c r="I8557" s="10"/>
      <c r="J8557" s="10"/>
      <c r="K8557" s="10"/>
      <c r="L8557" s="10"/>
      <c r="M8557" s="10"/>
      <c r="N8557" s="10"/>
      <c r="O8557" s="10"/>
      <c r="P8557" s="10"/>
      <c r="Q8557" s="10"/>
      <c r="R8557" s="10"/>
      <c r="S8557" s="10"/>
      <c r="T8557" s="10"/>
      <c r="U8557" s="10"/>
      <c r="V8557" s="10"/>
      <c r="W8557" s="10"/>
      <c r="X8557" s="10"/>
      <c r="Y8557" s="10"/>
      <c r="Z8557" s="10"/>
    </row>
    <row r="8558" spans="1:26" ht="12.75">
      <c r="A8558" s="10"/>
      <c r="B8558" s="10"/>
      <c r="C8558" s="10"/>
      <c r="D8558" s="10"/>
      <c r="E8558" s="10"/>
      <c r="F8558" s="10"/>
      <c r="G8558" s="10"/>
      <c r="H8558" s="10"/>
      <c r="I8558" s="10"/>
      <c r="J8558" s="10"/>
      <c r="K8558" s="10"/>
      <c r="L8558" s="10"/>
      <c r="M8558" s="10"/>
      <c r="N8558" s="10"/>
      <c r="O8558" s="10"/>
      <c r="P8558" s="10"/>
      <c r="Q8558" s="10"/>
      <c r="R8558" s="10"/>
      <c r="S8558" s="10"/>
      <c r="T8558" s="10"/>
      <c r="U8558" s="10"/>
      <c r="V8558" s="10"/>
      <c r="W8558" s="10"/>
      <c r="X8558" s="10"/>
      <c r="Y8558" s="10"/>
      <c r="Z8558" s="10"/>
    </row>
    <row r="8559" spans="1:26" ht="12.75">
      <c r="A8559" s="10"/>
      <c r="B8559" s="10"/>
      <c r="C8559" s="10"/>
      <c r="D8559" s="10"/>
      <c r="E8559" s="10"/>
      <c r="F8559" s="10"/>
      <c r="G8559" s="10"/>
      <c r="H8559" s="10"/>
      <c r="I8559" s="10"/>
      <c r="J8559" s="10"/>
      <c r="K8559" s="10"/>
      <c r="L8559" s="10"/>
      <c r="M8559" s="10"/>
      <c r="N8559" s="10"/>
      <c r="O8559" s="10"/>
      <c r="P8559" s="10"/>
      <c r="Q8559" s="10"/>
      <c r="R8559" s="10"/>
      <c r="S8559" s="10"/>
      <c r="T8559" s="10"/>
      <c r="U8559" s="10"/>
      <c r="V8559" s="10"/>
      <c r="W8559" s="10"/>
      <c r="X8559" s="10"/>
      <c r="Y8559" s="10"/>
      <c r="Z8559" s="10"/>
    </row>
    <row r="8560" spans="1:26" ht="12.75">
      <c r="A8560" s="10"/>
      <c r="B8560" s="10"/>
      <c r="C8560" s="10"/>
      <c r="D8560" s="10"/>
      <c r="E8560" s="10"/>
      <c r="F8560" s="10"/>
      <c r="G8560" s="10"/>
      <c r="H8560" s="10"/>
      <c r="I8560" s="10"/>
      <c r="J8560" s="10"/>
      <c r="K8560" s="10"/>
      <c r="L8560" s="10"/>
      <c r="M8560" s="10"/>
      <c r="N8560" s="10"/>
      <c r="O8560" s="10"/>
      <c r="P8560" s="10"/>
      <c r="Q8560" s="10"/>
      <c r="R8560" s="10"/>
      <c r="S8560" s="10"/>
      <c r="T8560" s="10"/>
      <c r="U8560" s="10"/>
      <c r="V8560" s="10"/>
      <c r="W8560" s="10"/>
      <c r="X8560" s="10"/>
      <c r="Y8560" s="10"/>
      <c r="Z8560" s="10"/>
    </row>
    <row r="8561" spans="1:26" ht="12.75">
      <c r="A8561" s="10"/>
      <c r="B8561" s="10"/>
      <c r="C8561" s="10"/>
      <c r="D8561" s="10"/>
      <c r="E8561" s="10"/>
      <c r="F8561" s="10"/>
      <c r="G8561" s="10"/>
      <c r="H8561" s="10"/>
      <c r="I8561" s="10"/>
      <c r="J8561" s="10"/>
      <c r="K8561" s="10"/>
      <c r="L8561" s="10"/>
      <c r="M8561" s="10"/>
      <c r="N8561" s="10"/>
      <c r="O8561" s="10"/>
      <c r="P8561" s="10"/>
      <c r="Q8561" s="10"/>
      <c r="R8561" s="10"/>
      <c r="S8561" s="10"/>
      <c r="T8561" s="10"/>
      <c r="U8561" s="10"/>
      <c r="V8561" s="10"/>
      <c r="W8561" s="10"/>
      <c r="X8561" s="10"/>
      <c r="Y8561" s="10"/>
      <c r="Z8561" s="10"/>
    </row>
    <row r="8562" spans="1:26" ht="12.75">
      <c r="A8562" s="10"/>
      <c r="B8562" s="10"/>
      <c r="C8562" s="10"/>
      <c r="D8562" s="10"/>
      <c r="E8562" s="10"/>
      <c r="F8562" s="10"/>
      <c r="G8562" s="10"/>
      <c r="H8562" s="10"/>
      <c r="I8562" s="10"/>
      <c r="J8562" s="10"/>
      <c r="K8562" s="10"/>
      <c r="L8562" s="10"/>
      <c r="M8562" s="10"/>
      <c r="N8562" s="10"/>
      <c r="O8562" s="10"/>
      <c r="P8562" s="10"/>
      <c r="Q8562" s="10"/>
      <c r="R8562" s="10"/>
      <c r="S8562" s="10"/>
      <c r="T8562" s="10"/>
      <c r="U8562" s="10"/>
      <c r="V8562" s="10"/>
      <c r="W8562" s="10"/>
      <c r="X8562" s="10"/>
      <c r="Y8562" s="10"/>
      <c r="Z8562" s="10"/>
    </row>
    <row r="8563" spans="1:26" ht="12.75">
      <c r="A8563" s="10"/>
      <c r="B8563" s="10"/>
      <c r="C8563" s="10"/>
      <c r="D8563" s="10"/>
      <c r="E8563" s="10"/>
      <c r="F8563" s="10"/>
      <c r="G8563" s="10"/>
      <c r="H8563" s="10"/>
      <c r="I8563" s="10"/>
      <c r="J8563" s="10"/>
      <c r="K8563" s="10"/>
      <c r="L8563" s="10"/>
      <c r="M8563" s="10"/>
      <c r="N8563" s="10"/>
      <c r="O8563" s="10"/>
      <c r="P8563" s="10"/>
      <c r="Q8563" s="10"/>
      <c r="R8563" s="10"/>
      <c r="S8563" s="10"/>
      <c r="T8563" s="10"/>
      <c r="U8563" s="10"/>
      <c r="V8563" s="10"/>
      <c r="W8563" s="10"/>
      <c r="X8563" s="10"/>
      <c r="Y8563" s="10"/>
      <c r="Z8563" s="10"/>
    </row>
    <row r="8564" spans="1:26" ht="12.75">
      <c r="A8564" s="10"/>
      <c r="B8564" s="10"/>
      <c r="C8564" s="10"/>
      <c r="D8564" s="10"/>
      <c r="E8564" s="10"/>
      <c r="F8564" s="10"/>
      <c r="G8564" s="10"/>
      <c r="H8564" s="10"/>
      <c r="I8564" s="10"/>
      <c r="J8564" s="10"/>
      <c r="K8564" s="10"/>
      <c r="L8564" s="10"/>
      <c r="M8564" s="10"/>
      <c r="N8564" s="10"/>
      <c r="O8564" s="10"/>
      <c r="P8564" s="10"/>
      <c r="Q8564" s="10"/>
      <c r="R8564" s="10"/>
      <c r="S8564" s="10"/>
      <c r="T8564" s="10"/>
      <c r="U8564" s="10"/>
      <c r="V8564" s="10"/>
      <c r="W8564" s="10"/>
      <c r="X8564" s="10"/>
      <c r="Y8564" s="10"/>
      <c r="Z8564" s="10"/>
    </row>
    <row r="8565" spans="1:26" ht="12.75">
      <c r="A8565" s="10"/>
      <c r="B8565" s="10"/>
      <c r="C8565" s="10"/>
      <c r="D8565" s="10"/>
      <c r="E8565" s="10"/>
      <c r="F8565" s="10"/>
      <c r="G8565" s="10"/>
      <c r="H8565" s="10"/>
      <c r="I8565" s="10"/>
      <c r="J8565" s="10"/>
      <c r="K8565" s="10"/>
      <c r="L8565" s="10"/>
      <c r="M8565" s="10"/>
      <c r="N8565" s="10"/>
      <c r="O8565" s="10"/>
      <c r="P8565" s="10"/>
      <c r="Q8565" s="10"/>
      <c r="R8565" s="10"/>
      <c r="S8565" s="10"/>
      <c r="T8565" s="10"/>
      <c r="U8565" s="10"/>
      <c r="V8565" s="10"/>
      <c r="W8565" s="10"/>
      <c r="X8565" s="10"/>
      <c r="Y8565" s="10"/>
      <c r="Z8565" s="10"/>
    </row>
    <row r="8566" spans="1:26" ht="12.75">
      <c r="A8566" s="10"/>
      <c r="B8566" s="10"/>
      <c r="C8566" s="10"/>
      <c r="D8566" s="10"/>
      <c r="E8566" s="10"/>
      <c r="F8566" s="10"/>
      <c r="G8566" s="10"/>
      <c r="H8566" s="10"/>
      <c r="I8566" s="10"/>
      <c r="J8566" s="10"/>
      <c r="K8566" s="10"/>
      <c r="L8566" s="10"/>
      <c r="M8566" s="10"/>
      <c r="N8566" s="10"/>
      <c r="O8566" s="10"/>
      <c r="P8566" s="10"/>
      <c r="Q8566" s="10"/>
      <c r="R8566" s="10"/>
      <c r="S8566" s="10"/>
      <c r="T8566" s="10"/>
      <c r="U8566" s="10"/>
      <c r="V8566" s="10"/>
      <c r="W8566" s="10"/>
      <c r="X8566" s="10"/>
      <c r="Y8566" s="10"/>
      <c r="Z8566" s="10"/>
    </row>
    <row r="8567" spans="1:26" ht="12.75">
      <c r="A8567" s="10"/>
      <c r="B8567" s="10"/>
      <c r="C8567" s="10"/>
      <c r="D8567" s="10"/>
      <c r="E8567" s="10"/>
      <c r="F8567" s="10"/>
      <c r="G8567" s="10"/>
      <c r="H8567" s="10"/>
      <c r="I8567" s="10"/>
      <c r="J8567" s="10"/>
      <c r="K8567" s="10"/>
      <c r="L8567" s="10"/>
      <c r="M8567" s="10"/>
      <c r="N8567" s="10"/>
      <c r="O8567" s="10"/>
      <c r="P8567" s="10"/>
      <c r="Q8567" s="10"/>
      <c r="R8567" s="10"/>
      <c r="S8567" s="10"/>
      <c r="T8567" s="10"/>
      <c r="U8567" s="10"/>
      <c r="V8567" s="10"/>
      <c r="W8567" s="10"/>
      <c r="X8567" s="10"/>
      <c r="Y8567" s="10"/>
      <c r="Z8567" s="10"/>
    </row>
    <row r="8568" spans="1:26" ht="12.75">
      <c r="A8568" s="10"/>
      <c r="B8568" s="10"/>
      <c r="C8568" s="10"/>
      <c r="D8568" s="10"/>
      <c r="E8568" s="10"/>
      <c r="F8568" s="10"/>
      <c r="G8568" s="10"/>
      <c r="H8568" s="10"/>
      <c r="I8568" s="10"/>
      <c r="J8568" s="10"/>
      <c r="K8568" s="10"/>
      <c r="L8568" s="10"/>
      <c r="M8568" s="10"/>
      <c r="N8568" s="10"/>
      <c r="O8568" s="10"/>
      <c r="P8568" s="10"/>
      <c r="Q8568" s="10"/>
      <c r="R8568" s="10"/>
      <c r="S8568" s="10"/>
      <c r="T8568" s="10"/>
      <c r="U8568" s="10"/>
      <c r="V8568" s="10"/>
      <c r="W8568" s="10"/>
      <c r="X8568" s="10"/>
      <c r="Y8568" s="10"/>
      <c r="Z8568" s="10"/>
    </row>
    <row r="8569" spans="1:26" ht="12.75">
      <c r="A8569" s="10"/>
      <c r="B8569" s="10"/>
      <c r="C8569" s="10"/>
      <c r="D8569" s="10"/>
      <c r="E8569" s="10"/>
      <c r="F8569" s="10"/>
      <c r="G8569" s="10"/>
      <c r="H8569" s="10"/>
      <c r="I8569" s="10"/>
      <c r="J8569" s="10"/>
      <c r="K8569" s="10"/>
      <c r="L8569" s="10"/>
      <c r="M8569" s="10"/>
      <c r="N8569" s="10"/>
      <c r="O8569" s="10"/>
      <c r="P8569" s="10"/>
      <c r="Q8569" s="10"/>
      <c r="R8569" s="10"/>
      <c r="S8569" s="10"/>
      <c r="T8569" s="10"/>
      <c r="U8569" s="10"/>
      <c r="V8569" s="10"/>
      <c r="W8569" s="10"/>
      <c r="X8569" s="10"/>
      <c r="Y8569" s="10"/>
      <c r="Z8569" s="10"/>
    </row>
    <row r="8570" spans="1:26" ht="12.75">
      <c r="A8570" s="10"/>
      <c r="B8570" s="10"/>
      <c r="C8570" s="10"/>
      <c r="D8570" s="10"/>
      <c r="E8570" s="10"/>
      <c r="F8570" s="10"/>
      <c r="G8570" s="10"/>
      <c r="H8570" s="10"/>
      <c r="I8570" s="10"/>
      <c r="J8570" s="10"/>
      <c r="K8570" s="10"/>
      <c r="L8570" s="10"/>
      <c r="M8570" s="10"/>
      <c r="N8570" s="10"/>
      <c r="O8570" s="10"/>
      <c r="P8570" s="10"/>
      <c r="Q8570" s="10"/>
      <c r="R8570" s="10"/>
      <c r="S8570" s="10"/>
      <c r="T8570" s="10"/>
      <c r="U8570" s="10"/>
      <c r="V8570" s="10"/>
      <c r="W8570" s="10"/>
      <c r="X8570" s="10"/>
      <c r="Y8570" s="10"/>
      <c r="Z8570" s="10"/>
    </row>
    <row r="8571" spans="1:26" ht="12.75">
      <c r="A8571" s="10"/>
      <c r="B8571" s="10"/>
      <c r="C8571" s="10"/>
      <c r="D8571" s="10"/>
      <c r="E8571" s="10"/>
      <c r="F8571" s="10"/>
      <c r="G8571" s="10"/>
      <c r="H8571" s="10"/>
      <c r="I8571" s="10"/>
      <c r="J8571" s="10"/>
      <c r="K8571" s="10"/>
      <c r="L8571" s="10"/>
      <c r="M8571" s="10"/>
      <c r="N8571" s="10"/>
      <c r="O8571" s="10"/>
      <c r="P8571" s="10"/>
      <c r="Q8571" s="10"/>
      <c r="R8571" s="10"/>
      <c r="S8571" s="10"/>
      <c r="T8571" s="10"/>
      <c r="U8571" s="10"/>
      <c r="V8571" s="10"/>
      <c r="W8571" s="10"/>
      <c r="X8571" s="10"/>
      <c r="Y8571" s="10"/>
      <c r="Z8571" s="10"/>
    </row>
    <row r="8572" spans="1:26" ht="12.75">
      <c r="A8572" s="10"/>
      <c r="B8572" s="10"/>
      <c r="C8572" s="10"/>
      <c r="D8572" s="10"/>
      <c r="E8572" s="10"/>
      <c r="F8572" s="10"/>
      <c r="G8572" s="10"/>
      <c r="H8572" s="10"/>
      <c r="I8572" s="10"/>
      <c r="J8572" s="10"/>
      <c r="K8572" s="10"/>
      <c r="L8572" s="10"/>
      <c r="M8572" s="10"/>
      <c r="N8572" s="10"/>
      <c r="O8572" s="10"/>
      <c r="P8572" s="10"/>
      <c r="Q8572" s="10"/>
      <c r="R8572" s="10"/>
      <c r="S8572" s="10"/>
      <c r="T8572" s="10"/>
      <c r="U8572" s="10"/>
      <c r="V8572" s="10"/>
      <c r="W8572" s="10"/>
      <c r="X8572" s="10"/>
      <c r="Y8572" s="10"/>
      <c r="Z8572" s="10"/>
    </row>
    <row r="8573" spans="1:26" ht="12.75">
      <c r="A8573" s="10"/>
      <c r="B8573" s="10"/>
      <c r="C8573" s="10"/>
      <c r="D8573" s="10"/>
      <c r="E8573" s="10"/>
      <c r="F8573" s="10"/>
      <c r="G8573" s="10"/>
      <c r="H8573" s="10"/>
      <c r="I8573" s="10"/>
      <c r="J8573" s="10"/>
      <c r="K8573" s="10"/>
      <c r="L8573" s="10"/>
      <c r="M8573" s="10"/>
      <c r="N8573" s="10"/>
      <c r="O8573" s="10"/>
      <c r="P8573" s="10"/>
      <c r="Q8573" s="10"/>
      <c r="R8573" s="10"/>
      <c r="S8573" s="10"/>
      <c r="T8573" s="10"/>
      <c r="U8573" s="10"/>
      <c r="V8573" s="10"/>
      <c r="W8573" s="10"/>
      <c r="X8573" s="10"/>
      <c r="Y8573" s="10"/>
      <c r="Z8573" s="10"/>
    </row>
    <row r="8574" spans="1:26" ht="12.75">
      <c r="A8574" s="10"/>
      <c r="B8574" s="10"/>
      <c r="C8574" s="10"/>
      <c r="D8574" s="10"/>
      <c r="E8574" s="10"/>
      <c r="F8574" s="10"/>
      <c r="G8574" s="10"/>
      <c r="H8574" s="10"/>
      <c r="I8574" s="10"/>
      <c r="J8574" s="10"/>
      <c r="K8574" s="10"/>
      <c r="L8574" s="10"/>
      <c r="M8574" s="10"/>
      <c r="N8574" s="10"/>
      <c r="O8574" s="10"/>
      <c r="P8574" s="10"/>
      <c r="Q8574" s="10"/>
      <c r="R8574" s="10"/>
      <c r="S8574" s="10"/>
      <c r="T8574" s="10"/>
      <c r="U8574" s="10"/>
      <c r="V8574" s="10"/>
      <c r="W8574" s="10"/>
      <c r="X8574" s="10"/>
      <c r="Y8574" s="10"/>
      <c r="Z8574" s="10"/>
    </row>
    <row r="8575" spans="1:26" ht="12.75">
      <c r="A8575" s="10"/>
      <c r="B8575" s="10"/>
      <c r="C8575" s="10"/>
      <c r="D8575" s="10"/>
      <c r="E8575" s="10"/>
      <c r="F8575" s="10"/>
      <c r="G8575" s="10"/>
      <c r="H8575" s="10"/>
      <c r="I8575" s="10"/>
      <c r="J8575" s="10"/>
      <c r="K8575" s="10"/>
      <c r="L8575" s="10"/>
      <c r="M8575" s="10"/>
      <c r="N8575" s="10"/>
      <c r="O8575" s="10"/>
      <c r="P8575" s="10"/>
      <c r="Q8575" s="10"/>
      <c r="R8575" s="10"/>
      <c r="S8575" s="10"/>
      <c r="T8575" s="10"/>
      <c r="U8575" s="10"/>
      <c r="V8575" s="10"/>
      <c r="W8575" s="10"/>
      <c r="X8575" s="10"/>
      <c r="Y8575" s="10"/>
      <c r="Z8575" s="10"/>
    </row>
    <row r="8576" spans="1:26" ht="12.75">
      <c r="A8576" s="10"/>
      <c r="B8576" s="10"/>
      <c r="C8576" s="10"/>
      <c r="D8576" s="10"/>
      <c r="E8576" s="10"/>
      <c r="F8576" s="10"/>
      <c r="G8576" s="10"/>
      <c r="H8576" s="10"/>
      <c r="I8576" s="10"/>
      <c r="J8576" s="10"/>
      <c r="K8576" s="10"/>
      <c r="L8576" s="10"/>
      <c r="M8576" s="10"/>
      <c r="N8576" s="10"/>
      <c r="O8576" s="10"/>
      <c r="P8576" s="10"/>
      <c r="Q8576" s="10"/>
      <c r="R8576" s="10"/>
      <c r="S8576" s="10"/>
      <c r="T8576" s="10"/>
      <c r="U8576" s="10"/>
      <c r="V8576" s="10"/>
      <c r="W8576" s="10"/>
      <c r="X8576" s="10"/>
      <c r="Y8576" s="10"/>
      <c r="Z8576" s="10"/>
    </row>
    <row r="8577" spans="1:26" ht="12.75">
      <c r="A8577" s="10"/>
      <c r="B8577" s="10"/>
      <c r="C8577" s="10"/>
      <c r="D8577" s="10"/>
      <c r="E8577" s="10"/>
      <c r="F8577" s="10"/>
      <c r="G8577" s="10"/>
      <c r="H8577" s="10"/>
      <c r="I8577" s="10"/>
      <c r="J8577" s="10"/>
      <c r="K8577" s="10"/>
      <c r="L8577" s="10"/>
      <c r="M8577" s="10"/>
      <c r="N8577" s="10"/>
      <c r="O8577" s="10"/>
      <c r="P8577" s="10"/>
      <c r="Q8577" s="10"/>
      <c r="R8577" s="10"/>
      <c r="S8577" s="10"/>
      <c r="T8577" s="10"/>
      <c r="U8577" s="10"/>
      <c r="V8577" s="10"/>
      <c r="W8577" s="10"/>
      <c r="X8577" s="10"/>
      <c r="Y8577" s="10"/>
      <c r="Z8577" s="10"/>
    </row>
    <row r="8578" spans="1:26" ht="12.75">
      <c r="A8578" s="10"/>
      <c r="B8578" s="10"/>
      <c r="C8578" s="10"/>
      <c r="D8578" s="10"/>
      <c r="E8578" s="10"/>
      <c r="F8578" s="10"/>
      <c r="G8578" s="10"/>
      <c r="H8578" s="10"/>
      <c r="I8578" s="10"/>
      <c r="J8578" s="10"/>
      <c r="K8578" s="10"/>
      <c r="L8578" s="10"/>
      <c r="M8578" s="10"/>
      <c r="N8578" s="10"/>
      <c r="O8578" s="10"/>
      <c r="P8578" s="10"/>
      <c r="Q8578" s="10"/>
      <c r="R8578" s="10"/>
      <c r="S8578" s="10"/>
      <c r="T8578" s="10"/>
      <c r="U8578" s="10"/>
      <c r="V8578" s="10"/>
      <c r="W8578" s="10"/>
      <c r="X8578" s="10"/>
      <c r="Y8578" s="10"/>
      <c r="Z8578" s="10"/>
    </row>
    <row r="8579" spans="1:26" ht="12.75">
      <c r="A8579" s="10"/>
      <c r="B8579" s="10"/>
      <c r="C8579" s="10"/>
      <c r="D8579" s="10"/>
      <c r="E8579" s="10"/>
      <c r="F8579" s="10"/>
      <c r="G8579" s="10"/>
      <c r="H8579" s="10"/>
      <c r="I8579" s="10"/>
      <c r="J8579" s="10"/>
      <c r="K8579" s="10"/>
      <c r="L8579" s="10"/>
      <c r="M8579" s="10"/>
      <c r="N8579" s="10"/>
      <c r="O8579" s="10"/>
      <c r="P8579" s="10"/>
      <c r="Q8579" s="10"/>
      <c r="R8579" s="10"/>
      <c r="S8579" s="10"/>
      <c r="T8579" s="10"/>
      <c r="U8579" s="10"/>
      <c r="V8579" s="10"/>
      <c r="W8579" s="10"/>
      <c r="X8579" s="10"/>
      <c r="Y8579" s="10"/>
      <c r="Z8579" s="10"/>
    </row>
    <row r="8580" spans="1:26" ht="12.75">
      <c r="A8580" s="10"/>
      <c r="B8580" s="10"/>
      <c r="C8580" s="10"/>
      <c r="D8580" s="10"/>
      <c r="E8580" s="10"/>
      <c r="F8580" s="10"/>
      <c r="G8580" s="10"/>
      <c r="H8580" s="10"/>
      <c r="I8580" s="10"/>
      <c r="J8580" s="10"/>
      <c r="K8580" s="10"/>
      <c r="L8580" s="10"/>
      <c r="M8580" s="10"/>
      <c r="N8580" s="10"/>
      <c r="O8580" s="10"/>
      <c r="P8580" s="10"/>
      <c r="Q8580" s="10"/>
      <c r="R8580" s="10"/>
      <c r="S8580" s="10"/>
      <c r="T8580" s="10"/>
      <c r="U8580" s="10"/>
      <c r="V8580" s="10"/>
      <c r="W8580" s="10"/>
      <c r="X8580" s="10"/>
      <c r="Y8580" s="10"/>
      <c r="Z8580" s="10"/>
    </row>
    <row r="8581" spans="1:26" ht="12.75">
      <c r="A8581" s="10"/>
      <c r="B8581" s="10"/>
      <c r="C8581" s="10"/>
      <c r="D8581" s="10"/>
      <c r="E8581" s="10"/>
      <c r="F8581" s="10"/>
      <c r="G8581" s="10"/>
      <c r="H8581" s="10"/>
      <c r="I8581" s="10"/>
      <c r="J8581" s="10"/>
      <c r="K8581" s="10"/>
      <c r="L8581" s="10"/>
      <c r="M8581" s="10"/>
      <c r="N8581" s="10"/>
      <c r="O8581" s="10"/>
      <c r="P8581" s="10"/>
      <c r="Q8581" s="10"/>
      <c r="R8581" s="10"/>
      <c r="S8581" s="10"/>
      <c r="T8581" s="10"/>
      <c r="U8581" s="10"/>
      <c r="V8581" s="10"/>
      <c r="W8581" s="10"/>
      <c r="X8581" s="10"/>
      <c r="Y8581" s="10"/>
      <c r="Z8581" s="10"/>
    </row>
    <row r="8582" spans="1:26" ht="12.75">
      <c r="A8582" s="10"/>
      <c r="B8582" s="10"/>
      <c r="C8582" s="10"/>
      <c r="D8582" s="10"/>
      <c r="E8582" s="10"/>
      <c r="F8582" s="10"/>
      <c r="G8582" s="10"/>
      <c r="H8582" s="10"/>
      <c r="I8582" s="10"/>
      <c r="J8582" s="10"/>
      <c r="K8582" s="10"/>
      <c r="L8582" s="10"/>
      <c r="M8582" s="10"/>
      <c r="N8582" s="10"/>
      <c r="O8582" s="10"/>
      <c r="P8582" s="10"/>
      <c r="Q8582" s="10"/>
      <c r="R8582" s="10"/>
      <c r="S8582" s="10"/>
      <c r="T8582" s="10"/>
      <c r="U8582" s="10"/>
      <c r="V8582" s="10"/>
      <c r="W8582" s="10"/>
      <c r="X8582" s="10"/>
      <c r="Y8582" s="10"/>
      <c r="Z8582" s="10"/>
    </row>
    <row r="8583" spans="1:26" ht="12.75">
      <c r="A8583" s="10"/>
      <c r="B8583" s="10"/>
      <c r="C8583" s="10"/>
      <c r="D8583" s="10"/>
      <c r="E8583" s="10"/>
      <c r="F8583" s="10"/>
      <c r="G8583" s="10"/>
      <c r="H8583" s="10"/>
      <c r="I8583" s="10"/>
      <c r="J8583" s="10"/>
      <c r="K8583" s="10"/>
      <c r="L8583" s="10"/>
      <c r="M8583" s="10"/>
      <c r="N8583" s="10"/>
      <c r="O8583" s="10"/>
      <c r="P8583" s="10"/>
      <c r="Q8583" s="10"/>
      <c r="R8583" s="10"/>
      <c r="S8583" s="10"/>
      <c r="T8583" s="10"/>
      <c r="U8583" s="10"/>
      <c r="V8583" s="10"/>
      <c r="W8583" s="10"/>
      <c r="X8583" s="10"/>
      <c r="Y8583" s="10"/>
      <c r="Z8583" s="10"/>
    </row>
    <row r="8584" spans="1:26" ht="12.75">
      <c r="A8584" s="10"/>
      <c r="B8584" s="10"/>
      <c r="C8584" s="10"/>
      <c r="D8584" s="10"/>
      <c r="E8584" s="10"/>
      <c r="F8584" s="10"/>
      <c r="G8584" s="10"/>
      <c r="H8584" s="10"/>
      <c r="I8584" s="10"/>
      <c r="J8584" s="10"/>
      <c r="K8584" s="10"/>
      <c r="L8584" s="10"/>
      <c r="M8584" s="10"/>
      <c r="N8584" s="10"/>
      <c r="O8584" s="10"/>
      <c r="P8584" s="10"/>
      <c r="Q8584" s="10"/>
      <c r="R8584" s="10"/>
      <c r="S8584" s="10"/>
      <c r="T8584" s="10"/>
      <c r="U8584" s="10"/>
      <c r="V8584" s="10"/>
      <c r="W8584" s="10"/>
      <c r="X8584" s="10"/>
      <c r="Y8584" s="10"/>
      <c r="Z8584" s="10"/>
    </row>
    <row r="8585" spans="1:26" ht="12.75">
      <c r="A8585" s="10"/>
      <c r="B8585" s="10"/>
      <c r="C8585" s="10"/>
      <c r="D8585" s="10"/>
      <c r="E8585" s="10"/>
      <c r="F8585" s="10"/>
      <c r="G8585" s="10"/>
      <c r="H8585" s="10"/>
      <c r="I8585" s="10"/>
      <c r="J8585" s="10"/>
      <c r="K8585" s="10"/>
      <c r="L8585" s="10"/>
      <c r="M8585" s="10"/>
      <c r="N8585" s="10"/>
      <c r="O8585" s="10"/>
      <c r="P8585" s="10"/>
      <c r="Q8585" s="10"/>
      <c r="R8585" s="10"/>
      <c r="S8585" s="10"/>
      <c r="T8585" s="10"/>
      <c r="U8585" s="10"/>
      <c r="V8585" s="10"/>
      <c r="W8585" s="10"/>
      <c r="X8585" s="10"/>
      <c r="Y8585" s="10"/>
      <c r="Z8585" s="10"/>
    </row>
    <row r="8586" spans="1:26" ht="12.75">
      <c r="A8586" s="10"/>
      <c r="B8586" s="10"/>
      <c r="C8586" s="10"/>
      <c r="D8586" s="10"/>
      <c r="E8586" s="10"/>
      <c r="F8586" s="10"/>
      <c r="G8586" s="10"/>
      <c r="H8586" s="10"/>
      <c r="I8586" s="10"/>
      <c r="J8586" s="10"/>
      <c r="K8586" s="10"/>
      <c r="L8586" s="10"/>
      <c r="M8586" s="10"/>
      <c r="N8586" s="10"/>
      <c r="O8586" s="10"/>
      <c r="P8586" s="10"/>
      <c r="Q8586" s="10"/>
      <c r="R8586" s="10"/>
      <c r="S8586" s="10"/>
      <c r="T8586" s="10"/>
      <c r="U8586" s="10"/>
      <c r="V8586" s="10"/>
      <c r="W8586" s="10"/>
      <c r="X8586" s="10"/>
      <c r="Y8586" s="10"/>
      <c r="Z8586" s="10"/>
    </row>
    <row r="8587" spans="1:26" ht="12.75">
      <c r="A8587" s="10"/>
      <c r="B8587" s="10"/>
      <c r="C8587" s="10"/>
      <c r="D8587" s="10"/>
      <c r="E8587" s="10"/>
      <c r="F8587" s="10"/>
      <c r="G8587" s="10"/>
      <c r="H8587" s="10"/>
      <c r="I8587" s="10"/>
      <c r="J8587" s="10"/>
      <c r="K8587" s="10"/>
      <c r="L8587" s="10"/>
      <c r="M8587" s="10"/>
      <c r="N8587" s="10"/>
      <c r="O8587" s="10"/>
      <c r="P8587" s="10"/>
      <c r="Q8587" s="10"/>
      <c r="R8587" s="10"/>
      <c r="S8587" s="10"/>
      <c r="T8587" s="10"/>
      <c r="U8587" s="10"/>
      <c r="V8587" s="10"/>
      <c r="W8587" s="10"/>
      <c r="X8587" s="10"/>
      <c r="Y8587" s="10"/>
      <c r="Z8587" s="10"/>
    </row>
    <row r="8588" spans="1:26" ht="12.75">
      <c r="A8588" s="10"/>
      <c r="B8588" s="10"/>
      <c r="C8588" s="10"/>
      <c r="D8588" s="10"/>
      <c r="E8588" s="10"/>
      <c r="F8588" s="10"/>
      <c r="G8588" s="10"/>
      <c r="H8588" s="10"/>
      <c r="I8588" s="10"/>
      <c r="J8588" s="10"/>
      <c r="K8588" s="10"/>
      <c r="L8588" s="10"/>
      <c r="M8588" s="10"/>
      <c r="N8588" s="10"/>
      <c r="O8588" s="10"/>
      <c r="P8588" s="10"/>
      <c r="Q8588" s="10"/>
      <c r="R8588" s="10"/>
      <c r="S8588" s="10"/>
      <c r="T8588" s="10"/>
      <c r="U8588" s="10"/>
      <c r="V8588" s="10"/>
      <c r="W8588" s="10"/>
      <c r="X8588" s="10"/>
      <c r="Y8588" s="10"/>
      <c r="Z8588" s="10"/>
    </row>
    <row r="8589" spans="1:26" ht="12.75">
      <c r="A8589" s="10"/>
      <c r="B8589" s="10"/>
      <c r="C8589" s="10"/>
      <c r="D8589" s="10"/>
      <c r="E8589" s="10"/>
      <c r="F8589" s="10"/>
      <c r="G8589" s="10"/>
      <c r="H8589" s="10"/>
      <c r="I8589" s="10"/>
      <c r="J8589" s="10"/>
      <c r="K8589" s="10"/>
      <c r="L8589" s="10"/>
      <c r="M8589" s="10"/>
      <c r="N8589" s="10"/>
      <c r="O8589" s="10"/>
      <c r="P8589" s="10"/>
      <c r="Q8589" s="10"/>
      <c r="R8589" s="10"/>
      <c r="S8589" s="10"/>
      <c r="T8589" s="10"/>
      <c r="U8589" s="10"/>
      <c r="V8589" s="10"/>
      <c r="W8589" s="10"/>
      <c r="X8589" s="10"/>
      <c r="Y8589" s="10"/>
      <c r="Z8589" s="10"/>
    </row>
    <row r="8590" spans="1:26" ht="12.75">
      <c r="A8590" s="10"/>
      <c r="B8590" s="10"/>
      <c r="C8590" s="10"/>
      <c r="D8590" s="10"/>
      <c r="E8590" s="10"/>
      <c r="F8590" s="10"/>
      <c r="G8590" s="10"/>
      <c r="H8590" s="10"/>
      <c r="I8590" s="10"/>
      <c r="J8590" s="10"/>
      <c r="K8590" s="10"/>
      <c r="L8590" s="10"/>
      <c r="M8590" s="10"/>
      <c r="N8590" s="10"/>
      <c r="O8590" s="10"/>
      <c r="P8590" s="10"/>
      <c r="Q8590" s="10"/>
      <c r="R8590" s="10"/>
      <c r="S8590" s="10"/>
      <c r="T8590" s="10"/>
      <c r="U8590" s="10"/>
      <c r="V8590" s="10"/>
      <c r="W8590" s="10"/>
      <c r="X8590" s="10"/>
      <c r="Y8590" s="10"/>
      <c r="Z8590" s="10"/>
    </row>
    <row r="8591" spans="1:26" ht="12.75">
      <c r="A8591" s="10"/>
      <c r="B8591" s="10"/>
      <c r="C8591" s="10"/>
      <c r="D8591" s="10"/>
      <c r="E8591" s="10"/>
      <c r="F8591" s="10"/>
      <c r="G8591" s="10"/>
      <c r="H8591" s="10"/>
      <c r="I8591" s="10"/>
      <c r="J8591" s="10"/>
      <c r="K8591" s="10"/>
      <c r="L8591" s="10"/>
      <c r="M8591" s="10"/>
      <c r="N8591" s="10"/>
      <c r="O8591" s="10"/>
      <c r="P8591" s="10"/>
      <c r="Q8591" s="10"/>
      <c r="R8591" s="10"/>
      <c r="S8591" s="10"/>
      <c r="T8591" s="10"/>
      <c r="U8591" s="10"/>
      <c r="V8591" s="10"/>
      <c r="W8591" s="10"/>
      <c r="X8591" s="10"/>
      <c r="Y8591" s="10"/>
      <c r="Z8591" s="10"/>
    </row>
    <row r="8592" spans="1:26" ht="12.75">
      <c r="A8592" s="10"/>
      <c r="B8592" s="10"/>
      <c r="C8592" s="10"/>
      <c r="D8592" s="10"/>
      <c r="E8592" s="10"/>
      <c r="F8592" s="10"/>
      <c r="G8592" s="10"/>
      <c r="H8592" s="10"/>
      <c r="I8592" s="10"/>
      <c r="J8592" s="10"/>
      <c r="K8592" s="10"/>
      <c r="L8592" s="10"/>
      <c r="M8592" s="10"/>
      <c r="N8592" s="10"/>
      <c r="O8592" s="10"/>
      <c r="P8592" s="10"/>
      <c r="Q8592" s="10"/>
      <c r="R8592" s="10"/>
      <c r="S8592" s="10"/>
      <c r="T8592" s="10"/>
      <c r="U8592" s="10"/>
      <c r="V8592" s="10"/>
      <c r="W8592" s="10"/>
      <c r="X8592" s="10"/>
      <c r="Y8592" s="10"/>
      <c r="Z8592" s="10"/>
    </row>
    <row r="8593" spans="1:26" ht="12.75">
      <c r="A8593" s="10"/>
      <c r="B8593" s="10"/>
      <c r="C8593" s="10"/>
      <c r="D8593" s="10"/>
      <c r="E8593" s="10"/>
      <c r="F8593" s="10"/>
      <c r="G8593" s="10"/>
      <c r="H8593" s="10"/>
      <c r="I8593" s="10"/>
      <c r="J8593" s="10"/>
      <c r="K8593" s="10"/>
      <c r="L8593" s="10"/>
      <c r="M8593" s="10"/>
      <c r="N8593" s="10"/>
      <c r="O8593" s="10"/>
      <c r="P8593" s="10"/>
      <c r="Q8593" s="10"/>
      <c r="R8593" s="10"/>
      <c r="S8593" s="10"/>
      <c r="T8593" s="10"/>
      <c r="U8593" s="10"/>
      <c r="V8593" s="10"/>
      <c r="W8593" s="10"/>
      <c r="X8593" s="10"/>
      <c r="Y8593" s="10"/>
      <c r="Z8593" s="10"/>
    </row>
    <row r="8594" spans="1:26" ht="12.75">
      <c r="A8594" s="10"/>
      <c r="B8594" s="10"/>
      <c r="C8594" s="10"/>
      <c r="D8594" s="10"/>
      <c r="E8594" s="10"/>
      <c r="F8594" s="10"/>
      <c r="G8594" s="10"/>
      <c r="H8594" s="10"/>
      <c r="I8594" s="10"/>
      <c r="J8594" s="10"/>
      <c r="K8594" s="10"/>
      <c r="L8594" s="10"/>
      <c r="M8594" s="10"/>
      <c r="N8594" s="10"/>
      <c r="O8594" s="10"/>
      <c r="P8594" s="10"/>
      <c r="Q8594" s="10"/>
      <c r="R8594" s="10"/>
      <c r="S8594" s="10"/>
      <c r="T8594" s="10"/>
      <c r="U8594" s="10"/>
      <c r="V8594" s="10"/>
      <c r="W8594" s="10"/>
      <c r="X8594" s="10"/>
      <c r="Y8594" s="10"/>
      <c r="Z8594" s="10"/>
    </row>
    <row r="8595" spans="1:26" ht="12.75">
      <c r="A8595" s="10"/>
      <c r="B8595" s="10"/>
      <c r="C8595" s="10"/>
      <c r="D8595" s="10"/>
      <c r="E8595" s="10"/>
      <c r="F8595" s="10"/>
      <c r="G8595" s="10"/>
      <c r="H8595" s="10"/>
      <c r="I8595" s="10"/>
      <c r="J8595" s="10"/>
      <c r="K8595" s="10"/>
      <c r="L8595" s="10"/>
      <c r="M8595" s="10"/>
      <c r="N8595" s="10"/>
      <c r="O8595" s="10"/>
      <c r="P8595" s="10"/>
      <c r="Q8595" s="10"/>
      <c r="R8595" s="10"/>
      <c r="S8595" s="10"/>
      <c r="T8595" s="10"/>
      <c r="U8595" s="10"/>
      <c r="V8595" s="10"/>
      <c r="W8595" s="10"/>
      <c r="X8595" s="10"/>
      <c r="Y8595" s="10"/>
      <c r="Z8595" s="10"/>
    </row>
    <row r="8596" spans="1:26" ht="12.75">
      <c r="A8596" s="10"/>
      <c r="B8596" s="10"/>
      <c r="C8596" s="10"/>
      <c r="D8596" s="10"/>
      <c r="E8596" s="10"/>
      <c r="F8596" s="10"/>
      <c r="G8596" s="10"/>
      <c r="H8596" s="10"/>
      <c r="I8596" s="10"/>
      <c r="J8596" s="10"/>
      <c r="K8596" s="10"/>
      <c r="L8596" s="10"/>
      <c r="M8596" s="10"/>
      <c r="N8596" s="10"/>
      <c r="O8596" s="10"/>
      <c r="P8596" s="10"/>
      <c r="Q8596" s="10"/>
      <c r="R8596" s="10"/>
      <c r="S8596" s="10"/>
      <c r="T8596" s="10"/>
      <c r="U8596" s="10"/>
      <c r="V8596" s="10"/>
      <c r="W8596" s="10"/>
      <c r="X8596" s="10"/>
      <c r="Y8596" s="10"/>
      <c r="Z8596" s="10"/>
    </row>
    <row r="8597" spans="1:26" ht="12.75">
      <c r="A8597" s="10"/>
      <c r="B8597" s="10"/>
      <c r="C8597" s="10"/>
      <c r="D8597" s="10"/>
      <c r="E8597" s="10"/>
      <c r="F8597" s="10"/>
      <c r="G8597" s="10"/>
      <c r="H8597" s="10"/>
      <c r="I8597" s="10"/>
      <c r="J8597" s="10"/>
      <c r="K8597" s="10"/>
      <c r="L8597" s="10"/>
      <c r="M8597" s="10"/>
      <c r="N8597" s="10"/>
      <c r="O8597" s="10"/>
      <c r="P8597" s="10"/>
      <c r="Q8597" s="10"/>
      <c r="R8597" s="10"/>
      <c r="S8597" s="10"/>
      <c r="T8597" s="10"/>
      <c r="U8597" s="10"/>
      <c r="V8597" s="10"/>
      <c r="W8597" s="10"/>
      <c r="X8597" s="10"/>
      <c r="Y8597" s="10"/>
      <c r="Z8597" s="10"/>
    </row>
    <row r="8598" spans="1:26" ht="12.75">
      <c r="A8598" s="10"/>
      <c r="B8598" s="10"/>
      <c r="C8598" s="10"/>
      <c r="D8598" s="10"/>
      <c r="E8598" s="10"/>
      <c r="F8598" s="10"/>
      <c r="G8598" s="10"/>
      <c r="H8598" s="10"/>
      <c r="I8598" s="10"/>
      <c r="J8598" s="10"/>
      <c r="K8598" s="10"/>
      <c r="L8598" s="10"/>
      <c r="M8598" s="10"/>
      <c r="N8598" s="10"/>
      <c r="O8598" s="10"/>
      <c r="P8598" s="10"/>
      <c r="Q8598" s="10"/>
      <c r="R8598" s="10"/>
      <c r="S8598" s="10"/>
      <c r="T8598" s="10"/>
      <c r="U8598" s="10"/>
      <c r="V8598" s="10"/>
      <c r="W8598" s="10"/>
      <c r="X8598" s="10"/>
      <c r="Y8598" s="10"/>
      <c r="Z8598" s="10"/>
    </row>
    <row r="8599" spans="1:26" ht="12.75">
      <c r="A8599" s="10"/>
      <c r="B8599" s="10"/>
      <c r="C8599" s="10"/>
      <c r="D8599" s="10"/>
      <c r="E8599" s="10"/>
      <c r="F8599" s="10"/>
      <c r="G8599" s="10"/>
      <c r="H8599" s="10"/>
      <c r="I8599" s="10"/>
      <c r="J8599" s="10"/>
      <c r="K8599" s="10"/>
      <c r="L8599" s="10"/>
      <c r="M8599" s="10"/>
      <c r="N8599" s="10"/>
      <c r="O8599" s="10"/>
      <c r="P8599" s="10"/>
      <c r="Q8599" s="10"/>
      <c r="R8599" s="10"/>
      <c r="S8599" s="10"/>
      <c r="T8599" s="10"/>
      <c r="U8599" s="10"/>
      <c r="V8599" s="10"/>
      <c r="W8599" s="10"/>
      <c r="X8599" s="10"/>
      <c r="Y8599" s="10"/>
      <c r="Z8599" s="10"/>
    </row>
    <row r="8600" spans="1:26" ht="12.75">
      <c r="A8600" s="10"/>
      <c r="B8600" s="10"/>
      <c r="C8600" s="10"/>
      <c r="D8600" s="10"/>
      <c r="E8600" s="10"/>
      <c r="F8600" s="10"/>
      <c r="G8600" s="10"/>
      <c r="H8600" s="10"/>
      <c r="I8600" s="10"/>
      <c r="J8600" s="10"/>
      <c r="K8600" s="10"/>
      <c r="L8600" s="10"/>
      <c r="M8600" s="10"/>
      <c r="N8600" s="10"/>
      <c r="O8600" s="10"/>
      <c r="P8600" s="10"/>
      <c r="Q8600" s="10"/>
      <c r="R8600" s="10"/>
      <c r="S8600" s="10"/>
      <c r="T8600" s="10"/>
      <c r="U8600" s="10"/>
      <c r="V8600" s="10"/>
      <c r="W8600" s="10"/>
      <c r="X8600" s="10"/>
      <c r="Y8600" s="10"/>
      <c r="Z8600" s="10"/>
    </row>
    <row r="8601" spans="1:26" ht="12.75">
      <c r="A8601" s="10"/>
      <c r="B8601" s="10"/>
      <c r="C8601" s="10"/>
      <c r="D8601" s="10"/>
      <c r="E8601" s="10"/>
      <c r="F8601" s="10"/>
      <c r="G8601" s="10"/>
      <c r="H8601" s="10"/>
      <c r="I8601" s="10"/>
      <c r="J8601" s="10"/>
      <c r="K8601" s="10"/>
      <c r="L8601" s="10"/>
      <c r="M8601" s="10"/>
      <c r="N8601" s="10"/>
      <c r="O8601" s="10"/>
      <c r="P8601" s="10"/>
      <c r="Q8601" s="10"/>
      <c r="R8601" s="10"/>
      <c r="S8601" s="10"/>
      <c r="T8601" s="10"/>
      <c r="U8601" s="10"/>
      <c r="V8601" s="10"/>
      <c r="W8601" s="10"/>
      <c r="X8601" s="10"/>
      <c r="Y8601" s="10"/>
      <c r="Z8601" s="10"/>
    </row>
    <row r="8602" spans="1:26" ht="12.75">
      <c r="A8602" s="10"/>
      <c r="B8602" s="10"/>
      <c r="C8602" s="10"/>
      <c r="D8602" s="10"/>
      <c r="E8602" s="10"/>
      <c r="F8602" s="10"/>
      <c r="G8602" s="10"/>
      <c r="H8602" s="10"/>
      <c r="I8602" s="10"/>
      <c r="J8602" s="10"/>
      <c r="K8602" s="10"/>
      <c r="L8602" s="10"/>
      <c r="M8602" s="10"/>
      <c r="N8602" s="10"/>
      <c r="O8602" s="10"/>
      <c r="P8602" s="10"/>
      <c r="Q8602" s="10"/>
      <c r="R8602" s="10"/>
      <c r="S8602" s="10"/>
      <c r="T8602" s="10"/>
      <c r="U8602" s="10"/>
      <c r="V8602" s="10"/>
      <c r="W8602" s="10"/>
      <c r="X8602" s="10"/>
      <c r="Y8602" s="10"/>
      <c r="Z8602" s="10"/>
    </row>
    <row r="8603" spans="1:26" ht="12.75">
      <c r="A8603" s="10"/>
      <c r="B8603" s="10"/>
      <c r="C8603" s="10"/>
      <c r="D8603" s="10"/>
      <c r="E8603" s="10"/>
      <c r="F8603" s="10"/>
      <c r="G8603" s="10"/>
      <c r="H8603" s="10"/>
      <c r="I8603" s="10"/>
      <c r="J8603" s="10"/>
      <c r="K8603" s="10"/>
      <c r="L8603" s="10"/>
      <c r="M8603" s="10"/>
      <c r="N8603" s="10"/>
      <c r="O8603" s="10"/>
      <c r="P8603" s="10"/>
      <c r="Q8603" s="10"/>
      <c r="R8603" s="10"/>
      <c r="S8603" s="10"/>
      <c r="T8603" s="10"/>
      <c r="U8603" s="10"/>
      <c r="V8603" s="10"/>
      <c r="W8603" s="10"/>
      <c r="X8603" s="10"/>
      <c r="Y8603" s="10"/>
      <c r="Z8603" s="10"/>
    </row>
    <row r="8604" spans="1:26" ht="12.75">
      <c r="A8604" s="10"/>
      <c r="B8604" s="10"/>
      <c r="C8604" s="10"/>
      <c r="D8604" s="10"/>
      <c r="E8604" s="10"/>
      <c r="F8604" s="10"/>
      <c r="G8604" s="10"/>
      <c r="H8604" s="10"/>
      <c r="I8604" s="10"/>
      <c r="J8604" s="10"/>
      <c r="K8604" s="10"/>
      <c r="L8604" s="10"/>
      <c r="M8604" s="10"/>
      <c r="N8604" s="10"/>
      <c r="O8604" s="10"/>
      <c r="P8604" s="10"/>
      <c r="Q8604" s="10"/>
      <c r="R8604" s="10"/>
      <c r="S8604" s="10"/>
      <c r="T8604" s="10"/>
      <c r="U8604" s="10"/>
      <c r="V8604" s="10"/>
      <c r="W8604" s="10"/>
      <c r="X8604" s="10"/>
      <c r="Y8604" s="10"/>
      <c r="Z8604" s="10"/>
    </row>
    <row r="8605" spans="1:26" ht="12.75">
      <c r="A8605" s="10"/>
      <c r="B8605" s="10"/>
      <c r="C8605" s="10"/>
      <c r="D8605" s="10"/>
      <c r="E8605" s="10"/>
      <c r="F8605" s="10"/>
      <c r="G8605" s="10"/>
      <c r="H8605" s="10"/>
      <c r="I8605" s="10"/>
      <c r="J8605" s="10"/>
      <c r="K8605" s="10"/>
      <c r="L8605" s="10"/>
      <c r="M8605" s="10"/>
      <c r="N8605" s="10"/>
      <c r="O8605" s="10"/>
      <c r="P8605" s="10"/>
      <c r="Q8605" s="10"/>
      <c r="R8605" s="10"/>
      <c r="S8605" s="10"/>
      <c r="T8605" s="10"/>
      <c r="U8605" s="10"/>
      <c r="V8605" s="10"/>
      <c r="W8605" s="10"/>
      <c r="X8605" s="10"/>
      <c r="Y8605" s="10"/>
      <c r="Z8605" s="10"/>
    </row>
    <row r="8606" spans="1:26" ht="12.75">
      <c r="A8606" s="10"/>
      <c r="B8606" s="10"/>
      <c r="C8606" s="10"/>
      <c r="D8606" s="10"/>
      <c r="E8606" s="10"/>
      <c r="F8606" s="10"/>
      <c r="G8606" s="10"/>
      <c r="H8606" s="10"/>
      <c r="I8606" s="10"/>
      <c r="J8606" s="10"/>
      <c r="K8606" s="10"/>
      <c r="L8606" s="10"/>
      <c r="M8606" s="10"/>
      <c r="N8606" s="10"/>
      <c r="O8606" s="10"/>
      <c r="P8606" s="10"/>
      <c r="Q8606" s="10"/>
      <c r="R8606" s="10"/>
      <c r="S8606" s="10"/>
      <c r="T8606" s="10"/>
      <c r="U8606" s="10"/>
      <c r="V8606" s="10"/>
      <c r="W8606" s="10"/>
      <c r="X8606" s="10"/>
      <c r="Y8606" s="10"/>
      <c r="Z8606" s="10"/>
    </row>
    <row r="8607" spans="1:26" ht="12.75">
      <c r="A8607" s="10"/>
      <c r="B8607" s="10"/>
      <c r="C8607" s="10"/>
      <c r="D8607" s="10"/>
      <c r="E8607" s="10"/>
      <c r="F8607" s="10"/>
      <c r="G8607" s="10"/>
      <c r="H8607" s="10"/>
      <c r="I8607" s="10"/>
      <c r="J8607" s="10"/>
      <c r="K8607" s="10"/>
      <c r="L8607" s="10"/>
      <c r="M8607" s="10"/>
      <c r="N8607" s="10"/>
      <c r="O8607" s="10"/>
      <c r="P8607" s="10"/>
      <c r="Q8607" s="10"/>
      <c r="R8607" s="10"/>
      <c r="S8607" s="10"/>
      <c r="T8607" s="10"/>
      <c r="U8607" s="10"/>
      <c r="V8607" s="10"/>
      <c r="W8607" s="10"/>
      <c r="X8607" s="10"/>
      <c r="Y8607" s="10"/>
      <c r="Z8607" s="10"/>
    </row>
    <row r="8608" spans="1:26" ht="12.75">
      <c r="A8608" s="10"/>
      <c r="B8608" s="10"/>
      <c r="C8608" s="10"/>
      <c r="D8608" s="10"/>
      <c r="E8608" s="10"/>
      <c r="F8608" s="10"/>
      <c r="G8608" s="10"/>
      <c r="H8608" s="10"/>
      <c r="I8608" s="10"/>
      <c r="J8608" s="10"/>
      <c r="K8608" s="10"/>
      <c r="L8608" s="10"/>
      <c r="M8608" s="10"/>
      <c r="N8608" s="10"/>
      <c r="O8608" s="10"/>
      <c r="P8608" s="10"/>
      <c r="Q8608" s="10"/>
      <c r="R8608" s="10"/>
      <c r="S8608" s="10"/>
      <c r="T8608" s="10"/>
      <c r="U8608" s="10"/>
      <c r="V8608" s="10"/>
      <c r="W8608" s="10"/>
      <c r="X8608" s="10"/>
      <c r="Y8608" s="10"/>
      <c r="Z8608" s="10"/>
    </row>
    <row r="8609" spans="1:26" ht="12.75">
      <c r="A8609" s="10"/>
      <c r="B8609" s="10"/>
      <c r="C8609" s="10"/>
      <c r="D8609" s="10"/>
      <c r="E8609" s="10"/>
      <c r="F8609" s="10"/>
      <c r="G8609" s="10"/>
      <c r="H8609" s="10"/>
      <c r="I8609" s="10"/>
      <c r="J8609" s="10"/>
      <c r="K8609" s="10"/>
      <c r="L8609" s="10"/>
      <c r="M8609" s="10"/>
      <c r="N8609" s="10"/>
      <c r="O8609" s="10"/>
      <c r="P8609" s="10"/>
      <c r="Q8609" s="10"/>
      <c r="R8609" s="10"/>
      <c r="S8609" s="10"/>
      <c r="T8609" s="10"/>
      <c r="U8609" s="10"/>
      <c r="V8609" s="10"/>
      <c r="W8609" s="10"/>
      <c r="X8609" s="10"/>
      <c r="Y8609" s="10"/>
      <c r="Z8609" s="10"/>
    </row>
    <row r="8610" spans="1:26" ht="12.75">
      <c r="A8610" s="10"/>
      <c r="B8610" s="10"/>
      <c r="C8610" s="10"/>
      <c r="D8610" s="10"/>
      <c r="E8610" s="10"/>
      <c r="F8610" s="10"/>
      <c r="G8610" s="10"/>
      <c r="H8610" s="10"/>
      <c r="I8610" s="10"/>
      <c r="J8610" s="10"/>
      <c r="K8610" s="10"/>
      <c r="L8610" s="10"/>
      <c r="M8610" s="10"/>
      <c r="N8610" s="10"/>
      <c r="O8610" s="10"/>
      <c r="P8610" s="10"/>
      <c r="Q8610" s="10"/>
      <c r="R8610" s="10"/>
      <c r="S8610" s="10"/>
      <c r="T8610" s="10"/>
      <c r="U8610" s="10"/>
      <c r="V8610" s="10"/>
      <c r="W8610" s="10"/>
      <c r="X8610" s="10"/>
      <c r="Y8610" s="10"/>
      <c r="Z8610" s="10"/>
    </row>
    <row r="8611" spans="1:26" ht="12.75">
      <c r="A8611" s="10"/>
      <c r="B8611" s="10"/>
      <c r="C8611" s="10"/>
      <c r="D8611" s="10"/>
      <c r="E8611" s="10"/>
      <c r="F8611" s="10"/>
      <c r="G8611" s="10"/>
      <c r="H8611" s="10"/>
      <c r="I8611" s="10"/>
      <c r="J8611" s="10"/>
      <c r="K8611" s="10"/>
      <c r="L8611" s="10"/>
      <c r="M8611" s="10"/>
      <c r="N8611" s="10"/>
      <c r="O8611" s="10"/>
      <c r="P8611" s="10"/>
      <c r="Q8611" s="10"/>
      <c r="R8611" s="10"/>
      <c r="S8611" s="10"/>
      <c r="T8611" s="10"/>
      <c r="U8611" s="10"/>
      <c r="V8611" s="10"/>
      <c r="W8611" s="10"/>
      <c r="X8611" s="10"/>
      <c r="Y8611" s="10"/>
      <c r="Z8611" s="10"/>
    </row>
    <row r="8612" spans="1:26" ht="12.75">
      <c r="A8612" s="10"/>
      <c r="B8612" s="10"/>
      <c r="C8612" s="10"/>
      <c r="D8612" s="10"/>
      <c r="E8612" s="10"/>
      <c r="F8612" s="10"/>
      <c r="G8612" s="10"/>
      <c r="H8612" s="10"/>
      <c r="I8612" s="10"/>
      <c r="J8612" s="10"/>
      <c r="K8612" s="10"/>
      <c r="L8612" s="10"/>
      <c r="M8612" s="10"/>
      <c r="N8612" s="10"/>
      <c r="O8612" s="10"/>
      <c r="P8612" s="10"/>
      <c r="Q8612" s="10"/>
      <c r="R8612" s="10"/>
      <c r="S8612" s="10"/>
      <c r="T8612" s="10"/>
      <c r="U8612" s="10"/>
      <c r="V8612" s="10"/>
      <c r="W8612" s="10"/>
      <c r="X8612" s="10"/>
      <c r="Y8612" s="10"/>
      <c r="Z8612" s="10"/>
    </row>
    <row r="8613" spans="1:26" ht="12.75">
      <c r="A8613" s="10"/>
      <c r="B8613" s="10"/>
      <c r="C8613" s="10"/>
      <c r="D8613" s="10"/>
      <c r="E8613" s="10"/>
      <c r="F8613" s="10"/>
      <c r="G8613" s="10"/>
      <c r="H8613" s="10"/>
      <c r="I8613" s="10"/>
      <c r="J8613" s="10"/>
      <c r="K8613" s="10"/>
      <c r="L8613" s="10"/>
      <c r="M8613" s="10"/>
      <c r="N8613" s="10"/>
      <c r="O8613" s="10"/>
      <c r="P8613" s="10"/>
      <c r="Q8613" s="10"/>
      <c r="R8613" s="10"/>
      <c r="S8613" s="10"/>
      <c r="T8613" s="10"/>
      <c r="U8613" s="10"/>
      <c r="V8613" s="10"/>
      <c r="W8613" s="10"/>
      <c r="X8613" s="10"/>
      <c r="Y8613" s="10"/>
      <c r="Z8613" s="10"/>
    </row>
    <row r="8614" spans="1:26" ht="12.75">
      <c r="A8614" s="10"/>
      <c r="B8614" s="10"/>
      <c r="C8614" s="10"/>
      <c r="D8614" s="10"/>
      <c r="E8614" s="10"/>
      <c r="F8614" s="10"/>
      <c r="G8614" s="10"/>
      <c r="H8614" s="10"/>
      <c r="I8614" s="10"/>
      <c r="J8614" s="10"/>
      <c r="K8614" s="10"/>
      <c r="L8614" s="10"/>
      <c r="M8614" s="10"/>
      <c r="N8614" s="10"/>
      <c r="O8614" s="10"/>
      <c r="P8614" s="10"/>
      <c r="Q8614" s="10"/>
      <c r="R8614" s="10"/>
      <c r="S8614" s="10"/>
      <c r="T8614" s="10"/>
      <c r="U8614" s="10"/>
      <c r="V8614" s="10"/>
      <c r="W8614" s="10"/>
      <c r="X8614" s="10"/>
      <c r="Y8614" s="10"/>
      <c r="Z8614" s="10"/>
    </row>
    <row r="8615" spans="1:26" ht="12.75">
      <c r="A8615" s="10"/>
      <c r="B8615" s="10"/>
      <c r="C8615" s="10"/>
      <c r="D8615" s="10"/>
      <c r="E8615" s="10"/>
      <c r="F8615" s="10"/>
      <c r="G8615" s="10"/>
      <c r="H8615" s="10"/>
      <c r="I8615" s="10"/>
      <c r="J8615" s="10"/>
      <c r="K8615" s="10"/>
      <c r="L8615" s="10"/>
      <c r="M8615" s="10"/>
      <c r="N8615" s="10"/>
      <c r="O8615" s="10"/>
      <c r="P8615" s="10"/>
      <c r="Q8615" s="10"/>
      <c r="R8615" s="10"/>
      <c r="S8615" s="10"/>
      <c r="T8615" s="10"/>
      <c r="U8615" s="10"/>
      <c r="V8615" s="10"/>
      <c r="W8615" s="10"/>
      <c r="X8615" s="10"/>
      <c r="Y8615" s="10"/>
      <c r="Z8615" s="10"/>
    </row>
    <row r="8616" spans="1:26" ht="12.75">
      <c r="A8616" s="10"/>
      <c r="B8616" s="10"/>
      <c r="C8616" s="10"/>
      <c r="D8616" s="10"/>
      <c r="E8616" s="10"/>
      <c r="F8616" s="10"/>
      <c r="G8616" s="10"/>
      <c r="H8616" s="10"/>
      <c r="I8616" s="10"/>
      <c r="J8616" s="10"/>
      <c r="K8616" s="10"/>
      <c r="L8616" s="10"/>
      <c r="M8616" s="10"/>
      <c r="N8616" s="10"/>
      <c r="O8616" s="10"/>
      <c r="P8616" s="10"/>
      <c r="Q8616" s="10"/>
      <c r="R8616" s="10"/>
      <c r="S8616" s="10"/>
      <c r="T8616" s="10"/>
      <c r="U8616" s="10"/>
      <c r="V8616" s="10"/>
      <c r="W8616" s="10"/>
      <c r="X8616" s="10"/>
      <c r="Y8616" s="10"/>
      <c r="Z8616" s="10"/>
    </row>
    <row r="8617" spans="1:26" ht="12.75">
      <c r="A8617" s="10"/>
      <c r="B8617" s="10"/>
      <c r="C8617" s="10"/>
      <c r="D8617" s="10"/>
      <c r="E8617" s="10"/>
      <c r="F8617" s="10"/>
      <c r="G8617" s="10"/>
      <c r="H8617" s="10"/>
      <c r="I8617" s="10"/>
      <c r="J8617" s="10"/>
      <c r="K8617" s="10"/>
      <c r="L8617" s="10"/>
      <c r="M8617" s="10"/>
      <c r="N8617" s="10"/>
      <c r="O8617" s="10"/>
      <c r="P8617" s="10"/>
      <c r="Q8617" s="10"/>
      <c r="R8617" s="10"/>
      <c r="S8617" s="10"/>
      <c r="T8617" s="10"/>
      <c r="U8617" s="10"/>
      <c r="V8617" s="10"/>
      <c r="W8617" s="10"/>
      <c r="X8617" s="10"/>
      <c r="Y8617" s="10"/>
      <c r="Z8617" s="10"/>
    </row>
    <row r="8618" spans="1:26" ht="12.75">
      <c r="A8618" s="10"/>
      <c r="B8618" s="10"/>
      <c r="C8618" s="10"/>
      <c r="D8618" s="10"/>
      <c r="E8618" s="10"/>
      <c r="F8618" s="10"/>
      <c r="G8618" s="10"/>
      <c r="H8618" s="10"/>
      <c r="I8618" s="10"/>
      <c r="J8618" s="10"/>
      <c r="K8618" s="10"/>
      <c r="L8618" s="10"/>
      <c r="M8618" s="10"/>
      <c r="N8618" s="10"/>
      <c r="O8618" s="10"/>
      <c r="P8618" s="10"/>
      <c r="Q8618" s="10"/>
      <c r="R8618" s="10"/>
      <c r="S8618" s="10"/>
      <c r="T8618" s="10"/>
      <c r="U8618" s="10"/>
      <c r="V8618" s="10"/>
      <c r="W8618" s="10"/>
      <c r="X8618" s="10"/>
      <c r="Y8618" s="10"/>
      <c r="Z8618" s="10"/>
    </row>
    <row r="8619" spans="1:26" ht="12.75">
      <c r="A8619" s="10"/>
      <c r="B8619" s="10"/>
      <c r="C8619" s="10"/>
      <c r="D8619" s="10"/>
      <c r="E8619" s="10"/>
      <c r="F8619" s="10"/>
      <c r="G8619" s="10"/>
      <c r="H8619" s="10"/>
      <c r="I8619" s="10"/>
      <c r="J8619" s="10"/>
      <c r="K8619" s="10"/>
      <c r="L8619" s="10"/>
      <c r="M8619" s="10"/>
      <c r="N8619" s="10"/>
      <c r="O8619" s="10"/>
      <c r="P8619" s="10"/>
      <c r="Q8619" s="10"/>
      <c r="R8619" s="10"/>
      <c r="S8619" s="10"/>
      <c r="T8619" s="10"/>
      <c r="U8619" s="10"/>
      <c r="V8619" s="10"/>
      <c r="W8619" s="10"/>
      <c r="X8619" s="10"/>
      <c r="Y8619" s="10"/>
      <c r="Z8619" s="10"/>
    </row>
    <row r="8620" spans="1:26" ht="12.75">
      <c r="A8620" s="10"/>
      <c r="B8620" s="10"/>
      <c r="C8620" s="10"/>
      <c r="D8620" s="10"/>
      <c r="E8620" s="10"/>
      <c r="F8620" s="10"/>
      <c r="G8620" s="10"/>
      <c r="H8620" s="10"/>
      <c r="I8620" s="10"/>
      <c r="J8620" s="10"/>
      <c r="K8620" s="10"/>
      <c r="L8620" s="10"/>
      <c r="M8620" s="10"/>
      <c r="N8620" s="10"/>
      <c r="O8620" s="10"/>
      <c r="P8620" s="10"/>
      <c r="Q8620" s="10"/>
      <c r="R8620" s="10"/>
      <c r="S8620" s="10"/>
      <c r="T8620" s="10"/>
      <c r="U8620" s="10"/>
      <c r="V8620" s="10"/>
      <c r="W8620" s="10"/>
      <c r="X8620" s="10"/>
      <c r="Y8620" s="10"/>
      <c r="Z8620" s="10"/>
    </row>
    <row r="8621" spans="1:26" ht="12.75">
      <c r="A8621" s="10"/>
      <c r="B8621" s="10"/>
      <c r="C8621" s="10"/>
      <c r="D8621" s="10"/>
      <c r="E8621" s="10"/>
      <c r="F8621" s="10"/>
      <c r="G8621" s="10"/>
      <c r="H8621" s="10"/>
      <c r="I8621" s="10"/>
      <c r="J8621" s="10"/>
      <c r="K8621" s="10"/>
      <c r="L8621" s="10"/>
      <c r="M8621" s="10"/>
      <c r="N8621" s="10"/>
      <c r="O8621" s="10"/>
      <c r="P8621" s="10"/>
      <c r="Q8621" s="10"/>
      <c r="R8621" s="10"/>
      <c r="S8621" s="10"/>
      <c r="T8621" s="10"/>
      <c r="U8621" s="10"/>
      <c r="V8621" s="10"/>
      <c r="W8621" s="10"/>
      <c r="X8621" s="10"/>
      <c r="Y8621" s="10"/>
      <c r="Z8621" s="10"/>
    </row>
    <row r="8622" spans="1:26" ht="12.75">
      <c r="A8622" s="10"/>
      <c r="B8622" s="10"/>
      <c r="C8622" s="10"/>
      <c r="D8622" s="10"/>
      <c r="E8622" s="10"/>
      <c r="F8622" s="10"/>
      <c r="G8622" s="10"/>
      <c r="H8622" s="10"/>
      <c r="I8622" s="10"/>
      <c r="J8622" s="10"/>
      <c r="K8622" s="10"/>
      <c r="L8622" s="10"/>
      <c r="M8622" s="10"/>
      <c r="N8622" s="10"/>
      <c r="O8622" s="10"/>
      <c r="P8622" s="10"/>
      <c r="Q8622" s="10"/>
      <c r="R8622" s="10"/>
      <c r="S8622" s="10"/>
      <c r="T8622" s="10"/>
      <c r="U8622" s="10"/>
      <c r="V8622" s="10"/>
      <c r="W8622" s="10"/>
      <c r="X8622" s="10"/>
      <c r="Y8622" s="10"/>
      <c r="Z8622" s="10"/>
    </row>
    <row r="8623" spans="1:26" ht="12.75">
      <c r="A8623" s="10"/>
      <c r="B8623" s="10"/>
      <c r="C8623" s="10"/>
      <c r="D8623" s="10"/>
      <c r="E8623" s="10"/>
      <c r="F8623" s="10"/>
      <c r="G8623" s="10"/>
      <c r="H8623" s="10"/>
      <c r="I8623" s="10"/>
      <c r="J8623" s="10"/>
      <c r="K8623" s="10"/>
      <c r="L8623" s="10"/>
      <c r="M8623" s="10"/>
      <c r="N8623" s="10"/>
      <c r="O8623" s="10"/>
      <c r="P8623" s="10"/>
      <c r="Q8623" s="10"/>
      <c r="R8623" s="10"/>
      <c r="S8623" s="10"/>
      <c r="T8623" s="10"/>
      <c r="U8623" s="10"/>
      <c r="V8623" s="10"/>
      <c r="W8623" s="10"/>
      <c r="X8623" s="10"/>
      <c r="Y8623" s="10"/>
      <c r="Z8623" s="10"/>
    </row>
    <row r="8624" spans="1:26" ht="12.75">
      <c r="A8624" s="10"/>
      <c r="B8624" s="10"/>
      <c r="C8624" s="10"/>
      <c r="D8624" s="10"/>
      <c r="E8624" s="10"/>
      <c r="F8624" s="10"/>
      <c r="G8624" s="10"/>
      <c r="H8624" s="10"/>
      <c r="I8624" s="10"/>
      <c r="J8624" s="10"/>
      <c r="K8624" s="10"/>
      <c r="L8624" s="10"/>
      <c r="M8624" s="10"/>
      <c r="N8624" s="10"/>
      <c r="O8624" s="10"/>
      <c r="P8624" s="10"/>
      <c r="Q8624" s="10"/>
      <c r="R8624" s="10"/>
      <c r="S8624" s="10"/>
      <c r="T8624" s="10"/>
      <c r="U8624" s="10"/>
      <c r="V8624" s="10"/>
      <c r="W8624" s="10"/>
      <c r="X8624" s="10"/>
      <c r="Y8624" s="10"/>
      <c r="Z8624" s="10"/>
    </row>
    <row r="8625" spans="1:26" ht="12.75">
      <c r="A8625" s="10"/>
      <c r="B8625" s="10"/>
      <c r="C8625" s="10"/>
      <c r="D8625" s="10"/>
      <c r="E8625" s="10"/>
      <c r="F8625" s="10"/>
      <c r="G8625" s="10"/>
      <c r="H8625" s="10"/>
      <c r="I8625" s="10"/>
      <c r="J8625" s="10"/>
      <c r="K8625" s="10"/>
      <c r="L8625" s="10"/>
      <c r="M8625" s="10"/>
      <c r="N8625" s="10"/>
      <c r="O8625" s="10"/>
      <c r="P8625" s="10"/>
      <c r="Q8625" s="10"/>
      <c r="R8625" s="10"/>
      <c r="S8625" s="10"/>
      <c r="T8625" s="10"/>
      <c r="U8625" s="10"/>
      <c r="V8625" s="10"/>
      <c r="W8625" s="10"/>
      <c r="X8625" s="10"/>
      <c r="Y8625" s="10"/>
      <c r="Z8625" s="10"/>
    </row>
    <row r="8626" spans="1:26" ht="12.75">
      <c r="A8626" s="10"/>
      <c r="B8626" s="10"/>
      <c r="C8626" s="10"/>
      <c r="D8626" s="10"/>
      <c r="E8626" s="10"/>
      <c r="F8626" s="10"/>
      <c r="G8626" s="10"/>
      <c r="H8626" s="10"/>
      <c r="I8626" s="10"/>
      <c r="J8626" s="10"/>
      <c r="K8626" s="10"/>
      <c r="L8626" s="10"/>
      <c r="M8626" s="10"/>
      <c r="N8626" s="10"/>
      <c r="O8626" s="10"/>
      <c r="P8626" s="10"/>
      <c r="Q8626" s="10"/>
      <c r="R8626" s="10"/>
      <c r="S8626" s="10"/>
      <c r="T8626" s="10"/>
      <c r="U8626" s="10"/>
      <c r="V8626" s="10"/>
      <c r="W8626" s="10"/>
      <c r="X8626" s="10"/>
      <c r="Y8626" s="10"/>
      <c r="Z8626" s="10"/>
    </row>
    <row r="8627" spans="1:26" ht="12.75">
      <c r="A8627" s="10"/>
      <c r="B8627" s="10"/>
      <c r="C8627" s="10"/>
      <c r="D8627" s="10"/>
      <c r="E8627" s="10"/>
      <c r="F8627" s="10"/>
      <c r="G8627" s="10"/>
      <c r="H8627" s="10"/>
      <c r="I8627" s="10"/>
      <c r="J8627" s="10"/>
      <c r="K8627" s="10"/>
      <c r="L8627" s="10"/>
      <c r="M8627" s="10"/>
      <c r="N8627" s="10"/>
      <c r="O8627" s="10"/>
      <c r="P8627" s="10"/>
      <c r="Q8627" s="10"/>
      <c r="R8627" s="10"/>
      <c r="S8627" s="10"/>
      <c r="T8627" s="10"/>
      <c r="U8627" s="10"/>
      <c r="V8627" s="10"/>
      <c r="W8627" s="10"/>
      <c r="X8627" s="10"/>
      <c r="Y8627" s="10"/>
      <c r="Z8627" s="10"/>
    </row>
    <row r="8628" spans="1:26" ht="12.75">
      <c r="A8628" s="10"/>
      <c r="B8628" s="10"/>
      <c r="C8628" s="10"/>
      <c r="D8628" s="10"/>
      <c r="E8628" s="10"/>
      <c r="F8628" s="10"/>
      <c r="G8628" s="10"/>
      <c r="H8628" s="10"/>
      <c r="I8628" s="10"/>
      <c r="J8628" s="10"/>
      <c r="K8628" s="10"/>
      <c r="L8628" s="10"/>
      <c r="M8628" s="10"/>
      <c r="N8628" s="10"/>
      <c r="O8628" s="10"/>
      <c r="P8628" s="10"/>
      <c r="Q8628" s="10"/>
      <c r="R8628" s="10"/>
      <c r="S8628" s="10"/>
      <c r="T8628" s="10"/>
      <c r="U8628" s="10"/>
      <c r="V8628" s="10"/>
      <c r="W8628" s="10"/>
      <c r="X8628" s="10"/>
      <c r="Y8628" s="10"/>
      <c r="Z8628" s="10"/>
    </row>
    <row r="8629" spans="1:26" ht="12.75">
      <c r="A8629" s="10"/>
      <c r="B8629" s="10"/>
      <c r="C8629" s="10"/>
      <c r="D8629" s="10"/>
      <c r="E8629" s="10"/>
      <c r="F8629" s="10"/>
      <c r="G8629" s="10"/>
      <c r="H8629" s="10"/>
      <c r="I8629" s="10"/>
      <c r="J8629" s="10"/>
      <c r="K8629" s="10"/>
      <c r="L8629" s="10"/>
      <c r="M8629" s="10"/>
      <c r="N8629" s="10"/>
      <c r="O8629" s="10"/>
      <c r="P8629" s="10"/>
      <c r="Q8629" s="10"/>
      <c r="R8629" s="10"/>
      <c r="S8629" s="10"/>
      <c r="T8629" s="10"/>
      <c r="U8629" s="10"/>
      <c r="V8629" s="10"/>
      <c r="W8629" s="10"/>
      <c r="X8629" s="10"/>
      <c r="Y8629" s="10"/>
      <c r="Z8629" s="10"/>
    </row>
    <row r="8630" spans="1:26" ht="12.75">
      <c r="A8630" s="10"/>
      <c r="B8630" s="10"/>
      <c r="C8630" s="10"/>
      <c r="D8630" s="10"/>
      <c r="E8630" s="10"/>
      <c r="F8630" s="10"/>
      <c r="G8630" s="10"/>
      <c r="H8630" s="10"/>
      <c r="I8630" s="10"/>
      <c r="J8630" s="10"/>
      <c r="K8630" s="10"/>
      <c r="L8630" s="10"/>
      <c r="M8630" s="10"/>
      <c r="N8630" s="10"/>
      <c r="O8630" s="10"/>
      <c r="P8630" s="10"/>
      <c r="Q8630" s="10"/>
      <c r="R8630" s="10"/>
      <c r="S8630" s="10"/>
      <c r="T8630" s="10"/>
      <c r="U8630" s="10"/>
      <c r="V8630" s="10"/>
      <c r="W8630" s="10"/>
      <c r="X8630" s="10"/>
      <c r="Y8630" s="10"/>
      <c r="Z8630" s="10"/>
    </row>
    <row r="8631" spans="1:26" ht="12.75">
      <c r="A8631" s="10"/>
      <c r="B8631" s="10"/>
      <c r="C8631" s="10"/>
      <c r="D8631" s="10"/>
      <c r="E8631" s="10"/>
      <c r="F8631" s="10"/>
      <c r="G8631" s="10"/>
      <c r="H8631" s="10"/>
      <c r="I8631" s="10"/>
      <c r="J8631" s="10"/>
      <c r="K8631" s="10"/>
      <c r="L8631" s="10"/>
      <c r="M8631" s="10"/>
      <c r="N8631" s="10"/>
      <c r="O8631" s="10"/>
      <c r="P8631" s="10"/>
      <c r="Q8631" s="10"/>
      <c r="R8631" s="10"/>
      <c r="S8631" s="10"/>
      <c r="T8631" s="10"/>
      <c r="U8631" s="10"/>
      <c r="V8631" s="10"/>
      <c r="W8631" s="10"/>
      <c r="X8631" s="10"/>
      <c r="Y8631" s="10"/>
      <c r="Z8631" s="10"/>
    </row>
    <row r="8632" spans="1:26" ht="12.75">
      <c r="A8632" s="10"/>
      <c r="B8632" s="10"/>
      <c r="C8632" s="10"/>
      <c r="D8632" s="10"/>
      <c r="E8632" s="10"/>
      <c r="F8632" s="10"/>
      <c r="G8632" s="10"/>
      <c r="H8632" s="10"/>
      <c r="I8632" s="10"/>
      <c r="J8632" s="10"/>
      <c r="K8632" s="10"/>
      <c r="L8632" s="10"/>
      <c r="M8632" s="10"/>
      <c r="N8632" s="10"/>
      <c r="O8632" s="10"/>
      <c r="P8632" s="10"/>
      <c r="Q8632" s="10"/>
      <c r="R8632" s="10"/>
      <c r="S8632" s="10"/>
      <c r="T8632" s="10"/>
      <c r="U8632" s="10"/>
      <c r="V8632" s="10"/>
      <c r="W8632" s="10"/>
      <c r="X8632" s="10"/>
      <c r="Y8632" s="10"/>
      <c r="Z8632" s="10"/>
    </row>
    <row r="8633" spans="1:26" ht="12.75">
      <c r="A8633" s="10"/>
      <c r="B8633" s="10"/>
      <c r="C8633" s="10"/>
      <c r="D8633" s="10"/>
      <c r="E8633" s="10"/>
      <c r="F8633" s="10"/>
      <c r="G8633" s="10"/>
      <c r="H8633" s="10"/>
      <c r="I8633" s="10"/>
      <c r="J8633" s="10"/>
      <c r="K8633" s="10"/>
      <c r="L8633" s="10"/>
      <c r="M8633" s="10"/>
      <c r="N8633" s="10"/>
      <c r="O8633" s="10"/>
      <c r="P8633" s="10"/>
      <c r="Q8633" s="10"/>
      <c r="R8633" s="10"/>
      <c r="S8633" s="10"/>
      <c r="T8633" s="10"/>
      <c r="U8633" s="10"/>
      <c r="V8633" s="10"/>
      <c r="W8633" s="10"/>
      <c r="X8633" s="10"/>
      <c r="Y8633" s="10"/>
      <c r="Z8633" s="10"/>
    </row>
    <row r="8634" spans="1:26" ht="12.75">
      <c r="A8634" s="10"/>
      <c r="B8634" s="10"/>
      <c r="C8634" s="10"/>
      <c r="D8634" s="10"/>
      <c r="E8634" s="10"/>
      <c r="F8634" s="10"/>
      <c r="G8634" s="10"/>
      <c r="H8634" s="10"/>
      <c r="I8634" s="10"/>
      <c r="J8634" s="10"/>
      <c r="K8634" s="10"/>
      <c r="L8634" s="10"/>
      <c r="M8634" s="10"/>
      <c r="N8634" s="10"/>
      <c r="O8634" s="10"/>
      <c r="P8634" s="10"/>
      <c r="Q8634" s="10"/>
      <c r="R8634" s="10"/>
      <c r="S8634" s="10"/>
      <c r="T8634" s="10"/>
      <c r="U8634" s="10"/>
      <c r="V8634" s="10"/>
      <c r="W8634" s="10"/>
      <c r="X8634" s="10"/>
      <c r="Y8634" s="10"/>
      <c r="Z8634" s="10"/>
    </row>
    <row r="8635" spans="1:26" ht="12.75">
      <c r="A8635" s="10"/>
      <c r="B8635" s="10"/>
      <c r="C8635" s="10"/>
      <c r="D8635" s="10"/>
      <c r="E8635" s="10"/>
      <c r="F8635" s="10"/>
      <c r="G8635" s="10"/>
      <c r="H8635" s="10"/>
      <c r="I8635" s="10"/>
      <c r="J8635" s="10"/>
      <c r="K8635" s="10"/>
      <c r="L8635" s="10"/>
      <c r="M8635" s="10"/>
      <c r="N8635" s="10"/>
      <c r="O8635" s="10"/>
      <c r="P8635" s="10"/>
      <c r="Q8635" s="10"/>
      <c r="R8635" s="10"/>
      <c r="S8635" s="10"/>
      <c r="T8635" s="10"/>
      <c r="U8635" s="10"/>
      <c r="V8635" s="10"/>
      <c r="W8635" s="10"/>
      <c r="X8635" s="10"/>
      <c r="Y8635" s="10"/>
      <c r="Z8635" s="10"/>
    </row>
    <row r="8636" spans="1:26" ht="12.75">
      <c r="A8636" s="10"/>
      <c r="B8636" s="10"/>
      <c r="C8636" s="10"/>
      <c r="D8636" s="10"/>
      <c r="E8636" s="10"/>
      <c r="F8636" s="10"/>
      <c r="G8636" s="10"/>
      <c r="H8636" s="10"/>
      <c r="I8636" s="10"/>
      <c r="J8636" s="10"/>
      <c r="K8636" s="10"/>
      <c r="L8636" s="10"/>
      <c r="M8636" s="10"/>
      <c r="N8636" s="10"/>
      <c r="O8636" s="10"/>
      <c r="P8636" s="10"/>
      <c r="Q8636" s="10"/>
      <c r="R8636" s="10"/>
      <c r="S8636" s="10"/>
      <c r="T8636" s="10"/>
      <c r="U8636" s="10"/>
      <c r="V8636" s="10"/>
      <c r="W8636" s="10"/>
      <c r="X8636" s="10"/>
      <c r="Y8636" s="10"/>
      <c r="Z8636" s="10"/>
    </row>
    <row r="8637" spans="1:26" ht="12.75">
      <c r="A8637" s="10"/>
      <c r="B8637" s="10"/>
      <c r="C8637" s="10"/>
      <c r="D8637" s="10"/>
      <c r="E8637" s="10"/>
      <c r="F8637" s="10"/>
      <c r="G8637" s="10"/>
      <c r="H8637" s="10"/>
      <c r="I8637" s="10"/>
      <c r="J8637" s="10"/>
      <c r="K8637" s="10"/>
      <c r="L8637" s="10"/>
      <c r="M8637" s="10"/>
      <c r="N8637" s="10"/>
      <c r="O8637" s="10"/>
      <c r="P8637" s="10"/>
      <c r="Q8637" s="10"/>
      <c r="R8637" s="10"/>
      <c r="S8637" s="10"/>
      <c r="T8637" s="10"/>
      <c r="U8637" s="10"/>
      <c r="V8637" s="10"/>
      <c r="W8637" s="10"/>
      <c r="X8637" s="10"/>
      <c r="Y8637" s="10"/>
      <c r="Z8637" s="10"/>
    </row>
    <row r="8638" spans="1:26" ht="12.75">
      <c r="A8638" s="10"/>
      <c r="B8638" s="10"/>
      <c r="C8638" s="10"/>
      <c r="D8638" s="10"/>
      <c r="E8638" s="10"/>
      <c r="F8638" s="10"/>
      <c r="G8638" s="10"/>
      <c r="H8638" s="10"/>
      <c r="I8638" s="10"/>
      <c r="J8638" s="10"/>
      <c r="K8638" s="10"/>
      <c r="L8638" s="10"/>
      <c r="M8638" s="10"/>
      <c r="N8638" s="10"/>
      <c r="O8638" s="10"/>
      <c r="P8638" s="10"/>
      <c r="Q8638" s="10"/>
      <c r="R8638" s="10"/>
      <c r="S8638" s="10"/>
      <c r="T8638" s="10"/>
      <c r="U8638" s="10"/>
      <c r="V8638" s="10"/>
      <c r="W8638" s="10"/>
      <c r="X8638" s="10"/>
      <c r="Y8638" s="10"/>
      <c r="Z8638" s="10"/>
    </row>
    <row r="8639" spans="1:26" ht="12.75">
      <c r="A8639" s="10"/>
      <c r="B8639" s="10"/>
      <c r="C8639" s="10"/>
      <c r="D8639" s="10"/>
      <c r="E8639" s="10"/>
      <c r="F8639" s="10"/>
      <c r="G8639" s="10"/>
      <c r="H8639" s="10"/>
      <c r="I8639" s="10"/>
      <c r="J8639" s="10"/>
      <c r="K8639" s="10"/>
      <c r="L8639" s="10"/>
      <c r="M8639" s="10"/>
      <c r="N8639" s="10"/>
      <c r="O8639" s="10"/>
      <c r="P8639" s="10"/>
      <c r="Q8639" s="10"/>
      <c r="R8639" s="10"/>
      <c r="S8639" s="10"/>
      <c r="T8639" s="10"/>
      <c r="U8639" s="10"/>
      <c r="V8639" s="10"/>
      <c r="W8639" s="10"/>
      <c r="X8639" s="10"/>
      <c r="Y8639" s="10"/>
      <c r="Z8639" s="10"/>
    </row>
    <row r="8640" spans="1:26" ht="12.75">
      <c r="A8640" s="10"/>
      <c r="B8640" s="10"/>
      <c r="C8640" s="10"/>
      <c r="D8640" s="10"/>
      <c r="E8640" s="10"/>
      <c r="F8640" s="10"/>
      <c r="G8640" s="10"/>
      <c r="H8640" s="10"/>
      <c r="I8640" s="10"/>
      <c r="J8640" s="10"/>
      <c r="K8640" s="10"/>
      <c r="L8640" s="10"/>
      <c r="M8640" s="10"/>
      <c r="N8640" s="10"/>
      <c r="O8640" s="10"/>
      <c r="P8640" s="10"/>
      <c r="Q8640" s="10"/>
      <c r="R8640" s="10"/>
      <c r="S8640" s="10"/>
      <c r="T8640" s="10"/>
      <c r="U8640" s="10"/>
      <c r="V8640" s="10"/>
      <c r="W8640" s="10"/>
      <c r="X8640" s="10"/>
      <c r="Y8640" s="10"/>
      <c r="Z8640" s="10"/>
    </row>
    <row r="8641" spans="1:26" ht="12.75">
      <c r="A8641" s="10"/>
      <c r="B8641" s="10"/>
      <c r="C8641" s="10"/>
      <c r="D8641" s="10"/>
      <c r="E8641" s="10"/>
      <c r="F8641" s="10"/>
      <c r="G8641" s="10"/>
      <c r="H8641" s="10"/>
      <c r="I8641" s="10"/>
      <c r="J8641" s="10"/>
      <c r="K8641" s="10"/>
      <c r="L8641" s="10"/>
      <c r="M8641" s="10"/>
      <c r="N8641" s="10"/>
      <c r="O8641" s="10"/>
      <c r="P8641" s="10"/>
      <c r="Q8641" s="10"/>
      <c r="R8641" s="10"/>
      <c r="S8641" s="10"/>
      <c r="T8641" s="10"/>
      <c r="U8641" s="10"/>
      <c r="V8641" s="10"/>
      <c r="W8641" s="10"/>
      <c r="X8641" s="10"/>
      <c r="Y8641" s="10"/>
      <c r="Z8641" s="10"/>
    </row>
    <row r="8642" spans="1:26" ht="12.75">
      <c r="A8642" s="10"/>
      <c r="B8642" s="10"/>
      <c r="C8642" s="10"/>
      <c r="D8642" s="10"/>
      <c r="E8642" s="10"/>
      <c r="F8642" s="10"/>
      <c r="G8642" s="10"/>
      <c r="H8642" s="10"/>
      <c r="I8642" s="10"/>
      <c r="J8642" s="10"/>
      <c r="K8642" s="10"/>
      <c r="L8642" s="10"/>
      <c r="M8642" s="10"/>
      <c r="N8642" s="10"/>
      <c r="O8642" s="10"/>
      <c r="P8642" s="10"/>
      <c r="Q8642" s="10"/>
      <c r="R8642" s="10"/>
      <c r="S8642" s="10"/>
      <c r="T8642" s="10"/>
      <c r="U8642" s="10"/>
      <c r="V8642" s="10"/>
      <c r="W8642" s="10"/>
      <c r="X8642" s="10"/>
      <c r="Y8642" s="10"/>
      <c r="Z8642" s="10"/>
    </row>
    <row r="8643" spans="1:26" ht="12.75">
      <c r="A8643" s="10"/>
      <c r="B8643" s="10"/>
      <c r="C8643" s="10"/>
      <c r="D8643" s="10"/>
      <c r="E8643" s="10"/>
      <c r="F8643" s="10"/>
      <c r="G8643" s="10"/>
      <c r="H8643" s="10"/>
      <c r="I8643" s="10"/>
      <c r="J8643" s="10"/>
      <c r="K8643" s="10"/>
      <c r="L8643" s="10"/>
      <c r="M8643" s="10"/>
      <c r="N8643" s="10"/>
      <c r="O8643" s="10"/>
      <c r="P8643" s="10"/>
      <c r="Q8643" s="10"/>
      <c r="R8643" s="10"/>
      <c r="S8643" s="10"/>
      <c r="T8643" s="10"/>
      <c r="U8643" s="10"/>
      <c r="V8643" s="10"/>
      <c r="W8643" s="10"/>
      <c r="X8643" s="10"/>
      <c r="Y8643" s="10"/>
      <c r="Z8643" s="10"/>
    </row>
    <row r="8644" spans="1:26" ht="12.75">
      <c r="A8644" s="10"/>
      <c r="B8644" s="10"/>
      <c r="C8644" s="10"/>
      <c r="D8644" s="10"/>
      <c r="E8644" s="10"/>
      <c r="F8644" s="10"/>
      <c r="G8644" s="10"/>
      <c r="H8644" s="10"/>
      <c r="I8644" s="10"/>
      <c r="J8644" s="10"/>
      <c r="K8644" s="10"/>
      <c r="L8644" s="10"/>
      <c r="M8644" s="10"/>
      <c r="N8644" s="10"/>
      <c r="O8644" s="10"/>
      <c r="P8644" s="10"/>
      <c r="Q8644" s="10"/>
      <c r="R8644" s="10"/>
      <c r="S8644" s="10"/>
      <c r="T8644" s="10"/>
      <c r="U8644" s="10"/>
      <c r="V8644" s="10"/>
      <c r="W8644" s="10"/>
      <c r="X8644" s="10"/>
      <c r="Y8644" s="10"/>
      <c r="Z8644" s="10"/>
    </row>
    <row r="8645" spans="1:26" ht="12.75">
      <c r="A8645" s="10"/>
      <c r="B8645" s="10"/>
      <c r="C8645" s="10"/>
      <c r="D8645" s="10"/>
      <c r="E8645" s="10"/>
      <c r="F8645" s="10"/>
      <c r="G8645" s="10"/>
      <c r="H8645" s="10"/>
      <c r="I8645" s="10"/>
      <c r="J8645" s="10"/>
      <c r="K8645" s="10"/>
      <c r="L8645" s="10"/>
      <c r="M8645" s="10"/>
      <c r="N8645" s="10"/>
      <c r="O8645" s="10"/>
      <c r="P8645" s="10"/>
      <c r="Q8645" s="10"/>
      <c r="R8645" s="10"/>
      <c r="S8645" s="10"/>
      <c r="T8645" s="10"/>
      <c r="U8645" s="10"/>
      <c r="V8645" s="10"/>
      <c r="W8645" s="10"/>
      <c r="X8645" s="10"/>
      <c r="Y8645" s="10"/>
      <c r="Z8645" s="10"/>
    </row>
    <row r="8646" spans="1:26" ht="12.75">
      <c r="A8646" s="10"/>
      <c r="B8646" s="10"/>
      <c r="C8646" s="10"/>
      <c r="D8646" s="10"/>
      <c r="E8646" s="10"/>
      <c r="F8646" s="10"/>
      <c r="G8646" s="10"/>
      <c r="H8646" s="10"/>
      <c r="I8646" s="10"/>
      <c r="J8646" s="10"/>
      <c r="K8646" s="10"/>
      <c r="L8646" s="10"/>
      <c r="M8646" s="10"/>
      <c r="N8646" s="10"/>
      <c r="O8646" s="10"/>
      <c r="P8646" s="10"/>
      <c r="Q8646" s="10"/>
      <c r="R8646" s="10"/>
      <c r="S8646" s="10"/>
      <c r="T8646" s="10"/>
      <c r="U8646" s="10"/>
      <c r="V8646" s="10"/>
      <c r="W8646" s="10"/>
      <c r="X8646" s="10"/>
      <c r="Y8646" s="10"/>
      <c r="Z8646" s="10"/>
    </row>
    <row r="8647" spans="1:26" ht="12.75">
      <c r="A8647" s="10"/>
      <c r="B8647" s="10"/>
      <c r="C8647" s="10"/>
      <c r="D8647" s="10"/>
      <c r="E8647" s="10"/>
      <c r="F8647" s="10"/>
      <c r="G8647" s="10"/>
      <c r="H8647" s="10"/>
      <c r="I8647" s="10"/>
      <c r="J8647" s="10"/>
      <c r="K8647" s="10"/>
      <c r="L8647" s="10"/>
      <c r="M8647" s="10"/>
      <c r="N8647" s="10"/>
      <c r="O8647" s="10"/>
      <c r="P8647" s="10"/>
      <c r="Q8647" s="10"/>
      <c r="R8647" s="10"/>
      <c r="S8647" s="10"/>
      <c r="T8647" s="10"/>
      <c r="U8647" s="10"/>
      <c r="V8647" s="10"/>
      <c r="W8647" s="10"/>
      <c r="X8647" s="10"/>
      <c r="Y8647" s="10"/>
      <c r="Z8647" s="10"/>
    </row>
    <row r="8648" spans="1:26" ht="12.75">
      <c r="A8648" s="10"/>
      <c r="B8648" s="10"/>
      <c r="C8648" s="10"/>
      <c r="D8648" s="10"/>
      <c r="E8648" s="10"/>
      <c r="F8648" s="10"/>
      <c r="G8648" s="10"/>
      <c r="H8648" s="10"/>
      <c r="I8648" s="10"/>
      <c r="J8648" s="10"/>
      <c r="K8648" s="10"/>
      <c r="L8648" s="10"/>
      <c r="M8648" s="10"/>
      <c r="N8648" s="10"/>
      <c r="O8648" s="10"/>
      <c r="P8648" s="10"/>
      <c r="Q8648" s="10"/>
      <c r="R8648" s="10"/>
      <c r="S8648" s="10"/>
      <c r="T8648" s="10"/>
      <c r="U8648" s="10"/>
      <c r="V8648" s="10"/>
      <c r="W8648" s="10"/>
      <c r="X8648" s="10"/>
      <c r="Y8648" s="10"/>
      <c r="Z8648" s="10"/>
    </row>
    <row r="8649" spans="1:26" ht="12.75">
      <c r="A8649" s="10"/>
      <c r="B8649" s="10"/>
      <c r="C8649" s="10"/>
      <c r="D8649" s="10"/>
      <c r="E8649" s="10"/>
      <c r="F8649" s="10"/>
      <c r="G8649" s="10"/>
      <c r="H8649" s="10"/>
      <c r="I8649" s="10"/>
      <c r="J8649" s="10"/>
      <c r="K8649" s="10"/>
      <c r="L8649" s="10"/>
      <c r="M8649" s="10"/>
      <c r="N8649" s="10"/>
      <c r="O8649" s="10"/>
      <c r="P8649" s="10"/>
      <c r="Q8649" s="10"/>
      <c r="R8649" s="10"/>
      <c r="S8649" s="10"/>
      <c r="T8649" s="10"/>
      <c r="U8649" s="10"/>
      <c r="V8649" s="10"/>
      <c r="W8649" s="10"/>
      <c r="X8649" s="10"/>
      <c r="Y8649" s="10"/>
      <c r="Z8649" s="10"/>
    </row>
    <row r="8650" spans="1:26" ht="12.75">
      <c r="A8650" s="10"/>
      <c r="B8650" s="10"/>
      <c r="C8650" s="10"/>
      <c r="D8650" s="10"/>
      <c r="E8650" s="10"/>
      <c r="F8650" s="10"/>
      <c r="G8650" s="10"/>
      <c r="H8650" s="10"/>
      <c r="I8650" s="10"/>
      <c r="J8650" s="10"/>
      <c r="K8650" s="10"/>
      <c r="L8650" s="10"/>
      <c r="M8650" s="10"/>
      <c r="N8650" s="10"/>
      <c r="O8650" s="10"/>
      <c r="P8650" s="10"/>
      <c r="Q8650" s="10"/>
      <c r="R8650" s="10"/>
      <c r="S8650" s="10"/>
      <c r="T8650" s="10"/>
      <c r="U8650" s="10"/>
      <c r="V8650" s="10"/>
      <c r="W8650" s="10"/>
      <c r="X8650" s="10"/>
      <c r="Y8650" s="10"/>
      <c r="Z8650" s="10"/>
    </row>
    <row r="8651" spans="1:26" ht="12.75">
      <c r="A8651" s="10"/>
      <c r="B8651" s="10"/>
      <c r="C8651" s="10"/>
      <c r="D8651" s="10"/>
      <c r="E8651" s="10"/>
      <c r="F8651" s="10"/>
      <c r="G8651" s="10"/>
      <c r="H8651" s="10"/>
      <c r="I8651" s="10"/>
      <c r="J8651" s="10"/>
      <c r="K8651" s="10"/>
      <c r="L8651" s="10"/>
      <c r="M8651" s="10"/>
      <c r="N8651" s="10"/>
      <c r="O8651" s="10"/>
      <c r="P8651" s="10"/>
      <c r="Q8651" s="10"/>
      <c r="R8651" s="10"/>
      <c r="S8651" s="10"/>
      <c r="T8651" s="10"/>
      <c r="U8651" s="10"/>
      <c r="V8651" s="10"/>
      <c r="W8651" s="10"/>
      <c r="X8651" s="10"/>
      <c r="Y8651" s="10"/>
      <c r="Z8651" s="10"/>
    </row>
    <row r="8652" spans="1:26" ht="12.75">
      <c r="A8652" s="10"/>
      <c r="B8652" s="10"/>
      <c r="C8652" s="10"/>
      <c r="D8652" s="10"/>
      <c r="E8652" s="10"/>
      <c r="F8652" s="10"/>
      <c r="G8652" s="10"/>
      <c r="H8652" s="10"/>
      <c r="I8652" s="10"/>
      <c r="J8652" s="10"/>
      <c r="K8652" s="10"/>
      <c r="L8652" s="10"/>
      <c r="M8652" s="10"/>
      <c r="N8652" s="10"/>
      <c r="O8652" s="10"/>
      <c r="P8652" s="10"/>
      <c r="Q8652" s="10"/>
      <c r="R8652" s="10"/>
      <c r="S8652" s="10"/>
      <c r="T8652" s="10"/>
      <c r="U8652" s="10"/>
      <c r="V8652" s="10"/>
      <c r="W8652" s="10"/>
      <c r="X8652" s="10"/>
      <c r="Y8652" s="10"/>
      <c r="Z8652" s="10"/>
    </row>
    <row r="8653" spans="1:26" ht="12.75">
      <c r="A8653" s="10"/>
      <c r="B8653" s="10"/>
      <c r="C8653" s="10"/>
      <c r="D8653" s="10"/>
      <c r="E8653" s="10"/>
      <c r="F8653" s="10"/>
      <c r="G8653" s="10"/>
      <c r="H8653" s="10"/>
      <c r="I8653" s="10"/>
      <c r="J8653" s="10"/>
      <c r="K8653" s="10"/>
      <c r="L8653" s="10"/>
      <c r="M8653" s="10"/>
      <c r="N8653" s="10"/>
      <c r="O8653" s="10"/>
      <c r="P8653" s="10"/>
      <c r="Q8653" s="10"/>
      <c r="R8653" s="10"/>
      <c r="S8653" s="10"/>
      <c r="T8653" s="10"/>
      <c r="U8653" s="10"/>
      <c r="V8653" s="10"/>
      <c r="W8653" s="10"/>
      <c r="X8653" s="10"/>
      <c r="Y8653" s="10"/>
      <c r="Z8653" s="10"/>
    </row>
    <row r="8654" spans="1:26" ht="12.75">
      <c r="A8654" s="10"/>
      <c r="B8654" s="10"/>
      <c r="C8654" s="10"/>
      <c r="D8654" s="10"/>
      <c r="E8654" s="10"/>
      <c r="F8654" s="10"/>
      <c r="G8654" s="10"/>
      <c r="H8654" s="10"/>
      <c r="I8654" s="10"/>
      <c r="J8654" s="10"/>
      <c r="K8654" s="10"/>
      <c r="L8654" s="10"/>
      <c r="M8654" s="10"/>
      <c r="N8654" s="10"/>
      <c r="O8654" s="10"/>
      <c r="P8654" s="10"/>
      <c r="Q8654" s="10"/>
      <c r="R8654" s="10"/>
      <c r="S8654" s="10"/>
      <c r="T8654" s="10"/>
      <c r="U8654" s="10"/>
      <c r="V8654" s="10"/>
      <c r="W8654" s="10"/>
      <c r="X8654" s="10"/>
      <c r="Y8654" s="10"/>
      <c r="Z8654" s="10"/>
    </row>
    <row r="8655" spans="1:26" ht="12.75">
      <c r="A8655" s="10"/>
      <c r="B8655" s="10"/>
      <c r="C8655" s="10"/>
      <c r="D8655" s="10"/>
      <c r="E8655" s="10"/>
      <c r="F8655" s="10"/>
      <c r="G8655" s="10"/>
      <c r="H8655" s="10"/>
      <c r="I8655" s="10"/>
      <c r="J8655" s="10"/>
      <c r="K8655" s="10"/>
      <c r="L8655" s="10"/>
      <c r="M8655" s="10"/>
      <c r="N8655" s="10"/>
      <c r="O8655" s="10"/>
      <c r="P8655" s="10"/>
      <c r="Q8655" s="10"/>
      <c r="R8655" s="10"/>
      <c r="S8655" s="10"/>
      <c r="T8655" s="10"/>
      <c r="U8655" s="10"/>
      <c r="V8655" s="10"/>
      <c r="W8655" s="10"/>
      <c r="X8655" s="10"/>
      <c r="Y8655" s="10"/>
      <c r="Z8655" s="10"/>
    </row>
    <row r="8656" spans="1:26" ht="12.75">
      <c r="A8656" s="10"/>
      <c r="B8656" s="10"/>
      <c r="C8656" s="10"/>
      <c r="D8656" s="10"/>
      <c r="E8656" s="10"/>
      <c r="F8656" s="10"/>
      <c r="G8656" s="10"/>
      <c r="H8656" s="10"/>
      <c r="I8656" s="10"/>
      <c r="J8656" s="10"/>
      <c r="K8656" s="10"/>
      <c r="L8656" s="10"/>
      <c r="M8656" s="10"/>
      <c r="N8656" s="10"/>
      <c r="O8656" s="10"/>
      <c r="P8656" s="10"/>
      <c r="Q8656" s="10"/>
      <c r="R8656" s="10"/>
      <c r="S8656" s="10"/>
      <c r="T8656" s="10"/>
      <c r="U8656" s="10"/>
      <c r="V8656" s="10"/>
      <c r="W8656" s="10"/>
      <c r="X8656" s="10"/>
      <c r="Y8656" s="10"/>
      <c r="Z8656" s="10"/>
    </row>
    <row r="8657" spans="1:26" ht="12.75">
      <c r="A8657" s="10"/>
      <c r="B8657" s="10"/>
      <c r="C8657" s="10"/>
      <c r="D8657" s="10"/>
      <c r="E8657" s="10"/>
      <c r="F8657" s="10"/>
      <c r="G8657" s="10"/>
      <c r="H8657" s="10"/>
      <c r="I8657" s="10"/>
      <c r="J8657" s="10"/>
      <c r="K8657" s="10"/>
      <c r="L8657" s="10"/>
      <c r="M8657" s="10"/>
      <c r="N8657" s="10"/>
      <c r="O8657" s="10"/>
      <c r="P8657" s="10"/>
      <c r="Q8657" s="10"/>
      <c r="R8657" s="10"/>
      <c r="S8657" s="10"/>
      <c r="T8657" s="10"/>
      <c r="U8657" s="10"/>
      <c r="V8657" s="10"/>
      <c r="W8657" s="10"/>
      <c r="X8657" s="10"/>
      <c r="Y8657" s="10"/>
      <c r="Z8657" s="10"/>
    </row>
    <row r="8658" spans="1:26" ht="12.75">
      <c r="A8658" s="10"/>
      <c r="B8658" s="10"/>
      <c r="C8658" s="10"/>
      <c r="D8658" s="10"/>
      <c r="E8658" s="10"/>
      <c r="F8658" s="10"/>
      <c r="G8658" s="10"/>
      <c r="H8658" s="10"/>
      <c r="I8658" s="10"/>
      <c r="J8658" s="10"/>
      <c r="K8658" s="10"/>
      <c r="L8658" s="10"/>
      <c r="M8658" s="10"/>
      <c r="N8658" s="10"/>
      <c r="O8658" s="10"/>
      <c r="P8658" s="10"/>
      <c r="Q8658" s="10"/>
      <c r="R8658" s="10"/>
      <c r="S8658" s="10"/>
      <c r="T8658" s="10"/>
      <c r="U8658" s="10"/>
      <c r="V8658" s="10"/>
      <c r="W8658" s="10"/>
      <c r="X8658" s="10"/>
      <c r="Y8658" s="10"/>
      <c r="Z8658" s="10"/>
    </row>
    <row r="8659" spans="1:26" ht="12.75">
      <c r="A8659" s="10"/>
      <c r="B8659" s="10"/>
      <c r="C8659" s="10"/>
      <c r="D8659" s="10"/>
      <c r="E8659" s="10"/>
      <c r="F8659" s="10"/>
      <c r="G8659" s="10"/>
      <c r="H8659" s="10"/>
      <c r="I8659" s="10"/>
      <c r="J8659" s="10"/>
      <c r="K8659" s="10"/>
      <c r="L8659" s="10"/>
      <c r="M8659" s="10"/>
      <c r="N8659" s="10"/>
      <c r="O8659" s="10"/>
      <c r="P8659" s="10"/>
      <c r="Q8659" s="10"/>
      <c r="R8659" s="10"/>
      <c r="S8659" s="10"/>
      <c r="T8659" s="10"/>
      <c r="U8659" s="10"/>
      <c r="V8659" s="10"/>
      <c r="W8659" s="10"/>
      <c r="X8659" s="10"/>
      <c r="Y8659" s="10"/>
      <c r="Z8659" s="10"/>
    </row>
    <row r="8660" spans="1:26" ht="12.75">
      <c r="A8660" s="10"/>
      <c r="B8660" s="10"/>
      <c r="C8660" s="10"/>
      <c r="D8660" s="10"/>
      <c r="E8660" s="10"/>
      <c r="F8660" s="10"/>
      <c r="G8660" s="10"/>
      <c r="H8660" s="10"/>
      <c r="I8660" s="10"/>
      <c r="J8660" s="10"/>
      <c r="K8660" s="10"/>
      <c r="L8660" s="10"/>
      <c r="M8660" s="10"/>
      <c r="N8660" s="10"/>
      <c r="O8660" s="10"/>
      <c r="P8660" s="10"/>
      <c r="Q8660" s="10"/>
      <c r="R8660" s="10"/>
      <c r="S8660" s="10"/>
      <c r="T8660" s="10"/>
      <c r="U8660" s="10"/>
      <c r="V8660" s="10"/>
      <c r="W8660" s="10"/>
      <c r="X8660" s="10"/>
      <c r="Y8660" s="10"/>
      <c r="Z8660" s="10"/>
    </row>
    <row r="8661" spans="1:26" ht="12.75">
      <c r="A8661" s="10"/>
      <c r="B8661" s="10"/>
      <c r="C8661" s="10"/>
      <c r="D8661" s="10"/>
      <c r="E8661" s="10"/>
      <c r="F8661" s="10"/>
      <c r="G8661" s="10"/>
      <c r="H8661" s="10"/>
      <c r="I8661" s="10"/>
      <c r="J8661" s="10"/>
      <c r="K8661" s="10"/>
      <c r="L8661" s="10"/>
      <c r="M8661" s="10"/>
      <c r="N8661" s="10"/>
      <c r="O8661" s="10"/>
      <c r="P8661" s="10"/>
      <c r="Q8661" s="10"/>
      <c r="R8661" s="10"/>
      <c r="S8661" s="10"/>
      <c r="T8661" s="10"/>
      <c r="U8661" s="10"/>
      <c r="V8661" s="10"/>
      <c r="W8661" s="10"/>
      <c r="X8661" s="10"/>
      <c r="Y8661" s="10"/>
      <c r="Z8661" s="10"/>
    </row>
    <row r="8662" spans="1:26" ht="12.75">
      <c r="A8662" s="10"/>
      <c r="B8662" s="10"/>
      <c r="C8662" s="10"/>
      <c r="D8662" s="10"/>
      <c r="E8662" s="10"/>
      <c r="F8662" s="10"/>
      <c r="G8662" s="10"/>
      <c r="H8662" s="10"/>
      <c r="I8662" s="10"/>
      <c r="J8662" s="10"/>
      <c r="K8662" s="10"/>
      <c r="L8662" s="10"/>
      <c r="M8662" s="10"/>
      <c r="N8662" s="10"/>
      <c r="O8662" s="10"/>
      <c r="P8662" s="10"/>
      <c r="Q8662" s="10"/>
      <c r="R8662" s="10"/>
      <c r="S8662" s="10"/>
      <c r="T8662" s="10"/>
      <c r="U8662" s="10"/>
      <c r="V8662" s="10"/>
      <c r="W8662" s="10"/>
      <c r="X8662" s="10"/>
      <c r="Y8662" s="10"/>
      <c r="Z8662" s="10"/>
    </row>
    <row r="8663" spans="1:26" ht="12.75">
      <c r="A8663" s="10"/>
      <c r="B8663" s="10"/>
      <c r="C8663" s="10"/>
      <c r="D8663" s="10"/>
      <c r="E8663" s="10"/>
      <c r="F8663" s="10"/>
      <c r="G8663" s="10"/>
      <c r="H8663" s="10"/>
      <c r="I8663" s="10"/>
      <c r="J8663" s="10"/>
      <c r="K8663" s="10"/>
      <c r="L8663" s="10"/>
      <c r="M8663" s="10"/>
      <c r="N8663" s="10"/>
      <c r="O8663" s="10"/>
      <c r="P8663" s="10"/>
      <c r="Q8663" s="10"/>
      <c r="R8663" s="10"/>
      <c r="S8663" s="10"/>
      <c r="T8663" s="10"/>
      <c r="U8663" s="10"/>
      <c r="V8663" s="10"/>
      <c r="W8663" s="10"/>
      <c r="X8663" s="10"/>
      <c r="Y8663" s="10"/>
      <c r="Z8663" s="10"/>
    </row>
    <row r="8664" spans="1:26" ht="12.75">
      <c r="A8664" s="10"/>
      <c r="B8664" s="10"/>
      <c r="C8664" s="10"/>
      <c r="D8664" s="10"/>
      <c r="E8664" s="10"/>
      <c r="F8664" s="10"/>
      <c r="G8664" s="10"/>
      <c r="H8664" s="10"/>
      <c r="I8664" s="10"/>
      <c r="J8664" s="10"/>
      <c r="K8664" s="10"/>
      <c r="L8664" s="10"/>
      <c r="M8664" s="10"/>
      <c r="N8664" s="10"/>
      <c r="O8664" s="10"/>
      <c r="P8664" s="10"/>
      <c r="Q8664" s="10"/>
      <c r="R8664" s="10"/>
      <c r="S8664" s="10"/>
      <c r="T8664" s="10"/>
      <c r="U8664" s="10"/>
      <c r="V8664" s="10"/>
      <c r="W8664" s="10"/>
      <c r="X8664" s="10"/>
      <c r="Y8664" s="10"/>
      <c r="Z8664" s="10"/>
    </row>
    <row r="8665" spans="1:26" ht="12.75">
      <c r="A8665" s="10"/>
      <c r="B8665" s="10"/>
      <c r="C8665" s="10"/>
      <c r="D8665" s="10"/>
      <c r="E8665" s="10"/>
      <c r="F8665" s="10"/>
      <c r="G8665" s="10"/>
      <c r="H8665" s="10"/>
      <c r="I8665" s="10"/>
      <c r="J8665" s="10"/>
      <c r="K8665" s="10"/>
      <c r="L8665" s="10"/>
      <c r="M8665" s="10"/>
      <c r="N8665" s="10"/>
      <c r="O8665" s="10"/>
      <c r="P8665" s="10"/>
      <c r="Q8665" s="10"/>
      <c r="R8665" s="10"/>
      <c r="S8665" s="10"/>
      <c r="T8665" s="10"/>
      <c r="U8665" s="10"/>
      <c r="V8665" s="10"/>
      <c r="W8665" s="10"/>
      <c r="X8665" s="10"/>
      <c r="Y8665" s="10"/>
      <c r="Z8665" s="10"/>
    </row>
    <row r="8666" spans="1:26" ht="12.75">
      <c r="A8666" s="10"/>
      <c r="B8666" s="10"/>
      <c r="C8666" s="10"/>
      <c r="D8666" s="10"/>
      <c r="E8666" s="10"/>
      <c r="F8666" s="10"/>
      <c r="G8666" s="10"/>
      <c r="H8666" s="10"/>
      <c r="I8666" s="10"/>
      <c r="J8666" s="10"/>
      <c r="K8666" s="10"/>
      <c r="L8666" s="10"/>
      <c r="M8666" s="10"/>
      <c r="N8666" s="10"/>
      <c r="O8666" s="10"/>
      <c r="P8666" s="10"/>
      <c r="Q8666" s="10"/>
      <c r="R8666" s="10"/>
      <c r="S8666" s="10"/>
      <c r="T8666" s="10"/>
      <c r="U8666" s="10"/>
      <c r="V8666" s="10"/>
      <c r="W8666" s="10"/>
      <c r="X8666" s="10"/>
      <c r="Y8666" s="10"/>
      <c r="Z8666" s="10"/>
    </row>
    <row r="8667" spans="1:26" ht="12.75">
      <c r="A8667" s="10"/>
      <c r="B8667" s="10"/>
      <c r="C8667" s="10"/>
      <c r="D8667" s="10"/>
      <c r="E8667" s="10"/>
      <c r="F8667" s="10"/>
      <c r="G8667" s="10"/>
      <c r="H8667" s="10"/>
      <c r="I8667" s="10"/>
      <c r="J8667" s="10"/>
      <c r="K8667" s="10"/>
      <c r="L8667" s="10"/>
      <c r="M8667" s="10"/>
      <c r="N8667" s="10"/>
      <c r="O8667" s="10"/>
      <c r="P8667" s="10"/>
      <c r="Q8667" s="10"/>
      <c r="R8667" s="10"/>
      <c r="S8667" s="10"/>
      <c r="T8667" s="10"/>
      <c r="U8667" s="10"/>
      <c r="V8667" s="10"/>
      <c r="W8667" s="10"/>
      <c r="X8667" s="10"/>
      <c r="Y8667" s="10"/>
      <c r="Z8667" s="10"/>
    </row>
    <row r="8668" spans="1:26" ht="12.75">
      <c r="A8668" s="10"/>
      <c r="B8668" s="10"/>
      <c r="C8668" s="10"/>
      <c r="D8668" s="10"/>
      <c r="E8668" s="10"/>
      <c r="F8668" s="10"/>
      <c r="G8668" s="10"/>
      <c r="H8668" s="10"/>
      <c r="I8668" s="10"/>
      <c r="J8668" s="10"/>
      <c r="K8668" s="10"/>
      <c r="L8668" s="10"/>
      <c r="M8668" s="10"/>
      <c r="N8668" s="10"/>
      <c r="O8668" s="10"/>
      <c r="P8668" s="10"/>
      <c r="Q8668" s="10"/>
      <c r="R8668" s="10"/>
      <c r="S8668" s="10"/>
      <c r="T8668" s="10"/>
      <c r="U8668" s="10"/>
      <c r="V8668" s="10"/>
      <c r="W8668" s="10"/>
      <c r="X8668" s="10"/>
      <c r="Y8668" s="10"/>
      <c r="Z8668" s="10"/>
    </row>
    <row r="8669" spans="1:26" ht="12.75">
      <c r="A8669" s="10"/>
      <c r="B8669" s="10"/>
      <c r="C8669" s="10"/>
      <c r="D8669" s="10"/>
      <c r="E8669" s="10"/>
      <c r="F8669" s="10"/>
      <c r="G8669" s="10"/>
      <c r="H8669" s="10"/>
      <c r="I8669" s="10"/>
      <c r="J8669" s="10"/>
      <c r="K8669" s="10"/>
      <c r="L8669" s="10"/>
      <c r="M8669" s="10"/>
      <c r="N8669" s="10"/>
      <c r="O8669" s="10"/>
      <c r="P8669" s="10"/>
      <c r="Q8669" s="10"/>
      <c r="R8669" s="10"/>
      <c r="S8669" s="10"/>
      <c r="T8669" s="10"/>
      <c r="U8669" s="10"/>
      <c r="V8669" s="10"/>
      <c r="W8669" s="10"/>
      <c r="X8669" s="10"/>
      <c r="Y8669" s="10"/>
      <c r="Z8669" s="10"/>
    </row>
    <row r="8670" spans="1:26" ht="12.75">
      <c r="A8670" s="10"/>
      <c r="B8670" s="10"/>
      <c r="C8670" s="10"/>
      <c r="D8670" s="10"/>
      <c r="E8670" s="10"/>
      <c r="F8670" s="10"/>
      <c r="G8670" s="10"/>
      <c r="H8670" s="10"/>
      <c r="I8670" s="10"/>
      <c r="J8670" s="10"/>
      <c r="K8670" s="10"/>
      <c r="L8670" s="10"/>
      <c r="M8670" s="10"/>
      <c r="N8670" s="10"/>
      <c r="O8670" s="10"/>
      <c r="P8670" s="10"/>
      <c r="Q8670" s="10"/>
      <c r="R8670" s="10"/>
      <c r="S8670" s="10"/>
      <c r="T8670" s="10"/>
      <c r="U8670" s="10"/>
      <c r="V8670" s="10"/>
      <c r="W8670" s="10"/>
      <c r="X8670" s="10"/>
      <c r="Y8670" s="10"/>
      <c r="Z8670" s="10"/>
    </row>
    <row r="8671" spans="1:26" ht="12.75">
      <c r="A8671" s="10"/>
      <c r="B8671" s="10"/>
      <c r="C8671" s="10"/>
      <c r="D8671" s="10"/>
      <c r="E8671" s="10"/>
      <c r="F8671" s="10"/>
      <c r="G8671" s="10"/>
      <c r="H8671" s="10"/>
      <c r="I8671" s="10"/>
      <c r="J8671" s="10"/>
      <c r="K8671" s="10"/>
      <c r="L8671" s="10"/>
      <c r="M8671" s="10"/>
      <c r="N8671" s="10"/>
      <c r="O8671" s="10"/>
      <c r="P8671" s="10"/>
      <c r="Q8671" s="10"/>
      <c r="R8671" s="10"/>
      <c r="S8671" s="10"/>
      <c r="T8671" s="10"/>
      <c r="U8671" s="10"/>
      <c r="V8671" s="10"/>
      <c r="W8671" s="10"/>
      <c r="X8671" s="10"/>
      <c r="Y8671" s="10"/>
      <c r="Z8671" s="10"/>
    </row>
    <row r="8672" spans="1:26" ht="12.75">
      <c r="A8672" s="10"/>
      <c r="B8672" s="10"/>
      <c r="C8672" s="10"/>
      <c r="D8672" s="10"/>
      <c r="E8672" s="10"/>
      <c r="F8672" s="10"/>
      <c r="G8672" s="10"/>
      <c r="H8672" s="10"/>
      <c r="I8672" s="10"/>
      <c r="J8672" s="10"/>
      <c r="K8672" s="10"/>
      <c r="L8672" s="10"/>
      <c r="M8672" s="10"/>
      <c r="N8672" s="10"/>
      <c r="O8672" s="10"/>
      <c r="P8672" s="10"/>
      <c r="Q8672" s="10"/>
      <c r="R8672" s="10"/>
      <c r="S8672" s="10"/>
      <c r="T8672" s="10"/>
      <c r="U8672" s="10"/>
      <c r="V8672" s="10"/>
      <c r="W8672" s="10"/>
      <c r="X8672" s="10"/>
      <c r="Y8672" s="10"/>
      <c r="Z8672" s="10"/>
    </row>
    <row r="8673" spans="1:26" ht="12.75">
      <c r="A8673" s="10"/>
      <c r="B8673" s="10"/>
      <c r="C8673" s="10"/>
      <c r="D8673" s="10"/>
      <c r="E8673" s="10"/>
      <c r="F8673" s="10"/>
      <c r="G8673" s="10"/>
      <c r="H8673" s="10"/>
      <c r="I8673" s="10"/>
      <c r="J8673" s="10"/>
      <c r="K8673" s="10"/>
      <c r="L8673" s="10"/>
      <c r="M8673" s="10"/>
      <c r="N8673" s="10"/>
      <c r="O8673" s="10"/>
      <c r="P8673" s="10"/>
      <c r="Q8673" s="10"/>
      <c r="R8673" s="10"/>
      <c r="S8673" s="10"/>
      <c r="T8673" s="10"/>
      <c r="U8673" s="10"/>
      <c r="V8673" s="10"/>
      <c r="W8673" s="10"/>
      <c r="X8673" s="10"/>
      <c r="Y8673" s="10"/>
      <c r="Z8673" s="10"/>
    </row>
    <row r="8674" spans="1:26" ht="12.75">
      <c r="A8674" s="10"/>
      <c r="B8674" s="10"/>
      <c r="C8674" s="10"/>
      <c r="D8674" s="10"/>
      <c r="E8674" s="10"/>
      <c r="F8674" s="10"/>
      <c r="G8674" s="10"/>
      <c r="H8674" s="10"/>
      <c r="I8674" s="10"/>
      <c r="J8674" s="10"/>
      <c r="K8674" s="10"/>
      <c r="L8674" s="10"/>
      <c r="M8674" s="10"/>
      <c r="N8674" s="10"/>
      <c r="O8674" s="10"/>
      <c r="P8674" s="10"/>
      <c r="Q8674" s="10"/>
      <c r="R8674" s="10"/>
      <c r="S8674" s="10"/>
      <c r="T8674" s="10"/>
      <c r="U8674" s="10"/>
      <c r="V8674" s="10"/>
      <c r="W8674" s="10"/>
      <c r="X8674" s="10"/>
      <c r="Y8674" s="10"/>
      <c r="Z8674" s="10"/>
    </row>
    <row r="8675" spans="1:26" ht="12.75">
      <c r="A8675" s="10"/>
      <c r="B8675" s="10"/>
      <c r="C8675" s="10"/>
      <c r="D8675" s="10"/>
      <c r="E8675" s="10"/>
      <c r="F8675" s="10"/>
      <c r="G8675" s="10"/>
      <c r="H8675" s="10"/>
      <c r="I8675" s="10"/>
      <c r="J8675" s="10"/>
      <c r="K8675" s="10"/>
      <c r="L8675" s="10"/>
      <c r="M8675" s="10"/>
      <c r="N8675" s="10"/>
      <c r="O8675" s="10"/>
      <c r="P8675" s="10"/>
      <c r="Q8675" s="10"/>
      <c r="R8675" s="10"/>
      <c r="S8675" s="10"/>
      <c r="T8675" s="10"/>
      <c r="U8675" s="10"/>
      <c r="V8675" s="10"/>
      <c r="W8675" s="10"/>
      <c r="X8675" s="10"/>
      <c r="Y8675" s="10"/>
      <c r="Z8675" s="10"/>
    </row>
    <row r="8676" spans="1:26" ht="12.75">
      <c r="A8676" s="10"/>
      <c r="B8676" s="10"/>
      <c r="C8676" s="10"/>
      <c r="D8676" s="10"/>
      <c r="E8676" s="10"/>
      <c r="F8676" s="10"/>
      <c r="G8676" s="10"/>
      <c r="H8676" s="10"/>
      <c r="I8676" s="10"/>
      <c r="J8676" s="10"/>
      <c r="K8676" s="10"/>
      <c r="L8676" s="10"/>
      <c r="M8676" s="10"/>
      <c r="N8676" s="10"/>
      <c r="O8676" s="10"/>
      <c r="P8676" s="10"/>
      <c r="Q8676" s="10"/>
      <c r="R8676" s="10"/>
      <c r="S8676" s="10"/>
      <c r="T8676" s="10"/>
      <c r="U8676" s="10"/>
      <c r="V8676" s="10"/>
      <c r="W8676" s="10"/>
      <c r="X8676" s="10"/>
      <c r="Y8676" s="10"/>
      <c r="Z8676" s="10"/>
    </row>
    <row r="8677" spans="1:26" ht="12.75">
      <c r="A8677" s="10"/>
      <c r="B8677" s="10"/>
      <c r="C8677" s="10"/>
      <c r="D8677" s="10"/>
      <c r="E8677" s="10"/>
      <c r="F8677" s="10"/>
      <c r="G8677" s="10"/>
      <c r="H8677" s="10"/>
      <c r="I8677" s="10"/>
      <c r="J8677" s="10"/>
      <c r="K8677" s="10"/>
      <c r="L8677" s="10"/>
      <c r="M8677" s="10"/>
      <c r="N8677" s="10"/>
      <c r="O8677" s="10"/>
      <c r="P8677" s="10"/>
      <c r="Q8677" s="10"/>
      <c r="R8677" s="10"/>
      <c r="S8677" s="10"/>
      <c r="T8677" s="10"/>
      <c r="U8677" s="10"/>
      <c r="V8677" s="10"/>
      <c r="W8677" s="10"/>
      <c r="X8677" s="10"/>
      <c r="Y8677" s="10"/>
      <c r="Z8677" s="10"/>
    </row>
    <row r="8678" spans="1:26" ht="12.75">
      <c r="A8678" s="10"/>
      <c r="B8678" s="10"/>
      <c r="C8678" s="10"/>
      <c r="D8678" s="10"/>
      <c r="E8678" s="10"/>
      <c r="F8678" s="10"/>
      <c r="G8678" s="10"/>
      <c r="H8678" s="10"/>
      <c r="I8678" s="10"/>
      <c r="J8678" s="10"/>
      <c r="K8678" s="10"/>
      <c r="L8678" s="10"/>
      <c r="M8678" s="10"/>
      <c r="N8678" s="10"/>
      <c r="O8678" s="10"/>
      <c r="P8678" s="10"/>
      <c r="Q8678" s="10"/>
      <c r="R8678" s="10"/>
      <c r="S8678" s="10"/>
      <c r="T8678" s="10"/>
      <c r="U8678" s="10"/>
      <c r="V8678" s="10"/>
      <c r="W8678" s="10"/>
      <c r="X8678" s="10"/>
      <c r="Y8678" s="10"/>
      <c r="Z8678" s="10"/>
    </row>
    <row r="8679" spans="1:26" ht="12.75">
      <c r="A8679" s="10"/>
      <c r="B8679" s="10"/>
      <c r="C8679" s="10"/>
      <c r="D8679" s="10"/>
      <c r="E8679" s="10"/>
      <c r="F8679" s="10"/>
      <c r="G8679" s="10"/>
      <c r="H8679" s="10"/>
      <c r="I8679" s="10"/>
      <c r="J8679" s="10"/>
      <c r="K8679" s="10"/>
      <c r="L8679" s="10"/>
      <c r="M8679" s="10"/>
      <c r="N8679" s="10"/>
      <c r="O8679" s="10"/>
      <c r="P8679" s="10"/>
      <c r="Q8679" s="10"/>
      <c r="R8679" s="10"/>
      <c r="S8679" s="10"/>
      <c r="T8679" s="10"/>
      <c r="U8679" s="10"/>
      <c r="V8679" s="10"/>
      <c r="W8679" s="10"/>
      <c r="X8679" s="10"/>
      <c r="Y8679" s="10"/>
      <c r="Z8679" s="10"/>
    </row>
    <row r="8680" spans="1:26" ht="12.75">
      <c r="A8680" s="10"/>
      <c r="B8680" s="10"/>
      <c r="C8680" s="10"/>
      <c r="D8680" s="10"/>
      <c r="E8680" s="10"/>
      <c r="F8680" s="10"/>
      <c r="G8680" s="10"/>
      <c r="H8680" s="10"/>
      <c r="I8680" s="10"/>
      <c r="J8680" s="10"/>
      <c r="K8680" s="10"/>
      <c r="L8680" s="10"/>
      <c r="M8680" s="10"/>
      <c r="N8680" s="10"/>
      <c r="O8680" s="10"/>
      <c r="P8680" s="10"/>
      <c r="Q8680" s="10"/>
      <c r="R8680" s="10"/>
      <c r="S8680" s="10"/>
      <c r="T8680" s="10"/>
      <c r="U8680" s="10"/>
      <c r="V8680" s="10"/>
      <c r="W8680" s="10"/>
      <c r="X8680" s="10"/>
      <c r="Y8680" s="10"/>
      <c r="Z8680" s="10"/>
    </row>
    <row r="8681" spans="1:26" ht="12.75">
      <c r="A8681" s="10"/>
      <c r="B8681" s="10"/>
      <c r="C8681" s="10"/>
      <c r="D8681" s="10"/>
      <c r="E8681" s="10"/>
      <c r="F8681" s="10"/>
      <c r="G8681" s="10"/>
      <c r="H8681" s="10"/>
      <c r="I8681" s="10"/>
      <c r="J8681" s="10"/>
      <c r="K8681" s="10"/>
      <c r="L8681" s="10"/>
      <c r="M8681" s="10"/>
      <c r="N8681" s="10"/>
      <c r="O8681" s="10"/>
      <c r="P8681" s="10"/>
      <c r="Q8681" s="10"/>
      <c r="R8681" s="10"/>
      <c r="S8681" s="10"/>
      <c r="T8681" s="10"/>
      <c r="U8681" s="10"/>
      <c r="V8681" s="10"/>
      <c r="W8681" s="10"/>
      <c r="X8681" s="10"/>
      <c r="Y8681" s="10"/>
      <c r="Z8681" s="10"/>
    </row>
    <row r="8682" spans="1:26" ht="12.75">
      <c r="A8682" s="10"/>
      <c r="B8682" s="10"/>
      <c r="C8682" s="10"/>
      <c r="D8682" s="10"/>
      <c r="E8682" s="10"/>
      <c r="F8682" s="10"/>
      <c r="G8682" s="10"/>
      <c r="H8682" s="10"/>
      <c r="I8682" s="10"/>
      <c r="J8682" s="10"/>
      <c r="K8682" s="10"/>
      <c r="L8682" s="10"/>
      <c r="M8682" s="10"/>
      <c r="N8682" s="10"/>
      <c r="O8682" s="10"/>
      <c r="P8682" s="10"/>
      <c r="Q8682" s="10"/>
      <c r="R8682" s="10"/>
      <c r="S8682" s="10"/>
      <c r="T8682" s="10"/>
      <c r="U8682" s="10"/>
      <c r="V8682" s="10"/>
      <c r="W8682" s="10"/>
      <c r="X8682" s="10"/>
      <c r="Y8682" s="10"/>
      <c r="Z8682" s="10"/>
    </row>
    <row r="8683" spans="1:26" ht="12.75">
      <c r="A8683" s="10"/>
      <c r="B8683" s="10"/>
      <c r="C8683" s="10"/>
      <c r="D8683" s="10"/>
      <c r="E8683" s="10"/>
      <c r="F8683" s="10"/>
      <c r="G8683" s="10"/>
      <c r="H8683" s="10"/>
      <c r="I8683" s="10"/>
      <c r="J8683" s="10"/>
      <c r="K8683" s="10"/>
      <c r="L8683" s="10"/>
      <c r="M8683" s="10"/>
      <c r="N8683" s="10"/>
      <c r="O8683" s="10"/>
      <c r="P8683" s="10"/>
      <c r="Q8683" s="10"/>
      <c r="R8683" s="10"/>
      <c r="S8683" s="10"/>
      <c r="T8683" s="10"/>
      <c r="U8683" s="10"/>
      <c r="V8683" s="10"/>
      <c r="W8683" s="10"/>
      <c r="X8683" s="10"/>
      <c r="Y8683" s="10"/>
      <c r="Z8683" s="10"/>
    </row>
    <row r="8684" spans="1:26" ht="12.75">
      <c r="A8684" s="10"/>
      <c r="B8684" s="10"/>
      <c r="C8684" s="10"/>
      <c r="D8684" s="10"/>
      <c r="E8684" s="10"/>
      <c r="F8684" s="10"/>
      <c r="G8684" s="10"/>
      <c r="H8684" s="10"/>
      <c r="I8684" s="10"/>
      <c r="J8684" s="10"/>
      <c r="K8684" s="10"/>
      <c r="L8684" s="10"/>
      <c r="M8684" s="10"/>
      <c r="N8684" s="10"/>
      <c r="O8684" s="10"/>
      <c r="P8684" s="10"/>
      <c r="Q8684" s="10"/>
      <c r="R8684" s="10"/>
      <c r="S8684" s="10"/>
      <c r="T8684" s="10"/>
      <c r="U8684" s="10"/>
      <c r="V8684" s="10"/>
      <c r="W8684" s="10"/>
      <c r="X8684" s="10"/>
      <c r="Y8684" s="10"/>
      <c r="Z8684" s="10"/>
    </row>
    <row r="8685" spans="1:26" ht="12.75">
      <c r="A8685" s="10"/>
      <c r="B8685" s="10"/>
      <c r="C8685" s="10"/>
      <c r="D8685" s="10"/>
      <c r="E8685" s="10"/>
      <c r="F8685" s="10"/>
      <c r="G8685" s="10"/>
      <c r="H8685" s="10"/>
      <c r="I8685" s="10"/>
      <c r="J8685" s="10"/>
      <c r="K8685" s="10"/>
      <c r="L8685" s="10"/>
      <c r="M8685" s="10"/>
      <c r="N8685" s="10"/>
      <c r="O8685" s="10"/>
      <c r="P8685" s="10"/>
      <c r="Q8685" s="10"/>
      <c r="R8685" s="10"/>
      <c r="S8685" s="10"/>
      <c r="T8685" s="10"/>
      <c r="U8685" s="10"/>
      <c r="V8685" s="10"/>
      <c r="W8685" s="10"/>
      <c r="X8685" s="10"/>
      <c r="Y8685" s="10"/>
      <c r="Z8685" s="10"/>
    </row>
    <row r="8686" spans="1:26" ht="12.75">
      <c r="A8686" s="10"/>
      <c r="B8686" s="10"/>
      <c r="C8686" s="10"/>
      <c r="D8686" s="10"/>
      <c r="E8686" s="10"/>
      <c r="F8686" s="10"/>
      <c r="G8686" s="10"/>
      <c r="H8686" s="10"/>
      <c r="I8686" s="10"/>
      <c r="J8686" s="10"/>
      <c r="K8686" s="10"/>
      <c r="L8686" s="10"/>
      <c r="M8686" s="10"/>
      <c r="N8686" s="10"/>
      <c r="O8686" s="10"/>
      <c r="P8686" s="10"/>
      <c r="Q8686" s="10"/>
      <c r="R8686" s="10"/>
      <c r="S8686" s="10"/>
      <c r="T8686" s="10"/>
      <c r="U8686" s="10"/>
      <c r="V8686" s="10"/>
      <c r="W8686" s="10"/>
      <c r="X8686" s="10"/>
      <c r="Y8686" s="10"/>
      <c r="Z8686" s="10"/>
    </row>
    <row r="8687" spans="1:26" ht="12.75">
      <c r="A8687" s="10"/>
      <c r="B8687" s="10"/>
      <c r="C8687" s="10"/>
      <c r="D8687" s="10"/>
      <c r="E8687" s="10"/>
      <c r="F8687" s="10"/>
      <c r="G8687" s="10"/>
      <c r="H8687" s="10"/>
      <c r="I8687" s="10"/>
      <c r="J8687" s="10"/>
      <c r="K8687" s="10"/>
      <c r="L8687" s="10"/>
      <c r="M8687" s="10"/>
      <c r="N8687" s="10"/>
      <c r="O8687" s="10"/>
      <c r="P8687" s="10"/>
      <c r="Q8687" s="10"/>
      <c r="R8687" s="10"/>
      <c r="S8687" s="10"/>
      <c r="T8687" s="10"/>
      <c r="U8687" s="10"/>
      <c r="V8687" s="10"/>
      <c r="W8687" s="10"/>
      <c r="X8687" s="10"/>
      <c r="Y8687" s="10"/>
      <c r="Z8687" s="10"/>
    </row>
    <row r="8688" spans="1:26" ht="12.75">
      <c r="A8688" s="10"/>
      <c r="B8688" s="10"/>
      <c r="C8688" s="10"/>
      <c r="D8688" s="10"/>
      <c r="E8688" s="10"/>
      <c r="F8688" s="10"/>
      <c r="G8688" s="10"/>
      <c r="H8688" s="10"/>
      <c r="I8688" s="10"/>
      <c r="J8688" s="10"/>
      <c r="K8688" s="10"/>
      <c r="L8688" s="10"/>
      <c r="M8688" s="10"/>
      <c r="N8688" s="10"/>
      <c r="O8688" s="10"/>
      <c r="P8688" s="10"/>
      <c r="Q8688" s="10"/>
      <c r="R8688" s="10"/>
      <c r="S8688" s="10"/>
      <c r="T8688" s="10"/>
      <c r="U8688" s="10"/>
      <c r="V8688" s="10"/>
      <c r="W8688" s="10"/>
      <c r="X8688" s="10"/>
      <c r="Y8688" s="10"/>
      <c r="Z8688" s="10"/>
    </row>
    <row r="8689" spans="1:26" ht="12.75">
      <c r="A8689" s="10"/>
      <c r="B8689" s="10"/>
      <c r="C8689" s="10"/>
      <c r="D8689" s="10"/>
      <c r="E8689" s="10"/>
      <c r="F8689" s="10"/>
      <c r="G8689" s="10"/>
      <c r="H8689" s="10"/>
      <c r="I8689" s="10"/>
      <c r="J8689" s="10"/>
      <c r="K8689" s="10"/>
      <c r="L8689" s="10"/>
      <c r="M8689" s="10"/>
      <c r="N8689" s="10"/>
      <c r="O8689" s="10"/>
      <c r="P8689" s="10"/>
      <c r="Q8689" s="10"/>
      <c r="R8689" s="10"/>
      <c r="S8689" s="10"/>
      <c r="T8689" s="10"/>
      <c r="U8689" s="10"/>
      <c r="V8689" s="10"/>
      <c r="W8689" s="10"/>
      <c r="X8689" s="10"/>
      <c r="Y8689" s="10"/>
      <c r="Z8689" s="10"/>
    </row>
    <row r="8690" spans="1:26" ht="12.75">
      <c r="A8690" s="10"/>
      <c r="B8690" s="10"/>
      <c r="C8690" s="10"/>
      <c r="D8690" s="10"/>
      <c r="E8690" s="10"/>
      <c r="F8690" s="10"/>
      <c r="G8690" s="10"/>
      <c r="H8690" s="10"/>
      <c r="I8690" s="10"/>
      <c r="J8690" s="10"/>
      <c r="K8690" s="10"/>
      <c r="L8690" s="10"/>
      <c r="M8690" s="10"/>
      <c r="N8690" s="10"/>
      <c r="O8690" s="10"/>
      <c r="P8690" s="10"/>
      <c r="Q8690" s="10"/>
      <c r="R8690" s="10"/>
      <c r="S8690" s="10"/>
      <c r="T8690" s="10"/>
      <c r="U8690" s="10"/>
      <c r="V8690" s="10"/>
      <c r="W8690" s="10"/>
      <c r="X8690" s="10"/>
      <c r="Y8690" s="10"/>
      <c r="Z8690" s="10"/>
    </row>
    <row r="8691" spans="1:26" ht="12.75">
      <c r="A8691" s="10"/>
      <c r="B8691" s="10"/>
      <c r="C8691" s="10"/>
      <c r="D8691" s="10"/>
      <c r="E8691" s="10"/>
      <c r="F8691" s="10"/>
      <c r="G8691" s="10"/>
      <c r="H8691" s="10"/>
      <c r="I8691" s="10"/>
      <c r="J8691" s="10"/>
      <c r="K8691" s="10"/>
      <c r="L8691" s="10"/>
      <c r="M8691" s="10"/>
      <c r="N8691" s="10"/>
      <c r="O8691" s="10"/>
      <c r="P8691" s="10"/>
      <c r="Q8691" s="10"/>
      <c r="R8691" s="10"/>
      <c r="S8691" s="10"/>
      <c r="T8691" s="10"/>
      <c r="U8691" s="10"/>
      <c r="V8691" s="10"/>
      <c r="W8691" s="10"/>
      <c r="X8691" s="10"/>
      <c r="Y8691" s="10"/>
      <c r="Z8691" s="10"/>
    </row>
    <row r="8692" spans="1:26" ht="12.75">
      <c r="A8692" s="10"/>
      <c r="B8692" s="10"/>
      <c r="C8692" s="10"/>
      <c r="D8692" s="10"/>
      <c r="E8692" s="10"/>
      <c r="F8692" s="10"/>
      <c r="G8692" s="10"/>
      <c r="H8692" s="10"/>
      <c r="I8692" s="10"/>
      <c r="J8692" s="10"/>
      <c r="K8692" s="10"/>
      <c r="L8692" s="10"/>
      <c r="M8692" s="10"/>
      <c r="N8692" s="10"/>
      <c r="O8692" s="10"/>
      <c r="P8692" s="10"/>
      <c r="Q8692" s="10"/>
      <c r="R8692" s="10"/>
      <c r="S8692" s="10"/>
      <c r="T8692" s="10"/>
      <c r="U8692" s="10"/>
      <c r="V8692" s="10"/>
      <c r="W8692" s="10"/>
      <c r="X8692" s="10"/>
      <c r="Y8692" s="10"/>
      <c r="Z8692" s="10"/>
    </row>
    <row r="8693" spans="1:26" ht="12.75">
      <c r="A8693" s="10"/>
      <c r="B8693" s="10"/>
      <c r="C8693" s="10"/>
      <c r="D8693" s="10"/>
      <c r="E8693" s="10"/>
      <c r="F8693" s="10"/>
      <c r="G8693" s="10"/>
      <c r="H8693" s="10"/>
      <c r="I8693" s="10"/>
      <c r="J8693" s="10"/>
      <c r="K8693" s="10"/>
      <c r="L8693" s="10"/>
      <c r="M8693" s="10"/>
      <c r="N8693" s="10"/>
      <c r="O8693" s="10"/>
      <c r="P8693" s="10"/>
      <c r="Q8693" s="10"/>
      <c r="R8693" s="10"/>
      <c r="S8693" s="10"/>
      <c r="T8693" s="10"/>
      <c r="U8693" s="10"/>
      <c r="V8693" s="10"/>
      <c r="W8693" s="10"/>
      <c r="X8693" s="10"/>
      <c r="Y8693" s="10"/>
      <c r="Z8693" s="10"/>
    </row>
    <row r="8694" spans="1:26" ht="12.75">
      <c r="A8694" s="10"/>
      <c r="B8694" s="10"/>
      <c r="C8694" s="10"/>
      <c r="D8694" s="10"/>
      <c r="E8694" s="10"/>
      <c r="F8694" s="10"/>
      <c r="G8694" s="10"/>
      <c r="H8694" s="10"/>
      <c r="I8694" s="10"/>
      <c r="J8694" s="10"/>
      <c r="K8694" s="10"/>
      <c r="L8694" s="10"/>
      <c r="M8694" s="10"/>
      <c r="N8694" s="10"/>
      <c r="O8694" s="10"/>
      <c r="P8694" s="10"/>
      <c r="Q8694" s="10"/>
      <c r="R8694" s="10"/>
      <c r="S8694" s="10"/>
      <c r="T8694" s="10"/>
      <c r="U8694" s="10"/>
      <c r="V8694" s="10"/>
      <c r="W8694" s="10"/>
      <c r="X8694" s="10"/>
      <c r="Y8694" s="10"/>
      <c r="Z8694" s="10"/>
    </row>
    <row r="8695" spans="1:26" ht="12.75">
      <c r="A8695" s="10"/>
      <c r="B8695" s="10"/>
      <c r="C8695" s="10"/>
      <c r="D8695" s="10"/>
      <c r="E8695" s="10"/>
      <c r="F8695" s="10"/>
      <c r="G8695" s="10"/>
      <c r="H8695" s="10"/>
      <c r="I8695" s="10"/>
      <c r="J8695" s="10"/>
      <c r="K8695" s="10"/>
      <c r="L8695" s="10"/>
      <c r="M8695" s="10"/>
      <c r="N8695" s="10"/>
      <c r="O8695" s="10"/>
      <c r="P8695" s="10"/>
      <c r="Q8695" s="10"/>
      <c r="R8695" s="10"/>
      <c r="S8695" s="10"/>
      <c r="T8695" s="10"/>
      <c r="U8695" s="10"/>
      <c r="V8695" s="10"/>
      <c r="W8695" s="10"/>
      <c r="X8695" s="10"/>
      <c r="Y8695" s="10"/>
      <c r="Z8695" s="10"/>
    </row>
    <row r="8696" spans="1:26" ht="12.75">
      <c r="A8696" s="10"/>
      <c r="B8696" s="10"/>
      <c r="C8696" s="10"/>
      <c r="D8696" s="10"/>
      <c r="E8696" s="10"/>
      <c r="F8696" s="10"/>
      <c r="G8696" s="10"/>
      <c r="H8696" s="10"/>
      <c r="I8696" s="10"/>
      <c r="J8696" s="10"/>
      <c r="K8696" s="10"/>
      <c r="L8696" s="10"/>
      <c r="M8696" s="10"/>
      <c r="N8696" s="10"/>
      <c r="O8696" s="10"/>
      <c r="P8696" s="10"/>
      <c r="Q8696" s="10"/>
      <c r="R8696" s="10"/>
      <c r="S8696" s="10"/>
      <c r="T8696" s="10"/>
      <c r="U8696" s="10"/>
      <c r="V8696" s="10"/>
      <c r="W8696" s="10"/>
      <c r="X8696" s="10"/>
      <c r="Y8696" s="10"/>
      <c r="Z8696" s="10"/>
    </row>
    <row r="8697" spans="1:26" ht="12.75">
      <c r="A8697" s="10"/>
      <c r="B8697" s="10"/>
      <c r="C8697" s="10"/>
      <c r="D8697" s="10"/>
      <c r="E8697" s="10"/>
      <c r="F8697" s="10"/>
      <c r="G8697" s="10"/>
      <c r="H8697" s="10"/>
      <c r="I8697" s="10"/>
      <c r="J8697" s="10"/>
      <c r="K8697" s="10"/>
      <c r="L8697" s="10"/>
      <c r="M8697" s="10"/>
      <c r="N8697" s="10"/>
      <c r="O8697" s="10"/>
      <c r="P8697" s="10"/>
      <c r="Q8697" s="10"/>
      <c r="R8697" s="10"/>
      <c r="S8697" s="10"/>
      <c r="T8697" s="10"/>
      <c r="U8697" s="10"/>
      <c r="V8697" s="10"/>
      <c r="W8697" s="10"/>
      <c r="X8697" s="10"/>
      <c r="Y8697" s="10"/>
      <c r="Z8697" s="10"/>
    </row>
    <row r="8698" spans="1:26" ht="12.75">
      <c r="A8698" s="10"/>
      <c r="B8698" s="10"/>
      <c r="C8698" s="10"/>
      <c r="D8698" s="10"/>
      <c r="E8698" s="10"/>
      <c r="F8698" s="10"/>
      <c r="G8698" s="10"/>
      <c r="H8698" s="10"/>
      <c r="I8698" s="10"/>
      <c r="J8698" s="10"/>
      <c r="K8698" s="10"/>
      <c r="L8698" s="10"/>
      <c r="M8698" s="10"/>
      <c r="N8698" s="10"/>
      <c r="O8698" s="10"/>
      <c r="P8698" s="10"/>
      <c r="Q8698" s="10"/>
      <c r="R8698" s="10"/>
      <c r="S8698" s="10"/>
      <c r="T8698" s="10"/>
      <c r="U8698" s="10"/>
      <c r="V8698" s="10"/>
      <c r="W8698" s="10"/>
      <c r="X8698" s="10"/>
      <c r="Y8698" s="10"/>
      <c r="Z8698" s="10"/>
    </row>
    <row r="8699" spans="1:26" ht="12.75">
      <c r="A8699" s="10"/>
      <c r="B8699" s="10"/>
      <c r="C8699" s="10"/>
      <c r="D8699" s="10"/>
      <c r="E8699" s="10"/>
      <c r="F8699" s="10"/>
      <c r="G8699" s="10"/>
      <c r="H8699" s="10"/>
      <c r="I8699" s="10"/>
      <c r="J8699" s="10"/>
      <c r="K8699" s="10"/>
      <c r="L8699" s="10"/>
      <c r="M8699" s="10"/>
      <c r="N8699" s="10"/>
      <c r="O8699" s="10"/>
      <c r="P8699" s="10"/>
      <c r="Q8699" s="10"/>
      <c r="R8699" s="10"/>
      <c r="S8699" s="10"/>
      <c r="T8699" s="10"/>
      <c r="U8699" s="10"/>
      <c r="V8699" s="10"/>
      <c r="W8699" s="10"/>
      <c r="X8699" s="10"/>
      <c r="Y8699" s="10"/>
      <c r="Z8699" s="10"/>
    </row>
    <row r="8700" spans="1:26" ht="12.75">
      <c r="A8700" s="10"/>
      <c r="B8700" s="10"/>
      <c r="C8700" s="10"/>
      <c r="D8700" s="10"/>
      <c r="E8700" s="10"/>
      <c r="F8700" s="10"/>
      <c r="G8700" s="10"/>
      <c r="H8700" s="10"/>
      <c r="I8700" s="10"/>
      <c r="J8700" s="10"/>
      <c r="K8700" s="10"/>
      <c r="L8700" s="10"/>
      <c r="M8700" s="10"/>
      <c r="N8700" s="10"/>
      <c r="O8700" s="10"/>
      <c r="P8700" s="10"/>
      <c r="Q8700" s="10"/>
      <c r="R8700" s="10"/>
      <c r="S8700" s="10"/>
      <c r="T8700" s="10"/>
      <c r="U8700" s="10"/>
      <c r="V8700" s="10"/>
      <c r="W8700" s="10"/>
      <c r="X8700" s="10"/>
      <c r="Y8700" s="10"/>
      <c r="Z8700" s="10"/>
    </row>
    <row r="8701" spans="1:26" ht="12.75">
      <c r="A8701" s="10"/>
      <c r="B8701" s="10"/>
      <c r="C8701" s="10"/>
      <c r="D8701" s="10"/>
      <c r="E8701" s="10"/>
      <c r="F8701" s="10"/>
      <c r="G8701" s="10"/>
      <c r="H8701" s="10"/>
      <c r="I8701" s="10"/>
      <c r="J8701" s="10"/>
      <c r="K8701" s="10"/>
      <c r="L8701" s="10"/>
      <c r="M8701" s="10"/>
      <c r="N8701" s="10"/>
      <c r="O8701" s="10"/>
      <c r="P8701" s="10"/>
      <c r="Q8701" s="10"/>
      <c r="R8701" s="10"/>
      <c r="S8701" s="10"/>
      <c r="T8701" s="10"/>
      <c r="U8701" s="10"/>
      <c r="V8701" s="10"/>
      <c r="W8701" s="10"/>
      <c r="X8701" s="10"/>
      <c r="Y8701" s="10"/>
      <c r="Z8701" s="10"/>
    </row>
    <row r="8702" spans="1:26" ht="12.75">
      <c r="A8702" s="10"/>
      <c r="B8702" s="10"/>
      <c r="C8702" s="10"/>
      <c r="D8702" s="10"/>
      <c r="E8702" s="10"/>
      <c r="F8702" s="10"/>
      <c r="G8702" s="10"/>
      <c r="H8702" s="10"/>
      <c r="I8702" s="10"/>
      <c r="J8702" s="10"/>
      <c r="K8702" s="10"/>
      <c r="L8702" s="10"/>
      <c r="M8702" s="10"/>
      <c r="N8702" s="10"/>
      <c r="O8702" s="10"/>
      <c r="P8702" s="10"/>
      <c r="Q8702" s="10"/>
      <c r="R8702" s="10"/>
      <c r="S8702" s="10"/>
      <c r="T8702" s="10"/>
      <c r="U8702" s="10"/>
      <c r="V8702" s="10"/>
      <c r="W8702" s="10"/>
      <c r="X8702" s="10"/>
      <c r="Y8702" s="10"/>
      <c r="Z8702" s="10"/>
    </row>
    <row r="8703" spans="1:26" ht="12.75">
      <c r="A8703" s="10"/>
      <c r="B8703" s="10"/>
      <c r="C8703" s="10"/>
      <c r="D8703" s="10"/>
      <c r="E8703" s="10"/>
      <c r="F8703" s="10"/>
      <c r="G8703" s="10"/>
      <c r="H8703" s="10"/>
      <c r="I8703" s="10"/>
      <c r="J8703" s="10"/>
      <c r="K8703" s="10"/>
      <c r="L8703" s="10"/>
      <c r="M8703" s="10"/>
      <c r="N8703" s="10"/>
      <c r="O8703" s="10"/>
      <c r="P8703" s="10"/>
      <c r="Q8703" s="10"/>
      <c r="R8703" s="10"/>
      <c r="S8703" s="10"/>
      <c r="T8703" s="10"/>
      <c r="U8703" s="10"/>
      <c r="V8703" s="10"/>
      <c r="W8703" s="10"/>
      <c r="X8703" s="10"/>
      <c r="Y8703" s="10"/>
      <c r="Z8703" s="10"/>
    </row>
    <row r="8704" spans="1:26" ht="12.75">
      <c r="A8704" s="10"/>
      <c r="B8704" s="10"/>
      <c r="C8704" s="10"/>
      <c r="D8704" s="10"/>
      <c r="E8704" s="10"/>
      <c r="F8704" s="10"/>
      <c r="G8704" s="10"/>
      <c r="H8704" s="10"/>
      <c r="I8704" s="10"/>
      <c r="J8704" s="10"/>
      <c r="K8704" s="10"/>
      <c r="L8704" s="10"/>
      <c r="M8704" s="10"/>
      <c r="N8704" s="10"/>
      <c r="O8704" s="10"/>
      <c r="P8704" s="10"/>
      <c r="Q8704" s="10"/>
      <c r="R8704" s="10"/>
      <c r="S8704" s="10"/>
      <c r="T8704" s="10"/>
      <c r="U8704" s="10"/>
      <c r="V8704" s="10"/>
      <c r="W8704" s="10"/>
      <c r="X8704" s="10"/>
      <c r="Y8704" s="10"/>
      <c r="Z8704" s="10"/>
    </row>
    <row r="8705" spans="1:26" ht="12.75">
      <c r="A8705" s="10"/>
      <c r="B8705" s="10"/>
      <c r="C8705" s="10"/>
      <c r="D8705" s="10"/>
      <c r="E8705" s="10"/>
      <c r="F8705" s="10"/>
      <c r="G8705" s="10"/>
      <c r="H8705" s="10"/>
      <c r="I8705" s="10"/>
      <c r="J8705" s="10"/>
      <c r="K8705" s="10"/>
      <c r="L8705" s="10"/>
      <c r="M8705" s="10"/>
      <c r="N8705" s="10"/>
      <c r="O8705" s="10"/>
      <c r="P8705" s="10"/>
      <c r="Q8705" s="10"/>
      <c r="R8705" s="10"/>
      <c r="S8705" s="10"/>
      <c r="T8705" s="10"/>
      <c r="U8705" s="10"/>
      <c r="V8705" s="10"/>
      <c r="W8705" s="10"/>
      <c r="X8705" s="10"/>
      <c r="Y8705" s="10"/>
      <c r="Z8705" s="10"/>
    </row>
    <row r="8706" spans="1:26" ht="12.75">
      <c r="A8706" s="10"/>
      <c r="B8706" s="10"/>
      <c r="C8706" s="10"/>
      <c r="D8706" s="10"/>
      <c r="E8706" s="10"/>
      <c r="F8706" s="10"/>
      <c r="G8706" s="10"/>
      <c r="H8706" s="10"/>
      <c r="I8706" s="10"/>
      <c r="J8706" s="10"/>
      <c r="K8706" s="10"/>
      <c r="L8706" s="10"/>
      <c r="M8706" s="10"/>
      <c r="N8706" s="10"/>
      <c r="O8706" s="10"/>
      <c r="P8706" s="10"/>
      <c r="Q8706" s="10"/>
      <c r="R8706" s="10"/>
      <c r="S8706" s="10"/>
      <c r="T8706" s="10"/>
      <c r="U8706" s="10"/>
      <c r="V8706" s="10"/>
      <c r="W8706" s="10"/>
      <c r="X8706" s="10"/>
      <c r="Y8706" s="10"/>
      <c r="Z8706" s="10"/>
    </row>
    <row r="8707" spans="1:26" ht="12.75">
      <c r="A8707" s="10"/>
      <c r="B8707" s="10"/>
      <c r="C8707" s="10"/>
      <c r="D8707" s="10"/>
      <c r="E8707" s="10"/>
      <c r="F8707" s="10"/>
      <c r="G8707" s="10"/>
      <c r="H8707" s="10"/>
      <c r="I8707" s="10"/>
      <c r="J8707" s="10"/>
      <c r="K8707" s="10"/>
      <c r="L8707" s="10"/>
      <c r="M8707" s="10"/>
      <c r="N8707" s="10"/>
      <c r="O8707" s="10"/>
      <c r="P8707" s="10"/>
      <c r="Q8707" s="10"/>
      <c r="R8707" s="10"/>
      <c r="S8707" s="10"/>
      <c r="T8707" s="10"/>
      <c r="U8707" s="10"/>
      <c r="V8707" s="10"/>
      <c r="W8707" s="10"/>
      <c r="X8707" s="10"/>
      <c r="Y8707" s="10"/>
      <c r="Z8707" s="10"/>
    </row>
    <row r="8708" spans="1:26" ht="12.75">
      <c r="A8708" s="10"/>
      <c r="B8708" s="10"/>
      <c r="C8708" s="10"/>
      <c r="D8708" s="10"/>
      <c r="E8708" s="10"/>
      <c r="F8708" s="10"/>
      <c r="G8708" s="10"/>
      <c r="H8708" s="10"/>
      <c r="I8708" s="10"/>
      <c r="J8708" s="10"/>
      <c r="K8708" s="10"/>
      <c r="L8708" s="10"/>
      <c r="M8708" s="10"/>
      <c r="N8708" s="10"/>
      <c r="O8708" s="10"/>
      <c r="P8708" s="10"/>
      <c r="Q8708" s="10"/>
      <c r="R8708" s="10"/>
      <c r="S8708" s="10"/>
      <c r="T8708" s="10"/>
      <c r="U8708" s="10"/>
      <c r="V8708" s="10"/>
      <c r="W8708" s="10"/>
      <c r="X8708" s="10"/>
      <c r="Y8708" s="10"/>
      <c r="Z8708" s="10"/>
    </row>
    <row r="8709" spans="1:26" ht="12.75">
      <c r="A8709" s="10"/>
      <c r="B8709" s="10"/>
      <c r="C8709" s="10"/>
      <c r="D8709" s="10"/>
      <c r="E8709" s="10"/>
      <c r="F8709" s="10"/>
      <c r="G8709" s="10"/>
      <c r="H8709" s="10"/>
      <c r="I8709" s="10"/>
      <c r="J8709" s="10"/>
      <c r="K8709" s="10"/>
      <c r="L8709" s="10"/>
      <c r="M8709" s="10"/>
      <c r="N8709" s="10"/>
      <c r="O8709" s="10"/>
      <c r="P8709" s="10"/>
      <c r="Q8709" s="10"/>
      <c r="R8709" s="10"/>
      <c r="S8709" s="10"/>
      <c r="T8709" s="10"/>
      <c r="U8709" s="10"/>
      <c r="V8709" s="10"/>
      <c r="W8709" s="10"/>
      <c r="X8709" s="10"/>
      <c r="Y8709" s="10"/>
      <c r="Z8709" s="10"/>
    </row>
    <row r="8710" spans="1:26" ht="12.75">
      <c r="A8710" s="10"/>
      <c r="B8710" s="10"/>
      <c r="C8710" s="10"/>
      <c r="D8710" s="10"/>
      <c r="E8710" s="10"/>
      <c r="F8710" s="10"/>
      <c r="G8710" s="10"/>
      <c r="H8710" s="10"/>
      <c r="I8710" s="10"/>
      <c r="J8710" s="10"/>
      <c r="K8710" s="10"/>
      <c r="L8710" s="10"/>
      <c r="M8710" s="10"/>
      <c r="N8710" s="10"/>
      <c r="O8710" s="10"/>
      <c r="P8710" s="10"/>
      <c r="Q8710" s="10"/>
      <c r="R8710" s="10"/>
      <c r="S8710" s="10"/>
      <c r="T8710" s="10"/>
      <c r="U8710" s="10"/>
      <c r="V8710" s="10"/>
      <c r="W8710" s="10"/>
      <c r="X8710" s="10"/>
      <c r="Y8710" s="10"/>
      <c r="Z8710" s="10"/>
    </row>
    <row r="8711" spans="1:26" ht="12.75">
      <c r="A8711" s="10"/>
      <c r="B8711" s="10"/>
      <c r="C8711" s="10"/>
      <c r="D8711" s="10"/>
      <c r="E8711" s="10"/>
      <c r="F8711" s="10"/>
      <c r="G8711" s="10"/>
      <c r="H8711" s="10"/>
      <c r="I8711" s="10"/>
      <c r="J8711" s="10"/>
      <c r="K8711" s="10"/>
      <c r="L8711" s="10"/>
      <c r="M8711" s="10"/>
      <c r="N8711" s="10"/>
      <c r="O8711" s="10"/>
      <c r="P8711" s="10"/>
      <c r="Q8711" s="10"/>
      <c r="R8711" s="10"/>
      <c r="S8711" s="10"/>
      <c r="T8711" s="10"/>
      <c r="U8711" s="10"/>
      <c r="V8711" s="10"/>
      <c r="W8711" s="10"/>
      <c r="X8711" s="10"/>
      <c r="Y8711" s="10"/>
      <c r="Z8711" s="10"/>
    </row>
    <row r="8712" spans="1:26" ht="12.75">
      <c r="A8712" s="10"/>
      <c r="B8712" s="10"/>
      <c r="C8712" s="10"/>
      <c r="D8712" s="10"/>
      <c r="E8712" s="10"/>
      <c r="F8712" s="10"/>
      <c r="G8712" s="10"/>
      <c r="H8712" s="10"/>
      <c r="I8712" s="10"/>
      <c r="J8712" s="10"/>
      <c r="K8712" s="10"/>
      <c r="L8712" s="10"/>
      <c r="M8712" s="10"/>
      <c r="N8712" s="10"/>
      <c r="O8712" s="10"/>
      <c r="P8712" s="10"/>
      <c r="Q8712" s="10"/>
      <c r="R8712" s="10"/>
      <c r="S8712" s="10"/>
      <c r="T8712" s="10"/>
      <c r="U8712" s="10"/>
      <c r="V8712" s="10"/>
      <c r="W8712" s="10"/>
      <c r="X8712" s="10"/>
      <c r="Y8712" s="10"/>
      <c r="Z8712" s="10"/>
    </row>
    <row r="8713" spans="1:26" ht="12.75">
      <c r="A8713" s="10"/>
      <c r="B8713" s="10"/>
      <c r="C8713" s="10"/>
      <c r="D8713" s="10"/>
      <c r="E8713" s="10"/>
      <c r="F8713" s="10"/>
      <c r="G8713" s="10"/>
      <c r="H8713" s="10"/>
      <c r="I8713" s="10"/>
      <c r="J8713" s="10"/>
      <c r="K8713" s="10"/>
      <c r="L8713" s="10"/>
      <c r="M8713" s="10"/>
      <c r="N8713" s="10"/>
      <c r="O8713" s="10"/>
      <c r="P8713" s="10"/>
      <c r="Q8713" s="10"/>
      <c r="R8713" s="10"/>
      <c r="S8713" s="10"/>
      <c r="T8713" s="10"/>
      <c r="U8713" s="10"/>
      <c r="V8713" s="10"/>
      <c r="W8713" s="10"/>
      <c r="X8713" s="10"/>
      <c r="Y8713" s="10"/>
      <c r="Z8713" s="10"/>
    </row>
    <row r="8714" spans="1:26" ht="12.75">
      <c r="A8714" s="10"/>
      <c r="B8714" s="10"/>
      <c r="C8714" s="10"/>
      <c r="D8714" s="10"/>
      <c r="E8714" s="10"/>
      <c r="F8714" s="10"/>
      <c r="G8714" s="10"/>
      <c r="H8714" s="10"/>
      <c r="I8714" s="10"/>
      <c r="J8714" s="10"/>
      <c r="K8714" s="10"/>
      <c r="L8714" s="10"/>
      <c r="M8714" s="10"/>
      <c r="N8714" s="10"/>
      <c r="O8714" s="10"/>
      <c r="P8714" s="10"/>
      <c r="Q8714" s="10"/>
      <c r="R8714" s="10"/>
      <c r="S8714" s="10"/>
      <c r="T8714" s="10"/>
      <c r="U8714" s="10"/>
      <c r="V8714" s="10"/>
      <c r="W8714" s="10"/>
      <c r="X8714" s="10"/>
      <c r="Y8714" s="10"/>
      <c r="Z8714" s="10"/>
    </row>
    <row r="8715" spans="1:26" ht="12.75">
      <c r="A8715" s="10"/>
      <c r="B8715" s="10"/>
      <c r="C8715" s="10"/>
      <c r="D8715" s="10"/>
      <c r="E8715" s="10"/>
      <c r="F8715" s="10"/>
      <c r="G8715" s="10"/>
      <c r="H8715" s="10"/>
      <c r="I8715" s="10"/>
      <c r="J8715" s="10"/>
      <c r="K8715" s="10"/>
      <c r="L8715" s="10"/>
      <c r="M8715" s="10"/>
      <c r="N8715" s="10"/>
      <c r="O8715" s="10"/>
      <c r="P8715" s="10"/>
      <c r="Q8715" s="10"/>
      <c r="R8715" s="10"/>
      <c r="S8715" s="10"/>
      <c r="T8715" s="10"/>
      <c r="U8715" s="10"/>
      <c r="V8715" s="10"/>
      <c r="W8715" s="10"/>
      <c r="X8715" s="10"/>
      <c r="Y8715" s="10"/>
      <c r="Z8715" s="10"/>
    </row>
    <row r="8716" spans="1:26" ht="12.75">
      <c r="A8716" s="10"/>
      <c r="B8716" s="10"/>
      <c r="C8716" s="10"/>
      <c r="D8716" s="10"/>
      <c r="E8716" s="10"/>
      <c r="F8716" s="10"/>
      <c r="G8716" s="10"/>
      <c r="H8716" s="10"/>
      <c r="I8716" s="10"/>
      <c r="J8716" s="10"/>
      <c r="K8716" s="10"/>
      <c r="L8716" s="10"/>
      <c r="M8716" s="10"/>
      <c r="N8716" s="10"/>
      <c r="O8716" s="10"/>
      <c r="P8716" s="10"/>
      <c r="Q8716" s="10"/>
      <c r="R8716" s="10"/>
      <c r="S8716" s="10"/>
      <c r="T8716" s="10"/>
      <c r="U8716" s="10"/>
      <c r="V8716" s="10"/>
      <c r="W8716" s="10"/>
      <c r="X8716" s="10"/>
      <c r="Y8716" s="10"/>
      <c r="Z8716" s="10"/>
    </row>
    <row r="8717" spans="1:26" ht="12.75">
      <c r="A8717" s="10"/>
      <c r="B8717" s="10"/>
      <c r="C8717" s="10"/>
      <c r="D8717" s="10"/>
      <c r="E8717" s="10"/>
      <c r="F8717" s="10"/>
      <c r="G8717" s="10"/>
      <c r="H8717" s="10"/>
      <c r="I8717" s="10"/>
      <c r="J8717" s="10"/>
      <c r="K8717" s="10"/>
      <c r="L8717" s="10"/>
      <c r="M8717" s="10"/>
      <c r="N8717" s="10"/>
      <c r="O8717" s="10"/>
      <c r="P8717" s="10"/>
      <c r="Q8717" s="10"/>
      <c r="R8717" s="10"/>
      <c r="S8717" s="10"/>
      <c r="T8717" s="10"/>
      <c r="U8717" s="10"/>
      <c r="V8717" s="10"/>
      <c r="W8717" s="10"/>
      <c r="X8717" s="10"/>
      <c r="Y8717" s="10"/>
      <c r="Z8717" s="10"/>
    </row>
    <row r="8718" spans="1:26" ht="12.75">
      <c r="A8718" s="10"/>
      <c r="B8718" s="10"/>
      <c r="C8718" s="10"/>
      <c r="D8718" s="10"/>
      <c r="E8718" s="10"/>
      <c r="F8718" s="10"/>
      <c r="G8718" s="10"/>
      <c r="H8718" s="10"/>
      <c r="I8718" s="10"/>
      <c r="J8718" s="10"/>
      <c r="K8718" s="10"/>
      <c r="L8718" s="10"/>
      <c r="M8718" s="10"/>
      <c r="N8718" s="10"/>
      <c r="O8718" s="10"/>
      <c r="P8718" s="10"/>
      <c r="Q8718" s="10"/>
      <c r="R8718" s="10"/>
      <c r="S8718" s="10"/>
      <c r="T8718" s="10"/>
      <c r="U8718" s="10"/>
      <c r="V8718" s="10"/>
      <c r="W8718" s="10"/>
      <c r="X8718" s="10"/>
      <c r="Y8718" s="10"/>
      <c r="Z8718" s="10"/>
    </row>
    <row r="8719" spans="1:26" ht="12.75">
      <c r="A8719" s="10"/>
      <c r="B8719" s="10"/>
      <c r="C8719" s="10"/>
      <c r="D8719" s="10"/>
      <c r="E8719" s="10"/>
      <c r="F8719" s="10"/>
      <c r="G8719" s="10"/>
      <c r="H8719" s="10"/>
      <c r="I8719" s="10"/>
      <c r="J8719" s="10"/>
      <c r="K8719" s="10"/>
      <c r="L8719" s="10"/>
      <c r="M8719" s="10"/>
      <c r="N8719" s="10"/>
      <c r="O8719" s="10"/>
      <c r="P8719" s="10"/>
      <c r="Q8719" s="10"/>
      <c r="R8719" s="10"/>
      <c r="S8719" s="10"/>
      <c r="T8719" s="10"/>
      <c r="U8719" s="10"/>
      <c r="V8719" s="10"/>
      <c r="W8719" s="10"/>
      <c r="X8719" s="10"/>
      <c r="Y8719" s="10"/>
      <c r="Z8719" s="10"/>
    </row>
    <row r="8720" spans="1:26" ht="12.75">
      <c r="A8720" s="10"/>
      <c r="B8720" s="10"/>
      <c r="C8720" s="10"/>
      <c r="D8720" s="10"/>
      <c r="E8720" s="10"/>
      <c r="F8720" s="10"/>
      <c r="G8720" s="10"/>
      <c r="H8720" s="10"/>
      <c r="I8720" s="10"/>
      <c r="J8720" s="10"/>
      <c r="K8720" s="10"/>
      <c r="L8720" s="10"/>
      <c r="M8720" s="10"/>
      <c r="N8720" s="10"/>
      <c r="O8720" s="10"/>
      <c r="P8720" s="10"/>
      <c r="Q8720" s="10"/>
      <c r="R8720" s="10"/>
      <c r="S8720" s="10"/>
      <c r="T8720" s="10"/>
      <c r="U8720" s="10"/>
      <c r="V8720" s="10"/>
      <c r="W8720" s="10"/>
      <c r="X8720" s="10"/>
      <c r="Y8720" s="10"/>
      <c r="Z8720" s="10"/>
    </row>
    <row r="8721" spans="1:26" ht="12.75">
      <c r="A8721" s="10"/>
      <c r="B8721" s="10"/>
      <c r="C8721" s="10"/>
      <c r="D8721" s="10"/>
      <c r="E8721" s="10"/>
      <c r="F8721" s="10"/>
      <c r="G8721" s="10"/>
      <c r="H8721" s="10"/>
      <c r="I8721" s="10"/>
      <c r="J8721" s="10"/>
      <c r="K8721" s="10"/>
      <c r="L8721" s="10"/>
      <c r="M8721" s="10"/>
      <c r="N8721" s="10"/>
      <c r="O8721" s="10"/>
      <c r="P8721" s="10"/>
      <c r="Q8721" s="10"/>
      <c r="R8721" s="10"/>
      <c r="S8721" s="10"/>
      <c r="T8721" s="10"/>
      <c r="U8721" s="10"/>
      <c r="V8721" s="10"/>
      <c r="W8721" s="10"/>
      <c r="X8721" s="10"/>
      <c r="Y8721" s="10"/>
      <c r="Z8721" s="10"/>
    </row>
    <row r="8722" spans="1:26" ht="12.75">
      <c r="A8722" s="10"/>
      <c r="B8722" s="10"/>
      <c r="C8722" s="10"/>
      <c r="D8722" s="10"/>
      <c r="E8722" s="10"/>
      <c r="F8722" s="10"/>
      <c r="G8722" s="10"/>
      <c r="H8722" s="10"/>
      <c r="I8722" s="10"/>
      <c r="J8722" s="10"/>
      <c r="K8722" s="10"/>
      <c r="L8722" s="10"/>
      <c r="M8722" s="10"/>
      <c r="N8722" s="10"/>
      <c r="O8722" s="10"/>
      <c r="P8722" s="10"/>
      <c r="Q8722" s="10"/>
      <c r="R8722" s="10"/>
      <c r="S8722" s="10"/>
      <c r="T8722" s="10"/>
      <c r="U8722" s="10"/>
      <c r="V8722" s="10"/>
      <c r="W8722" s="10"/>
      <c r="X8722" s="10"/>
      <c r="Y8722" s="10"/>
      <c r="Z8722" s="10"/>
    </row>
    <row r="8723" spans="1:26" ht="12.75">
      <c r="A8723" s="10"/>
      <c r="B8723" s="10"/>
      <c r="C8723" s="10"/>
      <c r="D8723" s="10"/>
      <c r="E8723" s="10"/>
      <c r="F8723" s="10"/>
      <c r="G8723" s="10"/>
      <c r="H8723" s="10"/>
      <c r="I8723" s="10"/>
      <c r="J8723" s="10"/>
      <c r="K8723" s="10"/>
      <c r="L8723" s="10"/>
      <c r="M8723" s="10"/>
      <c r="N8723" s="10"/>
      <c r="O8723" s="10"/>
      <c r="P8723" s="10"/>
      <c r="Q8723" s="10"/>
      <c r="R8723" s="10"/>
      <c r="S8723" s="10"/>
      <c r="T8723" s="10"/>
      <c r="U8723" s="10"/>
      <c r="V8723" s="10"/>
      <c r="W8723" s="10"/>
      <c r="X8723" s="10"/>
      <c r="Y8723" s="10"/>
      <c r="Z8723" s="10"/>
    </row>
    <row r="8724" spans="1:26" ht="12.75">
      <c r="A8724" s="10"/>
      <c r="B8724" s="10"/>
      <c r="C8724" s="10"/>
      <c r="D8724" s="10"/>
      <c r="E8724" s="10"/>
      <c r="F8724" s="10"/>
      <c r="G8724" s="10"/>
      <c r="H8724" s="10"/>
      <c r="I8724" s="10"/>
      <c r="J8724" s="10"/>
      <c r="K8724" s="10"/>
      <c r="L8724" s="10"/>
      <c r="M8724" s="10"/>
      <c r="N8724" s="10"/>
      <c r="O8724" s="10"/>
      <c r="P8724" s="10"/>
      <c r="Q8724" s="10"/>
      <c r="R8724" s="10"/>
      <c r="S8724" s="10"/>
      <c r="T8724" s="10"/>
      <c r="U8724" s="10"/>
      <c r="V8724" s="10"/>
      <c r="W8724" s="10"/>
      <c r="X8724" s="10"/>
      <c r="Y8724" s="10"/>
      <c r="Z8724" s="10"/>
    </row>
    <row r="8725" spans="1:26" ht="12.75">
      <c r="A8725" s="10"/>
      <c r="B8725" s="10"/>
      <c r="C8725" s="10"/>
      <c r="D8725" s="10"/>
      <c r="E8725" s="10"/>
      <c r="F8725" s="10"/>
      <c r="G8725" s="10"/>
      <c r="H8725" s="10"/>
      <c r="I8725" s="10"/>
      <c r="J8725" s="10"/>
      <c r="K8725" s="10"/>
      <c r="L8725" s="10"/>
      <c r="M8725" s="10"/>
      <c r="N8725" s="10"/>
      <c r="O8725" s="10"/>
      <c r="P8725" s="10"/>
      <c r="Q8725" s="10"/>
      <c r="R8725" s="10"/>
      <c r="S8725" s="10"/>
      <c r="T8725" s="10"/>
      <c r="U8725" s="10"/>
      <c r="V8725" s="10"/>
      <c r="W8725" s="10"/>
      <c r="X8725" s="10"/>
      <c r="Y8725" s="10"/>
      <c r="Z8725" s="10"/>
    </row>
    <row r="8726" spans="1:26" ht="12.75">
      <c r="A8726" s="10"/>
      <c r="B8726" s="10"/>
      <c r="C8726" s="10"/>
      <c r="D8726" s="10"/>
      <c r="E8726" s="10"/>
      <c r="F8726" s="10"/>
      <c r="G8726" s="10"/>
      <c r="H8726" s="10"/>
      <c r="I8726" s="10"/>
      <c r="J8726" s="10"/>
      <c r="K8726" s="10"/>
      <c r="L8726" s="10"/>
      <c r="M8726" s="10"/>
      <c r="N8726" s="10"/>
      <c r="O8726" s="10"/>
      <c r="P8726" s="10"/>
      <c r="Q8726" s="10"/>
      <c r="R8726" s="10"/>
      <c r="S8726" s="10"/>
      <c r="T8726" s="10"/>
      <c r="U8726" s="10"/>
      <c r="V8726" s="10"/>
      <c r="W8726" s="10"/>
      <c r="X8726" s="10"/>
      <c r="Y8726" s="10"/>
      <c r="Z8726" s="10"/>
    </row>
    <row r="8727" spans="1:26" ht="12.75">
      <c r="A8727" s="10"/>
      <c r="B8727" s="10"/>
      <c r="C8727" s="10"/>
      <c r="D8727" s="10"/>
      <c r="E8727" s="10"/>
      <c r="F8727" s="10"/>
      <c r="G8727" s="10"/>
      <c r="H8727" s="10"/>
      <c r="I8727" s="10"/>
      <c r="J8727" s="10"/>
      <c r="K8727" s="10"/>
      <c r="L8727" s="10"/>
      <c r="M8727" s="10"/>
      <c r="N8727" s="10"/>
      <c r="O8727" s="10"/>
      <c r="P8727" s="10"/>
      <c r="Q8727" s="10"/>
      <c r="R8727" s="10"/>
      <c r="S8727" s="10"/>
      <c r="T8727" s="10"/>
      <c r="U8727" s="10"/>
      <c r="V8727" s="10"/>
      <c r="W8727" s="10"/>
      <c r="X8727" s="10"/>
      <c r="Y8727" s="10"/>
      <c r="Z8727" s="10"/>
    </row>
    <row r="8728" spans="1:26" ht="12.75">
      <c r="A8728" s="10"/>
      <c r="B8728" s="10"/>
      <c r="C8728" s="10"/>
      <c r="D8728" s="10"/>
      <c r="E8728" s="10"/>
      <c r="F8728" s="10"/>
      <c r="G8728" s="10"/>
      <c r="H8728" s="10"/>
      <c r="I8728" s="10"/>
      <c r="J8728" s="10"/>
      <c r="K8728" s="10"/>
      <c r="L8728" s="10"/>
      <c r="M8728" s="10"/>
      <c r="N8728" s="10"/>
      <c r="O8728" s="10"/>
      <c r="P8728" s="10"/>
      <c r="Q8728" s="10"/>
      <c r="R8728" s="10"/>
      <c r="S8728" s="10"/>
      <c r="T8728" s="10"/>
      <c r="U8728" s="10"/>
      <c r="V8728" s="10"/>
      <c r="W8728" s="10"/>
      <c r="X8728" s="10"/>
      <c r="Y8728" s="10"/>
      <c r="Z8728" s="10"/>
    </row>
    <row r="8729" spans="1:26" ht="12.75">
      <c r="A8729" s="10"/>
      <c r="B8729" s="10"/>
      <c r="C8729" s="10"/>
      <c r="D8729" s="10"/>
      <c r="E8729" s="10"/>
      <c r="F8729" s="10"/>
      <c r="G8729" s="10"/>
      <c r="H8729" s="10"/>
      <c r="I8729" s="10"/>
      <c r="J8729" s="10"/>
      <c r="K8729" s="10"/>
      <c r="L8729" s="10"/>
      <c r="M8729" s="10"/>
      <c r="N8729" s="10"/>
      <c r="O8729" s="10"/>
      <c r="P8729" s="10"/>
      <c r="Q8729" s="10"/>
      <c r="R8729" s="10"/>
      <c r="S8729" s="10"/>
      <c r="T8729" s="10"/>
      <c r="U8729" s="10"/>
      <c r="V8729" s="10"/>
      <c r="W8729" s="10"/>
      <c r="X8729" s="10"/>
      <c r="Y8729" s="10"/>
      <c r="Z8729" s="10"/>
    </row>
    <row r="8730" spans="1:26" ht="12.75">
      <c r="A8730" s="10"/>
      <c r="B8730" s="10"/>
      <c r="C8730" s="10"/>
      <c r="D8730" s="10"/>
      <c r="E8730" s="10"/>
      <c r="F8730" s="10"/>
      <c r="G8730" s="10"/>
      <c r="H8730" s="10"/>
      <c r="I8730" s="10"/>
      <c r="J8730" s="10"/>
      <c r="K8730" s="10"/>
      <c r="L8730" s="10"/>
      <c r="M8730" s="10"/>
      <c r="N8730" s="10"/>
      <c r="O8730" s="10"/>
      <c r="P8730" s="10"/>
      <c r="Q8730" s="10"/>
      <c r="R8730" s="10"/>
      <c r="S8730" s="10"/>
      <c r="T8730" s="10"/>
      <c r="U8730" s="10"/>
      <c r="V8730" s="10"/>
      <c r="W8730" s="10"/>
      <c r="X8730" s="10"/>
      <c r="Y8730" s="10"/>
      <c r="Z8730" s="10"/>
    </row>
    <row r="8731" spans="1:26" ht="12.75">
      <c r="A8731" s="10"/>
      <c r="B8731" s="10"/>
      <c r="C8731" s="10"/>
      <c r="D8731" s="10"/>
      <c r="E8731" s="10"/>
      <c r="F8731" s="10"/>
      <c r="G8731" s="10"/>
      <c r="H8731" s="10"/>
      <c r="I8731" s="10"/>
      <c r="J8731" s="10"/>
      <c r="K8731" s="10"/>
      <c r="L8731" s="10"/>
      <c r="M8731" s="10"/>
      <c r="N8731" s="10"/>
      <c r="O8731" s="10"/>
      <c r="P8731" s="10"/>
      <c r="Q8731" s="10"/>
      <c r="R8731" s="10"/>
      <c r="S8731" s="10"/>
      <c r="T8731" s="10"/>
      <c r="U8731" s="10"/>
      <c r="V8731" s="10"/>
      <c r="W8731" s="10"/>
      <c r="X8731" s="10"/>
      <c r="Y8731" s="10"/>
      <c r="Z8731" s="10"/>
    </row>
    <row r="8732" spans="1:26" ht="12.75">
      <c r="A8732" s="10"/>
      <c r="B8732" s="10"/>
      <c r="C8732" s="10"/>
      <c r="D8732" s="10"/>
      <c r="E8732" s="10"/>
      <c r="F8732" s="10"/>
      <c r="G8732" s="10"/>
      <c r="H8732" s="10"/>
      <c r="I8732" s="10"/>
      <c r="J8732" s="10"/>
      <c r="K8732" s="10"/>
      <c r="L8732" s="10"/>
      <c r="M8732" s="10"/>
      <c r="N8732" s="10"/>
      <c r="O8732" s="10"/>
      <c r="P8732" s="10"/>
      <c r="Q8732" s="10"/>
      <c r="R8732" s="10"/>
      <c r="S8732" s="10"/>
      <c r="T8732" s="10"/>
      <c r="U8732" s="10"/>
      <c r="V8732" s="10"/>
      <c r="W8732" s="10"/>
      <c r="X8732" s="10"/>
      <c r="Y8732" s="10"/>
      <c r="Z8732" s="10"/>
    </row>
    <row r="8733" spans="1:26" ht="12.75">
      <c r="A8733" s="10"/>
      <c r="B8733" s="10"/>
      <c r="C8733" s="10"/>
      <c r="D8733" s="10"/>
      <c r="E8733" s="10"/>
      <c r="F8733" s="10"/>
      <c r="G8733" s="10"/>
      <c r="H8733" s="10"/>
      <c r="I8733" s="10"/>
      <c r="J8733" s="10"/>
      <c r="K8733" s="10"/>
      <c r="L8733" s="10"/>
      <c r="M8733" s="10"/>
      <c r="N8733" s="10"/>
      <c r="O8733" s="10"/>
      <c r="P8733" s="10"/>
      <c r="Q8733" s="10"/>
      <c r="R8733" s="10"/>
      <c r="S8733" s="10"/>
      <c r="T8733" s="10"/>
      <c r="U8733" s="10"/>
      <c r="V8733" s="10"/>
      <c r="W8733" s="10"/>
      <c r="X8733" s="10"/>
      <c r="Y8733" s="10"/>
      <c r="Z8733" s="10"/>
    </row>
    <row r="8734" spans="1:26" ht="12.75">
      <c r="A8734" s="10"/>
      <c r="B8734" s="10"/>
      <c r="C8734" s="10"/>
      <c r="D8734" s="10"/>
      <c r="E8734" s="10"/>
      <c r="F8734" s="10"/>
      <c r="G8734" s="10"/>
      <c r="H8734" s="10"/>
      <c r="I8734" s="10"/>
      <c r="J8734" s="10"/>
      <c r="K8734" s="10"/>
      <c r="L8734" s="10"/>
      <c r="M8734" s="10"/>
      <c r="N8734" s="10"/>
      <c r="O8734" s="10"/>
      <c r="P8734" s="10"/>
      <c r="Q8734" s="10"/>
      <c r="R8734" s="10"/>
      <c r="S8734" s="10"/>
      <c r="T8734" s="10"/>
      <c r="U8734" s="10"/>
      <c r="V8734" s="10"/>
      <c r="W8734" s="10"/>
      <c r="X8734" s="10"/>
      <c r="Y8734" s="10"/>
      <c r="Z8734" s="10"/>
    </row>
    <row r="8735" spans="1:26" ht="12.75">
      <c r="A8735" s="10"/>
      <c r="B8735" s="10"/>
      <c r="C8735" s="10"/>
      <c r="D8735" s="10"/>
      <c r="E8735" s="10"/>
      <c r="F8735" s="10"/>
      <c r="G8735" s="10"/>
      <c r="H8735" s="10"/>
      <c r="I8735" s="10"/>
      <c r="J8735" s="10"/>
      <c r="K8735" s="10"/>
      <c r="L8735" s="10"/>
      <c r="M8735" s="10"/>
      <c r="N8735" s="10"/>
      <c r="O8735" s="10"/>
      <c r="P8735" s="10"/>
      <c r="Q8735" s="10"/>
      <c r="R8735" s="10"/>
      <c r="S8735" s="10"/>
      <c r="T8735" s="10"/>
      <c r="U8735" s="10"/>
      <c r="V8735" s="10"/>
      <c r="W8735" s="10"/>
      <c r="X8735" s="10"/>
      <c r="Y8735" s="10"/>
      <c r="Z8735" s="10"/>
    </row>
    <row r="8736" spans="1:26" ht="12.75">
      <c r="A8736" s="10"/>
      <c r="B8736" s="10"/>
      <c r="C8736" s="10"/>
      <c r="D8736" s="10"/>
      <c r="E8736" s="10"/>
      <c r="F8736" s="10"/>
      <c r="G8736" s="10"/>
      <c r="H8736" s="10"/>
      <c r="I8736" s="10"/>
      <c r="J8736" s="10"/>
      <c r="K8736" s="10"/>
      <c r="L8736" s="10"/>
      <c r="M8736" s="10"/>
      <c r="N8736" s="10"/>
      <c r="O8736" s="10"/>
      <c r="P8736" s="10"/>
      <c r="Q8736" s="10"/>
      <c r="R8736" s="10"/>
      <c r="S8736" s="10"/>
      <c r="T8736" s="10"/>
      <c r="U8736" s="10"/>
      <c r="V8736" s="10"/>
      <c r="W8736" s="10"/>
      <c r="X8736" s="10"/>
      <c r="Y8736" s="10"/>
      <c r="Z8736" s="10"/>
    </row>
    <row r="8737" spans="1:26" ht="12.75">
      <c r="A8737" s="10"/>
      <c r="B8737" s="10"/>
      <c r="C8737" s="10"/>
      <c r="D8737" s="10"/>
      <c r="E8737" s="10"/>
      <c r="F8737" s="10"/>
      <c r="G8737" s="10"/>
      <c r="H8737" s="10"/>
      <c r="I8737" s="10"/>
      <c r="J8737" s="10"/>
      <c r="K8737" s="10"/>
      <c r="L8737" s="10"/>
      <c r="M8737" s="10"/>
      <c r="N8737" s="10"/>
      <c r="O8737" s="10"/>
      <c r="P8737" s="10"/>
      <c r="Q8737" s="10"/>
      <c r="R8737" s="10"/>
      <c r="S8737" s="10"/>
      <c r="T8737" s="10"/>
      <c r="U8737" s="10"/>
      <c r="V8737" s="10"/>
      <c r="W8737" s="10"/>
      <c r="X8737" s="10"/>
      <c r="Y8737" s="10"/>
      <c r="Z8737" s="10"/>
    </row>
    <row r="8738" spans="1:26" ht="12.75">
      <c r="A8738" s="10"/>
      <c r="B8738" s="10"/>
      <c r="C8738" s="10"/>
      <c r="D8738" s="10"/>
      <c r="E8738" s="10"/>
      <c r="F8738" s="10"/>
      <c r="G8738" s="10"/>
      <c r="H8738" s="10"/>
      <c r="I8738" s="10"/>
      <c r="J8738" s="10"/>
      <c r="K8738" s="10"/>
      <c r="L8738" s="10"/>
      <c r="M8738" s="10"/>
      <c r="N8738" s="10"/>
      <c r="O8738" s="10"/>
      <c r="P8738" s="10"/>
      <c r="Q8738" s="10"/>
      <c r="R8738" s="10"/>
      <c r="S8738" s="10"/>
      <c r="T8738" s="10"/>
      <c r="U8738" s="10"/>
      <c r="V8738" s="10"/>
      <c r="W8738" s="10"/>
      <c r="X8738" s="10"/>
      <c r="Y8738" s="10"/>
      <c r="Z8738" s="10"/>
    </row>
    <row r="8739" spans="1:26" ht="12.75">
      <c r="A8739" s="10"/>
      <c r="B8739" s="10"/>
      <c r="C8739" s="10"/>
      <c r="D8739" s="10"/>
      <c r="E8739" s="10"/>
      <c r="F8739" s="10"/>
      <c r="G8739" s="10"/>
      <c r="H8739" s="10"/>
      <c r="I8739" s="10"/>
      <c r="J8739" s="10"/>
      <c r="K8739" s="10"/>
      <c r="L8739" s="10"/>
      <c r="M8739" s="10"/>
      <c r="N8739" s="10"/>
      <c r="O8739" s="10"/>
      <c r="P8739" s="10"/>
      <c r="Q8739" s="10"/>
      <c r="R8739" s="10"/>
      <c r="S8739" s="10"/>
      <c r="T8739" s="10"/>
      <c r="U8739" s="10"/>
      <c r="V8739" s="10"/>
      <c r="W8739" s="10"/>
      <c r="X8739" s="10"/>
      <c r="Y8739" s="10"/>
      <c r="Z8739" s="10"/>
    </row>
    <row r="8740" spans="1:26" ht="12.75">
      <c r="A8740" s="10"/>
      <c r="B8740" s="10"/>
      <c r="C8740" s="10"/>
      <c r="D8740" s="10"/>
      <c r="E8740" s="10"/>
      <c r="F8740" s="10"/>
      <c r="G8740" s="10"/>
      <c r="H8740" s="10"/>
      <c r="I8740" s="10"/>
      <c r="J8740" s="10"/>
      <c r="K8740" s="10"/>
      <c r="L8740" s="10"/>
      <c r="M8740" s="10"/>
      <c r="N8740" s="10"/>
      <c r="O8740" s="10"/>
      <c r="P8740" s="10"/>
      <c r="Q8740" s="10"/>
      <c r="R8740" s="10"/>
      <c r="S8740" s="10"/>
      <c r="T8740" s="10"/>
      <c r="U8740" s="10"/>
      <c r="V8740" s="10"/>
      <c r="W8740" s="10"/>
      <c r="X8740" s="10"/>
      <c r="Y8740" s="10"/>
      <c r="Z8740" s="10"/>
    </row>
    <row r="8741" spans="1:26" ht="12.75">
      <c r="A8741" s="10"/>
      <c r="B8741" s="10"/>
      <c r="C8741" s="10"/>
      <c r="D8741" s="10"/>
      <c r="E8741" s="10"/>
      <c r="F8741" s="10"/>
      <c r="G8741" s="10"/>
      <c r="H8741" s="10"/>
      <c r="I8741" s="10"/>
      <c r="J8741" s="10"/>
      <c r="K8741" s="10"/>
      <c r="L8741" s="10"/>
      <c r="M8741" s="10"/>
      <c r="N8741" s="10"/>
      <c r="O8741" s="10"/>
      <c r="P8741" s="10"/>
      <c r="Q8741" s="10"/>
      <c r="R8741" s="10"/>
      <c r="S8741" s="10"/>
      <c r="T8741" s="10"/>
      <c r="U8741" s="10"/>
      <c r="V8741" s="10"/>
      <c r="W8741" s="10"/>
      <c r="X8741" s="10"/>
      <c r="Y8741" s="10"/>
      <c r="Z8741" s="10"/>
    </row>
    <row r="8742" spans="1:26" ht="12.75">
      <c r="A8742" s="10"/>
      <c r="B8742" s="10"/>
      <c r="C8742" s="10"/>
      <c r="D8742" s="10"/>
      <c r="E8742" s="10"/>
      <c r="F8742" s="10"/>
      <c r="G8742" s="10"/>
      <c r="H8742" s="10"/>
      <c r="I8742" s="10"/>
      <c r="J8742" s="10"/>
      <c r="K8742" s="10"/>
      <c r="L8742" s="10"/>
      <c r="M8742" s="10"/>
      <c r="N8742" s="10"/>
      <c r="O8742" s="10"/>
      <c r="P8742" s="10"/>
      <c r="Q8742" s="10"/>
      <c r="R8742" s="10"/>
      <c r="S8742" s="10"/>
      <c r="T8742" s="10"/>
      <c r="U8742" s="10"/>
      <c r="V8742" s="10"/>
      <c r="W8742" s="10"/>
      <c r="X8742" s="10"/>
      <c r="Y8742" s="10"/>
      <c r="Z8742" s="10"/>
    </row>
    <row r="8743" spans="1:26" ht="12.75">
      <c r="A8743" s="10"/>
      <c r="B8743" s="10"/>
      <c r="C8743" s="10"/>
      <c r="D8743" s="10"/>
      <c r="E8743" s="10"/>
      <c r="F8743" s="10"/>
      <c r="G8743" s="10"/>
      <c r="H8743" s="10"/>
      <c r="I8743" s="10"/>
      <c r="J8743" s="10"/>
      <c r="K8743" s="10"/>
      <c r="L8743" s="10"/>
      <c r="M8743" s="10"/>
      <c r="N8743" s="10"/>
      <c r="O8743" s="10"/>
      <c r="P8743" s="10"/>
      <c r="Q8743" s="10"/>
      <c r="R8743" s="10"/>
      <c r="S8743" s="10"/>
      <c r="T8743" s="10"/>
      <c r="U8743" s="10"/>
      <c r="V8743" s="10"/>
      <c r="W8743" s="10"/>
      <c r="X8743" s="10"/>
      <c r="Y8743" s="10"/>
      <c r="Z8743" s="10"/>
    </row>
    <row r="8744" spans="1:26" ht="12.75">
      <c r="A8744" s="10"/>
      <c r="B8744" s="10"/>
      <c r="C8744" s="10"/>
      <c r="D8744" s="10"/>
      <c r="E8744" s="10"/>
      <c r="F8744" s="10"/>
      <c r="G8744" s="10"/>
      <c r="H8744" s="10"/>
      <c r="I8744" s="10"/>
      <c r="J8744" s="10"/>
      <c r="K8744" s="10"/>
      <c r="L8744" s="10"/>
      <c r="M8744" s="10"/>
      <c r="N8744" s="10"/>
      <c r="O8744" s="10"/>
      <c r="P8744" s="10"/>
      <c r="Q8744" s="10"/>
      <c r="R8744" s="10"/>
      <c r="S8744" s="10"/>
      <c r="T8744" s="10"/>
      <c r="U8744" s="10"/>
      <c r="V8744" s="10"/>
      <c r="W8744" s="10"/>
      <c r="X8744" s="10"/>
      <c r="Y8744" s="10"/>
      <c r="Z8744" s="10"/>
    </row>
    <row r="8745" spans="1:26" ht="12.75">
      <c r="A8745" s="10"/>
      <c r="B8745" s="10"/>
      <c r="C8745" s="10"/>
      <c r="D8745" s="10"/>
      <c r="E8745" s="10"/>
      <c r="F8745" s="10"/>
      <c r="G8745" s="10"/>
      <c r="H8745" s="10"/>
      <c r="I8745" s="10"/>
      <c r="J8745" s="10"/>
      <c r="K8745" s="10"/>
      <c r="L8745" s="10"/>
      <c r="M8745" s="10"/>
      <c r="N8745" s="10"/>
      <c r="O8745" s="10"/>
      <c r="P8745" s="10"/>
      <c r="Q8745" s="10"/>
      <c r="R8745" s="10"/>
      <c r="S8745" s="10"/>
      <c r="T8745" s="10"/>
      <c r="U8745" s="10"/>
      <c r="V8745" s="10"/>
      <c r="W8745" s="10"/>
      <c r="X8745" s="10"/>
      <c r="Y8745" s="10"/>
      <c r="Z8745" s="10"/>
    </row>
    <row r="8746" spans="1:26" ht="12.75">
      <c r="A8746" s="10"/>
      <c r="B8746" s="10"/>
      <c r="C8746" s="10"/>
      <c r="D8746" s="10"/>
      <c r="E8746" s="10"/>
      <c r="F8746" s="10"/>
      <c r="G8746" s="10"/>
      <c r="H8746" s="10"/>
      <c r="I8746" s="10"/>
      <c r="J8746" s="10"/>
      <c r="K8746" s="10"/>
      <c r="L8746" s="10"/>
      <c r="M8746" s="10"/>
      <c r="N8746" s="10"/>
      <c r="O8746" s="10"/>
      <c r="P8746" s="10"/>
      <c r="Q8746" s="10"/>
      <c r="R8746" s="10"/>
      <c r="S8746" s="10"/>
      <c r="T8746" s="10"/>
      <c r="U8746" s="10"/>
      <c r="V8746" s="10"/>
      <c r="W8746" s="10"/>
      <c r="X8746" s="10"/>
      <c r="Y8746" s="10"/>
      <c r="Z8746" s="10"/>
    </row>
    <row r="8747" spans="1:26" ht="12.75">
      <c r="A8747" s="10"/>
      <c r="B8747" s="10"/>
      <c r="C8747" s="10"/>
      <c r="D8747" s="10"/>
      <c r="E8747" s="10"/>
      <c r="F8747" s="10"/>
      <c r="G8747" s="10"/>
      <c r="H8747" s="10"/>
      <c r="I8747" s="10"/>
      <c r="J8747" s="10"/>
      <c r="K8747" s="10"/>
      <c r="L8747" s="10"/>
      <c r="M8747" s="10"/>
      <c r="N8747" s="10"/>
      <c r="O8747" s="10"/>
      <c r="P8747" s="10"/>
      <c r="Q8747" s="10"/>
      <c r="R8747" s="10"/>
      <c r="S8747" s="10"/>
      <c r="T8747" s="10"/>
      <c r="U8747" s="10"/>
      <c r="V8747" s="10"/>
      <c r="W8747" s="10"/>
      <c r="X8747" s="10"/>
      <c r="Y8747" s="10"/>
      <c r="Z8747" s="10"/>
    </row>
    <row r="8748" spans="1:26" ht="12.75">
      <c r="A8748" s="10"/>
      <c r="B8748" s="10"/>
      <c r="C8748" s="10"/>
      <c r="D8748" s="10"/>
      <c r="E8748" s="10"/>
      <c r="F8748" s="10"/>
      <c r="G8748" s="10"/>
      <c r="H8748" s="10"/>
      <c r="I8748" s="10"/>
      <c r="J8748" s="10"/>
      <c r="K8748" s="10"/>
      <c r="L8748" s="10"/>
      <c r="M8748" s="10"/>
      <c r="N8748" s="10"/>
      <c r="O8748" s="10"/>
      <c r="P8748" s="10"/>
      <c r="Q8748" s="10"/>
      <c r="R8748" s="10"/>
      <c r="S8748" s="10"/>
      <c r="T8748" s="10"/>
      <c r="U8748" s="10"/>
      <c r="V8748" s="10"/>
      <c r="W8748" s="10"/>
      <c r="X8748" s="10"/>
      <c r="Y8748" s="10"/>
      <c r="Z8748" s="10"/>
    </row>
    <row r="8749" spans="1:26" ht="12.75">
      <c r="A8749" s="10"/>
      <c r="B8749" s="10"/>
      <c r="C8749" s="10"/>
      <c r="D8749" s="10"/>
      <c r="E8749" s="10"/>
      <c r="F8749" s="10"/>
      <c r="G8749" s="10"/>
      <c r="H8749" s="10"/>
      <c r="I8749" s="10"/>
      <c r="J8749" s="10"/>
      <c r="K8749" s="10"/>
      <c r="L8749" s="10"/>
      <c r="M8749" s="10"/>
      <c r="N8749" s="10"/>
      <c r="O8749" s="10"/>
      <c r="P8749" s="10"/>
      <c r="Q8749" s="10"/>
      <c r="R8749" s="10"/>
      <c r="S8749" s="10"/>
      <c r="T8749" s="10"/>
      <c r="U8749" s="10"/>
      <c r="V8749" s="10"/>
      <c r="W8749" s="10"/>
      <c r="X8749" s="10"/>
      <c r="Y8749" s="10"/>
      <c r="Z8749" s="10"/>
    </row>
    <row r="8750" spans="1:26" ht="12.75">
      <c r="A8750" s="10"/>
      <c r="B8750" s="10"/>
      <c r="C8750" s="10"/>
      <c r="D8750" s="10"/>
      <c r="E8750" s="10"/>
      <c r="F8750" s="10"/>
      <c r="G8750" s="10"/>
      <c r="H8750" s="10"/>
      <c r="I8750" s="10"/>
      <c r="J8750" s="10"/>
      <c r="K8750" s="10"/>
      <c r="L8750" s="10"/>
      <c r="M8750" s="10"/>
      <c r="N8750" s="10"/>
      <c r="O8750" s="10"/>
      <c r="P8750" s="10"/>
      <c r="Q8750" s="10"/>
      <c r="R8750" s="10"/>
      <c r="S8750" s="10"/>
      <c r="T8750" s="10"/>
      <c r="U8750" s="10"/>
      <c r="V8750" s="10"/>
      <c r="W8750" s="10"/>
      <c r="X8750" s="10"/>
      <c r="Y8750" s="10"/>
      <c r="Z8750" s="10"/>
    </row>
    <row r="8751" spans="1:26" ht="12.75">
      <c r="A8751" s="10"/>
      <c r="B8751" s="10"/>
      <c r="C8751" s="10"/>
      <c r="D8751" s="10"/>
      <c r="E8751" s="10"/>
      <c r="F8751" s="10"/>
      <c r="G8751" s="10"/>
      <c r="H8751" s="10"/>
      <c r="I8751" s="10"/>
      <c r="J8751" s="10"/>
      <c r="K8751" s="10"/>
      <c r="L8751" s="10"/>
      <c r="M8751" s="10"/>
      <c r="N8751" s="10"/>
      <c r="O8751" s="10"/>
      <c r="P8751" s="10"/>
      <c r="Q8751" s="10"/>
      <c r="R8751" s="10"/>
      <c r="S8751" s="10"/>
      <c r="T8751" s="10"/>
      <c r="U8751" s="10"/>
      <c r="V8751" s="10"/>
      <c r="W8751" s="10"/>
      <c r="X8751" s="10"/>
      <c r="Y8751" s="10"/>
      <c r="Z8751" s="10"/>
    </row>
    <row r="8752" spans="1:26" ht="12.75">
      <c r="A8752" s="10"/>
      <c r="B8752" s="10"/>
      <c r="C8752" s="10"/>
      <c r="D8752" s="10"/>
      <c r="E8752" s="10"/>
      <c r="F8752" s="10"/>
      <c r="G8752" s="10"/>
      <c r="H8752" s="10"/>
      <c r="I8752" s="10"/>
      <c r="J8752" s="10"/>
      <c r="K8752" s="10"/>
      <c r="L8752" s="10"/>
      <c r="M8752" s="10"/>
      <c r="N8752" s="10"/>
      <c r="O8752" s="10"/>
      <c r="P8752" s="10"/>
      <c r="Q8752" s="10"/>
      <c r="R8752" s="10"/>
      <c r="S8752" s="10"/>
      <c r="T8752" s="10"/>
      <c r="U8752" s="10"/>
      <c r="V8752" s="10"/>
      <c r="W8752" s="10"/>
      <c r="X8752" s="10"/>
      <c r="Y8752" s="10"/>
      <c r="Z8752" s="10"/>
    </row>
    <row r="8753" spans="1:26" ht="12.75">
      <c r="A8753" s="10"/>
      <c r="B8753" s="10"/>
      <c r="C8753" s="10"/>
      <c r="D8753" s="10"/>
      <c r="E8753" s="10"/>
      <c r="F8753" s="10"/>
      <c r="G8753" s="10"/>
      <c r="H8753" s="10"/>
      <c r="I8753" s="10"/>
      <c r="J8753" s="10"/>
      <c r="K8753" s="10"/>
      <c r="L8753" s="10"/>
      <c r="M8753" s="10"/>
      <c r="N8753" s="10"/>
      <c r="O8753" s="10"/>
      <c r="P8753" s="10"/>
      <c r="Q8753" s="10"/>
      <c r="R8753" s="10"/>
      <c r="S8753" s="10"/>
      <c r="T8753" s="10"/>
      <c r="U8753" s="10"/>
      <c r="V8753" s="10"/>
      <c r="W8753" s="10"/>
      <c r="X8753" s="10"/>
      <c r="Y8753" s="10"/>
      <c r="Z8753" s="10"/>
    </row>
    <row r="8754" spans="1:26" ht="12.75">
      <c r="A8754" s="10"/>
      <c r="B8754" s="10"/>
      <c r="C8754" s="10"/>
      <c r="D8754" s="10"/>
      <c r="E8754" s="10"/>
      <c r="F8754" s="10"/>
      <c r="G8754" s="10"/>
      <c r="H8754" s="10"/>
      <c r="I8754" s="10"/>
      <c r="J8754" s="10"/>
      <c r="K8754" s="10"/>
      <c r="L8754" s="10"/>
      <c r="M8754" s="10"/>
      <c r="N8754" s="10"/>
      <c r="O8754" s="10"/>
      <c r="P8754" s="10"/>
      <c r="Q8754" s="10"/>
      <c r="R8754" s="10"/>
      <c r="S8754" s="10"/>
      <c r="T8754" s="10"/>
      <c r="U8754" s="10"/>
      <c r="V8754" s="10"/>
      <c r="W8754" s="10"/>
      <c r="X8754" s="10"/>
      <c r="Y8754" s="10"/>
      <c r="Z8754" s="10"/>
    </row>
    <row r="8755" spans="1:26" ht="12.75">
      <c r="A8755" s="10"/>
      <c r="B8755" s="10"/>
      <c r="C8755" s="10"/>
      <c r="D8755" s="10"/>
      <c r="E8755" s="10"/>
      <c r="F8755" s="10"/>
      <c r="G8755" s="10"/>
      <c r="H8755" s="10"/>
      <c r="I8755" s="10"/>
      <c r="J8755" s="10"/>
      <c r="K8755" s="10"/>
      <c r="L8755" s="10"/>
      <c r="M8755" s="10"/>
      <c r="N8755" s="10"/>
      <c r="O8755" s="10"/>
      <c r="P8755" s="10"/>
      <c r="Q8755" s="10"/>
      <c r="R8755" s="10"/>
      <c r="S8755" s="10"/>
      <c r="T8755" s="10"/>
      <c r="U8755" s="10"/>
      <c r="V8755" s="10"/>
      <c r="W8755" s="10"/>
      <c r="X8755" s="10"/>
      <c r="Y8755" s="10"/>
      <c r="Z8755" s="10"/>
    </row>
    <row r="8756" spans="1:26" ht="12.75">
      <c r="A8756" s="10"/>
      <c r="B8756" s="10"/>
      <c r="C8756" s="10"/>
      <c r="D8756" s="10"/>
      <c r="E8756" s="10"/>
      <c r="F8756" s="10"/>
      <c r="G8756" s="10"/>
      <c r="H8756" s="10"/>
      <c r="I8756" s="10"/>
      <c r="J8756" s="10"/>
      <c r="K8756" s="10"/>
      <c r="L8756" s="10"/>
      <c r="M8756" s="10"/>
      <c r="N8756" s="10"/>
      <c r="O8756" s="10"/>
      <c r="P8756" s="10"/>
      <c r="Q8756" s="10"/>
      <c r="R8756" s="10"/>
      <c r="S8756" s="10"/>
      <c r="T8756" s="10"/>
      <c r="U8756" s="10"/>
      <c r="V8756" s="10"/>
      <c r="W8756" s="10"/>
      <c r="X8756" s="10"/>
      <c r="Y8756" s="10"/>
      <c r="Z8756" s="10"/>
    </row>
    <row r="8757" spans="1:26" ht="12.75">
      <c r="A8757" s="10"/>
      <c r="B8757" s="10"/>
      <c r="C8757" s="10"/>
      <c r="D8757" s="10"/>
      <c r="E8757" s="10"/>
      <c r="F8757" s="10"/>
      <c r="G8757" s="10"/>
      <c r="H8757" s="10"/>
      <c r="I8757" s="10"/>
      <c r="J8757" s="10"/>
      <c r="K8757" s="10"/>
      <c r="L8757" s="10"/>
      <c r="M8757" s="10"/>
      <c r="N8757" s="10"/>
      <c r="O8757" s="10"/>
      <c r="P8757" s="10"/>
      <c r="Q8757" s="10"/>
      <c r="R8757" s="10"/>
      <c r="S8757" s="10"/>
      <c r="T8757" s="10"/>
      <c r="U8757" s="10"/>
      <c r="V8757" s="10"/>
      <c r="W8757" s="10"/>
      <c r="X8757" s="10"/>
      <c r="Y8757" s="10"/>
      <c r="Z8757" s="10"/>
    </row>
    <row r="8758" spans="1:26" ht="12.75">
      <c r="A8758" s="10"/>
      <c r="B8758" s="10"/>
      <c r="C8758" s="10"/>
      <c r="D8758" s="10"/>
      <c r="E8758" s="10"/>
      <c r="F8758" s="10"/>
      <c r="G8758" s="10"/>
      <c r="H8758" s="10"/>
      <c r="I8758" s="10"/>
      <c r="J8758" s="10"/>
      <c r="K8758" s="10"/>
      <c r="L8758" s="10"/>
      <c r="M8758" s="10"/>
      <c r="N8758" s="10"/>
      <c r="O8758" s="10"/>
      <c r="P8758" s="10"/>
      <c r="Q8758" s="10"/>
      <c r="R8758" s="10"/>
      <c r="S8758" s="10"/>
      <c r="T8758" s="10"/>
      <c r="U8758" s="10"/>
      <c r="V8758" s="10"/>
      <c r="W8758" s="10"/>
      <c r="X8758" s="10"/>
      <c r="Y8758" s="10"/>
      <c r="Z8758" s="10"/>
    </row>
    <row r="8759" spans="1:26" ht="12.75">
      <c r="A8759" s="10"/>
      <c r="B8759" s="10"/>
      <c r="C8759" s="10"/>
      <c r="D8759" s="10"/>
      <c r="E8759" s="10"/>
      <c r="F8759" s="10"/>
      <c r="G8759" s="10"/>
      <c r="H8759" s="10"/>
      <c r="I8759" s="10"/>
      <c r="J8759" s="10"/>
      <c r="K8759" s="10"/>
      <c r="L8759" s="10"/>
      <c r="M8759" s="10"/>
      <c r="N8759" s="10"/>
      <c r="O8759" s="10"/>
      <c r="P8759" s="10"/>
      <c r="Q8759" s="10"/>
      <c r="R8759" s="10"/>
      <c r="S8759" s="10"/>
      <c r="T8759" s="10"/>
      <c r="U8759" s="10"/>
      <c r="V8759" s="10"/>
      <c r="W8759" s="10"/>
      <c r="X8759" s="10"/>
      <c r="Y8759" s="10"/>
      <c r="Z8759" s="10"/>
    </row>
    <row r="8760" spans="1:26" ht="12.75">
      <c r="A8760" s="10"/>
      <c r="B8760" s="10"/>
      <c r="C8760" s="10"/>
      <c r="D8760" s="10"/>
      <c r="E8760" s="10"/>
      <c r="F8760" s="10"/>
      <c r="G8760" s="10"/>
      <c r="H8760" s="10"/>
      <c r="I8760" s="10"/>
      <c r="J8760" s="10"/>
      <c r="K8760" s="10"/>
      <c r="L8760" s="10"/>
      <c r="M8760" s="10"/>
      <c r="N8760" s="10"/>
      <c r="O8760" s="10"/>
      <c r="P8760" s="10"/>
      <c r="Q8760" s="10"/>
      <c r="R8760" s="10"/>
      <c r="S8760" s="10"/>
      <c r="T8760" s="10"/>
      <c r="U8760" s="10"/>
      <c r="V8760" s="10"/>
      <c r="W8760" s="10"/>
      <c r="X8760" s="10"/>
      <c r="Y8760" s="10"/>
      <c r="Z8760" s="10"/>
    </row>
    <row r="8761" spans="1:26" ht="12.75">
      <c r="A8761" s="10"/>
      <c r="B8761" s="10"/>
      <c r="C8761" s="10"/>
      <c r="D8761" s="10"/>
      <c r="E8761" s="10"/>
      <c r="F8761" s="10"/>
      <c r="G8761" s="10"/>
      <c r="H8761" s="10"/>
      <c r="I8761" s="10"/>
      <c r="J8761" s="10"/>
      <c r="K8761" s="10"/>
      <c r="L8761" s="10"/>
      <c r="M8761" s="10"/>
      <c r="N8761" s="10"/>
      <c r="O8761" s="10"/>
      <c r="P8761" s="10"/>
      <c r="Q8761" s="10"/>
      <c r="R8761" s="10"/>
      <c r="S8761" s="10"/>
      <c r="T8761" s="10"/>
      <c r="U8761" s="10"/>
      <c r="V8761" s="10"/>
      <c r="W8761" s="10"/>
      <c r="X8761" s="10"/>
      <c r="Y8761" s="10"/>
      <c r="Z8761" s="10"/>
    </row>
    <row r="8762" spans="1:26" ht="12.75">
      <c r="A8762" s="10"/>
      <c r="B8762" s="10"/>
      <c r="C8762" s="10"/>
      <c r="D8762" s="10"/>
      <c r="E8762" s="10"/>
      <c r="F8762" s="10"/>
      <c r="G8762" s="10"/>
      <c r="H8762" s="10"/>
      <c r="I8762" s="10"/>
      <c r="J8762" s="10"/>
      <c r="K8762" s="10"/>
      <c r="L8762" s="10"/>
      <c r="M8762" s="10"/>
      <c r="N8762" s="10"/>
      <c r="O8762" s="10"/>
      <c r="P8762" s="10"/>
      <c r="Q8762" s="10"/>
      <c r="R8762" s="10"/>
      <c r="S8762" s="10"/>
      <c r="T8762" s="10"/>
      <c r="U8762" s="10"/>
      <c r="V8762" s="10"/>
      <c r="W8762" s="10"/>
      <c r="X8762" s="10"/>
      <c r="Y8762" s="10"/>
      <c r="Z8762" s="10"/>
    </row>
    <row r="8763" spans="1:26" ht="12.75">
      <c r="A8763" s="10"/>
      <c r="B8763" s="10"/>
      <c r="C8763" s="10"/>
      <c r="D8763" s="10"/>
      <c r="E8763" s="10"/>
      <c r="F8763" s="10"/>
      <c r="G8763" s="10"/>
      <c r="H8763" s="10"/>
      <c r="I8763" s="10"/>
      <c r="J8763" s="10"/>
      <c r="K8763" s="10"/>
      <c r="L8763" s="10"/>
      <c r="M8763" s="10"/>
      <c r="N8763" s="10"/>
      <c r="O8763" s="10"/>
      <c r="P8763" s="10"/>
      <c r="Q8763" s="10"/>
      <c r="R8763" s="10"/>
      <c r="S8763" s="10"/>
      <c r="T8763" s="10"/>
      <c r="U8763" s="10"/>
      <c r="V8763" s="10"/>
      <c r="W8763" s="10"/>
      <c r="X8763" s="10"/>
      <c r="Y8763" s="10"/>
      <c r="Z8763" s="10"/>
    </row>
    <row r="8764" spans="1:26" ht="12.75">
      <c r="A8764" s="10"/>
      <c r="B8764" s="10"/>
      <c r="C8764" s="10"/>
      <c r="D8764" s="10"/>
      <c r="E8764" s="10"/>
      <c r="F8764" s="10"/>
      <c r="G8764" s="10"/>
      <c r="H8764" s="10"/>
      <c r="I8764" s="10"/>
      <c r="J8764" s="10"/>
      <c r="K8764" s="10"/>
      <c r="L8764" s="10"/>
      <c r="M8764" s="10"/>
      <c r="N8764" s="10"/>
      <c r="O8764" s="10"/>
      <c r="P8764" s="10"/>
      <c r="Q8764" s="10"/>
      <c r="R8764" s="10"/>
      <c r="S8764" s="10"/>
      <c r="T8764" s="10"/>
      <c r="U8764" s="10"/>
      <c r="V8764" s="10"/>
      <c r="W8764" s="10"/>
      <c r="X8764" s="10"/>
      <c r="Y8764" s="10"/>
      <c r="Z8764" s="10"/>
    </row>
    <row r="8765" spans="1:26" ht="12.75">
      <c r="A8765" s="10"/>
      <c r="B8765" s="10"/>
      <c r="C8765" s="10"/>
      <c r="D8765" s="10"/>
      <c r="E8765" s="10"/>
      <c r="F8765" s="10"/>
      <c r="G8765" s="10"/>
      <c r="H8765" s="10"/>
      <c r="I8765" s="10"/>
      <c r="J8765" s="10"/>
      <c r="K8765" s="10"/>
      <c r="L8765" s="10"/>
      <c r="M8765" s="10"/>
      <c r="N8765" s="10"/>
      <c r="O8765" s="10"/>
      <c r="P8765" s="10"/>
      <c r="Q8765" s="10"/>
      <c r="R8765" s="10"/>
      <c r="S8765" s="10"/>
      <c r="T8765" s="10"/>
      <c r="U8765" s="10"/>
      <c r="V8765" s="10"/>
      <c r="W8765" s="10"/>
      <c r="X8765" s="10"/>
      <c r="Y8765" s="10"/>
      <c r="Z8765" s="10"/>
    </row>
    <row r="8766" spans="1:26" ht="12.75">
      <c r="A8766" s="10"/>
      <c r="B8766" s="10"/>
      <c r="C8766" s="10"/>
      <c r="D8766" s="10"/>
      <c r="E8766" s="10"/>
      <c r="F8766" s="10"/>
      <c r="G8766" s="10"/>
      <c r="H8766" s="10"/>
      <c r="I8766" s="10"/>
      <c r="J8766" s="10"/>
      <c r="K8766" s="10"/>
      <c r="L8766" s="10"/>
      <c r="M8766" s="10"/>
      <c r="N8766" s="10"/>
      <c r="O8766" s="10"/>
      <c r="P8766" s="10"/>
      <c r="Q8766" s="10"/>
      <c r="R8766" s="10"/>
      <c r="S8766" s="10"/>
      <c r="T8766" s="10"/>
      <c r="U8766" s="10"/>
      <c r="V8766" s="10"/>
      <c r="W8766" s="10"/>
      <c r="X8766" s="10"/>
      <c r="Y8766" s="10"/>
      <c r="Z8766" s="10"/>
    </row>
    <row r="8767" spans="1:26" ht="12.75">
      <c r="A8767" s="10"/>
      <c r="B8767" s="10"/>
      <c r="C8767" s="10"/>
      <c r="D8767" s="10"/>
      <c r="E8767" s="10"/>
      <c r="F8767" s="10"/>
      <c r="G8767" s="10"/>
      <c r="H8767" s="10"/>
      <c r="I8767" s="10"/>
      <c r="J8767" s="10"/>
      <c r="K8767" s="10"/>
      <c r="L8767" s="10"/>
      <c r="M8767" s="10"/>
      <c r="N8767" s="10"/>
      <c r="O8767" s="10"/>
      <c r="P8767" s="10"/>
      <c r="Q8767" s="10"/>
      <c r="R8767" s="10"/>
      <c r="S8767" s="10"/>
      <c r="T8767" s="10"/>
      <c r="U8767" s="10"/>
      <c r="V8767" s="10"/>
      <c r="W8767" s="10"/>
      <c r="X8767" s="10"/>
      <c r="Y8767" s="10"/>
      <c r="Z8767" s="10"/>
    </row>
    <row r="8768" spans="1:26" ht="12.75">
      <c r="A8768" s="10"/>
      <c r="B8768" s="10"/>
      <c r="C8768" s="10"/>
      <c r="D8768" s="10"/>
      <c r="E8768" s="10"/>
      <c r="F8768" s="10"/>
      <c r="G8768" s="10"/>
      <c r="H8768" s="10"/>
      <c r="I8768" s="10"/>
      <c r="J8768" s="10"/>
      <c r="K8768" s="10"/>
      <c r="L8768" s="10"/>
      <c r="M8768" s="10"/>
      <c r="N8768" s="10"/>
      <c r="O8768" s="10"/>
      <c r="P8768" s="10"/>
      <c r="Q8768" s="10"/>
      <c r="R8768" s="10"/>
      <c r="S8768" s="10"/>
      <c r="T8768" s="10"/>
      <c r="U8768" s="10"/>
      <c r="V8768" s="10"/>
      <c r="W8768" s="10"/>
      <c r="X8768" s="10"/>
      <c r="Y8768" s="10"/>
      <c r="Z8768" s="10"/>
    </row>
    <row r="8769" spans="1:26" ht="12.75">
      <c r="A8769" s="10"/>
      <c r="B8769" s="10"/>
      <c r="C8769" s="10"/>
      <c r="D8769" s="10"/>
      <c r="E8769" s="10"/>
      <c r="F8769" s="10"/>
      <c r="G8769" s="10"/>
      <c r="H8769" s="10"/>
      <c r="I8769" s="10"/>
      <c r="J8769" s="10"/>
      <c r="K8769" s="10"/>
      <c r="L8769" s="10"/>
      <c r="M8769" s="10"/>
      <c r="N8769" s="10"/>
      <c r="O8769" s="10"/>
      <c r="P8769" s="10"/>
      <c r="Q8769" s="10"/>
      <c r="R8769" s="10"/>
      <c r="S8769" s="10"/>
      <c r="T8769" s="10"/>
      <c r="U8769" s="10"/>
      <c r="V8769" s="10"/>
      <c r="W8769" s="10"/>
      <c r="X8769" s="10"/>
      <c r="Y8769" s="10"/>
      <c r="Z8769" s="10"/>
    </row>
    <row r="8770" spans="1:26" ht="12.75">
      <c r="A8770" s="10"/>
      <c r="B8770" s="10"/>
      <c r="C8770" s="10"/>
      <c r="D8770" s="10"/>
      <c r="E8770" s="10"/>
      <c r="F8770" s="10"/>
      <c r="G8770" s="10"/>
      <c r="H8770" s="10"/>
      <c r="I8770" s="10"/>
      <c r="J8770" s="10"/>
      <c r="K8770" s="10"/>
      <c r="L8770" s="10"/>
      <c r="M8770" s="10"/>
      <c r="N8770" s="10"/>
      <c r="O8770" s="10"/>
      <c r="P8770" s="10"/>
      <c r="Q8770" s="10"/>
      <c r="R8770" s="10"/>
      <c r="S8770" s="10"/>
      <c r="T8770" s="10"/>
      <c r="U8770" s="10"/>
      <c r="V8770" s="10"/>
      <c r="W8770" s="10"/>
      <c r="X8770" s="10"/>
      <c r="Y8770" s="10"/>
      <c r="Z8770" s="10"/>
    </row>
    <row r="8771" spans="1:26" ht="12.75">
      <c r="A8771" s="10"/>
      <c r="B8771" s="10"/>
      <c r="C8771" s="10"/>
      <c r="D8771" s="10"/>
      <c r="E8771" s="10"/>
      <c r="F8771" s="10"/>
      <c r="G8771" s="10"/>
      <c r="H8771" s="10"/>
      <c r="I8771" s="10"/>
      <c r="J8771" s="10"/>
      <c r="K8771" s="10"/>
      <c r="L8771" s="10"/>
      <c r="M8771" s="10"/>
      <c r="N8771" s="10"/>
      <c r="O8771" s="10"/>
      <c r="P8771" s="10"/>
      <c r="Q8771" s="10"/>
      <c r="R8771" s="10"/>
      <c r="S8771" s="10"/>
      <c r="T8771" s="10"/>
      <c r="U8771" s="10"/>
      <c r="V8771" s="10"/>
      <c r="W8771" s="10"/>
      <c r="X8771" s="10"/>
      <c r="Y8771" s="10"/>
      <c r="Z8771" s="10"/>
    </row>
    <row r="8772" spans="1:26" ht="12.75">
      <c r="A8772" s="10"/>
      <c r="B8772" s="10"/>
      <c r="C8772" s="10"/>
      <c r="D8772" s="10"/>
      <c r="E8772" s="10"/>
      <c r="F8772" s="10"/>
      <c r="G8772" s="10"/>
      <c r="H8772" s="10"/>
      <c r="I8772" s="10"/>
      <c r="J8772" s="10"/>
      <c r="K8772" s="10"/>
      <c r="L8772" s="10"/>
      <c r="M8772" s="10"/>
      <c r="N8772" s="10"/>
      <c r="O8772" s="10"/>
      <c r="P8772" s="10"/>
      <c r="Q8772" s="10"/>
      <c r="R8772" s="10"/>
      <c r="S8772" s="10"/>
      <c r="T8772" s="10"/>
      <c r="U8772" s="10"/>
      <c r="V8772" s="10"/>
      <c r="W8772" s="10"/>
      <c r="X8772" s="10"/>
      <c r="Y8772" s="10"/>
      <c r="Z8772" s="10"/>
    </row>
    <row r="8773" spans="1:26" ht="12.75">
      <c r="A8773" s="10"/>
      <c r="B8773" s="10"/>
      <c r="C8773" s="10"/>
      <c r="D8773" s="10"/>
      <c r="E8773" s="10"/>
      <c r="F8773" s="10"/>
      <c r="G8773" s="10"/>
      <c r="H8773" s="10"/>
      <c r="I8773" s="10"/>
      <c r="J8773" s="10"/>
      <c r="K8773" s="10"/>
      <c r="L8773" s="10"/>
      <c r="M8773" s="10"/>
      <c r="N8773" s="10"/>
      <c r="O8773" s="10"/>
      <c r="P8773" s="10"/>
      <c r="Q8773" s="10"/>
      <c r="R8773" s="10"/>
      <c r="S8773" s="10"/>
      <c r="T8773" s="10"/>
      <c r="U8773" s="10"/>
      <c r="V8773" s="10"/>
      <c r="W8773" s="10"/>
      <c r="X8773" s="10"/>
      <c r="Y8773" s="10"/>
      <c r="Z8773" s="10"/>
    </row>
    <row r="8774" spans="1:26" ht="12.75">
      <c r="A8774" s="10"/>
      <c r="B8774" s="10"/>
      <c r="C8774" s="10"/>
      <c r="D8774" s="10"/>
      <c r="E8774" s="10"/>
      <c r="F8774" s="10"/>
      <c r="G8774" s="10"/>
      <c r="H8774" s="10"/>
      <c r="I8774" s="10"/>
      <c r="J8774" s="10"/>
      <c r="K8774" s="10"/>
      <c r="L8774" s="10"/>
      <c r="M8774" s="10"/>
      <c r="N8774" s="10"/>
      <c r="O8774" s="10"/>
      <c r="P8774" s="10"/>
      <c r="Q8774" s="10"/>
      <c r="R8774" s="10"/>
      <c r="S8774" s="10"/>
      <c r="T8774" s="10"/>
      <c r="U8774" s="10"/>
      <c r="V8774" s="10"/>
      <c r="W8774" s="10"/>
      <c r="X8774" s="10"/>
      <c r="Y8774" s="10"/>
      <c r="Z8774" s="10"/>
    </row>
    <row r="8775" spans="1:26" ht="12.75">
      <c r="A8775" s="10"/>
      <c r="B8775" s="10"/>
      <c r="C8775" s="10"/>
      <c r="D8775" s="10"/>
      <c r="E8775" s="10"/>
      <c r="F8775" s="10"/>
      <c r="G8775" s="10"/>
      <c r="H8775" s="10"/>
      <c r="I8775" s="10"/>
      <c r="J8775" s="10"/>
      <c r="K8775" s="10"/>
      <c r="L8775" s="10"/>
      <c r="M8775" s="10"/>
      <c r="N8775" s="10"/>
      <c r="O8775" s="10"/>
      <c r="P8775" s="10"/>
      <c r="Q8775" s="10"/>
      <c r="R8775" s="10"/>
      <c r="S8775" s="10"/>
      <c r="T8775" s="10"/>
      <c r="U8775" s="10"/>
      <c r="V8775" s="10"/>
      <c r="W8775" s="10"/>
      <c r="X8775" s="10"/>
      <c r="Y8775" s="10"/>
      <c r="Z8775" s="10"/>
    </row>
    <row r="8776" spans="1:26" ht="12.75">
      <c r="A8776" s="10"/>
      <c r="B8776" s="10"/>
      <c r="C8776" s="10"/>
      <c r="D8776" s="10"/>
      <c r="E8776" s="10"/>
      <c r="F8776" s="10"/>
      <c r="G8776" s="10"/>
      <c r="H8776" s="10"/>
      <c r="I8776" s="10"/>
      <c r="J8776" s="10"/>
      <c r="K8776" s="10"/>
      <c r="L8776" s="10"/>
      <c r="M8776" s="10"/>
      <c r="N8776" s="10"/>
      <c r="O8776" s="10"/>
      <c r="P8776" s="10"/>
      <c r="Q8776" s="10"/>
      <c r="R8776" s="10"/>
      <c r="S8776" s="10"/>
      <c r="T8776" s="10"/>
      <c r="U8776" s="10"/>
      <c r="V8776" s="10"/>
      <c r="W8776" s="10"/>
      <c r="X8776" s="10"/>
      <c r="Y8776" s="10"/>
      <c r="Z8776" s="10"/>
    </row>
    <row r="8777" spans="1:26" ht="12.75">
      <c r="A8777" s="10"/>
      <c r="B8777" s="10"/>
      <c r="C8777" s="10"/>
      <c r="D8777" s="10"/>
      <c r="E8777" s="10"/>
      <c r="F8777" s="10"/>
      <c r="G8777" s="10"/>
      <c r="H8777" s="10"/>
      <c r="I8777" s="10"/>
      <c r="J8777" s="10"/>
      <c r="K8777" s="10"/>
      <c r="L8777" s="10"/>
      <c r="M8777" s="10"/>
      <c r="N8777" s="10"/>
      <c r="O8777" s="10"/>
      <c r="P8777" s="10"/>
      <c r="Q8777" s="10"/>
      <c r="R8777" s="10"/>
      <c r="S8777" s="10"/>
      <c r="T8777" s="10"/>
      <c r="U8777" s="10"/>
      <c r="V8777" s="10"/>
      <c r="W8777" s="10"/>
      <c r="X8777" s="10"/>
      <c r="Y8777" s="10"/>
      <c r="Z8777" s="10"/>
    </row>
    <row r="8778" spans="1:26" ht="12.75">
      <c r="A8778" s="10"/>
      <c r="B8778" s="10"/>
      <c r="C8778" s="10"/>
      <c r="D8778" s="10"/>
      <c r="E8778" s="10"/>
      <c r="F8778" s="10"/>
      <c r="G8778" s="10"/>
      <c r="H8778" s="10"/>
      <c r="I8778" s="10"/>
      <c r="J8778" s="10"/>
      <c r="K8778" s="10"/>
      <c r="L8778" s="10"/>
      <c r="M8778" s="10"/>
      <c r="N8778" s="10"/>
      <c r="O8778" s="10"/>
      <c r="P8778" s="10"/>
      <c r="Q8778" s="10"/>
      <c r="R8778" s="10"/>
      <c r="S8778" s="10"/>
      <c r="T8778" s="10"/>
      <c r="U8778" s="10"/>
      <c r="V8778" s="10"/>
      <c r="W8778" s="10"/>
      <c r="X8778" s="10"/>
      <c r="Y8778" s="10"/>
      <c r="Z8778" s="10"/>
    </row>
    <row r="8779" spans="1:26" ht="12.75">
      <c r="A8779" s="10"/>
      <c r="B8779" s="10"/>
      <c r="C8779" s="10"/>
      <c r="D8779" s="10"/>
      <c r="E8779" s="10"/>
      <c r="F8779" s="10"/>
      <c r="G8779" s="10"/>
      <c r="H8779" s="10"/>
      <c r="I8779" s="10"/>
      <c r="J8779" s="10"/>
      <c r="K8779" s="10"/>
      <c r="L8779" s="10"/>
      <c r="M8779" s="10"/>
      <c r="N8779" s="10"/>
      <c r="O8779" s="10"/>
      <c r="P8779" s="10"/>
      <c r="Q8779" s="10"/>
      <c r="R8779" s="10"/>
      <c r="S8779" s="10"/>
      <c r="T8779" s="10"/>
      <c r="U8779" s="10"/>
      <c r="V8779" s="10"/>
      <c r="W8779" s="10"/>
      <c r="X8779" s="10"/>
      <c r="Y8779" s="10"/>
      <c r="Z8779" s="10"/>
    </row>
    <row r="8780" spans="1:26" ht="12.75">
      <c r="A8780" s="10"/>
      <c r="B8780" s="10"/>
      <c r="C8780" s="10"/>
      <c r="D8780" s="10"/>
      <c r="E8780" s="10"/>
      <c r="F8780" s="10"/>
      <c r="G8780" s="10"/>
      <c r="H8780" s="10"/>
      <c r="I8780" s="10"/>
      <c r="J8780" s="10"/>
      <c r="K8780" s="10"/>
      <c r="L8780" s="10"/>
      <c r="M8780" s="10"/>
      <c r="N8780" s="10"/>
      <c r="O8780" s="10"/>
      <c r="P8780" s="10"/>
      <c r="Q8780" s="10"/>
      <c r="R8780" s="10"/>
      <c r="S8780" s="10"/>
      <c r="T8780" s="10"/>
      <c r="U8780" s="10"/>
      <c r="V8780" s="10"/>
      <c r="W8780" s="10"/>
      <c r="X8780" s="10"/>
      <c r="Y8780" s="10"/>
      <c r="Z8780" s="10"/>
    </row>
    <row r="8781" spans="1:26" ht="12.75">
      <c r="A8781" s="10"/>
      <c r="B8781" s="10"/>
      <c r="C8781" s="10"/>
      <c r="D8781" s="10"/>
      <c r="E8781" s="10"/>
      <c r="F8781" s="10"/>
      <c r="G8781" s="10"/>
      <c r="H8781" s="10"/>
      <c r="I8781" s="10"/>
      <c r="J8781" s="10"/>
      <c r="K8781" s="10"/>
      <c r="L8781" s="10"/>
      <c r="M8781" s="10"/>
      <c r="N8781" s="10"/>
      <c r="O8781" s="10"/>
      <c r="P8781" s="10"/>
      <c r="Q8781" s="10"/>
      <c r="R8781" s="10"/>
      <c r="S8781" s="10"/>
      <c r="T8781" s="10"/>
      <c r="U8781" s="10"/>
      <c r="V8781" s="10"/>
      <c r="W8781" s="10"/>
      <c r="X8781" s="10"/>
      <c r="Y8781" s="10"/>
      <c r="Z8781" s="10"/>
    </row>
    <row r="8782" spans="1:26" ht="12.75">
      <c r="A8782" s="10"/>
      <c r="B8782" s="10"/>
      <c r="C8782" s="10"/>
      <c r="D8782" s="10"/>
      <c r="E8782" s="10"/>
      <c r="F8782" s="10"/>
      <c r="G8782" s="10"/>
      <c r="H8782" s="10"/>
      <c r="I8782" s="10"/>
      <c r="J8782" s="10"/>
      <c r="K8782" s="10"/>
      <c r="L8782" s="10"/>
      <c r="M8782" s="10"/>
      <c r="N8782" s="10"/>
      <c r="O8782" s="10"/>
      <c r="P8782" s="10"/>
      <c r="Q8782" s="10"/>
      <c r="R8782" s="10"/>
      <c r="S8782" s="10"/>
      <c r="T8782" s="10"/>
      <c r="U8782" s="10"/>
      <c r="V8782" s="10"/>
      <c r="W8782" s="10"/>
      <c r="X8782" s="10"/>
      <c r="Y8782" s="10"/>
      <c r="Z8782" s="10"/>
    </row>
    <row r="8783" spans="1:26" ht="12.75">
      <c r="A8783" s="10"/>
      <c r="B8783" s="10"/>
      <c r="C8783" s="10"/>
      <c r="D8783" s="10"/>
      <c r="E8783" s="10"/>
      <c r="F8783" s="10"/>
      <c r="G8783" s="10"/>
      <c r="H8783" s="10"/>
      <c r="I8783" s="10"/>
      <c r="J8783" s="10"/>
      <c r="K8783" s="10"/>
      <c r="L8783" s="10"/>
      <c r="M8783" s="10"/>
      <c r="N8783" s="10"/>
      <c r="O8783" s="10"/>
      <c r="P8783" s="10"/>
      <c r="Q8783" s="10"/>
      <c r="R8783" s="10"/>
      <c r="S8783" s="10"/>
      <c r="T8783" s="10"/>
      <c r="U8783" s="10"/>
      <c r="V8783" s="10"/>
      <c r="W8783" s="10"/>
      <c r="X8783" s="10"/>
      <c r="Y8783" s="10"/>
      <c r="Z8783" s="10"/>
    </row>
    <row r="8784" spans="1:26" ht="12.75">
      <c r="A8784" s="10"/>
      <c r="B8784" s="10"/>
      <c r="C8784" s="10"/>
      <c r="D8784" s="10"/>
      <c r="E8784" s="10"/>
      <c r="F8784" s="10"/>
      <c r="G8784" s="10"/>
      <c r="H8784" s="10"/>
      <c r="I8784" s="10"/>
      <c r="J8784" s="10"/>
      <c r="K8784" s="10"/>
      <c r="L8784" s="10"/>
      <c r="M8784" s="10"/>
      <c r="N8784" s="10"/>
      <c r="O8784" s="10"/>
      <c r="P8784" s="10"/>
      <c r="Q8784" s="10"/>
      <c r="R8784" s="10"/>
      <c r="S8784" s="10"/>
      <c r="T8784" s="10"/>
      <c r="U8784" s="10"/>
      <c r="V8784" s="10"/>
      <c r="W8784" s="10"/>
      <c r="X8784" s="10"/>
      <c r="Y8784" s="10"/>
      <c r="Z8784" s="10"/>
    </row>
    <row r="8785" spans="1:26" ht="12.75">
      <c r="A8785" s="10"/>
      <c r="B8785" s="10"/>
      <c r="C8785" s="10"/>
      <c r="D8785" s="10"/>
      <c r="E8785" s="10"/>
      <c r="F8785" s="10"/>
      <c r="G8785" s="10"/>
      <c r="H8785" s="10"/>
      <c r="I8785" s="10"/>
      <c r="J8785" s="10"/>
      <c r="K8785" s="10"/>
      <c r="L8785" s="10"/>
      <c r="M8785" s="10"/>
      <c r="N8785" s="10"/>
      <c r="O8785" s="10"/>
      <c r="P8785" s="10"/>
      <c r="Q8785" s="10"/>
      <c r="R8785" s="10"/>
      <c r="S8785" s="10"/>
      <c r="T8785" s="10"/>
      <c r="U8785" s="10"/>
      <c r="V8785" s="10"/>
      <c r="W8785" s="10"/>
      <c r="X8785" s="10"/>
      <c r="Y8785" s="10"/>
      <c r="Z8785" s="10"/>
    </row>
    <row r="8786" spans="1:26" ht="12.75">
      <c r="A8786" s="10"/>
      <c r="B8786" s="10"/>
      <c r="C8786" s="10"/>
      <c r="D8786" s="10"/>
      <c r="E8786" s="10"/>
      <c r="F8786" s="10"/>
      <c r="G8786" s="10"/>
      <c r="H8786" s="10"/>
      <c r="I8786" s="10"/>
      <c r="J8786" s="10"/>
      <c r="K8786" s="10"/>
      <c r="L8786" s="10"/>
      <c r="M8786" s="10"/>
      <c r="N8786" s="10"/>
      <c r="O8786" s="10"/>
      <c r="P8786" s="10"/>
      <c r="Q8786" s="10"/>
      <c r="R8786" s="10"/>
      <c r="S8786" s="10"/>
      <c r="T8786" s="10"/>
      <c r="U8786" s="10"/>
      <c r="V8786" s="10"/>
      <c r="W8786" s="10"/>
      <c r="X8786" s="10"/>
      <c r="Y8786" s="10"/>
      <c r="Z8786" s="10"/>
    </row>
    <row r="8787" spans="1:26" ht="12.75">
      <c r="A8787" s="10"/>
      <c r="B8787" s="10"/>
      <c r="C8787" s="10"/>
      <c r="D8787" s="10"/>
      <c r="E8787" s="10"/>
      <c r="F8787" s="10"/>
      <c r="G8787" s="10"/>
      <c r="H8787" s="10"/>
      <c r="I8787" s="10"/>
      <c r="J8787" s="10"/>
      <c r="K8787" s="10"/>
      <c r="L8787" s="10"/>
      <c r="M8787" s="10"/>
      <c r="N8787" s="10"/>
      <c r="O8787" s="10"/>
      <c r="P8787" s="10"/>
      <c r="Q8787" s="10"/>
      <c r="R8787" s="10"/>
      <c r="S8787" s="10"/>
      <c r="T8787" s="10"/>
      <c r="U8787" s="10"/>
      <c r="V8787" s="10"/>
      <c r="W8787" s="10"/>
      <c r="X8787" s="10"/>
      <c r="Y8787" s="10"/>
      <c r="Z8787" s="10"/>
    </row>
    <row r="8788" spans="1:26" ht="12.75">
      <c r="A8788" s="10"/>
      <c r="B8788" s="10"/>
      <c r="C8788" s="10"/>
      <c r="D8788" s="10"/>
      <c r="E8788" s="10"/>
      <c r="F8788" s="10"/>
      <c r="G8788" s="10"/>
      <c r="H8788" s="10"/>
      <c r="I8788" s="10"/>
      <c r="J8788" s="10"/>
      <c r="K8788" s="10"/>
      <c r="L8788" s="10"/>
      <c r="M8788" s="10"/>
      <c r="N8788" s="10"/>
      <c r="O8788" s="10"/>
      <c r="P8788" s="10"/>
      <c r="Q8788" s="10"/>
      <c r="R8788" s="10"/>
      <c r="S8788" s="10"/>
      <c r="T8788" s="10"/>
      <c r="U8788" s="10"/>
      <c r="V8788" s="10"/>
      <c r="W8788" s="10"/>
      <c r="X8788" s="10"/>
      <c r="Y8788" s="10"/>
      <c r="Z8788" s="10"/>
    </row>
    <row r="8789" spans="1:26" ht="12.75">
      <c r="A8789" s="10"/>
      <c r="B8789" s="10"/>
      <c r="C8789" s="10"/>
      <c r="D8789" s="10"/>
      <c r="E8789" s="10"/>
      <c r="F8789" s="10"/>
      <c r="G8789" s="10"/>
      <c r="H8789" s="10"/>
      <c r="I8789" s="10"/>
      <c r="J8789" s="10"/>
      <c r="K8789" s="10"/>
      <c r="L8789" s="10"/>
      <c r="M8789" s="10"/>
      <c r="N8789" s="10"/>
      <c r="O8789" s="10"/>
      <c r="P8789" s="10"/>
      <c r="Q8789" s="10"/>
      <c r="R8789" s="10"/>
      <c r="S8789" s="10"/>
      <c r="T8789" s="10"/>
      <c r="U8789" s="10"/>
      <c r="V8789" s="10"/>
      <c r="W8789" s="10"/>
      <c r="X8789" s="10"/>
      <c r="Y8789" s="10"/>
      <c r="Z8789" s="10"/>
    </row>
    <row r="8790" spans="1:26" ht="12.75">
      <c r="A8790" s="10"/>
      <c r="B8790" s="10"/>
      <c r="C8790" s="10"/>
      <c r="D8790" s="10"/>
      <c r="E8790" s="10"/>
      <c r="F8790" s="10"/>
      <c r="G8790" s="10"/>
      <c r="H8790" s="10"/>
      <c r="I8790" s="10"/>
      <c r="J8790" s="10"/>
      <c r="K8790" s="10"/>
      <c r="L8790" s="10"/>
      <c r="M8790" s="10"/>
      <c r="N8790" s="10"/>
      <c r="O8790" s="10"/>
      <c r="P8790" s="10"/>
      <c r="Q8790" s="10"/>
      <c r="R8790" s="10"/>
      <c r="S8790" s="10"/>
      <c r="T8790" s="10"/>
      <c r="U8790" s="10"/>
      <c r="V8790" s="10"/>
      <c r="W8790" s="10"/>
      <c r="X8790" s="10"/>
      <c r="Y8790" s="10"/>
      <c r="Z8790" s="10"/>
    </row>
    <row r="8791" spans="1:26" ht="12.75">
      <c r="A8791" s="10"/>
      <c r="B8791" s="10"/>
      <c r="C8791" s="10"/>
      <c r="D8791" s="10"/>
      <c r="E8791" s="10"/>
      <c r="F8791" s="10"/>
      <c r="G8791" s="10"/>
      <c r="H8791" s="10"/>
      <c r="I8791" s="10"/>
      <c r="J8791" s="10"/>
      <c r="K8791" s="10"/>
      <c r="L8791" s="10"/>
      <c r="M8791" s="10"/>
      <c r="N8791" s="10"/>
      <c r="O8791" s="10"/>
      <c r="P8791" s="10"/>
      <c r="Q8791" s="10"/>
      <c r="R8791" s="10"/>
      <c r="S8791" s="10"/>
      <c r="T8791" s="10"/>
      <c r="U8791" s="10"/>
      <c r="V8791" s="10"/>
      <c r="W8791" s="10"/>
      <c r="X8791" s="10"/>
      <c r="Y8791" s="10"/>
      <c r="Z8791" s="10"/>
    </row>
    <row r="8792" spans="1:26" ht="12.75">
      <c r="A8792" s="10"/>
      <c r="B8792" s="10"/>
      <c r="C8792" s="10"/>
      <c r="D8792" s="10"/>
      <c r="E8792" s="10"/>
      <c r="F8792" s="10"/>
      <c r="G8792" s="10"/>
      <c r="H8792" s="10"/>
      <c r="I8792" s="10"/>
      <c r="J8792" s="10"/>
      <c r="K8792" s="10"/>
      <c r="L8792" s="10"/>
      <c r="M8792" s="10"/>
      <c r="N8792" s="10"/>
      <c r="O8792" s="10"/>
      <c r="P8792" s="10"/>
      <c r="Q8792" s="10"/>
      <c r="R8792" s="10"/>
      <c r="S8792" s="10"/>
      <c r="T8792" s="10"/>
      <c r="U8792" s="10"/>
      <c r="V8792" s="10"/>
      <c r="W8792" s="10"/>
      <c r="X8792" s="10"/>
      <c r="Y8792" s="10"/>
      <c r="Z8792" s="10"/>
    </row>
    <row r="8793" spans="1:26" ht="12.75">
      <c r="A8793" s="10"/>
      <c r="B8793" s="10"/>
      <c r="C8793" s="10"/>
      <c r="D8793" s="10"/>
      <c r="E8793" s="10"/>
      <c r="F8793" s="10"/>
      <c r="G8793" s="10"/>
      <c r="H8793" s="10"/>
      <c r="I8793" s="10"/>
      <c r="J8793" s="10"/>
      <c r="K8793" s="10"/>
      <c r="L8793" s="10"/>
      <c r="M8793" s="10"/>
      <c r="N8793" s="10"/>
      <c r="O8793" s="10"/>
      <c r="P8793" s="10"/>
      <c r="Q8793" s="10"/>
      <c r="R8793" s="10"/>
      <c r="S8793" s="10"/>
      <c r="T8793" s="10"/>
      <c r="U8793" s="10"/>
      <c r="V8793" s="10"/>
      <c r="W8793" s="10"/>
      <c r="X8793" s="10"/>
      <c r="Y8793" s="10"/>
      <c r="Z8793" s="10"/>
    </row>
    <row r="8794" spans="1:26" ht="12.75">
      <c r="A8794" s="10"/>
      <c r="B8794" s="10"/>
      <c r="C8794" s="10"/>
      <c r="D8794" s="10"/>
      <c r="E8794" s="10"/>
      <c r="F8794" s="10"/>
      <c r="G8794" s="10"/>
      <c r="H8794" s="10"/>
      <c r="I8794" s="10"/>
      <c r="J8794" s="10"/>
      <c r="K8794" s="10"/>
      <c r="L8794" s="10"/>
      <c r="M8794" s="10"/>
      <c r="N8794" s="10"/>
      <c r="O8794" s="10"/>
      <c r="P8794" s="10"/>
      <c r="Q8794" s="10"/>
      <c r="R8794" s="10"/>
      <c r="S8794" s="10"/>
      <c r="T8794" s="10"/>
      <c r="U8794" s="10"/>
      <c r="V8794" s="10"/>
      <c r="W8794" s="10"/>
      <c r="X8794" s="10"/>
      <c r="Y8794" s="10"/>
      <c r="Z8794" s="10"/>
    </row>
    <row r="8795" spans="1:26" ht="12.75">
      <c r="A8795" s="10"/>
      <c r="B8795" s="10"/>
      <c r="C8795" s="10"/>
      <c r="D8795" s="10"/>
      <c r="E8795" s="10"/>
      <c r="F8795" s="10"/>
      <c r="G8795" s="10"/>
      <c r="H8795" s="10"/>
      <c r="I8795" s="10"/>
      <c r="J8795" s="10"/>
      <c r="K8795" s="10"/>
      <c r="L8795" s="10"/>
      <c r="M8795" s="10"/>
      <c r="N8795" s="10"/>
      <c r="O8795" s="10"/>
      <c r="P8795" s="10"/>
      <c r="Q8795" s="10"/>
      <c r="R8795" s="10"/>
      <c r="S8795" s="10"/>
      <c r="T8795" s="10"/>
      <c r="U8795" s="10"/>
      <c r="V8795" s="10"/>
      <c r="W8795" s="10"/>
      <c r="X8795" s="10"/>
      <c r="Y8795" s="10"/>
      <c r="Z8795" s="10"/>
    </row>
    <row r="8796" spans="1:26" ht="12.75">
      <c r="A8796" s="10"/>
      <c r="B8796" s="10"/>
      <c r="C8796" s="10"/>
      <c r="D8796" s="10"/>
      <c r="E8796" s="10"/>
      <c r="F8796" s="10"/>
      <c r="G8796" s="10"/>
      <c r="H8796" s="10"/>
      <c r="I8796" s="10"/>
      <c r="J8796" s="10"/>
      <c r="K8796" s="10"/>
      <c r="L8796" s="10"/>
      <c r="M8796" s="10"/>
      <c r="N8796" s="10"/>
      <c r="O8796" s="10"/>
      <c r="P8796" s="10"/>
      <c r="Q8796" s="10"/>
      <c r="R8796" s="10"/>
      <c r="S8796" s="10"/>
      <c r="T8796" s="10"/>
      <c r="U8796" s="10"/>
      <c r="V8796" s="10"/>
      <c r="W8796" s="10"/>
      <c r="X8796" s="10"/>
      <c r="Y8796" s="10"/>
      <c r="Z8796" s="10"/>
    </row>
    <row r="8797" spans="1:26" ht="12.75">
      <c r="A8797" s="10"/>
      <c r="B8797" s="10"/>
      <c r="C8797" s="10"/>
      <c r="D8797" s="10"/>
      <c r="E8797" s="10"/>
      <c r="F8797" s="10"/>
      <c r="G8797" s="10"/>
      <c r="H8797" s="10"/>
      <c r="I8797" s="10"/>
      <c r="J8797" s="10"/>
      <c r="K8797" s="10"/>
      <c r="L8797" s="10"/>
      <c r="M8797" s="10"/>
      <c r="N8797" s="10"/>
      <c r="O8797" s="10"/>
      <c r="P8797" s="10"/>
      <c r="Q8797" s="10"/>
      <c r="R8797" s="10"/>
      <c r="S8797" s="10"/>
      <c r="T8797" s="10"/>
      <c r="U8797" s="10"/>
      <c r="V8797" s="10"/>
      <c r="W8797" s="10"/>
      <c r="X8797" s="10"/>
      <c r="Y8797" s="10"/>
      <c r="Z8797" s="10"/>
    </row>
    <row r="8798" spans="1:26" ht="12.75">
      <c r="A8798" s="10"/>
      <c r="B8798" s="10"/>
      <c r="C8798" s="10"/>
      <c r="D8798" s="10"/>
      <c r="E8798" s="10"/>
      <c r="F8798" s="10"/>
      <c r="G8798" s="10"/>
      <c r="H8798" s="10"/>
      <c r="I8798" s="10"/>
      <c r="J8798" s="10"/>
      <c r="K8798" s="10"/>
      <c r="L8798" s="10"/>
      <c r="M8798" s="10"/>
      <c r="N8798" s="10"/>
      <c r="O8798" s="10"/>
      <c r="P8798" s="10"/>
      <c r="Q8798" s="10"/>
      <c r="R8798" s="10"/>
      <c r="S8798" s="10"/>
      <c r="T8798" s="10"/>
      <c r="U8798" s="10"/>
      <c r="V8798" s="10"/>
      <c r="W8798" s="10"/>
      <c r="X8798" s="10"/>
      <c r="Y8798" s="10"/>
      <c r="Z8798" s="10"/>
    </row>
    <row r="8799" spans="1:26" ht="12.75">
      <c r="A8799" s="10"/>
      <c r="B8799" s="10"/>
      <c r="C8799" s="10"/>
      <c r="D8799" s="10"/>
      <c r="E8799" s="10"/>
      <c r="F8799" s="10"/>
      <c r="G8799" s="10"/>
      <c r="H8799" s="10"/>
      <c r="I8799" s="10"/>
      <c r="J8799" s="10"/>
      <c r="K8799" s="10"/>
      <c r="L8799" s="10"/>
      <c r="M8799" s="10"/>
      <c r="N8799" s="10"/>
      <c r="O8799" s="10"/>
      <c r="P8799" s="10"/>
      <c r="Q8799" s="10"/>
      <c r="R8799" s="10"/>
      <c r="S8799" s="10"/>
      <c r="T8799" s="10"/>
      <c r="U8799" s="10"/>
      <c r="V8799" s="10"/>
      <c r="W8799" s="10"/>
      <c r="X8799" s="10"/>
      <c r="Y8799" s="10"/>
      <c r="Z8799" s="10"/>
    </row>
    <row r="8800" spans="1:26" ht="12.75">
      <c r="A8800" s="10"/>
      <c r="B8800" s="10"/>
      <c r="C8800" s="10"/>
      <c r="D8800" s="10"/>
      <c r="E8800" s="10"/>
      <c r="F8800" s="10"/>
      <c r="G8800" s="10"/>
      <c r="H8800" s="10"/>
      <c r="I8800" s="10"/>
      <c r="J8800" s="10"/>
      <c r="K8800" s="10"/>
      <c r="L8800" s="10"/>
      <c r="M8800" s="10"/>
      <c r="N8800" s="10"/>
      <c r="O8800" s="10"/>
      <c r="P8800" s="10"/>
      <c r="Q8800" s="10"/>
      <c r="R8800" s="10"/>
      <c r="S8800" s="10"/>
      <c r="T8800" s="10"/>
      <c r="U8800" s="10"/>
      <c r="V8800" s="10"/>
      <c r="W8800" s="10"/>
      <c r="X8800" s="10"/>
      <c r="Y8800" s="10"/>
      <c r="Z8800" s="10"/>
    </row>
    <row r="8801" spans="1:26" ht="12.75">
      <c r="A8801" s="10"/>
      <c r="B8801" s="10"/>
      <c r="C8801" s="10"/>
      <c r="D8801" s="10"/>
      <c r="E8801" s="10"/>
      <c r="F8801" s="10"/>
      <c r="G8801" s="10"/>
      <c r="H8801" s="10"/>
      <c r="I8801" s="10"/>
      <c r="J8801" s="10"/>
      <c r="K8801" s="10"/>
      <c r="L8801" s="10"/>
      <c r="M8801" s="10"/>
      <c r="N8801" s="10"/>
      <c r="O8801" s="10"/>
      <c r="P8801" s="10"/>
      <c r="Q8801" s="10"/>
      <c r="R8801" s="10"/>
      <c r="S8801" s="10"/>
      <c r="T8801" s="10"/>
      <c r="U8801" s="10"/>
      <c r="V8801" s="10"/>
      <c r="W8801" s="10"/>
      <c r="X8801" s="10"/>
      <c r="Y8801" s="10"/>
      <c r="Z8801" s="10"/>
    </row>
    <row r="8802" spans="1:26" ht="12.75">
      <c r="A8802" s="10"/>
      <c r="B8802" s="10"/>
      <c r="C8802" s="10"/>
      <c r="D8802" s="10"/>
      <c r="E8802" s="10"/>
      <c r="F8802" s="10"/>
      <c r="G8802" s="10"/>
      <c r="H8802" s="10"/>
      <c r="I8802" s="10"/>
      <c r="J8802" s="10"/>
      <c r="K8802" s="10"/>
      <c r="L8802" s="10"/>
      <c r="M8802" s="10"/>
      <c r="N8802" s="10"/>
      <c r="O8802" s="10"/>
      <c r="P8802" s="10"/>
      <c r="Q8802" s="10"/>
      <c r="R8802" s="10"/>
      <c r="S8802" s="10"/>
      <c r="T8802" s="10"/>
      <c r="U8802" s="10"/>
      <c r="V8802" s="10"/>
      <c r="W8802" s="10"/>
      <c r="X8802" s="10"/>
      <c r="Y8802" s="10"/>
      <c r="Z8802" s="10"/>
    </row>
    <row r="8803" spans="1:26" ht="12.75">
      <c r="A8803" s="10"/>
      <c r="B8803" s="10"/>
      <c r="C8803" s="10"/>
      <c r="D8803" s="10"/>
      <c r="E8803" s="10"/>
      <c r="F8803" s="10"/>
      <c r="G8803" s="10"/>
      <c r="H8803" s="10"/>
      <c r="I8803" s="10"/>
      <c r="J8803" s="10"/>
      <c r="K8803" s="10"/>
      <c r="L8803" s="10"/>
      <c r="M8803" s="10"/>
      <c r="N8803" s="10"/>
      <c r="O8803" s="10"/>
      <c r="P8803" s="10"/>
      <c r="Q8803" s="10"/>
      <c r="R8803" s="10"/>
      <c r="S8803" s="10"/>
      <c r="T8803" s="10"/>
      <c r="U8803" s="10"/>
      <c r="V8803" s="10"/>
      <c r="W8803" s="10"/>
      <c r="X8803" s="10"/>
      <c r="Y8803" s="10"/>
      <c r="Z8803" s="10"/>
    </row>
    <row r="8804" spans="1:26" ht="12.75">
      <c r="A8804" s="10"/>
      <c r="B8804" s="10"/>
      <c r="C8804" s="10"/>
      <c r="D8804" s="10"/>
      <c r="E8804" s="10"/>
      <c r="F8804" s="10"/>
      <c r="G8804" s="10"/>
      <c r="H8804" s="10"/>
      <c r="I8804" s="10"/>
      <c r="J8804" s="10"/>
      <c r="K8804" s="10"/>
      <c r="L8804" s="10"/>
      <c r="M8804" s="10"/>
      <c r="N8804" s="10"/>
      <c r="O8804" s="10"/>
      <c r="P8804" s="10"/>
      <c r="Q8804" s="10"/>
      <c r="R8804" s="10"/>
      <c r="S8804" s="10"/>
      <c r="T8804" s="10"/>
      <c r="U8804" s="10"/>
      <c r="V8804" s="10"/>
      <c r="W8804" s="10"/>
      <c r="X8804" s="10"/>
      <c r="Y8804" s="10"/>
      <c r="Z8804" s="10"/>
    </row>
    <row r="8805" spans="1:26" ht="12.75">
      <c r="A8805" s="10"/>
      <c r="B8805" s="10"/>
      <c r="C8805" s="10"/>
      <c r="D8805" s="10"/>
      <c r="E8805" s="10"/>
      <c r="F8805" s="10"/>
      <c r="G8805" s="10"/>
      <c r="H8805" s="10"/>
      <c r="I8805" s="10"/>
      <c r="J8805" s="10"/>
      <c r="K8805" s="10"/>
      <c r="L8805" s="10"/>
      <c r="M8805" s="10"/>
      <c r="N8805" s="10"/>
      <c r="O8805" s="10"/>
      <c r="P8805" s="10"/>
      <c r="Q8805" s="10"/>
      <c r="R8805" s="10"/>
      <c r="S8805" s="10"/>
      <c r="T8805" s="10"/>
      <c r="U8805" s="10"/>
      <c r="V8805" s="10"/>
      <c r="W8805" s="10"/>
      <c r="X8805" s="10"/>
      <c r="Y8805" s="10"/>
      <c r="Z8805" s="10"/>
    </row>
    <row r="8806" spans="1:26" ht="12.75">
      <c r="A8806" s="10"/>
      <c r="B8806" s="10"/>
      <c r="C8806" s="10"/>
      <c r="D8806" s="10"/>
      <c r="E8806" s="10"/>
      <c r="F8806" s="10"/>
      <c r="G8806" s="10"/>
      <c r="H8806" s="10"/>
      <c r="I8806" s="10"/>
      <c r="J8806" s="10"/>
      <c r="K8806" s="10"/>
      <c r="L8806" s="10"/>
      <c r="M8806" s="10"/>
      <c r="N8806" s="10"/>
      <c r="O8806" s="10"/>
      <c r="P8806" s="10"/>
      <c r="Q8806" s="10"/>
      <c r="R8806" s="10"/>
      <c r="S8806" s="10"/>
      <c r="T8806" s="10"/>
      <c r="U8806" s="10"/>
      <c r="V8806" s="10"/>
      <c r="W8806" s="10"/>
      <c r="X8806" s="10"/>
      <c r="Y8806" s="10"/>
      <c r="Z8806" s="10"/>
    </row>
    <row r="8807" spans="1:26" ht="12.75">
      <c r="A8807" s="10"/>
      <c r="B8807" s="10"/>
      <c r="C8807" s="10"/>
      <c r="D8807" s="10"/>
      <c r="E8807" s="10"/>
      <c r="F8807" s="10"/>
      <c r="G8807" s="10"/>
      <c r="H8807" s="10"/>
      <c r="I8807" s="10"/>
      <c r="J8807" s="10"/>
      <c r="K8807" s="10"/>
      <c r="L8807" s="10"/>
      <c r="M8807" s="10"/>
      <c r="N8807" s="10"/>
      <c r="O8807" s="10"/>
      <c r="P8807" s="10"/>
      <c r="Q8807" s="10"/>
      <c r="R8807" s="10"/>
      <c r="S8807" s="10"/>
      <c r="T8807" s="10"/>
      <c r="U8807" s="10"/>
      <c r="V8807" s="10"/>
      <c r="W8807" s="10"/>
      <c r="X8807" s="10"/>
      <c r="Y8807" s="10"/>
      <c r="Z8807" s="10"/>
    </row>
    <row r="8808" spans="1:26" ht="12.75">
      <c r="A8808" s="10"/>
      <c r="B8808" s="10"/>
      <c r="C8808" s="10"/>
      <c r="D8808" s="10"/>
      <c r="E8808" s="10"/>
      <c r="F8808" s="10"/>
      <c r="G8808" s="10"/>
      <c r="H8808" s="10"/>
      <c r="I8808" s="10"/>
      <c r="J8808" s="10"/>
      <c r="K8808" s="10"/>
      <c r="L8808" s="10"/>
      <c r="M8808" s="10"/>
      <c r="N8808" s="10"/>
      <c r="O8808" s="10"/>
      <c r="P8808" s="10"/>
      <c r="Q8808" s="10"/>
      <c r="R8808" s="10"/>
      <c r="S8808" s="10"/>
      <c r="T8808" s="10"/>
      <c r="U8808" s="10"/>
      <c r="V8808" s="10"/>
      <c r="W8808" s="10"/>
      <c r="X8808" s="10"/>
      <c r="Y8808" s="10"/>
      <c r="Z8808" s="10"/>
    </row>
    <row r="8809" spans="1:26" ht="12.75">
      <c r="A8809" s="10"/>
      <c r="B8809" s="10"/>
      <c r="C8809" s="10"/>
      <c r="D8809" s="10"/>
      <c r="E8809" s="10"/>
      <c r="F8809" s="10"/>
      <c r="G8809" s="10"/>
      <c r="H8809" s="10"/>
      <c r="I8809" s="10"/>
      <c r="J8809" s="10"/>
      <c r="K8809" s="10"/>
      <c r="L8809" s="10"/>
      <c r="M8809" s="10"/>
      <c r="N8809" s="10"/>
      <c r="O8809" s="10"/>
      <c r="P8809" s="10"/>
      <c r="Q8809" s="10"/>
      <c r="R8809" s="10"/>
      <c r="S8809" s="10"/>
      <c r="T8809" s="10"/>
      <c r="U8809" s="10"/>
      <c r="V8809" s="10"/>
      <c r="W8809" s="10"/>
      <c r="X8809" s="10"/>
      <c r="Y8809" s="10"/>
      <c r="Z8809" s="10"/>
    </row>
    <row r="8810" spans="1:26" ht="12.75">
      <c r="A8810" s="10"/>
      <c r="B8810" s="10"/>
      <c r="C8810" s="10"/>
      <c r="D8810" s="10"/>
      <c r="E8810" s="10"/>
      <c r="F8810" s="10"/>
      <c r="G8810" s="10"/>
      <c r="H8810" s="10"/>
      <c r="I8810" s="10"/>
      <c r="J8810" s="10"/>
      <c r="K8810" s="10"/>
      <c r="L8810" s="10"/>
      <c r="M8810" s="10"/>
      <c r="N8810" s="10"/>
      <c r="O8810" s="10"/>
      <c r="P8810" s="10"/>
      <c r="Q8810" s="10"/>
      <c r="R8810" s="10"/>
      <c r="S8810" s="10"/>
      <c r="T8810" s="10"/>
      <c r="U8810" s="10"/>
      <c r="V8810" s="10"/>
      <c r="W8810" s="10"/>
      <c r="X8810" s="10"/>
      <c r="Y8810" s="10"/>
      <c r="Z8810" s="10"/>
    </row>
    <row r="8811" spans="1:26" ht="12.75">
      <c r="A8811" s="10"/>
      <c r="B8811" s="10"/>
      <c r="C8811" s="10"/>
      <c r="D8811" s="10"/>
      <c r="E8811" s="10"/>
      <c r="F8811" s="10"/>
      <c r="G8811" s="10"/>
      <c r="H8811" s="10"/>
      <c r="I8811" s="10"/>
      <c r="J8811" s="10"/>
      <c r="K8811" s="10"/>
      <c r="L8811" s="10"/>
      <c r="M8811" s="10"/>
      <c r="N8811" s="10"/>
      <c r="O8811" s="10"/>
      <c r="P8811" s="10"/>
      <c r="Q8811" s="10"/>
      <c r="R8811" s="10"/>
      <c r="S8811" s="10"/>
      <c r="T8811" s="10"/>
      <c r="U8811" s="10"/>
      <c r="V8811" s="10"/>
      <c r="W8811" s="10"/>
      <c r="X8811" s="10"/>
      <c r="Y8811" s="10"/>
      <c r="Z8811" s="10"/>
    </row>
    <row r="8812" spans="1:26" ht="12.75">
      <c r="A8812" s="10"/>
      <c r="B8812" s="10"/>
      <c r="C8812" s="10"/>
      <c r="D8812" s="10"/>
      <c r="E8812" s="10"/>
      <c r="F8812" s="10"/>
      <c r="G8812" s="10"/>
      <c r="H8812" s="10"/>
      <c r="I8812" s="10"/>
      <c r="J8812" s="10"/>
      <c r="K8812" s="10"/>
      <c r="L8812" s="10"/>
      <c r="M8812" s="10"/>
      <c r="N8812" s="10"/>
      <c r="O8812" s="10"/>
      <c r="P8812" s="10"/>
      <c r="Q8812" s="10"/>
      <c r="R8812" s="10"/>
      <c r="S8812" s="10"/>
      <c r="T8812" s="10"/>
      <c r="U8812" s="10"/>
      <c r="V8812" s="10"/>
      <c r="W8812" s="10"/>
      <c r="X8812" s="10"/>
      <c r="Y8812" s="10"/>
      <c r="Z8812" s="10"/>
    </row>
    <row r="8813" spans="1:26" ht="12.75">
      <c r="A8813" s="10"/>
      <c r="B8813" s="10"/>
      <c r="C8813" s="10"/>
      <c r="D8813" s="10"/>
      <c r="E8813" s="10"/>
      <c r="F8813" s="10"/>
      <c r="G8813" s="10"/>
      <c r="H8813" s="10"/>
      <c r="I8813" s="10"/>
      <c r="J8813" s="10"/>
      <c r="K8813" s="10"/>
      <c r="L8813" s="10"/>
      <c r="M8813" s="10"/>
      <c r="N8813" s="10"/>
      <c r="O8813" s="10"/>
      <c r="P8813" s="10"/>
      <c r="Q8813" s="10"/>
      <c r="R8813" s="10"/>
      <c r="S8813" s="10"/>
      <c r="T8813" s="10"/>
      <c r="U8813" s="10"/>
      <c r="V8813" s="10"/>
      <c r="W8813" s="10"/>
      <c r="X8813" s="10"/>
      <c r="Y8813" s="10"/>
      <c r="Z8813" s="10"/>
    </row>
    <row r="8814" spans="1:26" ht="12.75">
      <c r="A8814" s="10"/>
      <c r="B8814" s="10"/>
      <c r="C8814" s="10"/>
      <c r="D8814" s="10"/>
      <c r="E8814" s="10"/>
      <c r="F8814" s="10"/>
      <c r="G8814" s="10"/>
      <c r="H8814" s="10"/>
      <c r="I8814" s="10"/>
      <c r="J8814" s="10"/>
      <c r="K8814" s="10"/>
      <c r="L8814" s="10"/>
      <c r="M8814" s="10"/>
      <c r="N8814" s="10"/>
      <c r="O8814" s="10"/>
      <c r="P8814" s="10"/>
      <c r="Q8814" s="10"/>
      <c r="R8814" s="10"/>
      <c r="S8814" s="10"/>
      <c r="T8814" s="10"/>
      <c r="U8814" s="10"/>
      <c r="V8814" s="10"/>
      <c r="W8814" s="10"/>
      <c r="X8814" s="10"/>
      <c r="Y8814" s="10"/>
      <c r="Z8814" s="10"/>
    </row>
    <row r="8815" spans="1:26" ht="12.75">
      <c r="A8815" s="10"/>
      <c r="B8815" s="10"/>
      <c r="C8815" s="10"/>
      <c r="D8815" s="10"/>
      <c r="E8815" s="10"/>
      <c r="F8815" s="10"/>
      <c r="G8815" s="10"/>
      <c r="H8815" s="10"/>
      <c r="I8815" s="10"/>
      <c r="J8815" s="10"/>
      <c r="K8815" s="10"/>
      <c r="L8815" s="10"/>
      <c r="M8815" s="10"/>
      <c r="N8815" s="10"/>
      <c r="O8815" s="10"/>
      <c r="P8815" s="10"/>
      <c r="Q8815" s="10"/>
      <c r="R8815" s="10"/>
      <c r="S8815" s="10"/>
      <c r="T8815" s="10"/>
      <c r="U8815" s="10"/>
      <c r="V8815" s="10"/>
      <c r="W8815" s="10"/>
      <c r="X8815" s="10"/>
      <c r="Y8815" s="10"/>
      <c r="Z8815" s="10"/>
    </row>
    <row r="8816" spans="1:26" ht="12.75">
      <c r="A8816" s="10"/>
      <c r="B8816" s="10"/>
      <c r="C8816" s="10"/>
      <c r="D8816" s="10"/>
      <c r="E8816" s="10"/>
      <c r="F8816" s="10"/>
      <c r="G8816" s="10"/>
      <c r="H8816" s="10"/>
      <c r="I8816" s="10"/>
      <c r="J8816" s="10"/>
      <c r="K8816" s="10"/>
      <c r="L8816" s="10"/>
      <c r="M8816" s="10"/>
      <c r="N8816" s="10"/>
      <c r="O8816" s="10"/>
      <c r="P8816" s="10"/>
      <c r="Q8816" s="10"/>
      <c r="R8816" s="10"/>
      <c r="S8816" s="10"/>
      <c r="T8816" s="10"/>
      <c r="U8816" s="10"/>
      <c r="V8816" s="10"/>
      <c r="W8816" s="10"/>
      <c r="X8816" s="10"/>
      <c r="Y8816" s="10"/>
      <c r="Z8816" s="10"/>
    </row>
    <row r="8817" spans="1:26" ht="12.75">
      <c r="A8817" s="10"/>
      <c r="B8817" s="10"/>
      <c r="C8817" s="10"/>
      <c r="D8817" s="10"/>
      <c r="E8817" s="10"/>
      <c r="F8817" s="10"/>
      <c r="G8817" s="10"/>
      <c r="H8817" s="10"/>
      <c r="I8817" s="10"/>
      <c r="J8817" s="10"/>
      <c r="K8817" s="10"/>
      <c r="L8817" s="10"/>
      <c r="M8817" s="10"/>
      <c r="N8817" s="10"/>
      <c r="O8817" s="10"/>
      <c r="P8817" s="10"/>
      <c r="Q8817" s="10"/>
      <c r="R8817" s="10"/>
      <c r="S8817" s="10"/>
      <c r="T8817" s="10"/>
      <c r="U8817" s="10"/>
      <c r="V8817" s="10"/>
      <c r="W8817" s="10"/>
      <c r="X8817" s="10"/>
      <c r="Y8817" s="10"/>
      <c r="Z8817" s="10"/>
    </row>
    <row r="8818" spans="1:26" ht="12.75">
      <c r="A8818" s="10"/>
      <c r="B8818" s="10"/>
      <c r="C8818" s="10"/>
      <c r="D8818" s="10"/>
      <c r="E8818" s="10"/>
      <c r="F8818" s="10"/>
      <c r="G8818" s="10"/>
      <c r="H8818" s="10"/>
      <c r="I8818" s="10"/>
      <c r="J8818" s="10"/>
      <c r="K8818" s="10"/>
      <c r="L8818" s="10"/>
      <c r="M8818" s="10"/>
      <c r="N8818" s="10"/>
      <c r="O8818" s="10"/>
      <c r="P8818" s="10"/>
      <c r="Q8818" s="10"/>
      <c r="R8818" s="10"/>
      <c r="S8818" s="10"/>
      <c r="T8818" s="10"/>
      <c r="U8818" s="10"/>
      <c r="V8818" s="10"/>
      <c r="W8818" s="10"/>
      <c r="X8818" s="10"/>
      <c r="Y8818" s="10"/>
      <c r="Z8818" s="10"/>
    </row>
    <row r="8819" spans="1:26" ht="12.75">
      <c r="A8819" s="10"/>
      <c r="B8819" s="10"/>
      <c r="C8819" s="10"/>
      <c r="D8819" s="10"/>
      <c r="E8819" s="10"/>
      <c r="F8819" s="10"/>
      <c r="G8819" s="10"/>
      <c r="H8819" s="10"/>
      <c r="I8819" s="10"/>
      <c r="J8819" s="10"/>
      <c r="K8819" s="10"/>
      <c r="L8819" s="10"/>
      <c r="M8819" s="10"/>
      <c r="N8819" s="10"/>
      <c r="O8819" s="10"/>
      <c r="P8819" s="10"/>
      <c r="Q8819" s="10"/>
      <c r="R8819" s="10"/>
      <c r="S8819" s="10"/>
      <c r="T8819" s="10"/>
      <c r="U8819" s="10"/>
      <c r="V8819" s="10"/>
      <c r="W8819" s="10"/>
      <c r="X8819" s="10"/>
      <c r="Y8819" s="10"/>
      <c r="Z8819" s="10"/>
    </row>
    <row r="8820" spans="1:26" ht="12.75">
      <c r="A8820" s="10"/>
      <c r="B8820" s="10"/>
      <c r="C8820" s="10"/>
      <c r="D8820" s="10"/>
      <c r="E8820" s="10"/>
      <c r="F8820" s="10"/>
      <c r="G8820" s="10"/>
      <c r="H8820" s="10"/>
      <c r="I8820" s="10"/>
      <c r="J8820" s="10"/>
      <c r="K8820" s="10"/>
      <c r="L8820" s="10"/>
      <c r="M8820" s="10"/>
      <c r="N8820" s="10"/>
      <c r="O8820" s="10"/>
      <c r="P8820" s="10"/>
      <c r="Q8820" s="10"/>
      <c r="R8820" s="10"/>
      <c r="S8820" s="10"/>
      <c r="T8820" s="10"/>
      <c r="U8820" s="10"/>
      <c r="V8820" s="10"/>
      <c r="W8820" s="10"/>
      <c r="X8820" s="10"/>
      <c r="Y8820" s="10"/>
      <c r="Z8820" s="10"/>
    </row>
    <row r="8821" spans="1:26" ht="12.75">
      <c r="A8821" s="10"/>
      <c r="B8821" s="10"/>
      <c r="C8821" s="10"/>
      <c r="D8821" s="10"/>
      <c r="E8821" s="10"/>
      <c r="F8821" s="10"/>
      <c r="G8821" s="10"/>
      <c r="H8821" s="10"/>
      <c r="I8821" s="10"/>
      <c r="J8821" s="10"/>
      <c r="K8821" s="10"/>
      <c r="L8821" s="10"/>
      <c r="M8821" s="10"/>
      <c r="N8821" s="10"/>
      <c r="O8821" s="10"/>
      <c r="P8821" s="10"/>
      <c r="Q8821" s="10"/>
      <c r="R8821" s="10"/>
      <c r="S8821" s="10"/>
      <c r="T8821" s="10"/>
      <c r="U8821" s="10"/>
      <c r="V8821" s="10"/>
      <c r="W8821" s="10"/>
      <c r="X8821" s="10"/>
      <c r="Y8821" s="10"/>
      <c r="Z8821" s="10"/>
    </row>
    <row r="8822" spans="1:26" ht="12.75">
      <c r="A8822" s="10"/>
      <c r="B8822" s="10"/>
      <c r="C8822" s="10"/>
      <c r="D8822" s="10"/>
      <c r="E8822" s="10"/>
      <c r="F8822" s="10"/>
      <c r="G8822" s="10"/>
      <c r="H8822" s="10"/>
      <c r="I8822" s="10"/>
      <c r="J8822" s="10"/>
      <c r="K8822" s="10"/>
      <c r="L8822" s="10"/>
      <c r="M8822" s="10"/>
      <c r="N8822" s="10"/>
      <c r="O8822" s="10"/>
      <c r="P8822" s="10"/>
      <c r="Q8822" s="10"/>
      <c r="R8822" s="10"/>
      <c r="S8822" s="10"/>
      <c r="T8822" s="10"/>
      <c r="U8822" s="10"/>
      <c r="V8822" s="10"/>
      <c r="W8822" s="10"/>
      <c r="X8822" s="10"/>
      <c r="Y8822" s="10"/>
      <c r="Z8822" s="10"/>
    </row>
    <row r="8823" spans="1:26" ht="12.75">
      <c r="A8823" s="10"/>
      <c r="B8823" s="10"/>
      <c r="C8823" s="10"/>
      <c r="D8823" s="10"/>
      <c r="E8823" s="10"/>
      <c r="F8823" s="10"/>
      <c r="G8823" s="10"/>
      <c r="H8823" s="10"/>
      <c r="I8823" s="10"/>
      <c r="J8823" s="10"/>
      <c r="K8823" s="10"/>
      <c r="L8823" s="10"/>
      <c r="M8823" s="10"/>
      <c r="N8823" s="10"/>
      <c r="O8823" s="10"/>
      <c r="P8823" s="10"/>
      <c r="Q8823" s="10"/>
      <c r="R8823" s="10"/>
      <c r="S8823" s="10"/>
      <c r="T8823" s="10"/>
      <c r="U8823" s="10"/>
      <c r="V8823" s="10"/>
      <c r="W8823" s="10"/>
      <c r="X8823" s="10"/>
      <c r="Y8823" s="10"/>
      <c r="Z8823" s="10"/>
    </row>
    <row r="8824" spans="1:26" ht="12.75">
      <c r="A8824" s="10"/>
      <c r="B8824" s="10"/>
      <c r="C8824" s="10"/>
      <c r="D8824" s="10"/>
      <c r="E8824" s="10"/>
      <c r="F8824" s="10"/>
      <c r="G8824" s="10"/>
      <c r="H8824" s="10"/>
      <c r="I8824" s="10"/>
      <c r="J8824" s="10"/>
      <c r="K8824" s="10"/>
      <c r="L8824" s="10"/>
      <c r="M8824" s="10"/>
      <c r="N8824" s="10"/>
      <c r="O8824" s="10"/>
      <c r="P8824" s="10"/>
      <c r="Q8824" s="10"/>
      <c r="R8824" s="10"/>
      <c r="S8824" s="10"/>
      <c r="T8824" s="10"/>
      <c r="U8824" s="10"/>
      <c r="V8824" s="10"/>
      <c r="W8824" s="10"/>
      <c r="X8824" s="10"/>
      <c r="Y8824" s="10"/>
      <c r="Z8824" s="10"/>
    </row>
    <row r="8825" spans="1:26" ht="12.75">
      <c r="A8825" s="10"/>
      <c r="B8825" s="10"/>
      <c r="C8825" s="10"/>
      <c r="D8825" s="10"/>
      <c r="E8825" s="10"/>
      <c r="F8825" s="10"/>
      <c r="G8825" s="10"/>
      <c r="H8825" s="10"/>
      <c r="I8825" s="10"/>
      <c r="J8825" s="10"/>
      <c r="K8825" s="10"/>
      <c r="L8825" s="10"/>
      <c r="M8825" s="10"/>
      <c r="N8825" s="10"/>
      <c r="O8825" s="10"/>
      <c r="P8825" s="10"/>
      <c r="Q8825" s="10"/>
      <c r="R8825" s="10"/>
      <c r="S8825" s="10"/>
      <c r="T8825" s="10"/>
      <c r="U8825" s="10"/>
      <c r="V8825" s="10"/>
      <c r="W8825" s="10"/>
      <c r="X8825" s="10"/>
      <c r="Y8825" s="10"/>
      <c r="Z8825" s="10"/>
    </row>
    <row r="8826" spans="1:26" ht="12.75">
      <c r="A8826" s="10"/>
      <c r="B8826" s="10"/>
      <c r="C8826" s="10"/>
      <c r="D8826" s="10"/>
      <c r="E8826" s="10"/>
      <c r="F8826" s="10"/>
      <c r="G8826" s="10"/>
      <c r="H8826" s="10"/>
      <c r="I8826" s="10"/>
      <c r="J8826" s="10"/>
      <c r="K8826" s="10"/>
      <c r="L8826" s="10"/>
      <c r="M8826" s="10"/>
      <c r="N8826" s="10"/>
      <c r="O8826" s="10"/>
      <c r="P8826" s="10"/>
      <c r="Q8826" s="10"/>
      <c r="R8826" s="10"/>
      <c r="S8826" s="10"/>
      <c r="T8826" s="10"/>
      <c r="U8826" s="10"/>
      <c r="V8826" s="10"/>
      <c r="W8826" s="10"/>
      <c r="X8826" s="10"/>
      <c r="Y8826" s="10"/>
      <c r="Z8826" s="10"/>
    </row>
    <row r="8827" spans="1:26" ht="12.75">
      <c r="A8827" s="10"/>
      <c r="B8827" s="10"/>
      <c r="C8827" s="10"/>
      <c r="D8827" s="10"/>
      <c r="E8827" s="10"/>
      <c r="F8827" s="10"/>
      <c r="G8827" s="10"/>
      <c r="H8827" s="10"/>
      <c r="I8827" s="10"/>
      <c r="J8827" s="10"/>
      <c r="K8827" s="10"/>
      <c r="L8827" s="10"/>
      <c r="M8827" s="10"/>
      <c r="N8827" s="10"/>
      <c r="O8827" s="10"/>
      <c r="P8827" s="10"/>
      <c r="Q8827" s="10"/>
      <c r="R8827" s="10"/>
      <c r="S8827" s="10"/>
      <c r="T8827" s="10"/>
      <c r="U8827" s="10"/>
      <c r="V8827" s="10"/>
      <c r="W8827" s="10"/>
      <c r="X8827" s="10"/>
      <c r="Y8827" s="10"/>
      <c r="Z8827" s="10"/>
    </row>
    <row r="8828" spans="1:26" ht="12.75">
      <c r="A8828" s="10"/>
      <c r="B8828" s="10"/>
      <c r="C8828" s="10"/>
      <c r="D8828" s="10"/>
      <c r="E8828" s="10"/>
      <c r="F8828" s="10"/>
      <c r="G8828" s="10"/>
      <c r="H8828" s="10"/>
      <c r="I8828" s="10"/>
      <c r="J8828" s="10"/>
      <c r="K8828" s="10"/>
      <c r="L8828" s="10"/>
      <c r="M8828" s="10"/>
      <c r="N8828" s="10"/>
      <c r="O8828" s="10"/>
      <c r="P8828" s="10"/>
      <c r="Q8828" s="10"/>
      <c r="R8828" s="10"/>
      <c r="S8828" s="10"/>
      <c r="T8828" s="10"/>
      <c r="U8828" s="10"/>
      <c r="V8828" s="10"/>
      <c r="W8828" s="10"/>
      <c r="X8828" s="10"/>
      <c r="Y8828" s="10"/>
      <c r="Z8828" s="10"/>
    </row>
    <row r="8829" spans="1:26" ht="12.75">
      <c r="A8829" s="10"/>
      <c r="B8829" s="10"/>
      <c r="C8829" s="10"/>
      <c r="D8829" s="10"/>
      <c r="E8829" s="10"/>
      <c r="F8829" s="10"/>
      <c r="G8829" s="10"/>
      <c r="H8829" s="10"/>
      <c r="I8829" s="10"/>
      <c r="J8829" s="10"/>
      <c r="K8829" s="10"/>
      <c r="L8829" s="10"/>
      <c r="M8829" s="10"/>
      <c r="N8829" s="10"/>
      <c r="O8829" s="10"/>
      <c r="P8829" s="10"/>
      <c r="Q8829" s="10"/>
      <c r="R8829" s="10"/>
      <c r="S8829" s="10"/>
      <c r="T8829" s="10"/>
      <c r="U8829" s="10"/>
      <c r="V8829" s="10"/>
      <c r="W8829" s="10"/>
      <c r="X8829" s="10"/>
      <c r="Y8829" s="10"/>
      <c r="Z8829" s="10"/>
    </row>
    <row r="8830" spans="1:26" ht="12.75">
      <c r="A8830" s="10"/>
      <c r="B8830" s="10"/>
      <c r="C8830" s="10"/>
      <c r="D8830" s="10"/>
      <c r="E8830" s="10"/>
      <c r="F8830" s="10"/>
      <c r="G8830" s="10"/>
      <c r="H8830" s="10"/>
      <c r="I8830" s="10"/>
      <c r="J8830" s="10"/>
      <c r="K8830" s="10"/>
      <c r="L8830" s="10"/>
      <c r="M8830" s="10"/>
      <c r="N8830" s="10"/>
      <c r="O8830" s="10"/>
      <c r="P8830" s="10"/>
      <c r="Q8830" s="10"/>
      <c r="R8830" s="10"/>
      <c r="S8830" s="10"/>
      <c r="T8830" s="10"/>
      <c r="U8830" s="10"/>
      <c r="V8830" s="10"/>
      <c r="W8830" s="10"/>
      <c r="X8830" s="10"/>
      <c r="Y8830" s="10"/>
      <c r="Z8830" s="10"/>
    </row>
    <row r="8831" spans="1:26" ht="12.75">
      <c r="A8831" s="10"/>
      <c r="B8831" s="10"/>
      <c r="C8831" s="10"/>
      <c r="D8831" s="10"/>
      <c r="E8831" s="10"/>
      <c r="F8831" s="10"/>
      <c r="G8831" s="10"/>
      <c r="H8831" s="10"/>
      <c r="I8831" s="10"/>
      <c r="J8831" s="10"/>
      <c r="K8831" s="10"/>
      <c r="L8831" s="10"/>
      <c r="M8831" s="10"/>
      <c r="N8831" s="10"/>
      <c r="O8831" s="10"/>
      <c r="P8831" s="10"/>
      <c r="Q8831" s="10"/>
      <c r="R8831" s="10"/>
      <c r="S8831" s="10"/>
      <c r="T8831" s="10"/>
      <c r="U8831" s="10"/>
      <c r="V8831" s="10"/>
      <c r="W8831" s="10"/>
      <c r="X8831" s="10"/>
      <c r="Y8831" s="10"/>
      <c r="Z8831" s="10"/>
    </row>
    <row r="8832" spans="1:26" ht="12.75">
      <c r="A8832" s="10"/>
      <c r="B8832" s="10"/>
      <c r="C8832" s="10"/>
      <c r="D8832" s="10"/>
      <c r="E8832" s="10"/>
      <c r="F8832" s="10"/>
      <c r="G8832" s="10"/>
      <c r="H8832" s="10"/>
      <c r="I8832" s="10"/>
      <c r="J8832" s="10"/>
      <c r="K8832" s="10"/>
      <c r="L8832" s="10"/>
      <c r="M8832" s="10"/>
      <c r="N8832" s="10"/>
      <c r="O8832" s="10"/>
      <c r="P8832" s="10"/>
      <c r="Q8832" s="10"/>
      <c r="R8832" s="10"/>
      <c r="S8832" s="10"/>
      <c r="T8832" s="10"/>
      <c r="U8832" s="10"/>
      <c r="V8832" s="10"/>
      <c r="W8832" s="10"/>
      <c r="X8832" s="10"/>
      <c r="Y8832" s="10"/>
      <c r="Z8832" s="10"/>
    </row>
    <row r="8833" spans="1:26" ht="12.75">
      <c r="A8833" s="10"/>
      <c r="B8833" s="10"/>
      <c r="C8833" s="10"/>
      <c r="D8833" s="10"/>
      <c r="E8833" s="10"/>
      <c r="F8833" s="10"/>
      <c r="G8833" s="10"/>
      <c r="H8833" s="10"/>
      <c r="I8833" s="10"/>
      <c r="J8833" s="10"/>
      <c r="K8833" s="10"/>
      <c r="L8833" s="10"/>
      <c r="M8833" s="10"/>
      <c r="N8833" s="10"/>
      <c r="O8833" s="10"/>
      <c r="P8833" s="10"/>
      <c r="Q8833" s="10"/>
      <c r="R8833" s="10"/>
      <c r="S8833" s="10"/>
      <c r="T8833" s="10"/>
      <c r="U8833" s="10"/>
      <c r="V8833" s="10"/>
      <c r="W8833" s="10"/>
      <c r="X8833" s="10"/>
      <c r="Y8833" s="10"/>
      <c r="Z8833" s="10"/>
    </row>
    <row r="8834" spans="1:26" ht="12.75">
      <c r="A8834" s="10"/>
      <c r="B8834" s="10"/>
      <c r="C8834" s="10"/>
      <c r="D8834" s="10"/>
      <c r="E8834" s="10"/>
      <c r="F8834" s="10"/>
      <c r="G8834" s="10"/>
      <c r="H8834" s="10"/>
      <c r="I8834" s="10"/>
      <c r="J8834" s="10"/>
      <c r="K8834" s="10"/>
      <c r="L8834" s="10"/>
      <c r="M8834" s="10"/>
      <c r="N8834" s="10"/>
      <c r="O8834" s="10"/>
      <c r="P8834" s="10"/>
      <c r="Q8834" s="10"/>
      <c r="R8834" s="10"/>
      <c r="S8834" s="10"/>
      <c r="T8834" s="10"/>
      <c r="U8834" s="10"/>
      <c r="V8834" s="10"/>
      <c r="W8834" s="10"/>
      <c r="X8834" s="10"/>
      <c r="Y8834" s="10"/>
      <c r="Z8834" s="10"/>
    </row>
    <row r="8835" spans="1:26" ht="12.75">
      <c r="A8835" s="10"/>
      <c r="B8835" s="10"/>
      <c r="C8835" s="10"/>
      <c r="D8835" s="10"/>
      <c r="E8835" s="10"/>
      <c r="F8835" s="10"/>
      <c r="G8835" s="10"/>
      <c r="H8835" s="10"/>
      <c r="I8835" s="10"/>
      <c r="J8835" s="10"/>
      <c r="K8835" s="10"/>
      <c r="L8835" s="10"/>
      <c r="M8835" s="10"/>
      <c r="N8835" s="10"/>
      <c r="O8835" s="10"/>
      <c r="P8835" s="10"/>
      <c r="Q8835" s="10"/>
      <c r="R8835" s="10"/>
      <c r="S8835" s="10"/>
      <c r="T8835" s="10"/>
      <c r="U8835" s="10"/>
      <c r="V8835" s="10"/>
      <c r="W8835" s="10"/>
      <c r="X8835" s="10"/>
      <c r="Y8835" s="10"/>
      <c r="Z8835" s="10"/>
    </row>
    <row r="8836" spans="1:26" ht="12.75">
      <c r="A8836" s="10"/>
      <c r="B8836" s="10"/>
      <c r="C8836" s="10"/>
      <c r="D8836" s="10"/>
      <c r="E8836" s="10"/>
      <c r="F8836" s="10"/>
      <c r="G8836" s="10"/>
      <c r="H8836" s="10"/>
      <c r="I8836" s="10"/>
      <c r="J8836" s="10"/>
      <c r="K8836" s="10"/>
      <c r="L8836" s="10"/>
      <c r="M8836" s="10"/>
      <c r="N8836" s="10"/>
      <c r="O8836" s="10"/>
      <c r="P8836" s="10"/>
      <c r="Q8836" s="10"/>
      <c r="R8836" s="10"/>
      <c r="S8836" s="10"/>
      <c r="T8836" s="10"/>
      <c r="U8836" s="10"/>
      <c r="V8836" s="10"/>
      <c r="W8836" s="10"/>
      <c r="X8836" s="10"/>
      <c r="Y8836" s="10"/>
      <c r="Z8836" s="10"/>
    </row>
    <row r="8837" spans="1:26" ht="12.75">
      <c r="A8837" s="10"/>
      <c r="B8837" s="10"/>
      <c r="C8837" s="10"/>
      <c r="D8837" s="10"/>
      <c r="E8837" s="10"/>
      <c r="F8837" s="10"/>
      <c r="G8837" s="10"/>
      <c r="H8837" s="10"/>
      <c r="I8837" s="10"/>
      <c r="J8837" s="10"/>
      <c r="K8837" s="10"/>
      <c r="L8837" s="10"/>
      <c r="M8837" s="10"/>
      <c r="N8837" s="10"/>
      <c r="O8837" s="10"/>
      <c r="P8837" s="10"/>
      <c r="Q8837" s="10"/>
      <c r="R8837" s="10"/>
      <c r="S8837" s="10"/>
      <c r="T8837" s="10"/>
      <c r="U8837" s="10"/>
      <c r="V8837" s="10"/>
      <c r="W8837" s="10"/>
      <c r="X8837" s="10"/>
      <c r="Y8837" s="10"/>
      <c r="Z8837" s="10"/>
    </row>
    <row r="8838" spans="1:26" ht="12.75">
      <c r="A8838" s="10"/>
      <c r="B8838" s="10"/>
      <c r="C8838" s="10"/>
      <c r="D8838" s="10"/>
      <c r="E8838" s="10"/>
      <c r="F8838" s="10"/>
      <c r="G8838" s="10"/>
      <c r="H8838" s="10"/>
      <c r="I8838" s="10"/>
      <c r="J8838" s="10"/>
      <c r="K8838" s="10"/>
      <c r="L8838" s="10"/>
      <c r="M8838" s="10"/>
      <c r="N8838" s="10"/>
      <c r="O8838" s="10"/>
      <c r="P8838" s="10"/>
      <c r="Q8838" s="10"/>
      <c r="R8838" s="10"/>
      <c r="S8838" s="10"/>
      <c r="T8838" s="10"/>
      <c r="U8838" s="10"/>
      <c r="V8838" s="10"/>
      <c r="W8838" s="10"/>
      <c r="X8838" s="10"/>
      <c r="Y8838" s="10"/>
      <c r="Z8838" s="10"/>
    </row>
    <row r="8839" spans="1:26" ht="12.75">
      <c r="A8839" s="10"/>
      <c r="B8839" s="10"/>
      <c r="C8839" s="10"/>
      <c r="D8839" s="10"/>
      <c r="E8839" s="10"/>
      <c r="F8839" s="10"/>
      <c r="G8839" s="10"/>
      <c r="H8839" s="10"/>
      <c r="I8839" s="10"/>
      <c r="J8839" s="10"/>
      <c r="K8839" s="10"/>
      <c r="L8839" s="10"/>
      <c r="M8839" s="10"/>
      <c r="N8839" s="10"/>
      <c r="O8839" s="10"/>
      <c r="P8839" s="10"/>
      <c r="Q8839" s="10"/>
      <c r="R8839" s="10"/>
      <c r="S8839" s="10"/>
      <c r="T8839" s="10"/>
      <c r="U8839" s="10"/>
      <c r="V8839" s="10"/>
      <c r="W8839" s="10"/>
      <c r="X8839" s="10"/>
      <c r="Y8839" s="10"/>
      <c r="Z8839" s="10"/>
    </row>
    <row r="8840" spans="1:26" ht="12.75">
      <c r="A8840" s="10"/>
      <c r="B8840" s="10"/>
      <c r="C8840" s="10"/>
      <c r="D8840" s="10"/>
      <c r="E8840" s="10"/>
      <c r="F8840" s="10"/>
      <c r="G8840" s="10"/>
      <c r="H8840" s="10"/>
      <c r="I8840" s="10"/>
      <c r="J8840" s="10"/>
      <c r="K8840" s="10"/>
      <c r="L8840" s="10"/>
      <c r="M8840" s="10"/>
      <c r="N8840" s="10"/>
      <c r="O8840" s="10"/>
      <c r="P8840" s="10"/>
      <c r="Q8840" s="10"/>
      <c r="R8840" s="10"/>
      <c r="S8840" s="10"/>
      <c r="T8840" s="10"/>
      <c r="U8840" s="10"/>
      <c r="V8840" s="10"/>
      <c r="W8840" s="10"/>
      <c r="X8840" s="10"/>
      <c r="Y8840" s="10"/>
      <c r="Z8840" s="10"/>
    </row>
    <row r="8841" spans="1:26" ht="12.75">
      <c r="A8841" s="10"/>
      <c r="B8841" s="10"/>
      <c r="C8841" s="10"/>
      <c r="D8841" s="10"/>
      <c r="E8841" s="10"/>
      <c r="F8841" s="10"/>
      <c r="G8841" s="10"/>
      <c r="H8841" s="10"/>
      <c r="I8841" s="10"/>
      <c r="J8841" s="10"/>
      <c r="K8841" s="10"/>
      <c r="L8841" s="10"/>
      <c r="M8841" s="10"/>
      <c r="N8841" s="10"/>
      <c r="O8841" s="10"/>
      <c r="P8841" s="10"/>
      <c r="Q8841" s="10"/>
      <c r="R8841" s="10"/>
      <c r="S8841" s="10"/>
      <c r="T8841" s="10"/>
      <c r="U8841" s="10"/>
      <c r="V8841" s="10"/>
      <c r="W8841" s="10"/>
      <c r="X8841" s="10"/>
      <c r="Y8841" s="10"/>
      <c r="Z8841" s="10"/>
    </row>
    <row r="8842" spans="1:26" ht="12.75">
      <c r="A8842" s="10"/>
      <c r="B8842" s="10"/>
      <c r="C8842" s="10"/>
      <c r="D8842" s="10"/>
      <c r="E8842" s="10"/>
      <c r="F8842" s="10"/>
      <c r="G8842" s="10"/>
      <c r="H8842" s="10"/>
      <c r="I8842" s="10"/>
      <c r="J8842" s="10"/>
      <c r="K8842" s="10"/>
      <c r="L8842" s="10"/>
      <c r="M8842" s="10"/>
      <c r="N8842" s="10"/>
      <c r="O8842" s="10"/>
      <c r="P8842" s="10"/>
      <c r="Q8842" s="10"/>
      <c r="R8842" s="10"/>
      <c r="S8842" s="10"/>
      <c r="T8842" s="10"/>
      <c r="U8842" s="10"/>
      <c r="V8842" s="10"/>
      <c r="W8842" s="10"/>
      <c r="X8842" s="10"/>
      <c r="Y8842" s="10"/>
      <c r="Z8842" s="10"/>
    </row>
    <row r="8843" spans="1:26" ht="12.75">
      <c r="A8843" s="10"/>
      <c r="B8843" s="10"/>
      <c r="C8843" s="10"/>
      <c r="D8843" s="10"/>
      <c r="E8843" s="10"/>
      <c r="F8843" s="10"/>
      <c r="G8843" s="10"/>
      <c r="H8843" s="10"/>
      <c r="I8843" s="10"/>
      <c r="J8843" s="10"/>
      <c r="K8843" s="10"/>
      <c r="L8843" s="10"/>
      <c r="M8843" s="10"/>
      <c r="N8843" s="10"/>
      <c r="O8843" s="10"/>
      <c r="P8843" s="10"/>
      <c r="Q8843" s="10"/>
      <c r="R8843" s="10"/>
      <c r="S8843" s="10"/>
      <c r="T8843" s="10"/>
      <c r="U8843" s="10"/>
      <c r="V8843" s="10"/>
      <c r="W8843" s="10"/>
      <c r="X8843" s="10"/>
      <c r="Y8843" s="10"/>
      <c r="Z8843" s="10"/>
    </row>
    <row r="8844" spans="1:26" ht="12.75">
      <c r="A8844" s="10"/>
      <c r="B8844" s="10"/>
      <c r="C8844" s="10"/>
      <c r="D8844" s="10"/>
      <c r="E8844" s="10"/>
      <c r="F8844" s="10"/>
      <c r="G8844" s="10"/>
      <c r="H8844" s="10"/>
      <c r="I8844" s="10"/>
      <c r="J8844" s="10"/>
      <c r="K8844" s="10"/>
      <c r="L8844" s="10"/>
      <c r="M8844" s="10"/>
      <c r="N8844" s="10"/>
      <c r="O8844" s="10"/>
      <c r="P8844" s="10"/>
      <c r="Q8844" s="10"/>
      <c r="R8844" s="10"/>
      <c r="S8844" s="10"/>
      <c r="T8844" s="10"/>
      <c r="U8844" s="10"/>
      <c r="V8844" s="10"/>
      <c r="W8844" s="10"/>
      <c r="X8844" s="10"/>
      <c r="Y8844" s="10"/>
      <c r="Z8844" s="10"/>
    </row>
    <row r="8845" spans="1:26" ht="12.75">
      <c r="A8845" s="10"/>
      <c r="B8845" s="10"/>
      <c r="C8845" s="10"/>
      <c r="D8845" s="10"/>
      <c r="E8845" s="10"/>
      <c r="F8845" s="10"/>
      <c r="G8845" s="10"/>
      <c r="H8845" s="10"/>
      <c r="I8845" s="10"/>
      <c r="J8845" s="10"/>
      <c r="K8845" s="10"/>
      <c r="L8845" s="10"/>
      <c r="M8845" s="10"/>
      <c r="N8845" s="10"/>
      <c r="O8845" s="10"/>
      <c r="P8845" s="10"/>
      <c r="Q8845" s="10"/>
      <c r="R8845" s="10"/>
      <c r="S8845" s="10"/>
      <c r="T8845" s="10"/>
      <c r="U8845" s="10"/>
      <c r="V8845" s="10"/>
      <c r="W8845" s="10"/>
      <c r="X8845" s="10"/>
      <c r="Y8845" s="10"/>
      <c r="Z8845" s="10"/>
    </row>
    <row r="8846" spans="1:26" ht="12.75">
      <c r="A8846" s="10"/>
      <c r="B8846" s="10"/>
      <c r="C8846" s="10"/>
      <c r="D8846" s="10"/>
      <c r="E8846" s="10"/>
      <c r="F8846" s="10"/>
      <c r="G8846" s="10"/>
      <c r="H8846" s="10"/>
      <c r="I8846" s="10"/>
      <c r="J8846" s="10"/>
      <c r="K8846" s="10"/>
      <c r="L8846" s="10"/>
      <c r="M8846" s="10"/>
      <c r="N8846" s="10"/>
      <c r="O8846" s="10"/>
      <c r="P8846" s="10"/>
      <c r="Q8846" s="10"/>
      <c r="R8846" s="10"/>
      <c r="S8846" s="10"/>
      <c r="T8846" s="10"/>
      <c r="U8846" s="10"/>
      <c r="V8846" s="10"/>
      <c r="W8846" s="10"/>
      <c r="X8846" s="10"/>
      <c r="Y8846" s="10"/>
      <c r="Z8846" s="10"/>
    </row>
    <row r="8847" spans="1:26" ht="12.75">
      <c r="A8847" s="10"/>
      <c r="B8847" s="10"/>
      <c r="C8847" s="10"/>
      <c r="D8847" s="10"/>
      <c r="E8847" s="10"/>
      <c r="F8847" s="10"/>
      <c r="G8847" s="10"/>
      <c r="H8847" s="10"/>
      <c r="I8847" s="10"/>
      <c r="J8847" s="10"/>
      <c r="K8847" s="10"/>
      <c r="L8847" s="10"/>
      <c r="M8847" s="10"/>
      <c r="N8847" s="10"/>
      <c r="O8847" s="10"/>
      <c r="P8847" s="10"/>
      <c r="Q8847" s="10"/>
      <c r="R8847" s="10"/>
      <c r="S8847" s="10"/>
      <c r="T8847" s="10"/>
      <c r="U8847" s="10"/>
      <c r="V8847" s="10"/>
      <c r="W8847" s="10"/>
      <c r="X8847" s="10"/>
      <c r="Y8847" s="10"/>
      <c r="Z8847" s="10"/>
    </row>
    <row r="8848" spans="1:26" ht="12.75">
      <c r="A8848" s="10"/>
      <c r="B8848" s="10"/>
      <c r="C8848" s="10"/>
      <c r="D8848" s="10"/>
      <c r="E8848" s="10"/>
      <c r="F8848" s="10"/>
      <c r="G8848" s="10"/>
      <c r="H8848" s="10"/>
      <c r="I8848" s="10"/>
      <c r="J8848" s="10"/>
      <c r="K8848" s="10"/>
      <c r="L8848" s="10"/>
      <c r="M8848" s="10"/>
      <c r="N8848" s="10"/>
      <c r="O8848" s="10"/>
      <c r="P8848" s="10"/>
      <c r="Q8848" s="10"/>
      <c r="R8848" s="10"/>
      <c r="S8848" s="10"/>
      <c r="T8848" s="10"/>
      <c r="U8848" s="10"/>
      <c r="V8848" s="10"/>
      <c r="W8848" s="10"/>
      <c r="X8848" s="10"/>
      <c r="Y8848" s="10"/>
      <c r="Z8848" s="10"/>
    </row>
    <row r="8849" spans="1:26" ht="12.75">
      <c r="A8849" s="10"/>
      <c r="B8849" s="10"/>
      <c r="C8849" s="10"/>
      <c r="D8849" s="10"/>
      <c r="E8849" s="10"/>
      <c r="F8849" s="10"/>
      <c r="G8849" s="10"/>
      <c r="H8849" s="10"/>
      <c r="I8849" s="10"/>
      <c r="J8849" s="10"/>
      <c r="K8849" s="10"/>
      <c r="L8849" s="10"/>
      <c r="M8849" s="10"/>
      <c r="N8849" s="10"/>
      <c r="O8849" s="10"/>
      <c r="P8849" s="10"/>
      <c r="Q8849" s="10"/>
      <c r="R8849" s="10"/>
      <c r="S8849" s="10"/>
      <c r="T8849" s="10"/>
      <c r="U8849" s="10"/>
      <c r="V8849" s="10"/>
      <c r="W8849" s="10"/>
      <c r="X8849" s="10"/>
      <c r="Y8849" s="10"/>
      <c r="Z8849" s="10"/>
    </row>
    <row r="8850" spans="1:26" ht="12.75">
      <c r="A8850" s="10"/>
      <c r="B8850" s="10"/>
      <c r="C8850" s="10"/>
      <c r="D8850" s="10"/>
      <c r="E8850" s="10"/>
      <c r="F8850" s="10"/>
      <c r="G8850" s="10"/>
      <c r="H8850" s="10"/>
      <c r="I8850" s="10"/>
      <c r="J8850" s="10"/>
      <c r="K8850" s="10"/>
      <c r="L8850" s="10"/>
      <c r="M8850" s="10"/>
      <c r="N8850" s="10"/>
      <c r="O8850" s="10"/>
      <c r="P8850" s="10"/>
      <c r="Q8850" s="10"/>
      <c r="R8850" s="10"/>
      <c r="S8850" s="10"/>
      <c r="T8850" s="10"/>
      <c r="U8850" s="10"/>
      <c r="V8850" s="10"/>
      <c r="W8850" s="10"/>
      <c r="X8850" s="10"/>
      <c r="Y8850" s="10"/>
      <c r="Z8850" s="10"/>
    </row>
    <row r="8851" spans="1:26" ht="12.75">
      <c r="A8851" s="10"/>
      <c r="B8851" s="10"/>
      <c r="C8851" s="10"/>
      <c r="D8851" s="10"/>
      <c r="E8851" s="10"/>
      <c r="F8851" s="10"/>
      <c r="G8851" s="10"/>
      <c r="H8851" s="10"/>
      <c r="I8851" s="10"/>
      <c r="J8851" s="10"/>
      <c r="K8851" s="10"/>
      <c r="L8851" s="10"/>
      <c r="M8851" s="10"/>
      <c r="N8851" s="10"/>
      <c r="O8851" s="10"/>
      <c r="P8851" s="10"/>
      <c r="Q8851" s="10"/>
      <c r="R8851" s="10"/>
      <c r="S8851" s="10"/>
      <c r="T8851" s="10"/>
      <c r="U8851" s="10"/>
      <c r="V8851" s="10"/>
      <c r="W8851" s="10"/>
      <c r="X8851" s="10"/>
      <c r="Y8851" s="10"/>
      <c r="Z8851" s="10"/>
    </row>
    <row r="8852" spans="1:26" ht="12.75">
      <c r="A8852" s="10"/>
      <c r="B8852" s="10"/>
      <c r="C8852" s="10"/>
      <c r="D8852" s="10"/>
      <c r="E8852" s="10"/>
      <c r="F8852" s="10"/>
      <c r="G8852" s="10"/>
      <c r="H8852" s="10"/>
      <c r="I8852" s="10"/>
      <c r="J8852" s="10"/>
      <c r="K8852" s="10"/>
      <c r="L8852" s="10"/>
      <c r="M8852" s="10"/>
      <c r="N8852" s="10"/>
      <c r="O8852" s="10"/>
      <c r="P8852" s="10"/>
      <c r="Q8852" s="10"/>
      <c r="R8852" s="10"/>
      <c r="S8852" s="10"/>
      <c r="T8852" s="10"/>
      <c r="U8852" s="10"/>
      <c r="V8852" s="10"/>
      <c r="W8852" s="10"/>
      <c r="X8852" s="10"/>
      <c r="Y8852" s="10"/>
      <c r="Z8852" s="10"/>
    </row>
    <row r="8853" spans="1:26" ht="12.75">
      <c r="A8853" s="10"/>
      <c r="B8853" s="10"/>
      <c r="C8853" s="10"/>
      <c r="D8853" s="10"/>
      <c r="E8853" s="10"/>
      <c r="F8853" s="10"/>
      <c r="G8853" s="10"/>
      <c r="H8853" s="10"/>
      <c r="I8853" s="10"/>
      <c r="J8853" s="10"/>
      <c r="K8853" s="10"/>
      <c r="L8853" s="10"/>
      <c r="M8853" s="10"/>
      <c r="N8853" s="10"/>
      <c r="O8853" s="10"/>
      <c r="P8853" s="10"/>
      <c r="Q8853" s="10"/>
      <c r="R8853" s="10"/>
      <c r="S8853" s="10"/>
      <c r="T8853" s="10"/>
      <c r="U8853" s="10"/>
      <c r="V8853" s="10"/>
      <c r="W8853" s="10"/>
      <c r="X8853" s="10"/>
      <c r="Y8853" s="10"/>
      <c r="Z8853" s="10"/>
    </row>
    <row r="8854" spans="1:26" ht="12.75">
      <c r="A8854" s="10"/>
      <c r="B8854" s="10"/>
      <c r="C8854" s="10"/>
      <c r="D8854" s="10"/>
      <c r="E8854" s="10"/>
      <c r="F8854" s="10"/>
      <c r="G8854" s="10"/>
      <c r="H8854" s="10"/>
      <c r="I8854" s="10"/>
      <c r="J8854" s="10"/>
      <c r="K8854" s="10"/>
      <c r="L8854" s="10"/>
      <c r="M8854" s="10"/>
      <c r="N8854" s="10"/>
      <c r="O8854" s="10"/>
      <c r="P8854" s="10"/>
      <c r="Q8854" s="10"/>
      <c r="R8854" s="10"/>
      <c r="S8854" s="10"/>
      <c r="T8854" s="10"/>
      <c r="U8854" s="10"/>
      <c r="V8854" s="10"/>
      <c r="W8854" s="10"/>
      <c r="X8854" s="10"/>
      <c r="Y8854" s="10"/>
      <c r="Z8854" s="10"/>
    </row>
    <row r="8855" spans="1:26" ht="12.75">
      <c r="A8855" s="10"/>
      <c r="B8855" s="10"/>
      <c r="C8855" s="10"/>
      <c r="D8855" s="10"/>
      <c r="E8855" s="10"/>
      <c r="F8855" s="10"/>
      <c r="G8855" s="10"/>
      <c r="H8855" s="10"/>
      <c r="I8855" s="10"/>
      <c r="J8855" s="10"/>
      <c r="K8855" s="10"/>
      <c r="L8855" s="10"/>
      <c r="M8855" s="10"/>
      <c r="N8855" s="10"/>
      <c r="O8855" s="10"/>
      <c r="P8855" s="10"/>
      <c r="Q8855" s="10"/>
      <c r="R8855" s="10"/>
      <c r="S8855" s="10"/>
      <c r="T8855" s="10"/>
      <c r="U8855" s="10"/>
      <c r="V8855" s="10"/>
      <c r="W8855" s="10"/>
      <c r="X8855" s="10"/>
      <c r="Y8855" s="10"/>
      <c r="Z8855" s="10"/>
    </row>
    <row r="8856" spans="1:26" ht="12.75">
      <c r="A8856" s="10"/>
      <c r="B8856" s="10"/>
      <c r="C8856" s="10"/>
      <c r="D8856" s="10"/>
      <c r="E8856" s="10"/>
      <c r="F8856" s="10"/>
      <c r="G8856" s="10"/>
      <c r="H8856" s="10"/>
      <c r="I8856" s="10"/>
      <c r="J8856" s="10"/>
      <c r="K8856" s="10"/>
      <c r="L8856" s="10"/>
      <c r="M8856" s="10"/>
      <c r="N8856" s="10"/>
      <c r="O8856" s="10"/>
      <c r="P8856" s="10"/>
      <c r="Q8856" s="10"/>
      <c r="R8856" s="10"/>
      <c r="S8856" s="10"/>
      <c r="T8856" s="10"/>
      <c r="U8856" s="10"/>
      <c r="V8856" s="10"/>
      <c r="W8856" s="10"/>
      <c r="X8856" s="10"/>
      <c r="Y8856" s="10"/>
      <c r="Z8856" s="10"/>
    </row>
    <row r="8857" spans="1:26" ht="12.75">
      <c r="A8857" s="10"/>
      <c r="B8857" s="10"/>
      <c r="C8857" s="10"/>
      <c r="D8857" s="10"/>
      <c r="E8857" s="10"/>
      <c r="F8857" s="10"/>
      <c r="G8857" s="10"/>
      <c r="H8857" s="10"/>
      <c r="I8857" s="10"/>
      <c r="J8857" s="10"/>
      <c r="K8857" s="10"/>
      <c r="L8857" s="10"/>
      <c r="M8857" s="10"/>
      <c r="N8857" s="10"/>
      <c r="O8857" s="10"/>
      <c r="P8857" s="10"/>
      <c r="Q8857" s="10"/>
      <c r="R8857" s="10"/>
      <c r="S8857" s="10"/>
      <c r="T8857" s="10"/>
      <c r="U8857" s="10"/>
      <c r="V8857" s="10"/>
      <c r="W8857" s="10"/>
      <c r="X8857" s="10"/>
      <c r="Y8857" s="10"/>
      <c r="Z8857" s="10"/>
    </row>
    <row r="8858" spans="1:26" ht="12.75">
      <c r="A8858" s="10"/>
      <c r="B8858" s="10"/>
      <c r="C8858" s="10"/>
      <c r="D8858" s="10"/>
      <c r="E8858" s="10"/>
      <c r="F8858" s="10"/>
      <c r="G8858" s="10"/>
      <c r="H8858" s="10"/>
      <c r="I8858" s="10"/>
      <c r="J8858" s="10"/>
      <c r="K8858" s="10"/>
      <c r="L8858" s="10"/>
      <c r="M8858" s="10"/>
      <c r="N8858" s="10"/>
      <c r="O8858" s="10"/>
      <c r="P8858" s="10"/>
      <c r="Q8858" s="10"/>
      <c r="R8858" s="10"/>
      <c r="S8858" s="10"/>
      <c r="T8858" s="10"/>
      <c r="U8858" s="10"/>
      <c r="V8858" s="10"/>
      <c r="W8858" s="10"/>
      <c r="X8858" s="10"/>
      <c r="Y8858" s="10"/>
      <c r="Z8858" s="10"/>
    </row>
    <row r="8859" spans="1:26" ht="12.75">
      <c r="A8859" s="10"/>
      <c r="B8859" s="10"/>
      <c r="C8859" s="10"/>
      <c r="D8859" s="10"/>
      <c r="E8859" s="10"/>
      <c r="F8859" s="10"/>
      <c r="G8859" s="10"/>
      <c r="H8859" s="10"/>
      <c r="I8859" s="10"/>
      <c r="J8859" s="10"/>
      <c r="K8859" s="10"/>
      <c r="L8859" s="10"/>
      <c r="M8859" s="10"/>
      <c r="N8859" s="10"/>
      <c r="O8859" s="10"/>
      <c r="P8859" s="10"/>
      <c r="Q8859" s="10"/>
      <c r="R8859" s="10"/>
      <c r="S8859" s="10"/>
      <c r="T8859" s="10"/>
      <c r="U8859" s="10"/>
      <c r="V8859" s="10"/>
      <c r="W8859" s="10"/>
      <c r="X8859" s="10"/>
      <c r="Y8859" s="10"/>
      <c r="Z8859" s="10"/>
    </row>
    <row r="8860" spans="1:26" ht="12.75">
      <c r="A8860" s="10"/>
      <c r="B8860" s="10"/>
      <c r="C8860" s="10"/>
      <c r="D8860" s="10"/>
      <c r="E8860" s="10"/>
      <c r="F8860" s="10"/>
      <c r="G8860" s="10"/>
      <c r="H8860" s="10"/>
      <c r="I8860" s="10"/>
      <c r="J8860" s="10"/>
      <c r="K8860" s="10"/>
      <c r="L8860" s="10"/>
      <c r="M8860" s="10"/>
      <c r="N8860" s="10"/>
      <c r="O8860" s="10"/>
      <c r="P8860" s="10"/>
      <c r="Q8860" s="10"/>
      <c r="R8860" s="10"/>
      <c r="S8860" s="10"/>
      <c r="T8860" s="10"/>
      <c r="U8860" s="10"/>
      <c r="V8860" s="10"/>
      <c r="W8860" s="10"/>
      <c r="X8860" s="10"/>
      <c r="Y8860" s="10"/>
      <c r="Z8860" s="10"/>
    </row>
    <row r="8861" spans="1:26" ht="12.75">
      <c r="A8861" s="10"/>
      <c r="B8861" s="10"/>
      <c r="C8861" s="10"/>
      <c r="D8861" s="10"/>
      <c r="E8861" s="10"/>
      <c r="F8861" s="10"/>
      <c r="G8861" s="10"/>
      <c r="H8861" s="10"/>
      <c r="I8861" s="10"/>
      <c r="J8861" s="10"/>
      <c r="K8861" s="10"/>
      <c r="L8861" s="10"/>
      <c r="M8861" s="10"/>
      <c r="N8861" s="10"/>
      <c r="O8861" s="10"/>
      <c r="P8861" s="10"/>
      <c r="Q8861" s="10"/>
      <c r="R8861" s="10"/>
      <c r="S8861" s="10"/>
      <c r="T8861" s="10"/>
      <c r="U8861" s="10"/>
      <c r="V8861" s="10"/>
      <c r="W8861" s="10"/>
      <c r="X8861" s="10"/>
      <c r="Y8861" s="10"/>
      <c r="Z8861" s="10"/>
    </row>
    <row r="8862" spans="1:26" ht="12.75">
      <c r="A8862" s="10"/>
      <c r="B8862" s="10"/>
      <c r="C8862" s="10"/>
      <c r="D8862" s="10"/>
      <c r="E8862" s="10"/>
      <c r="F8862" s="10"/>
      <c r="G8862" s="10"/>
      <c r="H8862" s="10"/>
      <c r="I8862" s="10"/>
      <c r="J8862" s="10"/>
      <c r="K8862" s="10"/>
      <c r="L8862" s="10"/>
      <c r="M8862" s="10"/>
      <c r="N8862" s="10"/>
      <c r="O8862" s="10"/>
      <c r="P8862" s="10"/>
      <c r="Q8862" s="10"/>
      <c r="R8862" s="10"/>
      <c r="S8862" s="10"/>
      <c r="T8862" s="10"/>
      <c r="U8862" s="10"/>
      <c r="V8862" s="10"/>
      <c r="W8862" s="10"/>
      <c r="X8862" s="10"/>
      <c r="Y8862" s="10"/>
      <c r="Z8862" s="10"/>
    </row>
    <row r="8863" spans="1:26" ht="12.75">
      <c r="A8863" s="10"/>
      <c r="B8863" s="10"/>
      <c r="C8863" s="10"/>
      <c r="D8863" s="10"/>
      <c r="E8863" s="10"/>
      <c r="F8863" s="10"/>
      <c r="G8863" s="10"/>
      <c r="H8863" s="10"/>
      <c r="I8863" s="10"/>
      <c r="J8863" s="10"/>
      <c r="K8863" s="10"/>
      <c r="L8863" s="10"/>
      <c r="M8863" s="10"/>
      <c r="N8863" s="10"/>
      <c r="O8863" s="10"/>
      <c r="P8863" s="10"/>
      <c r="Q8863" s="10"/>
      <c r="R8863" s="10"/>
      <c r="S8863" s="10"/>
      <c r="T8863" s="10"/>
      <c r="U8863" s="10"/>
      <c r="V8863" s="10"/>
      <c r="W8863" s="10"/>
      <c r="X8863" s="10"/>
      <c r="Y8863" s="10"/>
      <c r="Z8863" s="10"/>
    </row>
    <row r="8864" spans="1:26" ht="12.75">
      <c r="A8864" s="10"/>
      <c r="B8864" s="10"/>
      <c r="C8864" s="10"/>
      <c r="D8864" s="10"/>
      <c r="E8864" s="10"/>
      <c r="F8864" s="10"/>
      <c r="G8864" s="10"/>
      <c r="H8864" s="10"/>
      <c r="I8864" s="10"/>
      <c r="J8864" s="10"/>
      <c r="K8864" s="10"/>
      <c r="L8864" s="10"/>
      <c r="M8864" s="10"/>
      <c r="N8864" s="10"/>
      <c r="O8864" s="10"/>
      <c r="P8864" s="10"/>
      <c r="Q8864" s="10"/>
      <c r="R8864" s="10"/>
      <c r="S8864" s="10"/>
      <c r="T8864" s="10"/>
      <c r="U8864" s="10"/>
      <c r="V8864" s="10"/>
      <c r="W8864" s="10"/>
      <c r="X8864" s="10"/>
      <c r="Y8864" s="10"/>
      <c r="Z8864" s="10"/>
    </row>
    <row r="8865" spans="1:26" ht="12.75">
      <c r="A8865" s="10"/>
      <c r="B8865" s="10"/>
      <c r="C8865" s="10"/>
      <c r="D8865" s="10"/>
      <c r="E8865" s="10"/>
      <c r="F8865" s="10"/>
      <c r="G8865" s="10"/>
      <c r="H8865" s="10"/>
      <c r="I8865" s="10"/>
      <c r="J8865" s="10"/>
      <c r="K8865" s="10"/>
      <c r="L8865" s="10"/>
      <c r="M8865" s="10"/>
      <c r="N8865" s="10"/>
      <c r="O8865" s="10"/>
      <c r="P8865" s="10"/>
      <c r="Q8865" s="10"/>
      <c r="R8865" s="10"/>
      <c r="S8865" s="10"/>
      <c r="T8865" s="10"/>
      <c r="U8865" s="10"/>
      <c r="V8865" s="10"/>
      <c r="W8865" s="10"/>
      <c r="X8865" s="10"/>
      <c r="Y8865" s="10"/>
      <c r="Z8865" s="10"/>
    </row>
    <row r="8866" spans="1:26" ht="12.75">
      <c r="A8866" s="10"/>
      <c r="B8866" s="10"/>
      <c r="C8866" s="10"/>
      <c r="D8866" s="10"/>
      <c r="E8866" s="10"/>
      <c r="F8866" s="10"/>
      <c r="G8866" s="10"/>
      <c r="H8866" s="10"/>
      <c r="I8866" s="10"/>
      <c r="J8866" s="10"/>
      <c r="K8866" s="10"/>
      <c r="L8866" s="10"/>
      <c r="M8866" s="10"/>
      <c r="N8866" s="10"/>
      <c r="O8866" s="10"/>
      <c r="P8866" s="10"/>
      <c r="Q8866" s="10"/>
      <c r="R8866" s="10"/>
      <c r="S8866" s="10"/>
      <c r="T8866" s="10"/>
      <c r="U8866" s="10"/>
      <c r="V8866" s="10"/>
      <c r="W8866" s="10"/>
      <c r="X8866" s="10"/>
      <c r="Y8866" s="10"/>
      <c r="Z8866" s="10"/>
    </row>
    <row r="8867" spans="1:26" ht="12.75">
      <c r="A8867" s="10"/>
      <c r="B8867" s="10"/>
      <c r="C8867" s="10"/>
      <c r="D8867" s="10"/>
      <c r="E8867" s="10"/>
      <c r="F8867" s="10"/>
      <c r="G8867" s="10"/>
      <c r="H8867" s="10"/>
      <c r="I8867" s="10"/>
      <c r="J8867" s="10"/>
      <c r="K8867" s="10"/>
      <c r="L8867" s="10"/>
      <c r="M8867" s="10"/>
      <c r="N8867" s="10"/>
      <c r="O8867" s="10"/>
      <c r="P8867" s="10"/>
      <c r="Q8867" s="10"/>
      <c r="R8867" s="10"/>
      <c r="S8867" s="10"/>
      <c r="T8867" s="10"/>
      <c r="U8867" s="10"/>
      <c r="V8867" s="10"/>
      <c r="W8867" s="10"/>
      <c r="X8867" s="10"/>
      <c r="Y8867" s="10"/>
      <c r="Z8867" s="10"/>
    </row>
    <row r="8868" spans="1:26" ht="12.75">
      <c r="A8868" s="10"/>
      <c r="B8868" s="10"/>
      <c r="C8868" s="10"/>
      <c r="D8868" s="10"/>
      <c r="E8868" s="10"/>
      <c r="F8868" s="10"/>
      <c r="G8868" s="10"/>
      <c r="H8868" s="10"/>
      <c r="I8868" s="10"/>
      <c r="J8868" s="10"/>
      <c r="K8868" s="10"/>
      <c r="L8868" s="10"/>
      <c r="M8868" s="10"/>
      <c r="N8868" s="10"/>
      <c r="O8868" s="10"/>
      <c r="P8868" s="10"/>
      <c r="Q8868" s="10"/>
      <c r="R8868" s="10"/>
      <c r="S8868" s="10"/>
      <c r="T8868" s="10"/>
      <c r="U8868" s="10"/>
      <c r="V8868" s="10"/>
      <c r="W8868" s="10"/>
      <c r="X8868" s="10"/>
      <c r="Y8868" s="10"/>
      <c r="Z8868" s="10"/>
    </row>
    <row r="8869" spans="1:26" ht="12.75">
      <c r="A8869" s="10"/>
      <c r="B8869" s="10"/>
      <c r="C8869" s="10"/>
      <c r="D8869" s="10"/>
      <c r="E8869" s="10"/>
      <c r="F8869" s="10"/>
      <c r="G8869" s="10"/>
      <c r="H8869" s="10"/>
      <c r="I8869" s="10"/>
      <c r="J8869" s="10"/>
      <c r="K8869" s="10"/>
      <c r="L8869" s="10"/>
      <c r="M8869" s="10"/>
      <c r="N8869" s="10"/>
      <c r="O8869" s="10"/>
      <c r="P8869" s="10"/>
      <c r="Q8869" s="10"/>
      <c r="R8869" s="10"/>
      <c r="S8869" s="10"/>
      <c r="T8869" s="10"/>
      <c r="U8869" s="10"/>
      <c r="V8869" s="10"/>
      <c r="W8869" s="10"/>
      <c r="X8869" s="10"/>
      <c r="Y8869" s="10"/>
      <c r="Z8869" s="10"/>
    </row>
    <row r="8870" spans="1:26" ht="12.75">
      <c r="A8870" s="10"/>
      <c r="B8870" s="10"/>
      <c r="C8870" s="10"/>
      <c r="D8870" s="10"/>
      <c r="E8870" s="10"/>
      <c r="F8870" s="10"/>
      <c r="G8870" s="10"/>
      <c r="H8870" s="10"/>
      <c r="I8870" s="10"/>
      <c r="J8870" s="10"/>
      <c r="K8870" s="10"/>
      <c r="L8870" s="10"/>
      <c r="M8870" s="10"/>
      <c r="N8870" s="10"/>
      <c r="O8870" s="10"/>
      <c r="P8870" s="10"/>
      <c r="Q8870" s="10"/>
      <c r="R8870" s="10"/>
      <c r="S8870" s="10"/>
      <c r="T8870" s="10"/>
      <c r="U8870" s="10"/>
      <c r="V8870" s="10"/>
      <c r="W8870" s="10"/>
      <c r="X8870" s="10"/>
      <c r="Y8870" s="10"/>
      <c r="Z8870" s="10"/>
    </row>
    <row r="8871" spans="1:26" ht="12.75">
      <c r="A8871" s="10"/>
      <c r="B8871" s="10"/>
      <c r="C8871" s="10"/>
      <c r="D8871" s="10"/>
      <c r="E8871" s="10"/>
      <c r="F8871" s="10"/>
      <c r="G8871" s="10"/>
      <c r="H8871" s="10"/>
      <c r="I8871" s="10"/>
      <c r="J8871" s="10"/>
      <c r="K8871" s="10"/>
      <c r="L8871" s="10"/>
      <c r="M8871" s="10"/>
      <c r="N8871" s="10"/>
      <c r="O8871" s="10"/>
      <c r="P8871" s="10"/>
      <c r="Q8871" s="10"/>
      <c r="R8871" s="10"/>
      <c r="S8871" s="10"/>
      <c r="T8871" s="10"/>
      <c r="U8871" s="10"/>
      <c r="V8871" s="10"/>
      <c r="W8871" s="10"/>
      <c r="X8871" s="10"/>
      <c r="Y8871" s="10"/>
      <c r="Z8871" s="10"/>
    </row>
    <row r="8872" spans="1:26" ht="12.75">
      <c r="A8872" s="10"/>
      <c r="B8872" s="10"/>
      <c r="C8872" s="10"/>
      <c r="D8872" s="10"/>
      <c r="E8872" s="10"/>
      <c r="F8872" s="10"/>
      <c r="G8872" s="10"/>
      <c r="H8872" s="10"/>
      <c r="I8872" s="10"/>
      <c r="J8872" s="10"/>
      <c r="K8872" s="10"/>
      <c r="L8872" s="10"/>
      <c r="M8872" s="10"/>
      <c r="N8872" s="10"/>
      <c r="O8872" s="10"/>
      <c r="P8872" s="10"/>
      <c r="Q8872" s="10"/>
      <c r="R8872" s="10"/>
      <c r="S8872" s="10"/>
      <c r="T8872" s="10"/>
      <c r="U8872" s="10"/>
      <c r="V8872" s="10"/>
      <c r="W8872" s="10"/>
      <c r="X8872" s="10"/>
      <c r="Y8872" s="10"/>
      <c r="Z8872" s="10"/>
    </row>
    <row r="8873" spans="1:26" ht="12.75">
      <c r="A8873" s="10"/>
      <c r="B8873" s="10"/>
      <c r="C8873" s="10"/>
      <c r="D8873" s="10"/>
      <c r="E8873" s="10"/>
      <c r="F8873" s="10"/>
      <c r="G8873" s="10"/>
      <c r="H8873" s="10"/>
      <c r="I8873" s="10"/>
      <c r="J8873" s="10"/>
      <c r="K8873" s="10"/>
      <c r="L8873" s="10"/>
      <c r="M8873" s="10"/>
      <c r="N8873" s="10"/>
      <c r="O8873" s="10"/>
      <c r="P8873" s="10"/>
      <c r="Q8873" s="10"/>
      <c r="R8873" s="10"/>
      <c r="S8873" s="10"/>
      <c r="T8873" s="10"/>
      <c r="U8873" s="10"/>
      <c r="V8873" s="10"/>
      <c r="W8873" s="10"/>
      <c r="X8873" s="10"/>
      <c r="Y8873" s="10"/>
      <c r="Z8873" s="10"/>
    </row>
    <row r="8874" spans="1:26" ht="12.75">
      <c r="A8874" s="10"/>
      <c r="B8874" s="10"/>
      <c r="C8874" s="10"/>
      <c r="D8874" s="10"/>
      <c r="E8874" s="10"/>
      <c r="F8874" s="10"/>
      <c r="G8874" s="10"/>
      <c r="H8874" s="10"/>
      <c r="I8874" s="10"/>
      <c r="J8874" s="10"/>
      <c r="K8874" s="10"/>
      <c r="L8874" s="10"/>
      <c r="M8874" s="10"/>
      <c r="N8874" s="10"/>
      <c r="O8874" s="10"/>
      <c r="P8874" s="10"/>
      <c r="Q8874" s="10"/>
      <c r="R8874" s="10"/>
      <c r="S8874" s="10"/>
      <c r="T8874" s="10"/>
      <c r="U8874" s="10"/>
      <c r="V8874" s="10"/>
      <c r="W8874" s="10"/>
      <c r="X8874" s="10"/>
      <c r="Y8874" s="10"/>
      <c r="Z8874" s="10"/>
    </row>
    <row r="8875" spans="1:26" ht="12.75">
      <c r="A8875" s="10"/>
      <c r="B8875" s="10"/>
      <c r="C8875" s="10"/>
      <c r="D8875" s="10"/>
      <c r="E8875" s="10"/>
      <c r="F8875" s="10"/>
      <c r="G8875" s="10"/>
      <c r="H8875" s="10"/>
      <c r="I8875" s="10"/>
      <c r="J8875" s="10"/>
      <c r="K8875" s="10"/>
      <c r="L8875" s="10"/>
      <c r="M8875" s="10"/>
      <c r="N8875" s="10"/>
      <c r="O8875" s="10"/>
      <c r="P8875" s="10"/>
      <c r="Q8875" s="10"/>
      <c r="R8875" s="10"/>
      <c r="S8875" s="10"/>
      <c r="T8875" s="10"/>
      <c r="U8875" s="10"/>
      <c r="V8875" s="10"/>
      <c r="W8875" s="10"/>
      <c r="X8875" s="10"/>
      <c r="Y8875" s="10"/>
      <c r="Z8875" s="10"/>
    </row>
    <row r="8876" spans="1:26" ht="12.75">
      <c r="A8876" s="10"/>
      <c r="B8876" s="10"/>
      <c r="C8876" s="10"/>
      <c r="D8876" s="10"/>
      <c r="E8876" s="10"/>
      <c r="F8876" s="10"/>
      <c r="G8876" s="10"/>
      <c r="H8876" s="10"/>
      <c r="I8876" s="10"/>
      <c r="J8876" s="10"/>
      <c r="K8876" s="10"/>
      <c r="L8876" s="10"/>
      <c r="M8876" s="10"/>
      <c r="N8876" s="10"/>
      <c r="O8876" s="10"/>
      <c r="P8876" s="10"/>
      <c r="Q8876" s="10"/>
      <c r="R8876" s="10"/>
      <c r="S8876" s="10"/>
      <c r="T8876" s="10"/>
      <c r="U8876" s="10"/>
      <c r="V8876" s="10"/>
      <c r="W8876" s="10"/>
      <c r="X8876" s="10"/>
      <c r="Y8876" s="10"/>
      <c r="Z8876" s="10"/>
    </row>
    <row r="8877" spans="1:26" ht="12.75">
      <c r="A8877" s="10"/>
      <c r="B8877" s="10"/>
      <c r="C8877" s="10"/>
      <c r="D8877" s="10"/>
      <c r="E8877" s="10"/>
      <c r="F8877" s="10"/>
      <c r="G8877" s="10"/>
      <c r="H8877" s="10"/>
      <c r="I8877" s="10"/>
      <c r="J8877" s="10"/>
      <c r="K8877" s="10"/>
      <c r="L8877" s="10"/>
      <c r="M8877" s="10"/>
      <c r="N8877" s="10"/>
      <c r="O8877" s="10"/>
      <c r="P8877" s="10"/>
      <c r="Q8877" s="10"/>
      <c r="R8877" s="10"/>
      <c r="S8877" s="10"/>
      <c r="T8877" s="10"/>
      <c r="U8877" s="10"/>
      <c r="V8877" s="10"/>
      <c r="W8877" s="10"/>
      <c r="X8877" s="10"/>
      <c r="Y8877" s="10"/>
      <c r="Z8877" s="10"/>
    </row>
    <row r="8878" spans="1:26" ht="12.75">
      <c r="A8878" s="10"/>
      <c r="B8878" s="10"/>
      <c r="C8878" s="10"/>
      <c r="D8878" s="10"/>
      <c r="E8878" s="10"/>
      <c r="F8878" s="10"/>
      <c r="G8878" s="10"/>
      <c r="H8878" s="10"/>
      <c r="I8878" s="10"/>
      <c r="J8878" s="10"/>
      <c r="K8878" s="10"/>
      <c r="L8878" s="10"/>
      <c r="M8878" s="10"/>
      <c r="N8878" s="10"/>
      <c r="O8878" s="10"/>
      <c r="P8878" s="10"/>
      <c r="Q8878" s="10"/>
      <c r="R8878" s="10"/>
      <c r="S8878" s="10"/>
      <c r="T8878" s="10"/>
      <c r="U8878" s="10"/>
      <c r="V8878" s="10"/>
      <c r="W8878" s="10"/>
      <c r="X8878" s="10"/>
      <c r="Y8878" s="10"/>
      <c r="Z8878" s="10"/>
    </row>
    <row r="8879" spans="1:26" ht="12.75">
      <c r="A8879" s="10"/>
      <c r="B8879" s="10"/>
      <c r="C8879" s="10"/>
      <c r="D8879" s="10"/>
      <c r="E8879" s="10"/>
      <c r="F8879" s="10"/>
      <c r="G8879" s="10"/>
      <c r="H8879" s="10"/>
      <c r="I8879" s="10"/>
      <c r="J8879" s="10"/>
      <c r="K8879" s="10"/>
      <c r="L8879" s="10"/>
      <c r="M8879" s="10"/>
      <c r="N8879" s="10"/>
      <c r="O8879" s="10"/>
      <c r="P8879" s="10"/>
      <c r="Q8879" s="10"/>
      <c r="R8879" s="10"/>
      <c r="S8879" s="10"/>
      <c r="T8879" s="10"/>
      <c r="U8879" s="10"/>
      <c r="V8879" s="10"/>
      <c r="W8879" s="10"/>
      <c r="X8879" s="10"/>
      <c r="Y8879" s="10"/>
      <c r="Z8879" s="10"/>
    </row>
    <row r="8880" spans="1:26" ht="12.75">
      <c r="A8880" s="10"/>
      <c r="B8880" s="10"/>
      <c r="C8880" s="10"/>
      <c r="D8880" s="10"/>
      <c r="E8880" s="10"/>
      <c r="F8880" s="10"/>
      <c r="G8880" s="10"/>
      <c r="H8880" s="10"/>
      <c r="I8880" s="10"/>
      <c r="J8880" s="10"/>
      <c r="K8880" s="10"/>
      <c r="L8880" s="10"/>
      <c r="M8880" s="10"/>
      <c r="N8880" s="10"/>
      <c r="O8880" s="10"/>
      <c r="P8880" s="10"/>
      <c r="Q8880" s="10"/>
      <c r="R8880" s="10"/>
      <c r="S8880" s="10"/>
      <c r="T8880" s="10"/>
      <c r="U8880" s="10"/>
      <c r="V8880" s="10"/>
      <c r="W8880" s="10"/>
      <c r="X8880" s="10"/>
      <c r="Y8880" s="10"/>
      <c r="Z8880" s="10"/>
    </row>
    <row r="8881" spans="1:26" ht="12.75">
      <c r="A8881" s="10"/>
      <c r="B8881" s="10"/>
      <c r="C8881" s="10"/>
      <c r="D8881" s="10"/>
      <c r="E8881" s="10"/>
      <c r="F8881" s="10"/>
      <c r="G8881" s="10"/>
      <c r="H8881" s="10"/>
      <c r="I8881" s="10"/>
      <c r="J8881" s="10"/>
      <c r="K8881" s="10"/>
      <c r="L8881" s="10"/>
      <c r="M8881" s="10"/>
      <c r="N8881" s="10"/>
      <c r="O8881" s="10"/>
      <c r="P8881" s="10"/>
      <c r="Q8881" s="10"/>
      <c r="R8881" s="10"/>
      <c r="S8881" s="10"/>
      <c r="T8881" s="10"/>
      <c r="U8881" s="10"/>
      <c r="V8881" s="10"/>
      <c r="W8881" s="10"/>
      <c r="X8881" s="10"/>
      <c r="Y8881" s="10"/>
      <c r="Z8881" s="10"/>
    </row>
    <row r="8882" spans="1:26" ht="12.75">
      <c r="A8882" s="10"/>
      <c r="B8882" s="10"/>
      <c r="C8882" s="10"/>
      <c r="D8882" s="10"/>
      <c r="E8882" s="10"/>
      <c r="F8882" s="10"/>
      <c r="G8882" s="10"/>
      <c r="H8882" s="10"/>
      <c r="I8882" s="10"/>
      <c r="J8882" s="10"/>
      <c r="K8882" s="10"/>
      <c r="L8882" s="10"/>
      <c r="M8882" s="10"/>
      <c r="N8882" s="10"/>
      <c r="O8882" s="10"/>
      <c r="P8882" s="10"/>
      <c r="Q8882" s="10"/>
      <c r="R8882" s="10"/>
      <c r="S8882" s="10"/>
      <c r="T8882" s="10"/>
      <c r="U8882" s="10"/>
      <c r="V8882" s="10"/>
      <c r="W8882" s="10"/>
      <c r="X8882" s="10"/>
      <c r="Y8882" s="10"/>
      <c r="Z8882" s="10"/>
    </row>
    <row r="8883" spans="1:26" ht="12.75">
      <c r="A8883" s="10"/>
      <c r="B8883" s="10"/>
      <c r="C8883" s="10"/>
      <c r="D8883" s="10"/>
      <c r="E8883" s="10"/>
      <c r="F8883" s="10"/>
      <c r="G8883" s="10"/>
      <c r="H8883" s="10"/>
      <c r="I8883" s="10"/>
      <c r="J8883" s="10"/>
      <c r="K8883" s="10"/>
      <c r="L8883" s="10"/>
      <c r="M8883" s="10"/>
      <c r="N8883" s="10"/>
      <c r="O8883" s="10"/>
      <c r="P8883" s="10"/>
      <c r="Q8883" s="10"/>
      <c r="R8883" s="10"/>
      <c r="S8883" s="10"/>
      <c r="T8883" s="10"/>
      <c r="U8883" s="10"/>
      <c r="V8883" s="10"/>
      <c r="W8883" s="10"/>
      <c r="X8883" s="10"/>
      <c r="Y8883" s="10"/>
      <c r="Z8883" s="10"/>
    </row>
    <row r="8884" spans="1:26" ht="12.75">
      <c r="A8884" s="10"/>
      <c r="B8884" s="10"/>
      <c r="C8884" s="10"/>
      <c r="D8884" s="10"/>
      <c r="E8884" s="10"/>
      <c r="F8884" s="10"/>
      <c r="G8884" s="10"/>
      <c r="H8884" s="10"/>
      <c r="I8884" s="10"/>
      <c r="J8884" s="10"/>
      <c r="K8884" s="10"/>
      <c r="L8884" s="10"/>
      <c r="M8884" s="10"/>
      <c r="N8884" s="10"/>
      <c r="O8884" s="10"/>
      <c r="P8884" s="10"/>
      <c r="Q8884" s="10"/>
      <c r="R8884" s="10"/>
      <c r="S8884" s="10"/>
      <c r="T8884" s="10"/>
      <c r="U8884" s="10"/>
      <c r="V8884" s="10"/>
      <c r="W8884" s="10"/>
      <c r="X8884" s="10"/>
      <c r="Y8884" s="10"/>
      <c r="Z8884" s="10"/>
    </row>
    <row r="8885" spans="1:26" ht="12.75">
      <c r="A8885" s="10"/>
      <c r="B8885" s="10"/>
      <c r="C8885" s="10"/>
      <c r="D8885" s="10"/>
      <c r="E8885" s="10"/>
      <c r="F8885" s="10"/>
      <c r="G8885" s="10"/>
      <c r="H8885" s="10"/>
      <c r="I8885" s="10"/>
      <c r="J8885" s="10"/>
      <c r="K8885" s="10"/>
      <c r="L8885" s="10"/>
      <c r="M8885" s="10"/>
      <c r="N8885" s="10"/>
      <c r="O8885" s="10"/>
      <c r="P8885" s="10"/>
      <c r="Q8885" s="10"/>
      <c r="R8885" s="10"/>
      <c r="S8885" s="10"/>
      <c r="T8885" s="10"/>
      <c r="U8885" s="10"/>
      <c r="V8885" s="10"/>
      <c r="W8885" s="10"/>
      <c r="X8885" s="10"/>
      <c r="Y8885" s="10"/>
      <c r="Z8885" s="10"/>
    </row>
    <row r="8886" spans="1:26" ht="12.75">
      <c r="A8886" s="10"/>
      <c r="B8886" s="10"/>
      <c r="C8886" s="10"/>
      <c r="D8886" s="10"/>
      <c r="E8886" s="10"/>
      <c r="F8886" s="10"/>
      <c r="G8886" s="10"/>
      <c r="H8886" s="10"/>
      <c r="I8886" s="10"/>
      <c r="J8886" s="10"/>
      <c r="K8886" s="10"/>
      <c r="L8886" s="10"/>
      <c r="M8886" s="10"/>
      <c r="N8886" s="10"/>
      <c r="O8886" s="10"/>
      <c r="P8886" s="10"/>
      <c r="Q8886" s="10"/>
      <c r="R8886" s="10"/>
      <c r="S8886" s="10"/>
      <c r="T8886" s="10"/>
      <c r="U8886" s="10"/>
      <c r="V8886" s="10"/>
      <c r="W8886" s="10"/>
      <c r="X8886" s="10"/>
      <c r="Y8886" s="10"/>
      <c r="Z8886" s="10"/>
    </row>
    <row r="8887" spans="1:26" ht="12.75">
      <c r="A8887" s="10"/>
      <c r="B8887" s="10"/>
      <c r="C8887" s="10"/>
      <c r="D8887" s="10"/>
      <c r="E8887" s="10"/>
      <c r="F8887" s="10"/>
      <c r="G8887" s="10"/>
      <c r="H8887" s="10"/>
      <c r="I8887" s="10"/>
      <c r="J8887" s="10"/>
      <c r="K8887" s="10"/>
      <c r="L8887" s="10"/>
      <c r="M8887" s="10"/>
      <c r="N8887" s="10"/>
      <c r="O8887" s="10"/>
      <c r="P8887" s="10"/>
      <c r="Q8887" s="10"/>
      <c r="R8887" s="10"/>
      <c r="S8887" s="10"/>
      <c r="T8887" s="10"/>
      <c r="U8887" s="10"/>
      <c r="V8887" s="10"/>
      <c r="W8887" s="10"/>
      <c r="X8887" s="10"/>
      <c r="Y8887" s="10"/>
      <c r="Z8887" s="10"/>
    </row>
    <row r="8888" spans="1:26" ht="12.75">
      <c r="A8888" s="10"/>
      <c r="B8888" s="10"/>
      <c r="C8888" s="10"/>
      <c r="D8888" s="10"/>
      <c r="E8888" s="10"/>
      <c r="F8888" s="10"/>
      <c r="G8888" s="10"/>
      <c r="H8888" s="10"/>
      <c r="I8888" s="10"/>
      <c r="J8888" s="10"/>
      <c r="K8888" s="10"/>
      <c r="L8888" s="10"/>
      <c r="M8888" s="10"/>
      <c r="N8888" s="10"/>
      <c r="O8888" s="10"/>
      <c r="P8888" s="10"/>
      <c r="Q8888" s="10"/>
      <c r="R8888" s="10"/>
      <c r="S8888" s="10"/>
      <c r="T8888" s="10"/>
      <c r="U8888" s="10"/>
      <c r="V8888" s="10"/>
      <c r="W8888" s="10"/>
      <c r="X8888" s="10"/>
      <c r="Y8888" s="10"/>
      <c r="Z8888" s="10"/>
    </row>
    <row r="8889" spans="1:26" ht="12.75">
      <c r="A8889" s="10"/>
      <c r="B8889" s="10"/>
      <c r="C8889" s="10"/>
      <c r="D8889" s="10"/>
      <c r="E8889" s="10"/>
      <c r="F8889" s="10"/>
      <c r="G8889" s="10"/>
      <c r="H8889" s="10"/>
      <c r="I8889" s="10"/>
      <c r="J8889" s="10"/>
      <c r="K8889" s="10"/>
      <c r="L8889" s="10"/>
      <c r="M8889" s="10"/>
      <c r="N8889" s="10"/>
      <c r="O8889" s="10"/>
      <c r="P8889" s="10"/>
      <c r="Q8889" s="10"/>
      <c r="R8889" s="10"/>
      <c r="S8889" s="10"/>
      <c r="T8889" s="10"/>
      <c r="U8889" s="10"/>
      <c r="V8889" s="10"/>
      <c r="W8889" s="10"/>
      <c r="X8889" s="10"/>
      <c r="Y8889" s="10"/>
      <c r="Z8889" s="10"/>
    </row>
    <row r="8890" spans="1:26" ht="12.75">
      <c r="A8890" s="10"/>
      <c r="B8890" s="10"/>
      <c r="C8890" s="10"/>
      <c r="D8890" s="10"/>
      <c r="E8890" s="10"/>
      <c r="F8890" s="10"/>
      <c r="G8890" s="10"/>
      <c r="H8890" s="10"/>
      <c r="I8890" s="10"/>
      <c r="J8890" s="10"/>
      <c r="K8890" s="10"/>
      <c r="L8890" s="10"/>
      <c r="M8890" s="10"/>
      <c r="N8890" s="10"/>
      <c r="O8890" s="10"/>
      <c r="P8890" s="10"/>
      <c r="Q8890" s="10"/>
      <c r="R8890" s="10"/>
      <c r="S8890" s="10"/>
      <c r="T8890" s="10"/>
      <c r="U8890" s="10"/>
      <c r="V8890" s="10"/>
      <c r="W8890" s="10"/>
      <c r="X8890" s="10"/>
      <c r="Y8890" s="10"/>
      <c r="Z8890" s="10"/>
    </row>
    <row r="8891" spans="1:26" ht="12.75">
      <c r="A8891" s="10"/>
      <c r="B8891" s="10"/>
      <c r="C8891" s="10"/>
      <c r="D8891" s="10"/>
      <c r="E8891" s="10"/>
      <c r="F8891" s="10"/>
      <c r="G8891" s="10"/>
      <c r="H8891" s="10"/>
      <c r="I8891" s="10"/>
      <c r="J8891" s="10"/>
      <c r="K8891" s="10"/>
      <c r="L8891" s="10"/>
      <c r="M8891" s="10"/>
      <c r="N8891" s="10"/>
      <c r="O8891" s="10"/>
      <c r="P8891" s="10"/>
      <c r="Q8891" s="10"/>
      <c r="R8891" s="10"/>
      <c r="S8891" s="10"/>
      <c r="T8891" s="10"/>
      <c r="U8891" s="10"/>
      <c r="V8891" s="10"/>
      <c r="W8891" s="10"/>
      <c r="X8891" s="10"/>
      <c r="Y8891" s="10"/>
      <c r="Z8891" s="10"/>
    </row>
    <row r="8892" spans="1:26" ht="12.75">
      <c r="A8892" s="10"/>
      <c r="B8892" s="10"/>
      <c r="C8892" s="10"/>
      <c r="D8892" s="10"/>
      <c r="E8892" s="10"/>
      <c r="F8892" s="10"/>
      <c r="G8892" s="10"/>
      <c r="H8892" s="10"/>
      <c r="I8892" s="10"/>
      <c r="J8892" s="10"/>
      <c r="K8892" s="10"/>
      <c r="L8892" s="10"/>
      <c r="M8892" s="10"/>
      <c r="N8892" s="10"/>
      <c r="O8892" s="10"/>
      <c r="P8892" s="10"/>
      <c r="Q8892" s="10"/>
      <c r="R8892" s="10"/>
      <c r="S8892" s="10"/>
      <c r="T8892" s="10"/>
      <c r="U8892" s="10"/>
      <c r="V8892" s="10"/>
      <c r="W8892" s="10"/>
      <c r="X8892" s="10"/>
      <c r="Y8892" s="10"/>
      <c r="Z8892" s="10"/>
    </row>
    <row r="8893" spans="1:26" ht="12.75">
      <c r="A8893" s="10"/>
      <c r="B8893" s="10"/>
      <c r="C8893" s="10"/>
      <c r="D8893" s="10"/>
      <c r="E8893" s="10"/>
      <c r="F8893" s="10"/>
      <c r="G8893" s="10"/>
      <c r="H8893" s="10"/>
      <c r="I8893" s="10"/>
      <c r="J8893" s="10"/>
      <c r="K8893" s="10"/>
      <c r="L8893" s="10"/>
      <c r="M8893" s="10"/>
      <c r="N8893" s="10"/>
      <c r="O8893" s="10"/>
      <c r="P8893" s="10"/>
      <c r="Q8893" s="10"/>
      <c r="R8893" s="10"/>
      <c r="S8893" s="10"/>
      <c r="T8893" s="10"/>
      <c r="U8893" s="10"/>
      <c r="V8893" s="10"/>
      <c r="W8893" s="10"/>
      <c r="X8893" s="10"/>
      <c r="Y8893" s="10"/>
      <c r="Z8893" s="10"/>
    </row>
    <row r="8894" spans="1:26" ht="12.75">
      <c r="A8894" s="10"/>
      <c r="B8894" s="10"/>
      <c r="C8894" s="10"/>
      <c r="D8894" s="10"/>
      <c r="E8894" s="10"/>
      <c r="F8894" s="10"/>
      <c r="G8894" s="10"/>
      <c r="H8894" s="10"/>
      <c r="I8894" s="10"/>
      <c r="J8894" s="10"/>
      <c r="K8894" s="10"/>
      <c r="L8894" s="10"/>
      <c r="M8894" s="10"/>
      <c r="N8894" s="10"/>
      <c r="O8894" s="10"/>
      <c r="P8894" s="10"/>
      <c r="Q8894" s="10"/>
      <c r="R8894" s="10"/>
      <c r="S8894" s="10"/>
      <c r="T8894" s="10"/>
      <c r="U8894" s="10"/>
      <c r="V8894" s="10"/>
      <c r="W8894" s="10"/>
      <c r="X8894" s="10"/>
      <c r="Y8894" s="10"/>
      <c r="Z8894" s="10"/>
    </row>
    <row r="8895" spans="1:26" ht="12.75">
      <c r="A8895" s="10"/>
      <c r="B8895" s="10"/>
      <c r="C8895" s="10"/>
      <c r="D8895" s="10"/>
      <c r="E8895" s="10"/>
      <c r="F8895" s="10"/>
      <c r="G8895" s="10"/>
      <c r="H8895" s="10"/>
      <c r="I8895" s="10"/>
      <c r="J8895" s="10"/>
      <c r="K8895" s="10"/>
      <c r="L8895" s="10"/>
      <c r="M8895" s="10"/>
      <c r="N8895" s="10"/>
      <c r="O8895" s="10"/>
      <c r="P8895" s="10"/>
      <c r="Q8895" s="10"/>
      <c r="R8895" s="10"/>
      <c r="S8895" s="10"/>
      <c r="T8895" s="10"/>
      <c r="U8895" s="10"/>
      <c r="V8895" s="10"/>
      <c r="W8895" s="10"/>
      <c r="X8895" s="10"/>
      <c r="Y8895" s="10"/>
      <c r="Z8895" s="10"/>
    </row>
    <row r="8896" spans="1:26" ht="12.75">
      <c r="A8896" s="10"/>
      <c r="B8896" s="10"/>
      <c r="C8896" s="10"/>
      <c r="D8896" s="10"/>
      <c r="E8896" s="10"/>
      <c r="F8896" s="10"/>
      <c r="G8896" s="10"/>
      <c r="H8896" s="10"/>
      <c r="I8896" s="10"/>
      <c r="J8896" s="10"/>
      <c r="K8896" s="10"/>
      <c r="L8896" s="10"/>
      <c r="M8896" s="10"/>
      <c r="N8896" s="10"/>
      <c r="O8896" s="10"/>
      <c r="P8896" s="10"/>
      <c r="Q8896" s="10"/>
      <c r="R8896" s="10"/>
      <c r="S8896" s="10"/>
      <c r="T8896" s="10"/>
      <c r="U8896" s="10"/>
      <c r="V8896" s="10"/>
      <c r="W8896" s="10"/>
      <c r="X8896" s="10"/>
      <c r="Y8896" s="10"/>
      <c r="Z8896" s="10"/>
    </row>
    <row r="8897" spans="1:26" ht="12.75">
      <c r="A8897" s="10"/>
      <c r="B8897" s="10"/>
      <c r="C8897" s="10"/>
      <c r="D8897" s="10"/>
      <c r="E8897" s="10"/>
      <c r="F8897" s="10"/>
      <c r="G8897" s="10"/>
      <c r="H8897" s="10"/>
      <c r="I8897" s="10"/>
      <c r="J8897" s="10"/>
      <c r="K8897" s="10"/>
      <c r="L8897" s="10"/>
      <c r="M8897" s="10"/>
      <c r="N8897" s="10"/>
      <c r="O8897" s="10"/>
      <c r="P8897" s="10"/>
      <c r="Q8897" s="10"/>
      <c r="R8897" s="10"/>
      <c r="S8897" s="10"/>
      <c r="T8897" s="10"/>
      <c r="U8897" s="10"/>
      <c r="V8897" s="10"/>
      <c r="W8897" s="10"/>
      <c r="X8897" s="10"/>
      <c r="Y8897" s="10"/>
      <c r="Z8897" s="10"/>
    </row>
    <row r="8898" spans="1:26" ht="12.75">
      <c r="A8898" s="10"/>
      <c r="B8898" s="10"/>
      <c r="C8898" s="10"/>
      <c r="D8898" s="10"/>
      <c r="E8898" s="10"/>
      <c r="F8898" s="10"/>
      <c r="G8898" s="10"/>
      <c r="H8898" s="10"/>
      <c r="I8898" s="10"/>
      <c r="J8898" s="10"/>
      <c r="K8898" s="10"/>
      <c r="L8898" s="10"/>
      <c r="M8898" s="10"/>
      <c r="N8898" s="10"/>
      <c r="O8898" s="10"/>
      <c r="P8898" s="10"/>
      <c r="Q8898" s="10"/>
      <c r="R8898" s="10"/>
      <c r="S8898" s="10"/>
      <c r="T8898" s="10"/>
      <c r="U8898" s="10"/>
      <c r="V8898" s="10"/>
      <c r="W8898" s="10"/>
      <c r="X8898" s="10"/>
      <c r="Y8898" s="10"/>
      <c r="Z8898" s="10"/>
    </row>
    <row r="8899" spans="1:26" ht="12.75">
      <c r="A8899" s="10"/>
      <c r="B8899" s="10"/>
      <c r="C8899" s="10"/>
      <c r="D8899" s="10"/>
      <c r="E8899" s="10"/>
      <c r="F8899" s="10"/>
      <c r="G8899" s="10"/>
      <c r="H8899" s="10"/>
      <c r="I8899" s="10"/>
      <c r="J8899" s="10"/>
      <c r="K8899" s="10"/>
      <c r="L8899" s="10"/>
      <c r="M8899" s="10"/>
      <c r="N8899" s="10"/>
      <c r="O8899" s="10"/>
      <c r="P8899" s="10"/>
      <c r="Q8899" s="10"/>
      <c r="R8899" s="10"/>
      <c r="S8899" s="10"/>
      <c r="T8899" s="10"/>
      <c r="U8899" s="10"/>
      <c r="V8899" s="10"/>
      <c r="W8899" s="10"/>
      <c r="X8899" s="10"/>
      <c r="Y8899" s="10"/>
      <c r="Z8899" s="10"/>
    </row>
    <row r="8900" spans="1:26" ht="12.75">
      <c r="A8900" s="10"/>
      <c r="B8900" s="10"/>
      <c r="C8900" s="10"/>
      <c r="D8900" s="10"/>
      <c r="E8900" s="10"/>
      <c r="F8900" s="10"/>
      <c r="G8900" s="10"/>
      <c r="H8900" s="10"/>
      <c r="I8900" s="10"/>
      <c r="J8900" s="10"/>
      <c r="K8900" s="10"/>
      <c r="L8900" s="10"/>
      <c r="M8900" s="10"/>
      <c r="N8900" s="10"/>
      <c r="O8900" s="10"/>
      <c r="P8900" s="10"/>
      <c r="Q8900" s="10"/>
      <c r="R8900" s="10"/>
      <c r="S8900" s="10"/>
      <c r="T8900" s="10"/>
      <c r="U8900" s="10"/>
      <c r="V8900" s="10"/>
      <c r="W8900" s="10"/>
      <c r="X8900" s="10"/>
      <c r="Y8900" s="10"/>
      <c r="Z8900" s="10"/>
    </row>
    <row r="8901" spans="1:26" ht="12.75">
      <c r="A8901" s="10"/>
      <c r="B8901" s="10"/>
      <c r="C8901" s="10"/>
      <c r="D8901" s="10"/>
      <c r="E8901" s="10"/>
      <c r="F8901" s="10"/>
      <c r="G8901" s="10"/>
      <c r="H8901" s="10"/>
      <c r="I8901" s="10"/>
      <c r="J8901" s="10"/>
      <c r="K8901" s="10"/>
      <c r="L8901" s="10"/>
      <c r="M8901" s="10"/>
      <c r="N8901" s="10"/>
      <c r="O8901" s="10"/>
      <c r="P8901" s="10"/>
      <c r="Q8901" s="10"/>
      <c r="R8901" s="10"/>
      <c r="S8901" s="10"/>
      <c r="T8901" s="10"/>
      <c r="U8901" s="10"/>
      <c r="V8901" s="10"/>
      <c r="W8901" s="10"/>
      <c r="X8901" s="10"/>
      <c r="Y8901" s="10"/>
      <c r="Z8901" s="10"/>
    </row>
    <row r="8902" spans="1:26" ht="12.75">
      <c r="A8902" s="10"/>
      <c r="B8902" s="10"/>
      <c r="C8902" s="10"/>
      <c r="D8902" s="10"/>
      <c r="E8902" s="10"/>
      <c r="F8902" s="10"/>
      <c r="G8902" s="10"/>
      <c r="H8902" s="10"/>
      <c r="I8902" s="10"/>
      <c r="J8902" s="10"/>
      <c r="K8902" s="10"/>
      <c r="L8902" s="10"/>
      <c r="M8902" s="10"/>
      <c r="N8902" s="10"/>
      <c r="O8902" s="10"/>
      <c r="P8902" s="10"/>
      <c r="Q8902" s="10"/>
      <c r="R8902" s="10"/>
      <c r="S8902" s="10"/>
      <c r="T8902" s="10"/>
      <c r="U8902" s="10"/>
      <c r="V8902" s="10"/>
      <c r="W8902" s="10"/>
      <c r="X8902" s="10"/>
      <c r="Y8902" s="10"/>
      <c r="Z8902" s="10"/>
    </row>
    <row r="8903" spans="1:26" ht="12.75">
      <c r="A8903" s="10"/>
      <c r="B8903" s="10"/>
      <c r="C8903" s="10"/>
      <c r="D8903" s="10"/>
      <c r="E8903" s="10"/>
      <c r="F8903" s="10"/>
      <c r="G8903" s="10"/>
      <c r="H8903" s="10"/>
      <c r="I8903" s="10"/>
      <c r="J8903" s="10"/>
      <c r="K8903" s="10"/>
      <c r="L8903" s="10"/>
      <c r="M8903" s="10"/>
      <c r="N8903" s="10"/>
      <c r="O8903" s="10"/>
      <c r="P8903" s="10"/>
      <c r="Q8903" s="10"/>
      <c r="R8903" s="10"/>
      <c r="S8903" s="10"/>
      <c r="T8903" s="10"/>
      <c r="U8903" s="10"/>
      <c r="V8903" s="10"/>
      <c r="W8903" s="10"/>
      <c r="X8903" s="10"/>
      <c r="Y8903" s="10"/>
      <c r="Z8903" s="10"/>
    </row>
    <row r="8904" spans="1:26" ht="12.75">
      <c r="A8904" s="10"/>
      <c r="B8904" s="10"/>
      <c r="C8904" s="10"/>
      <c r="D8904" s="10"/>
      <c r="E8904" s="10"/>
      <c r="F8904" s="10"/>
      <c r="G8904" s="10"/>
      <c r="H8904" s="10"/>
      <c r="I8904" s="10"/>
      <c r="J8904" s="10"/>
      <c r="K8904" s="10"/>
      <c r="L8904" s="10"/>
      <c r="M8904" s="10"/>
      <c r="N8904" s="10"/>
      <c r="O8904" s="10"/>
      <c r="P8904" s="10"/>
      <c r="Q8904" s="10"/>
      <c r="R8904" s="10"/>
      <c r="S8904" s="10"/>
      <c r="T8904" s="10"/>
      <c r="U8904" s="10"/>
      <c r="V8904" s="10"/>
      <c r="W8904" s="10"/>
      <c r="X8904" s="10"/>
      <c r="Y8904" s="10"/>
      <c r="Z8904" s="10"/>
    </row>
    <row r="8905" spans="1:26" ht="12.75">
      <c r="A8905" s="10"/>
      <c r="B8905" s="10"/>
      <c r="C8905" s="10"/>
      <c r="D8905" s="10"/>
      <c r="E8905" s="10"/>
      <c r="F8905" s="10"/>
      <c r="G8905" s="10"/>
      <c r="H8905" s="10"/>
      <c r="I8905" s="10"/>
      <c r="J8905" s="10"/>
      <c r="K8905" s="10"/>
      <c r="L8905" s="10"/>
      <c r="M8905" s="10"/>
      <c r="N8905" s="10"/>
      <c r="O8905" s="10"/>
      <c r="P8905" s="10"/>
      <c r="Q8905" s="10"/>
      <c r="R8905" s="10"/>
      <c r="S8905" s="10"/>
      <c r="T8905" s="10"/>
      <c r="U8905" s="10"/>
      <c r="V8905" s="10"/>
      <c r="W8905" s="10"/>
      <c r="X8905" s="10"/>
      <c r="Y8905" s="10"/>
      <c r="Z8905" s="10"/>
    </row>
    <row r="8906" spans="1:26" ht="12.75">
      <c r="A8906" s="10"/>
      <c r="B8906" s="10"/>
      <c r="C8906" s="10"/>
      <c r="D8906" s="10"/>
      <c r="E8906" s="10"/>
      <c r="F8906" s="10"/>
      <c r="G8906" s="10"/>
      <c r="H8906" s="10"/>
      <c r="I8906" s="10"/>
      <c r="J8906" s="10"/>
      <c r="K8906" s="10"/>
      <c r="L8906" s="10"/>
      <c r="M8906" s="10"/>
      <c r="N8906" s="10"/>
      <c r="O8906" s="10"/>
      <c r="P8906" s="10"/>
      <c r="Q8906" s="10"/>
      <c r="R8906" s="10"/>
      <c r="S8906" s="10"/>
      <c r="T8906" s="10"/>
      <c r="U8906" s="10"/>
      <c r="V8906" s="10"/>
      <c r="W8906" s="10"/>
      <c r="X8906" s="10"/>
      <c r="Y8906" s="10"/>
      <c r="Z8906" s="10"/>
    </row>
    <row r="8907" spans="1:26" ht="12.75">
      <c r="A8907" s="10"/>
      <c r="B8907" s="10"/>
      <c r="C8907" s="10"/>
      <c r="D8907" s="10"/>
      <c r="E8907" s="10"/>
      <c r="F8907" s="10"/>
      <c r="G8907" s="10"/>
      <c r="H8907" s="10"/>
      <c r="I8907" s="10"/>
      <c r="J8907" s="10"/>
      <c r="K8907" s="10"/>
      <c r="L8907" s="10"/>
      <c r="M8907" s="10"/>
      <c r="N8907" s="10"/>
      <c r="O8907" s="10"/>
      <c r="P8907" s="10"/>
      <c r="Q8907" s="10"/>
      <c r="R8907" s="10"/>
      <c r="S8907" s="10"/>
      <c r="T8907" s="10"/>
      <c r="U8907" s="10"/>
      <c r="V8907" s="10"/>
      <c r="W8907" s="10"/>
      <c r="X8907" s="10"/>
      <c r="Y8907" s="10"/>
      <c r="Z8907" s="10"/>
    </row>
    <row r="8908" spans="1:26" ht="12.75">
      <c r="A8908" s="10"/>
      <c r="B8908" s="10"/>
      <c r="C8908" s="10"/>
      <c r="D8908" s="10"/>
      <c r="E8908" s="10"/>
      <c r="F8908" s="10"/>
      <c r="G8908" s="10"/>
      <c r="H8908" s="10"/>
      <c r="I8908" s="10"/>
      <c r="J8908" s="10"/>
      <c r="K8908" s="10"/>
      <c r="L8908" s="10"/>
      <c r="M8908" s="10"/>
      <c r="N8908" s="10"/>
      <c r="O8908" s="10"/>
      <c r="P8908" s="10"/>
      <c r="Q8908" s="10"/>
      <c r="R8908" s="10"/>
      <c r="S8908" s="10"/>
      <c r="T8908" s="10"/>
      <c r="U8908" s="10"/>
      <c r="V8908" s="10"/>
      <c r="W8908" s="10"/>
      <c r="X8908" s="10"/>
      <c r="Y8908" s="10"/>
      <c r="Z8908" s="10"/>
    </row>
    <row r="8909" spans="1:26" ht="12.75">
      <c r="A8909" s="10"/>
      <c r="B8909" s="10"/>
      <c r="C8909" s="10"/>
      <c r="D8909" s="10"/>
      <c r="E8909" s="10"/>
      <c r="F8909" s="10"/>
      <c r="G8909" s="10"/>
      <c r="H8909" s="10"/>
      <c r="I8909" s="10"/>
      <c r="J8909" s="10"/>
      <c r="K8909" s="10"/>
      <c r="L8909" s="10"/>
      <c r="M8909" s="10"/>
      <c r="N8909" s="10"/>
      <c r="O8909" s="10"/>
      <c r="P8909" s="10"/>
      <c r="Q8909" s="10"/>
      <c r="R8909" s="10"/>
      <c r="S8909" s="10"/>
      <c r="T8909" s="10"/>
      <c r="U8909" s="10"/>
      <c r="V8909" s="10"/>
      <c r="W8909" s="10"/>
      <c r="X8909" s="10"/>
      <c r="Y8909" s="10"/>
      <c r="Z8909" s="10"/>
    </row>
    <row r="8910" spans="1:26" ht="12.75">
      <c r="A8910" s="10"/>
      <c r="B8910" s="10"/>
      <c r="C8910" s="10"/>
      <c r="D8910" s="10"/>
      <c r="E8910" s="10"/>
      <c r="F8910" s="10"/>
      <c r="G8910" s="10"/>
      <c r="H8910" s="10"/>
      <c r="I8910" s="10"/>
      <c r="J8910" s="10"/>
      <c r="K8910" s="10"/>
      <c r="L8910" s="10"/>
      <c r="M8910" s="10"/>
      <c r="N8910" s="10"/>
      <c r="O8910" s="10"/>
      <c r="P8910" s="10"/>
      <c r="Q8910" s="10"/>
      <c r="R8910" s="10"/>
      <c r="S8910" s="10"/>
      <c r="T8910" s="10"/>
      <c r="U8910" s="10"/>
      <c r="V8910" s="10"/>
      <c r="W8910" s="10"/>
      <c r="X8910" s="10"/>
      <c r="Y8910" s="10"/>
      <c r="Z8910" s="10"/>
    </row>
    <row r="8911" spans="1:26" ht="12.75">
      <c r="A8911" s="10"/>
      <c r="B8911" s="10"/>
      <c r="C8911" s="10"/>
      <c r="D8911" s="10"/>
      <c r="E8911" s="10"/>
      <c r="F8911" s="10"/>
      <c r="G8911" s="10"/>
      <c r="H8911" s="10"/>
      <c r="I8911" s="10"/>
      <c r="J8911" s="10"/>
      <c r="K8911" s="10"/>
      <c r="L8911" s="10"/>
      <c r="M8911" s="10"/>
      <c r="N8911" s="10"/>
      <c r="O8911" s="10"/>
      <c r="P8911" s="10"/>
      <c r="Q8911" s="10"/>
      <c r="R8911" s="10"/>
      <c r="S8911" s="10"/>
      <c r="T8911" s="10"/>
      <c r="U8911" s="10"/>
      <c r="V8911" s="10"/>
      <c r="W8911" s="10"/>
      <c r="X8911" s="10"/>
      <c r="Y8911" s="10"/>
      <c r="Z8911" s="10"/>
    </row>
    <row r="8912" spans="1:26" ht="12.75">
      <c r="A8912" s="10"/>
      <c r="B8912" s="10"/>
      <c r="C8912" s="10"/>
      <c r="D8912" s="10"/>
      <c r="E8912" s="10"/>
      <c r="F8912" s="10"/>
      <c r="G8912" s="10"/>
      <c r="H8912" s="10"/>
      <c r="I8912" s="10"/>
      <c r="J8912" s="10"/>
      <c r="K8912" s="10"/>
      <c r="L8912" s="10"/>
      <c r="M8912" s="10"/>
      <c r="N8912" s="10"/>
      <c r="O8912" s="10"/>
      <c r="P8912" s="10"/>
      <c r="Q8912" s="10"/>
      <c r="R8912" s="10"/>
      <c r="S8912" s="10"/>
      <c r="T8912" s="10"/>
      <c r="U8912" s="10"/>
      <c r="V8912" s="10"/>
      <c r="W8912" s="10"/>
      <c r="X8912" s="10"/>
      <c r="Y8912" s="10"/>
      <c r="Z8912" s="10"/>
    </row>
    <row r="8913" spans="1:26" ht="12.75">
      <c r="A8913" s="10"/>
      <c r="B8913" s="10"/>
      <c r="C8913" s="10"/>
      <c r="D8913" s="10"/>
      <c r="E8913" s="10"/>
      <c r="F8913" s="10"/>
      <c r="G8913" s="10"/>
      <c r="H8913" s="10"/>
      <c r="I8913" s="10"/>
      <c r="J8913" s="10"/>
      <c r="K8913" s="10"/>
      <c r="L8913" s="10"/>
      <c r="M8913" s="10"/>
      <c r="N8913" s="10"/>
      <c r="O8913" s="10"/>
      <c r="P8913" s="10"/>
      <c r="Q8913" s="10"/>
      <c r="R8913" s="10"/>
      <c r="S8913" s="10"/>
      <c r="T8913" s="10"/>
      <c r="U8913" s="10"/>
      <c r="V8913" s="10"/>
      <c r="W8913" s="10"/>
      <c r="X8913" s="10"/>
      <c r="Y8913" s="10"/>
      <c r="Z8913" s="10"/>
    </row>
    <row r="8914" spans="1:26" ht="12.75">
      <c r="A8914" s="10"/>
      <c r="B8914" s="10"/>
      <c r="C8914" s="10"/>
      <c r="D8914" s="10"/>
      <c r="E8914" s="10"/>
      <c r="F8914" s="10"/>
      <c r="G8914" s="10"/>
      <c r="H8914" s="10"/>
      <c r="I8914" s="10"/>
      <c r="J8914" s="10"/>
      <c r="K8914" s="10"/>
      <c r="L8914" s="10"/>
      <c r="M8914" s="10"/>
      <c r="N8914" s="10"/>
      <c r="O8914" s="10"/>
      <c r="P8914" s="10"/>
      <c r="Q8914" s="10"/>
      <c r="R8914" s="10"/>
      <c r="S8914" s="10"/>
      <c r="T8914" s="10"/>
      <c r="U8914" s="10"/>
      <c r="V8914" s="10"/>
      <c r="W8914" s="10"/>
      <c r="X8914" s="10"/>
      <c r="Y8914" s="10"/>
      <c r="Z8914" s="10"/>
    </row>
    <row r="8915" spans="1:26" ht="12.75">
      <c r="A8915" s="10"/>
      <c r="B8915" s="10"/>
      <c r="C8915" s="10"/>
      <c r="D8915" s="10"/>
      <c r="E8915" s="10"/>
      <c r="F8915" s="10"/>
      <c r="G8915" s="10"/>
      <c r="H8915" s="10"/>
      <c r="I8915" s="10"/>
      <c r="J8915" s="10"/>
      <c r="K8915" s="10"/>
      <c r="L8915" s="10"/>
      <c r="M8915" s="10"/>
      <c r="N8915" s="10"/>
      <c r="O8915" s="10"/>
      <c r="P8915" s="10"/>
      <c r="Q8915" s="10"/>
      <c r="R8915" s="10"/>
      <c r="S8915" s="10"/>
      <c r="T8915" s="10"/>
      <c r="U8915" s="10"/>
      <c r="V8915" s="10"/>
      <c r="W8915" s="10"/>
      <c r="X8915" s="10"/>
      <c r="Y8915" s="10"/>
      <c r="Z8915" s="10"/>
    </row>
    <row r="8916" spans="1:26" ht="12.75">
      <c r="A8916" s="10"/>
      <c r="B8916" s="10"/>
      <c r="C8916" s="10"/>
      <c r="D8916" s="10"/>
      <c r="E8916" s="10"/>
      <c r="F8916" s="10"/>
      <c r="G8916" s="10"/>
      <c r="H8916" s="10"/>
      <c r="I8916" s="10"/>
      <c r="J8916" s="10"/>
      <c r="K8916" s="10"/>
      <c r="L8916" s="10"/>
      <c r="M8916" s="10"/>
      <c r="N8916" s="10"/>
      <c r="O8916" s="10"/>
      <c r="P8916" s="10"/>
      <c r="Q8916" s="10"/>
      <c r="R8916" s="10"/>
      <c r="S8916" s="10"/>
      <c r="T8916" s="10"/>
      <c r="U8916" s="10"/>
      <c r="V8916" s="10"/>
      <c r="W8916" s="10"/>
      <c r="X8916" s="10"/>
      <c r="Y8916" s="10"/>
      <c r="Z8916" s="10"/>
    </row>
    <row r="8917" spans="1:26" ht="12.75">
      <c r="A8917" s="10"/>
      <c r="B8917" s="10"/>
      <c r="C8917" s="10"/>
      <c r="D8917" s="10"/>
      <c r="E8917" s="10"/>
      <c r="F8917" s="10"/>
      <c r="G8917" s="10"/>
      <c r="H8917" s="10"/>
      <c r="I8917" s="10"/>
      <c r="J8917" s="10"/>
      <c r="K8917" s="10"/>
      <c r="L8917" s="10"/>
      <c r="M8917" s="10"/>
      <c r="N8917" s="10"/>
      <c r="O8917" s="10"/>
      <c r="P8917" s="10"/>
      <c r="Q8917" s="10"/>
      <c r="R8917" s="10"/>
      <c r="S8917" s="10"/>
      <c r="T8917" s="10"/>
      <c r="U8917" s="10"/>
      <c r="V8917" s="10"/>
      <c r="W8917" s="10"/>
      <c r="X8917" s="10"/>
      <c r="Y8917" s="10"/>
      <c r="Z8917" s="10"/>
    </row>
    <row r="8918" spans="1:26" ht="12.75">
      <c r="A8918" s="10"/>
      <c r="B8918" s="10"/>
      <c r="C8918" s="10"/>
      <c r="D8918" s="10"/>
      <c r="E8918" s="10"/>
      <c r="F8918" s="10"/>
      <c r="G8918" s="10"/>
      <c r="H8918" s="10"/>
      <c r="I8918" s="10"/>
      <c r="J8918" s="10"/>
      <c r="K8918" s="10"/>
      <c r="L8918" s="10"/>
      <c r="M8918" s="10"/>
      <c r="N8918" s="10"/>
      <c r="O8918" s="10"/>
      <c r="P8918" s="10"/>
      <c r="Q8918" s="10"/>
      <c r="R8918" s="10"/>
      <c r="S8918" s="10"/>
      <c r="T8918" s="10"/>
      <c r="U8918" s="10"/>
      <c r="V8918" s="10"/>
      <c r="W8918" s="10"/>
      <c r="X8918" s="10"/>
      <c r="Y8918" s="10"/>
      <c r="Z8918" s="10"/>
    </row>
    <row r="8919" spans="1:26" ht="12.75">
      <c r="A8919" s="10"/>
      <c r="B8919" s="10"/>
      <c r="C8919" s="10"/>
      <c r="D8919" s="10"/>
      <c r="E8919" s="10"/>
      <c r="F8919" s="10"/>
      <c r="G8919" s="10"/>
      <c r="H8919" s="10"/>
      <c r="I8919" s="10"/>
      <c r="J8919" s="10"/>
      <c r="K8919" s="10"/>
      <c r="L8919" s="10"/>
      <c r="M8919" s="10"/>
      <c r="N8919" s="10"/>
      <c r="O8919" s="10"/>
      <c r="P8919" s="10"/>
      <c r="Q8919" s="10"/>
      <c r="R8919" s="10"/>
      <c r="S8919" s="10"/>
      <c r="T8919" s="10"/>
      <c r="U8919" s="10"/>
      <c r="V8919" s="10"/>
      <c r="W8919" s="10"/>
      <c r="X8919" s="10"/>
      <c r="Y8919" s="10"/>
      <c r="Z8919" s="10"/>
    </row>
    <row r="8920" spans="1:26" ht="12.75">
      <c r="A8920" s="10"/>
      <c r="B8920" s="10"/>
      <c r="C8920" s="10"/>
      <c r="D8920" s="10"/>
      <c r="E8920" s="10"/>
      <c r="F8920" s="10"/>
      <c r="G8920" s="10"/>
      <c r="H8920" s="10"/>
      <c r="I8920" s="10"/>
      <c r="J8920" s="10"/>
      <c r="K8920" s="10"/>
      <c r="L8920" s="10"/>
      <c r="M8920" s="10"/>
      <c r="N8920" s="10"/>
      <c r="O8920" s="10"/>
      <c r="P8920" s="10"/>
      <c r="Q8920" s="10"/>
      <c r="R8920" s="10"/>
      <c r="S8920" s="10"/>
      <c r="T8920" s="10"/>
      <c r="U8920" s="10"/>
      <c r="V8920" s="10"/>
      <c r="W8920" s="10"/>
      <c r="X8920" s="10"/>
      <c r="Y8920" s="10"/>
      <c r="Z8920" s="10"/>
    </row>
    <row r="8921" spans="1:26" ht="12.75">
      <c r="A8921" s="10"/>
      <c r="B8921" s="10"/>
      <c r="C8921" s="10"/>
      <c r="D8921" s="10"/>
      <c r="E8921" s="10"/>
      <c r="F8921" s="10"/>
      <c r="G8921" s="10"/>
      <c r="H8921" s="10"/>
      <c r="I8921" s="10"/>
      <c r="J8921" s="10"/>
      <c r="K8921" s="10"/>
      <c r="L8921" s="10"/>
      <c r="M8921" s="10"/>
      <c r="N8921" s="10"/>
      <c r="O8921" s="10"/>
      <c r="P8921" s="10"/>
      <c r="Q8921" s="10"/>
      <c r="R8921" s="10"/>
      <c r="S8921" s="10"/>
      <c r="T8921" s="10"/>
      <c r="U8921" s="10"/>
      <c r="V8921" s="10"/>
      <c r="W8921" s="10"/>
      <c r="X8921" s="10"/>
      <c r="Y8921" s="10"/>
      <c r="Z8921" s="10"/>
    </row>
    <row r="8922" spans="1:26" ht="12.75">
      <c r="A8922" s="10"/>
      <c r="B8922" s="10"/>
      <c r="C8922" s="10"/>
      <c r="D8922" s="10"/>
      <c r="E8922" s="10"/>
      <c r="F8922" s="10"/>
      <c r="G8922" s="10"/>
      <c r="H8922" s="10"/>
      <c r="I8922" s="10"/>
      <c r="J8922" s="10"/>
      <c r="K8922" s="10"/>
      <c r="L8922" s="10"/>
      <c r="M8922" s="10"/>
      <c r="N8922" s="10"/>
      <c r="O8922" s="10"/>
      <c r="P8922" s="10"/>
      <c r="Q8922" s="10"/>
      <c r="R8922" s="10"/>
      <c r="S8922" s="10"/>
      <c r="T8922" s="10"/>
      <c r="U8922" s="10"/>
      <c r="V8922" s="10"/>
      <c r="W8922" s="10"/>
      <c r="X8922" s="10"/>
      <c r="Y8922" s="10"/>
      <c r="Z8922" s="10"/>
    </row>
    <row r="8923" spans="1:26" ht="12.75">
      <c r="A8923" s="10"/>
      <c r="B8923" s="10"/>
      <c r="C8923" s="10"/>
      <c r="D8923" s="10"/>
      <c r="E8923" s="10"/>
      <c r="F8923" s="10"/>
      <c r="G8923" s="10"/>
      <c r="H8923" s="10"/>
      <c r="I8923" s="10"/>
      <c r="J8923" s="10"/>
      <c r="K8923" s="10"/>
      <c r="L8923" s="10"/>
      <c r="M8923" s="10"/>
      <c r="N8923" s="10"/>
      <c r="O8923" s="10"/>
      <c r="P8923" s="10"/>
      <c r="Q8923" s="10"/>
      <c r="R8923" s="10"/>
      <c r="S8923" s="10"/>
      <c r="T8923" s="10"/>
      <c r="U8923" s="10"/>
      <c r="V8923" s="10"/>
      <c r="W8923" s="10"/>
      <c r="X8923" s="10"/>
      <c r="Y8923" s="10"/>
      <c r="Z8923" s="10"/>
    </row>
    <row r="8924" spans="1:26" ht="12.75">
      <c r="A8924" s="10"/>
      <c r="B8924" s="10"/>
      <c r="C8924" s="10"/>
      <c r="D8924" s="10"/>
      <c r="E8924" s="10"/>
      <c r="F8924" s="10"/>
      <c r="G8924" s="10"/>
      <c r="H8924" s="10"/>
      <c r="I8924" s="10"/>
      <c r="J8924" s="10"/>
      <c r="K8924" s="10"/>
      <c r="L8924" s="10"/>
      <c r="M8924" s="10"/>
      <c r="N8924" s="10"/>
      <c r="O8924" s="10"/>
      <c r="P8924" s="10"/>
      <c r="Q8924" s="10"/>
      <c r="R8924" s="10"/>
      <c r="S8924" s="10"/>
      <c r="T8924" s="10"/>
      <c r="U8924" s="10"/>
      <c r="V8924" s="10"/>
      <c r="W8924" s="10"/>
      <c r="X8924" s="10"/>
      <c r="Y8924" s="10"/>
      <c r="Z8924" s="10"/>
    </row>
    <row r="8925" spans="1:26" ht="12.75">
      <c r="A8925" s="10"/>
      <c r="B8925" s="10"/>
      <c r="C8925" s="10"/>
      <c r="D8925" s="10"/>
      <c r="E8925" s="10"/>
      <c r="F8925" s="10"/>
      <c r="G8925" s="10"/>
      <c r="H8925" s="10"/>
      <c r="I8925" s="10"/>
      <c r="J8925" s="10"/>
      <c r="K8925" s="10"/>
      <c r="L8925" s="10"/>
      <c r="M8925" s="10"/>
      <c r="N8925" s="10"/>
      <c r="O8925" s="10"/>
      <c r="P8925" s="10"/>
      <c r="Q8925" s="10"/>
      <c r="R8925" s="10"/>
      <c r="S8925" s="10"/>
      <c r="T8925" s="10"/>
      <c r="U8925" s="10"/>
      <c r="V8925" s="10"/>
      <c r="W8925" s="10"/>
      <c r="X8925" s="10"/>
      <c r="Y8925" s="10"/>
      <c r="Z8925" s="10"/>
    </row>
    <row r="8926" spans="1:26" ht="12.75">
      <c r="A8926" s="10"/>
      <c r="B8926" s="10"/>
      <c r="C8926" s="10"/>
      <c r="D8926" s="10"/>
      <c r="E8926" s="10"/>
      <c r="F8926" s="10"/>
      <c r="G8926" s="10"/>
      <c r="H8926" s="10"/>
      <c r="I8926" s="10"/>
      <c r="J8926" s="10"/>
      <c r="K8926" s="10"/>
      <c r="L8926" s="10"/>
      <c r="M8926" s="10"/>
      <c r="N8926" s="10"/>
      <c r="O8926" s="10"/>
      <c r="P8926" s="10"/>
      <c r="Q8926" s="10"/>
      <c r="R8926" s="10"/>
      <c r="S8926" s="10"/>
      <c r="T8926" s="10"/>
      <c r="U8926" s="10"/>
      <c r="V8926" s="10"/>
      <c r="W8926" s="10"/>
      <c r="X8926" s="10"/>
      <c r="Y8926" s="10"/>
      <c r="Z8926" s="10"/>
    </row>
    <row r="8927" spans="1:26" ht="12.75">
      <c r="A8927" s="10"/>
      <c r="B8927" s="10"/>
      <c r="C8927" s="10"/>
      <c r="D8927" s="10"/>
      <c r="E8927" s="10"/>
      <c r="F8927" s="10"/>
      <c r="G8927" s="10"/>
      <c r="H8927" s="10"/>
      <c r="I8927" s="10"/>
      <c r="J8927" s="10"/>
      <c r="K8927" s="10"/>
      <c r="L8927" s="10"/>
      <c r="M8927" s="10"/>
      <c r="N8927" s="10"/>
      <c r="O8927" s="10"/>
      <c r="P8927" s="10"/>
      <c r="Q8927" s="10"/>
      <c r="R8927" s="10"/>
      <c r="S8927" s="10"/>
      <c r="T8927" s="10"/>
      <c r="U8927" s="10"/>
      <c r="V8927" s="10"/>
      <c r="W8927" s="10"/>
      <c r="X8927" s="10"/>
      <c r="Y8927" s="10"/>
      <c r="Z8927" s="10"/>
    </row>
    <row r="8928" spans="1:26" ht="12.75">
      <c r="A8928" s="10"/>
      <c r="B8928" s="10"/>
      <c r="C8928" s="10"/>
      <c r="D8928" s="10"/>
      <c r="E8928" s="10"/>
      <c r="F8928" s="10"/>
      <c r="G8928" s="10"/>
      <c r="H8928" s="10"/>
      <c r="I8928" s="10"/>
      <c r="J8928" s="10"/>
      <c r="K8928" s="10"/>
      <c r="L8928" s="10"/>
      <c r="M8928" s="10"/>
      <c r="N8928" s="10"/>
      <c r="O8928" s="10"/>
      <c r="P8928" s="10"/>
      <c r="Q8928" s="10"/>
      <c r="R8928" s="10"/>
      <c r="S8928" s="10"/>
      <c r="T8928" s="10"/>
      <c r="U8928" s="10"/>
      <c r="V8928" s="10"/>
      <c r="W8928" s="10"/>
      <c r="X8928" s="10"/>
      <c r="Y8928" s="10"/>
      <c r="Z8928" s="10"/>
    </row>
    <row r="8929" spans="1:26" ht="12.75">
      <c r="A8929" s="10"/>
      <c r="B8929" s="10"/>
      <c r="C8929" s="10"/>
      <c r="D8929" s="10"/>
      <c r="E8929" s="10"/>
      <c r="F8929" s="10"/>
      <c r="G8929" s="10"/>
      <c r="H8929" s="10"/>
      <c r="I8929" s="10"/>
      <c r="J8929" s="10"/>
      <c r="K8929" s="10"/>
      <c r="L8929" s="10"/>
      <c r="M8929" s="10"/>
      <c r="N8929" s="10"/>
      <c r="O8929" s="10"/>
      <c r="P8929" s="10"/>
      <c r="Q8929" s="10"/>
      <c r="R8929" s="10"/>
      <c r="S8929" s="10"/>
      <c r="T8929" s="10"/>
      <c r="U8929" s="10"/>
      <c r="V8929" s="10"/>
      <c r="W8929" s="10"/>
      <c r="X8929" s="10"/>
      <c r="Y8929" s="10"/>
      <c r="Z8929" s="10"/>
    </row>
    <row r="8930" spans="1:26" ht="12.75">
      <c r="A8930" s="10"/>
      <c r="B8930" s="10"/>
      <c r="C8930" s="10"/>
      <c r="D8930" s="10"/>
      <c r="E8930" s="10"/>
      <c r="F8930" s="10"/>
      <c r="G8930" s="10"/>
      <c r="H8930" s="10"/>
      <c r="I8930" s="10"/>
      <c r="J8930" s="10"/>
      <c r="K8930" s="10"/>
      <c r="L8930" s="10"/>
      <c r="M8930" s="10"/>
      <c r="N8930" s="10"/>
      <c r="O8930" s="10"/>
      <c r="P8930" s="10"/>
      <c r="Q8930" s="10"/>
      <c r="R8930" s="10"/>
      <c r="S8930" s="10"/>
      <c r="T8930" s="10"/>
      <c r="U8930" s="10"/>
      <c r="V8930" s="10"/>
      <c r="W8930" s="10"/>
      <c r="X8930" s="10"/>
      <c r="Y8930" s="10"/>
      <c r="Z8930" s="10"/>
    </row>
    <row r="8931" spans="1:26" ht="12.75">
      <c r="A8931" s="10"/>
      <c r="B8931" s="10"/>
      <c r="C8931" s="10"/>
      <c r="D8931" s="10"/>
      <c r="E8931" s="10"/>
      <c r="F8931" s="10"/>
      <c r="G8931" s="10"/>
      <c r="H8931" s="10"/>
      <c r="I8931" s="10"/>
      <c r="J8931" s="10"/>
      <c r="K8931" s="10"/>
      <c r="L8931" s="10"/>
      <c r="M8931" s="10"/>
      <c r="N8931" s="10"/>
      <c r="O8931" s="10"/>
      <c r="P8931" s="10"/>
      <c r="Q8931" s="10"/>
      <c r="R8931" s="10"/>
      <c r="S8931" s="10"/>
      <c r="T8931" s="10"/>
      <c r="U8931" s="10"/>
      <c r="V8931" s="10"/>
      <c r="W8931" s="10"/>
      <c r="X8931" s="10"/>
      <c r="Y8931" s="10"/>
      <c r="Z8931" s="10"/>
    </row>
    <row r="8932" spans="1:26" ht="12.75">
      <c r="A8932" s="10"/>
      <c r="B8932" s="10"/>
      <c r="C8932" s="10"/>
      <c r="D8932" s="10"/>
      <c r="E8932" s="10"/>
      <c r="F8932" s="10"/>
      <c r="G8932" s="10"/>
      <c r="H8932" s="10"/>
      <c r="I8932" s="10"/>
      <c r="J8932" s="10"/>
      <c r="K8932" s="10"/>
      <c r="L8932" s="10"/>
      <c r="M8932" s="10"/>
      <c r="N8932" s="10"/>
      <c r="O8932" s="10"/>
      <c r="P8932" s="10"/>
      <c r="Q8932" s="10"/>
      <c r="R8932" s="10"/>
      <c r="S8932" s="10"/>
      <c r="T8932" s="10"/>
      <c r="U8932" s="10"/>
      <c r="V8932" s="10"/>
      <c r="W8932" s="10"/>
      <c r="X8932" s="10"/>
      <c r="Y8932" s="10"/>
      <c r="Z8932" s="10"/>
    </row>
    <row r="8933" spans="1:26" ht="12.75">
      <c r="A8933" s="10"/>
      <c r="B8933" s="10"/>
      <c r="C8933" s="10"/>
      <c r="D8933" s="10"/>
      <c r="E8933" s="10"/>
      <c r="F8933" s="10"/>
      <c r="G8933" s="10"/>
      <c r="H8933" s="10"/>
      <c r="I8933" s="10"/>
      <c r="J8933" s="10"/>
      <c r="K8933" s="10"/>
      <c r="L8933" s="10"/>
      <c r="M8933" s="10"/>
      <c r="N8933" s="10"/>
      <c r="O8933" s="10"/>
      <c r="P8933" s="10"/>
      <c r="Q8933" s="10"/>
      <c r="R8933" s="10"/>
      <c r="S8933" s="10"/>
      <c r="T8933" s="10"/>
      <c r="U8933" s="10"/>
      <c r="V8933" s="10"/>
      <c r="W8933" s="10"/>
      <c r="X8933" s="10"/>
      <c r="Y8933" s="10"/>
      <c r="Z8933" s="10"/>
    </row>
    <row r="8934" spans="1:26" ht="12.75">
      <c r="A8934" s="10"/>
      <c r="B8934" s="10"/>
      <c r="C8934" s="10"/>
      <c r="D8934" s="10"/>
      <c r="E8934" s="10"/>
      <c r="F8934" s="10"/>
      <c r="G8934" s="10"/>
      <c r="H8934" s="10"/>
      <c r="I8934" s="10"/>
      <c r="J8934" s="10"/>
      <c r="K8934" s="10"/>
      <c r="L8934" s="10"/>
      <c r="M8934" s="10"/>
      <c r="N8934" s="10"/>
      <c r="O8934" s="10"/>
      <c r="P8934" s="10"/>
      <c r="Q8934" s="10"/>
      <c r="R8934" s="10"/>
      <c r="S8934" s="10"/>
      <c r="T8934" s="10"/>
      <c r="U8934" s="10"/>
      <c r="V8934" s="10"/>
      <c r="W8934" s="10"/>
      <c r="X8934" s="10"/>
      <c r="Y8934" s="10"/>
      <c r="Z8934" s="10"/>
    </row>
    <row r="8935" spans="1:26" ht="12.75">
      <c r="A8935" s="10"/>
      <c r="B8935" s="10"/>
      <c r="C8935" s="10"/>
      <c r="D8935" s="10"/>
      <c r="E8935" s="10"/>
      <c r="F8935" s="10"/>
      <c r="G8935" s="10"/>
      <c r="H8935" s="10"/>
      <c r="I8935" s="10"/>
      <c r="J8935" s="10"/>
      <c r="K8935" s="10"/>
      <c r="L8935" s="10"/>
      <c r="M8935" s="10"/>
      <c r="N8935" s="10"/>
      <c r="O8935" s="10"/>
      <c r="P8935" s="10"/>
      <c r="Q8935" s="10"/>
      <c r="R8935" s="10"/>
      <c r="S8935" s="10"/>
      <c r="T8935" s="10"/>
      <c r="U8935" s="10"/>
      <c r="V8935" s="10"/>
      <c r="W8935" s="10"/>
      <c r="X8935" s="10"/>
      <c r="Y8935" s="10"/>
      <c r="Z8935" s="10"/>
    </row>
    <row r="8936" spans="1:26" ht="12.75">
      <c r="A8936" s="10"/>
      <c r="B8936" s="10"/>
      <c r="C8936" s="10"/>
      <c r="D8936" s="10"/>
      <c r="E8936" s="10"/>
      <c r="F8936" s="10"/>
      <c r="G8936" s="10"/>
      <c r="H8936" s="10"/>
      <c r="I8936" s="10"/>
      <c r="J8936" s="10"/>
      <c r="K8936" s="10"/>
      <c r="L8936" s="10"/>
      <c r="M8936" s="10"/>
      <c r="N8936" s="10"/>
      <c r="O8936" s="10"/>
      <c r="P8936" s="10"/>
      <c r="Q8936" s="10"/>
      <c r="R8936" s="10"/>
      <c r="S8936" s="10"/>
      <c r="T8936" s="10"/>
      <c r="U8936" s="10"/>
      <c r="V8936" s="10"/>
      <c r="W8936" s="10"/>
      <c r="X8936" s="10"/>
      <c r="Y8936" s="10"/>
      <c r="Z8936" s="10"/>
    </row>
    <row r="8937" spans="1:26" ht="12.75">
      <c r="A8937" s="10"/>
      <c r="B8937" s="10"/>
      <c r="C8937" s="10"/>
      <c r="D8937" s="10"/>
      <c r="E8937" s="10"/>
      <c r="F8937" s="10"/>
      <c r="G8937" s="10"/>
      <c r="H8937" s="10"/>
      <c r="I8937" s="10"/>
      <c r="J8937" s="10"/>
      <c r="K8937" s="10"/>
      <c r="L8937" s="10"/>
      <c r="M8937" s="10"/>
      <c r="N8937" s="10"/>
      <c r="O8937" s="10"/>
      <c r="P8937" s="10"/>
      <c r="Q8937" s="10"/>
      <c r="R8937" s="10"/>
      <c r="S8937" s="10"/>
      <c r="T8937" s="10"/>
      <c r="U8937" s="10"/>
      <c r="V8937" s="10"/>
      <c r="W8937" s="10"/>
      <c r="X8937" s="10"/>
      <c r="Y8937" s="10"/>
      <c r="Z8937" s="10"/>
    </row>
    <row r="8938" spans="1:26" ht="12.75">
      <c r="A8938" s="10"/>
      <c r="B8938" s="10"/>
      <c r="C8938" s="10"/>
      <c r="D8938" s="10"/>
      <c r="E8938" s="10"/>
      <c r="F8938" s="10"/>
      <c r="G8938" s="10"/>
      <c r="H8938" s="10"/>
      <c r="I8938" s="10"/>
      <c r="J8938" s="10"/>
      <c r="K8938" s="10"/>
      <c r="L8938" s="10"/>
      <c r="M8938" s="10"/>
      <c r="N8938" s="10"/>
      <c r="O8938" s="10"/>
      <c r="P8938" s="10"/>
      <c r="Q8938" s="10"/>
      <c r="R8938" s="10"/>
      <c r="S8938" s="10"/>
      <c r="T8938" s="10"/>
      <c r="U8938" s="10"/>
      <c r="V8938" s="10"/>
      <c r="W8938" s="10"/>
      <c r="X8938" s="10"/>
      <c r="Y8938" s="10"/>
      <c r="Z8938" s="10"/>
    </row>
    <row r="8939" spans="1:26" ht="12.75">
      <c r="A8939" s="10"/>
      <c r="B8939" s="10"/>
      <c r="C8939" s="10"/>
      <c r="D8939" s="10"/>
      <c r="E8939" s="10"/>
      <c r="F8939" s="10"/>
      <c r="G8939" s="10"/>
      <c r="H8939" s="10"/>
      <c r="I8939" s="10"/>
      <c r="J8939" s="10"/>
      <c r="K8939" s="10"/>
      <c r="L8939" s="10"/>
      <c r="M8939" s="10"/>
      <c r="N8939" s="10"/>
      <c r="O8939" s="10"/>
      <c r="P8939" s="10"/>
      <c r="Q8939" s="10"/>
      <c r="R8939" s="10"/>
      <c r="S8939" s="10"/>
      <c r="T8939" s="10"/>
      <c r="U8939" s="10"/>
      <c r="V8939" s="10"/>
      <c r="W8939" s="10"/>
      <c r="X8939" s="10"/>
      <c r="Y8939" s="10"/>
      <c r="Z8939" s="10"/>
    </row>
    <row r="8940" spans="1:26" ht="12.75">
      <c r="A8940" s="10"/>
      <c r="B8940" s="10"/>
      <c r="C8940" s="10"/>
      <c r="D8940" s="10"/>
      <c r="E8940" s="10"/>
      <c r="F8940" s="10"/>
      <c r="G8940" s="10"/>
      <c r="H8940" s="10"/>
      <c r="I8940" s="10"/>
      <c r="J8940" s="10"/>
      <c r="K8940" s="10"/>
      <c r="L8940" s="10"/>
      <c r="M8940" s="10"/>
      <c r="N8940" s="10"/>
      <c r="O8940" s="10"/>
      <c r="P8940" s="10"/>
      <c r="Q8940" s="10"/>
      <c r="R8940" s="10"/>
      <c r="S8940" s="10"/>
      <c r="T8940" s="10"/>
      <c r="U8940" s="10"/>
      <c r="V8940" s="10"/>
      <c r="W8940" s="10"/>
      <c r="X8940" s="10"/>
      <c r="Y8940" s="10"/>
      <c r="Z8940" s="10"/>
    </row>
    <row r="8941" spans="1:26" ht="12.75">
      <c r="A8941" s="10"/>
      <c r="B8941" s="10"/>
      <c r="C8941" s="10"/>
      <c r="D8941" s="10"/>
      <c r="E8941" s="10"/>
      <c r="F8941" s="10"/>
      <c r="G8941" s="10"/>
      <c r="H8941" s="10"/>
      <c r="I8941" s="10"/>
      <c r="J8941" s="10"/>
      <c r="K8941" s="10"/>
      <c r="L8941" s="10"/>
      <c r="M8941" s="10"/>
      <c r="N8941" s="10"/>
      <c r="O8941" s="10"/>
      <c r="P8941" s="10"/>
      <c r="Q8941" s="10"/>
      <c r="R8941" s="10"/>
      <c r="S8941" s="10"/>
      <c r="T8941" s="10"/>
      <c r="U8941" s="10"/>
      <c r="V8941" s="10"/>
      <c r="W8941" s="10"/>
      <c r="X8941" s="10"/>
      <c r="Y8941" s="10"/>
      <c r="Z8941" s="10"/>
    </row>
    <row r="8942" spans="1:26" ht="12.75">
      <c r="A8942" s="10"/>
      <c r="B8942" s="10"/>
      <c r="C8942" s="10"/>
      <c r="D8942" s="10"/>
      <c r="E8942" s="10"/>
      <c r="F8942" s="10"/>
      <c r="G8942" s="10"/>
      <c r="H8942" s="10"/>
      <c r="I8942" s="10"/>
      <c r="J8942" s="10"/>
      <c r="K8942" s="10"/>
      <c r="L8942" s="10"/>
      <c r="M8942" s="10"/>
      <c r="N8942" s="10"/>
      <c r="O8942" s="10"/>
      <c r="P8942" s="10"/>
      <c r="Q8942" s="10"/>
      <c r="R8942" s="10"/>
      <c r="S8942" s="10"/>
      <c r="T8942" s="10"/>
      <c r="U8942" s="10"/>
      <c r="V8942" s="10"/>
      <c r="W8942" s="10"/>
      <c r="X8942" s="10"/>
      <c r="Y8942" s="10"/>
      <c r="Z8942" s="10"/>
    </row>
    <row r="8943" spans="1:26" ht="12.75">
      <c r="A8943" s="10"/>
      <c r="B8943" s="10"/>
      <c r="C8943" s="10"/>
      <c r="D8943" s="10"/>
      <c r="E8943" s="10"/>
      <c r="F8943" s="10"/>
      <c r="G8943" s="10"/>
      <c r="H8943" s="10"/>
      <c r="I8943" s="10"/>
      <c r="J8943" s="10"/>
      <c r="K8943" s="10"/>
      <c r="L8943" s="10"/>
      <c r="M8943" s="10"/>
      <c r="N8943" s="10"/>
      <c r="O8943" s="10"/>
      <c r="P8943" s="10"/>
      <c r="Q8943" s="10"/>
      <c r="R8943" s="10"/>
      <c r="S8943" s="10"/>
      <c r="T8943" s="10"/>
      <c r="U8943" s="10"/>
      <c r="V8943" s="10"/>
      <c r="W8943" s="10"/>
      <c r="X8943" s="10"/>
      <c r="Y8943" s="10"/>
      <c r="Z8943" s="10"/>
    </row>
    <row r="8944" spans="1:26" ht="12.75">
      <c r="A8944" s="10"/>
      <c r="B8944" s="10"/>
      <c r="C8944" s="10"/>
      <c r="D8944" s="10"/>
      <c r="E8944" s="10"/>
      <c r="F8944" s="10"/>
      <c r="G8944" s="10"/>
      <c r="H8944" s="10"/>
      <c r="I8944" s="10"/>
      <c r="J8944" s="10"/>
      <c r="K8944" s="10"/>
      <c r="L8944" s="10"/>
      <c r="M8944" s="10"/>
      <c r="N8944" s="10"/>
      <c r="O8944" s="10"/>
      <c r="P8944" s="10"/>
      <c r="Q8944" s="10"/>
      <c r="R8944" s="10"/>
      <c r="S8944" s="10"/>
      <c r="T8944" s="10"/>
      <c r="U8944" s="10"/>
      <c r="V8944" s="10"/>
      <c r="W8944" s="10"/>
      <c r="X8944" s="10"/>
      <c r="Y8944" s="10"/>
      <c r="Z8944" s="10"/>
    </row>
    <row r="8945" spans="1:26" ht="12.75">
      <c r="A8945" s="10"/>
      <c r="B8945" s="10"/>
      <c r="C8945" s="10"/>
      <c r="D8945" s="10"/>
      <c r="E8945" s="10"/>
      <c r="F8945" s="10"/>
      <c r="G8945" s="10"/>
      <c r="H8945" s="10"/>
      <c r="I8945" s="10"/>
      <c r="J8945" s="10"/>
      <c r="K8945" s="10"/>
      <c r="L8945" s="10"/>
      <c r="M8945" s="10"/>
      <c r="N8945" s="10"/>
      <c r="O8945" s="10"/>
      <c r="P8945" s="10"/>
      <c r="Q8945" s="10"/>
      <c r="R8945" s="10"/>
      <c r="S8945" s="10"/>
      <c r="T8945" s="10"/>
      <c r="U8945" s="10"/>
      <c r="V8945" s="10"/>
      <c r="W8945" s="10"/>
      <c r="X8945" s="10"/>
      <c r="Y8945" s="10"/>
      <c r="Z8945" s="10"/>
    </row>
    <row r="8946" spans="1:26" ht="12.75">
      <c r="A8946" s="10"/>
      <c r="B8946" s="10"/>
      <c r="C8946" s="10"/>
      <c r="D8946" s="10"/>
      <c r="E8946" s="10"/>
      <c r="F8946" s="10"/>
      <c r="G8946" s="10"/>
      <c r="H8946" s="10"/>
      <c r="I8946" s="10"/>
      <c r="J8946" s="10"/>
      <c r="K8946" s="10"/>
      <c r="L8946" s="10"/>
      <c r="M8946" s="10"/>
      <c r="N8946" s="10"/>
      <c r="O8946" s="10"/>
      <c r="P8946" s="10"/>
      <c r="Q8946" s="10"/>
      <c r="R8946" s="10"/>
      <c r="S8946" s="10"/>
      <c r="T8946" s="10"/>
      <c r="U8946" s="10"/>
      <c r="V8946" s="10"/>
      <c r="W8946" s="10"/>
      <c r="X8946" s="10"/>
      <c r="Y8946" s="10"/>
      <c r="Z8946" s="10"/>
    </row>
    <row r="8947" spans="1:26" ht="12.75">
      <c r="A8947" s="10"/>
      <c r="B8947" s="10"/>
      <c r="C8947" s="10"/>
      <c r="D8947" s="10"/>
      <c r="E8947" s="10"/>
      <c r="F8947" s="10"/>
      <c r="G8947" s="10"/>
      <c r="H8947" s="10"/>
      <c r="I8947" s="10"/>
      <c r="J8947" s="10"/>
      <c r="K8947" s="10"/>
      <c r="L8947" s="10"/>
      <c r="M8947" s="10"/>
      <c r="N8947" s="10"/>
      <c r="O8947" s="10"/>
      <c r="P8947" s="10"/>
      <c r="Q8947" s="10"/>
      <c r="R8947" s="10"/>
      <c r="S8947" s="10"/>
      <c r="T8947" s="10"/>
      <c r="U8947" s="10"/>
      <c r="V8947" s="10"/>
      <c r="W8947" s="10"/>
      <c r="X8947" s="10"/>
      <c r="Y8947" s="10"/>
      <c r="Z8947" s="10"/>
    </row>
    <row r="8948" spans="1:26" ht="12.75">
      <c r="A8948" s="10"/>
      <c r="B8948" s="10"/>
      <c r="C8948" s="10"/>
      <c r="D8948" s="10"/>
      <c r="E8948" s="10"/>
      <c r="F8948" s="10"/>
      <c r="G8948" s="10"/>
      <c r="H8948" s="10"/>
      <c r="I8948" s="10"/>
      <c r="J8948" s="10"/>
      <c r="K8948" s="10"/>
      <c r="L8948" s="10"/>
      <c r="M8948" s="10"/>
      <c r="N8948" s="10"/>
      <c r="O8948" s="10"/>
      <c r="P8948" s="10"/>
      <c r="Q8948" s="10"/>
      <c r="R8948" s="10"/>
      <c r="S8948" s="10"/>
      <c r="T8948" s="10"/>
      <c r="U8948" s="10"/>
      <c r="V8948" s="10"/>
      <c r="W8948" s="10"/>
      <c r="X8948" s="10"/>
      <c r="Y8948" s="10"/>
      <c r="Z8948" s="10"/>
    </row>
    <row r="8949" spans="1:26" ht="12.75">
      <c r="A8949" s="10"/>
      <c r="B8949" s="10"/>
      <c r="C8949" s="10"/>
      <c r="D8949" s="10"/>
      <c r="E8949" s="10"/>
      <c r="F8949" s="10"/>
      <c r="G8949" s="10"/>
      <c r="H8949" s="10"/>
      <c r="I8949" s="10"/>
      <c r="J8949" s="10"/>
      <c r="K8949" s="10"/>
      <c r="L8949" s="10"/>
      <c r="M8949" s="10"/>
      <c r="N8949" s="10"/>
      <c r="O8949" s="10"/>
      <c r="P8949" s="10"/>
      <c r="Q8949" s="10"/>
      <c r="R8949" s="10"/>
      <c r="S8949" s="10"/>
      <c r="T8949" s="10"/>
      <c r="U8949" s="10"/>
      <c r="V8949" s="10"/>
      <c r="W8949" s="10"/>
      <c r="X8949" s="10"/>
      <c r="Y8949" s="10"/>
      <c r="Z8949" s="10"/>
    </row>
    <row r="8950" spans="1:26" ht="12.75">
      <c r="A8950" s="10"/>
      <c r="B8950" s="10"/>
      <c r="C8950" s="10"/>
      <c r="D8950" s="10"/>
      <c r="E8950" s="10"/>
      <c r="F8950" s="10"/>
      <c r="G8950" s="10"/>
      <c r="H8950" s="10"/>
      <c r="I8950" s="10"/>
      <c r="J8950" s="10"/>
      <c r="K8950" s="10"/>
      <c r="L8950" s="10"/>
      <c r="M8950" s="10"/>
      <c r="N8950" s="10"/>
      <c r="O8950" s="10"/>
      <c r="P8950" s="10"/>
      <c r="Q8950" s="10"/>
      <c r="R8950" s="10"/>
      <c r="S8950" s="10"/>
      <c r="T8950" s="10"/>
      <c r="U8950" s="10"/>
      <c r="V8950" s="10"/>
      <c r="W8950" s="10"/>
      <c r="X8950" s="10"/>
      <c r="Y8950" s="10"/>
      <c r="Z8950" s="10"/>
    </row>
    <row r="8951" spans="1:26" ht="12.75">
      <c r="A8951" s="10"/>
      <c r="B8951" s="10"/>
      <c r="C8951" s="10"/>
      <c r="D8951" s="10"/>
      <c r="E8951" s="10"/>
      <c r="F8951" s="10"/>
      <c r="G8951" s="10"/>
      <c r="H8951" s="10"/>
      <c r="I8951" s="10"/>
      <c r="J8951" s="10"/>
      <c r="K8951" s="10"/>
      <c r="L8951" s="10"/>
      <c r="M8951" s="10"/>
      <c r="N8951" s="10"/>
      <c r="O8951" s="10"/>
      <c r="P8951" s="10"/>
      <c r="Q8951" s="10"/>
      <c r="R8951" s="10"/>
      <c r="S8951" s="10"/>
      <c r="T8951" s="10"/>
      <c r="U8951" s="10"/>
      <c r="V8951" s="10"/>
      <c r="W8951" s="10"/>
      <c r="X8951" s="10"/>
      <c r="Y8951" s="10"/>
      <c r="Z8951" s="10"/>
    </row>
    <row r="8952" spans="1:26" ht="12.75">
      <c r="A8952" s="10"/>
      <c r="B8952" s="10"/>
      <c r="C8952" s="10"/>
      <c r="D8952" s="10"/>
      <c r="E8952" s="10"/>
      <c r="F8952" s="10"/>
      <c r="G8952" s="10"/>
      <c r="H8952" s="10"/>
      <c r="I8952" s="10"/>
      <c r="J8952" s="10"/>
      <c r="K8952" s="10"/>
      <c r="L8952" s="10"/>
      <c r="M8952" s="10"/>
      <c r="N8952" s="10"/>
      <c r="O8952" s="10"/>
      <c r="P8952" s="10"/>
      <c r="Q8952" s="10"/>
      <c r="R8952" s="10"/>
      <c r="S8952" s="10"/>
      <c r="T8952" s="10"/>
      <c r="U8952" s="10"/>
      <c r="V8952" s="10"/>
      <c r="W8952" s="10"/>
      <c r="X8952" s="10"/>
      <c r="Y8952" s="10"/>
      <c r="Z8952" s="10"/>
    </row>
    <row r="8953" spans="1:26" ht="12.75">
      <c r="A8953" s="10"/>
      <c r="B8953" s="10"/>
      <c r="C8953" s="10"/>
      <c r="D8953" s="10"/>
      <c r="E8953" s="10"/>
      <c r="F8953" s="10"/>
      <c r="G8953" s="10"/>
      <c r="H8953" s="10"/>
      <c r="I8953" s="10"/>
      <c r="J8953" s="10"/>
      <c r="K8953" s="10"/>
      <c r="L8953" s="10"/>
      <c r="M8953" s="10"/>
      <c r="N8953" s="10"/>
      <c r="O8953" s="10"/>
      <c r="P8953" s="10"/>
      <c r="Q8953" s="10"/>
      <c r="R8953" s="10"/>
      <c r="S8953" s="10"/>
      <c r="T8953" s="10"/>
      <c r="U8953" s="10"/>
      <c r="V8953" s="10"/>
      <c r="W8953" s="10"/>
      <c r="X8953" s="10"/>
      <c r="Y8953" s="10"/>
      <c r="Z8953" s="10"/>
    </row>
    <row r="8954" spans="1:26" ht="12.75">
      <c r="A8954" s="10"/>
      <c r="B8954" s="10"/>
      <c r="C8954" s="10"/>
      <c r="D8954" s="10"/>
      <c r="E8954" s="10"/>
      <c r="F8954" s="10"/>
      <c r="G8954" s="10"/>
      <c r="H8954" s="10"/>
      <c r="I8954" s="10"/>
      <c r="J8954" s="10"/>
      <c r="K8954" s="10"/>
      <c r="L8954" s="10"/>
      <c r="M8954" s="10"/>
      <c r="N8954" s="10"/>
      <c r="O8954" s="10"/>
      <c r="P8954" s="10"/>
      <c r="Q8954" s="10"/>
      <c r="R8954" s="10"/>
      <c r="S8954" s="10"/>
      <c r="T8954" s="10"/>
      <c r="U8954" s="10"/>
      <c r="V8954" s="10"/>
      <c r="W8954" s="10"/>
      <c r="X8954" s="10"/>
      <c r="Y8954" s="10"/>
      <c r="Z8954" s="10"/>
    </row>
    <row r="8955" spans="1:26" ht="12.75">
      <c r="A8955" s="10"/>
      <c r="B8955" s="10"/>
      <c r="C8955" s="10"/>
      <c r="D8955" s="10"/>
      <c r="E8955" s="10"/>
      <c r="F8955" s="10"/>
      <c r="G8955" s="10"/>
      <c r="H8955" s="10"/>
      <c r="I8955" s="10"/>
      <c r="J8955" s="10"/>
      <c r="K8955" s="10"/>
      <c r="L8955" s="10"/>
      <c r="M8955" s="10"/>
      <c r="N8955" s="10"/>
      <c r="O8955" s="10"/>
      <c r="P8955" s="10"/>
      <c r="Q8955" s="10"/>
      <c r="R8955" s="10"/>
      <c r="S8955" s="10"/>
      <c r="T8955" s="10"/>
      <c r="U8955" s="10"/>
      <c r="V8955" s="10"/>
      <c r="W8955" s="10"/>
      <c r="X8955" s="10"/>
      <c r="Y8955" s="10"/>
      <c r="Z8955" s="10"/>
    </row>
    <row r="8956" spans="1:26" ht="12.75">
      <c r="A8956" s="10"/>
      <c r="B8956" s="10"/>
      <c r="C8956" s="10"/>
      <c r="D8956" s="10"/>
      <c r="E8956" s="10"/>
      <c r="F8956" s="10"/>
      <c r="G8956" s="10"/>
      <c r="H8956" s="10"/>
      <c r="I8956" s="10"/>
      <c r="J8956" s="10"/>
      <c r="K8956" s="10"/>
      <c r="L8956" s="10"/>
      <c r="M8956" s="10"/>
      <c r="N8956" s="10"/>
      <c r="O8956" s="10"/>
      <c r="P8956" s="10"/>
      <c r="Q8956" s="10"/>
      <c r="R8956" s="10"/>
      <c r="S8956" s="10"/>
      <c r="T8956" s="10"/>
      <c r="U8956" s="10"/>
      <c r="V8956" s="10"/>
      <c r="W8956" s="10"/>
      <c r="X8956" s="10"/>
      <c r="Y8956" s="10"/>
      <c r="Z8956" s="10"/>
    </row>
    <row r="8957" spans="1:26" ht="12.75">
      <c r="A8957" s="10"/>
      <c r="B8957" s="10"/>
      <c r="C8957" s="10"/>
      <c r="D8957" s="10"/>
      <c r="E8957" s="10"/>
      <c r="F8957" s="10"/>
      <c r="G8957" s="10"/>
      <c r="H8957" s="10"/>
      <c r="I8957" s="10"/>
      <c r="J8957" s="10"/>
      <c r="K8957" s="10"/>
      <c r="L8957" s="10"/>
      <c r="M8957" s="10"/>
      <c r="N8957" s="10"/>
      <c r="O8957" s="10"/>
      <c r="P8957" s="10"/>
      <c r="Q8957" s="10"/>
      <c r="R8957" s="10"/>
      <c r="S8957" s="10"/>
      <c r="T8957" s="10"/>
      <c r="U8957" s="10"/>
      <c r="V8957" s="10"/>
      <c r="W8957" s="10"/>
      <c r="X8957" s="10"/>
      <c r="Y8957" s="10"/>
      <c r="Z8957" s="10"/>
    </row>
    <row r="8958" spans="1:26" ht="12.75">
      <c r="A8958" s="10"/>
      <c r="B8958" s="10"/>
      <c r="C8958" s="10"/>
      <c r="D8958" s="10"/>
      <c r="E8958" s="10"/>
      <c r="F8958" s="10"/>
      <c r="G8958" s="10"/>
      <c r="H8958" s="10"/>
      <c r="I8958" s="10"/>
      <c r="J8958" s="10"/>
      <c r="K8958" s="10"/>
      <c r="L8958" s="10"/>
      <c r="M8958" s="10"/>
      <c r="N8958" s="10"/>
      <c r="O8958" s="10"/>
      <c r="P8958" s="10"/>
      <c r="Q8958" s="10"/>
      <c r="R8958" s="10"/>
      <c r="S8958" s="10"/>
      <c r="T8958" s="10"/>
      <c r="U8958" s="10"/>
      <c r="V8958" s="10"/>
      <c r="W8958" s="10"/>
      <c r="X8958" s="10"/>
      <c r="Y8958" s="10"/>
      <c r="Z8958" s="10"/>
    </row>
    <row r="8959" spans="1:26" ht="12.75">
      <c r="A8959" s="10"/>
      <c r="B8959" s="10"/>
      <c r="C8959" s="10"/>
      <c r="D8959" s="10"/>
      <c r="E8959" s="10"/>
      <c r="F8959" s="10"/>
      <c r="G8959" s="10"/>
      <c r="H8959" s="10"/>
      <c r="I8959" s="10"/>
      <c r="J8959" s="10"/>
      <c r="K8959" s="10"/>
      <c r="L8959" s="10"/>
      <c r="M8959" s="10"/>
      <c r="N8959" s="10"/>
      <c r="O8959" s="10"/>
      <c r="P8959" s="10"/>
      <c r="Q8959" s="10"/>
      <c r="R8959" s="10"/>
      <c r="S8959" s="10"/>
      <c r="T8959" s="10"/>
      <c r="U8959" s="10"/>
      <c r="V8959" s="10"/>
      <c r="W8959" s="10"/>
      <c r="X8959" s="10"/>
      <c r="Y8959" s="10"/>
      <c r="Z8959" s="10"/>
    </row>
    <row r="8960" spans="1:26" ht="12.75">
      <c r="A8960" s="10"/>
      <c r="B8960" s="10"/>
      <c r="C8960" s="10"/>
      <c r="D8960" s="10"/>
      <c r="E8960" s="10"/>
      <c r="F8960" s="10"/>
      <c r="G8960" s="10"/>
      <c r="H8960" s="10"/>
      <c r="I8960" s="10"/>
      <c r="J8960" s="10"/>
      <c r="K8960" s="10"/>
      <c r="L8960" s="10"/>
      <c r="M8960" s="10"/>
      <c r="N8960" s="10"/>
      <c r="O8960" s="10"/>
      <c r="P8960" s="10"/>
      <c r="Q8960" s="10"/>
      <c r="R8960" s="10"/>
      <c r="S8960" s="10"/>
      <c r="T8960" s="10"/>
      <c r="U8960" s="10"/>
      <c r="V8960" s="10"/>
      <c r="W8960" s="10"/>
      <c r="X8960" s="10"/>
      <c r="Y8960" s="10"/>
      <c r="Z8960" s="10"/>
    </row>
    <row r="8961" spans="1:26" ht="12.75">
      <c r="A8961" s="10"/>
      <c r="B8961" s="10"/>
      <c r="C8961" s="10"/>
      <c r="D8961" s="10"/>
      <c r="E8961" s="10"/>
      <c r="F8961" s="10"/>
      <c r="G8961" s="10"/>
      <c r="H8961" s="10"/>
      <c r="I8961" s="10"/>
      <c r="J8961" s="10"/>
      <c r="K8961" s="10"/>
      <c r="L8961" s="10"/>
      <c r="M8961" s="10"/>
      <c r="N8961" s="10"/>
      <c r="O8961" s="10"/>
      <c r="P8961" s="10"/>
      <c r="Q8961" s="10"/>
      <c r="R8961" s="10"/>
      <c r="S8961" s="10"/>
      <c r="T8961" s="10"/>
      <c r="U8961" s="10"/>
      <c r="V8961" s="10"/>
      <c r="W8961" s="10"/>
      <c r="X8961" s="10"/>
      <c r="Y8961" s="10"/>
      <c r="Z8961" s="10"/>
    </row>
    <row r="8962" spans="1:26" ht="12.75">
      <c r="A8962" s="10"/>
      <c r="B8962" s="10"/>
      <c r="C8962" s="10"/>
      <c r="D8962" s="10"/>
      <c r="E8962" s="10"/>
      <c r="F8962" s="10"/>
      <c r="G8962" s="10"/>
      <c r="H8962" s="10"/>
      <c r="I8962" s="10"/>
      <c r="J8962" s="10"/>
      <c r="K8962" s="10"/>
      <c r="L8962" s="10"/>
      <c r="M8962" s="10"/>
      <c r="N8962" s="10"/>
      <c r="O8962" s="10"/>
      <c r="P8962" s="10"/>
      <c r="Q8962" s="10"/>
      <c r="R8962" s="10"/>
      <c r="S8962" s="10"/>
      <c r="T8962" s="10"/>
      <c r="U8962" s="10"/>
      <c r="V8962" s="10"/>
      <c r="W8962" s="10"/>
      <c r="X8962" s="10"/>
      <c r="Y8962" s="10"/>
      <c r="Z8962" s="10"/>
    </row>
    <row r="8963" spans="1:26" ht="12.75">
      <c r="A8963" s="10"/>
      <c r="B8963" s="10"/>
      <c r="C8963" s="10"/>
      <c r="D8963" s="10"/>
      <c r="E8963" s="10"/>
      <c r="F8963" s="10"/>
      <c r="G8963" s="10"/>
      <c r="H8963" s="10"/>
      <c r="I8963" s="10"/>
      <c r="J8963" s="10"/>
      <c r="K8963" s="10"/>
      <c r="L8963" s="10"/>
      <c r="M8963" s="10"/>
      <c r="N8963" s="10"/>
      <c r="O8963" s="10"/>
      <c r="P8963" s="10"/>
      <c r="Q8963" s="10"/>
      <c r="R8963" s="10"/>
      <c r="S8963" s="10"/>
      <c r="T8963" s="10"/>
      <c r="U8963" s="10"/>
      <c r="V8963" s="10"/>
      <c r="W8963" s="10"/>
      <c r="X8963" s="10"/>
      <c r="Y8963" s="10"/>
      <c r="Z8963" s="10"/>
    </row>
    <row r="8964" spans="1:26" ht="12.75">
      <c r="A8964" s="10"/>
      <c r="B8964" s="10"/>
      <c r="C8964" s="10"/>
      <c r="D8964" s="10"/>
      <c r="E8964" s="10"/>
      <c r="F8964" s="10"/>
      <c r="G8964" s="10"/>
      <c r="H8964" s="10"/>
      <c r="I8964" s="10"/>
      <c r="J8964" s="10"/>
      <c r="K8964" s="10"/>
      <c r="L8964" s="10"/>
      <c r="M8964" s="10"/>
      <c r="N8964" s="10"/>
      <c r="O8964" s="10"/>
      <c r="P8964" s="10"/>
      <c r="Q8964" s="10"/>
      <c r="R8964" s="10"/>
      <c r="S8964" s="10"/>
      <c r="T8964" s="10"/>
      <c r="U8964" s="10"/>
      <c r="V8964" s="10"/>
      <c r="W8964" s="10"/>
      <c r="X8964" s="10"/>
      <c r="Y8964" s="10"/>
      <c r="Z8964" s="10"/>
    </row>
    <row r="8965" spans="1:26" ht="12.75">
      <c r="A8965" s="10"/>
      <c r="B8965" s="10"/>
      <c r="C8965" s="10"/>
      <c r="D8965" s="10"/>
      <c r="E8965" s="10"/>
      <c r="F8965" s="10"/>
      <c r="G8965" s="10"/>
      <c r="H8965" s="10"/>
      <c r="I8965" s="10"/>
      <c r="J8965" s="10"/>
      <c r="K8965" s="10"/>
      <c r="L8965" s="10"/>
      <c r="M8965" s="10"/>
      <c r="N8965" s="10"/>
      <c r="O8965" s="10"/>
      <c r="P8965" s="10"/>
      <c r="Q8965" s="10"/>
      <c r="R8965" s="10"/>
      <c r="S8965" s="10"/>
      <c r="T8965" s="10"/>
      <c r="U8965" s="10"/>
      <c r="V8965" s="10"/>
      <c r="W8965" s="10"/>
      <c r="X8965" s="10"/>
      <c r="Y8965" s="10"/>
      <c r="Z8965" s="10"/>
    </row>
    <row r="8966" spans="1:26" ht="12.75">
      <c r="A8966" s="10"/>
      <c r="B8966" s="10"/>
      <c r="C8966" s="10"/>
      <c r="D8966" s="10"/>
      <c r="E8966" s="10"/>
      <c r="F8966" s="10"/>
      <c r="G8966" s="10"/>
      <c r="H8966" s="10"/>
      <c r="I8966" s="10"/>
      <c r="J8966" s="10"/>
      <c r="K8966" s="10"/>
      <c r="L8966" s="10"/>
      <c r="M8966" s="10"/>
      <c r="N8966" s="10"/>
      <c r="O8966" s="10"/>
      <c r="P8966" s="10"/>
      <c r="Q8966" s="10"/>
      <c r="R8966" s="10"/>
      <c r="S8966" s="10"/>
      <c r="T8966" s="10"/>
      <c r="U8966" s="10"/>
      <c r="V8966" s="10"/>
      <c r="W8966" s="10"/>
      <c r="X8966" s="10"/>
      <c r="Y8966" s="10"/>
      <c r="Z8966" s="10"/>
    </row>
    <row r="8967" spans="1:26" ht="12.75">
      <c r="A8967" s="10"/>
      <c r="B8967" s="10"/>
      <c r="C8967" s="10"/>
      <c r="D8967" s="10"/>
      <c r="E8967" s="10"/>
      <c r="F8967" s="10"/>
      <c r="G8967" s="10"/>
      <c r="H8967" s="10"/>
      <c r="I8967" s="10"/>
      <c r="J8967" s="10"/>
      <c r="K8967" s="10"/>
      <c r="L8967" s="10"/>
      <c r="M8967" s="10"/>
      <c r="N8967" s="10"/>
      <c r="O8967" s="10"/>
      <c r="P8967" s="10"/>
      <c r="Q8967" s="10"/>
      <c r="R8967" s="10"/>
      <c r="S8967" s="10"/>
      <c r="T8967" s="10"/>
      <c r="U8967" s="10"/>
      <c r="V8967" s="10"/>
      <c r="W8967" s="10"/>
      <c r="X8967" s="10"/>
      <c r="Y8967" s="10"/>
      <c r="Z8967" s="10"/>
    </row>
    <row r="8968" spans="1:26" ht="12.75">
      <c r="A8968" s="10"/>
      <c r="B8968" s="10"/>
      <c r="C8968" s="10"/>
      <c r="D8968" s="10"/>
      <c r="E8968" s="10"/>
      <c r="F8968" s="10"/>
      <c r="G8968" s="10"/>
      <c r="H8968" s="10"/>
      <c r="I8968" s="10"/>
      <c r="J8968" s="10"/>
      <c r="K8968" s="10"/>
      <c r="L8968" s="10"/>
      <c r="M8968" s="10"/>
      <c r="N8968" s="10"/>
      <c r="O8968" s="10"/>
      <c r="P8968" s="10"/>
      <c r="Q8968" s="10"/>
      <c r="R8968" s="10"/>
      <c r="S8968" s="10"/>
      <c r="T8968" s="10"/>
      <c r="U8968" s="10"/>
      <c r="V8968" s="10"/>
      <c r="W8968" s="10"/>
      <c r="X8968" s="10"/>
      <c r="Y8968" s="10"/>
      <c r="Z8968" s="10"/>
    </row>
    <row r="8969" spans="1:26" ht="12.75">
      <c r="A8969" s="10"/>
      <c r="B8969" s="10"/>
      <c r="C8969" s="10"/>
      <c r="D8969" s="10"/>
      <c r="E8969" s="10"/>
      <c r="F8969" s="10"/>
      <c r="G8969" s="10"/>
      <c r="H8969" s="10"/>
      <c r="I8969" s="10"/>
      <c r="J8969" s="10"/>
      <c r="K8969" s="10"/>
      <c r="L8969" s="10"/>
      <c r="M8969" s="10"/>
      <c r="N8969" s="10"/>
      <c r="O8969" s="10"/>
      <c r="P8969" s="10"/>
      <c r="Q8969" s="10"/>
      <c r="R8969" s="10"/>
      <c r="S8969" s="10"/>
      <c r="T8969" s="10"/>
      <c r="U8969" s="10"/>
      <c r="V8969" s="10"/>
      <c r="W8969" s="10"/>
      <c r="X8969" s="10"/>
      <c r="Y8969" s="10"/>
      <c r="Z8969" s="10"/>
    </row>
    <row r="8970" spans="1:26" ht="12.75">
      <c r="A8970" s="10"/>
      <c r="B8970" s="10"/>
      <c r="C8970" s="10"/>
      <c r="D8970" s="10"/>
      <c r="E8970" s="10"/>
      <c r="F8970" s="10"/>
      <c r="G8970" s="10"/>
      <c r="H8970" s="10"/>
      <c r="I8970" s="10"/>
      <c r="J8970" s="10"/>
      <c r="K8970" s="10"/>
      <c r="L8970" s="10"/>
      <c r="M8970" s="10"/>
      <c r="N8970" s="10"/>
      <c r="O8970" s="10"/>
      <c r="P8970" s="10"/>
      <c r="Q8970" s="10"/>
      <c r="R8970" s="10"/>
      <c r="S8970" s="10"/>
      <c r="T8970" s="10"/>
      <c r="U8970" s="10"/>
      <c r="V8970" s="10"/>
      <c r="W8970" s="10"/>
      <c r="X8970" s="10"/>
      <c r="Y8970" s="10"/>
      <c r="Z8970" s="10"/>
    </row>
    <row r="8971" spans="1:26" ht="12.75">
      <c r="A8971" s="10"/>
      <c r="B8971" s="10"/>
      <c r="C8971" s="10"/>
      <c r="D8971" s="10"/>
      <c r="E8971" s="10"/>
      <c r="F8971" s="10"/>
      <c r="G8971" s="10"/>
      <c r="H8971" s="10"/>
      <c r="I8971" s="10"/>
      <c r="J8971" s="10"/>
      <c r="K8971" s="10"/>
      <c r="L8971" s="10"/>
      <c r="M8971" s="10"/>
      <c r="N8971" s="10"/>
      <c r="O8971" s="10"/>
      <c r="P8971" s="10"/>
      <c r="Q8971" s="10"/>
      <c r="R8971" s="10"/>
      <c r="S8971" s="10"/>
      <c r="T8971" s="10"/>
      <c r="U8971" s="10"/>
      <c r="V8971" s="10"/>
      <c r="W8971" s="10"/>
      <c r="X8971" s="10"/>
      <c r="Y8971" s="10"/>
      <c r="Z8971" s="10"/>
    </row>
    <row r="8972" spans="1:26" ht="12.75">
      <c r="A8972" s="10"/>
      <c r="B8972" s="10"/>
      <c r="C8972" s="10"/>
      <c r="D8972" s="10"/>
      <c r="E8972" s="10"/>
      <c r="F8972" s="10"/>
      <c r="G8972" s="10"/>
      <c r="H8972" s="10"/>
      <c r="I8972" s="10"/>
      <c r="J8972" s="10"/>
      <c r="K8972" s="10"/>
      <c r="L8972" s="10"/>
      <c r="M8972" s="10"/>
      <c r="N8972" s="10"/>
      <c r="O8972" s="10"/>
      <c r="P8972" s="10"/>
      <c r="Q8972" s="10"/>
      <c r="R8972" s="10"/>
      <c r="S8972" s="10"/>
      <c r="T8972" s="10"/>
      <c r="U8972" s="10"/>
      <c r="V8972" s="10"/>
      <c r="W8972" s="10"/>
      <c r="X8972" s="10"/>
      <c r="Y8972" s="10"/>
      <c r="Z8972" s="10"/>
    </row>
    <row r="8973" spans="1:26" ht="12.75">
      <c r="A8973" s="10"/>
      <c r="B8973" s="10"/>
      <c r="C8973" s="10"/>
      <c r="D8973" s="10"/>
      <c r="E8973" s="10"/>
      <c r="F8973" s="10"/>
      <c r="G8973" s="10"/>
      <c r="H8973" s="10"/>
      <c r="I8973" s="10"/>
      <c r="J8973" s="10"/>
      <c r="K8973" s="10"/>
      <c r="L8973" s="10"/>
      <c r="M8973" s="10"/>
      <c r="N8973" s="10"/>
      <c r="O8973" s="10"/>
      <c r="P8973" s="10"/>
      <c r="Q8973" s="10"/>
      <c r="R8973" s="10"/>
      <c r="S8973" s="10"/>
      <c r="T8973" s="10"/>
      <c r="U8973" s="10"/>
      <c r="V8973" s="10"/>
      <c r="W8973" s="10"/>
      <c r="X8973" s="10"/>
      <c r="Y8973" s="10"/>
      <c r="Z8973" s="10"/>
    </row>
    <row r="8974" spans="1:26" ht="12.75">
      <c r="A8974" s="10"/>
      <c r="B8974" s="10"/>
      <c r="C8974" s="10"/>
      <c r="D8974" s="10"/>
      <c r="E8974" s="10"/>
      <c r="F8974" s="10"/>
      <c r="G8974" s="10"/>
      <c r="H8974" s="10"/>
      <c r="I8974" s="10"/>
      <c r="J8974" s="10"/>
      <c r="K8974" s="10"/>
      <c r="L8974" s="10"/>
      <c r="M8974" s="10"/>
      <c r="N8974" s="10"/>
      <c r="O8974" s="10"/>
      <c r="P8974" s="10"/>
      <c r="Q8974" s="10"/>
      <c r="R8974" s="10"/>
      <c r="S8974" s="10"/>
      <c r="T8974" s="10"/>
      <c r="U8974" s="10"/>
      <c r="V8974" s="10"/>
      <c r="W8974" s="10"/>
      <c r="X8974" s="10"/>
      <c r="Y8974" s="10"/>
      <c r="Z8974" s="10"/>
    </row>
    <row r="8975" spans="1:26" ht="12.75">
      <c r="A8975" s="10"/>
      <c r="B8975" s="10"/>
      <c r="C8975" s="10"/>
      <c r="D8975" s="10"/>
      <c r="E8975" s="10"/>
      <c r="F8975" s="10"/>
      <c r="G8975" s="10"/>
      <c r="H8975" s="10"/>
      <c r="I8975" s="10"/>
      <c r="J8975" s="10"/>
      <c r="K8975" s="10"/>
      <c r="L8975" s="10"/>
      <c r="M8975" s="10"/>
      <c r="N8975" s="10"/>
      <c r="O8975" s="10"/>
      <c r="P8975" s="10"/>
      <c r="Q8975" s="10"/>
      <c r="R8975" s="10"/>
      <c r="S8975" s="10"/>
      <c r="T8975" s="10"/>
      <c r="U8975" s="10"/>
      <c r="V8975" s="10"/>
      <c r="W8975" s="10"/>
      <c r="X8975" s="10"/>
      <c r="Y8975" s="10"/>
      <c r="Z8975" s="10"/>
    </row>
    <row r="8976" spans="1:26" ht="12.75">
      <c r="A8976" s="10"/>
      <c r="B8976" s="10"/>
      <c r="C8976" s="10"/>
      <c r="D8976" s="10"/>
      <c r="E8976" s="10"/>
      <c r="F8976" s="10"/>
      <c r="G8976" s="10"/>
      <c r="H8976" s="10"/>
      <c r="I8976" s="10"/>
      <c r="J8976" s="10"/>
      <c r="K8976" s="10"/>
      <c r="L8976" s="10"/>
      <c r="M8976" s="10"/>
      <c r="N8976" s="10"/>
      <c r="O8976" s="10"/>
      <c r="P8976" s="10"/>
      <c r="Q8976" s="10"/>
      <c r="R8976" s="10"/>
      <c r="S8976" s="10"/>
      <c r="T8976" s="10"/>
      <c r="U8976" s="10"/>
      <c r="V8976" s="10"/>
      <c r="W8976" s="10"/>
      <c r="X8976" s="10"/>
      <c r="Y8976" s="10"/>
      <c r="Z8976" s="10"/>
    </row>
    <row r="8977" spans="1:26" ht="12.75">
      <c r="A8977" s="10"/>
      <c r="B8977" s="10"/>
      <c r="C8977" s="10"/>
      <c r="D8977" s="10"/>
      <c r="E8977" s="10"/>
      <c r="F8977" s="10"/>
      <c r="G8977" s="10"/>
      <c r="H8977" s="10"/>
      <c r="I8977" s="10"/>
      <c r="J8977" s="10"/>
      <c r="K8977" s="10"/>
      <c r="L8977" s="10"/>
      <c r="M8977" s="10"/>
      <c r="N8977" s="10"/>
      <c r="O8977" s="10"/>
      <c r="P8977" s="10"/>
      <c r="Q8977" s="10"/>
      <c r="R8977" s="10"/>
      <c r="S8977" s="10"/>
      <c r="T8977" s="10"/>
      <c r="U8977" s="10"/>
      <c r="V8977" s="10"/>
      <c r="W8977" s="10"/>
      <c r="X8977" s="10"/>
      <c r="Y8977" s="10"/>
      <c r="Z8977" s="10"/>
    </row>
    <row r="8978" spans="1:26" ht="12.75">
      <c r="A8978" s="10"/>
      <c r="B8978" s="10"/>
      <c r="C8978" s="10"/>
      <c r="D8978" s="10"/>
      <c r="E8978" s="10"/>
      <c r="F8978" s="10"/>
      <c r="G8978" s="10"/>
      <c r="H8978" s="10"/>
      <c r="I8978" s="10"/>
      <c r="J8978" s="10"/>
      <c r="K8978" s="10"/>
      <c r="L8978" s="10"/>
      <c r="M8978" s="10"/>
      <c r="N8978" s="10"/>
      <c r="O8978" s="10"/>
      <c r="P8978" s="10"/>
      <c r="Q8978" s="10"/>
      <c r="R8978" s="10"/>
      <c r="S8978" s="10"/>
      <c r="T8978" s="10"/>
      <c r="U8978" s="10"/>
      <c r="V8978" s="10"/>
      <c r="W8978" s="10"/>
      <c r="X8978" s="10"/>
      <c r="Y8978" s="10"/>
      <c r="Z8978" s="10"/>
    </row>
    <row r="8979" spans="1:26" ht="12.75">
      <c r="A8979" s="10"/>
      <c r="B8979" s="10"/>
      <c r="C8979" s="10"/>
      <c r="D8979" s="10"/>
      <c r="E8979" s="10"/>
      <c r="F8979" s="10"/>
      <c r="G8979" s="10"/>
      <c r="H8979" s="10"/>
      <c r="I8979" s="10"/>
      <c r="J8979" s="10"/>
      <c r="K8979" s="10"/>
      <c r="L8979" s="10"/>
      <c r="M8979" s="10"/>
      <c r="N8979" s="10"/>
      <c r="O8979" s="10"/>
      <c r="P8979" s="10"/>
      <c r="Q8979" s="10"/>
      <c r="R8979" s="10"/>
      <c r="S8979" s="10"/>
      <c r="T8979" s="10"/>
      <c r="U8979" s="10"/>
      <c r="V8979" s="10"/>
      <c r="W8979" s="10"/>
      <c r="X8979" s="10"/>
      <c r="Y8979" s="10"/>
      <c r="Z8979" s="10"/>
    </row>
    <row r="8980" spans="1:26" ht="12.75">
      <c r="A8980" s="10"/>
      <c r="B8980" s="10"/>
      <c r="C8980" s="10"/>
      <c r="D8980" s="10"/>
      <c r="E8980" s="10"/>
      <c r="F8980" s="10"/>
      <c r="G8980" s="10"/>
      <c r="H8980" s="10"/>
      <c r="I8980" s="10"/>
      <c r="J8980" s="10"/>
      <c r="K8980" s="10"/>
      <c r="L8980" s="10"/>
      <c r="M8980" s="10"/>
      <c r="N8980" s="10"/>
      <c r="O8980" s="10"/>
      <c r="P8980" s="10"/>
      <c r="Q8980" s="10"/>
      <c r="R8980" s="10"/>
      <c r="S8980" s="10"/>
      <c r="T8980" s="10"/>
      <c r="U8980" s="10"/>
      <c r="V8980" s="10"/>
      <c r="W8980" s="10"/>
      <c r="X8980" s="10"/>
      <c r="Y8980" s="10"/>
      <c r="Z8980" s="10"/>
    </row>
    <row r="8981" spans="1:26" ht="12.75">
      <c r="A8981" s="10"/>
      <c r="B8981" s="10"/>
      <c r="C8981" s="10"/>
      <c r="D8981" s="10"/>
      <c r="E8981" s="10"/>
      <c r="F8981" s="10"/>
      <c r="G8981" s="10"/>
      <c r="H8981" s="10"/>
      <c r="I8981" s="10"/>
      <c r="J8981" s="10"/>
      <c r="K8981" s="10"/>
      <c r="L8981" s="10"/>
      <c r="M8981" s="10"/>
      <c r="N8981" s="10"/>
      <c r="O8981" s="10"/>
      <c r="P8981" s="10"/>
      <c r="Q8981" s="10"/>
      <c r="R8981" s="10"/>
      <c r="S8981" s="10"/>
      <c r="T8981" s="10"/>
      <c r="U8981" s="10"/>
      <c r="V8981" s="10"/>
      <c r="W8981" s="10"/>
      <c r="X8981" s="10"/>
      <c r="Y8981" s="10"/>
      <c r="Z8981" s="10"/>
    </row>
    <row r="8982" spans="1:26" ht="12.75">
      <c r="A8982" s="10"/>
      <c r="B8982" s="10"/>
      <c r="C8982" s="10"/>
      <c r="D8982" s="10"/>
      <c r="E8982" s="10"/>
      <c r="F8982" s="10"/>
      <c r="G8982" s="10"/>
      <c r="H8982" s="10"/>
      <c r="I8982" s="10"/>
      <c r="J8982" s="10"/>
      <c r="K8982" s="10"/>
      <c r="L8982" s="10"/>
      <c r="M8982" s="10"/>
      <c r="N8982" s="10"/>
      <c r="O8982" s="10"/>
      <c r="P8982" s="10"/>
      <c r="Q8982" s="10"/>
      <c r="R8982" s="10"/>
      <c r="S8982" s="10"/>
      <c r="T8982" s="10"/>
      <c r="U8982" s="10"/>
      <c r="V8982" s="10"/>
      <c r="W8982" s="10"/>
      <c r="X8982" s="10"/>
      <c r="Y8982" s="10"/>
      <c r="Z8982" s="10"/>
    </row>
    <row r="8983" spans="1:26" ht="12.75">
      <c r="A8983" s="10"/>
      <c r="B8983" s="10"/>
      <c r="C8983" s="10"/>
      <c r="D8983" s="10"/>
      <c r="E8983" s="10"/>
      <c r="F8983" s="10"/>
      <c r="G8983" s="10"/>
      <c r="H8983" s="10"/>
      <c r="I8983" s="10"/>
      <c r="J8983" s="10"/>
      <c r="K8983" s="10"/>
      <c r="L8983" s="10"/>
      <c r="M8983" s="10"/>
      <c r="N8983" s="10"/>
      <c r="O8983" s="10"/>
      <c r="P8983" s="10"/>
      <c r="Q8983" s="10"/>
      <c r="R8983" s="10"/>
      <c r="S8983" s="10"/>
      <c r="T8983" s="10"/>
      <c r="U8983" s="10"/>
      <c r="V8983" s="10"/>
      <c r="W8983" s="10"/>
      <c r="X8983" s="10"/>
      <c r="Y8983" s="10"/>
      <c r="Z8983" s="10"/>
    </row>
    <row r="8984" spans="1:26" ht="12.75">
      <c r="A8984" s="10"/>
      <c r="B8984" s="10"/>
      <c r="C8984" s="10"/>
      <c r="D8984" s="10"/>
      <c r="E8984" s="10"/>
      <c r="F8984" s="10"/>
      <c r="G8984" s="10"/>
      <c r="H8984" s="10"/>
      <c r="I8984" s="10"/>
      <c r="J8984" s="10"/>
      <c r="K8984" s="10"/>
      <c r="L8984" s="10"/>
      <c r="M8984" s="10"/>
      <c r="N8984" s="10"/>
      <c r="O8984" s="10"/>
      <c r="P8984" s="10"/>
      <c r="Q8984" s="10"/>
      <c r="R8984" s="10"/>
      <c r="S8984" s="10"/>
      <c r="T8984" s="10"/>
      <c r="U8984" s="10"/>
      <c r="V8984" s="10"/>
      <c r="W8984" s="10"/>
      <c r="X8984" s="10"/>
      <c r="Y8984" s="10"/>
      <c r="Z8984" s="10"/>
    </row>
    <row r="8985" spans="1:26" ht="12.75">
      <c r="A8985" s="10"/>
      <c r="B8985" s="10"/>
      <c r="C8985" s="10"/>
      <c r="D8985" s="10"/>
      <c r="E8985" s="10"/>
      <c r="F8985" s="10"/>
      <c r="G8985" s="10"/>
      <c r="H8985" s="10"/>
      <c r="I8985" s="10"/>
      <c r="J8985" s="10"/>
      <c r="K8985" s="10"/>
      <c r="L8985" s="10"/>
      <c r="M8985" s="10"/>
      <c r="N8985" s="10"/>
      <c r="O8985" s="10"/>
      <c r="P8985" s="10"/>
      <c r="Q8985" s="10"/>
      <c r="R8985" s="10"/>
      <c r="S8985" s="10"/>
      <c r="T8985" s="10"/>
      <c r="U8985" s="10"/>
      <c r="V8985" s="10"/>
      <c r="W8985" s="10"/>
      <c r="X8985" s="10"/>
      <c r="Y8985" s="10"/>
      <c r="Z8985" s="10"/>
    </row>
    <row r="8986" spans="1:26" ht="12.75">
      <c r="A8986" s="10"/>
      <c r="B8986" s="10"/>
      <c r="C8986" s="10"/>
      <c r="D8986" s="10"/>
      <c r="E8986" s="10"/>
      <c r="F8986" s="10"/>
      <c r="G8986" s="10"/>
      <c r="H8986" s="10"/>
      <c r="I8986" s="10"/>
      <c r="J8986" s="10"/>
      <c r="K8986" s="10"/>
      <c r="L8986" s="10"/>
      <c r="M8986" s="10"/>
      <c r="N8986" s="10"/>
      <c r="O8986" s="10"/>
      <c r="P8986" s="10"/>
      <c r="Q8986" s="10"/>
      <c r="R8986" s="10"/>
      <c r="S8986" s="10"/>
      <c r="T8986" s="10"/>
      <c r="U8986" s="10"/>
      <c r="V8986" s="10"/>
      <c r="W8986" s="10"/>
      <c r="X8986" s="10"/>
      <c r="Y8986" s="10"/>
      <c r="Z8986" s="10"/>
    </row>
    <row r="8987" spans="1:26" ht="12.75">
      <c r="A8987" s="10"/>
      <c r="B8987" s="10"/>
      <c r="C8987" s="10"/>
      <c r="D8987" s="10"/>
      <c r="E8987" s="10"/>
      <c r="F8987" s="10"/>
      <c r="G8987" s="10"/>
      <c r="H8987" s="10"/>
      <c r="I8987" s="10"/>
      <c r="J8987" s="10"/>
      <c r="K8987" s="10"/>
      <c r="L8987" s="10"/>
      <c r="M8987" s="10"/>
      <c r="N8987" s="10"/>
      <c r="O8987" s="10"/>
      <c r="P8987" s="10"/>
      <c r="Q8987" s="10"/>
      <c r="R8987" s="10"/>
      <c r="S8987" s="10"/>
      <c r="T8987" s="10"/>
      <c r="U8987" s="10"/>
      <c r="V8987" s="10"/>
      <c r="W8987" s="10"/>
      <c r="X8987" s="10"/>
      <c r="Y8987" s="10"/>
      <c r="Z8987" s="10"/>
    </row>
    <row r="8988" spans="1:26" ht="12.75">
      <c r="A8988" s="10"/>
      <c r="B8988" s="10"/>
      <c r="C8988" s="10"/>
      <c r="D8988" s="10"/>
      <c r="E8988" s="10"/>
      <c r="F8988" s="10"/>
      <c r="G8988" s="10"/>
      <c r="H8988" s="10"/>
      <c r="I8988" s="10"/>
      <c r="J8988" s="10"/>
      <c r="K8988" s="10"/>
      <c r="L8988" s="10"/>
      <c r="M8988" s="10"/>
      <c r="N8988" s="10"/>
      <c r="O8988" s="10"/>
      <c r="P8988" s="10"/>
      <c r="Q8988" s="10"/>
      <c r="R8988" s="10"/>
      <c r="S8988" s="10"/>
      <c r="T8988" s="10"/>
      <c r="U8988" s="10"/>
      <c r="V8988" s="10"/>
      <c r="W8988" s="10"/>
      <c r="X8988" s="10"/>
      <c r="Y8988" s="10"/>
      <c r="Z8988" s="10"/>
    </row>
    <row r="8989" spans="1:26" ht="12.75">
      <c r="A8989" s="10"/>
      <c r="B8989" s="10"/>
      <c r="C8989" s="10"/>
      <c r="D8989" s="10"/>
      <c r="E8989" s="10"/>
      <c r="F8989" s="10"/>
      <c r="G8989" s="10"/>
      <c r="H8989" s="10"/>
      <c r="I8989" s="10"/>
      <c r="J8989" s="10"/>
      <c r="K8989" s="10"/>
      <c r="L8989" s="10"/>
      <c r="M8989" s="10"/>
      <c r="N8989" s="10"/>
      <c r="O8989" s="10"/>
      <c r="P8989" s="10"/>
      <c r="Q8989" s="10"/>
      <c r="R8989" s="10"/>
      <c r="S8989" s="10"/>
      <c r="T8989" s="10"/>
      <c r="U8989" s="10"/>
      <c r="V8989" s="10"/>
      <c r="W8989" s="10"/>
      <c r="X8989" s="10"/>
      <c r="Y8989" s="10"/>
      <c r="Z8989" s="10"/>
    </row>
    <row r="8990" spans="1:26" ht="12.75">
      <c r="A8990" s="10"/>
      <c r="B8990" s="10"/>
      <c r="C8990" s="10"/>
      <c r="D8990" s="10"/>
      <c r="E8990" s="10"/>
      <c r="F8990" s="10"/>
      <c r="G8990" s="10"/>
      <c r="H8990" s="10"/>
      <c r="I8990" s="10"/>
      <c r="J8990" s="10"/>
      <c r="K8990" s="10"/>
      <c r="L8990" s="10"/>
      <c r="M8990" s="10"/>
      <c r="N8990" s="10"/>
      <c r="O8990" s="10"/>
      <c r="P8990" s="10"/>
      <c r="Q8990" s="10"/>
      <c r="R8990" s="10"/>
      <c r="S8990" s="10"/>
      <c r="T8990" s="10"/>
      <c r="U8990" s="10"/>
      <c r="V8990" s="10"/>
      <c r="W8990" s="10"/>
      <c r="X8990" s="10"/>
      <c r="Y8990" s="10"/>
      <c r="Z8990" s="10"/>
    </row>
    <row r="8991" spans="1:26" ht="12.75">
      <c r="A8991" s="10"/>
      <c r="B8991" s="10"/>
      <c r="C8991" s="10"/>
      <c r="D8991" s="10"/>
      <c r="E8991" s="10"/>
      <c r="F8991" s="10"/>
      <c r="G8991" s="10"/>
      <c r="H8991" s="10"/>
      <c r="I8991" s="10"/>
      <c r="J8991" s="10"/>
      <c r="K8991" s="10"/>
      <c r="L8991" s="10"/>
      <c r="M8991" s="10"/>
      <c r="N8991" s="10"/>
      <c r="O8991" s="10"/>
      <c r="P8991" s="10"/>
      <c r="Q8991" s="10"/>
      <c r="R8991" s="10"/>
      <c r="S8991" s="10"/>
      <c r="T8991" s="10"/>
      <c r="U8991" s="10"/>
      <c r="V8991" s="10"/>
      <c r="W8991" s="10"/>
      <c r="X8991" s="10"/>
      <c r="Y8991" s="10"/>
      <c r="Z8991" s="10"/>
    </row>
    <row r="8992" spans="1:26" ht="12.75">
      <c r="A8992" s="10"/>
      <c r="B8992" s="10"/>
      <c r="C8992" s="10"/>
      <c r="D8992" s="10"/>
      <c r="E8992" s="10"/>
      <c r="F8992" s="10"/>
      <c r="G8992" s="10"/>
      <c r="H8992" s="10"/>
      <c r="I8992" s="10"/>
      <c r="J8992" s="10"/>
      <c r="K8992" s="10"/>
      <c r="L8992" s="10"/>
      <c r="M8992" s="10"/>
      <c r="N8992" s="10"/>
      <c r="O8992" s="10"/>
      <c r="P8992" s="10"/>
      <c r="Q8992" s="10"/>
      <c r="R8992" s="10"/>
      <c r="S8992" s="10"/>
      <c r="T8992" s="10"/>
      <c r="U8992" s="10"/>
      <c r="V8992" s="10"/>
      <c r="W8992" s="10"/>
      <c r="X8992" s="10"/>
      <c r="Y8992" s="10"/>
      <c r="Z8992" s="10"/>
    </row>
    <row r="8993" spans="1:26" ht="12.75">
      <c r="A8993" s="10"/>
      <c r="B8993" s="10"/>
      <c r="C8993" s="10"/>
      <c r="D8993" s="10"/>
      <c r="E8993" s="10"/>
      <c r="F8993" s="10"/>
      <c r="G8993" s="10"/>
      <c r="H8993" s="10"/>
      <c r="I8993" s="10"/>
      <c r="J8993" s="10"/>
      <c r="K8993" s="10"/>
      <c r="L8993" s="10"/>
      <c r="M8993" s="10"/>
      <c r="N8993" s="10"/>
      <c r="O8993" s="10"/>
      <c r="P8993" s="10"/>
      <c r="Q8993" s="10"/>
      <c r="R8993" s="10"/>
      <c r="S8993" s="10"/>
      <c r="T8993" s="10"/>
      <c r="U8993" s="10"/>
      <c r="V8993" s="10"/>
      <c r="W8993" s="10"/>
      <c r="X8993" s="10"/>
      <c r="Y8993" s="10"/>
      <c r="Z8993" s="10"/>
    </row>
    <row r="8994" spans="1:26" ht="12.75">
      <c r="A8994" s="10"/>
      <c r="B8994" s="10"/>
      <c r="C8994" s="10"/>
      <c r="D8994" s="10"/>
      <c r="E8994" s="10"/>
      <c r="F8994" s="10"/>
      <c r="G8994" s="10"/>
      <c r="H8994" s="10"/>
      <c r="I8994" s="10"/>
      <c r="J8994" s="10"/>
      <c r="K8994" s="10"/>
      <c r="L8994" s="10"/>
      <c r="M8994" s="10"/>
      <c r="N8994" s="10"/>
      <c r="O8994" s="10"/>
      <c r="P8994" s="10"/>
      <c r="Q8994" s="10"/>
      <c r="R8994" s="10"/>
      <c r="S8994" s="10"/>
      <c r="T8994" s="10"/>
      <c r="U8994" s="10"/>
      <c r="V8994" s="10"/>
      <c r="W8994" s="10"/>
      <c r="X8994" s="10"/>
      <c r="Y8994" s="10"/>
      <c r="Z8994" s="10"/>
    </row>
    <row r="8995" spans="1:26" ht="12.75">
      <c r="A8995" s="10"/>
      <c r="B8995" s="10"/>
      <c r="C8995" s="10"/>
      <c r="D8995" s="10"/>
      <c r="E8995" s="10"/>
      <c r="F8995" s="10"/>
      <c r="G8995" s="10"/>
      <c r="H8995" s="10"/>
      <c r="I8995" s="10"/>
      <c r="J8995" s="10"/>
      <c r="K8995" s="10"/>
      <c r="L8995" s="10"/>
      <c r="M8995" s="10"/>
      <c r="N8995" s="10"/>
      <c r="O8995" s="10"/>
      <c r="P8995" s="10"/>
      <c r="Q8995" s="10"/>
      <c r="R8995" s="10"/>
      <c r="S8995" s="10"/>
      <c r="T8995" s="10"/>
      <c r="U8995" s="10"/>
      <c r="V8995" s="10"/>
      <c r="W8995" s="10"/>
      <c r="X8995" s="10"/>
      <c r="Y8995" s="10"/>
      <c r="Z8995" s="10"/>
    </row>
    <row r="8996" spans="1:26" ht="12.75">
      <c r="A8996" s="10"/>
      <c r="B8996" s="10"/>
      <c r="C8996" s="10"/>
      <c r="D8996" s="10"/>
      <c r="E8996" s="10"/>
      <c r="F8996" s="10"/>
      <c r="G8996" s="10"/>
      <c r="H8996" s="10"/>
      <c r="I8996" s="10"/>
      <c r="J8996" s="10"/>
      <c r="K8996" s="10"/>
      <c r="L8996" s="10"/>
      <c r="M8996" s="10"/>
      <c r="N8996" s="10"/>
      <c r="O8996" s="10"/>
      <c r="P8996" s="10"/>
      <c r="Q8996" s="10"/>
      <c r="R8996" s="10"/>
      <c r="S8996" s="10"/>
      <c r="T8996" s="10"/>
      <c r="U8996" s="10"/>
      <c r="V8996" s="10"/>
      <c r="W8996" s="10"/>
      <c r="X8996" s="10"/>
      <c r="Y8996" s="10"/>
      <c r="Z8996" s="10"/>
    </row>
    <row r="8997" spans="1:26" ht="12.75">
      <c r="A8997" s="10"/>
      <c r="B8997" s="10"/>
      <c r="C8997" s="10"/>
      <c r="D8997" s="10"/>
      <c r="E8997" s="10"/>
      <c r="F8997" s="10"/>
      <c r="G8997" s="10"/>
      <c r="H8997" s="10"/>
      <c r="I8997" s="10"/>
      <c r="J8997" s="10"/>
      <c r="K8997" s="10"/>
      <c r="L8997" s="10"/>
      <c r="M8997" s="10"/>
      <c r="N8997" s="10"/>
      <c r="O8997" s="10"/>
      <c r="P8997" s="10"/>
      <c r="Q8997" s="10"/>
      <c r="R8997" s="10"/>
      <c r="S8997" s="10"/>
      <c r="T8997" s="10"/>
      <c r="U8997" s="10"/>
      <c r="V8997" s="10"/>
      <c r="W8997" s="10"/>
      <c r="X8997" s="10"/>
      <c r="Y8997" s="10"/>
      <c r="Z8997" s="10"/>
    </row>
    <row r="8998" spans="1:26" ht="12.75">
      <c r="A8998" s="10"/>
      <c r="B8998" s="10"/>
      <c r="C8998" s="10"/>
      <c r="D8998" s="10"/>
      <c r="E8998" s="10"/>
      <c r="F8998" s="10"/>
      <c r="G8998" s="10"/>
      <c r="H8998" s="10"/>
      <c r="I8998" s="10"/>
      <c r="J8998" s="10"/>
      <c r="K8998" s="10"/>
      <c r="L8998" s="10"/>
      <c r="M8998" s="10"/>
      <c r="N8998" s="10"/>
      <c r="O8998" s="10"/>
      <c r="P8998" s="10"/>
      <c r="Q8998" s="10"/>
      <c r="R8998" s="10"/>
      <c r="S8998" s="10"/>
      <c r="T8998" s="10"/>
      <c r="U8998" s="10"/>
      <c r="V8998" s="10"/>
      <c r="W8998" s="10"/>
      <c r="X8998" s="10"/>
      <c r="Y8998" s="10"/>
      <c r="Z8998" s="10"/>
    </row>
    <row r="8999" spans="1:26" ht="12.75">
      <c r="A8999" s="10"/>
      <c r="B8999" s="10"/>
      <c r="C8999" s="10"/>
      <c r="D8999" s="10"/>
      <c r="E8999" s="10"/>
      <c r="F8999" s="10"/>
      <c r="G8999" s="10"/>
      <c r="H8999" s="10"/>
      <c r="I8999" s="10"/>
      <c r="J8999" s="10"/>
      <c r="K8999" s="10"/>
      <c r="L8999" s="10"/>
      <c r="M8999" s="10"/>
      <c r="N8999" s="10"/>
      <c r="O8999" s="10"/>
      <c r="P8999" s="10"/>
      <c r="Q8999" s="10"/>
      <c r="R8999" s="10"/>
      <c r="S8999" s="10"/>
      <c r="T8999" s="10"/>
      <c r="U8999" s="10"/>
      <c r="V8999" s="10"/>
      <c r="W8999" s="10"/>
      <c r="X8999" s="10"/>
      <c r="Y8999" s="10"/>
      <c r="Z8999" s="10"/>
    </row>
    <row r="9000" spans="1:26" ht="12.75">
      <c r="A9000" s="10"/>
      <c r="B9000" s="10"/>
      <c r="C9000" s="10"/>
      <c r="D9000" s="10"/>
      <c r="E9000" s="10"/>
      <c r="F9000" s="10"/>
      <c r="G9000" s="10"/>
      <c r="H9000" s="10"/>
      <c r="I9000" s="10"/>
      <c r="J9000" s="10"/>
      <c r="K9000" s="10"/>
      <c r="L9000" s="10"/>
      <c r="M9000" s="10"/>
      <c r="N9000" s="10"/>
      <c r="O9000" s="10"/>
      <c r="P9000" s="10"/>
      <c r="Q9000" s="10"/>
      <c r="R9000" s="10"/>
      <c r="S9000" s="10"/>
      <c r="T9000" s="10"/>
      <c r="U9000" s="10"/>
      <c r="V9000" s="10"/>
      <c r="W9000" s="10"/>
      <c r="X9000" s="10"/>
      <c r="Y9000" s="10"/>
      <c r="Z9000" s="10"/>
    </row>
    <row r="9001" spans="1:26" ht="12.75">
      <c r="A9001" s="10"/>
      <c r="B9001" s="10"/>
      <c r="C9001" s="10"/>
      <c r="D9001" s="10"/>
      <c r="E9001" s="10"/>
      <c r="F9001" s="10"/>
      <c r="G9001" s="10"/>
      <c r="H9001" s="10"/>
      <c r="I9001" s="10"/>
      <c r="J9001" s="10"/>
      <c r="K9001" s="10"/>
      <c r="L9001" s="10"/>
      <c r="M9001" s="10"/>
      <c r="N9001" s="10"/>
      <c r="O9001" s="10"/>
      <c r="P9001" s="10"/>
      <c r="Q9001" s="10"/>
      <c r="R9001" s="10"/>
      <c r="S9001" s="10"/>
      <c r="T9001" s="10"/>
      <c r="U9001" s="10"/>
      <c r="V9001" s="10"/>
      <c r="W9001" s="10"/>
      <c r="X9001" s="10"/>
      <c r="Y9001" s="10"/>
      <c r="Z9001" s="10"/>
    </row>
    <row r="9002" spans="1:26" ht="12.75">
      <c r="A9002" s="10"/>
      <c r="B9002" s="10"/>
      <c r="C9002" s="10"/>
      <c r="D9002" s="10"/>
      <c r="E9002" s="10"/>
      <c r="F9002" s="10"/>
      <c r="G9002" s="10"/>
      <c r="H9002" s="10"/>
      <c r="I9002" s="10"/>
      <c r="J9002" s="10"/>
      <c r="K9002" s="10"/>
      <c r="L9002" s="10"/>
      <c r="M9002" s="10"/>
      <c r="N9002" s="10"/>
      <c r="O9002" s="10"/>
      <c r="P9002" s="10"/>
      <c r="Q9002" s="10"/>
      <c r="R9002" s="10"/>
      <c r="S9002" s="10"/>
      <c r="T9002" s="10"/>
      <c r="U9002" s="10"/>
      <c r="V9002" s="10"/>
      <c r="W9002" s="10"/>
      <c r="X9002" s="10"/>
      <c r="Y9002" s="10"/>
      <c r="Z9002" s="10"/>
    </row>
    <row r="9003" spans="1:26" ht="12.75">
      <c r="A9003" s="10"/>
      <c r="B9003" s="10"/>
      <c r="C9003" s="10"/>
      <c r="D9003" s="10"/>
      <c r="E9003" s="10"/>
      <c r="F9003" s="10"/>
      <c r="G9003" s="10"/>
      <c r="H9003" s="10"/>
      <c r="I9003" s="10"/>
      <c r="J9003" s="10"/>
      <c r="K9003" s="10"/>
      <c r="L9003" s="10"/>
      <c r="M9003" s="10"/>
      <c r="N9003" s="10"/>
      <c r="O9003" s="10"/>
      <c r="P9003" s="10"/>
      <c r="Q9003" s="10"/>
      <c r="R9003" s="10"/>
      <c r="S9003" s="10"/>
      <c r="T9003" s="10"/>
      <c r="U9003" s="10"/>
      <c r="V9003" s="10"/>
      <c r="W9003" s="10"/>
      <c r="X9003" s="10"/>
      <c r="Y9003" s="10"/>
      <c r="Z9003" s="10"/>
    </row>
    <row r="9004" spans="1:26" ht="12.75">
      <c r="A9004" s="10"/>
      <c r="B9004" s="10"/>
      <c r="C9004" s="10"/>
      <c r="D9004" s="10"/>
      <c r="E9004" s="10"/>
      <c r="F9004" s="10"/>
      <c r="G9004" s="10"/>
      <c r="H9004" s="10"/>
      <c r="I9004" s="10"/>
      <c r="J9004" s="10"/>
      <c r="K9004" s="10"/>
      <c r="L9004" s="10"/>
      <c r="M9004" s="10"/>
      <c r="N9004" s="10"/>
      <c r="O9004" s="10"/>
      <c r="P9004" s="10"/>
      <c r="Q9004" s="10"/>
      <c r="R9004" s="10"/>
      <c r="S9004" s="10"/>
      <c r="T9004" s="10"/>
      <c r="U9004" s="10"/>
      <c r="V9004" s="10"/>
      <c r="W9004" s="10"/>
      <c r="X9004" s="10"/>
      <c r="Y9004" s="10"/>
      <c r="Z9004" s="10"/>
    </row>
    <row r="9005" spans="1:26" ht="12.75">
      <c r="A9005" s="10"/>
      <c r="B9005" s="10"/>
      <c r="C9005" s="10"/>
      <c r="D9005" s="10"/>
      <c r="E9005" s="10"/>
      <c r="F9005" s="10"/>
      <c r="G9005" s="10"/>
      <c r="H9005" s="10"/>
      <c r="I9005" s="10"/>
      <c r="J9005" s="10"/>
      <c r="K9005" s="10"/>
      <c r="L9005" s="10"/>
      <c r="M9005" s="10"/>
      <c r="N9005" s="10"/>
      <c r="O9005" s="10"/>
      <c r="P9005" s="10"/>
      <c r="Q9005" s="10"/>
      <c r="R9005" s="10"/>
      <c r="S9005" s="10"/>
      <c r="T9005" s="10"/>
      <c r="U9005" s="10"/>
      <c r="V9005" s="10"/>
      <c r="W9005" s="10"/>
      <c r="X9005" s="10"/>
      <c r="Y9005" s="10"/>
      <c r="Z9005" s="10"/>
    </row>
    <row r="9006" spans="1:26" ht="12.75">
      <c r="A9006" s="10"/>
      <c r="B9006" s="10"/>
      <c r="C9006" s="10"/>
      <c r="D9006" s="10"/>
      <c r="E9006" s="10"/>
      <c r="F9006" s="10"/>
      <c r="G9006" s="10"/>
      <c r="H9006" s="10"/>
      <c r="I9006" s="10"/>
      <c r="J9006" s="10"/>
      <c r="K9006" s="10"/>
      <c r="L9006" s="10"/>
      <c r="M9006" s="10"/>
      <c r="N9006" s="10"/>
      <c r="O9006" s="10"/>
      <c r="P9006" s="10"/>
      <c r="Q9006" s="10"/>
      <c r="R9006" s="10"/>
      <c r="S9006" s="10"/>
      <c r="T9006" s="10"/>
      <c r="U9006" s="10"/>
      <c r="V9006" s="10"/>
      <c r="W9006" s="10"/>
      <c r="X9006" s="10"/>
      <c r="Y9006" s="10"/>
      <c r="Z9006" s="10"/>
    </row>
    <row r="9007" spans="1:26" ht="12.75">
      <c r="A9007" s="10"/>
      <c r="B9007" s="10"/>
      <c r="C9007" s="10"/>
      <c r="D9007" s="10"/>
      <c r="E9007" s="10"/>
      <c r="F9007" s="10"/>
      <c r="G9007" s="10"/>
      <c r="H9007" s="10"/>
      <c r="I9007" s="10"/>
      <c r="J9007" s="10"/>
      <c r="K9007" s="10"/>
      <c r="L9007" s="10"/>
      <c r="M9007" s="10"/>
      <c r="N9007" s="10"/>
      <c r="O9007" s="10"/>
      <c r="P9007" s="10"/>
      <c r="Q9007" s="10"/>
      <c r="R9007" s="10"/>
      <c r="S9007" s="10"/>
      <c r="T9007" s="10"/>
      <c r="U9007" s="10"/>
      <c r="V9007" s="10"/>
      <c r="W9007" s="10"/>
      <c r="X9007" s="10"/>
      <c r="Y9007" s="10"/>
      <c r="Z9007" s="10"/>
    </row>
    <row r="9008" spans="1:26" ht="12.75">
      <c r="A9008" s="10"/>
      <c r="B9008" s="10"/>
      <c r="C9008" s="10"/>
      <c r="D9008" s="10"/>
      <c r="E9008" s="10"/>
      <c r="F9008" s="10"/>
      <c r="G9008" s="10"/>
      <c r="H9008" s="10"/>
      <c r="I9008" s="10"/>
      <c r="J9008" s="10"/>
      <c r="K9008" s="10"/>
      <c r="L9008" s="10"/>
      <c r="M9008" s="10"/>
      <c r="N9008" s="10"/>
      <c r="O9008" s="10"/>
      <c r="P9008" s="10"/>
      <c r="Q9008" s="10"/>
      <c r="R9008" s="10"/>
      <c r="S9008" s="10"/>
      <c r="T9008" s="10"/>
      <c r="U9008" s="10"/>
      <c r="V9008" s="10"/>
      <c r="W9008" s="10"/>
      <c r="X9008" s="10"/>
      <c r="Y9008" s="10"/>
      <c r="Z9008" s="10"/>
    </row>
    <row r="9009" spans="1:26" ht="12.75">
      <c r="A9009" s="10"/>
      <c r="B9009" s="10"/>
      <c r="C9009" s="10"/>
      <c r="D9009" s="10"/>
      <c r="E9009" s="10"/>
      <c r="F9009" s="10"/>
      <c r="G9009" s="10"/>
      <c r="H9009" s="10"/>
      <c r="I9009" s="10"/>
      <c r="J9009" s="10"/>
      <c r="K9009" s="10"/>
      <c r="L9009" s="10"/>
      <c r="M9009" s="10"/>
      <c r="N9009" s="10"/>
      <c r="O9009" s="10"/>
      <c r="P9009" s="10"/>
      <c r="Q9009" s="10"/>
      <c r="R9009" s="10"/>
      <c r="S9009" s="10"/>
      <c r="T9009" s="10"/>
      <c r="U9009" s="10"/>
      <c r="V9009" s="10"/>
      <c r="W9009" s="10"/>
      <c r="X9009" s="10"/>
      <c r="Y9009" s="10"/>
      <c r="Z9009" s="10"/>
    </row>
    <row r="9010" spans="1:26" ht="12.75">
      <c r="A9010" s="10"/>
      <c r="B9010" s="10"/>
      <c r="C9010" s="10"/>
      <c r="D9010" s="10"/>
      <c r="E9010" s="10"/>
      <c r="F9010" s="10"/>
      <c r="G9010" s="10"/>
      <c r="H9010" s="10"/>
      <c r="I9010" s="10"/>
      <c r="J9010" s="10"/>
      <c r="K9010" s="10"/>
      <c r="L9010" s="10"/>
      <c r="M9010" s="10"/>
      <c r="N9010" s="10"/>
      <c r="O9010" s="10"/>
      <c r="P9010" s="10"/>
      <c r="Q9010" s="10"/>
      <c r="R9010" s="10"/>
      <c r="S9010" s="10"/>
      <c r="T9010" s="10"/>
      <c r="U9010" s="10"/>
      <c r="V9010" s="10"/>
      <c r="W9010" s="10"/>
      <c r="X9010" s="10"/>
      <c r="Y9010" s="10"/>
      <c r="Z9010" s="10"/>
    </row>
    <row r="9011" spans="1:26" ht="12.75">
      <c r="A9011" s="10"/>
      <c r="B9011" s="10"/>
      <c r="C9011" s="10"/>
      <c r="D9011" s="10"/>
      <c r="E9011" s="10"/>
      <c r="F9011" s="10"/>
      <c r="G9011" s="10"/>
      <c r="H9011" s="10"/>
      <c r="I9011" s="10"/>
      <c r="J9011" s="10"/>
      <c r="K9011" s="10"/>
      <c r="L9011" s="10"/>
      <c r="M9011" s="10"/>
      <c r="N9011" s="10"/>
      <c r="O9011" s="10"/>
      <c r="P9011" s="10"/>
      <c r="Q9011" s="10"/>
      <c r="R9011" s="10"/>
      <c r="S9011" s="10"/>
      <c r="T9011" s="10"/>
      <c r="U9011" s="10"/>
      <c r="V9011" s="10"/>
      <c r="W9011" s="10"/>
      <c r="X9011" s="10"/>
      <c r="Y9011" s="10"/>
      <c r="Z9011" s="10"/>
    </row>
    <row r="9012" spans="1:26" ht="12.75">
      <c r="A9012" s="10"/>
      <c r="B9012" s="10"/>
      <c r="C9012" s="10"/>
      <c r="D9012" s="10"/>
      <c r="E9012" s="10"/>
      <c r="F9012" s="10"/>
      <c r="G9012" s="10"/>
      <c r="H9012" s="10"/>
      <c r="I9012" s="10"/>
      <c r="J9012" s="10"/>
      <c r="K9012" s="10"/>
      <c r="L9012" s="10"/>
      <c r="M9012" s="10"/>
      <c r="N9012" s="10"/>
      <c r="O9012" s="10"/>
      <c r="P9012" s="10"/>
      <c r="Q9012" s="10"/>
      <c r="R9012" s="10"/>
      <c r="S9012" s="10"/>
      <c r="T9012" s="10"/>
      <c r="U9012" s="10"/>
      <c r="V9012" s="10"/>
      <c r="W9012" s="10"/>
      <c r="X9012" s="10"/>
      <c r="Y9012" s="10"/>
      <c r="Z9012" s="10"/>
    </row>
    <row r="9013" spans="1:26" ht="12.75">
      <c r="A9013" s="10"/>
      <c r="B9013" s="10"/>
      <c r="C9013" s="10"/>
      <c r="D9013" s="10"/>
      <c r="E9013" s="10"/>
      <c r="F9013" s="10"/>
      <c r="G9013" s="10"/>
      <c r="H9013" s="10"/>
      <c r="I9013" s="10"/>
      <c r="J9013" s="10"/>
      <c r="K9013" s="10"/>
      <c r="L9013" s="10"/>
      <c r="M9013" s="10"/>
      <c r="N9013" s="10"/>
      <c r="O9013" s="10"/>
      <c r="P9013" s="10"/>
      <c r="Q9013" s="10"/>
      <c r="R9013" s="10"/>
      <c r="S9013" s="10"/>
      <c r="T9013" s="10"/>
      <c r="U9013" s="10"/>
      <c r="V9013" s="10"/>
      <c r="W9013" s="10"/>
      <c r="X9013" s="10"/>
      <c r="Y9013" s="10"/>
      <c r="Z9013" s="10"/>
    </row>
    <row r="9014" spans="1:26" ht="12.75">
      <c r="A9014" s="10"/>
      <c r="B9014" s="10"/>
      <c r="C9014" s="10"/>
      <c r="D9014" s="10"/>
      <c r="E9014" s="10"/>
      <c r="F9014" s="10"/>
      <c r="G9014" s="10"/>
      <c r="H9014" s="10"/>
      <c r="I9014" s="10"/>
      <c r="J9014" s="10"/>
      <c r="K9014" s="10"/>
      <c r="L9014" s="10"/>
      <c r="M9014" s="10"/>
      <c r="N9014" s="10"/>
      <c r="O9014" s="10"/>
      <c r="P9014" s="10"/>
      <c r="Q9014" s="10"/>
      <c r="R9014" s="10"/>
      <c r="S9014" s="10"/>
      <c r="T9014" s="10"/>
      <c r="U9014" s="10"/>
      <c r="V9014" s="10"/>
      <c r="W9014" s="10"/>
      <c r="X9014" s="10"/>
      <c r="Y9014" s="10"/>
      <c r="Z9014" s="10"/>
    </row>
    <row r="9015" spans="1:26" ht="12.75">
      <c r="A9015" s="10"/>
      <c r="B9015" s="10"/>
      <c r="C9015" s="10"/>
      <c r="D9015" s="10"/>
      <c r="E9015" s="10"/>
      <c r="F9015" s="10"/>
      <c r="G9015" s="10"/>
      <c r="H9015" s="10"/>
      <c r="I9015" s="10"/>
      <c r="J9015" s="10"/>
      <c r="K9015" s="10"/>
      <c r="L9015" s="10"/>
      <c r="M9015" s="10"/>
      <c r="N9015" s="10"/>
      <c r="O9015" s="10"/>
      <c r="P9015" s="10"/>
      <c r="Q9015" s="10"/>
      <c r="R9015" s="10"/>
      <c r="S9015" s="10"/>
      <c r="T9015" s="10"/>
      <c r="U9015" s="10"/>
      <c r="V9015" s="10"/>
      <c r="W9015" s="10"/>
      <c r="X9015" s="10"/>
      <c r="Y9015" s="10"/>
      <c r="Z9015" s="10"/>
    </row>
    <row r="9016" spans="1:26" ht="12.75">
      <c r="A9016" s="10"/>
      <c r="B9016" s="10"/>
      <c r="C9016" s="10"/>
      <c r="D9016" s="10"/>
      <c r="E9016" s="10"/>
      <c r="F9016" s="10"/>
      <c r="G9016" s="10"/>
      <c r="H9016" s="10"/>
      <c r="I9016" s="10"/>
      <c r="J9016" s="10"/>
      <c r="K9016" s="10"/>
      <c r="L9016" s="10"/>
      <c r="M9016" s="10"/>
      <c r="N9016" s="10"/>
      <c r="O9016" s="10"/>
      <c r="P9016" s="10"/>
      <c r="Q9016" s="10"/>
      <c r="R9016" s="10"/>
      <c r="S9016" s="10"/>
      <c r="T9016" s="10"/>
      <c r="U9016" s="10"/>
      <c r="V9016" s="10"/>
      <c r="W9016" s="10"/>
      <c r="X9016" s="10"/>
      <c r="Y9016" s="10"/>
      <c r="Z9016" s="10"/>
    </row>
    <row r="9017" spans="1:26" ht="12.75">
      <c r="A9017" s="10"/>
      <c r="B9017" s="10"/>
      <c r="C9017" s="10"/>
      <c r="D9017" s="10"/>
      <c r="E9017" s="10"/>
      <c r="F9017" s="10"/>
      <c r="G9017" s="10"/>
      <c r="H9017" s="10"/>
      <c r="I9017" s="10"/>
      <c r="J9017" s="10"/>
      <c r="K9017" s="10"/>
      <c r="L9017" s="10"/>
      <c r="M9017" s="10"/>
      <c r="N9017" s="10"/>
      <c r="O9017" s="10"/>
      <c r="P9017" s="10"/>
      <c r="Q9017" s="10"/>
      <c r="R9017" s="10"/>
      <c r="S9017" s="10"/>
      <c r="T9017" s="10"/>
      <c r="U9017" s="10"/>
      <c r="V9017" s="10"/>
      <c r="W9017" s="10"/>
      <c r="X9017" s="10"/>
      <c r="Y9017" s="10"/>
      <c r="Z9017" s="10"/>
    </row>
    <row r="9018" spans="1:26" ht="12.75">
      <c r="A9018" s="10"/>
      <c r="B9018" s="10"/>
      <c r="C9018" s="10"/>
      <c r="D9018" s="10"/>
      <c r="E9018" s="10"/>
      <c r="F9018" s="10"/>
      <c r="G9018" s="10"/>
      <c r="H9018" s="10"/>
      <c r="I9018" s="10"/>
      <c r="J9018" s="10"/>
      <c r="K9018" s="10"/>
      <c r="L9018" s="10"/>
      <c r="M9018" s="10"/>
      <c r="N9018" s="10"/>
      <c r="O9018" s="10"/>
      <c r="P9018" s="10"/>
      <c r="Q9018" s="10"/>
      <c r="R9018" s="10"/>
      <c r="S9018" s="10"/>
      <c r="T9018" s="10"/>
      <c r="U9018" s="10"/>
      <c r="V9018" s="10"/>
      <c r="W9018" s="10"/>
      <c r="X9018" s="10"/>
      <c r="Y9018" s="10"/>
      <c r="Z9018" s="10"/>
    </row>
    <row r="9019" spans="1:26" ht="12.75">
      <c r="A9019" s="10"/>
      <c r="B9019" s="10"/>
      <c r="C9019" s="10"/>
      <c r="D9019" s="10"/>
      <c r="E9019" s="10"/>
      <c r="F9019" s="10"/>
      <c r="G9019" s="10"/>
      <c r="H9019" s="10"/>
      <c r="I9019" s="10"/>
      <c r="J9019" s="10"/>
      <c r="K9019" s="10"/>
      <c r="L9019" s="10"/>
      <c r="M9019" s="10"/>
      <c r="N9019" s="10"/>
      <c r="O9019" s="10"/>
      <c r="P9019" s="10"/>
      <c r="Q9019" s="10"/>
      <c r="R9019" s="10"/>
      <c r="S9019" s="10"/>
      <c r="T9019" s="10"/>
      <c r="U9019" s="10"/>
      <c r="V9019" s="10"/>
      <c r="W9019" s="10"/>
      <c r="X9019" s="10"/>
      <c r="Y9019" s="10"/>
      <c r="Z9019" s="10"/>
    </row>
    <row r="9020" spans="1:26" ht="12.75">
      <c r="A9020" s="10"/>
      <c r="B9020" s="10"/>
      <c r="C9020" s="10"/>
      <c r="D9020" s="10"/>
      <c r="E9020" s="10"/>
      <c r="F9020" s="10"/>
      <c r="G9020" s="10"/>
      <c r="H9020" s="10"/>
      <c r="I9020" s="10"/>
      <c r="J9020" s="10"/>
      <c r="K9020" s="10"/>
      <c r="L9020" s="10"/>
      <c r="M9020" s="10"/>
      <c r="N9020" s="10"/>
      <c r="O9020" s="10"/>
      <c r="P9020" s="10"/>
      <c r="Q9020" s="10"/>
      <c r="R9020" s="10"/>
      <c r="S9020" s="10"/>
      <c r="T9020" s="10"/>
      <c r="U9020" s="10"/>
      <c r="V9020" s="10"/>
      <c r="W9020" s="10"/>
      <c r="X9020" s="10"/>
      <c r="Y9020" s="10"/>
      <c r="Z9020" s="10"/>
    </row>
    <row r="9021" spans="1:26" ht="12.75">
      <c r="A9021" s="10"/>
      <c r="B9021" s="10"/>
      <c r="C9021" s="10"/>
      <c r="D9021" s="10"/>
      <c r="E9021" s="10"/>
      <c r="F9021" s="10"/>
      <c r="G9021" s="10"/>
      <c r="H9021" s="10"/>
      <c r="I9021" s="10"/>
      <c r="J9021" s="10"/>
      <c r="K9021" s="10"/>
      <c r="L9021" s="10"/>
      <c r="M9021" s="10"/>
      <c r="N9021" s="10"/>
      <c r="O9021" s="10"/>
      <c r="P9021" s="10"/>
      <c r="Q9021" s="10"/>
      <c r="R9021" s="10"/>
      <c r="S9021" s="10"/>
      <c r="T9021" s="10"/>
      <c r="U9021" s="10"/>
      <c r="V9021" s="10"/>
      <c r="W9021" s="10"/>
      <c r="X9021" s="10"/>
      <c r="Y9021" s="10"/>
      <c r="Z9021" s="10"/>
    </row>
    <row r="9022" spans="1:26" ht="12.75">
      <c r="A9022" s="10"/>
      <c r="B9022" s="10"/>
      <c r="C9022" s="10"/>
      <c r="D9022" s="10"/>
      <c r="E9022" s="10"/>
      <c r="F9022" s="10"/>
      <c r="G9022" s="10"/>
      <c r="H9022" s="10"/>
      <c r="I9022" s="10"/>
      <c r="J9022" s="10"/>
      <c r="K9022" s="10"/>
      <c r="L9022" s="10"/>
      <c r="M9022" s="10"/>
      <c r="N9022" s="10"/>
      <c r="O9022" s="10"/>
      <c r="P9022" s="10"/>
      <c r="Q9022" s="10"/>
      <c r="R9022" s="10"/>
      <c r="S9022" s="10"/>
      <c r="T9022" s="10"/>
      <c r="U9022" s="10"/>
      <c r="V9022" s="10"/>
      <c r="W9022" s="10"/>
      <c r="X9022" s="10"/>
      <c r="Y9022" s="10"/>
      <c r="Z9022" s="10"/>
    </row>
    <row r="9023" spans="1:26" ht="12.75">
      <c r="A9023" s="10"/>
      <c r="B9023" s="10"/>
      <c r="C9023" s="10"/>
      <c r="D9023" s="10"/>
      <c r="E9023" s="10"/>
      <c r="F9023" s="10"/>
      <c r="G9023" s="10"/>
      <c r="H9023" s="10"/>
      <c r="I9023" s="10"/>
      <c r="J9023" s="10"/>
      <c r="K9023" s="10"/>
      <c r="L9023" s="10"/>
      <c r="M9023" s="10"/>
      <c r="N9023" s="10"/>
      <c r="O9023" s="10"/>
      <c r="P9023" s="10"/>
      <c r="Q9023" s="10"/>
      <c r="R9023" s="10"/>
      <c r="S9023" s="10"/>
      <c r="T9023" s="10"/>
      <c r="U9023" s="10"/>
      <c r="V9023" s="10"/>
      <c r="W9023" s="10"/>
      <c r="X9023" s="10"/>
      <c r="Y9023" s="10"/>
      <c r="Z9023" s="10"/>
    </row>
    <row r="9024" spans="1:26" ht="12.75">
      <c r="A9024" s="10"/>
      <c r="B9024" s="10"/>
      <c r="C9024" s="10"/>
      <c r="D9024" s="10"/>
      <c r="E9024" s="10"/>
      <c r="F9024" s="10"/>
      <c r="G9024" s="10"/>
      <c r="H9024" s="10"/>
      <c r="I9024" s="10"/>
      <c r="J9024" s="10"/>
      <c r="K9024" s="10"/>
      <c r="L9024" s="10"/>
      <c r="M9024" s="10"/>
      <c r="N9024" s="10"/>
      <c r="O9024" s="10"/>
      <c r="P9024" s="10"/>
      <c r="Q9024" s="10"/>
      <c r="R9024" s="10"/>
      <c r="S9024" s="10"/>
      <c r="T9024" s="10"/>
      <c r="U9024" s="10"/>
      <c r="V9024" s="10"/>
      <c r="W9024" s="10"/>
      <c r="X9024" s="10"/>
      <c r="Y9024" s="10"/>
      <c r="Z9024" s="10"/>
    </row>
    <row r="9025" spans="1:26" ht="12.75">
      <c r="A9025" s="10"/>
      <c r="B9025" s="10"/>
      <c r="C9025" s="10"/>
      <c r="D9025" s="10"/>
      <c r="E9025" s="10"/>
      <c r="F9025" s="10"/>
      <c r="G9025" s="10"/>
      <c r="H9025" s="10"/>
      <c r="I9025" s="10"/>
      <c r="J9025" s="10"/>
      <c r="K9025" s="10"/>
      <c r="L9025" s="10"/>
      <c r="M9025" s="10"/>
      <c r="N9025" s="10"/>
      <c r="O9025" s="10"/>
      <c r="P9025" s="10"/>
      <c r="Q9025" s="10"/>
      <c r="R9025" s="10"/>
      <c r="S9025" s="10"/>
      <c r="T9025" s="10"/>
      <c r="U9025" s="10"/>
      <c r="V9025" s="10"/>
      <c r="W9025" s="10"/>
      <c r="X9025" s="10"/>
      <c r="Y9025" s="10"/>
      <c r="Z9025" s="10"/>
    </row>
    <row r="9026" spans="1:26" ht="12.75">
      <c r="A9026" s="10"/>
      <c r="B9026" s="10"/>
      <c r="C9026" s="10"/>
      <c r="D9026" s="10"/>
      <c r="E9026" s="10"/>
      <c r="F9026" s="10"/>
      <c r="G9026" s="10"/>
      <c r="H9026" s="10"/>
      <c r="I9026" s="10"/>
      <c r="J9026" s="10"/>
      <c r="K9026" s="10"/>
      <c r="L9026" s="10"/>
      <c r="M9026" s="10"/>
      <c r="N9026" s="10"/>
      <c r="O9026" s="10"/>
      <c r="P9026" s="10"/>
      <c r="Q9026" s="10"/>
      <c r="R9026" s="10"/>
      <c r="S9026" s="10"/>
      <c r="T9026" s="10"/>
      <c r="U9026" s="10"/>
      <c r="V9026" s="10"/>
      <c r="W9026" s="10"/>
      <c r="X9026" s="10"/>
      <c r="Y9026" s="10"/>
      <c r="Z9026" s="10"/>
    </row>
    <row r="9027" spans="1:26" ht="12.75">
      <c r="A9027" s="10"/>
      <c r="B9027" s="10"/>
      <c r="C9027" s="10"/>
      <c r="D9027" s="10"/>
      <c r="E9027" s="10"/>
      <c r="F9027" s="10"/>
      <c r="G9027" s="10"/>
      <c r="H9027" s="10"/>
      <c r="I9027" s="10"/>
      <c r="J9027" s="10"/>
      <c r="K9027" s="10"/>
      <c r="L9027" s="10"/>
      <c r="M9027" s="10"/>
      <c r="N9027" s="10"/>
      <c r="O9027" s="10"/>
      <c r="P9027" s="10"/>
      <c r="Q9027" s="10"/>
      <c r="R9027" s="10"/>
      <c r="S9027" s="10"/>
      <c r="T9027" s="10"/>
      <c r="U9027" s="10"/>
      <c r="V9027" s="10"/>
      <c r="W9027" s="10"/>
      <c r="X9027" s="10"/>
      <c r="Y9027" s="10"/>
      <c r="Z9027" s="10"/>
    </row>
    <row r="9028" spans="1:26" ht="12.75">
      <c r="A9028" s="10"/>
      <c r="B9028" s="10"/>
      <c r="C9028" s="10"/>
      <c r="D9028" s="10"/>
      <c r="E9028" s="10"/>
      <c r="F9028" s="10"/>
      <c r="G9028" s="10"/>
      <c r="H9028" s="10"/>
      <c r="I9028" s="10"/>
      <c r="J9028" s="10"/>
      <c r="K9028" s="10"/>
      <c r="L9028" s="10"/>
      <c r="M9028" s="10"/>
      <c r="N9028" s="10"/>
      <c r="O9028" s="10"/>
      <c r="P9028" s="10"/>
      <c r="Q9028" s="10"/>
      <c r="R9028" s="10"/>
      <c r="S9028" s="10"/>
      <c r="T9028" s="10"/>
      <c r="U9028" s="10"/>
      <c r="V9028" s="10"/>
      <c r="W9028" s="10"/>
      <c r="X9028" s="10"/>
      <c r="Y9028" s="10"/>
      <c r="Z9028" s="10"/>
    </row>
    <row r="9029" spans="1:26" ht="12.75">
      <c r="A9029" s="10"/>
      <c r="B9029" s="10"/>
      <c r="C9029" s="10"/>
      <c r="D9029" s="10"/>
      <c r="E9029" s="10"/>
      <c r="F9029" s="10"/>
      <c r="G9029" s="10"/>
      <c r="H9029" s="10"/>
      <c r="I9029" s="10"/>
      <c r="J9029" s="10"/>
      <c r="K9029" s="10"/>
      <c r="L9029" s="10"/>
      <c r="M9029" s="10"/>
      <c r="N9029" s="10"/>
      <c r="O9029" s="10"/>
      <c r="P9029" s="10"/>
      <c r="Q9029" s="10"/>
      <c r="R9029" s="10"/>
      <c r="S9029" s="10"/>
      <c r="T9029" s="10"/>
      <c r="U9029" s="10"/>
      <c r="V9029" s="10"/>
      <c r="W9029" s="10"/>
      <c r="X9029" s="10"/>
      <c r="Y9029" s="10"/>
      <c r="Z9029" s="10"/>
    </row>
    <row r="9030" spans="1:26" ht="12.75">
      <c r="A9030" s="10"/>
      <c r="B9030" s="10"/>
      <c r="C9030" s="10"/>
      <c r="D9030" s="10"/>
      <c r="E9030" s="10"/>
      <c r="F9030" s="10"/>
      <c r="G9030" s="10"/>
      <c r="H9030" s="10"/>
      <c r="I9030" s="10"/>
      <c r="J9030" s="10"/>
      <c r="K9030" s="10"/>
      <c r="L9030" s="10"/>
      <c r="M9030" s="10"/>
      <c r="N9030" s="10"/>
      <c r="O9030" s="10"/>
      <c r="P9030" s="10"/>
      <c r="Q9030" s="10"/>
      <c r="R9030" s="10"/>
      <c r="S9030" s="10"/>
      <c r="T9030" s="10"/>
      <c r="U9030" s="10"/>
      <c r="V9030" s="10"/>
      <c r="W9030" s="10"/>
      <c r="X9030" s="10"/>
      <c r="Y9030" s="10"/>
      <c r="Z9030" s="10"/>
    </row>
    <row r="9031" spans="1:26" ht="12.75">
      <c r="A9031" s="10"/>
      <c r="B9031" s="10"/>
      <c r="C9031" s="10"/>
      <c r="D9031" s="10"/>
      <c r="E9031" s="10"/>
      <c r="F9031" s="10"/>
      <c r="G9031" s="10"/>
      <c r="H9031" s="10"/>
      <c r="I9031" s="10"/>
      <c r="J9031" s="10"/>
      <c r="K9031" s="10"/>
      <c r="L9031" s="10"/>
      <c r="M9031" s="10"/>
      <c r="N9031" s="10"/>
      <c r="O9031" s="10"/>
      <c r="P9031" s="10"/>
      <c r="Q9031" s="10"/>
      <c r="R9031" s="10"/>
      <c r="S9031" s="10"/>
      <c r="T9031" s="10"/>
      <c r="U9031" s="10"/>
      <c r="V9031" s="10"/>
      <c r="W9031" s="10"/>
      <c r="X9031" s="10"/>
      <c r="Y9031" s="10"/>
      <c r="Z9031" s="10"/>
    </row>
    <row r="9032" spans="1:26" ht="12.75">
      <c r="A9032" s="10"/>
      <c r="B9032" s="10"/>
      <c r="C9032" s="10"/>
      <c r="D9032" s="10"/>
      <c r="E9032" s="10"/>
      <c r="F9032" s="10"/>
      <c r="G9032" s="10"/>
      <c r="H9032" s="10"/>
      <c r="I9032" s="10"/>
      <c r="J9032" s="10"/>
      <c r="K9032" s="10"/>
      <c r="L9032" s="10"/>
      <c r="M9032" s="10"/>
      <c r="N9032" s="10"/>
      <c r="O9032" s="10"/>
      <c r="P9032" s="10"/>
      <c r="Q9032" s="10"/>
      <c r="R9032" s="10"/>
      <c r="S9032" s="10"/>
      <c r="T9032" s="10"/>
      <c r="U9032" s="10"/>
      <c r="V9032" s="10"/>
      <c r="W9032" s="10"/>
      <c r="X9032" s="10"/>
      <c r="Y9032" s="10"/>
      <c r="Z9032" s="10"/>
    </row>
    <row r="9033" spans="1:26" ht="12.75">
      <c r="A9033" s="10"/>
      <c r="B9033" s="10"/>
      <c r="C9033" s="10"/>
      <c r="D9033" s="10"/>
      <c r="E9033" s="10"/>
      <c r="F9033" s="10"/>
      <c r="G9033" s="10"/>
      <c r="H9033" s="10"/>
      <c r="I9033" s="10"/>
      <c r="J9033" s="10"/>
      <c r="K9033" s="10"/>
      <c r="L9033" s="10"/>
      <c r="M9033" s="10"/>
      <c r="N9033" s="10"/>
      <c r="O9033" s="10"/>
      <c r="P9033" s="10"/>
      <c r="Q9033" s="10"/>
      <c r="R9033" s="10"/>
      <c r="S9033" s="10"/>
      <c r="T9033" s="10"/>
      <c r="U9033" s="10"/>
      <c r="V9033" s="10"/>
      <c r="W9033" s="10"/>
      <c r="X9033" s="10"/>
      <c r="Y9033" s="10"/>
      <c r="Z9033" s="10"/>
    </row>
    <row r="9034" spans="1:26" ht="12.75">
      <c r="A9034" s="10"/>
      <c r="B9034" s="10"/>
      <c r="C9034" s="10"/>
      <c r="D9034" s="10"/>
      <c r="E9034" s="10"/>
      <c r="F9034" s="10"/>
      <c r="G9034" s="10"/>
      <c r="H9034" s="10"/>
      <c r="I9034" s="10"/>
      <c r="J9034" s="10"/>
      <c r="K9034" s="10"/>
      <c r="L9034" s="10"/>
      <c r="M9034" s="10"/>
      <c r="N9034" s="10"/>
      <c r="O9034" s="10"/>
      <c r="P9034" s="10"/>
      <c r="Q9034" s="10"/>
      <c r="R9034" s="10"/>
      <c r="S9034" s="10"/>
      <c r="T9034" s="10"/>
      <c r="U9034" s="10"/>
      <c r="V9034" s="10"/>
      <c r="W9034" s="10"/>
      <c r="X9034" s="10"/>
      <c r="Y9034" s="10"/>
      <c r="Z9034" s="10"/>
    </row>
    <row r="9035" spans="1:26" ht="12.75">
      <c r="A9035" s="10"/>
      <c r="B9035" s="10"/>
      <c r="C9035" s="10"/>
      <c r="D9035" s="10"/>
      <c r="E9035" s="10"/>
      <c r="F9035" s="10"/>
      <c r="G9035" s="10"/>
      <c r="H9035" s="10"/>
      <c r="I9035" s="10"/>
      <c r="J9035" s="10"/>
      <c r="K9035" s="10"/>
      <c r="L9035" s="10"/>
      <c r="M9035" s="10"/>
      <c r="N9035" s="10"/>
      <c r="O9035" s="10"/>
      <c r="P9035" s="10"/>
      <c r="Q9035" s="10"/>
      <c r="R9035" s="10"/>
      <c r="S9035" s="10"/>
      <c r="T9035" s="10"/>
      <c r="U9035" s="10"/>
      <c r="V9035" s="10"/>
      <c r="W9035" s="10"/>
      <c r="X9035" s="10"/>
      <c r="Y9035" s="10"/>
      <c r="Z9035" s="10"/>
    </row>
    <row r="9036" spans="1:26" ht="12.75">
      <c r="A9036" s="10"/>
      <c r="B9036" s="10"/>
      <c r="C9036" s="10"/>
      <c r="D9036" s="10"/>
      <c r="E9036" s="10"/>
      <c r="F9036" s="10"/>
      <c r="G9036" s="10"/>
      <c r="H9036" s="10"/>
      <c r="I9036" s="10"/>
      <c r="J9036" s="10"/>
      <c r="K9036" s="10"/>
      <c r="L9036" s="10"/>
      <c r="M9036" s="10"/>
      <c r="N9036" s="10"/>
      <c r="O9036" s="10"/>
      <c r="P9036" s="10"/>
      <c r="Q9036" s="10"/>
      <c r="R9036" s="10"/>
      <c r="S9036" s="10"/>
      <c r="T9036" s="10"/>
      <c r="U9036" s="10"/>
      <c r="V9036" s="10"/>
      <c r="W9036" s="10"/>
      <c r="X9036" s="10"/>
      <c r="Y9036" s="10"/>
      <c r="Z9036" s="10"/>
    </row>
    <row r="9037" spans="1:26" ht="12.75">
      <c r="A9037" s="10"/>
      <c r="B9037" s="10"/>
      <c r="C9037" s="10"/>
      <c r="D9037" s="10"/>
      <c r="E9037" s="10"/>
      <c r="F9037" s="10"/>
      <c r="G9037" s="10"/>
      <c r="H9037" s="10"/>
      <c r="I9037" s="10"/>
      <c r="J9037" s="10"/>
      <c r="K9037" s="10"/>
      <c r="L9037" s="10"/>
      <c r="M9037" s="10"/>
      <c r="N9037" s="10"/>
      <c r="O9037" s="10"/>
      <c r="P9037" s="10"/>
      <c r="Q9037" s="10"/>
      <c r="R9037" s="10"/>
      <c r="S9037" s="10"/>
      <c r="T9037" s="10"/>
      <c r="U9037" s="10"/>
      <c r="V9037" s="10"/>
      <c r="W9037" s="10"/>
      <c r="X9037" s="10"/>
      <c r="Y9037" s="10"/>
      <c r="Z9037" s="10"/>
    </row>
    <row r="9038" spans="1:26" ht="12.75">
      <c r="A9038" s="10"/>
      <c r="B9038" s="10"/>
      <c r="C9038" s="10"/>
      <c r="D9038" s="10"/>
      <c r="E9038" s="10"/>
      <c r="F9038" s="10"/>
      <c r="G9038" s="10"/>
      <c r="H9038" s="10"/>
      <c r="I9038" s="10"/>
      <c r="J9038" s="10"/>
      <c r="K9038" s="10"/>
      <c r="L9038" s="10"/>
      <c r="M9038" s="10"/>
      <c r="N9038" s="10"/>
      <c r="O9038" s="10"/>
      <c r="P9038" s="10"/>
      <c r="Q9038" s="10"/>
      <c r="R9038" s="10"/>
      <c r="S9038" s="10"/>
      <c r="T9038" s="10"/>
      <c r="U9038" s="10"/>
      <c r="V9038" s="10"/>
      <c r="W9038" s="10"/>
      <c r="X9038" s="10"/>
      <c r="Y9038" s="10"/>
      <c r="Z9038" s="10"/>
    </row>
    <row r="9039" spans="1:26" ht="12.75">
      <c r="A9039" s="10"/>
      <c r="B9039" s="10"/>
      <c r="C9039" s="10"/>
      <c r="D9039" s="10"/>
      <c r="E9039" s="10"/>
      <c r="F9039" s="10"/>
      <c r="G9039" s="10"/>
      <c r="H9039" s="10"/>
      <c r="I9039" s="10"/>
      <c r="J9039" s="10"/>
      <c r="K9039" s="10"/>
      <c r="L9039" s="10"/>
      <c r="M9039" s="10"/>
      <c r="N9039" s="10"/>
      <c r="O9039" s="10"/>
      <c r="P9039" s="10"/>
      <c r="Q9039" s="10"/>
      <c r="R9039" s="10"/>
      <c r="S9039" s="10"/>
      <c r="T9039" s="10"/>
      <c r="U9039" s="10"/>
      <c r="V9039" s="10"/>
      <c r="W9039" s="10"/>
      <c r="X9039" s="10"/>
      <c r="Y9039" s="10"/>
      <c r="Z9039" s="10"/>
    </row>
    <row r="9040" spans="1:26" ht="12.75">
      <c r="A9040" s="10"/>
      <c r="B9040" s="10"/>
      <c r="C9040" s="10"/>
      <c r="D9040" s="10"/>
      <c r="E9040" s="10"/>
      <c r="F9040" s="10"/>
      <c r="G9040" s="10"/>
      <c r="H9040" s="10"/>
      <c r="I9040" s="10"/>
      <c r="J9040" s="10"/>
      <c r="K9040" s="10"/>
      <c r="L9040" s="10"/>
      <c r="M9040" s="10"/>
      <c r="N9040" s="10"/>
      <c r="O9040" s="10"/>
      <c r="P9040" s="10"/>
      <c r="Q9040" s="10"/>
      <c r="R9040" s="10"/>
      <c r="S9040" s="10"/>
      <c r="T9040" s="10"/>
      <c r="U9040" s="10"/>
      <c r="V9040" s="10"/>
      <c r="W9040" s="10"/>
      <c r="X9040" s="10"/>
      <c r="Y9040" s="10"/>
      <c r="Z9040" s="10"/>
    </row>
    <row r="9041" spans="1:26" ht="12.75">
      <c r="A9041" s="10"/>
      <c r="B9041" s="10"/>
      <c r="C9041" s="10"/>
      <c r="D9041" s="10"/>
      <c r="E9041" s="10"/>
      <c r="F9041" s="10"/>
      <c r="G9041" s="10"/>
      <c r="H9041" s="10"/>
      <c r="I9041" s="10"/>
      <c r="J9041" s="10"/>
      <c r="K9041" s="10"/>
      <c r="L9041" s="10"/>
      <c r="M9041" s="10"/>
      <c r="N9041" s="10"/>
      <c r="O9041" s="10"/>
      <c r="P9041" s="10"/>
      <c r="Q9041" s="10"/>
      <c r="R9041" s="10"/>
      <c r="S9041" s="10"/>
      <c r="T9041" s="10"/>
      <c r="U9041" s="10"/>
      <c r="V9041" s="10"/>
      <c r="W9041" s="10"/>
      <c r="X9041" s="10"/>
      <c r="Y9041" s="10"/>
      <c r="Z9041" s="10"/>
    </row>
    <row r="9042" spans="1:26" ht="12.75">
      <c r="A9042" s="10"/>
      <c r="B9042" s="10"/>
      <c r="C9042" s="10"/>
      <c r="D9042" s="10"/>
      <c r="E9042" s="10"/>
      <c r="F9042" s="10"/>
      <c r="G9042" s="10"/>
      <c r="H9042" s="10"/>
      <c r="I9042" s="10"/>
      <c r="J9042" s="10"/>
      <c r="K9042" s="10"/>
      <c r="L9042" s="10"/>
      <c r="M9042" s="10"/>
      <c r="N9042" s="10"/>
      <c r="O9042" s="10"/>
      <c r="P9042" s="10"/>
      <c r="Q9042" s="10"/>
      <c r="R9042" s="10"/>
      <c r="S9042" s="10"/>
      <c r="T9042" s="10"/>
      <c r="U9042" s="10"/>
      <c r="V9042" s="10"/>
      <c r="W9042" s="10"/>
      <c r="X9042" s="10"/>
      <c r="Y9042" s="10"/>
      <c r="Z9042" s="10"/>
    </row>
    <row r="9043" spans="1:26" ht="12.75">
      <c r="A9043" s="10"/>
      <c r="B9043" s="10"/>
      <c r="C9043" s="10"/>
      <c r="D9043" s="10"/>
      <c r="E9043" s="10"/>
      <c r="F9043" s="10"/>
      <c r="G9043" s="10"/>
      <c r="H9043" s="10"/>
      <c r="I9043" s="10"/>
      <c r="J9043" s="10"/>
      <c r="K9043" s="10"/>
      <c r="L9043" s="10"/>
      <c r="M9043" s="10"/>
      <c r="N9043" s="10"/>
      <c r="O9043" s="10"/>
      <c r="P9043" s="10"/>
      <c r="Q9043" s="10"/>
      <c r="R9043" s="10"/>
      <c r="S9043" s="10"/>
      <c r="T9043" s="10"/>
      <c r="U9043" s="10"/>
      <c r="V9043" s="10"/>
      <c r="W9043" s="10"/>
      <c r="X9043" s="10"/>
      <c r="Y9043" s="10"/>
      <c r="Z9043" s="10"/>
    </row>
    <row r="9044" spans="1:26" ht="12.75">
      <c r="A9044" s="10"/>
      <c r="B9044" s="10"/>
      <c r="C9044" s="10"/>
      <c r="D9044" s="10"/>
      <c r="E9044" s="10"/>
      <c r="F9044" s="10"/>
      <c r="G9044" s="10"/>
      <c r="H9044" s="10"/>
      <c r="I9044" s="10"/>
      <c r="J9044" s="10"/>
      <c r="K9044" s="10"/>
      <c r="L9044" s="10"/>
      <c r="M9044" s="10"/>
      <c r="N9044" s="10"/>
      <c r="O9044" s="10"/>
      <c r="P9044" s="10"/>
      <c r="Q9044" s="10"/>
      <c r="R9044" s="10"/>
      <c r="S9044" s="10"/>
      <c r="T9044" s="10"/>
      <c r="U9044" s="10"/>
      <c r="V9044" s="10"/>
      <c r="W9044" s="10"/>
      <c r="X9044" s="10"/>
      <c r="Y9044" s="10"/>
      <c r="Z9044" s="10"/>
    </row>
    <row r="9045" spans="1:26" ht="12.75">
      <c r="A9045" s="10"/>
      <c r="B9045" s="10"/>
      <c r="C9045" s="10"/>
      <c r="D9045" s="10"/>
      <c r="E9045" s="10"/>
      <c r="F9045" s="10"/>
      <c r="G9045" s="10"/>
      <c r="H9045" s="10"/>
      <c r="I9045" s="10"/>
      <c r="J9045" s="10"/>
      <c r="K9045" s="10"/>
      <c r="L9045" s="10"/>
      <c r="M9045" s="10"/>
      <c r="N9045" s="10"/>
      <c r="O9045" s="10"/>
      <c r="P9045" s="10"/>
      <c r="Q9045" s="10"/>
      <c r="R9045" s="10"/>
      <c r="S9045" s="10"/>
      <c r="T9045" s="10"/>
      <c r="U9045" s="10"/>
      <c r="V9045" s="10"/>
      <c r="W9045" s="10"/>
      <c r="X9045" s="10"/>
      <c r="Y9045" s="10"/>
      <c r="Z9045" s="10"/>
    </row>
    <row r="9046" spans="1:26" ht="12.75">
      <c r="A9046" s="10"/>
      <c r="B9046" s="10"/>
      <c r="C9046" s="10"/>
      <c r="D9046" s="10"/>
      <c r="E9046" s="10"/>
      <c r="F9046" s="10"/>
      <c r="G9046" s="10"/>
      <c r="H9046" s="10"/>
      <c r="I9046" s="10"/>
      <c r="J9046" s="10"/>
      <c r="K9046" s="10"/>
      <c r="L9046" s="10"/>
      <c r="M9046" s="10"/>
      <c r="N9046" s="10"/>
      <c r="O9046" s="10"/>
      <c r="P9046" s="10"/>
      <c r="Q9046" s="10"/>
      <c r="R9046" s="10"/>
      <c r="S9046" s="10"/>
      <c r="T9046" s="10"/>
      <c r="U9046" s="10"/>
      <c r="V9046" s="10"/>
      <c r="W9046" s="10"/>
      <c r="X9046" s="10"/>
      <c r="Y9046" s="10"/>
      <c r="Z9046" s="10"/>
    </row>
    <row r="9047" spans="1:26" ht="12.75">
      <c r="A9047" s="10"/>
      <c r="B9047" s="10"/>
      <c r="C9047" s="10"/>
      <c r="D9047" s="10"/>
      <c r="E9047" s="10"/>
      <c r="F9047" s="10"/>
      <c r="G9047" s="10"/>
      <c r="H9047" s="10"/>
      <c r="I9047" s="10"/>
      <c r="J9047" s="10"/>
      <c r="K9047" s="10"/>
      <c r="L9047" s="10"/>
      <c r="M9047" s="10"/>
      <c r="N9047" s="10"/>
      <c r="O9047" s="10"/>
      <c r="P9047" s="10"/>
      <c r="Q9047" s="10"/>
      <c r="R9047" s="10"/>
      <c r="S9047" s="10"/>
      <c r="T9047" s="10"/>
      <c r="U9047" s="10"/>
      <c r="V9047" s="10"/>
      <c r="W9047" s="10"/>
      <c r="X9047" s="10"/>
      <c r="Y9047" s="10"/>
      <c r="Z9047" s="10"/>
    </row>
    <row r="9048" spans="1:26" ht="12.75">
      <c r="A9048" s="10"/>
      <c r="B9048" s="10"/>
      <c r="C9048" s="10"/>
      <c r="D9048" s="10"/>
      <c r="E9048" s="10"/>
      <c r="F9048" s="10"/>
      <c r="G9048" s="10"/>
      <c r="H9048" s="10"/>
      <c r="I9048" s="10"/>
      <c r="J9048" s="10"/>
      <c r="K9048" s="10"/>
      <c r="L9048" s="10"/>
      <c r="M9048" s="10"/>
      <c r="N9048" s="10"/>
      <c r="O9048" s="10"/>
      <c r="P9048" s="10"/>
      <c r="Q9048" s="10"/>
      <c r="R9048" s="10"/>
      <c r="S9048" s="10"/>
      <c r="T9048" s="10"/>
      <c r="U9048" s="10"/>
      <c r="V9048" s="10"/>
      <c r="W9048" s="10"/>
      <c r="X9048" s="10"/>
      <c r="Y9048" s="10"/>
      <c r="Z9048" s="10"/>
    </row>
    <row r="9049" spans="1:26" ht="12.75">
      <c r="A9049" s="10"/>
      <c r="B9049" s="10"/>
      <c r="C9049" s="10"/>
      <c r="D9049" s="10"/>
      <c r="E9049" s="10"/>
      <c r="F9049" s="10"/>
      <c r="G9049" s="10"/>
      <c r="H9049" s="10"/>
      <c r="I9049" s="10"/>
      <c r="J9049" s="10"/>
      <c r="K9049" s="10"/>
      <c r="L9049" s="10"/>
      <c r="M9049" s="10"/>
      <c r="N9049" s="10"/>
      <c r="O9049" s="10"/>
      <c r="P9049" s="10"/>
      <c r="Q9049" s="10"/>
      <c r="R9049" s="10"/>
      <c r="S9049" s="10"/>
      <c r="T9049" s="10"/>
      <c r="U9049" s="10"/>
      <c r="V9049" s="10"/>
      <c r="W9049" s="10"/>
      <c r="X9049" s="10"/>
      <c r="Y9049" s="10"/>
      <c r="Z9049" s="10"/>
    </row>
    <row r="9050" spans="1:26" ht="12.75">
      <c r="A9050" s="10"/>
      <c r="B9050" s="10"/>
      <c r="C9050" s="10"/>
      <c r="D9050" s="10"/>
      <c r="E9050" s="10"/>
      <c r="F9050" s="10"/>
      <c r="G9050" s="10"/>
      <c r="H9050" s="10"/>
      <c r="I9050" s="10"/>
      <c r="J9050" s="10"/>
      <c r="K9050" s="10"/>
      <c r="L9050" s="10"/>
      <c r="M9050" s="10"/>
      <c r="N9050" s="10"/>
      <c r="O9050" s="10"/>
      <c r="P9050" s="10"/>
      <c r="Q9050" s="10"/>
      <c r="R9050" s="10"/>
      <c r="S9050" s="10"/>
      <c r="T9050" s="10"/>
      <c r="U9050" s="10"/>
      <c r="V9050" s="10"/>
      <c r="W9050" s="10"/>
      <c r="X9050" s="10"/>
      <c r="Y9050" s="10"/>
      <c r="Z9050" s="10"/>
    </row>
    <row r="9051" spans="1:26" ht="12.75">
      <c r="A9051" s="10"/>
      <c r="B9051" s="10"/>
      <c r="C9051" s="10"/>
      <c r="D9051" s="10"/>
      <c r="E9051" s="10"/>
      <c r="F9051" s="10"/>
      <c r="G9051" s="10"/>
      <c r="H9051" s="10"/>
      <c r="I9051" s="10"/>
      <c r="J9051" s="10"/>
      <c r="K9051" s="10"/>
      <c r="L9051" s="10"/>
      <c r="M9051" s="10"/>
      <c r="N9051" s="10"/>
      <c r="O9051" s="10"/>
      <c r="P9051" s="10"/>
      <c r="Q9051" s="10"/>
      <c r="R9051" s="10"/>
      <c r="S9051" s="10"/>
      <c r="T9051" s="10"/>
      <c r="U9051" s="10"/>
      <c r="V9051" s="10"/>
      <c r="W9051" s="10"/>
      <c r="X9051" s="10"/>
      <c r="Y9051" s="10"/>
      <c r="Z9051" s="10"/>
    </row>
    <row r="9052" spans="1:26" ht="12.75">
      <c r="A9052" s="10"/>
      <c r="B9052" s="10"/>
      <c r="C9052" s="10"/>
      <c r="D9052" s="10"/>
      <c r="E9052" s="10"/>
      <c r="F9052" s="10"/>
      <c r="G9052" s="10"/>
      <c r="H9052" s="10"/>
      <c r="I9052" s="10"/>
      <c r="J9052" s="10"/>
      <c r="K9052" s="10"/>
      <c r="L9052" s="10"/>
      <c r="M9052" s="10"/>
      <c r="N9052" s="10"/>
      <c r="O9052" s="10"/>
      <c r="P9052" s="10"/>
      <c r="Q9052" s="10"/>
      <c r="R9052" s="10"/>
      <c r="S9052" s="10"/>
      <c r="T9052" s="10"/>
      <c r="U9052" s="10"/>
      <c r="V9052" s="10"/>
      <c r="W9052" s="10"/>
      <c r="X9052" s="10"/>
      <c r="Y9052" s="10"/>
      <c r="Z9052" s="10"/>
    </row>
    <row r="9053" spans="1:26" ht="12.75">
      <c r="A9053" s="10"/>
      <c r="B9053" s="10"/>
      <c r="C9053" s="10"/>
      <c r="D9053" s="10"/>
      <c r="E9053" s="10"/>
      <c r="F9053" s="10"/>
      <c r="G9053" s="10"/>
      <c r="H9053" s="10"/>
      <c r="I9053" s="10"/>
      <c r="J9053" s="10"/>
      <c r="K9053" s="10"/>
      <c r="L9053" s="10"/>
      <c r="M9053" s="10"/>
      <c r="N9053" s="10"/>
      <c r="O9053" s="10"/>
      <c r="P9053" s="10"/>
      <c r="Q9053" s="10"/>
      <c r="R9053" s="10"/>
      <c r="S9053" s="10"/>
      <c r="T9053" s="10"/>
      <c r="U9053" s="10"/>
      <c r="V9053" s="10"/>
      <c r="W9053" s="10"/>
      <c r="X9053" s="10"/>
      <c r="Y9053" s="10"/>
      <c r="Z9053" s="10"/>
    </row>
    <row r="9054" spans="1:26" ht="12.75">
      <c r="A9054" s="10"/>
      <c r="B9054" s="10"/>
      <c r="C9054" s="10"/>
      <c r="D9054" s="10"/>
      <c r="E9054" s="10"/>
      <c r="F9054" s="10"/>
      <c r="G9054" s="10"/>
      <c r="H9054" s="10"/>
      <c r="I9054" s="10"/>
      <c r="J9054" s="10"/>
      <c r="K9054" s="10"/>
      <c r="L9054" s="10"/>
      <c r="M9054" s="10"/>
      <c r="N9054" s="10"/>
      <c r="O9054" s="10"/>
      <c r="P9054" s="10"/>
      <c r="Q9054" s="10"/>
      <c r="R9054" s="10"/>
      <c r="S9054" s="10"/>
      <c r="T9054" s="10"/>
      <c r="U9054" s="10"/>
      <c r="V9054" s="10"/>
      <c r="W9054" s="10"/>
      <c r="X9054" s="10"/>
      <c r="Y9054" s="10"/>
      <c r="Z9054" s="10"/>
    </row>
    <row r="9055" spans="1:26" ht="12.75">
      <c r="A9055" s="10"/>
      <c r="B9055" s="10"/>
      <c r="C9055" s="10"/>
      <c r="D9055" s="10"/>
      <c r="E9055" s="10"/>
      <c r="F9055" s="10"/>
      <c r="G9055" s="10"/>
      <c r="H9055" s="10"/>
      <c r="I9055" s="10"/>
      <c r="J9055" s="10"/>
      <c r="K9055" s="10"/>
      <c r="L9055" s="10"/>
      <c r="M9055" s="10"/>
      <c r="N9055" s="10"/>
      <c r="O9055" s="10"/>
      <c r="P9055" s="10"/>
      <c r="Q9055" s="10"/>
      <c r="R9055" s="10"/>
      <c r="S9055" s="10"/>
      <c r="T9055" s="10"/>
      <c r="U9055" s="10"/>
      <c r="V9055" s="10"/>
      <c r="W9055" s="10"/>
      <c r="X9055" s="10"/>
      <c r="Y9055" s="10"/>
      <c r="Z9055" s="10"/>
    </row>
    <row r="9056" spans="1:26" ht="12.75">
      <c r="A9056" s="10"/>
      <c r="B9056" s="10"/>
      <c r="C9056" s="10"/>
      <c r="D9056" s="10"/>
      <c r="E9056" s="10"/>
      <c r="F9056" s="10"/>
      <c r="G9056" s="10"/>
      <c r="H9056" s="10"/>
      <c r="I9056" s="10"/>
      <c r="J9056" s="10"/>
      <c r="K9056" s="10"/>
      <c r="L9056" s="10"/>
      <c r="M9056" s="10"/>
      <c r="N9056" s="10"/>
      <c r="O9056" s="10"/>
      <c r="P9056" s="10"/>
      <c r="Q9056" s="10"/>
      <c r="R9056" s="10"/>
      <c r="S9056" s="10"/>
      <c r="T9056" s="10"/>
      <c r="U9056" s="10"/>
      <c r="V9056" s="10"/>
      <c r="W9056" s="10"/>
      <c r="X9056" s="10"/>
      <c r="Y9056" s="10"/>
      <c r="Z9056" s="10"/>
    </row>
    <row r="9057" spans="1:26" ht="12.75">
      <c r="A9057" s="10"/>
      <c r="B9057" s="10"/>
      <c r="C9057" s="10"/>
      <c r="D9057" s="10"/>
      <c r="E9057" s="10"/>
      <c r="F9057" s="10"/>
      <c r="G9057" s="10"/>
      <c r="H9057" s="10"/>
      <c r="I9057" s="10"/>
      <c r="J9057" s="10"/>
      <c r="K9057" s="10"/>
      <c r="L9057" s="10"/>
      <c r="M9057" s="10"/>
      <c r="N9057" s="10"/>
      <c r="O9057" s="10"/>
      <c r="P9057" s="10"/>
      <c r="Q9057" s="10"/>
      <c r="R9057" s="10"/>
      <c r="S9057" s="10"/>
      <c r="T9057" s="10"/>
      <c r="U9057" s="10"/>
      <c r="V9057" s="10"/>
      <c r="W9057" s="10"/>
      <c r="X9057" s="10"/>
      <c r="Y9057" s="10"/>
      <c r="Z9057" s="10"/>
    </row>
    <row r="9058" spans="1:26" ht="12.75">
      <c r="A9058" s="10"/>
      <c r="B9058" s="10"/>
      <c r="C9058" s="10"/>
      <c r="D9058" s="10"/>
      <c r="E9058" s="10"/>
      <c r="F9058" s="10"/>
      <c r="G9058" s="10"/>
      <c r="H9058" s="10"/>
      <c r="I9058" s="10"/>
      <c r="J9058" s="10"/>
      <c r="K9058" s="10"/>
      <c r="L9058" s="10"/>
      <c r="M9058" s="10"/>
      <c r="N9058" s="10"/>
      <c r="O9058" s="10"/>
      <c r="P9058" s="10"/>
      <c r="Q9058" s="10"/>
      <c r="R9058" s="10"/>
      <c r="S9058" s="10"/>
      <c r="T9058" s="10"/>
      <c r="U9058" s="10"/>
      <c r="V9058" s="10"/>
      <c r="W9058" s="10"/>
      <c r="X9058" s="10"/>
      <c r="Y9058" s="10"/>
      <c r="Z9058" s="10"/>
    </row>
    <row r="9059" spans="1:26" ht="12.75">
      <c r="A9059" s="10"/>
      <c r="B9059" s="10"/>
      <c r="C9059" s="10"/>
      <c r="D9059" s="10"/>
      <c r="E9059" s="10"/>
      <c r="F9059" s="10"/>
      <c r="G9059" s="10"/>
      <c r="H9059" s="10"/>
      <c r="I9059" s="10"/>
      <c r="J9059" s="10"/>
      <c r="K9059" s="10"/>
      <c r="L9059" s="10"/>
      <c r="M9059" s="10"/>
      <c r="N9059" s="10"/>
      <c r="O9059" s="10"/>
      <c r="P9059" s="10"/>
      <c r="Q9059" s="10"/>
      <c r="R9059" s="10"/>
      <c r="S9059" s="10"/>
      <c r="T9059" s="10"/>
      <c r="U9059" s="10"/>
      <c r="V9059" s="10"/>
      <c r="W9059" s="10"/>
      <c r="X9059" s="10"/>
      <c r="Y9059" s="10"/>
      <c r="Z9059" s="10"/>
    </row>
    <row r="9060" spans="1:26" ht="12.75">
      <c r="A9060" s="10"/>
      <c r="B9060" s="10"/>
      <c r="C9060" s="10"/>
      <c r="D9060" s="10"/>
      <c r="E9060" s="10"/>
      <c r="F9060" s="10"/>
      <c r="G9060" s="10"/>
      <c r="H9060" s="10"/>
      <c r="I9060" s="10"/>
      <c r="J9060" s="10"/>
      <c r="K9060" s="10"/>
      <c r="L9060" s="10"/>
      <c r="M9060" s="10"/>
      <c r="N9060" s="10"/>
      <c r="O9060" s="10"/>
      <c r="P9060" s="10"/>
      <c r="Q9060" s="10"/>
      <c r="R9060" s="10"/>
      <c r="S9060" s="10"/>
      <c r="T9060" s="10"/>
      <c r="U9060" s="10"/>
      <c r="V9060" s="10"/>
      <c r="W9060" s="10"/>
      <c r="X9060" s="10"/>
      <c r="Y9060" s="10"/>
      <c r="Z9060" s="10"/>
    </row>
    <row r="9061" spans="1:26" ht="12.75">
      <c r="A9061" s="10"/>
      <c r="B9061" s="10"/>
      <c r="C9061" s="10"/>
      <c r="D9061" s="10"/>
      <c r="E9061" s="10"/>
      <c r="F9061" s="10"/>
      <c r="G9061" s="10"/>
      <c r="H9061" s="10"/>
      <c r="I9061" s="10"/>
      <c r="J9061" s="10"/>
      <c r="K9061" s="10"/>
      <c r="L9061" s="10"/>
      <c r="M9061" s="10"/>
      <c r="N9061" s="10"/>
      <c r="O9061" s="10"/>
      <c r="P9061" s="10"/>
      <c r="Q9061" s="10"/>
      <c r="R9061" s="10"/>
      <c r="S9061" s="10"/>
      <c r="T9061" s="10"/>
      <c r="U9061" s="10"/>
      <c r="V9061" s="10"/>
      <c r="W9061" s="10"/>
      <c r="X9061" s="10"/>
      <c r="Y9061" s="10"/>
      <c r="Z9061" s="10"/>
    </row>
    <row r="9062" spans="1:26" ht="12.75">
      <c r="A9062" s="10"/>
      <c r="B9062" s="10"/>
      <c r="C9062" s="10"/>
      <c r="D9062" s="10"/>
      <c r="E9062" s="10"/>
      <c r="F9062" s="10"/>
      <c r="G9062" s="10"/>
      <c r="H9062" s="10"/>
      <c r="I9062" s="10"/>
      <c r="J9062" s="10"/>
      <c r="K9062" s="10"/>
      <c r="L9062" s="10"/>
      <c r="M9062" s="10"/>
      <c r="N9062" s="10"/>
      <c r="O9062" s="10"/>
      <c r="P9062" s="10"/>
      <c r="Q9062" s="10"/>
      <c r="R9062" s="10"/>
      <c r="S9062" s="10"/>
      <c r="T9062" s="10"/>
      <c r="U9062" s="10"/>
      <c r="V9062" s="10"/>
      <c r="W9062" s="10"/>
      <c r="X9062" s="10"/>
      <c r="Y9062" s="10"/>
      <c r="Z9062" s="10"/>
    </row>
    <row r="9063" spans="1:26" ht="12.75">
      <c r="A9063" s="10"/>
      <c r="B9063" s="10"/>
      <c r="C9063" s="10"/>
      <c r="D9063" s="10"/>
      <c r="E9063" s="10"/>
      <c r="F9063" s="10"/>
      <c r="G9063" s="10"/>
      <c r="H9063" s="10"/>
      <c r="I9063" s="10"/>
      <c r="J9063" s="10"/>
      <c r="K9063" s="10"/>
      <c r="L9063" s="10"/>
      <c r="M9063" s="10"/>
      <c r="N9063" s="10"/>
      <c r="O9063" s="10"/>
      <c r="P9063" s="10"/>
      <c r="Q9063" s="10"/>
      <c r="R9063" s="10"/>
      <c r="S9063" s="10"/>
      <c r="T9063" s="10"/>
      <c r="U9063" s="10"/>
      <c r="V9063" s="10"/>
      <c r="W9063" s="10"/>
      <c r="X9063" s="10"/>
      <c r="Y9063" s="10"/>
      <c r="Z9063" s="10"/>
    </row>
    <row r="9064" spans="1:26" ht="12.75">
      <c r="A9064" s="10"/>
      <c r="B9064" s="10"/>
      <c r="C9064" s="10"/>
      <c r="D9064" s="10"/>
      <c r="E9064" s="10"/>
      <c r="F9064" s="10"/>
      <c r="G9064" s="10"/>
      <c r="H9064" s="10"/>
      <c r="I9064" s="10"/>
      <c r="J9064" s="10"/>
      <c r="K9064" s="10"/>
      <c r="L9064" s="10"/>
      <c r="M9064" s="10"/>
      <c r="N9064" s="10"/>
      <c r="O9064" s="10"/>
      <c r="P9064" s="10"/>
      <c r="Q9064" s="10"/>
      <c r="R9064" s="10"/>
      <c r="S9064" s="10"/>
      <c r="T9064" s="10"/>
      <c r="U9064" s="10"/>
      <c r="V9064" s="10"/>
      <c r="W9064" s="10"/>
      <c r="X9064" s="10"/>
      <c r="Y9064" s="10"/>
      <c r="Z9064" s="10"/>
    </row>
    <row r="9065" spans="1:26" ht="12.75">
      <c r="A9065" s="10"/>
      <c r="B9065" s="10"/>
      <c r="C9065" s="10"/>
      <c r="D9065" s="10"/>
      <c r="E9065" s="10"/>
      <c r="F9065" s="10"/>
      <c r="G9065" s="10"/>
      <c r="H9065" s="10"/>
      <c r="I9065" s="10"/>
      <c r="J9065" s="10"/>
      <c r="K9065" s="10"/>
      <c r="L9065" s="10"/>
      <c r="M9065" s="10"/>
      <c r="N9065" s="10"/>
      <c r="O9065" s="10"/>
      <c r="P9065" s="10"/>
      <c r="Q9065" s="10"/>
      <c r="R9065" s="10"/>
      <c r="S9065" s="10"/>
      <c r="T9065" s="10"/>
      <c r="U9065" s="10"/>
      <c r="V9065" s="10"/>
      <c r="W9065" s="10"/>
      <c r="X9065" s="10"/>
      <c r="Y9065" s="10"/>
      <c r="Z9065" s="10"/>
    </row>
    <row r="9066" spans="1:26" ht="12.75">
      <c r="A9066" s="10"/>
      <c r="B9066" s="10"/>
      <c r="C9066" s="10"/>
      <c r="D9066" s="10"/>
      <c r="E9066" s="10"/>
      <c r="F9066" s="10"/>
      <c r="G9066" s="10"/>
      <c r="H9066" s="10"/>
      <c r="I9066" s="10"/>
      <c r="J9066" s="10"/>
      <c r="K9066" s="10"/>
      <c r="L9066" s="10"/>
      <c r="M9066" s="10"/>
      <c r="N9066" s="10"/>
      <c r="O9066" s="10"/>
      <c r="P9066" s="10"/>
      <c r="Q9066" s="10"/>
      <c r="R9066" s="10"/>
      <c r="S9066" s="10"/>
      <c r="T9066" s="10"/>
      <c r="U9066" s="10"/>
      <c r="V9066" s="10"/>
      <c r="W9066" s="10"/>
      <c r="X9066" s="10"/>
      <c r="Y9066" s="10"/>
      <c r="Z9066" s="10"/>
    </row>
    <row r="9067" spans="1:26" ht="12.75">
      <c r="A9067" s="10"/>
      <c r="B9067" s="10"/>
      <c r="C9067" s="10"/>
      <c r="D9067" s="10"/>
      <c r="E9067" s="10"/>
      <c r="F9067" s="10"/>
      <c r="G9067" s="10"/>
      <c r="H9067" s="10"/>
      <c r="I9067" s="10"/>
      <c r="J9067" s="10"/>
      <c r="K9067" s="10"/>
      <c r="L9067" s="10"/>
      <c r="M9067" s="10"/>
      <c r="N9067" s="10"/>
      <c r="O9067" s="10"/>
      <c r="P9067" s="10"/>
      <c r="Q9067" s="10"/>
      <c r="R9067" s="10"/>
      <c r="S9067" s="10"/>
      <c r="T9067" s="10"/>
      <c r="U9067" s="10"/>
      <c r="V9067" s="10"/>
      <c r="W9067" s="10"/>
      <c r="X9067" s="10"/>
      <c r="Y9067" s="10"/>
      <c r="Z9067" s="10"/>
    </row>
    <row r="9068" spans="1:26" ht="12.75">
      <c r="A9068" s="10"/>
      <c r="B9068" s="10"/>
      <c r="C9068" s="10"/>
      <c r="D9068" s="10"/>
      <c r="E9068" s="10"/>
      <c r="F9068" s="10"/>
      <c r="G9068" s="10"/>
      <c r="H9068" s="10"/>
      <c r="I9068" s="10"/>
      <c r="J9068" s="10"/>
      <c r="K9068" s="10"/>
      <c r="L9068" s="10"/>
      <c r="M9068" s="10"/>
      <c r="N9068" s="10"/>
      <c r="O9068" s="10"/>
      <c r="P9068" s="10"/>
      <c r="Q9068" s="10"/>
      <c r="R9068" s="10"/>
      <c r="S9068" s="10"/>
      <c r="T9068" s="10"/>
      <c r="U9068" s="10"/>
      <c r="V9068" s="10"/>
      <c r="W9068" s="10"/>
      <c r="X9068" s="10"/>
      <c r="Y9068" s="10"/>
      <c r="Z9068" s="10"/>
    </row>
    <row r="9069" spans="1:26" ht="12.75">
      <c r="A9069" s="10"/>
      <c r="B9069" s="10"/>
      <c r="C9069" s="10"/>
      <c r="D9069" s="10"/>
      <c r="E9069" s="10"/>
      <c r="F9069" s="10"/>
      <c r="G9069" s="10"/>
      <c r="H9069" s="10"/>
      <c r="I9069" s="10"/>
      <c r="J9069" s="10"/>
      <c r="K9069" s="10"/>
      <c r="L9069" s="10"/>
      <c r="M9069" s="10"/>
      <c r="N9069" s="10"/>
      <c r="O9069" s="10"/>
      <c r="P9069" s="10"/>
      <c r="Q9069" s="10"/>
      <c r="R9069" s="10"/>
      <c r="S9069" s="10"/>
      <c r="T9069" s="10"/>
      <c r="U9069" s="10"/>
      <c r="V9069" s="10"/>
      <c r="W9069" s="10"/>
      <c r="X9069" s="10"/>
      <c r="Y9069" s="10"/>
      <c r="Z9069" s="10"/>
    </row>
    <row r="9070" spans="1:26" ht="12.75">
      <c r="A9070" s="10"/>
      <c r="B9070" s="10"/>
      <c r="C9070" s="10"/>
      <c r="D9070" s="10"/>
      <c r="E9070" s="10"/>
      <c r="F9070" s="10"/>
      <c r="G9070" s="10"/>
      <c r="H9070" s="10"/>
      <c r="I9070" s="10"/>
      <c r="J9070" s="10"/>
      <c r="K9070" s="10"/>
      <c r="L9070" s="10"/>
      <c r="M9070" s="10"/>
      <c r="N9070" s="10"/>
      <c r="O9070" s="10"/>
      <c r="P9070" s="10"/>
      <c r="Q9070" s="10"/>
      <c r="R9070" s="10"/>
      <c r="S9070" s="10"/>
      <c r="T9070" s="10"/>
      <c r="U9070" s="10"/>
      <c r="V9070" s="10"/>
      <c r="W9070" s="10"/>
      <c r="X9070" s="10"/>
      <c r="Y9070" s="10"/>
      <c r="Z9070" s="10"/>
    </row>
    <row r="9071" spans="1:26" ht="12.75">
      <c r="A9071" s="10"/>
      <c r="B9071" s="10"/>
      <c r="C9071" s="10"/>
      <c r="D9071" s="10"/>
      <c r="E9071" s="10"/>
      <c r="F9071" s="10"/>
      <c r="G9071" s="10"/>
      <c r="H9071" s="10"/>
      <c r="I9071" s="10"/>
      <c r="J9071" s="10"/>
      <c r="K9071" s="10"/>
      <c r="L9071" s="10"/>
      <c r="M9071" s="10"/>
      <c r="N9071" s="10"/>
      <c r="O9071" s="10"/>
      <c r="P9071" s="10"/>
      <c r="Q9071" s="10"/>
      <c r="R9071" s="10"/>
      <c r="S9071" s="10"/>
      <c r="T9071" s="10"/>
      <c r="U9071" s="10"/>
      <c r="V9071" s="10"/>
      <c r="W9071" s="10"/>
      <c r="X9071" s="10"/>
      <c r="Y9071" s="10"/>
      <c r="Z9071" s="10"/>
    </row>
    <row r="9072" spans="1:26" ht="12.75">
      <c r="A9072" s="10"/>
      <c r="B9072" s="10"/>
      <c r="C9072" s="10"/>
      <c r="D9072" s="10"/>
      <c r="E9072" s="10"/>
      <c r="F9072" s="10"/>
      <c r="G9072" s="10"/>
      <c r="H9072" s="10"/>
      <c r="I9072" s="10"/>
      <c r="J9072" s="10"/>
      <c r="K9072" s="10"/>
      <c r="L9072" s="10"/>
      <c r="M9072" s="10"/>
      <c r="N9072" s="10"/>
      <c r="O9072" s="10"/>
      <c r="P9072" s="10"/>
      <c r="Q9072" s="10"/>
      <c r="R9072" s="10"/>
      <c r="S9072" s="10"/>
      <c r="T9072" s="10"/>
      <c r="U9072" s="10"/>
      <c r="V9072" s="10"/>
      <c r="W9072" s="10"/>
      <c r="X9072" s="10"/>
      <c r="Y9072" s="10"/>
      <c r="Z9072" s="10"/>
    </row>
    <row r="9073" spans="1:26" ht="12.75">
      <c r="A9073" s="10"/>
      <c r="B9073" s="10"/>
      <c r="C9073" s="10"/>
      <c r="D9073" s="10"/>
      <c r="E9073" s="10"/>
      <c r="F9073" s="10"/>
      <c r="G9073" s="10"/>
      <c r="H9073" s="10"/>
      <c r="I9073" s="10"/>
      <c r="J9073" s="10"/>
      <c r="K9073" s="10"/>
      <c r="L9073" s="10"/>
      <c r="M9073" s="10"/>
      <c r="N9073" s="10"/>
      <c r="O9073" s="10"/>
      <c r="P9073" s="10"/>
      <c r="Q9073" s="10"/>
      <c r="R9073" s="10"/>
      <c r="S9073" s="10"/>
      <c r="T9073" s="10"/>
      <c r="U9073" s="10"/>
      <c r="V9073" s="10"/>
      <c r="W9073" s="10"/>
      <c r="X9073" s="10"/>
      <c r="Y9073" s="10"/>
      <c r="Z9073" s="10"/>
    </row>
    <row r="9074" spans="1:26" ht="12.75">
      <c r="A9074" s="10"/>
      <c r="B9074" s="10"/>
      <c r="C9074" s="10"/>
      <c r="D9074" s="10"/>
      <c r="E9074" s="10"/>
      <c r="F9074" s="10"/>
      <c r="G9074" s="10"/>
      <c r="H9074" s="10"/>
      <c r="I9074" s="10"/>
      <c r="J9074" s="10"/>
      <c r="K9074" s="10"/>
      <c r="L9074" s="10"/>
      <c r="M9074" s="10"/>
      <c r="N9074" s="10"/>
      <c r="O9074" s="10"/>
      <c r="P9074" s="10"/>
      <c r="Q9074" s="10"/>
      <c r="R9074" s="10"/>
      <c r="S9074" s="10"/>
      <c r="T9074" s="10"/>
      <c r="U9074" s="10"/>
      <c r="V9074" s="10"/>
      <c r="W9074" s="10"/>
      <c r="X9074" s="10"/>
      <c r="Y9074" s="10"/>
      <c r="Z9074" s="10"/>
    </row>
    <row r="9075" spans="1:26" ht="12.75">
      <c r="A9075" s="10"/>
      <c r="B9075" s="10"/>
      <c r="C9075" s="10"/>
      <c r="D9075" s="10"/>
      <c r="E9075" s="10"/>
      <c r="F9075" s="10"/>
      <c r="G9075" s="10"/>
      <c r="H9075" s="10"/>
      <c r="I9075" s="10"/>
      <c r="J9075" s="10"/>
      <c r="K9075" s="10"/>
      <c r="L9075" s="10"/>
      <c r="M9075" s="10"/>
      <c r="N9075" s="10"/>
      <c r="O9075" s="10"/>
      <c r="P9075" s="10"/>
      <c r="Q9075" s="10"/>
      <c r="R9075" s="10"/>
      <c r="S9075" s="10"/>
      <c r="T9075" s="10"/>
      <c r="U9075" s="10"/>
      <c r="V9075" s="10"/>
      <c r="W9075" s="10"/>
      <c r="X9075" s="10"/>
      <c r="Y9075" s="10"/>
      <c r="Z9075" s="10"/>
    </row>
    <row r="9076" spans="1:26" ht="12.75">
      <c r="A9076" s="10"/>
      <c r="B9076" s="10"/>
      <c r="C9076" s="10"/>
      <c r="D9076" s="10"/>
      <c r="E9076" s="10"/>
      <c r="F9076" s="10"/>
      <c r="G9076" s="10"/>
      <c r="H9076" s="10"/>
      <c r="I9076" s="10"/>
      <c r="J9076" s="10"/>
      <c r="K9076" s="10"/>
      <c r="L9076" s="10"/>
      <c r="M9076" s="10"/>
      <c r="N9076" s="10"/>
      <c r="O9076" s="10"/>
      <c r="P9076" s="10"/>
      <c r="Q9076" s="10"/>
      <c r="R9076" s="10"/>
      <c r="S9076" s="10"/>
      <c r="T9076" s="10"/>
      <c r="U9076" s="10"/>
      <c r="V9076" s="10"/>
      <c r="W9076" s="10"/>
      <c r="X9076" s="10"/>
      <c r="Y9076" s="10"/>
      <c r="Z9076" s="10"/>
    </row>
    <row r="9077" spans="1:26" ht="12.75">
      <c r="A9077" s="10"/>
      <c r="B9077" s="10"/>
      <c r="C9077" s="10"/>
      <c r="D9077" s="10"/>
      <c r="E9077" s="10"/>
      <c r="F9077" s="10"/>
      <c r="G9077" s="10"/>
      <c r="H9077" s="10"/>
      <c r="I9077" s="10"/>
      <c r="J9077" s="10"/>
      <c r="K9077" s="10"/>
      <c r="L9077" s="10"/>
      <c r="M9077" s="10"/>
      <c r="N9077" s="10"/>
      <c r="O9077" s="10"/>
      <c r="P9077" s="10"/>
      <c r="Q9077" s="10"/>
      <c r="R9077" s="10"/>
      <c r="S9077" s="10"/>
      <c r="T9077" s="10"/>
      <c r="U9077" s="10"/>
      <c r="V9077" s="10"/>
      <c r="W9077" s="10"/>
      <c r="X9077" s="10"/>
      <c r="Y9077" s="10"/>
      <c r="Z9077" s="10"/>
    </row>
    <row r="9078" spans="1:26" ht="12.75">
      <c r="A9078" s="10"/>
      <c r="B9078" s="10"/>
      <c r="C9078" s="10"/>
      <c r="D9078" s="10"/>
      <c r="E9078" s="10"/>
      <c r="F9078" s="10"/>
      <c r="G9078" s="10"/>
      <c r="H9078" s="10"/>
      <c r="I9078" s="10"/>
      <c r="J9078" s="10"/>
      <c r="K9078" s="10"/>
      <c r="L9078" s="10"/>
      <c r="M9078" s="10"/>
      <c r="N9078" s="10"/>
      <c r="O9078" s="10"/>
      <c r="P9078" s="10"/>
      <c r="Q9078" s="10"/>
      <c r="R9078" s="10"/>
      <c r="S9078" s="10"/>
      <c r="T9078" s="10"/>
      <c r="U9078" s="10"/>
      <c r="V9078" s="10"/>
      <c r="W9078" s="10"/>
      <c r="X9078" s="10"/>
      <c r="Y9078" s="10"/>
      <c r="Z9078" s="10"/>
    </row>
    <row r="9079" spans="1:26" ht="12.75">
      <c r="A9079" s="10"/>
      <c r="B9079" s="10"/>
      <c r="C9079" s="10"/>
      <c r="D9079" s="10"/>
      <c r="E9079" s="10"/>
      <c r="F9079" s="10"/>
      <c r="G9079" s="10"/>
      <c r="H9079" s="10"/>
      <c r="I9079" s="10"/>
      <c r="J9079" s="10"/>
      <c r="K9079" s="10"/>
      <c r="L9079" s="10"/>
      <c r="M9079" s="10"/>
      <c r="N9079" s="10"/>
      <c r="O9079" s="10"/>
      <c r="P9079" s="10"/>
      <c r="Q9079" s="10"/>
      <c r="R9079" s="10"/>
      <c r="S9079" s="10"/>
      <c r="T9079" s="10"/>
      <c r="U9079" s="10"/>
      <c r="V9079" s="10"/>
      <c r="W9079" s="10"/>
      <c r="X9079" s="10"/>
      <c r="Y9079" s="10"/>
      <c r="Z9079" s="10"/>
    </row>
    <row r="9080" spans="1:26" ht="12.75">
      <c r="A9080" s="10"/>
      <c r="B9080" s="10"/>
      <c r="C9080" s="10"/>
      <c r="D9080" s="10"/>
      <c r="E9080" s="10"/>
      <c r="F9080" s="10"/>
      <c r="G9080" s="10"/>
      <c r="H9080" s="10"/>
      <c r="I9080" s="10"/>
      <c r="J9080" s="10"/>
      <c r="K9080" s="10"/>
      <c r="L9080" s="10"/>
      <c r="M9080" s="10"/>
      <c r="N9080" s="10"/>
      <c r="O9080" s="10"/>
      <c r="P9080" s="10"/>
      <c r="Q9080" s="10"/>
      <c r="R9080" s="10"/>
      <c r="S9080" s="10"/>
      <c r="T9080" s="10"/>
      <c r="U9080" s="10"/>
      <c r="V9080" s="10"/>
      <c r="W9080" s="10"/>
      <c r="X9080" s="10"/>
      <c r="Y9080" s="10"/>
      <c r="Z9080" s="10"/>
    </row>
    <row r="9081" spans="1:26" ht="12.75">
      <c r="A9081" s="10"/>
      <c r="B9081" s="10"/>
      <c r="C9081" s="10"/>
      <c r="D9081" s="10"/>
      <c r="E9081" s="10"/>
      <c r="F9081" s="10"/>
      <c r="G9081" s="10"/>
      <c r="H9081" s="10"/>
      <c r="I9081" s="10"/>
      <c r="J9081" s="10"/>
      <c r="K9081" s="10"/>
      <c r="L9081" s="10"/>
      <c r="M9081" s="10"/>
      <c r="N9081" s="10"/>
      <c r="O9081" s="10"/>
      <c r="P9081" s="10"/>
      <c r="Q9081" s="10"/>
      <c r="R9081" s="10"/>
      <c r="S9081" s="10"/>
      <c r="T9081" s="10"/>
      <c r="U9081" s="10"/>
      <c r="V9081" s="10"/>
      <c r="W9081" s="10"/>
      <c r="X9081" s="10"/>
      <c r="Y9081" s="10"/>
      <c r="Z9081" s="10"/>
    </row>
    <row r="9082" spans="1:26" ht="12.75">
      <c r="A9082" s="10"/>
      <c r="B9082" s="10"/>
      <c r="C9082" s="10"/>
      <c r="D9082" s="10"/>
      <c r="E9082" s="10"/>
      <c r="F9082" s="10"/>
      <c r="G9082" s="10"/>
      <c r="H9082" s="10"/>
      <c r="I9082" s="10"/>
      <c r="J9082" s="10"/>
      <c r="K9082" s="10"/>
      <c r="L9082" s="10"/>
      <c r="M9082" s="10"/>
      <c r="N9082" s="10"/>
      <c r="O9082" s="10"/>
      <c r="P9082" s="10"/>
      <c r="Q9082" s="10"/>
      <c r="R9082" s="10"/>
      <c r="S9082" s="10"/>
      <c r="T9082" s="10"/>
      <c r="U9082" s="10"/>
      <c r="V9082" s="10"/>
      <c r="W9082" s="10"/>
      <c r="X9082" s="10"/>
      <c r="Y9082" s="10"/>
      <c r="Z9082" s="10"/>
    </row>
    <row r="9083" spans="1:26" ht="12.75">
      <c r="A9083" s="10"/>
      <c r="B9083" s="10"/>
      <c r="C9083" s="10"/>
      <c r="D9083" s="10"/>
      <c r="E9083" s="10"/>
      <c r="F9083" s="10"/>
      <c r="G9083" s="10"/>
      <c r="H9083" s="10"/>
      <c r="I9083" s="10"/>
      <c r="J9083" s="10"/>
      <c r="K9083" s="10"/>
      <c r="L9083" s="10"/>
      <c r="M9083" s="10"/>
      <c r="N9083" s="10"/>
      <c r="O9083" s="10"/>
      <c r="P9083" s="10"/>
      <c r="Q9083" s="10"/>
      <c r="R9083" s="10"/>
      <c r="S9083" s="10"/>
      <c r="T9083" s="10"/>
      <c r="U9083" s="10"/>
      <c r="V9083" s="10"/>
      <c r="W9083" s="10"/>
      <c r="X9083" s="10"/>
      <c r="Y9083" s="10"/>
      <c r="Z9083" s="10"/>
    </row>
    <row r="9084" spans="1:26" ht="12.75">
      <c r="A9084" s="10"/>
      <c r="B9084" s="10"/>
      <c r="C9084" s="10"/>
      <c r="D9084" s="10"/>
      <c r="E9084" s="10"/>
      <c r="F9084" s="10"/>
      <c r="G9084" s="10"/>
      <c r="H9084" s="10"/>
      <c r="I9084" s="10"/>
      <c r="J9084" s="10"/>
      <c r="K9084" s="10"/>
      <c r="L9084" s="10"/>
      <c r="M9084" s="10"/>
      <c r="N9084" s="10"/>
      <c r="O9084" s="10"/>
      <c r="P9084" s="10"/>
      <c r="Q9084" s="10"/>
      <c r="R9084" s="10"/>
      <c r="S9084" s="10"/>
      <c r="T9084" s="10"/>
      <c r="U9084" s="10"/>
      <c r="V9084" s="10"/>
      <c r="W9084" s="10"/>
      <c r="X9084" s="10"/>
      <c r="Y9084" s="10"/>
      <c r="Z9084" s="10"/>
    </row>
    <row r="9085" spans="1:26" ht="12.75">
      <c r="A9085" s="10"/>
      <c r="B9085" s="10"/>
      <c r="C9085" s="10"/>
      <c r="D9085" s="10"/>
      <c r="E9085" s="10"/>
      <c r="F9085" s="10"/>
      <c r="G9085" s="10"/>
      <c r="H9085" s="10"/>
      <c r="I9085" s="10"/>
      <c r="J9085" s="10"/>
      <c r="K9085" s="10"/>
      <c r="L9085" s="10"/>
      <c r="M9085" s="10"/>
      <c r="N9085" s="10"/>
      <c r="O9085" s="10"/>
      <c r="P9085" s="10"/>
      <c r="Q9085" s="10"/>
      <c r="R9085" s="10"/>
      <c r="S9085" s="10"/>
      <c r="T9085" s="10"/>
      <c r="U9085" s="10"/>
      <c r="V9085" s="10"/>
      <c r="W9085" s="10"/>
      <c r="X9085" s="10"/>
      <c r="Y9085" s="10"/>
      <c r="Z9085" s="10"/>
    </row>
    <row r="9086" spans="1:26" ht="12.75">
      <c r="A9086" s="10"/>
      <c r="B9086" s="10"/>
      <c r="C9086" s="10"/>
      <c r="D9086" s="10"/>
      <c r="E9086" s="10"/>
      <c r="F9086" s="10"/>
      <c r="G9086" s="10"/>
      <c r="H9086" s="10"/>
      <c r="I9086" s="10"/>
      <c r="J9086" s="10"/>
      <c r="K9086" s="10"/>
      <c r="L9086" s="10"/>
      <c r="M9086" s="10"/>
      <c r="N9086" s="10"/>
      <c r="O9086" s="10"/>
      <c r="P9086" s="10"/>
      <c r="Q9086" s="10"/>
      <c r="R9086" s="10"/>
      <c r="S9086" s="10"/>
      <c r="T9086" s="10"/>
      <c r="U9086" s="10"/>
      <c r="V9086" s="10"/>
      <c r="W9086" s="10"/>
      <c r="X9086" s="10"/>
      <c r="Y9086" s="10"/>
      <c r="Z9086" s="10"/>
    </row>
    <row r="9087" spans="1:26" ht="12.75">
      <c r="A9087" s="10"/>
      <c r="B9087" s="10"/>
      <c r="C9087" s="10"/>
      <c r="D9087" s="10"/>
      <c r="E9087" s="10"/>
      <c r="F9087" s="10"/>
      <c r="G9087" s="10"/>
      <c r="H9087" s="10"/>
      <c r="I9087" s="10"/>
      <c r="J9087" s="10"/>
      <c r="K9087" s="10"/>
      <c r="L9087" s="10"/>
      <c r="M9087" s="10"/>
      <c r="N9087" s="10"/>
      <c r="O9087" s="10"/>
      <c r="P9087" s="10"/>
      <c r="Q9087" s="10"/>
      <c r="R9087" s="10"/>
      <c r="S9087" s="10"/>
      <c r="T9087" s="10"/>
      <c r="U9087" s="10"/>
      <c r="V9087" s="10"/>
      <c r="W9087" s="10"/>
      <c r="X9087" s="10"/>
      <c r="Y9087" s="10"/>
      <c r="Z9087" s="10"/>
    </row>
    <row r="9088" spans="1:26" ht="12.75">
      <c r="A9088" s="10"/>
      <c r="B9088" s="10"/>
      <c r="C9088" s="10"/>
      <c r="D9088" s="10"/>
      <c r="E9088" s="10"/>
      <c r="F9088" s="10"/>
      <c r="G9088" s="10"/>
      <c r="H9088" s="10"/>
      <c r="I9088" s="10"/>
      <c r="J9088" s="10"/>
      <c r="K9088" s="10"/>
      <c r="L9088" s="10"/>
      <c r="M9088" s="10"/>
      <c r="N9088" s="10"/>
      <c r="O9088" s="10"/>
      <c r="P9088" s="10"/>
      <c r="Q9088" s="10"/>
      <c r="R9088" s="10"/>
      <c r="S9088" s="10"/>
      <c r="T9088" s="10"/>
      <c r="U9088" s="10"/>
      <c r="V9088" s="10"/>
      <c r="W9088" s="10"/>
      <c r="X9088" s="10"/>
      <c r="Y9088" s="10"/>
      <c r="Z9088" s="10"/>
    </row>
    <row r="9089" spans="1:26" ht="12.75">
      <c r="A9089" s="10"/>
      <c r="B9089" s="10"/>
      <c r="C9089" s="10"/>
      <c r="D9089" s="10"/>
      <c r="E9089" s="10"/>
      <c r="F9089" s="10"/>
      <c r="G9089" s="10"/>
      <c r="H9089" s="10"/>
      <c r="I9089" s="10"/>
      <c r="J9089" s="10"/>
      <c r="K9089" s="10"/>
      <c r="L9089" s="10"/>
      <c r="M9089" s="10"/>
      <c r="N9089" s="10"/>
      <c r="O9089" s="10"/>
      <c r="P9089" s="10"/>
      <c r="Q9089" s="10"/>
      <c r="R9089" s="10"/>
      <c r="S9089" s="10"/>
      <c r="T9089" s="10"/>
      <c r="U9089" s="10"/>
      <c r="V9089" s="10"/>
      <c r="W9089" s="10"/>
      <c r="X9089" s="10"/>
      <c r="Y9089" s="10"/>
      <c r="Z9089" s="10"/>
    </row>
    <row r="9090" spans="1:26" ht="12.75">
      <c r="A9090" s="10"/>
      <c r="B9090" s="10"/>
      <c r="C9090" s="10"/>
      <c r="D9090" s="10"/>
      <c r="E9090" s="10"/>
      <c r="F9090" s="10"/>
      <c r="G9090" s="10"/>
      <c r="H9090" s="10"/>
      <c r="I9090" s="10"/>
      <c r="J9090" s="10"/>
      <c r="K9090" s="10"/>
      <c r="L9090" s="10"/>
      <c r="M9090" s="10"/>
      <c r="N9090" s="10"/>
      <c r="O9090" s="10"/>
      <c r="P9090" s="10"/>
      <c r="Q9090" s="10"/>
      <c r="R9090" s="10"/>
      <c r="S9090" s="10"/>
      <c r="T9090" s="10"/>
      <c r="U9090" s="10"/>
      <c r="V9090" s="10"/>
      <c r="W9090" s="10"/>
      <c r="X9090" s="10"/>
      <c r="Y9090" s="10"/>
      <c r="Z9090" s="10"/>
    </row>
    <row r="9091" spans="1:26" ht="12.75">
      <c r="A9091" s="10"/>
      <c r="B9091" s="10"/>
      <c r="C9091" s="10"/>
      <c r="D9091" s="10"/>
      <c r="E9091" s="10"/>
      <c r="F9091" s="10"/>
      <c r="G9091" s="10"/>
      <c r="H9091" s="10"/>
      <c r="I9091" s="10"/>
      <c r="J9091" s="10"/>
      <c r="K9091" s="10"/>
      <c r="L9091" s="10"/>
      <c r="M9091" s="10"/>
      <c r="N9091" s="10"/>
      <c r="O9091" s="10"/>
      <c r="P9091" s="10"/>
      <c r="Q9091" s="10"/>
      <c r="R9091" s="10"/>
      <c r="S9091" s="10"/>
      <c r="T9091" s="10"/>
      <c r="U9091" s="10"/>
      <c r="V9091" s="10"/>
      <c r="W9091" s="10"/>
      <c r="X9091" s="10"/>
      <c r="Y9091" s="10"/>
      <c r="Z9091" s="10"/>
    </row>
    <row r="9092" spans="1:26" ht="12.75">
      <c r="A9092" s="10"/>
      <c r="B9092" s="10"/>
      <c r="C9092" s="10"/>
      <c r="D9092" s="10"/>
      <c r="E9092" s="10"/>
      <c r="F9092" s="10"/>
      <c r="G9092" s="10"/>
      <c r="H9092" s="10"/>
      <c r="I9092" s="10"/>
      <c r="J9092" s="10"/>
      <c r="K9092" s="10"/>
      <c r="L9092" s="10"/>
      <c r="M9092" s="10"/>
      <c r="N9092" s="10"/>
      <c r="O9092" s="10"/>
      <c r="P9092" s="10"/>
      <c r="Q9092" s="10"/>
      <c r="R9092" s="10"/>
      <c r="S9092" s="10"/>
      <c r="T9092" s="10"/>
      <c r="U9092" s="10"/>
      <c r="V9092" s="10"/>
      <c r="W9092" s="10"/>
      <c r="X9092" s="10"/>
      <c r="Y9092" s="10"/>
      <c r="Z9092" s="10"/>
    </row>
    <row r="9093" spans="1:26" ht="12.75">
      <c r="A9093" s="10"/>
      <c r="B9093" s="10"/>
      <c r="C9093" s="10"/>
      <c r="D9093" s="10"/>
      <c r="E9093" s="10"/>
      <c r="F9093" s="10"/>
      <c r="G9093" s="10"/>
      <c r="H9093" s="10"/>
      <c r="I9093" s="10"/>
      <c r="J9093" s="10"/>
      <c r="K9093" s="10"/>
      <c r="L9093" s="10"/>
      <c r="M9093" s="10"/>
      <c r="N9093" s="10"/>
      <c r="O9093" s="10"/>
      <c r="P9093" s="10"/>
      <c r="Q9093" s="10"/>
      <c r="R9093" s="10"/>
      <c r="S9093" s="10"/>
      <c r="T9093" s="10"/>
      <c r="U9093" s="10"/>
      <c r="V9093" s="10"/>
      <c r="W9093" s="10"/>
      <c r="X9093" s="10"/>
      <c r="Y9093" s="10"/>
      <c r="Z9093" s="10"/>
    </row>
    <row r="9094" spans="1:26" ht="12.75">
      <c r="A9094" s="10"/>
      <c r="B9094" s="10"/>
      <c r="C9094" s="10"/>
      <c r="D9094" s="10"/>
      <c r="E9094" s="10"/>
      <c r="F9094" s="10"/>
      <c r="G9094" s="10"/>
      <c r="H9094" s="10"/>
      <c r="I9094" s="10"/>
      <c r="J9094" s="10"/>
      <c r="K9094" s="10"/>
      <c r="L9094" s="10"/>
      <c r="M9094" s="10"/>
      <c r="N9094" s="10"/>
      <c r="O9094" s="10"/>
      <c r="P9094" s="10"/>
      <c r="Q9094" s="10"/>
      <c r="R9094" s="10"/>
      <c r="S9094" s="10"/>
      <c r="T9094" s="10"/>
      <c r="U9094" s="10"/>
      <c r="V9094" s="10"/>
      <c r="W9094" s="10"/>
      <c r="X9094" s="10"/>
      <c r="Y9094" s="10"/>
      <c r="Z9094" s="10"/>
    </row>
    <row r="9095" spans="1:26" ht="12.75">
      <c r="A9095" s="10"/>
      <c r="B9095" s="10"/>
      <c r="C9095" s="10"/>
      <c r="D9095" s="10"/>
      <c r="E9095" s="10"/>
      <c r="F9095" s="10"/>
      <c r="G9095" s="10"/>
      <c r="H9095" s="10"/>
      <c r="I9095" s="10"/>
      <c r="J9095" s="10"/>
      <c r="K9095" s="10"/>
      <c r="L9095" s="10"/>
      <c r="M9095" s="10"/>
      <c r="N9095" s="10"/>
      <c r="O9095" s="10"/>
      <c r="P9095" s="10"/>
      <c r="Q9095" s="10"/>
      <c r="R9095" s="10"/>
      <c r="S9095" s="10"/>
      <c r="T9095" s="10"/>
      <c r="U9095" s="10"/>
      <c r="V9095" s="10"/>
      <c r="W9095" s="10"/>
      <c r="X9095" s="10"/>
      <c r="Y9095" s="10"/>
      <c r="Z9095" s="10"/>
    </row>
    <row r="9096" spans="1:26" ht="12.75">
      <c r="A9096" s="10"/>
      <c r="B9096" s="10"/>
      <c r="C9096" s="10"/>
      <c r="D9096" s="10"/>
      <c r="E9096" s="10"/>
      <c r="F9096" s="10"/>
      <c r="G9096" s="10"/>
      <c r="H9096" s="10"/>
      <c r="I9096" s="10"/>
      <c r="J9096" s="10"/>
      <c r="K9096" s="10"/>
      <c r="L9096" s="10"/>
      <c r="M9096" s="10"/>
      <c r="N9096" s="10"/>
      <c r="O9096" s="10"/>
      <c r="P9096" s="10"/>
      <c r="Q9096" s="10"/>
      <c r="R9096" s="10"/>
      <c r="S9096" s="10"/>
      <c r="T9096" s="10"/>
      <c r="U9096" s="10"/>
      <c r="V9096" s="10"/>
      <c r="W9096" s="10"/>
      <c r="X9096" s="10"/>
      <c r="Y9096" s="10"/>
      <c r="Z9096" s="10"/>
    </row>
    <row r="9097" spans="1:26" ht="12.75">
      <c r="A9097" s="10"/>
      <c r="B9097" s="10"/>
      <c r="C9097" s="10"/>
      <c r="D9097" s="10"/>
      <c r="E9097" s="10"/>
      <c r="F9097" s="10"/>
      <c r="G9097" s="10"/>
      <c r="H9097" s="10"/>
      <c r="I9097" s="10"/>
      <c r="J9097" s="10"/>
      <c r="K9097" s="10"/>
      <c r="L9097" s="10"/>
      <c r="M9097" s="10"/>
      <c r="N9097" s="10"/>
      <c r="O9097" s="10"/>
      <c r="P9097" s="10"/>
      <c r="Q9097" s="10"/>
      <c r="R9097" s="10"/>
      <c r="S9097" s="10"/>
      <c r="T9097" s="10"/>
      <c r="U9097" s="10"/>
      <c r="V9097" s="10"/>
      <c r="W9097" s="10"/>
      <c r="X9097" s="10"/>
      <c r="Y9097" s="10"/>
      <c r="Z9097" s="10"/>
    </row>
    <row r="9098" spans="1:26" ht="12.75">
      <c r="A9098" s="10"/>
      <c r="B9098" s="10"/>
      <c r="C9098" s="10"/>
      <c r="D9098" s="10"/>
      <c r="E9098" s="10"/>
      <c r="F9098" s="10"/>
      <c r="G9098" s="10"/>
      <c r="H9098" s="10"/>
      <c r="I9098" s="10"/>
      <c r="J9098" s="10"/>
      <c r="K9098" s="10"/>
      <c r="L9098" s="10"/>
      <c r="M9098" s="10"/>
      <c r="N9098" s="10"/>
      <c r="O9098" s="10"/>
      <c r="P9098" s="10"/>
      <c r="Q9098" s="10"/>
      <c r="R9098" s="10"/>
      <c r="S9098" s="10"/>
      <c r="T9098" s="10"/>
      <c r="U9098" s="10"/>
      <c r="V9098" s="10"/>
      <c r="W9098" s="10"/>
      <c r="X9098" s="10"/>
      <c r="Y9098" s="10"/>
      <c r="Z9098" s="10"/>
    </row>
    <row r="9099" spans="1:26" ht="12.75">
      <c r="A9099" s="10"/>
      <c r="B9099" s="10"/>
      <c r="C9099" s="10"/>
      <c r="D9099" s="10"/>
      <c r="E9099" s="10"/>
      <c r="F9099" s="10"/>
      <c r="G9099" s="10"/>
      <c r="H9099" s="10"/>
      <c r="I9099" s="10"/>
      <c r="J9099" s="10"/>
      <c r="K9099" s="10"/>
      <c r="L9099" s="10"/>
      <c r="M9099" s="10"/>
      <c r="N9099" s="10"/>
      <c r="O9099" s="10"/>
      <c r="P9099" s="10"/>
      <c r="Q9099" s="10"/>
      <c r="R9099" s="10"/>
      <c r="S9099" s="10"/>
      <c r="T9099" s="10"/>
      <c r="U9099" s="10"/>
      <c r="V9099" s="10"/>
      <c r="W9099" s="10"/>
      <c r="X9099" s="10"/>
      <c r="Y9099" s="10"/>
      <c r="Z9099" s="10"/>
    </row>
    <row r="9100" spans="1:26" ht="12.75">
      <c r="A9100" s="10"/>
      <c r="B9100" s="10"/>
      <c r="C9100" s="10"/>
      <c r="D9100" s="10"/>
      <c r="E9100" s="10"/>
      <c r="F9100" s="10"/>
      <c r="G9100" s="10"/>
      <c r="H9100" s="10"/>
      <c r="I9100" s="10"/>
      <c r="J9100" s="10"/>
      <c r="K9100" s="10"/>
      <c r="L9100" s="10"/>
      <c r="M9100" s="10"/>
      <c r="N9100" s="10"/>
      <c r="O9100" s="10"/>
      <c r="P9100" s="10"/>
      <c r="Q9100" s="10"/>
      <c r="R9100" s="10"/>
      <c r="S9100" s="10"/>
      <c r="T9100" s="10"/>
      <c r="U9100" s="10"/>
      <c r="V9100" s="10"/>
      <c r="W9100" s="10"/>
      <c r="X9100" s="10"/>
      <c r="Y9100" s="10"/>
      <c r="Z9100" s="10"/>
    </row>
    <row r="9101" spans="1:26" ht="12.75">
      <c r="A9101" s="10"/>
      <c r="B9101" s="10"/>
      <c r="C9101" s="10"/>
      <c r="D9101" s="10"/>
      <c r="E9101" s="10"/>
      <c r="F9101" s="10"/>
      <c r="G9101" s="10"/>
      <c r="H9101" s="10"/>
      <c r="I9101" s="10"/>
      <c r="J9101" s="10"/>
      <c r="K9101" s="10"/>
      <c r="L9101" s="10"/>
      <c r="M9101" s="10"/>
      <c r="N9101" s="10"/>
      <c r="O9101" s="10"/>
      <c r="P9101" s="10"/>
      <c r="Q9101" s="10"/>
      <c r="R9101" s="10"/>
      <c r="S9101" s="10"/>
      <c r="T9101" s="10"/>
      <c r="U9101" s="10"/>
      <c r="V9101" s="10"/>
      <c r="W9101" s="10"/>
      <c r="X9101" s="10"/>
      <c r="Y9101" s="10"/>
      <c r="Z9101" s="10"/>
    </row>
    <row r="9102" spans="1:26" ht="12.75">
      <c r="A9102" s="10"/>
      <c r="B9102" s="10"/>
      <c r="C9102" s="10"/>
      <c r="D9102" s="10"/>
      <c r="E9102" s="10"/>
      <c r="F9102" s="10"/>
      <c r="G9102" s="10"/>
      <c r="H9102" s="10"/>
      <c r="I9102" s="10"/>
      <c r="J9102" s="10"/>
      <c r="K9102" s="10"/>
      <c r="L9102" s="10"/>
      <c r="M9102" s="10"/>
      <c r="N9102" s="10"/>
      <c r="O9102" s="10"/>
      <c r="P9102" s="10"/>
      <c r="Q9102" s="10"/>
      <c r="R9102" s="10"/>
      <c r="S9102" s="10"/>
      <c r="T9102" s="10"/>
      <c r="U9102" s="10"/>
      <c r="V9102" s="10"/>
      <c r="W9102" s="10"/>
      <c r="X9102" s="10"/>
      <c r="Y9102" s="10"/>
      <c r="Z9102" s="10"/>
    </row>
    <row r="9103" spans="1:26" ht="12.75">
      <c r="A9103" s="10"/>
      <c r="B9103" s="10"/>
      <c r="C9103" s="10"/>
      <c r="D9103" s="10"/>
      <c r="E9103" s="10"/>
      <c r="F9103" s="10"/>
      <c r="G9103" s="10"/>
      <c r="H9103" s="10"/>
      <c r="I9103" s="10"/>
      <c r="J9103" s="10"/>
      <c r="K9103" s="10"/>
      <c r="L9103" s="10"/>
      <c r="M9103" s="10"/>
      <c r="N9103" s="10"/>
      <c r="O9103" s="10"/>
      <c r="P9103" s="10"/>
      <c r="Q9103" s="10"/>
      <c r="R9103" s="10"/>
      <c r="S9103" s="10"/>
      <c r="T9103" s="10"/>
      <c r="U9103" s="10"/>
      <c r="V9103" s="10"/>
      <c r="W9103" s="10"/>
      <c r="X9103" s="10"/>
      <c r="Y9103" s="10"/>
      <c r="Z9103" s="10"/>
    </row>
    <row r="9104" spans="1:26" ht="12.75">
      <c r="A9104" s="10"/>
      <c r="B9104" s="10"/>
      <c r="C9104" s="10"/>
      <c r="D9104" s="10"/>
      <c r="E9104" s="10"/>
      <c r="F9104" s="10"/>
      <c r="G9104" s="10"/>
      <c r="H9104" s="10"/>
      <c r="I9104" s="10"/>
      <c r="J9104" s="10"/>
      <c r="K9104" s="10"/>
      <c r="L9104" s="10"/>
      <c r="M9104" s="10"/>
      <c r="N9104" s="10"/>
      <c r="O9104" s="10"/>
      <c r="P9104" s="10"/>
      <c r="Q9104" s="10"/>
      <c r="R9104" s="10"/>
      <c r="S9104" s="10"/>
      <c r="T9104" s="10"/>
      <c r="U9104" s="10"/>
      <c r="V9104" s="10"/>
      <c r="W9104" s="10"/>
      <c r="X9104" s="10"/>
      <c r="Y9104" s="10"/>
      <c r="Z9104" s="10"/>
    </row>
    <row r="9105" spans="1:26" ht="12.75">
      <c r="A9105" s="10"/>
      <c r="B9105" s="10"/>
      <c r="C9105" s="10"/>
      <c r="D9105" s="10"/>
      <c r="E9105" s="10"/>
      <c r="F9105" s="10"/>
      <c r="G9105" s="10"/>
      <c r="H9105" s="10"/>
      <c r="I9105" s="10"/>
      <c r="J9105" s="10"/>
      <c r="K9105" s="10"/>
      <c r="L9105" s="10"/>
      <c r="M9105" s="10"/>
      <c r="N9105" s="10"/>
      <c r="O9105" s="10"/>
      <c r="P9105" s="10"/>
      <c r="Q9105" s="10"/>
      <c r="R9105" s="10"/>
      <c r="S9105" s="10"/>
      <c r="T9105" s="10"/>
      <c r="U9105" s="10"/>
      <c r="V9105" s="10"/>
      <c r="W9105" s="10"/>
      <c r="X9105" s="10"/>
      <c r="Y9105" s="10"/>
      <c r="Z9105" s="10"/>
    </row>
    <row r="9106" spans="1:26" ht="12.75">
      <c r="A9106" s="10"/>
      <c r="B9106" s="10"/>
      <c r="C9106" s="10"/>
      <c r="D9106" s="10"/>
      <c r="E9106" s="10"/>
      <c r="F9106" s="10"/>
      <c r="G9106" s="10"/>
      <c r="H9106" s="10"/>
      <c r="I9106" s="10"/>
      <c r="J9106" s="10"/>
      <c r="K9106" s="10"/>
      <c r="L9106" s="10"/>
      <c r="M9106" s="10"/>
      <c r="N9106" s="10"/>
      <c r="O9106" s="10"/>
      <c r="P9106" s="10"/>
      <c r="Q9106" s="10"/>
      <c r="R9106" s="10"/>
      <c r="S9106" s="10"/>
      <c r="T9106" s="10"/>
      <c r="U9106" s="10"/>
      <c r="V9106" s="10"/>
      <c r="W9106" s="10"/>
      <c r="X9106" s="10"/>
      <c r="Y9106" s="10"/>
      <c r="Z9106" s="10"/>
    </row>
    <row r="9107" spans="1:26" ht="12.75">
      <c r="A9107" s="10"/>
      <c r="B9107" s="10"/>
      <c r="C9107" s="10"/>
      <c r="D9107" s="10"/>
      <c r="E9107" s="10"/>
      <c r="F9107" s="10"/>
      <c r="G9107" s="10"/>
      <c r="H9107" s="10"/>
      <c r="I9107" s="10"/>
      <c r="J9107" s="10"/>
      <c r="K9107" s="10"/>
      <c r="L9107" s="10"/>
      <c r="M9107" s="10"/>
      <c r="N9107" s="10"/>
      <c r="O9107" s="10"/>
      <c r="P9107" s="10"/>
      <c r="Q9107" s="10"/>
      <c r="R9107" s="10"/>
      <c r="S9107" s="10"/>
      <c r="T9107" s="10"/>
      <c r="U9107" s="10"/>
      <c r="V9107" s="10"/>
      <c r="W9107" s="10"/>
      <c r="X9107" s="10"/>
      <c r="Y9107" s="10"/>
      <c r="Z9107" s="10"/>
    </row>
    <row r="9108" spans="1:26" ht="12.75">
      <c r="A9108" s="10"/>
      <c r="B9108" s="10"/>
      <c r="C9108" s="10"/>
      <c r="D9108" s="10"/>
      <c r="E9108" s="10"/>
      <c r="F9108" s="10"/>
      <c r="G9108" s="10"/>
      <c r="H9108" s="10"/>
      <c r="I9108" s="10"/>
      <c r="J9108" s="10"/>
      <c r="K9108" s="10"/>
      <c r="L9108" s="10"/>
      <c r="M9108" s="10"/>
      <c r="N9108" s="10"/>
      <c r="O9108" s="10"/>
      <c r="P9108" s="10"/>
      <c r="Q9108" s="10"/>
      <c r="R9108" s="10"/>
      <c r="S9108" s="10"/>
      <c r="T9108" s="10"/>
      <c r="U9108" s="10"/>
      <c r="V9108" s="10"/>
      <c r="W9108" s="10"/>
      <c r="X9108" s="10"/>
      <c r="Y9108" s="10"/>
      <c r="Z9108" s="10"/>
    </row>
    <row r="9109" spans="1:26" ht="12.75">
      <c r="A9109" s="10"/>
      <c r="B9109" s="10"/>
      <c r="C9109" s="10"/>
      <c r="D9109" s="10"/>
      <c r="E9109" s="10"/>
      <c r="F9109" s="10"/>
      <c r="G9109" s="10"/>
      <c r="H9109" s="10"/>
      <c r="I9109" s="10"/>
      <c r="J9109" s="10"/>
      <c r="K9109" s="10"/>
      <c r="L9109" s="10"/>
      <c r="M9109" s="10"/>
      <c r="N9109" s="10"/>
      <c r="O9109" s="10"/>
      <c r="P9109" s="10"/>
      <c r="Q9109" s="10"/>
      <c r="R9109" s="10"/>
      <c r="S9109" s="10"/>
      <c r="T9109" s="10"/>
      <c r="U9109" s="10"/>
      <c r="V9109" s="10"/>
      <c r="W9109" s="10"/>
      <c r="X9109" s="10"/>
      <c r="Y9109" s="10"/>
      <c r="Z9109" s="10"/>
    </row>
    <row r="9110" spans="1:26" ht="12.75">
      <c r="A9110" s="10"/>
      <c r="B9110" s="10"/>
      <c r="C9110" s="10"/>
      <c r="D9110" s="10"/>
      <c r="E9110" s="10"/>
      <c r="F9110" s="10"/>
      <c r="G9110" s="10"/>
      <c r="H9110" s="10"/>
      <c r="I9110" s="10"/>
      <c r="J9110" s="10"/>
      <c r="K9110" s="10"/>
      <c r="L9110" s="10"/>
      <c r="M9110" s="10"/>
      <c r="N9110" s="10"/>
      <c r="O9110" s="10"/>
      <c r="P9110" s="10"/>
      <c r="Q9110" s="10"/>
      <c r="R9110" s="10"/>
      <c r="S9110" s="10"/>
      <c r="T9110" s="10"/>
      <c r="U9110" s="10"/>
      <c r="V9110" s="10"/>
      <c r="W9110" s="10"/>
      <c r="X9110" s="10"/>
      <c r="Y9110" s="10"/>
      <c r="Z9110" s="10"/>
    </row>
    <row r="9111" spans="1:26" ht="12.75">
      <c r="A9111" s="10"/>
      <c r="B9111" s="10"/>
      <c r="C9111" s="10"/>
      <c r="D9111" s="10"/>
      <c r="E9111" s="10"/>
      <c r="F9111" s="10"/>
      <c r="G9111" s="10"/>
      <c r="H9111" s="10"/>
      <c r="I9111" s="10"/>
      <c r="J9111" s="10"/>
      <c r="K9111" s="10"/>
      <c r="L9111" s="10"/>
      <c r="M9111" s="10"/>
      <c r="N9111" s="10"/>
      <c r="O9111" s="10"/>
      <c r="P9111" s="10"/>
      <c r="Q9111" s="10"/>
      <c r="R9111" s="10"/>
      <c r="S9111" s="10"/>
      <c r="T9111" s="10"/>
      <c r="U9111" s="10"/>
      <c r="V9111" s="10"/>
      <c r="W9111" s="10"/>
      <c r="X9111" s="10"/>
      <c r="Y9111" s="10"/>
      <c r="Z9111" s="10"/>
    </row>
    <row r="9112" spans="1:26" ht="12.75">
      <c r="A9112" s="10"/>
      <c r="B9112" s="10"/>
      <c r="C9112" s="10"/>
      <c r="D9112" s="10"/>
      <c r="E9112" s="10"/>
      <c r="F9112" s="10"/>
      <c r="G9112" s="10"/>
      <c r="H9112" s="10"/>
      <c r="I9112" s="10"/>
      <c r="J9112" s="10"/>
      <c r="K9112" s="10"/>
      <c r="L9112" s="10"/>
      <c r="M9112" s="10"/>
      <c r="N9112" s="10"/>
      <c r="O9112" s="10"/>
      <c r="P9112" s="10"/>
      <c r="Q9112" s="10"/>
      <c r="R9112" s="10"/>
      <c r="S9112" s="10"/>
      <c r="T9112" s="10"/>
      <c r="U9112" s="10"/>
      <c r="V9112" s="10"/>
      <c r="W9112" s="10"/>
      <c r="X9112" s="10"/>
      <c r="Y9112" s="10"/>
      <c r="Z9112" s="10"/>
    </row>
    <row r="9113" spans="1:26" ht="12.75">
      <c r="A9113" s="10"/>
      <c r="B9113" s="10"/>
      <c r="C9113" s="10"/>
      <c r="D9113" s="10"/>
      <c r="E9113" s="10"/>
      <c r="F9113" s="10"/>
      <c r="G9113" s="10"/>
      <c r="H9113" s="10"/>
      <c r="I9113" s="10"/>
      <c r="J9113" s="10"/>
      <c r="K9113" s="10"/>
      <c r="L9113" s="10"/>
      <c r="M9113" s="10"/>
      <c r="N9113" s="10"/>
      <c r="O9113" s="10"/>
      <c r="P9113" s="10"/>
      <c r="Q9113" s="10"/>
      <c r="R9113" s="10"/>
      <c r="S9113" s="10"/>
      <c r="T9113" s="10"/>
      <c r="U9113" s="10"/>
      <c r="V9113" s="10"/>
      <c r="W9113" s="10"/>
      <c r="X9113" s="10"/>
      <c r="Y9113" s="10"/>
      <c r="Z9113" s="10"/>
    </row>
    <row r="9114" spans="1:26" ht="12.75">
      <c r="A9114" s="10"/>
      <c r="B9114" s="10"/>
      <c r="C9114" s="10"/>
      <c r="D9114" s="10"/>
      <c r="E9114" s="10"/>
      <c r="F9114" s="10"/>
      <c r="G9114" s="10"/>
      <c r="H9114" s="10"/>
      <c r="I9114" s="10"/>
      <c r="J9114" s="10"/>
      <c r="K9114" s="10"/>
      <c r="L9114" s="10"/>
      <c r="M9114" s="10"/>
      <c r="N9114" s="10"/>
      <c r="O9114" s="10"/>
      <c r="P9114" s="10"/>
      <c r="Q9114" s="10"/>
      <c r="R9114" s="10"/>
      <c r="S9114" s="10"/>
      <c r="T9114" s="10"/>
      <c r="U9114" s="10"/>
      <c r="V9114" s="10"/>
      <c r="W9114" s="10"/>
      <c r="X9114" s="10"/>
      <c r="Y9114" s="10"/>
      <c r="Z9114" s="10"/>
    </row>
    <row r="9115" spans="1:26" ht="12.75">
      <c r="A9115" s="10"/>
      <c r="B9115" s="10"/>
      <c r="C9115" s="10"/>
      <c r="D9115" s="10"/>
      <c r="E9115" s="10"/>
      <c r="F9115" s="10"/>
      <c r="G9115" s="10"/>
      <c r="H9115" s="10"/>
      <c r="I9115" s="10"/>
      <c r="J9115" s="10"/>
      <c r="K9115" s="10"/>
      <c r="L9115" s="10"/>
      <c r="M9115" s="10"/>
      <c r="N9115" s="10"/>
      <c r="O9115" s="10"/>
      <c r="P9115" s="10"/>
      <c r="Q9115" s="10"/>
      <c r="R9115" s="10"/>
      <c r="S9115" s="10"/>
      <c r="T9115" s="10"/>
      <c r="U9115" s="10"/>
      <c r="V9115" s="10"/>
      <c r="W9115" s="10"/>
      <c r="X9115" s="10"/>
      <c r="Y9115" s="10"/>
      <c r="Z9115" s="10"/>
    </row>
    <row r="9116" spans="1:26" ht="12.75">
      <c r="A9116" s="10"/>
      <c r="B9116" s="10"/>
      <c r="C9116" s="10"/>
      <c r="D9116" s="10"/>
      <c r="E9116" s="10"/>
      <c r="F9116" s="10"/>
      <c r="G9116" s="10"/>
      <c r="H9116" s="10"/>
      <c r="I9116" s="10"/>
      <c r="J9116" s="10"/>
      <c r="K9116" s="10"/>
      <c r="L9116" s="10"/>
      <c r="M9116" s="10"/>
      <c r="N9116" s="10"/>
      <c r="O9116" s="10"/>
      <c r="P9116" s="10"/>
      <c r="Q9116" s="10"/>
      <c r="R9116" s="10"/>
      <c r="S9116" s="10"/>
      <c r="T9116" s="10"/>
      <c r="U9116" s="10"/>
      <c r="V9116" s="10"/>
      <c r="W9116" s="10"/>
      <c r="X9116" s="10"/>
      <c r="Y9116" s="10"/>
      <c r="Z9116" s="10"/>
    </row>
    <row r="9117" spans="1:26" ht="12.75">
      <c r="A9117" s="10"/>
      <c r="B9117" s="10"/>
      <c r="C9117" s="10"/>
      <c r="D9117" s="10"/>
      <c r="E9117" s="10"/>
      <c r="F9117" s="10"/>
      <c r="G9117" s="10"/>
      <c r="H9117" s="10"/>
      <c r="I9117" s="10"/>
      <c r="J9117" s="10"/>
      <c r="K9117" s="10"/>
      <c r="L9117" s="10"/>
      <c r="M9117" s="10"/>
      <c r="N9117" s="10"/>
      <c r="O9117" s="10"/>
      <c r="P9117" s="10"/>
      <c r="Q9117" s="10"/>
      <c r="R9117" s="10"/>
      <c r="S9117" s="10"/>
      <c r="T9117" s="10"/>
      <c r="U9117" s="10"/>
      <c r="V9117" s="10"/>
      <c r="W9117" s="10"/>
      <c r="X9117" s="10"/>
      <c r="Y9117" s="10"/>
      <c r="Z9117" s="10"/>
    </row>
    <row r="9118" spans="1:26" ht="12.75">
      <c r="A9118" s="10"/>
      <c r="B9118" s="10"/>
      <c r="C9118" s="10"/>
      <c r="D9118" s="10"/>
      <c r="E9118" s="10"/>
      <c r="F9118" s="10"/>
      <c r="G9118" s="10"/>
      <c r="H9118" s="10"/>
      <c r="I9118" s="10"/>
      <c r="J9118" s="10"/>
      <c r="K9118" s="10"/>
      <c r="L9118" s="10"/>
      <c r="M9118" s="10"/>
      <c r="N9118" s="10"/>
      <c r="O9118" s="10"/>
      <c r="P9118" s="10"/>
      <c r="Q9118" s="10"/>
      <c r="R9118" s="10"/>
      <c r="S9118" s="10"/>
      <c r="T9118" s="10"/>
      <c r="U9118" s="10"/>
      <c r="V9118" s="10"/>
      <c r="W9118" s="10"/>
      <c r="X9118" s="10"/>
      <c r="Y9118" s="10"/>
      <c r="Z9118" s="10"/>
    </row>
    <row r="9119" spans="1:26" ht="12.75">
      <c r="A9119" s="10"/>
      <c r="B9119" s="10"/>
      <c r="C9119" s="10"/>
      <c r="D9119" s="10"/>
      <c r="E9119" s="10"/>
      <c r="F9119" s="10"/>
      <c r="G9119" s="10"/>
      <c r="H9119" s="10"/>
      <c r="I9119" s="10"/>
      <c r="J9119" s="10"/>
      <c r="K9119" s="10"/>
      <c r="L9119" s="10"/>
      <c r="M9119" s="10"/>
      <c r="N9119" s="10"/>
      <c r="O9119" s="10"/>
      <c r="P9119" s="10"/>
      <c r="Q9119" s="10"/>
      <c r="R9119" s="10"/>
      <c r="S9119" s="10"/>
      <c r="T9119" s="10"/>
      <c r="U9119" s="10"/>
      <c r="V9119" s="10"/>
      <c r="W9119" s="10"/>
      <c r="X9119" s="10"/>
      <c r="Y9119" s="10"/>
      <c r="Z9119" s="10"/>
    </row>
    <row r="9120" spans="1:26" ht="12.75">
      <c r="A9120" s="10"/>
      <c r="B9120" s="10"/>
      <c r="C9120" s="10"/>
      <c r="D9120" s="10"/>
      <c r="E9120" s="10"/>
      <c r="F9120" s="10"/>
      <c r="G9120" s="10"/>
      <c r="H9120" s="10"/>
      <c r="I9120" s="10"/>
      <c r="J9120" s="10"/>
      <c r="K9120" s="10"/>
      <c r="L9120" s="10"/>
      <c r="M9120" s="10"/>
      <c r="N9120" s="10"/>
      <c r="O9120" s="10"/>
      <c r="P9120" s="10"/>
      <c r="Q9120" s="10"/>
      <c r="R9120" s="10"/>
      <c r="S9120" s="10"/>
      <c r="T9120" s="10"/>
      <c r="U9120" s="10"/>
      <c r="V9120" s="10"/>
      <c r="W9120" s="10"/>
      <c r="X9120" s="10"/>
      <c r="Y9120" s="10"/>
      <c r="Z9120" s="10"/>
    </row>
    <row r="9121" spans="1:26" ht="12.75">
      <c r="A9121" s="10"/>
      <c r="B9121" s="10"/>
      <c r="C9121" s="10"/>
      <c r="D9121" s="10"/>
      <c r="E9121" s="10"/>
      <c r="F9121" s="10"/>
      <c r="G9121" s="10"/>
      <c r="H9121" s="10"/>
      <c r="I9121" s="10"/>
      <c r="J9121" s="10"/>
      <c r="K9121" s="10"/>
      <c r="L9121" s="10"/>
      <c r="M9121" s="10"/>
      <c r="N9121" s="10"/>
      <c r="O9121" s="10"/>
      <c r="P9121" s="10"/>
      <c r="Q9121" s="10"/>
      <c r="R9121" s="10"/>
      <c r="S9121" s="10"/>
      <c r="T9121" s="10"/>
      <c r="U9121" s="10"/>
      <c r="V9121" s="10"/>
      <c r="W9121" s="10"/>
      <c r="X9121" s="10"/>
      <c r="Y9121" s="10"/>
      <c r="Z9121" s="10"/>
    </row>
    <row r="9122" spans="1:26" ht="12.75">
      <c r="A9122" s="10"/>
      <c r="B9122" s="10"/>
      <c r="C9122" s="10"/>
      <c r="D9122" s="10"/>
      <c r="E9122" s="10"/>
      <c r="F9122" s="10"/>
      <c r="G9122" s="10"/>
      <c r="H9122" s="10"/>
      <c r="I9122" s="10"/>
      <c r="J9122" s="10"/>
      <c r="K9122" s="10"/>
      <c r="L9122" s="10"/>
      <c r="M9122" s="10"/>
      <c r="N9122" s="10"/>
      <c r="O9122" s="10"/>
      <c r="P9122" s="10"/>
      <c r="Q9122" s="10"/>
      <c r="R9122" s="10"/>
      <c r="S9122" s="10"/>
      <c r="T9122" s="10"/>
      <c r="U9122" s="10"/>
      <c r="V9122" s="10"/>
      <c r="W9122" s="10"/>
      <c r="X9122" s="10"/>
      <c r="Y9122" s="10"/>
      <c r="Z9122" s="10"/>
    </row>
    <row r="9123" spans="1:26" ht="12.75">
      <c r="A9123" s="10"/>
      <c r="B9123" s="10"/>
      <c r="C9123" s="10"/>
      <c r="D9123" s="10"/>
      <c r="E9123" s="10"/>
      <c r="F9123" s="10"/>
      <c r="G9123" s="10"/>
      <c r="H9123" s="10"/>
      <c r="I9123" s="10"/>
      <c r="J9123" s="10"/>
      <c r="K9123" s="10"/>
      <c r="L9123" s="10"/>
      <c r="M9123" s="10"/>
      <c r="N9123" s="10"/>
      <c r="O9123" s="10"/>
      <c r="P9123" s="10"/>
      <c r="Q9123" s="10"/>
      <c r="R9123" s="10"/>
      <c r="S9123" s="10"/>
      <c r="T9123" s="10"/>
      <c r="U9123" s="10"/>
      <c r="V9123" s="10"/>
      <c r="W9123" s="10"/>
      <c r="X9123" s="10"/>
      <c r="Y9123" s="10"/>
      <c r="Z9123" s="10"/>
    </row>
    <row r="9124" spans="1:26" ht="12.75">
      <c r="A9124" s="10"/>
      <c r="B9124" s="10"/>
      <c r="C9124" s="10"/>
      <c r="D9124" s="10"/>
      <c r="E9124" s="10"/>
      <c r="F9124" s="10"/>
      <c r="G9124" s="10"/>
      <c r="H9124" s="10"/>
      <c r="I9124" s="10"/>
      <c r="J9124" s="10"/>
      <c r="K9124" s="10"/>
      <c r="L9124" s="10"/>
      <c r="M9124" s="10"/>
      <c r="N9124" s="10"/>
      <c r="O9124" s="10"/>
      <c r="P9124" s="10"/>
      <c r="Q9124" s="10"/>
      <c r="R9124" s="10"/>
      <c r="S9124" s="10"/>
      <c r="T9124" s="10"/>
      <c r="U9124" s="10"/>
      <c r="V9124" s="10"/>
      <c r="W9124" s="10"/>
      <c r="X9124" s="10"/>
      <c r="Y9124" s="10"/>
      <c r="Z9124" s="10"/>
    </row>
    <row r="9125" spans="1:26" ht="12.75">
      <c r="A9125" s="10"/>
      <c r="B9125" s="10"/>
      <c r="C9125" s="10"/>
      <c r="D9125" s="10"/>
      <c r="E9125" s="10"/>
      <c r="F9125" s="10"/>
      <c r="G9125" s="10"/>
      <c r="H9125" s="10"/>
      <c r="I9125" s="10"/>
      <c r="J9125" s="10"/>
      <c r="K9125" s="10"/>
      <c r="L9125" s="10"/>
      <c r="M9125" s="10"/>
      <c r="N9125" s="10"/>
      <c r="O9125" s="10"/>
      <c r="P9125" s="10"/>
      <c r="Q9125" s="10"/>
      <c r="R9125" s="10"/>
      <c r="S9125" s="10"/>
      <c r="T9125" s="10"/>
      <c r="U9125" s="10"/>
      <c r="V9125" s="10"/>
      <c r="W9125" s="10"/>
      <c r="X9125" s="10"/>
      <c r="Y9125" s="10"/>
      <c r="Z9125" s="10"/>
    </row>
    <row r="9126" spans="1:26" ht="12.75">
      <c r="A9126" s="10"/>
      <c r="B9126" s="10"/>
      <c r="C9126" s="10"/>
      <c r="D9126" s="10"/>
      <c r="E9126" s="10"/>
      <c r="F9126" s="10"/>
      <c r="G9126" s="10"/>
      <c r="H9126" s="10"/>
      <c r="I9126" s="10"/>
      <c r="J9126" s="10"/>
      <c r="K9126" s="10"/>
      <c r="L9126" s="10"/>
      <c r="M9126" s="10"/>
      <c r="N9126" s="10"/>
      <c r="O9126" s="10"/>
      <c r="P9126" s="10"/>
      <c r="Q9126" s="10"/>
      <c r="R9126" s="10"/>
      <c r="S9126" s="10"/>
      <c r="T9126" s="10"/>
      <c r="U9126" s="10"/>
      <c r="V9126" s="10"/>
      <c r="W9126" s="10"/>
      <c r="X9126" s="10"/>
      <c r="Y9126" s="10"/>
      <c r="Z9126" s="10"/>
    </row>
    <row r="9127" spans="1:26" ht="12.75">
      <c r="A9127" s="10"/>
      <c r="B9127" s="10"/>
      <c r="C9127" s="10"/>
      <c r="D9127" s="10"/>
      <c r="E9127" s="10"/>
      <c r="F9127" s="10"/>
      <c r="G9127" s="10"/>
      <c r="H9127" s="10"/>
      <c r="I9127" s="10"/>
      <c r="J9127" s="10"/>
      <c r="K9127" s="10"/>
      <c r="L9127" s="10"/>
      <c r="M9127" s="10"/>
      <c r="N9127" s="10"/>
      <c r="O9127" s="10"/>
      <c r="P9127" s="10"/>
      <c r="Q9127" s="10"/>
      <c r="R9127" s="10"/>
      <c r="S9127" s="10"/>
      <c r="T9127" s="10"/>
      <c r="U9127" s="10"/>
      <c r="V9127" s="10"/>
      <c r="W9127" s="10"/>
      <c r="X9127" s="10"/>
      <c r="Y9127" s="10"/>
      <c r="Z9127" s="10"/>
    </row>
    <row r="9128" spans="1:26" ht="12.75">
      <c r="A9128" s="10"/>
      <c r="B9128" s="10"/>
      <c r="C9128" s="10"/>
      <c r="D9128" s="10"/>
      <c r="E9128" s="10"/>
      <c r="F9128" s="10"/>
      <c r="G9128" s="10"/>
      <c r="H9128" s="10"/>
      <c r="I9128" s="10"/>
      <c r="J9128" s="10"/>
      <c r="K9128" s="10"/>
      <c r="L9128" s="10"/>
      <c r="M9128" s="10"/>
      <c r="N9128" s="10"/>
      <c r="O9128" s="10"/>
      <c r="P9128" s="10"/>
      <c r="Q9128" s="10"/>
      <c r="R9128" s="10"/>
      <c r="S9128" s="10"/>
      <c r="T9128" s="10"/>
      <c r="U9128" s="10"/>
      <c r="V9128" s="10"/>
      <c r="W9128" s="10"/>
      <c r="X9128" s="10"/>
      <c r="Y9128" s="10"/>
      <c r="Z9128" s="10"/>
    </row>
    <row r="9129" spans="1:26" ht="12.75">
      <c r="A9129" s="10"/>
      <c r="B9129" s="10"/>
      <c r="C9129" s="10"/>
      <c r="D9129" s="10"/>
      <c r="E9129" s="10"/>
      <c r="F9129" s="10"/>
      <c r="G9129" s="10"/>
      <c r="H9129" s="10"/>
      <c r="I9129" s="10"/>
      <c r="J9129" s="10"/>
      <c r="K9129" s="10"/>
      <c r="L9129" s="10"/>
      <c r="M9129" s="10"/>
      <c r="N9129" s="10"/>
      <c r="O9129" s="10"/>
      <c r="P9129" s="10"/>
      <c r="Q9129" s="10"/>
      <c r="R9129" s="10"/>
      <c r="S9129" s="10"/>
      <c r="T9129" s="10"/>
      <c r="U9129" s="10"/>
      <c r="V9129" s="10"/>
      <c r="W9129" s="10"/>
      <c r="X9129" s="10"/>
      <c r="Y9129" s="10"/>
      <c r="Z9129" s="10"/>
    </row>
    <row r="9130" spans="1:26" ht="12.75">
      <c r="A9130" s="10"/>
      <c r="B9130" s="10"/>
      <c r="C9130" s="10"/>
      <c r="D9130" s="10"/>
      <c r="E9130" s="10"/>
      <c r="F9130" s="10"/>
      <c r="G9130" s="10"/>
      <c r="H9130" s="10"/>
      <c r="I9130" s="10"/>
      <c r="J9130" s="10"/>
      <c r="K9130" s="10"/>
      <c r="L9130" s="10"/>
      <c r="M9130" s="10"/>
      <c r="N9130" s="10"/>
      <c r="O9130" s="10"/>
      <c r="P9130" s="10"/>
      <c r="Q9130" s="10"/>
      <c r="R9130" s="10"/>
      <c r="S9130" s="10"/>
      <c r="T9130" s="10"/>
      <c r="U9130" s="10"/>
      <c r="V9130" s="10"/>
      <c r="W9130" s="10"/>
      <c r="X9130" s="10"/>
      <c r="Y9130" s="10"/>
      <c r="Z9130" s="10"/>
    </row>
    <row r="9131" spans="1:26" ht="12.75">
      <c r="A9131" s="10"/>
      <c r="B9131" s="10"/>
      <c r="C9131" s="10"/>
      <c r="D9131" s="10"/>
      <c r="E9131" s="10"/>
      <c r="F9131" s="10"/>
      <c r="G9131" s="10"/>
      <c r="H9131" s="10"/>
      <c r="I9131" s="10"/>
      <c r="J9131" s="10"/>
      <c r="K9131" s="10"/>
      <c r="L9131" s="10"/>
      <c r="M9131" s="10"/>
      <c r="N9131" s="10"/>
      <c r="O9131" s="10"/>
      <c r="P9131" s="10"/>
      <c r="Q9131" s="10"/>
      <c r="R9131" s="10"/>
      <c r="S9131" s="10"/>
      <c r="T9131" s="10"/>
      <c r="U9131" s="10"/>
      <c r="V9131" s="10"/>
      <c r="W9131" s="10"/>
      <c r="X9131" s="10"/>
      <c r="Y9131" s="10"/>
      <c r="Z9131" s="10"/>
    </row>
    <row r="9132" spans="1:26" ht="12.75">
      <c r="A9132" s="10"/>
      <c r="B9132" s="10"/>
      <c r="C9132" s="10"/>
      <c r="D9132" s="10"/>
      <c r="E9132" s="10"/>
      <c r="F9132" s="10"/>
      <c r="G9132" s="10"/>
      <c r="H9132" s="10"/>
      <c r="I9132" s="10"/>
      <c r="J9132" s="10"/>
      <c r="K9132" s="10"/>
      <c r="L9132" s="10"/>
      <c r="M9132" s="10"/>
      <c r="N9132" s="10"/>
      <c r="O9132" s="10"/>
      <c r="P9132" s="10"/>
      <c r="Q9132" s="10"/>
      <c r="R9132" s="10"/>
      <c r="S9132" s="10"/>
      <c r="T9132" s="10"/>
      <c r="U9132" s="10"/>
      <c r="V9132" s="10"/>
      <c r="W9132" s="10"/>
      <c r="X9132" s="10"/>
      <c r="Y9132" s="10"/>
      <c r="Z9132" s="10"/>
    </row>
    <row r="9133" spans="1:26" ht="12.75">
      <c r="A9133" s="10"/>
      <c r="B9133" s="10"/>
      <c r="C9133" s="10"/>
      <c r="D9133" s="10"/>
      <c r="E9133" s="10"/>
      <c r="F9133" s="10"/>
      <c r="G9133" s="10"/>
      <c r="H9133" s="10"/>
      <c r="I9133" s="10"/>
      <c r="J9133" s="10"/>
      <c r="K9133" s="10"/>
      <c r="L9133" s="10"/>
      <c r="M9133" s="10"/>
      <c r="N9133" s="10"/>
      <c r="O9133" s="10"/>
      <c r="P9133" s="10"/>
      <c r="Q9133" s="10"/>
      <c r="R9133" s="10"/>
      <c r="S9133" s="10"/>
      <c r="T9133" s="10"/>
      <c r="U9133" s="10"/>
      <c r="V9133" s="10"/>
      <c r="W9133" s="10"/>
      <c r="X9133" s="10"/>
      <c r="Y9133" s="10"/>
      <c r="Z9133" s="10"/>
    </row>
    <row r="9134" spans="1:26" ht="12.75">
      <c r="A9134" s="10"/>
      <c r="B9134" s="10"/>
      <c r="C9134" s="10"/>
      <c r="D9134" s="10"/>
      <c r="E9134" s="10"/>
      <c r="F9134" s="10"/>
      <c r="G9134" s="10"/>
      <c r="H9134" s="10"/>
      <c r="I9134" s="10"/>
      <c r="J9134" s="10"/>
      <c r="K9134" s="10"/>
      <c r="L9134" s="10"/>
      <c r="M9134" s="10"/>
      <c r="N9134" s="10"/>
      <c r="O9134" s="10"/>
      <c r="P9134" s="10"/>
      <c r="Q9134" s="10"/>
      <c r="R9134" s="10"/>
      <c r="S9134" s="10"/>
      <c r="T9134" s="10"/>
      <c r="U9134" s="10"/>
      <c r="V9134" s="10"/>
      <c r="W9134" s="10"/>
      <c r="X9134" s="10"/>
      <c r="Y9134" s="10"/>
      <c r="Z9134" s="10"/>
    </row>
    <row r="9135" spans="1:26" ht="12.75">
      <c r="A9135" s="10"/>
      <c r="B9135" s="10"/>
      <c r="C9135" s="10"/>
      <c r="D9135" s="10"/>
      <c r="E9135" s="10"/>
      <c r="F9135" s="10"/>
      <c r="G9135" s="10"/>
      <c r="H9135" s="10"/>
      <c r="I9135" s="10"/>
      <c r="J9135" s="10"/>
      <c r="K9135" s="10"/>
      <c r="L9135" s="10"/>
      <c r="M9135" s="10"/>
      <c r="N9135" s="10"/>
      <c r="O9135" s="10"/>
      <c r="P9135" s="10"/>
      <c r="Q9135" s="10"/>
      <c r="R9135" s="10"/>
      <c r="S9135" s="10"/>
      <c r="T9135" s="10"/>
      <c r="U9135" s="10"/>
      <c r="V9135" s="10"/>
      <c r="W9135" s="10"/>
      <c r="X9135" s="10"/>
      <c r="Y9135" s="10"/>
      <c r="Z9135" s="10"/>
    </row>
    <row r="9136" spans="1:26" ht="12.75">
      <c r="A9136" s="10"/>
      <c r="B9136" s="10"/>
      <c r="C9136" s="10"/>
      <c r="D9136" s="10"/>
      <c r="E9136" s="10"/>
      <c r="F9136" s="10"/>
      <c r="G9136" s="10"/>
      <c r="H9136" s="10"/>
      <c r="I9136" s="10"/>
      <c r="J9136" s="10"/>
      <c r="K9136" s="10"/>
      <c r="L9136" s="10"/>
      <c r="M9136" s="10"/>
      <c r="N9136" s="10"/>
      <c r="O9136" s="10"/>
      <c r="P9136" s="10"/>
      <c r="Q9136" s="10"/>
      <c r="R9136" s="10"/>
      <c r="S9136" s="10"/>
      <c r="T9136" s="10"/>
      <c r="U9136" s="10"/>
      <c r="V9136" s="10"/>
      <c r="W9136" s="10"/>
      <c r="X9136" s="10"/>
      <c r="Y9136" s="10"/>
      <c r="Z9136" s="10"/>
    </row>
    <row r="9137" spans="1:26" ht="12.75">
      <c r="A9137" s="10"/>
      <c r="B9137" s="10"/>
      <c r="C9137" s="10"/>
      <c r="D9137" s="10"/>
      <c r="E9137" s="10"/>
      <c r="F9137" s="10"/>
      <c r="G9137" s="10"/>
      <c r="H9137" s="10"/>
      <c r="I9137" s="10"/>
      <c r="J9137" s="10"/>
      <c r="K9137" s="10"/>
      <c r="L9137" s="10"/>
      <c r="M9137" s="10"/>
      <c r="N9137" s="10"/>
      <c r="O9137" s="10"/>
      <c r="P9137" s="10"/>
      <c r="Q9137" s="10"/>
      <c r="R9137" s="10"/>
      <c r="S9137" s="10"/>
      <c r="T9137" s="10"/>
      <c r="U9137" s="10"/>
      <c r="V9137" s="10"/>
      <c r="W9137" s="10"/>
      <c r="X9137" s="10"/>
      <c r="Y9137" s="10"/>
      <c r="Z9137" s="10"/>
    </row>
    <row r="9138" spans="1:26" ht="12.75">
      <c r="A9138" s="10"/>
      <c r="B9138" s="10"/>
      <c r="C9138" s="10"/>
      <c r="D9138" s="10"/>
      <c r="E9138" s="10"/>
      <c r="F9138" s="10"/>
      <c r="G9138" s="10"/>
      <c r="H9138" s="10"/>
      <c r="I9138" s="10"/>
      <c r="J9138" s="10"/>
      <c r="K9138" s="10"/>
      <c r="L9138" s="10"/>
      <c r="M9138" s="10"/>
      <c r="N9138" s="10"/>
      <c r="O9138" s="10"/>
      <c r="P9138" s="10"/>
      <c r="Q9138" s="10"/>
      <c r="R9138" s="10"/>
      <c r="S9138" s="10"/>
      <c r="T9138" s="10"/>
      <c r="U9138" s="10"/>
      <c r="V9138" s="10"/>
      <c r="W9138" s="10"/>
      <c r="X9138" s="10"/>
      <c r="Y9138" s="10"/>
      <c r="Z9138" s="10"/>
    </row>
    <row r="9139" spans="1:26" ht="12.75">
      <c r="A9139" s="10"/>
      <c r="B9139" s="10"/>
      <c r="C9139" s="10"/>
      <c r="D9139" s="10"/>
      <c r="E9139" s="10"/>
      <c r="F9139" s="10"/>
      <c r="G9139" s="10"/>
      <c r="H9139" s="10"/>
      <c r="I9139" s="10"/>
      <c r="J9139" s="10"/>
      <c r="K9139" s="10"/>
      <c r="L9139" s="10"/>
      <c r="M9139" s="10"/>
      <c r="N9139" s="10"/>
      <c r="O9139" s="10"/>
      <c r="P9139" s="10"/>
      <c r="Q9139" s="10"/>
      <c r="R9139" s="10"/>
      <c r="S9139" s="10"/>
      <c r="T9139" s="10"/>
      <c r="U9139" s="10"/>
      <c r="V9139" s="10"/>
      <c r="W9139" s="10"/>
      <c r="X9139" s="10"/>
      <c r="Y9139" s="10"/>
      <c r="Z9139" s="10"/>
    </row>
    <row r="9140" spans="1:26" ht="12.75">
      <c r="A9140" s="10"/>
      <c r="B9140" s="10"/>
      <c r="C9140" s="10"/>
      <c r="D9140" s="10"/>
      <c r="E9140" s="10"/>
      <c r="F9140" s="10"/>
      <c r="G9140" s="10"/>
      <c r="H9140" s="10"/>
      <c r="I9140" s="10"/>
      <c r="J9140" s="10"/>
      <c r="K9140" s="10"/>
      <c r="L9140" s="10"/>
      <c r="M9140" s="10"/>
      <c r="N9140" s="10"/>
      <c r="O9140" s="10"/>
      <c r="P9140" s="10"/>
      <c r="Q9140" s="10"/>
      <c r="R9140" s="10"/>
      <c r="S9140" s="10"/>
      <c r="T9140" s="10"/>
      <c r="U9140" s="10"/>
      <c r="V9140" s="10"/>
      <c r="W9140" s="10"/>
      <c r="X9140" s="10"/>
      <c r="Y9140" s="10"/>
      <c r="Z9140" s="10"/>
    </row>
    <row r="9141" spans="1:26" ht="12.75">
      <c r="A9141" s="10"/>
      <c r="B9141" s="10"/>
      <c r="C9141" s="10"/>
      <c r="D9141" s="10"/>
      <c r="E9141" s="10"/>
      <c r="F9141" s="10"/>
      <c r="G9141" s="10"/>
      <c r="H9141" s="10"/>
      <c r="I9141" s="10"/>
      <c r="J9141" s="10"/>
      <c r="K9141" s="10"/>
      <c r="L9141" s="10"/>
      <c r="M9141" s="10"/>
      <c r="N9141" s="10"/>
      <c r="O9141" s="10"/>
      <c r="P9141" s="10"/>
      <c r="Q9141" s="10"/>
      <c r="R9141" s="10"/>
      <c r="S9141" s="10"/>
      <c r="T9141" s="10"/>
      <c r="U9141" s="10"/>
      <c r="V9141" s="10"/>
      <c r="W9141" s="10"/>
      <c r="X9141" s="10"/>
      <c r="Y9141" s="10"/>
      <c r="Z9141" s="10"/>
    </row>
    <row r="9142" spans="1:26" ht="12.75">
      <c r="A9142" s="10"/>
      <c r="B9142" s="10"/>
      <c r="C9142" s="10"/>
      <c r="D9142" s="10"/>
      <c r="E9142" s="10"/>
      <c r="F9142" s="10"/>
      <c r="G9142" s="10"/>
      <c r="H9142" s="10"/>
      <c r="I9142" s="10"/>
      <c r="J9142" s="10"/>
      <c r="K9142" s="10"/>
      <c r="L9142" s="10"/>
      <c r="M9142" s="10"/>
      <c r="N9142" s="10"/>
      <c r="O9142" s="10"/>
      <c r="P9142" s="10"/>
      <c r="Q9142" s="10"/>
      <c r="R9142" s="10"/>
      <c r="S9142" s="10"/>
      <c r="T9142" s="10"/>
      <c r="U9142" s="10"/>
      <c r="V9142" s="10"/>
      <c r="W9142" s="10"/>
      <c r="X9142" s="10"/>
      <c r="Y9142" s="10"/>
      <c r="Z9142" s="10"/>
    </row>
    <row r="9143" spans="1:26" ht="12.75">
      <c r="A9143" s="10"/>
      <c r="B9143" s="10"/>
      <c r="C9143" s="10"/>
      <c r="D9143" s="10"/>
      <c r="E9143" s="10"/>
      <c r="F9143" s="10"/>
      <c r="G9143" s="10"/>
      <c r="H9143" s="10"/>
      <c r="I9143" s="10"/>
      <c r="J9143" s="10"/>
      <c r="K9143" s="10"/>
      <c r="L9143" s="10"/>
      <c r="M9143" s="10"/>
      <c r="N9143" s="10"/>
      <c r="O9143" s="10"/>
      <c r="P9143" s="10"/>
      <c r="Q9143" s="10"/>
      <c r="R9143" s="10"/>
      <c r="S9143" s="10"/>
      <c r="T9143" s="10"/>
      <c r="U9143" s="10"/>
      <c r="V9143" s="10"/>
      <c r="W9143" s="10"/>
      <c r="X9143" s="10"/>
      <c r="Y9143" s="10"/>
      <c r="Z9143" s="10"/>
    </row>
    <row r="9144" spans="1:26" ht="12.75">
      <c r="A9144" s="10"/>
      <c r="B9144" s="10"/>
      <c r="C9144" s="10"/>
      <c r="D9144" s="10"/>
      <c r="E9144" s="10"/>
      <c r="F9144" s="10"/>
      <c r="G9144" s="10"/>
      <c r="H9144" s="10"/>
      <c r="I9144" s="10"/>
      <c r="J9144" s="10"/>
      <c r="K9144" s="10"/>
      <c r="L9144" s="10"/>
      <c r="M9144" s="10"/>
      <c r="N9144" s="10"/>
      <c r="O9144" s="10"/>
      <c r="P9144" s="10"/>
      <c r="Q9144" s="10"/>
      <c r="R9144" s="10"/>
      <c r="S9144" s="10"/>
      <c r="T9144" s="10"/>
      <c r="U9144" s="10"/>
      <c r="V9144" s="10"/>
      <c r="W9144" s="10"/>
      <c r="X9144" s="10"/>
      <c r="Y9144" s="10"/>
      <c r="Z9144" s="10"/>
    </row>
    <row r="9145" spans="1:26" ht="12.75">
      <c r="A9145" s="10"/>
      <c r="B9145" s="10"/>
      <c r="C9145" s="10"/>
      <c r="D9145" s="10"/>
      <c r="E9145" s="10"/>
      <c r="F9145" s="10"/>
      <c r="G9145" s="10"/>
      <c r="H9145" s="10"/>
      <c r="I9145" s="10"/>
      <c r="J9145" s="10"/>
      <c r="K9145" s="10"/>
      <c r="L9145" s="10"/>
      <c r="M9145" s="10"/>
      <c r="N9145" s="10"/>
      <c r="O9145" s="10"/>
      <c r="P9145" s="10"/>
      <c r="Q9145" s="10"/>
      <c r="R9145" s="10"/>
      <c r="S9145" s="10"/>
      <c r="T9145" s="10"/>
      <c r="U9145" s="10"/>
      <c r="V9145" s="10"/>
      <c r="W9145" s="10"/>
      <c r="X9145" s="10"/>
      <c r="Y9145" s="10"/>
      <c r="Z9145" s="10"/>
    </row>
    <row r="9146" spans="1:26" ht="12.75">
      <c r="A9146" s="10"/>
      <c r="B9146" s="10"/>
      <c r="C9146" s="10"/>
      <c r="D9146" s="10"/>
      <c r="E9146" s="10"/>
      <c r="F9146" s="10"/>
      <c r="G9146" s="10"/>
      <c r="H9146" s="10"/>
      <c r="I9146" s="10"/>
      <c r="J9146" s="10"/>
      <c r="K9146" s="10"/>
      <c r="L9146" s="10"/>
      <c r="M9146" s="10"/>
      <c r="N9146" s="10"/>
      <c r="O9146" s="10"/>
      <c r="P9146" s="10"/>
      <c r="Q9146" s="10"/>
      <c r="R9146" s="10"/>
      <c r="S9146" s="10"/>
      <c r="T9146" s="10"/>
      <c r="U9146" s="10"/>
      <c r="V9146" s="10"/>
      <c r="W9146" s="10"/>
      <c r="X9146" s="10"/>
      <c r="Y9146" s="10"/>
      <c r="Z9146" s="10"/>
    </row>
    <row r="9147" spans="1:26" ht="12.75">
      <c r="A9147" s="10"/>
      <c r="B9147" s="10"/>
      <c r="C9147" s="10"/>
      <c r="D9147" s="10"/>
      <c r="E9147" s="10"/>
      <c r="F9147" s="10"/>
      <c r="G9147" s="10"/>
      <c r="H9147" s="10"/>
      <c r="I9147" s="10"/>
      <c r="J9147" s="10"/>
      <c r="K9147" s="10"/>
      <c r="L9147" s="10"/>
      <c r="M9147" s="10"/>
      <c r="N9147" s="10"/>
      <c r="O9147" s="10"/>
      <c r="P9147" s="10"/>
      <c r="Q9147" s="10"/>
      <c r="R9147" s="10"/>
      <c r="S9147" s="10"/>
      <c r="T9147" s="10"/>
      <c r="U9147" s="10"/>
      <c r="V9147" s="10"/>
      <c r="W9147" s="10"/>
      <c r="X9147" s="10"/>
      <c r="Y9147" s="10"/>
      <c r="Z9147" s="10"/>
    </row>
    <row r="9148" spans="1:26" ht="12.75">
      <c r="A9148" s="10"/>
      <c r="B9148" s="10"/>
      <c r="C9148" s="10"/>
      <c r="D9148" s="10"/>
      <c r="E9148" s="10"/>
      <c r="F9148" s="10"/>
      <c r="G9148" s="10"/>
      <c r="H9148" s="10"/>
      <c r="I9148" s="10"/>
      <c r="J9148" s="10"/>
      <c r="K9148" s="10"/>
      <c r="L9148" s="10"/>
      <c r="M9148" s="10"/>
      <c r="N9148" s="10"/>
      <c r="O9148" s="10"/>
      <c r="P9148" s="10"/>
      <c r="Q9148" s="10"/>
      <c r="R9148" s="10"/>
      <c r="S9148" s="10"/>
      <c r="T9148" s="10"/>
      <c r="U9148" s="10"/>
      <c r="V9148" s="10"/>
      <c r="W9148" s="10"/>
      <c r="X9148" s="10"/>
      <c r="Y9148" s="10"/>
      <c r="Z9148" s="10"/>
    </row>
    <row r="9149" spans="1:26" ht="12.75">
      <c r="A9149" s="10"/>
      <c r="B9149" s="10"/>
      <c r="C9149" s="10"/>
      <c r="D9149" s="10"/>
      <c r="E9149" s="10"/>
      <c r="F9149" s="10"/>
      <c r="G9149" s="10"/>
      <c r="H9149" s="10"/>
      <c r="I9149" s="10"/>
      <c r="J9149" s="10"/>
      <c r="K9149" s="10"/>
      <c r="L9149" s="10"/>
      <c r="M9149" s="10"/>
      <c r="N9149" s="10"/>
      <c r="O9149" s="10"/>
      <c r="P9149" s="10"/>
      <c r="Q9149" s="10"/>
      <c r="R9149" s="10"/>
      <c r="S9149" s="10"/>
      <c r="T9149" s="10"/>
      <c r="U9149" s="10"/>
      <c r="V9149" s="10"/>
      <c r="W9149" s="10"/>
      <c r="X9149" s="10"/>
      <c r="Y9149" s="10"/>
      <c r="Z9149" s="10"/>
    </row>
    <row r="9150" spans="1:26" ht="12.75">
      <c r="A9150" s="10"/>
      <c r="B9150" s="10"/>
      <c r="C9150" s="10"/>
      <c r="D9150" s="10"/>
      <c r="E9150" s="10"/>
      <c r="F9150" s="10"/>
      <c r="G9150" s="10"/>
      <c r="H9150" s="10"/>
      <c r="I9150" s="10"/>
      <c r="J9150" s="10"/>
      <c r="K9150" s="10"/>
      <c r="L9150" s="10"/>
      <c r="M9150" s="10"/>
      <c r="N9150" s="10"/>
      <c r="O9150" s="10"/>
      <c r="P9150" s="10"/>
      <c r="Q9150" s="10"/>
      <c r="R9150" s="10"/>
      <c r="S9150" s="10"/>
      <c r="T9150" s="10"/>
      <c r="U9150" s="10"/>
      <c r="V9150" s="10"/>
      <c r="W9150" s="10"/>
      <c r="X9150" s="10"/>
      <c r="Y9150" s="10"/>
      <c r="Z9150" s="10"/>
    </row>
    <row r="9151" spans="1:26" ht="12.75">
      <c r="A9151" s="10"/>
      <c r="B9151" s="10"/>
      <c r="C9151" s="10"/>
      <c r="D9151" s="10"/>
      <c r="E9151" s="10"/>
      <c r="F9151" s="10"/>
      <c r="G9151" s="10"/>
      <c r="H9151" s="10"/>
      <c r="I9151" s="10"/>
      <c r="J9151" s="10"/>
      <c r="K9151" s="10"/>
      <c r="L9151" s="10"/>
      <c r="M9151" s="10"/>
      <c r="N9151" s="10"/>
      <c r="O9151" s="10"/>
      <c r="P9151" s="10"/>
      <c r="Q9151" s="10"/>
      <c r="R9151" s="10"/>
      <c r="S9151" s="10"/>
      <c r="T9151" s="10"/>
      <c r="U9151" s="10"/>
      <c r="V9151" s="10"/>
      <c r="W9151" s="10"/>
      <c r="X9151" s="10"/>
      <c r="Y9151" s="10"/>
      <c r="Z9151" s="10"/>
    </row>
    <row r="9152" spans="1:26" ht="12.75">
      <c r="A9152" s="10"/>
      <c r="B9152" s="10"/>
      <c r="C9152" s="10"/>
      <c r="D9152" s="10"/>
      <c r="E9152" s="10"/>
      <c r="F9152" s="10"/>
      <c r="G9152" s="10"/>
      <c r="H9152" s="10"/>
      <c r="I9152" s="10"/>
      <c r="J9152" s="10"/>
      <c r="K9152" s="10"/>
      <c r="L9152" s="10"/>
      <c r="M9152" s="10"/>
      <c r="N9152" s="10"/>
      <c r="O9152" s="10"/>
      <c r="P9152" s="10"/>
      <c r="Q9152" s="10"/>
      <c r="R9152" s="10"/>
      <c r="S9152" s="10"/>
      <c r="T9152" s="10"/>
      <c r="U9152" s="10"/>
      <c r="V9152" s="10"/>
      <c r="W9152" s="10"/>
      <c r="X9152" s="10"/>
      <c r="Y9152" s="10"/>
      <c r="Z9152" s="10"/>
    </row>
    <row r="9153" spans="1:26" ht="12.75">
      <c r="A9153" s="10"/>
      <c r="B9153" s="10"/>
      <c r="C9153" s="10"/>
      <c r="D9153" s="10"/>
      <c r="E9153" s="10"/>
      <c r="F9153" s="10"/>
      <c r="G9153" s="10"/>
      <c r="H9153" s="10"/>
      <c r="I9153" s="10"/>
      <c r="J9153" s="10"/>
      <c r="K9153" s="10"/>
      <c r="L9153" s="10"/>
      <c r="M9153" s="10"/>
      <c r="N9153" s="10"/>
      <c r="O9153" s="10"/>
      <c r="P9153" s="10"/>
      <c r="Q9153" s="10"/>
      <c r="R9153" s="10"/>
      <c r="S9153" s="10"/>
      <c r="T9153" s="10"/>
      <c r="U9153" s="10"/>
      <c r="V9153" s="10"/>
      <c r="W9153" s="10"/>
      <c r="X9153" s="10"/>
      <c r="Y9153" s="10"/>
      <c r="Z9153" s="10"/>
    </row>
    <row r="9154" spans="1:26" ht="12.75">
      <c r="A9154" s="10"/>
      <c r="B9154" s="10"/>
      <c r="C9154" s="10"/>
      <c r="D9154" s="10"/>
      <c r="E9154" s="10"/>
      <c r="F9154" s="10"/>
      <c r="G9154" s="10"/>
      <c r="H9154" s="10"/>
      <c r="I9154" s="10"/>
      <c r="J9154" s="10"/>
      <c r="K9154" s="10"/>
      <c r="L9154" s="10"/>
      <c r="M9154" s="10"/>
      <c r="N9154" s="10"/>
      <c r="O9154" s="10"/>
      <c r="P9154" s="10"/>
      <c r="Q9154" s="10"/>
      <c r="R9154" s="10"/>
      <c r="S9154" s="10"/>
      <c r="T9154" s="10"/>
      <c r="U9154" s="10"/>
      <c r="V9154" s="10"/>
      <c r="W9154" s="10"/>
      <c r="X9154" s="10"/>
      <c r="Y9154" s="10"/>
      <c r="Z9154" s="10"/>
    </row>
    <row r="9155" spans="1:26" ht="12.75">
      <c r="A9155" s="10"/>
      <c r="B9155" s="10"/>
      <c r="C9155" s="10"/>
      <c r="D9155" s="10"/>
      <c r="E9155" s="10"/>
      <c r="F9155" s="10"/>
      <c r="G9155" s="10"/>
      <c r="H9155" s="10"/>
      <c r="I9155" s="10"/>
      <c r="J9155" s="10"/>
      <c r="K9155" s="10"/>
      <c r="L9155" s="10"/>
      <c r="M9155" s="10"/>
      <c r="N9155" s="10"/>
      <c r="O9155" s="10"/>
      <c r="P9155" s="10"/>
      <c r="Q9155" s="10"/>
      <c r="R9155" s="10"/>
      <c r="S9155" s="10"/>
      <c r="T9155" s="10"/>
      <c r="U9155" s="10"/>
      <c r="V9155" s="10"/>
      <c r="W9155" s="10"/>
      <c r="X9155" s="10"/>
      <c r="Y9155" s="10"/>
      <c r="Z9155" s="10"/>
    </row>
    <row r="9156" spans="1:26" ht="12.75">
      <c r="A9156" s="10"/>
      <c r="B9156" s="10"/>
      <c r="C9156" s="10"/>
      <c r="D9156" s="10"/>
      <c r="E9156" s="10"/>
      <c r="F9156" s="10"/>
      <c r="G9156" s="10"/>
      <c r="H9156" s="10"/>
      <c r="I9156" s="10"/>
      <c r="J9156" s="10"/>
      <c r="K9156" s="10"/>
      <c r="L9156" s="10"/>
      <c r="M9156" s="10"/>
      <c r="N9156" s="10"/>
      <c r="O9156" s="10"/>
      <c r="P9156" s="10"/>
      <c r="Q9156" s="10"/>
      <c r="R9156" s="10"/>
      <c r="S9156" s="10"/>
      <c r="T9156" s="10"/>
      <c r="U9156" s="10"/>
      <c r="V9156" s="10"/>
      <c r="W9156" s="10"/>
      <c r="X9156" s="10"/>
      <c r="Y9156" s="10"/>
      <c r="Z9156" s="10"/>
    </row>
    <row r="9157" spans="1:26" ht="12.75">
      <c r="A9157" s="10"/>
      <c r="B9157" s="10"/>
      <c r="C9157" s="10"/>
      <c r="D9157" s="10"/>
      <c r="E9157" s="10"/>
      <c r="F9157" s="10"/>
      <c r="G9157" s="10"/>
      <c r="H9157" s="10"/>
      <c r="I9157" s="10"/>
      <c r="J9157" s="10"/>
      <c r="K9157" s="10"/>
      <c r="L9157" s="10"/>
      <c r="M9157" s="10"/>
      <c r="N9157" s="10"/>
      <c r="O9157" s="10"/>
      <c r="P9157" s="10"/>
      <c r="Q9157" s="10"/>
      <c r="R9157" s="10"/>
      <c r="S9157" s="10"/>
      <c r="T9157" s="10"/>
      <c r="U9157" s="10"/>
      <c r="V9157" s="10"/>
      <c r="W9157" s="10"/>
      <c r="X9157" s="10"/>
      <c r="Y9157" s="10"/>
      <c r="Z9157" s="10"/>
    </row>
    <row r="9158" spans="1:26" ht="12.75">
      <c r="A9158" s="10"/>
      <c r="B9158" s="10"/>
      <c r="C9158" s="10"/>
      <c r="D9158" s="10"/>
      <c r="E9158" s="10"/>
      <c r="F9158" s="10"/>
      <c r="G9158" s="10"/>
      <c r="H9158" s="10"/>
      <c r="I9158" s="10"/>
      <c r="J9158" s="10"/>
      <c r="K9158" s="10"/>
      <c r="L9158" s="10"/>
      <c r="M9158" s="10"/>
      <c r="N9158" s="10"/>
      <c r="O9158" s="10"/>
      <c r="P9158" s="10"/>
      <c r="Q9158" s="10"/>
      <c r="R9158" s="10"/>
      <c r="S9158" s="10"/>
      <c r="T9158" s="10"/>
      <c r="U9158" s="10"/>
      <c r="V9158" s="10"/>
      <c r="W9158" s="10"/>
      <c r="X9158" s="10"/>
      <c r="Y9158" s="10"/>
      <c r="Z9158" s="10"/>
    </row>
    <row r="9159" spans="1:26" ht="12.75">
      <c r="A9159" s="10"/>
      <c r="B9159" s="10"/>
      <c r="C9159" s="10"/>
      <c r="D9159" s="10"/>
      <c r="E9159" s="10"/>
      <c r="F9159" s="10"/>
      <c r="G9159" s="10"/>
      <c r="H9159" s="10"/>
      <c r="I9159" s="10"/>
      <c r="J9159" s="10"/>
      <c r="K9159" s="10"/>
      <c r="L9159" s="10"/>
      <c r="M9159" s="10"/>
      <c r="N9159" s="10"/>
      <c r="O9159" s="10"/>
      <c r="P9159" s="10"/>
      <c r="Q9159" s="10"/>
      <c r="R9159" s="10"/>
      <c r="S9159" s="10"/>
      <c r="T9159" s="10"/>
      <c r="U9159" s="10"/>
      <c r="V9159" s="10"/>
      <c r="W9159" s="10"/>
      <c r="X9159" s="10"/>
      <c r="Y9159" s="10"/>
      <c r="Z9159" s="10"/>
    </row>
    <row r="9160" spans="1:26" ht="12.75">
      <c r="A9160" s="10"/>
      <c r="B9160" s="10"/>
      <c r="C9160" s="10"/>
      <c r="D9160" s="10"/>
      <c r="E9160" s="10"/>
      <c r="F9160" s="10"/>
      <c r="G9160" s="10"/>
      <c r="H9160" s="10"/>
      <c r="I9160" s="10"/>
      <c r="J9160" s="10"/>
      <c r="K9160" s="10"/>
      <c r="L9160" s="10"/>
      <c r="M9160" s="10"/>
      <c r="N9160" s="10"/>
      <c r="O9160" s="10"/>
      <c r="P9160" s="10"/>
      <c r="Q9160" s="10"/>
      <c r="R9160" s="10"/>
      <c r="S9160" s="10"/>
      <c r="T9160" s="10"/>
      <c r="U9160" s="10"/>
      <c r="V9160" s="10"/>
      <c r="W9160" s="10"/>
      <c r="X9160" s="10"/>
      <c r="Y9160" s="10"/>
      <c r="Z9160" s="10"/>
    </row>
    <row r="9161" spans="1:26" ht="12.75">
      <c r="A9161" s="10"/>
      <c r="B9161" s="10"/>
      <c r="C9161" s="10"/>
      <c r="D9161" s="10"/>
      <c r="E9161" s="10"/>
      <c r="F9161" s="10"/>
      <c r="G9161" s="10"/>
      <c r="H9161" s="10"/>
      <c r="I9161" s="10"/>
      <c r="J9161" s="10"/>
      <c r="K9161" s="10"/>
      <c r="L9161" s="10"/>
      <c r="M9161" s="10"/>
      <c r="N9161" s="10"/>
      <c r="O9161" s="10"/>
      <c r="P9161" s="10"/>
      <c r="Q9161" s="10"/>
      <c r="R9161" s="10"/>
      <c r="S9161" s="10"/>
      <c r="T9161" s="10"/>
      <c r="U9161" s="10"/>
      <c r="V9161" s="10"/>
      <c r="W9161" s="10"/>
      <c r="X9161" s="10"/>
      <c r="Y9161" s="10"/>
      <c r="Z9161" s="10"/>
    </row>
    <row r="9162" spans="1:26" ht="12.75">
      <c r="A9162" s="10"/>
      <c r="B9162" s="10"/>
      <c r="C9162" s="10"/>
      <c r="D9162" s="10"/>
      <c r="E9162" s="10"/>
      <c r="F9162" s="10"/>
      <c r="G9162" s="10"/>
      <c r="H9162" s="10"/>
      <c r="I9162" s="10"/>
      <c r="J9162" s="10"/>
      <c r="K9162" s="10"/>
      <c r="L9162" s="10"/>
      <c r="M9162" s="10"/>
      <c r="N9162" s="10"/>
      <c r="O9162" s="10"/>
      <c r="P9162" s="10"/>
      <c r="Q9162" s="10"/>
      <c r="R9162" s="10"/>
      <c r="S9162" s="10"/>
      <c r="T9162" s="10"/>
      <c r="U9162" s="10"/>
      <c r="V9162" s="10"/>
      <c r="W9162" s="10"/>
      <c r="X9162" s="10"/>
      <c r="Y9162" s="10"/>
      <c r="Z9162" s="10"/>
    </row>
    <row r="9163" spans="1:26" ht="12.75">
      <c r="A9163" s="10"/>
      <c r="B9163" s="10"/>
      <c r="C9163" s="10"/>
      <c r="D9163" s="10"/>
      <c r="E9163" s="10"/>
      <c r="F9163" s="10"/>
      <c r="G9163" s="10"/>
      <c r="H9163" s="10"/>
      <c r="I9163" s="10"/>
      <c r="J9163" s="10"/>
      <c r="K9163" s="10"/>
      <c r="L9163" s="10"/>
      <c r="M9163" s="10"/>
      <c r="N9163" s="10"/>
      <c r="O9163" s="10"/>
      <c r="P9163" s="10"/>
      <c r="Q9163" s="10"/>
      <c r="R9163" s="10"/>
      <c r="S9163" s="10"/>
      <c r="T9163" s="10"/>
      <c r="U9163" s="10"/>
      <c r="V9163" s="10"/>
      <c r="W9163" s="10"/>
      <c r="X9163" s="10"/>
      <c r="Y9163" s="10"/>
      <c r="Z9163" s="10"/>
    </row>
    <row r="9164" spans="1:26" ht="12.75">
      <c r="A9164" s="10"/>
      <c r="B9164" s="10"/>
      <c r="C9164" s="10"/>
      <c r="D9164" s="10"/>
      <c r="E9164" s="10"/>
      <c r="F9164" s="10"/>
      <c r="G9164" s="10"/>
      <c r="H9164" s="10"/>
      <c r="I9164" s="10"/>
      <c r="J9164" s="10"/>
      <c r="K9164" s="10"/>
      <c r="L9164" s="10"/>
      <c r="M9164" s="10"/>
      <c r="N9164" s="10"/>
      <c r="O9164" s="10"/>
      <c r="P9164" s="10"/>
      <c r="Q9164" s="10"/>
      <c r="R9164" s="10"/>
      <c r="S9164" s="10"/>
      <c r="T9164" s="10"/>
      <c r="U9164" s="10"/>
      <c r="V9164" s="10"/>
      <c r="W9164" s="10"/>
      <c r="X9164" s="10"/>
      <c r="Y9164" s="10"/>
      <c r="Z9164" s="10"/>
    </row>
    <row r="9165" spans="1:26" ht="12.75">
      <c r="A9165" s="10"/>
      <c r="B9165" s="10"/>
      <c r="C9165" s="10"/>
      <c r="D9165" s="10"/>
      <c r="E9165" s="10"/>
      <c r="F9165" s="10"/>
      <c r="G9165" s="10"/>
      <c r="H9165" s="10"/>
      <c r="I9165" s="10"/>
      <c r="J9165" s="10"/>
      <c r="K9165" s="10"/>
      <c r="L9165" s="10"/>
      <c r="M9165" s="10"/>
      <c r="N9165" s="10"/>
      <c r="O9165" s="10"/>
      <c r="P9165" s="10"/>
      <c r="Q9165" s="10"/>
      <c r="R9165" s="10"/>
      <c r="S9165" s="10"/>
      <c r="T9165" s="10"/>
      <c r="U9165" s="10"/>
      <c r="V9165" s="10"/>
      <c r="W9165" s="10"/>
      <c r="X9165" s="10"/>
      <c r="Y9165" s="10"/>
      <c r="Z9165" s="10"/>
    </row>
    <row r="9166" spans="1:26" ht="12.75">
      <c r="A9166" s="10"/>
      <c r="B9166" s="10"/>
      <c r="C9166" s="10"/>
      <c r="D9166" s="10"/>
      <c r="E9166" s="10"/>
      <c r="F9166" s="10"/>
      <c r="G9166" s="10"/>
      <c r="H9166" s="10"/>
      <c r="I9166" s="10"/>
      <c r="J9166" s="10"/>
      <c r="K9166" s="10"/>
      <c r="L9166" s="10"/>
      <c r="M9166" s="10"/>
      <c r="N9166" s="10"/>
      <c r="O9166" s="10"/>
      <c r="P9166" s="10"/>
      <c r="Q9166" s="10"/>
      <c r="R9166" s="10"/>
      <c r="S9166" s="10"/>
      <c r="T9166" s="10"/>
      <c r="U9166" s="10"/>
      <c r="V9166" s="10"/>
      <c r="W9166" s="10"/>
      <c r="X9166" s="10"/>
      <c r="Y9166" s="10"/>
      <c r="Z9166" s="10"/>
    </row>
    <row r="9167" spans="1:26" ht="12.75">
      <c r="A9167" s="10"/>
      <c r="B9167" s="10"/>
      <c r="C9167" s="10"/>
      <c r="D9167" s="10"/>
      <c r="E9167" s="10"/>
      <c r="F9167" s="10"/>
      <c r="G9167" s="10"/>
      <c r="H9167" s="10"/>
      <c r="I9167" s="10"/>
      <c r="J9167" s="10"/>
      <c r="K9167" s="10"/>
      <c r="L9167" s="10"/>
      <c r="M9167" s="10"/>
      <c r="N9167" s="10"/>
      <c r="O9167" s="10"/>
      <c r="P9167" s="10"/>
      <c r="Q9167" s="10"/>
      <c r="R9167" s="10"/>
      <c r="S9167" s="10"/>
      <c r="T9167" s="10"/>
      <c r="U9167" s="10"/>
      <c r="V9167" s="10"/>
      <c r="W9167" s="10"/>
      <c r="X9167" s="10"/>
      <c r="Y9167" s="10"/>
      <c r="Z9167" s="10"/>
    </row>
    <row r="9168" spans="1:26" ht="12.75">
      <c r="A9168" s="10"/>
      <c r="B9168" s="10"/>
      <c r="C9168" s="10"/>
      <c r="D9168" s="10"/>
      <c r="E9168" s="10"/>
      <c r="F9168" s="10"/>
      <c r="G9168" s="10"/>
      <c r="H9168" s="10"/>
      <c r="I9168" s="10"/>
      <c r="J9168" s="10"/>
      <c r="K9168" s="10"/>
      <c r="L9168" s="10"/>
      <c r="M9168" s="10"/>
      <c r="N9168" s="10"/>
      <c r="O9168" s="10"/>
      <c r="P9168" s="10"/>
      <c r="Q9168" s="10"/>
      <c r="R9168" s="10"/>
      <c r="S9168" s="10"/>
      <c r="T9168" s="10"/>
      <c r="U9168" s="10"/>
      <c r="V9168" s="10"/>
      <c r="W9168" s="10"/>
      <c r="X9168" s="10"/>
      <c r="Y9168" s="10"/>
      <c r="Z9168" s="10"/>
    </row>
    <row r="9169" spans="1:26" ht="12.75">
      <c r="A9169" s="10"/>
      <c r="B9169" s="10"/>
      <c r="C9169" s="10"/>
      <c r="D9169" s="10"/>
      <c r="E9169" s="10"/>
      <c r="F9169" s="10"/>
      <c r="G9169" s="10"/>
      <c r="H9169" s="10"/>
      <c r="I9169" s="10"/>
      <c r="J9169" s="10"/>
      <c r="K9169" s="10"/>
      <c r="L9169" s="10"/>
      <c r="M9169" s="10"/>
      <c r="N9169" s="10"/>
      <c r="O9169" s="10"/>
      <c r="P9169" s="10"/>
      <c r="Q9169" s="10"/>
      <c r="R9169" s="10"/>
      <c r="S9169" s="10"/>
      <c r="T9169" s="10"/>
      <c r="U9169" s="10"/>
      <c r="V9169" s="10"/>
      <c r="W9169" s="10"/>
      <c r="X9169" s="10"/>
      <c r="Y9169" s="10"/>
      <c r="Z9169" s="10"/>
    </row>
    <row r="9170" spans="1:26" ht="12.75">
      <c r="A9170" s="10"/>
      <c r="B9170" s="10"/>
      <c r="C9170" s="10"/>
      <c r="D9170" s="10"/>
      <c r="E9170" s="10"/>
      <c r="F9170" s="10"/>
      <c r="G9170" s="10"/>
      <c r="H9170" s="10"/>
      <c r="I9170" s="10"/>
      <c r="J9170" s="10"/>
      <c r="K9170" s="10"/>
      <c r="L9170" s="10"/>
      <c r="M9170" s="10"/>
      <c r="N9170" s="10"/>
      <c r="O9170" s="10"/>
      <c r="P9170" s="10"/>
      <c r="Q9170" s="10"/>
      <c r="R9170" s="10"/>
      <c r="S9170" s="10"/>
      <c r="T9170" s="10"/>
      <c r="U9170" s="10"/>
      <c r="V9170" s="10"/>
      <c r="W9170" s="10"/>
      <c r="X9170" s="10"/>
      <c r="Y9170" s="10"/>
      <c r="Z9170" s="10"/>
    </row>
    <row r="9171" spans="1:26" ht="12.75">
      <c r="A9171" s="10"/>
      <c r="B9171" s="10"/>
      <c r="C9171" s="10"/>
      <c r="D9171" s="10"/>
      <c r="E9171" s="10"/>
      <c r="F9171" s="10"/>
      <c r="G9171" s="10"/>
      <c r="H9171" s="10"/>
      <c r="I9171" s="10"/>
      <c r="J9171" s="10"/>
      <c r="K9171" s="10"/>
      <c r="L9171" s="10"/>
      <c r="M9171" s="10"/>
      <c r="N9171" s="10"/>
      <c r="O9171" s="10"/>
      <c r="P9171" s="10"/>
      <c r="Q9171" s="10"/>
      <c r="R9171" s="10"/>
      <c r="S9171" s="10"/>
      <c r="T9171" s="10"/>
      <c r="U9171" s="10"/>
      <c r="V9171" s="10"/>
      <c r="W9171" s="10"/>
      <c r="X9171" s="10"/>
      <c r="Y9171" s="10"/>
      <c r="Z9171" s="10"/>
    </row>
    <row r="9172" spans="1:26" ht="12.75">
      <c r="A9172" s="10"/>
      <c r="B9172" s="10"/>
      <c r="C9172" s="10"/>
      <c r="D9172" s="10"/>
      <c r="E9172" s="10"/>
      <c r="F9172" s="10"/>
      <c r="G9172" s="10"/>
      <c r="H9172" s="10"/>
      <c r="I9172" s="10"/>
      <c r="J9172" s="10"/>
      <c r="K9172" s="10"/>
      <c r="L9172" s="10"/>
      <c r="M9172" s="10"/>
      <c r="N9172" s="10"/>
      <c r="O9172" s="10"/>
      <c r="P9172" s="10"/>
      <c r="Q9172" s="10"/>
      <c r="R9172" s="10"/>
      <c r="S9172" s="10"/>
      <c r="T9172" s="10"/>
      <c r="U9172" s="10"/>
      <c r="V9172" s="10"/>
      <c r="W9172" s="10"/>
      <c r="X9172" s="10"/>
      <c r="Y9172" s="10"/>
      <c r="Z9172" s="10"/>
    </row>
    <row r="9173" spans="1:26" ht="12.75">
      <c r="A9173" s="10"/>
      <c r="B9173" s="10"/>
      <c r="C9173" s="10"/>
      <c r="D9173" s="10"/>
      <c r="E9173" s="10"/>
      <c r="F9173" s="10"/>
      <c r="G9173" s="10"/>
      <c r="H9173" s="10"/>
      <c r="I9173" s="10"/>
      <c r="J9173" s="10"/>
      <c r="K9173" s="10"/>
      <c r="L9173" s="10"/>
      <c r="M9173" s="10"/>
      <c r="N9173" s="10"/>
      <c r="O9173" s="10"/>
      <c r="P9173" s="10"/>
      <c r="Q9173" s="10"/>
      <c r="R9173" s="10"/>
      <c r="S9173" s="10"/>
      <c r="T9173" s="10"/>
      <c r="U9173" s="10"/>
      <c r="V9173" s="10"/>
      <c r="W9173" s="10"/>
      <c r="X9173" s="10"/>
      <c r="Y9173" s="10"/>
      <c r="Z9173" s="10"/>
    </row>
    <row r="9174" spans="1:26" ht="12.75">
      <c r="A9174" s="10"/>
      <c r="B9174" s="10"/>
      <c r="C9174" s="10"/>
      <c r="D9174" s="10"/>
      <c r="E9174" s="10"/>
      <c r="F9174" s="10"/>
      <c r="G9174" s="10"/>
      <c r="H9174" s="10"/>
      <c r="I9174" s="10"/>
      <c r="J9174" s="10"/>
      <c r="K9174" s="10"/>
      <c r="L9174" s="10"/>
      <c r="M9174" s="10"/>
      <c r="N9174" s="10"/>
      <c r="O9174" s="10"/>
      <c r="P9174" s="10"/>
      <c r="Q9174" s="10"/>
      <c r="R9174" s="10"/>
      <c r="S9174" s="10"/>
      <c r="T9174" s="10"/>
      <c r="U9174" s="10"/>
      <c r="V9174" s="10"/>
      <c r="W9174" s="10"/>
      <c r="X9174" s="10"/>
      <c r="Y9174" s="10"/>
      <c r="Z9174" s="10"/>
    </row>
    <row r="9175" spans="1:26" ht="12.75">
      <c r="A9175" s="10"/>
      <c r="B9175" s="10"/>
      <c r="C9175" s="10"/>
      <c r="D9175" s="10"/>
      <c r="E9175" s="10"/>
      <c r="F9175" s="10"/>
      <c r="G9175" s="10"/>
      <c r="H9175" s="10"/>
      <c r="I9175" s="10"/>
      <c r="J9175" s="10"/>
      <c r="K9175" s="10"/>
      <c r="L9175" s="10"/>
      <c r="M9175" s="10"/>
      <c r="N9175" s="10"/>
      <c r="O9175" s="10"/>
      <c r="P9175" s="10"/>
      <c r="Q9175" s="10"/>
      <c r="R9175" s="10"/>
      <c r="S9175" s="10"/>
      <c r="T9175" s="10"/>
      <c r="U9175" s="10"/>
      <c r="V9175" s="10"/>
      <c r="W9175" s="10"/>
      <c r="X9175" s="10"/>
      <c r="Y9175" s="10"/>
      <c r="Z9175" s="10"/>
    </row>
    <row r="9176" spans="1:26" ht="12.75">
      <c r="A9176" s="10"/>
      <c r="B9176" s="10"/>
      <c r="C9176" s="10"/>
      <c r="D9176" s="10"/>
      <c r="E9176" s="10"/>
      <c r="F9176" s="10"/>
      <c r="G9176" s="10"/>
      <c r="H9176" s="10"/>
      <c r="I9176" s="10"/>
      <c r="J9176" s="10"/>
      <c r="K9176" s="10"/>
      <c r="L9176" s="10"/>
      <c r="M9176" s="10"/>
      <c r="N9176" s="10"/>
      <c r="O9176" s="10"/>
      <c r="P9176" s="10"/>
      <c r="Q9176" s="10"/>
      <c r="R9176" s="10"/>
      <c r="S9176" s="10"/>
      <c r="T9176" s="10"/>
      <c r="U9176" s="10"/>
      <c r="V9176" s="10"/>
      <c r="W9176" s="10"/>
      <c r="X9176" s="10"/>
      <c r="Y9176" s="10"/>
      <c r="Z9176" s="10"/>
    </row>
    <row r="9177" spans="1:26" ht="12.75">
      <c r="A9177" s="10"/>
      <c r="B9177" s="10"/>
      <c r="C9177" s="10"/>
      <c r="D9177" s="10"/>
      <c r="E9177" s="10"/>
      <c r="F9177" s="10"/>
      <c r="G9177" s="10"/>
      <c r="H9177" s="10"/>
      <c r="I9177" s="10"/>
      <c r="J9177" s="10"/>
      <c r="K9177" s="10"/>
      <c r="L9177" s="10"/>
      <c r="M9177" s="10"/>
      <c r="N9177" s="10"/>
      <c r="O9177" s="10"/>
      <c r="P9177" s="10"/>
      <c r="Q9177" s="10"/>
      <c r="R9177" s="10"/>
      <c r="S9177" s="10"/>
      <c r="T9177" s="10"/>
      <c r="U9177" s="10"/>
      <c r="V9177" s="10"/>
      <c r="W9177" s="10"/>
      <c r="X9177" s="10"/>
      <c r="Y9177" s="10"/>
      <c r="Z9177" s="10"/>
    </row>
    <row r="9178" spans="1:26" ht="12.75">
      <c r="A9178" s="10"/>
      <c r="B9178" s="10"/>
      <c r="C9178" s="10"/>
      <c r="D9178" s="10"/>
      <c r="E9178" s="10"/>
      <c r="F9178" s="10"/>
      <c r="G9178" s="10"/>
      <c r="H9178" s="10"/>
      <c r="I9178" s="10"/>
      <c r="J9178" s="10"/>
      <c r="K9178" s="10"/>
      <c r="L9178" s="10"/>
      <c r="M9178" s="10"/>
      <c r="N9178" s="10"/>
      <c r="O9178" s="10"/>
      <c r="P9178" s="10"/>
      <c r="Q9178" s="10"/>
      <c r="R9178" s="10"/>
      <c r="S9178" s="10"/>
      <c r="T9178" s="10"/>
      <c r="U9178" s="10"/>
      <c r="V9178" s="10"/>
      <c r="W9178" s="10"/>
      <c r="X9178" s="10"/>
      <c r="Y9178" s="10"/>
      <c r="Z9178" s="10"/>
    </row>
    <row r="9179" spans="1:26" ht="12.75">
      <c r="A9179" s="10"/>
      <c r="B9179" s="10"/>
      <c r="C9179" s="10"/>
      <c r="D9179" s="10"/>
      <c r="E9179" s="10"/>
      <c r="F9179" s="10"/>
      <c r="G9179" s="10"/>
      <c r="H9179" s="10"/>
      <c r="I9179" s="10"/>
      <c r="J9179" s="10"/>
      <c r="K9179" s="10"/>
      <c r="L9179" s="10"/>
      <c r="M9179" s="10"/>
      <c r="N9179" s="10"/>
      <c r="O9179" s="10"/>
      <c r="P9179" s="10"/>
      <c r="Q9179" s="10"/>
      <c r="R9179" s="10"/>
      <c r="S9179" s="10"/>
      <c r="T9179" s="10"/>
      <c r="U9179" s="10"/>
      <c r="V9179" s="10"/>
      <c r="W9179" s="10"/>
      <c r="X9179" s="10"/>
      <c r="Y9179" s="10"/>
      <c r="Z9179" s="10"/>
    </row>
    <row r="9180" spans="1:26" ht="12.75">
      <c r="A9180" s="10"/>
      <c r="B9180" s="10"/>
      <c r="C9180" s="10"/>
      <c r="D9180" s="10"/>
      <c r="E9180" s="10"/>
      <c r="F9180" s="10"/>
      <c r="G9180" s="10"/>
      <c r="H9180" s="10"/>
      <c r="I9180" s="10"/>
      <c r="J9180" s="10"/>
      <c r="K9180" s="10"/>
      <c r="L9180" s="10"/>
      <c r="M9180" s="10"/>
      <c r="N9180" s="10"/>
      <c r="O9180" s="10"/>
      <c r="P9180" s="10"/>
      <c r="Q9180" s="10"/>
      <c r="R9180" s="10"/>
      <c r="S9180" s="10"/>
      <c r="T9180" s="10"/>
      <c r="U9180" s="10"/>
      <c r="V9180" s="10"/>
      <c r="W9180" s="10"/>
      <c r="X9180" s="10"/>
      <c r="Y9180" s="10"/>
      <c r="Z9180" s="10"/>
    </row>
    <row r="9181" spans="1:26" ht="12.75">
      <c r="A9181" s="10"/>
      <c r="B9181" s="10"/>
      <c r="C9181" s="10"/>
      <c r="D9181" s="10"/>
      <c r="E9181" s="10"/>
      <c r="F9181" s="10"/>
      <c r="G9181" s="10"/>
      <c r="H9181" s="10"/>
      <c r="I9181" s="10"/>
      <c r="J9181" s="10"/>
      <c r="K9181" s="10"/>
      <c r="L9181" s="10"/>
      <c r="M9181" s="10"/>
      <c r="N9181" s="10"/>
      <c r="O9181" s="10"/>
      <c r="P9181" s="10"/>
      <c r="Q9181" s="10"/>
      <c r="R9181" s="10"/>
      <c r="S9181" s="10"/>
      <c r="T9181" s="10"/>
      <c r="U9181" s="10"/>
      <c r="V9181" s="10"/>
      <c r="W9181" s="10"/>
      <c r="X9181" s="10"/>
      <c r="Y9181" s="10"/>
      <c r="Z9181" s="10"/>
    </row>
    <row r="9182" spans="1:26" ht="12.75">
      <c r="A9182" s="10"/>
      <c r="B9182" s="10"/>
      <c r="C9182" s="10"/>
      <c r="D9182" s="10"/>
      <c r="E9182" s="10"/>
      <c r="F9182" s="10"/>
      <c r="G9182" s="10"/>
      <c r="H9182" s="10"/>
      <c r="I9182" s="10"/>
      <c r="J9182" s="10"/>
      <c r="K9182" s="10"/>
      <c r="L9182" s="10"/>
      <c r="M9182" s="10"/>
      <c r="N9182" s="10"/>
      <c r="O9182" s="10"/>
      <c r="P9182" s="10"/>
      <c r="Q9182" s="10"/>
      <c r="R9182" s="10"/>
      <c r="S9182" s="10"/>
      <c r="T9182" s="10"/>
      <c r="U9182" s="10"/>
      <c r="V9182" s="10"/>
      <c r="W9182" s="10"/>
      <c r="X9182" s="10"/>
      <c r="Y9182" s="10"/>
      <c r="Z9182" s="10"/>
    </row>
    <row r="9183" spans="1:26" ht="12.75">
      <c r="A9183" s="10"/>
      <c r="B9183" s="10"/>
      <c r="C9183" s="10"/>
      <c r="D9183" s="10"/>
      <c r="E9183" s="10"/>
      <c r="F9183" s="10"/>
      <c r="G9183" s="10"/>
      <c r="H9183" s="10"/>
      <c r="I9183" s="10"/>
      <c r="J9183" s="10"/>
      <c r="K9183" s="10"/>
      <c r="L9183" s="10"/>
      <c r="M9183" s="10"/>
      <c r="N9183" s="10"/>
      <c r="O9183" s="10"/>
      <c r="P9183" s="10"/>
      <c r="Q9183" s="10"/>
      <c r="R9183" s="10"/>
      <c r="S9183" s="10"/>
      <c r="T9183" s="10"/>
      <c r="U9183" s="10"/>
      <c r="V9183" s="10"/>
      <c r="W9183" s="10"/>
      <c r="X9183" s="10"/>
      <c r="Y9183" s="10"/>
      <c r="Z9183" s="10"/>
    </row>
    <row r="9184" spans="1:26" ht="12.75">
      <c r="A9184" s="10"/>
      <c r="B9184" s="10"/>
      <c r="C9184" s="10"/>
      <c r="D9184" s="10"/>
      <c r="E9184" s="10"/>
      <c r="F9184" s="10"/>
      <c r="G9184" s="10"/>
      <c r="H9184" s="10"/>
      <c r="I9184" s="10"/>
      <c r="J9184" s="10"/>
      <c r="K9184" s="10"/>
      <c r="L9184" s="10"/>
      <c r="M9184" s="10"/>
      <c r="N9184" s="10"/>
      <c r="O9184" s="10"/>
      <c r="P9184" s="10"/>
      <c r="Q9184" s="10"/>
      <c r="R9184" s="10"/>
      <c r="S9184" s="10"/>
      <c r="T9184" s="10"/>
      <c r="U9184" s="10"/>
      <c r="V9184" s="10"/>
      <c r="W9184" s="10"/>
      <c r="X9184" s="10"/>
      <c r="Y9184" s="10"/>
      <c r="Z9184" s="10"/>
    </row>
    <row r="9185" spans="1:26" ht="12.75">
      <c r="A9185" s="10"/>
      <c r="B9185" s="10"/>
      <c r="C9185" s="10"/>
      <c r="D9185" s="10"/>
      <c r="E9185" s="10"/>
      <c r="F9185" s="10"/>
      <c r="G9185" s="10"/>
      <c r="H9185" s="10"/>
      <c r="I9185" s="10"/>
      <c r="J9185" s="10"/>
      <c r="K9185" s="10"/>
      <c r="L9185" s="10"/>
      <c r="M9185" s="10"/>
      <c r="N9185" s="10"/>
      <c r="O9185" s="10"/>
      <c r="P9185" s="10"/>
      <c r="Q9185" s="10"/>
      <c r="R9185" s="10"/>
      <c r="S9185" s="10"/>
      <c r="T9185" s="10"/>
      <c r="U9185" s="10"/>
      <c r="V9185" s="10"/>
      <c r="W9185" s="10"/>
      <c r="X9185" s="10"/>
      <c r="Y9185" s="10"/>
      <c r="Z9185" s="10"/>
    </row>
    <row r="9186" spans="1:26" ht="12.75">
      <c r="A9186" s="10"/>
      <c r="B9186" s="10"/>
      <c r="C9186" s="10"/>
      <c r="D9186" s="10"/>
      <c r="E9186" s="10"/>
      <c r="F9186" s="10"/>
      <c r="G9186" s="10"/>
      <c r="H9186" s="10"/>
      <c r="I9186" s="10"/>
      <c r="J9186" s="10"/>
      <c r="K9186" s="10"/>
      <c r="L9186" s="10"/>
      <c r="M9186" s="10"/>
      <c r="N9186" s="10"/>
      <c r="O9186" s="10"/>
      <c r="P9186" s="10"/>
      <c r="Q9186" s="10"/>
      <c r="R9186" s="10"/>
      <c r="S9186" s="10"/>
      <c r="T9186" s="10"/>
      <c r="U9186" s="10"/>
      <c r="V9186" s="10"/>
      <c r="W9186" s="10"/>
      <c r="X9186" s="10"/>
      <c r="Y9186" s="10"/>
      <c r="Z9186" s="10"/>
    </row>
    <row r="9187" spans="1:26" ht="12.75">
      <c r="A9187" s="10"/>
      <c r="B9187" s="10"/>
      <c r="C9187" s="10"/>
      <c r="D9187" s="10"/>
      <c r="E9187" s="10"/>
      <c r="F9187" s="10"/>
      <c r="G9187" s="10"/>
      <c r="H9187" s="10"/>
      <c r="I9187" s="10"/>
      <c r="J9187" s="10"/>
      <c r="K9187" s="10"/>
      <c r="L9187" s="10"/>
      <c r="M9187" s="10"/>
      <c r="N9187" s="10"/>
      <c r="O9187" s="10"/>
      <c r="P9187" s="10"/>
      <c r="Q9187" s="10"/>
      <c r="R9187" s="10"/>
      <c r="S9187" s="10"/>
      <c r="T9187" s="10"/>
      <c r="U9187" s="10"/>
      <c r="V9187" s="10"/>
      <c r="W9187" s="10"/>
      <c r="X9187" s="10"/>
      <c r="Y9187" s="10"/>
      <c r="Z9187" s="10"/>
    </row>
    <row r="9188" spans="1:26" ht="12.75">
      <c r="A9188" s="10"/>
      <c r="B9188" s="10"/>
      <c r="C9188" s="10"/>
      <c r="D9188" s="10"/>
      <c r="E9188" s="10"/>
      <c r="F9188" s="10"/>
      <c r="G9188" s="10"/>
      <c r="H9188" s="10"/>
      <c r="I9188" s="10"/>
      <c r="J9188" s="10"/>
      <c r="K9188" s="10"/>
      <c r="L9188" s="10"/>
      <c r="M9188" s="10"/>
      <c r="N9188" s="10"/>
      <c r="O9188" s="10"/>
      <c r="P9188" s="10"/>
      <c r="Q9188" s="10"/>
      <c r="R9188" s="10"/>
      <c r="S9188" s="10"/>
      <c r="T9188" s="10"/>
      <c r="U9188" s="10"/>
      <c r="V9188" s="10"/>
      <c r="W9188" s="10"/>
      <c r="X9188" s="10"/>
      <c r="Y9188" s="10"/>
      <c r="Z9188" s="10"/>
    </row>
    <row r="9189" spans="1:26" ht="12.75">
      <c r="A9189" s="10"/>
      <c r="B9189" s="10"/>
      <c r="C9189" s="10"/>
      <c r="D9189" s="10"/>
      <c r="E9189" s="10"/>
      <c r="F9189" s="10"/>
      <c r="G9189" s="10"/>
      <c r="H9189" s="10"/>
      <c r="I9189" s="10"/>
      <c r="J9189" s="10"/>
      <c r="K9189" s="10"/>
      <c r="L9189" s="10"/>
      <c r="M9189" s="10"/>
      <c r="N9189" s="10"/>
      <c r="O9189" s="10"/>
      <c r="P9189" s="10"/>
      <c r="Q9189" s="10"/>
      <c r="R9189" s="10"/>
      <c r="S9189" s="10"/>
      <c r="T9189" s="10"/>
      <c r="U9189" s="10"/>
      <c r="V9189" s="10"/>
      <c r="W9189" s="10"/>
      <c r="X9189" s="10"/>
      <c r="Y9189" s="10"/>
      <c r="Z9189" s="10"/>
    </row>
    <row r="9190" spans="1:26" ht="12.75">
      <c r="A9190" s="10"/>
      <c r="B9190" s="10"/>
      <c r="C9190" s="10"/>
      <c r="D9190" s="10"/>
      <c r="E9190" s="10"/>
      <c r="F9190" s="10"/>
      <c r="G9190" s="10"/>
      <c r="H9190" s="10"/>
      <c r="I9190" s="10"/>
      <c r="J9190" s="10"/>
      <c r="K9190" s="10"/>
      <c r="L9190" s="10"/>
      <c r="M9190" s="10"/>
      <c r="N9190" s="10"/>
      <c r="O9190" s="10"/>
      <c r="P9190" s="10"/>
      <c r="Q9190" s="10"/>
      <c r="R9190" s="10"/>
      <c r="S9190" s="10"/>
      <c r="T9190" s="10"/>
      <c r="U9190" s="10"/>
      <c r="V9190" s="10"/>
      <c r="W9190" s="10"/>
      <c r="X9190" s="10"/>
      <c r="Y9190" s="10"/>
      <c r="Z9190" s="10"/>
    </row>
    <row r="9191" spans="1:26" ht="12.75">
      <c r="A9191" s="10"/>
      <c r="B9191" s="10"/>
      <c r="C9191" s="10"/>
      <c r="D9191" s="10"/>
      <c r="E9191" s="10"/>
      <c r="F9191" s="10"/>
      <c r="G9191" s="10"/>
      <c r="H9191" s="10"/>
      <c r="I9191" s="10"/>
      <c r="J9191" s="10"/>
      <c r="K9191" s="10"/>
      <c r="L9191" s="10"/>
      <c r="M9191" s="10"/>
      <c r="N9191" s="10"/>
      <c r="O9191" s="10"/>
      <c r="P9191" s="10"/>
      <c r="Q9191" s="10"/>
      <c r="R9191" s="10"/>
      <c r="S9191" s="10"/>
      <c r="T9191" s="10"/>
      <c r="U9191" s="10"/>
      <c r="V9191" s="10"/>
      <c r="W9191" s="10"/>
      <c r="X9191" s="10"/>
      <c r="Y9191" s="10"/>
      <c r="Z9191" s="10"/>
    </row>
    <row r="9192" spans="1:26" ht="12.75">
      <c r="A9192" s="10"/>
      <c r="B9192" s="10"/>
      <c r="C9192" s="10"/>
      <c r="D9192" s="10"/>
      <c r="E9192" s="10"/>
      <c r="F9192" s="10"/>
      <c r="G9192" s="10"/>
      <c r="H9192" s="10"/>
      <c r="I9192" s="10"/>
      <c r="J9192" s="10"/>
      <c r="K9192" s="10"/>
      <c r="L9192" s="10"/>
      <c r="M9192" s="10"/>
      <c r="N9192" s="10"/>
      <c r="O9192" s="10"/>
      <c r="P9192" s="10"/>
      <c r="Q9192" s="10"/>
      <c r="R9192" s="10"/>
      <c r="S9192" s="10"/>
      <c r="T9192" s="10"/>
      <c r="U9192" s="10"/>
      <c r="V9192" s="10"/>
      <c r="W9192" s="10"/>
      <c r="X9192" s="10"/>
      <c r="Y9192" s="10"/>
      <c r="Z9192" s="10"/>
    </row>
    <row r="9193" spans="1:26" ht="12.75">
      <c r="A9193" s="10"/>
      <c r="B9193" s="10"/>
      <c r="C9193" s="10"/>
      <c r="D9193" s="10"/>
      <c r="E9193" s="10"/>
      <c r="F9193" s="10"/>
      <c r="G9193" s="10"/>
      <c r="H9193" s="10"/>
      <c r="I9193" s="10"/>
      <c r="J9193" s="10"/>
      <c r="K9193" s="10"/>
      <c r="L9193" s="10"/>
      <c r="M9193" s="10"/>
      <c r="N9193" s="10"/>
      <c r="O9193" s="10"/>
      <c r="P9193" s="10"/>
      <c r="Q9193" s="10"/>
      <c r="R9193" s="10"/>
      <c r="S9193" s="10"/>
      <c r="T9193" s="10"/>
      <c r="U9193" s="10"/>
      <c r="V9193" s="10"/>
      <c r="W9193" s="10"/>
      <c r="X9193" s="10"/>
      <c r="Y9193" s="10"/>
      <c r="Z9193" s="10"/>
    </row>
    <row r="9194" spans="1:26" ht="12.75">
      <c r="A9194" s="10"/>
      <c r="B9194" s="10"/>
      <c r="C9194" s="10"/>
      <c r="D9194" s="10"/>
      <c r="E9194" s="10"/>
      <c r="F9194" s="10"/>
      <c r="G9194" s="10"/>
      <c r="H9194" s="10"/>
      <c r="I9194" s="10"/>
      <c r="J9194" s="10"/>
      <c r="K9194" s="10"/>
      <c r="L9194" s="10"/>
      <c r="M9194" s="10"/>
      <c r="N9194" s="10"/>
      <c r="O9194" s="10"/>
      <c r="P9194" s="10"/>
      <c r="Q9194" s="10"/>
      <c r="R9194" s="10"/>
      <c r="S9194" s="10"/>
      <c r="T9194" s="10"/>
      <c r="U9194" s="10"/>
      <c r="V9194" s="10"/>
      <c r="W9194" s="10"/>
      <c r="X9194" s="10"/>
      <c r="Y9194" s="10"/>
      <c r="Z9194" s="10"/>
    </row>
    <row r="9195" spans="1:26" ht="12.75">
      <c r="A9195" s="10"/>
      <c r="B9195" s="10"/>
      <c r="C9195" s="10"/>
      <c r="D9195" s="10"/>
      <c r="E9195" s="10"/>
      <c r="F9195" s="10"/>
      <c r="G9195" s="10"/>
      <c r="H9195" s="10"/>
      <c r="I9195" s="10"/>
      <c r="J9195" s="10"/>
      <c r="K9195" s="10"/>
      <c r="L9195" s="10"/>
      <c r="M9195" s="10"/>
      <c r="N9195" s="10"/>
      <c r="O9195" s="10"/>
      <c r="P9195" s="10"/>
      <c r="Q9195" s="10"/>
      <c r="R9195" s="10"/>
      <c r="S9195" s="10"/>
      <c r="T9195" s="10"/>
      <c r="U9195" s="10"/>
      <c r="V9195" s="10"/>
      <c r="W9195" s="10"/>
      <c r="X9195" s="10"/>
      <c r="Y9195" s="10"/>
      <c r="Z9195" s="10"/>
    </row>
    <row r="9196" spans="1:26" ht="12.75">
      <c r="A9196" s="10"/>
      <c r="B9196" s="10"/>
      <c r="C9196" s="10"/>
      <c r="D9196" s="10"/>
      <c r="E9196" s="10"/>
      <c r="F9196" s="10"/>
      <c r="G9196" s="10"/>
      <c r="H9196" s="10"/>
      <c r="I9196" s="10"/>
      <c r="J9196" s="10"/>
      <c r="K9196" s="10"/>
      <c r="L9196" s="10"/>
      <c r="M9196" s="10"/>
      <c r="N9196" s="10"/>
      <c r="O9196" s="10"/>
      <c r="P9196" s="10"/>
      <c r="Q9196" s="10"/>
      <c r="R9196" s="10"/>
      <c r="S9196" s="10"/>
      <c r="T9196" s="10"/>
      <c r="U9196" s="10"/>
      <c r="V9196" s="10"/>
      <c r="W9196" s="10"/>
      <c r="X9196" s="10"/>
      <c r="Y9196" s="10"/>
      <c r="Z9196" s="10"/>
    </row>
    <row r="9197" spans="1:26" ht="12.75">
      <c r="A9197" s="10"/>
      <c r="B9197" s="10"/>
      <c r="C9197" s="10"/>
      <c r="D9197" s="10"/>
      <c r="E9197" s="10"/>
      <c r="F9197" s="10"/>
      <c r="G9197" s="10"/>
      <c r="H9197" s="10"/>
      <c r="I9197" s="10"/>
      <c r="J9197" s="10"/>
      <c r="K9197" s="10"/>
      <c r="L9197" s="10"/>
      <c r="M9197" s="10"/>
      <c r="N9197" s="10"/>
      <c r="O9197" s="10"/>
      <c r="P9197" s="10"/>
      <c r="Q9197" s="10"/>
      <c r="R9197" s="10"/>
      <c r="S9197" s="10"/>
      <c r="T9197" s="10"/>
      <c r="U9197" s="10"/>
      <c r="V9197" s="10"/>
      <c r="W9197" s="10"/>
      <c r="X9197" s="10"/>
      <c r="Y9197" s="10"/>
      <c r="Z9197" s="10"/>
    </row>
    <row r="9198" spans="1:26" ht="12.75">
      <c r="A9198" s="10"/>
      <c r="B9198" s="10"/>
      <c r="C9198" s="10"/>
      <c r="D9198" s="10"/>
      <c r="E9198" s="10"/>
      <c r="F9198" s="10"/>
      <c r="G9198" s="10"/>
      <c r="H9198" s="10"/>
      <c r="I9198" s="10"/>
      <c r="J9198" s="10"/>
      <c r="K9198" s="10"/>
      <c r="L9198" s="10"/>
      <c r="M9198" s="10"/>
      <c r="N9198" s="10"/>
      <c r="O9198" s="10"/>
      <c r="P9198" s="10"/>
      <c r="Q9198" s="10"/>
      <c r="R9198" s="10"/>
      <c r="S9198" s="10"/>
      <c r="T9198" s="10"/>
      <c r="U9198" s="10"/>
      <c r="V9198" s="10"/>
      <c r="W9198" s="10"/>
      <c r="X9198" s="10"/>
      <c r="Y9198" s="10"/>
      <c r="Z9198" s="10"/>
    </row>
    <row r="9199" spans="1:26" ht="12.75">
      <c r="A9199" s="10"/>
      <c r="B9199" s="10"/>
      <c r="C9199" s="10"/>
      <c r="D9199" s="10"/>
      <c r="E9199" s="10"/>
      <c r="F9199" s="10"/>
      <c r="G9199" s="10"/>
      <c r="H9199" s="10"/>
      <c r="I9199" s="10"/>
      <c r="J9199" s="10"/>
      <c r="K9199" s="10"/>
      <c r="L9199" s="10"/>
      <c r="M9199" s="10"/>
      <c r="N9199" s="10"/>
      <c r="O9199" s="10"/>
      <c r="P9199" s="10"/>
      <c r="Q9199" s="10"/>
      <c r="R9199" s="10"/>
      <c r="S9199" s="10"/>
      <c r="T9199" s="10"/>
      <c r="U9199" s="10"/>
      <c r="V9199" s="10"/>
      <c r="W9199" s="10"/>
      <c r="X9199" s="10"/>
      <c r="Y9199" s="10"/>
      <c r="Z9199" s="10"/>
    </row>
    <row r="9200" spans="1:26" ht="12.75">
      <c r="A9200" s="10"/>
      <c r="B9200" s="10"/>
      <c r="C9200" s="10"/>
      <c r="D9200" s="10"/>
      <c r="E9200" s="10"/>
      <c r="F9200" s="10"/>
      <c r="G9200" s="10"/>
      <c r="H9200" s="10"/>
      <c r="I9200" s="10"/>
      <c r="J9200" s="10"/>
      <c r="K9200" s="10"/>
      <c r="L9200" s="10"/>
      <c r="M9200" s="10"/>
      <c r="N9200" s="10"/>
      <c r="O9200" s="10"/>
      <c r="P9200" s="10"/>
      <c r="Q9200" s="10"/>
      <c r="R9200" s="10"/>
      <c r="S9200" s="10"/>
      <c r="T9200" s="10"/>
      <c r="U9200" s="10"/>
      <c r="V9200" s="10"/>
      <c r="W9200" s="10"/>
      <c r="X9200" s="10"/>
      <c r="Y9200" s="10"/>
      <c r="Z9200" s="10"/>
    </row>
    <row r="9201" spans="1:26" ht="12.75">
      <c r="A9201" s="10"/>
      <c r="B9201" s="10"/>
      <c r="C9201" s="10"/>
      <c r="D9201" s="10"/>
      <c r="E9201" s="10"/>
      <c r="F9201" s="10"/>
      <c r="G9201" s="10"/>
      <c r="H9201" s="10"/>
      <c r="I9201" s="10"/>
      <c r="J9201" s="10"/>
      <c r="K9201" s="10"/>
      <c r="L9201" s="10"/>
      <c r="M9201" s="10"/>
      <c r="N9201" s="10"/>
      <c r="O9201" s="10"/>
      <c r="P9201" s="10"/>
      <c r="Q9201" s="10"/>
      <c r="R9201" s="10"/>
      <c r="S9201" s="10"/>
      <c r="T9201" s="10"/>
      <c r="U9201" s="10"/>
      <c r="V9201" s="10"/>
      <c r="W9201" s="10"/>
      <c r="X9201" s="10"/>
      <c r="Y9201" s="10"/>
      <c r="Z9201" s="10"/>
    </row>
    <row r="9202" spans="1:26" ht="12.75">
      <c r="A9202" s="10"/>
      <c r="B9202" s="10"/>
      <c r="C9202" s="10"/>
      <c r="D9202" s="10"/>
      <c r="E9202" s="10"/>
      <c r="F9202" s="10"/>
      <c r="G9202" s="10"/>
      <c r="H9202" s="10"/>
      <c r="I9202" s="10"/>
      <c r="J9202" s="10"/>
      <c r="K9202" s="10"/>
      <c r="L9202" s="10"/>
      <c r="M9202" s="10"/>
      <c r="N9202" s="10"/>
      <c r="O9202" s="10"/>
      <c r="P9202" s="10"/>
      <c r="Q9202" s="10"/>
      <c r="R9202" s="10"/>
      <c r="S9202" s="10"/>
      <c r="T9202" s="10"/>
      <c r="U9202" s="10"/>
      <c r="V9202" s="10"/>
      <c r="W9202" s="10"/>
      <c r="X9202" s="10"/>
      <c r="Y9202" s="10"/>
      <c r="Z9202" s="10"/>
    </row>
    <row r="9203" spans="1:26" ht="12.75">
      <c r="A9203" s="10"/>
      <c r="B9203" s="10"/>
      <c r="C9203" s="10"/>
      <c r="D9203" s="10"/>
      <c r="E9203" s="10"/>
      <c r="F9203" s="10"/>
      <c r="G9203" s="10"/>
      <c r="H9203" s="10"/>
      <c r="I9203" s="10"/>
      <c r="J9203" s="10"/>
      <c r="K9203" s="10"/>
      <c r="L9203" s="10"/>
      <c r="M9203" s="10"/>
      <c r="N9203" s="10"/>
      <c r="O9203" s="10"/>
      <c r="P9203" s="10"/>
      <c r="Q9203" s="10"/>
      <c r="R9203" s="10"/>
      <c r="S9203" s="10"/>
      <c r="T9203" s="10"/>
      <c r="U9203" s="10"/>
      <c r="V9203" s="10"/>
      <c r="W9203" s="10"/>
      <c r="X9203" s="10"/>
      <c r="Y9203" s="10"/>
      <c r="Z9203" s="10"/>
    </row>
    <row r="9204" spans="1:26" ht="12.75">
      <c r="A9204" s="10"/>
      <c r="B9204" s="10"/>
      <c r="C9204" s="10"/>
      <c r="D9204" s="10"/>
      <c r="E9204" s="10"/>
      <c r="F9204" s="10"/>
      <c r="G9204" s="10"/>
      <c r="H9204" s="10"/>
      <c r="I9204" s="10"/>
      <c r="J9204" s="10"/>
      <c r="K9204" s="10"/>
      <c r="L9204" s="10"/>
      <c r="M9204" s="10"/>
      <c r="N9204" s="10"/>
      <c r="O9204" s="10"/>
      <c r="P9204" s="10"/>
      <c r="Q9204" s="10"/>
      <c r="R9204" s="10"/>
      <c r="S9204" s="10"/>
      <c r="T9204" s="10"/>
      <c r="U9204" s="10"/>
      <c r="V9204" s="10"/>
      <c r="W9204" s="10"/>
      <c r="X9204" s="10"/>
      <c r="Y9204" s="10"/>
      <c r="Z9204" s="10"/>
    </row>
    <row r="9205" spans="1:26" ht="12.75">
      <c r="A9205" s="10"/>
      <c r="B9205" s="10"/>
      <c r="C9205" s="10"/>
      <c r="D9205" s="10"/>
      <c r="E9205" s="10"/>
      <c r="F9205" s="10"/>
      <c r="G9205" s="10"/>
      <c r="H9205" s="10"/>
      <c r="I9205" s="10"/>
      <c r="J9205" s="10"/>
      <c r="K9205" s="10"/>
      <c r="L9205" s="10"/>
      <c r="M9205" s="10"/>
      <c r="N9205" s="10"/>
      <c r="O9205" s="10"/>
      <c r="P9205" s="10"/>
      <c r="Q9205" s="10"/>
      <c r="R9205" s="10"/>
      <c r="S9205" s="10"/>
      <c r="T9205" s="10"/>
      <c r="U9205" s="10"/>
      <c r="V9205" s="10"/>
      <c r="W9205" s="10"/>
      <c r="X9205" s="10"/>
      <c r="Y9205" s="10"/>
      <c r="Z9205" s="10"/>
    </row>
    <row r="9206" spans="1:26" ht="12.75">
      <c r="A9206" s="10"/>
      <c r="B9206" s="10"/>
      <c r="C9206" s="10"/>
      <c r="D9206" s="10"/>
      <c r="E9206" s="10"/>
      <c r="F9206" s="10"/>
      <c r="G9206" s="10"/>
      <c r="H9206" s="10"/>
      <c r="I9206" s="10"/>
      <c r="J9206" s="10"/>
      <c r="K9206" s="10"/>
      <c r="L9206" s="10"/>
      <c r="M9206" s="10"/>
      <c r="N9206" s="10"/>
      <c r="O9206" s="10"/>
      <c r="P9206" s="10"/>
      <c r="Q9206" s="10"/>
      <c r="R9206" s="10"/>
      <c r="S9206" s="10"/>
      <c r="T9206" s="10"/>
      <c r="U9206" s="10"/>
      <c r="V9206" s="10"/>
      <c r="W9206" s="10"/>
      <c r="X9206" s="10"/>
      <c r="Y9206" s="10"/>
      <c r="Z9206" s="10"/>
    </row>
    <row r="9207" spans="1:26" ht="12.75">
      <c r="A9207" s="10"/>
      <c r="B9207" s="10"/>
      <c r="C9207" s="10"/>
      <c r="D9207" s="10"/>
      <c r="E9207" s="10"/>
      <c r="F9207" s="10"/>
      <c r="G9207" s="10"/>
      <c r="H9207" s="10"/>
      <c r="I9207" s="10"/>
      <c r="J9207" s="10"/>
      <c r="K9207" s="10"/>
      <c r="L9207" s="10"/>
      <c r="M9207" s="10"/>
      <c r="N9207" s="10"/>
      <c r="O9207" s="10"/>
      <c r="P9207" s="10"/>
      <c r="Q9207" s="10"/>
      <c r="R9207" s="10"/>
      <c r="S9207" s="10"/>
      <c r="T9207" s="10"/>
      <c r="U9207" s="10"/>
      <c r="V9207" s="10"/>
      <c r="W9207" s="10"/>
      <c r="X9207" s="10"/>
      <c r="Y9207" s="10"/>
      <c r="Z9207" s="10"/>
    </row>
    <row r="9208" spans="1:26" ht="12.75">
      <c r="A9208" s="10"/>
      <c r="B9208" s="10"/>
      <c r="C9208" s="10"/>
      <c r="D9208" s="10"/>
      <c r="E9208" s="10"/>
      <c r="F9208" s="10"/>
      <c r="G9208" s="10"/>
      <c r="H9208" s="10"/>
      <c r="I9208" s="10"/>
      <c r="J9208" s="10"/>
      <c r="K9208" s="10"/>
      <c r="L9208" s="10"/>
      <c r="M9208" s="10"/>
      <c r="N9208" s="10"/>
      <c r="O9208" s="10"/>
      <c r="P9208" s="10"/>
      <c r="Q9208" s="10"/>
      <c r="R9208" s="10"/>
      <c r="S9208" s="10"/>
      <c r="T9208" s="10"/>
      <c r="U9208" s="10"/>
      <c r="V9208" s="10"/>
      <c r="W9208" s="10"/>
      <c r="X9208" s="10"/>
      <c r="Y9208" s="10"/>
      <c r="Z9208" s="10"/>
    </row>
    <row r="9209" spans="1:26" ht="12.75">
      <c r="A9209" s="10"/>
      <c r="B9209" s="10"/>
      <c r="C9209" s="10"/>
      <c r="D9209" s="10"/>
      <c r="E9209" s="10"/>
      <c r="F9209" s="10"/>
      <c r="G9209" s="10"/>
      <c r="H9209" s="10"/>
      <c r="I9209" s="10"/>
      <c r="J9209" s="10"/>
      <c r="K9209" s="10"/>
      <c r="L9209" s="10"/>
      <c r="M9209" s="10"/>
      <c r="N9209" s="10"/>
      <c r="O9209" s="10"/>
      <c r="P9209" s="10"/>
      <c r="Q9209" s="10"/>
      <c r="R9209" s="10"/>
      <c r="S9209" s="10"/>
      <c r="T9209" s="10"/>
      <c r="U9209" s="10"/>
      <c r="V9209" s="10"/>
      <c r="W9209" s="10"/>
      <c r="X9209" s="10"/>
      <c r="Y9209" s="10"/>
      <c r="Z9209" s="10"/>
    </row>
    <row r="9210" spans="1:26" ht="12.75">
      <c r="A9210" s="10"/>
      <c r="B9210" s="10"/>
      <c r="C9210" s="10"/>
      <c r="D9210" s="10"/>
      <c r="E9210" s="10"/>
      <c r="F9210" s="10"/>
      <c r="G9210" s="10"/>
      <c r="H9210" s="10"/>
      <c r="I9210" s="10"/>
      <c r="J9210" s="10"/>
      <c r="K9210" s="10"/>
      <c r="L9210" s="10"/>
      <c r="M9210" s="10"/>
      <c r="N9210" s="10"/>
      <c r="O9210" s="10"/>
      <c r="P9210" s="10"/>
      <c r="Q9210" s="10"/>
      <c r="R9210" s="10"/>
      <c r="S9210" s="10"/>
      <c r="T9210" s="10"/>
      <c r="U9210" s="10"/>
      <c r="V9210" s="10"/>
      <c r="W9210" s="10"/>
      <c r="X9210" s="10"/>
      <c r="Y9210" s="10"/>
      <c r="Z9210" s="10"/>
    </row>
    <row r="9211" spans="1:26" ht="12.75">
      <c r="A9211" s="10"/>
      <c r="B9211" s="10"/>
      <c r="C9211" s="10"/>
      <c r="D9211" s="10"/>
      <c r="E9211" s="10"/>
      <c r="F9211" s="10"/>
      <c r="G9211" s="10"/>
      <c r="H9211" s="10"/>
      <c r="I9211" s="10"/>
      <c r="J9211" s="10"/>
      <c r="K9211" s="10"/>
      <c r="L9211" s="10"/>
      <c r="M9211" s="10"/>
      <c r="N9211" s="10"/>
      <c r="O9211" s="10"/>
      <c r="P9211" s="10"/>
      <c r="Q9211" s="10"/>
      <c r="R9211" s="10"/>
      <c r="S9211" s="10"/>
      <c r="T9211" s="10"/>
      <c r="U9211" s="10"/>
      <c r="V9211" s="10"/>
      <c r="W9211" s="10"/>
      <c r="X9211" s="10"/>
      <c r="Y9211" s="10"/>
      <c r="Z9211" s="10"/>
    </row>
    <row r="9212" spans="1:26" ht="12.75">
      <c r="A9212" s="10"/>
      <c r="B9212" s="10"/>
      <c r="C9212" s="10"/>
      <c r="D9212" s="10"/>
      <c r="E9212" s="10"/>
      <c r="F9212" s="10"/>
      <c r="G9212" s="10"/>
      <c r="H9212" s="10"/>
      <c r="I9212" s="10"/>
      <c r="J9212" s="10"/>
      <c r="K9212" s="10"/>
      <c r="L9212" s="10"/>
      <c r="M9212" s="10"/>
      <c r="N9212" s="10"/>
      <c r="O9212" s="10"/>
      <c r="P9212" s="10"/>
      <c r="Q9212" s="10"/>
      <c r="R9212" s="10"/>
      <c r="S9212" s="10"/>
      <c r="T9212" s="10"/>
      <c r="U9212" s="10"/>
      <c r="V9212" s="10"/>
      <c r="W9212" s="10"/>
      <c r="X9212" s="10"/>
      <c r="Y9212" s="10"/>
      <c r="Z9212" s="10"/>
    </row>
    <row r="9213" spans="1:26" ht="12.75">
      <c r="A9213" s="10"/>
      <c r="B9213" s="10"/>
      <c r="C9213" s="10"/>
      <c r="D9213" s="10"/>
      <c r="E9213" s="10"/>
      <c r="F9213" s="10"/>
      <c r="G9213" s="10"/>
      <c r="H9213" s="10"/>
      <c r="I9213" s="10"/>
      <c r="J9213" s="10"/>
      <c r="K9213" s="10"/>
      <c r="L9213" s="10"/>
      <c r="M9213" s="10"/>
      <c r="N9213" s="10"/>
      <c r="O9213" s="10"/>
      <c r="P9213" s="10"/>
      <c r="Q9213" s="10"/>
      <c r="R9213" s="10"/>
      <c r="S9213" s="10"/>
      <c r="T9213" s="10"/>
      <c r="U9213" s="10"/>
      <c r="V9213" s="10"/>
      <c r="W9213" s="10"/>
      <c r="X9213" s="10"/>
      <c r="Y9213" s="10"/>
      <c r="Z9213" s="10"/>
    </row>
    <row r="9214" spans="1:26" ht="12.75">
      <c r="A9214" s="10"/>
      <c r="B9214" s="10"/>
      <c r="C9214" s="10"/>
      <c r="D9214" s="10"/>
      <c r="E9214" s="10"/>
      <c r="F9214" s="10"/>
      <c r="G9214" s="10"/>
      <c r="H9214" s="10"/>
      <c r="I9214" s="10"/>
      <c r="J9214" s="10"/>
      <c r="K9214" s="10"/>
      <c r="L9214" s="10"/>
      <c r="M9214" s="10"/>
      <c r="N9214" s="10"/>
      <c r="O9214" s="10"/>
      <c r="P9214" s="10"/>
      <c r="Q9214" s="10"/>
      <c r="R9214" s="10"/>
      <c r="S9214" s="10"/>
      <c r="T9214" s="10"/>
      <c r="U9214" s="10"/>
      <c r="V9214" s="10"/>
      <c r="W9214" s="10"/>
      <c r="X9214" s="10"/>
      <c r="Y9214" s="10"/>
      <c r="Z9214" s="10"/>
    </row>
    <row r="9215" spans="1:26" ht="12.75">
      <c r="A9215" s="10"/>
      <c r="B9215" s="10"/>
      <c r="C9215" s="10"/>
      <c r="D9215" s="10"/>
      <c r="E9215" s="10"/>
      <c r="F9215" s="10"/>
      <c r="G9215" s="10"/>
      <c r="H9215" s="10"/>
      <c r="I9215" s="10"/>
      <c r="J9215" s="10"/>
      <c r="K9215" s="10"/>
      <c r="L9215" s="10"/>
      <c r="M9215" s="10"/>
      <c r="N9215" s="10"/>
      <c r="O9215" s="10"/>
      <c r="P9215" s="10"/>
      <c r="Q9215" s="10"/>
      <c r="R9215" s="10"/>
      <c r="S9215" s="10"/>
      <c r="T9215" s="10"/>
      <c r="U9215" s="10"/>
      <c r="V9215" s="10"/>
      <c r="W9215" s="10"/>
      <c r="X9215" s="10"/>
      <c r="Y9215" s="10"/>
      <c r="Z9215" s="10"/>
    </row>
    <row r="9216" spans="1:26" ht="12.75">
      <c r="A9216" s="10"/>
      <c r="B9216" s="10"/>
      <c r="C9216" s="10"/>
      <c r="D9216" s="10"/>
      <c r="E9216" s="10"/>
      <c r="F9216" s="10"/>
      <c r="G9216" s="10"/>
      <c r="H9216" s="10"/>
      <c r="I9216" s="10"/>
      <c r="J9216" s="10"/>
      <c r="K9216" s="10"/>
      <c r="L9216" s="10"/>
      <c r="M9216" s="10"/>
      <c r="N9216" s="10"/>
      <c r="O9216" s="10"/>
      <c r="P9216" s="10"/>
      <c r="Q9216" s="10"/>
      <c r="R9216" s="10"/>
      <c r="S9216" s="10"/>
      <c r="T9216" s="10"/>
      <c r="U9216" s="10"/>
      <c r="V9216" s="10"/>
      <c r="W9216" s="10"/>
      <c r="X9216" s="10"/>
      <c r="Y9216" s="10"/>
      <c r="Z9216" s="10"/>
    </row>
    <row r="9217" spans="1:26" ht="12.75">
      <c r="A9217" s="10"/>
      <c r="B9217" s="10"/>
      <c r="C9217" s="10"/>
      <c r="D9217" s="10"/>
      <c r="E9217" s="10"/>
      <c r="F9217" s="10"/>
      <c r="G9217" s="10"/>
      <c r="H9217" s="10"/>
      <c r="I9217" s="10"/>
      <c r="J9217" s="10"/>
      <c r="K9217" s="10"/>
      <c r="L9217" s="10"/>
      <c r="M9217" s="10"/>
      <c r="N9217" s="10"/>
      <c r="O9217" s="10"/>
      <c r="P9217" s="10"/>
      <c r="Q9217" s="10"/>
      <c r="R9217" s="10"/>
      <c r="S9217" s="10"/>
      <c r="T9217" s="10"/>
      <c r="U9217" s="10"/>
      <c r="V9217" s="10"/>
      <c r="W9217" s="10"/>
      <c r="X9217" s="10"/>
      <c r="Y9217" s="10"/>
      <c r="Z9217" s="10"/>
    </row>
    <row r="9218" spans="1:26" ht="12.75">
      <c r="A9218" s="10"/>
      <c r="B9218" s="10"/>
      <c r="C9218" s="10"/>
      <c r="D9218" s="10"/>
      <c r="E9218" s="10"/>
      <c r="F9218" s="10"/>
      <c r="G9218" s="10"/>
      <c r="H9218" s="10"/>
      <c r="I9218" s="10"/>
      <c r="J9218" s="10"/>
      <c r="K9218" s="10"/>
      <c r="L9218" s="10"/>
      <c r="M9218" s="10"/>
      <c r="N9218" s="10"/>
      <c r="O9218" s="10"/>
      <c r="P9218" s="10"/>
      <c r="Q9218" s="10"/>
      <c r="R9218" s="10"/>
      <c r="S9218" s="10"/>
      <c r="T9218" s="10"/>
      <c r="U9218" s="10"/>
      <c r="V9218" s="10"/>
      <c r="W9218" s="10"/>
      <c r="X9218" s="10"/>
      <c r="Y9218" s="10"/>
      <c r="Z9218" s="10"/>
    </row>
    <row r="9219" spans="1:26" ht="12.75">
      <c r="A9219" s="10"/>
      <c r="B9219" s="10"/>
      <c r="C9219" s="10"/>
      <c r="D9219" s="10"/>
      <c r="E9219" s="10"/>
      <c r="F9219" s="10"/>
      <c r="G9219" s="10"/>
      <c r="H9219" s="10"/>
      <c r="I9219" s="10"/>
      <c r="J9219" s="10"/>
      <c r="K9219" s="10"/>
      <c r="L9219" s="10"/>
      <c r="M9219" s="10"/>
      <c r="N9219" s="10"/>
      <c r="O9219" s="10"/>
      <c r="P9219" s="10"/>
      <c r="Q9219" s="10"/>
      <c r="R9219" s="10"/>
      <c r="S9219" s="10"/>
      <c r="T9219" s="10"/>
      <c r="U9219" s="10"/>
      <c r="V9219" s="10"/>
      <c r="W9219" s="10"/>
      <c r="X9219" s="10"/>
      <c r="Y9219" s="10"/>
      <c r="Z9219" s="10"/>
    </row>
    <row r="9220" spans="1:26" ht="12.75">
      <c r="A9220" s="10"/>
      <c r="B9220" s="10"/>
      <c r="C9220" s="10"/>
      <c r="D9220" s="10"/>
      <c r="E9220" s="10"/>
      <c r="F9220" s="10"/>
      <c r="G9220" s="10"/>
      <c r="H9220" s="10"/>
      <c r="I9220" s="10"/>
      <c r="J9220" s="10"/>
      <c r="K9220" s="10"/>
      <c r="L9220" s="10"/>
      <c r="M9220" s="10"/>
      <c r="N9220" s="10"/>
      <c r="O9220" s="10"/>
      <c r="P9220" s="10"/>
      <c r="Q9220" s="10"/>
      <c r="R9220" s="10"/>
      <c r="S9220" s="10"/>
      <c r="T9220" s="10"/>
      <c r="U9220" s="10"/>
      <c r="V9220" s="10"/>
      <c r="W9220" s="10"/>
      <c r="X9220" s="10"/>
      <c r="Y9220" s="10"/>
      <c r="Z9220" s="10"/>
    </row>
    <row r="9221" spans="1:26" ht="12.75">
      <c r="A9221" s="10"/>
      <c r="B9221" s="10"/>
      <c r="C9221" s="10"/>
      <c r="D9221" s="10"/>
      <c r="E9221" s="10"/>
      <c r="F9221" s="10"/>
      <c r="G9221" s="10"/>
      <c r="H9221" s="10"/>
      <c r="I9221" s="10"/>
      <c r="J9221" s="10"/>
      <c r="K9221" s="10"/>
      <c r="L9221" s="10"/>
      <c r="M9221" s="10"/>
      <c r="N9221" s="10"/>
      <c r="O9221" s="10"/>
      <c r="P9221" s="10"/>
      <c r="Q9221" s="10"/>
      <c r="R9221" s="10"/>
      <c r="S9221" s="10"/>
      <c r="T9221" s="10"/>
      <c r="U9221" s="10"/>
      <c r="V9221" s="10"/>
      <c r="W9221" s="10"/>
      <c r="X9221" s="10"/>
      <c r="Y9221" s="10"/>
      <c r="Z9221" s="10"/>
    </row>
    <row r="9222" spans="1:26" ht="12.75">
      <c r="A9222" s="10"/>
      <c r="B9222" s="10"/>
      <c r="C9222" s="10"/>
      <c r="D9222" s="10"/>
      <c r="E9222" s="10"/>
      <c r="F9222" s="10"/>
      <c r="G9222" s="10"/>
      <c r="H9222" s="10"/>
      <c r="I9222" s="10"/>
      <c r="J9222" s="10"/>
      <c r="K9222" s="10"/>
      <c r="L9222" s="10"/>
      <c r="M9222" s="10"/>
      <c r="N9222" s="10"/>
      <c r="O9222" s="10"/>
      <c r="P9222" s="10"/>
      <c r="Q9222" s="10"/>
      <c r="R9222" s="10"/>
      <c r="S9222" s="10"/>
      <c r="T9222" s="10"/>
      <c r="U9222" s="10"/>
      <c r="V9222" s="10"/>
      <c r="W9222" s="10"/>
      <c r="X9222" s="10"/>
      <c r="Y9222" s="10"/>
      <c r="Z9222" s="10"/>
    </row>
    <row r="9223" spans="1:26" ht="12.75">
      <c r="A9223" s="10"/>
      <c r="B9223" s="10"/>
      <c r="C9223" s="10"/>
      <c r="D9223" s="10"/>
      <c r="E9223" s="10"/>
      <c r="F9223" s="10"/>
      <c r="G9223" s="10"/>
      <c r="H9223" s="10"/>
      <c r="I9223" s="10"/>
      <c r="J9223" s="10"/>
      <c r="K9223" s="10"/>
      <c r="L9223" s="10"/>
      <c r="M9223" s="10"/>
      <c r="N9223" s="10"/>
      <c r="O9223" s="10"/>
      <c r="P9223" s="10"/>
      <c r="Q9223" s="10"/>
      <c r="R9223" s="10"/>
      <c r="S9223" s="10"/>
      <c r="T9223" s="10"/>
      <c r="U9223" s="10"/>
      <c r="V9223" s="10"/>
      <c r="W9223" s="10"/>
      <c r="X9223" s="10"/>
      <c r="Y9223" s="10"/>
      <c r="Z9223" s="10"/>
    </row>
    <row r="9224" spans="1:26" ht="12.75">
      <c r="A9224" s="10"/>
      <c r="B9224" s="10"/>
      <c r="C9224" s="10"/>
      <c r="D9224" s="10"/>
      <c r="E9224" s="10"/>
      <c r="F9224" s="10"/>
      <c r="G9224" s="10"/>
      <c r="H9224" s="10"/>
      <c r="I9224" s="10"/>
      <c r="J9224" s="10"/>
      <c r="K9224" s="10"/>
      <c r="L9224" s="10"/>
      <c r="M9224" s="10"/>
      <c r="N9224" s="10"/>
      <c r="O9224" s="10"/>
      <c r="P9224" s="10"/>
      <c r="Q9224" s="10"/>
      <c r="R9224" s="10"/>
      <c r="S9224" s="10"/>
      <c r="T9224" s="10"/>
      <c r="U9224" s="10"/>
      <c r="V9224" s="10"/>
      <c r="W9224" s="10"/>
      <c r="X9224" s="10"/>
      <c r="Y9224" s="10"/>
      <c r="Z9224" s="10"/>
    </row>
    <row r="9225" spans="1:26" ht="12.75">
      <c r="A9225" s="10"/>
      <c r="B9225" s="10"/>
      <c r="C9225" s="10"/>
      <c r="D9225" s="10"/>
      <c r="E9225" s="10"/>
      <c r="F9225" s="10"/>
      <c r="G9225" s="10"/>
      <c r="H9225" s="10"/>
      <c r="I9225" s="10"/>
      <c r="J9225" s="10"/>
      <c r="K9225" s="10"/>
      <c r="L9225" s="10"/>
      <c r="M9225" s="10"/>
      <c r="N9225" s="10"/>
      <c r="O9225" s="10"/>
      <c r="P9225" s="10"/>
      <c r="Q9225" s="10"/>
      <c r="R9225" s="10"/>
      <c r="S9225" s="10"/>
      <c r="T9225" s="10"/>
      <c r="U9225" s="10"/>
      <c r="V9225" s="10"/>
      <c r="W9225" s="10"/>
      <c r="X9225" s="10"/>
      <c r="Y9225" s="10"/>
      <c r="Z9225" s="10"/>
    </row>
    <row r="9226" spans="1:26" ht="12.75">
      <c r="A9226" s="10"/>
      <c r="B9226" s="10"/>
      <c r="C9226" s="10"/>
      <c r="D9226" s="10"/>
      <c r="E9226" s="10"/>
      <c r="F9226" s="10"/>
      <c r="G9226" s="10"/>
      <c r="H9226" s="10"/>
      <c r="I9226" s="10"/>
      <c r="J9226" s="10"/>
      <c r="K9226" s="10"/>
      <c r="L9226" s="10"/>
      <c r="M9226" s="10"/>
      <c r="N9226" s="10"/>
      <c r="O9226" s="10"/>
      <c r="P9226" s="10"/>
      <c r="Q9226" s="10"/>
      <c r="R9226" s="10"/>
      <c r="S9226" s="10"/>
      <c r="T9226" s="10"/>
      <c r="U9226" s="10"/>
      <c r="V9226" s="10"/>
      <c r="W9226" s="10"/>
      <c r="X9226" s="10"/>
      <c r="Y9226" s="10"/>
      <c r="Z9226" s="10"/>
    </row>
    <row r="9227" spans="1:26" ht="12.75">
      <c r="A9227" s="10"/>
      <c r="B9227" s="10"/>
      <c r="C9227" s="10"/>
      <c r="D9227" s="10"/>
      <c r="E9227" s="10"/>
      <c r="F9227" s="10"/>
      <c r="G9227" s="10"/>
      <c r="H9227" s="10"/>
      <c r="I9227" s="10"/>
      <c r="J9227" s="10"/>
      <c r="K9227" s="10"/>
      <c r="L9227" s="10"/>
      <c r="M9227" s="10"/>
      <c r="N9227" s="10"/>
      <c r="O9227" s="10"/>
      <c r="P9227" s="10"/>
      <c r="Q9227" s="10"/>
      <c r="R9227" s="10"/>
      <c r="S9227" s="10"/>
      <c r="T9227" s="10"/>
      <c r="U9227" s="10"/>
      <c r="V9227" s="10"/>
      <c r="W9227" s="10"/>
      <c r="X9227" s="10"/>
      <c r="Y9227" s="10"/>
      <c r="Z9227" s="10"/>
    </row>
    <row r="9228" spans="1:26" ht="12.75">
      <c r="A9228" s="10"/>
      <c r="B9228" s="10"/>
      <c r="C9228" s="10"/>
      <c r="D9228" s="10"/>
      <c r="E9228" s="10"/>
      <c r="F9228" s="10"/>
      <c r="G9228" s="10"/>
      <c r="H9228" s="10"/>
      <c r="I9228" s="10"/>
      <c r="J9228" s="10"/>
      <c r="K9228" s="10"/>
      <c r="L9228" s="10"/>
      <c r="M9228" s="10"/>
      <c r="N9228" s="10"/>
      <c r="O9228" s="10"/>
      <c r="P9228" s="10"/>
      <c r="Q9228" s="10"/>
      <c r="R9228" s="10"/>
      <c r="S9228" s="10"/>
      <c r="T9228" s="10"/>
      <c r="U9228" s="10"/>
      <c r="V9228" s="10"/>
      <c r="W9228" s="10"/>
      <c r="X9228" s="10"/>
      <c r="Y9228" s="10"/>
      <c r="Z9228" s="10"/>
    </row>
    <row r="9229" spans="1:26" ht="12.75">
      <c r="A9229" s="10"/>
      <c r="B9229" s="10"/>
      <c r="C9229" s="10"/>
      <c r="D9229" s="10"/>
      <c r="E9229" s="10"/>
      <c r="F9229" s="10"/>
      <c r="G9229" s="10"/>
      <c r="H9229" s="10"/>
      <c r="I9229" s="10"/>
      <c r="J9229" s="10"/>
      <c r="K9229" s="10"/>
      <c r="L9229" s="10"/>
      <c r="M9229" s="10"/>
      <c r="N9229" s="10"/>
      <c r="O9229" s="10"/>
      <c r="P9229" s="10"/>
      <c r="Q9229" s="10"/>
      <c r="R9229" s="10"/>
      <c r="S9229" s="10"/>
      <c r="T9229" s="10"/>
      <c r="U9229" s="10"/>
      <c r="V9229" s="10"/>
      <c r="W9229" s="10"/>
      <c r="X9229" s="10"/>
      <c r="Y9229" s="10"/>
      <c r="Z9229" s="10"/>
    </row>
    <row r="9230" spans="1:26" ht="12.75">
      <c r="A9230" s="10"/>
      <c r="B9230" s="10"/>
      <c r="C9230" s="10"/>
      <c r="D9230" s="10"/>
      <c r="E9230" s="10"/>
      <c r="F9230" s="10"/>
      <c r="G9230" s="10"/>
      <c r="H9230" s="10"/>
      <c r="I9230" s="10"/>
      <c r="J9230" s="10"/>
      <c r="K9230" s="10"/>
      <c r="L9230" s="10"/>
      <c r="M9230" s="10"/>
      <c r="N9230" s="10"/>
      <c r="O9230" s="10"/>
      <c r="P9230" s="10"/>
      <c r="Q9230" s="10"/>
      <c r="R9230" s="10"/>
      <c r="S9230" s="10"/>
      <c r="T9230" s="10"/>
      <c r="U9230" s="10"/>
      <c r="V9230" s="10"/>
      <c r="W9230" s="10"/>
      <c r="X9230" s="10"/>
      <c r="Y9230" s="10"/>
      <c r="Z9230" s="10"/>
    </row>
    <row r="9231" spans="1:26" ht="12.75">
      <c r="A9231" s="10"/>
      <c r="B9231" s="10"/>
      <c r="C9231" s="10"/>
      <c r="D9231" s="10"/>
      <c r="E9231" s="10"/>
      <c r="F9231" s="10"/>
      <c r="G9231" s="10"/>
      <c r="H9231" s="10"/>
      <c r="I9231" s="10"/>
      <c r="J9231" s="10"/>
      <c r="K9231" s="10"/>
      <c r="L9231" s="10"/>
      <c r="M9231" s="10"/>
      <c r="N9231" s="10"/>
      <c r="O9231" s="10"/>
      <c r="P9231" s="10"/>
      <c r="Q9231" s="10"/>
      <c r="R9231" s="10"/>
      <c r="S9231" s="10"/>
      <c r="T9231" s="10"/>
      <c r="U9231" s="10"/>
      <c r="V9231" s="10"/>
      <c r="W9231" s="10"/>
      <c r="X9231" s="10"/>
      <c r="Y9231" s="10"/>
      <c r="Z9231" s="10"/>
    </row>
    <row r="9232" spans="1:26" ht="12.75">
      <c r="A9232" s="10"/>
      <c r="B9232" s="10"/>
      <c r="C9232" s="10"/>
      <c r="D9232" s="10"/>
      <c r="E9232" s="10"/>
      <c r="F9232" s="10"/>
      <c r="G9232" s="10"/>
      <c r="H9232" s="10"/>
      <c r="I9232" s="10"/>
      <c r="J9232" s="10"/>
      <c r="K9232" s="10"/>
      <c r="L9232" s="10"/>
      <c r="M9232" s="10"/>
      <c r="N9232" s="10"/>
      <c r="O9232" s="10"/>
      <c r="P9232" s="10"/>
      <c r="Q9232" s="10"/>
      <c r="R9232" s="10"/>
      <c r="S9232" s="10"/>
      <c r="T9232" s="10"/>
      <c r="U9232" s="10"/>
      <c r="V9232" s="10"/>
      <c r="W9232" s="10"/>
      <c r="X9232" s="10"/>
      <c r="Y9232" s="10"/>
      <c r="Z9232" s="10"/>
    </row>
    <row r="9233" spans="1:26" ht="12.75">
      <c r="A9233" s="10"/>
      <c r="B9233" s="10"/>
      <c r="C9233" s="10"/>
      <c r="D9233" s="10"/>
      <c r="E9233" s="10"/>
      <c r="F9233" s="10"/>
      <c r="G9233" s="10"/>
      <c r="H9233" s="10"/>
      <c r="I9233" s="10"/>
      <c r="J9233" s="10"/>
      <c r="K9233" s="10"/>
      <c r="L9233" s="10"/>
      <c r="M9233" s="10"/>
      <c r="N9233" s="10"/>
      <c r="O9233" s="10"/>
      <c r="P9233" s="10"/>
      <c r="Q9233" s="10"/>
      <c r="R9233" s="10"/>
      <c r="S9233" s="10"/>
      <c r="T9233" s="10"/>
      <c r="U9233" s="10"/>
      <c r="V9233" s="10"/>
      <c r="W9233" s="10"/>
      <c r="X9233" s="10"/>
      <c r="Y9233" s="10"/>
      <c r="Z9233" s="10"/>
    </row>
    <row r="9234" spans="1:26" ht="12.75">
      <c r="A9234" s="10"/>
      <c r="B9234" s="10"/>
      <c r="C9234" s="10"/>
      <c r="D9234" s="10"/>
      <c r="E9234" s="10"/>
      <c r="F9234" s="10"/>
      <c r="G9234" s="10"/>
      <c r="H9234" s="10"/>
      <c r="I9234" s="10"/>
      <c r="J9234" s="10"/>
      <c r="K9234" s="10"/>
      <c r="L9234" s="10"/>
      <c r="M9234" s="10"/>
      <c r="N9234" s="10"/>
      <c r="O9234" s="10"/>
      <c r="P9234" s="10"/>
      <c r="Q9234" s="10"/>
      <c r="R9234" s="10"/>
      <c r="S9234" s="10"/>
      <c r="T9234" s="10"/>
      <c r="U9234" s="10"/>
      <c r="V9234" s="10"/>
      <c r="W9234" s="10"/>
      <c r="X9234" s="10"/>
      <c r="Y9234" s="10"/>
      <c r="Z9234" s="10"/>
    </row>
    <row r="9235" spans="1:26" ht="12.75">
      <c r="A9235" s="10"/>
      <c r="B9235" s="10"/>
      <c r="C9235" s="10"/>
      <c r="D9235" s="10"/>
      <c r="E9235" s="10"/>
      <c r="F9235" s="10"/>
      <c r="G9235" s="10"/>
      <c r="H9235" s="10"/>
      <c r="I9235" s="10"/>
      <c r="J9235" s="10"/>
      <c r="K9235" s="10"/>
      <c r="L9235" s="10"/>
      <c r="M9235" s="10"/>
      <c r="N9235" s="10"/>
      <c r="O9235" s="10"/>
      <c r="P9235" s="10"/>
      <c r="Q9235" s="10"/>
      <c r="R9235" s="10"/>
      <c r="S9235" s="10"/>
      <c r="T9235" s="10"/>
      <c r="U9235" s="10"/>
      <c r="V9235" s="10"/>
      <c r="W9235" s="10"/>
      <c r="X9235" s="10"/>
      <c r="Y9235" s="10"/>
      <c r="Z9235" s="10"/>
    </row>
    <row r="9236" spans="1:26" ht="12.75">
      <c r="A9236" s="10"/>
      <c r="B9236" s="10"/>
      <c r="C9236" s="10"/>
      <c r="D9236" s="10"/>
      <c r="E9236" s="10"/>
      <c r="F9236" s="10"/>
      <c r="G9236" s="10"/>
      <c r="H9236" s="10"/>
      <c r="I9236" s="10"/>
      <c r="J9236" s="10"/>
      <c r="K9236" s="10"/>
      <c r="L9236" s="10"/>
      <c r="M9236" s="10"/>
      <c r="N9236" s="10"/>
      <c r="O9236" s="10"/>
      <c r="P9236" s="10"/>
      <c r="Q9236" s="10"/>
      <c r="R9236" s="10"/>
      <c r="S9236" s="10"/>
      <c r="T9236" s="10"/>
      <c r="U9236" s="10"/>
      <c r="V9236" s="10"/>
      <c r="W9236" s="10"/>
      <c r="X9236" s="10"/>
      <c r="Y9236" s="10"/>
      <c r="Z9236" s="10"/>
    </row>
    <row r="9237" spans="1:26" ht="12.75">
      <c r="A9237" s="10"/>
      <c r="B9237" s="10"/>
      <c r="C9237" s="10"/>
      <c r="D9237" s="10"/>
      <c r="E9237" s="10"/>
      <c r="F9237" s="10"/>
      <c r="G9237" s="10"/>
      <c r="H9237" s="10"/>
      <c r="I9237" s="10"/>
      <c r="J9237" s="10"/>
      <c r="K9237" s="10"/>
      <c r="L9237" s="10"/>
      <c r="M9237" s="10"/>
      <c r="N9237" s="10"/>
      <c r="O9237" s="10"/>
      <c r="P9237" s="10"/>
      <c r="Q9237" s="10"/>
      <c r="R9237" s="10"/>
      <c r="S9237" s="10"/>
      <c r="T9237" s="10"/>
      <c r="U9237" s="10"/>
      <c r="V9237" s="10"/>
      <c r="W9237" s="10"/>
      <c r="X9237" s="10"/>
      <c r="Y9237" s="10"/>
      <c r="Z9237" s="10"/>
    </row>
    <row r="9238" spans="1:26" ht="12.75">
      <c r="A9238" s="10"/>
      <c r="B9238" s="10"/>
      <c r="C9238" s="10"/>
      <c r="D9238" s="10"/>
      <c r="E9238" s="10"/>
      <c r="F9238" s="10"/>
      <c r="G9238" s="10"/>
      <c r="H9238" s="10"/>
      <c r="I9238" s="10"/>
      <c r="J9238" s="10"/>
      <c r="K9238" s="10"/>
      <c r="L9238" s="10"/>
      <c r="M9238" s="10"/>
      <c r="N9238" s="10"/>
      <c r="O9238" s="10"/>
      <c r="P9238" s="10"/>
      <c r="Q9238" s="10"/>
      <c r="R9238" s="10"/>
      <c r="S9238" s="10"/>
      <c r="T9238" s="10"/>
      <c r="U9238" s="10"/>
      <c r="V9238" s="10"/>
      <c r="W9238" s="10"/>
      <c r="X9238" s="10"/>
      <c r="Y9238" s="10"/>
      <c r="Z9238" s="10"/>
    </row>
    <row r="9239" spans="1:26" ht="12.75">
      <c r="A9239" s="10"/>
      <c r="B9239" s="10"/>
      <c r="C9239" s="10"/>
      <c r="D9239" s="10"/>
      <c r="E9239" s="10"/>
      <c r="F9239" s="10"/>
      <c r="G9239" s="10"/>
      <c r="H9239" s="10"/>
      <c r="I9239" s="10"/>
      <c r="J9239" s="10"/>
      <c r="K9239" s="10"/>
      <c r="L9239" s="10"/>
      <c r="M9239" s="10"/>
      <c r="N9239" s="10"/>
      <c r="O9239" s="10"/>
      <c r="P9239" s="10"/>
      <c r="Q9239" s="10"/>
      <c r="R9239" s="10"/>
      <c r="S9239" s="10"/>
      <c r="T9239" s="10"/>
      <c r="U9239" s="10"/>
      <c r="V9239" s="10"/>
      <c r="W9239" s="10"/>
      <c r="X9239" s="10"/>
      <c r="Y9239" s="10"/>
      <c r="Z9239" s="10"/>
    </row>
    <row r="9240" spans="1:26" ht="12.75">
      <c r="A9240" s="10"/>
      <c r="B9240" s="10"/>
      <c r="C9240" s="10"/>
      <c r="D9240" s="10"/>
      <c r="E9240" s="10"/>
      <c r="F9240" s="10"/>
      <c r="G9240" s="10"/>
      <c r="H9240" s="10"/>
      <c r="I9240" s="10"/>
      <c r="J9240" s="10"/>
      <c r="K9240" s="10"/>
      <c r="L9240" s="10"/>
      <c r="M9240" s="10"/>
      <c r="N9240" s="10"/>
      <c r="O9240" s="10"/>
      <c r="P9240" s="10"/>
      <c r="Q9240" s="10"/>
      <c r="R9240" s="10"/>
      <c r="S9240" s="10"/>
      <c r="T9240" s="10"/>
      <c r="U9240" s="10"/>
      <c r="V9240" s="10"/>
      <c r="W9240" s="10"/>
      <c r="X9240" s="10"/>
      <c r="Y9240" s="10"/>
      <c r="Z9240" s="10"/>
    </row>
    <row r="9241" spans="1:26" ht="12.75">
      <c r="A9241" s="10"/>
      <c r="B9241" s="10"/>
      <c r="C9241" s="10"/>
      <c r="D9241" s="10"/>
      <c r="E9241" s="10"/>
      <c r="F9241" s="10"/>
      <c r="G9241" s="10"/>
      <c r="H9241" s="10"/>
      <c r="I9241" s="10"/>
      <c r="J9241" s="10"/>
      <c r="K9241" s="10"/>
      <c r="L9241" s="10"/>
      <c r="M9241" s="10"/>
      <c r="N9241" s="10"/>
      <c r="O9241" s="10"/>
      <c r="P9241" s="10"/>
      <c r="Q9241" s="10"/>
      <c r="R9241" s="10"/>
      <c r="S9241" s="10"/>
      <c r="T9241" s="10"/>
      <c r="U9241" s="10"/>
      <c r="V9241" s="10"/>
      <c r="W9241" s="10"/>
      <c r="X9241" s="10"/>
      <c r="Y9241" s="10"/>
      <c r="Z9241" s="10"/>
    </row>
    <row r="9242" spans="1:26" ht="12.75">
      <c r="A9242" s="10"/>
      <c r="B9242" s="10"/>
      <c r="C9242" s="10"/>
      <c r="D9242" s="10"/>
      <c r="E9242" s="10"/>
      <c r="F9242" s="10"/>
      <c r="G9242" s="10"/>
      <c r="H9242" s="10"/>
      <c r="I9242" s="10"/>
      <c r="J9242" s="10"/>
      <c r="K9242" s="10"/>
      <c r="L9242" s="10"/>
      <c r="M9242" s="10"/>
      <c r="N9242" s="10"/>
      <c r="O9242" s="10"/>
      <c r="P9242" s="10"/>
      <c r="Q9242" s="10"/>
      <c r="R9242" s="10"/>
      <c r="S9242" s="10"/>
      <c r="T9242" s="10"/>
      <c r="U9242" s="10"/>
      <c r="V9242" s="10"/>
      <c r="W9242" s="10"/>
      <c r="X9242" s="10"/>
      <c r="Y9242" s="10"/>
      <c r="Z9242" s="10"/>
    </row>
    <row r="9243" spans="1:26" ht="12.75">
      <c r="A9243" s="10"/>
      <c r="B9243" s="10"/>
      <c r="C9243" s="10"/>
      <c r="D9243" s="10"/>
      <c r="E9243" s="10"/>
      <c r="F9243" s="10"/>
      <c r="G9243" s="10"/>
      <c r="H9243" s="10"/>
      <c r="I9243" s="10"/>
      <c r="J9243" s="10"/>
      <c r="K9243" s="10"/>
      <c r="L9243" s="10"/>
      <c r="M9243" s="10"/>
      <c r="N9243" s="10"/>
      <c r="O9243" s="10"/>
      <c r="P9243" s="10"/>
      <c r="Q9243" s="10"/>
      <c r="R9243" s="10"/>
      <c r="S9243" s="10"/>
      <c r="T9243" s="10"/>
      <c r="U9243" s="10"/>
      <c r="V9243" s="10"/>
      <c r="W9243" s="10"/>
      <c r="X9243" s="10"/>
      <c r="Y9243" s="10"/>
      <c r="Z9243" s="10"/>
    </row>
    <row r="9244" spans="1:26" ht="12.75">
      <c r="A9244" s="10"/>
      <c r="B9244" s="10"/>
      <c r="C9244" s="10"/>
      <c r="D9244" s="10"/>
      <c r="E9244" s="10"/>
      <c r="F9244" s="10"/>
      <c r="G9244" s="10"/>
      <c r="H9244" s="10"/>
      <c r="I9244" s="10"/>
      <c r="J9244" s="10"/>
      <c r="K9244" s="10"/>
      <c r="L9244" s="10"/>
      <c r="M9244" s="10"/>
      <c r="N9244" s="10"/>
      <c r="O9244" s="10"/>
      <c r="P9244" s="10"/>
      <c r="Q9244" s="10"/>
      <c r="R9244" s="10"/>
      <c r="S9244" s="10"/>
      <c r="T9244" s="10"/>
      <c r="U9244" s="10"/>
      <c r="V9244" s="10"/>
      <c r="W9244" s="10"/>
      <c r="X9244" s="10"/>
      <c r="Y9244" s="10"/>
      <c r="Z9244" s="10"/>
    </row>
    <row r="9245" spans="1:26" ht="12.75">
      <c r="A9245" s="10"/>
      <c r="B9245" s="10"/>
      <c r="C9245" s="10"/>
      <c r="D9245" s="10"/>
      <c r="E9245" s="10"/>
      <c r="F9245" s="10"/>
      <c r="G9245" s="10"/>
      <c r="H9245" s="10"/>
      <c r="I9245" s="10"/>
      <c r="J9245" s="10"/>
      <c r="K9245" s="10"/>
      <c r="L9245" s="10"/>
      <c r="M9245" s="10"/>
      <c r="N9245" s="10"/>
      <c r="O9245" s="10"/>
      <c r="P9245" s="10"/>
      <c r="Q9245" s="10"/>
      <c r="R9245" s="10"/>
      <c r="S9245" s="10"/>
      <c r="T9245" s="10"/>
      <c r="U9245" s="10"/>
      <c r="V9245" s="10"/>
      <c r="W9245" s="10"/>
      <c r="X9245" s="10"/>
      <c r="Y9245" s="10"/>
      <c r="Z9245" s="10"/>
    </row>
    <row r="9246" spans="1:26" ht="12.75">
      <c r="A9246" s="10"/>
      <c r="B9246" s="10"/>
      <c r="C9246" s="10"/>
      <c r="D9246" s="10"/>
      <c r="E9246" s="10"/>
      <c r="F9246" s="10"/>
      <c r="G9246" s="10"/>
      <c r="H9246" s="10"/>
      <c r="I9246" s="10"/>
      <c r="J9246" s="10"/>
      <c r="K9246" s="10"/>
      <c r="L9246" s="10"/>
      <c r="M9246" s="10"/>
      <c r="N9246" s="10"/>
      <c r="O9246" s="10"/>
      <c r="P9246" s="10"/>
      <c r="Q9246" s="10"/>
      <c r="R9246" s="10"/>
      <c r="S9246" s="10"/>
      <c r="T9246" s="10"/>
      <c r="U9246" s="10"/>
      <c r="V9246" s="10"/>
      <c r="W9246" s="10"/>
      <c r="X9246" s="10"/>
      <c r="Y9246" s="10"/>
      <c r="Z9246" s="10"/>
    </row>
    <row r="9247" spans="1:26" ht="12.75">
      <c r="A9247" s="10"/>
      <c r="B9247" s="10"/>
      <c r="C9247" s="10"/>
      <c r="D9247" s="10"/>
      <c r="E9247" s="10"/>
      <c r="F9247" s="10"/>
      <c r="G9247" s="10"/>
      <c r="H9247" s="10"/>
      <c r="I9247" s="10"/>
      <c r="J9247" s="10"/>
      <c r="K9247" s="10"/>
      <c r="L9247" s="10"/>
      <c r="M9247" s="10"/>
      <c r="N9247" s="10"/>
      <c r="O9247" s="10"/>
      <c r="P9247" s="10"/>
      <c r="Q9247" s="10"/>
      <c r="R9247" s="10"/>
      <c r="S9247" s="10"/>
      <c r="T9247" s="10"/>
      <c r="U9247" s="10"/>
      <c r="V9247" s="10"/>
      <c r="W9247" s="10"/>
      <c r="X9247" s="10"/>
      <c r="Y9247" s="10"/>
      <c r="Z9247" s="10"/>
    </row>
    <row r="9248" spans="1:26" ht="12.75">
      <c r="A9248" s="10"/>
      <c r="B9248" s="10"/>
      <c r="C9248" s="10"/>
      <c r="D9248" s="10"/>
      <c r="E9248" s="10"/>
      <c r="F9248" s="10"/>
      <c r="G9248" s="10"/>
      <c r="H9248" s="10"/>
      <c r="I9248" s="10"/>
      <c r="J9248" s="10"/>
      <c r="K9248" s="10"/>
      <c r="L9248" s="10"/>
      <c r="M9248" s="10"/>
      <c r="N9248" s="10"/>
      <c r="O9248" s="10"/>
      <c r="P9248" s="10"/>
      <c r="Q9248" s="10"/>
      <c r="R9248" s="10"/>
      <c r="S9248" s="10"/>
      <c r="T9248" s="10"/>
      <c r="U9248" s="10"/>
      <c r="V9248" s="10"/>
      <c r="W9248" s="10"/>
      <c r="X9248" s="10"/>
      <c r="Y9248" s="10"/>
      <c r="Z9248" s="10"/>
    </row>
    <row r="9249" spans="1:26" ht="12.75">
      <c r="A9249" s="10"/>
      <c r="B9249" s="10"/>
      <c r="C9249" s="10"/>
      <c r="D9249" s="10"/>
      <c r="E9249" s="10"/>
      <c r="F9249" s="10"/>
      <c r="G9249" s="10"/>
      <c r="H9249" s="10"/>
      <c r="I9249" s="10"/>
      <c r="J9249" s="10"/>
      <c r="K9249" s="10"/>
      <c r="L9249" s="10"/>
      <c r="M9249" s="10"/>
      <c r="N9249" s="10"/>
      <c r="O9249" s="10"/>
      <c r="P9249" s="10"/>
      <c r="Q9249" s="10"/>
      <c r="R9249" s="10"/>
      <c r="S9249" s="10"/>
      <c r="T9249" s="10"/>
      <c r="U9249" s="10"/>
      <c r="V9249" s="10"/>
      <c r="W9249" s="10"/>
      <c r="X9249" s="10"/>
      <c r="Y9249" s="10"/>
      <c r="Z9249" s="10"/>
    </row>
    <row r="9250" spans="1:26" ht="12.75">
      <c r="A9250" s="10"/>
      <c r="B9250" s="10"/>
      <c r="C9250" s="10"/>
      <c r="D9250" s="10"/>
      <c r="E9250" s="10"/>
      <c r="F9250" s="10"/>
      <c r="G9250" s="10"/>
      <c r="H9250" s="10"/>
      <c r="I9250" s="10"/>
      <c r="J9250" s="10"/>
      <c r="K9250" s="10"/>
      <c r="L9250" s="10"/>
      <c r="M9250" s="10"/>
      <c r="N9250" s="10"/>
      <c r="O9250" s="10"/>
      <c r="P9250" s="10"/>
      <c r="Q9250" s="10"/>
      <c r="R9250" s="10"/>
      <c r="S9250" s="10"/>
      <c r="T9250" s="10"/>
      <c r="U9250" s="10"/>
      <c r="V9250" s="10"/>
      <c r="W9250" s="10"/>
      <c r="X9250" s="10"/>
      <c r="Y9250" s="10"/>
      <c r="Z9250" s="10"/>
    </row>
    <row r="9251" spans="1:26" ht="12.75">
      <c r="A9251" s="10"/>
      <c r="B9251" s="10"/>
      <c r="C9251" s="10"/>
      <c r="D9251" s="10"/>
      <c r="E9251" s="10"/>
      <c r="F9251" s="10"/>
      <c r="G9251" s="10"/>
      <c r="H9251" s="10"/>
      <c r="I9251" s="10"/>
      <c r="J9251" s="10"/>
      <c r="K9251" s="10"/>
      <c r="L9251" s="10"/>
      <c r="M9251" s="10"/>
      <c r="N9251" s="10"/>
      <c r="O9251" s="10"/>
      <c r="P9251" s="10"/>
      <c r="Q9251" s="10"/>
      <c r="R9251" s="10"/>
      <c r="S9251" s="10"/>
      <c r="T9251" s="10"/>
      <c r="U9251" s="10"/>
      <c r="V9251" s="10"/>
      <c r="W9251" s="10"/>
      <c r="X9251" s="10"/>
      <c r="Y9251" s="10"/>
      <c r="Z9251" s="10"/>
    </row>
    <row r="9252" spans="1:26" ht="12.75">
      <c r="A9252" s="10"/>
      <c r="B9252" s="10"/>
      <c r="C9252" s="10"/>
      <c r="D9252" s="10"/>
      <c r="E9252" s="10"/>
      <c r="F9252" s="10"/>
      <c r="G9252" s="10"/>
      <c r="H9252" s="10"/>
      <c r="I9252" s="10"/>
      <c r="J9252" s="10"/>
      <c r="K9252" s="10"/>
      <c r="L9252" s="10"/>
      <c r="M9252" s="10"/>
      <c r="N9252" s="10"/>
      <c r="O9252" s="10"/>
      <c r="P9252" s="10"/>
      <c r="Q9252" s="10"/>
      <c r="R9252" s="10"/>
      <c r="S9252" s="10"/>
      <c r="T9252" s="10"/>
      <c r="U9252" s="10"/>
      <c r="V9252" s="10"/>
      <c r="W9252" s="10"/>
      <c r="X9252" s="10"/>
      <c r="Y9252" s="10"/>
      <c r="Z9252" s="10"/>
    </row>
    <row r="9253" spans="1:26" ht="12.75">
      <c r="A9253" s="10"/>
      <c r="B9253" s="10"/>
      <c r="C9253" s="10"/>
      <c r="D9253" s="10"/>
      <c r="E9253" s="10"/>
      <c r="F9253" s="10"/>
      <c r="G9253" s="10"/>
      <c r="H9253" s="10"/>
      <c r="I9253" s="10"/>
      <c r="J9253" s="10"/>
      <c r="K9253" s="10"/>
      <c r="L9253" s="10"/>
      <c r="M9253" s="10"/>
      <c r="N9253" s="10"/>
      <c r="O9253" s="10"/>
      <c r="P9253" s="10"/>
      <c r="Q9253" s="10"/>
      <c r="R9253" s="10"/>
      <c r="S9253" s="10"/>
      <c r="T9253" s="10"/>
      <c r="U9253" s="10"/>
      <c r="V9253" s="10"/>
      <c r="W9253" s="10"/>
      <c r="X9253" s="10"/>
      <c r="Y9253" s="10"/>
      <c r="Z9253" s="10"/>
    </row>
    <row r="9254" spans="1:26" ht="12.75">
      <c r="A9254" s="10"/>
      <c r="B9254" s="10"/>
      <c r="C9254" s="10"/>
      <c r="D9254" s="10"/>
      <c r="E9254" s="10"/>
      <c r="F9254" s="10"/>
      <c r="G9254" s="10"/>
      <c r="H9254" s="10"/>
      <c r="I9254" s="10"/>
      <c r="J9254" s="10"/>
      <c r="K9254" s="10"/>
      <c r="L9254" s="10"/>
      <c r="M9254" s="10"/>
      <c r="N9254" s="10"/>
      <c r="O9254" s="10"/>
      <c r="P9254" s="10"/>
      <c r="Q9254" s="10"/>
      <c r="R9254" s="10"/>
      <c r="S9254" s="10"/>
      <c r="T9254" s="10"/>
      <c r="U9254" s="10"/>
      <c r="V9254" s="10"/>
      <c r="W9254" s="10"/>
      <c r="X9254" s="10"/>
      <c r="Y9254" s="10"/>
      <c r="Z9254" s="10"/>
    </row>
    <row r="9255" spans="1:26" ht="12.75">
      <c r="A9255" s="10"/>
      <c r="B9255" s="10"/>
      <c r="C9255" s="10"/>
      <c r="D9255" s="10"/>
      <c r="E9255" s="10"/>
      <c r="F9255" s="10"/>
      <c r="G9255" s="10"/>
      <c r="H9255" s="10"/>
      <c r="I9255" s="10"/>
      <c r="J9255" s="10"/>
      <c r="K9255" s="10"/>
      <c r="L9255" s="10"/>
      <c r="M9255" s="10"/>
      <c r="N9255" s="10"/>
      <c r="O9255" s="10"/>
      <c r="P9255" s="10"/>
      <c r="Q9255" s="10"/>
      <c r="R9255" s="10"/>
      <c r="S9255" s="10"/>
      <c r="T9255" s="10"/>
      <c r="U9255" s="10"/>
      <c r="V9255" s="10"/>
      <c r="W9255" s="10"/>
      <c r="X9255" s="10"/>
      <c r="Y9255" s="10"/>
      <c r="Z9255" s="10"/>
    </row>
    <row r="9256" spans="1:26" ht="12.75">
      <c r="A9256" s="10"/>
      <c r="B9256" s="10"/>
      <c r="C9256" s="10"/>
      <c r="D9256" s="10"/>
      <c r="E9256" s="10"/>
      <c r="F9256" s="10"/>
      <c r="G9256" s="10"/>
      <c r="H9256" s="10"/>
      <c r="I9256" s="10"/>
      <c r="J9256" s="10"/>
      <c r="K9256" s="10"/>
      <c r="L9256" s="10"/>
      <c r="M9256" s="10"/>
      <c r="N9256" s="10"/>
      <c r="O9256" s="10"/>
      <c r="P9256" s="10"/>
      <c r="Q9256" s="10"/>
      <c r="R9256" s="10"/>
      <c r="S9256" s="10"/>
      <c r="T9256" s="10"/>
      <c r="U9256" s="10"/>
      <c r="V9256" s="10"/>
      <c r="W9256" s="10"/>
      <c r="X9256" s="10"/>
      <c r="Y9256" s="10"/>
      <c r="Z9256" s="10"/>
    </row>
    <row r="9257" spans="1:26" ht="12.75">
      <c r="A9257" s="10"/>
      <c r="B9257" s="10"/>
      <c r="C9257" s="10"/>
      <c r="D9257" s="10"/>
      <c r="E9257" s="10"/>
      <c r="F9257" s="10"/>
      <c r="G9257" s="10"/>
      <c r="H9257" s="10"/>
      <c r="I9257" s="10"/>
      <c r="J9257" s="10"/>
      <c r="K9257" s="10"/>
      <c r="L9257" s="10"/>
      <c r="M9257" s="10"/>
      <c r="N9257" s="10"/>
      <c r="O9257" s="10"/>
      <c r="P9257" s="10"/>
      <c r="Q9257" s="10"/>
      <c r="R9257" s="10"/>
      <c r="S9257" s="10"/>
      <c r="T9257" s="10"/>
      <c r="U9257" s="10"/>
      <c r="V9257" s="10"/>
      <c r="W9257" s="10"/>
      <c r="X9257" s="10"/>
      <c r="Y9257" s="10"/>
      <c r="Z9257" s="10"/>
    </row>
    <row r="9258" spans="1:26" ht="12.75">
      <c r="A9258" s="10"/>
      <c r="B9258" s="10"/>
      <c r="C9258" s="10"/>
      <c r="D9258" s="10"/>
      <c r="E9258" s="10"/>
      <c r="F9258" s="10"/>
      <c r="G9258" s="10"/>
      <c r="H9258" s="10"/>
      <c r="I9258" s="10"/>
      <c r="J9258" s="10"/>
      <c r="K9258" s="10"/>
      <c r="L9258" s="10"/>
      <c r="M9258" s="10"/>
      <c r="N9258" s="10"/>
      <c r="O9258" s="10"/>
      <c r="P9258" s="10"/>
      <c r="Q9258" s="10"/>
      <c r="R9258" s="10"/>
      <c r="S9258" s="10"/>
      <c r="T9258" s="10"/>
      <c r="U9258" s="10"/>
      <c r="V9258" s="10"/>
      <c r="W9258" s="10"/>
      <c r="X9258" s="10"/>
      <c r="Y9258" s="10"/>
      <c r="Z9258" s="10"/>
    </row>
    <row r="9259" spans="1:26" ht="12.75">
      <c r="A9259" s="10"/>
      <c r="B9259" s="10"/>
      <c r="C9259" s="10"/>
      <c r="D9259" s="10"/>
      <c r="E9259" s="10"/>
      <c r="F9259" s="10"/>
      <c r="G9259" s="10"/>
      <c r="H9259" s="10"/>
      <c r="I9259" s="10"/>
      <c r="J9259" s="10"/>
      <c r="K9259" s="10"/>
      <c r="L9259" s="10"/>
      <c r="M9259" s="10"/>
      <c r="N9259" s="10"/>
      <c r="O9259" s="10"/>
      <c r="P9259" s="10"/>
      <c r="Q9259" s="10"/>
      <c r="R9259" s="10"/>
      <c r="S9259" s="10"/>
      <c r="T9259" s="10"/>
      <c r="U9259" s="10"/>
      <c r="V9259" s="10"/>
      <c r="W9259" s="10"/>
      <c r="X9259" s="10"/>
      <c r="Y9259" s="10"/>
      <c r="Z9259" s="10"/>
    </row>
    <row r="9260" spans="1:26" ht="12.75">
      <c r="A9260" s="10"/>
      <c r="B9260" s="10"/>
      <c r="C9260" s="10"/>
      <c r="D9260" s="10"/>
      <c r="E9260" s="10"/>
      <c r="F9260" s="10"/>
      <c r="G9260" s="10"/>
      <c r="H9260" s="10"/>
      <c r="I9260" s="10"/>
      <c r="J9260" s="10"/>
      <c r="K9260" s="10"/>
      <c r="L9260" s="10"/>
      <c r="M9260" s="10"/>
      <c r="N9260" s="10"/>
      <c r="O9260" s="10"/>
      <c r="P9260" s="10"/>
      <c r="Q9260" s="10"/>
      <c r="R9260" s="10"/>
      <c r="S9260" s="10"/>
      <c r="T9260" s="10"/>
      <c r="U9260" s="10"/>
      <c r="V9260" s="10"/>
      <c r="W9260" s="10"/>
      <c r="X9260" s="10"/>
      <c r="Y9260" s="10"/>
      <c r="Z9260" s="10"/>
    </row>
    <row r="9261" spans="1:26" ht="12.75">
      <c r="A9261" s="10"/>
      <c r="B9261" s="10"/>
      <c r="C9261" s="10"/>
      <c r="D9261" s="10"/>
      <c r="E9261" s="10"/>
      <c r="F9261" s="10"/>
      <c r="G9261" s="10"/>
      <c r="H9261" s="10"/>
      <c r="I9261" s="10"/>
      <c r="J9261" s="10"/>
      <c r="K9261" s="10"/>
      <c r="L9261" s="10"/>
      <c r="M9261" s="10"/>
      <c r="N9261" s="10"/>
      <c r="O9261" s="10"/>
      <c r="P9261" s="10"/>
      <c r="Q9261" s="10"/>
      <c r="R9261" s="10"/>
      <c r="S9261" s="10"/>
      <c r="T9261" s="10"/>
      <c r="U9261" s="10"/>
      <c r="V9261" s="10"/>
      <c r="W9261" s="10"/>
      <c r="X9261" s="10"/>
      <c r="Y9261" s="10"/>
      <c r="Z9261" s="10"/>
    </row>
    <row r="9262" spans="1:26" ht="12.75">
      <c r="A9262" s="10"/>
      <c r="B9262" s="10"/>
      <c r="C9262" s="10"/>
      <c r="D9262" s="10"/>
      <c r="E9262" s="10"/>
      <c r="F9262" s="10"/>
      <c r="G9262" s="10"/>
      <c r="H9262" s="10"/>
      <c r="I9262" s="10"/>
      <c r="J9262" s="10"/>
      <c r="K9262" s="10"/>
      <c r="L9262" s="10"/>
      <c r="M9262" s="10"/>
      <c r="N9262" s="10"/>
      <c r="O9262" s="10"/>
      <c r="P9262" s="10"/>
      <c r="Q9262" s="10"/>
      <c r="R9262" s="10"/>
      <c r="S9262" s="10"/>
      <c r="T9262" s="10"/>
      <c r="U9262" s="10"/>
      <c r="V9262" s="10"/>
      <c r="W9262" s="10"/>
      <c r="X9262" s="10"/>
      <c r="Y9262" s="10"/>
      <c r="Z9262" s="10"/>
    </row>
    <row r="9263" spans="1:26" ht="12.75">
      <c r="A9263" s="10"/>
      <c r="B9263" s="10"/>
      <c r="C9263" s="10"/>
      <c r="D9263" s="10"/>
      <c r="E9263" s="10"/>
      <c r="F9263" s="10"/>
      <c r="G9263" s="10"/>
      <c r="H9263" s="10"/>
      <c r="I9263" s="10"/>
      <c r="J9263" s="10"/>
      <c r="K9263" s="10"/>
      <c r="L9263" s="10"/>
      <c r="M9263" s="10"/>
      <c r="N9263" s="10"/>
      <c r="O9263" s="10"/>
      <c r="P9263" s="10"/>
      <c r="Q9263" s="10"/>
      <c r="R9263" s="10"/>
      <c r="S9263" s="10"/>
      <c r="T9263" s="10"/>
      <c r="U9263" s="10"/>
      <c r="V9263" s="10"/>
      <c r="W9263" s="10"/>
      <c r="X9263" s="10"/>
      <c r="Y9263" s="10"/>
      <c r="Z9263" s="10"/>
    </row>
    <row r="9264" spans="1:26" ht="12.75">
      <c r="A9264" s="10"/>
      <c r="B9264" s="10"/>
      <c r="C9264" s="10"/>
      <c r="D9264" s="10"/>
      <c r="E9264" s="10"/>
      <c r="F9264" s="10"/>
      <c r="G9264" s="10"/>
      <c r="H9264" s="10"/>
      <c r="I9264" s="10"/>
      <c r="J9264" s="10"/>
      <c r="K9264" s="10"/>
      <c r="L9264" s="10"/>
      <c r="M9264" s="10"/>
      <c r="N9264" s="10"/>
      <c r="O9264" s="10"/>
      <c r="P9264" s="10"/>
      <c r="Q9264" s="10"/>
      <c r="R9264" s="10"/>
      <c r="S9264" s="10"/>
      <c r="T9264" s="10"/>
      <c r="U9264" s="10"/>
      <c r="V9264" s="10"/>
      <c r="W9264" s="10"/>
      <c r="X9264" s="10"/>
      <c r="Y9264" s="10"/>
      <c r="Z9264" s="10"/>
    </row>
    <row r="9265" spans="1:26" ht="12.75">
      <c r="A9265" s="10"/>
      <c r="B9265" s="10"/>
      <c r="C9265" s="10"/>
      <c r="D9265" s="10"/>
      <c r="E9265" s="10"/>
      <c r="F9265" s="10"/>
      <c r="G9265" s="10"/>
      <c r="H9265" s="10"/>
      <c r="I9265" s="10"/>
      <c r="J9265" s="10"/>
      <c r="K9265" s="10"/>
      <c r="L9265" s="10"/>
      <c r="M9265" s="10"/>
      <c r="N9265" s="10"/>
      <c r="O9265" s="10"/>
      <c r="P9265" s="10"/>
      <c r="Q9265" s="10"/>
      <c r="R9265" s="10"/>
      <c r="S9265" s="10"/>
      <c r="T9265" s="10"/>
      <c r="U9265" s="10"/>
      <c r="V9265" s="10"/>
      <c r="W9265" s="10"/>
      <c r="X9265" s="10"/>
      <c r="Y9265" s="10"/>
      <c r="Z9265" s="10"/>
    </row>
    <row r="9266" spans="1:26" ht="12.75">
      <c r="A9266" s="10"/>
      <c r="B9266" s="10"/>
      <c r="C9266" s="10"/>
      <c r="D9266" s="10"/>
      <c r="E9266" s="10"/>
      <c r="F9266" s="10"/>
      <c r="G9266" s="10"/>
      <c r="H9266" s="10"/>
      <c r="I9266" s="10"/>
      <c r="J9266" s="10"/>
      <c r="K9266" s="10"/>
      <c r="L9266" s="10"/>
      <c r="M9266" s="10"/>
      <c r="N9266" s="10"/>
      <c r="O9266" s="10"/>
      <c r="P9266" s="10"/>
      <c r="Q9266" s="10"/>
      <c r="R9266" s="10"/>
      <c r="S9266" s="10"/>
      <c r="T9266" s="10"/>
      <c r="U9266" s="10"/>
      <c r="V9266" s="10"/>
      <c r="W9266" s="10"/>
      <c r="X9266" s="10"/>
      <c r="Y9266" s="10"/>
      <c r="Z9266" s="10"/>
    </row>
    <row r="9267" spans="1:26" ht="12.75">
      <c r="A9267" s="10"/>
      <c r="B9267" s="10"/>
      <c r="C9267" s="10"/>
      <c r="D9267" s="10"/>
      <c r="E9267" s="10"/>
      <c r="F9267" s="10"/>
      <c r="G9267" s="10"/>
      <c r="H9267" s="10"/>
      <c r="I9267" s="10"/>
      <c r="J9267" s="10"/>
      <c r="K9267" s="10"/>
      <c r="L9267" s="10"/>
      <c r="M9267" s="10"/>
      <c r="N9267" s="10"/>
      <c r="O9267" s="10"/>
      <c r="P9267" s="10"/>
      <c r="Q9267" s="10"/>
      <c r="R9267" s="10"/>
      <c r="S9267" s="10"/>
      <c r="T9267" s="10"/>
      <c r="U9267" s="10"/>
      <c r="V9267" s="10"/>
      <c r="W9267" s="10"/>
      <c r="X9267" s="10"/>
      <c r="Y9267" s="10"/>
      <c r="Z9267" s="10"/>
    </row>
    <row r="9268" spans="1:26" ht="12.75">
      <c r="A9268" s="10"/>
      <c r="B9268" s="10"/>
      <c r="C9268" s="10"/>
      <c r="D9268" s="10"/>
      <c r="E9268" s="10"/>
      <c r="F9268" s="10"/>
      <c r="G9268" s="10"/>
      <c r="H9268" s="10"/>
      <c r="I9268" s="10"/>
      <c r="J9268" s="10"/>
      <c r="K9268" s="10"/>
      <c r="L9268" s="10"/>
      <c r="M9268" s="10"/>
      <c r="N9268" s="10"/>
      <c r="O9268" s="10"/>
      <c r="P9268" s="10"/>
      <c r="Q9268" s="10"/>
      <c r="R9268" s="10"/>
      <c r="S9268" s="10"/>
      <c r="T9268" s="10"/>
      <c r="U9268" s="10"/>
      <c r="V9268" s="10"/>
      <c r="W9268" s="10"/>
      <c r="X9268" s="10"/>
      <c r="Y9268" s="10"/>
      <c r="Z9268" s="10"/>
    </row>
    <row r="9269" spans="1:26" ht="12.75">
      <c r="A9269" s="10"/>
      <c r="B9269" s="10"/>
      <c r="C9269" s="10"/>
      <c r="D9269" s="10"/>
      <c r="E9269" s="10"/>
      <c r="F9269" s="10"/>
      <c r="G9269" s="10"/>
      <c r="H9269" s="10"/>
      <c r="I9269" s="10"/>
      <c r="J9269" s="10"/>
      <c r="K9269" s="10"/>
      <c r="L9269" s="10"/>
      <c r="M9269" s="10"/>
      <c r="N9269" s="10"/>
      <c r="O9269" s="10"/>
      <c r="P9269" s="10"/>
      <c r="Q9269" s="10"/>
      <c r="R9269" s="10"/>
      <c r="S9269" s="10"/>
      <c r="T9269" s="10"/>
      <c r="U9269" s="10"/>
      <c r="V9269" s="10"/>
      <c r="W9269" s="10"/>
      <c r="X9269" s="10"/>
      <c r="Y9269" s="10"/>
      <c r="Z9269" s="10"/>
    </row>
    <row r="9270" spans="1:26" ht="12.75">
      <c r="A9270" s="10"/>
      <c r="B9270" s="10"/>
      <c r="C9270" s="10"/>
      <c r="D9270" s="10"/>
      <c r="E9270" s="10"/>
      <c r="F9270" s="10"/>
      <c r="G9270" s="10"/>
      <c r="H9270" s="10"/>
      <c r="I9270" s="10"/>
      <c r="J9270" s="10"/>
      <c r="K9270" s="10"/>
      <c r="L9270" s="10"/>
      <c r="M9270" s="10"/>
      <c r="N9270" s="10"/>
      <c r="O9270" s="10"/>
      <c r="P9270" s="10"/>
      <c r="Q9270" s="10"/>
      <c r="R9270" s="10"/>
      <c r="S9270" s="10"/>
      <c r="T9270" s="10"/>
      <c r="U9270" s="10"/>
      <c r="V9270" s="10"/>
      <c r="W9270" s="10"/>
      <c r="X9270" s="10"/>
      <c r="Y9270" s="10"/>
      <c r="Z9270" s="10"/>
    </row>
    <row r="9271" spans="1:26" ht="12.75">
      <c r="A9271" s="10"/>
      <c r="B9271" s="10"/>
      <c r="C9271" s="10"/>
      <c r="D9271" s="10"/>
      <c r="E9271" s="10"/>
      <c r="F9271" s="10"/>
      <c r="G9271" s="10"/>
      <c r="H9271" s="10"/>
      <c r="I9271" s="10"/>
      <c r="J9271" s="10"/>
      <c r="K9271" s="10"/>
      <c r="L9271" s="10"/>
      <c r="M9271" s="10"/>
      <c r="N9271" s="10"/>
      <c r="O9271" s="10"/>
      <c r="P9271" s="10"/>
      <c r="Q9271" s="10"/>
      <c r="R9271" s="10"/>
      <c r="S9271" s="10"/>
      <c r="T9271" s="10"/>
      <c r="U9271" s="10"/>
      <c r="V9271" s="10"/>
      <c r="W9271" s="10"/>
      <c r="X9271" s="10"/>
      <c r="Y9271" s="10"/>
      <c r="Z9271" s="10"/>
    </row>
    <row r="9272" spans="1:26" ht="12.75">
      <c r="A9272" s="10"/>
      <c r="B9272" s="10"/>
      <c r="C9272" s="10"/>
      <c r="D9272" s="10"/>
      <c r="E9272" s="10"/>
      <c r="F9272" s="10"/>
      <c r="G9272" s="10"/>
      <c r="H9272" s="10"/>
      <c r="I9272" s="10"/>
      <c r="J9272" s="10"/>
      <c r="K9272" s="10"/>
      <c r="L9272" s="10"/>
      <c r="M9272" s="10"/>
      <c r="N9272" s="10"/>
      <c r="O9272" s="10"/>
      <c r="P9272" s="10"/>
      <c r="Q9272" s="10"/>
      <c r="R9272" s="10"/>
      <c r="S9272" s="10"/>
      <c r="T9272" s="10"/>
      <c r="U9272" s="10"/>
      <c r="V9272" s="10"/>
      <c r="W9272" s="10"/>
      <c r="X9272" s="10"/>
      <c r="Y9272" s="10"/>
      <c r="Z9272" s="10"/>
    </row>
    <row r="9273" spans="1:26" ht="12.75">
      <c r="A9273" s="10"/>
      <c r="B9273" s="10"/>
      <c r="C9273" s="10"/>
      <c r="D9273" s="10"/>
      <c r="E9273" s="10"/>
      <c r="F9273" s="10"/>
      <c r="G9273" s="10"/>
      <c r="H9273" s="10"/>
      <c r="I9273" s="10"/>
      <c r="J9273" s="10"/>
      <c r="K9273" s="10"/>
      <c r="L9273" s="10"/>
      <c r="M9273" s="10"/>
      <c r="N9273" s="10"/>
      <c r="O9273" s="10"/>
      <c r="P9273" s="10"/>
      <c r="Q9273" s="10"/>
      <c r="R9273" s="10"/>
      <c r="S9273" s="10"/>
      <c r="T9273" s="10"/>
      <c r="U9273" s="10"/>
      <c r="V9273" s="10"/>
      <c r="W9273" s="10"/>
      <c r="X9273" s="10"/>
      <c r="Y9273" s="10"/>
      <c r="Z9273" s="10"/>
    </row>
    <row r="9274" spans="1:26" ht="12.75">
      <c r="A9274" s="10"/>
      <c r="B9274" s="10"/>
      <c r="C9274" s="10"/>
      <c r="D9274" s="10"/>
      <c r="E9274" s="10"/>
      <c r="F9274" s="10"/>
      <c r="G9274" s="10"/>
      <c r="H9274" s="10"/>
      <c r="I9274" s="10"/>
      <c r="J9274" s="10"/>
      <c r="K9274" s="10"/>
      <c r="L9274" s="10"/>
      <c r="M9274" s="10"/>
      <c r="N9274" s="10"/>
      <c r="O9274" s="10"/>
      <c r="P9274" s="10"/>
      <c r="Q9274" s="10"/>
      <c r="R9274" s="10"/>
      <c r="S9274" s="10"/>
      <c r="T9274" s="10"/>
      <c r="U9274" s="10"/>
      <c r="V9274" s="10"/>
      <c r="W9274" s="10"/>
      <c r="X9274" s="10"/>
      <c r="Y9274" s="10"/>
      <c r="Z9274" s="10"/>
    </row>
    <row r="9275" spans="1:26" ht="12.75">
      <c r="A9275" s="10"/>
      <c r="B9275" s="10"/>
      <c r="C9275" s="10"/>
      <c r="D9275" s="10"/>
      <c r="E9275" s="10"/>
      <c r="F9275" s="10"/>
      <c r="G9275" s="10"/>
      <c r="H9275" s="10"/>
      <c r="I9275" s="10"/>
      <c r="J9275" s="10"/>
      <c r="K9275" s="10"/>
      <c r="L9275" s="10"/>
      <c r="M9275" s="10"/>
      <c r="N9275" s="10"/>
      <c r="O9275" s="10"/>
      <c r="P9275" s="10"/>
      <c r="Q9275" s="10"/>
      <c r="R9275" s="10"/>
      <c r="S9275" s="10"/>
      <c r="T9275" s="10"/>
      <c r="U9275" s="10"/>
      <c r="V9275" s="10"/>
      <c r="W9275" s="10"/>
      <c r="X9275" s="10"/>
      <c r="Y9275" s="10"/>
      <c r="Z9275" s="10"/>
    </row>
    <row r="9276" spans="1:26" ht="12.75">
      <c r="A9276" s="10"/>
      <c r="B9276" s="10"/>
      <c r="C9276" s="10"/>
      <c r="D9276" s="10"/>
      <c r="E9276" s="10"/>
      <c r="F9276" s="10"/>
      <c r="G9276" s="10"/>
      <c r="H9276" s="10"/>
      <c r="I9276" s="10"/>
      <c r="J9276" s="10"/>
      <c r="K9276" s="10"/>
      <c r="L9276" s="10"/>
      <c r="M9276" s="10"/>
      <c r="N9276" s="10"/>
      <c r="O9276" s="10"/>
      <c r="P9276" s="10"/>
      <c r="Q9276" s="10"/>
      <c r="R9276" s="10"/>
      <c r="S9276" s="10"/>
      <c r="T9276" s="10"/>
      <c r="U9276" s="10"/>
      <c r="V9276" s="10"/>
      <c r="W9276" s="10"/>
      <c r="X9276" s="10"/>
      <c r="Y9276" s="10"/>
      <c r="Z9276" s="10"/>
    </row>
    <row r="9277" spans="1:26" ht="12.75">
      <c r="A9277" s="10"/>
      <c r="B9277" s="10"/>
      <c r="C9277" s="10"/>
      <c r="D9277" s="10"/>
      <c r="E9277" s="10"/>
      <c r="F9277" s="10"/>
      <c r="G9277" s="10"/>
      <c r="H9277" s="10"/>
      <c r="I9277" s="10"/>
      <c r="J9277" s="10"/>
      <c r="K9277" s="10"/>
      <c r="L9277" s="10"/>
      <c r="M9277" s="10"/>
      <c r="N9277" s="10"/>
      <c r="O9277" s="10"/>
      <c r="P9277" s="10"/>
      <c r="Q9277" s="10"/>
      <c r="R9277" s="10"/>
      <c r="S9277" s="10"/>
      <c r="T9277" s="10"/>
      <c r="U9277" s="10"/>
      <c r="V9277" s="10"/>
      <c r="W9277" s="10"/>
      <c r="X9277" s="10"/>
      <c r="Y9277" s="10"/>
      <c r="Z9277" s="10"/>
    </row>
    <row r="9278" spans="1:26" ht="12.75">
      <c r="A9278" s="10"/>
      <c r="B9278" s="10"/>
      <c r="C9278" s="10"/>
      <c r="D9278" s="10"/>
      <c r="E9278" s="10"/>
      <c r="F9278" s="10"/>
      <c r="G9278" s="10"/>
      <c r="H9278" s="10"/>
      <c r="I9278" s="10"/>
      <c r="J9278" s="10"/>
      <c r="K9278" s="10"/>
      <c r="L9278" s="10"/>
      <c r="M9278" s="10"/>
      <c r="N9278" s="10"/>
      <c r="O9278" s="10"/>
      <c r="P9278" s="10"/>
      <c r="Q9278" s="10"/>
      <c r="R9278" s="10"/>
      <c r="S9278" s="10"/>
      <c r="T9278" s="10"/>
      <c r="U9278" s="10"/>
      <c r="V9278" s="10"/>
      <c r="W9278" s="10"/>
      <c r="X9278" s="10"/>
      <c r="Y9278" s="10"/>
      <c r="Z9278" s="10"/>
    </row>
    <row r="9279" spans="1:26" ht="12.75">
      <c r="A9279" s="10"/>
      <c r="B9279" s="10"/>
      <c r="C9279" s="10"/>
      <c r="D9279" s="10"/>
      <c r="E9279" s="10"/>
      <c r="F9279" s="10"/>
      <c r="G9279" s="10"/>
      <c r="H9279" s="10"/>
      <c r="I9279" s="10"/>
      <c r="J9279" s="10"/>
      <c r="K9279" s="10"/>
      <c r="L9279" s="10"/>
      <c r="M9279" s="10"/>
      <c r="N9279" s="10"/>
      <c r="O9279" s="10"/>
      <c r="P9279" s="10"/>
      <c r="Q9279" s="10"/>
      <c r="R9279" s="10"/>
      <c r="S9279" s="10"/>
      <c r="T9279" s="10"/>
      <c r="U9279" s="10"/>
      <c r="V9279" s="10"/>
      <c r="W9279" s="10"/>
      <c r="X9279" s="10"/>
      <c r="Y9279" s="10"/>
      <c r="Z9279" s="10"/>
    </row>
    <row r="9280" spans="1:26" ht="12.75">
      <c r="A9280" s="10"/>
      <c r="B9280" s="10"/>
      <c r="C9280" s="10"/>
      <c r="D9280" s="10"/>
      <c r="E9280" s="10"/>
      <c r="F9280" s="10"/>
      <c r="G9280" s="10"/>
      <c r="H9280" s="10"/>
      <c r="I9280" s="10"/>
      <c r="J9280" s="10"/>
      <c r="K9280" s="10"/>
      <c r="L9280" s="10"/>
      <c r="M9280" s="10"/>
      <c r="N9280" s="10"/>
      <c r="O9280" s="10"/>
      <c r="P9280" s="10"/>
      <c r="Q9280" s="10"/>
      <c r="R9280" s="10"/>
      <c r="S9280" s="10"/>
      <c r="T9280" s="10"/>
      <c r="U9280" s="10"/>
      <c r="V9280" s="10"/>
      <c r="W9280" s="10"/>
      <c r="X9280" s="10"/>
      <c r="Y9280" s="10"/>
      <c r="Z9280" s="10"/>
    </row>
    <row r="9281" spans="1:26" ht="12.75">
      <c r="A9281" s="10"/>
      <c r="B9281" s="10"/>
      <c r="C9281" s="10"/>
      <c r="D9281" s="10"/>
      <c r="E9281" s="10"/>
      <c r="F9281" s="10"/>
      <c r="G9281" s="10"/>
      <c r="H9281" s="10"/>
      <c r="I9281" s="10"/>
      <c r="J9281" s="10"/>
      <c r="K9281" s="10"/>
      <c r="L9281" s="10"/>
      <c r="M9281" s="10"/>
      <c r="N9281" s="10"/>
      <c r="O9281" s="10"/>
      <c r="P9281" s="10"/>
      <c r="Q9281" s="10"/>
      <c r="R9281" s="10"/>
      <c r="S9281" s="10"/>
      <c r="T9281" s="10"/>
      <c r="U9281" s="10"/>
      <c r="V9281" s="10"/>
      <c r="W9281" s="10"/>
      <c r="X9281" s="10"/>
      <c r="Y9281" s="10"/>
      <c r="Z9281" s="10"/>
    </row>
    <row r="9282" spans="1:26" ht="12.75">
      <c r="A9282" s="10"/>
      <c r="B9282" s="10"/>
      <c r="C9282" s="10"/>
      <c r="D9282" s="10"/>
      <c r="E9282" s="10"/>
      <c r="F9282" s="10"/>
      <c r="G9282" s="10"/>
      <c r="H9282" s="10"/>
      <c r="I9282" s="10"/>
      <c r="J9282" s="10"/>
      <c r="K9282" s="10"/>
      <c r="L9282" s="10"/>
      <c r="M9282" s="10"/>
      <c r="N9282" s="10"/>
      <c r="O9282" s="10"/>
      <c r="P9282" s="10"/>
      <c r="Q9282" s="10"/>
      <c r="R9282" s="10"/>
      <c r="S9282" s="10"/>
      <c r="T9282" s="10"/>
      <c r="U9282" s="10"/>
      <c r="V9282" s="10"/>
      <c r="W9282" s="10"/>
      <c r="X9282" s="10"/>
      <c r="Y9282" s="10"/>
      <c r="Z9282" s="10"/>
    </row>
    <row r="9283" spans="1:26" ht="12.75">
      <c r="A9283" s="10"/>
      <c r="B9283" s="10"/>
      <c r="C9283" s="10"/>
      <c r="D9283" s="10"/>
      <c r="E9283" s="10"/>
      <c r="F9283" s="10"/>
      <c r="G9283" s="10"/>
      <c r="H9283" s="10"/>
      <c r="I9283" s="10"/>
      <c r="J9283" s="10"/>
      <c r="K9283" s="10"/>
      <c r="L9283" s="10"/>
      <c r="M9283" s="10"/>
      <c r="N9283" s="10"/>
      <c r="O9283" s="10"/>
      <c r="P9283" s="10"/>
      <c r="Q9283" s="10"/>
      <c r="R9283" s="10"/>
      <c r="S9283" s="10"/>
      <c r="T9283" s="10"/>
      <c r="U9283" s="10"/>
      <c r="V9283" s="10"/>
      <c r="W9283" s="10"/>
      <c r="X9283" s="10"/>
      <c r="Y9283" s="10"/>
      <c r="Z9283" s="10"/>
    </row>
    <row r="9284" spans="1:26" ht="12.75">
      <c r="A9284" s="10"/>
      <c r="B9284" s="10"/>
      <c r="C9284" s="10"/>
      <c r="D9284" s="10"/>
      <c r="E9284" s="10"/>
      <c r="F9284" s="10"/>
      <c r="G9284" s="10"/>
      <c r="H9284" s="10"/>
      <c r="I9284" s="10"/>
      <c r="J9284" s="10"/>
      <c r="K9284" s="10"/>
      <c r="L9284" s="10"/>
      <c r="M9284" s="10"/>
      <c r="N9284" s="10"/>
      <c r="O9284" s="10"/>
      <c r="P9284" s="10"/>
      <c r="Q9284" s="10"/>
      <c r="R9284" s="10"/>
      <c r="S9284" s="10"/>
      <c r="T9284" s="10"/>
      <c r="U9284" s="10"/>
      <c r="V9284" s="10"/>
      <c r="W9284" s="10"/>
      <c r="X9284" s="10"/>
      <c r="Y9284" s="10"/>
      <c r="Z9284" s="10"/>
    </row>
    <row r="9285" spans="1:26" ht="12.75">
      <c r="A9285" s="10"/>
      <c r="B9285" s="10"/>
      <c r="C9285" s="10"/>
      <c r="D9285" s="10"/>
      <c r="E9285" s="10"/>
      <c r="F9285" s="10"/>
      <c r="G9285" s="10"/>
      <c r="H9285" s="10"/>
      <c r="I9285" s="10"/>
      <c r="J9285" s="10"/>
      <c r="K9285" s="10"/>
      <c r="L9285" s="10"/>
      <c r="M9285" s="10"/>
      <c r="N9285" s="10"/>
      <c r="O9285" s="10"/>
      <c r="P9285" s="10"/>
      <c r="Q9285" s="10"/>
      <c r="R9285" s="10"/>
      <c r="S9285" s="10"/>
      <c r="T9285" s="10"/>
      <c r="U9285" s="10"/>
      <c r="V9285" s="10"/>
      <c r="W9285" s="10"/>
      <c r="X9285" s="10"/>
      <c r="Y9285" s="10"/>
      <c r="Z9285" s="10"/>
    </row>
    <row r="9286" spans="1:26" ht="12.75">
      <c r="A9286" s="10"/>
      <c r="B9286" s="10"/>
      <c r="C9286" s="10"/>
      <c r="D9286" s="10"/>
      <c r="E9286" s="10"/>
      <c r="F9286" s="10"/>
      <c r="G9286" s="10"/>
      <c r="H9286" s="10"/>
      <c r="I9286" s="10"/>
      <c r="J9286" s="10"/>
      <c r="K9286" s="10"/>
      <c r="L9286" s="10"/>
      <c r="M9286" s="10"/>
      <c r="N9286" s="10"/>
      <c r="O9286" s="10"/>
      <c r="P9286" s="10"/>
      <c r="Q9286" s="10"/>
      <c r="R9286" s="10"/>
      <c r="S9286" s="10"/>
      <c r="T9286" s="10"/>
      <c r="U9286" s="10"/>
      <c r="V9286" s="10"/>
      <c r="W9286" s="10"/>
      <c r="X9286" s="10"/>
      <c r="Y9286" s="10"/>
      <c r="Z9286" s="10"/>
    </row>
    <row r="9287" spans="1:26" ht="12.75">
      <c r="A9287" s="10"/>
      <c r="B9287" s="10"/>
      <c r="C9287" s="10"/>
      <c r="D9287" s="10"/>
      <c r="E9287" s="10"/>
      <c r="F9287" s="10"/>
      <c r="G9287" s="10"/>
      <c r="H9287" s="10"/>
      <c r="I9287" s="10"/>
      <c r="J9287" s="10"/>
      <c r="K9287" s="10"/>
      <c r="L9287" s="10"/>
      <c r="M9287" s="10"/>
      <c r="N9287" s="10"/>
      <c r="O9287" s="10"/>
      <c r="P9287" s="10"/>
      <c r="Q9287" s="10"/>
      <c r="R9287" s="10"/>
      <c r="S9287" s="10"/>
      <c r="T9287" s="10"/>
      <c r="U9287" s="10"/>
      <c r="V9287" s="10"/>
      <c r="W9287" s="10"/>
      <c r="X9287" s="10"/>
      <c r="Y9287" s="10"/>
      <c r="Z9287" s="10"/>
    </row>
    <row r="9288" spans="1:26" ht="12.75">
      <c r="A9288" s="10"/>
      <c r="B9288" s="10"/>
      <c r="C9288" s="10"/>
      <c r="D9288" s="10"/>
      <c r="E9288" s="10"/>
      <c r="F9288" s="10"/>
      <c r="G9288" s="10"/>
      <c r="H9288" s="10"/>
      <c r="I9288" s="10"/>
      <c r="J9288" s="10"/>
      <c r="K9288" s="10"/>
      <c r="L9288" s="10"/>
      <c r="M9288" s="10"/>
      <c r="N9288" s="10"/>
      <c r="O9288" s="10"/>
      <c r="P9288" s="10"/>
      <c r="Q9288" s="10"/>
      <c r="R9288" s="10"/>
      <c r="S9288" s="10"/>
      <c r="T9288" s="10"/>
      <c r="U9288" s="10"/>
      <c r="V9288" s="10"/>
      <c r="W9288" s="10"/>
      <c r="X9288" s="10"/>
      <c r="Y9288" s="10"/>
      <c r="Z9288" s="10"/>
    </row>
    <row r="9289" spans="1:26" ht="12.75">
      <c r="A9289" s="10"/>
      <c r="B9289" s="10"/>
      <c r="C9289" s="10"/>
      <c r="D9289" s="10"/>
      <c r="E9289" s="10"/>
      <c r="F9289" s="10"/>
      <c r="G9289" s="10"/>
      <c r="H9289" s="10"/>
      <c r="I9289" s="10"/>
      <c r="J9289" s="10"/>
      <c r="K9289" s="10"/>
      <c r="L9289" s="10"/>
      <c r="M9289" s="10"/>
      <c r="N9289" s="10"/>
      <c r="O9289" s="10"/>
      <c r="P9289" s="10"/>
      <c r="Q9289" s="10"/>
      <c r="R9289" s="10"/>
      <c r="S9289" s="10"/>
      <c r="T9289" s="10"/>
      <c r="U9289" s="10"/>
      <c r="V9289" s="10"/>
      <c r="W9289" s="10"/>
      <c r="X9289" s="10"/>
      <c r="Y9289" s="10"/>
      <c r="Z9289" s="10"/>
    </row>
    <row r="9290" spans="1:26" ht="12.75">
      <c r="A9290" s="10"/>
      <c r="B9290" s="10"/>
      <c r="C9290" s="10"/>
      <c r="D9290" s="10"/>
      <c r="E9290" s="10"/>
      <c r="F9290" s="10"/>
      <c r="G9290" s="10"/>
      <c r="H9290" s="10"/>
      <c r="I9290" s="10"/>
      <c r="J9290" s="10"/>
      <c r="K9290" s="10"/>
      <c r="L9290" s="10"/>
      <c r="M9290" s="10"/>
      <c r="N9290" s="10"/>
      <c r="O9290" s="10"/>
      <c r="P9290" s="10"/>
      <c r="Q9290" s="10"/>
      <c r="R9290" s="10"/>
      <c r="S9290" s="10"/>
      <c r="T9290" s="10"/>
      <c r="U9290" s="10"/>
      <c r="V9290" s="10"/>
      <c r="W9290" s="10"/>
      <c r="X9290" s="10"/>
      <c r="Y9290" s="10"/>
      <c r="Z9290" s="10"/>
    </row>
    <row r="9291" spans="1:26" ht="12.75">
      <c r="A9291" s="10"/>
      <c r="B9291" s="10"/>
      <c r="C9291" s="10"/>
      <c r="D9291" s="10"/>
      <c r="E9291" s="10"/>
      <c r="F9291" s="10"/>
      <c r="G9291" s="10"/>
      <c r="H9291" s="10"/>
      <c r="I9291" s="10"/>
      <c r="J9291" s="10"/>
      <c r="K9291" s="10"/>
      <c r="L9291" s="10"/>
      <c r="M9291" s="10"/>
      <c r="N9291" s="10"/>
      <c r="O9291" s="10"/>
      <c r="P9291" s="10"/>
      <c r="Q9291" s="10"/>
      <c r="R9291" s="10"/>
      <c r="S9291" s="10"/>
      <c r="T9291" s="10"/>
      <c r="U9291" s="10"/>
      <c r="V9291" s="10"/>
      <c r="W9291" s="10"/>
      <c r="X9291" s="10"/>
      <c r="Y9291" s="10"/>
      <c r="Z9291" s="10"/>
    </row>
    <row r="9292" spans="1:26" ht="12.75">
      <c r="A9292" s="10"/>
      <c r="B9292" s="10"/>
      <c r="C9292" s="10"/>
      <c r="D9292" s="10"/>
      <c r="E9292" s="10"/>
      <c r="F9292" s="10"/>
      <c r="G9292" s="10"/>
      <c r="H9292" s="10"/>
      <c r="I9292" s="10"/>
      <c r="J9292" s="10"/>
      <c r="K9292" s="10"/>
      <c r="L9292" s="10"/>
      <c r="M9292" s="10"/>
      <c r="N9292" s="10"/>
      <c r="O9292" s="10"/>
      <c r="P9292" s="10"/>
      <c r="Q9292" s="10"/>
      <c r="R9292" s="10"/>
      <c r="S9292" s="10"/>
      <c r="T9292" s="10"/>
      <c r="U9292" s="10"/>
      <c r="V9292" s="10"/>
      <c r="W9292" s="10"/>
      <c r="X9292" s="10"/>
      <c r="Y9292" s="10"/>
      <c r="Z9292" s="10"/>
    </row>
    <row r="9293" spans="1:26" ht="12.75">
      <c r="A9293" s="10"/>
      <c r="B9293" s="10"/>
      <c r="C9293" s="10"/>
      <c r="D9293" s="10"/>
      <c r="E9293" s="10"/>
      <c r="F9293" s="10"/>
      <c r="G9293" s="10"/>
      <c r="H9293" s="10"/>
      <c r="I9293" s="10"/>
      <c r="J9293" s="10"/>
      <c r="K9293" s="10"/>
      <c r="L9293" s="10"/>
      <c r="M9293" s="10"/>
      <c r="N9293" s="10"/>
      <c r="O9293" s="10"/>
      <c r="P9293" s="10"/>
      <c r="Q9293" s="10"/>
      <c r="R9293" s="10"/>
      <c r="S9293" s="10"/>
      <c r="T9293" s="10"/>
      <c r="U9293" s="10"/>
      <c r="V9293" s="10"/>
      <c r="W9293" s="10"/>
      <c r="X9293" s="10"/>
      <c r="Y9293" s="10"/>
      <c r="Z9293" s="10"/>
    </row>
    <row r="9294" spans="1:26" ht="12.75">
      <c r="A9294" s="10"/>
      <c r="B9294" s="10"/>
      <c r="C9294" s="10"/>
      <c r="D9294" s="10"/>
      <c r="E9294" s="10"/>
      <c r="F9294" s="10"/>
      <c r="G9294" s="10"/>
      <c r="H9294" s="10"/>
      <c r="I9294" s="10"/>
      <c r="J9294" s="10"/>
      <c r="K9294" s="10"/>
      <c r="L9294" s="10"/>
      <c r="M9294" s="10"/>
      <c r="N9294" s="10"/>
      <c r="O9294" s="10"/>
      <c r="P9294" s="10"/>
      <c r="Q9294" s="10"/>
      <c r="R9294" s="10"/>
      <c r="S9294" s="10"/>
      <c r="T9294" s="10"/>
      <c r="U9294" s="10"/>
      <c r="V9294" s="10"/>
      <c r="W9294" s="10"/>
      <c r="X9294" s="10"/>
      <c r="Y9294" s="10"/>
      <c r="Z9294" s="10"/>
    </row>
    <row r="9295" spans="1:26" ht="12.75">
      <c r="A9295" s="10"/>
      <c r="B9295" s="10"/>
      <c r="C9295" s="10"/>
      <c r="D9295" s="10"/>
      <c r="E9295" s="10"/>
      <c r="F9295" s="10"/>
      <c r="G9295" s="10"/>
      <c r="H9295" s="10"/>
      <c r="I9295" s="10"/>
      <c r="J9295" s="10"/>
      <c r="K9295" s="10"/>
      <c r="L9295" s="10"/>
      <c r="M9295" s="10"/>
      <c r="N9295" s="10"/>
      <c r="O9295" s="10"/>
      <c r="P9295" s="10"/>
      <c r="Q9295" s="10"/>
      <c r="R9295" s="10"/>
      <c r="S9295" s="10"/>
      <c r="T9295" s="10"/>
      <c r="U9295" s="10"/>
      <c r="V9295" s="10"/>
      <c r="W9295" s="10"/>
      <c r="X9295" s="10"/>
      <c r="Y9295" s="10"/>
      <c r="Z9295" s="10"/>
    </row>
    <row r="9296" spans="1:26" ht="12.75">
      <c r="A9296" s="10"/>
      <c r="B9296" s="10"/>
      <c r="C9296" s="10"/>
      <c r="D9296" s="10"/>
      <c r="E9296" s="10"/>
      <c r="F9296" s="10"/>
      <c r="G9296" s="10"/>
      <c r="H9296" s="10"/>
      <c r="I9296" s="10"/>
      <c r="J9296" s="10"/>
      <c r="K9296" s="10"/>
      <c r="L9296" s="10"/>
      <c r="M9296" s="10"/>
      <c r="N9296" s="10"/>
      <c r="O9296" s="10"/>
      <c r="P9296" s="10"/>
      <c r="Q9296" s="10"/>
      <c r="R9296" s="10"/>
      <c r="S9296" s="10"/>
      <c r="T9296" s="10"/>
      <c r="U9296" s="10"/>
      <c r="V9296" s="10"/>
      <c r="W9296" s="10"/>
      <c r="X9296" s="10"/>
      <c r="Y9296" s="10"/>
      <c r="Z9296" s="10"/>
    </row>
    <row r="9297" spans="1:26" ht="12.75">
      <c r="A9297" s="10"/>
      <c r="B9297" s="10"/>
      <c r="C9297" s="10"/>
      <c r="D9297" s="10"/>
      <c r="E9297" s="10"/>
      <c r="F9297" s="10"/>
      <c r="G9297" s="10"/>
      <c r="H9297" s="10"/>
      <c r="I9297" s="10"/>
      <c r="J9297" s="10"/>
      <c r="K9297" s="10"/>
      <c r="L9297" s="10"/>
      <c r="M9297" s="10"/>
      <c r="N9297" s="10"/>
      <c r="O9297" s="10"/>
      <c r="P9297" s="10"/>
      <c r="Q9297" s="10"/>
      <c r="R9297" s="10"/>
      <c r="S9297" s="10"/>
      <c r="T9297" s="10"/>
      <c r="U9297" s="10"/>
      <c r="V9297" s="10"/>
      <c r="W9297" s="10"/>
      <c r="X9297" s="10"/>
      <c r="Y9297" s="10"/>
      <c r="Z9297" s="10"/>
    </row>
    <row r="9298" spans="1:26" ht="12.75">
      <c r="A9298" s="10"/>
      <c r="B9298" s="10"/>
      <c r="C9298" s="10"/>
      <c r="D9298" s="10"/>
      <c r="E9298" s="10"/>
      <c r="F9298" s="10"/>
      <c r="G9298" s="10"/>
      <c r="H9298" s="10"/>
      <c r="I9298" s="10"/>
      <c r="J9298" s="10"/>
      <c r="K9298" s="10"/>
      <c r="L9298" s="10"/>
      <c r="M9298" s="10"/>
      <c r="N9298" s="10"/>
      <c r="O9298" s="10"/>
      <c r="P9298" s="10"/>
      <c r="Q9298" s="10"/>
      <c r="R9298" s="10"/>
      <c r="S9298" s="10"/>
      <c r="T9298" s="10"/>
      <c r="U9298" s="10"/>
      <c r="V9298" s="10"/>
      <c r="W9298" s="10"/>
      <c r="X9298" s="10"/>
      <c r="Y9298" s="10"/>
      <c r="Z9298" s="10"/>
    </row>
    <row r="9299" spans="1:26" ht="12.75">
      <c r="A9299" s="10"/>
      <c r="B9299" s="10"/>
      <c r="C9299" s="10"/>
      <c r="D9299" s="10"/>
      <c r="E9299" s="10"/>
      <c r="F9299" s="10"/>
      <c r="G9299" s="10"/>
      <c r="H9299" s="10"/>
      <c r="I9299" s="10"/>
      <c r="J9299" s="10"/>
      <c r="K9299" s="10"/>
      <c r="L9299" s="10"/>
      <c r="M9299" s="10"/>
      <c r="N9299" s="10"/>
      <c r="O9299" s="10"/>
      <c r="P9299" s="10"/>
      <c r="Q9299" s="10"/>
      <c r="R9299" s="10"/>
      <c r="S9299" s="10"/>
      <c r="T9299" s="10"/>
      <c r="U9299" s="10"/>
      <c r="V9299" s="10"/>
      <c r="W9299" s="10"/>
      <c r="X9299" s="10"/>
      <c r="Y9299" s="10"/>
      <c r="Z9299" s="10"/>
    </row>
    <row r="9300" spans="1:26" ht="12.75">
      <c r="A9300" s="10"/>
      <c r="B9300" s="10"/>
      <c r="C9300" s="10"/>
      <c r="D9300" s="10"/>
      <c r="E9300" s="10"/>
      <c r="F9300" s="10"/>
      <c r="G9300" s="10"/>
      <c r="H9300" s="10"/>
      <c r="I9300" s="10"/>
      <c r="J9300" s="10"/>
      <c r="K9300" s="10"/>
      <c r="L9300" s="10"/>
      <c r="M9300" s="10"/>
      <c r="N9300" s="10"/>
      <c r="O9300" s="10"/>
      <c r="P9300" s="10"/>
      <c r="Q9300" s="10"/>
      <c r="R9300" s="10"/>
      <c r="S9300" s="10"/>
      <c r="T9300" s="10"/>
      <c r="U9300" s="10"/>
      <c r="V9300" s="10"/>
      <c r="W9300" s="10"/>
      <c r="X9300" s="10"/>
      <c r="Y9300" s="10"/>
      <c r="Z9300" s="10"/>
    </row>
    <row r="9301" spans="1:26" ht="12.75">
      <c r="A9301" s="10"/>
      <c r="B9301" s="10"/>
      <c r="C9301" s="10"/>
      <c r="D9301" s="10"/>
      <c r="E9301" s="10"/>
      <c r="F9301" s="10"/>
      <c r="G9301" s="10"/>
      <c r="H9301" s="10"/>
      <c r="I9301" s="10"/>
      <c r="J9301" s="10"/>
      <c r="K9301" s="10"/>
      <c r="L9301" s="10"/>
      <c r="M9301" s="10"/>
      <c r="N9301" s="10"/>
      <c r="O9301" s="10"/>
      <c r="P9301" s="10"/>
      <c r="Q9301" s="10"/>
      <c r="R9301" s="10"/>
      <c r="S9301" s="10"/>
      <c r="T9301" s="10"/>
      <c r="U9301" s="10"/>
      <c r="V9301" s="10"/>
      <c r="W9301" s="10"/>
      <c r="X9301" s="10"/>
      <c r="Y9301" s="10"/>
      <c r="Z9301" s="10"/>
    </row>
    <row r="9302" spans="1:26" ht="12.75">
      <c r="A9302" s="10"/>
      <c r="B9302" s="10"/>
      <c r="C9302" s="10"/>
      <c r="D9302" s="10"/>
      <c r="E9302" s="10"/>
      <c r="F9302" s="10"/>
      <c r="G9302" s="10"/>
      <c r="H9302" s="10"/>
      <c r="I9302" s="10"/>
      <c r="J9302" s="10"/>
      <c r="K9302" s="10"/>
      <c r="L9302" s="10"/>
      <c r="M9302" s="10"/>
      <c r="N9302" s="10"/>
      <c r="O9302" s="10"/>
      <c r="P9302" s="10"/>
      <c r="Q9302" s="10"/>
      <c r="R9302" s="10"/>
      <c r="S9302" s="10"/>
      <c r="T9302" s="10"/>
      <c r="U9302" s="10"/>
      <c r="V9302" s="10"/>
      <c r="W9302" s="10"/>
      <c r="X9302" s="10"/>
      <c r="Y9302" s="10"/>
      <c r="Z9302" s="10"/>
    </row>
    <row r="9303" spans="1:26" ht="12.75">
      <c r="A9303" s="10"/>
      <c r="B9303" s="10"/>
      <c r="C9303" s="10"/>
      <c r="D9303" s="10"/>
      <c r="E9303" s="10"/>
      <c r="F9303" s="10"/>
      <c r="G9303" s="10"/>
      <c r="H9303" s="10"/>
      <c r="I9303" s="10"/>
      <c r="J9303" s="10"/>
      <c r="K9303" s="10"/>
      <c r="L9303" s="10"/>
      <c r="M9303" s="10"/>
      <c r="N9303" s="10"/>
      <c r="O9303" s="10"/>
      <c r="P9303" s="10"/>
      <c r="Q9303" s="10"/>
      <c r="R9303" s="10"/>
      <c r="S9303" s="10"/>
      <c r="T9303" s="10"/>
      <c r="U9303" s="10"/>
      <c r="V9303" s="10"/>
      <c r="W9303" s="10"/>
      <c r="X9303" s="10"/>
      <c r="Y9303" s="10"/>
      <c r="Z9303" s="10"/>
    </row>
    <row r="9304" spans="1:26" ht="12.75">
      <c r="A9304" s="10"/>
      <c r="B9304" s="10"/>
      <c r="C9304" s="10"/>
      <c r="D9304" s="10"/>
      <c r="E9304" s="10"/>
      <c r="F9304" s="10"/>
      <c r="G9304" s="10"/>
      <c r="H9304" s="10"/>
      <c r="I9304" s="10"/>
      <c r="J9304" s="10"/>
      <c r="K9304" s="10"/>
      <c r="L9304" s="10"/>
      <c r="M9304" s="10"/>
      <c r="N9304" s="10"/>
      <c r="O9304" s="10"/>
      <c r="P9304" s="10"/>
      <c r="Q9304" s="10"/>
      <c r="R9304" s="10"/>
      <c r="S9304" s="10"/>
      <c r="T9304" s="10"/>
      <c r="U9304" s="10"/>
      <c r="V9304" s="10"/>
      <c r="W9304" s="10"/>
      <c r="X9304" s="10"/>
      <c r="Y9304" s="10"/>
      <c r="Z9304" s="10"/>
    </row>
    <row r="9305" spans="1:26" ht="12.75">
      <c r="A9305" s="10"/>
      <c r="B9305" s="10"/>
      <c r="C9305" s="10"/>
      <c r="D9305" s="10"/>
      <c r="E9305" s="10"/>
      <c r="F9305" s="10"/>
      <c r="G9305" s="10"/>
      <c r="H9305" s="10"/>
      <c r="I9305" s="10"/>
      <c r="J9305" s="10"/>
      <c r="K9305" s="10"/>
      <c r="L9305" s="10"/>
      <c r="M9305" s="10"/>
      <c r="N9305" s="10"/>
      <c r="O9305" s="10"/>
      <c r="P9305" s="10"/>
      <c r="Q9305" s="10"/>
      <c r="R9305" s="10"/>
      <c r="S9305" s="10"/>
      <c r="T9305" s="10"/>
      <c r="U9305" s="10"/>
      <c r="V9305" s="10"/>
      <c r="W9305" s="10"/>
      <c r="X9305" s="10"/>
      <c r="Y9305" s="10"/>
      <c r="Z9305" s="10"/>
    </row>
    <row r="9306" spans="1:26" ht="12.75">
      <c r="A9306" s="10"/>
      <c r="B9306" s="10"/>
      <c r="C9306" s="10"/>
      <c r="D9306" s="10"/>
      <c r="E9306" s="10"/>
      <c r="F9306" s="10"/>
      <c r="G9306" s="10"/>
      <c r="H9306" s="10"/>
      <c r="I9306" s="10"/>
      <c r="J9306" s="10"/>
      <c r="K9306" s="10"/>
      <c r="L9306" s="10"/>
      <c r="M9306" s="10"/>
      <c r="N9306" s="10"/>
      <c r="O9306" s="10"/>
      <c r="P9306" s="10"/>
      <c r="Q9306" s="10"/>
      <c r="R9306" s="10"/>
      <c r="S9306" s="10"/>
      <c r="T9306" s="10"/>
      <c r="U9306" s="10"/>
      <c r="V9306" s="10"/>
      <c r="W9306" s="10"/>
      <c r="X9306" s="10"/>
      <c r="Y9306" s="10"/>
      <c r="Z9306" s="10"/>
    </row>
    <row r="9307" spans="1:26" ht="12.75">
      <c r="A9307" s="10"/>
      <c r="B9307" s="10"/>
      <c r="C9307" s="10"/>
      <c r="D9307" s="10"/>
      <c r="E9307" s="10"/>
      <c r="F9307" s="10"/>
      <c r="G9307" s="10"/>
      <c r="H9307" s="10"/>
      <c r="I9307" s="10"/>
      <c r="J9307" s="10"/>
      <c r="K9307" s="10"/>
      <c r="L9307" s="10"/>
      <c r="M9307" s="10"/>
      <c r="N9307" s="10"/>
      <c r="O9307" s="10"/>
      <c r="P9307" s="10"/>
      <c r="Q9307" s="10"/>
      <c r="R9307" s="10"/>
      <c r="S9307" s="10"/>
      <c r="T9307" s="10"/>
      <c r="U9307" s="10"/>
      <c r="V9307" s="10"/>
      <c r="W9307" s="10"/>
      <c r="X9307" s="10"/>
      <c r="Y9307" s="10"/>
      <c r="Z9307" s="10"/>
    </row>
    <row r="9308" spans="1:26" ht="12.75">
      <c r="A9308" s="10"/>
      <c r="B9308" s="10"/>
      <c r="C9308" s="10"/>
      <c r="D9308" s="10"/>
      <c r="E9308" s="10"/>
      <c r="F9308" s="10"/>
      <c r="G9308" s="10"/>
      <c r="H9308" s="10"/>
      <c r="I9308" s="10"/>
      <c r="J9308" s="10"/>
      <c r="K9308" s="10"/>
      <c r="L9308" s="10"/>
      <c r="M9308" s="10"/>
      <c r="N9308" s="10"/>
      <c r="O9308" s="10"/>
      <c r="P9308" s="10"/>
      <c r="Q9308" s="10"/>
      <c r="R9308" s="10"/>
      <c r="S9308" s="10"/>
      <c r="T9308" s="10"/>
      <c r="U9308" s="10"/>
      <c r="V9308" s="10"/>
      <c r="W9308" s="10"/>
      <c r="X9308" s="10"/>
      <c r="Y9308" s="10"/>
      <c r="Z9308" s="10"/>
    </row>
    <row r="9309" spans="1:26" ht="12.75">
      <c r="A9309" s="10"/>
      <c r="B9309" s="10"/>
      <c r="C9309" s="10"/>
      <c r="D9309" s="10"/>
      <c r="E9309" s="10"/>
      <c r="F9309" s="10"/>
      <c r="G9309" s="10"/>
      <c r="H9309" s="10"/>
      <c r="I9309" s="10"/>
      <c r="J9309" s="10"/>
      <c r="K9309" s="10"/>
      <c r="L9309" s="10"/>
      <c r="M9309" s="10"/>
      <c r="N9309" s="10"/>
      <c r="O9309" s="10"/>
      <c r="P9309" s="10"/>
      <c r="Q9309" s="10"/>
      <c r="R9309" s="10"/>
      <c r="S9309" s="10"/>
      <c r="T9309" s="10"/>
      <c r="U9309" s="10"/>
      <c r="V9309" s="10"/>
      <c r="W9309" s="10"/>
      <c r="X9309" s="10"/>
      <c r="Y9309" s="10"/>
      <c r="Z9309" s="10"/>
    </row>
    <row r="9310" spans="1:26" ht="12.75">
      <c r="A9310" s="10"/>
      <c r="B9310" s="10"/>
      <c r="C9310" s="10"/>
      <c r="D9310" s="10"/>
      <c r="E9310" s="10"/>
      <c r="F9310" s="10"/>
      <c r="G9310" s="10"/>
      <c r="H9310" s="10"/>
      <c r="I9310" s="10"/>
      <c r="J9310" s="10"/>
      <c r="K9310" s="10"/>
      <c r="L9310" s="10"/>
      <c r="M9310" s="10"/>
      <c r="N9310" s="10"/>
      <c r="O9310" s="10"/>
      <c r="P9310" s="10"/>
      <c r="Q9310" s="10"/>
      <c r="R9310" s="10"/>
      <c r="S9310" s="10"/>
      <c r="T9310" s="10"/>
      <c r="U9310" s="10"/>
      <c r="V9310" s="10"/>
      <c r="W9310" s="10"/>
      <c r="X9310" s="10"/>
      <c r="Y9310" s="10"/>
      <c r="Z9310" s="10"/>
    </row>
    <row r="9311" spans="1:26" ht="12.75">
      <c r="A9311" s="10"/>
      <c r="B9311" s="10"/>
      <c r="C9311" s="10"/>
      <c r="D9311" s="10"/>
      <c r="E9311" s="10"/>
      <c r="F9311" s="10"/>
      <c r="G9311" s="10"/>
      <c r="H9311" s="10"/>
      <c r="I9311" s="10"/>
      <c r="J9311" s="10"/>
      <c r="K9311" s="10"/>
      <c r="L9311" s="10"/>
      <c r="M9311" s="10"/>
      <c r="N9311" s="10"/>
      <c r="O9311" s="10"/>
      <c r="P9311" s="10"/>
      <c r="Q9311" s="10"/>
      <c r="R9311" s="10"/>
      <c r="S9311" s="10"/>
      <c r="T9311" s="10"/>
      <c r="U9311" s="10"/>
      <c r="V9311" s="10"/>
      <c r="W9311" s="10"/>
      <c r="X9311" s="10"/>
      <c r="Y9311" s="10"/>
      <c r="Z9311" s="10"/>
    </row>
    <row r="9312" spans="1:26" ht="12.75">
      <c r="A9312" s="10"/>
      <c r="B9312" s="10"/>
      <c r="C9312" s="10"/>
      <c r="D9312" s="10"/>
      <c r="E9312" s="10"/>
      <c r="F9312" s="10"/>
      <c r="G9312" s="10"/>
      <c r="H9312" s="10"/>
      <c r="I9312" s="10"/>
      <c r="J9312" s="10"/>
      <c r="K9312" s="10"/>
      <c r="L9312" s="10"/>
      <c r="M9312" s="10"/>
      <c r="N9312" s="10"/>
      <c r="O9312" s="10"/>
      <c r="P9312" s="10"/>
      <c r="Q9312" s="10"/>
      <c r="R9312" s="10"/>
      <c r="S9312" s="10"/>
      <c r="T9312" s="10"/>
      <c r="U9312" s="10"/>
      <c r="V9312" s="10"/>
      <c r="W9312" s="10"/>
      <c r="X9312" s="10"/>
      <c r="Y9312" s="10"/>
      <c r="Z9312" s="10"/>
    </row>
    <row r="9313" spans="1:26" ht="12.75">
      <c r="A9313" s="10"/>
      <c r="B9313" s="10"/>
      <c r="C9313" s="10"/>
      <c r="D9313" s="10"/>
      <c r="E9313" s="10"/>
      <c r="F9313" s="10"/>
      <c r="G9313" s="10"/>
      <c r="H9313" s="10"/>
      <c r="I9313" s="10"/>
      <c r="J9313" s="10"/>
      <c r="K9313" s="10"/>
      <c r="L9313" s="10"/>
      <c r="M9313" s="10"/>
      <c r="N9313" s="10"/>
      <c r="O9313" s="10"/>
      <c r="P9313" s="10"/>
      <c r="Q9313" s="10"/>
      <c r="R9313" s="10"/>
      <c r="S9313" s="10"/>
      <c r="T9313" s="10"/>
      <c r="U9313" s="10"/>
      <c r="V9313" s="10"/>
      <c r="W9313" s="10"/>
      <c r="X9313" s="10"/>
      <c r="Y9313" s="10"/>
      <c r="Z9313" s="10"/>
    </row>
    <row r="9314" spans="1:26" ht="12.75">
      <c r="A9314" s="10"/>
      <c r="B9314" s="10"/>
      <c r="C9314" s="10"/>
      <c r="D9314" s="10"/>
      <c r="E9314" s="10"/>
      <c r="F9314" s="10"/>
      <c r="G9314" s="10"/>
      <c r="H9314" s="10"/>
      <c r="I9314" s="10"/>
      <c r="J9314" s="10"/>
      <c r="K9314" s="10"/>
      <c r="L9314" s="10"/>
      <c r="M9314" s="10"/>
      <c r="N9314" s="10"/>
      <c r="O9314" s="10"/>
      <c r="P9314" s="10"/>
      <c r="Q9314" s="10"/>
      <c r="R9314" s="10"/>
      <c r="S9314" s="10"/>
      <c r="T9314" s="10"/>
      <c r="U9314" s="10"/>
      <c r="V9314" s="10"/>
      <c r="W9314" s="10"/>
      <c r="X9314" s="10"/>
      <c r="Y9314" s="10"/>
      <c r="Z9314" s="10"/>
    </row>
    <row r="9315" spans="1:26" ht="12.75">
      <c r="A9315" s="10"/>
      <c r="B9315" s="10"/>
      <c r="C9315" s="10"/>
      <c r="D9315" s="10"/>
      <c r="E9315" s="10"/>
      <c r="F9315" s="10"/>
      <c r="G9315" s="10"/>
      <c r="H9315" s="10"/>
      <c r="I9315" s="10"/>
      <c r="J9315" s="10"/>
      <c r="K9315" s="10"/>
      <c r="L9315" s="10"/>
      <c r="M9315" s="10"/>
      <c r="N9315" s="10"/>
      <c r="O9315" s="10"/>
      <c r="P9315" s="10"/>
      <c r="Q9315" s="10"/>
      <c r="R9315" s="10"/>
      <c r="S9315" s="10"/>
      <c r="T9315" s="10"/>
      <c r="U9315" s="10"/>
      <c r="V9315" s="10"/>
      <c r="W9315" s="10"/>
      <c r="X9315" s="10"/>
      <c r="Y9315" s="10"/>
      <c r="Z9315" s="10"/>
    </row>
    <row r="9316" spans="1:26" ht="12.75">
      <c r="A9316" s="10"/>
      <c r="B9316" s="10"/>
      <c r="C9316" s="10"/>
      <c r="D9316" s="10"/>
      <c r="E9316" s="10"/>
      <c r="F9316" s="10"/>
      <c r="G9316" s="10"/>
      <c r="H9316" s="10"/>
      <c r="I9316" s="10"/>
      <c r="J9316" s="10"/>
      <c r="K9316" s="10"/>
      <c r="L9316" s="10"/>
      <c r="M9316" s="10"/>
      <c r="N9316" s="10"/>
      <c r="O9316" s="10"/>
      <c r="P9316" s="10"/>
      <c r="Q9316" s="10"/>
      <c r="R9316" s="10"/>
      <c r="S9316" s="10"/>
      <c r="T9316" s="10"/>
      <c r="U9316" s="10"/>
      <c r="V9316" s="10"/>
      <c r="W9316" s="10"/>
      <c r="X9316" s="10"/>
      <c r="Y9316" s="10"/>
      <c r="Z9316" s="10"/>
    </row>
    <row r="9317" spans="1:26" ht="12.75">
      <c r="A9317" s="10"/>
      <c r="B9317" s="10"/>
      <c r="C9317" s="10"/>
      <c r="D9317" s="10"/>
      <c r="E9317" s="10"/>
      <c r="F9317" s="10"/>
      <c r="G9317" s="10"/>
      <c r="H9317" s="10"/>
      <c r="I9317" s="10"/>
      <c r="J9317" s="10"/>
      <c r="K9317" s="10"/>
      <c r="L9317" s="10"/>
      <c r="M9317" s="10"/>
      <c r="N9317" s="10"/>
      <c r="O9317" s="10"/>
      <c r="P9317" s="10"/>
      <c r="Q9317" s="10"/>
      <c r="R9317" s="10"/>
      <c r="S9317" s="10"/>
      <c r="T9317" s="10"/>
      <c r="U9317" s="10"/>
      <c r="V9317" s="10"/>
      <c r="W9317" s="10"/>
      <c r="X9317" s="10"/>
      <c r="Y9317" s="10"/>
      <c r="Z9317" s="10"/>
    </row>
    <row r="9318" spans="1:26" ht="12.75">
      <c r="A9318" s="10"/>
      <c r="B9318" s="10"/>
      <c r="C9318" s="10"/>
      <c r="D9318" s="10"/>
      <c r="E9318" s="10"/>
      <c r="F9318" s="10"/>
      <c r="G9318" s="10"/>
      <c r="H9318" s="10"/>
      <c r="I9318" s="10"/>
      <c r="J9318" s="10"/>
      <c r="K9318" s="10"/>
      <c r="L9318" s="10"/>
      <c r="M9318" s="10"/>
      <c r="N9318" s="10"/>
      <c r="O9318" s="10"/>
      <c r="P9318" s="10"/>
      <c r="Q9318" s="10"/>
      <c r="R9318" s="10"/>
      <c r="S9318" s="10"/>
      <c r="T9318" s="10"/>
      <c r="U9318" s="10"/>
      <c r="V9318" s="10"/>
      <c r="W9318" s="10"/>
      <c r="X9318" s="10"/>
      <c r="Y9318" s="10"/>
      <c r="Z9318" s="10"/>
    </row>
    <row r="9319" spans="1:26" ht="12.75">
      <c r="A9319" s="10"/>
      <c r="B9319" s="10"/>
      <c r="C9319" s="10"/>
      <c r="D9319" s="10"/>
      <c r="E9319" s="10"/>
      <c r="F9319" s="10"/>
      <c r="G9319" s="10"/>
      <c r="H9319" s="10"/>
      <c r="I9319" s="10"/>
      <c r="J9319" s="10"/>
      <c r="K9319" s="10"/>
      <c r="L9319" s="10"/>
      <c r="M9319" s="10"/>
      <c r="N9319" s="10"/>
      <c r="O9319" s="10"/>
      <c r="P9319" s="10"/>
      <c r="Q9319" s="10"/>
      <c r="R9319" s="10"/>
      <c r="S9319" s="10"/>
      <c r="T9319" s="10"/>
      <c r="U9319" s="10"/>
      <c r="V9319" s="10"/>
      <c r="W9319" s="10"/>
      <c r="X9319" s="10"/>
      <c r="Y9319" s="10"/>
      <c r="Z9319" s="10"/>
    </row>
    <row r="9320" spans="1:26" ht="12.75">
      <c r="A9320" s="10"/>
      <c r="B9320" s="10"/>
      <c r="C9320" s="10"/>
      <c r="D9320" s="10"/>
      <c r="E9320" s="10"/>
      <c r="F9320" s="10"/>
      <c r="G9320" s="10"/>
      <c r="H9320" s="10"/>
      <c r="I9320" s="10"/>
      <c r="J9320" s="10"/>
      <c r="K9320" s="10"/>
      <c r="L9320" s="10"/>
      <c r="M9320" s="10"/>
      <c r="N9320" s="10"/>
      <c r="O9320" s="10"/>
      <c r="P9320" s="10"/>
      <c r="Q9320" s="10"/>
      <c r="R9320" s="10"/>
      <c r="S9320" s="10"/>
      <c r="T9320" s="10"/>
      <c r="U9320" s="10"/>
      <c r="V9320" s="10"/>
      <c r="W9320" s="10"/>
      <c r="X9320" s="10"/>
      <c r="Y9320" s="10"/>
      <c r="Z9320" s="10"/>
    </row>
    <row r="9321" spans="1:26" ht="12.75">
      <c r="A9321" s="10"/>
      <c r="B9321" s="10"/>
      <c r="C9321" s="10"/>
      <c r="D9321" s="10"/>
      <c r="E9321" s="10"/>
      <c r="F9321" s="10"/>
      <c r="G9321" s="10"/>
      <c r="H9321" s="10"/>
      <c r="I9321" s="10"/>
      <c r="J9321" s="10"/>
      <c r="K9321" s="10"/>
      <c r="L9321" s="10"/>
      <c r="M9321" s="10"/>
      <c r="N9321" s="10"/>
      <c r="O9321" s="10"/>
      <c r="P9321" s="10"/>
      <c r="Q9321" s="10"/>
      <c r="R9321" s="10"/>
      <c r="S9321" s="10"/>
      <c r="T9321" s="10"/>
      <c r="U9321" s="10"/>
      <c r="V9321" s="10"/>
      <c r="W9321" s="10"/>
      <c r="X9321" s="10"/>
      <c r="Y9321" s="10"/>
      <c r="Z9321" s="10"/>
    </row>
    <row r="9322" spans="1:26" ht="12.75">
      <c r="A9322" s="10"/>
      <c r="B9322" s="10"/>
      <c r="C9322" s="10"/>
      <c r="D9322" s="10"/>
      <c r="E9322" s="10"/>
      <c r="F9322" s="10"/>
      <c r="G9322" s="10"/>
      <c r="H9322" s="10"/>
      <c r="I9322" s="10"/>
      <c r="J9322" s="10"/>
      <c r="K9322" s="10"/>
      <c r="L9322" s="10"/>
      <c r="M9322" s="10"/>
      <c r="N9322" s="10"/>
      <c r="O9322" s="10"/>
      <c r="P9322" s="10"/>
      <c r="Q9322" s="10"/>
      <c r="R9322" s="10"/>
      <c r="S9322" s="10"/>
      <c r="T9322" s="10"/>
      <c r="U9322" s="10"/>
      <c r="V9322" s="10"/>
      <c r="W9322" s="10"/>
      <c r="X9322" s="10"/>
      <c r="Y9322" s="10"/>
      <c r="Z9322" s="10"/>
    </row>
    <row r="9323" spans="1:26" ht="12.75">
      <c r="A9323" s="10"/>
      <c r="B9323" s="10"/>
      <c r="C9323" s="10"/>
      <c r="D9323" s="10"/>
      <c r="E9323" s="10"/>
      <c r="F9323" s="10"/>
      <c r="G9323" s="10"/>
      <c r="H9323" s="10"/>
      <c r="I9323" s="10"/>
      <c r="J9323" s="10"/>
      <c r="K9323" s="10"/>
      <c r="L9323" s="10"/>
      <c r="M9323" s="10"/>
      <c r="N9323" s="10"/>
      <c r="O9323" s="10"/>
      <c r="P9323" s="10"/>
      <c r="Q9323" s="10"/>
      <c r="R9323" s="10"/>
      <c r="S9323" s="10"/>
      <c r="T9323" s="10"/>
      <c r="U9323" s="10"/>
      <c r="V9323" s="10"/>
      <c r="W9323" s="10"/>
      <c r="X9323" s="10"/>
      <c r="Y9323" s="10"/>
      <c r="Z9323" s="10"/>
    </row>
    <row r="9324" spans="1:26" ht="12.75">
      <c r="A9324" s="10"/>
      <c r="B9324" s="10"/>
      <c r="C9324" s="10"/>
      <c r="D9324" s="10"/>
      <c r="E9324" s="10"/>
      <c r="F9324" s="10"/>
      <c r="G9324" s="10"/>
      <c r="H9324" s="10"/>
      <c r="I9324" s="10"/>
      <c r="J9324" s="10"/>
      <c r="K9324" s="10"/>
      <c r="L9324" s="10"/>
      <c r="M9324" s="10"/>
      <c r="N9324" s="10"/>
      <c r="O9324" s="10"/>
      <c r="P9324" s="10"/>
      <c r="Q9324" s="10"/>
      <c r="R9324" s="10"/>
      <c r="S9324" s="10"/>
      <c r="T9324" s="10"/>
      <c r="U9324" s="10"/>
      <c r="V9324" s="10"/>
      <c r="W9324" s="10"/>
      <c r="X9324" s="10"/>
      <c r="Y9324" s="10"/>
      <c r="Z9324" s="10"/>
    </row>
    <row r="9325" spans="1:26" ht="12.75">
      <c r="A9325" s="10"/>
      <c r="B9325" s="10"/>
      <c r="C9325" s="10"/>
      <c r="D9325" s="10"/>
      <c r="E9325" s="10"/>
      <c r="F9325" s="10"/>
      <c r="G9325" s="10"/>
      <c r="H9325" s="10"/>
      <c r="I9325" s="10"/>
      <c r="J9325" s="10"/>
      <c r="K9325" s="10"/>
      <c r="L9325" s="10"/>
      <c r="M9325" s="10"/>
      <c r="N9325" s="10"/>
      <c r="O9325" s="10"/>
      <c r="P9325" s="10"/>
      <c r="Q9325" s="10"/>
      <c r="R9325" s="10"/>
      <c r="S9325" s="10"/>
      <c r="T9325" s="10"/>
      <c r="U9325" s="10"/>
      <c r="V9325" s="10"/>
      <c r="W9325" s="10"/>
      <c r="X9325" s="10"/>
      <c r="Y9325" s="10"/>
      <c r="Z9325" s="10"/>
    </row>
    <row r="9326" spans="1:26" ht="12.75">
      <c r="A9326" s="10"/>
      <c r="B9326" s="10"/>
      <c r="C9326" s="10"/>
      <c r="D9326" s="10"/>
      <c r="E9326" s="10"/>
      <c r="F9326" s="10"/>
      <c r="G9326" s="10"/>
      <c r="H9326" s="10"/>
      <c r="I9326" s="10"/>
      <c r="J9326" s="10"/>
      <c r="K9326" s="10"/>
      <c r="L9326" s="10"/>
      <c r="M9326" s="10"/>
      <c r="N9326" s="10"/>
      <c r="O9326" s="10"/>
      <c r="P9326" s="10"/>
      <c r="Q9326" s="10"/>
      <c r="R9326" s="10"/>
      <c r="S9326" s="10"/>
      <c r="T9326" s="10"/>
      <c r="U9326" s="10"/>
      <c r="V9326" s="10"/>
      <c r="W9326" s="10"/>
      <c r="X9326" s="10"/>
      <c r="Y9326" s="10"/>
      <c r="Z9326" s="10"/>
    </row>
    <row r="9327" spans="1:26" ht="12.75">
      <c r="A9327" s="10"/>
      <c r="B9327" s="10"/>
      <c r="C9327" s="10"/>
      <c r="D9327" s="10"/>
      <c r="E9327" s="10"/>
      <c r="F9327" s="10"/>
      <c r="G9327" s="10"/>
      <c r="H9327" s="10"/>
      <c r="I9327" s="10"/>
      <c r="J9327" s="10"/>
      <c r="K9327" s="10"/>
      <c r="L9327" s="10"/>
      <c r="M9327" s="10"/>
      <c r="N9327" s="10"/>
      <c r="O9327" s="10"/>
      <c r="P9327" s="10"/>
      <c r="Q9327" s="10"/>
      <c r="R9327" s="10"/>
      <c r="S9327" s="10"/>
      <c r="T9327" s="10"/>
      <c r="U9327" s="10"/>
      <c r="V9327" s="10"/>
      <c r="W9327" s="10"/>
      <c r="X9327" s="10"/>
      <c r="Y9327" s="10"/>
      <c r="Z9327" s="10"/>
    </row>
    <row r="9328" spans="1:26" ht="12.75">
      <c r="A9328" s="10"/>
      <c r="B9328" s="10"/>
      <c r="C9328" s="10"/>
      <c r="D9328" s="10"/>
      <c r="E9328" s="10"/>
      <c r="F9328" s="10"/>
      <c r="G9328" s="10"/>
      <c r="H9328" s="10"/>
      <c r="I9328" s="10"/>
      <c r="J9328" s="10"/>
      <c r="K9328" s="10"/>
      <c r="L9328" s="10"/>
      <c r="M9328" s="10"/>
      <c r="N9328" s="10"/>
      <c r="O9328" s="10"/>
      <c r="P9328" s="10"/>
      <c r="Q9328" s="10"/>
      <c r="R9328" s="10"/>
      <c r="S9328" s="10"/>
      <c r="T9328" s="10"/>
      <c r="U9328" s="10"/>
      <c r="V9328" s="10"/>
      <c r="W9328" s="10"/>
      <c r="X9328" s="10"/>
      <c r="Y9328" s="10"/>
      <c r="Z9328" s="10"/>
    </row>
    <row r="9329" spans="1:26" ht="12.75">
      <c r="A9329" s="10"/>
      <c r="B9329" s="10"/>
      <c r="C9329" s="10"/>
      <c r="D9329" s="10"/>
      <c r="E9329" s="10"/>
      <c r="F9329" s="10"/>
      <c r="G9329" s="10"/>
      <c r="H9329" s="10"/>
      <c r="I9329" s="10"/>
      <c r="J9329" s="10"/>
      <c r="K9329" s="10"/>
      <c r="L9329" s="10"/>
      <c r="M9329" s="10"/>
      <c r="N9329" s="10"/>
      <c r="O9329" s="10"/>
      <c r="P9329" s="10"/>
      <c r="Q9329" s="10"/>
      <c r="R9329" s="10"/>
      <c r="S9329" s="10"/>
      <c r="T9329" s="10"/>
      <c r="U9329" s="10"/>
      <c r="V9329" s="10"/>
      <c r="W9329" s="10"/>
      <c r="X9329" s="10"/>
      <c r="Y9329" s="10"/>
      <c r="Z9329" s="10"/>
    </row>
    <row r="9330" spans="1:26" ht="12.75">
      <c r="A9330" s="10"/>
      <c r="B9330" s="10"/>
      <c r="C9330" s="10"/>
      <c r="D9330" s="10"/>
      <c r="E9330" s="10"/>
      <c r="F9330" s="10"/>
      <c r="G9330" s="10"/>
      <c r="H9330" s="10"/>
      <c r="I9330" s="10"/>
      <c r="J9330" s="10"/>
      <c r="K9330" s="10"/>
      <c r="L9330" s="10"/>
      <c r="M9330" s="10"/>
      <c r="N9330" s="10"/>
      <c r="O9330" s="10"/>
      <c r="P9330" s="10"/>
      <c r="Q9330" s="10"/>
      <c r="R9330" s="10"/>
      <c r="S9330" s="10"/>
      <c r="T9330" s="10"/>
      <c r="U9330" s="10"/>
      <c r="V9330" s="10"/>
      <c r="W9330" s="10"/>
      <c r="X9330" s="10"/>
      <c r="Y9330" s="10"/>
      <c r="Z9330" s="10"/>
    </row>
    <row r="9331" spans="1:26" ht="12.75">
      <c r="A9331" s="10"/>
      <c r="B9331" s="10"/>
      <c r="C9331" s="10"/>
      <c r="D9331" s="10"/>
      <c r="E9331" s="10"/>
      <c r="F9331" s="10"/>
      <c r="G9331" s="10"/>
      <c r="H9331" s="10"/>
      <c r="I9331" s="10"/>
      <c r="J9331" s="10"/>
      <c r="K9331" s="10"/>
      <c r="L9331" s="10"/>
      <c r="M9331" s="10"/>
      <c r="N9331" s="10"/>
      <c r="O9331" s="10"/>
      <c r="P9331" s="10"/>
      <c r="Q9331" s="10"/>
      <c r="R9331" s="10"/>
      <c r="S9331" s="10"/>
      <c r="T9331" s="10"/>
      <c r="U9331" s="10"/>
      <c r="V9331" s="10"/>
      <c r="W9331" s="10"/>
      <c r="X9331" s="10"/>
      <c r="Y9331" s="10"/>
      <c r="Z9331" s="10"/>
    </row>
    <row r="9332" spans="1:26" ht="12.75">
      <c r="A9332" s="10"/>
      <c r="B9332" s="10"/>
      <c r="C9332" s="10"/>
      <c r="D9332" s="10"/>
      <c r="E9332" s="10"/>
      <c r="F9332" s="10"/>
      <c r="G9332" s="10"/>
      <c r="H9332" s="10"/>
      <c r="I9332" s="10"/>
      <c r="J9332" s="10"/>
      <c r="K9332" s="10"/>
      <c r="L9332" s="10"/>
      <c r="M9332" s="10"/>
      <c r="N9332" s="10"/>
      <c r="O9332" s="10"/>
      <c r="P9332" s="10"/>
      <c r="Q9332" s="10"/>
      <c r="R9332" s="10"/>
      <c r="S9332" s="10"/>
      <c r="T9332" s="10"/>
      <c r="U9332" s="10"/>
      <c r="V9332" s="10"/>
      <c r="W9332" s="10"/>
      <c r="X9332" s="10"/>
      <c r="Y9332" s="10"/>
      <c r="Z9332" s="10"/>
    </row>
    <row r="9333" spans="1:26" ht="12.75">
      <c r="A9333" s="10"/>
      <c r="B9333" s="10"/>
      <c r="C9333" s="10"/>
      <c r="D9333" s="10"/>
      <c r="E9333" s="10"/>
      <c r="F9333" s="10"/>
      <c r="G9333" s="10"/>
      <c r="H9333" s="10"/>
      <c r="I9333" s="10"/>
      <c r="J9333" s="10"/>
      <c r="K9333" s="10"/>
      <c r="L9333" s="10"/>
      <c r="M9333" s="10"/>
      <c r="N9333" s="10"/>
      <c r="O9333" s="10"/>
      <c r="P9333" s="10"/>
      <c r="Q9333" s="10"/>
      <c r="R9333" s="10"/>
      <c r="S9333" s="10"/>
      <c r="T9333" s="10"/>
      <c r="U9333" s="10"/>
      <c r="V9333" s="10"/>
      <c r="W9333" s="10"/>
      <c r="X9333" s="10"/>
      <c r="Y9333" s="10"/>
      <c r="Z9333" s="10"/>
    </row>
    <row r="9334" spans="1:26" ht="12.75">
      <c r="A9334" s="10"/>
      <c r="B9334" s="10"/>
      <c r="C9334" s="10"/>
      <c r="D9334" s="10"/>
      <c r="E9334" s="10"/>
      <c r="F9334" s="10"/>
      <c r="G9334" s="10"/>
      <c r="H9334" s="10"/>
      <c r="I9334" s="10"/>
      <c r="J9334" s="10"/>
      <c r="K9334" s="10"/>
      <c r="L9334" s="10"/>
      <c r="M9334" s="10"/>
      <c r="N9334" s="10"/>
      <c r="O9334" s="10"/>
      <c r="P9334" s="10"/>
      <c r="Q9334" s="10"/>
      <c r="R9334" s="10"/>
      <c r="S9334" s="10"/>
      <c r="T9334" s="10"/>
      <c r="U9334" s="10"/>
      <c r="V9334" s="10"/>
      <c r="W9334" s="10"/>
      <c r="X9334" s="10"/>
      <c r="Y9334" s="10"/>
      <c r="Z9334" s="10"/>
    </row>
    <row r="9335" spans="1:26" ht="12.75">
      <c r="A9335" s="10"/>
      <c r="B9335" s="10"/>
      <c r="C9335" s="10"/>
      <c r="D9335" s="10"/>
      <c r="E9335" s="10"/>
      <c r="F9335" s="10"/>
      <c r="G9335" s="10"/>
      <c r="H9335" s="10"/>
      <c r="I9335" s="10"/>
      <c r="J9335" s="10"/>
      <c r="K9335" s="10"/>
      <c r="L9335" s="10"/>
      <c r="M9335" s="10"/>
      <c r="N9335" s="10"/>
      <c r="O9335" s="10"/>
      <c r="P9335" s="10"/>
      <c r="Q9335" s="10"/>
      <c r="R9335" s="10"/>
      <c r="S9335" s="10"/>
      <c r="T9335" s="10"/>
      <c r="U9335" s="10"/>
      <c r="V9335" s="10"/>
      <c r="W9335" s="10"/>
      <c r="X9335" s="10"/>
      <c r="Y9335" s="10"/>
      <c r="Z9335" s="10"/>
    </row>
    <row r="9336" spans="1:26" ht="12.75">
      <c r="A9336" s="10"/>
      <c r="B9336" s="10"/>
      <c r="C9336" s="10"/>
      <c r="D9336" s="10"/>
      <c r="E9336" s="10"/>
      <c r="F9336" s="10"/>
      <c r="G9336" s="10"/>
      <c r="H9336" s="10"/>
      <c r="I9336" s="10"/>
      <c r="J9336" s="10"/>
      <c r="K9336" s="10"/>
      <c r="L9336" s="10"/>
      <c r="M9336" s="10"/>
      <c r="N9336" s="10"/>
      <c r="O9336" s="10"/>
      <c r="P9336" s="10"/>
      <c r="Q9336" s="10"/>
      <c r="R9336" s="10"/>
      <c r="S9336" s="10"/>
      <c r="T9336" s="10"/>
      <c r="U9336" s="10"/>
      <c r="V9336" s="10"/>
      <c r="W9336" s="10"/>
      <c r="X9336" s="10"/>
      <c r="Y9336" s="10"/>
      <c r="Z9336" s="10"/>
    </row>
    <row r="9337" spans="1:26" ht="12.75">
      <c r="A9337" s="10"/>
      <c r="B9337" s="10"/>
      <c r="C9337" s="10"/>
      <c r="D9337" s="10"/>
      <c r="E9337" s="10"/>
      <c r="F9337" s="10"/>
      <c r="G9337" s="10"/>
      <c r="H9337" s="10"/>
      <c r="I9337" s="10"/>
      <c r="J9337" s="10"/>
      <c r="K9337" s="10"/>
      <c r="L9337" s="10"/>
      <c r="M9337" s="10"/>
      <c r="N9337" s="10"/>
      <c r="O9337" s="10"/>
      <c r="P9337" s="10"/>
      <c r="Q9337" s="10"/>
      <c r="R9337" s="10"/>
      <c r="S9337" s="10"/>
      <c r="T9337" s="10"/>
      <c r="U9337" s="10"/>
      <c r="V9337" s="10"/>
      <c r="W9337" s="10"/>
      <c r="X9337" s="10"/>
      <c r="Y9337" s="10"/>
      <c r="Z9337" s="10"/>
    </row>
    <row r="9338" spans="1:26" ht="12.75">
      <c r="A9338" s="10"/>
      <c r="B9338" s="10"/>
      <c r="C9338" s="10"/>
      <c r="D9338" s="10"/>
      <c r="E9338" s="10"/>
      <c r="F9338" s="10"/>
      <c r="G9338" s="10"/>
      <c r="H9338" s="10"/>
      <c r="I9338" s="10"/>
      <c r="J9338" s="10"/>
      <c r="K9338" s="10"/>
      <c r="L9338" s="10"/>
      <c r="M9338" s="10"/>
      <c r="N9338" s="10"/>
      <c r="O9338" s="10"/>
      <c r="P9338" s="10"/>
      <c r="Q9338" s="10"/>
      <c r="R9338" s="10"/>
      <c r="S9338" s="10"/>
      <c r="T9338" s="10"/>
      <c r="U9338" s="10"/>
      <c r="V9338" s="10"/>
      <c r="W9338" s="10"/>
      <c r="X9338" s="10"/>
      <c r="Y9338" s="10"/>
      <c r="Z9338" s="10"/>
    </row>
    <row r="9339" spans="1:26" ht="12.75">
      <c r="A9339" s="10"/>
      <c r="B9339" s="10"/>
      <c r="C9339" s="10"/>
      <c r="D9339" s="10"/>
      <c r="E9339" s="10"/>
      <c r="F9339" s="10"/>
      <c r="G9339" s="10"/>
      <c r="H9339" s="10"/>
      <c r="I9339" s="10"/>
      <c r="J9339" s="10"/>
      <c r="K9339" s="10"/>
      <c r="L9339" s="10"/>
      <c r="M9339" s="10"/>
      <c r="N9339" s="10"/>
      <c r="O9339" s="10"/>
      <c r="P9339" s="10"/>
      <c r="Q9339" s="10"/>
      <c r="R9339" s="10"/>
      <c r="S9339" s="10"/>
      <c r="T9339" s="10"/>
      <c r="U9339" s="10"/>
      <c r="V9339" s="10"/>
      <c r="W9339" s="10"/>
      <c r="X9339" s="10"/>
      <c r="Y9339" s="10"/>
      <c r="Z9339" s="10"/>
    </row>
    <row r="9340" spans="1:26" ht="12.75">
      <c r="A9340" s="10"/>
      <c r="B9340" s="10"/>
      <c r="C9340" s="10"/>
      <c r="D9340" s="10"/>
      <c r="E9340" s="10"/>
      <c r="F9340" s="10"/>
      <c r="G9340" s="10"/>
      <c r="H9340" s="10"/>
      <c r="I9340" s="10"/>
      <c r="J9340" s="10"/>
      <c r="K9340" s="10"/>
      <c r="L9340" s="10"/>
      <c r="M9340" s="10"/>
      <c r="N9340" s="10"/>
      <c r="O9340" s="10"/>
      <c r="P9340" s="10"/>
      <c r="Q9340" s="10"/>
      <c r="R9340" s="10"/>
      <c r="S9340" s="10"/>
      <c r="T9340" s="10"/>
      <c r="U9340" s="10"/>
      <c r="V9340" s="10"/>
      <c r="W9340" s="10"/>
      <c r="X9340" s="10"/>
      <c r="Y9340" s="10"/>
      <c r="Z9340" s="10"/>
    </row>
    <row r="9341" spans="1:26" ht="12.75">
      <c r="A9341" s="10"/>
      <c r="B9341" s="10"/>
      <c r="C9341" s="10"/>
      <c r="D9341" s="10"/>
      <c r="E9341" s="10"/>
      <c r="F9341" s="10"/>
      <c r="G9341" s="10"/>
      <c r="H9341" s="10"/>
      <c r="I9341" s="10"/>
      <c r="J9341" s="10"/>
      <c r="K9341" s="10"/>
      <c r="L9341" s="10"/>
      <c r="M9341" s="10"/>
      <c r="N9341" s="10"/>
      <c r="O9341" s="10"/>
      <c r="P9341" s="10"/>
      <c r="Q9341" s="10"/>
      <c r="R9341" s="10"/>
      <c r="S9341" s="10"/>
      <c r="T9341" s="10"/>
      <c r="U9341" s="10"/>
      <c r="V9341" s="10"/>
      <c r="W9341" s="10"/>
      <c r="X9341" s="10"/>
      <c r="Y9341" s="10"/>
      <c r="Z9341" s="10"/>
    </row>
    <row r="9342" spans="1:26" ht="12.75">
      <c r="A9342" s="10"/>
      <c r="B9342" s="10"/>
      <c r="C9342" s="10"/>
      <c r="D9342" s="10"/>
      <c r="E9342" s="10"/>
      <c r="F9342" s="10"/>
      <c r="G9342" s="10"/>
      <c r="H9342" s="10"/>
      <c r="I9342" s="10"/>
      <c r="J9342" s="10"/>
      <c r="K9342" s="10"/>
      <c r="L9342" s="10"/>
      <c r="M9342" s="10"/>
      <c r="N9342" s="10"/>
      <c r="O9342" s="10"/>
      <c r="P9342" s="10"/>
      <c r="Q9342" s="10"/>
      <c r="R9342" s="10"/>
      <c r="S9342" s="10"/>
      <c r="T9342" s="10"/>
      <c r="U9342" s="10"/>
      <c r="V9342" s="10"/>
      <c r="W9342" s="10"/>
      <c r="X9342" s="10"/>
      <c r="Y9342" s="10"/>
      <c r="Z9342" s="10"/>
    </row>
    <row r="9343" spans="1:26" ht="12.75">
      <c r="A9343" s="10"/>
      <c r="B9343" s="10"/>
      <c r="C9343" s="10"/>
      <c r="D9343" s="10"/>
      <c r="E9343" s="10"/>
      <c r="F9343" s="10"/>
      <c r="G9343" s="10"/>
      <c r="H9343" s="10"/>
      <c r="I9343" s="10"/>
      <c r="J9343" s="10"/>
      <c r="K9343" s="10"/>
      <c r="L9343" s="10"/>
      <c r="M9343" s="10"/>
      <c r="N9343" s="10"/>
      <c r="O9343" s="10"/>
      <c r="P9343" s="10"/>
      <c r="Q9343" s="10"/>
      <c r="R9343" s="10"/>
      <c r="S9343" s="10"/>
      <c r="T9343" s="10"/>
      <c r="U9343" s="10"/>
      <c r="V9343" s="10"/>
      <c r="W9343" s="10"/>
      <c r="X9343" s="10"/>
      <c r="Y9343" s="10"/>
      <c r="Z9343" s="10"/>
    </row>
    <row r="9344" spans="1:26" ht="12.75">
      <c r="A9344" s="10"/>
      <c r="B9344" s="10"/>
      <c r="C9344" s="10"/>
      <c r="D9344" s="10"/>
      <c r="E9344" s="10"/>
      <c r="F9344" s="10"/>
      <c r="G9344" s="10"/>
      <c r="H9344" s="10"/>
      <c r="I9344" s="10"/>
      <c r="J9344" s="10"/>
      <c r="K9344" s="10"/>
      <c r="L9344" s="10"/>
      <c r="M9344" s="10"/>
      <c r="N9344" s="10"/>
      <c r="O9344" s="10"/>
      <c r="P9344" s="10"/>
      <c r="Q9344" s="10"/>
      <c r="R9344" s="10"/>
      <c r="S9344" s="10"/>
      <c r="T9344" s="10"/>
      <c r="U9344" s="10"/>
      <c r="V9344" s="10"/>
      <c r="W9344" s="10"/>
      <c r="X9344" s="10"/>
      <c r="Y9344" s="10"/>
      <c r="Z9344" s="10"/>
    </row>
    <row r="9345" spans="1:26" ht="12.75">
      <c r="A9345" s="10"/>
      <c r="B9345" s="10"/>
      <c r="C9345" s="10"/>
      <c r="D9345" s="10"/>
      <c r="E9345" s="10"/>
      <c r="F9345" s="10"/>
      <c r="G9345" s="10"/>
      <c r="H9345" s="10"/>
      <c r="I9345" s="10"/>
      <c r="J9345" s="10"/>
      <c r="K9345" s="10"/>
      <c r="L9345" s="10"/>
      <c r="M9345" s="10"/>
      <c r="N9345" s="10"/>
      <c r="O9345" s="10"/>
      <c r="P9345" s="10"/>
      <c r="Q9345" s="10"/>
      <c r="R9345" s="10"/>
      <c r="S9345" s="10"/>
      <c r="T9345" s="10"/>
      <c r="U9345" s="10"/>
      <c r="V9345" s="10"/>
      <c r="W9345" s="10"/>
      <c r="X9345" s="10"/>
      <c r="Y9345" s="10"/>
      <c r="Z9345" s="10"/>
    </row>
    <row r="9346" spans="1:26" ht="12.75">
      <c r="A9346" s="10"/>
      <c r="B9346" s="10"/>
      <c r="C9346" s="10"/>
      <c r="D9346" s="10"/>
      <c r="E9346" s="10"/>
      <c r="F9346" s="10"/>
      <c r="G9346" s="10"/>
      <c r="H9346" s="10"/>
      <c r="I9346" s="10"/>
      <c r="J9346" s="10"/>
      <c r="K9346" s="10"/>
      <c r="L9346" s="10"/>
      <c r="M9346" s="10"/>
      <c r="N9346" s="10"/>
      <c r="O9346" s="10"/>
      <c r="P9346" s="10"/>
      <c r="Q9346" s="10"/>
      <c r="R9346" s="10"/>
      <c r="S9346" s="10"/>
      <c r="T9346" s="10"/>
      <c r="U9346" s="10"/>
      <c r="V9346" s="10"/>
      <c r="W9346" s="10"/>
      <c r="X9346" s="10"/>
      <c r="Y9346" s="10"/>
      <c r="Z9346" s="10"/>
    </row>
    <row r="9347" spans="1:26" ht="12.75">
      <c r="A9347" s="10"/>
      <c r="B9347" s="10"/>
      <c r="C9347" s="10"/>
      <c r="D9347" s="10"/>
      <c r="E9347" s="10"/>
      <c r="F9347" s="10"/>
      <c r="G9347" s="10"/>
      <c r="H9347" s="10"/>
      <c r="I9347" s="10"/>
      <c r="J9347" s="10"/>
      <c r="K9347" s="10"/>
      <c r="L9347" s="10"/>
      <c r="M9347" s="10"/>
      <c r="N9347" s="10"/>
      <c r="O9347" s="10"/>
      <c r="P9347" s="10"/>
      <c r="Q9347" s="10"/>
      <c r="R9347" s="10"/>
      <c r="S9347" s="10"/>
      <c r="T9347" s="10"/>
      <c r="U9347" s="10"/>
      <c r="V9347" s="10"/>
      <c r="W9347" s="10"/>
      <c r="X9347" s="10"/>
      <c r="Y9347" s="10"/>
      <c r="Z9347" s="10"/>
    </row>
    <row r="9348" spans="1:26" ht="12.75">
      <c r="A9348" s="10"/>
      <c r="B9348" s="10"/>
      <c r="C9348" s="10"/>
      <c r="D9348" s="10"/>
      <c r="E9348" s="10"/>
      <c r="F9348" s="10"/>
      <c r="G9348" s="10"/>
      <c r="H9348" s="10"/>
      <c r="I9348" s="10"/>
      <c r="J9348" s="10"/>
      <c r="K9348" s="10"/>
      <c r="L9348" s="10"/>
      <c r="M9348" s="10"/>
      <c r="N9348" s="10"/>
      <c r="O9348" s="10"/>
      <c r="P9348" s="10"/>
      <c r="Q9348" s="10"/>
      <c r="R9348" s="10"/>
      <c r="S9348" s="10"/>
      <c r="T9348" s="10"/>
      <c r="U9348" s="10"/>
      <c r="V9348" s="10"/>
      <c r="W9348" s="10"/>
      <c r="X9348" s="10"/>
      <c r="Y9348" s="10"/>
      <c r="Z9348" s="10"/>
    </row>
    <row r="9349" spans="1:26" ht="12.75">
      <c r="A9349" s="10"/>
      <c r="B9349" s="10"/>
      <c r="C9349" s="10"/>
      <c r="D9349" s="10"/>
      <c r="E9349" s="10"/>
      <c r="F9349" s="10"/>
      <c r="G9349" s="10"/>
      <c r="H9349" s="10"/>
      <c r="I9349" s="10"/>
      <c r="J9349" s="10"/>
      <c r="K9349" s="10"/>
      <c r="L9349" s="10"/>
      <c r="M9349" s="10"/>
      <c r="N9349" s="10"/>
      <c r="O9349" s="10"/>
      <c r="P9349" s="10"/>
      <c r="Q9349" s="10"/>
      <c r="R9349" s="10"/>
      <c r="S9349" s="10"/>
      <c r="T9349" s="10"/>
      <c r="U9349" s="10"/>
      <c r="V9349" s="10"/>
      <c r="W9349" s="10"/>
      <c r="X9349" s="10"/>
      <c r="Y9349" s="10"/>
      <c r="Z9349" s="10"/>
    </row>
    <row r="9350" spans="1:26" ht="12.75">
      <c r="A9350" s="10"/>
      <c r="B9350" s="10"/>
      <c r="C9350" s="10"/>
      <c r="D9350" s="10"/>
      <c r="E9350" s="10"/>
      <c r="F9350" s="10"/>
      <c r="G9350" s="10"/>
      <c r="H9350" s="10"/>
      <c r="I9350" s="10"/>
      <c r="J9350" s="10"/>
      <c r="K9350" s="10"/>
      <c r="L9350" s="10"/>
      <c r="M9350" s="10"/>
      <c r="N9350" s="10"/>
      <c r="O9350" s="10"/>
      <c r="P9350" s="10"/>
      <c r="Q9350" s="10"/>
      <c r="R9350" s="10"/>
      <c r="S9350" s="10"/>
      <c r="T9350" s="10"/>
      <c r="U9350" s="10"/>
      <c r="V9350" s="10"/>
      <c r="W9350" s="10"/>
      <c r="X9350" s="10"/>
      <c r="Y9350" s="10"/>
      <c r="Z9350" s="10"/>
    </row>
    <row r="9351" spans="1:26" ht="12.75">
      <c r="A9351" s="10"/>
      <c r="B9351" s="10"/>
      <c r="C9351" s="10"/>
      <c r="D9351" s="10"/>
      <c r="E9351" s="10"/>
      <c r="F9351" s="10"/>
      <c r="G9351" s="10"/>
      <c r="H9351" s="10"/>
      <c r="I9351" s="10"/>
      <c r="J9351" s="10"/>
      <c r="K9351" s="10"/>
      <c r="L9351" s="10"/>
      <c r="M9351" s="10"/>
      <c r="N9351" s="10"/>
      <c r="O9351" s="10"/>
      <c r="P9351" s="10"/>
      <c r="Q9351" s="10"/>
      <c r="R9351" s="10"/>
      <c r="S9351" s="10"/>
      <c r="T9351" s="10"/>
      <c r="U9351" s="10"/>
      <c r="V9351" s="10"/>
      <c r="W9351" s="10"/>
      <c r="X9351" s="10"/>
      <c r="Y9351" s="10"/>
      <c r="Z9351" s="10"/>
    </row>
    <row r="9352" spans="1:26" ht="12.75">
      <c r="A9352" s="10"/>
      <c r="B9352" s="10"/>
      <c r="C9352" s="10"/>
      <c r="D9352" s="10"/>
      <c r="E9352" s="10"/>
      <c r="F9352" s="10"/>
      <c r="G9352" s="10"/>
      <c r="H9352" s="10"/>
      <c r="I9352" s="10"/>
      <c r="J9352" s="10"/>
      <c r="K9352" s="10"/>
      <c r="L9352" s="10"/>
      <c r="M9352" s="10"/>
      <c r="N9352" s="10"/>
      <c r="O9352" s="10"/>
      <c r="P9352" s="10"/>
      <c r="Q9352" s="10"/>
      <c r="R9352" s="10"/>
      <c r="S9352" s="10"/>
      <c r="T9352" s="10"/>
      <c r="U9352" s="10"/>
      <c r="V9352" s="10"/>
      <c r="W9352" s="10"/>
      <c r="X9352" s="10"/>
      <c r="Y9352" s="10"/>
      <c r="Z9352" s="10"/>
    </row>
    <row r="9353" spans="1:26" ht="12.75">
      <c r="A9353" s="10"/>
      <c r="B9353" s="10"/>
      <c r="C9353" s="10"/>
      <c r="D9353" s="10"/>
      <c r="E9353" s="10"/>
      <c r="F9353" s="10"/>
      <c r="G9353" s="10"/>
      <c r="H9353" s="10"/>
      <c r="I9353" s="10"/>
      <c r="J9353" s="10"/>
      <c r="K9353" s="10"/>
      <c r="L9353" s="10"/>
      <c r="M9353" s="10"/>
      <c r="N9353" s="10"/>
      <c r="O9353" s="10"/>
      <c r="P9353" s="10"/>
      <c r="Q9353" s="10"/>
      <c r="R9353" s="10"/>
      <c r="S9353" s="10"/>
      <c r="T9353" s="10"/>
      <c r="U9353" s="10"/>
      <c r="V9353" s="10"/>
      <c r="W9353" s="10"/>
      <c r="X9353" s="10"/>
      <c r="Y9353" s="10"/>
      <c r="Z9353" s="10"/>
    </row>
    <row r="9354" spans="1:26" ht="12.75">
      <c r="A9354" s="10"/>
      <c r="B9354" s="10"/>
      <c r="C9354" s="10"/>
      <c r="D9354" s="10"/>
      <c r="E9354" s="10"/>
      <c r="F9354" s="10"/>
      <c r="G9354" s="10"/>
      <c r="H9354" s="10"/>
      <c r="I9354" s="10"/>
      <c r="J9354" s="10"/>
      <c r="K9354" s="10"/>
      <c r="L9354" s="10"/>
      <c r="M9354" s="10"/>
      <c r="N9354" s="10"/>
      <c r="O9354" s="10"/>
      <c r="P9354" s="10"/>
      <c r="Q9354" s="10"/>
      <c r="R9354" s="10"/>
      <c r="S9354" s="10"/>
      <c r="T9354" s="10"/>
      <c r="U9354" s="10"/>
      <c r="V9354" s="10"/>
      <c r="W9354" s="10"/>
      <c r="X9354" s="10"/>
      <c r="Y9354" s="10"/>
      <c r="Z9354" s="10"/>
    </row>
    <row r="9355" spans="1:26" ht="12.75">
      <c r="A9355" s="10"/>
      <c r="B9355" s="10"/>
      <c r="C9355" s="10"/>
      <c r="D9355" s="10"/>
      <c r="E9355" s="10"/>
      <c r="F9355" s="10"/>
      <c r="G9355" s="10"/>
      <c r="H9355" s="10"/>
      <c r="I9355" s="10"/>
      <c r="J9355" s="10"/>
      <c r="K9355" s="10"/>
      <c r="L9355" s="10"/>
      <c r="M9355" s="10"/>
      <c r="N9355" s="10"/>
      <c r="O9355" s="10"/>
      <c r="P9355" s="10"/>
      <c r="Q9355" s="10"/>
      <c r="R9355" s="10"/>
      <c r="S9355" s="10"/>
      <c r="T9355" s="10"/>
      <c r="U9355" s="10"/>
      <c r="V9355" s="10"/>
      <c r="W9355" s="10"/>
      <c r="X9355" s="10"/>
      <c r="Y9355" s="10"/>
      <c r="Z9355" s="10"/>
    </row>
    <row r="9356" spans="1:26" ht="12.75">
      <c r="A9356" s="10"/>
      <c r="B9356" s="10"/>
      <c r="C9356" s="10"/>
      <c r="D9356" s="10"/>
      <c r="E9356" s="10"/>
      <c r="F9356" s="10"/>
      <c r="G9356" s="10"/>
      <c r="H9356" s="10"/>
      <c r="I9356" s="10"/>
      <c r="J9356" s="10"/>
      <c r="K9356" s="10"/>
      <c r="L9356" s="10"/>
      <c r="M9356" s="10"/>
      <c r="N9356" s="10"/>
      <c r="O9356" s="10"/>
      <c r="P9356" s="10"/>
      <c r="Q9356" s="10"/>
      <c r="R9356" s="10"/>
      <c r="S9356" s="10"/>
      <c r="T9356" s="10"/>
      <c r="U9356" s="10"/>
      <c r="V9356" s="10"/>
      <c r="W9356" s="10"/>
      <c r="X9356" s="10"/>
      <c r="Y9356" s="10"/>
      <c r="Z9356" s="10"/>
    </row>
    <row r="9357" spans="1:26" ht="12.75">
      <c r="A9357" s="10"/>
      <c r="B9357" s="10"/>
      <c r="C9357" s="10"/>
      <c r="D9357" s="10"/>
      <c r="E9357" s="10"/>
      <c r="F9357" s="10"/>
      <c r="G9357" s="10"/>
      <c r="H9357" s="10"/>
      <c r="I9357" s="10"/>
      <c r="J9357" s="10"/>
      <c r="K9357" s="10"/>
      <c r="L9357" s="10"/>
      <c r="M9357" s="10"/>
      <c r="N9357" s="10"/>
      <c r="O9357" s="10"/>
      <c r="P9357" s="10"/>
      <c r="Q9357" s="10"/>
      <c r="R9357" s="10"/>
      <c r="S9357" s="10"/>
      <c r="T9357" s="10"/>
      <c r="U9357" s="10"/>
      <c r="V9357" s="10"/>
      <c r="W9357" s="10"/>
      <c r="X9357" s="10"/>
      <c r="Y9357" s="10"/>
      <c r="Z9357" s="10"/>
    </row>
    <row r="9358" spans="1:26" ht="12.75">
      <c r="A9358" s="10"/>
      <c r="B9358" s="10"/>
      <c r="C9358" s="10"/>
      <c r="D9358" s="10"/>
      <c r="E9358" s="10"/>
      <c r="F9358" s="10"/>
      <c r="G9358" s="10"/>
      <c r="H9358" s="10"/>
      <c r="I9358" s="10"/>
      <c r="J9358" s="10"/>
      <c r="K9358" s="10"/>
      <c r="L9358" s="10"/>
      <c r="M9358" s="10"/>
      <c r="N9358" s="10"/>
      <c r="O9358" s="10"/>
      <c r="P9358" s="10"/>
      <c r="Q9358" s="10"/>
      <c r="R9358" s="10"/>
      <c r="S9358" s="10"/>
      <c r="T9358" s="10"/>
      <c r="U9358" s="10"/>
      <c r="V9358" s="10"/>
      <c r="W9358" s="10"/>
      <c r="X9358" s="10"/>
      <c r="Y9358" s="10"/>
      <c r="Z9358" s="10"/>
    </row>
    <row r="9359" spans="1:26" ht="12.75">
      <c r="A9359" s="10"/>
      <c r="B9359" s="10"/>
      <c r="C9359" s="10"/>
      <c r="D9359" s="10"/>
      <c r="E9359" s="10"/>
      <c r="F9359" s="10"/>
      <c r="G9359" s="10"/>
      <c r="H9359" s="10"/>
      <c r="I9359" s="10"/>
      <c r="J9359" s="10"/>
      <c r="K9359" s="10"/>
      <c r="L9359" s="10"/>
      <c r="M9359" s="10"/>
      <c r="N9359" s="10"/>
      <c r="O9359" s="10"/>
      <c r="P9359" s="10"/>
      <c r="Q9359" s="10"/>
      <c r="R9359" s="10"/>
      <c r="S9359" s="10"/>
      <c r="T9359" s="10"/>
      <c r="U9359" s="10"/>
      <c r="V9359" s="10"/>
      <c r="W9359" s="10"/>
      <c r="X9359" s="10"/>
      <c r="Y9359" s="10"/>
      <c r="Z9359" s="10"/>
    </row>
    <row r="9360" spans="1:26" ht="12.75">
      <c r="A9360" s="10"/>
      <c r="B9360" s="10"/>
      <c r="C9360" s="10"/>
      <c r="D9360" s="10"/>
      <c r="E9360" s="10"/>
      <c r="F9360" s="10"/>
      <c r="G9360" s="10"/>
      <c r="H9360" s="10"/>
      <c r="I9360" s="10"/>
      <c r="J9360" s="10"/>
      <c r="K9360" s="10"/>
      <c r="L9360" s="10"/>
      <c r="M9360" s="10"/>
      <c r="N9360" s="10"/>
      <c r="O9360" s="10"/>
      <c r="P9360" s="10"/>
      <c r="Q9360" s="10"/>
      <c r="R9360" s="10"/>
      <c r="S9360" s="10"/>
      <c r="T9360" s="10"/>
      <c r="U9360" s="10"/>
      <c r="V9360" s="10"/>
      <c r="W9360" s="10"/>
      <c r="X9360" s="10"/>
      <c r="Y9360" s="10"/>
      <c r="Z9360" s="10"/>
    </row>
    <row r="9361" spans="1:26" ht="12.75">
      <c r="A9361" s="10"/>
      <c r="B9361" s="10"/>
      <c r="C9361" s="10"/>
      <c r="D9361" s="10"/>
      <c r="E9361" s="10"/>
      <c r="F9361" s="10"/>
      <c r="G9361" s="10"/>
      <c r="H9361" s="10"/>
      <c r="I9361" s="10"/>
      <c r="J9361" s="10"/>
      <c r="K9361" s="10"/>
      <c r="L9361" s="10"/>
      <c r="M9361" s="10"/>
      <c r="N9361" s="10"/>
      <c r="O9361" s="10"/>
      <c r="P9361" s="10"/>
      <c r="Q9361" s="10"/>
      <c r="R9361" s="10"/>
      <c r="S9361" s="10"/>
      <c r="T9361" s="10"/>
      <c r="U9361" s="10"/>
      <c r="V9361" s="10"/>
      <c r="W9361" s="10"/>
      <c r="X9361" s="10"/>
      <c r="Y9361" s="10"/>
      <c r="Z9361" s="10"/>
    </row>
    <row r="9362" spans="1:26" ht="12.75">
      <c r="A9362" s="10"/>
      <c r="B9362" s="10"/>
      <c r="C9362" s="10"/>
      <c r="D9362" s="10"/>
      <c r="E9362" s="10"/>
      <c r="F9362" s="10"/>
      <c r="G9362" s="10"/>
      <c r="H9362" s="10"/>
      <c r="I9362" s="10"/>
      <c r="J9362" s="10"/>
      <c r="K9362" s="10"/>
      <c r="L9362" s="10"/>
      <c r="M9362" s="10"/>
      <c r="N9362" s="10"/>
      <c r="O9362" s="10"/>
      <c r="P9362" s="10"/>
      <c r="Q9362" s="10"/>
      <c r="R9362" s="10"/>
      <c r="S9362" s="10"/>
      <c r="T9362" s="10"/>
      <c r="U9362" s="10"/>
      <c r="V9362" s="10"/>
      <c r="W9362" s="10"/>
      <c r="X9362" s="10"/>
      <c r="Y9362" s="10"/>
      <c r="Z9362" s="10"/>
    </row>
    <row r="9363" spans="1:26" ht="12.75">
      <c r="A9363" s="10"/>
      <c r="B9363" s="10"/>
      <c r="C9363" s="10"/>
      <c r="D9363" s="10"/>
      <c r="E9363" s="10"/>
      <c r="F9363" s="10"/>
      <c r="G9363" s="10"/>
      <c r="H9363" s="10"/>
      <c r="I9363" s="10"/>
      <c r="J9363" s="10"/>
      <c r="K9363" s="10"/>
      <c r="L9363" s="10"/>
      <c r="M9363" s="10"/>
      <c r="N9363" s="10"/>
      <c r="O9363" s="10"/>
      <c r="P9363" s="10"/>
      <c r="Q9363" s="10"/>
      <c r="R9363" s="10"/>
      <c r="S9363" s="10"/>
      <c r="T9363" s="10"/>
      <c r="U9363" s="10"/>
      <c r="V9363" s="10"/>
      <c r="W9363" s="10"/>
      <c r="X9363" s="10"/>
      <c r="Y9363" s="10"/>
      <c r="Z9363" s="10"/>
    </row>
    <row r="9364" spans="1:26" ht="12.75">
      <c r="A9364" s="10"/>
      <c r="B9364" s="10"/>
      <c r="C9364" s="10"/>
      <c r="D9364" s="10"/>
      <c r="E9364" s="10"/>
      <c r="F9364" s="10"/>
      <c r="G9364" s="10"/>
      <c r="H9364" s="10"/>
      <c r="I9364" s="10"/>
      <c r="J9364" s="10"/>
      <c r="K9364" s="10"/>
      <c r="L9364" s="10"/>
      <c r="M9364" s="10"/>
      <c r="N9364" s="10"/>
      <c r="O9364" s="10"/>
      <c r="P9364" s="10"/>
      <c r="Q9364" s="10"/>
      <c r="R9364" s="10"/>
      <c r="S9364" s="10"/>
      <c r="T9364" s="10"/>
      <c r="U9364" s="10"/>
      <c r="V9364" s="10"/>
      <c r="W9364" s="10"/>
      <c r="X9364" s="10"/>
      <c r="Y9364" s="10"/>
      <c r="Z9364" s="10"/>
    </row>
    <row r="9365" spans="1:26" ht="12.75">
      <c r="A9365" s="10"/>
      <c r="B9365" s="10"/>
      <c r="C9365" s="10"/>
      <c r="D9365" s="10"/>
      <c r="E9365" s="10"/>
      <c r="F9365" s="10"/>
      <c r="G9365" s="10"/>
      <c r="H9365" s="10"/>
      <c r="I9365" s="10"/>
      <c r="J9365" s="10"/>
      <c r="K9365" s="10"/>
      <c r="L9365" s="10"/>
      <c r="M9365" s="10"/>
      <c r="N9365" s="10"/>
      <c r="O9365" s="10"/>
      <c r="P9365" s="10"/>
      <c r="Q9365" s="10"/>
      <c r="R9365" s="10"/>
      <c r="S9365" s="10"/>
      <c r="T9365" s="10"/>
      <c r="U9365" s="10"/>
      <c r="V9365" s="10"/>
      <c r="W9365" s="10"/>
      <c r="X9365" s="10"/>
      <c r="Y9365" s="10"/>
      <c r="Z9365" s="10"/>
    </row>
    <row r="9366" spans="1:26" ht="12.75">
      <c r="A9366" s="10"/>
      <c r="B9366" s="10"/>
      <c r="C9366" s="10"/>
      <c r="D9366" s="10"/>
      <c r="E9366" s="10"/>
      <c r="F9366" s="10"/>
      <c r="G9366" s="10"/>
      <c r="H9366" s="10"/>
      <c r="I9366" s="10"/>
      <c r="J9366" s="10"/>
      <c r="K9366" s="10"/>
      <c r="L9366" s="10"/>
      <c r="M9366" s="10"/>
      <c r="N9366" s="10"/>
      <c r="O9366" s="10"/>
      <c r="P9366" s="10"/>
      <c r="Q9366" s="10"/>
      <c r="R9366" s="10"/>
      <c r="S9366" s="10"/>
      <c r="T9366" s="10"/>
      <c r="U9366" s="10"/>
      <c r="V9366" s="10"/>
      <c r="W9366" s="10"/>
      <c r="X9366" s="10"/>
      <c r="Y9366" s="10"/>
      <c r="Z9366" s="10"/>
    </row>
    <row r="9367" spans="1:26" ht="12.75">
      <c r="A9367" s="10"/>
      <c r="B9367" s="10"/>
      <c r="C9367" s="10"/>
      <c r="D9367" s="10"/>
      <c r="E9367" s="10"/>
      <c r="F9367" s="10"/>
      <c r="G9367" s="10"/>
      <c r="H9367" s="10"/>
      <c r="I9367" s="10"/>
      <c r="J9367" s="10"/>
      <c r="K9367" s="10"/>
      <c r="L9367" s="10"/>
      <c r="M9367" s="10"/>
      <c r="N9367" s="10"/>
      <c r="O9367" s="10"/>
      <c r="P9367" s="10"/>
      <c r="Q9367" s="10"/>
      <c r="R9367" s="10"/>
      <c r="S9367" s="10"/>
      <c r="T9367" s="10"/>
      <c r="U9367" s="10"/>
      <c r="V9367" s="10"/>
      <c r="W9367" s="10"/>
      <c r="X9367" s="10"/>
      <c r="Y9367" s="10"/>
      <c r="Z9367" s="10"/>
    </row>
    <row r="9368" spans="1:26" ht="12.75">
      <c r="A9368" s="10"/>
      <c r="B9368" s="10"/>
      <c r="C9368" s="10"/>
      <c r="D9368" s="10"/>
      <c r="E9368" s="10"/>
      <c r="F9368" s="10"/>
      <c r="G9368" s="10"/>
      <c r="H9368" s="10"/>
      <c r="I9368" s="10"/>
      <c r="J9368" s="10"/>
      <c r="K9368" s="10"/>
      <c r="L9368" s="10"/>
      <c r="M9368" s="10"/>
      <c r="N9368" s="10"/>
      <c r="O9368" s="10"/>
      <c r="P9368" s="10"/>
      <c r="Q9368" s="10"/>
      <c r="R9368" s="10"/>
      <c r="S9368" s="10"/>
      <c r="T9368" s="10"/>
      <c r="U9368" s="10"/>
      <c r="V9368" s="10"/>
      <c r="W9368" s="10"/>
      <c r="X9368" s="10"/>
      <c r="Y9368" s="10"/>
      <c r="Z9368" s="10"/>
    </row>
    <row r="9369" spans="1:26" ht="12.75">
      <c r="A9369" s="10"/>
      <c r="B9369" s="10"/>
      <c r="C9369" s="10"/>
      <c r="D9369" s="10"/>
      <c r="E9369" s="10"/>
      <c r="F9369" s="10"/>
      <c r="G9369" s="10"/>
      <c r="H9369" s="10"/>
      <c r="I9369" s="10"/>
      <c r="J9369" s="10"/>
      <c r="K9369" s="10"/>
      <c r="L9369" s="10"/>
      <c r="M9369" s="10"/>
      <c r="N9369" s="10"/>
      <c r="O9369" s="10"/>
      <c r="P9369" s="10"/>
      <c r="Q9369" s="10"/>
      <c r="R9369" s="10"/>
      <c r="S9369" s="10"/>
      <c r="T9369" s="10"/>
      <c r="U9369" s="10"/>
      <c r="V9369" s="10"/>
      <c r="W9369" s="10"/>
      <c r="X9369" s="10"/>
      <c r="Y9369" s="10"/>
      <c r="Z9369" s="10"/>
    </row>
    <row r="9370" spans="1:26" ht="12.75">
      <c r="A9370" s="10"/>
      <c r="B9370" s="10"/>
      <c r="C9370" s="10"/>
      <c r="D9370" s="10"/>
      <c r="E9370" s="10"/>
      <c r="F9370" s="10"/>
      <c r="G9370" s="10"/>
      <c r="H9370" s="10"/>
      <c r="I9370" s="10"/>
      <c r="J9370" s="10"/>
      <c r="K9370" s="10"/>
      <c r="L9370" s="10"/>
      <c r="M9370" s="10"/>
      <c r="N9370" s="10"/>
      <c r="O9370" s="10"/>
      <c r="P9370" s="10"/>
      <c r="Q9370" s="10"/>
      <c r="R9370" s="10"/>
      <c r="S9370" s="10"/>
      <c r="T9370" s="10"/>
      <c r="U9370" s="10"/>
      <c r="V9370" s="10"/>
      <c r="W9370" s="10"/>
      <c r="X9370" s="10"/>
      <c r="Y9370" s="10"/>
      <c r="Z9370" s="10"/>
    </row>
    <row r="9371" spans="1:26" ht="12.75">
      <c r="A9371" s="10"/>
      <c r="B9371" s="10"/>
      <c r="C9371" s="10"/>
      <c r="D9371" s="10"/>
      <c r="E9371" s="10"/>
      <c r="F9371" s="10"/>
      <c r="G9371" s="10"/>
      <c r="H9371" s="10"/>
      <c r="I9371" s="10"/>
      <c r="J9371" s="10"/>
      <c r="K9371" s="10"/>
      <c r="L9371" s="10"/>
      <c r="M9371" s="10"/>
      <c r="N9371" s="10"/>
      <c r="O9371" s="10"/>
      <c r="P9371" s="10"/>
      <c r="Q9371" s="10"/>
      <c r="R9371" s="10"/>
      <c r="S9371" s="10"/>
      <c r="T9371" s="10"/>
      <c r="U9371" s="10"/>
      <c r="V9371" s="10"/>
      <c r="W9371" s="10"/>
      <c r="X9371" s="10"/>
      <c r="Y9371" s="10"/>
      <c r="Z9371" s="10"/>
    </row>
    <row r="9372" spans="1:26" ht="12.75">
      <c r="A9372" s="10"/>
      <c r="B9372" s="10"/>
      <c r="C9372" s="10"/>
      <c r="D9372" s="10"/>
      <c r="E9372" s="10"/>
      <c r="F9372" s="10"/>
      <c r="G9372" s="10"/>
      <c r="H9372" s="10"/>
      <c r="I9372" s="10"/>
      <c r="J9372" s="10"/>
      <c r="K9372" s="10"/>
      <c r="L9372" s="10"/>
      <c r="M9372" s="10"/>
      <c r="N9372" s="10"/>
      <c r="O9372" s="10"/>
      <c r="P9372" s="10"/>
      <c r="Q9372" s="10"/>
      <c r="R9372" s="10"/>
      <c r="S9372" s="10"/>
      <c r="T9372" s="10"/>
      <c r="U9372" s="10"/>
      <c r="V9372" s="10"/>
      <c r="W9372" s="10"/>
      <c r="X9372" s="10"/>
      <c r="Y9372" s="10"/>
      <c r="Z9372" s="10"/>
    </row>
    <row r="9373" spans="1:26" ht="12.75">
      <c r="A9373" s="10"/>
      <c r="B9373" s="10"/>
      <c r="C9373" s="10"/>
      <c r="D9373" s="10"/>
      <c r="E9373" s="10"/>
      <c r="F9373" s="10"/>
      <c r="G9373" s="10"/>
      <c r="H9373" s="10"/>
      <c r="I9373" s="10"/>
      <c r="J9373" s="10"/>
      <c r="K9373" s="10"/>
      <c r="L9373" s="10"/>
      <c r="M9373" s="10"/>
      <c r="N9373" s="10"/>
      <c r="O9373" s="10"/>
      <c r="P9373" s="10"/>
      <c r="Q9373" s="10"/>
      <c r="R9373" s="10"/>
      <c r="S9373" s="10"/>
      <c r="T9373" s="10"/>
      <c r="U9373" s="10"/>
      <c r="V9373" s="10"/>
      <c r="W9373" s="10"/>
      <c r="X9373" s="10"/>
      <c r="Y9373" s="10"/>
      <c r="Z9373" s="10"/>
    </row>
    <row r="9374" spans="1:26" ht="12.75">
      <c r="A9374" s="10"/>
      <c r="B9374" s="10"/>
      <c r="C9374" s="10"/>
      <c r="D9374" s="10"/>
      <c r="E9374" s="10"/>
      <c r="F9374" s="10"/>
      <c r="G9374" s="10"/>
      <c r="H9374" s="10"/>
      <c r="I9374" s="10"/>
      <c r="J9374" s="10"/>
      <c r="K9374" s="10"/>
      <c r="L9374" s="10"/>
      <c r="M9374" s="10"/>
      <c r="N9374" s="10"/>
      <c r="O9374" s="10"/>
      <c r="P9374" s="10"/>
      <c r="Q9374" s="10"/>
      <c r="R9374" s="10"/>
      <c r="S9374" s="10"/>
      <c r="T9374" s="10"/>
      <c r="U9374" s="10"/>
      <c r="V9374" s="10"/>
      <c r="W9374" s="10"/>
      <c r="X9374" s="10"/>
      <c r="Y9374" s="10"/>
      <c r="Z9374" s="10"/>
    </row>
    <row r="9375" spans="1:26" ht="12.75">
      <c r="A9375" s="10"/>
      <c r="B9375" s="10"/>
      <c r="C9375" s="10"/>
      <c r="D9375" s="10"/>
      <c r="E9375" s="10"/>
      <c r="F9375" s="10"/>
      <c r="G9375" s="10"/>
      <c r="H9375" s="10"/>
      <c r="I9375" s="10"/>
      <c r="J9375" s="10"/>
      <c r="K9375" s="10"/>
      <c r="L9375" s="10"/>
      <c r="M9375" s="10"/>
      <c r="N9375" s="10"/>
      <c r="O9375" s="10"/>
      <c r="P9375" s="10"/>
      <c r="Q9375" s="10"/>
      <c r="R9375" s="10"/>
      <c r="S9375" s="10"/>
      <c r="T9375" s="10"/>
      <c r="U9375" s="10"/>
      <c r="V9375" s="10"/>
      <c r="W9375" s="10"/>
      <c r="X9375" s="10"/>
      <c r="Y9375" s="10"/>
      <c r="Z9375" s="10"/>
    </row>
    <row r="9376" spans="1:26" ht="12.75">
      <c r="A9376" s="10"/>
      <c r="B9376" s="10"/>
      <c r="C9376" s="10"/>
      <c r="D9376" s="10"/>
      <c r="E9376" s="10"/>
      <c r="F9376" s="10"/>
      <c r="G9376" s="10"/>
      <c r="H9376" s="10"/>
      <c r="I9376" s="10"/>
      <c r="J9376" s="10"/>
      <c r="K9376" s="10"/>
      <c r="L9376" s="10"/>
      <c r="M9376" s="10"/>
      <c r="N9376" s="10"/>
      <c r="O9376" s="10"/>
      <c r="P9376" s="10"/>
      <c r="Q9376" s="10"/>
      <c r="R9376" s="10"/>
      <c r="S9376" s="10"/>
      <c r="T9376" s="10"/>
      <c r="U9376" s="10"/>
      <c r="V9376" s="10"/>
      <c r="W9376" s="10"/>
      <c r="X9376" s="10"/>
      <c r="Y9376" s="10"/>
      <c r="Z9376" s="10"/>
    </row>
    <row r="9377" spans="1:26" ht="12.75">
      <c r="A9377" s="10"/>
      <c r="B9377" s="10"/>
      <c r="C9377" s="10"/>
      <c r="D9377" s="10"/>
      <c r="E9377" s="10"/>
      <c r="F9377" s="10"/>
      <c r="G9377" s="10"/>
      <c r="H9377" s="10"/>
      <c r="I9377" s="10"/>
      <c r="J9377" s="10"/>
      <c r="K9377" s="10"/>
      <c r="L9377" s="10"/>
      <c r="M9377" s="10"/>
      <c r="N9377" s="10"/>
      <c r="O9377" s="10"/>
      <c r="P9377" s="10"/>
      <c r="Q9377" s="10"/>
      <c r="R9377" s="10"/>
      <c r="S9377" s="10"/>
      <c r="T9377" s="10"/>
      <c r="U9377" s="10"/>
      <c r="V9377" s="10"/>
      <c r="W9377" s="10"/>
      <c r="X9377" s="10"/>
      <c r="Y9377" s="10"/>
      <c r="Z9377" s="10"/>
    </row>
    <row r="9378" spans="1:26" ht="12.75">
      <c r="A9378" s="10"/>
      <c r="B9378" s="10"/>
      <c r="C9378" s="10"/>
      <c r="D9378" s="10"/>
      <c r="E9378" s="10"/>
      <c r="F9378" s="10"/>
      <c r="G9378" s="10"/>
      <c r="H9378" s="10"/>
      <c r="I9378" s="10"/>
      <c r="J9378" s="10"/>
      <c r="K9378" s="10"/>
      <c r="L9378" s="10"/>
      <c r="M9378" s="10"/>
      <c r="N9378" s="10"/>
      <c r="O9378" s="10"/>
      <c r="P9378" s="10"/>
      <c r="Q9378" s="10"/>
      <c r="R9378" s="10"/>
      <c r="S9378" s="10"/>
      <c r="T9378" s="10"/>
      <c r="U9378" s="10"/>
      <c r="V9378" s="10"/>
      <c r="W9378" s="10"/>
      <c r="X9378" s="10"/>
      <c r="Y9378" s="10"/>
      <c r="Z9378" s="10"/>
    </row>
    <row r="9379" spans="1:26" ht="12.75">
      <c r="A9379" s="10"/>
      <c r="B9379" s="10"/>
      <c r="C9379" s="10"/>
      <c r="D9379" s="10"/>
      <c r="E9379" s="10"/>
      <c r="F9379" s="10"/>
      <c r="G9379" s="10"/>
      <c r="H9379" s="10"/>
      <c r="I9379" s="10"/>
      <c r="J9379" s="10"/>
      <c r="K9379" s="10"/>
      <c r="L9379" s="10"/>
      <c r="M9379" s="10"/>
      <c r="N9379" s="10"/>
      <c r="O9379" s="10"/>
      <c r="P9379" s="10"/>
      <c r="Q9379" s="10"/>
      <c r="R9379" s="10"/>
      <c r="S9379" s="10"/>
      <c r="T9379" s="10"/>
      <c r="U9379" s="10"/>
      <c r="V9379" s="10"/>
      <c r="W9379" s="10"/>
      <c r="X9379" s="10"/>
      <c r="Y9379" s="10"/>
      <c r="Z9379" s="10"/>
    </row>
    <row r="9380" spans="1:26" ht="12.75">
      <c r="A9380" s="10"/>
      <c r="B9380" s="10"/>
      <c r="C9380" s="10"/>
      <c r="D9380" s="10"/>
      <c r="E9380" s="10"/>
      <c r="F9380" s="10"/>
      <c r="G9380" s="10"/>
      <c r="H9380" s="10"/>
      <c r="I9380" s="10"/>
      <c r="J9380" s="10"/>
      <c r="K9380" s="10"/>
      <c r="L9380" s="10"/>
      <c r="M9380" s="10"/>
      <c r="N9380" s="10"/>
      <c r="O9380" s="10"/>
      <c r="P9380" s="10"/>
      <c r="Q9380" s="10"/>
      <c r="R9380" s="10"/>
      <c r="S9380" s="10"/>
      <c r="T9380" s="10"/>
      <c r="U9380" s="10"/>
      <c r="V9380" s="10"/>
      <c r="W9380" s="10"/>
      <c r="X9380" s="10"/>
      <c r="Y9380" s="10"/>
      <c r="Z9380" s="10"/>
    </row>
    <row r="9381" spans="1:26" ht="12.75">
      <c r="A9381" s="10"/>
      <c r="B9381" s="10"/>
      <c r="C9381" s="10"/>
      <c r="D9381" s="10"/>
      <c r="E9381" s="10"/>
      <c r="F9381" s="10"/>
      <c r="G9381" s="10"/>
      <c r="H9381" s="10"/>
      <c r="I9381" s="10"/>
      <c r="J9381" s="10"/>
      <c r="K9381" s="10"/>
      <c r="L9381" s="10"/>
      <c r="M9381" s="10"/>
      <c r="N9381" s="10"/>
      <c r="O9381" s="10"/>
      <c r="P9381" s="10"/>
      <c r="Q9381" s="10"/>
      <c r="R9381" s="10"/>
      <c r="S9381" s="10"/>
      <c r="T9381" s="10"/>
      <c r="U9381" s="10"/>
      <c r="V9381" s="10"/>
      <c r="W9381" s="10"/>
      <c r="X9381" s="10"/>
      <c r="Y9381" s="10"/>
      <c r="Z9381" s="10"/>
    </row>
    <row r="9382" spans="1:26" ht="12.75">
      <c r="A9382" s="10"/>
      <c r="B9382" s="10"/>
      <c r="C9382" s="10"/>
      <c r="D9382" s="10"/>
      <c r="E9382" s="10"/>
      <c r="F9382" s="10"/>
      <c r="G9382" s="10"/>
      <c r="H9382" s="10"/>
      <c r="I9382" s="10"/>
      <c r="J9382" s="10"/>
      <c r="K9382" s="10"/>
      <c r="L9382" s="10"/>
      <c r="M9382" s="10"/>
      <c r="N9382" s="10"/>
      <c r="O9382" s="10"/>
      <c r="P9382" s="10"/>
      <c r="Q9382" s="10"/>
      <c r="R9382" s="10"/>
      <c r="S9382" s="10"/>
      <c r="T9382" s="10"/>
      <c r="U9382" s="10"/>
      <c r="V9382" s="10"/>
      <c r="W9382" s="10"/>
      <c r="X9382" s="10"/>
      <c r="Y9382" s="10"/>
      <c r="Z9382" s="10"/>
    </row>
    <row r="9383" spans="1:26" ht="12.75">
      <c r="A9383" s="10"/>
      <c r="B9383" s="10"/>
      <c r="C9383" s="10"/>
      <c r="D9383" s="10"/>
      <c r="E9383" s="10"/>
      <c r="F9383" s="10"/>
      <c r="G9383" s="10"/>
      <c r="H9383" s="10"/>
      <c r="I9383" s="10"/>
      <c r="J9383" s="10"/>
      <c r="K9383" s="10"/>
      <c r="L9383" s="10"/>
      <c r="M9383" s="10"/>
      <c r="N9383" s="10"/>
      <c r="O9383" s="10"/>
      <c r="P9383" s="10"/>
      <c r="Q9383" s="10"/>
      <c r="R9383" s="10"/>
      <c r="S9383" s="10"/>
      <c r="T9383" s="10"/>
      <c r="U9383" s="10"/>
      <c r="V9383" s="10"/>
      <c r="W9383" s="10"/>
      <c r="X9383" s="10"/>
      <c r="Y9383" s="10"/>
      <c r="Z9383" s="10"/>
    </row>
    <row r="9384" spans="1:26" ht="12.75">
      <c r="A9384" s="10"/>
      <c r="B9384" s="10"/>
      <c r="C9384" s="10"/>
      <c r="D9384" s="10"/>
      <c r="E9384" s="10"/>
      <c r="F9384" s="10"/>
      <c r="G9384" s="10"/>
      <c r="H9384" s="10"/>
      <c r="I9384" s="10"/>
      <c r="J9384" s="10"/>
      <c r="K9384" s="10"/>
      <c r="L9384" s="10"/>
      <c r="M9384" s="10"/>
      <c r="N9384" s="10"/>
      <c r="O9384" s="10"/>
      <c r="P9384" s="10"/>
      <c r="Q9384" s="10"/>
      <c r="R9384" s="10"/>
      <c r="S9384" s="10"/>
      <c r="T9384" s="10"/>
      <c r="U9384" s="10"/>
      <c r="V9384" s="10"/>
      <c r="W9384" s="10"/>
      <c r="X9384" s="10"/>
      <c r="Y9384" s="10"/>
      <c r="Z9384" s="10"/>
    </row>
    <row r="9385" spans="1:26" ht="12.75">
      <c r="A9385" s="10"/>
      <c r="B9385" s="10"/>
      <c r="C9385" s="10"/>
      <c r="D9385" s="10"/>
      <c r="E9385" s="10"/>
      <c r="F9385" s="10"/>
      <c r="G9385" s="10"/>
      <c r="H9385" s="10"/>
      <c r="I9385" s="10"/>
      <c r="J9385" s="10"/>
      <c r="K9385" s="10"/>
      <c r="L9385" s="10"/>
      <c r="M9385" s="10"/>
      <c r="N9385" s="10"/>
      <c r="O9385" s="10"/>
      <c r="P9385" s="10"/>
      <c r="Q9385" s="10"/>
      <c r="R9385" s="10"/>
      <c r="S9385" s="10"/>
      <c r="T9385" s="10"/>
      <c r="U9385" s="10"/>
      <c r="V9385" s="10"/>
      <c r="W9385" s="10"/>
      <c r="X9385" s="10"/>
      <c r="Y9385" s="10"/>
      <c r="Z9385" s="10"/>
    </row>
    <row r="9386" spans="1:26" ht="12.75">
      <c r="A9386" s="10"/>
      <c r="B9386" s="10"/>
      <c r="C9386" s="10"/>
      <c r="D9386" s="10"/>
      <c r="E9386" s="10"/>
      <c r="F9386" s="10"/>
      <c r="G9386" s="10"/>
      <c r="H9386" s="10"/>
      <c r="I9386" s="10"/>
      <c r="J9386" s="10"/>
      <c r="K9386" s="10"/>
      <c r="L9386" s="10"/>
      <c r="M9386" s="10"/>
      <c r="N9386" s="10"/>
      <c r="O9386" s="10"/>
      <c r="P9386" s="10"/>
      <c r="Q9386" s="10"/>
      <c r="R9386" s="10"/>
      <c r="S9386" s="10"/>
      <c r="T9386" s="10"/>
      <c r="U9386" s="10"/>
      <c r="V9386" s="10"/>
      <c r="W9386" s="10"/>
      <c r="X9386" s="10"/>
      <c r="Y9386" s="10"/>
      <c r="Z9386" s="10"/>
    </row>
    <row r="9387" spans="1:26" ht="12.75">
      <c r="A9387" s="10"/>
      <c r="B9387" s="10"/>
      <c r="C9387" s="10"/>
      <c r="D9387" s="10"/>
      <c r="E9387" s="10"/>
      <c r="F9387" s="10"/>
      <c r="G9387" s="10"/>
      <c r="H9387" s="10"/>
      <c r="I9387" s="10"/>
      <c r="J9387" s="10"/>
      <c r="K9387" s="10"/>
      <c r="L9387" s="10"/>
      <c r="M9387" s="10"/>
      <c r="N9387" s="10"/>
      <c r="O9387" s="10"/>
      <c r="P9387" s="10"/>
      <c r="Q9387" s="10"/>
      <c r="R9387" s="10"/>
      <c r="S9387" s="10"/>
      <c r="T9387" s="10"/>
      <c r="U9387" s="10"/>
      <c r="V9387" s="10"/>
      <c r="W9387" s="10"/>
      <c r="X9387" s="10"/>
      <c r="Y9387" s="10"/>
      <c r="Z9387" s="10"/>
    </row>
    <row r="9388" spans="1:26" ht="12.75">
      <c r="A9388" s="10"/>
      <c r="B9388" s="10"/>
      <c r="C9388" s="10"/>
      <c r="D9388" s="10"/>
      <c r="E9388" s="10"/>
      <c r="F9388" s="10"/>
      <c r="G9388" s="10"/>
      <c r="H9388" s="10"/>
      <c r="I9388" s="10"/>
      <c r="J9388" s="10"/>
      <c r="K9388" s="10"/>
      <c r="L9388" s="10"/>
      <c r="M9388" s="10"/>
      <c r="N9388" s="10"/>
      <c r="O9388" s="10"/>
      <c r="P9388" s="10"/>
      <c r="Q9388" s="10"/>
      <c r="R9388" s="10"/>
      <c r="S9388" s="10"/>
      <c r="T9388" s="10"/>
      <c r="U9388" s="10"/>
      <c r="V9388" s="10"/>
      <c r="W9388" s="10"/>
      <c r="X9388" s="10"/>
      <c r="Y9388" s="10"/>
      <c r="Z9388" s="10"/>
    </row>
    <row r="9389" spans="1:26" ht="12.75">
      <c r="A9389" s="10"/>
      <c r="B9389" s="10"/>
      <c r="C9389" s="10"/>
      <c r="D9389" s="10"/>
      <c r="E9389" s="10"/>
      <c r="F9389" s="10"/>
      <c r="G9389" s="10"/>
      <c r="H9389" s="10"/>
      <c r="I9389" s="10"/>
      <c r="J9389" s="10"/>
      <c r="K9389" s="10"/>
      <c r="L9389" s="10"/>
      <c r="M9389" s="10"/>
      <c r="N9389" s="10"/>
      <c r="O9389" s="10"/>
      <c r="P9389" s="10"/>
      <c r="Q9389" s="10"/>
      <c r="R9389" s="10"/>
      <c r="S9389" s="10"/>
      <c r="T9389" s="10"/>
      <c r="U9389" s="10"/>
      <c r="V9389" s="10"/>
      <c r="W9389" s="10"/>
      <c r="X9389" s="10"/>
      <c r="Y9389" s="10"/>
      <c r="Z9389" s="10"/>
    </row>
    <row r="9390" spans="1:26" ht="12.75">
      <c r="A9390" s="10"/>
      <c r="B9390" s="10"/>
      <c r="C9390" s="10"/>
      <c r="D9390" s="10"/>
      <c r="E9390" s="10"/>
      <c r="F9390" s="10"/>
      <c r="G9390" s="10"/>
      <c r="H9390" s="10"/>
      <c r="I9390" s="10"/>
      <c r="J9390" s="10"/>
      <c r="K9390" s="10"/>
      <c r="L9390" s="10"/>
      <c r="M9390" s="10"/>
      <c r="N9390" s="10"/>
      <c r="O9390" s="10"/>
      <c r="P9390" s="10"/>
      <c r="Q9390" s="10"/>
      <c r="R9390" s="10"/>
      <c r="S9390" s="10"/>
      <c r="T9390" s="10"/>
      <c r="U9390" s="10"/>
      <c r="V9390" s="10"/>
      <c r="W9390" s="10"/>
      <c r="X9390" s="10"/>
      <c r="Y9390" s="10"/>
      <c r="Z9390" s="10"/>
    </row>
    <row r="9391" spans="1:26" ht="12.75">
      <c r="A9391" s="10"/>
      <c r="B9391" s="10"/>
      <c r="C9391" s="10"/>
      <c r="D9391" s="10"/>
      <c r="E9391" s="10"/>
      <c r="F9391" s="10"/>
      <c r="G9391" s="10"/>
      <c r="H9391" s="10"/>
      <c r="I9391" s="10"/>
      <c r="J9391" s="10"/>
      <c r="K9391" s="10"/>
      <c r="L9391" s="10"/>
      <c r="M9391" s="10"/>
      <c r="N9391" s="10"/>
      <c r="O9391" s="10"/>
      <c r="P9391" s="10"/>
      <c r="Q9391" s="10"/>
      <c r="R9391" s="10"/>
      <c r="S9391" s="10"/>
      <c r="T9391" s="10"/>
      <c r="U9391" s="10"/>
      <c r="V9391" s="10"/>
      <c r="W9391" s="10"/>
      <c r="X9391" s="10"/>
      <c r="Y9391" s="10"/>
      <c r="Z9391" s="10"/>
    </row>
    <row r="9392" spans="1:26" ht="12.75">
      <c r="A9392" s="10"/>
      <c r="B9392" s="10"/>
      <c r="C9392" s="10"/>
      <c r="D9392" s="10"/>
      <c r="E9392" s="10"/>
      <c r="F9392" s="10"/>
      <c r="G9392" s="10"/>
      <c r="H9392" s="10"/>
      <c r="I9392" s="10"/>
      <c r="J9392" s="10"/>
      <c r="K9392" s="10"/>
      <c r="L9392" s="10"/>
      <c r="M9392" s="10"/>
      <c r="N9392" s="10"/>
      <c r="O9392" s="10"/>
      <c r="P9392" s="10"/>
      <c r="Q9392" s="10"/>
      <c r="R9392" s="10"/>
      <c r="S9392" s="10"/>
      <c r="T9392" s="10"/>
      <c r="U9392" s="10"/>
      <c r="V9392" s="10"/>
      <c r="W9392" s="10"/>
      <c r="X9392" s="10"/>
      <c r="Y9392" s="10"/>
      <c r="Z9392" s="10"/>
    </row>
    <row r="9393" spans="1:26" ht="12.75">
      <c r="A9393" s="10"/>
      <c r="B9393" s="10"/>
      <c r="C9393" s="10"/>
      <c r="D9393" s="10"/>
      <c r="E9393" s="10"/>
      <c r="F9393" s="10"/>
      <c r="G9393" s="10"/>
      <c r="H9393" s="10"/>
      <c r="I9393" s="10"/>
      <c r="J9393" s="10"/>
      <c r="K9393" s="10"/>
      <c r="L9393" s="10"/>
      <c r="M9393" s="10"/>
      <c r="N9393" s="10"/>
      <c r="O9393" s="10"/>
      <c r="P9393" s="10"/>
      <c r="Q9393" s="10"/>
      <c r="R9393" s="10"/>
      <c r="S9393" s="10"/>
      <c r="T9393" s="10"/>
      <c r="U9393" s="10"/>
      <c r="V9393" s="10"/>
      <c r="W9393" s="10"/>
      <c r="X9393" s="10"/>
      <c r="Y9393" s="10"/>
      <c r="Z9393" s="10"/>
    </row>
    <row r="9394" spans="1:26" ht="12.75">
      <c r="A9394" s="10"/>
      <c r="B9394" s="10"/>
      <c r="C9394" s="10"/>
      <c r="D9394" s="10"/>
      <c r="E9394" s="10"/>
      <c r="F9394" s="10"/>
      <c r="G9394" s="10"/>
      <c r="H9394" s="10"/>
      <c r="I9394" s="10"/>
      <c r="J9394" s="10"/>
      <c r="K9394" s="10"/>
      <c r="L9394" s="10"/>
      <c r="M9394" s="10"/>
      <c r="N9394" s="10"/>
      <c r="O9394" s="10"/>
      <c r="P9394" s="10"/>
      <c r="Q9394" s="10"/>
      <c r="R9394" s="10"/>
      <c r="S9394" s="10"/>
      <c r="T9394" s="10"/>
      <c r="U9394" s="10"/>
      <c r="V9394" s="10"/>
      <c r="W9394" s="10"/>
      <c r="X9394" s="10"/>
      <c r="Y9394" s="10"/>
      <c r="Z9394" s="10"/>
    </row>
    <row r="9395" spans="1:26" ht="12.75">
      <c r="A9395" s="10"/>
      <c r="B9395" s="10"/>
      <c r="C9395" s="10"/>
      <c r="D9395" s="10"/>
      <c r="E9395" s="10"/>
      <c r="F9395" s="10"/>
      <c r="G9395" s="10"/>
      <c r="H9395" s="10"/>
      <c r="I9395" s="10"/>
      <c r="J9395" s="10"/>
      <c r="K9395" s="10"/>
      <c r="L9395" s="10"/>
      <c r="M9395" s="10"/>
      <c r="N9395" s="10"/>
      <c r="O9395" s="10"/>
      <c r="P9395" s="10"/>
      <c r="Q9395" s="10"/>
      <c r="R9395" s="10"/>
      <c r="S9395" s="10"/>
      <c r="T9395" s="10"/>
      <c r="U9395" s="10"/>
      <c r="V9395" s="10"/>
      <c r="W9395" s="10"/>
      <c r="X9395" s="10"/>
      <c r="Y9395" s="10"/>
      <c r="Z9395" s="10"/>
    </row>
    <row r="9396" spans="1:26" ht="12.75">
      <c r="A9396" s="10"/>
      <c r="B9396" s="10"/>
      <c r="C9396" s="10"/>
      <c r="D9396" s="10"/>
      <c r="E9396" s="10"/>
      <c r="F9396" s="10"/>
      <c r="G9396" s="10"/>
      <c r="H9396" s="10"/>
      <c r="I9396" s="10"/>
      <c r="J9396" s="10"/>
      <c r="K9396" s="10"/>
      <c r="L9396" s="10"/>
      <c r="M9396" s="10"/>
      <c r="N9396" s="10"/>
      <c r="O9396" s="10"/>
      <c r="P9396" s="10"/>
      <c r="Q9396" s="10"/>
      <c r="R9396" s="10"/>
      <c r="S9396" s="10"/>
      <c r="T9396" s="10"/>
      <c r="U9396" s="10"/>
      <c r="V9396" s="10"/>
      <c r="W9396" s="10"/>
      <c r="X9396" s="10"/>
      <c r="Y9396" s="10"/>
      <c r="Z9396" s="10"/>
    </row>
    <row r="9397" spans="1:26" ht="12.75">
      <c r="A9397" s="10"/>
      <c r="B9397" s="10"/>
      <c r="C9397" s="10"/>
      <c r="D9397" s="10"/>
      <c r="E9397" s="10"/>
      <c r="F9397" s="10"/>
      <c r="G9397" s="10"/>
      <c r="H9397" s="10"/>
      <c r="I9397" s="10"/>
      <c r="J9397" s="10"/>
      <c r="K9397" s="10"/>
      <c r="L9397" s="10"/>
      <c r="M9397" s="10"/>
      <c r="N9397" s="10"/>
      <c r="O9397" s="10"/>
      <c r="P9397" s="10"/>
      <c r="Q9397" s="10"/>
      <c r="R9397" s="10"/>
      <c r="S9397" s="10"/>
      <c r="T9397" s="10"/>
      <c r="U9397" s="10"/>
      <c r="V9397" s="10"/>
      <c r="W9397" s="10"/>
      <c r="X9397" s="10"/>
      <c r="Y9397" s="10"/>
      <c r="Z9397" s="10"/>
    </row>
    <row r="9398" spans="1:26" ht="12.75">
      <c r="A9398" s="10"/>
      <c r="B9398" s="10"/>
      <c r="C9398" s="10"/>
      <c r="D9398" s="10"/>
      <c r="E9398" s="10"/>
      <c r="F9398" s="10"/>
      <c r="G9398" s="10"/>
      <c r="H9398" s="10"/>
      <c r="I9398" s="10"/>
      <c r="J9398" s="10"/>
      <c r="K9398" s="10"/>
      <c r="L9398" s="10"/>
      <c r="M9398" s="10"/>
      <c r="N9398" s="10"/>
      <c r="O9398" s="10"/>
      <c r="P9398" s="10"/>
      <c r="Q9398" s="10"/>
      <c r="R9398" s="10"/>
      <c r="S9398" s="10"/>
      <c r="T9398" s="10"/>
      <c r="U9398" s="10"/>
      <c r="V9398" s="10"/>
      <c r="W9398" s="10"/>
      <c r="X9398" s="10"/>
      <c r="Y9398" s="10"/>
      <c r="Z9398" s="10"/>
    </row>
    <row r="9399" spans="1:26" ht="12.75">
      <c r="A9399" s="10"/>
      <c r="B9399" s="10"/>
      <c r="C9399" s="10"/>
      <c r="D9399" s="10"/>
      <c r="E9399" s="10"/>
      <c r="F9399" s="10"/>
      <c r="G9399" s="10"/>
      <c r="H9399" s="10"/>
      <c r="I9399" s="10"/>
      <c r="J9399" s="10"/>
      <c r="K9399" s="10"/>
      <c r="L9399" s="10"/>
      <c r="M9399" s="10"/>
      <c r="N9399" s="10"/>
      <c r="O9399" s="10"/>
      <c r="P9399" s="10"/>
      <c r="Q9399" s="10"/>
      <c r="R9399" s="10"/>
      <c r="S9399" s="10"/>
      <c r="T9399" s="10"/>
      <c r="U9399" s="10"/>
      <c r="V9399" s="10"/>
      <c r="W9399" s="10"/>
      <c r="X9399" s="10"/>
      <c r="Y9399" s="10"/>
      <c r="Z9399" s="10"/>
    </row>
    <row r="9400" spans="1:26" ht="12.75">
      <c r="A9400" s="10"/>
      <c r="B9400" s="10"/>
      <c r="C9400" s="10"/>
      <c r="D9400" s="10"/>
      <c r="E9400" s="10"/>
      <c r="F9400" s="10"/>
      <c r="G9400" s="10"/>
      <c r="H9400" s="10"/>
      <c r="I9400" s="10"/>
      <c r="J9400" s="10"/>
      <c r="K9400" s="10"/>
      <c r="L9400" s="10"/>
      <c r="M9400" s="10"/>
      <c r="N9400" s="10"/>
      <c r="O9400" s="10"/>
      <c r="P9400" s="10"/>
      <c r="Q9400" s="10"/>
      <c r="R9400" s="10"/>
      <c r="S9400" s="10"/>
      <c r="T9400" s="10"/>
      <c r="U9400" s="10"/>
      <c r="V9400" s="10"/>
      <c r="W9400" s="10"/>
      <c r="X9400" s="10"/>
      <c r="Y9400" s="10"/>
      <c r="Z9400" s="10"/>
    </row>
    <row r="9401" spans="1:26" ht="12.75">
      <c r="A9401" s="10"/>
      <c r="B9401" s="10"/>
      <c r="C9401" s="10"/>
      <c r="D9401" s="10"/>
      <c r="E9401" s="10"/>
      <c r="F9401" s="10"/>
      <c r="G9401" s="10"/>
      <c r="H9401" s="10"/>
      <c r="I9401" s="10"/>
      <c r="J9401" s="10"/>
      <c r="K9401" s="10"/>
      <c r="L9401" s="10"/>
      <c r="M9401" s="10"/>
      <c r="N9401" s="10"/>
      <c r="O9401" s="10"/>
      <c r="P9401" s="10"/>
      <c r="Q9401" s="10"/>
      <c r="R9401" s="10"/>
      <c r="S9401" s="10"/>
      <c r="T9401" s="10"/>
      <c r="U9401" s="10"/>
      <c r="V9401" s="10"/>
      <c r="W9401" s="10"/>
      <c r="X9401" s="10"/>
      <c r="Y9401" s="10"/>
      <c r="Z9401" s="10"/>
    </row>
    <row r="9402" spans="1:26" ht="12.75">
      <c r="A9402" s="10"/>
      <c r="B9402" s="10"/>
      <c r="C9402" s="10"/>
      <c r="D9402" s="10"/>
      <c r="E9402" s="10"/>
      <c r="F9402" s="10"/>
      <c r="G9402" s="10"/>
      <c r="H9402" s="10"/>
      <c r="I9402" s="10"/>
      <c r="J9402" s="10"/>
      <c r="K9402" s="10"/>
      <c r="L9402" s="10"/>
      <c r="M9402" s="10"/>
      <c r="N9402" s="10"/>
      <c r="O9402" s="10"/>
      <c r="P9402" s="10"/>
      <c r="Q9402" s="10"/>
      <c r="R9402" s="10"/>
      <c r="S9402" s="10"/>
      <c r="T9402" s="10"/>
      <c r="U9402" s="10"/>
      <c r="V9402" s="10"/>
      <c r="W9402" s="10"/>
      <c r="X9402" s="10"/>
      <c r="Y9402" s="10"/>
      <c r="Z9402" s="10"/>
    </row>
    <row r="9403" spans="1:26" ht="12.75">
      <c r="A9403" s="10"/>
      <c r="B9403" s="10"/>
      <c r="C9403" s="10"/>
      <c r="D9403" s="10"/>
      <c r="E9403" s="10"/>
      <c r="F9403" s="10"/>
      <c r="G9403" s="10"/>
      <c r="H9403" s="10"/>
      <c r="I9403" s="10"/>
      <c r="J9403" s="10"/>
      <c r="K9403" s="10"/>
      <c r="L9403" s="10"/>
      <c r="M9403" s="10"/>
      <c r="N9403" s="10"/>
      <c r="O9403" s="10"/>
      <c r="P9403" s="10"/>
      <c r="Q9403" s="10"/>
      <c r="R9403" s="10"/>
      <c r="S9403" s="10"/>
      <c r="T9403" s="10"/>
      <c r="U9403" s="10"/>
      <c r="V9403" s="10"/>
      <c r="W9403" s="10"/>
      <c r="X9403" s="10"/>
      <c r="Y9403" s="10"/>
      <c r="Z9403" s="10"/>
    </row>
    <row r="9404" spans="1:26" ht="12.75">
      <c r="A9404" s="10"/>
      <c r="B9404" s="10"/>
      <c r="C9404" s="10"/>
      <c r="D9404" s="10"/>
      <c r="E9404" s="10"/>
      <c r="F9404" s="10"/>
      <c r="G9404" s="10"/>
      <c r="H9404" s="10"/>
      <c r="I9404" s="10"/>
      <c r="J9404" s="10"/>
      <c r="K9404" s="10"/>
      <c r="L9404" s="10"/>
      <c r="M9404" s="10"/>
      <c r="N9404" s="10"/>
      <c r="O9404" s="10"/>
      <c r="P9404" s="10"/>
      <c r="Q9404" s="10"/>
      <c r="R9404" s="10"/>
      <c r="S9404" s="10"/>
      <c r="T9404" s="10"/>
      <c r="U9404" s="10"/>
      <c r="V9404" s="10"/>
      <c r="W9404" s="10"/>
      <c r="X9404" s="10"/>
      <c r="Y9404" s="10"/>
      <c r="Z9404" s="10"/>
    </row>
    <row r="9405" spans="1:26" ht="12.75">
      <c r="A9405" s="10"/>
      <c r="B9405" s="10"/>
      <c r="C9405" s="10"/>
      <c r="D9405" s="10"/>
      <c r="E9405" s="10"/>
      <c r="F9405" s="10"/>
      <c r="G9405" s="10"/>
      <c r="H9405" s="10"/>
      <c r="I9405" s="10"/>
      <c r="J9405" s="10"/>
      <c r="K9405" s="10"/>
      <c r="L9405" s="10"/>
      <c r="M9405" s="10"/>
      <c r="N9405" s="10"/>
      <c r="O9405" s="10"/>
      <c r="P9405" s="10"/>
      <c r="Q9405" s="10"/>
      <c r="R9405" s="10"/>
      <c r="S9405" s="10"/>
      <c r="T9405" s="10"/>
      <c r="U9405" s="10"/>
      <c r="V9405" s="10"/>
      <c r="W9405" s="10"/>
      <c r="X9405" s="10"/>
      <c r="Y9405" s="10"/>
      <c r="Z9405" s="10"/>
    </row>
    <row r="9406" spans="1:26" ht="12.75">
      <c r="A9406" s="10"/>
      <c r="B9406" s="10"/>
      <c r="C9406" s="10"/>
      <c r="D9406" s="10"/>
      <c r="E9406" s="10"/>
      <c r="F9406" s="10"/>
      <c r="G9406" s="10"/>
      <c r="H9406" s="10"/>
      <c r="I9406" s="10"/>
      <c r="J9406" s="10"/>
      <c r="K9406" s="10"/>
      <c r="L9406" s="10"/>
      <c r="M9406" s="10"/>
      <c r="N9406" s="10"/>
      <c r="O9406" s="10"/>
      <c r="P9406" s="10"/>
      <c r="Q9406" s="10"/>
      <c r="R9406" s="10"/>
      <c r="S9406" s="10"/>
      <c r="T9406" s="10"/>
      <c r="U9406" s="10"/>
      <c r="V9406" s="10"/>
      <c r="W9406" s="10"/>
      <c r="X9406" s="10"/>
      <c r="Y9406" s="10"/>
      <c r="Z9406" s="10"/>
    </row>
    <row r="9407" spans="1:26" ht="12.75">
      <c r="A9407" s="10"/>
      <c r="B9407" s="10"/>
      <c r="C9407" s="10"/>
      <c r="D9407" s="10"/>
      <c r="E9407" s="10"/>
      <c r="F9407" s="10"/>
      <c r="G9407" s="10"/>
      <c r="H9407" s="10"/>
      <c r="I9407" s="10"/>
      <c r="J9407" s="10"/>
      <c r="K9407" s="10"/>
      <c r="L9407" s="10"/>
      <c r="M9407" s="10"/>
      <c r="N9407" s="10"/>
      <c r="O9407" s="10"/>
      <c r="P9407" s="10"/>
      <c r="Q9407" s="10"/>
      <c r="R9407" s="10"/>
      <c r="S9407" s="10"/>
      <c r="T9407" s="10"/>
      <c r="U9407" s="10"/>
      <c r="V9407" s="10"/>
      <c r="W9407" s="10"/>
      <c r="X9407" s="10"/>
      <c r="Y9407" s="10"/>
      <c r="Z9407" s="10"/>
    </row>
    <row r="9408" spans="1:26" ht="12.75">
      <c r="A9408" s="10"/>
      <c r="B9408" s="10"/>
      <c r="C9408" s="10"/>
      <c r="D9408" s="10"/>
      <c r="E9408" s="10"/>
      <c r="F9408" s="10"/>
      <c r="G9408" s="10"/>
      <c r="H9408" s="10"/>
      <c r="I9408" s="10"/>
      <c r="J9408" s="10"/>
      <c r="K9408" s="10"/>
      <c r="L9408" s="10"/>
      <c r="M9408" s="10"/>
      <c r="N9408" s="10"/>
      <c r="O9408" s="10"/>
      <c r="P9408" s="10"/>
      <c r="Q9408" s="10"/>
      <c r="R9408" s="10"/>
      <c r="S9408" s="10"/>
      <c r="T9408" s="10"/>
      <c r="U9408" s="10"/>
      <c r="V9408" s="10"/>
      <c r="W9408" s="10"/>
      <c r="X9408" s="10"/>
      <c r="Y9408" s="10"/>
      <c r="Z9408" s="10"/>
    </row>
    <row r="9409" spans="1:26" ht="12.75">
      <c r="A9409" s="10"/>
      <c r="B9409" s="10"/>
      <c r="C9409" s="10"/>
      <c r="D9409" s="10"/>
      <c r="E9409" s="10"/>
      <c r="F9409" s="10"/>
      <c r="G9409" s="10"/>
      <c r="H9409" s="10"/>
      <c r="I9409" s="10"/>
      <c r="J9409" s="10"/>
      <c r="K9409" s="10"/>
      <c r="L9409" s="10"/>
      <c r="M9409" s="10"/>
      <c r="N9409" s="10"/>
      <c r="O9409" s="10"/>
      <c r="P9409" s="10"/>
      <c r="Q9409" s="10"/>
      <c r="R9409" s="10"/>
      <c r="S9409" s="10"/>
      <c r="T9409" s="10"/>
      <c r="U9409" s="10"/>
      <c r="V9409" s="10"/>
      <c r="W9409" s="10"/>
      <c r="X9409" s="10"/>
      <c r="Y9409" s="10"/>
      <c r="Z9409" s="10"/>
    </row>
    <row r="9410" spans="1:26" ht="12.75">
      <c r="A9410" s="10"/>
      <c r="B9410" s="10"/>
      <c r="C9410" s="10"/>
      <c r="D9410" s="10"/>
      <c r="E9410" s="10"/>
      <c r="F9410" s="10"/>
      <c r="G9410" s="10"/>
      <c r="H9410" s="10"/>
      <c r="I9410" s="10"/>
      <c r="J9410" s="10"/>
      <c r="K9410" s="10"/>
      <c r="L9410" s="10"/>
      <c r="M9410" s="10"/>
      <c r="N9410" s="10"/>
      <c r="O9410" s="10"/>
      <c r="P9410" s="10"/>
      <c r="Q9410" s="10"/>
      <c r="R9410" s="10"/>
      <c r="S9410" s="10"/>
      <c r="T9410" s="10"/>
      <c r="U9410" s="10"/>
      <c r="V9410" s="10"/>
      <c r="W9410" s="10"/>
      <c r="X9410" s="10"/>
      <c r="Y9410" s="10"/>
      <c r="Z9410" s="10"/>
    </row>
    <row r="9411" spans="1:26" ht="12.75">
      <c r="A9411" s="10"/>
      <c r="B9411" s="10"/>
      <c r="C9411" s="10"/>
      <c r="D9411" s="10"/>
      <c r="E9411" s="10"/>
      <c r="F9411" s="10"/>
      <c r="G9411" s="10"/>
      <c r="H9411" s="10"/>
      <c r="I9411" s="10"/>
      <c r="J9411" s="10"/>
      <c r="K9411" s="10"/>
      <c r="L9411" s="10"/>
      <c r="M9411" s="10"/>
      <c r="N9411" s="10"/>
      <c r="O9411" s="10"/>
      <c r="P9411" s="10"/>
      <c r="Q9411" s="10"/>
      <c r="R9411" s="10"/>
      <c r="S9411" s="10"/>
      <c r="T9411" s="10"/>
      <c r="U9411" s="10"/>
      <c r="V9411" s="10"/>
      <c r="W9411" s="10"/>
      <c r="X9411" s="10"/>
      <c r="Y9411" s="10"/>
      <c r="Z9411" s="10"/>
    </row>
    <row r="9412" spans="1:26" ht="12.75">
      <c r="A9412" s="10"/>
      <c r="B9412" s="10"/>
      <c r="C9412" s="10"/>
      <c r="D9412" s="10"/>
      <c r="E9412" s="10"/>
      <c r="F9412" s="10"/>
      <c r="G9412" s="10"/>
      <c r="H9412" s="10"/>
      <c r="I9412" s="10"/>
      <c r="J9412" s="10"/>
      <c r="K9412" s="10"/>
      <c r="L9412" s="10"/>
      <c r="M9412" s="10"/>
      <c r="N9412" s="10"/>
      <c r="O9412" s="10"/>
      <c r="P9412" s="10"/>
      <c r="Q9412" s="10"/>
      <c r="R9412" s="10"/>
      <c r="S9412" s="10"/>
      <c r="T9412" s="10"/>
      <c r="U9412" s="10"/>
      <c r="V9412" s="10"/>
      <c r="W9412" s="10"/>
      <c r="X9412" s="10"/>
      <c r="Y9412" s="10"/>
      <c r="Z9412" s="10"/>
    </row>
    <row r="9413" spans="1:26" ht="12.75">
      <c r="A9413" s="10"/>
      <c r="B9413" s="10"/>
      <c r="C9413" s="10"/>
      <c r="D9413" s="10"/>
      <c r="E9413" s="10"/>
      <c r="F9413" s="10"/>
      <c r="G9413" s="10"/>
      <c r="H9413" s="10"/>
      <c r="I9413" s="10"/>
      <c r="J9413" s="10"/>
      <c r="K9413" s="10"/>
      <c r="L9413" s="10"/>
      <c r="M9413" s="10"/>
      <c r="N9413" s="10"/>
      <c r="O9413" s="10"/>
      <c r="P9413" s="10"/>
      <c r="Q9413" s="10"/>
      <c r="R9413" s="10"/>
      <c r="S9413" s="10"/>
      <c r="T9413" s="10"/>
      <c r="U9413" s="10"/>
      <c r="V9413" s="10"/>
      <c r="W9413" s="10"/>
      <c r="X9413" s="10"/>
      <c r="Y9413" s="10"/>
      <c r="Z9413" s="10"/>
    </row>
    <row r="9414" spans="1:26" ht="12.75">
      <c r="A9414" s="10"/>
      <c r="B9414" s="10"/>
      <c r="C9414" s="10"/>
      <c r="D9414" s="10"/>
      <c r="E9414" s="10"/>
      <c r="F9414" s="10"/>
      <c r="G9414" s="10"/>
      <c r="H9414" s="10"/>
      <c r="I9414" s="10"/>
      <c r="J9414" s="10"/>
      <c r="K9414" s="10"/>
      <c r="L9414" s="10"/>
      <c r="M9414" s="10"/>
      <c r="N9414" s="10"/>
      <c r="O9414" s="10"/>
      <c r="P9414" s="10"/>
      <c r="Q9414" s="10"/>
      <c r="R9414" s="10"/>
      <c r="S9414" s="10"/>
      <c r="T9414" s="10"/>
      <c r="U9414" s="10"/>
      <c r="V9414" s="10"/>
      <c r="W9414" s="10"/>
      <c r="X9414" s="10"/>
      <c r="Y9414" s="10"/>
      <c r="Z9414" s="10"/>
    </row>
    <row r="9415" spans="1:26" ht="12.75">
      <c r="A9415" s="10"/>
      <c r="B9415" s="10"/>
      <c r="C9415" s="10"/>
      <c r="D9415" s="10"/>
      <c r="E9415" s="10"/>
      <c r="F9415" s="10"/>
      <c r="G9415" s="10"/>
      <c r="H9415" s="10"/>
      <c r="I9415" s="10"/>
      <c r="J9415" s="10"/>
      <c r="K9415" s="10"/>
      <c r="L9415" s="10"/>
      <c r="M9415" s="10"/>
      <c r="N9415" s="10"/>
      <c r="O9415" s="10"/>
      <c r="P9415" s="10"/>
      <c r="Q9415" s="10"/>
      <c r="R9415" s="10"/>
      <c r="S9415" s="10"/>
      <c r="T9415" s="10"/>
      <c r="U9415" s="10"/>
      <c r="V9415" s="10"/>
      <c r="W9415" s="10"/>
      <c r="X9415" s="10"/>
      <c r="Y9415" s="10"/>
      <c r="Z9415" s="10"/>
    </row>
    <row r="9416" spans="1:26" ht="12.75">
      <c r="A9416" s="10"/>
      <c r="B9416" s="10"/>
      <c r="C9416" s="10"/>
      <c r="D9416" s="10"/>
      <c r="E9416" s="10"/>
      <c r="F9416" s="10"/>
      <c r="G9416" s="10"/>
      <c r="H9416" s="10"/>
      <c r="I9416" s="10"/>
      <c r="J9416" s="10"/>
      <c r="K9416" s="10"/>
      <c r="L9416" s="10"/>
      <c r="M9416" s="10"/>
      <c r="N9416" s="10"/>
      <c r="O9416" s="10"/>
      <c r="P9416" s="10"/>
      <c r="Q9416" s="10"/>
      <c r="R9416" s="10"/>
      <c r="S9416" s="10"/>
      <c r="T9416" s="10"/>
      <c r="U9416" s="10"/>
      <c r="V9416" s="10"/>
      <c r="W9416" s="10"/>
      <c r="X9416" s="10"/>
      <c r="Y9416" s="10"/>
      <c r="Z9416" s="10"/>
    </row>
    <row r="9417" spans="1:26" ht="12.75">
      <c r="A9417" s="10"/>
      <c r="B9417" s="10"/>
      <c r="C9417" s="10"/>
      <c r="D9417" s="10"/>
      <c r="E9417" s="10"/>
      <c r="F9417" s="10"/>
      <c r="G9417" s="10"/>
      <c r="H9417" s="10"/>
      <c r="I9417" s="10"/>
      <c r="J9417" s="10"/>
      <c r="K9417" s="10"/>
      <c r="L9417" s="10"/>
      <c r="M9417" s="10"/>
      <c r="N9417" s="10"/>
      <c r="O9417" s="10"/>
      <c r="P9417" s="10"/>
      <c r="Q9417" s="10"/>
      <c r="R9417" s="10"/>
      <c r="S9417" s="10"/>
      <c r="T9417" s="10"/>
      <c r="U9417" s="10"/>
      <c r="V9417" s="10"/>
      <c r="W9417" s="10"/>
      <c r="X9417" s="10"/>
      <c r="Y9417" s="10"/>
      <c r="Z9417" s="10"/>
    </row>
    <row r="9418" spans="1:26" ht="12.75">
      <c r="A9418" s="10"/>
      <c r="B9418" s="10"/>
      <c r="C9418" s="10"/>
      <c r="D9418" s="10"/>
      <c r="E9418" s="10"/>
      <c r="F9418" s="10"/>
      <c r="G9418" s="10"/>
      <c r="H9418" s="10"/>
      <c r="I9418" s="10"/>
      <c r="J9418" s="10"/>
      <c r="K9418" s="10"/>
      <c r="L9418" s="10"/>
      <c r="M9418" s="10"/>
      <c r="N9418" s="10"/>
      <c r="O9418" s="10"/>
      <c r="P9418" s="10"/>
      <c r="Q9418" s="10"/>
      <c r="R9418" s="10"/>
      <c r="S9418" s="10"/>
      <c r="T9418" s="10"/>
      <c r="U9418" s="10"/>
      <c r="V9418" s="10"/>
      <c r="W9418" s="10"/>
      <c r="X9418" s="10"/>
      <c r="Y9418" s="10"/>
      <c r="Z9418" s="10"/>
    </row>
    <row r="9419" spans="1:26" ht="12.75">
      <c r="A9419" s="10"/>
      <c r="B9419" s="10"/>
      <c r="C9419" s="10"/>
      <c r="D9419" s="10"/>
      <c r="E9419" s="10"/>
      <c r="F9419" s="10"/>
      <c r="G9419" s="10"/>
      <c r="H9419" s="10"/>
      <c r="I9419" s="10"/>
      <c r="J9419" s="10"/>
      <c r="K9419" s="10"/>
      <c r="L9419" s="10"/>
      <c r="M9419" s="10"/>
      <c r="N9419" s="10"/>
      <c r="O9419" s="10"/>
      <c r="P9419" s="10"/>
      <c r="Q9419" s="10"/>
      <c r="R9419" s="10"/>
      <c r="S9419" s="10"/>
      <c r="T9419" s="10"/>
      <c r="U9419" s="10"/>
      <c r="V9419" s="10"/>
      <c r="W9419" s="10"/>
      <c r="X9419" s="10"/>
      <c r="Y9419" s="10"/>
      <c r="Z9419" s="10"/>
    </row>
    <row r="9420" spans="1:26" ht="12.75">
      <c r="A9420" s="10"/>
      <c r="B9420" s="10"/>
      <c r="C9420" s="10"/>
      <c r="D9420" s="10"/>
      <c r="E9420" s="10"/>
      <c r="F9420" s="10"/>
      <c r="G9420" s="10"/>
      <c r="H9420" s="10"/>
      <c r="I9420" s="10"/>
      <c r="J9420" s="10"/>
      <c r="K9420" s="10"/>
      <c r="L9420" s="10"/>
      <c r="M9420" s="10"/>
      <c r="N9420" s="10"/>
      <c r="O9420" s="10"/>
      <c r="P9420" s="10"/>
      <c r="Q9420" s="10"/>
      <c r="R9420" s="10"/>
      <c r="S9420" s="10"/>
      <c r="T9420" s="10"/>
      <c r="U9420" s="10"/>
      <c r="V9420" s="10"/>
      <c r="W9420" s="10"/>
      <c r="X9420" s="10"/>
      <c r="Y9420" s="10"/>
      <c r="Z9420" s="10"/>
    </row>
    <row r="9421" spans="1:26" ht="12.75">
      <c r="A9421" s="10"/>
      <c r="B9421" s="10"/>
      <c r="C9421" s="10"/>
      <c r="D9421" s="10"/>
      <c r="E9421" s="10"/>
      <c r="F9421" s="10"/>
      <c r="G9421" s="10"/>
      <c r="H9421" s="10"/>
      <c r="I9421" s="10"/>
      <c r="J9421" s="10"/>
      <c r="K9421" s="10"/>
      <c r="L9421" s="10"/>
      <c r="M9421" s="10"/>
      <c r="N9421" s="10"/>
      <c r="O9421" s="10"/>
      <c r="P9421" s="10"/>
      <c r="Q9421" s="10"/>
      <c r="R9421" s="10"/>
      <c r="S9421" s="10"/>
      <c r="T9421" s="10"/>
      <c r="U9421" s="10"/>
      <c r="V9421" s="10"/>
      <c r="W9421" s="10"/>
      <c r="X9421" s="10"/>
      <c r="Y9421" s="10"/>
      <c r="Z9421" s="10"/>
    </row>
    <row r="9422" spans="1:26" ht="12.75">
      <c r="A9422" s="10"/>
      <c r="B9422" s="10"/>
      <c r="C9422" s="10"/>
      <c r="D9422" s="10"/>
      <c r="E9422" s="10"/>
      <c r="F9422" s="10"/>
      <c r="G9422" s="10"/>
      <c r="H9422" s="10"/>
      <c r="I9422" s="10"/>
      <c r="J9422" s="10"/>
      <c r="K9422" s="10"/>
      <c r="L9422" s="10"/>
      <c r="M9422" s="10"/>
      <c r="N9422" s="10"/>
      <c r="O9422" s="10"/>
      <c r="P9422" s="10"/>
      <c r="Q9422" s="10"/>
      <c r="R9422" s="10"/>
      <c r="S9422" s="10"/>
      <c r="T9422" s="10"/>
      <c r="U9422" s="10"/>
      <c r="V9422" s="10"/>
      <c r="W9422" s="10"/>
      <c r="X9422" s="10"/>
      <c r="Y9422" s="10"/>
      <c r="Z9422" s="10"/>
    </row>
    <row r="9423" spans="1:26" ht="12.75">
      <c r="A9423" s="10"/>
      <c r="B9423" s="10"/>
      <c r="C9423" s="10"/>
      <c r="D9423" s="10"/>
      <c r="E9423" s="10"/>
      <c r="F9423" s="10"/>
      <c r="G9423" s="10"/>
      <c r="H9423" s="10"/>
      <c r="I9423" s="10"/>
      <c r="J9423" s="10"/>
      <c r="K9423" s="10"/>
      <c r="L9423" s="10"/>
      <c r="M9423" s="10"/>
      <c r="N9423" s="10"/>
      <c r="O9423" s="10"/>
      <c r="P9423" s="10"/>
      <c r="Q9423" s="10"/>
      <c r="R9423" s="10"/>
      <c r="S9423" s="10"/>
      <c r="T9423" s="10"/>
      <c r="U9423" s="10"/>
      <c r="V9423" s="10"/>
      <c r="W9423" s="10"/>
      <c r="X9423" s="10"/>
      <c r="Y9423" s="10"/>
      <c r="Z9423" s="10"/>
    </row>
    <row r="9424" spans="1:26" ht="12.75">
      <c r="A9424" s="10"/>
      <c r="B9424" s="10"/>
      <c r="C9424" s="10"/>
      <c r="D9424" s="10"/>
      <c r="E9424" s="10"/>
      <c r="F9424" s="10"/>
      <c r="G9424" s="10"/>
      <c r="H9424" s="10"/>
      <c r="I9424" s="10"/>
      <c r="J9424" s="10"/>
      <c r="K9424" s="10"/>
      <c r="L9424" s="10"/>
      <c r="M9424" s="10"/>
      <c r="N9424" s="10"/>
      <c r="O9424" s="10"/>
      <c r="P9424" s="10"/>
      <c r="Q9424" s="10"/>
      <c r="R9424" s="10"/>
      <c r="S9424" s="10"/>
      <c r="T9424" s="10"/>
      <c r="U9424" s="10"/>
      <c r="V9424" s="10"/>
      <c r="W9424" s="10"/>
      <c r="X9424" s="10"/>
      <c r="Y9424" s="10"/>
      <c r="Z9424" s="10"/>
    </row>
    <row r="9425" spans="1:26" ht="12.75">
      <c r="A9425" s="10"/>
      <c r="B9425" s="10"/>
      <c r="C9425" s="10"/>
      <c r="D9425" s="10"/>
      <c r="E9425" s="10"/>
      <c r="F9425" s="10"/>
      <c r="G9425" s="10"/>
      <c r="H9425" s="10"/>
      <c r="I9425" s="10"/>
      <c r="J9425" s="10"/>
      <c r="K9425" s="10"/>
      <c r="L9425" s="10"/>
      <c r="M9425" s="10"/>
      <c r="N9425" s="10"/>
      <c r="O9425" s="10"/>
      <c r="P9425" s="10"/>
      <c r="Q9425" s="10"/>
      <c r="R9425" s="10"/>
      <c r="S9425" s="10"/>
      <c r="T9425" s="10"/>
      <c r="U9425" s="10"/>
      <c r="V9425" s="10"/>
      <c r="W9425" s="10"/>
      <c r="X9425" s="10"/>
      <c r="Y9425" s="10"/>
      <c r="Z9425" s="10"/>
    </row>
    <row r="9426" spans="1:26" ht="12.75">
      <c r="A9426" s="10"/>
      <c r="B9426" s="10"/>
      <c r="C9426" s="10"/>
      <c r="D9426" s="10"/>
      <c r="E9426" s="10"/>
      <c r="F9426" s="10"/>
      <c r="G9426" s="10"/>
      <c r="H9426" s="10"/>
      <c r="I9426" s="10"/>
      <c r="J9426" s="10"/>
      <c r="K9426" s="10"/>
      <c r="L9426" s="10"/>
      <c r="M9426" s="10"/>
      <c r="N9426" s="10"/>
      <c r="O9426" s="10"/>
      <c r="P9426" s="10"/>
      <c r="Q9426" s="10"/>
      <c r="R9426" s="10"/>
      <c r="S9426" s="10"/>
      <c r="T9426" s="10"/>
      <c r="U9426" s="10"/>
      <c r="V9426" s="10"/>
      <c r="W9426" s="10"/>
      <c r="X9426" s="10"/>
      <c r="Y9426" s="10"/>
      <c r="Z9426" s="10"/>
    </row>
    <row r="9427" spans="1:26" ht="12.75">
      <c r="A9427" s="10"/>
      <c r="B9427" s="10"/>
      <c r="C9427" s="10"/>
      <c r="D9427" s="10"/>
      <c r="E9427" s="10"/>
      <c r="F9427" s="10"/>
      <c r="G9427" s="10"/>
      <c r="H9427" s="10"/>
      <c r="I9427" s="10"/>
      <c r="J9427" s="10"/>
      <c r="K9427" s="10"/>
      <c r="L9427" s="10"/>
      <c r="M9427" s="10"/>
      <c r="N9427" s="10"/>
      <c r="O9427" s="10"/>
      <c r="P9427" s="10"/>
      <c r="Q9427" s="10"/>
      <c r="R9427" s="10"/>
      <c r="S9427" s="10"/>
      <c r="T9427" s="10"/>
      <c r="U9427" s="10"/>
      <c r="V9427" s="10"/>
      <c r="W9427" s="10"/>
      <c r="X9427" s="10"/>
      <c r="Y9427" s="10"/>
      <c r="Z9427" s="10"/>
    </row>
    <row r="9428" spans="1:26" ht="12.75">
      <c r="A9428" s="10"/>
      <c r="B9428" s="10"/>
      <c r="C9428" s="10"/>
      <c r="D9428" s="10"/>
      <c r="E9428" s="10"/>
      <c r="F9428" s="10"/>
      <c r="G9428" s="10"/>
      <c r="H9428" s="10"/>
      <c r="I9428" s="10"/>
      <c r="J9428" s="10"/>
      <c r="K9428" s="10"/>
      <c r="L9428" s="10"/>
      <c r="M9428" s="10"/>
      <c r="N9428" s="10"/>
      <c r="O9428" s="10"/>
      <c r="P9428" s="10"/>
      <c r="Q9428" s="10"/>
      <c r="R9428" s="10"/>
      <c r="S9428" s="10"/>
      <c r="T9428" s="10"/>
      <c r="U9428" s="10"/>
      <c r="V9428" s="10"/>
      <c r="W9428" s="10"/>
      <c r="X9428" s="10"/>
      <c r="Y9428" s="10"/>
      <c r="Z9428" s="10"/>
    </row>
    <row r="9429" spans="1:26" ht="12.75">
      <c r="A9429" s="10"/>
      <c r="B9429" s="10"/>
      <c r="C9429" s="10"/>
      <c r="D9429" s="10"/>
      <c r="E9429" s="10"/>
      <c r="F9429" s="10"/>
      <c r="G9429" s="10"/>
      <c r="H9429" s="10"/>
      <c r="I9429" s="10"/>
      <c r="J9429" s="10"/>
      <c r="K9429" s="10"/>
      <c r="L9429" s="10"/>
      <c r="M9429" s="10"/>
      <c r="N9429" s="10"/>
      <c r="O9429" s="10"/>
      <c r="P9429" s="10"/>
      <c r="Q9429" s="10"/>
      <c r="R9429" s="10"/>
      <c r="S9429" s="10"/>
      <c r="T9429" s="10"/>
      <c r="U9429" s="10"/>
      <c r="V9429" s="10"/>
      <c r="W9429" s="10"/>
      <c r="X9429" s="10"/>
      <c r="Y9429" s="10"/>
      <c r="Z9429" s="10"/>
    </row>
    <row r="9430" spans="1:26" ht="12.75">
      <c r="A9430" s="10"/>
      <c r="B9430" s="10"/>
      <c r="C9430" s="10"/>
      <c r="D9430" s="10"/>
      <c r="E9430" s="10"/>
      <c r="F9430" s="10"/>
      <c r="G9430" s="10"/>
      <c r="H9430" s="10"/>
      <c r="I9430" s="10"/>
      <c r="J9430" s="10"/>
      <c r="K9430" s="10"/>
      <c r="L9430" s="10"/>
      <c r="M9430" s="10"/>
      <c r="N9430" s="10"/>
      <c r="O9430" s="10"/>
      <c r="P9430" s="10"/>
      <c r="Q9430" s="10"/>
      <c r="R9430" s="10"/>
      <c r="S9430" s="10"/>
      <c r="T9430" s="10"/>
      <c r="U9430" s="10"/>
      <c r="V9430" s="10"/>
      <c r="W9430" s="10"/>
      <c r="X9430" s="10"/>
      <c r="Y9430" s="10"/>
      <c r="Z9430" s="10"/>
    </row>
    <row r="9431" spans="1:26" ht="12.75">
      <c r="A9431" s="10"/>
      <c r="B9431" s="10"/>
      <c r="C9431" s="10"/>
      <c r="D9431" s="10"/>
      <c r="E9431" s="10"/>
      <c r="F9431" s="10"/>
      <c r="G9431" s="10"/>
      <c r="H9431" s="10"/>
      <c r="I9431" s="10"/>
      <c r="J9431" s="10"/>
      <c r="K9431" s="10"/>
      <c r="L9431" s="10"/>
      <c r="M9431" s="10"/>
      <c r="N9431" s="10"/>
      <c r="O9431" s="10"/>
      <c r="P9431" s="10"/>
      <c r="Q9431" s="10"/>
      <c r="R9431" s="10"/>
      <c r="S9431" s="10"/>
      <c r="T9431" s="10"/>
      <c r="U9431" s="10"/>
      <c r="V9431" s="10"/>
      <c r="W9431" s="10"/>
      <c r="X9431" s="10"/>
      <c r="Y9431" s="10"/>
      <c r="Z9431" s="10"/>
    </row>
    <row r="9432" spans="1:26" ht="12.75">
      <c r="A9432" s="10"/>
      <c r="B9432" s="10"/>
      <c r="C9432" s="10"/>
      <c r="D9432" s="10"/>
      <c r="E9432" s="10"/>
      <c r="F9432" s="10"/>
      <c r="G9432" s="10"/>
      <c r="H9432" s="10"/>
      <c r="I9432" s="10"/>
      <c r="J9432" s="10"/>
      <c r="K9432" s="10"/>
      <c r="L9432" s="10"/>
      <c r="M9432" s="10"/>
      <c r="N9432" s="10"/>
      <c r="O9432" s="10"/>
      <c r="P9432" s="10"/>
      <c r="Q9432" s="10"/>
      <c r="R9432" s="10"/>
      <c r="S9432" s="10"/>
      <c r="T9432" s="10"/>
      <c r="U9432" s="10"/>
      <c r="V9432" s="10"/>
      <c r="W9432" s="10"/>
      <c r="X9432" s="10"/>
      <c r="Y9432" s="10"/>
      <c r="Z9432" s="10"/>
    </row>
    <row r="9433" spans="1:26" ht="12.75">
      <c r="A9433" s="10"/>
      <c r="B9433" s="10"/>
      <c r="C9433" s="10"/>
      <c r="D9433" s="10"/>
      <c r="E9433" s="10"/>
      <c r="F9433" s="10"/>
      <c r="G9433" s="10"/>
      <c r="H9433" s="10"/>
      <c r="I9433" s="10"/>
      <c r="J9433" s="10"/>
      <c r="K9433" s="10"/>
      <c r="L9433" s="10"/>
      <c r="M9433" s="10"/>
      <c r="N9433" s="10"/>
      <c r="O9433" s="10"/>
      <c r="P9433" s="10"/>
      <c r="Q9433" s="10"/>
      <c r="R9433" s="10"/>
      <c r="S9433" s="10"/>
      <c r="T9433" s="10"/>
      <c r="U9433" s="10"/>
      <c r="V9433" s="10"/>
      <c r="W9433" s="10"/>
      <c r="X9433" s="10"/>
      <c r="Y9433" s="10"/>
      <c r="Z9433" s="10"/>
    </row>
    <row r="9434" spans="1:26" ht="12.75">
      <c r="A9434" s="10"/>
      <c r="B9434" s="10"/>
      <c r="C9434" s="10"/>
      <c r="D9434" s="10"/>
      <c r="E9434" s="10"/>
      <c r="F9434" s="10"/>
      <c r="G9434" s="10"/>
      <c r="H9434" s="10"/>
      <c r="I9434" s="10"/>
      <c r="J9434" s="10"/>
      <c r="K9434" s="10"/>
      <c r="L9434" s="10"/>
      <c r="M9434" s="10"/>
      <c r="N9434" s="10"/>
      <c r="O9434" s="10"/>
      <c r="P9434" s="10"/>
      <c r="Q9434" s="10"/>
      <c r="R9434" s="10"/>
      <c r="S9434" s="10"/>
      <c r="T9434" s="10"/>
      <c r="U9434" s="10"/>
      <c r="V9434" s="10"/>
      <c r="W9434" s="10"/>
      <c r="X9434" s="10"/>
      <c r="Y9434" s="10"/>
      <c r="Z9434" s="10"/>
    </row>
    <row r="9435" spans="1:26" ht="12.75">
      <c r="A9435" s="10"/>
      <c r="B9435" s="10"/>
      <c r="C9435" s="10"/>
      <c r="D9435" s="10"/>
      <c r="E9435" s="10"/>
      <c r="F9435" s="10"/>
      <c r="G9435" s="10"/>
      <c r="H9435" s="10"/>
      <c r="I9435" s="10"/>
      <c r="J9435" s="10"/>
      <c r="K9435" s="10"/>
      <c r="L9435" s="10"/>
      <c r="M9435" s="10"/>
      <c r="N9435" s="10"/>
      <c r="O9435" s="10"/>
      <c r="P9435" s="10"/>
      <c r="Q9435" s="10"/>
      <c r="R9435" s="10"/>
      <c r="S9435" s="10"/>
      <c r="T9435" s="10"/>
      <c r="U9435" s="10"/>
      <c r="V9435" s="10"/>
      <c r="W9435" s="10"/>
      <c r="X9435" s="10"/>
      <c r="Y9435" s="10"/>
      <c r="Z9435" s="10"/>
    </row>
    <row r="9436" spans="1:26" ht="12.75">
      <c r="A9436" s="10"/>
      <c r="B9436" s="10"/>
      <c r="C9436" s="10"/>
      <c r="D9436" s="10"/>
      <c r="E9436" s="10"/>
      <c r="F9436" s="10"/>
      <c r="G9436" s="10"/>
      <c r="H9436" s="10"/>
      <c r="I9436" s="10"/>
      <c r="J9436" s="10"/>
      <c r="K9436" s="10"/>
      <c r="L9436" s="10"/>
      <c r="M9436" s="10"/>
      <c r="N9436" s="10"/>
      <c r="O9436" s="10"/>
      <c r="P9436" s="10"/>
      <c r="Q9436" s="10"/>
      <c r="R9436" s="10"/>
      <c r="S9436" s="10"/>
      <c r="T9436" s="10"/>
      <c r="U9436" s="10"/>
      <c r="V9436" s="10"/>
      <c r="W9436" s="10"/>
      <c r="X9436" s="10"/>
      <c r="Y9436" s="10"/>
      <c r="Z9436" s="10"/>
    </row>
    <row r="9437" spans="1:26" ht="12.75">
      <c r="A9437" s="10"/>
      <c r="B9437" s="10"/>
      <c r="C9437" s="10"/>
      <c r="D9437" s="10"/>
      <c r="E9437" s="10"/>
      <c r="F9437" s="10"/>
      <c r="G9437" s="10"/>
      <c r="H9437" s="10"/>
      <c r="I9437" s="10"/>
      <c r="J9437" s="10"/>
      <c r="K9437" s="10"/>
      <c r="L9437" s="10"/>
      <c r="M9437" s="10"/>
      <c r="N9437" s="10"/>
      <c r="O9437" s="10"/>
      <c r="P9437" s="10"/>
      <c r="Q9437" s="10"/>
      <c r="R9437" s="10"/>
      <c r="S9437" s="10"/>
      <c r="T9437" s="10"/>
      <c r="U9437" s="10"/>
      <c r="V9437" s="10"/>
      <c r="W9437" s="10"/>
      <c r="X9437" s="10"/>
      <c r="Y9437" s="10"/>
      <c r="Z9437" s="10"/>
    </row>
    <row r="9438" spans="1:26" ht="12.75">
      <c r="A9438" s="10"/>
      <c r="B9438" s="10"/>
      <c r="C9438" s="10"/>
      <c r="D9438" s="10"/>
      <c r="E9438" s="10"/>
      <c r="F9438" s="10"/>
      <c r="G9438" s="10"/>
      <c r="H9438" s="10"/>
      <c r="I9438" s="10"/>
      <c r="J9438" s="10"/>
      <c r="K9438" s="10"/>
      <c r="L9438" s="10"/>
      <c r="M9438" s="10"/>
      <c r="N9438" s="10"/>
      <c r="O9438" s="10"/>
      <c r="P9438" s="10"/>
      <c r="Q9438" s="10"/>
      <c r="R9438" s="10"/>
      <c r="S9438" s="10"/>
      <c r="T9438" s="10"/>
      <c r="U9438" s="10"/>
      <c r="V9438" s="10"/>
      <c r="W9438" s="10"/>
      <c r="X9438" s="10"/>
      <c r="Y9438" s="10"/>
      <c r="Z9438" s="10"/>
    </row>
    <row r="9439" spans="1:26" ht="12.75">
      <c r="A9439" s="10"/>
      <c r="B9439" s="10"/>
      <c r="C9439" s="10"/>
      <c r="D9439" s="10"/>
      <c r="E9439" s="10"/>
      <c r="F9439" s="10"/>
      <c r="G9439" s="10"/>
      <c r="H9439" s="10"/>
      <c r="I9439" s="10"/>
      <c r="J9439" s="10"/>
      <c r="K9439" s="10"/>
      <c r="L9439" s="10"/>
      <c r="M9439" s="10"/>
      <c r="N9439" s="10"/>
      <c r="O9439" s="10"/>
      <c r="P9439" s="10"/>
      <c r="Q9439" s="10"/>
      <c r="R9439" s="10"/>
      <c r="S9439" s="10"/>
      <c r="T9439" s="10"/>
      <c r="U9439" s="10"/>
      <c r="V9439" s="10"/>
      <c r="W9439" s="10"/>
      <c r="X9439" s="10"/>
      <c r="Y9439" s="10"/>
      <c r="Z9439" s="10"/>
    </row>
    <row r="9440" spans="1:26" ht="12.75">
      <c r="A9440" s="10"/>
      <c r="B9440" s="10"/>
      <c r="C9440" s="10"/>
      <c r="D9440" s="10"/>
      <c r="E9440" s="10"/>
      <c r="F9440" s="10"/>
      <c r="G9440" s="10"/>
      <c r="H9440" s="10"/>
      <c r="I9440" s="10"/>
      <c r="J9440" s="10"/>
      <c r="K9440" s="10"/>
      <c r="L9440" s="10"/>
      <c r="M9440" s="10"/>
      <c r="N9440" s="10"/>
      <c r="O9440" s="10"/>
      <c r="P9440" s="10"/>
      <c r="Q9440" s="10"/>
      <c r="R9440" s="10"/>
      <c r="S9440" s="10"/>
      <c r="T9440" s="10"/>
      <c r="U9440" s="10"/>
      <c r="V9440" s="10"/>
      <c r="W9440" s="10"/>
      <c r="X9440" s="10"/>
      <c r="Y9440" s="10"/>
      <c r="Z9440" s="10"/>
    </row>
    <row r="9441" spans="1:26" ht="12.75">
      <c r="A9441" s="10"/>
      <c r="B9441" s="10"/>
      <c r="C9441" s="10"/>
      <c r="D9441" s="10"/>
      <c r="E9441" s="10"/>
      <c r="F9441" s="10"/>
      <c r="G9441" s="10"/>
      <c r="H9441" s="10"/>
      <c r="I9441" s="10"/>
      <c r="J9441" s="10"/>
      <c r="K9441" s="10"/>
      <c r="L9441" s="10"/>
      <c r="M9441" s="10"/>
      <c r="N9441" s="10"/>
      <c r="O9441" s="10"/>
      <c r="P9441" s="10"/>
      <c r="Q9441" s="10"/>
      <c r="R9441" s="10"/>
      <c r="S9441" s="10"/>
      <c r="T9441" s="10"/>
      <c r="U9441" s="10"/>
      <c r="V9441" s="10"/>
      <c r="W9441" s="10"/>
      <c r="X9441" s="10"/>
      <c r="Y9441" s="10"/>
      <c r="Z9441" s="10"/>
    </row>
    <row r="9442" spans="1:26" ht="12.75">
      <c r="A9442" s="10"/>
      <c r="B9442" s="10"/>
      <c r="C9442" s="10"/>
      <c r="D9442" s="10"/>
      <c r="E9442" s="10"/>
      <c r="F9442" s="10"/>
      <c r="G9442" s="10"/>
      <c r="H9442" s="10"/>
      <c r="I9442" s="10"/>
      <c r="J9442" s="10"/>
      <c r="K9442" s="10"/>
      <c r="L9442" s="10"/>
      <c r="M9442" s="10"/>
      <c r="N9442" s="10"/>
      <c r="O9442" s="10"/>
      <c r="P9442" s="10"/>
      <c r="Q9442" s="10"/>
      <c r="R9442" s="10"/>
      <c r="S9442" s="10"/>
      <c r="T9442" s="10"/>
      <c r="U9442" s="10"/>
      <c r="V9442" s="10"/>
      <c r="W9442" s="10"/>
      <c r="X9442" s="10"/>
      <c r="Y9442" s="10"/>
      <c r="Z9442" s="10"/>
    </row>
    <row r="9443" spans="1:26" ht="12.75">
      <c r="A9443" s="10"/>
      <c r="B9443" s="10"/>
      <c r="C9443" s="10"/>
      <c r="D9443" s="10"/>
      <c r="E9443" s="10"/>
      <c r="F9443" s="10"/>
      <c r="G9443" s="10"/>
      <c r="H9443" s="10"/>
      <c r="I9443" s="10"/>
      <c r="J9443" s="10"/>
      <c r="K9443" s="10"/>
      <c r="L9443" s="10"/>
      <c r="M9443" s="10"/>
      <c r="N9443" s="10"/>
      <c r="O9443" s="10"/>
      <c r="P9443" s="10"/>
      <c r="Q9443" s="10"/>
      <c r="R9443" s="10"/>
      <c r="S9443" s="10"/>
      <c r="T9443" s="10"/>
      <c r="U9443" s="10"/>
      <c r="V9443" s="10"/>
      <c r="W9443" s="10"/>
      <c r="X9443" s="10"/>
      <c r="Y9443" s="10"/>
      <c r="Z9443" s="10"/>
    </row>
    <row r="9444" spans="1:26" ht="12.75">
      <c r="A9444" s="10"/>
      <c r="B9444" s="10"/>
      <c r="C9444" s="10"/>
      <c r="D9444" s="10"/>
      <c r="E9444" s="10"/>
      <c r="F9444" s="10"/>
      <c r="G9444" s="10"/>
      <c r="H9444" s="10"/>
      <c r="I9444" s="10"/>
      <c r="J9444" s="10"/>
      <c r="K9444" s="10"/>
      <c r="L9444" s="10"/>
      <c r="M9444" s="10"/>
      <c r="N9444" s="10"/>
      <c r="O9444" s="10"/>
      <c r="P9444" s="10"/>
      <c r="Q9444" s="10"/>
      <c r="R9444" s="10"/>
      <c r="S9444" s="10"/>
      <c r="T9444" s="10"/>
      <c r="U9444" s="10"/>
      <c r="V9444" s="10"/>
      <c r="W9444" s="10"/>
      <c r="X9444" s="10"/>
      <c r="Y9444" s="10"/>
      <c r="Z9444" s="10"/>
    </row>
    <row r="9445" spans="1:26" ht="12.75">
      <c r="A9445" s="10"/>
      <c r="B9445" s="10"/>
      <c r="C9445" s="10"/>
      <c r="D9445" s="10"/>
      <c r="E9445" s="10"/>
      <c r="F9445" s="10"/>
      <c r="G9445" s="10"/>
      <c r="H9445" s="10"/>
      <c r="I9445" s="10"/>
      <c r="J9445" s="10"/>
      <c r="K9445" s="10"/>
      <c r="L9445" s="10"/>
      <c r="M9445" s="10"/>
      <c r="N9445" s="10"/>
      <c r="O9445" s="10"/>
      <c r="P9445" s="10"/>
      <c r="Q9445" s="10"/>
      <c r="R9445" s="10"/>
      <c r="S9445" s="10"/>
      <c r="T9445" s="10"/>
      <c r="U9445" s="10"/>
      <c r="V9445" s="10"/>
      <c r="W9445" s="10"/>
      <c r="X9445" s="10"/>
      <c r="Y9445" s="10"/>
      <c r="Z9445" s="10"/>
    </row>
    <row r="9446" spans="1:26" ht="12.75">
      <c r="A9446" s="10"/>
      <c r="B9446" s="10"/>
      <c r="C9446" s="10"/>
      <c r="D9446" s="10"/>
      <c r="E9446" s="10"/>
      <c r="F9446" s="10"/>
      <c r="G9446" s="10"/>
      <c r="H9446" s="10"/>
      <c r="I9446" s="10"/>
      <c r="J9446" s="10"/>
      <c r="K9446" s="10"/>
      <c r="L9446" s="10"/>
      <c r="M9446" s="10"/>
      <c r="N9446" s="10"/>
      <c r="O9446" s="10"/>
      <c r="P9446" s="10"/>
      <c r="Q9446" s="10"/>
      <c r="R9446" s="10"/>
      <c r="S9446" s="10"/>
      <c r="T9446" s="10"/>
      <c r="U9446" s="10"/>
      <c r="V9446" s="10"/>
      <c r="W9446" s="10"/>
      <c r="X9446" s="10"/>
      <c r="Y9446" s="10"/>
      <c r="Z9446" s="10"/>
    </row>
    <row r="9447" spans="1:26" ht="12.75">
      <c r="A9447" s="10"/>
      <c r="B9447" s="10"/>
      <c r="C9447" s="10"/>
      <c r="D9447" s="10"/>
      <c r="E9447" s="10"/>
      <c r="F9447" s="10"/>
      <c r="G9447" s="10"/>
      <c r="H9447" s="10"/>
      <c r="I9447" s="10"/>
      <c r="J9447" s="10"/>
      <c r="K9447" s="10"/>
      <c r="L9447" s="10"/>
      <c r="M9447" s="10"/>
      <c r="N9447" s="10"/>
      <c r="O9447" s="10"/>
      <c r="P9447" s="10"/>
      <c r="Q9447" s="10"/>
      <c r="R9447" s="10"/>
      <c r="S9447" s="10"/>
      <c r="T9447" s="10"/>
      <c r="U9447" s="10"/>
      <c r="V9447" s="10"/>
      <c r="W9447" s="10"/>
      <c r="X9447" s="10"/>
      <c r="Y9447" s="10"/>
      <c r="Z9447" s="10"/>
    </row>
    <row r="9448" spans="1:26" ht="12.75">
      <c r="A9448" s="10"/>
      <c r="B9448" s="10"/>
      <c r="C9448" s="10"/>
      <c r="D9448" s="10"/>
      <c r="E9448" s="10"/>
      <c r="F9448" s="10"/>
      <c r="G9448" s="10"/>
      <c r="H9448" s="10"/>
      <c r="I9448" s="10"/>
      <c r="J9448" s="10"/>
      <c r="K9448" s="10"/>
      <c r="L9448" s="10"/>
      <c r="M9448" s="10"/>
      <c r="N9448" s="10"/>
      <c r="O9448" s="10"/>
      <c r="P9448" s="10"/>
      <c r="Q9448" s="10"/>
      <c r="R9448" s="10"/>
      <c r="S9448" s="10"/>
      <c r="T9448" s="10"/>
      <c r="U9448" s="10"/>
      <c r="V9448" s="10"/>
      <c r="W9448" s="10"/>
      <c r="X9448" s="10"/>
      <c r="Y9448" s="10"/>
      <c r="Z9448" s="10"/>
    </row>
    <row r="9449" spans="1:26" ht="12.75">
      <c r="A9449" s="10"/>
      <c r="B9449" s="10"/>
      <c r="C9449" s="10"/>
      <c r="D9449" s="10"/>
      <c r="E9449" s="10"/>
      <c r="F9449" s="10"/>
      <c r="G9449" s="10"/>
      <c r="H9449" s="10"/>
      <c r="I9449" s="10"/>
      <c r="J9449" s="10"/>
      <c r="K9449" s="10"/>
      <c r="L9449" s="10"/>
      <c r="M9449" s="10"/>
      <c r="N9449" s="10"/>
      <c r="O9449" s="10"/>
      <c r="P9449" s="10"/>
      <c r="Q9449" s="10"/>
      <c r="R9449" s="10"/>
      <c r="S9449" s="10"/>
      <c r="T9449" s="10"/>
      <c r="U9449" s="10"/>
      <c r="V9449" s="10"/>
      <c r="W9449" s="10"/>
      <c r="X9449" s="10"/>
      <c r="Y9449" s="10"/>
      <c r="Z9449" s="10"/>
    </row>
    <row r="9450" spans="1:26" ht="12.75">
      <c r="A9450" s="10"/>
      <c r="B9450" s="10"/>
      <c r="C9450" s="10"/>
      <c r="D9450" s="10"/>
      <c r="E9450" s="10"/>
      <c r="F9450" s="10"/>
      <c r="G9450" s="10"/>
      <c r="H9450" s="10"/>
      <c r="I9450" s="10"/>
      <c r="J9450" s="10"/>
      <c r="K9450" s="10"/>
      <c r="L9450" s="10"/>
      <c r="M9450" s="10"/>
      <c r="N9450" s="10"/>
      <c r="O9450" s="10"/>
      <c r="P9450" s="10"/>
      <c r="Q9450" s="10"/>
      <c r="R9450" s="10"/>
      <c r="S9450" s="10"/>
      <c r="T9450" s="10"/>
      <c r="U9450" s="10"/>
      <c r="V9450" s="10"/>
      <c r="W9450" s="10"/>
      <c r="X9450" s="10"/>
      <c r="Y9450" s="10"/>
      <c r="Z9450" s="10"/>
    </row>
    <row r="9451" spans="1:26" ht="12.75">
      <c r="A9451" s="10"/>
      <c r="B9451" s="10"/>
      <c r="C9451" s="10"/>
      <c r="D9451" s="10"/>
      <c r="E9451" s="10"/>
      <c r="F9451" s="10"/>
      <c r="G9451" s="10"/>
      <c r="H9451" s="10"/>
      <c r="I9451" s="10"/>
      <c r="J9451" s="10"/>
      <c r="K9451" s="10"/>
      <c r="L9451" s="10"/>
      <c r="M9451" s="10"/>
      <c r="N9451" s="10"/>
      <c r="O9451" s="10"/>
      <c r="P9451" s="10"/>
      <c r="Q9451" s="10"/>
      <c r="R9451" s="10"/>
      <c r="S9451" s="10"/>
      <c r="T9451" s="10"/>
      <c r="U9451" s="10"/>
      <c r="V9451" s="10"/>
      <c r="W9451" s="10"/>
      <c r="X9451" s="10"/>
      <c r="Y9451" s="10"/>
      <c r="Z9451" s="10"/>
    </row>
    <row r="9452" spans="1:26" ht="12.75">
      <c r="A9452" s="10"/>
      <c r="B9452" s="10"/>
      <c r="C9452" s="10"/>
      <c r="D9452" s="10"/>
      <c r="E9452" s="10"/>
      <c r="F9452" s="10"/>
      <c r="G9452" s="10"/>
      <c r="H9452" s="10"/>
      <c r="I9452" s="10"/>
      <c r="J9452" s="10"/>
      <c r="K9452" s="10"/>
      <c r="L9452" s="10"/>
      <c r="M9452" s="10"/>
      <c r="N9452" s="10"/>
      <c r="O9452" s="10"/>
      <c r="P9452" s="10"/>
      <c r="Q9452" s="10"/>
      <c r="R9452" s="10"/>
      <c r="S9452" s="10"/>
      <c r="T9452" s="10"/>
      <c r="U9452" s="10"/>
      <c r="V9452" s="10"/>
      <c r="W9452" s="10"/>
      <c r="X9452" s="10"/>
      <c r="Y9452" s="10"/>
      <c r="Z9452" s="10"/>
    </row>
    <row r="9453" spans="1:26" ht="12.75">
      <c r="A9453" s="10"/>
      <c r="B9453" s="10"/>
      <c r="C9453" s="10"/>
      <c r="D9453" s="10"/>
      <c r="E9453" s="10"/>
      <c r="F9453" s="10"/>
      <c r="G9453" s="10"/>
      <c r="H9453" s="10"/>
      <c r="I9453" s="10"/>
      <c r="J9453" s="10"/>
      <c r="K9453" s="10"/>
      <c r="L9453" s="10"/>
      <c r="M9453" s="10"/>
      <c r="N9453" s="10"/>
      <c r="O9453" s="10"/>
      <c r="P9453" s="10"/>
      <c r="Q9453" s="10"/>
      <c r="R9453" s="10"/>
      <c r="S9453" s="10"/>
      <c r="T9453" s="10"/>
      <c r="U9453" s="10"/>
      <c r="V9453" s="10"/>
      <c r="W9453" s="10"/>
      <c r="X9453" s="10"/>
      <c r="Y9453" s="10"/>
      <c r="Z9453" s="10"/>
    </row>
    <row r="9454" spans="1:26" ht="12.75">
      <c r="A9454" s="10"/>
      <c r="B9454" s="10"/>
      <c r="C9454" s="10"/>
      <c r="D9454" s="10"/>
      <c r="E9454" s="10"/>
      <c r="F9454" s="10"/>
      <c r="G9454" s="10"/>
      <c r="H9454" s="10"/>
      <c r="I9454" s="10"/>
      <c r="J9454" s="10"/>
      <c r="K9454" s="10"/>
      <c r="L9454" s="10"/>
      <c r="M9454" s="10"/>
      <c r="N9454" s="10"/>
      <c r="O9454" s="10"/>
      <c r="P9454" s="10"/>
      <c r="Q9454" s="10"/>
      <c r="R9454" s="10"/>
      <c r="S9454" s="10"/>
      <c r="T9454" s="10"/>
      <c r="U9454" s="10"/>
      <c r="V9454" s="10"/>
      <c r="W9454" s="10"/>
      <c r="X9454" s="10"/>
      <c r="Y9454" s="10"/>
      <c r="Z9454" s="10"/>
    </row>
    <row r="9455" spans="1:26" ht="12.75">
      <c r="A9455" s="10"/>
      <c r="B9455" s="10"/>
      <c r="C9455" s="10"/>
      <c r="D9455" s="10"/>
      <c r="E9455" s="10"/>
      <c r="F9455" s="10"/>
      <c r="G9455" s="10"/>
      <c r="H9455" s="10"/>
      <c r="I9455" s="10"/>
      <c r="J9455" s="10"/>
      <c r="K9455" s="10"/>
      <c r="L9455" s="10"/>
      <c r="M9455" s="10"/>
      <c r="N9455" s="10"/>
      <c r="O9455" s="10"/>
      <c r="P9455" s="10"/>
      <c r="Q9455" s="10"/>
      <c r="R9455" s="10"/>
      <c r="S9455" s="10"/>
      <c r="T9455" s="10"/>
      <c r="U9455" s="10"/>
      <c r="V9455" s="10"/>
      <c r="W9455" s="10"/>
      <c r="X9455" s="10"/>
      <c r="Y9455" s="10"/>
      <c r="Z9455" s="10"/>
    </row>
    <row r="9456" spans="1:26" ht="12.75">
      <c r="A9456" s="10"/>
      <c r="B9456" s="10"/>
      <c r="C9456" s="10"/>
      <c r="D9456" s="10"/>
      <c r="E9456" s="10"/>
      <c r="F9456" s="10"/>
      <c r="G9456" s="10"/>
      <c r="H9456" s="10"/>
      <c r="I9456" s="10"/>
      <c r="J9456" s="10"/>
      <c r="K9456" s="10"/>
      <c r="L9456" s="10"/>
      <c r="M9456" s="10"/>
      <c r="N9456" s="10"/>
      <c r="O9456" s="10"/>
      <c r="P9456" s="10"/>
      <c r="Q9456" s="10"/>
      <c r="R9456" s="10"/>
      <c r="S9456" s="10"/>
      <c r="T9456" s="10"/>
      <c r="U9456" s="10"/>
      <c r="V9456" s="10"/>
      <c r="W9456" s="10"/>
      <c r="X9456" s="10"/>
      <c r="Y9456" s="10"/>
      <c r="Z9456" s="10"/>
    </row>
    <row r="9457" spans="1:26" ht="12.75">
      <c r="A9457" s="10"/>
      <c r="B9457" s="10"/>
      <c r="C9457" s="10"/>
      <c r="D9457" s="10"/>
      <c r="E9457" s="10"/>
      <c r="F9457" s="10"/>
      <c r="G9457" s="10"/>
      <c r="H9457" s="10"/>
      <c r="I9457" s="10"/>
      <c r="J9457" s="10"/>
      <c r="K9457" s="10"/>
      <c r="L9457" s="10"/>
      <c r="M9457" s="10"/>
      <c r="N9457" s="10"/>
      <c r="O9457" s="10"/>
      <c r="P9457" s="10"/>
      <c r="Q9457" s="10"/>
      <c r="R9457" s="10"/>
      <c r="S9457" s="10"/>
      <c r="T9457" s="10"/>
      <c r="U9457" s="10"/>
      <c r="V9457" s="10"/>
      <c r="W9457" s="10"/>
      <c r="X9457" s="10"/>
      <c r="Y9457" s="10"/>
      <c r="Z9457" s="10"/>
    </row>
    <row r="9458" spans="1:26" ht="12.75">
      <c r="A9458" s="10"/>
      <c r="B9458" s="10"/>
      <c r="C9458" s="10"/>
      <c r="D9458" s="10"/>
      <c r="E9458" s="10"/>
      <c r="F9458" s="10"/>
      <c r="G9458" s="10"/>
      <c r="H9458" s="10"/>
      <c r="I9458" s="10"/>
      <c r="J9458" s="10"/>
      <c r="K9458" s="10"/>
      <c r="L9458" s="10"/>
      <c r="M9458" s="10"/>
      <c r="N9458" s="10"/>
      <c r="O9458" s="10"/>
      <c r="P9458" s="10"/>
      <c r="Q9458" s="10"/>
      <c r="R9458" s="10"/>
      <c r="S9458" s="10"/>
      <c r="T9458" s="10"/>
      <c r="U9458" s="10"/>
      <c r="V9458" s="10"/>
      <c r="W9458" s="10"/>
      <c r="X9458" s="10"/>
      <c r="Y9458" s="10"/>
      <c r="Z9458" s="10"/>
    </row>
    <row r="9459" spans="1:26" ht="12.75">
      <c r="A9459" s="10"/>
      <c r="B9459" s="10"/>
      <c r="C9459" s="10"/>
      <c r="D9459" s="10"/>
      <c r="E9459" s="10"/>
      <c r="F9459" s="10"/>
      <c r="G9459" s="10"/>
      <c r="H9459" s="10"/>
      <c r="I9459" s="10"/>
      <c r="J9459" s="10"/>
      <c r="K9459" s="10"/>
      <c r="L9459" s="10"/>
      <c r="M9459" s="10"/>
      <c r="N9459" s="10"/>
      <c r="O9459" s="10"/>
      <c r="P9459" s="10"/>
      <c r="Q9459" s="10"/>
      <c r="R9459" s="10"/>
      <c r="S9459" s="10"/>
      <c r="T9459" s="10"/>
      <c r="U9459" s="10"/>
      <c r="V9459" s="10"/>
      <c r="W9459" s="10"/>
      <c r="X9459" s="10"/>
      <c r="Y9459" s="10"/>
      <c r="Z9459" s="10"/>
    </row>
    <row r="9460" spans="1:26" ht="12.75">
      <c r="A9460" s="10"/>
      <c r="B9460" s="10"/>
      <c r="C9460" s="10"/>
      <c r="D9460" s="10"/>
      <c r="E9460" s="10"/>
      <c r="F9460" s="10"/>
      <c r="G9460" s="10"/>
      <c r="H9460" s="10"/>
      <c r="I9460" s="10"/>
      <c r="J9460" s="10"/>
      <c r="K9460" s="10"/>
      <c r="L9460" s="10"/>
      <c r="M9460" s="10"/>
      <c r="N9460" s="10"/>
      <c r="O9460" s="10"/>
      <c r="P9460" s="10"/>
      <c r="Q9460" s="10"/>
      <c r="R9460" s="10"/>
      <c r="S9460" s="10"/>
      <c r="T9460" s="10"/>
      <c r="U9460" s="10"/>
      <c r="V9460" s="10"/>
      <c r="W9460" s="10"/>
      <c r="X9460" s="10"/>
      <c r="Y9460" s="10"/>
      <c r="Z9460" s="10"/>
    </row>
    <row r="9461" spans="1:26" ht="12.75">
      <c r="A9461" s="10"/>
      <c r="B9461" s="10"/>
      <c r="C9461" s="10"/>
      <c r="D9461" s="10"/>
      <c r="E9461" s="10"/>
      <c r="F9461" s="10"/>
      <c r="G9461" s="10"/>
      <c r="H9461" s="10"/>
      <c r="I9461" s="10"/>
      <c r="J9461" s="10"/>
      <c r="K9461" s="10"/>
      <c r="L9461" s="10"/>
      <c r="M9461" s="10"/>
      <c r="N9461" s="10"/>
      <c r="O9461" s="10"/>
      <c r="P9461" s="10"/>
      <c r="Q9461" s="10"/>
      <c r="R9461" s="10"/>
      <c r="S9461" s="10"/>
      <c r="T9461" s="10"/>
      <c r="U9461" s="10"/>
      <c r="V9461" s="10"/>
      <c r="W9461" s="10"/>
      <c r="X9461" s="10"/>
      <c r="Y9461" s="10"/>
      <c r="Z9461" s="10"/>
    </row>
    <row r="9462" spans="1:26" ht="12.75">
      <c r="A9462" s="10"/>
      <c r="B9462" s="10"/>
      <c r="C9462" s="10"/>
      <c r="D9462" s="10"/>
      <c r="E9462" s="10"/>
      <c r="F9462" s="10"/>
      <c r="G9462" s="10"/>
      <c r="H9462" s="10"/>
      <c r="I9462" s="10"/>
      <c r="J9462" s="10"/>
      <c r="K9462" s="10"/>
      <c r="L9462" s="10"/>
      <c r="M9462" s="10"/>
      <c r="N9462" s="10"/>
      <c r="O9462" s="10"/>
      <c r="P9462" s="10"/>
      <c r="Q9462" s="10"/>
      <c r="R9462" s="10"/>
      <c r="S9462" s="10"/>
      <c r="T9462" s="10"/>
      <c r="U9462" s="10"/>
      <c r="V9462" s="10"/>
      <c r="W9462" s="10"/>
      <c r="X9462" s="10"/>
      <c r="Y9462" s="10"/>
      <c r="Z9462" s="10"/>
    </row>
    <row r="9463" spans="1:26" ht="12.75">
      <c r="A9463" s="10"/>
      <c r="B9463" s="10"/>
      <c r="C9463" s="10"/>
      <c r="D9463" s="10"/>
      <c r="E9463" s="10"/>
      <c r="F9463" s="10"/>
      <c r="G9463" s="10"/>
      <c r="H9463" s="10"/>
      <c r="I9463" s="10"/>
      <c r="J9463" s="10"/>
      <c r="K9463" s="10"/>
      <c r="L9463" s="10"/>
      <c r="M9463" s="10"/>
      <c r="N9463" s="10"/>
      <c r="O9463" s="10"/>
      <c r="P9463" s="10"/>
      <c r="Q9463" s="10"/>
      <c r="R9463" s="10"/>
      <c r="S9463" s="10"/>
      <c r="T9463" s="10"/>
      <c r="U9463" s="10"/>
      <c r="V9463" s="10"/>
      <c r="W9463" s="10"/>
      <c r="X9463" s="10"/>
      <c r="Y9463" s="10"/>
      <c r="Z9463" s="10"/>
    </row>
    <row r="9464" spans="1:26" ht="12.75">
      <c r="A9464" s="10"/>
      <c r="B9464" s="10"/>
      <c r="C9464" s="10"/>
      <c r="D9464" s="10"/>
      <c r="E9464" s="10"/>
      <c r="F9464" s="10"/>
      <c r="G9464" s="10"/>
      <c r="H9464" s="10"/>
      <c r="I9464" s="10"/>
      <c r="J9464" s="10"/>
      <c r="K9464" s="10"/>
      <c r="L9464" s="10"/>
      <c r="M9464" s="10"/>
      <c r="N9464" s="10"/>
      <c r="O9464" s="10"/>
      <c r="P9464" s="10"/>
      <c r="Q9464" s="10"/>
      <c r="R9464" s="10"/>
      <c r="S9464" s="10"/>
      <c r="T9464" s="10"/>
      <c r="U9464" s="10"/>
      <c r="V9464" s="10"/>
      <c r="W9464" s="10"/>
      <c r="X9464" s="10"/>
      <c r="Y9464" s="10"/>
      <c r="Z9464" s="10"/>
    </row>
    <row r="9465" spans="1:26" ht="12.75">
      <c r="A9465" s="10"/>
      <c r="B9465" s="10"/>
      <c r="C9465" s="10"/>
      <c r="D9465" s="10"/>
      <c r="E9465" s="10"/>
      <c r="F9465" s="10"/>
      <c r="G9465" s="10"/>
      <c r="H9465" s="10"/>
      <c r="I9465" s="10"/>
      <c r="J9465" s="10"/>
      <c r="K9465" s="10"/>
      <c r="L9465" s="10"/>
      <c r="M9465" s="10"/>
      <c r="N9465" s="10"/>
      <c r="O9465" s="10"/>
      <c r="P9465" s="10"/>
      <c r="Q9465" s="10"/>
      <c r="R9465" s="10"/>
      <c r="S9465" s="10"/>
      <c r="T9465" s="10"/>
      <c r="U9465" s="10"/>
      <c r="V9465" s="10"/>
      <c r="W9465" s="10"/>
      <c r="X9465" s="10"/>
      <c r="Y9465" s="10"/>
      <c r="Z9465" s="10"/>
    </row>
    <row r="9466" spans="1:26" ht="12.75">
      <c r="A9466" s="10"/>
      <c r="B9466" s="10"/>
      <c r="C9466" s="10"/>
      <c r="D9466" s="10"/>
      <c r="E9466" s="10"/>
      <c r="F9466" s="10"/>
      <c r="G9466" s="10"/>
      <c r="H9466" s="10"/>
      <c r="I9466" s="10"/>
      <c r="J9466" s="10"/>
      <c r="K9466" s="10"/>
      <c r="L9466" s="10"/>
      <c r="M9466" s="10"/>
      <c r="N9466" s="10"/>
      <c r="O9466" s="10"/>
      <c r="P9466" s="10"/>
      <c r="Q9466" s="10"/>
      <c r="R9466" s="10"/>
      <c r="S9466" s="10"/>
      <c r="T9466" s="10"/>
      <c r="U9466" s="10"/>
      <c r="V9466" s="10"/>
      <c r="W9466" s="10"/>
      <c r="X9466" s="10"/>
      <c r="Y9466" s="10"/>
      <c r="Z9466" s="10"/>
    </row>
    <row r="9467" spans="1:26" ht="12.75">
      <c r="A9467" s="10"/>
      <c r="B9467" s="10"/>
      <c r="C9467" s="10"/>
      <c r="D9467" s="10"/>
      <c r="E9467" s="10"/>
      <c r="F9467" s="10"/>
      <c r="G9467" s="10"/>
      <c r="H9467" s="10"/>
      <c r="I9467" s="10"/>
      <c r="J9467" s="10"/>
      <c r="K9467" s="10"/>
      <c r="L9467" s="10"/>
      <c r="M9467" s="10"/>
      <c r="N9467" s="10"/>
      <c r="O9467" s="10"/>
      <c r="P9467" s="10"/>
      <c r="Q9467" s="10"/>
      <c r="R9467" s="10"/>
      <c r="S9467" s="10"/>
      <c r="T9467" s="10"/>
      <c r="U9467" s="10"/>
      <c r="V9467" s="10"/>
      <c r="W9467" s="10"/>
      <c r="X9467" s="10"/>
      <c r="Y9467" s="10"/>
      <c r="Z9467" s="10"/>
    </row>
    <row r="9468" spans="1:26" ht="12.75">
      <c r="A9468" s="10"/>
      <c r="B9468" s="10"/>
      <c r="C9468" s="10"/>
      <c r="D9468" s="10"/>
      <c r="E9468" s="10"/>
      <c r="F9468" s="10"/>
      <c r="G9468" s="10"/>
      <c r="H9468" s="10"/>
      <c r="I9468" s="10"/>
      <c r="J9468" s="10"/>
      <c r="K9468" s="10"/>
      <c r="L9468" s="10"/>
      <c r="M9468" s="10"/>
      <c r="N9468" s="10"/>
      <c r="O9468" s="10"/>
      <c r="P9468" s="10"/>
      <c r="Q9468" s="10"/>
      <c r="R9468" s="10"/>
      <c r="S9468" s="10"/>
      <c r="T9468" s="10"/>
      <c r="U9468" s="10"/>
      <c r="V9468" s="10"/>
      <c r="W9468" s="10"/>
      <c r="X9468" s="10"/>
      <c r="Y9468" s="10"/>
      <c r="Z9468" s="10"/>
    </row>
    <row r="9469" spans="1:26" ht="12.75">
      <c r="A9469" s="10"/>
      <c r="B9469" s="10"/>
      <c r="C9469" s="10"/>
      <c r="D9469" s="10"/>
      <c r="E9469" s="10"/>
      <c r="F9469" s="10"/>
      <c r="G9469" s="10"/>
      <c r="H9469" s="10"/>
      <c r="I9469" s="10"/>
      <c r="J9469" s="10"/>
      <c r="K9469" s="10"/>
      <c r="L9469" s="10"/>
      <c r="M9469" s="10"/>
      <c r="N9469" s="10"/>
      <c r="O9469" s="10"/>
      <c r="P9469" s="10"/>
      <c r="Q9469" s="10"/>
      <c r="R9469" s="10"/>
      <c r="S9469" s="10"/>
      <c r="T9469" s="10"/>
      <c r="U9469" s="10"/>
      <c r="V9469" s="10"/>
      <c r="W9469" s="10"/>
      <c r="X9469" s="10"/>
      <c r="Y9469" s="10"/>
      <c r="Z9469" s="10"/>
    </row>
    <row r="9470" spans="1:26" ht="12.75">
      <c r="A9470" s="10"/>
      <c r="B9470" s="10"/>
      <c r="C9470" s="10"/>
      <c r="D9470" s="10"/>
      <c r="E9470" s="10"/>
      <c r="F9470" s="10"/>
      <c r="G9470" s="10"/>
      <c r="H9470" s="10"/>
      <c r="I9470" s="10"/>
      <c r="J9470" s="10"/>
      <c r="K9470" s="10"/>
      <c r="L9470" s="10"/>
      <c r="M9470" s="10"/>
      <c r="N9470" s="10"/>
      <c r="O9470" s="10"/>
      <c r="P9470" s="10"/>
      <c r="Q9470" s="10"/>
      <c r="R9470" s="10"/>
      <c r="S9470" s="10"/>
      <c r="T9470" s="10"/>
      <c r="U9470" s="10"/>
      <c r="V9470" s="10"/>
      <c r="W9470" s="10"/>
      <c r="X9470" s="10"/>
      <c r="Y9470" s="10"/>
      <c r="Z9470" s="10"/>
    </row>
    <row r="9471" spans="1:26" ht="12.75">
      <c r="A9471" s="10"/>
      <c r="B9471" s="10"/>
      <c r="C9471" s="10"/>
      <c r="D9471" s="10"/>
      <c r="E9471" s="10"/>
      <c r="F9471" s="10"/>
      <c r="G9471" s="10"/>
      <c r="H9471" s="10"/>
      <c r="I9471" s="10"/>
      <c r="J9471" s="10"/>
      <c r="K9471" s="10"/>
      <c r="L9471" s="10"/>
      <c r="M9471" s="10"/>
      <c r="N9471" s="10"/>
      <c r="O9471" s="10"/>
      <c r="P9471" s="10"/>
      <c r="Q9471" s="10"/>
      <c r="R9471" s="10"/>
      <c r="S9471" s="10"/>
      <c r="T9471" s="10"/>
      <c r="U9471" s="10"/>
      <c r="V9471" s="10"/>
      <c r="W9471" s="10"/>
      <c r="X9471" s="10"/>
      <c r="Y9471" s="10"/>
      <c r="Z9471" s="10"/>
    </row>
    <row r="9472" spans="1:26" ht="12.75">
      <c r="A9472" s="10"/>
      <c r="B9472" s="10"/>
      <c r="C9472" s="10"/>
      <c r="D9472" s="10"/>
      <c r="E9472" s="10"/>
      <c r="F9472" s="10"/>
      <c r="G9472" s="10"/>
      <c r="H9472" s="10"/>
      <c r="I9472" s="10"/>
      <c r="J9472" s="10"/>
      <c r="K9472" s="10"/>
      <c r="L9472" s="10"/>
      <c r="M9472" s="10"/>
      <c r="N9472" s="10"/>
      <c r="O9472" s="10"/>
      <c r="P9472" s="10"/>
      <c r="Q9472" s="10"/>
      <c r="R9472" s="10"/>
      <c r="S9472" s="10"/>
      <c r="T9472" s="10"/>
      <c r="U9472" s="10"/>
      <c r="V9472" s="10"/>
      <c r="W9472" s="10"/>
      <c r="X9472" s="10"/>
      <c r="Y9472" s="10"/>
      <c r="Z9472" s="10"/>
    </row>
    <row r="9473" spans="1:26" ht="12.75">
      <c r="A9473" s="10"/>
      <c r="B9473" s="10"/>
      <c r="C9473" s="10"/>
      <c r="D9473" s="10"/>
      <c r="E9473" s="10"/>
      <c r="F9473" s="10"/>
      <c r="G9473" s="10"/>
      <c r="H9473" s="10"/>
      <c r="I9473" s="10"/>
      <c r="J9473" s="10"/>
      <c r="K9473" s="10"/>
      <c r="L9473" s="10"/>
      <c r="M9473" s="10"/>
      <c r="N9473" s="10"/>
      <c r="O9473" s="10"/>
      <c r="P9473" s="10"/>
      <c r="Q9473" s="10"/>
      <c r="R9473" s="10"/>
      <c r="S9473" s="10"/>
      <c r="T9473" s="10"/>
      <c r="U9473" s="10"/>
      <c r="V9473" s="10"/>
      <c r="W9473" s="10"/>
      <c r="X9473" s="10"/>
      <c r="Y9473" s="10"/>
      <c r="Z9473" s="10"/>
    </row>
    <row r="9474" spans="1:26" ht="12.75">
      <c r="A9474" s="10"/>
      <c r="B9474" s="10"/>
      <c r="C9474" s="10"/>
      <c r="D9474" s="10"/>
      <c r="E9474" s="10"/>
      <c r="F9474" s="10"/>
      <c r="G9474" s="10"/>
      <c r="H9474" s="10"/>
      <c r="I9474" s="10"/>
      <c r="J9474" s="10"/>
      <c r="K9474" s="10"/>
      <c r="L9474" s="10"/>
      <c r="M9474" s="10"/>
      <c r="N9474" s="10"/>
      <c r="O9474" s="10"/>
      <c r="P9474" s="10"/>
      <c r="Q9474" s="10"/>
      <c r="R9474" s="10"/>
      <c r="S9474" s="10"/>
      <c r="T9474" s="10"/>
      <c r="U9474" s="10"/>
      <c r="V9474" s="10"/>
      <c r="W9474" s="10"/>
      <c r="X9474" s="10"/>
      <c r="Y9474" s="10"/>
      <c r="Z9474" s="10"/>
    </row>
    <row r="9475" spans="1:26" ht="12.75">
      <c r="A9475" s="10"/>
      <c r="B9475" s="10"/>
      <c r="C9475" s="10"/>
      <c r="D9475" s="10"/>
      <c r="E9475" s="10"/>
      <c r="F9475" s="10"/>
      <c r="G9475" s="10"/>
      <c r="H9475" s="10"/>
      <c r="I9475" s="10"/>
      <c r="J9475" s="10"/>
      <c r="K9475" s="10"/>
      <c r="L9475" s="10"/>
      <c r="M9475" s="10"/>
      <c r="N9475" s="10"/>
      <c r="O9475" s="10"/>
      <c r="P9475" s="10"/>
      <c r="Q9475" s="10"/>
      <c r="R9475" s="10"/>
      <c r="S9475" s="10"/>
      <c r="T9475" s="10"/>
      <c r="U9475" s="10"/>
      <c r="V9475" s="10"/>
      <c r="W9475" s="10"/>
      <c r="X9475" s="10"/>
      <c r="Y9475" s="10"/>
      <c r="Z9475" s="10"/>
    </row>
    <row r="9476" spans="1:26" ht="12.75">
      <c r="A9476" s="10"/>
      <c r="B9476" s="10"/>
      <c r="C9476" s="10"/>
      <c r="D9476" s="10"/>
      <c r="E9476" s="10"/>
      <c r="F9476" s="10"/>
      <c r="G9476" s="10"/>
      <c r="H9476" s="10"/>
      <c r="I9476" s="10"/>
      <c r="J9476" s="10"/>
      <c r="K9476" s="10"/>
      <c r="L9476" s="10"/>
      <c r="M9476" s="10"/>
      <c r="N9476" s="10"/>
      <c r="O9476" s="10"/>
      <c r="P9476" s="10"/>
      <c r="Q9476" s="10"/>
      <c r="R9476" s="10"/>
      <c r="S9476" s="10"/>
      <c r="T9476" s="10"/>
      <c r="U9476" s="10"/>
      <c r="V9476" s="10"/>
      <c r="W9476" s="10"/>
      <c r="X9476" s="10"/>
      <c r="Y9476" s="10"/>
      <c r="Z9476" s="10"/>
    </row>
    <row r="9477" spans="1:26" ht="12.75">
      <c r="A9477" s="10"/>
      <c r="B9477" s="10"/>
      <c r="C9477" s="10"/>
      <c r="D9477" s="10"/>
      <c r="E9477" s="10"/>
      <c r="F9477" s="10"/>
      <c r="G9477" s="10"/>
      <c r="H9477" s="10"/>
      <c r="I9477" s="10"/>
      <c r="J9477" s="10"/>
      <c r="K9477" s="10"/>
      <c r="L9477" s="10"/>
      <c r="M9477" s="10"/>
      <c r="N9477" s="10"/>
      <c r="O9477" s="10"/>
      <c r="P9477" s="10"/>
      <c r="Q9477" s="10"/>
      <c r="R9477" s="10"/>
      <c r="S9477" s="10"/>
      <c r="T9477" s="10"/>
      <c r="U9477" s="10"/>
      <c r="V9477" s="10"/>
      <c r="W9477" s="10"/>
      <c r="X9477" s="10"/>
      <c r="Y9477" s="10"/>
      <c r="Z9477" s="10"/>
    </row>
    <row r="9478" spans="1:26" ht="12.75">
      <c r="A9478" s="10"/>
      <c r="B9478" s="10"/>
      <c r="C9478" s="10"/>
      <c r="D9478" s="10"/>
      <c r="E9478" s="10"/>
      <c r="F9478" s="10"/>
      <c r="G9478" s="10"/>
      <c r="H9478" s="10"/>
      <c r="I9478" s="10"/>
      <c r="J9478" s="10"/>
      <c r="K9478" s="10"/>
      <c r="L9478" s="10"/>
      <c r="M9478" s="10"/>
      <c r="N9478" s="10"/>
      <c r="O9478" s="10"/>
      <c r="P9478" s="10"/>
      <c r="Q9478" s="10"/>
      <c r="R9478" s="10"/>
      <c r="S9478" s="10"/>
      <c r="T9478" s="10"/>
      <c r="U9478" s="10"/>
      <c r="V9478" s="10"/>
      <c r="W9478" s="10"/>
      <c r="X9478" s="10"/>
      <c r="Y9478" s="10"/>
      <c r="Z9478" s="10"/>
    </row>
    <row r="9479" spans="1:26" ht="12.75">
      <c r="A9479" s="10"/>
      <c r="B9479" s="10"/>
      <c r="C9479" s="10"/>
      <c r="D9479" s="10"/>
      <c r="E9479" s="10"/>
      <c r="F9479" s="10"/>
      <c r="G9479" s="10"/>
      <c r="H9479" s="10"/>
      <c r="I9479" s="10"/>
      <c r="J9479" s="10"/>
      <c r="K9479" s="10"/>
      <c r="L9479" s="10"/>
      <c r="M9479" s="10"/>
      <c r="N9479" s="10"/>
      <c r="O9479" s="10"/>
      <c r="P9479" s="10"/>
      <c r="Q9479" s="10"/>
      <c r="R9479" s="10"/>
      <c r="S9479" s="10"/>
      <c r="T9479" s="10"/>
      <c r="U9479" s="10"/>
      <c r="V9479" s="10"/>
      <c r="W9479" s="10"/>
      <c r="X9479" s="10"/>
      <c r="Y9479" s="10"/>
      <c r="Z9479" s="10"/>
    </row>
    <row r="9480" spans="1:26" ht="12.75">
      <c r="A9480" s="10"/>
      <c r="B9480" s="10"/>
      <c r="C9480" s="10"/>
      <c r="D9480" s="10"/>
      <c r="E9480" s="10"/>
      <c r="F9480" s="10"/>
      <c r="G9480" s="10"/>
      <c r="H9480" s="10"/>
      <c r="I9480" s="10"/>
      <c r="J9480" s="10"/>
      <c r="K9480" s="10"/>
      <c r="L9480" s="10"/>
      <c r="M9480" s="10"/>
      <c r="N9480" s="10"/>
      <c r="O9480" s="10"/>
      <c r="P9480" s="10"/>
      <c r="Q9480" s="10"/>
      <c r="R9480" s="10"/>
      <c r="S9480" s="10"/>
      <c r="T9480" s="10"/>
      <c r="U9480" s="10"/>
      <c r="V9480" s="10"/>
      <c r="W9480" s="10"/>
      <c r="X9480" s="10"/>
      <c r="Y9480" s="10"/>
      <c r="Z9480" s="10"/>
    </row>
    <row r="9481" spans="1:26" ht="12.75">
      <c r="A9481" s="10"/>
      <c r="B9481" s="10"/>
      <c r="C9481" s="10"/>
      <c r="D9481" s="10"/>
      <c r="E9481" s="10"/>
      <c r="F9481" s="10"/>
      <c r="G9481" s="10"/>
      <c r="H9481" s="10"/>
      <c r="I9481" s="10"/>
      <c r="J9481" s="10"/>
      <c r="K9481" s="10"/>
      <c r="L9481" s="10"/>
      <c r="M9481" s="10"/>
      <c r="N9481" s="10"/>
      <c r="O9481" s="10"/>
      <c r="P9481" s="10"/>
      <c r="Q9481" s="10"/>
      <c r="R9481" s="10"/>
      <c r="S9481" s="10"/>
      <c r="T9481" s="10"/>
      <c r="U9481" s="10"/>
      <c r="V9481" s="10"/>
      <c r="W9481" s="10"/>
      <c r="X9481" s="10"/>
      <c r="Y9481" s="10"/>
      <c r="Z9481" s="10"/>
    </row>
    <row r="9482" spans="1:26" ht="12.75">
      <c r="A9482" s="10"/>
      <c r="B9482" s="10"/>
      <c r="C9482" s="10"/>
      <c r="D9482" s="10"/>
      <c r="E9482" s="10"/>
      <c r="F9482" s="10"/>
      <c r="G9482" s="10"/>
      <c r="H9482" s="10"/>
      <c r="I9482" s="10"/>
      <c r="J9482" s="10"/>
      <c r="K9482" s="10"/>
      <c r="L9482" s="10"/>
      <c r="M9482" s="10"/>
      <c r="N9482" s="10"/>
      <c r="O9482" s="10"/>
      <c r="P9482" s="10"/>
      <c r="Q9482" s="10"/>
      <c r="R9482" s="10"/>
      <c r="S9482" s="10"/>
      <c r="T9482" s="10"/>
      <c r="U9482" s="10"/>
      <c r="V9482" s="10"/>
      <c r="W9482" s="10"/>
      <c r="X9482" s="10"/>
      <c r="Y9482" s="10"/>
      <c r="Z9482" s="10"/>
    </row>
    <row r="9483" spans="1:26" ht="12.75">
      <c r="A9483" s="10"/>
      <c r="B9483" s="10"/>
      <c r="C9483" s="10"/>
      <c r="D9483" s="10"/>
      <c r="E9483" s="10"/>
      <c r="F9483" s="10"/>
      <c r="G9483" s="10"/>
      <c r="H9483" s="10"/>
      <c r="I9483" s="10"/>
      <c r="J9483" s="10"/>
      <c r="K9483" s="10"/>
      <c r="L9483" s="10"/>
      <c r="M9483" s="10"/>
      <c r="N9483" s="10"/>
      <c r="O9483" s="10"/>
      <c r="P9483" s="10"/>
      <c r="Q9483" s="10"/>
      <c r="R9483" s="10"/>
      <c r="S9483" s="10"/>
      <c r="T9483" s="10"/>
      <c r="U9483" s="10"/>
      <c r="V9483" s="10"/>
      <c r="W9483" s="10"/>
      <c r="X9483" s="10"/>
      <c r="Y9483" s="10"/>
      <c r="Z9483" s="10"/>
    </row>
    <row r="9484" spans="1:26" ht="12.75">
      <c r="A9484" s="10"/>
      <c r="B9484" s="10"/>
      <c r="C9484" s="10"/>
      <c r="D9484" s="10"/>
      <c r="E9484" s="10"/>
      <c r="F9484" s="10"/>
      <c r="G9484" s="10"/>
      <c r="H9484" s="10"/>
      <c r="I9484" s="10"/>
      <c r="J9484" s="10"/>
      <c r="K9484" s="10"/>
      <c r="L9484" s="10"/>
      <c r="M9484" s="10"/>
      <c r="N9484" s="10"/>
      <c r="O9484" s="10"/>
      <c r="P9484" s="10"/>
      <c r="Q9484" s="10"/>
      <c r="R9484" s="10"/>
      <c r="S9484" s="10"/>
      <c r="T9484" s="10"/>
      <c r="U9484" s="10"/>
      <c r="V9484" s="10"/>
      <c r="W9484" s="10"/>
      <c r="X9484" s="10"/>
      <c r="Y9484" s="10"/>
      <c r="Z9484" s="10"/>
    </row>
    <row r="9485" spans="1:26" ht="12.75">
      <c r="A9485" s="10"/>
      <c r="B9485" s="10"/>
      <c r="C9485" s="10"/>
      <c r="D9485" s="10"/>
      <c r="E9485" s="10"/>
      <c r="F9485" s="10"/>
      <c r="G9485" s="10"/>
      <c r="H9485" s="10"/>
      <c r="I9485" s="10"/>
      <c r="J9485" s="10"/>
      <c r="K9485" s="10"/>
      <c r="L9485" s="10"/>
      <c r="M9485" s="10"/>
      <c r="N9485" s="10"/>
      <c r="O9485" s="10"/>
      <c r="P9485" s="10"/>
      <c r="Q9485" s="10"/>
      <c r="R9485" s="10"/>
      <c r="S9485" s="10"/>
      <c r="T9485" s="10"/>
      <c r="U9485" s="10"/>
      <c r="V9485" s="10"/>
      <c r="W9485" s="10"/>
      <c r="X9485" s="10"/>
      <c r="Y9485" s="10"/>
      <c r="Z9485" s="10"/>
    </row>
    <row r="9486" spans="1:26" ht="12.75">
      <c r="A9486" s="10"/>
      <c r="B9486" s="10"/>
      <c r="C9486" s="10"/>
      <c r="D9486" s="10"/>
      <c r="E9486" s="10"/>
      <c r="F9486" s="10"/>
      <c r="G9486" s="10"/>
      <c r="H9486" s="10"/>
      <c r="I9486" s="10"/>
      <c r="J9486" s="10"/>
      <c r="K9486" s="10"/>
      <c r="L9486" s="10"/>
      <c r="M9486" s="10"/>
      <c r="N9486" s="10"/>
      <c r="O9486" s="10"/>
      <c r="P9486" s="10"/>
      <c r="Q9486" s="10"/>
      <c r="R9486" s="10"/>
      <c r="S9486" s="10"/>
      <c r="T9486" s="10"/>
      <c r="U9486" s="10"/>
      <c r="V9486" s="10"/>
      <c r="W9486" s="10"/>
      <c r="X9486" s="10"/>
      <c r="Y9486" s="10"/>
      <c r="Z9486" s="10"/>
    </row>
    <row r="9487" spans="1:26" ht="12.75">
      <c r="A9487" s="10"/>
      <c r="B9487" s="10"/>
      <c r="C9487" s="10"/>
      <c r="D9487" s="10"/>
      <c r="E9487" s="10"/>
      <c r="F9487" s="10"/>
      <c r="G9487" s="10"/>
      <c r="H9487" s="10"/>
      <c r="I9487" s="10"/>
      <c r="J9487" s="10"/>
      <c r="K9487" s="10"/>
      <c r="L9487" s="10"/>
      <c r="M9487" s="10"/>
      <c r="N9487" s="10"/>
      <c r="O9487" s="10"/>
      <c r="P9487" s="10"/>
      <c r="Q9487" s="10"/>
      <c r="R9487" s="10"/>
      <c r="S9487" s="10"/>
      <c r="T9487" s="10"/>
      <c r="U9487" s="10"/>
      <c r="V9487" s="10"/>
      <c r="W9487" s="10"/>
      <c r="X9487" s="10"/>
      <c r="Y9487" s="10"/>
      <c r="Z9487" s="10"/>
    </row>
    <row r="9488" spans="1:26" ht="12.75">
      <c r="A9488" s="10"/>
      <c r="B9488" s="10"/>
      <c r="C9488" s="10"/>
      <c r="D9488" s="10"/>
      <c r="E9488" s="10"/>
      <c r="F9488" s="10"/>
      <c r="G9488" s="10"/>
      <c r="H9488" s="10"/>
      <c r="I9488" s="10"/>
      <c r="J9488" s="10"/>
      <c r="K9488" s="10"/>
      <c r="L9488" s="10"/>
      <c r="M9488" s="10"/>
      <c r="N9488" s="10"/>
      <c r="O9488" s="10"/>
      <c r="P9488" s="10"/>
      <c r="Q9488" s="10"/>
      <c r="R9488" s="10"/>
      <c r="S9488" s="10"/>
      <c r="T9488" s="10"/>
      <c r="U9488" s="10"/>
      <c r="V9488" s="10"/>
      <c r="W9488" s="10"/>
      <c r="X9488" s="10"/>
      <c r="Y9488" s="10"/>
      <c r="Z9488" s="10"/>
    </row>
    <row r="9489" spans="1:26" ht="12.75">
      <c r="A9489" s="10"/>
      <c r="B9489" s="10"/>
      <c r="C9489" s="10"/>
      <c r="D9489" s="10"/>
      <c r="E9489" s="10"/>
      <c r="F9489" s="10"/>
      <c r="G9489" s="10"/>
      <c r="H9489" s="10"/>
      <c r="I9489" s="10"/>
      <c r="J9489" s="10"/>
      <c r="K9489" s="10"/>
      <c r="L9489" s="10"/>
      <c r="M9489" s="10"/>
      <c r="N9489" s="10"/>
      <c r="O9489" s="10"/>
      <c r="P9489" s="10"/>
      <c r="Q9489" s="10"/>
      <c r="R9489" s="10"/>
      <c r="S9489" s="10"/>
      <c r="T9489" s="10"/>
      <c r="U9489" s="10"/>
      <c r="V9489" s="10"/>
      <c r="W9489" s="10"/>
      <c r="X9489" s="10"/>
      <c r="Y9489" s="10"/>
      <c r="Z9489" s="10"/>
    </row>
    <row r="9490" spans="1:26" ht="12.75">
      <c r="A9490" s="10"/>
      <c r="B9490" s="10"/>
      <c r="C9490" s="10"/>
      <c r="D9490" s="10"/>
      <c r="E9490" s="10"/>
      <c r="F9490" s="10"/>
      <c r="G9490" s="10"/>
      <c r="H9490" s="10"/>
      <c r="I9490" s="10"/>
      <c r="J9490" s="10"/>
      <c r="K9490" s="10"/>
      <c r="L9490" s="10"/>
      <c r="M9490" s="10"/>
      <c r="N9490" s="10"/>
      <c r="O9490" s="10"/>
      <c r="P9490" s="10"/>
      <c r="Q9490" s="10"/>
      <c r="R9490" s="10"/>
      <c r="S9490" s="10"/>
      <c r="T9490" s="10"/>
      <c r="U9490" s="10"/>
      <c r="V9490" s="10"/>
      <c r="W9490" s="10"/>
      <c r="X9490" s="10"/>
      <c r="Y9490" s="10"/>
      <c r="Z9490" s="10"/>
    </row>
    <row r="9491" spans="1:26" ht="12.75">
      <c r="A9491" s="10"/>
      <c r="B9491" s="10"/>
      <c r="C9491" s="10"/>
      <c r="D9491" s="10"/>
      <c r="E9491" s="10"/>
      <c r="F9491" s="10"/>
      <c r="G9491" s="10"/>
      <c r="H9491" s="10"/>
      <c r="I9491" s="10"/>
      <c r="J9491" s="10"/>
      <c r="K9491" s="10"/>
      <c r="L9491" s="10"/>
      <c r="M9491" s="10"/>
      <c r="N9491" s="10"/>
      <c r="O9491" s="10"/>
      <c r="P9491" s="10"/>
      <c r="Q9491" s="10"/>
      <c r="R9491" s="10"/>
      <c r="S9491" s="10"/>
      <c r="T9491" s="10"/>
      <c r="U9491" s="10"/>
      <c r="V9491" s="10"/>
      <c r="W9491" s="10"/>
      <c r="X9491" s="10"/>
      <c r="Y9491" s="10"/>
      <c r="Z9491" s="10"/>
    </row>
    <row r="9492" spans="1:26" ht="12.75">
      <c r="A9492" s="10"/>
      <c r="B9492" s="10"/>
      <c r="C9492" s="10"/>
      <c r="D9492" s="10"/>
      <c r="E9492" s="10"/>
      <c r="F9492" s="10"/>
      <c r="G9492" s="10"/>
      <c r="H9492" s="10"/>
      <c r="I9492" s="10"/>
      <c r="J9492" s="10"/>
      <c r="K9492" s="10"/>
      <c r="L9492" s="10"/>
      <c r="M9492" s="10"/>
      <c r="N9492" s="10"/>
      <c r="O9492" s="10"/>
      <c r="P9492" s="10"/>
      <c r="Q9492" s="10"/>
      <c r="R9492" s="10"/>
      <c r="S9492" s="10"/>
      <c r="T9492" s="10"/>
      <c r="U9492" s="10"/>
      <c r="V9492" s="10"/>
      <c r="W9492" s="10"/>
      <c r="X9492" s="10"/>
      <c r="Y9492" s="10"/>
      <c r="Z9492" s="10"/>
    </row>
    <row r="9493" spans="1:26" ht="12.75">
      <c r="A9493" s="10"/>
      <c r="B9493" s="10"/>
      <c r="C9493" s="10"/>
      <c r="D9493" s="10"/>
      <c r="E9493" s="10"/>
      <c r="F9493" s="10"/>
      <c r="G9493" s="10"/>
      <c r="H9493" s="10"/>
      <c r="I9493" s="10"/>
      <c r="J9493" s="10"/>
      <c r="K9493" s="10"/>
      <c r="L9493" s="10"/>
      <c r="M9493" s="10"/>
      <c r="N9493" s="10"/>
      <c r="O9493" s="10"/>
      <c r="P9493" s="10"/>
      <c r="Q9493" s="10"/>
      <c r="R9493" s="10"/>
      <c r="S9493" s="10"/>
      <c r="T9493" s="10"/>
      <c r="U9493" s="10"/>
      <c r="V9493" s="10"/>
      <c r="W9493" s="10"/>
      <c r="X9493" s="10"/>
      <c r="Y9493" s="10"/>
      <c r="Z9493" s="10"/>
    </row>
    <row r="9494" spans="1:26" ht="12.75">
      <c r="A9494" s="10"/>
      <c r="B9494" s="10"/>
      <c r="C9494" s="10"/>
      <c r="D9494" s="10"/>
      <c r="E9494" s="10"/>
      <c r="F9494" s="10"/>
      <c r="G9494" s="10"/>
      <c r="H9494" s="10"/>
      <c r="I9494" s="10"/>
      <c r="J9494" s="10"/>
      <c r="K9494" s="10"/>
      <c r="L9494" s="10"/>
      <c r="M9494" s="10"/>
      <c r="N9494" s="10"/>
      <c r="O9494" s="10"/>
      <c r="P9494" s="10"/>
      <c r="Q9494" s="10"/>
      <c r="R9494" s="10"/>
      <c r="S9494" s="10"/>
      <c r="T9494" s="10"/>
      <c r="U9494" s="10"/>
      <c r="V9494" s="10"/>
      <c r="W9494" s="10"/>
      <c r="X9494" s="10"/>
      <c r="Y9494" s="10"/>
      <c r="Z9494" s="10"/>
    </row>
    <row r="9495" spans="1:26" ht="12.75">
      <c r="A9495" s="10"/>
      <c r="B9495" s="10"/>
      <c r="C9495" s="10"/>
      <c r="D9495" s="10"/>
      <c r="E9495" s="10"/>
      <c r="F9495" s="10"/>
      <c r="G9495" s="10"/>
      <c r="H9495" s="10"/>
      <c r="I9495" s="10"/>
      <c r="J9495" s="10"/>
      <c r="K9495" s="10"/>
      <c r="L9495" s="10"/>
      <c r="M9495" s="10"/>
      <c r="N9495" s="10"/>
      <c r="O9495" s="10"/>
      <c r="P9495" s="10"/>
      <c r="Q9495" s="10"/>
      <c r="R9495" s="10"/>
      <c r="S9495" s="10"/>
      <c r="T9495" s="10"/>
      <c r="U9495" s="10"/>
      <c r="V9495" s="10"/>
      <c r="W9495" s="10"/>
      <c r="X9495" s="10"/>
      <c r="Y9495" s="10"/>
      <c r="Z9495" s="10"/>
    </row>
    <row r="9496" spans="1:26" ht="12.75">
      <c r="A9496" s="10"/>
      <c r="B9496" s="10"/>
      <c r="C9496" s="10"/>
      <c r="D9496" s="10"/>
      <c r="E9496" s="10"/>
      <c r="F9496" s="10"/>
      <c r="G9496" s="10"/>
      <c r="H9496" s="10"/>
      <c r="I9496" s="10"/>
      <c r="J9496" s="10"/>
      <c r="K9496" s="10"/>
      <c r="L9496" s="10"/>
      <c r="M9496" s="10"/>
      <c r="N9496" s="10"/>
      <c r="O9496" s="10"/>
      <c r="P9496" s="10"/>
      <c r="Q9496" s="10"/>
      <c r="R9496" s="10"/>
      <c r="S9496" s="10"/>
      <c r="T9496" s="10"/>
      <c r="U9496" s="10"/>
      <c r="V9496" s="10"/>
      <c r="W9496" s="10"/>
      <c r="X9496" s="10"/>
      <c r="Y9496" s="10"/>
      <c r="Z9496" s="10"/>
    </row>
    <row r="9497" spans="1:26" ht="12.75">
      <c r="A9497" s="10"/>
      <c r="B9497" s="10"/>
      <c r="C9497" s="10"/>
      <c r="D9497" s="10"/>
      <c r="E9497" s="10"/>
      <c r="F9497" s="10"/>
      <c r="G9497" s="10"/>
      <c r="H9497" s="10"/>
      <c r="I9497" s="10"/>
      <c r="J9497" s="10"/>
      <c r="K9497" s="10"/>
      <c r="L9497" s="10"/>
      <c r="M9497" s="10"/>
      <c r="N9497" s="10"/>
      <c r="O9497" s="10"/>
      <c r="P9497" s="10"/>
      <c r="Q9497" s="10"/>
      <c r="R9497" s="10"/>
      <c r="S9497" s="10"/>
      <c r="T9497" s="10"/>
      <c r="U9497" s="10"/>
      <c r="V9497" s="10"/>
      <c r="W9497" s="10"/>
      <c r="X9497" s="10"/>
      <c r="Y9497" s="10"/>
      <c r="Z9497" s="10"/>
    </row>
    <row r="9498" spans="1:26" ht="12.75">
      <c r="A9498" s="10"/>
      <c r="B9498" s="10"/>
      <c r="C9498" s="10"/>
      <c r="D9498" s="10"/>
      <c r="E9498" s="10"/>
      <c r="F9498" s="10"/>
      <c r="G9498" s="10"/>
      <c r="H9498" s="10"/>
      <c r="I9498" s="10"/>
      <c r="J9498" s="10"/>
      <c r="K9498" s="10"/>
      <c r="L9498" s="10"/>
      <c r="M9498" s="10"/>
      <c r="N9498" s="10"/>
      <c r="O9498" s="10"/>
      <c r="P9498" s="10"/>
      <c r="Q9498" s="10"/>
      <c r="R9498" s="10"/>
      <c r="S9498" s="10"/>
      <c r="T9498" s="10"/>
      <c r="U9498" s="10"/>
      <c r="V9498" s="10"/>
      <c r="W9498" s="10"/>
      <c r="X9498" s="10"/>
      <c r="Y9498" s="10"/>
      <c r="Z9498" s="10"/>
    </row>
    <row r="9499" spans="1:26" ht="12.75">
      <c r="A9499" s="10"/>
      <c r="B9499" s="10"/>
      <c r="C9499" s="10"/>
      <c r="D9499" s="10"/>
      <c r="E9499" s="10"/>
      <c r="F9499" s="10"/>
      <c r="G9499" s="10"/>
      <c r="H9499" s="10"/>
      <c r="I9499" s="10"/>
      <c r="J9499" s="10"/>
      <c r="K9499" s="10"/>
      <c r="L9499" s="10"/>
      <c r="M9499" s="10"/>
      <c r="N9499" s="10"/>
      <c r="O9499" s="10"/>
      <c r="P9499" s="10"/>
      <c r="Q9499" s="10"/>
      <c r="R9499" s="10"/>
      <c r="S9499" s="10"/>
      <c r="T9499" s="10"/>
      <c r="U9499" s="10"/>
      <c r="V9499" s="10"/>
      <c r="W9499" s="10"/>
      <c r="X9499" s="10"/>
      <c r="Y9499" s="10"/>
      <c r="Z9499" s="10"/>
    </row>
    <row r="9500" spans="1:26" ht="12.75">
      <c r="A9500" s="10"/>
      <c r="B9500" s="10"/>
      <c r="C9500" s="10"/>
      <c r="D9500" s="10"/>
      <c r="E9500" s="10"/>
      <c r="F9500" s="10"/>
      <c r="G9500" s="10"/>
      <c r="H9500" s="10"/>
      <c r="I9500" s="10"/>
      <c r="J9500" s="10"/>
      <c r="K9500" s="10"/>
      <c r="L9500" s="10"/>
      <c r="M9500" s="10"/>
      <c r="N9500" s="10"/>
      <c r="O9500" s="10"/>
      <c r="P9500" s="10"/>
      <c r="Q9500" s="10"/>
      <c r="R9500" s="10"/>
      <c r="S9500" s="10"/>
      <c r="T9500" s="10"/>
      <c r="U9500" s="10"/>
      <c r="V9500" s="10"/>
      <c r="W9500" s="10"/>
      <c r="X9500" s="10"/>
      <c r="Y9500" s="10"/>
      <c r="Z9500" s="10"/>
    </row>
    <row r="9501" spans="1:26" ht="12.75">
      <c r="A9501" s="10"/>
      <c r="B9501" s="10"/>
      <c r="C9501" s="10"/>
      <c r="D9501" s="10"/>
      <c r="E9501" s="10"/>
      <c r="F9501" s="10"/>
      <c r="G9501" s="10"/>
      <c r="H9501" s="10"/>
      <c r="I9501" s="10"/>
      <c r="J9501" s="10"/>
      <c r="K9501" s="10"/>
      <c r="L9501" s="10"/>
      <c r="M9501" s="10"/>
      <c r="N9501" s="10"/>
      <c r="O9501" s="10"/>
      <c r="P9501" s="10"/>
      <c r="Q9501" s="10"/>
      <c r="R9501" s="10"/>
      <c r="S9501" s="10"/>
      <c r="T9501" s="10"/>
      <c r="U9501" s="10"/>
      <c r="V9501" s="10"/>
      <c r="W9501" s="10"/>
      <c r="X9501" s="10"/>
      <c r="Y9501" s="10"/>
      <c r="Z9501" s="10"/>
    </row>
    <row r="9502" spans="1:26" ht="12.75">
      <c r="A9502" s="10"/>
      <c r="B9502" s="10"/>
      <c r="C9502" s="10"/>
      <c r="D9502" s="10"/>
      <c r="E9502" s="10"/>
      <c r="F9502" s="10"/>
      <c r="G9502" s="10"/>
      <c r="H9502" s="10"/>
      <c r="I9502" s="10"/>
      <c r="J9502" s="10"/>
      <c r="K9502" s="10"/>
      <c r="L9502" s="10"/>
      <c r="M9502" s="10"/>
      <c r="N9502" s="10"/>
      <c r="O9502" s="10"/>
      <c r="P9502" s="10"/>
      <c r="Q9502" s="10"/>
      <c r="R9502" s="10"/>
      <c r="S9502" s="10"/>
      <c r="T9502" s="10"/>
      <c r="U9502" s="10"/>
      <c r="V9502" s="10"/>
      <c r="W9502" s="10"/>
      <c r="X9502" s="10"/>
      <c r="Y9502" s="10"/>
      <c r="Z9502" s="10"/>
    </row>
    <row r="9503" spans="1:26" ht="12.75">
      <c r="A9503" s="10"/>
      <c r="B9503" s="10"/>
      <c r="C9503" s="10"/>
      <c r="D9503" s="10"/>
      <c r="E9503" s="10"/>
      <c r="F9503" s="10"/>
      <c r="G9503" s="10"/>
      <c r="H9503" s="10"/>
      <c r="I9503" s="10"/>
      <c r="J9503" s="10"/>
      <c r="K9503" s="10"/>
      <c r="L9503" s="10"/>
      <c r="M9503" s="10"/>
      <c r="N9503" s="10"/>
      <c r="O9503" s="10"/>
      <c r="P9503" s="10"/>
      <c r="Q9503" s="10"/>
      <c r="R9503" s="10"/>
      <c r="S9503" s="10"/>
      <c r="T9503" s="10"/>
      <c r="U9503" s="10"/>
      <c r="V9503" s="10"/>
      <c r="W9503" s="10"/>
      <c r="X9503" s="10"/>
      <c r="Y9503" s="10"/>
      <c r="Z9503" s="10"/>
    </row>
    <row r="9504" spans="1:26" ht="12.75">
      <c r="A9504" s="10"/>
      <c r="B9504" s="10"/>
      <c r="C9504" s="10"/>
      <c r="D9504" s="10"/>
      <c r="E9504" s="10"/>
      <c r="F9504" s="10"/>
      <c r="G9504" s="10"/>
      <c r="H9504" s="10"/>
      <c r="I9504" s="10"/>
      <c r="J9504" s="10"/>
      <c r="K9504" s="10"/>
      <c r="L9504" s="10"/>
      <c r="M9504" s="10"/>
      <c r="N9504" s="10"/>
      <c r="O9504" s="10"/>
      <c r="P9504" s="10"/>
      <c r="Q9504" s="10"/>
      <c r="R9504" s="10"/>
      <c r="S9504" s="10"/>
      <c r="T9504" s="10"/>
      <c r="U9504" s="10"/>
      <c r="V9504" s="10"/>
      <c r="W9504" s="10"/>
      <c r="X9504" s="10"/>
      <c r="Y9504" s="10"/>
      <c r="Z9504" s="10"/>
    </row>
    <row r="9505" spans="1:26" ht="12.75">
      <c r="A9505" s="10"/>
      <c r="B9505" s="10"/>
      <c r="C9505" s="10"/>
      <c r="D9505" s="10"/>
      <c r="E9505" s="10"/>
      <c r="F9505" s="10"/>
      <c r="G9505" s="10"/>
      <c r="H9505" s="10"/>
      <c r="I9505" s="10"/>
      <c r="J9505" s="10"/>
      <c r="K9505" s="10"/>
      <c r="L9505" s="10"/>
      <c r="M9505" s="10"/>
      <c r="N9505" s="10"/>
      <c r="O9505" s="10"/>
      <c r="P9505" s="10"/>
      <c r="Q9505" s="10"/>
      <c r="R9505" s="10"/>
      <c r="S9505" s="10"/>
      <c r="T9505" s="10"/>
      <c r="U9505" s="10"/>
      <c r="V9505" s="10"/>
      <c r="W9505" s="10"/>
      <c r="X9505" s="10"/>
      <c r="Y9505" s="10"/>
      <c r="Z9505" s="10"/>
    </row>
    <row r="9506" spans="1:26" ht="12.75">
      <c r="A9506" s="10"/>
      <c r="B9506" s="10"/>
      <c r="C9506" s="10"/>
      <c r="D9506" s="10"/>
      <c r="E9506" s="10"/>
      <c r="F9506" s="10"/>
      <c r="G9506" s="10"/>
      <c r="H9506" s="10"/>
      <c r="I9506" s="10"/>
      <c r="J9506" s="10"/>
      <c r="K9506" s="10"/>
      <c r="L9506" s="10"/>
      <c r="M9506" s="10"/>
      <c r="N9506" s="10"/>
      <c r="O9506" s="10"/>
      <c r="P9506" s="10"/>
      <c r="Q9506" s="10"/>
      <c r="R9506" s="10"/>
      <c r="S9506" s="10"/>
      <c r="T9506" s="10"/>
      <c r="U9506" s="10"/>
      <c r="V9506" s="10"/>
      <c r="W9506" s="10"/>
      <c r="X9506" s="10"/>
      <c r="Y9506" s="10"/>
      <c r="Z9506" s="10"/>
    </row>
    <row r="9507" spans="1:26" ht="12.75">
      <c r="A9507" s="10"/>
      <c r="B9507" s="10"/>
      <c r="C9507" s="10"/>
      <c r="D9507" s="10"/>
      <c r="E9507" s="10"/>
      <c r="F9507" s="10"/>
      <c r="G9507" s="10"/>
      <c r="H9507" s="10"/>
      <c r="I9507" s="10"/>
      <c r="J9507" s="10"/>
      <c r="K9507" s="10"/>
      <c r="L9507" s="10"/>
      <c r="M9507" s="10"/>
      <c r="N9507" s="10"/>
      <c r="O9507" s="10"/>
      <c r="P9507" s="10"/>
      <c r="Q9507" s="10"/>
      <c r="R9507" s="10"/>
      <c r="S9507" s="10"/>
      <c r="T9507" s="10"/>
      <c r="U9507" s="10"/>
      <c r="V9507" s="10"/>
      <c r="W9507" s="10"/>
      <c r="X9507" s="10"/>
      <c r="Y9507" s="10"/>
      <c r="Z9507" s="10"/>
    </row>
    <row r="9508" spans="1:26" ht="12.75">
      <c r="A9508" s="10"/>
      <c r="B9508" s="10"/>
      <c r="C9508" s="10"/>
      <c r="D9508" s="10"/>
      <c r="E9508" s="10"/>
      <c r="F9508" s="10"/>
      <c r="G9508" s="10"/>
      <c r="H9508" s="10"/>
      <c r="I9508" s="10"/>
      <c r="J9508" s="10"/>
      <c r="K9508" s="10"/>
      <c r="L9508" s="10"/>
      <c r="M9508" s="10"/>
      <c r="N9508" s="10"/>
      <c r="O9508" s="10"/>
      <c r="P9508" s="10"/>
      <c r="Q9508" s="10"/>
      <c r="R9508" s="10"/>
      <c r="S9508" s="10"/>
      <c r="T9508" s="10"/>
      <c r="U9508" s="10"/>
      <c r="V9508" s="10"/>
      <c r="W9508" s="10"/>
      <c r="X9508" s="10"/>
      <c r="Y9508" s="10"/>
      <c r="Z9508" s="10"/>
    </row>
    <row r="9509" spans="1:26" ht="12.75">
      <c r="A9509" s="10"/>
      <c r="B9509" s="10"/>
      <c r="C9509" s="10"/>
      <c r="D9509" s="10"/>
      <c r="E9509" s="10"/>
      <c r="F9509" s="10"/>
      <c r="G9509" s="10"/>
      <c r="H9509" s="10"/>
      <c r="I9509" s="10"/>
      <c r="J9509" s="10"/>
      <c r="K9509" s="10"/>
      <c r="L9509" s="10"/>
      <c r="M9509" s="10"/>
      <c r="N9509" s="10"/>
      <c r="O9509" s="10"/>
      <c r="P9509" s="10"/>
      <c r="Q9509" s="10"/>
      <c r="R9509" s="10"/>
      <c r="S9509" s="10"/>
      <c r="T9509" s="10"/>
      <c r="U9509" s="10"/>
      <c r="V9509" s="10"/>
      <c r="W9509" s="10"/>
      <c r="X9509" s="10"/>
      <c r="Y9509" s="10"/>
      <c r="Z9509" s="10"/>
    </row>
    <row r="9510" spans="1:26" ht="12.75">
      <c r="A9510" s="10"/>
      <c r="B9510" s="10"/>
      <c r="C9510" s="10"/>
      <c r="D9510" s="10"/>
      <c r="E9510" s="10"/>
      <c r="F9510" s="10"/>
      <c r="G9510" s="10"/>
      <c r="H9510" s="10"/>
      <c r="I9510" s="10"/>
      <c r="J9510" s="10"/>
      <c r="K9510" s="10"/>
      <c r="L9510" s="10"/>
      <c r="M9510" s="10"/>
      <c r="N9510" s="10"/>
      <c r="O9510" s="10"/>
      <c r="P9510" s="10"/>
      <c r="Q9510" s="10"/>
      <c r="R9510" s="10"/>
      <c r="S9510" s="10"/>
      <c r="T9510" s="10"/>
      <c r="U9510" s="10"/>
      <c r="V9510" s="10"/>
      <c r="W9510" s="10"/>
      <c r="X9510" s="10"/>
      <c r="Y9510" s="10"/>
      <c r="Z9510" s="10"/>
    </row>
    <row r="9511" spans="1:26" ht="12.75">
      <c r="A9511" s="10"/>
      <c r="B9511" s="10"/>
      <c r="C9511" s="10"/>
      <c r="D9511" s="10"/>
      <c r="E9511" s="10"/>
      <c r="F9511" s="10"/>
      <c r="G9511" s="10"/>
      <c r="H9511" s="10"/>
      <c r="I9511" s="10"/>
      <c r="J9511" s="10"/>
      <c r="K9511" s="10"/>
      <c r="L9511" s="10"/>
      <c r="M9511" s="10"/>
      <c r="N9511" s="10"/>
      <c r="O9511" s="10"/>
      <c r="P9511" s="10"/>
      <c r="Q9511" s="10"/>
      <c r="R9511" s="10"/>
      <c r="S9511" s="10"/>
      <c r="T9511" s="10"/>
      <c r="U9511" s="10"/>
      <c r="V9511" s="10"/>
      <c r="W9511" s="10"/>
      <c r="X9511" s="10"/>
      <c r="Y9511" s="10"/>
      <c r="Z9511" s="10"/>
    </row>
    <row r="9512" spans="1:26" ht="12.75">
      <c r="A9512" s="10"/>
      <c r="B9512" s="10"/>
      <c r="C9512" s="10"/>
      <c r="D9512" s="10"/>
      <c r="E9512" s="10"/>
      <c r="F9512" s="10"/>
      <c r="G9512" s="10"/>
      <c r="H9512" s="10"/>
      <c r="I9512" s="10"/>
      <c r="J9512" s="10"/>
      <c r="K9512" s="10"/>
      <c r="L9512" s="10"/>
      <c r="M9512" s="10"/>
      <c r="N9512" s="10"/>
      <c r="O9512" s="10"/>
      <c r="P9512" s="10"/>
      <c r="Q9512" s="10"/>
      <c r="R9512" s="10"/>
      <c r="S9512" s="10"/>
      <c r="T9512" s="10"/>
      <c r="U9512" s="10"/>
      <c r="V9512" s="10"/>
      <c r="W9512" s="10"/>
      <c r="X9512" s="10"/>
      <c r="Y9512" s="10"/>
      <c r="Z9512" s="10"/>
    </row>
    <row r="9513" spans="1:26" ht="12.75">
      <c r="A9513" s="10"/>
      <c r="B9513" s="10"/>
      <c r="C9513" s="10"/>
      <c r="D9513" s="10"/>
      <c r="E9513" s="10"/>
      <c r="F9513" s="10"/>
      <c r="G9513" s="10"/>
      <c r="H9513" s="10"/>
      <c r="I9513" s="10"/>
      <c r="J9513" s="10"/>
      <c r="K9513" s="10"/>
      <c r="L9513" s="10"/>
      <c r="M9513" s="10"/>
      <c r="N9513" s="10"/>
      <c r="O9513" s="10"/>
      <c r="P9513" s="10"/>
      <c r="Q9513" s="10"/>
      <c r="R9513" s="10"/>
      <c r="S9513" s="10"/>
      <c r="T9513" s="10"/>
      <c r="U9513" s="10"/>
      <c r="V9513" s="10"/>
      <c r="W9513" s="10"/>
      <c r="X9513" s="10"/>
      <c r="Y9513" s="10"/>
      <c r="Z9513" s="10"/>
    </row>
    <row r="9514" spans="1:26" ht="12.75">
      <c r="A9514" s="10"/>
      <c r="B9514" s="10"/>
      <c r="C9514" s="10"/>
      <c r="D9514" s="10"/>
      <c r="E9514" s="10"/>
      <c r="F9514" s="10"/>
      <c r="G9514" s="10"/>
      <c r="H9514" s="10"/>
      <c r="I9514" s="10"/>
      <c r="J9514" s="10"/>
      <c r="K9514" s="10"/>
      <c r="L9514" s="10"/>
      <c r="M9514" s="10"/>
      <c r="N9514" s="10"/>
      <c r="O9514" s="10"/>
      <c r="P9514" s="10"/>
      <c r="Q9514" s="10"/>
      <c r="R9514" s="10"/>
      <c r="S9514" s="10"/>
      <c r="T9514" s="10"/>
      <c r="U9514" s="10"/>
      <c r="V9514" s="10"/>
      <c r="W9514" s="10"/>
      <c r="X9514" s="10"/>
      <c r="Y9514" s="10"/>
      <c r="Z9514" s="10"/>
    </row>
    <row r="9515" spans="1:26" ht="12.75">
      <c r="A9515" s="10"/>
      <c r="B9515" s="10"/>
      <c r="C9515" s="10"/>
      <c r="D9515" s="10"/>
      <c r="E9515" s="10"/>
      <c r="F9515" s="10"/>
      <c r="G9515" s="10"/>
      <c r="H9515" s="10"/>
      <c r="I9515" s="10"/>
      <c r="J9515" s="10"/>
      <c r="K9515" s="10"/>
      <c r="L9515" s="10"/>
      <c r="M9515" s="10"/>
      <c r="N9515" s="10"/>
      <c r="O9515" s="10"/>
      <c r="P9515" s="10"/>
      <c r="Q9515" s="10"/>
      <c r="R9515" s="10"/>
      <c r="S9515" s="10"/>
      <c r="T9515" s="10"/>
      <c r="U9515" s="10"/>
      <c r="V9515" s="10"/>
      <c r="W9515" s="10"/>
      <c r="X9515" s="10"/>
      <c r="Y9515" s="10"/>
      <c r="Z9515" s="10"/>
    </row>
    <row r="9516" spans="1:26" ht="12.75">
      <c r="A9516" s="10"/>
      <c r="B9516" s="10"/>
      <c r="C9516" s="10"/>
      <c r="D9516" s="10"/>
      <c r="E9516" s="10"/>
      <c r="F9516" s="10"/>
      <c r="G9516" s="10"/>
      <c r="H9516" s="10"/>
      <c r="I9516" s="10"/>
      <c r="J9516" s="10"/>
      <c r="K9516" s="10"/>
      <c r="L9516" s="10"/>
      <c r="M9516" s="10"/>
      <c r="N9516" s="10"/>
      <c r="O9516" s="10"/>
      <c r="P9516" s="10"/>
      <c r="Q9516" s="10"/>
      <c r="R9516" s="10"/>
      <c r="S9516" s="10"/>
      <c r="T9516" s="10"/>
      <c r="U9516" s="10"/>
      <c r="V9516" s="10"/>
      <c r="W9516" s="10"/>
      <c r="X9516" s="10"/>
      <c r="Y9516" s="10"/>
      <c r="Z9516" s="10"/>
    </row>
    <row r="9517" spans="1:26" ht="12.75">
      <c r="A9517" s="10"/>
      <c r="B9517" s="10"/>
      <c r="C9517" s="10"/>
      <c r="D9517" s="10"/>
      <c r="E9517" s="10"/>
      <c r="F9517" s="10"/>
      <c r="G9517" s="10"/>
      <c r="H9517" s="10"/>
      <c r="I9517" s="10"/>
      <c r="J9517" s="10"/>
      <c r="K9517" s="10"/>
      <c r="L9517" s="10"/>
      <c r="M9517" s="10"/>
      <c r="N9517" s="10"/>
      <c r="O9517" s="10"/>
      <c r="P9517" s="10"/>
      <c r="Q9517" s="10"/>
      <c r="R9517" s="10"/>
      <c r="S9517" s="10"/>
      <c r="T9517" s="10"/>
      <c r="U9517" s="10"/>
      <c r="V9517" s="10"/>
      <c r="W9517" s="10"/>
      <c r="X9517" s="10"/>
      <c r="Y9517" s="10"/>
      <c r="Z9517" s="10"/>
    </row>
    <row r="9518" spans="1:26" ht="12.75">
      <c r="A9518" s="10"/>
      <c r="B9518" s="10"/>
      <c r="C9518" s="10"/>
      <c r="D9518" s="10"/>
      <c r="E9518" s="10"/>
      <c r="F9518" s="10"/>
      <c r="G9518" s="10"/>
      <c r="H9518" s="10"/>
      <c r="I9518" s="10"/>
      <c r="J9518" s="10"/>
      <c r="K9518" s="10"/>
      <c r="L9518" s="10"/>
      <c r="M9518" s="10"/>
      <c r="N9518" s="10"/>
      <c r="O9518" s="10"/>
      <c r="P9518" s="10"/>
      <c r="Q9518" s="10"/>
      <c r="R9518" s="10"/>
      <c r="S9518" s="10"/>
      <c r="T9518" s="10"/>
      <c r="U9518" s="10"/>
      <c r="V9518" s="10"/>
      <c r="W9518" s="10"/>
      <c r="X9518" s="10"/>
      <c r="Y9518" s="10"/>
      <c r="Z9518" s="10"/>
    </row>
    <row r="9519" spans="1:26" ht="12.75">
      <c r="A9519" s="10"/>
      <c r="B9519" s="10"/>
      <c r="C9519" s="10"/>
      <c r="D9519" s="10"/>
      <c r="E9519" s="10"/>
      <c r="F9519" s="10"/>
      <c r="G9519" s="10"/>
      <c r="H9519" s="10"/>
      <c r="I9519" s="10"/>
      <c r="J9519" s="10"/>
      <c r="K9519" s="10"/>
      <c r="L9519" s="10"/>
      <c r="M9519" s="10"/>
      <c r="N9519" s="10"/>
      <c r="O9519" s="10"/>
      <c r="P9519" s="10"/>
      <c r="Q9519" s="10"/>
      <c r="R9519" s="10"/>
      <c r="S9519" s="10"/>
      <c r="T9519" s="10"/>
      <c r="U9519" s="10"/>
      <c r="V9519" s="10"/>
      <c r="W9519" s="10"/>
      <c r="X9519" s="10"/>
      <c r="Y9519" s="10"/>
      <c r="Z9519" s="10"/>
    </row>
    <row r="9520" spans="1:26" ht="12.75">
      <c r="A9520" s="10"/>
      <c r="B9520" s="10"/>
      <c r="C9520" s="10"/>
      <c r="D9520" s="10"/>
      <c r="E9520" s="10"/>
      <c r="F9520" s="10"/>
      <c r="G9520" s="10"/>
      <c r="H9520" s="10"/>
      <c r="I9520" s="10"/>
      <c r="J9520" s="10"/>
      <c r="K9520" s="10"/>
      <c r="L9520" s="10"/>
      <c r="M9520" s="10"/>
      <c r="N9520" s="10"/>
      <c r="O9520" s="10"/>
      <c r="P9520" s="10"/>
      <c r="Q9520" s="10"/>
      <c r="R9520" s="10"/>
      <c r="S9520" s="10"/>
      <c r="T9520" s="10"/>
      <c r="U9520" s="10"/>
      <c r="V9520" s="10"/>
      <c r="W9520" s="10"/>
      <c r="X9520" s="10"/>
      <c r="Y9520" s="10"/>
      <c r="Z9520" s="10"/>
    </row>
    <row r="9521" spans="1:26" ht="12.75">
      <c r="A9521" s="10"/>
      <c r="B9521" s="10"/>
      <c r="C9521" s="10"/>
      <c r="D9521" s="10"/>
      <c r="E9521" s="10"/>
      <c r="F9521" s="10"/>
      <c r="G9521" s="10"/>
      <c r="H9521" s="10"/>
      <c r="I9521" s="10"/>
      <c r="J9521" s="10"/>
      <c r="K9521" s="10"/>
      <c r="L9521" s="10"/>
      <c r="M9521" s="10"/>
      <c r="N9521" s="10"/>
      <c r="O9521" s="10"/>
      <c r="P9521" s="10"/>
      <c r="Q9521" s="10"/>
      <c r="R9521" s="10"/>
      <c r="S9521" s="10"/>
      <c r="T9521" s="10"/>
      <c r="U9521" s="10"/>
      <c r="V9521" s="10"/>
      <c r="W9521" s="10"/>
      <c r="X9521" s="10"/>
      <c r="Y9521" s="10"/>
      <c r="Z9521" s="10"/>
    </row>
    <row r="9522" spans="1:26" ht="12.75">
      <c r="A9522" s="10"/>
      <c r="B9522" s="10"/>
      <c r="C9522" s="10"/>
      <c r="D9522" s="10"/>
      <c r="E9522" s="10"/>
      <c r="F9522" s="10"/>
      <c r="G9522" s="10"/>
      <c r="H9522" s="10"/>
      <c r="I9522" s="10"/>
      <c r="J9522" s="10"/>
      <c r="K9522" s="10"/>
      <c r="L9522" s="10"/>
      <c r="M9522" s="10"/>
      <c r="N9522" s="10"/>
      <c r="O9522" s="10"/>
      <c r="P9522" s="10"/>
      <c r="Q9522" s="10"/>
      <c r="R9522" s="10"/>
      <c r="S9522" s="10"/>
      <c r="T9522" s="10"/>
      <c r="U9522" s="10"/>
      <c r="V9522" s="10"/>
      <c r="W9522" s="10"/>
      <c r="X9522" s="10"/>
      <c r="Y9522" s="10"/>
      <c r="Z9522" s="10"/>
    </row>
    <row r="9523" spans="1:26" ht="12.75">
      <c r="A9523" s="10"/>
      <c r="B9523" s="10"/>
      <c r="C9523" s="10"/>
      <c r="D9523" s="10"/>
      <c r="E9523" s="10"/>
      <c r="F9523" s="10"/>
      <c r="G9523" s="10"/>
      <c r="H9523" s="10"/>
      <c r="I9523" s="10"/>
      <c r="J9523" s="10"/>
      <c r="K9523" s="10"/>
      <c r="L9523" s="10"/>
      <c r="M9523" s="10"/>
      <c r="N9523" s="10"/>
      <c r="O9523" s="10"/>
      <c r="P9523" s="10"/>
      <c r="Q9523" s="10"/>
      <c r="R9523" s="10"/>
      <c r="S9523" s="10"/>
      <c r="T9523" s="10"/>
      <c r="U9523" s="10"/>
      <c r="V9523" s="10"/>
      <c r="W9523" s="10"/>
      <c r="X9523" s="10"/>
      <c r="Y9523" s="10"/>
      <c r="Z9523" s="10"/>
    </row>
    <row r="9524" spans="1:26" ht="12.75">
      <c r="A9524" s="10"/>
      <c r="B9524" s="10"/>
      <c r="C9524" s="10"/>
      <c r="D9524" s="10"/>
      <c r="E9524" s="10"/>
      <c r="F9524" s="10"/>
      <c r="G9524" s="10"/>
      <c r="H9524" s="10"/>
      <c r="I9524" s="10"/>
      <c r="J9524" s="10"/>
      <c r="K9524" s="10"/>
      <c r="L9524" s="10"/>
      <c r="M9524" s="10"/>
      <c r="N9524" s="10"/>
      <c r="O9524" s="10"/>
      <c r="P9524" s="10"/>
      <c r="Q9524" s="10"/>
      <c r="R9524" s="10"/>
      <c r="S9524" s="10"/>
      <c r="T9524" s="10"/>
      <c r="U9524" s="10"/>
      <c r="V9524" s="10"/>
      <c r="W9524" s="10"/>
      <c r="X9524" s="10"/>
      <c r="Y9524" s="10"/>
      <c r="Z9524" s="10"/>
    </row>
    <row r="9525" spans="1:26" ht="12.75">
      <c r="A9525" s="10"/>
      <c r="B9525" s="10"/>
      <c r="C9525" s="10"/>
      <c r="D9525" s="10"/>
      <c r="E9525" s="10"/>
      <c r="F9525" s="10"/>
      <c r="G9525" s="10"/>
      <c r="H9525" s="10"/>
      <c r="I9525" s="10"/>
      <c r="J9525" s="10"/>
      <c r="K9525" s="10"/>
      <c r="L9525" s="10"/>
      <c r="M9525" s="10"/>
      <c r="N9525" s="10"/>
      <c r="O9525" s="10"/>
      <c r="P9525" s="10"/>
      <c r="Q9525" s="10"/>
      <c r="R9525" s="10"/>
      <c r="S9525" s="10"/>
      <c r="T9525" s="10"/>
      <c r="U9525" s="10"/>
      <c r="V9525" s="10"/>
      <c r="W9525" s="10"/>
      <c r="X9525" s="10"/>
      <c r="Y9525" s="10"/>
      <c r="Z9525" s="10"/>
    </row>
    <row r="9526" spans="1:26" ht="12.75">
      <c r="A9526" s="10"/>
      <c r="B9526" s="10"/>
      <c r="C9526" s="10"/>
      <c r="D9526" s="10"/>
      <c r="E9526" s="10"/>
      <c r="F9526" s="10"/>
      <c r="G9526" s="10"/>
      <c r="H9526" s="10"/>
      <c r="I9526" s="10"/>
      <c r="J9526" s="10"/>
      <c r="K9526" s="10"/>
      <c r="L9526" s="10"/>
      <c r="M9526" s="10"/>
      <c r="N9526" s="10"/>
      <c r="O9526" s="10"/>
      <c r="P9526" s="10"/>
      <c r="Q9526" s="10"/>
      <c r="R9526" s="10"/>
      <c r="S9526" s="10"/>
      <c r="T9526" s="10"/>
      <c r="U9526" s="10"/>
      <c r="V9526" s="10"/>
      <c r="W9526" s="10"/>
      <c r="X9526" s="10"/>
      <c r="Y9526" s="10"/>
      <c r="Z9526" s="10"/>
    </row>
    <row r="9527" spans="1:26" ht="12.75">
      <c r="A9527" s="10"/>
      <c r="B9527" s="10"/>
      <c r="C9527" s="10"/>
      <c r="D9527" s="10"/>
      <c r="E9527" s="10"/>
      <c r="F9527" s="10"/>
      <c r="G9527" s="10"/>
      <c r="H9527" s="10"/>
      <c r="I9527" s="10"/>
      <c r="J9527" s="10"/>
      <c r="K9527" s="10"/>
      <c r="L9527" s="10"/>
      <c r="M9527" s="10"/>
      <c r="N9527" s="10"/>
      <c r="O9527" s="10"/>
      <c r="P9527" s="10"/>
      <c r="Q9527" s="10"/>
      <c r="R9527" s="10"/>
      <c r="S9527" s="10"/>
      <c r="T9527" s="10"/>
      <c r="U9527" s="10"/>
      <c r="V9527" s="10"/>
      <c r="W9527" s="10"/>
      <c r="X9527" s="10"/>
      <c r="Y9527" s="10"/>
      <c r="Z9527" s="10"/>
    </row>
    <row r="9528" spans="1:26" ht="12.75">
      <c r="A9528" s="10"/>
      <c r="B9528" s="10"/>
      <c r="C9528" s="10"/>
      <c r="D9528" s="10"/>
      <c r="E9528" s="10"/>
      <c r="F9528" s="10"/>
      <c r="G9528" s="10"/>
      <c r="H9528" s="10"/>
      <c r="I9528" s="10"/>
      <c r="J9528" s="10"/>
      <c r="K9528" s="10"/>
      <c r="L9528" s="10"/>
      <c r="M9528" s="10"/>
      <c r="N9528" s="10"/>
      <c r="O9528" s="10"/>
      <c r="P9528" s="10"/>
      <c r="Q9528" s="10"/>
      <c r="R9528" s="10"/>
      <c r="S9528" s="10"/>
      <c r="T9528" s="10"/>
      <c r="U9528" s="10"/>
      <c r="V9528" s="10"/>
      <c r="W9528" s="10"/>
      <c r="X9528" s="10"/>
      <c r="Y9528" s="10"/>
      <c r="Z9528" s="10"/>
    </row>
    <row r="9529" spans="1:26" ht="12.75">
      <c r="A9529" s="10"/>
      <c r="B9529" s="10"/>
      <c r="C9529" s="10"/>
      <c r="D9529" s="10"/>
      <c r="E9529" s="10"/>
      <c r="F9529" s="10"/>
      <c r="G9529" s="10"/>
      <c r="H9529" s="10"/>
      <c r="I9529" s="10"/>
      <c r="J9529" s="10"/>
      <c r="K9529" s="10"/>
      <c r="L9529" s="10"/>
      <c r="M9529" s="10"/>
      <c r="N9529" s="10"/>
      <c r="O9529" s="10"/>
      <c r="P9529" s="10"/>
      <c r="Q9529" s="10"/>
      <c r="R9529" s="10"/>
      <c r="S9529" s="10"/>
      <c r="T9529" s="10"/>
      <c r="U9529" s="10"/>
      <c r="V9529" s="10"/>
      <c r="W9529" s="10"/>
      <c r="X9529" s="10"/>
      <c r="Y9529" s="10"/>
      <c r="Z9529" s="10"/>
    </row>
    <row r="9530" spans="1:26" ht="12.75">
      <c r="A9530" s="10"/>
      <c r="B9530" s="10"/>
      <c r="C9530" s="10"/>
      <c r="D9530" s="10"/>
      <c r="E9530" s="10"/>
      <c r="F9530" s="10"/>
      <c r="G9530" s="10"/>
      <c r="H9530" s="10"/>
      <c r="I9530" s="10"/>
      <c r="J9530" s="10"/>
      <c r="K9530" s="10"/>
      <c r="L9530" s="10"/>
      <c r="M9530" s="10"/>
      <c r="N9530" s="10"/>
      <c r="O9530" s="10"/>
      <c r="P9530" s="10"/>
      <c r="Q9530" s="10"/>
      <c r="R9530" s="10"/>
      <c r="S9530" s="10"/>
      <c r="T9530" s="10"/>
      <c r="U9530" s="10"/>
      <c r="V9530" s="10"/>
      <c r="W9530" s="10"/>
      <c r="X9530" s="10"/>
      <c r="Y9530" s="10"/>
      <c r="Z9530" s="10"/>
    </row>
    <row r="9531" spans="1:26" ht="12.75">
      <c r="A9531" s="10"/>
      <c r="B9531" s="10"/>
      <c r="C9531" s="10"/>
      <c r="D9531" s="10"/>
      <c r="E9531" s="10"/>
      <c r="F9531" s="10"/>
      <c r="G9531" s="10"/>
      <c r="H9531" s="10"/>
      <c r="I9531" s="10"/>
      <c r="J9531" s="10"/>
      <c r="K9531" s="10"/>
      <c r="L9531" s="10"/>
      <c r="M9531" s="10"/>
      <c r="N9531" s="10"/>
      <c r="O9531" s="10"/>
      <c r="P9531" s="10"/>
      <c r="Q9531" s="10"/>
      <c r="R9531" s="10"/>
      <c r="S9531" s="10"/>
      <c r="T9531" s="10"/>
      <c r="U9531" s="10"/>
      <c r="V9531" s="10"/>
      <c r="W9531" s="10"/>
      <c r="X9531" s="10"/>
      <c r="Y9531" s="10"/>
      <c r="Z9531" s="10"/>
    </row>
    <row r="9532" spans="1:26" ht="12.75">
      <c r="A9532" s="10"/>
      <c r="B9532" s="10"/>
      <c r="C9532" s="10"/>
      <c r="D9532" s="10"/>
      <c r="E9532" s="10"/>
      <c r="F9532" s="10"/>
      <c r="G9532" s="10"/>
      <c r="H9532" s="10"/>
      <c r="I9532" s="10"/>
      <c r="J9532" s="10"/>
      <c r="K9532" s="10"/>
      <c r="L9532" s="10"/>
      <c r="M9532" s="10"/>
      <c r="N9532" s="10"/>
      <c r="O9532" s="10"/>
      <c r="P9532" s="10"/>
      <c r="Q9532" s="10"/>
      <c r="R9532" s="10"/>
      <c r="S9532" s="10"/>
      <c r="T9532" s="10"/>
      <c r="U9532" s="10"/>
      <c r="V9532" s="10"/>
      <c r="W9532" s="10"/>
      <c r="X9532" s="10"/>
      <c r="Y9532" s="10"/>
      <c r="Z9532" s="10"/>
    </row>
    <row r="9533" spans="1:26" ht="12.75">
      <c r="A9533" s="10"/>
      <c r="B9533" s="10"/>
      <c r="C9533" s="10"/>
      <c r="D9533" s="10"/>
      <c r="E9533" s="10"/>
      <c r="F9533" s="10"/>
      <c r="G9533" s="10"/>
      <c r="H9533" s="10"/>
      <c r="I9533" s="10"/>
      <c r="J9533" s="10"/>
      <c r="K9533" s="10"/>
      <c r="L9533" s="10"/>
      <c r="M9533" s="10"/>
      <c r="N9533" s="10"/>
      <c r="O9533" s="10"/>
      <c r="P9533" s="10"/>
      <c r="Q9533" s="10"/>
      <c r="R9533" s="10"/>
      <c r="S9533" s="10"/>
      <c r="T9533" s="10"/>
      <c r="U9533" s="10"/>
      <c r="V9533" s="10"/>
      <c r="W9533" s="10"/>
      <c r="X9533" s="10"/>
      <c r="Y9533" s="10"/>
      <c r="Z9533" s="10"/>
    </row>
    <row r="9534" spans="1:26" ht="12.75">
      <c r="A9534" s="10"/>
      <c r="B9534" s="10"/>
      <c r="C9534" s="10"/>
      <c r="D9534" s="10"/>
      <c r="E9534" s="10"/>
      <c r="F9534" s="10"/>
      <c r="G9534" s="10"/>
      <c r="H9534" s="10"/>
      <c r="I9534" s="10"/>
      <c r="J9534" s="10"/>
      <c r="K9534" s="10"/>
      <c r="L9534" s="10"/>
      <c r="M9534" s="10"/>
      <c r="N9534" s="10"/>
      <c r="O9534" s="10"/>
      <c r="P9534" s="10"/>
      <c r="Q9534" s="10"/>
      <c r="R9534" s="10"/>
      <c r="S9534" s="10"/>
      <c r="T9534" s="10"/>
      <c r="U9534" s="10"/>
      <c r="V9534" s="10"/>
      <c r="W9534" s="10"/>
      <c r="X9534" s="10"/>
      <c r="Y9534" s="10"/>
      <c r="Z9534" s="10"/>
    </row>
    <row r="9535" spans="1:26" ht="12.75">
      <c r="A9535" s="10"/>
      <c r="B9535" s="10"/>
      <c r="C9535" s="10"/>
      <c r="D9535" s="10"/>
      <c r="E9535" s="10"/>
      <c r="F9535" s="10"/>
      <c r="G9535" s="10"/>
      <c r="H9535" s="10"/>
      <c r="I9535" s="10"/>
      <c r="J9535" s="10"/>
      <c r="K9535" s="10"/>
      <c r="L9535" s="10"/>
      <c r="M9535" s="10"/>
      <c r="N9535" s="10"/>
      <c r="O9535" s="10"/>
      <c r="P9535" s="10"/>
      <c r="Q9535" s="10"/>
      <c r="R9535" s="10"/>
      <c r="S9535" s="10"/>
      <c r="T9535" s="10"/>
      <c r="U9535" s="10"/>
      <c r="V9535" s="10"/>
      <c r="W9535" s="10"/>
      <c r="X9535" s="10"/>
      <c r="Y9535" s="10"/>
      <c r="Z9535" s="10"/>
    </row>
    <row r="9536" spans="1:26" ht="12.75">
      <c r="A9536" s="10"/>
      <c r="B9536" s="10"/>
      <c r="C9536" s="10"/>
      <c r="D9536" s="10"/>
      <c r="E9536" s="10"/>
      <c r="F9536" s="10"/>
      <c r="G9536" s="10"/>
      <c r="H9536" s="10"/>
      <c r="I9536" s="10"/>
      <c r="J9536" s="10"/>
      <c r="K9536" s="10"/>
      <c r="L9536" s="10"/>
      <c r="M9536" s="10"/>
      <c r="N9536" s="10"/>
      <c r="O9536" s="10"/>
      <c r="P9536" s="10"/>
      <c r="Q9536" s="10"/>
      <c r="R9536" s="10"/>
      <c r="S9536" s="10"/>
      <c r="T9536" s="10"/>
      <c r="U9536" s="10"/>
      <c r="V9536" s="10"/>
      <c r="W9536" s="10"/>
      <c r="X9536" s="10"/>
      <c r="Y9536" s="10"/>
      <c r="Z9536" s="10"/>
    </row>
    <row r="9537" spans="1:26" ht="12.75">
      <c r="A9537" s="10"/>
      <c r="B9537" s="10"/>
      <c r="C9537" s="10"/>
      <c r="D9537" s="10"/>
      <c r="E9537" s="10"/>
      <c r="F9537" s="10"/>
      <c r="G9537" s="10"/>
      <c r="H9537" s="10"/>
      <c r="I9537" s="10"/>
      <c r="J9537" s="10"/>
      <c r="K9537" s="10"/>
      <c r="L9537" s="10"/>
      <c r="M9537" s="10"/>
      <c r="N9537" s="10"/>
      <c r="O9537" s="10"/>
      <c r="P9537" s="10"/>
      <c r="Q9537" s="10"/>
      <c r="R9537" s="10"/>
      <c r="S9537" s="10"/>
      <c r="T9537" s="10"/>
      <c r="U9537" s="10"/>
      <c r="V9537" s="10"/>
      <c r="W9537" s="10"/>
      <c r="X9537" s="10"/>
      <c r="Y9537" s="10"/>
      <c r="Z9537" s="10"/>
    </row>
    <row r="9538" spans="1:26" ht="12.75">
      <c r="A9538" s="10"/>
      <c r="B9538" s="10"/>
      <c r="C9538" s="10"/>
      <c r="D9538" s="10"/>
      <c r="E9538" s="10"/>
      <c r="F9538" s="10"/>
      <c r="G9538" s="10"/>
      <c r="H9538" s="10"/>
      <c r="I9538" s="10"/>
      <c r="J9538" s="10"/>
      <c r="K9538" s="10"/>
      <c r="L9538" s="10"/>
      <c r="M9538" s="10"/>
      <c r="N9538" s="10"/>
      <c r="O9538" s="10"/>
      <c r="P9538" s="10"/>
      <c r="Q9538" s="10"/>
      <c r="R9538" s="10"/>
      <c r="S9538" s="10"/>
      <c r="T9538" s="10"/>
      <c r="U9538" s="10"/>
      <c r="V9538" s="10"/>
      <c r="W9538" s="10"/>
      <c r="X9538" s="10"/>
      <c r="Y9538" s="10"/>
      <c r="Z9538" s="10"/>
    </row>
    <row r="9539" spans="1:26" ht="12.75">
      <c r="A9539" s="10"/>
      <c r="B9539" s="10"/>
      <c r="C9539" s="10"/>
      <c r="D9539" s="10"/>
      <c r="E9539" s="10"/>
      <c r="F9539" s="10"/>
      <c r="G9539" s="10"/>
      <c r="H9539" s="10"/>
      <c r="I9539" s="10"/>
      <c r="J9539" s="10"/>
      <c r="K9539" s="10"/>
      <c r="L9539" s="10"/>
      <c r="M9539" s="10"/>
      <c r="N9539" s="10"/>
      <c r="O9539" s="10"/>
      <c r="P9539" s="10"/>
      <c r="Q9539" s="10"/>
      <c r="R9539" s="10"/>
      <c r="S9539" s="10"/>
      <c r="T9539" s="10"/>
      <c r="U9539" s="10"/>
      <c r="V9539" s="10"/>
      <c r="W9539" s="10"/>
      <c r="X9539" s="10"/>
      <c r="Y9539" s="10"/>
      <c r="Z9539" s="10"/>
    </row>
    <row r="9540" spans="1:26" ht="12.75">
      <c r="A9540" s="10"/>
      <c r="B9540" s="10"/>
      <c r="C9540" s="10"/>
      <c r="D9540" s="10"/>
      <c r="E9540" s="10"/>
      <c r="F9540" s="10"/>
      <c r="G9540" s="10"/>
      <c r="H9540" s="10"/>
      <c r="I9540" s="10"/>
      <c r="J9540" s="10"/>
      <c r="K9540" s="10"/>
      <c r="L9540" s="10"/>
      <c r="M9540" s="10"/>
      <c r="N9540" s="10"/>
      <c r="O9540" s="10"/>
      <c r="P9540" s="10"/>
      <c r="Q9540" s="10"/>
      <c r="R9540" s="10"/>
      <c r="S9540" s="10"/>
      <c r="T9540" s="10"/>
      <c r="U9540" s="10"/>
      <c r="V9540" s="10"/>
      <c r="W9540" s="10"/>
      <c r="X9540" s="10"/>
      <c r="Y9540" s="10"/>
      <c r="Z9540" s="10"/>
    </row>
    <row r="9541" spans="1:26" ht="12.75">
      <c r="A9541" s="10"/>
      <c r="B9541" s="10"/>
      <c r="C9541" s="10"/>
      <c r="D9541" s="10"/>
      <c r="E9541" s="10"/>
      <c r="F9541" s="10"/>
      <c r="G9541" s="10"/>
      <c r="H9541" s="10"/>
      <c r="I9541" s="10"/>
      <c r="J9541" s="10"/>
      <c r="K9541" s="10"/>
      <c r="L9541" s="10"/>
      <c r="M9541" s="10"/>
      <c r="N9541" s="10"/>
      <c r="O9541" s="10"/>
      <c r="P9541" s="10"/>
      <c r="Q9541" s="10"/>
      <c r="R9541" s="10"/>
      <c r="S9541" s="10"/>
      <c r="T9541" s="10"/>
      <c r="U9541" s="10"/>
      <c r="V9541" s="10"/>
      <c r="W9541" s="10"/>
      <c r="X9541" s="10"/>
      <c r="Y9541" s="10"/>
      <c r="Z9541" s="10"/>
    </row>
    <row r="9542" spans="1:26" ht="12.75">
      <c r="A9542" s="10"/>
      <c r="B9542" s="10"/>
      <c r="C9542" s="10"/>
      <c r="D9542" s="10"/>
      <c r="E9542" s="10"/>
      <c r="F9542" s="10"/>
      <c r="G9542" s="10"/>
      <c r="H9542" s="10"/>
      <c r="I9542" s="10"/>
      <c r="J9542" s="10"/>
      <c r="K9542" s="10"/>
      <c r="L9542" s="10"/>
      <c r="M9542" s="10"/>
      <c r="N9542" s="10"/>
      <c r="O9542" s="10"/>
      <c r="P9542" s="10"/>
      <c r="Q9542" s="10"/>
      <c r="R9542" s="10"/>
      <c r="S9542" s="10"/>
      <c r="T9542" s="10"/>
      <c r="U9542" s="10"/>
      <c r="V9542" s="10"/>
      <c r="W9542" s="10"/>
      <c r="X9542" s="10"/>
      <c r="Y9542" s="10"/>
      <c r="Z9542" s="10"/>
    </row>
    <row r="9543" spans="1:26" ht="12.75">
      <c r="A9543" s="10"/>
      <c r="B9543" s="10"/>
      <c r="C9543" s="10"/>
      <c r="D9543" s="10"/>
      <c r="E9543" s="10"/>
      <c r="F9543" s="10"/>
      <c r="G9543" s="10"/>
      <c r="H9543" s="10"/>
      <c r="I9543" s="10"/>
      <c r="J9543" s="10"/>
      <c r="K9543" s="10"/>
      <c r="L9543" s="10"/>
      <c r="M9543" s="10"/>
      <c r="N9543" s="10"/>
      <c r="O9543" s="10"/>
      <c r="P9543" s="10"/>
      <c r="Q9543" s="10"/>
      <c r="R9543" s="10"/>
      <c r="S9543" s="10"/>
      <c r="T9543" s="10"/>
      <c r="U9543" s="10"/>
      <c r="V9543" s="10"/>
      <c r="W9543" s="10"/>
      <c r="X9543" s="10"/>
      <c r="Y9543" s="10"/>
      <c r="Z9543" s="10"/>
    </row>
    <row r="9544" spans="1:26" ht="12.75">
      <c r="A9544" s="10"/>
      <c r="B9544" s="10"/>
      <c r="C9544" s="10"/>
      <c r="D9544" s="10"/>
      <c r="E9544" s="10"/>
      <c r="F9544" s="10"/>
      <c r="G9544" s="10"/>
      <c r="H9544" s="10"/>
      <c r="I9544" s="10"/>
      <c r="J9544" s="10"/>
      <c r="K9544" s="10"/>
      <c r="L9544" s="10"/>
      <c r="M9544" s="10"/>
      <c r="N9544" s="10"/>
      <c r="O9544" s="10"/>
      <c r="P9544" s="10"/>
      <c r="Q9544" s="10"/>
      <c r="R9544" s="10"/>
      <c r="S9544" s="10"/>
      <c r="T9544" s="10"/>
      <c r="U9544" s="10"/>
      <c r="V9544" s="10"/>
      <c r="W9544" s="10"/>
      <c r="X9544" s="10"/>
      <c r="Y9544" s="10"/>
      <c r="Z9544" s="10"/>
    </row>
    <row r="9545" spans="1:26" ht="12.75">
      <c r="A9545" s="10"/>
      <c r="B9545" s="10"/>
      <c r="C9545" s="10"/>
      <c r="D9545" s="10"/>
      <c r="E9545" s="10"/>
      <c r="F9545" s="10"/>
      <c r="G9545" s="10"/>
      <c r="H9545" s="10"/>
      <c r="I9545" s="10"/>
      <c r="J9545" s="10"/>
      <c r="K9545" s="10"/>
      <c r="L9545" s="10"/>
      <c r="M9545" s="10"/>
      <c r="N9545" s="10"/>
      <c r="O9545" s="10"/>
      <c r="P9545" s="10"/>
      <c r="Q9545" s="10"/>
      <c r="R9545" s="10"/>
      <c r="S9545" s="10"/>
      <c r="T9545" s="10"/>
      <c r="U9545" s="10"/>
      <c r="V9545" s="10"/>
      <c r="W9545" s="10"/>
      <c r="X9545" s="10"/>
      <c r="Y9545" s="10"/>
      <c r="Z9545" s="10"/>
    </row>
    <row r="9546" spans="1:26" ht="12.75">
      <c r="A9546" s="10"/>
      <c r="B9546" s="10"/>
      <c r="C9546" s="10"/>
      <c r="D9546" s="10"/>
      <c r="E9546" s="10"/>
      <c r="F9546" s="10"/>
      <c r="G9546" s="10"/>
      <c r="H9546" s="10"/>
      <c r="I9546" s="10"/>
      <c r="J9546" s="10"/>
      <c r="K9546" s="10"/>
      <c r="L9546" s="10"/>
      <c r="M9546" s="10"/>
      <c r="N9546" s="10"/>
      <c r="O9546" s="10"/>
      <c r="P9546" s="10"/>
      <c r="Q9546" s="10"/>
      <c r="R9546" s="10"/>
      <c r="S9546" s="10"/>
      <c r="T9546" s="10"/>
      <c r="U9546" s="10"/>
      <c r="V9546" s="10"/>
      <c r="W9546" s="10"/>
      <c r="X9546" s="10"/>
      <c r="Y9546" s="10"/>
      <c r="Z9546" s="10"/>
    </row>
    <row r="9547" spans="1:26" ht="12.75">
      <c r="A9547" s="10"/>
      <c r="B9547" s="10"/>
      <c r="C9547" s="10"/>
      <c r="D9547" s="10"/>
      <c r="E9547" s="10"/>
      <c r="F9547" s="10"/>
      <c r="G9547" s="10"/>
      <c r="H9547" s="10"/>
      <c r="I9547" s="10"/>
      <c r="J9547" s="10"/>
      <c r="K9547" s="10"/>
      <c r="L9547" s="10"/>
      <c r="M9547" s="10"/>
      <c r="N9547" s="10"/>
      <c r="O9547" s="10"/>
      <c r="P9547" s="10"/>
      <c r="Q9547" s="10"/>
      <c r="R9547" s="10"/>
      <c r="S9547" s="10"/>
      <c r="T9547" s="10"/>
      <c r="U9547" s="10"/>
      <c r="V9547" s="10"/>
      <c r="W9547" s="10"/>
      <c r="X9547" s="10"/>
      <c r="Y9547" s="10"/>
      <c r="Z9547" s="10"/>
    </row>
    <row r="9548" spans="1:26" ht="12.75">
      <c r="A9548" s="10"/>
      <c r="B9548" s="10"/>
      <c r="C9548" s="10"/>
      <c r="D9548" s="10"/>
      <c r="E9548" s="10"/>
      <c r="F9548" s="10"/>
      <c r="G9548" s="10"/>
      <c r="H9548" s="10"/>
      <c r="I9548" s="10"/>
      <c r="J9548" s="10"/>
      <c r="K9548" s="10"/>
      <c r="L9548" s="10"/>
      <c r="M9548" s="10"/>
      <c r="N9548" s="10"/>
      <c r="O9548" s="10"/>
      <c r="P9548" s="10"/>
      <c r="Q9548" s="10"/>
      <c r="R9548" s="10"/>
      <c r="S9548" s="10"/>
      <c r="T9548" s="10"/>
      <c r="U9548" s="10"/>
      <c r="V9548" s="10"/>
      <c r="W9548" s="10"/>
      <c r="X9548" s="10"/>
      <c r="Y9548" s="10"/>
      <c r="Z9548" s="10"/>
    </row>
    <row r="9549" spans="1:26" ht="12.75">
      <c r="A9549" s="10"/>
      <c r="B9549" s="10"/>
      <c r="C9549" s="10"/>
      <c r="D9549" s="10"/>
      <c r="E9549" s="10"/>
      <c r="F9549" s="10"/>
      <c r="G9549" s="10"/>
      <c r="H9549" s="10"/>
      <c r="I9549" s="10"/>
      <c r="J9549" s="10"/>
      <c r="K9549" s="10"/>
      <c r="L9549" s="10"/>
      <c r="M9549" s="10"/>
      <c r="N9549" s="10"/>
      <c r="O9549" s="10"/>
      <c r="P9549" s="10"/>
      <c r="Q9549" s="10"/>
      <c r="R9549" s="10"/>
      <c r="S9549" s="10"/>
      <c r="T9549" s="10"/>
      <c r="U9549" s="10"/>
      <c r="V9549" s="10"/>
      <c r="W9549" s="10"/>
      <c r="X9549" s="10"/>
      <c r="Y9549" s="10"/>
      <c r="Z9549" s="10"/>
    </row>
    <row r="9550" spans="1:26" ht="12.75">
      <c r="A9550" s="10"/>
      <c r="B9550" s="10"/>
      <c r="C9550" s="10"/>
      <c r="D9550" s="10"/>
      <c r="E9550" s="10"/>
      <c r="F9550" s="10"/>
      <c r="G9550" s="10"/>
      <c r="H9550" s="10"/>
      <c r="I9550" s="10"/>
      <c r="J9550" s="10"/>
      <c r="K9550" s="10"/>
      <c r="L9550" s="10"/>
      <c r="M9550" s="10"/>
      <c r="N9550" s="10"/>
      <c r="O9550" s="10"/>
      <c r="P9550" s="10"/>
      <c r="Q9550" s="10"/>
      <c r="R9550" s="10"/>
      <c r="S9550" s="10"/>
      <c r="T9550" s="10"/>
      <c r="U9550" s="10"/>
      <c r="V9550" s="10"/>
      <c r="W9550" s="10"/>
      <c r="X9550" s="10"/>
      <c r="Y9550" s="10"/>
      <c r="Z9550" s="10"/>
    </row>
    <row r="9551" spans="1:26" ht="12.75">
      <c r="A9551" s="10"/>
      <c r="B9551" s="10"/>
      <c r="C9551" s="10"/>
      <c r="D9551" s="10"/>
      <c r="E9551" s="10"/>
      <c r="F9551" s="10"/>
      <c r="G9551" s="10"/>
      <c r="H9551" s="10"/>
      <c r="I9551" s="10"/>
      <c r="J9551" s="10"/>
      <c r="K9551" s="10"/>
      <c r="L9551" s="10"/>
      <c r="M9551" s="10"/>
      <c r="N9551" s="10"/>
      <c r="O9551" s="10"/>
      <c r="P9551" s="10"/>
      <c r="Q9551" s="10"/>
      <c r="R9551" s="10"/>
      <c r="S9551" s="10"/>
      <c r="T9551" s="10"/>
      <c r="U9551" s="10"/>
      <c r="V9551" s="10"/>
      <c r="W9551" s="10"/>
      <c r="X9551" s="10"/>
      <c r="Y9551" s="10"/>
      <c r="Z9551" s="10"/>
    </row>
    <row r="9552" spans="1:26" ht="12.75">
      <c r="A9552" s="10"/>
      <c r="B9552" s="10"/>
      <c r="C9552" s="10"/>
      <c r="D9552" s="10"/>
      <c r="E9552" s="10"/>
      <c r="F9552" s="10"/>
      <c r="G9552" s="10"/>
      <c r="H9552" s="10"/>
      <c r="I9552" s="10"/>
      <c r="J9552" s="10"/>
      <c r="K9552" s="10"/>
      <c r="L9552" s="10"/>
      <c r="M9552" s="10"/>
      <c r="N9552" s="10"/>
      <c r="O9552" s="10"/>
      <c r="P9552" s="10"/>
      <c r="Q9552" s="10"/>
      <c r="R9552" s="10"/>
      <c r="S9552" s="10"/>
      <c r="T9552" s="10"/>
      <c r="U9552" s="10"/>
      <c r="V9552" s="10"/>
      <c r="W9552" s="10"/>
      <c r="X9552" s="10"/>
      <c r="Y9552" s="10"/>
      <c r="Z9552" s="10"/>
    </row>
    <row r="9553" spans="1:26" ht="12.75">
      <c r="A9553" s="10"/>
      <c r="B9553" s="10"/>
      <c r="C9553" s="10"/>
      <c r="D9553" s="10"/>
      <c r="E9553" s="10"/>
      <c r="F9553" s="10"/>
      <c r="G9553" s="10"/>
      <c r="H9553" s="10"/>
      <c r="I9553" s="10"/>
      <c r="J9553" s="10"/>
      <c r="K9553" s="10"/>
      <c r="L9553" s="10"/>
      <c r="M9553" s="10"/>
      <c r="N9553" s="10"/>
      <c r="O9553" s="10"/>
      <c r="P9553" s="10"/>
      <c r="Q9553" s="10"/>
      <c r="R9553" s="10"/>
      <c r="S9553" s="10"/>
      <c r="T9553" s="10"/>
      <c r="U9553" s="10"/>
      <c r="V9553" s="10"/>
      <c r="W9553" s="10"/>
      <c r="X9553" s="10"/>
      <c r="Y9553" s="10"/>
      <c r="Z9553" s="10"/>
    </row>
    <row r="9554" spans="1:26" ht="12.75">
      <c r="A9554" s="10"/>
      <c r="B9554" s="10"/>
      <c r="C9554" s="10"/>
      <c r="D9554" s="10"/>
      <c r="E9554" s="10"/>
      <c r="F9554" s="10"/>
      <c r="G9554" s="10"/>
      <c r="H9554" s="10"/>
      <c r="I9554" s="10"/>
      <c r="J9554" s="10"/>
      <c r="K9554" s="10"/>
      <c r="L9554" s="10"/>
      <c r="M9554" s="10"/>
      <c r="N9554" s="10"/>
      <c r="O9554" s="10"/>
      <c r="P9554" s="10"/>
      <c r="Q9554" s="10"/>
      <c r="R9554" s="10"/>
      <c r="S9554" s="10"/>
      <c r="T9554" s="10"/>
      <c r="U9554" s="10"/>
      <c r="V9554" s="10"/>
      <c r="W9554" s="10"/>
      <c r="X9554" s="10"/>
      <c r="Y9554" s="10"/>
      <c r="Z9554" s="10"/>
    </row>
    <row r="9555" spans="1:26" ht="12.75">
      <c r="A9555" s="10"/>
      <c r="B9555" s="10"/>
      <c r="C9555" s="10"/>
      <c r="D9555" s="10"/>
      <c r="E9555" s="10"/>
      <c r="F9555" s="10"/>
      <c r="G9555" s="10"/>
      <c r="H9555" s="10"/>
      <c r="I9555" s="10"/>
      <c r="J9555" s="10"/>
      <c r="K9555" s="10"/>
      <c r="L9555" s="10"/>
      <c r="M9555" s="10"/>
      <c r="N9555" s="10"/>
      <c r="O9555" s="10"/>
      <c r="P9555" s="10"/>
      <c r="Q9555" s="10"/>
      <c r="R9555" s="10"/>
      <c r="S9555" s="10"/>
      <c r="T9555" s="10"/>
      <c r="U9555" s="10"/>
      <c r="V9555" s="10"/>
      <c r="W9555" s="10"/>
      <c r="X9555" s="10"/>
      <c r="Y9555" s="10"/>
      <c r="Z9555" s="10"/>
    </row>
    <row r="9556" spans="1:26" ht="12.75">
      <c r="A9556" s="10"/>
      <c r="B9556" s="10"/>
      <c r="C9556" s="10"/>
      <c r="D9556" s="10"/>
      <c r="E9556" s="10"/>
      <c r="F9556" s="10"/>
      <c r="G9556" s="10"/>
      <c r="H9556" s="10"/>
      <c r="I9556" s="10"/>
      <c r="J9556" s="10"/>
      <c r="K9556" s="10"/>
      <c r="L9556" s="10"/>
      <c r="M9556" s="10"/>
      <c r="N9556" s="10"/>
      <c r="O9556" s="10"/>
      <c r="P9556" s="10"/>
      <c r="Q9556" s="10"/>
      <c r="R9556" s="10"/>
      <c r="S9556" s="10"/>
      <c r="T9556" s="10"/>
      <c r="U9556" s="10"/>
      <c r="V9556" s="10"/>
      <c r="W9556" s="10"/>
      <c r="X9556" s="10"/>
      <c r="Y9556" s="10"/>
      <c r="Z9556" s="10"/>
    </row>
    <row r="9557" spans="1:26" ht="12.75">
      <c r="A9557" s="10"/>
      <c r="B9557" s="10"/>
      <c r="C9557" s="10"/>
      <c r="D9557" s="10"/>
      <c r="E9557" s="10"/>
      <c r="F9557" s="10"/>
      <c r="G9557" s="10"/>
      <c r="H9557" s="10"/>
      <c r="I9557" s="10"/>
      <c r="J9557" s="10"/>
      <c r="K9557" s="10"/>
      <c r="L9557" s="10"/>
      <c r="M9557" s="10"/>
      <c r="N9557" s="10"/>
      <c r="O9557" s="10"/>
      <c r="P9557" s="10"/>
      <c r="Q9557" s="10"/>
      <c r="R9557" s="10"/>
      <c r="S9557" s="10"/>
      <c r="T9557" s="10"/>
      <c r="U9557" s="10"/>
      <c r="V9557" s="10"/>
      <c r="W9557" s="10"/>
      <c r="X9557" s="10"/>
      <c r="Y9557" s="10"/>
      <c r="Z9557" s="10"/>
    </row>
    <row r="9558" spans="1:26" ht="12.75">
      <c r="A9558" s="10"/>
      <c r="B9558" s="10"/>
      <c r="C9558" s="10"/>
      <c r="D9558" s="10"/>
      <c r="E9558" s="10"/>
      <c r="F9558" s="10"/>
      <c r="G9558" s="10"/>
      <c r="H9558" s="10"/>
      <c r="I9558" s="10"/>
      <c r="J9558" s="10"/>
      <c r="K9558" s="10"/>
      <c r="L9558" s="10"/>
      <c r="M9558" s="10"/>
      <c r="N9558" s="10"/>
      <c r="O9558" s="10"/>
      <c r="P9558" s="10"/>
      <c r="Q9558" s="10"/>
      <c r="R9558" s="10"/>
      <c r="S9558" s="10"/>
      <c r="T9558" s="10"/>
      <c r="U9558" s="10"/>
      <c r="V9558" s="10"/>
      <c r="W9558" s="10"/>
      <c r="X9558" s="10"/>
      <c r="Y9558" s="10"/>
      <c r="Z9558" s="10"/>
    </row>
    <row r="9559" spans="1:26" ht="12.75">
      <c r="A9559" s="10"/>
      <c r="B9559" s="10"/>
      <c r="C9559" s="10"/>
      <c r="D9559" s="10"/>
      <c r="E9559" s="10"/>
      <c r="F9559" s="10"/>
      <c r="G9559" s="10"/>
      <c r="H9559" s="10"/>
      <c r="I9559" s="10"/>
      <c r="J9559" s="10"/>
      <c r="K9559" s="10"/>
      <c r="L9559" s="10"/>
      <c r="M9559" s="10"/>
      <c r="N9559" s="10"/>
      <c r="O9559" s="10"/>
      <c r="P9559" s="10"/>
      <c r="Q9559" s="10"/>
      <c r="R9559" s="10"/>
      <c r="S9559" s="10"/>
      <c r="T9559" s="10"/>
      <c r="U9559" s="10"/>
      <c r="V9559" s="10"/>
      <c r="W9559" s="10"/>
      <c r="X9559" s="10"/>
      <c r="Y9559" s="10"/>
      <c r="Z9559" s="10"/>
    </row>
    <row r="9560" spans="1:26" ht="12.75">
      <c r="A9560" s="10"/>
      <c r="B9560" s="10"/>
      <c r="C9560" s="10"/>
      <c r="D9560" s="10"/>
      <c r="E9560" s="10"/>
      <c r="F9560" s="10"/>
      <c r="G9560" s="10"/>
      <c r="H9560" s="10"/>
      <c r="I9560" s="10"/>
      <c r="J9560" s="10"/>
      <c r="K9560" s="10"/>
      <c r="L9560" s="10"/>
      <c r="M9560" s="10"/>
      <c r="N9560" s="10"/>
      <c r="O9560" s="10"/>
      <c r="P9560" s="10"/>
      <c r="Q9560" s="10"/>
      <c r="R9560" s="10"/>
      <c r="S9560" s="10"/>
      <c r="T9560" s="10"/>
      <c r="U9560" s="10"/>
      <c r="V9560" s="10"/>
      <c r="W9560" s="10"/>
      <c r="X9560" s="10"/>
      <c r="Y9560" s="10"/>
      <c r="Z9560" s="10"/>
    </row>
    <row r="9561" spans="1:26" ht="12.75">
      <c r="A9561" s="10"/>
      <c r="B9561" s="10"/>
      <c r="C9561" s="10"/>
      <c r="D9561" s="10"/>
      <c r="E9561" s="10"/>
      <c r="F9561" s="10"/>
      <c r="G9561" s="10"/>
      <c r="H9561" s="10"/>
      <c r="I9561" s="10"/>
      <c r="J9561" s="10"/>
      <c r="K9561" s="10"/>
      <c r="L9561" s="10"/>
      <c r="M9561" s="10"/>
      <c r="N9561" s="10"/>
      <c r="O9561" s="10"/>
      <c r="P9561" s="10"/>
      <c r="Q9561" s="10"/>
      <c r="R9561" s="10"/>
      <c r="S9561" s="10"/>
      <c r="T9561" s="10"/>
      <c r="U9561" s="10"/>
      <c r="V9561" s="10"/>
      <c r="W9561" s="10"/>
      <c r="X9561" s="10"/>
      <c r="Y9561" s="10"/>
      <c r="Z9561" s="10"/>
    </row>
    <row r="9562" spans="1:26" ht="12.75">
      <c r="A9562" s="10"/>
      <c r="B9562" s="10"/>
      <c r="C9562" s="10"/>
      <c r="D9562" s="10"/>
      <c r="E9562" s="10"/>
      <c r="F9562" s="10"/>
      <c r="G9562" s="10"/>
      <c r="H9562" s="10"/>
      <c r="I9562" s="10"/>
      <c r="J9562" s="10"/>
      <c r="K9562" s="10"/>
      <c r="L9562" s="10"/>
      <c r="M9562" s="10"/>
      <c r="N9562" s="10"/>
      <c r="O9562" s="10"/>
      <c r="P9562" s="10"/>
      <c r="Q9562" s="10"/>
      <c r="R9562" s="10"/>
      <c r="S9562" s="10"/>
      <c r="T9562" s="10"/>
      <c r="U9562" s="10"/>
      <c r="V9562" s="10"/>
      <c r="W9562" s="10"/>
      <c r="X9562" s="10"/>
      <c r="Y9562" s="10"/>
      <c r="Z9562" s="10"/>
    </row>
    <row r="9563" spans="1:26" ht="12.75">
      <c r="A9563" s="10"/>
      <c r="B9563" s="10"/>
      <c r="C9563" s="10"/>
      <c r="D9563" s="10"/>
      <c r="E9563" s="10"/>
      <c r="F9563" s="10"/>
      <c r="G9563" s="10"/>
      <c r="H9563" s="10"/>
      <c r="I9563" s="10"/>
      <c r="J9563" s="10"/>
      <c r="K9563" s="10"/>
      <c r="L9563" s="10"/>
      <c r="M9563" s="10"/>
      <c r="N9563" s="10"/>
      <c r="O9563" s="10"/>
      <c r="P9563" s="10"/>
      <c r="Q9563" s="10"/>
      <c r="R9563" s="10"/>
      <c r="S9563" s="10"/>
      <c r="T9563" s="10"/>
      <c r="U9563" s="10"/>
      <c r="V9563" s="10"/>
      <c r="W9563" s="10"/>
      <c r="X9563" s="10"/>
      <c r="Y9563" s="10"/>
      <c r="Z9563" s="10"/>
    </row>
    <row r="9564" spans="1:26" ht="12.75">
      <c r="A9564" s="10"/>
      <c r="B9564" s="10"/>
      <c r="C9564" s="10"/>
      <c r="D9564" s="10"/>
      <c r="E9564" s="10"/>
      <c r="F9564" s="10"/>
      <c r="G9564" s="10"/>
      <c r="H9564" s="10"/>
      <c r="I9564" s="10"/>
      <c r="J9564" s="10"/>
      <c r="K9564" s="10"/>
      <c r="L9564" s="10"/>
      <c r="M9564" s="10"/>
      <c r="N9564" s="10"/>
      <c r="O9564" s="10"/>
      <c r="P9564" s="10"/>
      <c r="Q9564" s="10"/>
      <c r="R9564" s="10"/>
      <c r="S9564" s="10"/>
      <c r="T9564" s="10"/>
      <c r="U9564" s="10"/>
      <c r="V9564" s="10"/>
      <c r="W9564" s="10"/>
      <c r="X9564" s="10"/>
      <c r="Y9564" s="10"/>
      <c r="Z9564" s="10"/>
    </row>
    <row r="9565" spans="1:26" ht="12.75">
      <c r="A9565" s="10"/>
      <c r="B9565" s="10"/>
      <c r="C9565" s="10"/>
      <c r="D9565" s="10"/>
      <c r="E9565" s="10"/>
      <c r="F9565" s="10"/>
      <c r="G9565" s="10"/>
      <c r="H9565" s="10"/>
      <c r="I9565" s="10"/>
      <c r="J9565" s="10"/>
      <c r="K9565" s="10"/>
      <c r="L9565" s="10"/>
      <c r="M9565" s="10"/>
      <c r="N9565" s="10"/>
      <c r="O9565" s="10"/>
      <c r="P9565" s="10"/>
      <c r="Q9565" s="10"/>
      <c r="R9565" s="10"/>
      <c r="S9565" s="10"/>
      <c r="T9565" s="10"/>
      <c r="U9565" s="10"/>
      <c r="V9565" s="10"/>
      <c r="W9565" s="10"/>
      <c r="X9565" s="10"/>
      <c r="Y9565" s="10"/>
      <c r="Z9565" s="10"/>
    </row>
    <row r="9566" spans="1:26" ht="12.75">
      <c r="A9566" s="10"/>
      <c r="B9566" s="10"/>
      <c r="C9566" s="10"/>
      <c r="D9566" s="10"/>
      <c r="E9566" s="10"/>
      <c r="F9566" s="10"/>
      <c r="G9566" s="10"/>
      <c r="H9566" s="10"/>
      <c r="I9566" s="10"/>
      <c r="J9566" s="10"/>
      <c r="K9566" s="10"/>
      <c r="L9566" s="10"/>
      <c r="M9566" s="10"/>
      <c r="N9566" s="10"/>
      <c r="O9566" s="10"/>
      <c r="P9566" s="10"/>
      <c r="Q9566" s="10"/>
      <c r="R9566" s="10"/>
      <c r="S9566" s="10"/>
      <c r="T9566" s="10"/>
      <c r="U9566" s="10"/>
      <c r="V9566" s="10"/>
      <c r="W9566" s="10"/>
      <c r="X9566" s="10"/>
      <c r="Y9566" s="10"/>
      <c r="Z9566" s="10"/>
    </row>
    <row r="9567" spans="1:26" ht="12.75">
      <c r="A9567" s="10"/>
      <c r="B9567" s="10"/>
      <c r="C9567" s="10"/>
      <c r="D9567" s="10"/>
      <c r="E9567" s="10"/>
      <c r="F9567" s="10"/>
      <c r="G9567" s="10"/>
      <c r="H9567" s="10"/>
      <c r="I9567" s="10"/>
      <c r="J9567" s="10"/>
      <c r="K9567" s="10"/>
      <c r="L9567" s="10"/>
      <c r="M9567" s="10"/>
      <c r="N9567" s="10"/>
      <c r="O9567" s="10"/>
      <c r="P9567" s="10"/>
      <c r="Q9567" s="10"/>
      <c r="R9567" s="10"/>
      <c r="S9567" s="10"/>
      <c r="T9567" s="10"/>
      <c r="U9567" s="10"/>
      <c r="V9567" s="10"/>
      <c r="W9567" s="10"/>
      <c r="X9567" s="10"/>
      <c r="Y9567" s="10"/>
      <c r="Z9567" s="10"/>
    </row>
    <row r="9568" spans="1:26" ht="12.75">
      <c r="A9568" s="10"/>
      <c r="B9568" s="10"/>
      <c r="C9568" s="10"/>
      <c r="D9568" s="10"/>
      <c r="E9568" s="10"/>
      <c r="F9568" s="10"/>
      <c r="G9568" s="10"/>
      <c r="H9568" s="10"/>
      <c r="I9568" s="10"/>
      <c r="J9568" s="10"/>
      <c r="K9568" s="10"/>
      <c r="L9568" s="10"/>
      <c r="M9568" s="10"/>
      <c r="N9568" s="10"/>
      <c r="O9568" s="10"/>
      <c r="P9568" s="10"/>
      <c r="Q9568" s="10"/>
      <c r="R9568" s="10"/>
      <c r="S9568" s="10"/>
      <c r="T9568" s="10"/>
      <c r="U9568" s="10"/>
      <c r="V9568" s="10"/>
      <c r="W9568" s="10"/>
      <c r="X9568" s="10"/>
      <c r="Y9568" s="10"/>
      <c r="Z9568" s="10"/>
    </row>
    <row r="9569" spans="1:26" ht="12.75">
      <c r="A9569" s="10"/>
      <c r="B9569" s="10"/>
      <c r="C9569" s="10"/>
      <c r="D9569" s="10"/>
      <c r="E9569" s="10"/>
      <c r="F9569" s="10"/>
      <c r="G9569" s="10"/>
      <c r="H9569" s="10"/>
      <c r="I9569" s="10"/>
      <c r="J9569" s="10"/>
      <c r="K9569" s="10"/>
      <c r="L9569" s="10"/>
      <c r="M9569" s="10"/>
      <c r="N9569" s="10"/>
      <c r="O9569" s="10"/>
      <c r="P9569" s="10"/>
      <c r="Q9569" s="10"/>
      <c r="R9569" s="10"/>
      <c r="S9569" s="10"/>
      <c r="T9569" s="10"/>
      <c r="U9569" s="10"/>
      <c r="V9569" s="10"/>
      <c r="W9569" s="10"/>
      <c r="X9569" s="10"/>
      <c r="Y9569" s="10"/>
      <c r="Z9569" s="10"/>
    </row>
    <row r="9570" spans="1:26" ht="12.75">
      <c r="A9570" s="10"/>
      <c r="B9570" s="10"/>
      <c r="C9570" s="10"/>
      <c r="D9570" s="10"/>
      <c r="E9570" s="10"/>
      <c r="F9570" s="10"/>
      <c r="G9570" s="10"/>
      <c r="H9570" s="10"/>
      <c r="I9570" s="10"/>
      <c r="J9570" s="10"/>
      <c r="K9570" s="10"/>
      <c r="L9570" s="10"/>
      <c r="M9570" s="10"/>
      <c r="N9570" s="10"/>
      <c r="O9570" s="10"/>
      <c r="P9570" s="10"/>
      <c r="Q9570" s="10"/>
      <c r="R9570" s="10"/>
      <c r="S9570" s="10"/>
      <c r="T9570" s="10"/>
      <c r="U9570" s="10"/>
      <c r="V9570" s="10"/>
      <c r="W9570" s="10"/>
      <c r="X9570" s="10"/>
      <c r="Y9570" s="10"/>
      <c r="Z9570" s="10"/>
    </row>
    <row r="9571" spans="1:26" ht="12.75">
      <c r="A9571" s="10"/>
      <c r="B9571" s="10"/>
      <c r="C9571" s="10"/>
      <c r="D9571" s="10"/>
      <c r="E9571" s="10"/>
      <c r="F9571" s="10"/>
      <c r="G9571" s="10"/>
      <c r="H9571" s="10"/>
      <c r="I9571" s="10"/>
      <c r="J9571" s="10"/>
      <c r="K9571" s="10"/>
      <c r="L9571" s="10"/>
      <c r="M9571" s="10"/>
      <c r="N9571" s="10"/>
      <c r="O9571" s="10"/>
      <c r="P9571" s="10"/>
      <c r="Q9571" s="10"/>
      <c r="R9571" s="10"/>
      <c r="S9571" s="10"/>
      <c r="T9571" s="10"/>
      <c r="U9571" s="10"/>
      <c r="V9571" s="10"/>
      <c r="W9571" s="10"/>
      <c r="X9571" s="10"/>
      <c r="Y9571" s="10"/>
      <c r="Z9571" s="10"/>
    </row>
    <row r="9572" spans="1:26" ht="12.75">
      <c r="A9572" s="10"/>
      <c r="B9572" s="10"/>
      <c r="C9572" s="10"/>
      <c r="D9572" s="10"/>
      <c r="E9572" s="10"/>
      <c r="F9572" s="10"/>
      <c r="G9572" s="10"/>
      <c r="H9572" s="10"/>
      <c r="I9572" s="10"/>
      <c r="J9572" s="10"/>
      <c r="K9572" s="10"/>
      <c r="L9572" s="10"/>
      <c r="M9572" s="10"/>
      <c r="N9572" s="10"/>
      <c r="O9572" s="10"/>
      <c r="P9572" s="10"/>
      <c r="Q9572" s="10"/>
      <c r="R9572" s="10"/>
      <c r="S9572" s="10"/>
      <c r="T9572" s="10"/>
      <c r="U9572" s="10"/>
      <c r="V9572" s="10"/>
      <c r="W9572" s="10"/>
      <c r="X9572" s="10"/>
      <c r="Y9572" s="10"/>
      <c r="Z9572" s="10"/>
    </row>
    <row r="9573" spans="1:26" ht="12.75">
      <c r="A9573" s="10"/>
      <c r="B9573" s="10"/>
      <c r="C9573" s="10"/>
      <c r="D9573" s="10"/>
      <c r="E9573" s="10"/>
      <c r="F9573" s="10"/>
      <c r="G9573" s="10"/>
      <c r="H9573" s="10"/>
      <c r="I9573" s="10"/>
      <c r="J9573" s="10"/>
      <c r="K9573" s="10"/>
      <c r="L9573" s="10"/>
      <c r="M9573" s="10"/>
      <c r="N9573" s="10"/>
      <c r="O9573" s="10"/>
      <c r="P9573" s="10"/>
      <c r="Q9573" s="10"/>
      <c r="R9573" s="10"/>
      <c r="S9573" s="10"/>
      <c r="T9573" s="10"/>
      <c r="U9573" s="10"/>
      <c r="V9573" s="10"/>
      <c r="W9573" s="10"/>
      <c r="X9573" s="10"/>
      <c r="Y9573" s="10"/>
      <c r="Z9573" s="10"/>
    </row>
    <row r="9574" spans="1:26" ht="12.75">
      <c r="A9574" s="10"/>
      <c r="B9574" s="10"/>
      <c r="C9574" s="10"/>
      <c r="D9574" s="10"/>
      <c r="E9574" s="10"/>
      <c r="F9574" s="10"/>
      <c r="G9574" s="10"/>
      <c r="H9574" s="10"/>
      <c r="I9574" s="10"/>
      <c r="J9574" s="10"/>
      <c r="K9574" s="10"/>
      <c r="L9574" s="10"/>
      <c r="M9574" s="10"/>
      <c r="N9574" s="10"/>
      <c r="O9574" s="10"/>
      <c r="P9574" s="10"/>
      <c r="Q9574" s="10"/>
      <c r="R9574" s="10"/>
      <c r="S9574" s="10"/>
      <c r="T9574" s="10"/>
      <c r="U9574" s="10"/>
      <c r="V9574" s="10"/>
      <c r="W9574" s="10"/>
      <c r="X9574" s="10"/>
      <c r="Y9574" s="10"/>
      <c r="Z9574" s="10"/>
    </row>
    <row r="9575" spans="1:26" ht="12.75">
      <c r="A9575" s="10"/>
      <c r="B9575" s="10"/>
      <c r="C9575" s="10"/>
      <c r="D9575" s="10"/>
      <c r="E9575" s="10"/>
      <c r="F9575" s="10"/>
      <c r="G9575" s="10"/>
      <c r="H9575" s="10"/>
      <c r="I9575" s="10"/>
      <c r="J9575" s="10"/>
      <c r="K9575" s="10"/>
      <c r="L9575" s="10"/>
      <c r="M9575" s="10"/>
      <c r="N9575" s="10"/>
      <c r="O9575" s="10"/>
      <c r="P9575" s="10"/>
      <c r="Q9575" s="10"/>
      <c r="R9575" s="10"/>
      <c r="S9575" s="10"/>
      <c r="T9575" s="10"/>
      <c r="U9575" s="10"/>
      <c r="V9575" s="10"/>
      <c r="W9575" s="10"/>
      <c r="X9575" s="10"/>
      <c r="Y9575" s="10"/>
      <c r="Z9575" s="10"/>
    </row>
    <row r="9576" spans="1:26" ht="12.75">
      <c r="A9576" s="10"/>
      <c r="B9576" s="10"/>
      <c r="C9576" s="10"/>
      <c r="D9576" s="10"/>
      <c r="E9576" s="10"/>
      <c r="F9576" s="10"/>
      <c r="G9576" s="10"/>
      <c r="H9576" s="10"/>
      <c r="I9576" s="10"/>
      <c r="J9576" s="10"/>
      <c r="K9576" s="10"/>
      <c r="L9576" s="10"/>
      <c r="M9576" s="10"/>
      <c r="N9576" s="10"/>
      <c r="O9576" s="10"/>
      <c r="P9576" s="10"/>
      <c r="Q9576" s="10"/>
      <c r="R9576" s="10"/>
      <c r="S9576" s="10"/>
      <c r="T9576" s="10"/>
      <c r="U9576" s="10"/>
      <c r="V9576" s="10"/>
      <c r="W9576" s="10"/>
      <c r="X9576" s="10"/>
      <c r="Y9576" s="10"/>
      <c r="Z9576" s="10"/>
    </row>
    <row r="9577" spans="1:26" ht="12.75">
      <c r="A9577" s="10"/>
      <c r="B9577" s="10"/>
      <c r="C9577" s="10"/>
      <c r="D9577" s="10"/>
      <c r="E9577" s="10"/>
      <c r="F9577" s="10"/>
      <c r="G9577" s="10"/>
      <c r="H9577" s="10"/>
      <c r="I9577" s="10"/>
      <c r="J9577" s="10"/>
      <c r="K9577" s="10"/>
      <c r="L9577" s="10"/>
      <c r="M9577" s="10"/>
      <c r="N9577" s="10"/>
      <c r="O9577" s="10"/>
      <c r="P9577" s="10"/>
      <c r="Q9577" s="10"/>
      <c r="R9577" s="10"/>
      <c r="S9577" s="10"/>
      <c r="T9577" s="10"/>
      <c r="U9577" s="10"/>
      <c r="V9577" s="10"/>
      <c r="W9577" s="10"/>
      <c r="X9577" s="10"/>
      <c r="Y9577" s="10"/>
      <c r="Z9577" s="10"/>
    </row>
    <row r="9578" spans="1:26" ht="12.75">
      <c r="A9578" s="10"/>
      <c r="B9578" s="10"/>
      <c r="C9578" s="10"/>
      <c r="D9578" s="10"/>
      <c r="E9578" s="10"/>
      <c r="F9578" s="10"/>
      <c r="G9578" s="10"/>
      <c r="H9578" s="10"/>
      <c r="I9578" s="10"/>
      <c r="J9578" s="10"/>
      <c r="K9578" s="10"/>
      <c r="L9578" s="10"/>
      <c r="M9578" s="10"/>
      <c r="N9578" s="10"/>
      <c r="O9578" s="10"/>
      <c r="P9578" s="10"/>
      <c r="Q9578" s="10"/>
      <c r="R9578" s="10"/>
      <c r="S9578" s="10"/>
      <c r="T9578" s="10"/>
      <c r="U9578" s="10"/>
      <c r="V9578" s="10"/>
      <c r="W9578" s="10"/>
      <c r="X9578" s="10"/>
      <c r="Y9578" s="10"/>
      <c r="Z9578" s="10"/>
    </row>
    <row r="9579" spans="1:26" ht="12.75">
      <c r="A9579" s="10"/>
      <c r="B9579" s="10"/>
      <c r="C9579" s="10"/>
      <c r="D9579" s="10"/>
      <c r="E9579" s="10"/>
      <c r="F9579" s="10"/>
      <c r="G9579" s="10"/>
      <c r="H9579" s="10"/>
      <c r="I9579" s="10"/>
      <c r="J9579" s="10"/>
      <c r="K9579" s="10"/>
      <c r="L9579" s="10"/>
      <c r="M9579" s="10"/>
      <c r="N9579" s="10"/>
      <c r="O9579" s="10"/>
      <c r="P9579" s="10"/>
      <c r="Q9579" s="10"/>
      <c r="R9579" s="10"/>
      <c r="S9579" s="10"/>
      <c r="T9579" s="10"/>
      <c r="U9579" s="10"/>
      <c r="V9579" s="10"/>
      <c r="W9579" s="10"/>
      <c r="X9579" s="10"/>
      <c r="Y9579" s="10"/>
      <c r="Z9579" s="10"/>
    </row>
    <row r="9580" spans="1:26" ht="12.75">
      <c r="A9580" s="10"/>
      <c r="B9580" s="10"/>
      <c r="C9580" s="10"/>
      <c r="D9580" s="10"/>
      <c r="E9580" s="10"/>
      <c r="F9580" s="10"/>
      <c r="G9580" s="10"/>
      <c r="H9580" s="10"/>
      <c r="I9580" s="10"/>
      <c r="J9580" s="10"/>
      <c r="K9580" s="10"/>
      <c r="L9580" s="10"/>
      <c r="M9580" s="10"/>
      <c r="N9580" s="10"/>
      <c r="O9580" s="10"/>
      <c r="P9580" s="10"/>
      <c r="Q9580" s="10"/>
      <c r="R9580" s="10"/>
      <c r="S9580" s="10"/>
      <c r="T9580" s="10"/>
      <c r="U9580" s="10"/>
      <c r="V9580" s="10"/>
      <c r="W9580" s="10"/>
      <c r="X9580" s="10"/>
      <c r="Y9580" s="10"/>
      <c r="Z9580" s="10"/>
    </row>
    <row r="9581" spans="1:26" ht="12.75">
      <c r="A9581" s="10"/>
      <c r="B9581" s="10"/>
      <c r="C9581" s="10"/>
      <c r="D9581" s="10"/>
      <c r="E9581" s="10"/>
      <c r="F9581" s="10"/>
      <c r="G9581" s="10"/>
      <c r="H9581" s="10"/>
      <c r="I9581" s="10"/>
      <c r="J9581" s="10"/>
      <c r="K9581" s="10"/>
      <c r="L9581" s="10"/>
      <c r="M9581" s="10"/>
      <c r="N9581" s="10"/>
      <c r="O9581" s="10"/>
      <c r="P9581" s="10"/>
      <c r="Q9581" s="10"/>
      <c r="R9581" s="10"/>
      <c r="S9581" s="10"/>
      <c r="T9581" s="10"/>
      <c r="U9581" s="10"/>
      <c r="V9581" s="10"/>
      <c r="W9581" s="10"/>
      <c r="X9581" s="10"/>
      <c r="Y9581" s="10"/>
      <c r="Z9581" s="10"/>
    </row>
    <row r="9582" spans="1:26" ht="12.75">
      <c r="A9582" s="10"/>
      <c r="B9582" s="10"/>
      <c r="C9582" s="10"/>
      <c r="D9582" s="10"/>
      <c r="E9582" s="10"/>
      <c r="F9582" s="10"/>
      <c r="G9582" s="10"/>
      <c r="H9582" s="10"/>
      <c r="I9582" s="10"/>
      <c r="J9582" s="10"/>
      <c r="K9582" s="10"/>
      <c r="L9582" s="10"/>
      <c r="M9582" s="10"/>
      <c r="N9582" s="10"/>
      <c r="O9582" s="10"/>
      <c r="P9582" s="10"/>
      <c r="Q9582" s="10"/>
      <c r="R9582" s="10"/>
      <c r="S9582" s="10"/>
      <c r="T9582" s="10"/>
      <c r="U9582" s="10"/>
      <c r="V9582" s="10"/>
      <c r="W9582" s="10"/>
      <c r="X9582" s="10"/>
      <c r="Y9582" s="10"/>
      <c r="Z9582" s="10"/>
    </row>
    <row r="9583" spans="1:26" ht="12.75">
      <c r="A9583" s="10"/>
      <c r="B9583" s="10"/>
      <c r="C9583" s="10"/>
      <c r="D9583" s="10"/>
      <c r="E9583" s="10"/>
      <c r="F9583" s="10"/>
      <c r="G9583" s="10"/>
      <c r="H9583" s="10"/>
      <c r="I9583" s="10"/>
      <c r="J9583" s="10"/>
      <c r="K9583" s="10"/>
      <c r="L9583" s="10"/>
      <c r="M9583" s="10"/>
      <c r="N9583" s="10"/>
      <c r="O9583" s="10"/>
      <c r="P9583" s="10"/>
      <c r="Q9583" s="10"/>
      <c r="R9583" s="10"/>
      <c r="S9583" s="10"/>
      <c r="T9583" s="10"/>
      <c r="U9583" s="10"/>
      <c r="V9583" s="10"/>
      <c r="W9583" s="10"/>
      <c r="X9583" s="10"/>
      <c r="Y9583" s="10"/>
      <c r="Z9583" s="10"/>
    </row>
    <row r="9584" spans="1:26" ht="12.75">
      <c r="A9584" s="10"/>
      <c r="B9584" s="10"/>
      <c r="C9584" s="10"/>
      <c r="D9584" s="10"/>
      <c r="E9584" s="10"/>
      <c r="F9584" s="10"/>
      <c r="G9584" s="10"/>
      <c r="H9584" s="10"/>
      <c r="I9584" s="10"/>
      <c r="J9584" s="10"/>
      <c r="K9584" s="10"/>
      <c r="L9584" s="10"/>
      <c r="M9584" s="10"/>
      <c r="N9584" s="10"/>
      <c r="O9584" s="10"/>
      <c r="P9584" s="10"/>
      <c r="Q9584" s="10"/>
      <c r="R9584" s="10"/>
      <c r="S9584" s="10"/>
      <c r="T9584" s="10"/>
      <c r="U9584" s="10"/>
      <c r="V9584" s="10"/>
      <c r="W9584" s="10"/>
      <c r="X9584" s="10"/>
      <c r="Y9584" s="10"/>
      <c r="Z9584" s="10"/>
    </row>
    <row r="9585" spans="1:26" ht="12.75">
      <c r="A9585" s="10"/>
      <c r="B9585" s="10"/>
      <c r="C9585" s="10"/>
      <c r="D9585" s="10"/>
      <c r="E9585" s="10"/>
      <c r="F9585" s="10"/>
      <c r="G9585" s="10"/>
      <c r="H9585" s="10"/>
      <c r="I9585" s="10"/>
      <c r="J9585" s="10"/>
      <c r="K9585" s="10"/>
      <c r="L9585" s="10"/>
      <c r="M9585" s="10"/>
      <c r="N9585" s="10"/>
      <c r="O9585" s="10"/>
      <c r="P9585" s="10"/>
      <c r="Q9585" s="10"/>
      <c r="R9585" s="10"/>
      <c r="S9585" s="10"/>
      <c r="T9585" s="10"/>
      <c r="U9585" s="10"/>
      <c r="V9585" s="10"/>
      <c r="W9585" s="10"/>
      <c r="X9585" s="10"/>
      <c r="Y9585" s="10"/>
      <c r="Z9585" s="10"/>
    </row>
    <row r="9586" spans="1:26" ht="12.75">
      <c r="A9586" s="10"/>
      <c r="B9586" s="10"/>
      <c r="C9586" s="10"/>
      <c r="D9586" s="10"/>
      <c r="E9586" s="10"/>
      <c r="F9586" s="10"/>
      <c r="G9586" s="10"/>
      <c r="H9586" s="10"/>
      <c r="I9586" s="10"/>
      <c r="J9586" s="10"/>
      <c r="K9586" s="10"/>
      <c r="L9586" s="10"/>
      <c r="M9586" s="10"/>
      <c r="N9586" s="10"/>
      <c r="O9586" s="10"/>
      <c r="P9586" s="10"/>
      <c r="Q9586" s="10"/>
      <c r="R9586" s="10"/>
      <c r="S9586" s="10"/>
      <c r="T9586" s="10"/>
      <c r="U9586" s="10"/>
      <c r="V9586" s="10"/>
      <c r="W9586" s="10"/>
      <c r="X9586" s="10"/>
      <c r="Y9586" s="10"/>
      <c r="Z9586" s="10"/>
    </row>
    <row r="9587" spans="1:26" ht="12.75">
      <c r="A9587" s="10"/>
      <c r="B9587" s="10"/>
      <c r="C9587" s="10"/>
      <c r="D9587" s="10"/>
      <c r="E9587" s="10"/>
      <c r="F9587" s="10"/>
      <c r="G9587" s="10"/>
      <c r="H9587" s="10"/>
      <c r="I9587" s="10"/>
      <c r="J9587" s="10"/>
      <c r="K9587" s="10"/>
      <c r="L9587" s="10"/>
      <c r="M9587" s="10"/>
      <c r="N9587" s="10"/>
      <c r="O9587" s="10"/>
      <c r="P9587" s="10"/>
      <c r="Q9587" s="10"/>
      <c r="R9587" s="10"/>
      <c r="S9587" s="10"/>
      <c r="T9587" s="10"/>
      <c r="U9587" s="10"/>
      <c r="V9587" s="10"/>
      <c r="W9587" s="10"/>
      <c r="X9587" s="10"/>
      <c r="Y9587" s="10"/>
      <c r="Z9587" s="10"/>
    </row>
    <row r="9588" spans="1:26" ht="12.75">
      <c r="A9588" s="10"/>
      <c r="B9588" s="10"/>
      <c r="C9588" s="10"/>
      <c r="D9588" s="10"/>
      <c r="E9588" s="10"/>
      <c r="F9588" s="10"/>
      <c r="G9588" s="10"/>
      <c r="H9588" s="10"/>
      <c r="I9588" s="10"/>
      <c r="J9588" s="10"/>
      <c r="K9588" s="10"/>
      <c r="L9588" s="10"/>
      <c r="M9588" s="10"/>
      <c r="N9588" s="10"/>
      <c r="O9588" s="10"/>
      <c r="P9588" s="10"/>
      <c r="Q9588" s="10"/>
      <c r="R9588" s="10"/>
      <c r="S9588" s="10"/>
      <c r="T9588" s="10"/>
      <c r="U9588" s="10"/>
      <c r="V9588" s="10"/>
      <c r="W9588" s="10"/>
      <c r="X9588" s="10"/>
      <c r="Y9588" s="10"/>
      <c r="Z9588" s="10"/>
    </row>
    <row r="9589" spans="1:26" ht="12.75">
      <c r="A9589" s="10"/>
      <c r="B9589" s="10"/>
      <c r="C9589" s="10"/>
      <c r="D9589" s="10"/>
      <c r="E9589" s="10"/>
      <c r="F9589" s="10"/>
      <c r="G9589" s="10"/>
      <c r="H9589" s="10"/>
      <c r="I9589" s="10"/>
      <c r="J9589" s="10"/>
      <c r="K9589" s="10"/>
      <c r="L9589" s="10"/>
      <c r="M9589" s="10"/>
      <c r="N9589" s="10"/>
      <c r="O9589" s="10"/>
      <c r="P9589" s="10"/>
      <c r="Q9589" s="10"/>
      <c r="R9589" s="10"/>
      <c r="S9589" s="10"/>
      <c r="T9589" s="10"/>
      <c r="U9589" s="10"/>
      <c r="V9589" s="10"/>
      <c r="W9589" s="10"/>
      <c r="X9589" s="10"/>
      <c r="Y9589" s="10"/>
      <c r="Z9589" s="10"/>
    </row>
    <row r="9590" spans="1:26" ht="12.75">
      <c r="A9590" s="10"/>
      <c r="B9590" s="10"/>
      <c r="C9590" s="10"/>
      <c r="D9590" s="10"/>
      <c r="E9590" s="10"/>
      <c r="F9590" s="10"/>
      <c r="G9590" s="10"/>
      <c r="H9590" s="10"/>
      <c r="I9590" s="10"/>
      <c r="J9590" s="10"/>
      <c r="K9590" s="10"/>
      <c r="L9590" s="10"/>
      <c r="M9590" s="10"/>
      <c r="N9590" s="10"/>
      <c r="O9590" s="10"/>
      <c r="P9590" s="10"/>
      <c r="Q9590" s="10"/>
      <c r="R9590" s="10"/>
      <c r="S9590" s="10"/>
      <c r="T9590" s="10"/>
      <c r="U9590" s="10"/>
      <c r="V9590" s="10"/>
      <c r="W9590" s="10"/>
      <c r="X9590" s="10"/>
      <c r="Y9590" s="10"/>
      <c r="Z9590" s="10"/>
    </row>
    <row r="9591" spans="1:26" ht="12.75">
      <c r="A9591" s="10"/>
      <c r="B9591" s="10"/>
      <c r="C9591" s="10"/>
      <c r="D9591" s="10"/>
      <c r="E9591" s="10"/>
      <c r="F9591" s="10"/>
      <c r="G9591" s="10"/>
      <c r="H9591" s="10"/>
      <c r="I9591" s="10"/>
      <c r="J9591" s="10"/>
      <c r="K9591" s="10"/>
      <c r="L9591" s="10"/>
      <c r="M9591" s="10"/>
      <c r="N9591" s="10"/>
      <c r="O9591" s="10"/>
      <c r="P9591" s="10"/>
      <c r="Q9591" s="10"/>
      <c r="R9591" s="10"/>
      <c r="S9591" s="10"/>
      <c r="T9591" s="10"/>
      <c r="U9591" s="10"/>
      <c r="V9591" s="10"/>
      <c r="W9591" s="10"/>
      <c r="X9591" s="10"/>
      <c r="Y9591" s="10"/>
      <c r="Z9591" s="10"/>
    </row>
    <row r="9592" spans="1:26" ht="12.75">
      <c r="A9592" s="10"/>
      <c r="B9592" s="10"/>
      <c r="C9592" s="10"/>
      <c r="D9592" s="10"/>
      <c r="E9592" s="10"/>
      <c r="F9592" s="10"/>
      <c r="G9592" s="10"/>
      <c r="H9592" s="10"/>
      <c r="I9592" s="10"/>
      <c r="J9592" s="10"/>
      <c r="K9592" s="10"/>
      <c r="L9592" s="10"/>
      <c r="M9592" s="10"/>
      <c r="N9592" s="10"/>
      <c r="O9592" s="10"/>
      <c r="P9592" s="10"/>
      <c r="Q9592" s="10"/>
      <c r="R9592" s="10"/>
      <c r="S9592" s="10"/>
      <c r="T9592" s="10"/>
      <c r="U9592" s="10"/>
      <c r="V9592" s="10"/>
      <c r="W9592" s="10"/>
      <c r="X9592" s="10"/>
      <c r="Y9592" s="10"/>
      <c r="Z9592" s="10"/>
    </row>
    <row r="9593" spans="1:26" ht="12.75">
      <c r="A9593" s="10"/>
      <c r="B9593" s="10"/>
      <c r="C9593" s="10"/>
      <c r="D9593" s="10"/>
      <c r="E9593" s="10"/>
      <c r="F9593" s="10"/>
      <c r="G9593" s="10"/>
      <c r="H9593" s="10"/>
      <c r="I9593" s="10"/>
      <c r="J9593" s="10"/>
      <c r="K9593" s="10"/>
      <c r="L9593" s="10"/>
      <c r="M9593" s="10"/>
      <c r="N9593" s="10"/>
      <c r="O9593" s="10"/>
      <c r="P9593" s="10"/>
      <c r="Q9593" s="10"/>
      <c r="R9593" s="10"/>
      <c r="S9593" s="10"/>
      <c r="T9593" s="10"/>
      <c r="U9593" s="10"/>
      <c r="V9593" s="10"/>
      <c r="W9593" s="10"/>
      <c r="X9593" s="10"/>
      <c r="Y9593" s="10"/>
      <c r="Z9593" s="10"/>
    </row>
    <row r="9594" spans="1:26" ht="12.75">
      <c r="A9594" s="10"/>
      <c r="B9594" s="10"/>
      <c r="C9594" s="10"/>
      <c r="D9594" s="10"/>
      <c r="E9594" s="10"/>
      <c r="F9594" s="10"/>
      <c r="G9594" s="10"/>
      <c r="H9594" s="10"/>
      <c r="I9594" s="10"/>
      <c r="J9594" s="10"/>
      <c r="K9594" s="10"/>
      <c r="L9594" s="10"/>
      <c r="M9594" s="10"/>
      <c r="N9594" s="10"/>
      <c r="O9594" s="10"/>
      <c r="P9594" s="10"/>
      <c r="Q9594" s="10"/>
      <c r="R9594" s="10"/>
      <c r="S9594" s="10"/>
      <c r="T9594" s="10"/>
      <c r="U9594" s="10"/>
      <c r="V9594" s="10"/>
      <c r="W9594" s="10"/>
      <c r="X9594" s="10"/>
      <c r="Y9594" s="10"/>
      <c r="Z9594" s="10"/>
    </row>
    <row r="9595" spans="1:26" ht="12.75">
      <c r="A9595" s="10"/>
      <c r="B9595" s="10"/>
      <c r="C9595" s="10"/>
      <c r="D9595" s="10"/>
      <c r="E9595" s="10"/>
      <c r="F9595" s="10"/>
      <c r="G9595" s="10"/>
      <c r="H9595" s="10"/>
      <c r="I9595" s="10"/>
      <c r="J9595" s="10"/>
      <c r="K9595" s="10"/>
      <c r="L9595" s="10"/>
      <c r="M9595" s="10"/>
      <c r="N9595" s="10"/>
      <c r="O9595" s="10"/>
      <c r="P9595" s="10"/>
      <c r="Q9595" s="10"/>
      <c r="R9595" s="10"/>
      <c r="S9595" s="10"/>
      <c r="T9595" s="10"/>
      <c r="U9595" s="10"/>
      <c r="V9595" s="10"/>
      <c r="W9595" s="10"/>
      <c r="X9595" s="10"/>
      <c r="Y9595" s="10"/>
      <c r="Z9595" s="10"/>
    </row>
    <row r="9596" spans="1:26" ht="12.75">
      <c r="A9596" s="10"/>
      <c r="B9596" s="10"/>
      <c r="C9596" s="10"/>
      <c r="D9596" s="10"/>
      <c r="E9596" s="10"/>
      <c r="F9596" s="10"/>
      <c r="G9596" s="10"/>
      <c r="H9596" s="10"/>
      <c r="I9596" s="10"/>
      <c r="J9596" s="10"/>
      <c r="K9596" s="10"/>
      <c r="L9596" s="10"/>
      <c r="M9596" s="10"/>
      <c r="N9596" s="10"/>
      <c r="O9596" s="10"/>
      <c r="P9596" s="10"/>
      <c r="Q9596" s="10"/>
      <c r="R9596" s="10"/>
      <c r="S9596" s="10"/>
      <c r="T9596" s="10"/>
      <c r="U9596" s="10"/>
      <c r="V9596" s="10"/>
      <c r="W9596" s="10"/>
      <c r="X9596" s="10"/>
      <c r="Y9596" s="10"/>
      <c r="Z9596" s="10"/>
    </row>
    <row r="9597" spans="1:26" ht="12.75">
      <c r="A9597" s="10"/>
      <c r="B9597" s="10"/>
      <c r="C9597" s="10"/>
      <c r="D9597" s="10"/>
      <c r="E9597" s="10"/>
      <c r="F9597" s="10"/>
      <c r="G9597" s="10"/>
      <c r="H9597" s="10"/>
      <c r="I9597" s="10"/>
      <c r="J9597" s="10"/>
      <c r="K9597" s="10"/>
      <c r="L9597" s="10"/>
      <c r="M9597" s="10"/>
      <c r="N9597" s="10"/>
      <c r="O9597" s="10"/>
      <c r="P9597" s="10"/>
      <c r="Q9597" s="10"/>
      <c r="R9597" s="10"/>
      <c r="S9597" s="10"/>
      <c r="T9597" s="10"/>
      <c r="U9597" s="10"/>
      <c r="V9597" s="10"/>
      <c r="W9597" s="10"/>
      <c r="X9597" s="10"/>
      <c r="Y9597" s="10"/>
      <c r="Z9597" s="10"/>
    </row>
    <row r="9598" spans="1:26" ht="12.75">
      <c r="A9598" s="10"/>
      <c r="B9598" s="10"/>
      <c r="C9598" s="10"/>
      <c r="D9598" s="10"/>
      <c r="E9598" s="10"/>
      <c r="F9598" s="10"/>
      <c r="G9598" s="10"/>
      <c r="H9598" s="10"/>
      <c r="I9598" s="10"/>
      <c r="J9598" s="10"/>
      <c r="K9598" s="10"/>
      <c r="L9598" s="10"/>
      <c r="M9598" s="10"/>
      <c r="N9598" s="10"/>
      <c r="O9598" s="10"/>
      <c r="P9598" s="10"/>
      <c r="Q9598" s="10"/>
      <c r="R9598" s="10"/>
      <c r="S9598" s="10"/>
      <c r="T9598" s="10"/>
      <c r="U9598" s="10"/>
      <c r="V9598" s="10"/>
      <c r="W9598" s="10"/>
      <c r="X9598" s="10"/>
      <c r="Y9598" s="10"/>
      <c r="Z9598" s="10"/>
    </row>
    <row r="9599" spans="1:26" ht="12.75">
      <c r="A9599" s="10"/>
      <c r="B9599" s="10"/>
      <c r="C9599" s="10"/>
      <c r="D9599" s="10"/>
      <c r="E9599" s="10"/>
      <c r="F9599" s="10"/>
      <c r="G9599" s="10"/>
      <c r="H9599" s="10"/>
      <c r="I9599" s="10"/>
      <c r="J9599" s="10"/>
      <c r="K9599" s="10"/>
      <c r="L9599" s="10"/>
      <c r="M9599" s="10"/>
      <c r="N9599" s="10"/>
      <c r="O9599" s="10"/>
      <c r="P9599" s="10"/>
      <c r="Q9599" s="10"/>
      <c r="R9599" s="10"/>
      <c r="S9599" s="10"/>
      <c r="T9599" s="10"/>
      <c r="U9599" s="10"/>
      <c r="V9599" s="10"/>
      <c r="W9599" s="10"/>
      <c r="X9599" s="10"/>
      <c r="Y9599" s="10"/>
      <c r="Z9599" s="10"/>
    </row>
    <row r="9600" spans="1:26" ht="12.75">
      <c r="A9600" s="10"/>
      <c r="B9600" s="10"/>
      <c r="C9600" s="10"/>
      <c r="D9600" s="10"/>
      <c r="E9600" s="10"/>
      <c r="F9600" s="10"/>
      <c r="G9600" s="10"/>
      <c r="H9600" s="10"/>
      <c r="I9600" s="10"/>
      <c r="J9600" s="10"/>
      <c r="K9600" s="10"/>
      <c r="L9600" s="10"/>
      <c r="M9600" s="10"/>
      <c r="N9600" s="10"/>
      <c r="O9600" s="10"/>
      <c r="P9600" s="10"/>
      <c r="Q9600" s="10"/>
      <c r="R9600" s="10"/>
      <c r="S9600" s="10"/>
      <c r="T9600" s="10"/>
      <c r="U9600" s="10"/>
      <c r="V9600" s="10"/>
      <c r="W9600" s="10"/>
      <c r="X9600" s="10"/>
      <c r="Y9600" s="10"/>
      <c r="Z9600" s="10"/>
    </row>
    <row r="9601" spans="1:26" ht="12.75">
      <c r="A9601" s="10"/>
      <c r="B9601" s="10"/>
      <c r="C9601" s="10"/>
      <c r="D9601" s="10"/>
      <c r="E9601" s="10"/>
      <c r="F9601" s="10"/>
      <c r="G9601" s="10"/>
      <c r="H9601" s="10"/>
      <c r="I9601" s="10"/>
      <c r="J9601" s="10"/>
      <c r="K9601" s="10"/>
      <c r="L9601" s="10"/>
      <c r="M9601" s="10"/>
      <c r="N9601" s="10"/>
      <c r="O9601" s="10"/>
      <c r="P9601" s="10"/>
      <c r="Q9601" s="10"/>
      <c r="R9601" s="10"/>
      <c r="S9601" s="10"/>
      <c r="T9601" s="10"/>
      <c r="U9601" s="10"/>
      <c r="V9601" s="10"/>
      <c r="W9601" s="10"/>
      <c r="X9601" s="10"/>
      <c r="Y9601" s="10"/>
      <c r="Z9601" s="10"/>
    </row>
    <row r="9602" spans="1:26" ht="12.75">
      <c r="A9602" s="10"/>
      <c r="B9602" s="10"/>
      <c r="C9602" s="10"/>
      <c r="D9602" s="10"/>
      <c r="E9602" s="10"/>
      <c r="F9602" s="10"/>
      <c r="G9602" s="10"/>
      <c r="H9602" s="10"/>
      <c r="I9602" s="10"/>
      <c r="J9602" s="10"/>
      <c r="K9602" s="10"/>
      <c r="L9602" s="10"/>
      <c r="M9602" s="10"/>
      <c r="N9602" s="10"/>
      <c r="O9602" s="10"/>
      <c r="P9602" s="10"/>
      <c r="Q9602" s="10"/>
      <c r="R9602" s="10"/>
      <c r="S9602" s="10"/>
      <c r="T9602" s="10"/>
      <c r="U9602" s="10"/>
      <c r="V9602" s="10"/>
      <c r="W9602" s="10"/>
      <c r="X9602" s="10"/>
      <c r="Y9602" s="10"/>
      <c r="Z9602" s="10"/>
    </row>
    <row r="9603" spans="1:26" ht="12.75">
      <c r="A9603" s="10"/>
      <c r="B9603" s="10"/>
      <c r="C9603" s="10"/>
      <c r="D9603" s="10"/>
      <c r="E9603" s="10"/>
      <c r="F9603" s="10"/>
      <c r="G9603" s="10"/>
      <c r="H9603" s="10"/>
      <c r="I9603" s="10"/>
      <c r="J9603" s="10"/>
      <c r="K9603" s="10"/>
      <c r="L9603" s="10"/>
      <c r="M9603" s="10"/>
      <c r="N9603" s="10"/>
      <c r="O9603" s="10"/>
      <c r="P9603" s="10"/>
      <c r="Q9603" s="10"/>
      <c r="R9603" s="10"/>
      <c r="S9603" s="10"/>
      <c r="T9603" s="10"/>
      <c r="U9603" s="10"/>
      <c r="V9603" s="10"/>
      <c r="W9603" s="10"/>
      <c r="X9603" s="10"/>
      <c r="Y9603" s="10"/>
      <c r="Z9603" s="10"/>
    </row>
    <row r="9604" spans="1:26" ht="12.75">
      <c r="A9604" s="10"/>
      <c r="B9604" s="10"/>
      <c r="C9604" s="10"/>
      <c r="D9604" s="10"/>
      <c r="E9604" s="10"/>
      <c r="F9604" s="10"/>
      <c r="G9604" s="10"/>
      <c r="H9604" s="10"/>
      <c r="I9604" s="10"/>
      <c r="J9604" s="10"/>
      <c r="K9604" s="10"/>
      <c r="L9604" s="10"/>
      <c r="M9604" s="10"/>
      <c r="N9604" s="10"/>
      <c r="O9604" s="10"/>
      <c r="P9604" s="10"/>
      <c r="Q9604" s="10"/>
      <c r="R9604" s="10"/>
      <c r="S9604" s="10"/>
      <c r="T9604" s="10"/>
      <c r="U9604" s="10"/>
      <c r="V9604" s="10"/>
      <c r="W9604" s="10"/>
      <c r="X9604" s="10"/>
      <c r="Y9604" s="10"/>
      <c r="Z9604" s="10"/>
    </row>
    <row r="9605" spans="1:26" ht="12.75">
      <c r="A9605" s="10"/>
      <c r="B9605" s="10"/>
      <c r="C9605" s="10"/>
      <c r="D9605" s="10"/>
      <c r="E9605" s="10"/>
      <c r="F9605" s="10"/>
      <c r="G9605" s="10"/>
      <c r="H9605" s="10"/>
      <c r="I9605" s="10"/>
      <c r="J9605" s="10"/>
      <c r="K9605" s="10"/>
      <c r="L9605" s="10"/>
      <c r="M9605" s="10"/>
      <c r="N9605" s="10"/>
      <c r="O9605" s="10"/>
      <c r="P9605" s="10"/>
      <c r="Q9605" s="10"/>
      <c r="R9605" s="10"/>
      <c r="S9605" s="10"/>
      <c r="T9605" s="10"/>
      <c r="U9605" s="10"/>
      <c r="V9605" s="10"/>
      <c r="W9605" s="10"/>
      <c r="X9605" s="10"/>
      <c r="Y9605" s="10"/>
      <c r="Z9605" s="10"/>
    </row>
    <row r="9606" spans="1:26" ht="12.75">
      <c r="A9606" s="10"/>
      <c r="B9606" s="10"/>
      <c r="C9606" s="10"/>
      <c r="D9606" s="10"/>
      <c r="E9606" s="10"/>
      <c r="F9606" s="10"/>
      <c r="G9606" s="10"/>
      <c r="H9606" s="10"/>
      <c r="I9606" s="10"/>
      <c r="J9606" s="10"/>
      <c r="K9606" s="10"/>
      <c r="L9606" s="10"/>
      <c r="M9606" s="10"/>
      <c r="N9606" s="10"/>
      <c r="O9606" s="10"/>
      <c r="P9606" s="10"/>
      <c r="Q9606" s="10"/>
      <c r="R9606" s="10"/>
      <c r="S9606" s="10"/>
      <c r="T9606" s="10"/>
      <c r="U9606" s="10"/>
      <c r="V9606" s="10"/>
      <c r="W9606" s="10"/>
      <c r="X9606" s="10"/>
      <c r="Y9606" s="10"/>
      <c r="Z9606" s="10"/>
    </row>
    <row r="9607" spans="1:26" ht="12.75">
      <c r="A9607" s="10"/>
      <c r="B9607" s="10"/>
      <c r="C9607" s="10"/>
      <c r="D9607" s="10"/>
      <c r="E9607" s="10"/>
      <c r="F9607" s="10"/>
      <c r="G9607" s="10"/>
      <c r="H9607" s="10"/>
      <c r="I9607" s="10"/>
      <c r="J9607" s="10"/>
      <c r="K9607" s="10"/>
      <c r="L9607" s="10"/>
      <c r="M9607" s="10"/>
      <c r="N9607" s="10"/>
      <c r="O9607" s="10"/>
      <c r="P9607" s="10"/>
      <c r="Q9607" s="10"/>
      <c r="R9607" s="10"/>
      <c r="S9607" s="10"/>
      <c r="T9607" s="10"/>
      <c r="U9607" s="10"/>
      <c r="V9607" s="10"/>
      <c r="W9607" s="10"/>
      <c r="X9607" s="10"/>
      <c r="Y9607" s="10"/>
      <c r="Z9607" s="10"/>
    </row>
    <row r="9608" spans="1:26" ht="12.75">
      <c r="A9608" s="10"/>
      <c r="B9608" s="10"/>
      <c r="C9608" s="10"/>
      <c r="D9608" s="10"/>
      <c r="E9608" s="10"/>
      <c r="F9608" s="10"/>
      <c r="G9608" s="10"/>
      <c r="H9608" s="10"/>
      <c r="I9608" s="10"/>
      <c r="J9608" s="10"/>
      <c r="K9608" s="10"/>
      <c r="L9608" s="10"/>
      <c r="M9608" s="10"/>
      <c r="N9608" s="10"/>
      <c r="O9608" s="10"/>
      <c r="P9608" s="10"/>
      <c r="Q9608" s="10"/>
      <c r="R9608" s="10"/>
      <c r="S9608" s="10"/>
      <c r="T9608" s="10"/>
      <c r="U9608" s="10"/>
      <c r="V9608" s="10"/>
      <c r="W9608" s="10"/>
      <c r="X9608" s="10"/>
      <c r="Y9608" s="10"/>
      <c r="Z9608" s="10"/>
    </row>
    <row r="9609" spans="1:26" ht="12.75">
      <c r="A9609" s="10"/>
      <c r="B9609" s="10"/>
      <c r="C9609" s="10"/>
      <c r="D9609" s="10"/>
      <c r="E9609" s="10"/>
      <c r="F9609" s="10"/>
      <c r="G9609" s="10"/>
      <c r="H9609" s="10"/>
      <c r="I9609" s="10"/>
      <c r="J9609" s="10"/>
      <c r="K9609" s="10"/>
      <c r="L9609" s="10"/>
      <c r="M9609" s="10"/>
      <c r="N9609" s="10"/>
      <c r="O9609" s="10"/>
      <c r="P9609" s="10"/>
      <c r="Q9609" s="10"/>
      <c r="R9609" s="10"/>
      <c r="S9609" s="10"/>
      <c r="T9609" s="10"/>
      <c r="U9609" s="10"/>
      <c r="V9609" s="10"/>
      <c r="W9609" s="10"/>
      <c r="X9609" s="10"/>
      <c r="Y9609" s="10"/>
      <c r="Z9609" s="10"/>
    </row>
    <row r="9610" spans="1:26" ht="12.75">
      <c r="A9610" s="10"/>
      <c r="B9610" s="10"/>
      <c r="C9610" s="10"/>
      <c r="D9610" s="10"/>
      <c r="E9610" s="10"/>
      <c r="F9610" s="10"/>
      <c r="G9610" s="10"/>
      <c r="H9610" s="10"/>
      <c r="I9610" s="10"/>
      <c r="J9610" s="10"/>
      <c r="K9610" s="10"/>
      <c r="L9610" s="10"/>
      <c r="M9610" s="10"/>
      <c r="N9610" s="10"/>
      <c r="O9610" s="10"/>
      <c r="P9610" s="10"/>
      <c r="Q9610" s="10"/>
      <c r="R9610" s="10"/>
      <c r="S9610" s="10"/>
      <c r="T9610" s="10"/>
      <c r="U9610" s="10"/>
      <c r="V9610" s="10"/>
      <c r="W9610" s="10"/>
      <c r="X9610" s="10"/>
      <c r="Y9610" s="10"/>
      <c r="Z9610" s="10"/>
    </row>
    <row r="9611" spans="1:26" ht="12.75">
      <c r="A9611" s="10"/>
      <c r="B9611" s="10"/>
      <c r="C9611" s="10"/>
      <c r="D9611" s="10"/>
      <c r="E9611" s="10"/>
      <c r="F9611" s="10"/>
      <c r="G9611" s="10"/>
      <c r="H9611" s="10"/>
      <c r="I9611" s="10"/>
      <c r="J9611" s="10"/>
      <c r="K9611" s="10"/>
      <c r="L9611" s="10"/>
      <c r="M9611" s="10"/>
      <c r="N9611" s="10"/>
      <c r="O9611" s="10"/>
      <c r="P9611" s="10"/>
      <c r="Q9611" s="10"/>
      <c r="R9611" s="10"/>
      <c r="S9611" s="10"/>
      <c r="T9611" s="10"/>
      <c r="U9611" s="10"/>
      <c r="V9611" s="10"/>
      <c r="W9611" s="10"/>
      <c r="X9611" s="10"/>
      <c r="Y9611" s="10"/>
      <c r="Z9611" s="10"/>
    </row>
    <row r="9612" spans="1:26" ht="12.75">
      <c r="A9612" s="10"/>
      <c r="B9612" s="10"/>
      <c r="C9612" s="10"/>
      <c r="D9612" s="10"/>
      <c r="E9612" s="10"/>
      <c r="F9612" s="10"/>
      <c r="G9612" s="10"/>
      <c r="H9612" s="10"/>
      <c r="I9612" s="10"/>
      <c r="J9612" s="10"/>
      <c r="K9612" s="10"/>
      <c r="L9612" s="10"/>
      <c r="M9612" s="10"/>
      <c r="N9612" s="10"/>
      <c r="O9612" s="10"/>
      <c r="P9612" s="10"/>
      <c r="Q9612" s="10"/>
      <c r="R9612" s="10"/>
      <c r="S9612" s="10"/>
      <c r="T9612" s="10"/>
      <c r="U9612" s="10"/>
      <c r="V9612" s="10"/>
      <c r="W9612" s="10"/>
      <c r="X9612" s="10"/>
      <c r="Y9612" s="10"/>
      <c r="Z9612" s="10"/>
    </row>
    <row r="9613" spans="1:26" ht="12.75">
      <c r="A9613" s="10"/>
      <c r="B9613" s="10"/>
      <c r="C9613" s="10"/>
      <c r="D9613" s="10"/>
      <c r="E9613" s="10"/>
      <c r="F9613" s="10"/>
      <c r="G9613" s="10"/>
      <c r="H9613" s="10"/>
      <c r="I9613" s="10"/>
      <c r="J9613" s="10"/>
      <c r="K9613" s="10"/>
      <c r="L9613" s="10"/>
      <c r="M9613" s="10"/>
      <c r="N9613" s="10"/>
      <c r="O9613" s="10"/>
      <c r="P9613" s="10"/>
      <c r="Q9613" s="10"/>
      <c r="R9613" s="10"/>
      <c r="S9613" s="10"/>
      <c r="T9613" s="10"/>
      <c r="U9613" s="10"/>
      <c r="V9613" s="10"/>
      <c r="W9613" s="10"/>
      <c r="X9613" s="10"/>
      <c r="Y9613" s="10"/>
      <c r="Z9613" s="10"/>
    </row>
    <row r="9614" spans="1:26" ht="12.75">
      <c r="A9614" s="10"/>
      <c r="B9614" s="10"/>
      <c r="C9614" s="10"/>
      <c r="D9614" s="10"/>
      <c r="E9614" s="10"/>
      <c r="F9614" s="10"/>
      <c r="G9614" s="10"/>
      <c r="H9614" s="10"/>
      <c r="I9614" s="10"/>
      <c r="J9614" s="10"/>
      <c r="K9614" s="10"/>
      <c r="L9614" s="10"/>
      <c r="M9614" s="10"/>
      <c r="N9614" s="10"/>
      <c r="O9614" s="10"/>
      <c r="P9614" s="10"/>
      <c r="Q9614" s="10"/>
      <c r="R9614" s="10"/>
      <c r="S9614" s="10"/>
      <c r="T9614" s="10"/>
      <c r="U9614" s="10"/>
      <c r="V9614" s="10"/>
      <c r="W9614" s="10"/>
      <c r="X9614" s="10"/>
      <c r="Y9614" s="10"/>
      <c r="Z9614" s="10"/>
    </row>
    <row r="9615" spans="1:26" ht="12.75">
      <c r="A9615" s="10"/>
      <c r="B9615" s="10"/>
      <c r="C9615" s="10"/>
      <c r="D9615" s="10"/>
      <c r="E9615" s="10"/>
      <c r="F9615" s="10"/>
      <c r="G9615" s="10"/>
      <c r="H9615" s="10"/>
      <c r="I9615" s="10"/>
      <c r="J9615" s="10"/>
      <c r="K9615" s="10"/>
      <c r="L9615" s="10"/>
      <c r="M9615" s="10"/>
      <c r="N9615" s="10"/>
      <c r="O9615" s="10"/>
      <c r="P9615" s="10"/>
      <c r="Q9615" s="10"/>
      <c r="R9615" s="10"/>
      <c r="S9615" s="10"/>
      <c r="T9615" s="10"/>
      <c r="U9615" s="10"/>
      <c r="V9615" s="10"/>
      <c r="W9615" s="10"/>
      <c r="X9615" s="10"/>
      <c r="Y9615" s="10"/>
      <c r="Z9615" s="10"/>
    </row>
    <row r="9616" spans="1:26" ht="12.75">
      <c r="A9616" s="10"/>
      <c r="B9616" s="10"/>
      <c r="C9616" s="10"/>
      <c r="D9616" s="10"/>
      <c r="E9616" s="10"/>
      <c r="F9616" s="10"/>
      <c r="G9616" s="10"/>
      <c r="H9616" s="10"/>
      <c r="I9616" s="10"/>
      <c r="J9616" s="10"/>
      <c r="K9616" s="10"/>
      <c r="L9616" s="10"/>
      <c r="M9616" s="10"/>
      <c r="N9616" s="10"/>
      <c r="O9616" s="10"/>
      <c r="P9616" s="10"/>
      <c r="Q9616" s="10"/>
      <c r="R9616" s="10"/>
      <c r="S9616" s="10"/>
      <c r="T9616" s="10"/>
      <c r="U9616" s="10"/>
      <c r="V9616" s="10"/>
      <c r="W9616" s="10"/>
      <c r="X9616" s="10"/>
      <c r="Y9616" s="10"/>
      <c r="Z9616" s="10"/>
    </row>
    <row r="9617" spans="1:26" ht="12.75">
      <c r="A9617" s="10"/>
      <c r="B9617" s="10"/>
      <c r="C9617" s="10"/>
      <c r="D9617" s="10"/>
      <c r="E9617" s="10"/>
      <c r="F9617" s="10"/>
      <c r="G9617" s="10"/>
      <c r="H9617" s="10"/>
      <c r="I9617" s="10"/>
      <c r="J9617" s="10"/>
      <c r="K9617" s="10"/>
      <c r="L9617" s="10"/>
      <c r="M9617" s="10"/>
      <c r="N9617" s="10"/>
      <c r="O9617" s="10"/>
      <c r="P9617" s="10"/>
      <c r="Q9617" s="10"/>
      <c r="R9617" s="10"/>
      <c r="S9617" s="10"/>
      <c r="T9617" s="10"/>
      <c r="U9617" s="10"/>
      <c r="V9617" s="10"/>
      <c r="W9617" s="10"/>
      <c r="X9617" s="10"/>
      <c r="Y9617" s="10"/>
      <c r="Z9617" s="10"/>
    </row>
    <row r="9618" spans="1:26" ht="12.75">
      <c r="A9618" s="10"/>
      <c r="B9618" s="10"/>
      <c r="C9618" s="10"/>
      <c r="D9618" s="10"/>
      <c r="E9618" s="10"/>
      <c r="F9618" s="10"/>
      <c r="G9618" s="10"/>
      <c r="H9618" s="10"/>
      <c r="I9618" s="10"/>
      <c r="J9618" s="10"/>
      <c r="K9618" s="10"/>
      <c r="L9618" s="10"/>
      <c r="M9618" s="10"/>
      <c r="N9618" s="10"/>
      <c r="O9618" s="10"/>
      <c r="P9618" s="10"/>
      <c r="Q9618" s="10"/>
      <c r="R9618" s="10"/>
      <c r="S9618" s="10"/>
      <c r="T9618" s="10"/>
      <c r="U9618" s="10"/>
      <c r="V9618" s="10"/>
      <c r="W9618" s="10"/>
      <c r="X9618" s="10"/>
      <c r="Y9618" s="10"/>
      <c r="Z9618" s="10"/>
    </row>
    <row r="9619" spans="1:26" ht="12.75">
      <c r="A9619" s="10"/>
      <c r="B9619" s="10"/>
      <c r="C9619" s="10"/>
      <c r="D9619" s="10"/>
      <c r="E9619" s="10"/>
      <c r="F9619" s="10"/>
      <c r="G9619" s="10"/>
      <c r="H9619" s="10"/>
      <c r="I9619" s="10"/>
      <c r="J9619" s="10"/>
      <c r="K9619" s="10"/>
      <c r="L9619" s="10"/>
      <c r="M9619" s="10"/>
      <c r="N9619" s="10"/>
      <c r="O9619" s="10"/>
      <c r="P9619" s="10"/>
      <c r="Q9619" s="10"/>
      <c r="R9619" s="10"/>
      <c r="S9619" s="10"/>
      <c r="T9619" s="10"/>
      <c r="U9619" s="10"/>
      <c r="V9619" s="10"/>
      <c r="W9619" s="10"/>
      <c r="X9619" s="10"/>
      <c r="Y9619" s="10"/>
      <c r="Z9619" s="10"/>
    </row>
    <row r="9620" spans="1:26" ht="12.75">
      <c r="A9620" s="10"/>
      <c r="B9620" s="10"/>
      <c r="C9620" s="10"/>
      <c r="D9620" s="10"/>
      <c r="E9620" s="10"/>
      <c r="F9620" s="10"/>
      <c r="G9620" s="10"/>
      <c r="H9620" s="10"/>
      <c r="I9620" s="10"/>
      <c r="J9620" s="10"/>
      <c r="K9620" s="10"/>
      <c r="L9620" s="10"/>
      <c r="M9620" s="10"/>
      <c r="N9620" s="10"/>
      <c r="O9620" s="10"/>
      <c r="P9620" s="10"/>
      <c r="Q9620" s="10"/>
      <c r="R9620" s="10"/>
      <c r="S9620" s="10"/>
      <c r="T9620" s="10"/>
      <c r="U9620" s="10"/>
      <c r="V9620" s="10"/>
      <c r="W9620" s="10"/>
      <c r="X9620" s="10"/>
      <c r="Y9620" s="10"/>
      <c r="Z9620" s="10"/>
    </row>
    <row r="9621" spans="1:26" ht="12.75">
      <c r="A9621" s="10"/>
      <c r="B9621" s="10"/>
      <c r="C9621" s="10"/>
      <c r="D9621" s="10"/>
      <c r="E9621" s="10"/>
      <c r="F9621" s="10"/>
      <c r="G9621" s="10"/>
      <c r="H9621" s="10"/>
      <c r="I9621" s="10"/>
      <c r="J9621" s="10"/>
      <c r="K9621" s="10"/>
      <c r="L9621" s="10"/>
      <c r="M9621" s="10"/>
      <c r="N9621" s="10"/>
      <c r="O9621" s="10"/>
      <c r="P9621" s="10"/>
      <c r="Q9621" s="10"/>
      <c r="R9621" s="10"/>
      <c r="S9621" s="10"/>
      <c r="T9621" s="10"/>
      <c r="U9621" s="10"/>
      <c r="V9621" s="10"/>
      <c r="W9621" s="10"/>
      <c r="X9621" s="10"/>
      <c r="Y9621" s="10"/>
      <c r="Z9621" s="10"/>
    </row>
    <row r="9622" spans="1:26" ht="12.75">
      <c r="A9622" s="10"/>
      <c r="B9622" s="10"/>
      <c r="C9622" s="10"/>
      <c r="D9622" s="10"/>
      <c r="E9622" s="10"/>
      <c r="F9622" s="10"/>
      <c r="G9622" s="10"/>
      <c r="H9622" s="10"/>
      <c r="I9622" s="10"/>
      <c r="J9622" s="10"/>
      <c r="K9622" s="10"/>
      <c r="L9622" s="10"/>
      <c r="M9622" s="10"/>
      <c r="N9622" s="10"/>
      <c r="O9622" s="10"/>
      <c r="P9622" s="10"/>
      <c r="Q9622" s="10"/>
      <c r="R9622" s="10"/>
      <c r="S9622" s="10"/>
      <c r="T9622" s="10"/>
      <c r="U9622" s="10"/>
      <c r="V9622" s="10"/>
      <c r="W9622" s="10"/>
      <c r="X9622" s="10"/>
      <c r="Y9622" s="10"/>
      <c r="Z9622" s="10"/>
    </row>
    <row r="9623" spans="1:26" ht="12.75">
      <c r="A9623" s="10"/>
      <c r="B9623" s="10"/>
      <c r="C9623" s="10"/>
      <c r="D9623" s="10"/>
      <c r="E9623" s="10"/>
      <c r="F9623" s="10"/>
      <c r="G9623" s="10"/>
      <c r="H9623" s="10"/>
      <c r="I9623" s="10"/>
      <c r="J9623" s="10"/>
      <c r="K9623" s="10"/>
      <c r="L9623" s="10"/>
      <c r="M9623" s="10"/>
      <c r="N9623" s="10"/>
      <c r="O9623" s="10"/>
      <c r="P9623" s="10"/>
      <c r="Q9623" s="10"/>
      <c r="R9623" s="10"/>
      <c r="S9623" s="10"/>
      <c r="T9623" s="10"/>
      <c r="U9623" s="10"/>
      <c r="V9623" s="10"/>
      <c r="W9623" s="10"/>
      <c r="X9623" s="10"/>
      <c r="Y9623" s="10"/>
      <c r="Z9623" s="10"/>
    </row>
    <row r="9624" spans="1:26" ht="12.75">
      <c r="A9624" s="10"/>
      <c r="B9624" s="10"/>
      <c r="C9624" s="10"/>
      <c r="D9624" s="10"/>
      <c r="E9624" s="10"/>
      <c r="F9624" s="10"/>
      <c r="G9624" s="10"/>
      <c r="H9624" s="10"/>
      <c r="I9624" s="10"/>
      <c r="J9624" s="10"/>
      <c r="K9624" s="10"/>
      <c r="L9624" s="10"/>
      <c r="M9624" s="10"/>
      <c r="N9624" s="10"/>
      <c r="O9624" s="10"/>
      <c r="P9624" s="10"/>
      <c r="Q9624" s="10"/>
      <c r="R9624" s="10"/>
      <c r="S9624" s="10"/>
      <c r="T9624" s="10"/>
      <c r="U9624" s="10"/>
      <c r="V9624" s="10"/>
      <c r="W9624" s="10"/>
      <c r="X9624" s="10"/>
      <c r="Y9624" s="10"/>
      <c r="Z9624" s="10"/>
    </row>
    <row r="9625" spans="1:26" ht="12.75">
      <c r="A9625" s="10"/>
      <c r="B9625" s="10"/>
      <c r="C9625" s="10"/>
      <c r="D9625" s="10"/>
      <c r="E9625" s="10"/>
      <c r="F9625" s="10"/>
      <c r="G9625" s="10"/>
      <c r="H9625" s="10"/>
      <c r="I9625" s="10"/>
      <c r="J9625" s="10"/>
      <c r="K9625" s="10"/>
      <c r="L9625" s="10"/>
      <c r="M9625" s="10"/>
      <c r="N9625" s="10"/>
      <c r="O9625" s="10"/>
      <c r="P9625" s="10"/>
      <c r="Q9625" s="10"/>
      <c r="R9625" s="10"/>
      <c r="S9625" s="10"/>
      <c r="T9625" s="10"/>
      <c r="U9625" s="10"/>
      <c r="V9625" s="10"/>
      <c r="W9625" s="10"/>
      <c r="X9625" s="10"/>
      <c r="Y9625" s="10"/>
      <c r="Z9625" s="10"/>
    </row>
    <row r="9626" spans="1:26" ht="12.75">
      <c r="A9626" s="10"/>
      <c r="B9626" s="10"/>
      <c r="C9626" s="10"/>
      <c r="D9626" s="10"/>
      <c r="E9626" s="10"/>
      <c r="F9626" s="10"/>
      <c r="G9626" s="10"/>
      <c r="H9626" s="10"/>
      <c r="I9626" s="10"/>
      <c r="J9626" s="10"/>
      <c r="K9626" s="10"/>
      <c r="L9626" s="10"/>
      <c r="M9626" s="10"/>
      <c r="N9626" s="10"/>
      <c r="O9626" s="10"/>
      <c r="P9626" s="10"/>
      <c r="Q9626" s="10"/>
      <c r="R9626" s="10"/>
      <c r="S9626" s="10"/>
      <c r="T9626" s="10"/>
      <c r="U9626" s="10"/>
      <c r="V9626" s="10"/>
      <c r="W9626" s="10"/>
      <c r="X9626" s="10"/>
      <c r="Y9626" s="10"/>
      <c r="Z9626" s="10"/>
    </row>
    <row r="9627" spans="1:26" ht="12.75">
      <c r="A9627" s="10"/>
      <c r="B9627" s="10"/>
      <c r="C9627" s="10"/>
      <c r="D9627" s="10"/>
      <c r="E9627" s="10"/>
      <c r="F9627" s="10"/>
      <c r="G9627" s="10"/>
      <c r="H9627" s="10"/>
      <c r="I9627" s="10"/>
      <c r="J9627" s="10"/>
      <c r="K9627" s="10"/>
      <c r="L9627" s="10"/>
      <c r="M9627" s="10"/>
      <c r="N9627" s="10"/>
      <c r="O9627" s="10"/>
      <c r="P9627" s="10"/>
      <c r="Q9627" s="10"/>
      <c r="R9627" s="10"/>
      <c r="S9627" s="10"/>
      <c r="T9627" s="10"/>
      <c r="U9627" s="10"/>
      <c r="V9627" s="10"/>
      <c r="W9627" s="10"/>
      <c r="X9627" s="10"/>
      <c r="Y9627" s="10"/>
      <c r="Z9627" s="10"/>
    </row>
    <row r="9628" spans="1:26" ht="12.75">
      <c r="A9628" s="10"/>
      <c r="B9628" s="10"/>
      <c r="C9628" s="10"/>
      <c r="D9628" s="10"/>
      <c r="E9628" s="10"/>
      <c r="F9628" s="10"/>
      <c r="G9628" s="10"/>
      <c r="H9628" s="10"/>
      <c r="I9628" s="10"/>
      <c r="J9628" s="10"/>
      <c r="K9628" s="10"/>
      <c r="L9628" s="10"/>
      <c r="M9628" s="10"/>
      <c r="N9628" s="10"/>
      <c r="O9628" s="10"/>
      <c r="P9628" s="10"/>
      <c r="Q9628" s="10"/>
      <c r="R9628" s="10"/>
      <c r="S9628" s="10"/>
      <c r="T9628" s="10"/>
      <c r="U9628" s="10"/>
      <c r="V9628" s="10"/>
      <c r="W9628" s="10"/>
      <c r="X9628" s="10"/>
      <c r="Y9628" s="10"/>
      <c r="Z9628" s="10"/>
    </row>
    <row r="9629" spans="1:26" ht="12.75">
      <c r="A9629" s="10"/>
      <c r="B9629" s="10"/>
      <c r="C9629" s="10"/>
      <c r="D9629" s="10"/>
      <c r="E9629" s="10"/>
      <c r="F9629" s="10"/>
      <c r="G9629" s="10"/>
      <c r="H9629" s="10"/>
      <c r="I9629" s="10"/>
      <c r="J9629" s="10"/>
      <c r="K9629" s="10"/>
      <c r="L9629" s="10"/>
      <c r="M9629" s="10"/>
      <c r="N9629" s="10"/>
      <c r="O9629" s="10"/>
      <c r="P9629" s="10"/>
      <c r="Q9629" s="10"/>
      <c r="R9629" s="10"/>
      <c r="S9629" s="10"/>
      <c r="T9629" s="10"/>
      <c r="U9629" s="10"/>
      <c r="V9629" s="10"/>
      <c r="W9629" s="10"/>
      <c r="X9629" s="10"/>
      <c r="Y9629" s="10"/>
      <c r="Z9629" s="10"/>
    </row>
    <row r="9630" spans="1:26" ht="12.75">
      <c r="A9630" s="10"/>
      <c r="B9630" s="10"/>
      <c r="C9630" s="10"/>
      <c r="D9630" s="10"/>
      <c r="E9630" s="10"/>
      <c r="F9630" s="10"/>
      <c r="G9630" s="10"/>
      <c r="H9630" s="10"/>
      <c r="I9630" s="10"/>
      <c r="J9630" s="10"/>
      <c r="K9630" s="10"/>
      <c r="L9630" s="10"/>
      <c r="M9630" s="10"/>
      <c r="N9630" s="10"/>
      <c r="O9630" s="10"/>
      <c r="P9630" s="10"/>
      <c r="Q9630" s="10"/>
      <c r="R9630" s="10"/>
      <c r="S9630" s="10"/>
      <c r="T9630" s="10"/>
      <c r="U9630" s="10"/>
      <c r="V9630" s="10"/>
      <c r="W9630" s="10"/>
      <c r="X9630" s="10"/>
      <c r="Y9630" s="10"/>
      <c r="Z9630" s="10"/>
    </row>
    <row r="9631" spans="1:26" ht="12.75">
      <c r="A9631" s="10"/>
      <c r="B9631" s="10"/>
      <c r="C9631" s="10"/>
      <c r="D9631" s="10"/>
      <c r="E9631" s="10"/>
      <c r="F9631" s="10"/>
      <c r="G9631" s="10"/>
      <c r="H9631" s="10"/>
      <c r="I9631" s="10"/>
      <c r="J9631" s="10"/>
      <c r="K9631" s="10"/>
      <c r="L9631" s="10"/>
      <c r="M9631" s="10"/>
      <c r="N9631" s="10"/>
      <c r="O9631" s="10"/>
      <c r="P9631" s="10"/>
      <c r="Q9631" s="10"/>
      <c r="R9631" s="10"/>
      <c r="S9631" s="10"/>
      <c r="T9631" s="10"/>
      <c r="U9631" s="10"/>
      <c r="V9631" s="10"/>
      <c r="W9631" s="10"/>
      <c r="X9631" s="10"/>
      <c r="Y9631" s="10"/>
      <c r="Z9631" s="10"/>
    </row>
    <row r="9632" spans="1:26" ht="12.75">
      <c r="A9632" s="10"/>
      <c r="B9632" s="10"/>
      <c r="C9632" s="10"/>
      <c r="D9632" s="10"/>
      <c r="E9632" s="10"/>
      <c r="F9632" s="10"/>
      <c r="G9632" s="10"/>
      <c r="H9632" s="10"/>
      <c r="I9632" s="10"/>
      <c r="J9632" s="10"/>
      <c r="K9632" s="10"/>
      <c r="L9632" s="10"/>
      <c r="M9632" s="10"/>
      <c r="N9632" s="10"/>
      <c r="O9632" s="10"/>
      <c r="P9632" s="10"/>
      <c r="Q9632" s="10"/>
      <c r="R9632" s="10"/>
      <c r="S9632" s="10"/>
      <c r="T9632" s="10"/>
      <c r="U9632" s="10"/>
      <c r="V9632" s="10"/>
      <c r="W9632" s="10"/>
      <c r="X9632" s="10"/>
      <c r="Y9632" s="10"/>
      <c r="Z9632" s="10"/>
    </row>
    <row r="9633" spans="1:26" ht="12.75">
      <c r="A9633" s="10"/>
      <c r="B9633" s="10"/>
      <c r="C9633" s="10"/>
      <c r="D9633" s="10"/>
      <c r="E9633" s="10"/>
      <c r="F9633" s="10"/>
      <c r="G9633" s="10"/>
      <c r="H9633" s="10"/>
      <c r="I9633" s="10"/>
      <c r="J9633" s="10"/>
      <c r="K9633" s="10"/>
      <c r="L9633" s="10"/>
      <c r="M9633" s="10"/>
      <c r="N9633" s="10"/>
      <c r="O9633" s="10"/>
      <c r="P9633" s="10"/>
      <c r="Q9633" s="10"/>
      <c r="R9633" s="10"/>
      <c r="S9633" s="10"/>
      <c r="T9633" s="10"/>
      <c r="U9633" s="10"/>
      <c r="V9633" s="10"/>
      <c r="W9633" s="10"/>
      <c r="X9633" s="10"/>
      <c r="Y9633" s="10"/>
      <c r="Z9633" s="10"/>
    </row>
    <row r="9634" spans="1:26" ht="12.75">
      <c r="A9634" s="10"/>
      <c r="B9634" s="10"/>
      <c r="C9634" s="10"/>
      <c r="D9634" s="10"/>
      <c r="E9634" s="10"/>
      <c r="F9634" s="10"/>
      <c r="G9634" s="10"/>
      <c r="H9634" s="10"/>
      <c r="I9634" s="10"/>
      <c r="J9634" s="10"/>
      <c r="K9634" s="10"/>
      <c r="L9634" s="10"/>
      <c r="M9634" s="10"/>
      <c r="N9634" s="10"/>
      <c r="O9634" s="10"/>
      <c r="P9634" s="10"/>
      <c r="Q9634" s="10"/>
      <c r="R9634" s="10"/>
      <c r="S9634" s="10"/>
      <c r="T9634" s="10"/>
      <c r="U9634" s="10"/>
      <c r="V9634" s="10"/>
      <c r="W9634" s="10"/>
      <c r="X9634" s="10"/>
      <c r="Y9634" s="10"/>
      <c r="Z9634" s="10"/>
    </row>
    <row r="9635" spans="1:26" ht="12.75">
      <c r="A9635" s="10"/>
      <c r="B9635" s="10"/>
      <c r="C9635" s="10"/>
      <c r="D9635" s="10"/>
      <c r="E9635" s="10"/>
      <c r="F9635" s="10"/>
      <c r="G9635" s="10"/>
      <c r="H9635" s="10"/>
      <c r="I9635" s="10"/>
      <c r="J9635" s="10"/>
      <c r="K9635" s="10"/>
      <c r="L9635" s="10"/>
      <c r="M9635" s="10"/>
      <c r="N9635" s="10"/>
      <c r="O9635" s="10"/>
      <c r="P9635" s="10"/>
      <c r="Q9635" s="10"/>
      <c r="R9635" s="10"/>
      <c r="S9635" s="10"/>
      <c r="T9635" s="10"/>
      <c r="U9635" s="10"/>
      <c r="V9635" s="10"/>
      <c r="W9635" s="10"/>
      <c r="X9635" s="10"/>
      <c r="Y9635" s="10"/>
      <c r="Z9635" s="10"/>
    </row>
    <row r="9636" spans="1:26" ht="12.75">
      <c r="A9636" s="10"/>
      <c r="B9636" s="10"/>
      <c r="C9636" s="10"/>
      <c r="D9636" s="10"/>
      <c r="E9636" s="10"/>
      <c r="F9636" s="10"/>
      <c r="G9636" s="10"/>
      <c r="H9636" s="10"/>
      <c r="I9636" s="10"/>
      <c r="J9636" s="10"/>
      <c r="K9636" s="10"/>
      <c r="L9636" s="10"/>
      <c r="M9636" s="10"/>
      <c r="N9636" s="10"/>
      <c r="O9636" s="10"/>
      <c r="P9636" s="10"/>
      <c r="Q9636" s="10"/>
      <c r="R9636" s="10"/>
      <c r="S9636" s="10"/>
      <c r="T9636" s="10"/>
      <c r="U9636" s="10"/>
      <c r="V9636" s="10"/>
      <c r="W9636" s="10"/>
      <c r="X9636" s="10"/>
      <c r="Y9636" s="10"/>
      <c r="Z9636" s="10"/>
    </row>
    <row r="9637" spans="1:26" ht="12.75">
      <c r="A9637" s="10"/>
      <c r="B9637" s="10"/>
      <c r="C9637" s="10"/>
      <c r="D9637" s="10"/>
      <c r="E9637" s="10"/>
      <c r="F9637" s="10"/>
      <c r="G9637" s="10"/>
      <c r="H9637" s="10"/>
      <c r="I9637" s="10"/>
      <c r="J9637" s="10"/>
      <c r="K9637" s="10"/>
      <c r="L9637" s="10"/>
      <c r="M9637" s="10"/>
      <c r="N9637" s="10"/>
      <c r="O9637" s="10"/>
      <c r="P9637" s="10"/>
      <c r="Q9637" s="10"/>
      <c r="R9637" s="10"/>
      <c r="S9637" s="10"/>
      <c r="T9637" s="10"/>
      <c r="U9637" s="10"/>
      <c r="V9637" s="10"/>
      <c r="W9637" s="10"/>
      <c r="X9637" s="10"/>
      <c r="Y9637" s="10"/>
      <c r="Z9637" s="10"/>
    </row>
    <row r="9638" spans="1:26" ht="12.75">
      <c r="A9638" s="10"/>
      <c r="B9638" s="10"/>
      <c r="C9638" s="10"/>
      <c r="D9638" s="10"/>
      <c r="E9638" s="10"/>
      <c r="F9638" s="10"/>
      <c r="G9638" s="10"/>
      <c r="H9638" s="10"/>
      <c r="I9638" s="10"/>
      <c r="J9638" s="10"/>
      <c r="K9638" s="10"/>
      <c r="L9638" s="10"/>
      <c r="M9638" s="10"/>
      <c r="N9638" s="10"/>
      <c r="O9638" s="10"/>
      <c r="P9638" s="10"/>
      <c r="Q9638" s="10"/>
      <c r="R9638" s="10"/>
      <c r="S9638" s="10"/>
      <c r="T9638" s="10"/>
      <c r="U9638" s="10"/>
      <c r="V9638" s="10"/>
      <c r="W9638" s="10"/>
      <c r="X9638" s="10"/>
      <c r="Y9638" s="10"/>
      <c r="Z9638" s="10"/>
    </row>
    <row r="9639" spans="1:26" ht="12.75">
      <c r="A9639" s="10"/>
      <c r="B9639" s="10"/>
      <c r="C9639" s="10"/>
      <c r="D9639" s="10"/>
      <c r="E9639" s="10"/>
      <c r="F9639" s="10"/>
      <c r="G9639" s="10"/>
      <c r="H9639" s="10"/>
      <c r="I9639" s="10"/>
      <c r="J9639" s="10"/>
      <c r="K9639" s="10"/>
      <c r="L9639" s="10"/>
      <c r="M9639" s="10"/>
      <c r="N9639" s="10"/>
      <c r="O9639" s="10"/>
      <c r="P9639" s="10"/>
      <c r="Q9639" s="10"/>
      <c r="R9639" s="10"/>
      <c r="S9639" s="10"/>
      <c r="T9639" s="10"/>
      <c r="U9639" s="10"/>
      <c r="V9639" s="10"/>
      <c r="W9639" s="10"/>
      <c r="X9639" s="10"/>
      <c r="Y9639" s="10"/>
      <c r="Z9639" s="10"/>
    </row>
    <row r="9640" spans="1:26" ht="12.75">
      <c r="A9640" s="10"/>
      <c r="B9640" s="10"/>
      <c r="C9640" s="10"/>
      <c r="D9640" s="10"/>
      <c r="E9640" s="10"/>
      <c r="F9640" s="10"/>
      <c r="G9640" s="10"/>
      <c r="H9640" s="10"/>
      <c r="I9640" s="10"/>
      <c r="J9640" s="10"/>
      <c r="K9640" s="10"/>
      <c r="L9640" s="10"/>
      <c r="M9640" s="10"/>
      <c r="N9640" s="10"/>
      <c r="O9640" s="10"/>
      <c r="P9640" s="10"/>
      <c r="Q9640" s="10"/>
      <c r="R9640" s="10"/>
      <c r="S9640" s="10"/>
      <c r="T9640" s="10"/>
      <c r="U9640" s="10"/>
      <c r="V9640" s="10"/>
      <c r="W9640" s="10"/>
      <c r="X9640" s="10"/>
      <c r="Y9640" s="10"/>
      <c r="Z9640" s="10"/>
    </row>
    <row r="9641" spans="1:26" ht="12.75">
      <c r="A9641" s="10"/>
      <c r="B9641" s="10"/>
      <c r="C9641" s="10"/>
      <c r="D9641" s="10"/>
      <c r="E9641" s="10"/>
      <c r="F9641" s="10"/>
      <c r="G9641" s="10"/>
      <c r="H9641" s="10"/>
      <c r="I9641" s="10"/>
      <c r="J9641" s="10"/>
      <c r="K9641" s="10"/>
      <c r="L9641" s="10"/>
      <c r="M9641" s="10"/>
      <c r="N9641" s="10"/>
      <c r="O9641" s="10"/>
      <c r="P9641" s="10"/>
      <c r="Q9641" s="10"/>
      <c r="R9641" s="10"/>
      <c r="S9641" s="10"/>
      <c r="T9641" s="10"/>
      <c r="U9641" s="10"/>
      <c r="V9641" s="10"/>
      <c r="W9641" s="10"/>
      <c r="X9641" s="10"/>
      <c r="Y9641" s="10"/>
      <c r="Z9641" s="10"/>
    </row>
    <row r="9642" spans="1:26" ht="12.75">
      <c r="A9642" s="10"/>
      <c r="B9642" s="10"/>
      <c r="C9642" s="10"/>
      <c r="D9642" s="10"/>
      <c r="E9642" s="10"/>
      <c r="F9642" s="10"/>
      <c r="G9642" s="10"/>
      <c r="H9642" s="10"/>
      <c r="I9642" s="10"/>
      <c r="J9642" s="10"/>
      <c r="K9642" s="10"/>
      <c r="L9642" s="10"/>
      <c r="M9642" s="10"/>
      <c r="N9642" s="10"/>
      <c r="O9642" s="10"/>
      <c r="P9642" s="10"/>
      <c r="Q9642" s="10"/>
      <c r="R9642" s="10"/>
      <c r="S9642" s="10"/>
      <c r="T9642" s="10"/>
      <c r="U9642" s="10"/>
      <c r="V9642" s="10"/>
      <c r="W9642" s="10"/>
      <c r="X9642" s="10"/>
      <c r="Y9642" s="10"/>
      <c r="Z9642" s="10"/>
    </row>
    <row r="9643" spans="1:26" ht="12.75">
      <c r="A9643" s="10"/>
      <c r="B9643" s="10"/>
      <c r="C9643" s="10"/>
      <c r="D9643" s="10"/>
      <c r="E9643" s="10"/>
      <c r="F9643" s="10"/>
      <c r="G9643" s="10"/>
      <c r="H9643" s="10"/>
      <c r="I9643" s="10"/>
      <c r="J9643" s="10"/>
      <c r="K9643" s="10"/>
      <c r="L9643" s="10"/>
      <c r="M9643" s="10"/>
      <c r="N9643" s="10"/>
      <c r="O9643" s="10"/>
      <c r="P9643" s="10"/>
      <c r="Q9643" s="10"/>
      <c r="R9643" s="10"/>
      <c r="S9643" s="10"/>
      <c r="T9643" s="10"/>
      <c r="U9643" s="10"/>
      <c r="V9643" s="10"/>
      <c r="W9643" s="10"/>
      <c r="X9643" s="10"/>
      <c r="Y9643" s="10"/>
      <c r="Z9643" s="10"/>
    </row>
    <row r="9644" spans="1:26" ht="12.75">
      <c r="A9644" s="10"/>
      <c r="B9644" s="10"/>
      <c r="C9644" s="10"/>
      <c r="D9644" s="10"/>
      <c r="E9644" s="10"/>
      <c r="F9644" s="10"/>
      <c r="G9644" s="10"/>
      <c r="H9644" s="10"/>
      <c r="I9644" s="10"/>
      <c r="J9644" s="10"/>
      <c r="K9644" s="10"/>
      <c r="L9644" s="10"/>
      <c r="M9644" s="10"/>
      <c r="N9644" s="10"/>
      <c r="O9644" s="10"/>
      <c r="P9644" s="10"/>
      <c r="Q9644" s="10"/>
      <c r="R9644" s="10"/>
      <c r="S9644" s="10"/>
      <c r="T9644" s="10"/>
      <c r="U9644" s="10"/>
      <c r="V9644" s="10"/>
      <c r="W9644" s="10"/>
      <c r="X9644" s="10"/>
      <c r="Y9644" s="10"/>
      <c r="Z9644" s="10"/>
    </row>
    <row r="9645" spans="1:26" ht="12.75">
      <c r="A9645" s="10"/>
      <c r="B9645" s="10"/>
      <c r="C9645" s="10"/>
      <c r="D9645" s="10"/>
      <c r="E9645" s="10"/>
      <c r="F9645" s="10"/>
      <c r="G9645" s="10"/>
      <c r="H9645" s="10"/>
      <c r="I9645" s="10"/>
      <c r="J9645" s="10"/>
      <c r="K9645" s="10"/>
      <c r="L9645" s="10"/>
      <c r="M9645" s="10"/>
      <c r="N9645" s="10"/>
      <c r="O9645" s="10"/>
      <c r="P9645" s="10"/>
      <c r="Q9645" s="10"/>
      <c r="R9645" s="10"/>
      <c r="S9645" s="10"/>
      <c r="T9645" s="10"/>
      <c r="U9645" s="10"/>
      <c r="V9645" s="10"/>
      <c r="W9645" s="10"/>
      <c r="X9645" s="10"/>
      <c r="Y9645" s="10"/>
      <c r="Z9645" s="10"/>
    </row>
    <row r="9646" spans="1:26" ht="12.75">
      <c r="A9646" s="10"/>
      <c r="B9646" s="10"/>
      <c r="C9646" s="10"/>
      <c r="D9646" s="10"/>
      <c r="E9646" s="10"/>
      <c r="F9646" s="10"/>
      <c r="G9646" s="10"/>
      <c r="H9646" s="10"/>
      <c r="I9646" s="10"/>
      <c r="J9646" s="10"/>
      <c r="K9646" s="10"/>
      <c r="L9646" s="10"/>
      <c r="M9646" s="10"/>
      <c r="N9646" s="10"/>
      <c r="O9646" s="10"/>
      <c r="P9646" s="10"/>
      <c r="Q9646" s="10"/>
      <c r="R9646" s="10"/>
      <c r="S9646" s="10"/>
      <c r="T9646" s="10"/>
      <c r="U9646" s="10"/>
      <c r="V9646" s="10"/>
      <c r="W9646" s="10"/>
      <c r="X9646" s="10"/>
      <c r="Y9646" s="10"/>
      <c r="Z9646" s="10"/>
    </row>
    <row r="9647" spans="1:26" ht="12.75">
      <c r="A9647" s="10"/>
      <c r="B9647" s="10"/>
      <c r="C9647" s="10"/>
      <c r="D9647" s="10"/>
      <c r="E9647" s="10"/>
      <c r="F9647" s="10"/>
      <c r="G9647" s="10"/>
      <c r="H9647" s="10"/>
      <c r="I9647" s="10"/>
      <c r="J9647" s="10"/>
      <c r="K9647" s="10"/>
      <c r="L9647" s="10"/>
      <c r="M9647" s="10"/>
      <c r="N9647" s="10"/>
      <c r="O9647" s="10"/>
      <c r="P9647" s="10"/>
      <c r="Q9647" s="10"/>
      <c r="R9647" s="10"/>
      <c r="S9647" s="10"/>
      <c r="T9647" s="10"/>
      <c r="U9647" s="10"/>
      <c r="V9647" s="10"/>
      <c r="W9647" s="10"/>
      <c r="X9647" s="10"/>
      <c r="Y9647" s="10"/>
      <c r="Z9647" s="10"/>
    </row>
    <row r="9648" spans="1:26" ht="12.75">
      <c r="A9648" s="10"/>
      <c r="B9648" s="10"/>
      <c r="C9648" s="10"/>
      <c r="D9648" s="10"/>
      <c r="E9648" s="10"/>
      <c r="F9648" s="10"/>
      <c r="G9648" s="10"/>
      <c r="H9648" s="10"/>
      <c r="I9648" s="10"/>
      <c r="J9648" s="10"/>
      <c r="K9648" s="10"/>
      <c r="L9648" s="10"/>
      <c r="M9648" s="10"/>
      <c r="N9648" s="10"/>
      <c r="O9648" s="10"/>
      <c r="P9648" s="10"/>
      <c r="Q9648" s="10"/>
      <c r="R9648" s="10"/>
      <c r="S9648" s="10"/>
      <c r="T9648" s="10"/>
      <c r="U9648" s="10"/>
      <c r="V9648" s="10"/>
      <c r="W9648" s="10"/>
      <c r="X9648" s="10"/>
      <c r="Y9648" s="10"/>
      <c r="Z9648" s="10"/>
    </row>
    <row r="9649" spans="1:26" ht="12.75">
      <c r="A9649" s="10"/>
      <c r="B9649" s="10"/>
      <c r="C9649" s="10"/>
      <c r="D9649" s="10"/>
      <c r="E9649" s="10"/>
      <c r="F9649" s="10"/>
      <c r="G9649" s="10"/>
      <c r="H9649" s="10"/>
      <c r="I9649" s="10"/>
      <c r="J9649" s="10"/>
      <c r="K9649" s="10"/>
      <c r="L9649" s="10"/>
      <c r="M9649" s="10"/>
      <c r="N9649" s="10"/>
      <c r="O9649" s="10"/>
      <c r="P9649" s="10"/>
      <c r="Q9649" s="10"/>
      <c r="R9649" s="10"/>
      <c r="S9649" s="10"/>
      <c r="T9649" s="10"/>
      <c r="U9649" s="10"/>
      <c r="V9649" s="10"/>
      <c r="W9649" s="10"/>
      <c r="X9649" s="10"/>
      <c r="Y9649" s="10"/>
      <c r="Z9649" s="10"/>
    </row>
    <row r="9650" spans="1:26" ht="12.75">
      <c r="A9650" s="10"/>
      <c r="B9650" s="10"/>
      <c r="C9650" s="10"/>
      <c r="D9650" s="10"/>
      <c r="E9650" s="10"/>
      <c r="F9650" s="10"/>
      <c r="G9650" s="10"/>
      <c r="H9650" s="10"/>
      <c r="I9650" s="10"/>
      <c r="J9650" s="10"/>
      <c r="K9650" s="10"/>
      <c r="L9650" s="10"/>
      <c r="M9650" s="10"/>
      <c r="N9650" s="10"/>
      <c r="O9650" s="10"/>
      <c r="P9650" s="10"/>
      <c r="Q9650" s="10"/>
      <c r="R9650" s="10"/>
      <c r="S9650" s="10"/>
      <c r="T9650" s="10"/>
      <c r="U9650" s="10"/>
      <c r="V9650" s="10"/>
      <c r="W9650" s="10"/>
      <c r="X9650" s="10"/>
      <c r="Y9650" s="10"/>
      <c r="Z9650" s="10"/>
    </row>
    <row r="9651" spans="1:26" ht="12.75">
      <c r="A9651" s="10"/>
      <c r="B9651" s="10"/>
      <c r="C9651" s="10"/>
      <c r="D9651" s="10"/>
      <c r="E9651" s="10"/>
      <c r="F9651" s="10"/>
      <c r="G9651" s="10"/>
      <c r="H9651" s="10"/>
      <c r="I9651" s="10"/>
      <c r="J9651" s="10"/>
      <c r="K9651" s="10"/>
      <c r="L9651" s="10"/>
      <c r="M9651" s="10"/>
      <c r="N9651" s="10"/>
      <c r="O9651" s="10"/>
      <c r="P9651" s="10"/>
      <c r="Q9651" s="10"/>
      <c r="R9651" s="10"/>
      <c r="S9651" s="10"/>
      <c r="T9651" s="10"/>
      <c r="U9651" s="10"/>
      <c r="V9651" s="10"/>
      <c r="W9651" s="10"/>
      <c r="X9651" s="10"/>
      <c r="Y9651" s="10"/>
      <c r="Z9651" s="10"/>
    </row>
    <row r="9652" spans="1:26" ht="12.75">
      <c r="A9652" s="10"/>
      <c r="B9652" s="10"/>
      <c r="C9652" s="10"/>
      <c r="D9652" s="10"/>
      <c r="E9652" s="10"/>
      <c r="F9652" s="10"/>
      <c r="G9652" s="10"/>
      <c r="H9652" s="10"/>
      <c r="I9652" s="10"/>
      <c r="J9652" s="10"/>
      <c r="K9652" s="10"/>
      <c r="L9652" s="10"/>
      <c r="M9652" s="10"/>
      <c r="N9652" s="10"/>
      <c r="O9652" s="10"/>
      <c r="P9652" s="10"/>
      <c r="Q9652" s="10"/>
      <c r="R9652" s="10"/>
      <c r="S9652" s="10"/>
      <c r="T9652" s="10"/>
      <c r="U9652" s="10"/>
      <c r="V9652" s="10"/>
      <c r="W9652" s="10"/>
      <c r="X9652" s="10"/>
      <c r="Y9652" s="10"/>
      <c r="Z9652" s="10"/>
    </row>
    <row r="9653" spans="1:26" ht="12.75">
      <c r="A9653" s="10"/>
      <c r="B9653" s="10"/>
      <c r="C9653" s="10"/>
      <c r="D9653" s="10"/>
      <c r="E9653" s="10"/>
      <c r="F9653" s="10"/>
      <c r="G9653" s="10"/>
      <c r="H9653" s="10"/>
      <c r="I9653" s="10"/>
      <c r="J9653" s="10"/>
      <c r="K9653" s="10"/>
      <c r="L9653" s="10"/>
      <c r="M9653" s="10"/>
      <c r="N9653" s="10"/>
      <c r="O9653" s="10"/>
      <c r="P9653" s="10"/>
      <c r="Q9653" s="10"/>
      <c r="R9653" s="10"/>
      <c r="S9653" s="10"/>
      <c r="T9653" s="10"/>
      <c r="U9653" s="10"/>
      <c r="V9653" s="10"/>
      <c r="W9653" s="10"/>
      <c r="X9653" s="10"/>
      <c r="Y9653" s="10"/>
      <c r="Z9653" s="10"/>
    </row>
    <row r="9654" spans="1:26" ht="12.75">
      <c r="A9654" s="10"/>
      <c r="B9654" s="10"/>
      <c r="C9654" s="10"/>
      <c r="D9654" s="10"/>
      <c r="E9654" s="10"/>
      <c r="F9654" s="10"/>
      <c r="G9654" s="10"/>
      <c r="H9654" s="10"/>
      <c r="I9654" s="10"/>
      <c r="J9654" s="10"/>
      <c r="K9654" s="10"/>
      <c r="L9654" s="10"/>
      <c r="M9654" s="10"/>
      <c r="N9654" s="10"/>
      <c r="O9654" s="10"/>
      <c r="P9654" s="10"/>
      <c r="Q9654" s="10"/>
      <c r="R9654" s="10"/>
      <c r="S9654" s="10"/>
      <c r="T9654" s="10"/>
      <c r="U9654" s="10"/>
      <c r="V9654" s="10"/>
      <c r="W9654" s="10"/>
      <c r="X9654" s="10"/>
      <c r="Y9654" s="10"/>
      <c r="Z9654" s="10"/>
    </row>
    <row r="9655" spans="1:26" ht="12.75">
      <c r="A9655" s="10"/>
      <c r="B9655" s="10"/>
      <c r="C9655" s="10"/>
      <c r="D9655" s="10"/>
      <c r="E9655" s="10"/>
      <c r="F9655" s="10"/>
      <c r="G9655" s="10"/>
      <c r="H9655" s="10"/>
      <c r="I9655" s="10"/>
      <c r="J9655" s="10"/>
      <c r="K9655" s="10"/>
      <c r="L9655" s="10"/>
      <c r="M9655" s="10"/>
      <c r="N9655" s="10"/>
      <c r="O9655" s="10"/>
      <c r="P9655" s="10"/>
      <c r="Q9655" s="10"/>
      <c r="R9655" s="10"/>
      <c r="S9655" s="10"/>
      <c r="T9655" s="10"/>
      <c r="U9655" s="10"/>
      <c r="V9655" s="10"/>
      <c r="W9655" s="10"/>
      <c r="X9655" s="10"/>
      <c r="Y9655" s="10"/>
      <c r="Z9655" s="10"/>
    </row>
    <row r="9656" spans="1:26" ht="12.75">
      <c r="A9656" s="10"/>
      <c r="B9656" s="10"/>
      <c r="C9656" s="10"/>
      <c r="D9656" s="10"/>
      <c r="E9656" s="10"/>
      <c r="F9656" s="10"/>
      <c r="G9656" s="10"/>
      <c r="H9656" s="10"/>
      <c r="I9656" s="10"/>
      <c r="J9656" s="10"/>
      <c r="K9656" s="10"/>
      <c r="L9656" s="10"/>
      <c r="M9656" s="10"/>
      <c r="N9656" s="10"/>
      <c r="O9656" s="10"/>
      <c r="P9656" s="10"/>
      <c r="Q9656" s="10"/>
      <c r="R9656" s="10"/>
      <c r="S9656" s="10"/>
      <c r="T9656" s="10"/>
      <c r="U9656" s="10"/>
      <c r="V9656" s="10"/>
      <c r="W9656" s="10"/>
      <c r="X9656" s="10"/>
      <c r="Y9656" s="10"/>
      <c r="Z9656" s="10"/>
    </row>
    <row r="9657" spans="1:26" ht="12.75">
      <c r="A9657" s="10"/>
      <c r="B9657" s="10"/>
      <c r="C9657" s="10"/>
      <c r="D9657" s="10"/>
      <c r="E9657" s="10"/>
      <c r="F9657" s="10"/>
      <c r="G9657" s="10"/>
      <c r="H9657" s="10"/>
      <c r="I9657" s="10"/>
      <c r="J9657" s="10"/>
      <c r="K9657" s="10"/>
      <c r="L9657" s="10"/>
      <c r="M9657" s="10"/>
      <c r="N9657" s="10"/>
      <c r="O9657" s="10"/>
      <c r="P9657" s="10"/>
      <c r="Q9657" s="10"/>
      <c r="R9657" s="10"/>
      <c r="S9657" s="10"/>
      <c r="T9657" s="10"/>
      <c r="U9657" s="10"/>
      <c r="V9657" s="10"/>
      <c r="W9657" s="10"/>
      <c r="X9657" s="10"/>
      <c r="Y9657" s="10"/>
      <c r="Z9657" s="10"/>
    </row>
    <row r="9658" spans="1:26" ht="12.75">
      <c r="A9658" s="10"/>
      <c r="B9658" s="10"/>
      <c r="C9658" s="10"/>
      <c r="D9658" s="10"/>
      <c r="E9658" s="10"/>
      <c r="F9658" s="10"/>
      <c r="G9658" s="10"/>
      <c r="H9658" s="10"/>
      <c r="I9658" s="10"/>
      <c r="J9658" s="10"/>
      <c r="K9658" s="10"/>
      <c r="L9658" s="10"/>
      <c r="M9658" s="10"/>
      <c r="N9658" s="10"/>
      <c r="O9658" s="10"/>
      <c r="P9658" s="10"/>
      <c r="Q9658" s="10"/>
      <c r="R9658" s="10"/>
      <c r="S9658" s="10"/>
      <c r="T9658" s="10"/>
      <c r="U9658" s="10"/>
      <c r="V9658" s="10"/>
      <c r="W9658" s="10"/>
      <c r="X9658" s="10"/>
      <c r="Y9658" s="10"/>
      <c r="Z9658" s="10"/>
    </row>
    <row r="9659" spans="1:26" ht="12.75">
      <c r="A9659" s="10"/>
      <c r="B9659" s="10"/>
      <c r="C9659" s="10"/>
      <c r="D9659" s="10"/>
      <c r="E9659" s="10"/>
      <c r="F9659" s="10"/>
      <c r="G9659" s="10"/>
      <c r="H9659" s="10"/>
      <c r="I9659" s="10"/>
      <c r="J9659" s="10"/>
      <c r="K9659" s="10"/>
      <c r="L9659" s="10"/>
      <c r="M9659" s="10"/>
      <c r="N9659" s="10"/>
      <c r="O9659" s="10"/>
      <c r="P9659" s="10"/>
      <c r="Q9659" s="10"/>
      <c r="R9659" s="10"/>
      <c r="S9659" s="10"/>
      <c r="T9659" s="10"/>
      <c r="U9659" s="10"/>
      <c r="V9659" s="10"/>
      <c r="W9659" s="10"/>
      <c r="X9659" s="10"/>
      <c r="Y9659" s="10"/>
      <c r="Z9659" s="10"/>
    </row>
    <row r="9660" spans="1:26" ht="12.75">
      <c r="A9660" s="10"/>
      <c r="B9660" s="10"/>
      <c r="C9660" s="10"/>
      <c r="D9660" s="10"/>
      <c r="E9660" s="10"/>
      <c r="F9660" s="10"/>
      <c r="G9660" s="10"/>
      <c r="H9660" s="10"/>
      <c r="I9660" s="10"/>
      <c r="J9660" s="10"/>
      <c r="K9660" s="10"/>
      <c r="L9660" s="10"/>
      <c r="M9660" s="10"/>
      <c r="N9660" s="10"/>
      <c r="O9660" s="10"/>
      <c r="P9660" s="10"/>
      <c r="Q9660" s="10"/>
      <c r="R9660" s="10"/>
      <c r="S9660" s="10"/>
      <c r="T9660" s="10"/>
      <c r="U9660" s="10"/>
      <c r="V9660" s="10"/>
      <c r="W9660" s="10"/>
      <c r="X9660" s="10"/>
      <c r="Y9660" s="10"/>
      <c r="Z9660" s="10"/>
    </row>
    <row r="9661" spans="1:26" ht="12.75">
      <c r="A9661" s="10"/>
      <c r="B9661" s="10"/>
      <c r="C9661" s="10"/>
      <c r="D9661" s="10"/>
      <c r="E9661" s="10"/>
      <c r="F9661" s="10"/>
      <c r="G9661" s="10"/>
      <c r="H9661" s="10"/>
      <c r="I9661" s="10"/>
      <c r="J9661" s="10"/>
      <c r="K9661" s="10"/>
      <c r="L9661" s="10"/>
      <c r="M9661" s="10"/>
      <c r="N9661" s="10"/>
      <c r="O9661" s="10"/>
      <c r="P9661" s="10"/>
      <c r="Q9661" s="10"/>
      <c r="R9661" s="10"/>
      <c r="S9661" s="10"/>
      <c r="T9661" s="10"/>
      <c r="U9661" s="10"/>
      <c r="V9661" s="10"/>
      <c r="W9661" s="10"/>
      <c r="X9661" s="10"/>
      <c r="Y9661" s="10"/>
      <c r="Z9661" s="10"/>
    </row>
    <row r="9662" spans="1:26" ht="12.75">
      <c r="A9662" s="10"/>
      <c r="B9662" s="10"/>
      <c r="C9662" s="10"/>
      <c r="D9662" s="10"/>
      <c r="E9662" s="10"/>
      <c r="F9662" s="10"/>
      <c r="G9662" s="10"/>
      <c r="H9662" s="10"/>
      <c r="I9662" s="10"/>
      <c r="J9662" s="10"/>
      <c r="K9662" s="10"/>
      <c r="L9662" s="10"/>
      <c r="M9662" s="10"/>
      <c r="N9662" s="10"/>
      <c r="O9662" s="10"/>
      <c r="P9662" s="10"/>
      <c r="Q9662" s="10"/>
      <c r="R9662" s="10"/>
      <c r="S9662" s="10"/>
      <c r="T9662" s="10"/>
      <c r="U9662" s="10"/>
      <c r="V9662" s="10"/>
      <c r="W9662" s="10"/>
      <c r="X9662" s="10"/>
      <c r="Y9662" s="10"/>
      <c r="Z9662" s="10"/>
    </row>
    <row r="9663" spans="1:26" ht="12.75">
      <c r="A9663" s="10"/>
      <c r="B9663" s="10"/>
      <c r="C9663" s="10"/>
      <c r="D9663" s="10"/>
      <c r="E9663" s="10"/>
      <c r="F9663" s="10"/>
      <c r="G9663" s="10"/>
      <c r="H9663" s="10"/>
      <c r="I9663" s="10"/>
      <c r="J9663" s="10"/>
      <c r="K9663" s="10"/>
      <c r="L9663" s="10"/>
      <c r="M9663" s="10"/>
      <c r="N9663" s="10"/>
      <c r="O9663" s="10"/>
      <c r="P9663" s="10"/>
      <c r="Q9663" s="10"/>
      <c r="R9663" s="10"/>
      <c r="S9663" s="10"/>
      <c r="T9663" s="10"/>
      <c r="U9663" s="10"/>
      <c r="V9663" s="10"/>
      <c r="W9663" s="10"/>
      <c r="X9663" s="10"/>
      <c r="Y9663" s="10"/>
      <c r="Z9663" s="10"/>
    </row>
    <row r="9664" spans="1:26" ht="12.75">
      <c r="A9664" s="10"/>
      <c r="B9664" s="10"/>
      <c r="C9664" s="10"/>
      <c r="D9664" s="10"/>
      <c r="E9664" s="10"/>
      <c r="F9664" s="10"/>
      <c r="G9664" s="10"/>
      <c r="H9664" s="10"/>
      <c r="I9664" s="10"/>
      <c r="J9664" s="10"/>
      <c r="K9664" s="10"/>
      <c r="L9664" s="10"/>
      <c r="M9664" s="10"/>
      <c r="N9664" s="10"/>
      <c r="O9664" s="10"/>
      <c r="P9664" s="10"/>
      <c r="Q9664" s="10"/>
      <c r="R9664" s="10"/>
      <c r="S9664" s="10"/>
      <c r="T9664" s="10"/>
      <c r="U9664" s="10"/>
      <c r="V9664" s="10"/>
      <c r="W9664" s="10"/>
      <c r="X9664" s="10"/>
      <c r="Y9664" s="10"/>
      <c r="Z9664" s="10"/>
    </row>
    <row r="9665" spans="1:26" ht="12.75">
      <c r="A9665" s="10"/>
      <c r="B9665" s="10"/>
      <c r="C9665" s="10"/>
      <c r="D9665" s="10"/>
      <c r="E9665" s="10"/>
      <c r="F9665" s="10"/>
      <c r="G9665" s="10"/>
      <c r="H9665" s="10"/>
      <c r="I9665" s="10"/>
      <c r="J9665" s="10"/>
      <c r="K9665" s="10"/>
      <c r="L9665" s="10"/>
      <c r="M9665" s="10"/>
      <c r="N9665" s="10"/>
      <c r="O9665" s="10"/>
      <c r="P9665" s="10"/>
      <c r="Q9665" s="10"/>
      <c r="R9665" s="10"/>
      <c r="S9665" s="10"/>
      <c r="T9665" s="10"/>
      <c r="U9665" s="10"/>
      <c r="V9665" s="10"/>
      <c r="W9665" s="10"/>
      <c r="X9665" s="10"/>
      <c r="Y9665" s="10"/>
      <c r="Z9665" s="10"/>
    </row>
    <row r="9666" spans="1:26" ht="12.75">
      <c r="A9666" s="10"/>
      <c r="B9666" s="10"/>
      <c r="C9666" s="10"/>
      <c r="D9666" s="10"/>
      <c r="E9666" s="10"/>
      <c r="F9666" s="10"/>
      <c r="G9666" s="10"/>
      <c r="H9666" s="10"/>
      <c r="I9666" s="10"/>
      <c r="J9666" s="10"/>
      <c r="K9666" s="10"/>
      <c r="L9666" s="10"/>
      <c r="M9666" s="10"/>
      <c r="N9666" s="10"/>
      <c r="O9666" s="10"/>
      <c r="P9666" s="10"/>
      <c r="Q9666" s="10"/>
      <c r="R9666" s="10"/>
      <c r="S9666" s="10"/>
      <c r="T9666" s="10"/>
      <c r="U9666" s="10"/>
      <c r="V9666" s="10"/>
      <c r="W9666" s="10"/>
      <c r="X9666" s="10"/>
      <c r="Y9666" s="10"/>
      <c r="Z9666" s="10"/>
    </row>
    <row r="9667" spans="1:26" ht="12.75">
      <c r="A9667" s="10"/>
      <c r="B9667" s="10"/>
      <c r="C9667" s="10"/>
      <c r="D9667" s="10"/>
      <c r="E9667" s="10"/>
      <c r="F9667" s="10"/>
      <c r="G9667" s="10"/>
      <c r="H9667" s="10"/>
      <c r="I9667" s="10"/>
      <c r="J9667" s="10"/>
      <c r="K9667" s="10"/>
      <c r="L9667" s="10"/>
      <c r="M9667" s="10"/>
      <c r="N9667" s="10"/>
      <c r="O9667" s="10"/>
      <c r="P9667" s="10"/>
      <c r="Q9667" s="10"/>
      <c r="R9667" s="10"/>
      <c r="S9667" s="10"/>
      <c r="T9667" s="10"/>
      <c r="U9667" s="10"/>
      <c r="V9667" s="10"/>
      <c r="W9667" s="10"/>
      <c r="X9667" s="10"/>
      <c r="Y9667" s="10"/>
      <c r="Z9667" s="10"/>
    </row>
    <row r="9668" spans="1:26" ht="12.75">
      <c r="A9668" s="10"/>
      <c r="B9668" s="10"/>
      <c r="C9668" s="10"/>
      <c r="D9668" s="10"/>
      <c r="E9668" s="10"/>
      <c r="F9668" s="10"/>
      <c r="G9668" s="10"/>
      <c r="H9668" s="10"/>
      <c r="I9668" s="10"/>
      <c r="J9668" s="10"/>
      <c r="K9668" s="10"/>
      <c r="L9668" s="10"/>
      <c r="M9668" s="10"/>
      <c r="N9668" s="10"/>
      <c r="O9668" s="10"/>
      <c r="P9668" s="10"/>
      <c r="Q9668" s="10"/>
      <c r="R9668" s="10"/>
      <c r="S9668" s="10"/>
      <c r="T9668" s="10"/>
      <c r="U9668" s="10"/>
      <c r="V9668" s="10"/>
      <c r="W9668" s="10"/>
      <c r="X9668" s="10"/>
      <c r="Y9668" s="10"/>
      <c r="Z9668" s="10"/>
    </row>
    <row r="9669" spans="1:26" ht="12.75">
      <c r="A9669" s="10"/>
      <c r="B9669" s="10"/>
      <c r="C9669" s="10"/>
      <c r="D9669" s="10"/>
      <c r="E9669" s="10"/>
      <c r="F9669" s="10"/>
      <c r="G9669" s="10"/>
      <c r="H9669" s="10"/>
      <c r="I9669" s="10"/>
      <c r="J9669" s="10"/>
      <c r="K9669" s="10"/>
      <c r="L9669" s="10"/>
      <c r="M9669" s="10"/>
      <c r="N9669" s="10"/>
      <c r="O9669" s="10"/>
      <c r="P9669" s="10"/>
      <c r="Q9669" s="10"/>
      <c r="R9669" s="10"/>
      <c r="S9669" s="10"/>
      <c r="T9669" s="10"/>
      <c r="U9669" s="10"/>
      <c r="V9669" s="10"/>
      <c r="W9669" s="10"/>
      <c r="X9669" s="10"/>
      <c r="Y9669" s="10"/>
      <c r="Z9669" s="10"/>
    </row>
    <row r="9670" spans="1:26" ht="12.75">
      <c r="A9670" s="10"/>
      <c r="B9670" s="10"/>
      <c r="C9670" s="10"/>
      <c r="D9670" s="10"/>
      <c r="E9670" s="10"/>
      <c r="F9670" s="10"/>
      <c r="G9670" s="10"/>
      <c r="H9670" s="10"/>
      <c r="I9670" s="10"/>
      <c r="J9670" s="10"/>
      <c r="K9670" s="10"/>
      <c r="L9670" s="10"/>
      <c r="M9670" s="10"/>
      <c r="N9670" s="10"/>
      <c r="O9670" s="10"/>
      <c r="P9670" s="10"/>
      <c r="Q9670" s="10"/>
      <c r="R9670" s="10"/>
      <c r="S9670" s="10"/>
      <c r="T9670" s="10"/>
      <c r="U9670" s="10"/>
      <c r="V9670" s="10"/>
      <c r="W9670" s="10"/>
      <c r="X9670" s="10"/>
      <c r="Y9670" s="10"/>
      <c r="Z9670" s="10"/>
    </row>
    <row r="9671" spans="1:26" ht="12.75">
      <c r="A9671" s="10"/>
      <c r="B9671" s="10"/>
      <c r="C9671" s="10"/>
      <c r="D9671" s="10"/>
      <c r="E9671" s="10"/>
      <c r="F9671" s="10"/>
      <c r="G9671" s="10"/>
      <c r="H9671" s="10"/>
      <c r="I9671" s="10"/>
      <c r="J9671" s="10"/>
      <c r="K9671" s="10"/>
      <c r="L9671" s="10"/>
      <c r="M9671" s="10"/>
      <c r="N9671" s="10"/>
      <c r="O9671" s="10"/>
      <c r="P9671" s="10"/>
      <c r="Q9671" s="10"/>
      <c r="R9671" s="10"/>
      <c r="S9671" s="10"/>
      <c r="T9671" s="10"/>
      <c r="U9671" s="10"/>
      <c r="V9671" s="10"/>
      <c r="W9671" s="10"/>
      <c r="X9671" s="10"/>
      <c r="Y9671" s="10"/>
      <c r="Z9671" s="10"/>
    </row>
    <row r="9672" spans="1:26" ht="12.75">
      <c r="A9672" s="10"/>
      <c r="B9672" s="10"/>
      <c r="C9672" s="10"/>
      <c r="D9672" s="10"/>
      <c r="E9672" s="10"/>
      <c r="F9672" s="10"/>
      <c r="G9672" s="10"/>
      <c r="H9672" s="10"/>
      <c r="I9672" s="10"/>
      <c r="J9672" s="10"/>
      <c r="K9672" s="10"/>
      <c r="L9672" s="10"/>
      <c r="M9672" s="10"/>
      <c r="N9672" s="10"/>
      <c r="O9672" s="10"/>
      <c r="P9672" s="10"/>
      <c r="Q9672" s="10"/>
      <c r="R9672" s="10"/>
      <c r="S9672" s="10"/>
      <c r="T9672" s="10"/>
      <c r="U9672" s="10"/>
      <c r="V9672" s="10"/>
      <c r="W9672" s="10"/>
      <c r="X9672" s="10"/>
      <c r="Y9672" s="10"/>
      <c r="Z9672" s="10"/>
    </row>
    <row r="9673" spans="1:26" ht="12.75">
      <c r="A9673" s="10"/>
      <c r="B9673" s="10"/>
      <c r="C9673" s="10"/>
      <c r="D9673" s="10"/>
      <c r="E9673" s="10"/>
      <c r="F9673" s="10"/>
      <c r="G9673" s="10"/>
      <c r="H9673" s="10"/>
      <c r="I9673" s="10"/>
      <c r="J9673" s="10"/>
      <c r="K9673" s="10"/>
      <c r="L9673" s="10"/>
      <c r="M9673" s="10"/>
      <c r="N9673" s="10"/>
      <c r="O9673" s="10"/>
      <c r="P9673" s="10"/>
      <c r="Q9673" s="10"/>
      <c r="R9673" s="10"/>
      <c r="S9673" s="10"/>
      <c r="T9673" s="10"/>
      <c r="U9673" s="10"/>
      <c r="V9673" s="10"/>
      <c r="W9673" s="10"/>
      <c r="X9673" s="10"/>
      <c r="Y9673" s="10"/>
      <c r="Z9673" s="10"/>
    </row>
    <row r="9674" spans="1:26" ht="12.75">
      <c r="A9674" s="10"/>
      <c r="B9674" s="10"/>
      <c r="C9674" s="10"/>
      <c r="D9674" s="10"/>
      <c r="E9674" s="10"/>
      <c r="F9674" s="10"/>
      <c r="G9674" s="10"/>
      <c r="H9674" s="10"/>
      <c r="I9674" s="10"/>
      <c r="J9674" s="10"/>
      <c r="K9674" s="10"/>
      <c r="L9674" s="10"/>
      <c r="M9674" s="10"/>
      <c r="N9674" s="10"/>
      <c r="O9674" s="10"/>
      <c r="P9674" s="10"/>
      <c r="Q9674" s="10"/>
      <c r="R9674" s="10"/>
      <c r="S9674" s="10"/>
      <c r="T9674" s="10"/>
      <c r="U9674" s="10"/>
      <c r="V9674" s="10"/>
      <c r="W9674" s="10"/>
      <c r="X9674" s="10"/>
      <c r="Y9674" s="10"/>
      <c r="Z9674" s="10"/>
    </row>
    <row r="9675" spans="1:26" ht="12.75">
      <c r="A9675" s="10"/>
      <c r="B9675" s="10"/>
      <c r="C9675" s="10"/>
      <c r="D9675" s="10"/>
      <c r="E9675" s="10"/>
      <c r="F9675" s="10"/>
      <c r="G9675" s="10"/>
      <c r="H9675" s="10"/>
      <c r="I9675" s="10"/>
      <c r="J9675" s="10"/>
      <c r="K9675" s="10"/>
      <c r="L9675" s="10"/>
      <c r="M9675" s="10"/>
      <c r="N9675" s="10"/>
      <c r="O9675" s="10"/>
      <c r="P9675" s="10"/>
      <c r="Q9675" s="10"/>
      <c r="R9675" s="10"/>
      <c r="S9675" s="10"/>
      <c r="T9675" s="10"/>
      <c r="U9675" s="10"/>
      <c r="V9675" s="10"/>
      <c r="W9675" s="10"/>
      <c r="X9675" s="10"/>
      <c r="Y9675" s="10"/>
      <c r="Z9675" s="10"/>
    </row>
    <row r="9676" spans="1:26" ht="12.75">
      <c r="A9676" s="10"/>
      <c r="B9676" s="10"/>
      <c r="C9676" s="10"/>
      <c r="D9676" s="10"/>
      <c r="E9676" s="10"/>
      <c r="F9676" s="10"/>
      <c r="G9676" s="10"/>
      <c r="H9676" s="10"/>
      <c r="I9676" s="10"/>
      <c r="J9676" s="10"/>
      <c r="K9676" s="10"/>
      <c r="L9676" s="10"/>
      <c r="M9676" s="10"/>
      <c r="N9676" s="10"/>
      <c r="O9676" s="10"/>
      <c r="P9676" s="10"/>
      <c r="Q9676" s="10"/>
      <c r="R9676" s="10"/>
      <c r="S9676" s="10"/>
      <c r="T9676" s="10"/>
      <c r="U9676" s="10"/>
      <c r="V9676" s="10"/>
      <c r="W9676" s="10"/>
      <c r="X9676" s="10"/>
      <c r="Y9676" s="10"/>
      <c r="Z9676" s="10"/>
    </row>
    <row r="9677" spans="1:26" ht="12.75">
      <c r="A9677" s="10"/>
      <c r="B9677" s="10"/>
      <c r="C9677" s="10"/>
      <c r="D9677" s="10"/>
      <c r="E9677" s="10"/>
      <c r="F9677" s="10"/>
      <c r="G9677" s="10"/>
      <c r="H9677" s="10"/>
      <c r="I9677" s="10"/>
      <c r="J9677" s="10"/>
      <c r="K9677" s="10"/>
      <c r="L9677" s="10"/>
      <c r="M9677" s="10"/>
      <c r="N9677" s="10"/>
      <c r="O9677" s="10"/>
      <c r="P9677" s="10"/>
      <c r="Q9677" s="10"/>
      <c r="R9677" s="10"/>
      <c r="S9677" s="10"/>
      <c r="T9677" s="10"/>
      <c r="U9677" s="10"/>
      <c r="V9677" s="10"/>
      <c r="W9677" s="10"/>
      <c r="X9677" s="10"/>
      <c r="Y9677" s="10"/>
      <c r="Z9677" s="10"/>
    </row>
    <row r="9678" spans="1:26" ht="12.75">
      <c r="A9678" s="10"/>
      <c r="B9678" s="10"/>
      <c r="C9678" s="10"/>
      <c r="D9678" s="10"/>
      <c r="E9678" s="10"/>
      <c r="F9678" s="10"/>
      <c r="G9678" s="10"/>
      <c r="H9678" s="10"/>
      <c r="I9678" s="10"/>
      <c r="J9678" s="10"/>
      <c r="K9678" s="10"/>
      <c r="L9678" s="10"/>
      <c r="M9678" s="10"/>
      <c r="N9678" s="10"/>
      <c r="O9678" s="10"/>
      <c r="P9678" s="10"/>
      <c r="Q9678" s="10"/>
      <c r="R9678" s="10"/>
      <c r="S9678" s="10"/>
      <c r="T9678" s="10"/>
      <c r="U9678" s="10"/>
      <c r="V9678" s="10"/>
      <c r="W9678" s="10"/>
      <c r="X9678" s="10"/>
      <c r="Y9678" s="10"/>
      <c r="Z9678" s="10"/>
    </row>
    <row r="9679" spans="1:26" ht="12.75">
      <c r="A9679" s="10"/>
      <c r="B9679" s="10"/>
      <c r="C9679" s="10"/>
      <c r="D9679" s="10"/>
      <c r="E9679" s="10"/>
      <c r="F9679" s="10"/>
      <c r="G9679" s="10"/>
      <c r="H9679" s="10"/>
      <c r="I9679" s="10"/>
      <c r="J9679" s="10"/>
      <c r="K9679" s="10"/>
      <c r="L9679" s="10"/>
      <c r="M9679" s="10"/>
      <c r="N9679" s="10"/>
      <c r="O9679" s="10"/>
      <c r="P9679" s="10"/>
      <c r="Q9679" s="10"/>
      <c r="R9679" s="10"/>
      <c r="S9679" s="10"/>
      <c r="T9679" s="10"/>
      <c r="U9679" s="10"/>
      <c r="V9679" s="10"/>
      <c r="W9679" s="10"/>
      <c r="X9679" s="10"/>
      <c r="Y9679" s="10"/>
      <c r="Z9679" s="10"/>
    </row>
    <row r="9680" spans="1:26" ht="12.75">
      <c r="A9680" s="10"/>
      <c r="B9680" s="10"/>
      <c r="C9680" s="10"/>
      <c r="D9680" s="10"/>
      <c r="E9680" s="10"/>
      <c r="F9680" s="10"/>
      <c r="G9680" s="10"/>
      <c r="H9680" s="10"/>
      <c r="I9680" s="10"/>
      <c r="J9680" s="10"/>
      <c r="K9680" s="10"/>
      <c r="L9680" s="10"/>
      <c r="M9680" s="10"/>
      <c r="N9680" s="10"/>
      <c r="O9680" s="10"/>
      <c r="P9680" s="10"/>
      <c r="Q9680" s="10"/>
      <c r="R9680" s="10"/>
      <c r="S9680" s="10"/>
      <c r="T9680" s="10"/>
      <c r="U9680" s="10"/>
      <c r="V9680" s="10"/>
      <c r="W9680" s="10"/>
      <c r="X9680" s="10"/>
      <c r="Y9680" s="10"/>
      <c r="Z9680" s="10"/>
    </row>
    <row r="9681" spans="1:26" ht="12.75">
      <c r="A9681" s="10"/>
      <c r="B9681" s="10"/>
      <c r="C9681" s="10"/>
      <c r="D9681" s="10"/>
      <c r="E9681" s="10"/>
      <c r="F9681" s="10"/>
      <c r="G9681" s="10"/>
      <c r="H9681" s="10"/>
      <c r="I9681" s="10"/>
      <c r="J9681" s="10"/>
      <c r="K9681" s="10"/>
      <c r="L9681" s="10"/>
      <c r="M9681" s="10"/>
      <c r="N9681" s="10"/>
      <c r="O9681" s="10"/>
      <c r="P9681" s="10"/>
      <c r="Q9681" s="10"/>
      <c r="R9681" s="10"/>
      <c r="S9681" s="10"/>
      <c r="T9681" s="10"/>
      <c r="U9681" s="10"/>
      <c r="V9681" s="10"/>
      <c r="W9681" s="10"/>
      <c r="X9681" s="10"/>
      <c r="Y9681" s="10"/>
      <c r="Z9681" s="10"/>
    </row>
    <row r="9682" spans="1:26" ht="12.75">
      <c r="A9682" s="10"/>
      <c r="B9682" s="10"/>
      <c r="C9682" s="10"/>
      <c r="D9682" s="10"/>
      <c r="E9682" s="10"/>
      <c r="F9682" s="10"/>
      <c r="G9682" s="10"/>
      <c r="H9682" s="10"/>
      <c r="I9682" s="10"/>
      <c r="J9682" s="10"/>
      <c r="K9682" s="10"/>
      <c r="L9682" s="10"/>
      <c r="M9682" s="10"/>
      <c r="N9682" s="10"/>
      <c r="O9682" s="10"/>
      <c r="P9682" s="10"/>
      <c r="Q9682" s="10"/>
      <c r="R9682" s="10"/>
      <c r="S9682" s="10"/>
      <c r="T9682" s="10"/>
      <c r="U9682" s="10"/>
      <c r="V9682" s="10"/>
      <c r="W9682" s="10"/>
      <c r="X9682" s="10"/>
      <c r="Y9682" s="10"/>
      <c r="Z9682" s="10"/>
    </row>
    <row r="9683" spans="1:26" ht="12.75">
      <c r="A9683" s="10"/>
      <c r="B9683" s="10"/>
      <c r="C9683" s="10"/>
      <c r="D9683" s="10"/>
      <c r="E9683" s="10"/>
      <c r="F9683" s="10"/>
      <c r="G9683" s="10"/>
      <c r="H9683" s="10"/>
      <c r="I9683" s="10"/>
      <c r="J9683" s="10"/>
      <c r="K9683" s="10"/>
      <c r="L9683" s="10"/>
      <c r="M9683" s="10"/>
      <c r="N9683" s="10"/>
      <c r="O9683" s="10"/>
      <c r="P9683" s="10"/>
      <c r="Q9683" s="10"/>
      <c r="R9683" s="10"/>
      <c r="S9683" s="10"/>
      <c r="T9683" s="10"/>
      <c r="U9683" s="10"/>
      <c r="V9683" s="10"/>
      <c r="W9683" s="10"/>
      <c r="X9683" s="10"/>
      <c r="Y9683" s="10"/>
      <c r="Z9683" s="10"/>
    </row>
    <row r="9684" spans="1:26" ht="12.75">
      <c r="A9684" s="10"/>
      <c r="B9684" s="10"/>
      <c r="C9684" s="10"/>
      <c r="D9684" s="10"/>
      <c r="E9684" s="10"/>
      <c r="F9684" s="10"/>
      <c r="G9684" s="10"/>
      <c r="H9684" s="10"/>
      <c r="I9684" s="10"/>
      <c r="J9684" s="10"/>
      <c r="K9684" s="10"/>
      <c r="L9684" s="10"/>
      <c r="M9684" s="10"/>
      <c r="N9684" s="10"/>
      <c r="O9684" s="10"/>
      <c r="P9684" s="10"/>
      <c r="Q9684" s="10"/>
      <c r="R9684" s="10"/>
      <c r="S9684" s="10"/>
      <c r="T9684" s="10"/>
      <c r="U9684" s="10"/>
      <c r="V9684" s="10"/>
      <c r="W9684" s="10"/>
      <c r="X9684" s="10"/>
      <c r="Y9684" s="10"/>
      <c r="Z9684" s="10"/>
    </row>
    <row r="9685" spans="1:26" ht="12.75">
      <c r="A9685" s="10"/>
      <c r="B9685" s="10"/>
      <c r="C9685" s="10"/>
      <c r="D9685" s="10"/>
      <c r="E9685" s="10"/>
      <c r="F9685" s="10"/>
      <c r="G9685" s="10"/>
      <c r="H9685" s="10"/>
      <c r="I9685" s="10"/>
      <c r="J9685" s="10"/>
      <c r="K9685" s="10"/>
      <c r="L9685" s="10"/>
      <c r="M9685" s="10"/>
      <c r="N9685" s="10"/>
      <c r="O9685" s="10"/>
      <c r="P9685" s="10"/>
      <c r="Q9685" s="10"/>
      <c r="R9685" s="10"/>
      <c r="S9685" s="10"/>
      <c r="T9685" s="10"/>
      <c r="U9685" s="10"/>
      <c r="V9685" s="10"/>
      <c r="W9685" s="10"/>
      <c r="X9685" s="10"/>
      <c r="Y9685" s="10"/>
      <c r="Z9685" s="10"/>
    </row>
    <row r="9686" spans="1:26" ht="12.75">
      <c r="A9686" s="10"/>
      <c r="B9686" s="10"/>
      <c r="C9686" s="10"/>
      <c r="D9686" s="10"/>
      <c r="E9686" s="10"/>
      <c r="F9686" s="10"/>
      <c r="G9686" s="10"/>
      <c r="H9686" s="10"/>
      <c r="I9686" s="10"/>
      <c r="J9686" s="10"/>
      <c r="K9686" s="10"/>
      <c r="L9686" s="10"/>
      <c r="M9686" s="10"/>
      <c r="N9686" s="10"/>
      <c r="O9686" s="10"/>
      <c r="P9686" s="10"/>
      <c r="Q9686" s="10"/>
      <c r="R9686" s="10"/>
      <c r="S9686" s="10"/>
      <c r="T9686" s="10"/>
      <c r="U9686" s="10"/>
      <c r="V9686" s="10"/>
      <c r="W9686" s="10"/>
      <c r="X9686" s="10"/>
      <c r="Y9686" s="10"/>
      <c r="Z9686" s="10"/>
    </row>
    <row r="9687" spans="1:26" ht="12.75">
      <c r="A9687" s="10"/>
      <c r="B9687" s="10"/>
      <c r="C9687" s="10"/>
      <c r="D9687" s="10"/>
      <c r="E9687" s="10"/>
      <c r="F9687" s="10"/>
      <c r="G9687" s="10"/>
      <c r="H9687" s="10"/>
      <c r="I9687" s="10"/>
      <c r="J9687" s="10"/>
      <c r="K9687" s="10"/>
      <c r="L9687" s="10"/>
      <c r="M9687" s="10"/>
      <c r="N9687" s="10"/>
      <c r="O9687" s="10"/>
      <c r="P9687" s="10"/>
      <c r="Q9687" s="10"/>
      <c r="R9687" s="10"/>
      <c r="S9687" s="10"/>
      <c r="T9687" s="10"/>
      <c r="U9687" s="10"/>
      <c r="V9687" s="10"/>
      <c r="W9687" s="10"/>
      <c r="X9687" s="10"/>
      <c r="Y9687" s="10"/>
      <c r="Z9687" s="10"/>
    </row>
    <row r="9688" spans="1:26" ht="12.75">
      <c r="A9688" s="10"/>
      <c r="B9688" s="10"/>
      <c r="C9688" s="10"/>
      <c r="D9688" s="10"/>
      <c r="E9688" s="10"/>
      <c r="F9688" s="10"/>
      <c r="G9688" s="10"/>
      <c r="H9688" s="10"/>
      <c r="I9688" s="10"/>
      <c r="J9688" s="10"/>
      <c r="K9688" s="10"/>
      <c r="L9688" s="10"/>
      <c r="M9688" s="10"/>
      <c r="N9688" s="10"/>
      <c r="O9688" s="10"/>
      <c r="P9688" s="10"/>
      <c r="Q9688" s="10"/>
      <c r="R9688" s="10"/>
      <c r="S9688" s="10"/>
      <c r="T9688" s="10"/>
      <c r="U9688" s="10"/>
      <c r="V9688" s="10"/>
      <c r="W9688" s="10"/>
      <c r="X9688" s="10"/>
      <c r="Y9688" s="10"/>
      <c r="Z9688" s="10"/>
    </row>
    <row r="9689" spans="1:26" ht="12.75">
      <c r="A9689" s="10"/>
      <c r="B9689" s="10"/>
      <c r="C9689" s="10"/>
      <c r="D9689" s="10"/>
      <c r="E9689" s="10"/>
      <c r="F9689" s="10"/>
      <c r="G9689" s="10"/>
      <c r="H9689" s="10"/>
      <c r="I9689" s="10"/>
      <c r="J9689" s="10"/>
      <c r="K9689" s="10"/>
      <c r="L9689" s="10"/>
      <c r="M9689" s="10"/>
      <c r="N9689" s="10"/>
      <c r="O9689" s="10"/>
      <c r="P9689" s="10"/>
      <c r="Q9689" s="10"/>
      <c r="R9689" s="10"/>
      <c r="S9689" s="10"/>
      <c r="T9689" s="10"/>
      <c r="U9689" s="10"/>
      <c r="V9689" s="10"/>
      <c r="W9689" s="10"/>
      <c r="X9689" s="10"/>
      <c r="Y9689" s="10"/>
      <c r="Z9689" s="10"/>
    </row>
    <row r="9690" spans="1:26" ht="12.75">
      <c r="A9690" s="10"/>
      <c r="B9690" s="10"/>
      <c r="C9690" s="10"/>
      <c r="D9690" s="10"/>
      <c r="E9690" s="10"/>
      <c r="F9690" s="10"/>
      <c r="G9690" s="10"/>
      <c r="H9690" s="10"/>
      <c r="I9690" s="10"/>
      <c r="J9690" s="10"/>
      <c r="K9690" s="10"/>
      <c r="L9690" s="10"/>
      <c r="M9690" s="10"/>
      <c r="N9690" s="10"/>
      <c r="O9690" s="10"/>
      <c r="P9690" s="10"/>
      <c r="Q9690" s="10"/>
      <c r="R9690" s="10"/>
      <c r="S9690" s="10"/>
      <c r="T9690" s="10"/>
      <c r="U9690" s="10"/>
      <c r="V9690" s="10"/>
      <c r="W9690" s="10"/>
      <c r="X9690" s="10"/>
      <c r="Y9690" s="10"/>
      <c r="Z9690" s="10"/>
    </row>
    <row r="9691" spans="1:26" ht="12.75">
      <c r="A9691" s="10"/>
      <c r="B9691" s="10"/>
      <c r="C9691" s="10"/>
      <c r="D9691" s="10"/>
      <c r="E9691" s="10"/>
      <c r="F9691" s="10"/>
      <c r="G9691" s="10"/>
      <c r="H9691" s="10"/>
      <c r="I9691" s="10"/>
      <c r="J9691" s="10"/>
      <c r="K9691" s="10"/>
      <c r="L9691" s="10"/>
      <c r="M9691" s="10"/>
      <c r="N9691" s="10"/>
      <c r="O9691" s="10"/>
      <c r="P9691" s="10"/>
      <c r="Q9691" s="10"/>
      <c r="R9691" s="10"/>
      <c r="S9691" s="10"/>
      <c r="T9691" s="10"/>
      <c r="U9691" s="10"/>
      <c r="V9691" s="10"/>
      <c r="W9691" s="10"/>
      <c r="X9691" s="10"/>
      <c r="Y9691" s="10"/>
      <c r="Z9691" s="10"/>
    </row>
    <row r="9692" spans="1:26" ht="12.75">
      <c r="A9692" s="10"/>
      <c r="B9692" s="10"/>
      <c r="C9692" s="10"/>
      <c r="D9692" s="10"/>
      <c r="E9692" s="10"/>
      <c r="F9692" s="10"/>
      <c r="G9692" s="10"/>
      <c r="H9692" s="10"/>
      <c r="I9692" s="10"/>
      <c r="J9692" s="10"/>
      <c r="K9692" s="10"/>
      <c r="L9692" s="10"/>
      <c r="M9692" s="10"/>
      <c r="N9692" s="10"/>
      <c r="O9692" s="10"/>
      <c r="P9692" s="10"/>
      <c r="Q9692" s="10"/>
      <c r="R9692" s="10"/>
      <c r="S9692" s="10"/>
      <c r="T9692" s="10"/>
      <c r="U9692" s="10"/>
      <c r="V9692" s="10"/>
      <c r="W9692" s="10"/>
      <c r="X9692" s="10"/>
      <c r="Y9692" s="10"/>
      <c r="Z9692" s="10"/>
    </row>
    <row r="9693" spans="1:26" ht="12.75">
      <c r="A9693" s="10"/>
      <c r="B9693" s="10"/>
      <c r="C9693" s="10"/>
      <c r="D9693" s="10"/>
      <c r="E9693" s="10"/>
      <c r="F9693" s="10"/>
      <c r="G9693" s="10"/>
      <c r="H9693" s="10"/>
      <c r="I9693" s="10"/>
      <c r="J9693" s="10"/>
      <c r="K9693" s="10"/>
      <c r="L9693" s="10"/>
      <c r="M9693" s="10"/>
      <c r="N9693" s="10"/>
      <c r="O9693" s="10"/>
      <c r="P9693" s="10"/>
      <c r="Q9693" s="10"/>
      <c r="R9693" s="10"/>
      <c r="S9693" s="10"/>
      <c r="T9693" s="10"/>
      <c r="U9693" s="10"/>
      <c r="V9693" s="10"/>
      <c r="W9693" s="10"/>
      <c r="X9693" s="10"/>
      <c r="Y9693" s="10"/>
      <c r="Z9693" s="10"/>
    </row>
    <row r="9694" spans="1:26" ht="12.75">
      <c r="A9694" s="10"/>
      <c r="B9694" s="10"/>
      <c r="C9694" s="10"/>
      <c r="D9694" s="10"/>
      <c r="E9694" s="10"/>
      <c r="F9694" s="10"/>
      <c r="G9694" s="10"/>
      <c r="H9694" s="10"/>
      <c r="I9694" s="10"/>
      <c r="J9694" s="10"/>
      <c r="K9694" s="10"/>
      <c r="L9694" s="10"/>
      <c r="M9694" s="10"/>
      <c r="N9694" s="10"/>
      <c r="O9694" s="10"/>
      <c r="P9694" s="10"/>
      <c r="Q9694" s="10"/>
      <c r="R9694" s="10"/>
      <c r="S9694" s="10"/>
      <c r="T9694" s="10"/>
      <c r="U9694" s="10"/>
      <c r="V9694" s="10"/>
      <c r="W9694" s="10"/>
      <c r="X9694" s="10"/>
      <c r="Y9694" s="10"/>
      <c r="Z9694" s="10"/>
    </row>
    <row r="9695" spans="1:26" ht="12.75">
      <c r="A9695" s="10"/>
      <c r="B9695" s="10"/>
      <c r="C9695" s="10"/>
      <c r="D9695" s="10"/>
      <c r="E9695" s="10"/>
      <c r="F9695" s="10"/>
      <c r="G9695" s="10"/>
      <c r="H9695" s="10"/>
      <c r="I9695" s="10"/>
      <c r="J9695" s="10"/>
      <c r="K9695" s="10"/>
      <c r="L9695" s="10"/>
      <c r="M9695" s="10"/>
      <c r="N9695" s="10"/>
      <c r="O9695" s="10"/>
      <c r="P9695" s="10"/>
      <c r="Q9695" s="10"/>
      <c r="R9695" s="10"/>
      <c r="S9695" s="10"/>
      <c r="T9695" s="10"/>
      <c r="U9695" s="10"/>
      <c r="V9695" s="10"/>
      <c r="W9695" s="10"/>
      <c r="X9695" s="10"/>
      <c r="Y9695" s="10"/>
      <c r="Z9695" s="10"/>
    </row>
    <row r="9696" spans="1:26" ht="12.75">
      <c r="A9696" s="10"/>
      <c r="B9696" s="10"/>
      <c r="C9696" s="10"/>
      <c r="D9696" s="10"/>
      <c r="E9696" s="10"/>
      <c r="F9696" s="10"/>
      <c r="G9696" s="10"/>
      <c r="H9696" s="10"/>
      <c r="I9696" s="10"/>
      <c r="J9696" s="10"/>
      <c r="K9696" s="10"/>
      <c r="L9696" s="10"/>
      <c r="M9696" s="10"/>
      <c r="N9696" s="10"/>
      <c r="O9696" s="10"/>
      <c r="P9696" s="10"/>
      <c r="Q9696" s="10"/>
      <c r="R9696" s="10"/>
      <c r="S9696" s="10"/>
      <c r="T9696" s="10"/>
      <c r="U9696" s="10"/>
      <c r="V9696" s="10"/>
      <c r="W9696" s="10"/>
      <c r="X9696" s="10"/>
      <c r="Y9696" s="10"/>
      <c r="Z9696" s="10"/>
    </row>
    <row r="9697" spans="1:26" ht="12.75">
      <c r="A9697" s="10"/>
      <c r="B9697" s="10"/>
      <c r="C9697" s="10"/>
      <c r="D9697" s="10"/>
      <c r="E9697" s="10"/>
      <c r="F9697" s="10"/>
      <c r="G9697" s="10"/>
      <c r="H9697" s="10"/>
      <c r="I9697" s="10"/>
      <c r="J9697" s="10"/>
      <c r="K9697" s="10"/>
      <c r="L9697" s="10"/>
      <c r="M9697" s="10"/>
      <c r="N9697" s="10"/>
      <c r="O9697" s="10"/>
      <c r="P9697" s="10"/>
      <c r="Q9697" s="10"/>
      <c r="R9697" s="10"/>
      <c r="S9697" s="10"/>
      <c r="T9697" s="10"/>
      <c r="U9697" s="10"/>
      <c r="V9697" s="10"/>
      <c r="W9697" s="10"/>
      <c r="X9697" s="10"/>
      <c r="Y9697" s="10"/>
      <c r="Z9697" s="10"/>
    </row>
    <row r="9698" spans="1:26" ht="12.75">
      <c r="A9698" s="10"/>
      <c r="B9698" s="10"/>
      <c r="C9698" s="10"/>
      <c r="D9698" s="10"/>
      <c r="E9698" s="10"/>
      <c r="F9698" s="10"/>
      <c r="G9698" s="10"/>
      <c r="H9698" s="10"/>
      <c r="I9698" s="10"/>
      <c r="J9698" s="10"/>
      <c r="K9698" s="10"/>
      <c r="L9698" s="10"/>
      <c r="M9698" s="10"/>
      <c r="N9698" s="10"/>
      <c r="O9698" s="10"/>
      <c r="P9698" s="10"/>
      <c r="Q9698" s="10"/>
      <c r="R9698" s="10"/>
      <c r="S9698" s="10"/>
      <c r="T9698" s="10"/>
      <c r="U9698" s="10"/>
      <c r="V9698" s="10"/>
      <c r="W9698" s="10"/>
      <c r="X9698" s="10"/>
      <c r="Y9698" s="10"/>
      <c r="Z9698" s="10"/>
    </row>
    <row r="9699" spans="1:26" ht="12.75">
      <c r="A9699" s="10"/>
      <c r="B9699" s="10"/>
      <c r="C9699" s="10"/>
      <c r="D9699" s="10"/>
      <c r="E9699" s="10"/>
      <c r="F9699" s="10"/>
      <c r="G9699" s="10"/>
      <c r="H9699" s="10"/>
      <c r="I9699" s="10"/>
      <c r="J9699" s="10"/>
      <c r="K9699" s="10"/>
      <c r="L9699" s="10"/>
      <c r="M9699" s="10"/>
      <c r="N9699" s="10"/>
      <c r="O9699" s="10"/>
      <c r="P9699" s="10"/>
      <c r="Q9699" s="10"/>
      <c r="R9699" s="10"/>
      <c r="S9699" s="10"/>
      <c r="T9699" s="10"/>
      <c r="U9699" s="10"/>
      <c r="V9699" s="10"/>
      <c r="W9699" s="10"/>
      <c r="X9699" s="10"/>
      <c r="Y9699" s="10"/>
      <c r="Z9699" s="10"/>
    </row>
    <row r="9700" spans="1:26" ht="12.75">
      <c r="A9700" s="10"/>
      <c r="B9700" s="10"/>
      <c r="C9700" s="10"/>
      <c r="D9700" s="10"/>
      <c r="E9700" s="10"/>
      <c r="F9700" s="10"/>
      <c r="G9700" s="10"/>
      <c r="H9700" s="10"/>
      <c r="I9700" s="10"/>
      <c r="J9700" s="10"/>
      <c r="K9700" s="10"/>
      <c r="L9700" s="10"/>
      <c r="M9700" s="10"/>
      <c r="N9700" s="10"/>
      <c r="O9700" s="10"/>
      <c r="P9700" s="10"/>
      <c r="Q9700" s="10"/>
      <c r="R9700" s="10"/>
      <c r="S9700" s="10"/>
      <c r="T9700" s="10"/>
      <c r="U9700" s="10"/>
      <c r="V9700" s="10"/>
      <c r="W9700" s="10"/>
      <c r="X9700" s="10"/>
      <c r="Y9700" s="10"/>
      <c r="Z9700" s="10"/>
    </row>
    <row r="9701" spans="1:26" ht="12.75">
      <c r="A9701" s="10"/>
      <c r="B9701" s="10"/>
      <c r="C9701" s="10"/>
      <c r="D9701" s="10"/>
      <c r="E9701" s="10"/>
      <c r="F9701" s="10"/>
      <c r="G9701" s="10"/>
      <c r="H9701" s="10"/>
      <c r="I9701" s="10"/>
      <c r="J9701" s="10"/>
      <c r="K9701" s="10"/>
      <c r="L9701" s="10"/>
      <c r="M9701" s="10"/>
      <c r="N9701" s="10"/>
      <c r="O9701" s="10"/>
      <c r="P9701" s="10"/>
      <c r="Q9701" s="10"/>
      <c r="R9701" s="10"/>
      <c r="S9701" s="10"/>
      <c r="T9701" s="10"/>
      <c r="U9701" s="10"/>
      <c r="V9701" s="10"/>
      <c r="W9701" s="10"/>
      <c r="X9701" s="10"/>
      <c r="Y9701" s="10"/>
      <c r="Z9701" s="10"/>
    </row>
    <row r="9702" spans="1:26" ht="12.75">
      <c r="A9702" s="10"/>
      <c r="B9702" s="10"/>
      <c r="C9702" s="10"/>
      <c r="D9702" s="10"/>
      <c r="E9702" s="10"/>
      <c r="F9702" s="10"/>
      <c r="G9702" s="10"/>
      <c r="H9702" s="10"/>
      <c r="I9702" s="10"/>
      <c r="J9702" s="10"/>
      <c r="K9702" s="10"/>
      <c r="L9702" s="10"/>
      <c r="M9702" s="10"/>
      <c r="N9702" s="10"/>
      <c r="O9702" s="10"/>
      <c r="P9702" s="10"/>
      <c r="Q9702" s="10"/>
      <c r="R9702" s="10"/>
      <c r="S9702" s="10"/>
      <c r="T9702" s="10"/>
      <c r="U9702" s="10"/>
      <c r="V9702" s="10"/>
      <c r="W9702" s="10"/>
      <c r="X9702" s="10"/>
      <c r="Y9702" s="10"/>
      <c r="Z9702" s="10"/>
    </row>
    <row r="9703" spans="1:26" ht="12.75">
      <c r="A9703" s="10"/>
      <c r="B9703" s="10"/>
      <c r="C9703" s="10"/>
      <c r="D9703" s="10"/>
      <c r="E9703" s="10"/>
      <c r="F9703" s="10"/>
      <c r="G9703" s="10"/>
      <c r="H9703" s="10"/>
      <c r="I9703" s="10"/>
      <c r="J9703" s="10"/>
      <c r="K9703" s="10"/>
      <c r="L9703" s="10"/>
      <c r="M9703" s="10"/>
      <c r="N9703" s="10"/>
      <c r="O9703" s="10"/>
      <c r="P9703" s="10"/>
      <c r="Q9703" s="10"/>
      <c r="R9703" s="10"/>
      <c r="S9703" s="10"/>
      <c r="T9703" s="10"/>
      <c r="U9703" s="10"/>
      <c r="V9703" s="10"/>
      <c r="W9703" s="10"/>
      <c r="X9703" s="10"/>
      <c r="Y9703" s="10"/>
      <c r="Z9703" s="10"/>
    </row>
    <row r="9704" spans="1:26" ht="12.75">
      <c r="A9704" s="10"/>
      <c r="B9704" s="10"/>
      <c r="C9704" s="10"/>
      <c r="D9704" s="10"/>
      <c r="E9704" s="10"/>
      <c r="F9704" s="10"/>
      <c r="G9704" s="10"/>
      <c r="H9704" s="10"/>
      <c r="I9704" s="10"/>
      <c r="J9704" s="10"/>
      <c r="K9704" s="10"/>
      <c r="L9704" s="10"/>
      <c r="M9704" s="10"/>
      <c r="N9704" s="10"/>
      <c r="O9704" s="10"/>
      <c r="P9704" s="10"/>
      <c r="Q9704" s="10"/>
      <c r="R9704" s="10"/>
      <c r="S9704" s="10"/>
      <c r="T9704" s="10"/>
      <c r="U9704" s="10"/>
      <c r="V9704" s="10"/>
      <c r="W9704" s="10"/>
      <c r="X9704" s="10"/>
      <c r="Y9704" s="10"/>
      <c r="Z9704" s="10"/>
    </row>
    <row r="9705" spans="1:26" ht="12.75">
      <c r="A9705" s="10"/>
      <c r="B9705" s="10"/>
      <c r="C9705" s="10"/>
      <c r="D9705" s="10"/>
      <c r="E9705" s="10"/>
      <c r="F9705" s="10"/>
      <c r="G9705" s="10"/>
      <c r="H9705" s="10"/>
      <c r="I9705" s="10"/>
      <c r="J9705" s="10"/>
      <c r="K9705" s="10"/>
      <c r="L9705" s="10"/>
      <c r="M9705" s="10"/>
      <c r="N9705" s="10"/>
      <c r="O9705" s="10"/>
      <c r="P9705" s="10"/>
      <c r="Q9705" s="10"/>
      <c r="R9705" s="10"/>
      <c r="S9705" s="10"/>
      <c r="T9705" s="10"/>
      <c r="U9705" s="10"/>
      <c r="V9705" s="10"/>
      <c r="W9705" s="10"/>
      <c r="X9705" s="10"/>
      <c r="Y9705" s="10"/>
      <c r="Z9705" s="10"/>
    </row>
    <row r="9706" spans="1:26" ht="12.75">
      <c r="A9706" s="10"/>
      <c r="B9706" s="10"/>
      <c r="C9706" s="10"/>
      <c r="D9706" s="10"/>
      <c r="E9706" s="10"/>
      <c r="F9706" s="10"/>
      <c r="G9706" s="10"/>
      <c r="H9706" s="10"/>
      <c r="I9706" s="10"/>
      <c r="J9706" s="10"/>
      <c r="K9706" s="10"/>
      <c r="L9706" s="10"/>
      <c r="M9706" s="10"/>
      <c r="N9706" s="10"/>
      <c r="O9706" s="10"/>
      <c r="P9706" s="10"/>
      <c r="Q9706" s="10"/>
      <c r="R9706" s="10"/>
      <c r="S9706" s="10"/>
      <c r="T9706" s="10"/>
      <c r="U9706" s="10"/>
      <c r="V9706" s="10"/>
      <c r="W9706" s="10"/>
      <c r="X9706" s="10"/>
      <c r="Y9706" s="10"/>
      <c r="Z9706" s="10"/>
    </row>
    <row r="9707" spans="1:26" ht="12.75">
      <c r="A9707" s="10"/>
      <c r="B9707" s="10"/>
      <c r="C9707" s="10"/>
      <c r="D9707" s="10"/>
      <c r="E9707" s="10"/>
      <c r="F9707" s="10"/>
      <c r="G9707" s="10"/>
      <c r="H9707" s="10"/>
      <c r="I9707" s="10"/>
      <c r="J9707" s="10"/>
      <c r="K9707" s="10"/>
      <c r="L9707" s="10"/>
      <c r="M9707" s="10"/>
      <c r="N9707" s="10"/>
      <c r="O9707" s="10"/>
      <c r="P9707" s="10"/>
      <c r="Q9707" s="10"/>
      <c r="R9707" s="10"/>
      <c r="S9707" s="10"/>
      <c r="T9707" s="10"/>
      <c r="U9707" s="10"/>
      <c r="V9707" s="10"/>
      <c r="W9707" s="10"/>
      <c r="X9707" s="10"/>
      <c r="Y9707" s="10"/>
      <c r="Z9707" s="10"/>
    </row>
    <row r="9708" spans="1:26" ht="12.75">
      <c r="A9708" s="10"/>
      <c r="B9708" s="10"/>
      <c r="C9708" s="10"/>
      <c r="D9708" s="10"/>
      <c r="E9708" s="10"/>
      <c r="F9708" s="10"/>
      <c r="G9708" s="10"/>
      <c r="H9708" s="10"/>
      <c r="I9708" s="10"/>
      <c r="J9708" s="10"/>
      <c r="K9708" s="10"/>
      <c r="L9708" s="10"/>
      <c r="M9708" s="10"/>
      <c r="N9708" s="10"/>
      <c r="O9708" s="10"/>
      <c r="P9708" s="10"/>
      <c r="Q9708" s="10"/>
      <c r="R9708" s="10"/>
      <c r="S9708" s="10"/>
      <c r="T9708" s="10"/>
      <c r="U9708" s="10"/>
      <c r="V9708" s="10"/>
      <c r="W9708" s="10"/>
      <c r="X9708" s="10"/>
      <c r="Y9708" s="10"/>
      <c r="Z9708" s="10"/>
    </row>
    <row r="9709" spans="1:26" ht="12.75">
      <c r="A9709" s="10"/>
      <c r="B9709" s="10"/>
      <c r="C9709" s="10"/>
      <c r="D9709" s="10"/>
      <c r="E9709" s="10"/>
      <c r="F9709" s="10"/>
      <c r="G9709" s="10"/>
      <c r="H9709" s="10"/>
      <c r="I9709" s="10"/>
      <c r="J9709" s="10"/>
      <c r="K9709" s="10"/>
      <c r="L9709" s="10"/>
      <c r="M9709" s="10"/>
      <c r="N9709" s="10"/>
      <c r="O9709" s="10"/>
      <c r="P9709" s="10"/>
      <c r="Q9709" s="10"/>
      <c r="R9709" s="10"/>
      <c r="S9709" s="10"/>
      <c r="T9709" s="10"/>
      <c r="U9709" s="10"/>
      <c r="V9709" s="10"/>
      <c r="W9709" s="10"/>
      <c r="X9709" s="10"/>
      <c r="Y9709" s="10"/>
      <c r="Z9709" s="10"/>
    </row>
    <row r="9710" spans="1:26" ht="12.75">
      <c r="A9710" s="10"/>
      <c r="B9710" s="10"/>
      <c r="C9710" s="10"/>
      <c r="D9710" s="10"/>
      <c r="E9710" s="10"/>
      <c r="F9710" s="10"/>
      <c r="G9710" s="10"/>
      <c r="H9710" s="10"/>
      <c r="I9710" s="10"/>
      <c r="J9710" s="10"/>
      <c r="K9710" s="10"/>
      <c r="L9710" s="10"/>
      <c r="M9710" s="10"/>
      <c r="N9710" s="10"/>
      <c r="O9710" s="10"/>
      <c r="P9710" s="10"/>
      <c r="Q9710" s="10"/>
      <c r="R9710" s="10"/>
      <c r="S9710" s="10"/>
      <c r="T9710" s="10"/>
      <c r="U9710" s="10"/>
      <c r="V9710" s="10"/>
      <c r="W9710" s="10"/>
      <c r="X9710" s="10"/>
      <c r="Y9710" s="10"/>
      <c r="Z9710" s="10"/>
    </row>
    <row r="9711" spans="1:26" ht="12.75">
      <c r="A9711" s="10"/>
      <c r="B9711" s="10"/>
      <c r="C9711" s="10"/>
      <c r="D9711" s="10"/>
      <c r="E9711" s="10"/>
      <c r="F9711" s="10"/>
      <c r="G9711" s="10"/>
      <c r="H9711" s="10"/>
      <c r="I9711" s="10"/>
      <c r="J9711" s="10"/>
      <c r="K9711" s="10"/>
      <c r="L9711" s="10"/>
      <c r="M9711" s="10"/>
      <c r="N9711" s="10"/>
      <c r="O9711" s="10"/>
      <c r="P9711" s="10"/>
      <c r="Q9711" s="10"/>
      <c r="R9711" s="10"/>
      <c r="S9711" s="10"/>
      <c r="T9711" s="10"/>
      <c r="U9711" s="10"/>
      <c r="V9711" s="10"/>
      <c r="W9711" s="10"/>
      <c r="X9711" s="10"/>
      <c r="Y9711" s="10"/>
      <c r="Z9711" s="10"/>
    </row>
    <row r="9712" spans="1:26" ht="12.75">
      <c r="A9712" s="10"/>
      <c r="B9712" s="10"/>
      <c r="C9712" s="10"/>
      <c r="D9712" s="10"/>
      <c r="E9712" s="10"/>
      <c r="F9712" s="10"/>
      <c r="G9712" s="10"/>
      <c r="H9712" s="10"/>
      <c r="I9712" s="10"/>
      <c r="J9712" s="10"/>
      <c r="K9712" s="10"/>
      <c r="L9712" s="10"/>
      <c r="M9712" s="10"/>
      <c r="N9712" s="10"/>
      <c r="O9712" s="10"/>
      <c r="P9712" s="10"/>
      <c r="Q9712" s="10"/>
      <c r="R9712" s="10"/>
      <c r="S9712" s="10"/>
      <c r="T9712" s="10"/>
      <c r="U9712" s="10"/>
      <c r="V9712" s="10"/>
      <c r="W9712" s="10"/>
      <c r="X9712" s="10"/>
      <c r="Y9712" s="10"/>
      <c r="Z9712" s="10"/>
    </row>
    <row r="9713" spans="1:26" ht="12.75">
      <c r="A9713" s="10"/>
      <c r="B9713" s="10"/>
      <c r="C9713" s="10"/>
      <c r="D9713" s="10"/>
      <c r="E9713" s="10"/>
      <c r="F9713" s="10"/>
      <c r="G9713" s="10"/>
      <c r="H9713" s="10"/>
      <c r="I9713" s="10"/>
      <c r="J9713" s="10"/>
      <c r="K9713" s="10"/>
      <c r="L9713" s="10"/>
      <c r="M9713" s="10"/>
      <c r="N9713" s="10"/>
      <c r="O9713" s="10"/>
      <c r="P9713" s="10"/>
      <c r="Q9713" s="10"/>
      <c r="R9713" s="10"/>
      <c r="S9713" s="10"/>
      <c r="T9713" s="10"/>
      <c r="U9713" s="10"/>
      <c r="V9713" s="10"/>
      <c r="W9713" s="10"/>
      <c r="X9713" s="10"/>
      <c r="Y9713" s="10"/>
      <c r="Z9713" s="10"/>
    </row>
    <row r="9714" spans="1:26" ht="12.75">
      <c r="A9714" s="10"/>
      <c r="B9714" s="10"/>
      <c r="C9714" s="10"/>
      <c r="D9714" s="10"/>
      <c r="E9714" s="10"/>
      <c r="F9714" s="10"/>
      <c r="G9714" s="10"/>
      <c r="H9714" s="10"/>
      <c r="I9714" s="10"/>
      <c r="J9714" s="10"/>
      <c r="K9714" s="10"/>
      <c r="L9714" s="10"/>
      <c r="M9714" s="10"/>
      <c r="N9714" s="10"/>
      <c r="O9714" s="10"/>
      <c r="P9714" s="10"/>
      <c r="Q9714" s="10"/>
      <c r="R9714" s="10"/>
      <c r="S9714" s="10"/>
      <c r="T9714" s="10"/>
      <c r="U9714" s="10"/>
      <c r="V9714" s="10"/>
      <c r="W9714" s="10"/>
      <c r="X9714" s="10"/>
      <c r="Y9714" s="10"/>
      <c r="Z9714" s="10"/>
    </row>
    <row r="9715" spans="1:26" ht="12.75">
      <c r="A9715" s="10"/>
      <c r="B9715" s="10"/>
      <c r="C9715" s="10"/>
      <c r="D9715" s="10"/>
      <c r="E9715" s="10"/>
      <c r="F9715" s="10"/>
      <c r="G9715" s="10"/>
      <c r="H9715" s="10"/>
      <c r="I9715" s="10"/>
      <c r="J9715" s="10"/>
      <c r="K9715" s="10"/>
      <c r="L9715" s="10"/>
      <c r="M9715" s="10"/>
      <c r="N9715" s="10"/>
      <c r="O9715" s="10"/>
      <c r="P9715" s="10"/>
      <c r="Q9715" s="10"/>
      <c r="R9715" s="10"/>
      <c r="S9715" s="10"/>
      <c r="T9715" s="10"/>
      <c r="U9715" s="10"/>
      <c r="V9715" s="10"/>
      <c r="W9715" s="10"/>
      <c r="X9715" s="10"/>
      <c r="Y9715" s="10"/>
      <c r="Z9715" s="10"/>
    </row>
    <row r="9716" spans="1:26" ht="12.75">
      <c r="A9716" s="10"/>
      <c r="B9716" s="10"/>
      <c r="C9716" s="10"/>
      <c r="D9716" s="10"/>
      <c r="E9716" s="10"/>
      <c r="F9716" s="10"/>
      <c r="G9716" s="10"/>
      <c r="H9716" s="10"/>
      <c r="I9716" s="10"/>
      <c r="J9716" s="10"/>
      <c r="K9716" s="10"/>
      <c r="L9716" s="10"/>
      <c r="M9716" s="10"/>
      <c r="N9716" s="10"/>
      <c r="O9716" s="10"/>
      <c r="P9716" s="10"/>
      <c r="Q9716" s="10"/>
      <c r="R9716" s="10"/>
      <c r="S9716" s="10"/>
      <c r="T9716" s="10"/>
      <c r="U9716" s="10"/>
      <c r="V9716" s="10"/>
      <c r="W9716" s="10"/>
      <c r="X9716" s="10"/>
      <c r="Y9716" s="10"/>
      <c r="Z9716" s="10"/>
    </row>
    <row r="9717" spans="1:26" ht="12.75">
      <c r="A9717" s="10"/>
      <c r="B9717" s="10"/>
      <c r="C9717" s="10"/>
      <c r="D9717" s="10"/>
      <c r="E9717" s="10"/>
      <c r="F9717" s="10"/>
      <c r="G9717" s="10"/>
      <c r="H9717" s="10"/>
      <c r="I9717" s="10"/>
      <c r="J9717" s="10"/>
      <c r="K9717" s="10"/>
      <c r="L9717" s="10"/>
      <c r="M9717" s="10"/>
      <c r="N9717" s="10"/>
      <c r="O9717" s="10"/>
      <c r="P9717" s="10"/>
      <c r="Q9717" s="10"/>
      <c r="R9717" s="10"/>
      <c r="S9717" s="10"/>
      <c r="T9717" s="10"/>
      <c r="U9717" s="10"/>
      <c r="V9717" s="10"/>
      <c r="W9717" s="10"/>
      <c r="X9717" s="10"/>
      <c r="Y9717" s="10"/>
      <c r="Z9717" s="10"/>
    </row>
    <row r="9718" spans="1:26" ht="12.75">
      <c r="A9718" s="10"/>
      <c r="B9718" s="10"/>
      <c r="C9718" s="10"/>
      <c r="D9718" s="10"/>
      <c r="E9718" s="10"/>
      <c r="F9718" s="10"/>
      <c r="G9718" s="10"/>
      <c r="H9718" s="10"/>
      <c r="I9718" s="10"/>
      <c r="J9718" s="10"/>
      <c r="K9718" s="10"/>
      <c r="L9718" s="10"/>
      <c r="M9718" s="10"/>
      <c r="N9718" s="10"/>
      <c r="O9718" s="10"/>
      <c r="P9718" s="10"/>
      <c r="Q9718" s="10"/>
      <c r="R9718" s="10"/>
      <c r="S9718" s="10"/>
      <c r="T9718" s="10"/>
      <c r="U9718" s="10"/>
      <c r="V9718" s="10"/>
      <c r="W9718" s="10"/>
      <c r="X9718" s="10"/>
      <c r="Y9718" s="10"/>
      <c r="Z9718" s="10"/>
    </row>
    <row r="9719" spans="1:26" ht="12.75">
      <c r="A9719" s="10"/>
      <c r="B9719" s="10"/>
      <c r="C9719" s="10"/>
      <c r="D9719" s="10"/>
      <c r="E9719" s="10"/>
      <c r="F9719" s="10"/>
      <c r="G9719" s="10"/>
      <c r="H9719" s="10"/>
      <c r="I9719" s="10"/>
      <c r="J9719" s="10"/>
      <c r="K9719" s="10"/>
      <c r="L9719" s="10"/>
      <c r="M9719" s="10"/>
      <c r="N9719" s="10"/>
      <c r="O9719" s="10"/>
      <c r="P9719" s="10"/>
      <c r="Q9719" s="10"/>
      <c r="R9719" s="10"/>
      <c r="S9719" s="10"/>
      <c r="T9719" s="10"/>
      <c r="U9719" s="10"/>
      <c r="V9719" s="10"/>
      <c r="W9719" s="10"/>
      <c r="X9719" s="10"/>
      <c r="Y9719" s="10"/>
      <c r="Z9719" s="10"/>
    </row>
    <row r="9720" spans="1:26" ht="12.75">
      <c r="A9720" s="10"/>
      <c r="B9720" s="10"/>
      <c r="C9720" s="10"/>
      <c r="D9720" s="10"/>
      <c r="E9720" s="10"/>
      <c r="F9720" s="10"/>
      <c r="G9720" s="10"/>
      <c r="H9720" s="10"/>
      <c r="I9720" s="10"/>
      <c r="J9720" s="10"/>
      <c r="K9720" s="10"/>
      <c r="L9720" s="10"/>
      <c r="M9720" s="10"/>
      <c r="N9720" s="10"/>
      <c r="O9720" s="10"/>
      <c r="P9720" s="10"/>
      <c r="Q9720" s="10"/>
      <c r="R9720" s="10"/>
      <c r="S9720" s="10"/>
      <c r="T9720" s="10"/>
      <c r="U9720" s="10"/>
      <c r="V9720" s="10"/>
      <c r="W9720" s="10"/>
      <c r="X9720" s="10"/>
      <c r="Y9720" s="10"/>
      <c r="Z9720" s="10"/>
    </row>
    <row r="9721" spans="1:26" ht="12.75">
      <c r="A9721" s="10"/>
      <c r="B9721" s="10"/>
      <c r="C9721" s="10"/>
      <c r="D9721" s="10"/>
      <c r="E9721" s="10"/>
      <c r="F9721" s="10"/>
      <c r="G9721" s="10"/>
      <c r="H9721" s="10"/>
      <c r="I9721" s="10"/>
      <c r="J9721" s="10"/>
      <c r="K9721" s="10"/>
      <c r="L9721" s="10"/>
      <c r="M9721" s="10"/>
      <c r="N9721" s="10"/>
      <c r="O9721" s="10"/>
      <c r="P9721" s="10"/>
      <c r="Q9721" s="10"/>
      <c r="R9721" s="10"/>
      <c r="S9721" s="10"/>
      <c r="T9721" s="10"/>
      <c r="U9721" s="10"/>
      <c r="V9721" s="10"/>
      <c r="W9721" s="10"/>
      <c r="X9721" s="10"/>
      <c r="Y9721" s="10"/>
      <c r="Z9721" s="10"/>
    </row>
    <row r="9722" spans="1:26" ht="12.75">
      <c r="A9722" s="10"/>
      <c r="B9722" s="10"/>
      <c r="C9722" s="10"/>
      <c r="D9722" s="10"/>
      <c r="E9722" s="10"/>
      <c r="F9722" s="10"/>
      <c r="G9722" s="10"/>
      <c r="H9722" s="10"/>
      <c r="I9722" s="10"/>
      <c r="J9722" s="10"/>
      <c r="K9722" s="10"/>
      <c r="L9722" s="10"/>
      <c r="M9722" s="10"/>
      <c r="N9722" s="10"/>
      <c r="O9722" s="10"/>
      <c r="P9722" s="10"/>
      <c r="Q9722" s="10"/>
      <c r="R9722" s="10"/>
      <c r="S9722" s="10"/>
      <c r="T9722" s="10"/>
      <c r="U9722" s="10"/>
      <c r="V9722" s="10"/>
      <c r="W9722" s="10"/>
      <c r="X9722" s="10"/>
      <c r="Y9722" s="10"/>
      <c r="Z9722" s="10"/>
    </row>
    <row r="9723" spans="1:26" ht="12.75">
      <c r="A9723" s="10"/>
      <c r="B9723" s="10"/>
      <c r="C9723" s="10"/>
      <c r="D9723" s="10"/>
      <c r="E9723" s="10"/>
      <c r="F9723" s="10"/>
      <c r="G9723" s="10"/>
      <c r="H9723" s="10"/>
      <c r="I9723" s="10"/>
      <c r="J9723" s="10"/>
      <c r="K9723" s="10"/>
      <c r="L9723" s="10"/>
      <c r="M9723" s="10"/>
      <c r="N9723" s="10"/>
      <c r="O9723" s="10"/>
      <c r="P9723" s="10"/>
      <c r="Q9723" s="10"/>
      <c r="R9723" s="10"/>
      <c r="S9723" s="10"/>
      <c r="T9723" s="10"/>
      <c r="U9723" s="10"/>
      <c r="V9723" s="10"/>
      <c r="W9723" s="10"/>
      <c r="X9723" s="10"/>
      <c r="Y9723" s="10"/>
      <c r="Z9723" s="10"/>
    </row>
    <row r="9724" spans="1:26" ht="12.75">
      <c r="A9724" s="10"/>
      <c r="B9724" s="10"/>
      <c r="C9724" s="10"/>
      <c r="D9724" s="10"/>
      <c r="E9724" s="10"/>
      <c r="F9724" s="10"/>
      <c r="G9724" s="10"/>
      <c r="H9724" s="10"/>
      <c r="I9724" s="10"/>
      <c r="J9724" s="10"/>
      <c r="K9724" s="10"/>
      <c r="L9724" s="10"/>
      <c r="M9724" s="10"/>
      <c r="N9724" s="10"/>
      <c r="O9724" s="10"/>
      <c r="P9724" s="10"/>
      <c r="Q9724" s="10"/>
      <c r="R9724" s="10"/>
      <c r="S9724" s="10"/>
      <c r="T9724" s="10"/>
      <c r="U9724" s="10"/>
      <c r="V9724" s="10"/>
      <c r="W9724" s="10"/>
      <c r="X9724" s="10"/>
      <c r="Y9724" s="10"/>
      <c r="Z9724" s="10"/>
    </row>
    <row r="9725" spans="1:26" ht="12.75">
      <c r="A9725" s="10"/>
      <c r="B9725" s="10"/>
      <c r="C9725" s="10"/>
      <c r="D9725" s="10"/>
      <c r="E9725" s="10"/>
      <c r="F9725" s="10"/>
      <c r="G9725" s="10"/>
      <c r="H9725" s="10"/>
      <c r="I9725" s="10"/>
      <c r="J9725" s="10"/>
      <c r="K9725" s="10"/>
      <c r="L9725" s="10"/>
      <c r="M9725" s="10"/>
      <c r="N9725" s="10"/>
      <c r="O9725" s="10"/>
      <c r="P9725" s="10"/>
      <c r="Q9725" s="10"/>
      <c r="R9725" s="10"/>
      <c r="S9725" s="10"/>
      <c r="T9725" s="10"/>
      <c r="U9725" s="10"/>
      <c r="V9725" s="10"/>
      <c r="W9725" s="10"/>
      <c r="X9725" s="10"/>
      <c r="Y9725" s="10"/>
      <c r="Z9725" s="10"/>
    </row>
    <row r="9726" spans="1:26" ht="12.75">
      <c r="A9726" s="10"/>
      <c r="B9726" s="10"/>
      <c r="C9726" s="10"/>
      <c r="D9726" s="10"/>
      <c r="E9726" s="10"/>
      <c r="F9726" s="10"/>
      <c r="G9726" s="10"/>
      <c r="H9726" s="10"/>
      <c r="I9726" s="10"/>
      <c r="J9726" s="10"/>
      <c r="K9726" s="10"/>
      <c r="L9726" s="10"/>
      <c r="M9726" s="10"/>
      <c r="N9726" s="10"/>
      <c r="O9726" s="10"/>
      <c r="P9726" s="10"/>
      <c r="Q9726" s="10"/>
      <c r="R9726" s="10"/>
      <c r="S9726" s="10"/>
      <c r="T9726" s="10"/>
      <c r="U9726" s="10"/>
      <c r="V9726" s="10"/>
      <c r="W9726" s="10"/>
      <c r="X9726" s="10"/>
      <c r="Y9726" s="10"/>
      <c r="Z9726" s="10"/>
    </row>
    <row r="9727" spans="1:26" ht="12.75">
      <c r="A9727" s="10"/>
      <c r="B9727" s="10"/>
      <c r="C9727" s="10"/>
      <c r="D9727" s="10"/>
      <c r="E9727" s="10"/>
      <c r="F9727" s="10"/>
      <c r="G9727" s="10"/>
      <c r="H9727" s="10"/>
      <c r="I9727" s="10"/>
      <c r="J9727" s="10"/>
      <c r="K9727" s="10"/>
      <c r="L9727" s="10"/>
      <c r="M9727" s="10"/>
      <c r="N9727" s="10"/>
      <c r="O9727" s="10"/>
      <c r="P9727" s="10"/>
      <c r="Q9727" s="10"/>
      <c r="R9727" s="10"/>
      <c r="S9727" s="10"/>
      <c r="T9727" s="10"/>
      <c r="U9727" s="10"/>
      <c r="V9727" s="10"/>
      <c r="W9727" s="10"/>
      <c r="X9727" s="10"/>
      <c r="Y9727" s="10"/>
      <c r="Z9727" s="10"/>
    </row>
    <row r="9728" spans="1:26" ht="12.75">
      <c r="A9728" s="10"/>
      <c r="B9728" s="10"/>
      <c r="C9728" s="10"/>
      <c r="D9728" s="10"/>
      <c r="E9728" s="10"/>
      <c r="F9728" s="10"/>
      <c r="G9728" s="10"/>
      <c r="H9728" s="10"/>
      <c r="I9728" s="10"/>
      <c r="J9728" s="10"/>
      <c r="K9728" s="10"/>
      <c r="L9728" s="10"/>
      <c r="M9728" s="10"/>
      <c r="N9728" s="10"/>
      <c r="O9728" s="10"/>
      <c r="P9728" s="10"/>
      <c r="Q9728" s="10"/>
      <c r="R9728" s="10"/>
      <c r="S9728" s="10"/>
      <c r="T9728" s="10"/>
      <c r="U9728" s="10"/>
      <c r="V9728" s="10"/>
      <c r="W9728" s="10"/>
      <c r="X9728" s="10"/>
      <c r="Y9728" s="10"/>
      <c r="Z9728" s="10"/>
    </row>
    <row r="9729" spans="1:26" ht="12.75">
      <c r="A9729" s="10"/>
      <c r="B9729" s="10"/>
      <c r="C9729" s="10"/>
      <c r="D9729" s="10"/>
      <c r="E9729" s="10"/>
      <c r="F9729" s="10"/>
      <c r="G9729" s="10"/>
      <c r="H9729" s="10"/>
      <c r="I9729" s="10"/>
      <c r="J9729" s="10"/>
      <c r="K9729" s="10"/>
      <c r="L9729" s="10"/>
      <c r="M9729" s="10"/>
      <c r="N9729" s="10"/>
      <c r="O9729" s="10"/>
      <c r="P9729" s="10"/>
      <c r="Q9729" s="10"/>
      <c r="R9729" s="10"/>
      <c r="S9729" s="10"/>
      <c r="T9729" s="10"/>
      <c r="U9729" s="10"/>
      <c r="V9729" s="10"/>
      <c r="W9729" s="10"/>
      <c r="X9729" s="10"/>
      <c r="Y9729" s="10"/>
      <c r="Z9729" s="10"/>
    </row>
    <row r="9730" spans="1:26" ht="12.75">
      <c r="A9730" s="10"/>
      <c r="B9730" s="10"/>
      <c r="C9730" s="10"/>
      <c r="D9730" s="10"/>
      <c r="E9730" s="10"/>
      <c r="F9730" s="10"/>
      <c r="G9730" s="10"/>
      <c r="H9730" s="10"/>
      <c r="I9730" s="10"/>
      <c r="J9730" s="10"/>
      <c r="K9730" s="10"/>
      <c r="L9730" s="10"/>
      <c r="M9730" s="10"/>
      <c r="N9730" s="10"/>
      <c r="O9730" s="10"/>
      <c r="P9730" s="10"/>
      <c r="Q9730" s="10"/>
      <c r="R9730" s="10"/>
      <c r="S9730" s="10"/>
      <c r="T9730" s="10"/>
      <c r="U9730" s="10"/>
      <c r="V9730" s="10"/>
      <c r="W9730" s="10"/>
      <c r="X9730" s="10"/>
      <c r="Y9730" s="10"/>
      <c r="Z9730" s="10"/>
    </row>
    <row r="9731" spans="1:26" ht="12.75">
      <c r="A9731" s="10"/>
      <c r="B9731" s="10"/>
      <c r="C9731" s="10"/>
      <c r="D9731" s="10"/>
      <c r="E9731" s="10"/>
      <c r="F9731" s="10"/>
      <c r="G9731" s="10"/>
      <c r="H9731" s="10"/>
      <c r="I9731" s="10"/>
      <c r="J9731" s="10"/>
      <c r="K9731" s="10"/>
      <c r="L9731" s="10"/>
      <c r="M9731" s="10"/>
      <c r="N9731" s="10"/>
      <c r="O9731" s="10"/>
      <c r="P9731" s="10"/>
      <c r="Q9731" s="10"/>
      <c r="R9731" s="10"/>
      <c r="S9731" s="10"/>
      <c r="T9731" s="10"/>
      <c r="U9731" s="10"/>
      <c r="V9731" s="10"/>
      <c r="W9731" s="10"/>
      <c r="X9731" s="10"/>
      <c r="Y9731" s="10"/>
      <c r="Z9731" s="10"/>
    </row>
    <row r="9732" spans="1:26" ht="12.75">
      <c r="A9732" s="10"/>
      <c r="B9732" s="10"/>
      <c r="C9732" s="10"/>
      <c r="D9732" s="10"/>
      <c r="E9732" s="10"/>
      <c r="F9732" s="10"/>
      <c r="G9732" s="10"/>
      <c r="H9732" s="10"/>
      <c r="I9732" s="10"/>
      <c r="J9732" s="10"/>
      <c r="K9732" s="10"/>
      <c r="L9732" s="10"/>
      <c r="M9732" s="10"/>
      <c r="N9732" s="10"/>
      <c r="O9732" s="10"/>
      <c r="P9732" s="10"/>
      <c r="Q9732" s="10"/>
      <c r="R9732" s="10"/>
      <c r="S9732" s="10"/>
      <c r="T9732" s="10"/>
      <c r="U9732" s="10"/>
      <c r="V9732" s="10"/>
      <c r="W9732" s="10"/>
      <c r="X9732" s="10"/>
      <c r="Y9732" s="10"/>
      <c r="Z9732" s="10"/>
    </row>
    <row r="9733" spans="1:26" ht="12.75">
      <c r="A9733" s="10"/>
      <c r="B9733" s="10"/>
      <c r="C9733" s="10"/>
      <c r="D9733" s="10"/>
      <c r="E9733" s="10"/>
      <c r="F9733" s="10"/>
      <c r="G9733" s="10"/>
      <c r="H9733" s="10"/>
      <c r="I9733" s="10"/>
      <c r="J9733" s="10"/>
      <c r="K9733" s="10"/>
      <c r="L9733" s="10"/>
      <c r="M9733" s="10"/>
      <c r="N9733" s="10"/>
      <c r="O9733" s="10"/>
      <c r="P9733" s="10"/>
      <c r="Q9733" s="10"/>
      <c r="R9733" s="10"/>
      <c r="S9733" s="10"/>
      <c r="T9733" s="10"/>
      <c r="U9733" s="10"/>
      <c r="V9733" s="10"/>
      <c r="W9733" s="10"/>
      <c r="X9733" s="10"/>
      <c r="Y9733" s="10"/>
      <c r="Z9733" s="10"/>
    </row>
    <row r="9734" spans="1:26" ht="12.75">
      <c r="A9734" s="10"/>
      <c r="B9734" s="10"/>
      <c r="C9734" s="10"/>
      <c r="D9734" s="10"/>
      <c r="E9734" s="10"/>
      <c r="F9734" s="10"/>
      <c r="G9734" s="10"/>
      <c r="H9734" s="10"/>
      <c r="I9734" s="10"/>
      <c r="J9734" s="10"/>
      <c r="K9734" s="10"/>
      <c r="L9734" s="10"/>
      <c r="M9734" s="10"/>
      <c r="N9734" s="10"/>
      <c r="O9734" s="10"/>
      <c r="P9734" s="10"/>
      <c r="Q9734" s="10"/>
      <c r="R9734" s="10"/>
      <c r="S9734" s="10"/>
      <c r="T9734" s="10"/>
      <c r="U9734" s="10"/>
      <c r="V9734" s="10"/>
      <c r="W9734" s="10"/>
      <c r="X9734" s="10"/>
      <c r="Y9734" s="10"/>
      <c r="Z9734" s="10"/>
    </row>
    <row r="9735" spans="1:26" ht="12.75">
      <c r="A9735" s="10"/>
      <c r="B9735" s="10"/>
      <c r="C9735" s="10"/>
      <c r="D9735" s="10"/>
      <c r="E9735" s="10"/>
      <c r="F9735" s="10"/>
      <c r="G9735" s="10"/>
      <c r="H9735" s="10"/>
      <c r="I9735" s="10"/>
      <c r="J9735" s="10"/>
      <c r="K9735" s="10"/>
      <c r="L9735" s="10"/>
      <c r="M9735" s="10"/>
      <c r="N9735" s="10"/>
      <c r="O9735" s="10"/>
      <c r="P9735" s="10"/>
      <c r="Q9735" s="10"/>
      <c r="R9735" s="10"/>
      <c r="S9735" s="10"/>
      <c r="T9735" s="10"/>
      <c r="U9735" s="10"/>
      <c r="V9735" s="10"/>
      <c r="W9735" s="10"/>
      <c r="X9735" s="10"/>
      <c r="Y9735" s="10"/>
      <c r="Z9735" s="10"/>
    </row>
    <row r="9736" spans="1:26" ht="12.75">
      <c r="A9736" s="10"/>
      <c r="B9736" s="10"/>
      <c r="C9736" s="10"/>
      <c r="D9736" s="10"/>
      <c r="E9736" s="10"/>
      <c r="F9736" s="10"/>
      <c r="G9736" s="10"/>
      <c r="H9736" s="10"/>
      <c r="I9736" s="10"/>
      <c r="J9736" s="10"/>
      <c r="K9736" s="10"/>
      <c r="L9736" s="10"/>
      <c r="M9736" s="10"/>
      <c r="N9736" s="10"/>
      <c r="O9736" s="10"/>
      <c r="P9736" s="10"/>
      <c r="Q9736" s="10"/>
      <c r="R9736" s="10"/>
      <c r="S9736" s="10"/>
      <c r="T9736" s="10"/>
      <c r="U9736" s="10"/>
      <c r="V9736" s="10"/>
      <c r="W9736" s="10"/>
      <c r="X9736" s="10"/>
      <c r="Y9736" s="10"/>
      <c r="Z9736" s="10"/>
    </row>
    <row r="9737" spans="1:26" ht="12.75">
      <c r="A9737" s="10"/>
      <c r="B9737" s="10"/>
      <c r="C9737" s="10"/>
      <c r="D9737" s="10"/>
      <c r="E9737" s="10"/>
      <c r="F9737" s="10"/>
      <c r="G9737" s="10"/>
      <c r="H9737" s="10"/>
      <c r="I9737" s="10"/>
      <c r="J9737" s="10"/>
      <c r="K9737" s="10"/>
      <c r="L9737" s="10"/>
      <c r="M9737" s="10"/>
      <c r="N9737" s="10"/>
      <c r="O9737" s="10"/>
      <c r="P9737" s="10"/>
      <c r="Q9737" s="10"/>
      <c r="R9737" s="10"/>
      <c r="S9737" s="10"/>
      <c r="T9737" s="10"/>
      <c r="U9737" s="10"/>
      <c r="V9737" s="10"/>
      <c r="W9737" s="10"/>
      <c r="X9737" s="10"/>
      <c r="Y9737" s="10"/>
      <c r="Z9737" s="10"/>
    </row>
    <row r="9738" spans="1:26" ht="12.75">
      <c r="A9738" s="10"/>
      <c r="B9738" s="10"/>
      <c r="C9738" s="10"/>
      <c r="D9738" s="10"/>
      <c r="E9738" s="10"/>
      <c r="F9738" s="10"/>
      <c r="G9738" s="10"/>
      <c r="H9738" s="10"/>
      <c r="I9738" s="10"/>
      <c r="J9738" s="10"/>
      <c r="K9738" s="10"/>
      <c r="L9738" s="10"/>
      <c r="M9738" s="10"/>
      <c r="N9738" s="10"/>
      <c r="O9738" s="10"/>
      <c r="P9738" s="10"/>
      <c r="Q9738" s="10"/>
      <c r="R9738" s="10"/>
      <c r="S9738" s="10"/>
      <c r="T9738" s="10"/>
      <c r="U9738" s="10"/>
      <c r="V9738" s="10"/>
      <c r="W9738" s="10"/>
      <c r="X9738" s="10"/>
      <c r="Y9738" s="10"/>
      <c r="Z9738" s="10"/>
    </row>
    <row r="9739" spans="1:26" ht="12.75">
      <c r="A9739" s="10"/>
      <c r="B9739" s="10"/>
      <c r="C9739" s="10"/>
      <c r="D9739" s="10"/>
      <c r="E9739" s="10"/>
      <c r="F9739" s="10"/>
      <c r="G9739" s="10"/>
      <c r="H9739" s="10"/>
      <c r="I9739" s="10"/>
      <c r="J9739" s="10"/>
      <c r="K9739" s="10"/>
      <c r="L9739" s="10"/>
      <c r="M9739" s="10"/>
      <c r="N9739" s="10"/>
      <c r="O9739" s="10"/>
      <c r="P9739" s="10"/>
      <c r="Q9739" s="10"/>
      <c r="R9739" s="10"/>
      <c r="S9739" s="10"/>
      <c r="T9739" s="10"/>
      <c r="U9739" s="10"/>
      <c r="V9739" s="10"/>
      <c r="W9739" s="10"/>
      <c r="X9739" s="10"/>
      <c r="Y9739" s="10"/>
      <c r="Z9739" s="10"/>
    </row>
    <row r="9740" spans="1:26" ht="12.75">
      <c r="A9740" s="10"/>
      <c r="B9740" s="10"/>
      <c r="C9740" s="10"/>
      <c r="D9740" s="10"/>
      <c r="E9740" s="10"/>
      <c r="F9740" s="10"/>
      <c r="G9740" s="10"/>
      <c r="H9740" s="10"/>
      <c r="I9740" s="10"/>
      <c r="J9740" s="10"/>
      <c r="K9740" s="10"/>
      <c r="L9740" s="10"/>
      <c r="M9740" s="10"/>
      <c r="N9740" s="10"/>
      <c r="O9740" s="10"/>
      <c r="P9740" s="10"/>
      <c r="Q9740" s="10"/>
      <c r="R9740" s="10"/>
      <c r="S9740" s="10"/>
      <c r="T9740" s="10"/>
      <c r="U9740" s="10"/>
      <c r="V9740" s="10"/>
      <c r="W9740" s="10"/>
      <c r="X9740" s="10"/>
      <c r="Y9740" s="10"/>
      <c r="Z9740" s="10"/>
    </row>
    <row r="9741" spans="1:26" ht="12.75">
      <c r="A9741" s="10"/>
      <c r="B9741" s="10"/>
      <c r="C9741" s="10"/>
      <c r="D9741" s="10"/>
      <c r="E9741" s="10"/>
      <c r="F9741" s="10"/>
      <c r="G9741" s="10"/>
      <c r="H9741" s="10"/>
      <c r="I9741" s="10"/>
      <c r="J9741" s="10"/>
      <c r="K9741" s="10"/>
      <c r="L9741" s="10"/>
      <c r="M9741" s="10"/>
      <c r="N9741" s="10"/>
      <c r="O9741" s="10"/>
      <c r="P9741" s="10"/>
      <c r="Q9741" s="10"/>
      <c r="R9741" s="10"/>
      <c r="S9741" s="10"/>
      <c r="T9741" s="10"/>
      <c r="U9741" s="10"/>
      <c r="V9741" s="10"/>
      <c r="W9741" s="10"/>
      <c r="X9741" s="10"/>
      <c r="Y9741" s="10"/>
      <c r="Z9741" s="10"/>
    </row>
    <row r="9742" spans="1:26" ht="12.75">
      <c r="A9742" s="10"/>
      <c r="B9742" s="10"/>
      <c r="C9742" s="10"/>
      <c r="D9742" s="10"/>
      <c r="E9742" s="10"/>
      <c r="F9742" s="10"/>
      <c r="G9742" s="10"/>
      <c r="H9742" s="10"/>
      <c r="I9742" s="10"/>
      <c r="J9742" s="10"/>
      <c r="K9742" s="10"/>
      <c r="L9742" s="10"/>
      <c r="M9742" s="10"/>
      <c r="N9742" s="10"/>
      <c r="O9742" s="10"/>
      <c r="P9742" s="10"/>
      <c r="Q9742" s="10"/>
      <c r="R9742" s="10"/>
      <c r="S9742" s="10"/>
      <c r="T9742" s="10"/>
      <c r="U9742" s="10"/>
      <c r="V9742" s="10"/>
      <c r="W9742" s="10"/>
      <c r="X9742" s="10"/>
      <c r="Y9742" s="10"/>
      <c r="Z9742" s="10"/>
    </row>
    <row r="9743" spans="1:26" ht="12.75">
      <c r="A9743" s="10"/>
      <c r="B9743" s="10"/>
      <c r="C9743" s="10"/>
      <c r="D9743" s="10"/>
      <c r="E9743" s="10"/>
      <c r="F9743" s="10"/>
      <c r="G9743" s="10"/>
      <c r="H9743" s="10"/>
      <c r="I9743" s="10"/>
      <c r="J9743" s="10"/>
      <c r="K9743" s="10"/>
      <c r="L9743" s="10"/>
      <c r="M9743" s="10"/>
      <c r="N9743" s="10"/>
      <c r="O9743" s="10"/>
      <c r="P9743" s="10"/>
      <c r="Q9743" s="10"/>
      <c r="R9743" s="10"/>
      <c r="S9743" s="10"/>
      <c r="T9743" s="10"/>
      <c r="U9743" s="10"/>
      <c r="V9743" s="10"/>
      <c r="W9743" s="10"/>
      <c r="X9743" s="10"/>
      <c r="Y9743" s="10"/>
      <c r="Z9743" s="10"/>
    </row>
    <row r="9744" spans="1:26" ht="12.75">
      <c r="A9744" s="10"/>
      <c r="B9744" s="10"/>
      <c r="C9744" s="10"/>
      <c r="D9744" s="10"/>
      <c r="E9744" s="10"/>
      <c r="F9744" s="10"/>
      <c r="G9744" s="10"/>
      <c r="H9744" s="10"/>
      <c r="I9744" s="10"/>
      <c r="J9744" s="10"/>
      <c r="K9744" s="10"/>
      <c r="L9744" s="10"/>
      <c r="M9744" s="10"/>
      <c r="N9744" s="10"/>
      <c r="O9744" s="10"/>
      <c r="P9744" s="10"/>
      <c r="Q9744" s="10"/>
      <c r="R9744" s="10"/>
      <c r="S9744" s="10"/>
      <c r="T9744" s="10"/>
      <c r="U9744" s="10"/>
      <c r="V9744" s="10"/>
      <c r="W9744" s="10"/>
      <c r="X9744" s="10"/>
      <c r="Y9744" s="10"/>
      <c r="Z9744" s="10"/>
    </row>
    <row r="9745" spans="1:26" ht="12.75">
      <c r="A9745" s="10"/>
      <c r="B9745" s="10"/>
      <c r="C9745" s="10"/>
      <c r="D9745" s="10"/>
      <c r="E9745" s="10"/>
      <c r="F9745" s="10"/>
      <c r="G9745" s="10"/>
      <c r="H9745" s="10"/>
      <c r="I9745" s="10"/>
      <c r="J9745" s="10"/>
      <c r="K9745" s="10"/>
      <c r="L9745" s="10"/>
      <c r="M9745" s="10"/>
      <c r="N9745" s="10"/>
      <c r="O9745" s="10"/>
      <c r="P9745" s="10"/>
      <c r="Q9745" s="10"/>
      <c r="R9745" s="10"/>
      <c r="S9745" s="10"/>
      <c r="T9745" s="10"/>
      <c r="U9745" s="10"/>
      <c r="V9745" s="10"/>
      <c r="W9745" s="10"/>
      <c r="X9745" s="10"/>
      <c r="Y9745" s="10"/>
      <c r="Z9745" s="10"/>
    </row>
    <row r="9746" spans="1:26" ht="12.75">
      <c r="A9746" s="10"/>
      <c r="B9746" s="10"/>
      <c r="C9746" s="10"/>
      <c r="D9746" s="10"/>
      <c r="E9746" s="10"/>
      <c r="F9746" s="10"/>
      <c r="G9746" s="10"/>
      <c r="H9746" s="10"/>
      <c r="I9746" s="10"/>
      <c r="J9746" s="10"/>
      <c r="K9746" s="10"/>
      <c r="L9746" s="10"/>
      <c r="M9746" s="10"/>
      <c r="N9746" s="10"/>
      <c r="O9746" s="10"/>
      <c r="P9746" s="10"/>
      <c r="Q9746" s="10"/>
      <c r="R9746" s="10"/>
      <c r="S9746" s="10"/>
      <c r="T9746" s="10"/>
      <c r="U9746" s="10"/>
      <c r="V9746" s="10"/>
      <c r="W9746" s="10"/>
      <c r="X9746" s="10"/>
      <c r="Y9746" s="10"/>
      <c r="Z9746" s="10"/>
    </row>
    <row r="9747" spans="1:26" ht="12.75">
      <c r="A9747" s="10"/>
      <c r="B9747" s="10"/>
      <c r="C9747" s="10"/>
      <c r="D9747" s="10"/>
      <c r="E9747" s="10"/>
      <c r="F9747" s="10"/>
      <c r="G9747" s="10"/>
      <c r="H9747" s="10"/>
      <c r="I9747" s="10"/>
      <c r="J9747" s="10"/>
      <c r="K9747" s="10"/>
      <c r="L9747" s="10"/>
      <c r="M9747" s="10"/>
      <c r="N9747" s="10"/>
      <c r="O9747" s="10"/>
      <c r="P9747" s="10"/>
      <c r="Q9747" s="10"/>
      <c r="R9747" s="10"/>
      <c r="S9747" s="10"/>
      <c r="T9747" s="10"/>
      <c r="U9747" s="10"/>
      <c r="V9747" s="10"/>
      <c r="W9747" s="10"/>
      <c r="X9747" s="10"/>
      <c r="Y9747" s="10"/>
      <c r="Z9747" s="10"/>
    </row>
    <row r="9748" spans="1:26" ht="12.75">
      <c r="A9748" s="10"/>
      <c r="B9748" s="10"/>
      <c r="C9748" s="10"/>
      <c r="D9748" s="10"/>
      <c r="E9748" s="10"/>
      <c r="F9748" s="10"/>
      <c r="G9748" s="10"/>
      <c r="H9748" s="10"/>
      <c r="I9748" s="10"/>
      <c r="J9748" s="10"/>
      <c r="K9748" s="10"/>
      <c r="L9748" s="10"/>
      <c r="M9748" s="10"/>
      <c r="N9748" s="10"/>
      <c r="O9748" s="10"/>
      <c r="P9748" s="10"/>
      <c r="Q9748" s="10"/>
      <c r="R9748" s="10"/>
      <c r="S9748" s="10"/>
      <c r="T9748" s="10"/>
      <c r="U9748" s="10"/>
      <c r="V9748" s="10"/>
      <c r="W9748" s="10"/>
      <c r="X9748" s="10"/>
      <c r="Y9748" s="10"/>
      <c r="Z9748" s="10"/>
    </row>
    <row r="9749" spans="1:26" ht="12.75">
      <c r="A9749" s="10"/>
      <c r="B9749" s="10"/>
      <c r="C9749" s="10"/>
      <c r="D9749" s="10"/>
      <c r="E9749" s="10"/>
      <c r="F9749" s="10"/>
      <c r="G9749" s="10"/>
      <c r="H9749" s="10"/>
      <c r="I9749" s="10"/>
      <c r="J9749" s="10"/>
      <c r="K9749" s="10"/>
      <c r="L9749" s="10"/>
      <c r="M9749" s="10"/>
      <c r="N9749" s="10"/>
      <c r="O9749" s="10"/>
      <c r="P9749" s="10"/>
      <c r="Q9749" s="10"/>
      <c r="R9749" s="10"/>
      <c r="S9749" s="10"/>
      <c r="T9749" s="10"/>
      <c r="U9749" s="10"/>
      <c r="V9749" s="10"/>
      <c r="W9749" s="10"/>
      <c r="X9749" s="10"/>
      <c r="Y9749" s="10"/>
      <c r="Z9749" s="10"/>
    </row>
    <row r="9750" spans="1:26" ht="12.75">
      <c r="A9750" s="10"/>
      <c r="B9750" s="10"/>
      <c r="C9750" s="10"/>
      <c r="D9750" s="10"/>
      <c r="E9750" s="10"/>
      <c r="F9750" s="10"/>
      <c r="G9750" s="10"/>
      <c r="H9750" s="10"/>
      <c r="I9750" s="10"/>
      <c r="J9750" s="10"/>
      <c r="K9750" s="10"/>
      <c r="L9750" s="10"/>
      <c r="M9750" s="10"/>
      <c r="N9750" s="10"/>
      <c r="O9750" s="10"/>
      <c r="P9750" s="10"/>
      <c r="Q9750" s="10"/>
      <c r="R9750" s="10"/>
      <c r="S9750" s="10"/>
      <c r="T9750" s="10"/>
      <c r="U9750" s="10"/>
      <c r="V9750" s="10"/>
      <c r="W9750" s="10"/>
      <c r="X9750" s="10"/>
      <c r="Y9750" s="10"/>
      <c r="Z9750" s="10"/>
    </row>
    <row r="9751" spans="1:26" ht="12.75">
      <c r="A9751" s="10"/>
      <c r="B9751" s="10"/>
      <c r="C9751" s="10"/>
      <c r="D9751" s="10"/>
      <c r="E9751" s="10"/>
      <c r="F9751" s="10"/>
      <c r="G9751" s="10"/>
      <c r="H9751" s="10"/>
      <c r="I9751" s="10"/>
      <c r="J9751" s="10"/>
      <c r="K9751" s="10"/>
      <c r="L9751" s="10"/>
      <c r="M9751" s="10"/>
      <c r="N9751" s="10"/>
      <c r="O9751" s="10"/>
      <c r="P9751" s="10"/>
      <c r="Q9751" s="10"/>
      <c r="R9751" s="10"/>
      <c r="S9751" s="10"/>
      <c r="T9751" s="10"/>
      <c r="U9751" s="10"/>
      <c r="V9751" s="10"/>
      <c r="W9751" s="10"/>
      <c r="X9751" s="10"/>
      <c r="Y9751" s="10"/>
      <c r="Z9751" s="10"/>
    </row>
    <row r="9752" spans="1:26" ht="12.75">
      <c r="A9752" s="10"/>
      <c r="B9752" s="10"/>
      <c r="C9752" s="10"/>
      <c r="D9752" s="10"/>
      <c r="E9752" s="10"/>
      <c r="F9752" s="10"/>
      <c r="G9752" s="10"/>
      <c r="H9752" s="10"/>
      <c r="I9752" s="10"/>
      <c r="J9752" s="10"/>
      <c r="K9752" s="10"/>
      <c r="L9752" s="10"/>
      <c r="M9752" s="10"/>
      <c r="N9752" s="10"/>
      <c r="O9752" s="10"/>
      <c r="P9752" s="10"/>
      <c r="Q9752" s="10"/>
      <c r="R9752" s="10"/>
      <c r="S9752" s="10"/>
      <c r="T9752" s="10"/>
      <c r="U9752" s="10"/>
      <c r="V9752" s="10"/>
      <c r="W9752" s="10"/>
      <c r="X9752" s="10"/>
      <c r="Y9752" s="10"/>
      <c r="Z9752" s="10"/>
    </row>
    <row r="9753" spans="1:26" ht="12.75">
      <c r="A9753" s="10"/>
      <c r="B9753" s="10"/>
      <c r="C9753" s="10"/>
      <c r="D9753" s="10"/>
      <c r="E9753" s="10"/>
      <c r="F9753" s="10"/>
      <c r="G9753" s="10"/>
      <c r="H9753" s="10"/>
      <c r="I9753" s="10"/>
      <c r="J9753" s="10"/>
      <c r="K9753" s="10"/>
      <c r="L9753" s="10"/>
      <c r="M9753" s="10"/>
      <c r="N9753" s="10"/>
      <c r="O9753" s="10"/>
      <c r="P9753" s="10"/>
      <c r="Q9753" s="10"/>
      <c r="R9753" s="10"/>
      <c r="S9753" s="10"/>
      <c r="T9753" s="10"/>
      <c r="U9753" s="10"/>
      <c r="V9753" s="10"/>
      <c r="W9753" s="10"/>
      <c r="X9753" s="10"/>
      <c r="Y9753" s="10"/>
      <c r="Z9753" s="10"/>
    </row>
    <row r="9754" spans="1:26" ht="12.75">
      <c r="A9754" s="10"/>
      <c r="B9754" s="10"/>
      <c r="C9754" s="10"/>
      <c r="D9754" s="10"/>
      <c r="E9754" s="10"/>
      <c r="F9754" s="10"/>
      <c r="G9754" s="10"/>
      <c r="H9754" s="10"/>
      <c r="I9754" s="10"/>
      <c r="J9754" s="10"/>
      <c r="K9754" s="10"/>
      <c r="L9754" s="10"/>
      <c r="M9754" s="10"/>
      <c r="N9754" s="10"/>
      <c r="O9754" s="10"/>
      <c r="P9754" s="10"/>
      <c r="Q9754" s="10"/>
      <c r="R9754" s="10"/>
      <c r="S9754" s="10"/>
      <c r="T9754" s="10"/>
      <c r="U9754" s="10"/>
      <c r="V9754" s="10"/>
      <c r="W9754" s="10"/>
      <c r="X9754" s="10"/>
      <c r="Y9754" s="10"/>
      <c r="Z9754" s="10"/>
    </row>
    <row r="9755" spans="1:26" ht="12.75">
      <c r="A9755" s="10"/>
      <c r="B9755" s="10"/>
      <c r="C9755" s="10"/>
      <c r="D9755" s="10"/>
      <c r="E9755" s="10"/>
      <c r="F9755" s="10"/>
      <c r="G9755" s="10"/>
      <c r="H9755" s="10"/>
      <c r="I9755" s="10"/>
      <c r="J9755" s="10"/>
      <c r="K9755" s="10"/>
      <c r="L9755" s="10"/>
      <c r="M9755" s="10"/>
      <c r="N9755" s="10"/>
      <c r="O9755" s="10"/>
      <c r="P9755" s="10"/>
      <c r="Q9755" s="10"/>
      <c r="R9755" s="10"/>
      <c r="S9755" s="10"/>
      <c r="T9755" s="10"/>
      <c r="U9755" s="10"/>
      <c r="V9755" s="10"/>
      <c r="W9755" s="10"/>
      <c r="X9755" s="10"/>
      <c r="Y9755" s="10"/>
      <c r="Z9755" s="10"/>
    </row>
    <row r="9756" spans="1:26" ht="12.75">
      <c r="A9756" s="10"/>
      <c r="B9756" s="10"/>
      <c r="C9756" s="10"/>
      <c r="D9756" s="10"/>
      <c r="E9756" s="10"/>
      <c r="F9756" s="10"/>
      <c r="G9756" s="10"/>
      <c r="H9756" s="10"/>
      <c r="I9756" s="10"/>
      <c r="J9756" s="10"/>
      <c r="K9756" s="10"/>
      <c r="L9756" s="10"/>
      <c r="M9756" s="10"/>
      <c r="N9756" s="10"/>
      <c r="O9756" s="10"/>
      <c r="P9756" s="10"/>
      <c r="Q9756" s="10"/>
      <c r="R9756" s="10"/>
      <c r="S9756" s="10"/>
      <c r="T9756" s="10"/>
      <c r="U9756" s="10"/>
      <c r="V9756" s="10"/>
      <c r="W9756" s="10"/>
      <c r="X9756" s="10"/>
      <c r="Y9756" s="10"/>
      <c r="Z9756" s="10"/>
    </row>
    <row r="9757" spans="1:26" ht="12.75">
      <c r="A9757" s="10"/>
      <c r="B9757" s="10"/>
      <c r="C9757" s="10"/>
      <c r="D9757" s="10"/>
      <c r="E9757" s="10"/>
      <c r="F9757" s="10"/>
      <c r="G9757" s="10"/>
      <c r="H9757" s="10"/>
      <c r="I9757" s="10"/>
      <c r="J9757" s="10"/>
      <c r="K9757" s="10"/>
      <c r="L9757" s="10"/>
      <c r="M9757" s="10"/>
      <c r="N9757" s="10"/>
      <c r="O9757" s="10"/>
      <c r="P9757" s="10"/>
      <c r="Q9757" s="10"/>
      <c r="R9757" s="10"/>
      <c r="S9757" s="10"/>
      <c r="T9757" s="10"/>
      <c r="U9757" s="10"/>
      <c r="V9757" s="10"/>
      <c r="W9757" s="10"/>
      <c r="X9757" s="10"/>
      <c r="Y9757" s="10"/>
      <c r="Z9757" s="10"/>
    </row>
    <row r="9758" spans="1:26" ht="12.75">
      <c r="A9758" s="10"/>
      <c r="B9758" s="10"/>
      <c r="C9758" s="10"/>
      <c r="D9758" s="10"/>
      <c r="E9758" s="10"/>
      <c r="F9758" s="10"/>
      <c r="G9758" s="10"/>
      <c r="H9758" s="10"/>
      <c r="I9758" s="10"/>
      <c r="J9758" s="10"/>
      <c r="K9758" s="10"/>
      <c r="L9758" s="10"/>
      <c r="M9758" s="10"/>
      <c r="N9758" s="10"/>
      <c r="O9758" s="10"/>
      <c r="P9758" s="10"/>
      <c r="Q9758" s="10"/>
      <c r="R9758" s="10"/>
      <c r="S9758" s="10"/>
      <c r="T9758" s="10"/>
      <c r="U9758" s="10"/>
      <c r="V9758" s="10"/>
      <c r="W9758" s="10"/>
      <c r="X9758" s="10"/>
      <c r="Y9758" s="10"/>
      <c r="Z9758" s="10"/>
    </row>
    <row r="9759" spans="1:26" ht="12.75">
      <c r="A9759" s="10"/>
      <c r="B9759" s="10"/>
      <c r="C9759" s="10"/>
      <c r="D9759" s="10"/>
      <c r="E9759" s="10"/>
      <c r="F9759" s="10"/>
      <c r="G9759" s="10"/>
      <c r="H9759" s="10"/>
      <c r="I9759" s="10"/>
      <c r="J9759" s="10"/>
      <c r="K9759" s="10"/>
      <c r="L9759" s="10"/>
      <c r="M9759" s="10"/>
      <c r="N9759" s="10"/>
      <c r="O9759" s="10"/>
      <c r="P9759" s="10"/>
      <c r="Q9759" s="10"/>
      <c r="R9759" s="10"/>
      <c r="S9759" s="10"/>
      <c r="T9759" s="10"/>
      <c r="U9759" s="10"/>
      <c r="V9759" s="10"/>
      <c r="W9759" s="10"/>
      <c r="X9759" s="10"/>
      <c r="Y9759" s="10"/>
      <c r="Z9759" s="10"/>
    </row>
    <row r="9760" spans="1:26" ht="12.75">
      <c r="A9760" s="10"/>
      <c r="B9760" s="10"/>
      <c r="C9760" s="10"/>
      <c r="D9760" s="10"/>
      <c r="E9760" s="10"/>
      <c r="F9760" s="10"/>
      <c r="G9760" s="10"/>
      <c r="H9760" s="10"/>
      <c r="I9760" s="10"/>
      <c r="J9760" s="10"/>
      <c r="K9760" s="10"/>
      <c r="L9760" s="10"/>
      <c r="M9760" s="10"/>
      <c r="N9760" s="10"/>
      <c r="O9760" s="10"/>
      <c r="P9760" s="10"/>
      <c r="Q9760" s="10"/>
      <c r="R9760" s="10"/>
      <c r="S9760" s="10"/>
      <c r="T9760" s="10"/>
      <c r="U9760" s="10"/>
      <c r="V9760" s="10"/>
      <c r="W9760" s="10"/>
      <c r="X9760" s="10"/>
      <c r="Y9760" s="10"/>
      <c r="Z9760" s="10"/>
    </row>
    <row r="9761" spans="1:26" ht="12.75">
      <c r="A9761" s="10"/>
      <c r="B9761" s="10"/>
      <c r="C9761" s="10"/>
      <c r="D9761" s="10"/>
      <c r="E9761" s="10"/>
      <c r="F9761" s="10"/>
      <c r="G9761" s="10"/>
      <c r="H9761" s="10"/>
      <c r="I9761" s="10"/>
      <c r="J9761" s="10"/>
      <c r="K9761" s="10"/>
      <c r="L9761" s="10"/>
      <c r="M9761" s="10"/>
      <c r="N9761" s="10"/>
      <c r="O9761" s="10"/>
      <c r="P9761" s="10"/>
      <c r="Q9761" s="10"/>
      <c r="R9761" s="10"/>
      <c r="S9761" s="10"/>
      <c r="T9761" s="10"/>
      <c r="U9761" s="10"/>
      <c r="V9761" s="10"/>
      <c r="W9761" s="10"/>
      <c r="X9761" s="10"/>
      <c r="Y9761" s="10"/>
      <c r="Z9761" s="10"/>
    </row>
    <row r="9762" spans="1:26" ht="12.75">
      <c r="A9762" s="10"/>
      <c r="B9762" s="10"/>
      <c r="C9762" s="10"/>
      <c r="D9762" s="10"/>
      <c r="E9762" s="10"/>
      <c r="F9762" s="10"/>
      <c r="G9762" s="10"/>
      <c r="H9762" s="10"/>
      <c r="I9762" s="10"/>
      <c r="J9762" s="10"/>
      <c r="K9762" s="10"/>
      <c r="L9762" s="10"/>
      <c r="M9762" s="10"/>
      <c r="N9762" s="10"/>
      <c r="O9762" s="10"/>
      <c r="P9762" s="10"/>
      <c r="Q9762" s="10"/>
      <c r="R9762" s="10"/>
      <c r="S9762" s="10"/>
      <c r="T9762" s="10"/>
      <c r="U9762" s="10"/>
      <c r="V9762" s="10"/>
      <c r="W9762" s="10"/>
      <c r="X9762" s="10"/>
      <c r="Y9762" s="10"/>
      <c r="Z9762" s="10"/>
    </row>
    <row r="9763" spans="1:26" ht="12.75">
      <c r="A9763" s="10"/>
      <c r="B9763" s="10"/>
      <c r="C9763" s="10"/>
      <c r="D9763" s="10"/>
      <c r="E9763" s="10"/>
      <c r="F9763" s="10"/>
      <c r="G9763" s="10"/>
      <c r="H9763" s="10"/>
      <c r="I9763" s="10"/>
      <c r="J9763" s="10"/>
      <c r="K9763" s="10"/>
      <c r="L9763" s="10"/>
      <c r="M9763" s="10"/>
      <c r="N9763" s="10"/>
      <c r="O9763" s="10"/>
      <c r="P9763" s="10"/>
      <c r="Q9763" s="10"/>
      <c r="R9763" s="10"/>
      <c r="S9763" s="10"/>
      <c r="T9763" s="10"/>
      <c r="U9763" s="10"/>
      <c r="V9763" s="10"/>
      <c r="W9763" s="10"/>
      <c r="X9763" s="10"/>
      <c r="Y9763" s="10"/>
      <c r="Z9763" s="10"/>
    </row>
    <row r="9764" spans="1:26" ht="12.75">
      <c r="A9764" s="10"/>
      <c r="B9764" s="10"/>
      <c r="C9764" s="10"/>
      <c r="D9764" s="10"/>
      <c r="E9764" s="10"/>
      <c r="F9764" s="10"/>
      <c r="G9764" s="10"/>
      <c r="H9764" s="10"/>
      <c r="I9764" s="10"/>
      <c r="J9764" s="10"/>
      <c r="K9764" s="10"/>
      <c r="L9764" s="10"/>
      <c r="M9764" s="10"/>
      <c r="N9764" s="10"/>
      <c r="O9764" s="10"/>
      <c r="P9764" s="10"/>
      <c r="Q9764" s="10"/>
      <c r="R9764" s="10"/>
      <c r="S9764" s="10"/>
      <c r="T9764" s="10"/>
      <c r="U9764" s="10"/>
      <c r="V9764" s="10"/>
      <c r="W9764" s="10"/>
      <c r="X9764" s="10"/>
      <c r="Y9764" s="10"/>
      <c r="Z9764" s="10"/>
    </row>
    <row r="9765" spans="1:26" ht="12.75">
      <c r="A9765" s="10"/>
      <c r="B9765" s="10"/>
      <c r="C9765" s="10"/>
      <c r="D9765" s="10"/>
      <c r="E9765" s="10"/>
      <c r="F9765" s="10"/>
      <c r="G9765" s="10"/>
      <c r="H9765" s="10"/>
      <c r="I9765" s="10"/>
      <c r="J9765" s="10"/>
      <c r="K9765" s="10"/>
      <c r="L9765" s="10"/>
      <c r="M9765" s="10"/>
      <c r="N9765" s="10"/>
      <c r="O9765" s="10"/>
      <c r="P9765" s="10"/>
      <c r="Q9765" s="10"/>
      <c r="R9765" s="10"/>
      <c r="S9765" s="10"/>
      <c r="T9765" s="10"/>
      <c r="U9765" s="10"/>
      <c r="V9765" s="10"/>
      <c r="W9765" s="10"/>
      <c r="X9765" s="10"/>
      <c r="Y9765" s="10"/>
      <c r="Z9765" s="10"/>
    </row>
    <row r="9766" spans="1:26" ht="12.75">
      <c r="A9766" s="10"/>
      <c r="B9766" s="10"/>
      <c r="C9766" s="10"/>
      <c r="D9766" s="10"/>
      <c r="E9766" s="10"/>
      <c r="F9766" s="10"/>
      <c r="G9766" s="10"/>
      <c r="H9766" s="10"/>
      <c r="I9766" s="10"/>
      <c r="J9766" s="10"/>
      <c r="K9766" s="10"/>
      <c r="L9766" s="10"/>
      <c r="M9766" s="10"/>
      <c r="N9766" s="10"/>
      <c r="O9766" s="10"/>
      <c r="P9766" s="10"/>
      <c r="Q9766" s="10"/>
      <c r="R9766" s="10"/>
      <c r="S9766" s="10"/>
      <c r="T9766" s="10"/>
      <c r="U9766" s="10"/>
      <c r="V9766" s="10"/>
      <c r="W9766" s="10"/>
      <c r="X9766" s="10"/>
      <c r="Y9766" s="10"/>
      <c r="Z9766" s="10"/>
    </row>
    <row r="9767" spans="1:26" ht="12.75">
      <c r="A9767" s="10"/>
      <c r="B9767" s="10"/>
      <c r="C9767" s="10"/>
      <c r="D9767" s="10"/>
      <c r="E9767" s="10"/>
      <c r="F9767" s="10"/>
      <c r="G9767" s="10"/>
      <c r="H9767" s="10"/>
      <c r="I9767" s="10"/>
      <c r="J9767" s="10"/>
      <c r="K9767" s="10"/>
      <c r="L9767" s="10"/>
      <c r="M9767" s="10"/>
      <c r="N9767" s="10"/>
      <c r="O9767" s="10"/>
      <c r="P9767" s="10"/>
      <c r="Q9767" s="10"/>
      <c r="R9767" s="10"/>
      <c r="S9767" s="10"/>
      <c r="T9767" s="10"/>
      <c r="U9767" s="10"/>
      <c r="V9767" s="10"/>
      <c r="W9767" s="10"/>
      <c r="X9767" s="10"/>
      <c r="Y9767" s="10"/>
      <c r="Z9767" s="10"/>
    </row>
    <row r="9768" spans="1:26" ht="12.75">
      <c r="A9768" s="10"/>
      <c r="B9768" s="10"/>
      <c r="C9768" s="10"/>
      <c r="D9768" s="10"/>
      <c r="E9768" s="10"/>
      <c r="F9768" s="10"/>
      <c r="G9768" s="10"/>
      <c r="H9768" s="10"/>
      <c r="I9768" s="10"/>
      <c r="J9768" s="10"/>
      <c r="K9768" s="10"/>
      <c r="L9768" s="10"/>
      <c r="M9768" s="10"/>
      <c r="N9768" s="10"/>
      <c r="O9768" s="10"/>
      <c r="P9768" s="10"/>
      <c r="Q9768" s="10"/>
      <c r="R9768" s="10"/>
      <c r="S9768" s="10"/>
      <c r="T9768" s="10"/>
      <c r="U9768" s="10"/>
      <c r="V9768" s="10"/>
      <c r="W9768" s="10"/>
      <c r="X9768" s="10"/>
      <c r="Y9768" s="10"/>
      <c r="Z9768" s="10"/>
    </row>
    <row r="9769" spans="1:26" ht="12.75">
      <c r="A9769" s="10"/>
      <c r="B9769" s="10"/>
      <c r="C9769" s="10"/>
      <c r="D9769" s="10"/>
      <c r="E9769" s="10"/>
      <c r="F9769" s="10"/>
      <c r="G9769" s="10"/>
      <c r="H9769" s="10"/>
      <c r="I9769" s="10"/>
      <c r="J9769" s="10"/>
      <c r="K9769" s="10"/>
      <c r="L9769" s="10"/>
      <c r="M9769" s="10"/>
      <c r="N9769" s="10"/>
      <c r="O9769" s="10"/>
      <c r="P9769" s="10"/>
      <c r="Q9769" s="10"/>
      <c r="R9769" s="10"/>
      <c r="S9769" s="10"/>
      <c r="T9769" s="10"/>
      <c r="U9769" s="10"/>
      <c r="V9769" s="10"/>
      <c r="W9769" s="10"/>
      <c r="X9769" s="10"/>
      <c r="Y9769" s="10"/>
      <c r="Z9769" s="10"/>
    </row>
    <row r="9770" spans="1:26" ht="12.75">
      <c r="A9770" s="10"/>
      <c r="B9770" s="10"/>
      <c r="C9770" s="10"/>
      <c r="D9770" s="10"/>
      <c r="E9770" s="10"/>
      <c r="F9770" s="10"/>
      <c r="G9770" s="10"/>
      <c r="H9770" s="10"/>
      <c r="I9770" s="10"/>
      <c r="J9770" s="10"/>
      <c r="K9770" s="10"/>
      <c r="L9770" s="10"/>
      <c r="M9770" s="10"/>
      <c r="N9770" s="10"/>
      <c r="O9770" s="10"/>
      <c r="P9770" s="10"/>
      <c r="Q9770" s="10"/>
      <c r="R9770" s="10"/>
      <c r="S9770" s="10"/>
      <c r="T9770" s="10"/>
      <c r="U9770" s="10"/>
      <c r="V9770" s="10"/>
      <c r="W9770" s="10"/>
      <c r="X9770" s="10"/>
      <c r="Y9770" s="10"/>
      <c r="Z9770" s="10"/>
    </row>
    <row r="9771" spans="1:26" ht="12.75">
      <c r="A9771" s="10"/>
      <c r="B9771" s="10"/>
      <c r="C9771" s="10"/>
      <c r="D9771" s="10"/>
      <c r="E9771" s="10"/>
      <c r="F9771" s="10"/>
      <c r="G9771" s="10"/>
      <c r="H9771" s="10"/>
      <c r="I9771" s="10"/>
      <c r="J9771" s="10"/>
      <c r="K9771" s="10"/>
      <c r="L9771" s="10"/>
      <c r="M9771" s="10"/>
      <c r="N9771" s="10"/>
      <c r="O9771" s="10"/>
      <c r="P9771" s="10"/>
      <c r="Q9771" s="10"/>
      <c r="R9771" s="10"/>
      <c r="S9771" s="10"/>
      <c r="T9771" s="10"/>
      <c r="U9771" s="10"/>
      <c r="V9771" s="10"/>
      <c r="W9771" s="10"/>
      <c r="X9771" s="10"/>
      <c r="Y9771" s="10"/>
      <c r="Z9771" s="10"/>
    </row>
    <row r="9772" spans="1:26" ht="12.75">
      <c r="A9772" s="10"/>
      <c r="B9772" s="10"/>
      <c r="C9772" s="10"/>
      <c r="D9772" s="10"/>
      <c r="E9772" s="10"/>
      <c r="F9772" s="10"/>
      <c r="G9772" s="10"/>
      <c r="H9772" s="10"/>
      <c r="I9772" s="10"/>
      <c r="J9772" s="10"/>
      <c r="K9772" s="10"/>
      <c r="L9772" s="10"/>
      <c r="M9772" s="10"/>
      <c r="N9772" s="10"/>
      <c r="O9772" s="10"/>
      <c r="P9772" s="10"/>
      <c r="Q9772" s="10"/>
      <c r="R9772" s="10"/>
      <c r="S9772" s="10"/>
      <c r="T9772" s="10"/>
      <c r="U9772" s="10"/>
      <c r="V9772" s="10"/>
      <c r="W9772" s="10"/>
      <c r="X9772" s="10"/>
      <c r="Y9772" s="10"/>
      <c r="Z9772" s="10"/>
    </row>
    <row r="9773" spans="1:26" ht="12.75">
      <c r="A9773" s="10"/>
      <c r="B9773" s="10"/>
      <c r="C9773" s="10"/>
      <c r="D9773" s="10"/>
      <c r="E9773" s="10"/>
      <c r="F9773" s="10"/>
      <c r="G9773" s="10"/>
      <c r="H9773" s="10"/>
      <c r="I9773" s="10"/>
      <c r="J9773" s="10"/>
      <c r="K9773" s="10"/>
      <c r="L9773" s="10"/>
      <c r="M9773" s="10"/>
      <c r="N9773" s="10"/>
      <c r="O9773" s="10"/>
      <c r="P9773" s="10"/>
      <c r="Q9773" s="10"/>
      <c r="R9773" s="10"/>
      <c r="S9773" s="10"/>
      <c r="T9773" s="10"/>
      <c r="U9773" s="10"/>
      <c r="V9773" s="10"/>
      <c r="W9773" s="10"/>
      <c r="X9773" s="10"/>
      <c r="Y9773" s="10"/>
      <c r="Z9773" s="10"/>
    </row>
    <row r="9774" spans="1:26" ht="12.75">
      <c r="A9774" s="10"/>
      <c r="B9774" s="10"/>
      <c r="C9774" s="10"/>
      <c r="D9774" s="10"/>
      <c r="E9774" s="10"/>
      <c r="F9774" s="10"/>
      <c r="G9774" s="10"/>
      <c r="H9774" s="10"/>
      <c r="I9774" s="10"/>
      <c r="J9774" s="10"/>
      <c r="K9774" s="10"/>
      <c r="L9774" s="10"/>
      <c r="M9774" s="10"/>
      <c r="N9774" s="10"/>
      <c r="O9774" s="10"/>
      <c r="P9774" s="10"/>
      <c r="Q9774" s="10"/>
      <c r="R9774" s="10"/>
      <c r="S9774" s="10"/>
      <c r="T9774" s="10"/>
      <c r="U9774" s="10"/>
      <c r="V9774" s="10"/>
      <c r="W9774" s="10"/>
      <c r="X9774" s="10"/>
      <c r="Y9774" s="10"/>
      <c r="Z9774" s="10"/>
    </row>
    <row r="9775" spans="1:26" ht="12.75">
      <c r="A9775" s="10"/>
      <c r="B9775" s="10"/>
      <c r="C9775" s="10"/>
      <c r="D9775" s="10"/>
      <c r="E9775" s="10"/>
      <c r="F9775" s="10"/>
      <c r="G9775" s="10"/>
      <c r="H9775" s="10"/>
      <c r="I9775" s="10"/>
      <c r="J9775" s="10"/>
      <c r="K9775" s="10"/>
      <c r="L9775" s="10"/>
      <c r="M9775" s="10"/>
      <c r="N9775" s="10"/>
      <c r="O9775" s="10"/>
      <c r="P9775" s="10"/>
      <c r="Q9775" s="10"/>
      <c r="R9775" s="10"/>
      <c r="S9775" s="10"/>
      <c r="T9775" s="10"/>
      <c r="U9775" s="10"/>
      <c r="V9775" s="10"/>
      <c r="W9775" s="10"/>
      <c r="X9775" s="10"/>
      <c r="Y9775" s="10"/>
      <c r="Z9775" s="10"/>
    </row>
    <row r="9776" spans="1:26" ht="12.75">
      <c r="A9776" s="10"/>
      <c r="B9776" s="10"/>
      <c r="C9776" s="10"/>
      <c r="D9776" s="10"/>
      <c r="E9776" s="10"/>
      <c r="F9776" s="10"/>
      <c r="G9776" s="10"/>
      <c r="H9776" s="10"/>
      <c r="I9776" s="10"/>
      <c r="J9776" s="10"/>
      <c r="K9776" s="10"/>
      <c r="L9776" s="10"/>
      <c r="M9776" s="10"/>
      <c r="N9776" s="10"/>
      <c r="O9776" s="10"/>
      <c r="P9776" s="10"/>
      <c r="Q9776" s="10"/>
      <c r="R9776" s="10"/>
      <c r="S9776" s="10"/>
      <c r="T9776" s="10"/>
      <c r="U9776" s="10"/>
      <c r="V9776" s="10"/>
      <c r="W9776" s="10"/>
      <c r="X9776" s="10"/>
      <c r="Y9776" s="10"/>
      <c r="Z9776" s="10"/>
    </row>
    <row r="9777" spans="1:26" ht="12.75">
      <c r="A9777" s="10"/>
      <c r="B9777" s="10"/>
      <c r="C9777" s="10"/>
      <c r="D9777" s="10"/>
      <c r="E9777" s="10"/>
      <c r="F9777" s="10"/>
      <c r="G9777" s="10"/>
      <c r="H9777" s="10"/>
      <c r="I9777" s="10"/>
      <c r="J9777" s="10"/>
      <c r="K9777" s="10"/>
      <c r="L9777" s="10"/>
      <c r="M9777" s="10"/>
      <c r="N9777" s="10"/>
      <c r="O9777" s="10"/>
      <c r="P9777" s="10"/>
      <c r="Q9777" s="10"/>
      <c r="R9777" s="10"/>
      <c r="S9777" s="10"/>
      <c r="T9777" s="10"/>
      <c r="U9777" s="10"/>
      <c r="V9777" s="10"/>
      <c r="W9777" s="10"/>
      <c r="X9777" s="10"/>
      <c r="Y9777" s="10"/>
      <c r="Z9777" s="10"/>
    </row>
    <row r="9778" spans="1:26" ht="12.75">
      <c r="A9778" s="10"/>
      <c r="B9778" s="10"/>
      <c r="C9778" s="10"/>
      <c r="D9778" s="10"/>
      <c r="E9778" s="10"/>
      <c r="F9778" s="10"/>
      <c r="G9778" s="10"/>
      <c r="H9778" s="10"/>
      <c r="I9778" s="10"/>
      <c r="J9778" s="10"/>
      <c r="K9778" s="10"/>
      <c r="L9778" s="10"/>
      <c r="M9778" s="10"/>
      <c r="N9778" s="10"/>
      <c r="O9778" s="10"/>
      <c r="P9778" s="10"/>
      <c r="Q9778" s="10"/>
      <c r="R9778" s="10"/>
      <c r="S9778" s="10"/>
      <c r="T9778" s="10"/>
      <c r="U9778" s="10"/>
      <c r="V9778" s="10"/>
      <c r="W9778" s="10"/>
      <c r="X9778" s="10"/>
      <c r="Y9778" s="10"/>
      <c r="Z9778" s="10"/>
    </row>
    <row r="9779" spans="1:26" ht="12.75">
      <c r="A9779" s="10"/>
      <c r="B9779" s="10"/>
      <c r="C9779" s="10"/>
      <c r="D9779" s="10"/>
      <c r="E9779" s="10"/>
      <c r="F9779" s="10"/>
      <c r="G9779" s="10"/>
      <c r="H9779" s="10"/>
      <c r="I9779" s="10"/>
      <c r="J9779" s="10"/>
      <c r="K9779" s="10"/>
      <c r="L9779" s="10"/>
      <c r="M9779" s="10"/>
      <c r="N9779" s="10"/>
      <c r="O9779" s="10"/>
      <c r="P9779" s="10"/>
      <c r="Q9779" s="10"/>
      <c r="R9779" s="10"/>
      <c r="S9779" s="10"/>
      <c r="T9779" s="10"/>
      <c r="U9779" s="10"/>
      <c r="V9779" s="10"/>
      <c r="W9779" s="10"/>
      <c r="X9779" s="10"/>
      <c r="Y9779" s="10"/>
      <c r="Z9779" s="10"/>
    </row>
    <row r="9780" spans="1:26" ht="12.75">
      <c r="A9780" s="10"/>
      <c r="B9780" s="10"/>
      <c r="C9780" s="10"/>
      <c r="D9780" s="10"/>
      <c r="E9780" s="10"/>
      <c r="F9780" s="10"/>
      <c r="G9780" s="10"/>
      <c r="H9780" s="10"/>
      <c r="I9780" s="10"/>
      <c r="J9780" s="10"/>
      <c r="K9780" s="10"/>
      <c r="L9780" s="10"/>
      <c r="M9780" s="10"/>
      <c r="N9780" s="10"/>
      <c r="O9780" s="10"/>
      <c r="P9780" s="10"/>
      <c r="Q9780" s="10"/>
      <c r="R9780" s="10"/>
      <c r="S9780" s="10"/>
      <c r="T9780" s="10"/>
      <c r="U9780" s="10"/>
      <c r="V9780" s="10"/>
      <c r="W9780" s="10"/>
      <c r="X9780" s="10"/>
      <c r="Y9780" s="10"/>
      <c r="Z9780" s="10"/>
    </row>
    <row r="9781" spans="1:26" ht="12.75">
      <c r="A9781" s="10"/>
      <c r="B9781" s="10"/>
      <c r="C9781" s="10"/>
      <c r="D9781" s="10"/>
      <c r="E9781" s="10"/>
      <c r="F9781" s="10"/>
      <c r="G9781" s="10"/>
      <c r="H9781" s="10"/>
      <c r="I9781" s="10"/>
      <c r="J9781" s="10"/>
      <c r="K9781" s="10"/>
      <c r="L9781" s="10"/>
      <c r="M9781" s="10"/>
      <c r="N9781" s="10"/>
      <c r="O9781" s="10"/>
      <c r="P9781" s="10"/>
      <c r="Q9781" s="10"/>
      <c r="R9781" s="10"/>
      <c r="S9781" s="10"/>
      <c r="T9781" s="10"/>
      <c r="U9781" s="10"/>
      <c r="V9781" s="10"/>
      <c r="W9781" s="10"/>
      <c r="X9781" s="10"/>
      <c r="Y9781" s="10"/>
      <c r="Z9781" s="10"/>
    </row>
    <row r="9782" spans="1:26" ht="12.75">
      <c r="A9782" s="10"/>
      <c r="B9782" s="10"/>
      <c r="C9782" s="10"/>
      <c r="D9782" s="10"/>
      <c r="E9782" s="10"/>
      <c r="F9782" s="10"/>
      <c r="G9782" s="10"/>
      <c r="H9782" s="10"/>
      <c r="I9782" s="10"/>
      <c r="J9782" s="10"/>
      <c r="K9782" s="10"/>
      <c r="L9782" s="10"/>
      <c r="M9782" s="10"/>
      <c r="N9782" s="10"/>
      <c r="O9782" s="10"/>
      <c r="P9782" s="10"/>
      <c r="Q9782" s="10"/>
      <c r="R9782" s="10"/>
      <c r="S9782" s="10"/>
      <c r="T9782" s="10"/>
      <c r="U9782" s="10"/>
      <c r="V9782" s="10"/>
      <c r="W9782" s="10"/>
      <c r="X9782" s="10"/>
      <c r="Y9782" s="10"/>
      <c r="Z9782" s="10"/>
    </row>
    <row r="9783" spans="1:26" ht="12.75">
      <c r="A9783" s="10"/>
      <c r="B9783" s="10"/>
      <c r="C9783" s="10"/>
      <c r="D9783" s="10"/>
      <c r="E9783" s="10"/>
      <c r="F9783" s="10"/>
      <c r="G9783" s="10"/>
      <c r="H9783" s="10"/>
      <c r="I9783" s="10"/>
      <c r="J9783" s="10"/>
      <c r="K9783" s="10"/>
      <c r="L9783" s="10"/>
      <c r="M9783" s="10"/>
      <c r="N9783" s="10"/>
      <c r="O9783" s="10"/>
      <c r="P9783" s="10"/>
      <c r="Q9783" s="10"/>
      <c r="R9783" s="10"/>
      <c r="S9783" s="10"/>
      <c r="T9783" s="10"/>
      <c r="U9783" s="10"/>
      <c r="V9783" s="10"/>
      <c r="W9783" s="10"/>
      <c r="X9783" s="10"/>
      <c r="Y9783" s="10"/>
      <c r="Z9783" s="10"/>
    </row>
    <row r="9784" spans="1:26" ht="12.75">
      <c r="A9784" s="10"/>
      <c r="B9784" s="10"/>
      <c r="C9784" s="10"/>
      <c r="D9784" s="10"/>
      <c r="E9784" s="10"/>
      <c r="F9784" s="10"/>
      <c r="G9784" s="10"/>
      <c r="H9784" s="10"/>
      <c r="I9784" s="10"/>
      <c r="J9784" s="10"/>
      <c r="K9784" s="10"/>
      <c r="L9784" s="10"/>
      <c r="M9784" s="10"/>
      <c r="N9784" s="10"/>
      <c r="O9784" s="10"/>
      <c r="P9784" s="10"/>
      <c r="Q9784" s="10"/>
      <c r="R9784" s="10"/>
      <c r="S9784" s="10"/>
      <c r="T9784" s="10"/>
      <c r="U9784" s="10"/>
      <c r="V9784" s="10"/>
      <c r="W9784" s="10"/>
      <c r="X9784" s="10"/>
      <c r="Y9784" s="10"/>
      <c r="Z9784" s="10"/>
    </row>
    <row r="9785" spans="1:26" ht="12.75">
      <c r="A9785" s="10"/>
      <c r="B9785" s="10"/>
      <c r="C9785" s="10"/>
      <c r="D9785" s="10"/>
      <c r="E9785" s="10"/>
      <c r="F9785" s="10"/>
      <c r="G9785" s="10"/>
      <c r="H9785" s="10"/>
      <c r="I9785" s="10"/>
      <c r="J9785" s="10"/>
      <c r="K9785" s="10"/>
      <c r="L9785" s="10"/>
      <c r="M9785" s="10"/>
      <c r="N9785" s="10"/>
      <c r="O9785" s="10"/>
      <c r="P9785" s="10"/>
      <c r="Q9785" s="10"/>
      <c r="R9785" s="10"/>
      <c r="S9785" s="10"/>
      <c r="T9785" s="10"/>
      <c r="U9785" s="10"/>
      <c r="V9785" s="10"/>
      <c r="W9785" s="10"/>
      <c r="X9785" s="10"/>
      <c r="Y9785" s="10"/>
      <c r="Z9785" s="10"/>
    </row>
    <row r="9786" spans="1:26" ht="12.75">
      <c r="A9786" s="10"/>
      <c r="B9786" s="10"/>
      <c r="C9786" s="10"/>
      <c r="D9786" s="10"/>
      <c r="E9786" s="10"/>
      <c r="F9786" s="10"/>
      <c r="G9786" s="10"/>
      <c r="H9786" s="10"/>
      <c r="I9786" s="10"/>
      <c r="J9786" s="10"/>
      <c r="K9786" s="10"/>
      <c r="L9786" s="10"/>
      <c r="M9786" s="10"/>
      <c r="N9786" s="10"/>
      <c r="O9786" s="10"/>
      <c r="P9786" s="10"/>
      <c r="Q9786" s="10"/>
      <c r="R9786" s="10"/>
      <c r="S9786" s="10"/>
      <c r="T9786" s="10"/>
      <c r="U9786" s="10"/>
      <c r="V9786" s="10"/>
      <c r="W9786" s="10"/>
      <c r="X9786" s="10"/>
      <c r="Y9786" s="10"/>
      <c r="Z9786" s="10"/>
    </row>
    <row r="9787" spans="1:26" ht="12.75">
      <c r="A9787" s="10"/>
      <c r="B9787" s="10"/>
      <c r="C9787" s="10"/>
      <c r="D9787" s="10"/>
      <c r="E9787" s="10"/>
      <c r="F9787" s="10"/>
      <c r="G9787" s="10"/>
      <c r="H9787" s="10"/>
      <c r="I9787" s="10"/>
      <c r="J9787" s="10"/>
      <c r="K9787" s="10"/>
      <c r="L9787" s="10"/>
      <c r="M9787" s="10"/>
      <c r="N9787" s="10"/>
      <c r="O9787" s="10"/>
      <c r="P9787" s="10"/>
      <c r="Q9787" s="10"/>
      <c r="R9787" s="10"/>
      <c r="S9787" s="10"/>
      <c r="T9787" s="10"/>
      <c r="U9787" s="10"/>
      <c r="V9787" s="10"/>
      <c r="W9787" s="10"/>
      <c r="X9787" s="10"/>
      <c r="Y9787" s="10"/>
      <c r="Z9787" s="10"/>
    </row>
    <row r="9788" spans="1:26" ht="12.75">
      <c r="A9788" s="10"/>
      <c r="B9788" s="10"/>
      <c r="C9788" s="10"/>
      <c r="D9788" s="10"/>
      <c r="E9788" s="10"/>
      <c r="F9788" s="10"/>
      <c r="G9788" s="10"/>
      <c r="H9788" s="10"/>
      <c r="I9788" s="10"/>
      <c r="J9788" s="10"/>
      <c r="K9788" s="10"/>
      <c r="L9788" s="10"/>
      <c r="M9788" s="10"/>
      <c r="N9788" s="10"/>
      <c r="O9788" s="10"/>
      <c r="P9788" s="10"/>
      <c r="Q9788" s="10"/>
      <c r="R9788" s="10"/>
      <c r="S9788" s="10"/>
      <c r="T9788" s="10"/>
      <c r="U9788" s="10"/>
      <c r="V9788" s="10"/>
      <c r="W9788" s="10"/>
      <c r="X9788" s="10"/>
      <c r="Y9788" s="10"/>
      <c r="Z9788" s="10"/>
    </row>
    <row r="9789" spans="1:26" ht="12.75">
      <c r="A9789" s="10"/>
      <c r="B9789" s="10"/>
      <c r="C9789" s="10"/>
      <c r="D9789" s="10"/>
      <c r="E9789" s="10"/>
      <c r="F9789" s="10"/>
      <c r="G9789" s="10"/>
      <c r="H9789" s="10"/>
      <c r="I9789" s="10"/>
      <c r="J9789" s="10"/>
      <c r="K9789" s="10"/>
      <c r="L9789" s="10"/>
      <c r="M9789" s="10"/>
      <c r="N9789" s="10"/>
      <c r="O9789" s="10"/>
      <c r="P9789" s="10"/>
      <c r="Q9789" s="10"/>
      <c r="R9789" s="10"/>
      <c r="S9789" s="10"/>
      <c r="T9789" s="10"/>
      <c r="U9789" s="10"/>
      <c r="V9789" s="10"/>
      <c r="W9789" s="10"/>
      <c r="X9789" s="10"/>
      <c r="Y9789" s="10"/>
      <c r="Z9789" s="10"/>
    </row>
    <row r="9790" spans="1:26" ht="12.75">
      <c r="A9790" s="10"/>
      <c r="B9790" s="10"/>
      <c r="C9790" s="10"/>
      <c r="D9790" s="10"/>
      <c r="E9790" s="10"/>
      <c r="F9790" s="10"/>
      <c r="G9790" s="10"/>
      <c r="H9790" s="10"/>
      <c r="I9790" s="10"/>
      <c r="J9790" s="10"/>
      <c r="K9790" s="10"/>
      <c r="L9790" s="10"/>
      <c r="M9790" s="10"/>
      <c r="N9790" s="10"/>
      <c r="O9790" s="10"/>
      <c r="P9790" s="10"/>
      <c r="Q9790" s="10"/>
      <c r="R9790" s="10"/>
      <c r="S9790" s="10"/>
      <c r="T9790" s="10"/>
      <c r="U9790" s="10"/>
      <c r="V9790" s="10"/>
      <c r="W9790" s="10"/>
      <c r="X9790" s="10"/>
      <c r="Y9790" s="10"/>
      <c r="Z9790" s="10"/>
    </row>
    <row r="9791" spans="1:26" ht="12.75">
      <c r="A9791" s="10"/>
      <c r="B9791" s="10"/>
      <c r="C9791" s="10"/>
      <c r="D9791" s="10"/>
      <c r="E9791" s="10"/>
      <c r="F9791" s="10"/>
      <c r="G9791" s="10"/>
      <c r="H9791" s="10"/>
      <c r="I9791" s="10"/>
      <c r="J9791" s="10"/>
      <c r="K9791" s="10"/>
      <c r="L9791" s="10"/>
      <c r="M9791" s="10"/>
      <c r="N9791" s="10"/>
      <c r="O9791" s="10"/>
      <c r="P9791" s="10"/>
      <c r="Q9791" s="10"/>
      <c r="R9791" s="10"/>
      <c r="S9791" s="10"/>
      <c r="T9791" s="10"/>
      <c r="U9791" s="10"/>
      <c r="V9791" s="10"/>
      <c r="W9791" s="10"/>
      <c r="X9791" s="10"/>
      <c r="Y9791" s="10"/>
      <c r="Z9791" s="10"/>
    </row>
    <row r="9792" spans="1:26" ht="12.75">
      <c r="A9792" s="10"/>
      <c r="B9792" s="10"/>
      <c r="C9792" s="10"/>
      <c r="D9792" s="10"/>
      <c r="E9792" s="10"/>
      <c r="F9792" s="10"/>
      <c r="G9792" s="10"/>
      <c r="H9792" s="10"/>
      <c r="I9792" s="10"/>
      <c r="J9792" s="10"/>
      <c r="K9792" s="10"/>
      <c r="L9792" s="10"/>
      <c r="M9792" s="10"/>
      <c r="N9792" s="10"/>
      <c r="O9792" s="10"/>
      <c r="P9792" s="10"/>
      <c r="Q9792" s="10"/>
      <c r="R9792" s="10"/>
      <c r="S9792" s="10"/>
      <c r="T9792" s="10"/>
      <c r="U9792" s="10"/>
      <c r="V9792" s="10"/>
      <c r="W9792" s="10"/>
      <c r="X9792" s="10"/>
      <c r="Y9792" s="10"/>
      <c r="Z9792" s="10"/>
    </row>
    <row r="9793" spans="1:26" ht="12.75">
      <c r="A9793" s="10"/>
      <c r="B9793" s="10"/>
      <c r="C9793" s="10"/>
      <c r="D9793" s="10"/>
      <c r="E9793" s="10"/>
      <c r="F9793" s="10"/>
      <c r="G9793" s="10"/>
      <c r="H9793" s="10"/>
      <c r="I9793" s="10"/>
      <c r="J9793" s="10"/>
      <c r="K9793" s="10"/>
      <c r="L9793" s="10"/>
      <c r="M9793" s="10"/>
      <c r="N9793" s="10"/>
      <c r="O9793" s="10"/>
      <c r="P9793" s="10"/>
      <c r="Q9793" s="10"/>
      <c r="R9793" s="10"/>
      <c r="S9793" s="10"/>
      <c r="T9793" s="10"/>
      <c r="U9793" s="10"/>
      <c r="V9793" s="10"/>
      <c r="W9793" s="10"/>
      <c r="X9793" s="10"/>
      <c r="Y9793" s="10"/>
      <c r="Z9793" s="10"/>
    </row>
    <row r="9794" spans="1:26" ht="12.75">
      <c r="A9794" s="10"/>
      <c r="B9794" s="10"/>
      <c r="C9794" s="10"/>
      <c r="D9794" s="10"/>
      <c r="E9794" s="10"/>
      <c r="F9794" s="10"/>
      <c r="G9794" s="10"/>
      <c r="H9794" s="10"/>
      <c r="I9794" s="10"/>
      <c r="J9794" s="10"/>
      <c r="K9794" s="10"/>
      <c r="L9794" s="10"/>
      <c r="M9794" s="10"/>
      <c r="N9794" s="10"/>
      <c r="O9794" s="10"/>
      <c r="P9794" s="10"/>
      <c r="Q9794" s="10"/>
      <c r="R9794" s="10"/>
      <c r="S9794" s="10"/>
      <c r="T9794" s="10"/>
      <c r="U9794" s="10"/>
      <c r="V9794" s="10"/>
      <c r="W9794" s="10"/>
      <c r="X9794" s="10"/>
      <c r="Y9794" s="10"/>
      <c r="Z9794" s="10"/>
    </row>
    <row r="9795" spans="1:26" ht="12.75">
      <c r="A9795" s="10"/>
      <c r="B9795" s="10"/>
      <c r="C9795" s="10"/>
      <c r="D9795" s="10"/>
      <c r="E9795" s="10"/>
      <c r="F9795" s="10"/>
      <c r="G9795" s="10"/>
      <c r="H9795" s="10"/>
      <c r="I9795" s="10"/>
      <c r="J9795" s="10"/>
      <c r="K9795" s="10"/>
      <c r="L9795" s="10"/>
      <c r="M9795" s="10"/>
      <c r="N9795" s="10"/>
      <c r="O9795" s="10"/>
      <c r="P9795" s="10"/>
      <c r="Q9795" s="10"/>
      <c r="R9795" s="10"/>
      <c r="S9795" s="10"/>
      <c r="T9795" s="10"/>
      <c r="U9795" s="10"/>
      <c r="V9795" s="10"/>
      <c r="W9795" s="10"/>
      <c r="X9795" s="10"/>
      <c r="Y9795" s="10"/>
      <c r="Z9795" s="10"/>
    </row>
    <row r="9796" spans="1:26" ht="12.75">
      <c r="A9796" s="10"/>
      <c r="B9796" s="10"/>
      <c r="C9796" s="10"/>
      <c r="D9796" s="10"/>
      <c r="E9796" s="10"/>
      <c r="F9796" s="10"/>
      <c r="G9796" s="10"/>
      <c r="H9796" s="10"/>
      <c r="I9796" s="10"/>
      <c r="J9796" s="10"/>
      <c r="K9796" s="10"/>
      <c r="L9796" s="10"/>
      <c r="M9796" s="10"/>
      <c r="N9796" s="10"/>
      <c r="O9796" s="10"/>
      <c r="P9796" s="10"/>
      <c r="Q9796" s="10"/>
      <c r="R9796" s="10"/>
      <c r="S9796" s="10"/>
      <c r="T9796" s="10"/>
      <c r="U9796" s="10"/>
      <c r="V9796" s="10"/>
      <c r="W9796" s="10"/>
      <c r="X9796" s="10"/>
      <c r="Y9796" s="10"/>
      <c r="Z9796" s="10"/>
    </row>
    <row r="9797" spans="1:26" ht="12.75">
      <c r="A9797" s="10"/>
      <c r="B9797" s="10"/>
      <c r="C9797" s="10"/>
      <c r="D9797" s="10"/>
      <c r="E9797" s="10"/>
      <c r="F9797" s="10"/>
      <c r="G9797" s="10"/>
      <c r="H9797" s="10"/>
      <c r="I9797" s="10"/>
      <c r="J9797" s="10"/>
      <c r="K9797" s="10"/>
      <c r="L9797" s="10"/>
      <c r="M9797" s="10"/>
      <c r="N9797" s="10"/>
      <c r="O9797" s="10"/>
      <c r="P9797" s="10"/>
      <c r="Q9797" s="10"/>
      <c r="R9797" s="10"/>
      <c r="S9797" s="10"/>
      <c r="T9797" s="10"/>
      <c r="U9797" s="10"/>
      <c r="V9797" s="10"/>
      <c r="W9797" s="10"/>
      <c r="X9797" s="10"/>
      <c r="Y9797" s="10"/>
      <c r="Z9797" s="10"/>
    </row>
    <row r="9798" spans="1:26" ht="12.75">
      <c r="A9798" s="10"/>
      <c r="B9798" s="10"/>
      <c r="C9798" s="10"/>
      <c r="D9798" s="10"/>
      <c r="E9798" s="10"/>
      <c r="F9798" s="10"/>
      <c r="G9798" s="10"/>
      <c r="H9798" s="10"/>
      <c r="I9798" s="10"/>
      <c r="J9798" s="10"/>
      <c r="K9798" s="10"/>
      <c r="L9798" s="10"/>
      <c r="M9798" s="10"/>
      <c r="N9798" s="10"/>
      <c r="O9798" s="10"/>
      <c r="P9798" s="10"/>
      <c r="Q9798" s="10"/>
      <c r="R9798" s="10"/>
      <c r="S9798" s="10"/>
      <c r="T9798" s="10"/>
      <c r="U9798" s="10"/>
      <c r="V9798" s="10"/>
      <c r="W9798" s="10"/>
      <c r="X9798" s="10"/>
      <c r="Y9798" s="10"/>
      <c r="Z9798" s="10"/>
    </row>
    <row r="9799" spans="1:26" ht="12.75">
      <c r="A9799" s="10"/>
      <c r="B9799" s="10"/>
      <c r="C9799" s="10"/>
      <c r="D9799" s="10"/>
      <c r="E9799" s="10"/>
      <c r="F9799" s="10"/>
      <c r="G9799" s="10"/>
      <c r="H9799" s="10"/>
      <c r="I9799" s="10"/>
      <c r="J9799" s="10"/>
      <c r="K9799" s="10"/>
      <c r="L9799" s="10"/>
      <c r="M9799" s="10"/>
      <c r="N9799" s="10"/>
      <c r="O9799" s="10"/>
      <c r="P9799" s="10"/>
      <c r="Q9799" s="10"/>
      <c r="R9799" s="10"/>
      <c r="S9799" s="10"/>
      <c r="T9799" s="10"/>
      <c r="U9799" s="10"/>
      <c r="V9799" s="10"/>
      <c r="W9799" s="10"/>
      <c r="X9799" s="10"/>
      <c r="Y9799" s="10"/>
      <c r="Z9799" s="10"/>
    </row>
    <row r="9800" spans="1:26" ht="12.75">
      <c r="A9800" s="10"/>
      <c r="B9800" s="10"/>
      <c r="C9800" s="10"/>
      <c r="D9800" s="10"/>
      <c r="E9800" s="10"/>
      <c r="F9800" s="10"/>
      <c r="G9800" s="10"/>
      <c r="H9800" s="10"/>
      <c r="I9800" s="10"/>
      <c r="J9800" s="10"/>
      <c r="K9800" s="10"/>
      <c r="L9800" s="10"/>
      <c r="M9800" s="10"/>
      <c r="N9800" s="10"/>
      <c r="O9800" s="10"/>
      <c r="P9800" s="10"/>
      <c r="Q9800" s="10"/>
      <c r="R9800" s="10"/>
      <c r="S9800" s="10"/>
      <c r="T9800" s="10"/>
      <c r="U9800" s="10"/>
      <c r="V9800" s="10"/>
      <c r="W9800" s="10"/>
      <c r="X9800" s="10"/>
      <c r="Y9800" s="10"/>
      <c r="Z9800" s="10"/>
    </row>
    <row r="9801" spans="1:26" ht="12.75">
      <c r="A9801" s="10"/>
      <c r="B9801" s="10"/>
      <c r="C9801" s="10"/>
      <c r="D9801" s="10"/>
      <c r="E9801" s="10"/>
      <c r="F9801" s="10"/>
      <c r="G9801" s="10"/>
      <c r="H9801" s="10"/>
      <c r="I9801" s="10"/>
      <c r="J9801" s="10"/>
      <c r="K9801" s="10"/>
      <c r="L9801" s="10"/>
      <c r="M9801" s="10"/>
      <c r="N9801" s="10"/>
      <c r="O9801" s="10"/>
      <c r="P9801" s="10"/>
      <c r="Q9801" s="10"/>
      <c r="R9801" s="10"/>
      <c r="S9801" s="10"/>
      <c r="T9801" s="10"/>
      <c r="U9801" s="10"/>
      <c r="V9801" s="10"/>
      <c r="W9801" s="10"/>
      <c r="X9801" s="10"/>
      <c r="Y9801" s="10"/>
      <c r="Z9801" s="10"/>
    </row>
    <row r="9802" spans="1:26" ht="12.75">
      <c r="A9802" s="10"/>
      <c r="B9802" s="10"/>
      <c r="C9802" s="10"/>
      <c r="D9802" s="10"/>
      <c r="E9802" s="10"/>
      <c r="F9802" s="10"/>
      <c r="G9802" s="10"/>
      <c r="H9802" s="10"/>
      <c r="I9802" s="10"/>
      <c r="J9802" s="10"/>
      <c r="K9802" s="10"/>
      <c r="L9802" s="10"/>
      <c r="M9802" s="10"/>
      <c r="N9802" s="10"/>
      <c r="O9802" s="10"/>
      <c r="P9802" s="10"/>
      <c r="Q9802" s="10"/>
      <c r="R9802" s="10"/>
      <c r="S9802" s="10"/>
      <c r="T9802" s="10"/>
      <c r="U9802" s="10"/>
      <c r="V9802" s="10"/>
      <c r="W9802" s="10"/>
      <c r="X9802" s="10"/>
      <c r="Y9802" s="10"/>
      <c r="Z9802" s="10"/>
    </row>
    <row r="9803" spans="1:26" ht="12.75">
      <c r="A9803" s="10"/>
      <c r="B9803" s="10"/>
      <c r="C9803" s="10"/>
      <c r="D9803" s="10"/>
      <c r="E9803" s="10"/>
      <c r="F9803" s="10"/>
      <c r="G9803" s="10"/>
      <c r="H9803" s="10"/>
      <c r="I9803" s="10"/>
      <c r="J9803" s="10"/>
      <c r="K9803" s="10"/>
      <c r="L9803" s="10"/>
      <c r="M9803" s="10"/>
      <c r="N9803" s="10"/>
      <c r="O9803" s="10"/>
      <c r="P9803" s="10"/>
      <c r="Q9803" s="10"/>
      <c r="R9803" s="10"/>
      <c r="S9803" s="10"/>
      <c r="T9803" s="10"/>
      <c r="U9803" s="10"/>
      <c r="V9803" s="10"/>
      <c r="W9803" s="10"/>
      <c r="X9803" s="10"/>
      <c r="Y9803" s="10"/>
      <c r="Z9803" s="10"/>
    </row>
    <row r="9804" spans="1:26" ht="12.75">
      <c r="A9804" s="10"/>
      <c r="B9804" s="10"/>
      <c r="C9804" s="10"/>
      <c r="D9804" s="10"/>
      <c r="E9804" s="10"/>
      <c r="F9804" s="10"/>
      <c r="G9804" s="10"/>
      <c r="H9804" s="10"/>
      <c r="I9804" s="10"/>
      <c r="J9804" s="10"/>
      <c r="K9804" s="10"/>
      <c r="L9804" s="10"/>
      <c r="M9804" s="10"/>
      <c r="N9804" s="10"/>
      <c r="O9804" s="10"/>
      <c r="P9804" s="10"/>
      <c r="Q9804" s="10"/>
      <c r="R9804" s="10"/>
      <c r="S9804" s="10"/>
      <c r="T9804" s="10"/>
      <c r="U9804" s="10"/>
      <c r="V9804" s="10"/>
      <c r="W9804" s="10"/>
      <c r="X9804" s="10"/>
      <c r="Y9804" s="10"/>
      <c r="Z9804" s="10"/>
    </row>
    <row r="9805" spans="1:26" ht="12.75">
      <c r="A9805" s="10"/>
      <c r="B9805" s="10"/>
      <c r="C9805" s="10"/>
      <c r="D9805" s="10"/>
      <c r="E9805" s="10"/>
      <c r="F9805" s="10"/>
      <c r="G9805" s="10"/>
      <c r="H9805" s="10"/>
      <c r="I9805" s="10"/>
      <c r="J9805" s="10"/>
      <c r="K9805" s="10"/>
      <c r="L9805" s="10"/>
      <c r="M9805" s="10"/>
      <c r="N9805" s="10"/>
      <c r="O9805" s="10"/>
      <c r="P9805" s="10"/>
      <c r="Q9805" s="10"/>
      <c r="R9805" s="10"/>
      <c r="S9805" s="10"/>
      <c r="T9805" s="10"/>
      <c r="U9805" s="10"/>
      <c r="V9805" s="10"/>
      <c r="W9805" s="10"/>
      <c r="X9805" s="10"/>
      <c r="Y9805" s="10"/>
      <c r="Z9805" s="10"/>
    </row>
    <row r="9806" spans="1:26" ht="12.75">
      <c r="A9806" s="10"/>
      <c r="B9806" s="10"/>
      <c r="C9806" s="10"/>
      <c r="D9806" s="10"/>
      <c r="E9806" s="10"/>
      <c r="F9806" s="10"/>
      <c r="G9806" s="10"/>
      <c r="H9806" s="10"/>
      <c r="I9806" s="10"/>
      <c r="J9806" s="10"/>
      <c r="K9806" s="10"/>
      <c r="L9806" s="10"/>
      <c r="M9806" s="10"/>
      <c r="N9806" s="10"/>
      <c r="O9806" s="10"/>
      <c r="P9806" s="10"/>
      <c r="Q9806" s="10"/>
      <c r="R9806" s="10"/>
      <c r="S9806" s="10"/>
      <c r="T9806" s="10"/>
      <c r="U9806" s="10"/>
      <c r="V9806" s="10"/>
      <c r="W9806" s="10"/>
      <c r="X9806" s="10"/>
      <c r="Y9806" s="10"/>
      <c r="Z9806" s="10"/>
    </row>
    <row r="9807" spans="1:26" ht="12.75">
      <c r="A9807" s="10"/>
      <c r="B9807" s="10"/>
      <c r="C9807" s="10"/>
      <c r="D9807" s="10"/>
      <c r="E9807" s="10"/>
      <c r="F9807" s="10"/>
      <c r="G9807" s="10"/>
      <c r="H9807" s="10"/>
      <c r="I9807" s="10"/>
      <c r="J9807" s="10"/>
      <c r="K9807" s="10"/>
      <c r="L9807" s="10"/>
      <c r="M9807" s="10"/>
      <c r="N9807" s="10"/>
      <c r="O9807" s="10"/>
      <c r="P9807" s="10"/>
      <c r="Q9807" s="10"/>
      <c r="R9807" s="10"/>
      <c r="S9807" s="10"/>
      <c r="T9807" s="10"/>
      <c r="U9807" s="10"/>
      <c r="V9807" s="10"/>
      <c r="W9807" s="10"/>
      <c r="X9807" s="10"/>
      <c r="Y9807" s="10"/>
      <c r="Z9807" s="10"/>
    </row>
    <row r="9808" spans="1:26" ht="12.75">
      <c r="A9808" s="10"/>
      <c r="B9808" s="10"/>
      <c r="C9808" s="10"/>
      <c r="D9808" s="10"/>
      <c r="E9808" s="10"/>
      <c r="F9808" s="10"/>
      <c r="G9808" s="10"/>
      <c r="H9808" s="10"/>
      <c r="I9808" s="10"/>
      <c r="J9808" s="10"/>
      <c r="K9808" s="10"/>
      <c r="L9808" s="10"/>
      <c r="M9808" s="10"/>
      <c r="N9808" s="10"/>
      <c r="O9808" s="10"/>
      <c r="P9808" s="10"/>
      <c r="Q9808" s="10"/>
      <c r="R9808" s="10"/>
      <c r="S9808" s="10"/>
      <c r="T9808" s="10"/>
      <c r="U9808" s="10"/>
      <c r="V9808" s="10"/>
      <c r="W9808" s="10"/>
      <c r="X9808" s="10"/>
      <c r="Y9808" s="10"/>
      <c r="Z9808" s="10"/>
    </row>
    <row r="9809" spans="1:26" ht="12.75">
      <c r="A9809" s="10"/>
      <c r="B9809" s="10"/>
      <c r="C9809" s="10"/>
      <c r="D9809" s="10"/>
      <c r="E9809" s="10"/>
      <c r="F9809" s="10"/>
      <c r="G9809" s="10"/>
      <c r="H9809" s="10"/>
      <c r="I9809" s="10"/>
      <c r="J9809" s="10"/>
      <c r="K9809" s="10"/>
      <c r="L9809" s="10"/>
      <c r="M9809" s="10"/>
      <c r="N9809" s="10"/>
      <c r="O9809" s="10"/>
      <c r="P9809" s="10"/>
      <c r="Q9809" s="10"/>
      <c r="R9809" s="10"/>
      <c r="S9809" s="10"/>
      <c r="T9809" s="10"/>
      <c r="U9809" s="10"/>
      <c r="V9809" s="10"/>
      <c r="W9809" s="10"/>
      <c r="X9809" s="10"/>
      <c r="Y9809" s="10"/>
      <c r="Z9809" s="10"/>
    </row>
    <row r="9810" spans="1:26" ht="12.75">
      <c r="A9810" s="10"/>
      <c r="B9810" s="10"/>
      <c r="C9810" s="10"/>
      <c r="D9810" s="10"/>
      <c r="E9810" s="10"/>
      <c r="F9810" s="10"/>
      <c r="G9810" s="10"/>
      <c r="H9810" s="10"/>
      <c r="I9810" s="10"/>
      <c r="J9810" s="10"/>
      <c r="K9810" s="10"/>
      <c r="L9810" s="10"/>
      <c r="M9810" s="10"/>
      <c r="N9810" s="10"/>
      <c r="O9810" s="10"/>
      <c r="P9810" s="10"/>
      <c r="Q9810" s="10"/>
      <c r="R9810" s="10"/>
      <c r="S9810" s="10"/>
      <c r="T9810" s="10"/>
      <c r="U9810" s="10"/>
      <c r="V9810" s="10"/>
      <c r="W9810" s="10"/>
      <c r="X9810" s="10"/>
      <c r="Y9810" s="10"/>
      <c r="Z9810" s="10"/>
    </row>
    <row r="9811" spans="1:26" ht="12.75">
      <c r="A9811" s="10"/>
      <c r="B9811" s="10"/>
      <c r="C9811" s="10"/>
      <c r="D9811" s="10"/>
      <c r="E9811" s="10"/>
      <c r="F9811" s="10"/>
      <c r="G9811" s="10"/>
      <c r="H9811" s="10"/>
      <c r="I9811" s="10"/>
      <c r="J9811" s="10"/>
      <c r="K9811" s="10"/>
      <c r="L9811" s="10"/>
      <c r="M9811" s="10"/>
      <c r="N9811" s="10"/>
      <c r="O9811" s="10"/>
      <c r="P9811" s="10"/>
      <c r="Q9811" s="10"/>
      <c r="R9811" s="10"/>
      <c r="S9811" s="10"/>
      <c r="T9811" s="10"/>
      <c r="U9811" s="10"/>
      <c r="V9811" s="10"/>
      <c r="W9811" s="10"/>
      <c r="X9811" s="10"/>
      <c r="Y9811" s="10"/>
      <c r="Z9811" s="10"/>
    </row>
    <row r="9812" spans="1:26" ht="12.75">
      <c r="A9812" s="10"/>
      <c r="B9812" s="10"/>
      <c r="C9812" s="10"/>
      <c r="D9812" s="10"/>
      <c r="E9812" s="10"/>
      <c r="F9812" s="10"/>
      <c r="G9812" s="10"/>
      <c r="H9812" s="10"/>
      <c r="I9812" s="10"/>
      <c r="J9812" s="10"/>
      <c r="K9812" s="10"/>
      <c r="L9812" s="10"/>
      <c r="M9812" s="10"/>
      <c r="N9812" s="10"/>
      <c r="O9812" s="10"/>
      <c r="P9812" s="10"/>
      <c r="Q9812" s="10"/>
      <c r="R9812" s="10"/>
      <c r="S9812" s="10"/>
      <c r="T9812" s="10"/>
      <c r="U9812" s="10"/>
      <c r="V9812" s="10"/>
      <c r="W9812" s="10"/>
      <c r="X9812" s="10"/>
      <c r="Y9812" s="10"/>
      <c r="Z9812" s="10"/>
    </row>
    <row r="9813" spans="1:26" ht="12.75">
      <c r="A9813" s="10"/>
      <c r="B9813" s="10"/>
      <c r="C9813" s="10"/>
      <c r="D9813" s="10"/>
      <c r="E9813" s="10"/>
      <c r="F9813" s="10"/>
      <c r="G9813" s="10"/>
      <c r="H9813" s="10"/>
      <c r="I9813" s="10"/>
      <c r="J9813" s="10"/>
      <c r="K9813" s="10"/>
      <c r="L9813" s="10"/>
      <c r="M9813" s="10"/>
      <c r="N9813" s="10"/>
      <c r="O9813" s="10"/>
      <c r="P9813" s="10"/>
      <c r="Q9813" s="10"/>
      <c r="R9813" s="10"/>
      <c r="S9813" s="10"/>
      <c r="T9813" s="10"/>
      <c r="U9813" s="10"/>
      <c r="V9813" s="10"/>
      <c r="W9813" s="10"/>
      <c r="X9813" s="10"/>
      <c r="Y9813" s="10"/>
      <c r="Z9813" s="10"/>
    </row>
    <row r="9814" spans="1:26" ht="12.75">
      <c r="A9814" s="10"/>
      <c r="B9814" s="10"/>
      <c r="C9814" s="10"/>
      <c r="D9814" s="10"/>
      <c r="E9814" s="10"/>
      <c r="F9814" s="10"/>
      <c r="G9814" s="10"/>
      <c r="H9814" s="10"/>
      <c r="I9814" s="10"/>
      <c r="J9814" s="10"/>
      <c r="K9814" s="10"/>
      <c r="L9814" s="10"/>
      <c r="M9814" s="10"/>
      <c r="N9814" s="10"/>
      <c r="O9814" s="10"/>
      <c r="P9814" s="10"/>
      <c r="Q9814" s="10"/>
      <c r="R9814" s="10"/>
      <c r="S9814" s="10"/>
      <c r="T9814" s="10"/>
      <c r="U9814" s="10"/>
      <c r="V9814" s="10"/>
      <c r="W9814" s="10"/>
      <c r="X9814" s="10"/>
      <c r="Y9814" s="10"/>
      <c r="Z9814" s="10"/>
    </row>
    <row r="9815" spans="1:26" ht="12.75">
      <c r="A9815" s="10"/>
      <c r="B9815" s="10"/>
      <c r="C9815" s="10"/>
      <c r="D9815" s="10"/>
      <c r="E9815" s="10"/>
      <c r="F9815" s="10"/>
      <c r="G9815" s="10"/>
      <c r="H9815" s="10"/>
      <c r="I9815" s="10"/>
      <c r="J9815" s="10"/>
      <c r="K9815" s="10"/>
      <c r="L9815" s="10"/>
      <c r="M9815" s="10"/>
      <c r="N9815" s="10"/>
      <c r="O9815" s="10"/>
      <c r="P9815" s="10"/>
      <c r="Q9815" s="10"/>
      <c r="R9815" s="10"/>
      <c r="S9815" s="10"/>
      <c r="T9815" s="10"/>
      <c r="U9815" s="10"/>
      <c r="V9815" s="10"/>
      <c r="W9815" s="10"/>
      <c r="X9815" s="10"/>
      <c r="Y9815" s="10"/>
      <c r="Z9815" s="10"/>
    </row>
    <row r="9816" spans="1:26" ht="12.75">
      <c r="A9816" s="10"/>
      <c r="B9816" s="10"/>
      <c r="C9816" s="10"/>
      <c r="D9816" s="10"/>
      <c r="E9816" s="10"/>
      <c r="F9816" s="10"/>
      <c r="G9816" s="10"/>
      <c r="H9816" s="10"/>
      <c r="I9816" s="10"/>
      <c r="J9816" s="10"/>
      <c r="K9816" s="10"/>
      <c r="L9816" s="10"/>
      <c r="M9816" s="10"/>
      <c r="N9816" s="10"/>
      <c r="O9816" s="10"/>
      <c r="P9816" s="10"/>
      <c r="Q9816" s="10"/>
      <c r="R9816" s="10"/>
      <c r="S9816" s="10"/>
      <c r="T9816" s="10"/>
      <c r="U9816" s="10"/>
      <c r="V9816" s="10"/>
      <c r="W9816" s="10"/>
      <c r="X9816" s="10"/>
      <c r="Y9816" s="10"/>
      <c r="Z9816" s="10"/>
    </row>
    <row r="9817" spans="1:26" ht="12.75">
      <c r="A9817" s="10"/>
      <c r="B9817" s="10"/>
      <c r="C9817" s="10"/>
      <c r="D9817" s="10"/>
      <c r="E9817" s="10"/>
      <c r="F9817" s="10"/>
      <c r="G9817" s="10"/>
      <c r="H9817" s="10"/>
      <c r="I9817" s="10"/>
      <c r="J9817" s="10"/>
      <c r="K9817" s="10"/>
      <c r="L9817" s="10"/>
      <c r="M9817" s="10"/>
      <c r="N9817" s="10"/>
      <c r="O9817" s="10"/>
      <c r="P9817" s="10"/>
      <c r="Q9817" s="10"/>
      <c r="R9817" s="10"/>
      <c r="S9817" s="10"/>
      <c r="T9817" s="10"/>
      <c r="U9817" s="10"/>
      <c r="V9817" s="10"/>
      <c r="W9817" s="10"/>
      <c r="X9817" s="10"/>
      <c r="Y9817" s="10"/>
      <c r="Z9817" s="10"/>
    </row>
    <row r="9818" spans="1:26" ht="12.75">
      <c r="A9818" s="10"/>
      <c r="B9818" s="10"/>
      <c r="C9818" s="10"/>
      <c r="D9818" s="10"/>
      <c r="E9818" s="10"/>
      <c r="F9818" s="10"/>
      <c r="G9818" s="10"/>
      <c r="H9818" s="10"/>
      <c r="I9818" s="10"/>
      <c r="J9818" s="10"/>
      <c r="K9818" s="10"/>
      <c r="L9818" s="10"/>
      <c r="M9818" s="10"/>
      <c r="N9818" s="10"/>
      <c r="O9818" s="10"/>
      <c r="P9818" s="10"/>
      <c r="Q9818" s="10"/>
      <c r="R9818" s="10"/>
      <c r="S9818" s="10"/>
      <c r="T9818" s="10"/>
      <c r="U9818" s="10"/>
      <c r="V9818" s="10"/>
      <c r="W9818" s="10"/>
      <c r="X9818" s="10"/>
      <c r="Y9818" s="10"/>
      <c r="Z9818" s="10"/>
    </row>
    <row r="9819" spans="1:26" ht="12.75">
      <c r="A9819" s="10"/>
      <c r="B9819" s="10"/>
      <c r="C9819" s="10"/>
      <c r="D9819" s="10"/>
      <c r="E9819" s="10"/>
      <c r="F9819" s="10"/>
      <c r="G9819" s="10"/>
      <c r="H9819" s="10"/>
      <c r="I9819" s="10"/>
      <c r="J9819" s="10"/>
      <c r="K9819" s="10"/>
      <c r="L9819" s="10"/>
      <c r="M9819" s="10"/>
      <c r="N9819" s="10"/>
      <c r="O9819" s="10"/>
      <c r="P9819" s="10"/>
      <c r="Q9819" s="10"/>
      <c r="R9819" s="10"/>
      <c r="S9819" s="10"/>
      <c r="T9819" s="10"/>
      <c r="U9819" s="10"/>
      <c r="V9819" s="10"/>
      <c r="W9819" s="10"/>
      <c r="X9819" s="10"/>
      <c r="Y9819" s="10"/>
      <c r="Z9819" s="10"/>
    </row>
    <row r="9820" spans="1:26" ht="12.75">
      <c r="A9820" s="10"/>
      <c r="B9820" s="10"/>
      <c r="C9820" s="10"/>
      <c r="D9820" s="10"/>
      <c r="E9820" s="10"/>
      <c r="F9820" s="10"/>
      <c r="G9820" s="10"/>
      <c r="H9820" s="10"/>
      <c r="I9820" s="10"/>
      <c r="J9820" s="10"/>
      <c r="K9820" s="10"/>
      <c r="L9820" s="10"/>
      <c r="M9820" s="10"/>
      <c r="N9820" s="10"/>
      <c r="O9820" s="10"/>
      <c r="P9820" s="10"/>
      <c r="Q9820" s="10"/>
      <c r="R9820" s="10"/>
      <c r="S9820" s="10"/>
      <c r="T9820" s="10"/>
      <c r="U9820" s="10"/>
      <c r="V9820" s="10"/>
      <c r="W9820" s="10"/>
      <c r="X9820" s="10"/>
      <c r="Y9820" s="10"/>
      <c r="Z9820" s="10"/>
    </row>
    <row r="9821" spans="1:26" ht="12.75">
      <c r="A9821" s="10"/>
      <c r="B9821" s="10"/>
      <c r="C9821" s="10"/>
      <c r="D9821" s="10"/>
      <c r="E9821" s="10"/>
      <c r="F9821" s="10"/>
      <c r="G9821" s="10"/>
      <c r="H9821" s="10"/>
      <c r="I9821" s="10"/>
      <c r="J9821" s="10"/>
      <c r="K9821" s="10"/>
      <c r="L9821" s="10"/>
      <c r="M9821" s="10"/>
      <c r="N9821" s="10"/>
      <c r="O9821" s="10"/>
      <c r="P9821" s="10"/>
      <c r="Q9821" s="10"/>
      <c r="R9821" s="10"/>
      <c r="S9821" s="10"/>
      <c r="T9821" s="10"/>
      <c r="U9821" s="10"/>
      <c r="V9821" s="10"/>
      <c r="W9821" s="10"/>
      <c r="X9821" s="10"/>
      <c r="Y9821" s="10"/>
      <c r="Z9821" s="10"/>
    </row>
    <row r="9822" spans="1:26" ht="12.75">
      <c r="A9822" s="10"/>
      <c r="B9822" s="10"/>
      <c r="C9822" s="10"/>
      <c r="D9822" s="10"/>
      <c r="E9822" s="10"/>
      <c r="F9822" s="10"/>
      <c r="G9822" s="10"/>
      <c r="H9822" s="10"/>
      <c r="I9822" s="10"/>
      <c r="J9822" s="10"/>
      <c r="K9822" s="10"/>
      <c r="L9822" s="10"/>
      <c r="M9822" s="10"/>
      <c r="N9822" s="10"/>
      <c r="O9822" s="10"/>
      <c r="P9822" s="10"/>
      <c r="Q9822" s="10"/>
      <c r="R9822" s="10"/>
      <c r="S9822" s="10"/>
      <c r="T9822" s="10"/>
      <c r="U9822" s="10"/>
      <c r="V9822" s="10"/>
      <c r="W9822" s="10"/>
      <c r="X9822" s="10"/>
      <c r="Y9822" s="10"/>
      <c r="Z9822" s="10"/>
    </row>
    <row r="9823" spans="1:26" ht="12.75">
      <c r="A9823" s="10"/>
      <c r="B9823" s="10"/>
      <c r="C9823" s="10"/>
      <c r="D9823" s="10"/>
      <c r="E9823" s="10"/>
      <c r="F9823" s="10"/>
      <c r="G9823" s="10"/>
      <c r="H9823" s="10"/>
      <c r="I9823" s="10"/>
      <c r="J9823" s="10"/>
      <c r="K9823" s="10"/>
      <c r="L9823" s="10"/>
      <c r="M9823" s="10"/>
      <c r="N9823" s="10"/>
      <c r="O9823" s="10"/>
      <c r="P9823" s="10"/>
      <c r="Q9823" s="10"/>
      <c r="R9823" s="10"/>
      <c r="S9823" s="10"/>
      <c r="T9823" s="10"/>
      <c r="U9823" s="10"/>
      <c r="V9823" s="10"/>
      <c r="W9823" s="10"/>
      <c r="X9823" s="10"/>
      <c r="Y9823" s="10"/>
      <c r="Z9823" s="10"/>
    </row>
    <row r="9824" spans="1:26" ht="12.75">
      <c r="A9824" s="10"/>
      <c r="B9824" s="10"/>
      <c r="C9824" s="10"/>
      <c r="D9824" s="10"/>
      <c r="E9824" s="10"/>
      <c r="F9824" s="10"/>
      <c r="G9824" s="10"/>
      <c r="H9824" s="10"/>
      <c r="I9824" s="10"/>
      <c r="J9824" s="10"/>
      <c r="K9824" s="10"/>
      <c r="L9824" s="10"/>
      <c r="M9824" s="10"/>
      <c r="N9824" s="10"/>
      <c r="O9824" s="10"/>
      <c r="P9824" s="10"/>
      <c r="Q9824" s="10"/>
      <c r="R9824" s="10"/>
      <c r="S9824" s="10"/>
      <c r="T9824" s="10"/>
      <c r="U9824" s="10"/>
      <c r="V9824" s="10"/>
      <c r="W9824" s="10"/>
      <c r="X9824" s="10"/>
      <c r="Y9824" s="10"/>
      <c r="Z9824" s="10"/>
    </row>
    <row r="9825" spans="1:26" ht="12.75">
      <c r="A9825" s="10"/>
      <c r="B9825" s="10"/>
      <c r="C9825" s="10"/>
      <c r="D9825" s="10"/>
      <c r="E9825" s="10"/>
      <c r="F9825" s="10"/>
      <c r="G9825" s="10"/>
      <c r="H9825" s="10"/>
      <c r="I9825" s="10"/>
      <c r="J9825" s="10"/>
      <c r="K9825" s="10"/>
      <c r="L9825" s="10"/>
      <c r="M9825" s="10"/>
      <c r="N9825" s="10"/>
      <c r="O9825" s="10"/>
      <c r="P9825" s="10"/>
      <c r="Q9825" s="10"/>
      <c r="R9825" s="10"/>
      <c r="S9825" s="10"/>
      <c r="T9825" s="10"/>
      <c r="U9825" s="10"/>
      <c r="V9825" s="10"/>
      <c r="W9825" s="10"/>
      <c r="X9825" s="10"/>
      <c r="Y9825" s="10"/>
      <c r="Z9825" s="10"/>
    </row>
    <row r="9826" spans="1:26" ht="12.75">
      <c r="A9826" s="10"/>
      <c r="B9826" s="10"/>
      <c r="C9826" s="10"/>
      <c r="D9826" s="10"/>
      <c r="E9826" s="10"/>
      <c r="F9826" s="10"/>
      <c r="G9826" s="10"/>
      <c r="H9826" s="10"/>
      <c r="I9826" s="10"/>
      <c r="J9826" s="10"/>
      <c r="K9826" s="10"/>
      <c r="L9826" s="10"/>
      <c r="M9826" s="10"/>
      <c r="N9826" s="10"/>
      <c r="O9826" s="10"/>
      <c r="P9826" s="10"/>
      <c r="Q9826" s="10"/>
      <c r="R9826" s="10"/>
      <c r="S9826" s="10"/>
      <c r="T9826" s="10"/>
      <c r="U9826" s="10"/>
      <c r="V9826" s="10"/>
      <c r="W9826" s="10"/>
      <c r="X9826" s="10"/>
      <c r="Y9826" s="10"/>
      <c r="Z9826" s="10"/>
    </row>
    <row r="9827" spans="1:26" ht="12.75">
      <c r="A9827" s="10"/>
      <c r="B9827" s="10"/>
      <c r="C9827" s="10"/>
      <c r="D9827" s="10"/>
      <c r="E9827" s="10"/>
      <c r="F9827" s="10"/>
      <c r="G9827" s="10"/>
      <c r="H9827" s="10"/>
      <c r="I9827" s="10"/>
      <c r="J9827" s="10"/>
      <c r="K9827" s="10"/>
      <c r="L9827" s="10"/>
      <c r="M9827" s="10"/>
      <c r="N9827" s="10"/>
      <c r="O9827" s="10"/>
      <c r="P9827" s="10"/>
      <c r="Q9827" s="10"/>
      <c r="R9827" s="10"/>
      <c r="S9827" s="10"/>
      <c r="T9827" s="10"/>
      <c r="U9827" s="10"/>
      <c r="V9827" s="10"/>
      <c r="W9827" s="10"/>
      <c r="X9827" s="10"/>
      <c r="Y9827" s="10"/>
      <c r="Z9827" s="10"/>
    </row>
    <row r="9828" spans="1:26" ht="12.75">
      <c r="A9828" s="10"/>
      <c r="B9828" s="10"/>
      <c r="C9828" s="10"/>
      <c r="D9828" s="10"/>
      <c r="E9828" s="10"/>
      <c r="F9828" s="10"/>
      <c r="G9828" s="10"/>
      <c r="H9828" s="10"/>
      <c r="I9828" s="10"/>
      <c r="J9828" s="10"/>
      <c r="K9828" s="10"/>
      <c r="L9828" s="10"/>
      <c r="M9828" s="10"/>
      <c r="N9828" s="10"/>
      <c r="O9828" s="10"/>
      <c r="P9828" s="10"/>
      <c r="Q9828" s="10"/>
      <c r="R9828" s="10"/>
      <c r="S9828" s="10"/>
      <c r="T9828" s="10"/>
      <c r="U9828" s="10"/>
      <c r="V9828" s="10"/>
      <c r="W9828" s="10"/>
      <c r="X9828" s="10"/>
      <c r="Y9828" s="10"/>
      <c r="Z9828" s="10"/>
    </row>
    <row r="9829" spans="1:26" ht="12.75">
      <c r="A9829" s="10"/>
      <c r="B9829" s="10"/>
      <c r="C9829" s="10"/>
      <c r="D9829" s="10"/>
      <c r="E9829" s="10"/>
      <c r="F9829" s="10"/>
      <c r="G9829" s="10"/>
      <c r="H9829" s="10"/>
      <c r="I9829" s="10"/>
      <c r="J9829" s="10"/>
      <c r="K9829" s="10"/>
      <c r="L9829" s="10"/>
      <c r="M9829" s="10"/>
      <c r="N9829" s="10"/>
      <c r="O9829" s="10"/>
      <c r="P9829" s="10"/>
      <c r="Q9829" s="10"/>
      <c r="R9829" s="10"/>
      <c r="S9829" s="10"/>
      <c r="T9829" s="10"/>
      <c r="U9829" s="10"/>
      <c r="V9829" s="10"/>
      <c r="W9829" s="10"/>
      <c r="X9829" s="10"/>
      <c r="Y9829" s="10"/>
      <c r="Z9829" s="10"/>
    </row>
    <row r="9830" spans="1:26" ht="12.75">
      <c r="A9830" s="10"/>
      <c r="B9830" s="10"/>
      <c r="C9830" s="10"/>
      <c r="D9830" s="10"/>
      <c r="E9830" s="10"/>
      <c r="F9830" s="10"/>
      <c r="G9830" s="10"/>
      <c r="H9830" s="10"/>
      <c r="I9830" s="10"/>
      <c r="J9830" s="10"/>
      <c r="K9830" s="10"/>
      <c r="L9830" s="10"/>
      <c r="M9830" s="10"/>
      <c r="N9830" s="10"/>
      <c r="O9830" s="10"/>
      <c r="P9830" s="10"/>
      <c r="Q9830" s="10"/>
      <c r="R9830" s="10"/>
      <c r="S9830" s="10"/>
      <c r="T9830" s="10"/>
      <c r="U9830" s="10"/>
      <c r="V9830" s="10"/>
      <c r="W9830" s="10"/>
      <c r="X9830" s="10"/>
      <c r="Y9830" s="10"/>
      <c r="Z9830" s="10"/>
    </row>
    <row r="9831" spans="1:26" ht="12.75">
      <c r="A9831" s="10"/>
      <c r="B9831" s="10"/>
      <c r="C9831" s="10"/>
      <c r="D9831" s="10"/>
      <c r="E9831" s="10"/>
      <c r="F9831" s="10"/>
      <c r="G9831" s="10"/>
      <c r="H9831" s="10"/>
      <c r="I9831" s="10"/>
      <c r="J9831" s="10"/>
      <c r="K9831" s="10"/>
      <c r="L9831" s="10"/>
      <c r="M9831" s="10"/>
      <c r="N9831" s="10"/>
      <c r="O9831" s="10"/>
      <c r="P9831" s="10"/>
      <c r="Q9831" s="10"/>
      <c r="R9831" s="10"/>
      <c r="S9831" s="10"/>
      <c r="T9831" s="10"/>
      <c r="U9831" s="10"/>
      <c r="V9831" s="10"/>
      <c r="W9831" s="10"/>
      <c r="X9831" s="10"/>
      <c r="Y9831" s="10"/>
      <c r="Z9831" s="10"/>
    </row>
    <row r="9832" spans="1:26" ht="12.75">
      <c r="A9832" s="10"/>
      <c r="B9832" s="10"/>
      <c r="C9832" s="10"/>
      <c r="D9832" s="10"/>
      <c r="E9832" s="10"/>
      <c r="F9832" s="10"/>
      <c r="G9832" s="10"/>
      <c r="H9832" s="10"/>
      <c r="I9832" s="10"/>
      <c r="J9832" s="10"/>
      <c r="K9832" s="10"/>
      <c r="L9832" s="10"/>
      <c r="M9832" s="10"/>
      <c r="N9832" s="10"/>
      <c r="O9832" s="10"/>
      <c r="P9832" s="10"/>
      <c r="Q9832" s="10"/>
      <c r="R9832" s="10"/>
      <c r="S9832" s="10"/>
      <c r="T9832" s="10"/>
      <c r="U9832" s="10"/>
      <c r="V9832" s="10"/>
      <c r="W9832" s="10"/>
      <c r="X9832" s="10"/>
      <c r="Y9832" s="10"/>
      <c r="Z9832" s="10"/>
    </row>
    <row r="9833" spans="1:26" ht="12.75">
      <c r="A9833" s="10"/>
      <c r="B9833" s="10"/>
      <c r="C9833" s="10"/>
      <c r="D9833" s="10"/>
      <c r="E9833" s="10"/>
      <c r="F9833" s="10"/>
      <c r="G9833" s="10"/>
      <c r="H9833" s="10"/>
      <c r="I9833" s="10"/>
      <c r="J9833" s="10"/>
      <c r="K9833" s="10"/>
      <c r="L9833" s="10"/>
      <c r="M9833" s="10"/>
      <c r="N9833" s="10"/>
      <c r="O9833" s="10"/>
      <c r="P9833" s="10"/>
      <c r="Q9833" s="10"/>
      <c r="R9833" s="10"/>
      <c r="S9833" s="10"/>
      <c r="T9833" s="10"/>
      <c r="U9833" s="10"/>
      <c r="V9833" s="10"/>
      <c r="W9833" s="10"/>
      <c r="X9833" s="10"/>
      <c r="Y9833" s="10"/>
      <c r="Z9833" s="10"/>
    </row>
    <row r="9834" spans="1:26" ht="12.75">
      <c r="A9834" s="10"/>
      <c r="B9834" s="10"/>
      <c r="C9834" s="10"/>
      <c r="D9834" s="10"/>
      <c r="E9834" s="10"/>
      <c r="F9834" s="10"/>
      <c r="G9834" s="10"/>
      <c r="H9834" s="10"/>
      <c r="I9834" s="10"/>
      <c r="J9834" s="10"/>
      <c r="K9834" s="10"/>
      <c r="L9834" s="10"/>
      <c r="M9834" s="10"/>
      <c r="N9834" s="10"/>
      <c r="O9834" s="10"/>
      <c r="P9834" s="10"/>
      <c r="Q9834" s="10"/>
      <c r="R9834" s="10"/>
      <c r="S9834" s="10"/>
      <c r="T9834" s="10"/>
      <c r="U9834" s="10"/>
      <c r="V9834" s="10"/>
      <c r="W9834" s="10"/>
      <c r="X9834" s="10"/>
      <c r="Y9834" s="10"/>
      <c r="Z9834" s="10"/>
    </row>
    <row r="9835" spans="1:26" ht="12.75">
      <c r="A9835" s="10"/>
      <c r="B9835" s="10"/>
      <c r="C9835" s="10"/>
      <c r="D9835" s="10"/>
      <c r="E9835" s="10"/>
      <c r="F9835" s="10"/>
      <c r="G9835" s="10"/>
      <c r="H9835" s="10"/>
      <c r="I9835" s="10"/>
      <c r="J9835" s="10"/>
      <c r="K9835" s="10"/>
      <c r="L9835" s="10"/>
      <c r="M9835" s="10"/>
      <c r="N9835" s="10"/>
      <c r="O9835" s="10"/>
      <c r="P9835" s="10"/>
      <c r="Q9835" s="10"/>
      <c r="R9835" s="10"/>
      <c r="S9835" s="10"/>
      <c r="T9835" s="10"/>
      <c r="U9835" s="10"/>
      <c r="V9835" s="10"/>
      <c r="W9835" s="10"/>
      <c r="X9835" s="10"/>
      <c r="Y9835" s="10"/>
      <c r="Z9835" s="10"/>
    </row>
    <row r="9836" spans="1:26" ht="12.75">
      <c r="A9836" s="10"/>
      <c r="B9836" s="10"/>
      <c r="C9836" s="10"/>
      <c r="D9836" s="10"/>
      <c r="E9836" s="10"/>
      <c r="F9836" s="10"/>
      <c r="G9836" s="10"/>
      <c r="H9836" s="10"/>
      <c r="I9836" s="10"/>
      <c r="J9836" s="10"/>
      <c r="K9836" s="10"/>
      <c r="L9836" s="10"/>
      <c r="M9836" s="10"/>
      <c r="N9836" s="10"/>
      <c r="O9836" s="10"/>
      <c r="P9836" s="10"/>
      <c r="Q9836" s="10"/>
      <c r="R9836" s="10"/>
      <c r="S9836" s="10"/>
      <c r="T9836" s="10"/>
      <c r="U9836" s="10"/>
      <c r="V9836" s="10"/>
      <c r="W9836" s="10"/>
      <c r="X9836" s="10"/>
      <c r="Y9836" s="10"/>
      <c r="Z9836" s="10"/>
    </row>
    <row r="9837" spans="1:26" ht="12.75">
      <c r="A9837" s="10"/>
      <c r="B9837" s="10"/>
      <c r="C9837" s="10"/>
      <c r="D9837" s="10"/>
      <c r="E9837" s="10"/>
      <c r="F9837" s="10"/>
      <c r="G9837" s="10"/>
      <c r="H9837" s="10"/>
      <c r="I9837" s="10"/>
      <c r="J9837" s="10"/>
      <c r="K9837" s="10"/>
      <c r="L9837" s="10"/>
      <c r="M9837" s="10"/>
      <c r="N9837" s="10"/>
      <c r="O9837" s="10"/>
      <c r="P9837" s="10"/>
      <c r="Q9837" s="10"/>
      <c r="R9837" s="10"/>
      <c r="S9837" s="10"/>
      <c r="T9837" s="10"/>
      <c r="U9837" s="10"/>
      <c r="V9837" s="10"/>
      <c r="W9837" s="10"/>
      <c r="X9837" s="10"/>
      <c r="Y9837" s="10"/>
      <c r="Z9837" s="10"/>
    </row>
    <row r="9838" spans="1:26" ht="12.75">
      <c r="A9838" s="10"/>
      <c r="B9838" s="10"/>
      <c r="C9838" s="10"/>
      <c r="D9838" s="10"/>
      <c r="E9838" s="10"/>
      <c r="F9838" s="10"/>
      <c r="G9838" s="10"/>
      <c r="H9838" s="10"/>
      <c r="I9838" s="10"/>
      <c r="J9838" s="10"/>
      <c r="K9838" s="10"/>
      <c r="L9838" s="10"/>
      <c r="M9838" s="10"/>
      <c r="N9838" s="10"/>
      <c r="O9838" s="10"/>
      <c r="P9838" s="10"/>
      <c r="Q9838" s="10"/>
      <c r="R9838" s="10"/>
      <c r="S9838" s="10"/>
      <c r="T9838" s="10"/>
      <c r="U9838" s="10"/>
      <c r="V9838" s="10"/>
      <c r="W9838" s="10"/>
      <c r="X9838" s="10"/>
      <c r="Y9838" s="10"/>
      <c r="Z9838" s="10"/>
    </row>
    <row r="9839" spans="1:26" ht="12.75">
      <c r="A9839" s="10"/>
      <c r="B9839" s="10"/>
      <c r="C9839" s="10"/>
      <c r="D9839" s="10"/>
      <c r="E9839" s="10"/>
      <c r="F9839" s="10"/>
      <c r="G9839" s="10"/>
      <c r="H9839" s="10"/>
      <c r="I9839" s="10"/>
      <c r="J9839" s="10"/>
      <c r="K9839" s="10"/>
      <c r="L9839" s="10"/>
      <c r="M9839" s="10"/>
      <c r="N9839" s="10"/>
      <c r="O9839" s="10"/>
      <c r="P9839" s="10"/>
      <c r="Q9839" s="10"/>
      <c r="R9839" s="10"/>
      <c r="S9839" s="10"/>
      <c r="T9839" s="10"/>
      <c r="U9839" s="10"/>
      <c r="V9839" s="10"/>
      <c r="W9839" s="10"/>
      <c r="X9839" s="10"/>
      <c r="Y9839" s="10"/>
      <c r="Z9839" s="10"/>
    </row>
    <row r="9840" spans="1:26" ht="12.75">
      <c r="A9840" s="10"/>
      <c r="B9840" s="10"/>
      <c r="C9840" s="10"/>
      <c r="D9840" s="10"/>
      <c r="E9840" s="10"/>
      <c r="F9840" s="10"/>
      <c r="G9840" s="10"/>
      <c r="H9840" s="10"/>
      <c r="I9840" s="10"/>
      <c r="J9840" s="10"/>
      <c r="K9840" s="10"/>
      <c r="L9840" s="10"/>
      <c r="M9840" s="10"/>
      <c r="N9840" s="10"/>
      <c r="O9840" s="10"/>
      <c r="P9840" s="10"/>
      <c r="Q9840" s="10"/>
      <c r="R9840" s="10"/>
      <c r="S9840" s="10"/>
      <c r="T9840" s="10"/>
      <c r="U9840" s="10"/>
      <c r="V9840" s="10"/>
      <c r="W9840" s="10"/>
      <c r="X9840" s="10"/>
      <c r="Y9840" s="10"/>
      <c r="Z9840" s="10"/>
    </row>
    <row r="9841" spans="1:26" ht="12.75">
      <c r="A9841" s="10"/>
      <c r="B9841" s="10"/>
      <c r="C9841" s="10"/>
      <c r="D9841" s="10"/>
      <c r="E9841" s="10"/>
      <c r="F9841" s="10"/>
      <c r="G9841" s="10"/>
      <c r="H9841" s="10"/>
      <c r="I9841" s="10"/>
      <c r="J9841" s="10"/>
      <c r="K9841" s="10"/>
      <c r="L9841" s="10"/>
      <c r="M9841" s="10"/>
      <c r="N9841" s="10"/>
      <c r="O9841" s="10"/>
      <c r="P9841" s="10"/>
      <c r="Q9841" s="10"/>
      <c r="R9841" s="10"/>
      <c r="S9841" s="10"/>
      <c r="T9841" s="10"/>
      <c r="U9841" s="10"/>
      <c r="V9841" s="10"/>
      <c r="W9841" s="10"/>
      <c r="X9841" s="10"/>
      <c r="Y9841" s="10"/>
      <c r="Z9841" s="10"/>
    </row>
    <row r="9842" spans="1:26" ht="12.75">
      <c r="A9842" s="10"/>
      <c r="B9842" s="10"/>
      <c r="C9842" s="10"/>
      <c r="D9842" s="10"/>
      <c r="E9842" s="10"/>
      <c r="F9842" s="10"/>
      <c r="G9842" s="10"/>
      <c r="H9842" s="10"/>
      <c r="I9842" s="10"/>
      <c r="J9842" s="10"/>
      <c r="K9842" s="10"/>
      <c r="L9842" s="10"/>
      <c r="M9842" s="10"/>
      <c r="N9842" s="10"/>
      <c r="O9842" s="10"/>
      <c r="P9842" s="10"/>
      <c r="Q9842" s="10"/>
      <c r="R9842" s="10"/>
      <c r="S9842" s="10"/>
      <c r="T9842" s="10"/>
      <c r="U9842" s="10"/>
      <c r="V9842" s="10"/>
      <c r="W9842" s="10"/>
      <c r="X9842" s="10"/>
      <c r="Y9842" s="10"/>
      <c r="Z9842" s="10"/>
    </row>
    <row r="9843" spans="1:26" ht="12.75">
      <c r="A9843" s="10"/>
      <c r="B9843" s="10"/>
      <c r="C9843" s="10"/>
      <c r="D9843" s="10"/>
      <c r="E9843" s="10"/>
      <c r="F9843" s="10"/>
      <c r="G9843" s="10"/>
      <c r="H9843" s="10"/>
      <c r="I9843" s="10"/>
      <c r="J9843" s="10"/>
      <c r="K9843" s="10"/>
      <c r="L9843" s="10"/>
      <c r="M9843" s="10"/>
      <c r="N9843" s="10"/>
      <c r="O9843" s="10"/>
      <c r="P9843" s="10"/>
      <c r="Q9843" s="10"/>
      <c r="R9843" s="10"/>
      <c r="S9843" s="10"/>
      <c r="T9843" s="10"/>
      <c r="U9843" s="10"/>
      <c r="V9843" s="10"/>
      <c r="W9843" s="10"/>
      <c r="X9843" s="10"/>
      <c r="Y9843" s="10"/>
      <c r="Z9843" s="10"/>
    </row>
    <row r="9844" spans="1:26" ht="12.75">
      <c r="A9844" s="10"/>
      <c r="B9844" s="10"/>
      <c r="C9844" s="10"/>
      <c r="D9844" s="10"/>
      <c r="E9844" s="10"/>
      <c r="F9844" s="10"/>
      <c r="G9844" s="10"/>
      <c r="H9844" s="10"/>
      <c r="I9844" s="10"/>
      <c r="J9844" s="10"/>
      <c r="K9844" s="10"/>
      <c r="L9844" s="10"/>
      <c r="M9844" s="10"/>
      <c r="N9844" s="10"/>
      <c r="O9844" s="10"/>
      <c r="P9844" s="10"/>
      <c r="Q9844" s="10"/>
      <c r="R9844" s="10"/>
      <c r="S9844" s="10"/>
      <c r="T9844" s="10"/>
      <c r="U9844" s="10"/>
      <c r="V9844" s="10"/>
      <c r="W9844" s="10"/>
      <c r="X9844" s="10"/>
      <c r="Y9844" s="10"/>
      <c r="Z9844" s="10"/>
    </row>
    <row r="9845" spans="1:26" ht="12.75">
      <c r="A9845" s="10"/>
      <c r="B9845" s="10"/>
      <c r="C9845" s="10"/>
      <c r="D9845" s="10"/>
      <c r="E9845" s="10"/>
      <c r="F9845" s="10"/>
      <c r="G9845" s="10"/>
      <c r="H9845" s="10"/>
      <c r="I9845" s="10"/>
      <c r="J9845" s="10"/>
      <c r="K9845" s="10"/>
      <c r="L9845" s="10"/>
      <c r="M9845" s="10"/>
      <c r="N9845" s="10"/>
      <c r="O9845" s="10"/>
      <c r="P9845" s="10"/>
      <c r="Q9845" s="10"/>
      <c r="R9845" s="10"/>
      <c r="S9845" s="10"/>
      <c r="T9845" s="10"/>
      <c r="U9845" s="10"/>
      <c r="V9845" s="10"/>
      <c r="W9845" s="10"/>
      <c r="X9845" s="10"/>
      <c r="Y9845" s="10"/>
      <c r="Z9845" s="10"/>
    </row>
    <row r="9846" spans="1:26" ht="12.75">
      <c r="A9846" s="10"/>
      <c r="B9846" s="10"/>
      <c r="C9846" s="10"/>
      <c r="D9846" s="10"/>
      <c r="E9846" s="10"/>
      <c r="F9846" s="10"/>
      <c r="G9846" s="10"/>
      <c r="H9846" s="10"/>
      <c r="I9846" s="10"/>
      <c r="J9846" s="10"/>
      <c r="K9846" s="10"/>
      <c r="L9846" s="10"/>
      <c r="M9846" s="10"/>
      <c r="N9846" s="10"/>
      <c r="O9846" s="10"/>
      <c r="P9846" s="10"/>
      <c r="Q9846" s="10"/>
      <c r="R9846" s="10"/>
      <c r="S9846" s="10"/>
      <c r="T9846" s="10"/>
      <c r="U9846" s="10"/>
      <c r="V9846" s="10"/>
      <c r="W9846" s="10"/>
      <c r="X9846" s="10"/>
      <c r="Y9846" s="10"/>
      <c r="Z9846" s="10"/>
    </row>
    <row r="9847" spans="1:26" ht="12.75">
      <c r="A9847" s="10"/>
      <c r="B9847" s="10"/>
      <c r="C9847" s="10"/>
      <c r="D9847" s="10"/>
      <c r="E9847" s="10"/>
      <c r="F9847" s="10"/>
      <c r="G9847" s="10"/>
      <c r="H9847" s="10"/>
      <c r="I9847" s="10"/>
      <c r="J9847" s="10"/>
      <c r="K9847" s="10"/>
      <c r="L9847" s="10"/>
      <c r="M9847" s="10"/>
      <c r="N9847" s="10"/>
      <c r="O9847" s="10"/>
      <c r="P9847" s="10"/>
      <c r="Q9847" s="10"/>
      <c r="R9847" s="10"/>
      <c r="S9847" s="10"/>
      <c r="T9847" s="10"/>
      <c r="U9847" s="10"/>
      <c r="V9847" s="10"/>
      <c r="W9847" s="10"/>
      <c r="X9847" s="10"/>
      <c r="Y9847" s="10"/>
      <c r="Z9847" s="10"/>
    </row>
    <row r="9848" spans="1:26" ht="12.75">
      <c r="A9848" s="10"/>
      <c r="B9848" s="10"/>
      <c r="C9848" s="10"/>
      <c r="D9848" s="10"/>
      <c r="E9848" s="10"/>
      <c r="F9848" s="10"/>
      <c r="G9848" s="10"/>
      <c r="H9848" s="10"/>
      <c r="I9848" s="10"/>
      <c r="J9848" s="10"/>
      <c r="K9848" s="10"/>
      <c r="L9848" s="10"/>
      <c r="M9848" s="10"/>
      <c r="N9848" s="10"/>
      <c r="O9848" s="10"/>
      <c r="P9848" s="10"/>
      <c r="Q9848" s="10"/>
      <c r="R9848" s="10"/>
      <c r="S9848" s="10"/>
      <c r="T9848" s="10"/>
      <c r="U9848" s="10"/>
      <c r="V9848" s="10"/>
      <c r="W9848" s="10"/>
      <c r="X9848" s="10"/>
      <c r="Y9848" s="10"/>
      <c r="Z9848" s="10"/>
    </row>
    <row r="9849" spans="1:26" ht="12.75">
      <c r="A9849" s="10"/>
      <c r="B9849" s="10"/>
      <c r="C9849" s="10"/>
      <c r="D9849" s="10"/>
      <c r="E9849" s="10"/>
      <c r="F9849" s="10"/>
      <c r="G9849" s="10"/>
      <c r="H9849" s="10"/>
      <c r="I9849" s="10"/>
      <c r="J9849" s="10"/>
      <c r="K9849" s="10"/>
      <c r="L9849" s="10"/>
      <c r="M9849" s="10"/>
      <c r="N9849" s="10"/>
      <c r="O9849" s="10"/>
      <c r="P9849" s="10"/>
      <c r="Q9849" s="10"/>
      <c r="R9849" s="10"/>
      <c r="S9849" s="10"/>
      <c r="T9849" s="10"/>
      <c r="U9849" s="10"/>
      <c r="V9849" s="10"/>
      <c r="W9849" s="10"/>
      <c r="X9849" s="10"/>
      <c r="Y9849" s="10"/>
      <c r="Z9849" s="10"/>
    </row>
    <row r="9850" spans="1:26" ht="12.75">
      <c r="A9850" s="10"/>
      <c r="B9850" s="10"/>
      <c r="C9850" s="10"/>
      <c r="D9850" s="10"/>
      <c r="E9850" s="10"/>
      <c r="F9850" s="10"/>
      <c r="G9850" s="10"/>
      <c r="H9850" s="10"/>
      <c r="I9850" s="10"/>
      <c r="J9850" s="10"/>
      <c r="K9850" s="10"/>
      <c r="L9850" s="10"/>
      <c r="M9850" s="10"/>
      <c r="N9850" s="10"/>
      <c r="O9850" s="10"/>
      <c r="P9850" s="10"/>
      <c r="Q9850" s="10"/>
      <c r="R9850" s="10"/>
      <c r="S9850" s="10"/>
      <c r="T9850" s="10"/>
      <c r="U9850" s="10"/>
      <c r="V9850" s="10"/>
      <c r="W9850" s="10"/>
      <c r="X9850" s="10"/>
      <c r="Y9850" s="10"/>
      <c r="Z9850" s="10"/>
    </row>
    <row r="9851" spans="1:26" ht="12.75">
      <c r="A9851" s="10"/>
      <c r="B9851" s="10"/>
      <c r="C9851" s="10"/>
      <c r="D9851" s="10"/>
      <c r="E9851" s="10"/>
      <c r="F9851" s="10"/>
      <c r="G9851" s="10"/>
      <c r="H9851" s="10"/>
      <c r="I9851" s="10"/>
      <c r="J9851" s="10"/>
      <c r="K9851" s="10"/>
      <c r="L9851" s="10"/>
      <c r="M9851" s="10"/>
      <c r="N9851" s="10"/>
      <c r="O9851" s="10"/>
      <c r="P9851" s="10"/>
      <c r="Q9851" s="10"/>
      <c r="R9851" s="10"/>
      <c r="S9851" s="10"/>
      <c r="T9851" s="10"/>
      <c r="U9851" s="10"/>
      <c r="V9851" s="10"/>
      <c r="W9851" s="10"/>
      <c r="X9851" s="10"/>
      <c r="Y9851" s="10"/>
      <c r="Z9851" s="10"/>
    </row>
    <row r="9852" spans="1:26" ht="12.75">
      <c r="A9852" s="10"/>
      <c r="B9852" s="10"/>
      <c r="C9852" s="10"/>
      <c r="D9852" s="10"/>
      <c r="E9852" s="10"/>
      <c r="F9852" s="10"/>
      <c r="G9852" s="10"/>
      <c r="H9852" s="10"/>
      <c r="I9852" s="10"/>
      <c r="J9852" s="10"/>
      <c r="K9852" s="10"/>
      <c r="L9852" s="10"/>
      <c r="M9852" s="10"/>
      <c r="N9852" s="10"/>
      <c r="O9852" s="10"/>
      <c r="P9852" s="10"/>
      <c r="Q9852" s="10"/>
      <c r="R9852" s="10"/>
      <c r="S9852" s="10"/>
      <c r="T9852" s="10"/>
      <c r="U9852" s="10"/>
      <c r="V9852" s="10"/>
      <c r="W9852" s="10"/>
      <c r="X9852" s="10"/>
      <c r="Y9852" s="10"/>
      <c r="Z9852" s="10"/>
    </row>
    <row r="9853" spans="1:26" ht="12.75">
      <c r="A9853" s="10"/>
      <c r="B9853" s="10"/>
      <c r="C9853" s="10"/>
      <c r="D9853" s="10"/>
      <c r="E9853" s="10"/>
      <c r="F9853" s="10"/>
      <c r="G9853" s="10"/>
      <c r="H9853" s="10"/>
      <c r="I9853" s="10"/>
      <c r="J9853" s="10"/>
      <c r="K9853" s="10"/>
      <c r="L9853" s="10"/>
      <c r="M9853" s="10"/>
      <c r="N9853" s="10"/>
      <c r="O9853" s="10"/>
      <c r="P9853" s="10"/>
      <c r="Q9853" s="10"/>
      <c r="R9853" s="10"/>
      <c r="S9853" s="10"/>
      <c r="T9853" s="10"/>
      <c r="U9853" s="10"/>
      <c r="V9853" s="10"/>
      <c r="W9853" s="10"/>
      <c r="X9853" s="10"/>
      <c r="Y9853" s="10"/>
      <c r="Z9853" s="10"/>
    </row>
    <row r="9854" spans="1:26" ht="12.75">
      <c r="A9854" s="10"/>
      <c r="B9854" s="10"/>
      <c r="C9854" s="10"/>
      <c r="D9854" s="10"/>
      <c r="E9854" s="10"/>
      <c r="F9854" s="10"/>
      <c r="G9854" s="10"/>
      <c r="H9854" s="10"/>
      <c r="I9854" s="10"/>
      <c r="J9854" s="10"/>
      <c r="K9854" s="10"/>
      <c r="L9854" s="10"/>
      <c r="M9854" s="10"/>
      <c r="N9854" s="10"/>
      <c r="O9854" s="10"/>
      <c r="P9854" s="10"/>
      <c r="Q9854" s="10"/>
      <c r="R9854" s="10"/>
      <c r="S9854" s="10"/>
      <c r="T9854" s="10"/>
      <c r="U9854" s="10"/>
      <c r="V9854" s="10"/>
      <c r="W9854" s="10"/>
      <c r="X9854" s="10"/>
      <c r="Y9854" s="10"/>
      <c r="Z9854" s="10"/>
    </row>
    <row r="9855" spans="1:26" ht="12.75">
      <c r="A9855" s="10"/>
      <c r="B9855" s="10"/>
      <c r="C9855" s="10"/>
      <c r="D9855" s="10"/>
      <c r="E9855" s="10"/>
      <c r="F9855" s="10"/>
      <c r="G9855" s="10"/>
      <c r="H9855" s="10"/>
      <c r="I9855" s="10"/>
      <c r="J9855" s="10"/>
      <c r="K9855" s="10"/>
      <c r="L9855" s="10"/>
      <c r="M9855" s="10"/>
      <c r="N9855" s="10"/>
      <c r="O9855" s="10"/>
      <c r="P9855" s="10"/>
      <c r="Q9855" s="10"/>
      <c r="R9855" s="10"/>
      <c r="S9855" s="10"/>
      <c r="T9855" s="10"/>
      <c r="U9855" s="10"/>
      <c r="V9855" s="10"/>
      <c r="W9855" s="10"/>
      <c r="X9855" s="10"/>
      <c r="Y9855" s="10"/>
      <c r="Z9855" s="10"/>
    </row>
    <row r="9856" spans="1:26" ht="12.75">
      <c r="A9856" s="10"/>
      <c r="B9856" s="10"/>
      <c r="C9856" s="10"/>
      <c r="D9856" s="10"/>
      <c r="E9856" s="10"/>
      <c r="F9856" s="10"/>
      <c r="G9856" s="10"/>
      <c r="H9856" s="10"/>
      <c r="I9856" s="10"/>
      <c r="J9856" s="10"/>
      <c r="K9856" s="10"/>
      <c r="L9856" s="10"/>
      <c r="M9856" s="10"/>
      <c r="N9856" s="10"/>
      <c r="O9856" s="10"/>
      <c r="P9856" s="10"/>
      <c r="Q9856" s="10"/>
      <c r="R9856" s="10"/>
      <c r="S9856" s="10"/>
      <c r="T9856" s="10"/>
      <c r="U9856" s="10"/>
      <c r="V9856" s="10"/>
      <c r="W9856" s="10"/>
      <c r="X9856" s="10"/>
      <c r="Y9856" s="10"/>
      <c r="Z9856" s="10"/>
    </row>
    <row r="9857" spans="1:26" ht="12.75">
      <c r="A9857" s="10"/>
      <c r="B9857" s="10"/>
      <c r="C9857" s="10"/>
      <c r="D9857" s="10"/>
      <c r="E9857" s="10"/>
      <c r="F9857" s="10"/>
      <c r="G9857" s="10"/>
      <c r="H9857" s="10"/>
      <c r="I9857" s="10"/>
      <c r="J9857" s="10"/>
      <c r="K9857" s="10"/>
      <c r="L9857" s="10"/>
      <c r="M9857" s="10"/>
      <c r="N9857" s="10"/>
      <c r="O9857" s="10"/>
      <c r="P9857" s="10"/>
      <c r="Q9857" s="10"/>
      <c r="R9857" s="10"/>
      <c r="S9857" s="10"/>
      <c r="T9857" s="10"/>
      <c r="U9857" s="10"/>
      <c r="V9857" s="10"/>
      <c r="W9857" s="10"/>
      <c r="X9857" s="10"/>
      <c r="Y9857" s="10"/>
      <c r="Z9857" s="10"/>
    </row>
    <row r="9858" spans="1:26" ht="12.75">
      <c r="A9858" s="10"/>
      <c r="B9858" s="10"/>
      <c r="C9858" s="10"/>
      <c r="D9858" s="10"/>
      <c r="E9858" s="10"/>
      <c r="F9858" s="10"/>
      <c r="G9858" s="10"/>
      <c r="H9858" s="10"/>
      <c r="I9858" s="10"/>
      <c r="J9858" s="10"/>
      <c r="K9858" s="10"/>
      <c r="L9858" s="10"/>
      <c r="M9858" s="10"/>
      <c r="N9858" s="10"/>
      <c r="O9858" s="10"/>
      <c r="P9858" s="10"/>
      <c r="Q9858" s="10"/>
      <c r="R9858" s="10"/>
      <c r="S9858" s="10"/>
      <c r="T9858" s="10"/>
      <c r="U9858" s="10"/>
      <c r="V9858" s="10"/>
      <c r="W9858" s="10"/>
      <c r="X9858" s="10"/>
      <c r="Y9858" s="10"/>
      <c r="Z9858" s="10"/>
    </row>
    <row r="9859" spans="1:26" ht="12.75">
      <c r="A9859" s="10"/>
      <c r="B9859" s="10"/>
      <c r="C9859" s="10"/>
      <c r="D9859" s="10"/>
      <c r="E9859" s="10"/>
      <c r="F9859" s="10"/>
      <c r="G9859" s="10"/>
      <c r="H9859" s="10"/>
      <c r="I9859" s="10"/>
      <c r="J9859" s="10"/>
      <c r="K9859" s="10"/>
      <c r="L9859" s="10"/>
      <c r="M9859" s="10"/>
      <c r="N9859" s="10"/>
      <c r="O9859" s="10"/>
      <c r="P9859" s="10"/>
      <c r="Q9859" s="10"/>
      <c r="R9859" s="10"/>
      <c r="S9859" s="10"/>
      <c r="T9859" s="10"/>
      <c r="U9859" s="10"/>
      <c r="V9859" s="10"/>
      <c r="W9859" s="10"/>
      <c r="X9859" s="10"/>
      <c r="Y9859" s="10"/>
      <c r="Z9859" s="10"/>
    </row>
    <row r="9860" spans="1:26" ht="12.75">
      <c r="A9860" s="10"/>
      <c r="B9860" s="10"/>
      <c r="C9860" s="10"/>
      <c r="D9860" s="10"/>
      <c r="E9860" s="10"/>
      <c r="F9860" s="10"/>
      <c r="G9860" s="10"/>
      <c r="H9860" s="10"/>
      <c r="I9860" s="10"/>
      <c r="J9860" s="10"/>
      <c r="K9860" s="10"/>
      <c r="L9860" s="10"/>
      <c r="M9860" s="10"/>
      <c r="N9860" s="10"/>
      <c r="O9860" s="10"/>
      <c r="P9860" s="10"/>
      <c r="Q9860" s="10"/>
      <c r="R9860" s="10"/>
      <c r="S9860" s="10"/>
      <c r="T9860" s="10"/>
      <c r="U9860" s="10"/>
      <c r="V9860" s="10"/>
      <c r="W9860" s="10"/>
      <c r="X9860" s="10"/>
      <c r="Y9860" s="10"/>
      <c r="Z9860" s="10"/>
    </row>
    <row r="9861" spans="1:26" ht="12.75">
      <c r="A9861" s="10"/>
      <c r="B9861" s="10"/>
      <c r="C9861" s="10"/>
      <c r="D9861" s="10"/>
      <c r="E9861" s="10"/>
      <c r="F9861" s="10"/>
      <c r="G9861" s="10"/>
      <c r="H9861" s="10"/>
      <c r="I9861" s="10"/>
      <c r="J9861" s="10"/>
      <c r="K9861" s="10"/>
      <c r="L9861" s="10"/>
      <c r="M9861" s="10"/>
      <c r="N9861" s="10"/>
      <c r="O9861" s="10"/>
      <c r="P9861" s="10"/>
      <c r="Q9861" s="10"/>
      <c r="R9861" s="10"/>
      <c r="S9861" s="10"/>
      <c r="T9861" s="10"/>
      <c r="U9861" s="10"/>
      <c r="V9861" s="10"/>
      <c r="W9861" s="10"/>
      <c r="X9861" s="10"/>
      <c r="Y9861" s="10"/>
      <c r="Z9861" s="10"/>
    </row>
    <row r="9862" spans="1:26" ht="12.75">
      <c r="A9862" s="10"/>
      <c r="B9862" s="10"/>
      <c r="C9862" s="10"/>
      <c r="D9862" s="10"/>
      <c r="E9862" s="10"/>
      <c r="F9862" s="10"/>
      <c r="G9862" s="10"/>
      <c r="H9862" s="10"/>
      <c r="I9862" s="10"/>
      <c r="J9862" s="10"/>
      <c r="K9862" s="10"/>
      <c r="L9862" s="10"/>
      <c r="M9862" s="10"/>
      <c r="N9862" s="10"/>
      <c r="O9862" s="10"/>
      <c r="P9862" s="10"/>
      <c r="Q9862" s="10"/>
      <c r="R9862" s="10"/>
      <c r="S9862" s="10"/>
      <c r="T9862" s="10"/>
      <c r="U9862" s="10"/>
      <c r="V9862" s="10"/>
      <c r="W9862" s="10"/>
      <c r="X9862" s="10"/>
      <c r="Y9862" s="10"/>
      <c r="Z9862" s="10"/>
    </row>
    <row r="9863" spans="1:26" ht="12.75">
      <c r="A9863" s="10"/>
      <c r="B9863" s="10"/>
      <c r="C9863" s="10"/>
      <c r="D9863" s="10"/>
      <c r="E9863" s="10"/>
      <c r="F9863" s="10"/>
      <c r="G9863" s="10"/>
      <c r="H9863" s="10"/>
      <c r="I9863" s="10"/>
      <c r="J9863" s="10"/>
      <c r="K9863" s="10"/>
      <c r="L9863" s="10"/>
      <c r="M9863" s="10"/>
      <c r="N9863" s="10"/>
      <c r="O9863" s="10"/>
      <c r="P9863" s="10"/>
      <c r="Q9863" s="10"/>
      <c r="R9863" s="10"/>
      <c r="S9863" s="10"/>
      <c r="T9863" s="10"/>
      <c r="U9863" s="10"/>
      <c r="V9863" s="10"/>
      <c r="W9863" s="10"/>
      <c r="X9863" s="10"/>
      <c r="Y9863" s="10"/>
      <c r="Z9863" s="10"/>
    </row>
    <row r="9864" spans="1:26" ht="12.75">
      <c r="A9864" s="10"/>
      <c r="B9864" s="10"/>
      <c r="C9864" s="10"/>
      <c r="D9864" s="10"/>
      <c r="E9864" s="10"/>
      <c r="F9864" s="10"/>
      <c r="G9864" s="10"/>
      <c r="H9864" s="10"/>
      <c r="I9864" s="10"/>
      <c r="J9864" s="10"/>
      <c r="K9864" s="10"/>
      <c r="L9864" s="10"/>
      <c r="M9864" s="10"/>
      <c r="N9864" s="10"/>
      <c r="O9864" s="10"/>
      <c r="P9864" s="10"/>
      <c r="Q9864" s="10"/>
      <c r="R9864" s="10"/>
      <c r="S9864" s="10"/>
      <c r="T9864" s="10"/>
      <c r="U9864" s="10"/>
      <c r="V9864" s="10"/>
      <c r="W9864" s="10"/>
      <c r="X9864" s="10"/>
      <c r="Y9864" s="10"/>
      <c r="Z9864" s="10"/>
    </row>
    <row r="9865" spans="1:26" ht="12.75">
      <c r="A9865" s="10"/>
      <c r="B9865" s="10"/>
      <c r="C9865" s="10"/>
      <c r="D9865" s="10"/>
      <c r="E9865" s="10"/>
      <c r="F9865" s="10"/>
      <c r="G9865" s="10"/>
      <c r="H9865" s="10"/>
      <c r="I9865" s="10"/>
      <c r="J9865" s="10"/>
      <c r="K9865" s="10"/>
      <c r="L9865" s="10"/>
      <c r="M9865" s="10"/>
      <c r="N9865" s="10"/>
      <c r="O9865" s="10"/>
      <c r="P9865" s="10"/>
      <c r="Q9865" s="10"/>
      <c r="R9865" s="10"/>
      <c r="S9865" s="10"/>
      <c r="T9865" s="10"/>
      <c r="U9865" s="10"/>
      <c r="V9865" s="10"/>
      <c r="W9865" s="10"/>
      <c r="X9865" s="10"/>
      <c r="Y9865" s="10"/>
      <c r="Z9865" s="10"/>
    </row>
    <row r="9866" spans="1:26" ht="12.75">
      <c r="A9866" s="10"/>
      <c r="B9866" s="10"/>
      <c r="C9866" s="10"/>
      <c r="D9866" s="10"/>
      <c r="E9866" s="10"/>
      <c r="F9866" s="10"/>
      <c r="G9866" s="10"/>
      <c r="H9866" s="10"/>
      <c r="I9866" s="10"/>
      <c r="J9866" s="10"/>
      <c r="K9866" s="10"/>
      <c r="L9866" s="10"/>
      <c r="M9866" s="10"/>
      <c r="N9866" s="10"/>
      <c r="O9866" s="10"/>
      <c r="P9866" s="10"/>
      <c r="Q9866" s="10"/>
      <c r="R9866" s="10"/>
      <c r="S9866" s="10"/>
      <c r="T9866" s="10"/>
      <c r="U9866" s="10"/>
      <c r="V9866" s="10"/>
      <c r="W9866" s="10"/>
      <c r="X9866" s="10"/>
      <c r="Y9866" s="10"/>
      <c r="Z9866" s="10"/>
    </row>
    <row r="9867" spans="1:26" ht="12.75">
      <c r="A9867" s="10"/>
      <c r="B9867" s="10"/>
      <c r="C9867" s="10"/>
      <c r="D9867" s="10"/>
      <c r="E9867" s="10"/>
      <c r="F9867" s="10"/>
      <c r="G9867" s="10"/>
      <c r="H9867" s="10"/>
      <c r="I9867" s="10"/>
      <c r="J9867" s="10"/>
      <c r="K9867" s="10"/>
      <c r="L9867" s="10"/>
      <c r="M9867" s="10"/>
      <c r="N9867" s="10"/>
      <c r="O9867" s="10"/>
      <c r="P9867" s="10"/>
      <c r="Q9867" s="10"/>
      <c r="R9867" s="10"/>
      <c r="S9867" s="10"/>
      <c r="T9867" s="10"/>
      <c r="U9867" s="10"/>
      <c r="V9867" s="10"/>
      <c r="W9867" s="10"/>
      <c r="X9867" s="10"/>
      <c r="Y9867" s="10"/>
      <c r="Z9867" s="10"/>
    </row>
    <row r="9868" spans="1:26" ht="12.75">
      <c r="A9868" s="10"/>
      <c r="B9868" s="10"/>
      <c r="C9868" s="10"/>
      <c r="D9868" s="10"/>
      <c r="E9868" s="10"/>
      <c r="F9868" s="10"/>
      <c r="G9868" s="10"/>
      <c r="H9868" s="10"/>
      <c r="I9868" s="10"/>
      <c r="J9868" s="10"/>
      <c r="K9868" s="10"/>
      <c r="L9868" s="10"/>
      <c r="M9868" s="10"/>
      <c r="N9868" s="10"/>
      <c r="O9868" s="10"/>
      <c r="P9868" s="10"/>
      <c r="Q9868" s="10"/>
      <c r="R9868" s="10"/>
      <c r="S9868" s="10"/>
      <c r="T9868" s="10"/>
      <c r="U9868" s="10"/>
      <c r="V9868" s="10"/>
      <c r="W9868" s="10"/>
      <c r="X9868" s="10"/>
      <c r="Y9868" s="10"/>
      <c r="Z9868" s="10"/>
    </row>
    <row r="9869" spans="1:26" ht="12.75">
      <c r="A9869" s="10"/>
      <c r="B9869" s="10"/>
      <c r="C9869" s="10"/>
      <c r="D9869" s="10"/>
      <c r="E9869" s="10"/>
      <c r="F9869" s="10"/>
      <c r="G9869" s="10"/>
      <c r="H9869" s="10"/>
      <c r="I9869" s="10"/>
      <c r="J9869" s="10"/>
      <c r="K9869" s="10"/>
      <c r="L9869" s="10"/>
      <c r="M9869" s="10"/>
      <c r="N9869" s="10"/>
      <c r="O9869" s="10"/>
      <c r="P9869" s="10"/>
      <c r="Q9869" s="10"/>
      <c r="R9869" s="10"/>
      <c r="S9869" s="10"/>
      <c r="T9869" s="10"/>
      <c r="U9869" s="10"/>
      <c r="V9869" s="10"/>
      <c r="W9869" s="10"/>
      <c r="X9869" s="10"/>
      <c r="Y9869" s="10"/>
      <c r="Z9869" s="10"/>
    </row>
    <row r="9870" spans="1:26" ht="12.75">
      <c r="A9870" s="10"/>
      <c r="B9870" s="10"/>
      <c r="C9870" s="10"/>
      <c r="D9870" s="10"/>
      <c r="E9870" s="10"/>
      <c r="F9870" s="10"/>
      <c r="G9870" s="10"/>
      <c r="H9870" s="10"/>
      <c r="I9870" s="10"/>
      <c r="J9870" s="10"/>
      <c r="K9870" s="10"/>
      <c r="L9870" s="10"/>
      <c r="M9870" s="10"/>
      <c r="N9870" s="10"/>
      <c r="O9870" s="10"/>
      <c r="P9870" s="10"/>
      <c r="Q9870" s="10"/>
      <c r="R9870" s="10"/>
      <c r="S9870" s="10"/>
      <c r="T9870" s="10"/>
      <c r="U9870" s="10"/>
      <c r="V9870" s="10"/>
      <c r="W9870" s="10"/>
      <c r="X9870" s="10"/>
      <c r="Y9870" s="10"/>
      <c r="Z9870" s="10"/>
    </row>
    <row r="9871" spans="1:26" ht="12.75">
      <c r="A9871" s="10"/>
      <c r="B9871" s="10"/>
      <c r="C9871" s="10"/>
      <c r="D9871" s="10"/>
      <c r="E9871" s="10"/>
      <c r="F9871" s="10"/>
      <c r="G9871" s="10"/>
      <c r="H9871" s="10"/>
      <c r="I9871" s="10"/>
      <c r="J9871" s="10"/>
      <c r="K9871" s="10"/>
      <c r="L9871" s="10"/>
      <c r="M9871" s="10"/>
      <c r="N9871" s="10"/>
      <c r="O9871" s="10"/>
      <c r="P9871" s="10"/>
      <c r="Q9871" s="10"/>
      <c r="R9871" s="10"/>
      <c r="S9871" s="10"/>
      <c r="T9871" s="10"/>
      <c r="U9871" s="10"/>
      <c r="V9871" s="10"/>
      <c r="W9871" s="10"/>
      <c r="X9871" s="10"/>
      <c r="Y9871" s="10"/>
      <c r="Z9871" s="10"/>
    </row>
    <row r="9872" spans="1:26" ht="12.75">
      <c r="A9872" s="10"/>
      <c r="B9872" s="10"/>
      <c r="C9872" s="10"/>
      <c r="D9872" s="10"/>
      <c r="E9872" s="10"/>
      <c r="F9872" s="10"/>
      <c r="G9872" s="10"/>
      <c r="H9872" s="10"/>
      <c r="I9872" s="10"/>
      <c r="J9872" s="10"/>
      <c r="K9872" s="10"/>
      <c r="L9872" s="10"/>
      <c r="M9872" s="10"/>
      <c r="N9872" s="10"/>
      <c r="O9872" s="10"/>
      <c r="P9872" s="10"/>
      <c r="Q9872" s="10"/>
      <c r="R9872" s="10"/>
      <c r="S9872" s="10"/>
      <c r="T9872" s="10"/>
      <c r="U9872" s="10"/>
      <c r="V9872" s="10"/>
      <c r="W9872" s="10"/>
      <c r="X9872" s="10"/>
      <c r="Y9872" s="10"/>
      <c r="Z9872" s="10"/>
    </row>
    <row r="9873" spans="1:26" ht="12.75">
      <c r="A9873" s="10"/>
      <c r="B9873" s="10"/>
      <c r="C9873" s="10"/>
      <c r="D9873" s="10"/>
      <c r="E9873" s="10"/>
      <c r="F9873" s="10"/>
      <c r="G9873" s="10"/>
      <c r="H9873" s="10"/>
      <c r="I9873" s="10"/>
      <c r="J9873" s="10"/>
      <c r="K9873" s="10"/>
      <c r="L9873" s="10"/>
      <c r="M9873" s="10"/>
      <c r="N9873" s="10"/>
      <c r="O9873" s="10"/>
      <c r="P9873" s="10"/>
      <c r="Q9873" s="10"/>
      <c r="R9873" s="10"/>
      <c r="S9873" s="10"/>
      <c r="T9873" s="10"/>
      <c r="U9873" s="10"/>
      <c r="V9873" s="10"/>
      <c r="W9873" s="10"/>
      <c r="X9873" s="10"/>
      <c r="Y9873" s="10"/>
      <c r="Z9873" s="10"/>
    </row>
    <row r="9874" spans="1:26" ht="12.75">
      <c r="A9874" s="10"/>
      <c r="B9874" s="10"/>
      <c r="C9874" s="10"/>
      <c r="D9874" s="10"/>
      <c r="E9874" s="10"/>
      <c r="F9874" s="10"/>
      <c r="G9874" s="10"/>
      <c r="H9874" s="10"/>
      <c r="I9874" s="10"/>
      <c r="J9874" s="10"/>
      <c r="K9874" s="10"/>
      <c r="L9874" s="10"/>
      <c r="M9874" s="10"/>
      <c r="N9874" s="10"/>
      <c r="O9874" s="10"/>
      <c r="P9874" s="10"/>
      <c r="Q9874" s="10"/>
      <c r="R9874" s="10"/>
      <c r="S9874" s="10"/>
      <c r="T9874" s="10"/>
      <c r="U9874" s="10"/>
      <c r="V9874" s="10"/>
      <c r="W9874" s="10"/>
      <c r="X9874" s="10"/>
      <c r="Y9874" s="10"/>
      <c r="Z9874" s="10"/>
    </row>
    <row r="9875" spans="1:26" ht="12.75">
      <c r="A9875" s="10"/>
      <c r="B9875" s="10"/>
      <c r="C9875" s="10"/>
      <c r="D9875" s="10"/>
      <c r="E9875" s="10"/>
      <c r="F9875" s="10"/>
      <c r="G9875" s="10"/>
      <c r="H9875" s="10"/>
      <c r="I9875" s="10"/>
      <c r="J9875" s="10"/>
      <c r="K9875" s="10"/>
      <c r="L9875" s="10"/>
      <c r="M9875" s="10"/>
      <c r="N9875" s="10"/>
      <c r="O9875" s="10"/>
      <c r="P9875" s="10"/>
      <c r="Q9875" s="10"/>
      <c r="R9875" s="10"/>
      <c r="S9875" s="10"/>
      <c r="T9875" s="10"/>
      <c r="U9875" s="10"/>
      <c r="V9875" s="10"/>
      <c r="W9875" s="10"/>
      <c r="X9875" s="10"/>
      <c r="Y9875" s="10"/>
      <c r="Z9875" s="10"/>
    </row>
    <row r="9876" spans="1:26" ht="12.75">
      <c r="A9876" s="10"/>
      <c r="B9876" s="10"/>
      <c r="C9876" s="10"/>
      <c r="D9876" s="10"/>
      <c r="E9876" s="10"/>
      <c r="F9876" s="10"/>
      <c r="G9876" s="10"/>
      <c r="H9876" s="10"/>
      <c r="I9876" s="10"/>
      <c r="J9876" s="10"/>
      <c r="K9876" s="10"/>
      <c r="L9876" s="10"/>
      <c r="M9876" s="10"/>
      <c r="N9876" s="10"/>
      <c r="O9876" s="10"/>
      <c r="P9876" s="10"/>
      <c r="Q9876" s="10"/>
      <c r="R9876" s="10"/>
      <c r="S9876" s="10"/>
      <c r="T9876" s="10"/>
      <c r="U9876" s="10"/>
      <c r="V9876" s="10"/>
      <c r="W9876" s="10"/>
      <c r="X9876" s="10"/>
      <c r="Y9876" s="10"/>
      <c r="Z9876" s="10"/>
    </row>
    <row r="9877" spans="1:26" ht="12.75">
      <c r="A9877" s="10"/>
      <c r="B9877" s="10"/>
      <c r="C9877" s="10"/>
      <c r="D9877" s="10"/>
      <c r="E9877" s="10"/>
      <c r="F9877" s="10"/>
      <c r="G9877" s="10"/>
      <c r="H9877" s="10"/>
      <c r="I9877" s="10"/>
      <c r="J9877" s="10"/>
      <c r="K9877" s="10"/>
      <c r="L9877" s="10"/>
      <c r="M9877" s="10"/>
      <c r="N9877" s="10"/>
      <c r="O9877" s="10"/>
      <c r="P9877" s="10"/>
      <c r="Q9877" s="10"/>
      <c r="R9877" s="10"/>
      <c r="S9877" s="10"/>
      <c r="T9877" s="10"/>
      <c r="U9877" s="10"/>
      <c r="V9877" s="10"/>
      <c r="W9877" s="10"/>
      <c r="X9877" s="10"/>
      <c r="Y9877" s="10"/>
      <c r="Z9877" s="10"/>
    </row>
    <row r="9878" spans="1:26" ht="12.75">
      <c r="A9878" s="10"/>
      <c r="B9878" s="10"/>
      <c r="C9878" s="10"/>
      <c r="D9878" s="10"/>
      <c r="E9878" s="10"/>
      <c r="F9878" s="10"/>
      <c r="G9878" s="10"/>
      <c r="H9878" s="10"/>
      <c r="I9878" s="10"/>
      <c r="J9878" s="10"/>
      <c r="K9878" s="10"/>
      <c r="L9878" s="10"/>
      <c r="M9878" s="10"/>
      <c r="N9878" s="10"/>
      <c r="O9878" s="10"/>
      <c r="P9878" s="10"/>
      <c r="Q9878" s="10"/>
      <c r="R9878" s="10"/>
      <c r="S9878" s="10"/>
      <c r="T9878" s="10"/>
      <c r="U9878" s="10"/>
      <c r="V9878" s="10"/>
      <c r="W9878" s="10"/>
      <c r="X9878" s="10"/>
      <c r="Y9878" s="10"/>
      <c r="Z9878" s="10"/>
    </row>
    <row r="9879" spans="1:26" ht="12.75">
      <c r="A9879" s="10"/>
      <c r="B9879" s="10"/>
      <c r="C9879" s="10"/>
      <c r="D9879" s="10"/>
      <c r="E9879" s="10"/>
      <c r="F9879" s="10"/>
      <c r="G9879" s="10"/>
      <c r="H9879" s="10"/>
      <c r="I9879" s="10"/>
      <c r="J9879" s="10"/>
      <c r="K9879" s="10"/>
      <c r="L9879" s="10"/>
      <c r="M9879" s="10"/>
      <c r="N9879" s="10"/>
      <c r="O9879" s="10"/>
      <c r="P9879" s="10"/>
      <c r="Q9879" s="10"/>
      <c r="R9879" s="10"/>
      <c r="S9879" s="10"/>
      <c r="T9879" s="10"/>
      <c r="U9879" s="10"/>
      <c r="V9879" s="10"/>
      <c r="W9879" s="10"/>
      <c r="X9879" s="10"/>
      <c r="Y9879" s="10"/>
      <c r="Z9879" s="10"/>
    </row>
    <row r="9880" spans="1:26" ht="12.75">
      <c r="A9880" s="10"/>
      <c r="B9880" s="10"/>
      <c r="C9880" s="10"/>
      <c r="D9880" s="10"/>
      <c r="E9880" s="10"/>
      <c r="F9880" s="10"/>
      <c r="G9880" s="10"/>
      <c r="H9880" s="10"/>
      <c r="I9880" s="10"/>
      <c r="J9880" s="10"/>
      <c r="K9880" s="10"/>
      <c r="L9880" s="10"/>
      <c r="M9880" s="10"/>
      <c r="N9880" s="10"/>
      <c r="O9880" s="10"/>
      <c r="P9880" s="10"/>
      <c r="Q9880" s="10"/>
      <c r="R9880" s="10"/>
      <c r="S9880" s="10"/>
      <c r="T9880" s="10"/>
      <c r="U9880" s="10"/>
      <c r="V9880" s="10"/>
      <c r="W9880" s="10"/>
      <c r="X9880" s="10"/>
      <c r="Y9880" s="10"/>
      <c r="Z9880" s="10"/>
    </row>
    <row r="9881" spans="1:26" ht="12.75">
      <c r="A9881" s="10"/>
      <c r="B9881" s="10"/>
      <c r="C9881" s="10"/>
      <c r="D9881" s="10"/>
      <c r="E9881" s="10"/>
      <c r="F9881" s="10"/>
      <c r="G9881" s="10"/>
      <c r="H9881" s="10"/>
      <c r="I9881" s="10"/>
      <c r="J9881" s="10"/>
      <c r="K9881" s="10"/>
      <c r="L9881" s="10"/>
      <c r="M9881" s="10"/>
      <c r="N9881" s="10"/>
      <c r="O9881" s="10"/>
      <c r="P9881" s="10"/>
      <c r="Q9881" s="10"/>
      <c r="R9881" s="10"/>
      <c r="S9881" s="10"/>
      <c r="T9881" s="10"/>
      <c r="U9881" s="10"/>
      <c r="V9881" s="10"/>
      <c r="W9881" s="10"/>
      <c r="X9881" s="10"/>
      <c r="Y9881" s="10"/>
      <c r="Z9881" s="10"/>
    </row>
    <row r="9882" spans="1:26" ht="12.75">
      <c r="A9882" s="10"/>
      <c r="B9882" s="10"/>
      <c r="C9882" s="10"/>
      <c r="D9882" s="10"/>
      <c r="E9882" s="10"/>
      <c r="F9882" s="10"/>
      <c r="G9882" s="10"/>
      <c r="H9882" s="10"/>
      <c r="I9882" s="10"/>
      <c r="J9882" s="10"/>
      <c r="K9882" s="10"/>
      <c r="L9882" s="10"/>
      <c r="M9882" s="10"/>
      <c r="N9882" s="10"/>
      <c r="O9882" s="10"/>
      <c r="P9882" s="10"/>
      <c r="Q9882" s="10"/>
      <c r="R9882" s="10"/>
      <c r="S9882" s="10"/>
      <c r="T9882" s="10"/>
      <c r="U9882" s="10"/>
      <c r="V9882" s="10"/>
      <c r="W9882" s="10"/>
      <c r="X9882" s="10"/>
      <c r="Y9882" s="10"/>
      <c r="Z9882" s="10"/>
    </row>
    <row r="9883" spans="1:26" ht="12.75">
      <c r="A9883" s="10"/>
      <c r="B9883" s="10"/>
      <c r="C9883" s="10"/>
      <c r="D9883" s="10"/>
      <c r="E9883" s="10"/>
      <c r="F9883" s="10"/>
      <c r="G9883" s="10"/>
      <c r="H9883" s="10"/>
      <c r="I9883" s="10"/>
      <c r="J9883" s="10"/>
      <c r="K9883" s="10"/>
      <c r="L9883" s="10"/>
      <c r="M9883" s="10"/>
      <c r="N9883" s="10"/>
      <c r="O9883" s="10"/>
      <c r="P9883" s="10"/>
      <c r="Q9883" s="10"/>
      <c r="R9883" s="10"/>
      <c r="S9883" s="10"/>
      <c r="T9883" s="10"/>
      <c r="U9883" s="10"/>
      <c r="V9883" s="10"/>
      <c r="W9883" s="10"/>
      <c r="X9883" s="10"/>
      <c r="Y9883" s="10"/>
      <c r="Z9883" s="10"/>
    </row>
    <row r="9884" spans="1:26" ht="12.75">
      <c r="A9884" s="10"/>
      <c r="B9884" s="10"/>
      <c r="C9884" s="10"/>
      <c r="D9884" s="10"/>
      <c r="E9884" s="10"/>
      <c r="F9884" s="10"/>
      <c r="G9884" s="10"/>
      <c r="H9884" s="10"/>
      <c r="I9884" s="10"/>
      <c r="J9884" s="10"/>
      <c r="K9884" s="10"/>
      <c r="L9884" s="10"/>
      <c r="M9884" s="10"/>
      <c r="N9884" s="10"/>
      <c r="O9884" s="10"/>
      <c r="P9884" s="10"/>
      <c r="Q9884" s="10"/>
      <c r="R9884" s="10"/>
      <c r="S9884" s="10"/>
      <c r="T9884" s="10"/>
      <c r="U9884" s="10"/>
      <c r="V9884" s="10"/>
      <c r="W9884" s="10"/>
      <c r="X9884" s="10"/>
      <c r="Y9884" s="10"/>
      <c r="Z9884" s="10"/>
    </row>
    <row r="9885" spans="1:26" ht="12.75">
      <c r="A9885" s="10"/>
      <c r="B9885" s="10"/>
      <c r="C9885" s="10"/>
      <c r="D9885" s="10"/>
      <c r="E9885" s="10"/>
      <c r="F9885" s="10"/>
      <c r="G9885" s="10"/>
      <c r="H9885" s="10"/>
      <c r="I9885" s="10"/>
      <c r="J9885" s="10"/>
      <c r="K9885" s="10"/>
      <c r="L9885" s="10"/>
      <c r="M9885" s="10"/>
      <c r="N9885" s="10"/>
      <c r="O9885" s="10"/>
      <c r="P9885" s="10"/>
      <c r="Q9885" s="10"/>
      <c r="R9885" s="10"/>
      <c r="S9885" s="10"/>
      <c r="T9885" s="10"/>
      <c r="U9885" s="10"/>
      <c r="V9885" s="10"/>
      <c r="W9885" s="10"/>
      <c r="X9885" s="10"/>
      <c r="Y9885" s="10"/>
      <c r="Z9885" s="10"/>
    </row>
    <row r="9886" spans="1:26" ht="12.75">
      <c r="A9886" s="10"/>
      <c r="B9886" s="10"/>
      <c r="C9886" s="10"/>
      <c r="D9886" s="10"/>
      <c r="E9886" s="10"/>
      <c r="F9886" s="10"/>
      <c r="G9886" s="10"/>
      <c r="H9886" s="10"/>
      <c r="I9886" s="10"/>
      <c r="J9886" s="10"/>
      <c r="K9886" s="10"/>
      <c r="L9886" s="10"/>
      <c r="M9886" s="10"/>
      <c r="N9886" s="10"/>
      <c r="O9886" s="10"/>
      <c r="P9886" s="10"/>
      <c r="Q9886" s="10"/>
      <c r="R9886" s="10"/>
      <c r="S9886" s="10"/>
      <c r="T9886" s="10"/>
      <c r="U9886" s="10"/>
      <c r="V9886" s="10"/>
      <c r="W9886" s="10"/>
      <c r="X9886" s="10"/>
      <c r="Y9886" s="10"/>
      <c r="Z9886" s="10"/>
    </row>
    <row r="9887" spans="1:26" ht="12.75">
      <c r="A9887" s="10"/>
      <c r="B9887" s="10"/>
      <c r="C9887" s="10"/>
      <c r="D9887" s="10"/>
      <c r="E9887" s="10"/>
      <c r="F9887" s="10"/>
      <c r="G9887" s="10"/>
      <c r="H9887" s="10"/>
      <c r="I9887" s="10"/>
      <c r="J9887" s="10"/>
      <c r="K9887" s="10"/>
      <c r="L9887" s="10"/>
      <c r="M9887" s="10"/>
      <c r="N9887" s="10"/>
      <c r="O9887" s="10"/>
      <c r="P9887" s="10"/>
      <c r="Q9887" s="10"/>
      <c r="R9887" s="10"/>
      <c r="S9887" s="10"/>
      <c r="T9887" s="10"/>
      <c r="U9887" s="10"/>
      <c r="V9887" s="10"/>
      <c r="W9887" s="10"/>
      <c r="X9887" s="10"/>
      <c r="Y9887" s="10"/>
      <c r="Z9887" s="10"/>
    </row>
    <row r="9888" spans="1:26" ht="12.75">
      <c r="A9888" s="10"/>
      <c r="B9888" s="10"/>
      <c r="C9888" s="10"/>
      <c r="D9888" s="10"/>
      <c r="E9888" s="10"/>
      <c r="F9888" s="10"/>
      <c r="G9888" s="10"/>
      <c r="H9888" s="10"/>
      <c r="I9888" s="10"/>
      <c r="J9888" s="10"/>
      <c r="K9888" s="10"/>
      <c r="L9888" s="10"/>
      <c r="M9888" s="10"/>
      <c r="N9888" s="10"/>
      <c r="O9888" s="10"/>
      <c r="P9888" s="10"/>
      <c r="Q9888" s="10"/>
      <c r="R9888" s="10"/>
      <c r="S9888" s="10"/>
      <c r="T9888" s="10"/>
      <c r="U9888" s="10"/>
      <c r="V9888" s="10"/>
      <c r="W9888" s="10"/>
      <c r="X9888" s="10"/>
      <c r="Y9888" s="10"/>
      <c r="Z9888" s="10"/>
    </row>
    <row r="9889" spans="1:26" ht="12.75">
      <c r="A9889" s="10"/>
      <c r="B9889" s="10"/>
      <c r="C9889" s="10"/>
      <c r="D9889" s="10"/>
      <c r="E9889" s="10"/>
      <c r="F9889" s="10"/>
      <c r="G9889" s="10"/>
      <c r="H9889" s="10"/>
      <c r="I9889" s="10"/>
      <c r="J9889" s="10"/>
      <c r="K9889" s="10"/>
      <c r="L9889" s="10"/>
      <c r="M9889" s="10"/>
      <c r="N9889" s="10"/>
      <c r="O9889" s="10"/>
      <c r="P9889" s="10"/>
      <c r="Q9889" s="10"/>
      <c r="R9889" s="10"/>
      <c r="S9889" s="10"/>
      <c r="T9889" s="10"/>
      <c r="U9889" s="10"/>
      <c r="V9889" s="10"/>
      <c r="W9889" s="10"/>
      <c r="X9889" s="10"/>
      <c r="Y9889" s="10"/>
      <c r="Z9889" s="10"/>
    </row>
    <row r="9890" spans="1:26" ht="12.75">
      <c r="A9890" s="10"/>
      <c r="B9890" s="10"/>
      <c r="C9890" s="10"/>
      <c r="D9890" s="10"/>
      <c r="E9890" s="10"/>
      <c r="F9890" s="10"/>
      <c r="G9890" s="10"/>
      <c r="H9890" s="10"/>
      <c r="I9890" s="10"/>
      <c r="J9890" s="10"/>
      <c r="K9890" s="10"/>
      <c r="L9890" s="10"/>
      <c r="M9890" s="10"/>
      <c r="N9890" s="10"/>
      <c r="O9890" s="10"/>
      <c r="P9890" s="10"/>
      <c r="Q9890" s="10"/>
      <c r="R9890" s="10"/>
      <c r="S9890" s="10"/>
      <c r="T9890" s="10"/>
      <c r="U9890" s="10"/>
      <c r="V9890" s="10"/>
      <c r="W9890" s="10"/>
      <c r="X9890" s="10"/>
      <c r="Y9890" s="10"/>
      <c r="Z9890" s="10"/>
    </row>
    <row r="9891" spans="1:26" ht="12.75">
      <c r="A9891" s="10"/>
      <c r="B9891" s="10"/>
      <c r="C9891" s="10"/>
      <c r="D9891" s="10"/>
      <c r="E9891" s="10"/>
      <c r="F9891" s="10"/>
      <c r="G9891" s="10"/>
      <c r="H9891" s="10"/>
      <c r="I9891" s="10"/>
      <c r="J9891" s="10"/>
      <c r="K9891" s="10"/>
      <c r="L9891" s="10"/>
      <c r="M9891" s="10"/>
      <c r="N9891" s="10"/>
      <c r="O9891" s="10"/>
      <c r="P9891" s="10"/>
      <c r="Q9891" s="10"/>
      <c r="R9891" s="10"/>
      <c r="S9891" s="10"/>
      <c r="T9891" s="10"/>
      <c r="U9891" s="10"/>
      <c r="V9891" s="10"/>
      <c r="W9891" s="10"/>
      <c r="X9891" s="10"/>
      <c r="Y9891" s="10"/>
      <c r="Z9891" s="10"/>
    </row>
    <row r="9892" spans="1:26" ht="12.75">
      <c r="A9892" s="10"/>
      <c r="B9892" s="10"/>
      <c r="C9892" s="10"/>
      <c r="D9892" s="10"/>
      <c r="E9892" s="10"/>
      <c r="F9892" s="10"/>
      <c r="G9892" s="10"/>
      <c r="H9892" s="10"/>
      <c r="I9892" s="10"/>
      <c r="J9892" s="10"/>
      <c r="K9892" s="10"/>
      <c r="L9892" s="10"/>
      <c r="M9892" s="10"/>
      <c r="N9892" s="10"/>
      <c r="O9892" s="10"/>
      <c r="P9892" s="10"/>
      <c r="Q9892" s="10"/>
      <c r="R9892" s="10"/>
      <c r="S9892" s="10"/>
      <c r="T9892" s="10"/>
      <c r="U9892" s="10"/>
      <c r="V9892" s="10"/>
      <c r="W9892" s="10"/>
      <c r="X9892" s="10"/>
      <c r="Y9892" s="10"/>
      <c r="Z9892" s="10"/>
    </row>
    <row r="9893" spans="1:26" ht="12.75">
      <c r="A9893" s="10"/>
      <c r="B9893" s="10"/>
      <c r="C9893" s="10"/>
      <c r="D9893" s="10"/>
      <c r="E9893" s="10"/>
      <c r="F9893" s="10"/>
      <c r="G9893" s="10"/>
      <c r="H9893" s="10"/>
      <c r="I9893" s="10"/>
      <c r="J9893" s="10"/>
      <c r="K9893" s="10"/>
      <c r="L9893" s="10"/>
      <c r="M9893" s="10"/>
      <c r="N9893" s="10"/>
      <c r="O9893" s="10"/>
      <c r="P9893" s="10"/>
      <c r="Q9893" s="10"/>
      <c r="R9893" s="10"/>
      <c r="S9893" s="10"/>
      <c r="T9893" s="10"/>
      <c r="U9893" s="10"/>
      <c r="V9893" s="10"/>
      <c r="W9893" s="10"/>
      <c r="X9893" s="10"/>
      <c r="Y9893" s="10"/>
      <c r="Z9893" s="10"/>
    </row>
    <row r="9894" spans="1:26" ht="12.75">
      <c r="A9894" s="10"/>
      <c r="B9894" s="10"/>
      <c r="C9894" s="10"/>
      <c r="D9894" s="10"/>
      <c r="E9894" s="10"/>
      <c r="F9894" s="10"/>
      <c r="G9894" s="10"/>
      <c r="H9894" s="10"/>
      <c r="I9894" s="10"/>
      <c r="J9894" s="10"/>
      <c r="K9894" s="10"/>
      <c r="L9894" s="10"/>
      <c r="M9894" s="10"/>
      <c r="N9894" s="10"/>
      <c r="O9894" s="10"/>
      <c r="P9894" s="10"/>
      <c r="Q9894" s="10"/>
      <c r="R9894" s="10"/>
      <c r="S9894" s="10"/>
      <c r="T9894" s="10"/>
      <c r="U9894" s="10"/>
      <c r="V9894" s="10"/>
      <c r="W9894" s="10"/>
      <c r="X9894" s="10"/>
      <c r="Y9894" s="10"/>
      <c r="Z9894" s="10"/>
    </row>
    <row r="9895" spans="1:26" ht="12.75">
      <c r="A9895" s="10"/>
      <c r="B9895" s="10"/>
      <c r="C9895" s="10"/>
      <c r="D9895" s="10"/>
      <c r="E9895" s="10"/>
      <c r="F9895" s="10"/>
      <c r="G9895" s="10"/>
      <c r="H9895" s="10"/>
      <c r="I9895" s="10"/>
      <c r="J9895" s="10"/>
      <c r="K9895" s="10"/>
      <c r="L9895" s="10"/>
      <c r="M9895" s="10"/>
      <c r="N9895" s="10"/>
      <c r="O9895" s="10"/>
      <c r="P9895" s="10"/>
      <c r="Q9895" s="10"/>
      <c r="R9895" s="10"/>
      <c r="S9895" s="10"/>
      <c r="T9895" s="10"/>
      <c r="U9895" s="10"/>
      <c r="V9895" s="10"/>
      <c r="W9895" s="10"/>
      <c r="X9895" s="10"/>
      <c r="Y9895" s="10"/>
      <c r="Z9895" s="10"/>
    </row>
    <row r="9896" spans="1:26" ht="12.75">
      <c r="A9896" s="10"/>
      <c r="B9896" s="10"/>
      <c r="C9896" s="10"/>
      <c r="D9896" s="10"/>
      <c r="E9896" s="10"/>
      <c r="F9896" s="10"/>
      <c r="G9896" s="10"/>
      <c r="H9896" s="10"/>
      <c r="I9896" s="10"/>
      <c r="J9896" s="10"/>
      <c r="K9896" s="10"/>
      <c r="L9896" s="10"/>
      <c r="M9896" s="10"/>
      <c r="N9896" s="10"/>
      <c r="O9896" s="10"/>
      <c r="P9896" s="10"/>
      <c r="Q9896" s="10"/>
      <c r="R9896" s="10"/>
      <c r="S9896" s="10"/>
      <c r="T9896" s="10"/>
      <c r="U9896" s="10"/>
      <c r="V9896" s="10"/>
      <c r="W9896" s="10"/>
      <c r="X9896" s="10"/>
      <c r="Y9896" s="10"/>
      <c r="Z9896" s="10"/>
    </row>
    <row r="9897" spans="1:26" ht="12.75">
      <c r="A9897" s="10"/>
      <c r="B9897" s="10"/>
      <c r="C9897" s="10"/>
      <c r="D9897" s="10"/>
      <c r="E9897" s="10"/>
      <c r="F9897" s="10"/>
      <c r="G9897" s="10"/>
      <c r="H9897" s="10"/>
      <c r="I9897" s="10"/>
      <c r="J9897" s="10"/>
      <c r="K9897" s="10"/>
      <c r="L9897" s="10"/>
      <c r="M9897" s="10"/>
      <c r="N9897" s="10"/>
      <c r="O9897" s="10"/>
      <c r="P9897" s="10"/>
      <c r="Q9897" s="10"/>
      <c r="R9897" s="10"/>
      <c r="S9897" s="10"/>
      <c r="T9897" s="10"/>
      <c r="U9897" s="10"/>
      <c r="V9897" s="10"/>
      <c r="W9897" s="10"/>
      <c r="X9897" s="10"/>
      <c r="Y9897" s="10"/>
      <c r="Z9897" s="10"/>
    </row>
    <row r="9898" spans="1:26" ht="12.75">
      <c r="A9898" s="10"/>
      <c r="B9898" s="10"/>
      <c r="C9898" s="10"/>
      <c r="D9898" s="10"/>
      <c r="E9898" s="10"/>
      <c r="F9898" s="10"/>
      <c r="G9898" s="10"/>
      <c r="H9898" s="10"/>
      <c r="I9898" s="10"/>
      <c r="J9898" s="10"/>
      <c r="K9898" s="10"/>
      <c r="L9898" s="10"/>
      <c r="M9898" s="10"/>
      <c r="N9898" s="10"/>
      <c r="O9898" s="10"/>
      <c r="P9898" s="10"/>
      <c r="Q9898" s="10"/>
      <c r="R9898" s="10"/>
      <c r="S9898" s="10"/>
      <c r="T9898" s="10"/>
      <c r="U9898" s="10"/>
      <c r="V9898" s="10"/>
      <c r="W9898" s="10"/>
      <c r="X9898" s="10"/>
      <c r="Y9898" s="10"/>
      <c r="Z9898" s="10"/>
    </row>
    <row r="9899" spans="1:26" ht="12.75">
      <c r="A9899" s="10"/>
      <c r="B9899" s="10"/>
      <c r="C9899" s="10"/>
      <c r="D9899" s="10"/>
      <c r="E9899" s="10"/>
      <c r="F9899" s="10"/>
      <c r="G9899" s="10"/>
      <c r="H9899" s="10"/>
      <c r="I9899" s="10"/>
      <c r="J9899" s="10"/>
      <c r="K9899" s="10"/>
      <c r="L9899" s="10"/>
      <c r="M9899" s="10"/>
      <c r="N9899" s="10"/>
      <c r="O9899" s="10"/>
      <c r="P9899" s="10"/>
      <c r="Q9899" s="10"/>
      <c r="R9899" s="10"/>
      <c r="S9899" s="10"/>
      <c r="T9899" s="10"/>
      <c r="U9899" s="10"/>
      <c r="V9899" s="10"/>
      <c r="W9899" s="10"/>
      <c r="X9899" s="10"/>
      <c r="Y9899" s="10"/>
      <c r="Z9899" s="10"/>
    </row>
    <row r="9900" spans="1:26" ht="12.75">
      <c r="A9900" s="10"/>
      <c r="B9900" s="10"/>
      <c r="C9900" s="10"/>
      <c r="D9900" s="10"/>
      <c r="E9900" s="10"/>
      <c r="F9900" s="10"/>
      <c r="G9900" s="10"/>
      <c r="H9900" s="10"/>
      <c r="I9900" s="10"/>
      <c r="J9900" s="10"/>
      <c r="K9900" s="10"/>
      <c r="L9900" s="10"/>
      <c r="M9900" s="10"/>
      <c r="N9900" s="10"/>
      <c r="O9900" s="10"/>
      <c r="P9900" s="10"/>
      <c r="Q9900" s="10"/>
      <c r="R9900" s="10"/>
      <c r="S9900" s="10"/>
      <c r="T9900" s="10"/>
      <c r="U9900" s="10"/>
      <c r="V9900" s="10"/>
      <c r="W9900" s="10"/>
      <c r="X9900" s="10"/>
      <c r="Y9900" s="10"/>
      <c r="Z9900" s="10"/>
    </row>
    <row r="9901" spans="1:26" ht="12.75">
      <c r="A9901" s="10"/>
      <c r="B9901" s="10"/>
      <c r="C9901" s="10"/>
      <c r="D9901" s="10"/>
      <c r="E9901" s="10"/>
      <c r="F9901" s="10"/>
      <c r="G9901" s="10"/>
      <c r="H9901" s="10"/>
      <c r="I9901" s="10"/>
      <c r="J9901" s="10"/>
      <c r="K9901" s="10"/>
      <c r="L9901" s="10"/>
      <c r="M9901" s="10"/>
      <c r="N9901" s="10"/>
      <c r="O9901" s="10"/>
      <c r="P9901" s="10"/>
      <c r="Q9901" s="10"/>
      <c r="R9901" s="10"/>
      <c r="S9901" s="10"/>
      <c r="T9901" s="10"/>
      <c r="U9901" s="10"/>
      <c r="V9901" s="10"/>
      <c r="W9901" s="10"/>
      <c r="X9901" s="10"/>
      <c r="Y9901" s="10"/>
      <c r="Z9901" s="10"/>
    </row>
    <row r="9902" spans="1:26" ht="12.75">
      <c r="A9902" s="10"/>
      <c r="B9902" s="10"/>
      <c r="C9902" s="10"/>
      <c r="D9902" s="10"/>
      <c r="E9902" s="10"/>
      <c r="F9902" s="10"/>
      <c r="G9902" s="10"/>
      <c r="H9902" s="10"/>
      <c r="I9902" s="10"/>
      <c r="J9902" s="10"/>
      <c r="K9902" s="10"/>
      <c r="L9902" s="10"/>
      <c r="M9902" s="10"/>
      <c r="N9902" s="10"/>
      <c r="O9902" s="10"/>
      <c r="P9902" s="10"/>
      <c r="Q9902" s="10"/>
      <c r="R9902" s="10"/>
      <c r="S9902" s="10"/>
      <c r="T9902" s="10"/>
      <c r="U9902" s="10"/>
      <c r="V9902" s="10"/>
      <c r="W9902" s="10"/>
      <c r="X9902" s="10"/>
      <c r="Y9902" s="10"/>
      <c r="Z9902" s="10"/>
    </row>
    <row r="9903" spans="1:26" ht="12.75">
      <c r="A9903" s="10"/>
      <c r="B9903" s="10"/>
      <c r="C9903" s="10"/>
      <c r="D9903" s="10"/>
      <c r="E9903" s="10"/>
      <c r="F9903" s="10"/>
      <c r="G9903" s="10"/>
      <c r="H9903" s="10"/>
      <c r="I9903" s="10"/>
      <c r="J9903" s="10"/>
      <c r="K9903" s="10"/>
      <c r="L9903" s="10"/>
      <c r="M9903" s="10"/>
      <c r="N9903" s="10"/>
      <c r="O9903" s="10"/>
      <c r="P9903" s="10"/>
      <c r="Q9903" s="10"/>
      <c r="R9903" s="10"/>
      <c r="S9903" s="10"/>
      <c r="T9903" s="10"/>
      <c r="U9903" s="10"/>
      <c r="V9903" s="10"/>
      <c r="W9903" s="10"/>
      <c r="X9903" s="10"/>
      <c r="Y9903" s="10"/>
      <c r="Z9903" s="10"/>
    </row>
    <row r="9904" spans="1:26" ht="12.75">
      <c r="A9904" s="10"/>
      <c r="B9904" s="10"/>
      <c r="C9904" s="10"/>
      <c r="D9904" s="10"/>
      <c r="E9904" s="10"/>
      <c r="F9904" s="10"/>
      <c r="G9904" s="10"/>
      <c r="H9904" s="10"/>
      <c r="I9904" s="10"/>
      <c r="J9904" s="10"/>
      <c r="K9904" s="10"/>
      <c r="L9904" s="10"/>
      <c r="M9904" s="10"/>
      <c r="N9904" s="10"/>
      <c r="O9904" s="10"/>
      <c r="P9904" s="10"/>
      <c r="Q9904" s="10"/>
      <c r="R9904" s="10"/>
      <c r="S9904" s="10"/>
      <c r="T9904" s="10"/>
      <c r="U9904" s="10"/>
      <c r="V9904" s="10"/>
      <c r="W9904" s="10"/>
      <c r="X9904" s="10"/>
      <c r="Y9904" s="10"/>
      <c r="Z9904" s="10"/>
    </row>
    <row r="9905" spans="1:26" ht="12.75">
      <c r="A9905" s="10"/>
      <c r="B9905" s="10"/>
      <c r="C9905" s="10"/>
      <c r="D9905" s="10"/>
      <c r="E9905" s="10"/>
      <c r="F9905" s="10"/>
      <c r="G9905" s="10"/>
      <c r="H9905" s="10"/>
      <c r="I9905" s="10"/>
      <c r="J9905" s="10"/>
      <c r="K9905" s="10"/>
      <c r="L9905" s="10"/>
      <c r="M9905" s="10"/>
      <c r="N9905" s="10"/>
      <c r="O9905" s="10"/>
      <c r="P9905" s="10"/>
      <c r="Q9905" s="10"/>
      <c r="R9905" s="10"/>
      <c r="S9905" s="10"/>
      <c r="T9905" s="10"/>
      <c r="U9905" s="10"/>
      <c r="V9905" s="10"/>
      <c r="W9905" s="10"/>
      <c r="X9905" s="10"/>
      <c r="Y9905" s="10"/>
      <c r="Z9905" s="10"/>
    </row>
    <row r="9906" spans="1:26" ht="12.75">
      <c r="A9906" s="10"/>
      <c r="B9906" s="10"/>
      <c r="C9906" s="10"/>
      <c r="D9906" s="10"/>
      <c r="E9906" s="10"/>
      <c r="F9906" s="10"/>
      <c r="G9906" s="10"/>
      <c r="H9906" s="10"/>
      <c r="I9906" s="10"/>
      <c r="J9906" s="10"/>
      <c r="K9906" s="10"/>
      <c r="L9906" s="10"/>
      <c r="M9906" s="10"/>
      <c r="N9906" s="10"/>
      <c r="O9906" s="10"/>
      <c r="P9906" s="10"/>
      <c r="Q9906" s="10"/>
      <c r="R9906" s="10"/>
      <c r="S9906" s="10"/>
      <c r="T9906" s="10"/>
      <c r="U9906" s="10"/>
      <c r="V9906" s="10"/>
      <c r="W9906" s="10"/>
      <c r="X9906" s="10"/>
      <c r="Y9906" s="10"/>
      <c r="Z9906" s="10"/>
    </row>
    <row r="9907" spans="1:26" ht="12.75">
      <c r="A9907" s="10"/>
      <c r="B9907" s="10"/>
      <c r="C9907" s="10"/>
      <c r="D9907" s="10"/>
      <c r="E9907" s="10"/>
      <c r="F9907" s="10"/>
      <c r="G9907" s="10"/>
      <c r="H9907" s="10"/>
      <c r="I9907" s="10"/>
      <c r="J9907" s="10"/>
      <c r="K9907" s="10"/>
      <c r="L9907" s="10"/>
      <c r="M9907" s="10"/>
      <c r="N9907" s="10"/>
      <c r="O9907" s="10"/>
      <c r="P9907" s="10"/>
      <c r="Q9907" s="10"/>
      <c r="R9907" s="10"/>
      <c r="S9907" s="10"/>
      <c r="T9907" s="10"/>
      <c r="U9907" s="10"/>
      <c r="V9907" s="10"/>
      <c r="W9907" s="10"/>
      <c r="X9907" s="10"/>
      <c r="Y9907" s="10"/>
      <c r="Z9907" s="10"/>
    </row>
    <row r="9908" spans="1:26" ht="12.75">
      <c r="A9908" s="10"/>
      <c r="B9908" s="10"/>
      <c r="C9908" s="10"/>
      <c r="D9908" s="10"/>
      <c r="E9908" s="10"/>
      <c r="F9908" s="10"/>
      <c r="G9908" s="10"/>
      <c r="H9908" s="10"/>
      <c r="I9908" s="10"/>
      <c r="J9908" s="10"/>
      <c r="K9908" s="10"/>
      <c r="L9908" s="10"/>
      <c r="M9908" s="10"/>
      <c r="N9908" s="10"/>
      <c r="O9908" s="10"/>
      <c r="P9908" s="10"/>
      <c r="Q9908" s="10"/>
      <c r="R9908" s="10"/>
      <c r="S9908" s="10"/>
      <c r="T9908" s="10"/>
      <c r="U9908" s="10"/>
      <c r="V9908" s="10"/>
      <c r="W9908" s="10"/>
      <c r="X9908" s="10"/>
      <c r="Y9908" s="10"/>
      <c r="Z9908" s="10"/>
    </row>
    <row r="9909" spans="1:26" ht="12.75">
      <c r="A9909" s="10"/>
      <c r="B9909" s="10"/>
      <c r="C9909" s="10"/>
      <c r="D9909" s="10"/>
      <c r="E9909" s="10"/>
      <c r="F9909" s="10"/>
      <c r="G9909" s="10"/>
      <c r="H9909" s="10"/>
      <c r="I9909" s="10"/>
      <c r="J9909" s="10"/>
      <c r="K9909" s="10"/>
      <c r="L9909" s="10"/>
      <c r="M9909" s="10"/>
      <c r="N9909" s="10"/>
      <c r="O9909" s="10"/>
      <c r="P9909" s="10"/>
      <c r="Q9909" s="10"/>
      <c r="R9909" s="10"/>
      <c r="S9909" s="10"/>
      <c r="T9909" s="10"/>
      <c r="U9909" s="10"/>
      <c r="V9909" s="10"/>
      <c r="W9909" s="10"/>
      <c r="X9909" s="10"/>
      <c r="Y9909" s="10"/>
      <c r="Z9909" s="10"/>
    </row>
    <row r="9910" spans="1:26" ht="12.75">
      <c r="A9910" s="10"/>
      <c r="B9910" s="10"/>
      <c r="C9910" s="10"/>
      <c r="D9910" s="10"/>
      <c r="E9910" s="10"/>
      <c r="F9910" s="10"/>
      <c r="G9910" s="10"/>
      <c r="H9910" s="10"/>
      <c r="I9910" s="10"/>
      <c r="J9910" s="10"/>
      <c r="K9910" s="10"/>
      <c r="L9910" s="10"/>
      <c r="M9910" s="10"/>
      <c r="N9910" s="10"/>
      <c r="O9910" s="10"/>
      <c r="P9910" s="10"/>
      <c r="Q9910" s="10"/>
      <c r="R9910" s="10"/>
      <c r="S9910" s="10"/>
      <c r="T9910" s="10"/>
      <c r="U9910" s="10"/>
      <c r="V9910" s="10"/>
      <c r="W9910" s="10"/>
      <c r="X9910" s="10"/>
      <c r="Y9910" s="10"/>
      <c r="Z9910" s="10"/>
    </row>
    <row r="9911" spans="1:26" ht="12.75">
      <c r="A9911" s="10"/>
      <c r="B9911" s="10"/>
      <c r="C9911" s="10"/>
      <c r="D9911" s="10"/>
      <c r="E9911" s="10"/>
      <c r="F9911" s="10"/>
      <c r="G9911" s="10"/>
      <c r="H9911" s="10"/>
      <c r="I9911" s="10"/>
      <c r="J9911" s="10"/>
      <c r="K9911" s="10"/>
      <c r="L9911" s="10"/>
      <c r="M9911" s="10"/>
      <c r="N9911" s="10"/>
      <c r="O9911" s="10"/>
      <c r="P9911" s="10"/>
      <c r="Q9911" s="10"/>
      <c r="R9911" s="10"/>
      <c r="S9911" s="10"/>
      <c r="T9911" s="10"/>
      <c r="U9911" s="10"/>
      <c r="V9911" s="10"/>
      <c r="W9911" s="10"/>
      <c r="X9911" s="10"/>
      <c r="Y9911" s="10"/>
      <c r="Z9911" s="10"/>
    </row>
    <row r="9912" spans="1:26" ht="12.75">
      <c r="A9912" s="10"/>
      <c r="B9912" s="10"/>
      <c r="C9912" s="10"/>
      <c r="D9912" s="10"/>
      <c r="E9912" s="10"/>
      <c r="F9912" s="10"/>
      <c r="G9912" s="10"/>
      <c r="H9912" s="10"/>
      <c r="I9912" s="10"/>
      <c r="J9912" s="10"/>
      <c r="K9912" s="10"/>
      <c r="L9912" s="10"/>
      <c r="M9912" s="10"/>
      <c r="N9912" s="10"/>
      <c r="O9912" s="10"/>
      <c r="P9912" s="10"/>
      <c r="Q9912" s="10"/>
      <c r="R9912" s="10"/>
      <c r="S9912" s="10"/>
      <c r="T9912" s="10"/>
      <c r="U9912" s="10"/>
      <c r="V9912" s="10"/>
      <c r="W9912" s="10"/>
      <c r="X9912" s="10"/>
      <c r="Y9912" s="10"/>
      <c r="Z9912" s="10"/>
    </row>
    <row r="9913" spans="1:26" ht="12.75">
      <c r="A9913" s="10"/>
      <c r="B9913" s="10"/>
      <c r="C9913" s="10"/>
      <c r="D9913" s="10"/>
      <c r="E9913" s="10"/>
      <c r="F9913" s="10"/>
      <c r="G9913" s="10"/>
      <c r="H9913" s="10"/>
      <c r="I9913" s="10"/>
      <c r="J9913" s="10"/>
      <c r="K9913" s="10"/>
      <c r="L9913" s="10"/>
      <c r="M9913" s="10"/>
      <c r="N9913" s="10"/>
      <c r="O9913" s="10"/>
      <c r="P9913" s="10"/>
      <c r="Q9913" s="10"/>
      <c r="R9913" s="10"/>
      <c r="S9913" s="10"/>
      <c r="T9913" s="10"/>
      <c r="U9913" s="10"/>
      <c r="V9913" s="10"/>
      <c r="W9913" s="10"/>
      <c r="X9913" s="10"/>
      <c r="Y9913" s="10"/>
      <c r="Z9913" s="10"/>
    </row>
    <row r="9914" spans="1:26" ht="12.75">
      <c r="A9914" s="10"/>
      <c r="B9914" s="10"/>
      <c r="C9914" s="10"/>
      <c r="D9914" s="10"/>
      <c r="E9914" s="10"/>
      <c r="F9914" s="10"/>
      <c r="G9914" s="10"/>
      <c r="H9914" s="10"/>
      <c r="I9914" s="10"/>
      <c r="J9914" s="10"/>
      <c r="K9914" s="10"/>
      <c r="L9914" s="10"/>
      <c r="M9914" s="10"/>
      <c r="N9914" s="10"/>
      <c r="O9914" s="10"/>
      <c r="P9914" s="10"/>
      <c r="Q9914" s="10"/>
      <c r="R9914" s="10"/>
      <c r="S9914" s="10"/>
      <c r="T9914" s="10"/>
      <c r="U9914" s="10"/>
      <c r="V9914" s="10"/>
      <c r="W9914" s="10"/>
      <c r="X9914" s="10"/>
      <c r="Y9914" s="10"/>
      <c r="Z9914" s="10"/>
    </row>
    <row r="9915" spans="1:26" ht="12.75">
      <c r="A9915" s="10"/>
      <c r="B9915" s="10"/>
      <c r="C9915" s="10"/>
      <c r="D9915" s="10"/>
      <c r="E9915" s="10"/>
      <c r="F9915" s="10"/>
      <c r="G9915" s="10"/>
      <c r="H9915" s="10"/>
      <c r="I9915" s="10"/>
      <c r="J9915" s="10"/>
      <c r="K9915" s="10"/>
      <c r="L9915" s="10"/>
      <c r="M9915" s="10"/>
      <c r="N9915" s="10"/>
      <c r="O9915" s="10"/>
      <c r="P9915" s="10"/>
      <c r="Q9915" s="10"/>
      <c r="R9915" s="10"/>
      <c r="S9915" s="10"/>
      <c r="T9915" s="10"/>
      <c r="U9915" s="10"/>
      <c r="V9915" s="10"/>
      <c r="W9915" s="10"/>
      <c r="X9915" s="10"/>
      <c r="Y9915" s="10"/>
      <c r="Z9915" s="10"/>
    </row>
    <row r="9916" spans="1:26" ht="12.75">
      <c r="A9916" s="10"/>
      <c r="B9916" s="10"/>
      <c r="C9916" s="10"/>
      <c r="D9916" s="10"/>
      <c r="E9916" s="10"/>
      <c r="F9916" s="10"/>
      <c r="G9916" s="10"/>
      <c r="H9916" s="10"/>
      <c r="I9916" s="10"/>
      <c r="J9916" s="10"/>
      <c r="K9916" s="10"/>
      <c r="L9916" s="10"/>
      <c r="M9916" s="10"/>
      <c r="N9916" s="10"/>
      <c r="O9916" s="10"/>
      <c r="P9916" s="10"/>
      <c r="Q9916" s="10"/>
      <c r="R9916" s="10"/>
      <c r="S9916" s="10"/>
      <c r="T9916" s="10"/>
      <c r="U9916" s="10"/>
      <c r="V9916" s="10"/>
      <c r="W9916" s="10"/>
      <c r="X9916" s="10"/>
      <c r="Y9916" s="10"/>
      <c r="Z9916" s="10"/>
    </row>
    <row r="9917" spans="1:26" ht="12.75">
      <c r="A9917" s="10"/>
      <c r="B9917" s="10"/>
      <c r="C9917" s="10"/>
      <c r="D9917" s="10"/>
      <c r="E9917" s="10"/>
      <c r="F9917" s="10"/>
      <c r="G9917" s="10"/>
      <c r="H9917" s="10"/>
      <c r="I9917" s="10"/>
      <c r="J9917" s="10"/>
      <c r="K9917" s="10"/>
      <c r="L9917" s="10"/>
      <c r="M9917" s="10"/>
      <c r="N9917" s="10"/>
      <c r="O9917" s="10"/>
      <c r="P9917" s="10"/>
      <c r="Q9917" s="10"/>
      <c r="R9917" s="10"/>
      <c r="S9917" s="10"/>
      <c r="T9917" s="10"/>
      <c r="U9917" s="10"/>
      <c r="V9917" s="10"/>
      <c r="W9917" s="10"/>
      <c r="X9917" s="10"/>
      <c r="Y9917" s="10"/>
      <c r="Z9917" s="10"/>
    </row>
    <row r="9918" spans="1:26" ht="12.75">
      <c r="A9918" s="10"/>
      <c r="B9918" s="10"/>
      <c r="C9918" s="10"/>
      <c r="D9918" s="10"/>
      <c r="E9918" s="10"/>
      <c r="F9918" s="10"/>
      <c r="G9918" s="10"/>
      <c r="H9918" s="10"/>
      <c r="I9918" s="10"/>
      <c r="J9918" s="10"/>
      <c r="K9918" s="10"/>
      <c r="L9918" s="10"/>
      <c r="M9918" s="10"/>
      <c r="N9918" s="10"/>
      <c r="O9918" s="10"/>
      <c r="P9918" s="10"/>
      <c r="Q9918" s="10"/>
      <c r="R9918" s="10"/>
      <c r="S9918" s="10"/>
      <c r="T9918" s="10"/>
      <c r="U9918" s="10"/>
      <c r="V9918" s="10"/>
      <c r="W9918" s="10"/>
      <c r="X9918" s="10"/>
      <c r="Y9918" s="10"/>
      <c r="Z9918" s="10"/>
    </row>
    <row r="9919" spans="1:26" ht="12.75">
      <c r="A9919" s="10"/>
      <c r="B9919" s="10"/>
      <c r="C9919" s="10"/>
      <c r="D9919" s="10"/>
      <c r="E9919" s="10"/>
      <c r="F9919" s="10"/>
      <c r="G9919" s="10"/>
      <c r="H9919" s="10"/>
      <c r="I9919" s="10"/>
      <c r="J9919" s="10"/>
      <c r="K9919" s="10"/>
      <c r="L9919" s="10"/>
      <c r="M9919" s="10"/>
      <c r="N9919" s="10"/>
      <c r="O9919" s="10"/>
      <c r="P9919" s="10"/>
      <c r="Q9919" s="10"/>
      <c r="R9919" s="10"/>
      <c r="S9919" s="10"/>
      <c r="T9919" s="10"/>
      <c r="U9919" s="10"/>
      <c r="V9919" s="10"/>
      <c r="W9919" s="10"/>
      <c r="X9919" s="10"/>
      <c r="Y9919" s="10"/>
      <c r="Z9919" s="10"/>
    </row>
    <row r="9920" spans="1:26" ht="12.75">
      <c r="A9920" s="10"/>
      <c r="B9920" s="10"/>
      <c r="C9920" s="10"/>
      <c r="D9920" s="10"/>
      <c r="E9920" s="10"/>
      <c r="F9920" s="10"/>
      <c r="G9920" s="10"/>
      <c r="H9920" s="10"/>
      <c r="I9920" s="10"/>
      <c r="J9920" s="10"/>
      <c r="K9920" s="10"/>
      <c r="L9920" s="10"/>
      <c r="M9920" s="10"/>
      <c r="N9920" s="10"/>
      <c r="O9920" s="10"/>
      <c r="P9920" s="10"/>
      <c r="Q9920" s="10"/>
      <c r="R9920" s="10"/>
      <c r="S9920" s="10"/>
      <c r="T9920" s="10"/>
      <c r="U9920" s="10"/>
      <c r="V9920" s="10"/>
      <c r="W9920" s="10"/>
      <c r="X9920" s="10"/>
      <c r="Y9920" s="10"/>
      <c r="Z9920" s="10"/>
    </row>
    <row r="9921" spans="1:26" ht="12.75">
      <c r="A9921" s="10"/>
      <c r="B9921" s="10"/>
      <c r="C9921" s="10"/>
      <c r="D9921" s="10"/>
      <c r="E9921" s="10"/>
      <c r="F9921" s="10"/>
      <c r="G9921" s="10"/>
      <c r="H9921" s="10"/>
      <c r="I9921" s="10"/>
      <c r="J9921" s="10"/>
      <c r="K9921" s="10"/>
      <c r="L9921" s="10"/>
      <c r="M9921" s="10"/>
      <c r="N9921" s="10"/>
      <c r="O9921" s="10"/>
      <c r="P9921" s="10"/>
      <c r="Q9921" s="10"/>
      <c r="R9921" s="10"/>
      <c r="S9921" s="10"/>
      <c r="T9921" s="10"/>
      <c r="U9921" s="10"/>
      <c r="V9921" s="10"/>
      <c r="W9921" s="10"/>
      <c r="X9921" s="10"/>
      <c r="Y9921" s="10"/>
      <c r="Z9921" s="10"/>
    </row>
    <row r="9922" spans="1:26" ht="12.75">
      <c r="A9922" s="10"/>
      <c r="B9922" s="10"/>
      <c r="C9922" s="10"/>
      <c r="D9922" s="10"/>
      <c r="E9922" s="10"/>
      <c r="F9922" s="10"/>
      <c r="G9922" s="10"/>
      <c r="H9922" s="10"/>
      <c r="I9922" s="10"/>
      <c r="J9922" s="10"/>
      <c r="K9922" s="10"/>
      <c r="L9922" s="10"/>
      <c r="M9922" s="10"/>
      <c r="N9922" s="10"/>
      <c r="O9922" s="10"/>
      <c r="P9922" s="10"/>
      <c r="Q9922" s="10"/>
      <c r="R9922" s="10"/>
      <c r="S9922" s="10"/>
      <c r="T9922" s="10"/>
      <c r="U9922" s="10"/>
      <c r="V9922" s="10"/>
      <c r="W9922" s="10"/>
      <c r="X9922" s="10"/>
      <c r="Y9922" s="10"/>
      <c r="Z9922" s="10"/>
    </row>
    <row r="9923" spans="1:26" ht="12.75">
      <c r="A9923" s="10"/>
      <c r="B9923" s="10"/>
      <c r="C9923" s="10"/>
      <c r="D9923" s="10"/>
      <c r="E9923" s="10"/>
      <c r="F9923" s="10"/>
      <c r="G9923" s="10"/>
      <c r="H9923" s="10"/>
      <c r="I9923" s="10"/>
      <c r="J9923" s="10"/>
      <c r="K9923" s="10"/>
      <c r="L9923" s="10"/>
      <c r="M9923" s="10"/>
      <c r="N9923" s="10"/>
      <c r="O9923" s="10"/>
      <c r="P9923" s="10"/>
      <c r="Q9923" s="10"/>
      <c r="R9923" s="10"/>
      <c r="S9923" s="10"/>
      <c r="T9923" s="10"/>
      <c r="U9923" s="10"/>
      <c r="V9923" s="10"/>
      <c r="W9923" s="10"/>
      <c r="X9923" s="10"/>
      <c r="Y9923" s="10"/>
      <c r="Z9923" s="10"/>
    </row>
    <row r="9924" spans="1:26" ht="12.75">
      <c r="A9924" s="10"/>
      <c r="B9924" s="10"/>
      <c r="C9924" s="10"/>
      <c r="D9924" s="10"/>
      <c r="E9924" s="10"/>
      <c r="F9924" s="10"/>
      <c r="G9924" s="10"/>
      <c r="H9924" s="10"/>
      <c r="I9924" s="10"/>
      <c r="J9924" s="10"/>
      <c r="K9924" s="10"/>
      <c r="L9924" s="10"/>
      <c r="M9924" s="10"/>
      <c r="N9924" s="10"/>
      <c r="O9924" s="10"/>
      <c r="P9924" s="10"/>
      <c r="Q9924" s="10"/>
      <c r="R9924" s="10"/>
      <c r="S9924" s="10"/>
      <c r="T9924" s="10"/>
      <c r="U9924" s="10"/>
      <c r="V9924" s="10"/>
      <c r="W9924" s="10"/>
      <c r="X9924" s="10"/>
      <c r="Y9924" s="10"/>
      <c r="Z9924" s="10"/>
    </row>
    <row r="9925" spans="1:26" ht="12.75">
      <c r="A9925" s="10"/>
      <c r="B9925" s="10"/>
      <c r="C9925" s="10"/>
      <c r="D9925" s="10"/>
      <c r="E9925" s="10"/>
      <c r="F9925" s="10"/>
      <c r="G9925" s="10"/>
      <c r="H9925" s="10"/>
      <c r="I9925" s="10"/>
      <c r="J9925" s="10"/>
      <c r="K9925" s="10"/>
      <c r="L9925" s="10"/>
      <c r="M9925" s="10"/>
      <c r="N9925" s="10"/>
      <c r="O9925" s="10"/>
      <c r="P9925" s="10"/>
      <c r="Q9925" s="10"/>
      <c r="R9925" s="10"/>
      <c r="S9925" s="10"/>
      <c r="T9925" s="10"/>
      <c r="U9925" s="10"/>
      <c r="V9925" s="10"/>
      <c r="W9925" s="10"/>
      <c r="X9925" s="10"/>
      <c r="Y9925" s="10"/>
      <c r="Z9925" s="10"/>
    </row>
    <row r="9926" spans="1:26" ht="12.75">
      <c r="A9926" s="10"/>
      <c r="B9926" s="10"/>
      <c r="C9926" s="10"/>
      <c r="D9926" s="10"/>
      <c r="E9926" s="10"/>
      <c r="F9926" s="10"/>
      <c r="G9926" s="10"/>
      <c r="H9926" s="10"/>
      <c r="I9926" s="10"/>
      <c r="J9926" s="10"/>
      <c r="K9926" s="10"/>
      <c r="L9926" s="10"/>
      <c r="M9926" s="10"/>
      <c r="N9926" s="10"/>
      <c r="O9926" s="10"/>
      <c r="P9926" s="10"/>
      <c r="Q9926" s="10"/>
      <c r="R9926" s="10"/>
      <c r="S9926" s="10"/>
      <c r="T9926" s="10"/>
      <c r="U9926" s="10"/>
      <c r="V9926" s="10"/>
      <c r="W9926" s="10"/>
      <c r="X9926" s="10"/>
      <c r="Y9926" s="10"/>
      <c r="Z9926" s="10"/>
    </row>
    <row r="9927" spans="1:26" ht="12.75">
      <c r="A9927" s="10"/>
      <c r="B9927" s="10"/>
      <c r="C9927" s="10"/>
      <c r="D9927" s="10"/>
      <c r="E9927" s="10"/>
      <c r="F9927" s="10"/>
      <c r="G9927" s="10"/>
      <c r="H9927" s="10"/>
      <c r="I9927" s="10"/>
      <c r="J9927" s="10"/>
      <c r="K9927" s="10"/>
      <c r="L9927" s="10"/>
      <c r="M9927" s="10"/>
      <c r="N9927" s="10"/>
      <c r="O9927" s="10"/>
      <c r="P9927" s="10"/>
      <c r="Q9927" s="10"/>
      <c r="R9927" s="10"/>
      <c r="S9927" s="10"/>
      <c r="T9927" s="10"/>
      <c r="U9927" s="10"/>
      <c r="V9927" s="10"/>
      <c r="W9927" s="10"/>
      <c r="X9927" s="10"/>
      <c r="Y9927" s="10"/>
      <c r="Z9927" s="10"/>
    </row>
    <row r="9928" spans="1:26" ht="12.75">
      <c r="A9928" s="10"/>
      <c r="B9928" s="10"/>
      <c r="C9928" s="10"/>
      <c r="D9928" s="10"/>
      <c r="E9928" s="10"/>
      <c r="F9928" s="10"/>
      <c r="G9928" s="10"/>
      <c r="H9928" s="10"/>
      <c r="I9928" s="10"/>
      <c r="J9928" s="10"/>
      <c r="K9928" s="10"/>
      <c r="L9928" s="10"/>
      <c r="M9928" s="10"/>
      <c r="N9928" s="10"/>
      <c r="O9928" s="10"/>
      <c r="P9928" s="10"/>
      <c r="Q9928" s="10"/>
      <c r="R9928" s="10"/>
      <c r="S9928" s="10"/>
      <c r="T9928" s="10"/>
      <c r="U9928" s="10"/>
      <c r="V9928" s="10"/>
      <c r="W9928" s="10"/>
      <c r="X9928" s="10"/>
      <c r="Y9928" s="10"/>
      <c r="Z9928" s="10"/>
    </row>
    <row r="9929" spans="1:26" ht="12.75">
      <c r="A9929" s="10"/>
      <c r="B9929" s="10"/>
      <c r="C9929" s="10"/>
      <c r="D9929" s="10"/>
      <c r="E9929" s="10"/>
      <c r="F9929" s="10"/>
      <c r="G9929" s="10"/>
      <c r="H9929" s="10"/>
      <c r="I9929" s="10"/>
      <c r="J9929" s="10"/>
      <c r="K9929" s="10"/>
      <c r="L9929" s="10"/>
      <c r="M9929" s="10"/>
      <c r="N9929" s="10"/>
      <c r="O9929" s="10"/>
      <c r="P9929" s="10"/>
      <c r="Q9929" s="10"/>
      <c r="R9929" s="10"/>
      <c r="S9929" s="10"/>
      <c r="T9929" s="10"/>
      <c r="U9929" s="10"/>
      <c r="V9929" s="10"/>
      <c r="W9929" s="10"/>
      <c r="X9929" s="10"/>
      <c r="Y9929" s="10"/>
      <c r="Z9929" s="10"/>
    </row>
    <row r="9930" spans="1:26" ht="12.75">
      <c r="A9930" s="10"/>
      <c r="B9930" s="10"/>
      <c r="C9930" s="10"/>
      <c r="D9930" s="10"/>
      <c r="E9930" s="10"/>
      <c r="F9930" s="10"/>
      <c r="G9930" s="10"/>
      <c r="H9930" s="10"/>
      <c r="I9930" s="10"/>
      <c r="J9930" s="10"/>
      <c r="K9930" s="10"/>
      <c r="L9930" s="10"/>
      <c r="M9930" s="10"/>
      <c r="N9930" s="10"/>
      <c r="O9930" s="10"/>
      <c r="P9930" s="10"/>
      <c r="Q9930" s="10"/>
      <c r="R9930" s="10"/>
      <c r="S9930" s="10"/>
      <c r="T9930" s="10"/>
      <c r="U9930" s="10"/>
      <c r="V9930" s="10"/>
      <c r="W9930" s="10"/>
      <c r="X9930" s="10"/>
      <c r="Y9930" s="10"/>
      <c r="Z9930" s="10"/>
    </row>
    <row r="9931" spans="1:26" ht="12.75">
      <c r="A9931" s="10"/>
      <c r="B9931" s="10"/>
      <c r="C9931" s="10"/>
      <c r="D9931" s="10"/>
      <c r="E9931" s="10"/>
      <c r="F9931" s="10"/>
      <c r="G9931" s="10"/>
      <c r="H9931" s="10"/>
      <c r="I9931" s="10"/>
      <c r="J9931" s="10"/>
      <c r="K9931" s="10"/>
      <c r="L9931" s="10"/>
      <c r="M9931" s="10"/>
      <c r="N9931" s="10"/>
      <c r="O9931" s="10"/>
      <c r="P9931" s="10"/>
      <c r="Q9931" s="10"/>
      <c r="R9931" s="10"/>
      <c r="S9931" s="10"/>
      <c r="T9931" s="10"/>
      <c r="U9931" s="10"/>
      <c r="V9931" s="10"/>
      <c r="W9931" s="10"/>
      <c r="X9931" s="10"/>
      <c r="Y9931" s="10"/>
      <c r="Z9931" s="10"/>
    </row>
    <row r="9932" spans="1:26" ht="12.75">
      <c r="A9932" s="10"/>
      <c r="B9932" s="10"/>
      <c r="C9932" s="10"/>
      <c r="D9932" s="10"/>
      <c r="E9932" s="10"/>
      <c r="F9932" s="10"/>
      <c r="G9932" s="10"/>
      <c r="H9932" s="10"/>
      <c r="I9932" s="10"/>
      <c r="J9932" s="10"/>
      <c r="K9932" s="10"/>
      <c r="L9932" s="10"/>
      <c r="M9932" s="10"/>
      <c r="N9932" s="10"/>
      <c r="O9932" s="10"/>
      <c r="P9932" s="10"/>
      <c r="Q9932" s="10"/>
      <c r="R9932" s="10"/>
      <c r="S9932" s="10"/>
      <c r="T9932" s="10"/>
      <c r="U9932" s="10"/>
      <c r="V9932" s="10"/>
      <c r="W9932" s="10"/>
      <c r="X9932" s="10"/>
      <c r="Y9932" s="10"/>
      <c r="Z9932" s="10"/>
    </row>
    <row r="9933" spans="1:26" ht="12.75">
      <c r="A9933" s="10"/>
      <c r="B9933" s="10"/>
      <c r="C9933" s="10"/>
      <c r="D9933" s="10"/>
      <c r="E9933" s="10"/>
      <c r="F9933" s="10"/>
      <c r="G9933" s="10"/>
      <c r="H9933" s="10"/>
      <c r="I9933" s="10"/>
      <c r="J9933" s="10"/>
      <c r="K9933" s="10"/>
      <c r="L9933" s="10"/>
      <c r="M9933" s="10"/>
      <c r="N9933" s="10"/>
      <c r="O9933" s="10"/>
      <c r="P9933" s="10"/>
      <c r="Q9933" s="10"/>
      <c r="R9933" s="10"/>
      <c r="S9933" s="10"/>
      <c r="T9933" s="10"/>
      <c r="U9933" s="10"/>
      <c r="V9933" s="10"/>
      <c r="W9933" s="10"/>
      <c r="X9933" s="10"/>
      <c r="Y9933" s="10"/>
      <c r="Z9933" s="10"/>
    </row>
    <row r="9934" spans="1:26" ht="12.75">
      <c r="A9934" s="10"/>
      <c r="B9934" s="10"/>
      <c r="C9934" s="10"/>
      <c r="D9934" s="10"/>
      <c r="E9934" s="10"/>
      <c r="F9934" s="10"/>
      <c r="G9934" s="10"/>
      <c r="H9934" s="10"/>
      <c r="I9934" s="10"/>
      <c r="J9934" s="10"/>
      <c r="K9934" s="10"/>
      <c r="L9934" s="10"/>
      <c r="M9934" s="10"/>
      <c r="N9934" s="10"/>
      <c r="O9934" s="10"/>
      <c r="P9934" s="10"/>
      <c r="Q9934" s="10"/>
      <c r="R9934" s="10"/>
      <c r="S9934" s="10"/>
      <c r="T9934" s="10"/>
      <c r="U9934" s="10"/>
      <c r="V9934" s="10"/>
      <c r="W9934" s="10"/>
      <c r="X9934" s="10"/>
      <c r="Y9934" s="10"/>
      <c r="Z9934" s="10"/>
    </row>
    <row r="9935" spans="1:26" ht="12.75">
      <c r="A9935" s="10"/>
      <c r="B9935" s="10"/>
      <c r="C9935" s="10"/>
      <c r="D9935" s="10"/>
      <c r="E9935" s="10"/>
      <c r="F9935" s="10"/>
      <c r="G9935" s="10"/>
      <c r="H9935" s="10"/>
      <c r="I9935" s="10"/>
      <c r="J9935" s="10"/>
      <c r="K9935" s="10"/>
      <c r="L9935" s="10"/>
      <c r="M9935" s="10"/>
      <c r="N9935" s="10"/>
      <c r="O9935" s="10"/>
      <c r="P9935" s="10"/>
      <c r="Q9935" s="10"/>
      <c r="R9935" s="10"/>
      <c r="S9935" s="10"/>
      <c r="T9935" s="10"/>
      <c r="U9935" s="10"/>
      <c r="V9935" s="10"/>
      <c r="W9935" s="10"/>
      <c r="X9935" s="10"/>
      <c r="Y9935" s="10"/>
      <c r="Z9935" s="10"/>
    </row>
    <row r="9936" spans="1:26" ht="12.75">
      <c r="A9936" s="10"/>
      <c r="B9936" s="10"/>
      <c r="C9936" s="10"/>
      <c r="D9936" s="10"/>
      <c r="E9936" s="10"/>
      <c r="F9936" s="10"/>
      <c r="G9936" s="10"/>
      <c r="H9936" s="10"/>
      <c r="I9936" s="10"/>
      <c r="J9936" s="10"/>
      <c r="K9936" s="10"/>
      <c r="L9936" s="10"/>
      <c r="M9936" s="10"/>
      <c r="N9936" s="10"/>
      <c r="O9936" s="10"/>
      <c r="P9936" s="10"/>
      <c r="Q9936" s="10"/>
      <c r="R9936" s="10"/>
      <c r="S9936" s="10"/>
      <c r="T9936" s="10"/>
      <c r="U9936" s="10"/>
      <c r="V9936" s="10"/>
      <c r="W9936" s="10"/>
      <c r="X9936" s="10"/>
      <c r="Y9936" s="10"/>
      <c r="Z9936" s="10"/>
    </row>
    <row r="9937" spans="1:26" ht="12.75">
      <c r="A9937" s="10"/>
      <c r="B9937" s="10"/>
      <c r="C9937" s="10"/>
      <c r="D9937" s="10"/>
      <c r="E9937" s="10"/>
      <c r="F9937" s="10"/>
      <c r="G9937" s="10"/>
      <c r="H9937" s="10"/>
      <c r="I9937" s="10"/>
      <c r="J9937" s="10"/>
      <c r="K9937" s="10"/>
      <c r="L9937" s="10"/>
      <c r="M9937" s="10"/>
      <c r="N9937" s="10"/>
      <c r="O9937" s="10"/>
      <c r="P9937" s="10"/>
      <c r="Q9937" s="10"/>
      <c r="R9937" s="10"/>
      <c r="S9937" s="10"/>
      <c r="T9937" s="10"/>
      <c r="U9937" s="10"/>
      <c r="V9937" s="10"/>
      <c r="W9937" s="10"/>
      <c r="X9937" s="10"/>
      <c r="Y9937" s="10"/>
      <c r="Z9937" s="10"/>
    </row>
    <row r="9938" spans="1:26" ht="12.75">
      <c r="A9938" s="10"/>
      <c r="B9938" s="10"/>
      <c r="C9938" s="10"/>
      <c r="D9938" s="10"/>
      <c r="E9938" s="10"/>
      <c r="F9938" s="10"/>
      <c r="G9938" s="10"/>
      <c r="H9938" s="10"/>
      <c r="I9938" s="10"/>
      <c r="J9938" s="10"/>
      <c r="K9938" s="10"/>
      <c r="L9938" s="10"/>
      <c r="M9938" s="10"/>
      <c r="N9938" s="10"/>
      <c r="O9938" s="10"/>
      <c r="P9938" s="10"/>
      <c r="Q9938" s="10"/>
      <c r="R9938" s="10"/>
      <c r="S9938" s="10"/>
      <c r="T9938" s="10"/>
      <c r="U9938" s="10"/>
      <c r="V9938" s="10"/>
      <c r="W9938" s="10"/>
      <c r="X9938" s="10"/>
      <c r="Y9938" s="10"/>
      <c r="Z9938" s="10"/>
    </row>
    <row r="9939" spans="1:26" ht="12.75">
      <c r="A9939" s="10"/>
      <c r="B9939" s="10"/>
      <c r="C9939" s="10"/>
      <c r="D9939" s="10"/>
      <c r="E9939" s="10"/>
      <c r="F9939" s="10"/>
      <c r="G9939" s="10"/>
      <c r="H9939" s="10"/>
      <c r="I9939" s="10"/>
      <c r="J9939" s="10"/>
      <c r="K9939" s="10"/>
      <c r="L9939" s="10"/>
      <c r="M9939" s="10"/>
      <c r="N9939" s="10"/>
      <c r="O9939" s="10"/>
      <c r="P9939" s="10"/>
      <c r="Q9939" s="10"/>
      <c r="R9939" s="10"/>
      <c r="S9939" s="10"/>
      <c r="T9939" s="10"/>
      <c r="U9939" s="10"/>
      <c r="V9939" s="10"/>
      <c r="W9939" s="10"/>
      <c r="X9939" s="10"/>
      <c r="Y9939" s="10"/>
      <c r="Z9939" s="10"/>
    </row>
    <row r="9940" spans="1:26" ht="12.75">
      <c r="A9940" s="10"/>
      <c r="B9940" s="10"/>
      <c r="C9940" s="10"/>
      <c r="D9940" s="10"/>
      <c r="E9940" s="10"/>
      <c r="F9940" s="10"/>
      <c r="G9940" s="10"/>
      <c r="H9940" s="10"/>
      <c r="I9940" s="10"/>
      <c r="J9940" s="10"/>
      <c r="K9940" s="10"/>
      <c r="L9940" s="10"/>
      <c r="M9940" s="10"/>
      <c r="N9940" s="10"/>
      <c r="O9940" s="10"/>
      <c r="P9940" s="10"/>
      <c r="Q9940" s="10"/>
      <c r="R9940" s="10"/>
      <c r="S9940" s="10"/>
      <c r="T9940" s="10"/>
      <c r="U9940" s="10"/>
      <c r="V9940" s="10"/>
      <c r="W9940" s="10"/>
      <c r="X9940" s="10"/>
      <c r="Y9940" s="10"/>
      <c r="Z9940" s="10"/>
    </row>
    <row r="9941" spans="1:26" ht="12.75">
      <c r="A9941" s="10"/>
      <c r="B9941" s="10"/>
      <c r="C9941" s="10"/>
      <c r="D9941" s="10"/>
      <c r="E9941" s="10"/>
      <c r="F9941" s="10"/>
      <c r="G9941" s="10"/>
      <c r="H9941" s="10"/>
      <c r="I9941" s="10"/>
      <c r="J9941" s="10"/>
      <c r="K9941" s="10"/>
      <c r="L9941" s="10"/>
      <c r="M9941" s="10"/>
      <c r="N9941" s="10"/>
      <c r="O9941" s="10"/>
      <c r="P9941" s="10"/>
      <c r="Q9941" s="10"/>
      <c r="R9941" s="10"/>
      <c r="S9941" s="10"/>
      <c r="T9941" s="10"/>
      <c r="U9941" s="10"/>
      <c r="V9941" s="10"/>
      <c r="W9941" s="10"/>
      <c r="X9941" s="10"/>
      <c r="Y9941" s="10"/>
      <c r="Z9941" s="10"/>
    </row>
    <row r="9942" spans="1:26" ht="12.75">
      <c r="A9942" s="10"/>
      <c r="B9942" s="10"/>
      <c r="C9942" s="10"/>
      <c r="D9942" s="10"/>
      <c r="E9942" s="10"/>
      <c r="F9942" s="10"/>
      <c r="G9942" s="10"/>
      <c r="H9942" s="10"/>
      <c r="I9942" s="10"/>
      <c r="J9942" s="10"/>
      <c r="K9942" s="10"/>
      <c r="L9942" s="10"/>
      <c r="M9942" s="10"/>
      <c r="N9942" s="10"/>
      <c r="O9942" s="10"/>
      <c r="P9942" s="10"/>
      <c r="Q9942" s="10"/>
      <c r="R9942" s="10"/>
      <c r="S9942" s="10"/>
      <c r="T9942" s="10"/>
      <c r="U9942" s="10"/>
      <c r="V9942" s="10"/>
      <c r="W9942" s="10"/>
      <c r="X9942" s="10"/>
      <c r="Y9942" s="10"/>
      <c r="Z9942" s="10"/>
    </row>
    <row r="9943" spans="1:26" ht="12.75">
      <c r="A9943" s="10"/>
      <c r="B9943" s="10"/>
      <c r="C9943" s="10"/>
      <c r="D9943" s="10"/>
      <c r="E9943" s="10"/>
      <c r="F9943" s="10"/>
      <c r="G9943" s="10"/>
      <c r="H9943" s="10"/>
      <c r="I9943" s="10"/>
      <c r="J9943" s="10"/>
      <c r="K9943" s="10"/>
      <c r="L9943" s="10"/>
      <c r="M9943" s="10"/>
      <c r="N9943" s="10"/>
      <c r="O9943" s="10"/>
      <c r="P9943" s="10"/>
      <c r="Q9943" s="10"/>
      <c r="R9943" s="10"/>
      <c r="S9943" s="10"/>
      <c r="T9943" s="10"/>
      <c r="U9943" s="10"/>
      <c r="V9943" s="10"/>
      <c r="W9943" s="10"/>
      <c r="X9943" s="10"/>
      <c r="Y9943" s="10"/>
      <c r="Z9943" s="10"/>
    </row>
    <row r="9944" spans="1:26" ht="12.75">
      <c r="A9944" s="10"/>
      <c r="B9944" s="10"/>
      <c r="C9944" s="10"/>
      <c r="D9944" s="10"/>
      <c r="E9944" s="10"/>
      <c r="F9944" s="10"/>
      <c r="G9944" s="10"/>
      <c r="H9944" s="10"/>
      <c r="I9944" s="10"/>
      <c r="J9944" s="10"/>
      <c r="K9944" s="10"/>
      <c r="L9944" s="10"/>
      <c r="M9944" s="10"/>
      <c r="N9944" s="10"/>
      <c r="O9944" s="10"/>
      <c r="P9944" s="10"/>
      <c r="Q9944" s="10"/>
      <c r="R9944" s="10"/>
      <c r="S9944" s="10"/>
      <c r="T9944" s="10"/>
      <c r="U9944" s="10"/>
      <c r="V9944" s="10"/>
      <c r="W9944" s="10"/>
      <c r="X9944" s="10"/>
      <c r="Y9944" s="10"/>
      <c r="Z9944" s="10"/>
    </row>
    <row r="9945" spans="1:26" ht="12.75">
      <c r="A9945" s="10"/>
      <c r="B9945" s="10"/>
      <c r="C9945" s="10"/>
      <c r="D9945" s="10"/>
      <c r="E9945" s="10"/>
      <c r="F9945" s="10"/>
      <c r="G9945" s="10"/>
      <c r="H9945" s="10"/>
      <c r="I9945" s="10"/>
      <c r="J9945" s="10"/>
      <c r="K9945" s="10"/>
      <c r="L9945" s="10"/>
      <c r="M9945" s="10"/>
      <c r="N9945" s="10"/>
      <c r="O9945" s="10"/>
      <c r="P9945" s="10"/>
      <c r="Q9945" s="10"/>
      <c r="R9945" s="10"/>
      <c r="S9945" s="10"/>
      <c r="T9945" s="10"/>
      <c r="U9945" s="10"/>
      <c r="V9945" s="10"/>
      <c r="W9945" s="10"/>
      <c r="X9945" s="10"/>
      <c r="Y9945" s="10"/>
      <c r="Z9945" s="10"/>
    </row>
    <row r="9946" spans="1:26" ht="12.75">
      <c r="A9946" s="10"/>
      <c r="B9946" s="10"/>
      <c r="C9946" s="10"/>
      <c r="D9946" s="10"/>
      <c r="E9946" s="10"/>
      <c r="F9946" s="10"/>
      <c r="G9946" s="10"/>
      <c r="H9946" s="10"/>
      <c r="I9946" s="10"/>
      <c r="J9946" s="10"/>
      <c r="K9946" s="10"/>
      <c r="L9946" s="10"/>
      <c r="M9946" s="10"/>
      <c r="N9946" s="10"/>
      <c r="O9946" s="10"/>
      <c r="P9946" s="10"/>
      <c r="Q9946" s="10"/>
      <c r="R9946" s="10"/>
      <c r="S9946" s="10"/>
      <c r="T9946" s="10"/>
      <c r="U9946" s="10"/>
      <c r="V9946" s="10"/>
      <c r="W9946" s="10"/>
      <c r="X9946" s="10"/>
      <c r="Y9946" s="10"/>
      <c r="Z9946" s="10"/>
    </row>
    <row r="9947" spans="1:26" ht="12.75">
      <c r="A9947" s="10"/>
      <c r="B9947" s="10"/>
      <c r="C9947" s="10"/>
      <c r="D9947" s="10"/>
      <c r="E9947" s="10"/>
      <c r="F9947" s="10"/>
      <c r="G9947" s="10"/>
      <c r="H9947" s="10"/>
      <c r="I9947" s="10"/>
      <c r="J9947" s="10"/>
      <c r="K9947" s="10"/>
      <c r="L9947" s="10"/>
      <c r="M9947" s="10"/>
      <c r="N9947" s="10"/>
      <c r="O9947" s="10"/>
      <c r="P9947" s="10"/>
      <c r="Q9947" s="10"/>
      <c r="R9947" s="10"/>
      <c r="S9947" s="10"/>
      <c r="T9947" s="10"/>
      <c r="U9947" s="10"/>
      <c r="V9947" s="10"/>
      <c r="W9947" s="10"/>
      <c r="X9947" s="10"/>
      <c r="Y9947" s="10"/>
      <c r="Z9947" s="10"/>
    </row>
    <row r="9948" spans="1:26" ht="12.75">
      <c r="A9948" s="10"/>
      <c r="B9948" s="10"/>
      <c r="C9948" s="10"/>
      <c r="D9948" s="10"/>
      <c r="E9948" s="10"/>
      <c r="F9948" s="10"/>
      <c r="G9948" s="10"/>
      <c r="H9948" s="10"/>
      <c r="I9948" s="10"/>
      <c r="J9948" s="10"/>
      <c r="K9948" s="10"/>
      <c r="L9948" s="10"/>
      <c r="M9948" s="10"/>
      <c r="N9948" s="10"/>
      <c r="O9948" s="10"/>
      <c r="P9948" s="10"/>
      <c r="Q9948" s="10"/>
      <c r="R9948" s="10"/>
      <c r="S9948" s="10"/>
      <c r="T9948" s="10"/>
      <c r="U9948" s="10"/>
      <c r="V9948" s="10"/>
      <c r="W9948" s="10"/>
      <c r="X9948" s="10"/>
      <c r="Y9948" s="10"/>
      <c r="Z9948" s="10"/>
    </row>
    <row r="9949" spans="1:26" ht="12.75">
      <c r="A9949" s="10"/>
      <c r="B9949" s="10"/>
      <c r="C9949" s="10"/>
      <c r="D9949" s="10"/>
      <c r="E9949" s="10"/>
      <c r="F9949" s="10"/>
      <c r="G9949" s="10"/>
      <c r="H9949" s="10"/>
      <c r="I9949" s="10"/>
      <c r="J9949" s="10"/>
      <c r="K9949" s="10"/>
      <c r="L9949" s="10"/>
      <c r="M9949" s="10"/>
      <c r="N9949" s="10"/>
      <c r="O9949" s="10"/>
      <c r="P9949" s="10"/>
      <c r="Q9949" s="10"/>
      <c r="R9949" s="10"/>
      <c r="S9949" s="10"/>
      <c r="T9949" s="10"/>
      <c r="U9949" s="10"/>
      <c r="V9949" s="10"/>
      <c r="W9949" s="10"/>
      <c r="X9949" s="10"/>
      <c r="Y9949" s="10"/>
      <c r="Z9949" s="10"/>
    </row>
    <row r="9950" spans="1:26" ht="12.75">
      <c r="A9950" s="10"/>
      <c r="B9950" s="10"/>
      <c r="C9950" s="10"/>
      <c r="D9950" s="10"/>
      <c r="E9950" s="10"/>
      <c r="F9950" s="10"/>
      <c r="G9950" s="10"/>
      <c r="H9950" s="10"/>
      <c r="I9950" s="10"/>
      <c r="J9950" s="10"/>
      <c r="K9950" s="10"/>
      <c r="L9950" s="10"/>
      <c r="M9950" s="10"/>
      <c r="N9950" s="10"/>
      <c r="O9950" s="10"/>
      <c r="P9950" s="10"/>
      <c r="Q9950" s="10"/>
      <c r="R9950" s="10"/>
      <c r="S9950" s="10"/>
      <c r="T9950" s="10"/>
      <c r="U9950" s="10"/>
      <c r="V9950" s="10"/>
      <c r="W9950" s="10"/>
      <c r="X9950" s="10"/>
      <c r="Y9950" s="10"/>
      <c r="Z9950" s="10"/>
    </row>
    <row r="9951" spans="1:26" ht="12.75">
      <c r="A9951" s="10"/>
      <c r="B9951" s="10"/>
      <c r="C9951" s="10"/>
      <c r="D9951" s="10"/>
      <c r="E9951" s="10"/>
      <c r="F9951" s="10"/>
      <c r="G9951" s="10"/>
      <c r="H9951" s="10"/>
      <c r="I9951" s="10"/>
      <c r="J9951" s="10"/>
      <c r="K9951" s="10"/>
      <c r="L9951" s="10"/>
      <c r="M9951" s="10"/>
      <c r="N9951" s="10"/>
      <c r="O9951" s="10"/>
      <c r="P9951" s="10"/>
      <c r="Q9951" s="10"/>
      <c r="R9951" s="10"/>
      <c r="S9951" s="10"/>
      <c r="T9951" s="10"/>
      <c r="U9951" s="10"/>
      <c r="V9951" s="10"/>
      <c r="W9951" s="10"/>
      <c r="X9951" s="10"/>
      <c r="Y9951" s="10"/>
      <c r="Z9951" s="10"/>
    </row>
    <row r="9952" spans="1:26" ht="12.75">
      <c r="A9952" s="10"/>
      <c r="B9952" s="10"/>
      <c r="C9952" s="10"/>
      <c r="D9952" s="10"/>
      <c r="E9952" s="10"/>
      <c r="F9952" s="10"/>
      <c r="G9952" s="10"/>
      <c r="H9952" s="10"/>
      <c r="I9952" s="10"/>
      <c r="J9952" s="10"/>
      <c r="K9952" s="10"/>
      <c r="L9952" s="10"/>
      <c r="M9952" s="10"/>
      <c r="N9952" s="10"/>
      <c r="O9952" s="10"/>
      <c r="P9952" s="10"/>
      <c r="Q9952" s="10"/>
      <c r="R9952" s="10"/>
      <c r="S9952" s="10"/>
      <c r="T9952" s="10"/>
      <c r="U9952" s="10"/>
      <c r="V9952" s="10"/>
      <c r="W9952" s="10"/>
      <c r="X9952" s="10"/>
      <c r="Y9952" s="10"/>
      <c r="Z9952" s="10"/>
    </row>
    <row r="9953" spans="1:26" ht="12.75">
      <c r="A9953" s="10"/>
      <c r="B9953" s="10"/>
      <c r="C9953" s="10"/>
      <c r="D9953" s="10"/>
      <c r="E9953" s="10"/>
      <c r="F9953" s="10"/>
      <c r="G9953" s="10"/>
      <c r="H9953" s="10"/>
      <c r="I9953" s="10"/>
      <c r="J9953" s="10"/>
      <c r="K9953" s="10"/>
      <c r="L9953" s="10"/>
      <c r="M9953" s="10"/>
      <c r="N9953" s="10"/>
      <c r="O9953" s="10"/>
      <c r="P9953" s="10"/>
      <c r="Q9953" s="10"/>
      <c r="R9953" s="10"/>
      <c r="S9953" s="10"/>
      <c r="T9953" s="10"/>
      <c r="U9953" s="10"/>
      <c r="V9953" s="10"/>
      <c r="W9953" s="10"/>
      <c r="X9953" s="10"/>
      <c r="Y9953" s="10"/>
      <c r="Z9953" s="10"/>
    </row>
    <row r="9954" spans="1:26" ht="12.75">
      <c r="A9954" s="10"/>
      <c r="B9954" s="10"/>
      <c r="C9954" s="10"/>
      <c r="D9954" s="10"/>
      <c r="E9954" s="10"/>
      <c r="F9954" s="10"/>
      <c r="G9954" s="10"/>
      <c r="H9954" s="10"/>
      <c r="I9954" s="10"/>
      <c r="J9954" s="10"/>
      <c r="K9954" s="10"/>
      <c r="L9954" s="10"/>
      <c r="M9954" s="10"/>
      <c r="N9954" s="10"/>
      <c r="O9954" s="10"/>
      <c r="P9954" s="10"/>
      <c r="Q9954" s="10"/>
      <c r="R9954" s="10"/>
      <c r="S9954" s="10"/>
      <c r="T9954" s="10"/>
      <c r="U9954" s="10"/>
      <c r="V9954" s="10"/>
      <c r="W9954" s="10"/>
      <c r="X9954" s="10"/>
      <c r="Y9954" s="10"/>
      <c r="Z9954" s="10"/>
    </row>
    <row r="9955" spans="1:26" ht="12.75">
      <c r="A9955" s="10"/>
      <c r="B9955" s="10"/>
      <c r="C9955" s="10"/>
      <c r="D9955" s="10"/>
      <c r="E9955" s="10"/>
      <c r="F9955" s="10"/>
      <c r="G9955" s="10"/>
      <c r="H9955" s="10"/>
      <c r="I9955" s="10"/>
      <c r="J9955" s="10"/>
      <c r="K9955" s="10"/>
      <c r="L9955" s="10"/>
      <c r="M9955" s="10"/>
      <c r="N9955" s="10"/>
      <c r="O9955" s="10"/>
      <c r="P9955" s="10"/>
      <c r="Q9955" s="10"/>
      <c r="R9955" s="10"/>
      <c r="S9955" s="10"/>
      <c r="T9955" s="10"/>
      <c r="U9955" s="10"/>
      <c r="V9955" s="10"/>
      <c r="W9955" s="10"/>
      <c r="X9955" s="10"/>
      <c r="Y9955" s="10"/>
      <c r="Z9955" s="10"/>
    </row>
    <row r="9956" spans="1:26" ht="12.75">
      <c r="A9956" s="10"/>
      <c r="B9956" s="10"/>
      <c r="C9956" s="10"/>
      <c r="D9956" s="10"/>
      <c r="E9956" s="10"/>
      <c r="F9956" s="10"/>
      <c r="G9956" s="10"/>
      <c r="H9956" s="10"/>
      <c r="I9956" s="10"/>
      <c r="J9956" s="10"/>
      <c r="K9956" s="10"/>
      <c r="L9956" s="10"/>
      <c r="M9956" s="10"/>
      <c r="N9956" s="10"/>
      <c r="O9956" s="10"/>
      <c r="P9956" s="10"/>
      <c r="Q9956" s="10"/>
      <c r="R9956" s="10"/>
      <c r="S9956" s="10"/>
      <c r="T9956" s="10"/>
      <c r="U9956" s="10"/>
      <c r="V9956" s="10"/>
      <c r="W9956" s="10"/>
      <c r="X9956" s="10"/>
      <c r="Y9956" s="10"/>
      <c r="Z9956" s="10"/>
    </row>
    <row r="9957" spans="1:26" ht="12.75">
      <c r="A9957" s="10"/>
      <c r="B9957" s="10"/>
      <c r="C9957" s="10"/>
      <c r="D9957" s="10"/>
      <c r="E9957" s="10"/>
      <c r="F9957" s="10"/>
      <c r="G9957" s="10"/>
      <c r="H9957" s="10"/>
      <c r="I9957" s="10"/>
      <c r="J9957" s="10"/>
      <c r="K9957" s="10"/>
      <c r="L9957" s="10"/>
      <c r="M9957" s="10"/>
      <c r="N9957" s="10"/>
      <c r="O9957" s="10"/>
      <c r="P9957" s="10"/>
      <c r="Q9957" s="10"/>
      <c r="R9957" s="10"/>
      <c r="S9957" s="10"/>
      <c r="T9957" s="10"/>
      <c r="U9957" s="10"/>
      <c r="V9957" s="10"/>
      <c r="W9957" s="10"/>
      <c r="X9957" s="10"/>
      <c r="Y9957" s="10"/>
      <c r="Z9957" s="10"/>
    </row>
    <row r="9958" spans="1:26" ht="12.75">
      <c r="A9958" s="10"/>
      <c r="B9958" s="10"/>
      <c r="C9958" s="10"/>
      <c r="D9958" s="10"/>
      <c r="E9958" s="10"/>
      <c r="F9958" s="10"/>
      <c r="G9958" s="10"/>
      <c r="H9958" s="10"/>
      <c r="I9958" s="10"/>
      <c r="J9958" s="10"/>
      <c r="K9958" s="10"/>
      <c r="L9958" s="10"/>
      <c r="M9958" s="10"/>
      <c r="N9958" s="10"/>
      <c r="O9958" s="10"/>
      <c r="P9958" s="10"/>
      <c r="Q9958" s="10"/>
      <c r="R9958" s="10"/>
      <c r="S9958" s="10"/>
      <c r="T9958" s="10"/>
      <c r="U9958" s="10"/>
      <c r="V9958" s="10"/>
      <c r="W9958" s="10"/>
      <c r="X9958" s="10"/>
      <c r="Y9958" s="10"/>
      <c r="Z9958" s="10"/>
    </row>
    <row r="9959" spans="1:26" ht="12.75">
      <c r="A9959" s="10"/>
      <c r="B9959" s="10"/>
      <c r="C9959" s="10"/>
      <c r="D9959" s="10"/>
      <c r="E9959" s="10"/>
      <c r="F9959" s="10"/>
      <c r="G9959" s="10"/>
      <c r="H9959" s="10"/>
      <c r="I9959" s="10"/>
      <c r="J9959" s="10"/>
      <c r="K9959" s="10"/>
      <c r="L9959" s="10"/>
      <c r="M9959" s="10"/>
      <c r="N9959" s="10"/>
      <c r="O9959" s="10"/>
      <c r="P9959" s="10"/>
      <c r="Q9959" s="10"/>
      <c r="R9959" s="10"/>
      <c r="S9959" s="10"/>
      <c r="T9959" s="10"/>
      <c r="U9959" s="10"/>
      <c r="V9959" s="10"/>
      <c r="W9959" s="10"/>
      <c r="X9959" s="10"/>
      <c r="Y9959" s="10"/>
      <c r="Z9959" s="10"/>
    </row>
    <row r="9960" spans="1:26" ht="12.75">
      <c r="A9960" s="10"/>
      <c r="B9960" s="10"/>
      <c r="C9960" s="10"/>
      <c r="D9960" s="10"/>
      <c r="E9960" s="10"/>
      <c r="F9960" s="10"/>
      <c r="G9960" s="10"/>
      <c r="H9960" s="10"/>
      <c r="I9960" s="10"/>
      <c r="J9960" s="10"/>
      <c r="K9960" s="10"/>
      <c r="L9960" s="10"/>
      <c r="M9960" s="10"/>
      <c r="N9960" s="10"/>
      <c r="O9960" s="10"/>
      <c r="P9960" s="10"/>
      <c r="Q9960" s="10"/>
      <c r="R9960" s="10"/>
      <c r="S9960" s="10"/>
      <c r="T9960" s="10"/>
      <c r="U9960" s="10"/>
      <c r="V9960" s="10"/>
      <c r="W9960" s="10"/>
      <c r="X9960" s="10"/>
      <c r="Y9960" s="10"/>
      <c r="Z9960" s="10"/>
    </row>
    <row r="9961" spans="1:26" ht="12.75">
      <c r="A9961" s="10"/>
      <c r="B9961" s="10"/>
      <c r="C9961" s="10"/>
      <c r="D9961" s="10"/>
      <c r="E9961" s="10"/>
      <c r="F9961" s="10"/>
      <c r="G9961" s="10"/>
      <c r="H9961" s="10"/>
      <c r="I9961" s="10"/>
      <c r="J9961" s="10"/>
      <c r="K9961" s="10"/>
      <c r="L9961" s="10"/>
      <c r="M9961" s="10"/>
      <c r="N9961" s="10"/>
      <c r="O9961" s="10"/>
      <c r="P9961" s="10"/>
      <c r="Q9961" s="10"/>
      <c r="R9961" s="10"/>
      <c r="S9961" s="10"/>
      <c r="T9961" s="10"/>
      <c r="U9961" s="10"/>
      <c r="V9961" s="10"/>
      <c r="W9961" s="10"/>
      <c r="X9961" s="10"/>
      <c r="Y9961" s="10"/>
      <c r="Z9961" s="10"/>
    </row>
    <row r="9962" spans="1:26" ht="12.75">
      <c r="A9962" s="10"/>
      <c r="B9962" s="10"/>
      <c r="C9962" s="10"/>
      <c r="D9962" s="10"/>
      <c r="E9962" s="10"/>
      <c r="F9962" s="10"/>
      <c r="G9962" s="10"/>
      <c r="H9962" s="10"/>
      <c r="I9962" s="10"/>
      <c r="J9962" s="10"/>
      <c r="K9962" s="10"/>
      <c r="L9962" s="10"/>
      <c r="M9962" s="10"/>
      <c r="N9962" s="10"/>
      <c r="O9962" s="10"/>
      <c r="P9962" s="10"/>
      <c r="Q9962" s="10"/>
      <c r="R9962" s="10"/>
      <c r="S9962" s="10"/>
      <c r="T9962" s="10"/>
      <c r="U9962" s="10"/>
      <c r="V9962" s="10"/>
      <c r="W9962" s="10"/>
      <c r="X9962" s="10"/>
      <c r="Y9962" s="10"/>
      <c r="Z9962" s="10"/>
    </row>
    <row r="9963" spans="1:26" ht="12.75">
      <c r="A9963" s="10"/>
      <c r="B9963" s="10"/>
      <c r="C9963" s="10"/>
      <c r="D9963" s="10"/>
      <c r="E9963" s="10"/>
      <c r="F9963" s="10"/>
      <c r="G9963" s="10"/>
      <c r="H9963" s="10"/>
      <c r="I9963" s="10"/>
      <c r="J9963" s="10"/>
      <c r="K9963" s="10"/>
      <c r="L9963" s="10"/>
      <c r="M9963" s="10"/>
      <c r="N9963" s="10"/>
      <c r="O9963" s="10"/>
      <c r="P9963" s="10"/>
      <c r="Q9963" s="10"/>
      <c r="R9963" s="10"/>
      <c r="S9963" s="10"/>
      <c r="T9963" s="10"/>
      <c r="U9963" s="10"/>
      <c r="V9963" s="10"/>
      <c r="W9963" s="10"/>
      <c r="X9963" s="10"/>
      <c r="Y9963" s="10"/>
      <c r="Z9963" s="10"/>
    </row>
    <row r="9964" spans="1:26" ht="12.75">
      <c r="A9964" s="10"/>
      <c r="B9964" s="10"/>
      <c r="C9964" s="10"/>
      <c r="D9964" s="10"/>
      <c r="E9964" s="10"/>
      <c r="F9964" s="10"/>
      <c r="G9964" s="10"/>
      <c r="H9964" s="10"/>
      <c r="I9964" s="10"/>
      <c r="J9964" s="10"/>
      <c r="K9964" s="10"/>
      <c r="L9964" s="10"/>
      <c r="M9964" s="10"/>
      <c r="N9964" s="10"/>
      <c r="O9964" s="10"/>
      <c r="P9964" s="10"/>
      <c r="Q9964" s="10"/>
      <c r="R9964" s="10"/>
      <c r="S9964" s="10"/>
      <c r="T9964" s="10"/>
      <c r="U9964" s="10"/>
      <c r="V9964" s="10"/>
      <c r="W9964" s="10"/>
      <c r="X9964" s="10"/>
      <c r="Y9964" s="10"/>
      <c r="Z9964" s="10"/>
    </row>
    <row r="9965" spans="1:26" ht="12.75">
      <c r="A9965" s="10"/>
      <c r="B9965" s="10"/>
      <c r="C9965" s="10"/>
      <c r="D9965" s="10"/>
      <c r="E9965" s="10"/>
      <c r="F9965" s="10"/>
      <c r="G9965" s="10"/>
      <c r="H9965" s="10"/>
      <c r="I9965" s="10"/>
      <c r="J9965" s="10"/>
      <c r="K9965" s="10"/>
      <c r="L9965" s="10"/>
      <c r="M9965" s="10"/>
      <c r="N9965" s="10"/>
      <c r="O9965" s="10"/>
      <c r="P9965" s="10"/>
      <c r="Q9965" s="10"/>
      <c r="R9965" s="10"/>
      <c r="S9965" s="10"/>
      <c r="T9965" s="10"/>
      <c r="U9965" s="10"/>
      <c r="V9965" s="10"/>
      <c r="W9965" s="10"/>
      <c r="X9965" s="10"/>
      <c r="Y9965" s="10"/>
      <c r="Z9965" s="10"/>
    </row>
    <row r="9966" spans="1:26" ht="12.75">
      <c r="A9966" s="10"/>
      <c r="B9966" s="10"/>
      <c r="C9966" s="10"/>
      <c r="D9966" s="10"/>
      <c r="E9966" s="10"/>
      <c r="F9966" s="10"/>
      <c r="G9966" s="10"/>
      <c r="H9966" s="10"/>
      <c r="I9966" s="10"/>
      <c r="J9966" s="10"/>
      <c r="K9966" s="10"/>
      <c r="L9966" s="10"/>
      <c r="M9966" s="10"/>
      <c r="N9966" s="10"/>
      <c r="O9966" s="10"/>
      <c r="P9966" s="10"/>
      <c r="Q9966" s="10"/>
      <c r="R9966" s="10"/>
      <c r="S9966" s="10"/>
      <c r="T9966" s="10"/>
      <c r="U9966" s="10"/>
      <c r="V9966" s="10"/>
      <c r="W9966" s="10"/>
      <c r="X9966" s="10"/>
      <c r="Y9966" s="10"/>
      <c r="Z9966" s="10"/>
    </row>
    <row r="9967" spans="1:26" ht="12.75">
      <c r="A9967" s="10"/>
      <c r="B9967" s="10"/>
      <c r="C9967" s="10"/>
      <c r="D9967" s="10"/>
      <c r="E9967" s="10"/>
      <c r="F9967" s="10"/>
      <c r="G9967" s="10"/>
      <c r="H9967" s="10"/>
      <c r="I9967" s="10"/>
      <c r="J9967" s="10"/>
      <c r="K9967" s="10"/>
      <c r="L9967" s="10"/>
      <c r="M9967" s="10"/>
      <c r="N9967" s="10"/>
      <c r="O9967" s="10"/>
      <c r="P9967" s="10"/>
      <c r="Q9967" s="10"/>
      <c r="R9967" s="10"/>
      <c r="S9967" s="10"/>
      <c r="T9967" s="10"/>
      <c r="U9967" s="10"/>
      <c r="V9967" s="10"/>
      <c r="W9967" s="10"/>
      <c r="X9967" s="10"/>
      <c r="Y9967" s="10"/>
      <c r="Z9967" s="10"/>
    </row>
    <row r="9968" spans="1:26" ht="12.75">
      <c r="A9968" s="10"/>
      <c r="B9968" s="10"/>
      <c r="C9968" s="10"/>
      <c r="D9968" s="10"/>
      <c r="E9968" s="10"/>
      <c r="F9968" s="10"/>
      <c r="G9968" s="10"/>
      <c r="H9968" s="10"/>
      <c r="I9968" s="10"/>
      <c r="J9968" s="10"/>
      <c r="K9968" s="10"/>
      <c r="L9968" s="10"/>
      <c r="M9968" s="10"/>
      <c r="N9968" s="10"/>
      <c r="O9968" s="10"/>
      <c r="P9968" s="10"/>
      <c r="Q9968" s="10"/>
      <c r="R9968" s="10"/>
      <c r="S9968" s="10"/>
      <c r="T9968" s="10"/>
      <c r="U9968" s="10"/>
      <c r="V9968" s="10"/>
      <c r="W9968" s="10"/>
      <c r="X9968" s="10"/>
      <c r="Y9968" s="10"/>
      <c r="Z9968" s="10"/>
    </row>
    <row r="9969" spans="1:26" ht="12.75">
      <c r="A9969" s="10"/>
      <c r="B9969" s="10"/>
      <c r="C9969" s="10"/>
      <c r="D9969" s="10"/>
      <c r="E9969" s="10"/>
      <c r="F9969" s="10"/>
      <c r="G9969" s="10"/>
      <c r="H9969" s="10"/>
      <c r="I9969" s="10"/>
      <c r="J9969" s="10"/>
      <c r="K9969" s="10"/>
      <c r="L9969" s="10"/>
      <c r="M9969" s="10"/>
      <c r="N9969" s="10"/>
      <c r="O9969" s="10"/>
      <c r="P9969" s="10"/>
      <c r="Q9969" s="10"/>
      <c r="R9969" s="10"/>
      <c r="S9969" s="10"/>
      <c r="T9969" s="10"/>
      <c r="U9969" s="10"/>
      <c r="V9969" s="10"/>
      <c r="W9969" s="10"/>
      <c r="X9969" s="10"/>
      <c r="Y9969" s="10"/>
      <c r="Z9969" s="10"/>
    </row>
    <row r="9970" spans="1:26" ht="12.75">
      <c r="A9970" s="10"/>
      <c r="B9970" s="10"/>
      <c r="C9970" s="10"/>
      <c r="D9970" s="10"/>
      <c r="E9970" s="10"/>
      <c r="F9970" s="10"/>
      <c r="G9970" s="10"/>
      <c r="H9970" s="10"/>
      <c r="I9970" s="10"/>
      <c r="J9970" s="10"/>
      <c r="K9970" s="10"/>
      <c r="L9970" s="10"/>
      <c r="M9970" s="10"/>
      <c r="N9970" s="10"/>
      <c r="O9970" s="10"/>
      <c r="P9970" s="10"/>
      <c r="Q9970" s="10"/>
      <c r="R9970" s="10"/>
      <c r="S9970" s="10"/>
      <c r="T9970" s="10"/>
      <c r="U9970" s="10"/>
      <c r="V9970" s="10"/>
      <c r="W9970" s="10"/>
      <c r="X9970" s="10"/>
      <c r="Y9970" s="10"/>
      <c r="Z9970" s="10"/>
    </row>
    <row r="9971" spans="1:26" ht="12.75">
      <c r="A9971" s="10"/>
      <c r="B9971" s="10"/>
      <c r="C9971" s="10"/>
      <c r="D9971" s="10"/>
      <c r="E9971" s="10"/>
      <c r="F9971" s="10"/>
      <c r="G9971" s="10"/>
      <c r="H9971" s="10"/>
      <c r="I9971" s="10"/>
      <c r="J9971" s="10"/>
      <c r="K9971" s="10"/>
      <c r="L9971" s="10"/>
      <c r="M9971" s="10"/>
      <c r="N9971" s="10"/>
      <c r="O9971" s="10"/>
      <c r="P9971" s="10"/>
      <c r="Q9971" s="10"/>
      <c r="R9971" s="10"/>
      <c r="S9971" s="10"/>
      <c r="T9971" s="10"/>
      <c r="U9971" s="10"/>
      <c r="V9971" s="10"/>
      <c r="W9971" s="10"/>
      <c r="X9971" s="10"/>
      <c r="Y9971" s="10"/>
      <c r="Z9971" s="10"/>
    </row>
    <row r="9972" spans="1:26" ht="12.75">
      <c r="A9972" s="10"/>
      <c r="B9972" s="10"/>
      <c r="C9972" s="10"/>
      <c r="D9972" s="10"/>
      <c r="E9972" s="10"/>
      <c r="F9972" s="10"/>
      <c r="G9972" s="10"/>
      <c r="H9972" s="10"/>
      <c r="I9972" s="10"/>
      <c r="J9972" s="10"/>
      <c r="K9972" s="10"/>
      <c r="L9972" s="10"/>
      <c r="M9972" s="10"/>
      <c r="N9972" s="10"/>
      <c r="O9972" s="10"/>
      <c r="P9972" s="10"/>
      <c r="Q9972" s="10"/>
      <c r="R9972" s="10"/>
      <c r="S9972" s="10"/>
      <c r="T9972" s="10"/>
      <c r="U9972" s="10"/>
      <c r="V9972" s="10"/>
      <c r="W9972" s="10"/>
      <c r="X9972" s="10"/>
      <c r="Y9972" s="10"/>
      <c r="Z9972" s="10"/>
    </row>
    <row r="9973" spans="1:26" ht="12.75">
      <c r="A9973" s="10"/>
      <c r="B9973" s="10"/>
      <c r="C9973" s="10"/>
      <c r="D9973" s="10"/>
      <c r="E9973" s="10"/>
      <c r="F9973" s="10"/>
      <c r="G9973" s="10"/>
      <c r="H9973" s="10"/>
      <c r="I9973" s="10"/>
      <c r="J9973" s="10"/>
      <c r="K9973" s="10"/>
      <c r="L9973" s="10"/>
      <c r="M9973" s="10"/>
      <c r="N9973" s="10"/>
      <c r="O9973" s="10"/>
      <c r="P9973" s="10"/>
      <c r="Q9973" s="10"/>
      <c r="R9973" s="10"/>
      <c r="S9973" s="10"/>
      <c r="T9973" s="10"/>
      <c r="U9973" s="10"/>
      <c r="V9973" s="10"/>
      <c r="W9973" s="10"/>
      <c r="X9973" s="10"/>
      <c r="Y9973" s="10"/>
      <c r="Z9973" s="10"/>
    </row>
    <row r="9974" spans="1:26" ht="12.75">
      <c r="A9974" s="10"/>
      <c r="B9974" s="10"/>
      <c r="C9974" s="10"/>
      <c r="D9974" s="10"/>
      <c r="E9974" s="10"/>
      <c r="F9974" s="10"/>
      <c r="G9974" s="10"/>
      <c r="H9974" s="10"/>
      <c r="I9974" s="10"/>
      <c r="J9974" s="10"/>
      <c r="K9974" s="10"/>
      <c r="L9974" s="10"/>
      <c r="M9974" s="10"/>
      <c r="N9974" s="10"/>
      <c r="O9974" s="10"/>
      <c r="P9974" s="10"/>
      <c r="Q9974" s="10"/>
      <c r="R9974" s="10"/>
      <c r="S9974" s="10"/>
      <c r="T9974" s="10"/>
      <c r="U9974" s="10"/>
      <c r="V9974" s="10"/>
      <c r="W9974" s="10"/>
      <c r="X9974" s="10"/>
      <c r="Y9974" s="10"/>
      <c r="Z9974" s="10"/>
    </row>
    <row r="9975" spans="1:26" ht="12.75">
      <c r="A9975" s="10"/>
      <c r="B9975" s="10"/>
      <c r="C9975" s="10"/>
      <c r="D9975" s="10"/>
      <c r="E9975" s="10"/>
      <c r="F9975" s="10"/>
      <c r="G9975" s="10"/>
      <c r="H9975" s="10"/>
      <c r="I9975" s="10"/>
      <c r="J9975" s="10"/>
      <c r="K9975" s="10"/>
      <c r="L9975" s="10"/>
      <c r="M9975" s="10"/>
      <c r="N9975" s="10"/>
      <c r="O9975" s="10"/>
      <c r="P9975" s="10"/>
      <c r="Q9975" s="10"/>
      <c r="R9975" s="10"/>
      <c r="S9975" s="10"/>
      <c r="T9975" s="10"/>
      <c r="U9975" s="10"/>
      <c r="V9975" s="10"/>
      <c r="W9975" s="10"/>
      <c r="X9975" s="10"/>
      <c r="Y9975" s="10"/>
      <c r="Z9975" s="10"/>
    </row>
    <row r="9976" spans="1:26" ht="12.75">
      <c r="A9976" s="10"/>
      <c r="B9976" s="10"/>
      <c r="C9976" s="10"/>
      <c r="D9976" s="10"/>
      <c r="E9976" s="10"/>
      <c r="F9976" s="10"/>
      <c r="G9976" s="10"/>
      <c r="H9976" s="10"/>
      <c r="I9976" s="10"/>
      <c r="J9976" s="10"/>
      <c r="K9976" s="10"/>
      <c r="L9976" s="10"/>
      <c r="M9976" s="10"/>
      <c r="N9976" s="10"/>
      <c r="O9976" s="10"/>
      <c r="P9976" s="10"/>
      <c r="Q9976" s="10"/>
      <c r="R9976" s="10"/>
      <c r="S9976" s="10"/>
      <c r="T9976" s="10"/>
      <c r="U9976" s="10"/>
      <c r="V9976" s="10"/>
      <c r="W9976" s="10"/>
      <c r="X9976" s="10"/>
      <c r="Y9976" s="10"/>
      <c r="Z9976" s="10"/>
    </row>
    <row r="9977" spans="1:26" ht="12.75">
      <c r="A9977" s="10"/>
      <c r="B9977" s="10"/>
      <c r="C9977" s="10"/>
      <c r="D9977" s="10"/>
      <c r="E9977" s="10"/>
      <c r="F9977" s="10"/>
      <c r="G9977" s="10"/>
      <c r="H9977" s="10"/>
      <c r="I9977" s="10"/>
      <c r="J9977" s="10"/>
      <c r="K9977" s="10"/>
      <c r="L9977" s="10"/>
      <c r="M9977" s="10"/>
      <c r="N9977" s="10"/>
      <c r="O9977" s="10"/>
      <c r="P9977" s="10"/>
      <c r="Q9977" s="10"/>
      <c r="R9977" s="10"/>
      <c r="S9977" s="10"/>
      <c r="T9977" s="10"/>
      <c r="U9977" s="10"/>
      <c r="V9977" s="10"/>
      <c r="W9977" s="10"/>
      <c r="X9977" s="10"/>
      <c r="Y9977" s="10"/>
      <c r="Z9977" s="10"/>
    </row>
    <row r="9978" spans="1:26" ht="12.75">
      <c r="A9978" s="10"/>
      <c r="B9978" s="10"/>
      <c r="C9978" s="10"/>
      <c r="D9978" s="10"/>
      <c r="E9978" s="10"/>
      <c r="F9978" s="10"/>
      <c r="G9978" s="10"/>
      <c r="H9978" s="10"/>
      <c r="I9978" s="10"/>
      <c r="J9978" s="10"/>
      <c r="K9978" s="10"/>
      <c r="L9978" s="10"/>
      <c r="M9978" s="10"/>
      <c r="N9978" s="10"/>
      <c r="O9978" s="10"/>
      <c r="P9978" s="10"/>
      <c r="Q9978" s="10"/>
      <c r="R9978" s="10"/>
      <c r="S9978" s="10"/>
      <c r="T9978" s="10"/>
      <c r="U9978" s="10"/>
      <c r="V9978" s="10"/>
      <c r="W9978" s="10"/>
      <c r="X9978" s="10"/>
      <c r="Y9978" s="10"/>
      <c r="Z9978" s="10"/>
    </row>
    <row r="9979" spans="1:26" ht="12.75">
      <c r="A9979" s="10"/>
      <c r="B9979" s="10"/>
      <c r="C9979" s="10"/>
      <c r="D9979" s="10"/>
      <c r="E9979" s="10"/>
      <c r="F9979" s="10"/>
      <c r="G9979" s="10"/>
      <c r="H9979" s="10"/>
      <c r="I9979" s="10"/>
      <c r="J9979" s="10"/>
      <c r="K9979" s="10"/>
      <c r="L9979" s="10"/>
      <c r="M9979" s="10"/>
      <c r="N9979" s="10"/>
      <c r="O9979" s="10"/>
      <c r="P9979" s="10"/>
      <c r="Q9979" s="10"/>
      <c r="R9979" s="10"/>
      <c r="S9979" s="10"/>
      <c r="T9979" s="10"/>
      <c r="U9979" s="10"/>
      <c r="V9979" s="10"/>
      <c r="W9979" s="10"/>
      <c r="X9979" s="10"/>
      <c r="Y9979" s="10"/>
      <c r="Z9979" s="10"/>
    </row>
    <row r="9980" spans="1:26" ht="12.75">
      <c r="A9980" s="10"/>
      <c r="B9980" s="10"/>
      <c r="C9980" s="10"/>
      <c r="D9980" s="10"/>
      <c r="E9980" s="10"/>
      <c r="F9980" s="10"/>
      <c r="G9980" s="10"/>
      <c r="H9980" s="10"/>
      <c r="I9980" s="10"/>
      <c r="J9980" s="10"/>
      <c r="K9980" s="10"/>
      <c r="L9980" s="10"/>
      <c r="M9980" s="10"/>
      <c r="N9980" s="10"/>
      <c r="O9980" s="10"/>
      <c r="P9980" s="10"/>
      <c r="Q9980" s="10"/>
      <c r="R9980" s="10"/>
      <c r="S9980" s="10"/>
      <c r="T9980" s="10"/>
      <c r="U9980" s="10"/>
      <c r="V9980" s="10"/>
      <c r="W9980" s="10"/>
      <c r="X9980" s="10"/>
      <c r="Y9980" s="10"/>
      <c r="Z9980" s="10"/>
    </row>
    <row r="9981" spans="1:26" ht="12.75">
      <c r="A9981" s="10"/>
      <c r="B9981" s="10"/>
      <c r="C9981" s="10"/>
      <c r="D9981" s="10"/>
      <c r="E9981" s="10"/>
      <c r="F9981" s="10"/>
      <c r="G9981" s="10"/>
      <c r="H9981" s="10"/>
      <c r="I9981" s="10"/>
      <c r="J9981" s="10"/>
      <c r="K9981" s="10"/>
      <c r="L9981" s="10"/>
      <c r="M9981" s="10"/>
      <c r="N9981" s="10"/>
      <c r="O9981" s="10"/>
      <c r="P9981" s="10"/>
      <c r="Q9981" s="10"/>
      <c r="R9981" s="10"/>
      <c r="S9981" s="10"/>
      <c r="T9981" s="10"/>
      <c r="U9981" s="10"/>
      <c r="V9981" s="10"/>
      <c r="W9981" s="10"/>
      <c r="X9981" s="10"/>
      <c r="Y9981" s="10"/>
      <c r="Z9981" s="10"/>
    </row>
    <row r="9982" spans="1:26" ht="12.75">
      <c r="A9982" s="10"/>
      <c r="B9982" s="10"/>
      <c r="C9982" s="10"/>
      <c r="D9982" s="10"/>
      <c r="E9982" s="10"/>
      <c r="F9982" s="10"/>
      <c r="G9982" s="10"/>
      <c r="H9982" s="10"/>
      <c r="I9982" s="10"/>
      <c r="J9982" s="10"/>
      <c r="K9982" s="10"/>
      <c r="L9982" s="10"/>
      <c r="M9982" s="10"/>
      <c r="N9982" s="10"/>
      <c r="O9982" s="10"/>
      <c r="P9982" s="10"/>
      <c r="Q9982" s="10"/>
      <c r="R9982" s="10"/>
      <c r="S9982" s="10"/>
      <c r="T9982" s="10"/>
      <c r="U9982" s="10"/>
      <c r="V9982" s="10"/>
      <c r="W9982" s="10"/>
      <c r="X9982" s="10"/>
      <c r="Y9982" s="10"/>
      <c r="Z9982" s="10"/>
    </row>
    <row r="9983" spans="1:26" ht="12.75">
      <c r="A9983" s="10"/>
      <c r="B9983" s="10"/>
      <c r="C9983" s="10"/>
      <c r="D9983" s="10"/>
      <c r="E9983" s="10"/>
      <c r="F9983" s="10"/>
      <c r="G9983" s="10"/>
      <c r="H9983" s="10"/>
      <c r="I9983" s="10"/>
      <c r="J9983" s="10"/>
      <c r="K9983" s="10"/>
      <c r="L9983" s="10"/>
      <c r="M9983" s="10"/>
      <c r="N9983" s="10"/>
      <c r="O9983" s="10"/>
      <c r="P9983" s="10"/>
      <c r="Q9983" s="10"/>
      <c r="R9983" s="10"/>
      <c r="S9983" s="10"/>
      <c r="T9983" s="10"/>
      <c r="U9983" s="10"/>
      <c r="V9983" s="10"/>
      <c r="W9983" s="10"/>
      <c r="X9983" s="10"/>
      <c r="Y9983" s="10"/>
      <c r="Z9983" s="10"/>
    </row>
    <row r="9984" spans="1:26" ht="12.75">
      <c r="A9984" s="10"/>
      <c r="B9984" s="10"/>
      <c r="C9984" s="10"/>
      <c r="D9984" s="10"/>
      <c r="E9984" s="10"/>
      <c r="F9984" s="10"/>
      <c r="G9984" s="10"/>
      <c r="H9984" s="10"/>
      <c r="I9984" s="10"/>
      <c r="J9984" s="10"/>
      <c r="K9984" s="10"/>
      <c r="L9984" s="10"/>
      <c r="M9984" s="10"/>
      <c r="N9984" s="10"/>
      <c r="O9984" s="10"/>
      <c r="P9984" s="10"/>
      <c r="Q9984" s="10"/>
      <c r="R9984" s="10"/>
      <c r="S9984" s="10"/>
      <c r="T9984" s="10"/>
      <c r="U9984" s="10"/>
      <c r="V9984" s="10"/>
      <c r="W9984" s="10"/>
      <c r="X9984" s="10"/>
      <c r="Y9984" s="10"/>
      <c r="Z9984" s="10"/>
    </row>
    <row r="9985" spans="1:26" ht="12.75">
      <c r="A9985" s="10"/>
      <c r="B9985" s="10"/>
      <c r="C9985" s="10"/>
      <c r="D9985" s="10"/>
      <c r="E9985" s="10"/>
      <c r="F9985" s="10"/>
      <c r="G9985" s="10"/>
      <c r="H9985" s="10"/>
      <c r="I9985" s="10"/>
      <c r="J9985" s="10"/>
      <c r="K9985" s="10"/>
      <c r="L9985" s="10"/>
      <c r="M9985" s="10"/>
      <c r="N9985" s="10"/>
      <c r="O9985" s="10"/>
      <c r="P9985" s="10"/>
      <c r="Q9985" s="10"/>
      <c r="R9985" s="10"/>
      <c r="S9985" s="10"/>
      <c r="T9985" s="10"/>
      <c r="U9985" s="10"/>
      <c r="V9985" s="10"/>
      <c r="W9985" s="10"/>
      <c r="X9985" s="10"/>
      <c r="Y9985" s="10"/>
      <c r="Z9985" s="10"/>
    </row>
    <row r="9986" spans="1:26" ht="12.75">
      <c r="A9986" s="10"/>
      <c r="B9986" s="10"/>
      <c r="C9986" s="10"/>
      <c r="D9986" s="10"/>
      <c r="E9986" s="10"/>
      <c r="F9986" s="10"/>
      <c r="G9986" s="10"/>
      <c r="H9986" s="10"/>
      <c r="I9986" s="10"/>
      <c r="J9986" s="10"/>
      <c r="K9986" s="10"/>
      <c r="L9986" s="10"/>
      <c r="M9986" s="10"/>
      <c r="N9986" s="10"/>
      <c r="O9986" s="10"/>
      <c r="P9986" s="10"/>
      <c r="Q9986" s="10"/>
      <c r="R9986" s="10"/>
      <c r="S9986" s="10"/>
      <c r="T9986" s="10"/>
      <c r="U9986" s="10"/>
      <c r="V9986" s="10"/>
      <c r="W9986" s="10"/>
      <c r="X9986" s="10"/>
      <c r="Y9986" s="10"/>
      <c r="Z9986" s="10"/>
    </row>
    <row r="9987" spans="1:26" ht="12.75">
      <c r="A9987" s="10"/>
      <c r="B9987" s="10"/>
      <c r="C9987" s="10"/>
      <c r="D9987" s="10"/>
      <c r="E9987" s="10"/>
      <c r="F9987" s="10"/>
      <c r="G9987" s="10"/>
      <c r="H9987" s="10"/>
      <c r="I9987" s="10"/>
      <c r="J9987" s="10"/>
      <c r="K9987" s="10"/>
      <c r="L9987" s="10"/>
      <c r="M9987" s="10"/>
      <c r="N9987" s="10"/>
      <c r="O9987" s="10"/>
      <c r="P9987" s="10"/>
      <c r="Q9987" s="10"/>
      <c r="R9987" s="10"/>
      <c r="S9987" s="10"/>
      <c r="T9987" s="10"/>
      <c r="U9987" s="10"/>
      <c r="V9987" s="10"/>
      <c r="W9987" s="10"/>
      <c r="X9987" s="10"/>
      <c r="Y9987" s="10"/>
      <c r="Z9987" s="10"/>
    </row>
    <row r="9988" spans="1:26" ht="12.75">
      <c r="A9988" s="10"/>
      <c r="B9988" s="10"/>
      <c r="C9988" s="10"/>
      <c r="D9988" s="10"/>
      <c r="E9988" s="10"/>
      <c r="F9988" s="10"/>
      <c r="G9988" s="10"/>
      <c r="H9988" s="10"/>
      <c r="I9988" s="10"/>
      <c r="J9988" s="10"/>
      <c r="K9988" s="10"/>
      <c r="L9988" s="10"/>
      <c r="M9988" s="10"/>
      <c r="N9988" s="10"/>
      <c r="O9988" s="10"/>
      <c r="P9988" s="10"/>
      <c r="Q9988" s="10"/>
      <c r="R9988" s="10"/>
      <c r="S9988" s="10"/>
      <c r="T9988" s="10"/>
      <c r="U9988" s="10"/>
      <c r="V9988" s="10"/>
      <c r="W9988" s="10"/>
      <c r="X9988" s="10"/>
      <c r="Y9988" s="10"/>
      <c r="Z9988" s="10"/>
    </row>
    <row r="9989" spans="1:26" ht="12.75">
      <c r="A9989" s="10"/>
      <c r="B9989" s="10"/>
      <c r="C9989" s="10"/>
      <c r="D9989" s="10"/>
      <c r="E9989" s="10"/>
      <c r="F9989" s="10"/>
      <c r="G9989" s="10"/>
      <c r="H9989" s="10"/>
      <c r="I9989" s="10"/>
      <c r="J9989" s="10"/>
      <c r="K9989" s="10"/>
      <c r="L9989" s="10"/>
      <c r="M9989" s="10"/>
      <c r="N9989" s="10"/>
      <c r="O9989" s="10"/>
      <c r="P9989" s="10"/>
      <c r="Q9989" s="10"/>
      <c r="R9989" s="10"/>
      <c r="S9989" s="10"/>
      <c r="T9989" s="10"/>
      <c r="U9989" s="10"/>
      <c r="V9989" s="10"/>
      <c r="W9989" s="10"/>
      <c r="X9989" s="10"/>
      <c r="Y9989" s="10"/>
      <c r="Z9989" s="10"/>
    </row>
    <row r="9990" spans="1:26" ht="12.75">
      <c r="A9990" s="10"/>
      <c r="B9990" s="10"/>
      <c r="C9990" s="10"/>
      <c r="D9990" s="10"/>
      <c r="E9990" s="10"/>
      <c r="F9990" s="10"/>
      <c r="G9990" s="10"/>
      <c r="H9990" s="10"/>
      <c r="I9990" s="10"/>
      <c r="J9990" s="10"/>
      <c r="K9990" s="10"/>
      <c r="L9990" s="10"/>
      <c r="M9990" s="10"/>
      <c r="N9990" s="10"/>
      <c r="O9990" s="10"/>
      <c r="P9990" s="10"/>
      <c r="Q9990" s="10"/>
      <c r="R9990" s="10"/>
      <c r="S9990" s="10"/>
      <c r="T9990" s="10"/>
      <c r="U9990" s="10"/>
      <c r="V9990" s="10"/>
      <c r="W9990" s="10"/>
      <c r="X9990" s="10"/>
      <c r="Y9990" s="10"/>
      <c r="Z9990" s="10"/>
    </row>
    <row r="9991" spans="1:26" ht="12.75">
      <c r="A9991" s="10"/>
      <c r="B9991" s="10"/>
      <c r="C9991" s="10"/>
      <c r="D9991" s="10"/>
      <c r="E9991" s="10"/>
      <c r="F9991" s="10"/>
      <c r="G9991" s="10"/>
      <c r="H9991" s="10"/>
      <c r="I9991" s="10"/>
      <c r="J9991" s="10"/>
      <c r="K9991" s="10"/>
      <c r="L9991" s="10"/>
      <c r="M9991" s="10"/>
      <c r="N9991" s="10"/>
      <c r="O9991" s="10"/>
      <c r="P9991" s="10"/>
      <c r="Q9991" s="10"/>
      <c r="R9991" s="10"/>
      <c r="S9991" s="10"/>
      <c r="T9991" s="10"/>
      <c r="U9991" s="10"/>
      <c r="V9991" s="10"/>
      <c r="W9991" s="10"/>
      <c r="X9991" s="10"/>
      <c r="Y9991" s="10"/>
      <c r="Z9991" s="10"/>
    </row>
    <row r="9992" spans="1:26" ht="12.75">
      <c r="A9992" s="10"/>
      <c r="B9992" s="10"/>
      <c r="C9992" s="10"/>
      <c r="D9992" s="10"/>
      <c r="E9992" s="10"/>
      <c r="F9992" s="10"/>
      <c r="G9992" s="10"/>
      <c r="H9992" s="10"/>
      <c r="I9992" s="10"/>
      <c r="J9992" s="10"/>
      <c r="K9992" s="10"/>
      <c r="L9992" s="10"/>
      <c r="M9992" s="10"/>
      <c r="N9992" s="10"/>
      <c r="O9992" s="10"/>
      <c r="P9992" s="10"/>
      <c r="Q9992" s="10"/>
      <c r="R9992" s="10"/>
      <c r="S9992" s="10"/>
      <c r="T9992" s="10"/>
      <c r="U9992" s="10"/>
      <c r="V9992" s="10"/>
      <c r="W9992" s="10"/>
      <c r="X9992" s="10"/>
      <c r="Y9992" s="10"/>
      <c r="Z9992" s="10"/>
    </row>
    <row r="9993" spans="1:26" ht="12.75">
      <c r="A9993" s="10"/>
      <c r="B9993" s="10"/>
      <c r="C9993" s="10"/>
      <c r="D9993" s="10"/>
      <c r="E9993" s="10"/>
      <c r="F9993" s="10"/>
      <c r="G9993" s="10"/>
      <c r="H9993" s="10"/>
      <c r="I9993" s="10"/>
      <c r="J9993" s="10"/>
      <c r="K9993" s="10"/>
      <c r="L9993" s="10"/>
      <c r="M9993" s="10"/>
      <c r="N9993" s="10"/>
      <c r="O9993" s="10"/>
      <c r="P9993" s="10"/>
      <c r="Q9993" s="10"/>
      <c r="R9993" s="10"/>
      <c r="S9993" s="10"/>
      <c r="T9993" s="10"/>
      <c r="U9993" s="10"/>
      <c r="V9993" s="10"/>
      <c r="W9993" s="10"/>
      <c r="X9993" s="10"/>
      <c r="Y9993" s="10"/>
      <c r="Z9993" s="10"/>
    </row>
    <row r="9994" spans="1:26" ht="12.75">
      <c r="A9994" s="10"/>
      <c r="B9994" s="10"/>
      <c r="C9994" s="10"/>
      <c r="D9994" s="10"/>
      <c r="E9994" s="10"/>
      <c r="F9994" s="10"/>
      <c r="G9994" s="10"/>
      <c r="H9994" s="10"/>
      <c r="I9994" s="10"/>
      <c r="J9994" s="10"/>
      <c r="K9994" s="10"/>
      <c r="L9994" s="10"/>
      <c r="M9994" s="10"/>
      <c r="N9994" s="10"/>
      <c r="O9994" s="10"/>
      <c r="P9994" s="10"/>
      <c r="Q9994" s="10"/>
      <c r="R9994" s="10"/>
      <c r="S9994" s="10"/>
      <c r="T9994" s="10"/>
      <c r="U9994" s="10"/>
      <c r="V9994" s="10"/>
      <c r="W9994" s="10"/>
      <c r="X9994" s="10"/>
      <c r="Y9994" s="10"/>
      <c r="Z9994" s="10"/>
    </row>
    <row r="9995" spans="1:26" ht="12.75">
      <c r="A9995" s="10"/>
      <c r="B9995" s="10"/>
      <c r="C9995" s="10"/>
      <c r="D9995" s="10"/>
      <c r="E9995" s="10"/>
      <c r="F9995" s="10"/>
      <c r="G9995" s="10"/>
      <c r="H9995" s="10"/>
      <c r="I9995" s="10"/>
      <c r="J9995" s="10"/>
      <c r="K9995" s="10"/>
      <c r="L9995" s="10"/>
      <c r="M9995" s="10"/>
      <c r="N9995" s="10"/>
      <c r="O9995" s="10"/>
      <c r="P9995" s="10"/>
      <c r="Q9995" s="10"/>
      <c r="R9995" s="10"/>
      <c r="S9995" s="10"/>
      <c r="T9995" s="10"/>
      <c r="U9995" s="10"/>
      <c r="V9995" s="10"/>
      <c r="W9995" s="10"/>
      <c r="X9995" s="10"/>
      <c r="Y9995" s="10"/>
      <c r="Z9995" s="10"/>
    </row>
    <row r="9996" spans="1:26" ht="12.75">
      <c r="A9996" s="10"/>
      <c r="B9996" s="10"/>
      <c r="C9996" s="10"/>
      <c r="D9996" s="10"/>
      <c r="E9996" s="10"/>
      <c r="F9996" s="10"/>
      <c r="G9996" s="10"/>
      <c r="H9996" s="10"/>
      <c r="I9996" s="10"/>
      <c r="J9996" s="10"/>
      <c r="K9996" s="10"/>
      <c r="L9996" s="10"/>
      <c r="M9996" s="10"/>
      <c r="N9996" s="10"/>
      <c r="O9996" s="10"/>
      <c r="P9996" s="10"/>
      <c r="Q9996" s="10"/>
      <c r="R9996" s="10"/>
      <c r="S9996" s="10"/>
      <c r="T9996" s="10"/>
      <c r="U9996" s="10"/>
      <c r="V9996" s="10"/>
      <c r="W9996" s="10"/>
      <c r="X9996" s="10"/>
      <c r="Y9996" s="10"/>
      <c r="Z9996" s="10"/>
    </row>
    <row r="9997" spans="1:26" ht="12.75">
      <c r="A9997" s="10"/>
      <c r="B9997" s="10"/>
      <c r="C9997" s="10"/>
      <c r="D9997" s="10"/>
      <c r="E9997" s="10"/>
      <c r="F9997" s="10"/>
      <c r="G9997" s="10"/>
      <c r="H9997" s="10"/>
      <c r="I9997" s="10"/>
      <c r="J9997" s="10"/>
      <c r="K9997" s="10"/>
      <c r="L9997" s="10"/>
      <c r="M9997" s="10"/>
      <c r="N9997" s="10"/>
      <c r="O9997" s="10"/>
      <c r="P9997" s="10"/>
      <c r="Q9997" s="10"/>
      <c r="R9997" s="10"/>
      <c r="S9997" s="10"/>
      <c r="T9997" s="10"/>
      <c r="U9997" s="10"/>
      <c r="V9997" s="10"/>
      <c r="W9997" s="10"/>
      <c r="X9997" s="10"/>
      <c r="Y9997" s="10"/>
      <c r="Z9997" s="10"/>
    </row>
    <row r="9998" spans="1:26" ht="12.75">
      <c r="A9998" s="10"/>
      <c r="B9998" s="10"/>
      <c r="C9998" s="10"/>
      <c r="D9998" s="10"/>
      <c r="E9998" s="10"/>
      <c r="F9998" s="10"/>
      <c r="G9998" s="10"/>
      <c r="H9998" s="10"/>
      <c r="I9998" s="10"/>
      <c r="J9998" s="10"/>
      <c r="K9998" s="10"/>
      <c r="L9998" s="10"/>
      <c r="M9998" s="10"/>
      <c r="N9998" s="10"/>
      <c r="O9998" s="10"/>
      <c r="P9998" s="10"/>
      <c r="Q9998" s="10"/>
      <c r="R9998" s="10"/>
      <c r="S9998" s="10"/>
      <c r="T9998" s="10"/>
      <c r="U9998" s="10"/>
      <c r="V9998" s="10"/>
      <c r="W9998" s="10"/>
      <c r="X9998" s="10"/>
      <c r="Y9998" s="10"/>
      <c r="Z9998" s="10"/>
    </row>
    <row r="9999" spans="1:26" ht="12.75">
      <c r="A9999" s="10"/>
      <c r="B9999" s="10"/>
      <c r="C9999" s="10"/>
      <c r="D9999" s="10"/>
      <c r="E9999" s="10"/>
      <c r="F9999" s="10"/>
      <c r="G9999" s="10"/>
      <c r="H9999" s="10"/>
      <c r="I9999" s="10"/>
      <c r="J9999" s="10"/>
      <c r="K9999" s="10"/>
      <c r="L9999" s="10"/>
      <c r="M9999" s="10"/>
      <c r="N9999" s="10"/>
      <c r="O9999" s="10"/>
      <c r="P9999" s="10"/>
      <c r="Q9999" s="10"/>
      <c r="R9999" s="10"/>
      <c r="S9999" s="10"/>
      <c r="T9999" s="10"/>
      <c r="U9999" s="10"/>
      <c r="V9999" s="10"/>
      <c r="W9999" s="10"/>
      <c r="X9999" s="10"/>
      <c r="Y9999" s="10"/>
      <c r="Z9999" s="10"/>
    </row>
    <row r="10000" spans="1:26" ht="12.75">
      <c r="A10000" s="10"/>
      <c r="B10000" s="10"/>
      <c r="C10000" s="10"/>
      <c r="D10000" s="10"/>
      <c r="E10000" s="10"/>
      <c r="F10000" s="10"/>
      <c r="G10000" s="10"/>
      <c r="H10000" s="10"/>
      <c r="I10000" s="10"/>
      <c r="J10000" s="10"/>
      <c r="K10000" s="10"/>
      <c r="L10000" s="10"/>
      <c r="M10000" s="10"/>
      <c r="N10000" s="10"/>
      <c r="O10000" s="10"/>
      <c r="P10000" s="10"/>
      <c r="Q10000" s="10"/>
      <c r="R10000" s="10"/>
      <c r="S10000" s="10"/>
      <c r="T10000" s="10"/>
      <c r="U10000" s="10"/>
      <c r="V10000" s="10"/>
      <c r="W10000" s="10"/>
      <c r="X10000" s="10"/>
      <c r="Y10000" s="10"/>
      <c r="Z10000" s="10"/>
    </row>
    <row r="10001" spans="1:26" ht="12.75">
      <c r="A10001" s="10"/>
      <c r="B10001" s="10"/>
      <c r="C10001" s="10"/>
      <c r="D10001" s="10"/>
      <c r="E10001" s="10"/>
      <c r="F10001" s="10"/>
      <c r="G10001" s="10"/>
      <c r="H10001" s="10"/>
      <c r="I10001" s="10"/>
      <c r="J10001" s="10"/>
      <c r="K10001" s="10"/>
      <c r="L10001" s="10"/>
      <c r="M10001" s="10"/>
      <c r="N10001" s="10"/>
      <c r="O10001" s="10"/>
      <c r="P10001" s="10"/>
      <c r="Q10001" s="10"/>
      <c r="R10001" s="10"/>
      <c r="S10001" s="10"/>
      <c r="T10001" s="10"/>
      <c r="U10001" s="10"/>
      <c r="V10001" s="10"/>
      <c r="W10001" s="10"/>
      <c r="X10001" s="10"/>
      <c r="Y10001" s="10"/>
      <c r="Z10001" s="10"/>
    </row>
    <row r="10002" spans="1:26" ht="12.75">
      <c r="A10002" s="10"/>
      <c r="B10002" s="10"/>
      <c r="C10002" s="10"/>
      <c r="D10002" s="10"/>
      <c r="E10002" s="10"/>
      <c r="F10002" s="10"/>
      <c r="G10002" s="10"/>
      <c r="H10002" s="10"/>
      <c r="I10002" s="10"/>
      <c r="J10002" s="10"/>
      <c r="K10002" s="10"/>
      <c r="L10002" s="10"/>
      <c r="M10002" s="10"/>
      <c r="N10002" s="10"/>
      <c r="O10002" s="10"/>
      <c r="P10002" s="10"/>
      <c r="Q10002" s="10"/>
      <c r="R10002" s="10"/>
      <c r="S10002" s="10"/>
      <c r="T10002" s="10"/>
      <c r="U10002" s="10"/>
      <c r="V10002" s="10"/>
      <c r="W10002" s="10"/>
      <c r="X10002" s="10"/>
      <c r="Y10002" s="10"/>
      <c r="Z10002" s="10"/>
    </row>
    <row r="10003" spans="1:26" ht="12.75">
      <c r="A10003" s="10"/>
      <c r="B10003" s="10"/>
      <c r="C10003" s="10"/>
      <c r="D10003" s="10"/>
      <c r="E10003" s="10"/>
      <c r="F10003" s="10"/>
      <c r="G10003" s="10"/>
      <c r="H10003" s="10"/>
      <c r="I10003" s="10"/>
      <c r="J10003" s="10"/>
      <c r="K10003" s="10"/>
      <c r="L10003" s="10"/>
      <c r="M10003" s="10"/>
      <c r="N10003" s="10"/>
      <c r="O10003" s="10"/>
      <c r="P10003" s="10"/>
      <c r="Q10003" s="10"/>
      <c r="R10003" s="10"/>
      <c r="S10003" s="10"/>
      <c r="T10003" s="10"/>
      <c r="U10003" s="10"/>
      <c r="V10003" s="10"/>
      <c r="W10003" s="10"/>
      <c r="X10003" s="10"/>
      <c r="Y10003" s="10"/>
      <c r="Z10003" s="10"/>
    </row>
    <row r="10004" spans="1:26" ht="12.75">
      <c r="A10004" s="10"/>
      <c r="B10004" s="10"/>
      <c r="C10004" s="10"/>
      <c r="D10004" s="10"/>
      <c r="E10004" s="10"/>
      <c r="F10004" s="10"/>
      <c r="G10004" s="10"/>
      <c r="H10004" s="10"/>
      <c r="I10004" s="10"/>
      <c r="J10004" s="10"/>
      <c r="K10004" s="10"/>
      <c r="L10004" s="10"/>
      <c r="M10004" s="10"/>
      <c r="N10004" s="10"/>
      <c r="O10004" s="10"/>
      <c r="P10004" s="10"/>
      <c r="Q10004" s="10"/>
      <c r="R10004" s="10"/>
      <c r="S10004" s="10"/>
      <c r="T10004" s="10"/>
      <c r="U10004" s="10"/>
      <c r="V10004" s="10"/>
      <c r="W10004" s="10"/>
      <c r="X10004" s="10"/>
      <c r="Y10004" s="10"/>
      <c r="Z10004" s="10"/>
    </row>
    <row r="10005" spans="1:26" ht="12.75">
      <c r="A10005" s="10"/>
      <c r="B10005" s="10"/>
      <c r="C10005" s="10"/>
      <c r="D10005" s="10"/>
      <c r="E10005" s="10"/>
      <c r="F10005" s="10"/>
      <c r="G10005" s="10"/>
      <c r="H10005" s="10"/>
      <c r="I10005" s="10"/>
      <c r="J10005" s="10"/>
      <c r="K10005" s="10"/>
      <c r="L10005" s="10"/>
      <c r="M10005" s="10"/>
      <c r="N10005" s="10"/>
      <c r="O10005" s="10"/>
      <c r="P10005" s="10"/>
      <c r="Q10005" s="10"/>
      <c r="R10005" s="10"/>
      <c r="S10005" s="10"/>
      <c r="T10005" s="10"/>
      <c r="U10005" s="10"/>
      <c r="V10005" s="10"/>
      <c r="W10005" s="10"/>
      <c r="X10005" s="10"/>
      <c r="Y10005" s="10"/>
      <c r="Z10005" s="10"/>
    </row>
    <row r="10006" spans="1:26" ht="12.75">
      <c r="A10006" s="10"/>
      <c r="B10006" s="10"/>
      <c r="C10006" s="10"/>
      <c r="D10006" s="10"/>
      <c r="E10006" s="10"/>
      <c r="F10006" s="10"/>
      <c r="G10006" s="10"/>
      <c r="H10006" s="10"/>
      <c r="I10006" s="10"/>
      <c r="J10006" s="10"/>
      <c r="K10006" s="10"/>
      <c r="L10006" s="10"/>
      <c r="M10006" s="10"/>
      <c r="N10006" s="10"/>
      <c r="O10006" s="10"/>
      <c r="P10006" s="10"/>
      <c r="Q10006" s="10"/>
      <c r="R10006" s="10"/>
      <c r="S10006" s="10"/>
      <c r="T10006" s="10"/>
      <c r="U10006" s="10"/>
      <c r="V10006" s="10"/>
      <c r="W10006" s="10"/>
      <c r="X10006" s="10"/>
      <c r="Y10006" s="10"/>
      <c r="Z10006" s="10"/>
    </row>
    <row r="10007" spans="1:26" ht="12.75">
      <c r="A10007" s="10"/>
      <c r="B10007" s="10"/>
      <c r="C10007" s="10"/>
      <c r="D10007" s="10"/>
      <c r="E10007" s="10"/>
      <c r="F10007" s="10"/>
      <c r="G10007" s="10"/>
      <c r="H10007" s="10"/>
      <c r="I10007" s="10"/>
      <c r="J10007" s="10"/>
      <c r="K10007" s="10"/>
      <c r="L10007" s="10"/>
      <c r="M10007" s="10"/>
      <c r="N10007" s="10"/>
      <c r="O10007" s="10"/>
      <c r="P10007" s="10"/>
      <c r="Q10007" s="10"/>
      <c r="R10007" s="10"/>
      <c r="S10007" s="10"/>
      <c r="T10007" s="10"/>
      <c r="U10007" s="10"/>
      <c r="V10007" s="10"/>
      <c r="W10007" s="10"/>
      <c r="X10007" s="10"/>
      <c r="Y10007" s="10"/>
      <c r="Z10007" s="10"/>
    </row>
    <row r="10008" spans="1:26" ht="12.75">
      <c r="A10008" s="10"/>
      <c r="B10008" s="10"/>
      <c r="C10008" s="10"/>
      <c r="D10008" s="10"/>
      <c r="E10008" s="10"/>
      <c r="F10008" s="10"/>
      <c r="G10008" s="10"/>
      <c r="H10008" s="10"/>
      <c r="I10008" s="10"/>
      <c r="J10008" s="10"/>
      <c r="K10008" s="10"/>
      <c r="L10008" s="10"/>
      <c r="M10008" s="10"/>
      <c r="N10008" s="10"/>
      <c r="O10008" s="10"/>
      <c r="P10008" s="10"/>
      <c r="Q10008" s="10"/>
      <c r="R10008" s="10"/>
      <c r="S10008" s="10"/>
      <c r="T10008" s="10"/>
      <c r="U10008" s="10"/>
      <c r="V10008" s="10"/>
      <c r="W10008" s="10"/>
      <c r="X10008" s="10"/>
      <c r="Y10008" s="10"/>
      <c r="Z10008" s="10"/>
    </row>
    <row r="10009" spans="1:26" ht="12.75">
      <c r="A10009" s="10"/>
      <c r="B10009" s="10"/>
      <c r="C10009" s="10"/>
      <c r="D10009" s="10"/>
      <c r="E10009" s="10"/>
      <c r="F10009" s="10"/>
      <c r="G10009" s="10"/>
      <c r="H10009" s="10"/>
      <c r="I10009" s="10"/>
      <c r="J10009" s="10"/>
      <c r="K10009" s="10"/>
      <c r="L10009" s="10"/>
      <c r="M10009" s="10"/>
      <c r="N10009" s="10"/>
      <c r="O10009" s="10"/>
      <c r="P10009" s="10"/>
      <c r="Q10009" s="10"/>
      <c r="R10009" s="10"/>
      <c r="S10009" s="10"/>
      <c r="T10009" s="10"/>
      <c r="U10009" s="10"/>
      <c r="V10009" s="10"/>
      <c r="W10009" s="10"/>
      <c r="X10009" s="10"/>
      <c r="Y10009" s="10"/>
      <c r="Z10009" s="10"/>
    </row>
    <row r="10010" spans="1:26" ht="12.75">
      <c r="A10010" s="10"/>
      <c r="B10010" s="10"/>
      <c r="C10010" s="10"/>
      <c r="D10010" s="10"/>
      <c r="E10010" s="10"/>
      <c r="F10010" s="10"/>
      <c r="G10010" s="10"/>
      <c r="H10010" s="10"/>
      <c r="I10010" s="10"/>
      <c r="J10010" s="10"/>
      <c r="K10010" s="10"/>
      <c r="L10010" s="10"/>
      <c r="M10010" s="10"/>
      <c r="N10010" s="10"/>
      <c r="O10010" s="10"/>
      <c r="P10010" s="10"/>
      <c r="Q10010" s="10"/>
      <c r="R10010" s="10"/>
      <c r="S10010" s="10"/>
      <c r="T10010" s="10"/>
      <c r="U10010" s="10"/>
      <c r="V10010" s="10"/>
      <c r="W10010" s="10"/>
      <c r="X10010" s="10"/>
      <c r="Y10010" s="10"/>
      <c r="Z10010" s="10"/>
    </row>
    <row r="10011" spans="1:26" ht="12.75">
      <c r="A10011" s="10"/>
      <c r="B10011" s="10"/>
      <c r="C10011" s="10"/>
      <c r="D10011" s="10"/>
      <c r="E10011" s="10"/>
      <c r="F10011" s="10"/>
      <c r="G10011" s="10"/>
      <c r="H10011" s="10"/>
      <c r="I10011" s="10"/>
      <c r="J10011" s="10"/>
      <c r="K10011" s="10"/>
      <c r="L10011" s="10"/>
      <c r="M10011" s="10"/>
      <c r="N10011" s="10"/>
      <c r="O10011" s="10"/>
      <c r="P10011" s="10"/>
      <c r="Q10011" s="10"/>
      <c r="R10011" s="10"/>
      <c r="S10011" s="10"/>
      <c r="T10011" s="10"/>
      <c r="U10011" s="10"/>
      <c r="V10011" s="10"/>
      <c r="W10011" s="10"/>
      <c r="X10011" s="10"/>
      <c r="Y10011" s="10"/>
      <c r="Z10011" s="10"/>
    </row>
    <row r="10012" spans="1:26" ht="12.75">
      <c r="A10012" s="10"/>
      <c r="B10012" s="10"/>
      <c r="C10012" s="10"/>
      <c r="D10012" s="10"/>
      <c r="E10012" s="10"/>
      <c r="F10012" s="10"/>
      <c r="G10012" s="10"/>
      <c r="H10012" s="10"/>
      <c r="I10012" s="10"/>
      <c r="J10012" s="10"/>
      <c r="K10012" s="10"/>
      <c r="L10012" s="10"/>
      <c r="M10012" s="10"/>
      <c r="N10012" s="10"/>
      <c r="O10012" s="10"/>
      <c r="P10012" s="10"/>
      <c r="Q10012" s="10"/>
      <c r="R10012" s="10"/>
      <c r="S10012" s="10"/>
      <c r="T10012" s="10"/>
      <c r="U10012" s="10"/>
      <c r="V10012" s="10"/>
      <c r="W10012" s="10"/>
      <c r="X10012" s="10"/>
      <c r="Y10012" s="10"/>
      <c r="Z10012" s="10"/>
    </row>
    <row r="10013" spans="1:26" ht="12.75">
      <c r="A10013" s="10"/>
      <c r="B10013" s="10"/>
      <c r="C10013" s="10"/>
      <c r="D10013" s="10"/>
      <c r="E10013" s="10"/>
      <c r="F10013" s="10"/>
      <c r="G10013" s="10"/>
      <c r="H10013" s="10"/>
      <c r="I10013" s="10"/>
      <c r="J10013" s="10"/>
      <c r="K10013" s="10"/>
      <c r="L10013" s="10"/>
      <c r="M10013" s="10"/>
      <c r="N10013" s="10"/>
      <c r="O10013" s="10"/>
      <c r="P10013" s="10"/>
      <c r="Q10013" s="10"/>
      <c r="R10013" s="10"/>
      <c r="S10013" s="10"/>
      <c r="T10013" s="10"/>
      <c r="U10013" s="10"/>
      <c r="V10013" s="10"/>
      <c r="W10013" s="10"/>
      <c r="X10013" s="10"/>
      <c r="Y10013" s="10"/>
      <c r="Z10013" s="10"/>
    </row>
    <row r="10014" spans="1:26" ht="12.75">
      <c r="A10014" s="10"/>
      <c r="B10014" s="10"/>
      <c r="C10014" s="10"/>
      <c r="D10014" s="10"/>
      <c r="E10014" s="10"/>
      <c r="F10014" s="10"/>
      <c r="G10014" s="10"/>
      <c r="H10014" s="10"/>
      <c r="I10014" s="10"/>
      <c r="J10014" s="10"/>
      <c r="K10014" s="10"/>
      <c r="L10014" s="10"/>
      <c r="M10014" s="10"/>
      <c r="N10014" s="10"/>
      <c r="O10014" s="10"/>
      <c r="P10014" s="10"/>
      <c r="Q10014" s="10"/>
      <c r="R10014" s="10"/>
      <c r="S10014" s="10"/>
      <c r="T10014" s="10"/>
      <c r="U10014" s="10"/>
      <c r="V10014" s="10"/>
      <c r="W10014" s="10"/>
      <c r="X10014" s="10"/>
      <c r="Y10014" s="10"/>
      <c r="Z10014" s="10"/>
    </row>
    <row r="10015" spans="1:26" ht="12.75">
      <c r="A10015" s="10"/>
      <c r="B10015" s="10"/>
      <c r="C10015" s="10"/>
      <c r="D10015" s="10"/>
      <c r="E10015" s="10"/>
      <c r="F10015" s="10"/>
      <c r="G10015" s="10"/>
      <c r="H10015" s="10"/>
      <c r="I10015" s="10"/>
      <c r="J10015" s="10"/>
      <c r="K10015" s="10"/>
      <c r="L10015" s="10"/>
      <c r="M10015" s="10"/>
      <c r="N10015" s="10"/>
      <c r="O10015" s="10"/>
      <c r="P10015" s="10"/>
      <c r="Q10015" s="10"/>
      <c r="R10015" s="10"/>
      <c r="S10015" s="10"/>
      <c r="T10015" s="10"/>
      <c r="U10015" s="10"/>
      <c r="V10015" s="10"/>
      <c r="W10015" s="10"/>
      <c r="X10015" s="10"/>
      <c r="Y10015" s="10"/>
      <c r="Z10015" s="10"/>
    </row>
    <row r="10016" spans="1:26" ht="12.75">
      <c r="A10016" s="10"/>
      <c r="B10016" s="10"/>
      <c r="C10016" s="10"/>
      <c r="D10016" s="10"/>
      <c r="E10016" s="10"/>
      <c r="F10016" s="10"/>
      <c r="G10016" s="10"/>
      <c r="H10016" s="10"/>
      <c r="I10016" s="10"/>
      <c r="J10016" s="10"/>
      <c r="K10016" s="10"/>
      <c r="L10016" s="10"/>
      <c r="M10016" s="10"/>
      <c r="N10016" s="10"/>
      <c r="O10016" s="10"/>
      <c r="P10016" s="10"/>
      <c r="Q10016" s="10"/>
      <c r="R10016" s="10"/>
      <c r="S10016" s="10"/>
      <c r="T10016" s="10"/>
      <c r="U10016" s="10"/>
      <c r="V10016" s="10"/>
      <c r="W10016" s="10"/>
      <c r="X10016" s="10"/>
      <c r="Y10016" s="10"/>
      <c r="Z10016" s="10"/>
    </row>
    <row r="10017" spans="1:26" ht="12.75">
      <c r="A10017" s="10"/>
      <c r="B10017" s="10"/>
      <c r="C10017" s="10"/>
      <c r="D10017" s="10"/>
      <c r="E10017" s="10"/>
      <c r="F10017" s="10"/>
      <c r="G10017" s="10"/>
      <c r="H10017" s="10"/>
      <c r="I10017" s="10"/>
      <c r="J10017" s="10"/>
      <c r="K10017" s="10"/>
      <c r="L10017" s="10"/>
      <c r="M10017" s="10"/>
      <c r="N10017" s="10"/>
      <c r="O10017" s="10"/>
      <c r="P10017" s="10"/>
      <c r="Q10017" s="10"/>
      <c r="R10017" s="10"/>
      <c r="S10017" s="10"/>
      <c r="T10017" s="10"/>
      <c r="U10017" s="10"/>
      <c r="V10017" s="10"/>
      <c r="W10017" s="10"/>
      <c r="X10017" s="10"/>
      <c r="Y10017" s="10"/>
      <c r="Z10017" s="10"/>
    </row>
    <row r="10018" spans="1:26" ht="12.75">
      <c r="A10018" s="10"/>
      <c r="B10018" s="10"/>
      <c r="C10018" s="10"/>
      <c r="D10018" s="10"/>
      <c r="E10018" s="10"/>
      <c r="F10018" s="10"/>
      <c r="G10018" s="10"/>
      <c r="H10018" s="10"/>
      <c r="I10018" s="10"/>
      <c r="J10018" s="10"/>
      <c r="K10018" s="10"/>
      <c r="L10018" s="10"/>
      <c r="M10018" s="10"/>
      <c r="N10018" s="10"/>
      <c r="O10018" s="10"/>
      <c r="P10018" s="10"/>
      <c r="Q10018" s="10"/>
      <c r="R10018" s="10"/>
      <c r="S10018" s="10"/>
      <c r="T10018" s="10"/>
      <c r="U10018" s="10"/>
      <c r="V10018" s="10"/>
      <c r="W10018" s="10"/>
      <c r="X10018" s="10"/>
      <c r="Y10018" s="10"/>
      <c r="Z10018" s="10"/>
    </row>
    <row r="10019" spans="1:26" ht="12.75">
      <c r="A10019" s="10"/>
      <c r="B10019" s="10"/>
      <c r="C10019" s="10"/>
      <c r="D10019" s="10"/>
      <c r="E10019" s="10"/>
      <c r="F10019" s="10"/>
      <c r="G10019" s="10"/>
      <c r="H10019" s="10"/>
      <c r="I10019" s="10"/>
      <c r="J10019" s="10"/>
      <c r="K10019" s="10"/>
      <c r="L10019" s="10"/>
      <c r="M10019" s="10"/>
      <c r="N10019" s="10"/>
      <c r="O10019" s="10"/>
      <c r="P10019" s="10"/>
      <c r="Q10019" s="10"/>
      <c r="R10019" s="10"/>
      <c r="S10019" s="10"/>
      <c r="T10019" s="10"/>
      <c r="U10019" s="10"/>
      <c r="V10019" s="10"/>
      <c r="W10019" s="10"/>
      <c r="X10019" s="10"/>
      <c r="Y10019" s="10"/>
      <c r="Z10019" s="10"/>
    </row>
    <row r="10020" spans="1:26" ht="12.75">
      <c r="A10020" s="10"/>
      <c r="B10020" s="10"/>
      <c r="C10020" s="10"/>
      <c r="D10020" s="10"/>
      <c r="E10020" s="10"/>
      <c r="F10020" s="10"/>
      <c r="G10020" s="10"/>
      <c r="H10020" s="10"/>
      <c r="I10020" s="10"/>
      <c r="J10020" s="10"/>
      <c r="K10020" s="10"/>
      <c r="L10020" s="10"/>
      <c r="M10020" s="10"/>
      <c r="N10020" s="10"/>
      <c r="O10020" s="10"/>
      <c r="P10020" s="10"/>
      <c r="Q10020" s="10"/>
      <c r="R10020" s="10"/>
      <c r="S10020" s="10"/>
      <c r="T10020" s="10"/>
      <c r="U10020" s="10"/>
      <c r="V10020" s="10"/>
      <c r="W10020" s="10"/>
      <c r="X10020" s="10"/>
      <c r="Y10020" s="10"/>
      <c r="Z10020" s="10"/>
    </row>
    <row r="10021" spans="1:26" ht="12.75">
      <c r="A10021" s="10"/>
      <c r="B10021" s="10"/>
      <c r="C10021" s="10"/>
      <c r="D10021" s="10"/>
      <c r="E10021" s="10"/>
      <c r="F10021" s="10"/>
      <c r="G10021" s="10"/>
      <c r="H10021" s="10"/>
      <c r="I10021" s="10"/>
      <c r="J10021" s="10"/>
      <c r="K10021" s="10"/>
      <c r="L10021" s="10"/>
      <c r="M10021" s="10"/>
      <c r="N10021" s="10"/>
      <c r="O10021" s="10"/>
      <c r="P10021" s="10"/>
      <c r="Q10021" s="10"/>
      <c r="R10021" s="10"/>
      <c r="S10021" s="10"/>
      <c r="T10021" s="10"/>
      <c r="U10021" s="10"/>
      <c r="V10021" s="10"/>
      <c r="W10021" s="10"/>
      <c r="X10021" s="10"/>
      <c r="Y10021" s="10"/>
      <c r="Z10021" s="10"/>
    </row>
    <row r="10022" spans="1:26" ht="12.75">
      <c r="A10022" s="10"/>
      <c r="B10022" s="10"/>
      <c r="C10022" s="10"/>
      <c r="D10022" s="10"/>
      <c r="E10022" s="10"/>
      <c r="F10022" s="10"/>
      <c r="G10022" s="10"/>
      <c r="H10022" s="10"/>
      <c r="I10022" s="10"/>
      <c r="J10022" s="10"/>
      <c r="K10022" s="10"/>
      <c r="L10022" s="10"/>
      <c r="M10022" s="10"/>
      <c r="N10022" s="10"/>
      <c r="O10022" s="10"/>
      <c r="P10022" s="10"/>
      <c r="Q10022" s="10"/>
      <c r="R10022" s="10"/>
      <c r="S10022" s="10"/>
      <c r="T10022" s="10"/>
      <c r="U10022" s="10"/>
      <c r="V10022" s="10"/>
      <c r="W10022" s="10"/>
      <c r="X10022" s="10"/>
      <c r="Y10022" s="10"/>
      <c r="Z10022" s="10"/>
    </row>
    <row r="10023" spans="1:26" ht="12.75">
      <c r="A10023" s="10"/>
      <c r="B10023" s="10"/>
      <c r="C10023" s="10"/>
      <c r="D10023" s="10"/>
      <c r="E10023" s="10"/>
      <c r="F10023" s="10"/>
      <c r="G10023" s="10"/>
      <c r="H10023" s="10"/>
      <c r="I10023" s="10"/>
      <c r="J10023" s="10"/>
      <c r="K10023" s="10"/>
      <c r="L10023" s="10"/>
      <c r="M10023" s="10"/>
      <c r="N10023" s="10"/>
      <c r="O10023" s="10"/>
      <c r="P10023" s="10"/>
      <c r="Q10023" s="10"/>
      <c r="R10023" s="10"/>
      <c r="S10023" s="10"/>
      <c r="T10023" s="10"/>
      <c r="U10023" s="10"/>
      <c r="V10023" s="10"/>
      <c r="W10023" s="10"/>
      <c r="X10023" s="10"/>
      <c r="Y10023" s="10"/>
      <c r="Z10023" s="10"/>
    </row>
    <row r="10024" spans="1:26" ht="12.75">
      <c r="A10024" s="10"/>
      <c r="B10024" s="10"/>
      <c r="C10024" s="10"/>
      <c r="D10024" s="10"/>
      <c r="E10024" s="10"/>
      <c r="F10024" s="10"/>
      <c r="G10024" s="10"/>
      <c r="H10024" s="10"/>
      <c r="I10024" s="10"/>
      <c r="J10024" s="10"/>
      <c r="K10024" s="10"/>
      <c r="L10024" s="10"/>
      <c r="M10024" s="10"/>
      <c r="N10024" s="10"/>
      <c r="O10024" s="10"/>
      <c r="P10024" s="10"/>
      <c r="Q10024" s="10"/>
      <c r="R10024" s="10"/>
      <c r="S10024" s="10"/>
      <c r="T10024" s="10"/>
      <c r="U10024" s="10"/>
      <c r="V10024" s="10"/>
      <c r="W10024" s="10"/>
      <c r="X10024" s="10"/>
      <c r="Y10024" s="10"/>
      <c r="Z10024" s="10"/>
    </row>
    <row r="10025" spans="1:26" ht="12.75">
      <c r="A10025" s="10"/>
      <c r="B10025" s="10"/>
      <c r="C10025" s="10"/>
      <c r="D10025" s="10"/>
      <c r="E10025" s="10"/>
      <c r="F10025" s="10"/>
      <c r="G10025" s="10"/>
      <c r="H10025" s="10"/>
      <c r="I10025" s="10"/>
      <c r="J10025" s="10"/>
      <c r="K10025" s="10"/>
      <c r="L10025" s="10"/>
      <c r="M10025" s="10"/>
      <c r="N10025" s="10"/>
      <c r="O10025" s="10"/>
      <c r="P10025" s="10"/>
      <c r="Q10025" s="10"/>
      <c r="R10025" s="10"/>
      <c r="S10025" s="10"/>
      <c r="T10025" s="10"/>
      <c r="U10025" s="10"/>
      <c r="V10025" s="10"/>
      <c r="W10025" s="10"/>
      <c r="X10025" s="10"/>
      <c r="Y10025" s="10"/>
      <c r="Z10025" s="10"/>
    </row>
    <row r="10026" spans="1:26" ht="12.75">
      <c r="A10026" s="10"/>
      <c r="B10026" s="10"/>
      <c r="C10026" s="10"/>
      <c r="D10026" s="10"/>
      <c r="E10026" s="10"/>
      <c r="F10026" s="10"/>
      <c r="G10026" s="10"/>
      <c r="H10026" s="10"/>
      <c r="I10026" s="10"/>
      <c r="J10026" s="10"/>
      <c r="K10026" s="10"/>
      <c r="L10026" s="10"/>
      <c r="M10026" s="10"/>
      <c r="N10026" s="10"/>
      <c r="O10026" s="10"/>
      <c r="P10026" s="10"/>
      <c r="Q10026" s="10"/>
      <c r="R10026" s="10"/>
      <c r="S10026" s="10"/>
      <c r="T10026" s="10"/>
      <c r="U10026" s="10"/>
      <c r="V10026" s="10"/>
      <c r="W10026" s="10"/>
      <c r="X10026" s="10"/>
      <c r="Y10026" s="10"/>
      <c r="Z10026" s="10"/>
    </row>
    <row r="10027" spans="1:26" ht="12.75">
      <c r="A10027" s="10"/>
      <c r="B10027" s="10"/>
      <c r="C10027" s="10"/>
      <c r="D10027" s="10"/>
      <c r="E10027" s="10"/>
      <c r="F10027" s="10"/>
      <c r="G10027" s="10"/>
      <c r="H10027" s="10"/>
      <c r="I10027" s="10"/>
      <c r="J10027" s="10"/>
      <c r="K10027" s="10"/>
      <c r="L10027" s="10"/>
      <c r="M10027" s="10"/>
      <c r="N10027" s="10"/>
      <c r="O10027" s="10"/>
      <c r="P10027" s="10"/>
      <c r="Q10027" s="10"/>
      <c r="R10027" s="10"/>
      <c r="S10027" s="10"/>
      <c r="T10027" s="10"/>
      <c r="U10027" s="10"/>
      <c r="V10027" s="10"/>
      <c r="W10027" s="10"/>
      <c r="X10027" s="10"/>
      <c r="Y10027" s="10"/>
      <c r="Z10027" s="10"/>
    </row>
    <row r="10028" spans="1:26" ht="12.75">
      <c r="A10028" s="10"/>
      <c r="B10028" s="10"/>
      <c r="C10028" s="10"/>
      <c r="D10028" s="10"/>
      <c r="E10028" s="10"/>
      <c r="F10028" s="10"/>
      <c r="G10028" s="10"/>
      <c r="H10028" s="10"/>
      <c r="I10028" s="10"/>
      <c r="J10028" s="10"/>
      <c r="K10028" s="10"/>
      <c r="L10028" s="10"/>
      <c r="M10028" s="10"/>
      <c r="N10028" s="10"/>
      <c r="O10028" s="10"/>
      <c r="P10028" s="10"/>
      <c r="Q10028" s="10"/>
      <c r="R10028" s="10"/>
      <c r="S10028" s="10"/>
      <c r="T10028" s="10"/>
      <c r="U10028" s="10"/>
      <c r="V10028" s="10"/>
      <c r="W10028" s="10"/>
      <c r="X10028" s="10"/>
      <c r="Y10028" s="10"/>
      <c r="Z10028" s="10"/>
    </row>
    <row r="10029" spans="1:26" ht="12.75">
      <c r="A10029" s="10"/>
      <c r="B10029" s="10"/>
      <c r="C10029" s="10"/>
      <c r="D10029" s="10"/>
      <c r="E10029" s="10"/>
      <c r="F10029" s="10"/>
      <c r="G10029" s="10"/>
      <c r="H10029" s="10"/>
      <c r="I10029" s="10"/>
      <c r="J10029" s="10"/>
      <c r="K10029" s="10"/>
      <c r="L10029" s="10"/>
      <c r="M10029" s="10"/>
      <c r="N10029" s="10"/>
      <c r="O10029" s="10"/>
      <c r="P10029" s="10"/>
      <c r="Q10029" s="10"/>
      <c r="R10029" s="10"/>
      <c r="S10029" s="10"/>
      <c r="T10029" s="10"/>
      <c r="U10029" s="10"/>
      <c r="V10029" s="10"/>
      <c r="W10029" s="10"/>
      <c r="X10029" s="10"/>
      <c r="Y10029" s="10"/>
      <c r="Z10029" s="10"/>
    </row>
    <row r="10030" spans="1:26" ht="12.75">
      <c r="A10030" s="10"/>
      <c r="B10030" s="10"/>
      <c r="C10030" s="10"/>
      <c r="D10030" s="10"/>
      <c r="E10030" s="10"/>
      <c r="F10030" s="10"/>
      <c r="G10030" s="10"/>
      <c r="H10030" s="10"/>
      <c r="I10030" s="10"/>
      <c r="J10030" s="10"/>
      <c r="K10030" s="10"/>
      <c r="L10030" s="10"/>
      <c r="M10030" s="10"/>
      <c r="N10030" s="10"/>
      <c r="O10030" s="10"/>
      <c r="P10030" s="10"/>
      <c r="Q10030" s="10"/>
      <c r="R10030" s="10"/>
      <c r="S10030" s="10"/>
      <c r="T10030" s="10"/>
      <c r="U10030" s="10"/>
      <c r="V10030" s="10"/>
      <c r="W10030" s="10"/>
      <c r="X10030" s="10"/>
      <c r="Y10030" s="10"/>
      <c r="Z10030" s="10"/>
    </row>
    <row r="10031" spans="1:26" ht="12.75">
      <c r="A10031" s="10"/>
      <c r="B10031" s="10"/>
      <c r="C10031" s="10"/>
      <c r="D10031" s="10"/>
      <c r="E10031" s="10"/>
      <c r="F10031" s="10"/>
      <c r="G10031" s="10"/>
      <c r="H10031" s="10"/>
      <c r="I10031" s="10"/>
      <c r="J10031" s="10"/>
      <c r="K10031" s="10"/>
      <c r="L10031" s="10"/>
      <c r="M10031" s="10"/>
      <c r="N10031" s="10"/>
      <c r="O10031" s="10"/>
      <c r="P10031" s="10"/>
      <c r="Q10031" s="10"/>
      <c r="R10031" s="10"/>
      <c r="S10031" s="10"/>
      <c r="T10031" s="10"/>
      <c r="U10031" s="10"/>
      <c r="V10031" s="10"/>
      <c r="W10031" s="10"/>
      <c r="X10031" s="10"/>
      <c r="Y10031" s="10"/>
      <c r="Z10031" s="10"/>
    </row>
    <row r="10032" spans="1:26" ht="12.75">
      <c r="A10032" s="10"/>
      <c r="B10032" s="10"/>
      <c r="C10032" s="10"/>
      <c r="D10032" s="10"/>
      <c r="E10032" s="10"/>
      <c r="F10032" s="10"/>
      <c r="G10032" s="10"/>
      <c r="H10032" s="10"/>
      <c r="I10032" s="10"/>
      <c r="J10032" s="10"/>
      <c r="K10032" s="10"/>
      <c r="L10032" s="10"/>
      <c r="M10032" s="10"/>
      <c r="N10032" s="10"/>
      <c r="O10032" s="10"/>
      <c r="P10032" s="10"/>
      <c r="Q10032" s="10"/>
      <c r="R10032" s="10"/>
      <c r="S10032" s="10"/>
      <c r="T10032" s="10"/>
      <c r="U10032" s="10"/>
      <c r="V10032" s="10"/>
      <c r="W10032" s="10"/>
      <c r="X10032" s="10"/>
      <c r="Y10032" s="10"/>
      <c r="Z10032" s="10"/>
    </row>
    <row r="10033" spans="1:26" ht="12.75">
      <c r="A10033" s="10"/>
      <c r="B10033" s="10"/>
      <c r="C10033" s="10"/>
      <c r="D10033" s="10"/>
      <c r="E10033" s="10"/>
      <c r="F10033" s="10"/>
      <c r="G10033" s="10"/>
      <c r="H10033" s="10"/>
      <c r="I10033" s="10"/>
      <c r="J10033" s="10"/>
      <c r="K10033" s="10"/>
      <c r="L10033" s="10"/>
      <c r="M10033" s="10"/>
      <c r="N10033" s="10"/>
      <c r="O10033" s="10"/>
      <c r="P10033" s="10"/>
      <c r="Q10033" s="10"/>
      <c r="R10033" s="10"/>
      <c r="S10033" s="10"/>
      <c r="T10033" s="10"/>
      <c r="U10033" s="10"/>
      <c r="V10033" s="10"/>
      <c r="W10033" s="10"/>
      <c r="X10033" s="10"/>
      <c r="Y10033" s="10"/>
      <c r="Z10033" s="10"/>
    </row>
    <row r="10034" spans="1:26" ht="12.75">
      <c r="A10034" s="10"/>
      <c r="B10034" s="10"/>
      <c r="C10034" s="10"/>
      <c r="D10034" s="10"/>
      <c r="E10034" s="10"/>
      <c r="F10034" s="10"/>
      <c r="G10034" s="10"/>
      <c r="H10034" s="10"/>
      <c r="I10034" s="10"/>
      <c r="J10034" s="10"/>
      <c r="K10034" s="10"/>
      <c r="L10034" s="10"/>
      <c r="M10034" s="10"/>
      <c r="N10034" s="10"/>
      <c r="O10034" s="10"/>
      <c r="P10034" s="10"/>
      <c r="Q10034" s="10"/>
      <c r="R10034" s="10"/>
      <c r="S10034" s="10"/>
      <c r="T10034" s="10"/>
      <c r="U10034" s="10"/>
      <c r="V10034" s="10"/>
      <c r="W10034" s="10"/>
      <c r="X10034" s="10"/>
      <c r="Y10034" s="10"/>
      <c r="Z10034" s="10"/>
    </row>
    <row r="10035" spans="1:26" ht="12.75">
      <c r="A10035" s="10"/>
      <c r="B10035" s="10"/>
      <c r="C10035" s="10"/>
      <c r="D10035" s="10"/>
      <c r="E10035" s="10"/>
      <c r="F10035" s="10"/>
      <c r="G10035" s="10"/>
      <c r="H10035" s="10"/>
      <c r="I10035" s="10"/>
      <c r="J10035" s="10"/>
      <c r="K10035" s="10"/>
      <c r="L10035" s="10"/>
      <c r="M10035" s="10"/>
      <c r="N10035" s="10"/>
      <c r="O10035" s="10"/>
      <c r="P10035" s="10"/>
      <c r="Q10035" s="10"/>
      <c r="R10035" s="10"/>
      <c r="S10035" s="10"/>
      <c r="T10035" s="10"/>
      <c r="U10035" s="10"/>
      <c r="V10035" s="10"/>
      <c r="W10035" s="10"/>
      <c r="X10035" s="10"/>
      <c r="Y10035" s="10"/>
      <c r="Z10035" s="10"/>
    </row>
    <row r="10036" spans="1:26" ht="12.75">
      <c r="A10036" s="10"/>
      <c r="B10036" s="10"/>
      <c r="C10036" s="10"/>
      <c r="D10036" s="10"/>
      <c r="E10036" s="10"/>
      <c r="F10036" s="10"/>
      <c r="G10036" s="10"/>
      <c r="H10036" s="10"/>
      <c r="I10036" s="10"/>
      <c r="J10036" s="10"/>
      <c r="K10036" s="10"/>
      <c r="L10036" s="10"/>
      <c r="M10036" s="10"/>
      <c r="N10036" s="10"/>
      <c r="O10036" s="10"/>
      <c r="P10036" s="10"/>
      <c r="Q10036" s="10"/>
      <c r="R10036" s="10"/>
      <c r="S10036" s="10"/>
      <c r="T10036" s="10"/>
      <c r="U10036" s="10"/>
      <c r="V10036" s="10"/>
      <c r="W10036" s="10"/>
      <c r="X10036" s="10"/>
      <c r="Y10036" s="10"/>
      <c r="Z10036" s="10"/>
    </row>
    <row r="10037" spans="1:26" ht="12.75">
      <c r="A10037" s="10"/>
      <c r="B10037" s="10"/>
      <c r="C10037" s="10"/>
      <c r="D10037" s="10"/>
      <c r="E10037" s="10"/>
      <c r="F10037" s="10"/>
      <c r="G10037" s="10"/>
      <c r="H10037" s="10"/>
      <c r="I10037" s="10"/>
      <c r="J10037" s="10"/>
      <c r="K10037" s="10"/>
      <c r="L10037" s="10"/>
      <c r="M10037" s="10"/>
      <c r="N10037" s="10"/>
      <c r="O10037" s="10"/>
      <c r="P10037" s="10"/>
      <c r="Q10037" s="10"/>
      <c r="R10037" s="10"/>
      <c r="S10037" s="10"/>
      <c r="T10037" s="10"/>
      <c r="U10037" s="10"/>
      <c r="V10037" s="10"/>
      <c r="W10037" s="10"/>
      <c r="X10037" s="10"/>
      <c r="Y10037" s="10"/>
      <c r="Z10037" s="10"/>
    </row>
    <row r="10038" spans="1:26" ht="12.75">
      <c r="A10038" s="10"/>
      <c r="B10038" s="10"/>
      <c r="C10038" s="10"/>
      <c r="D10038" s="10"/>
      <c r="E10038" s="10"/>
      <c r="F10038" s="10"/>
      <c r="G10038" s="10"/>
      <c r="H10038" s="10"/>
      <c r="I10038" s="10"/>
      <c r="J10038" s="10"/>
      <c r="K10038" s="10"/>
      <c r="L10038" s="10"/>
      <c r="M10038" s="10"/>
      <c r="N10038" s="10"/>
      <c r="O10038" s="10"/>
      <c r="P10038" s="10"/>
      <c r="Q10038" s="10"/>
      <c r="R10038" s="10"/>
      <c r="S10038" s="10"/>
      <c r="T10038" s="10"/>
      <c r="U10038" s="10"/>
      <c r="V10038" s="10"/>
      <c r="W10038" s="10"/>
      <c r="X10038" s="10"/>
      <c r="Y10038" s="10"/>
      <c r="Z10038" s="10"/>
    </row>
    <row r="10039" spans="1:26" ht="12.75">
      <c r="A10039" s="10"/>
      <c r="B10039" s="10"/>
      <c r="C10039" s="10"/>
      <c r="D10039" s="10"/>
      <c r="E10039" s="10"/>
      <c r="F10039" s="10"/>
      <c r="G10039" s="10"/>
      <c r="H10039" s="10"/>
      <c r="I10039" s="10"/>
      <c r="J10039" s="10"/>
      <c r="K10039" s="10"/>
      <c r="L10039" s="10"/>
      <c r="M10039" s="10"/>
      <c r="N10039" s="10"/>
      <c r="O10039" s="10"/>
      <c r="P10039" s="10"/>
      <c r="Q10039" s="10"/>
      <c r="R10039" s="10"/>
      <c r="S10039" s="10"/>
      <c r="T10039" s="10"/>
      <c r="U10039" s="10"/>
      <c r="V10039" s="10"/>
      <c r="W10039" s="10"/>
      <c r="X10039" s="10"/>
      <c r="Y10039" s="10"/>
      <c r="Z10039" s="10"/>
    </row>
    <row r="10040" spans="1:26" ht="12.75">
      <c r="A10040" s="10"/>
      <c r="B10040" s="10"/>
      <c r="C10040" s="10"/>
      <c r="D10040" s="10"/>
      <c r="E10040" s="10"/>
      <c r="F10040" s="10"/>
      <c r="G10040" s="10"/>
      <c r="H10040" s="10"/>
      <c r="I10040" s="10"/>
      <c r="J10040" s="10"/>
      <c r="K10040" s="10"/>
      <c r="L10040" s="10"/>
      <c r="M10040" s="10"/>
      <c r="N10040" s="10"/>
      <c r="O10040" s="10"/>
      <c r="P10040" s="10"/>
      <c r="Q10040" s="10"/>
      <c r="R10040" s="10"/>
      <c r="S10040" s="10"/>
      <c r="T10040" s="10"/>
      <c r="U10040" s="10"/>
      <c r="V10040" s="10"/>
      <c r="W10040" s="10"/>
      <c r="X10040" s="10"/>
      <c r="Y10040" s="10"/>
      <c r="Z10040" s="10"/>
    </row>
    <row r="10041" spans="1:26" ht="12.75">
      <c r="A10041" s="10"/>
      <c r="B10041" s="10"/>
      <c r="C10041" s="10"/>
      <c r="D10041" s="10"/>
      <c r="E10041" s="10"/>
      <c r="F10041" s="10"/>
      <c r="G10041" s="10"/>
      <c r="H10041" s="10"/>
      <c r="I10041" s="10"/>
      <c r="J10041" s="10"/>
      <c r="K10041" s="10"/>
      <c r="L10041" s="10"/>
      <c r="M10041" s="10"/>
      <c r="N10041" s="10"/>
      <c r="O10041" s="10"/>
      <c r="P10041" s="10"/>
      <c r="Q10041" s="10"/>
      <c r="R10041" s="10"/>
      <c r="S10041" s="10"/>
      <c r="T10041" s="10"/>
      <c r="U10041" s="10"/>
      <c r="V10041" s="10"/>
      <c r="W10041" s="10"/>
      <c r="X10041" s="10"/>
      <c r="Y10041" s="10"/>
      <c r="Z10041" s="10"/>
    </row>
    <row r="10042" spans="1:26" ht="12.75">
      <c r="A10042" s="10"/>
      <c r="B10042" s="10"/>
      <c r="C10042" s="10"/>
      <c r="D10042" s="10"/>
      <c r="E10042" s="10"/>
      <c r="F10042" s="10"/>
      <c r="G10042" s="10"/>
      <c r="H10042" s="10"/>
      <c r="I10042" s="10"/>
      <c r="J10042" s="10"/>
      <c r="K10042" s="10"/>
      <c r="L10042" s="10"/>
      <c r="M10042" s="10"/>
      <c r="N10042" s="10"/>
      <c r="O10042" s="10"/>
      <c r="P10042" s="10"/>
      <c r="Q10042" s="10"/>
      <c r="R10042" s="10"/>
      <c r="S10042" s="10"/>
      <c r="T10042" s="10"/>
      <c r="U10042" s="10"/>
      <c r="V10042" s="10"/>
      <c r="W10042" s="10"/>
      <c r="X10042" s="10"/>
      <c r="Y10042" s="10"/>
      <c r="Z10042" s="10"/>
    </row>
    <row r="10043" spans="1:26" ht="12.75">
      <c r="A10043" s="10"/>
      <c r="B10043" s="10"/>
      <c r="C10043" s="10"/>
      <c r="D10043" s="10"/>
      <c r="E10043" s="10"/>
      <c r="F10043" s="10"/>
      <c r="G10043" s="10"/>
      <c r="H10043" s="10"/>
      <c r="I10043" s="10"/>
      <c r="J10043" s="10"/>
      <c r="K10043" s="10"/>
      <c r="L10043" s="10"/>
      <c r="M10043" s="10"/>
      <c r="N10043" s="10"/>
      <c r="O10043" s="10"/>
      <c r="P10043" s="10"/>
      <c r="Q10043" s="10"/>
      <c r="R10043" s="10"/>
      <c r="S10043" s="10"/>
      <c r="T10043" s="10"/>
      <c r="U10043" s="10"/>
      <c r="V10043" s="10"/>
      <c r="W10043" s="10"/>
      <c r="X10043" s="10"/>
      <c r="Y10043" s="10"/>
      <c r="Z10043" s="10"/>
    </row>
    <row r="10044" spans="1:26" ht="12.75">
      <c r="A10044" s="10"/>
      <c r="B10044" s="10"/>
      <c r="C10044" s="10"/>
      <c r="D10044" s="10"/>
      <c r="E10044" s="10"/>
      <c r="F10044" s="10"/>
      <c r="G10044" s="10"/>
      <c r="H10044" s="10"/>
      <c r="I10044" s="10"/>
      <c r="J10044" s="10"/>
      <c r="K10044" s="10"/>
      <c r="L10044" s="10"/>
      <c r="M10044" s="10"/>
      <c r="N10044" s="10"/>
      <c r="O10044" s="10"/>
      <c r="P10044" s="10"/>
      <c r="Q10044" s="10"/>
      <c r="R10044" s="10"/>
      <c r="S10044" s="10"/>
      <c r="T10044" s="10"/>
      <c r="U10044" s="10"/>
      <c r="V10044" s="10"/>
      <c r="W10044" s="10"/>
      <c r="X10044" s="10"/>
      <c r="Y10044" s="10"/>
      <c r="Z10044" s="10"/>
    </row>
    <row r="10045" spans="1:26" ht="12.75">
      <c r="A10045" s="10"/>
      <c r="B10045" s="10"/>
      <c r="C10045" s="10"/>
      <c r="D10045" s="10"/>
      <c r="E10045" s="10"/>
      <c r="F10045" s="10"/>
      <c r="G10045" s="10"/>
      <c r="H10045" s="10"/>
      <c r="I10045" s="10"/>
      <c r="J10045" s="10"/>
      <c r="K10045" s="10"/>
      <c r="L10045" s="10"/>
      <c r="M10045" s="10"/>
      <c r="N10045" s="10"/>
      <c r="O10045" s="10"/>
      <c r="P10045" s="10"/>
      <c r="Q10045" s="10"/>
      <c r="R10045" s="10"/>
      <c r="S10045" s="10"/>
      <c r="T10045" s="10"/>
      <c r="U10045" s="10"/>
      <c r="V10045" s="10"/>
      <c r="W10045" s="10"/>
      <c r="X10045" s="10"/>
      <c r="Y10045" s="10"/>
      <c r="Z10045" s="10"/>
    </row>
    <row r="10046" spans="1:26" ht="12.75">
      <c r="A10046" s="10"/>
      <c r="B10046" s="10"/>
      <c r="C10046" s="10"/>
      <c r="D10046" s="10"/>
      <c r="E10046" s="10"/>
      <c r="F10046" s="10"/>
      <c r="G10046" s="10"/>
      <c r="H10046" s="10"/>
      <c r="I10046" s="10"/>
      <c r="J10046" s="10"/>
      <c r="K10046" s="10"/>
      <c r="L10046" s="10"/>
      <c r="M10046" s="10"/>
      <c r="N10046" s="10"/>
      <c r="O10046" s="10"/>
      <c r="P10046" s="10"/>
      <c r="Q10046" s="10"/>
      <c r="R10046" s="10"/>
      <c r="S10046" s="10"/>
      <c r="T10046" s="10"/>
      <c r="U10046" s="10"/>
      <c r="V10046" s="10"/>
      <c r="W10046" s="10"/>
      <c r="X10046" s="10"/>
      <c r="Y10046" s="10"/>
      <c r="Z10046" s="10"/>
    </row>
    <row r="10047" spans="1:26" ht="12.75">
      <c r="A10047" s="10"/>
      <c r="B10047" s="10"/>
      <c r="C10047" s="10"/>
      <c r="D10047" s="10"/>
      <c r="E10047" s="10"/>
      <c r="F10047" s="10"/>
      <c r="G10047" s="10"/>
      <c r="H10047" s="10"/>
      <c r="I10047" s="10"/>
      <c r="J10047" s="10"/>
      <c r="K10047" s="10"/>
      <c r="L10047" s="10"/>
      <c r="M10047" s="10"/>
      <c r="N10047" s="10"/>
      <c r="O10047" s="10"/>
      <c r="P10047" s="10"/>
      <c r="Q10047" s="10"/>
      <c r="R10047" s="10"/>
      <c r="S10047" s="10"/>
      <c r="T10047" s="10"/>
      <c r="U10047" s="10"/>
      <c r="V10047" s="10"/>
      <c r="W10047" s="10"/>
      <c r="X10047" s="10"/>
      <c r="Y10047" s="10"/>
      <c r="Z10047" s="10"/>
    </row>
    <row r="10048" spans="1:26" ht="12.75">
      <c r="A10048" s="10"/>
      <c r="B10048" s="10"/>
      <c r="C10048" s="10"/>
      <c r="D10048" s="10"/>
      <c r="E10048" s="10"/>
      <c r="F10048" s="10"/>
      <c r="G10048" s="10"/>
      <c r="H10048" s="10"/>
      <c r="I10048" s="10"/>
      <c r="J10048" s="10"/>
      <c r="K10048" s="10"/>
      <c r="L10048" s="10"/>
      <c r="M10048" s="10"/>
      <c r="N10048" s="10"/>
      <c r="O10048" s="10"/>
      <c r="P10048" s="10"/>
      <c r="Q10048" s="10"/>
      <c r="R10048" s="10"/>
      <c r="S10048" s="10"/>
      <c r="T10048" s="10"/>
      <c r="U10048" s="10"/>
      <c r="V10048" s="10"/>
      <c r="W10048" s="10"/>
      <c r="X10048" s="10"/>
      <c r="Y10048" s="10"/>
      <c r="Z10048" s="10"/>
    </row>
    <row r="10049" spans="1:26" ht="12.75">
      <c r="A10049" s="10"/>
      <c r="B10049" s="10"/>
      <c r="C10049" s="10"/>
      <c r="D10049" s="10"/>
      <c r="E10049" s="10"/>
      <c r="F10049" s="10"/>
      <c r="G10049" s="10"/>
      <c r="H10049" s="10"/>
      <c r="I10049" s="10"/>
      <c r="J10049" s="10"/>
      <c r="K10049" s="10"/>
      <c r="L10049" s="10"/>
      <c r="M10049" s="10"/>
      <c r="N10049" s="10"/>
      <c r="O10049" s="10"/>
      <c r="P10049" s="10"/>
      <c r="Q10049" s="10"/>
      <c r="R10049" s="10"/>
      <c r="S10049" s="10"/>
      <c r="T10049" s="10"/>
      <c r="U10049" s="10"/>
      <c r="V10049" s="10"/>
      <c r="W10049" s="10"/>
      <c r="X10049" s="10"/>
      <c r="Y10049" s="10"/>
      <c r="Z10049" s="10"/>
    </row>
    <row r="10050" spans="1:26" ht="12.75">
      <c r="A10050" s="10"/>
      <c r="B10050" s="10"/>
      <c r="C10050" s="10"/>
      <c r="D10050" s="10"/>
      <c r="E10050" s="10"/>
      <c r="F10050" s="10"/>
      <c r="G10050" s="10"/>
      <c r="H10050" s="10"/>
      <c r="I10050" s="10"/>
      <c r="J10050" s="10"/>
      <c r="K10050" s="10"/>
      <c r="L10050" s="10"/>
      <c r="M10050" s="10"/>
      <c r="N10050" s="10"/>
      <c r="O10050" s="10"/>
      <c r="P10050" s="10"/>
      <c r="Q10050" s="10"/>
      <c r="R10050" s="10"/>
      <c r="S10050" s="10"/>
      <c r="T10050" s="10"/>
      <c r="U10050" s="10"/>
      <c r="V10050" s="10"/>
      <c r="W10050" s="10"/>
      <c r="X10050" s="10"/>
      <c r="Y10050" s="10"/>
      <c r="Z10050" s="10"/>
    </row>
    <row r="10051" spans="1:26" ht="12.75">
      <c r="A10051" s="10"/>
      <c r="B10051" s="10"/>
      <c r="C10051" s="10"/>
      <c r="D10051" s="10"/>
      <c r="E10051" s="10"/>
      <c r="F10051" s="10"/>
      <c r="G10051" s="10"/>
      <c r="H10051" s="10"/>
      <c r="I10051" s="10"/>
      <c r="J10051" s="10"/>
      <c r="K10051" s="10"/>
      <c r="L10051" s="10"/>
      <c r="M10051" s="10"/>
      <c r="N10051" s="10"/>
      <c r="O10051" s="10"/>
      <c r="P10051" s="10"/>
      <c r="Q10051" s="10"/>
      <c r="R10051" s="10"/>
      <c r="S10051" s="10"/>
      <c r="T10051" s="10"/>
      <c r="U10051" s="10"/>
      <c r="V10051" s="10"/>
      <c r="W10051" s="10"/>
      <c r="X10051" s="10"/>
      <c r="Y10051" s="10"/>
      <c r="Z10051" s="10"/>
    </row>
    <row r="10052" spans="1:26" ht="12.75">
      <c r="A10052" s="10"/>
      <c r="B10052" s="10"/>
      <c r="C10052" s="10"/>
      <c r="D10052" s="10"/>
      <c r="E10052" s="10"/>
      <c r="F10052" s="10"/>
      <c r="G10052" s="10"/>
      <c r="H10052" s="10"/>
      <c r="I10052" s="10"/>
      <c r="J10052" s="10"/>
      <c r="K10052" s="10"/>
      <c r="L10052" s="10"/>
      <c r="M10052" s="10"/>
      <c r="N10052" s="10"/>
      <c r="O10052" s="10"/>
      <c r="P10052" s="10"/>
      <c r="Q10052" s="10"/>
      <c r="R10052" s="10"/>
      <c r="S10052" s="10"/>
      <c r="T10052" s="10"/>
      <c r="U10052" s="10"/>
      <c r="V10052" s="10"/>
      <c r="W10052" s="10"/>
      <c r="X10052" s="10"/>
      <c r="Y10052" s="10"/>
      <c r="Z10052" s="10"/>
    </row>
    <row r="10053" spans="1:26" ht="12.75">
      <c r="A10053" s="10"/>
      <c r="B10053" s="10"/>
      <c r="C10053" s="10"/>
      <c r="D10053" s="10"/>
      <c r="E10053" s="10"/>
      <c r="F10053" s="10"/>
      <c r="G10053" s="10"/>
      <c r="H10053" s="10"/>
      <c r="I10053" s="10"/>
      <c r="J10053" s="10"/>
      <c r="K10053" s="10"/>
      <c r="L10053" s="10"/>
      <c r="M10053" s="10"/>
      <c r="N10053" s="10"/>
      <c r="O10053" s="10"/>
      <c r="P10053" s="10"/>
      <c r="Q10053" s="10"/>
      <c r="R10053" s="10"/>
      <c r="S10053" s="10"/>
      <c r="T10053" s="10"/>
      <c r="U10053" s="10"/>
      <c r="V10053" s="10"/>
      <c r="W10053" s="10"/>
      <c r="X10053" s="10"/>
      <c r="Y10053" s="10"/>
      <c r="Z10053" s="10"/>
    </row>
    <row r="10054" spans="1:26" ht="12.75">
      <c r="A10054" s="10"/>
      <c r="B10054" s="10"/>
      <c r="C10054" s="10"/>
      <c r="D10054" s="10"/>
      <c r="E10054" s="10"/>
      <c r="F10054" s="10"/>
      <c r="G10054" s="10"/>
      <c r="H10054" s="10"/>
      <c r="I10054" s="10"/>
      <c r="J10054" s="10"/>
      <c r="K10054" s="10"/>
      <c r="L10054" s="10"/>
      <c r="M10054" s="10"/>
      <c r="N10054" s="10"/>
      <c r="O10054" s="10"/>
      <c r="P10054" s="10"/>
      <c r="Q10054" s="10"/>
      <c r="R10054" s="10"/>
      <c r="S10054" s="10"/>
      <c r="T10054" s="10"/>
      <c r="U10054" s="10"/>
      <c r="V10054" s="10"/>
      <c r="W10054" s="10"/>
      <c r="X10054" s="10"/>
      <c r="Y10054" s="10"/>
      <c r="Z10054" s="10"/>
    </row>
    <row r="10055" spans="1:26" ht="12.75">
      <c r="A10055" s="10"/>
      <c r="B10055" s="10"/>
      <c r="C10055" s="10"/>
      <c r="D10055" s="10"/>
      <c r="E10055" s="10"/>
      <c r="F10055" s="10"/>
      <c r="G10055" s="10"/>
      <c r="H10055" s="10"/>
      <c r="I10055" s="10"/>
      <c r="J10055" s="10"/>
      <c r="K10055" s="10"/>
      <c r="L10055" s="10"/>
      <c r="M10055" s="10"/>
      <c r="N10055" s="10"/>
      <c r="O10055" s="10"/>
      <c r="P10055" s="10"/>
      <c r="Q10055" s="10"/>
      <c r="R10055" s="10"/>
      <c r="S10055" s="10"/>
      <c r="T10055" s="10"/>
      <c r="U10055" s="10"/>
      <c r="V10055" s="10"/>
      <c r="W10055" s="10"/>
      <c r="X10055" s="10"/>
      <c r="Y10055" s="10"/>
      <c r="Z10055" s="10"/>
    </row>
    <row r="10056" spans="1:26" ht="12.75">
      <c r="A10056" s="10"/>
      <c r="B10056" s="10"/>
      <c r="C10056" s="10"/>
      <c r="D10056" s="10"/>
      <c r="E10056" s="10"/>
      <c r="F10056" s="10"/>
      <c r="G10056" s="10"/>
      <c r="H10056" s="10"/>
      <c r="I10056" s="10"/>
      <c r="J10056" s="10"/>
      <c r="K10056" s="10"/>
      <c r="L10056" s="10"/>
      <c r="M10056" s="10"/>
      <c r="N10056" s="10"/>
      <c r="O10056" s="10"/>
      <c r="P10056" s="10"/>
      <c r="Q10056" s="10"/>
      <c r="R10056" s="10"/>
      <c r="S10056" s="10"/>
      <c r="T10056" s="10"/>
      <c r="U10056" s="10"/>
      <c r="V10056" s="10"/>
      <c r="W10056" s="10"/>
      <c r="X10056" s="10"/>
      <c r="Y10056" s="10"/>
      <c r="Z10056" s="10"/>
    </row>
    <row r="10057" spans="1:26" ht="12.75">
      <c r="A10057" s="10"/>
      <c r="B10057" s="10"/>
      <c r="C10057" s="10"/>
      <c r="D10057" s="10"/>
      <c r="E10057" s="10"/>
      <c r="F10057" s="10"/>
      <c r="G10057" s="10"/>
      <c r="H10057" s="10"/>
      <c r="I10057" s="10"/>
      <c r="J10057" s="10"/>
      <c r="K10057" s="10"/>
      <c r="L10057" s="10"/>
      <c r="M10057" s="10"/>
      <c r="N10057" s="10"/>
      <c r="O10057" s="10"/>
      <c r="P10057" s="10"/>
      <c r="Q10057" s="10"/>
      <c r="R10057" s="10"/>
      <c r="S10057" s="10"/>
      <c r="T10057" s="10"/>
      <c r="U10057" s="10"/>
      <c r="V10057" s="10"/>
      <c r="W10057" s="10"/>
      <c r="X10057" s="10"/>
      <c r="Y10057" s="10"/>
      <c r="Z10057" s="10"/>
    </row>
    <row r="10058" spans="1:26" ht="12.75">
      <c r="A10058" s="10"/>
      <c r="B10058" s="10"/>
      <c r="C10058" s="10"/>
      <c r="D10058" s="10"/>
      <c r="E10058" s="10"/>
      <c r="F10058" s="10"/>
      <c r="G10058" s="10"/>
      <c r="H10058" s="10"/>
      <c r="I10058" s="10"/>
      <c r="J10058" s="10"/>
      <c r="K10058" s="10"/>
      <c r="L10058" s="10"/>
      <c r="M10058" s="10"/>
      <c r="N10058" s="10"/>
      <c r="O10058" s="10"/>
      <c r="P10058" s="10"/>
      <c r="Q10058" s="10"/>
      <c r="R10058" s="10"/>
      <c r="S10058" s="10"/>
      <c r="T10058" s="10"/>
      <c r="U10058" s="10"/>
      <c r="V10058" s="10"/>
      <c r="W10058" s="10"/>
      <c r="X10058" s="10"/>
      <c r="Y10058" s="10"/>
      <c r="Z10058" s="10"/>
    </row>
    <row r="10059" spans="1:26" ht="12.75">
      <c r="A10059" s="10"/>
      <c r="B10059" s="10"/>
      <c r="C10059" s="10"/>
      <c r="D10059" s="10"/>
      <c r="E10059" s="10"/>
      <c r="F10059" s="10"/>
      <c r="G10059" s="10"/>
      <c r="H10059" s="10"/>
      <c r="I10059" s="10"/>
      <c r="J10059" s="10"/>
      <c r="K10059" s="10"/>
      <c r="L10059" s="10"/>
      <c r="M10059" s="10"/>
      <c r="N10059" s="10"/>
      <c r="O10059" s="10"/>
      <c r="P10059" s="10"/>
      <c r="Q10059" s="10"/>
      <c r="R10059" s="10"/>
      <c r="S10059" s="10"/>
      <c r="T10059" s="10"/>
      <c r="U10059" s="10"/>
      <c r="V10059" s="10"/>
      <c r="W10059" s="10"/>
      <c r="X10059" s="10"/>
      <c r="Y10059" s="10"/>
      <c r="Z10059" s="10"/>
    </row>
    <row r="10060" spans="1:26" ht="12.75">
      <c r="A10060" s="10"/>
      <c r="B10060" s="10"/>
      <c r="C10060" s="10"/>
      <c r="D10060" s="10"/>
      <c r="E10060" s="10"/>
      <c r="F10060" s="10"/>
      <c r="G10060" s="10"/>
      <c r="H10060" s="10"/>
      <c r="I10060" s="10"/>
      <c r="J10060" s="10"/>
      <c r="K10060" s="10"/>
      <c r="L10060" s="10"/>
      <c r="M10060" s="10"/>
      <c r="N10060" s="10"/>
      <c r="O10060" s="10"/>
      <c r="P10060" s="10"/>
      <c r="Q10060" s="10"/>
      <c r="R10060" s="10"/>
      <c r="S10060" s="10"/>
      <c r="T10060" s="10"/>
      <c r="U10060" s="10"/>
      <c r="V10060" s="10"/>
      <c r="W10060" s="10"/>
      <c r="X10060" s="10"/>
      <c r="Y10060" s="10"/>
      <c r="Z10060" s="10"/>
    </row>
    <row r="10061" spans="1:26" ht="12.75">
      <c r="A10061" s="10"/>
      <c r="B10061" s="10"/>
      <c r="C10061" s="10"/>
      <c r="D10061" s="10"/>
      <c r="E10061" s="10"/>
      <c r="F10061" s="10"/>
      <c r="G10061" s="10"/>
      <c r="H10061" s="10"/>
      <c r="I10061" s="10"/>
      <c r="J10061" s="10"/>
      <c r="K10061" s="10"/>
      <c r="L10061" s="10"/>
      <c r="M10061" s="10"/>
      <c r="N10061" s="10"/>
      <c r="O10061" s="10"/>
      <c r="P10061" s="10"/>
      <c r="Q10061" s="10"/>
      <c r="R10061" s="10"/>
      <c r="S10061" s="10"/>
      <c r="T10061" s="10"/>
      <c r="U10061" s="10"/>
      <c r="V10061" s="10"/>
      <c r="W10061" s="10"/>
      <c r="X10061" s="10"/>
      <c r="Y10061" s="10"/>
      <c r="Z10061" s="10"/>
    </row>
    <row r="10062" spans="1:26" ht="12.75">
      <c r="A10062" s="10"/>
      <c r="B10062" s="10"/>
      <c r="C10062" s="10"/>
      <c r="D10062" s="10"/>
      <c r="E10062" s="10"/>
      <c r="F10062" s="10"/>
      <c r="G10062" s="10"/>
      <c r="H10062" s="10"/>
      <c r="I10062" s="10"/>
      <c r="J10062" s="10"/>
      <c r="K10062" s="10"/>
      <c r="L10062" s="10"/>
      <c r="M10062" s="10"/>
      <c r="N10062" s="10"/>
      <c r="O10062" s="10"/>
      <c r="P10062" s="10"/>
      <c r="Q10062" s="10"/>
      <c r="R10062" s="10"/>
      <c r="S10062" s="10"/>
      <c r="T10062" s="10"/>
      <c r="U10062" s="10"/>
      <c r="V10062" s="10"/>
      <c r="W10062" s="10"/>
      <c r="X10062" s="10"/>
      <c r="Y10062" s="10"/>
      <c r="Z10062" s="10"/>
    </row>
    <row r="10063" spans="1:26" ht="12.75">
      <c r="A10063" s="10"/>
      <c r="B10063" s="10"/>
      <c r="C10063" s="10"/>
      <c r="D10063" s="10"/>
      <c r="E10063" s="10"/>
      <c r="F10063" s="10"/>
      <c r="G10063" s="10"/>
      <c r="H10063" s="10"/>
      <c r="I10063" s="10"/>
      <c r="J10063" s="10"/>
      <c r="K10063" s="10"/>
      <c r="L10063" s="10"/>
      <c r="M10063" s="10"/>
      <c r="N10063" s="10"/>
      <c r="O10063" s="10"/>
      <c r="P10063" s="10"/>
      <c r="Q10063" s="10"/>
      <c r="R10063" s="10"/>
      <c r="S10063" s="10"/>
      <c r="T10063" s="10"/>
      <c r="U10063" s="10"/>
      <c r="V10063" s="10"/>
      <c r="W10063" s="10"/>
      <c r="X10063" s="10"/>
      <c r="Y10063" s="10"/>
      <c r="Z10063" s="10"/>
    </row>
    <row r="10064" spans="1:26" ht="12.75">
      <c r="A10064" s="10"/>
      <c r="B10064" s="10"/>
      <c r="C10064" s="10"/>
      <c r="D10064" s="10"/>
      <c r="E10064" s="10"/>
      <c r="F10064" s="10"/>
      <c r="G10064" s="10"/>
      <c r="H10064" s="10"/>
      <c r="I10064" s="10"/>
      <c r="J10064" s="10"/>
      <c r="K10064" s="10"/>
      <c r="L10064" s="10"/>
      <c r="M10064" s="10"/>
      <c r="N10064" s="10"/>
      <c r="O10064" s="10"/>
      <c r="P10064" s="10"/>
      <c r="Q10064" s="10"/>
      <c r="R10064" s="10"/>
      <c r="S10064" s="10"/>
      <c r="T10064" s="10"/>
      <c r="U10064" s="10"/>
      <c r="V10064" s="10"/>
      <c r="W10064" s="10"/>
      <c r="X10064" s="10"/>
      <c r="Y10064" s="10"/>
      <c r="Z10064" s="10"/>
    </row>
    <row r="10065" spans="1:26" ht="12.75">
      <c r="A10065" s="10"/>
      <c r="B10065" s="10"/>
      <c r="C10065" s="10"/>
      <c r="D10065" s="10"/>
      <c r="E10065" s="10"/>
      <c r="F10065" s="10"/>
      <c r="G10065" s="10"/>
      <c r="H10065" s="10"/>
      <c r="I10065" s="10"/>
      <c r="J10065" s="10"/>
      <c r="K10065" s="10"/>
      <c r="L10065" s="10"/>
      <c r="M10065" s="10"/>
      <c r="N10065" s="10"/>
      <c r="O10065" s="10"/>
      <c r="P10065" s="10"/>
      <c r="Q10065" s="10"/>
      <c r="R10065" s="10"/>
      <c r="S10065" s="10"/>
      <c r="T10065" s="10"/>
      <c r="U10065" s="10"/>
      <c r="V10065" s="10"/>
      <c r="W10065" s="10"/>
      <c r="X10065" s="10"/>
      <c r="Y10065" s="10"/>
      <c r="Z10065" s="10"/>
    </row>
    <row r="10066" spans="1:26" ht="12.75">
      <c r="A10066" s="10"/>
      <c r="B10066" s="10"/>
      <c r="C10066" s="10"/>
      <c r="D10066" s="10"/>
      <c r="E10066" s="10"/>
      <c r="F10066" s="10"/>
      <c r="G10066" s="10"/>
      <c r="H10066" s="10"/>
      <c r="I10066" s="10"/>
      <c r="J10066" s="10"/>
      <c r="K10066" s="10"/>
      <c r="L10066" s="10"/>
      <c r="M10066" s="10"/>
      <c r="N10066" s="10"/>
      <c r="O10066" s="10"/>
      <c r="P10066" s="10"/>
      <c r="Q10066" s="10"/>
      <c r="R10066" s="10"/>
      <c r="S10066" s="10"/>
      <c r="T10066" s="10"/>
      <c r="U10066" s="10"/>
      <c r="V10066" s="10"/>
      <c r="W10066" s="10"/>
      <c r="X10066" s="10"/>
      <c r="Y10066" s="10"/>
      <c r="Z10066" s="10"/>
    </row>
    <row r="10067" spans="1:26" ht="12.75">
      <c r="A10067" s="10"/>
      <c r="B10067" s="10"/>
      <c r="C10067" s="10"/>
      <c r="D10067" s="10"/>
      <c r="E10067" s="10"/>
      <c r="F10067" s="10"/>
      <c r="G10067" s="10"/>
      <c r="H10067" s="10"/>
      <c r="I10067" s="10"/>
      <c r="J10067" s="10"/>
      <c r="K10067" s="10"/>
      <c r="L10067" s="10"/>
      <c r="M10067" s="10"/>
      <c r="N10067" s="10"/>
      <c r="O10067" s="10"/>
      <c r="P10067" s="10"/>
      <c r="Q10067" s="10"/>
      <c r="R10067" s="10"/>
      <c r="S10067" s="10"/>
      <c r="T10067" s="10"/>
      <c r="U10067" s="10"/>
      <c r="V10067" s="10"/>
      <c r="W10067" s="10"/>
      <c r="X10067" s="10"/>
      <c r="Y10067" s="10"/>
      <c r="Z10067" s="10"/>
    </row>
    <row r="10068" spans="1:26" ht="12.75">
      <c r="A10068" s="10"/>
      <c r="B10068" s="10"/>
      <c r="C10068" s="10"/>
      <c r="D10068" s="10"/>
      <c r="E10068" s="10"/>
      <c r="F10068" s="10"/>
      <c r="G10068" s="10"/>
      <c r="H10068" s="10"/>
      <c r="I10068" s="10"/>
      <c r="J10068" s="10"/>
      <c r="K10068" s="10"/>
      <c r="L10068" s="10"/>
      <c r="M10068" s="10"/>
      <c r="N10068" s="10"/>
      <c r="O10068" s="10"/>
      <c r="P10068" s="10"/>
      <c r="Q10068" s="10"/>
      <c r="R10068" s="10"/>
      <c r="S10068" s="10"/>
      <c r="T10068" s="10"/>
      <c r="U10068" s="10"/>
      <c r="V10068" s="10"/>
      <c r="W10068" s="10"/>
      <c r="X10068" s="10"/>
      <c r="Y10068" s="10"/>
      <c r="Z10068" s="10"/>
    </row>
    <row r="10069" spans="1:26" ht="12.75">
      <c r="A10069" s="10"/>
      <c r="B10069" s="10"/>
      <c r="C10069" s="10"/>
      <c r="D10069" s="10"/>
      <c r="E10069" s="10"/>
      <c r="F10069" s="10"/>
      <c r="G10069" s="10"/>
      <c r="H10069" s="10"/>
      <c r="I10069" s="10"/>
      <c r="J10069" s="10"/>
      <c r="K10069" s="10"/>
      <c r="L10069" s="10"/>
      <c r="M10069" s="10"/>
      <c r="N10069" s="10"/>
      <c r="O10069" s="10"/>
      <c r="P10069" s="10"/>
      <c r="Q10069" s="10"/>
      <c r="R10069" s="10"/>
      <c r="S10069" s="10"/>
      <c r="T10069" s="10"/>
      <c r="U10069" s="10"/>
      <c r="V10069" s="10"/>
      <c r="W10069" s="10"/>
      <c r="X10069" s="10"/>
      <c r="Y10069" s="10"/>
      <c r="Z10069" s="10"/>
    </row>
    <row r="10070" spans="1:26" ht="12.75">
      <c r="A10070" s="10"/>
      <c r="B10070" s="10"/>
      <c r="C10070" s="10"/>
      <c r="D10070" s="10"/>
      <c r="E10070" s="10"/>
      <c r="F10070" s="10"/>
      <c r="G10070" s="10"/>
      <c r="H10070" s="10"/>
      <c r="I10070" s="10"/>
      <c r="J10070" s="10"/>
      <c r="K10070" s="10"/>
      <c r="L10070" s="10"/>
      <c r="M10070" s="10"/>
      <c r="N10070" s="10"/>
      <c r="O10070" s="10"/>
      <c r="P10070" s="10"/>
      <c r="Q10070" s="10"/>
      <c r="R10070" s="10"/>
      <c r="S10070" s="10"/>
      <c r="T10070" s="10"/>
      <c r="U10070" s="10"/>
      <c r="V10070" s="10"/>
      <c r="W10070" s="10"/>
      <c r="X10070" s="10"/>
      <c r="Y10070" s="10"/>
      <c r="Z10070" s="10"/>
    </row>
    <row r="10071" spans="1:26" ht="12.75">
      <c r="A10071" s="10"/>
      <c r="B10071" s="10"/>
      <c r="C10071" s="10"/>
      <c r="D10071" s="10"/>
      <c r="E10071" s="10"/>
      <c r="F10071" s="10"/>
      <c r="G10071" s="10"/>
      <c r="H10071" s="10"/>
      <c r="I10071" s="10"/>
      <c r="J10071" s="10"/>
      <c r="K10071" s="10"/>
      <c r="L10071" s="10"/>
      <c r="M10071" s="10"/>
      <c r="N10071" s="10"/>
      <c r="O10071" s="10"/>
      <c r="P10071" s="10"/>
      <c r="Q10071" s="10"/>
      <c r="R10071" s="10"/>
      <c r="S10071" s="10"/>
      <c r="T10071" s="10"/>
      <c r="U10071" s="10"/>
      <c r="V10071" s="10"/>
      <c r="W10071" s="10"/>
      <c r="X10071" s="10"/>
      <c r="Y10071" s="10"/>
      <c r="Z10071" s="10"/>
    </row>
    <row r="10072" spans="1:26" ht="12.75">
      <c r="A10072" s="10"/>
      <c r="B10072" s="10"/>
      <c r="C10072" s="10"/>
      <c r="D10072" s="10"/>
      <c r="E10072" s="10"/>
      <c r="F10072" s="10"/>
      <c r="G10072" s="10"/>
      <c r="H10072" s="10"/>
      <c r="I10072" s="10"/>
      <c r="J10072" s="10"/>
      <c r="K10072" s="10"/>
      <c r="L10072" s="10"/>
      <c r="M10072" s="10"/>
      <c r="N10072" s="10"/>
      <c r="O10072" s="10"/>
      <c r="P10072" s="10"/>
      <c r="Q10072" s="10"/>
      <c r="R10072" s="10"/>
      <c r="S10072" s="10"/>
      <c r="T10072" s="10"/>
      <c r="U10072" s="10"/>
      <c r="V10072" s="10"/>
      <c r="W10072" s="10"/>
      <c r="X10072" s="10"/>
      <c r="Y10072" s="10"/>
      <c r="Z10072" s="10"/>
    </row>
    <row r="10073" spans="1:26" ht="12.75">
      <c r="A10073" s="10"/>
      <c r="B10073" s="10"/>
      <c r="C10073" s="10"/>
      <c r="D10073" s="10"/>
      <c r="E10073" s="10"/>
      <c r="F10073" s="10"/>
      <c r="G10073" s="10"/>
      <c r="H10073" s="10"/>
      <c r="I10073" s="10"/>
      <c r="J10073" s="10"/>
      <c r="K10073" s="10"/>
      <c r="L10073" s="10"/>
      <c r="M10073" s="10"/>
      <c r="N10073" s="10"/>
      <c r="O10073" s="10"/>
      <c r="P10073" s="10"/>
      <c r="Q10073" s="10"/>
      <c r="R10073" s="10"/>
      <c r="S10073" s="10"/>
      <c r="T10073" s="10"/>
      <c r="U10073" s="10"/>
      <c r="V10073" s="10"/>
      <c r="W10073" s="10"/>
      <c r="X10073" s="10"/>
      <c r="Y10073" s="10"/>
      <c r="Z10073" s="10"/>
    </row>
    <row r="10074" spans="1:26" ht="12.75">
      <c r="A10074" s="10"/>
      <c r="B10074" s="10"/>
      <c r="C10074" s="10"/>
      <c r="D10074" s="10"/>
      <c r="E10074" s="10"/>
      <c r="F10074" s="10"/>
      <c r="G10074" s="10"/>
      <c r="H10074" s="10"/>
      <c r="I10074" s="10"/>
      <c r="J10074" s="10"/>
      <c r="K10074" s="10"/>
      <c r="L10074" s="10"/>
      <c r="M10074" s="10"/>
      <c r="N10074" s="10"/>
      <c r="O10074" s="10"/>
      <c r="P10074" s="10"/>
      <c r="Q10074" s="10"/>
      <c r="R10074" s="10"/>
      <c r="S10074" s="10"/>
      <c r="T10074" s="10"/>
      <c r="U10074" s="10"/>
      <c r="V10074" s="10"/>
      <c r="W10074" s="10"/>
      <c r="X10074" s="10"/>
      <c r="Y10074" s="10"/>
      <c r="Z10074" s="10"/>
    </row>
    <row r="10075" spans="1:26" ht="12.75">
      <c r="A10075" s="10"/>
      <c r="B10075" s="10"/>
      <c r="C10075" s="10"/>
      <c r="D10075" s="10"/>
      <c r="E10075" s="10"/>
      <c r="F10075" s="10"/>
      <c r="G10075" s="10"/>
      <c r="H10075" s="10"/>
      <c r="I10075" s="10"/>
      <c r="J10075" s="10"/>
      <c r="K10075" s="10"/>
      <c r="L10075" s="10"/>
      <c r="M10075" s="10"/>
      <c r="N10075" s="10"/>
      <c r="O10075" s="10"/>
      <c r="P10075" s="10"/>
      <c r="Q10075" s="10"/>
      <c r="R10075" s="10"/>
      <c r="S10075" s="10"/>
      <c r="T10075" s="10"/>
      <c r="U10075" s="10"/>
      <c r="V10075" s="10"/>
      <c r="W10075" s="10"/>
      <c r="X10075" s="10"/>
      <c r="Y10075" s="10"/>
      <c r="Z10075" s="10"/>
    </row>
    <row r="10076" spans="1:26" ht="12.75">
      <c r="A10076" s="10"/>
      <c r="B10076" s="10"/>
      <c r="C10076" s="10"/>
      <c r="D10076" s="10"/>
      <c r="E10076" s="10"/>
      <c r="F10076" s="10"/>
      <c r="G10076" s="10"/>
      <c r="H10076" s="10"/>
      <c r="I10076" s="10"/>
      <c r="J10076" s="10"/>
      <c r="K10076" s="10"/>
      <c r="L10076" s="10"/>
      <c r="M10076" s="10"/>
      <c r="N10076" s="10"/>
      <c r="O10076" s="10"/>
      <c r="P10076" s="10"/>
      <c r="Q10076" s="10"/>
      <c r="R10076" s="10"/>
      <c r="S10076" s="10"/>
      <c r="T10076" s="10"/>
      <c r="U10076" s="10"/>
      <c r="V10076" s="10"/>
      <c r="W10076" s="10"/>
      <c r="X10076" s="10"/>
      <c r="Y10076" s="10"/>
      <c r="Z10076" s="10"/>
    </row>
    <row r="10077" spans="1:26" ht="12.75">
      <c r="A10077" s="10"/>
      <c r="B10077" s="10"/>
      <c r="C10077" s="10"/>
      <c r="D10077" s="10"/>
      <c r="E10077" s="10"/>
      <c r="F10077" s="10"/>
      <c r="G10077" s="10"/>
      <c r="H10077" s="10"/>
      <c r="I10077" s="10"/>
      <c r="J10077" s="10"/>
      <c r="K10077" s="10"/>
      <c r="L10077" s="10"/>
      <c r="M10077" s="10"/>
      <c r="N10077" s="10"/>
      <c r="O10077" s="10"/>
      <c r="P10077" s="10"/>
      <c r="Q10077" s="10"/>
      <c r="R10077" s="10"/>
      <c r="S10077" s="10"/>
      <c r="T10077" s="10"/>
      <c r="U10077" s="10"/>
      <c r="V10077" s="10"/>
      <c r="W10077" s="10"/>
      <c r="X10077" s="10"/>
      <c r="Y10077" s="10"/>
      <c r="Z10077" s="10"/>
    </row>
    <row r="10078" spans="1:26" ht="12.75">
      <c r="A10078" s="10"/>
      <c r="B10078" s="10"/>
      <c r="C10078" s="10"/>
      <c r="D10078" s="10"/>
      <c r="E10078" s="10"/>
      <c r="F10078" s="10"/>
      <c r="G10078" s="10"/>
      <c r="H10078" s="10"/>
      <c r="I10078" s="10"/>
      <c r="J10078" s="10"/>
      <c r="K10078" s="10"/>
      <c r="L10078" s="10"/>
      <c r="M10078" s="10"/>
      <c r="N10078" s="10"/>
      <c r="O10078" s="10"/>
      <c r="P10078" s="10"/>
      <c r="Q10078" s="10"/>
      <c r="R10078" s="10"/>
      <c r="S10078" s="10"/>
      <c r="T10078" s="10"/>
      <c r="U10078" s="10"/>
      <c r="V10078" s="10"/>
      <c r="W10078" s="10"/>
      <c r="X10078" s="10"/>
      <c r="Y10078" s="10"/>
      <c r="Z10078" s="10"/>
    </row>
    <row r="10079" spans="1:26" ht="12.75">
      <c r="A10079" s="10"/>
      <c r="B10079" s="10"/>
      <c r="C10079" s="10"/>
      <c r="D10079" s="10"/>
      <c r="E10079" s="10"/>
      <c r="F10079" s="10"/>
      <c r="G10079" s="10"/>
      <c r="H10079" s="10"/>
      <c r="I10079" s="10"/>
      <c r="J10079" s="10"/>
      <c r="K10079" s="10"/>
      <c r="L10079" s="10"/>
      <c r="M10079" s="10"/>
      <c r="N10079" s="10"/>
      <c r="O10079" s="10"/>
      <c r="P10079" s="10"/>
      <c r="Q10079" s="10"/>
      <c r="R10079" s="10"/>
      <c r="S10079" s="10"/>
      <c r="T10079" s="10"/>
      <c r="U10079" s="10"/>
      <c r="V10079" s="10"/>
      <c r="W10079" s="10"/>
      <c r="X10079" s="10"/>
      <c r="Y10079" s="10"/>
      <c r="Z10079" s="10"/>
    </row>
    <row r="10080" spans="1:26" ht="12.75">
      <c r="A10080" s="10"/>
      <c r="B10080" s="10"/>
      <c r="C10080" s="10"/>
      <c r="D10080" s="10"/>
      <c r="E10080" s="10"/>
      <c r="F10080" s="10"/>
      <c r="G10080" s="10"/>
      <c r="H10080" s="10"/>
      <c r="I10080" s="10"/>
      <c r="J10080" s="10"/>
      <c r="K10080" s="10"/>
      <c r="L10080" s="10"/>
      <c r="M10080" s="10"/>
      <c r="N10080" s="10"/>
      <c r="O10080" s="10"/>
      <c r="P10080" s="10"/>
      <c r="Q10080" s="10"/>
      <c r="R10080" s="10"/>
      <c r="S10080" s="10"/>
      <c r="T10080" s="10"/>
      <c r="U10080" s="10"/>
      <c r="V10080" s="10"/>
      <c r="W10080" s="10"/>
      <c r="X10080" s="10"/>
      <c r="Y10080" s="10"/>
      <c r="Z10080" s="10"/>
    </row>
    <row r="10081" spans="1:26" ht="12.75">
      <c r="A10081" s="10"/>
      <c r="B10081" s="10"/>
      <c r="C10081" s="10"/>
      <c r="D10081" s="10"/>
      <c r="E10081" s="10"/>
      <c r="F10081" s="10"/>
      <c r="G10081" s="10"/>
      <c r="H10081" s="10"/>
      <c r="I10081" s="10"/>
      <c r="J10081" s="10"/>
      <c r="K10081" s="10"/>
      <c r="L10081" s="10"/>
      <c r="M10081" s="10"/>
      <c r="N10081" s="10"/>
      <c r="O10081" s="10"/>
      <c r="P10081" s="10"/>
      <c r="Q10081" s="10"/>
      <c r="R10081" s="10"/>
      <c r="S10081" s="10"/>
      <c r="T10081" s="10"/>
      <c r="U10081" s="10"/>
      <c r="V10081" s="10"/>
      <c r="W10081" s="10"/>
      <c r="X10081" s="10"/>
      <c r="Y10081" s="10"/>
      <c r="Z10081" s="10"/>
    </row>
    <row r="10082" spans="1:26" ht="12.75">
      <c r="A10082" s="10"/>
      <c r="B10082" s="10"/>
      <c r="C10082" s="10"/>
      <c r="D10082" s="10"/>
      <c r="E10082" s="10"/>
      <c r="F10082" s="10"/>
      <c r="G10082" s="10"/>
      <c r="H10082" s="10"/>
      <c r="I10082" s="10"/>
      <c r="J10082" s="10"/>
      <c r="K10082" s="10"/>
      <c r="L10082" s="10"/>
      <c r="M10082" s="10"/>
      <c r="N10082" s="10"/>
      <c r="O10082" s="10"/>
      <c r="P10082" s="10"/>
      <c r="Q10082" s="10"/>
      <c r="R10082" s="10"/>
      <c r="S10082" s="10"/>
      <c r="T10082" s="10"/>
      <c r="U10082" s="10"/>
      <c r="V10082" s="10"/>
      <c r="W10082" s="10"/>
      <c r="X10082" s="10"/>
      <c r="Y10082" s="10"/>
      <c r="Z10082" s="10"/>
    </row>
    <row r="10083" spans="1:26" ht="12.75">
      <c r="A10083" s="10"/>
      <c r="B10083" s="10"/>
      <c r="C10083" s="10"/>
      <c r="D10083" s="10"/>
      <c r="E10083" s="10"/>
      <c r="F10083" s="10"/>
      <c r="G10083" s="10"/>
      <c r="H10083" s="10"/>
      <c r="I10083" s="10"/>
      <c r="J10083" s="10"/>
      <c r="K10083" s="10"/>
      <c r="L10083" s="10"/>
      <c r="M10083" s="10"/>
      <c r="N10083" s="10"/>
      <c r="O10083" s="10"/>
      <c r="P10083" s="10"/>
      <c r="Q10083" s="10"/>
      <c r="R10083" s="10"/>
      <c r="S10083" s="10"/>
      <c r="T10083" s="10"/>
      <c r="U10083" s="10"/>
      <c r="V10083" s="10"/>
      <c r="W10083" s="10"/>
      <c r="X10083" s="10"/>
      <c r="Y10083" s="10"/>
      <c r="Z10083" s="10"/>
    </row>
    <row r="10084" spans="1:26" ht="12.75">
      <c r="A10084" s="10"/>
      <c r="B10084" s="10"/>
      <c r="C10084" s="10"/>
      <c r="D10084" s="10"/>
      <c r="E10084" s="10"/>
      <c r="F10084" s="10"/>
      <c r="G10084" s="10"/>
      <c r="H10084" s="10"/>
      <c r="I10084" s="10"/>
      <c r="J10084" s="10"/>
      <c r="K10084" s="10"/>
      <c r="L10084" s="10"/>
      <c r="M10084" s="10"/>
      <c r="N10084" s="10"/>
      <c r="O10084" s="10"/>
      <c r="P10084" s="10"/>
      <c r="Q10084" s="10"/>
      <c r="R10084" s="10"/>
      <c r="S10084" s="10"/>
      <c r="T10084" s="10"/>
      <c r="U10084" s="10"/>
      <c r="V10084" s="10"/>
      <c r="W10084" s="10"/>
      <c r="X10084" s="10"/>
      <c r="Y10084" s="10"/>
      <c r="Z10084" s="10"/>
    </row>
    <row r="10085" spans="1:26" ht="12.75">
      <c r="A10085" s="10"/>
      <c r="B10085" s="10"/>
      <c r="C10085" s="10"/>
      <c r="D10085" s="10"/>
      <c r="E10085" s="10"/>
      <c r="F10085" s="10"/>
      <c r="G10085" s="10"/>
      <c r="H10085" s="10"/>
      <c r="I10085" s="10"/>
      <c r="J10085" s="10"/>
      <c r="K10085" s="10"/>
      <c r="L10085" s="10"/>
      <c r="M10085" s="10"/>
      <c r="N10085" s="10"/>
      <c r="O10085" s="10"/>
      <c r="P10085" s="10"/>
      <c r="Q10085" s="10"/>
      <c r="R10085" s="10"/>
      <c r="S10085" s="10"/>
      <c r="T10085" s="10"/>
      <c r="U10085" s="10"/>
      <c r="V10085" s="10"/>
      <c r="W10085" s="10"/>
      <c r="X10085" s="10"/>
      <c r="Y10085" s="10"/>
      <c r="Z10085" s="10"/>
    </row>
    <row r="10086" spans="1:26" ht="12.75">
      <c r="A10086" s="10"/>
      <c r="B10086" s="10"/>
      <c r="C10086" s="10"/>
      <c r="D10086" s="10"/>
      <c r="E10086" s="10"/>
      <c r="F10086" s="10"/>
      <c r="G10086" s="10"/>
      <c r="H10086" s="10"/>
      <c r="I10086" s="10"/>
      <c r="J10086" s="10"/>
      <c r="K10086" s="10"/>
      <c r="L10086" s="10"/>
      <c r="M10086" s="10"/>
      <c r="N10086" s="10"/>
      <c r="O10086" s="10"/>
      <c r="P10086" s="10"/>
      <c r="Q10086" s="10"/>
      <c r="R10086" s="10"/>
      <c r="S10086" s="10"/>
      <c r="T10086" s="10"/>
      <c r="U10086" s="10"/>
      <c r="V10086" s="10"/>
      <c r="W10086" s="10"/>
      <c r="X10086" s="10"/>
      <c r="Y10086" s="10"/>
      <c r="Z10086" s="10"/>
    </row>
    <row r="10087" spans="1:26" ht="12.75">
      <c r="A10087" s="10"/>
      <c r="B10087" s="10"/>
      <c r="C10087" s="10"/>
      <c r="D10087" s="10"/>
      <c r="E10087" s="10"/>
      <c r="F10087" s="10"/>
      <c r="G10087" s="10"/>
      <c r="H10087" s="10"/>
      <c r="I10087" s="10"/>
      <c r="J10087" s="10"/>
      <c r="K10087" s="10"/>
      <c r="L10087" s="10"/>
      <c r="M10087" s="10"/>
      <c r="N10087" s="10"/>
      <c r="O10087" s="10"/>
      <c r="P10087" s="10"/>
      <c r="Q10087" s="10"/>
      <c r="R10087" s="10"/>
      <c r="S10087" s="10"/>
      <c r="T10087" s="10"/>
      <c r="U10087" s="10"/>
      <c r="V10087" s="10"/>
      <c r="W10087" s="10"/>
      <c r="X10087" s="10"/>
      <c r="Y10087" s="10"/>
      <c r="Z10087" s="10"/>
    </row>
    <row r="10088" spans="1:26" ht="12.75">
      <c r="A10088" s="10"/>
      <c r="B10088" s="10"/>
      <c r="C10088" s="10"/>
      <c r="D10088" s="10"/>
      <c r="E10088" s="10"/>
      <c r="F10088" s="10"/>
      <c r="G10088" s="10"/>
      <c r="H10088" s="10"/>
      <c r="I10088" s="10"/>
      <c r="J10088" s="10"/>
      <c r="K10088" s="10"/>
      <c r="L10088" s="10"/>
      <c r="M10088" s="10"/>
      <c r="N10088" s="10"/>
      <c r="O10088" s="10"/>
      <c r="P10088" s="10"/>
      <c r="Q10088" s="10"/>
      <c r="R10088" s="10"/>
      <c r="S10088" s="10"/>
      <c r="T10088" s="10"/>
      <c r="U10088" s="10"/>
      <c r="V10088" s="10"/>
      <c r="W10088" s="10"/>
      <c r="X10088" s="10"/>
      <c r="Y10088" s="10"/>
      <c r="Z10088" s="10"/>
    </row>
    <row r="10089" spans="1:26" ht="12.75">
      <c r="A10089" s="10"/>
      <c r="B10089" s="10"/>
      <c r="C10089" s="10"/>
      <c r="D10089" s="10"/>
      <c r="E10089" s="10"/>
      <c r="F10089" s="10"/>
      <c r="G10089" s="10"/>
      <c r="H10089" s="10"/>
      <c r="I10089" s="10"/>
      <c r="J10089" s="10"/>
      <c r="K10089" s="10"/>
      <c r="L10089" s="10"/>
      <c r="M10089" s="10"/>
      <c r="N10089" s="10"/>
      <c r="O10089" s="10"/>
      <c r="P10089" s="10"/>
      <c r="Q10089" s="10"/>
      <c r="R10089" s="10"/>
      <c r="S10089" s="10"/>
      <c r="T10089" s="10"/>
      <c r="U10089" s="10"/>
      <c r="V10089" s="10"/>
      <c r="W10089" s="10"/>
      <c r="X10089" s="10"/>
      <c r="Y10089" s="10"/>
      <c r="Z10089" s="10"/>
    </row>
    <row r="10090" spans="1:26" ht="12.75">
      <c r="A10090" s="10"/>
      <c r="B10090" s="10"/>
      <c r="C10090" s="10"/>
      <c r="D10090" s="10"/>
      <c r="E10090" s="10"/>
      <c r="F10090" s="10"/>
      <c r="G10090" s="10"/>
      <c r="H10090" s="10"/>
      <c r="I10090" s="10"/>
      <c r="J10090" s="10"/>
      <c r="K10090" s="10"/>
      <c r="L10090" s="10"/>
      <c r="M10090" s="10"/>
      <c r="N10090" s="10"/>
      <c r="O10090" s="10"/>
      <c r="P10090" s="10"/>
      <c r="Q10090" s="10"/>
      <c r="R10090" s="10"/>
      <c r="S10090" s="10"/>
      <c r="T10090" s="10"/>
      <c r="U10090" s="10"/>
      <c r="V10090" s="10"/>
      <c r="W10090" s="10"/>
      <c r="X10090" s="10"/>
      <c r="Y10090" s="10"/>
      <c r="Z10090" s="10"/>
    </row>
    <row r="10091" spans="1:26" ht="12.75">
      <c r="A10091" s="10"/>
      <c r="B10091" s="10"/>
      <c r="C10091" s="10"/>
      <c r="D10091" s="10"/>
      <c r="E10091" s="10"/>
      <c r="F10091" s="10"/>
      <c r="G10091" s="10"/>
      <c r="H10091" s="10"/>
      <c r="I10091" s="10"/>
      <c r="J10091" s="10"/>
      <c r="K10091" s="10"/>
      <c r="L10091" s="10"/>
      <c r="M10091" s="10"/>
      <c r="N10091" s="10"/>
      <c r="O10091" s="10"/>
      <c r="P10091" s="10"/>
      <c r="Q10091" s="10"/>
      <c r="R10091" s="10"/>
      <c r="S10091" s="10"/>
      <c r="T10091" s="10"/>
      <c r="U10091" s="10"/>
      <c r="V10091" s="10"/>
      <c r="W10091" s="10"/>
      <c r="X10091" s="10"/>
      <c r="Y10091" s="10"/>
      <c r="Z10091" s="10"/>
    </row>
    <row r="10092" spans="1:26" ht="12.75">
      <c r="A10092" s="10"/>
      <c r="B10092" s="10"/>
      <c r="C10092" s="10"/>
      <c r="D10092" s="10"/>
      <c r="E10092" s="10"/>
      <c r="F10092" s="10"/>
      <c r="G10092" s="10"/>
      <c r="H10092" s="10"/>
      <c r="I10092" s="10"/>
      <c r="J10092" s="10"/>
      <c r="K10092" s="10"/>
      <c r="L10092" s="10"/>
      <c r="M10092" s="10"/>
      <c r="N10092" s="10"/>
      <c r="O10092" s="10"/>
      <c r="P10092" s="10"/>
      <c r="Q10092" s="10"/>
      <c r="R10092" s="10"/>
      <c r="S10092" s="10"/>
      <c r="T10092" s="10"/>
      <c r="U10092" s="10"/>
      <c r="V10092" s="10"/>
      <c r="W10092" s="10"/>
      <c r="X10092" s="10"/>
      <c r="Y10092" s="10"/>
      <c r="Z10092" s="10"/>
    </row>
    <row r="10093" spans="1:26" ht="12.75">
      <c r="A10093" s="10"/>
      <c r="B10093" s="10"/>
      <c r="C10093" s="10"/>
      <c r="D10093" s="10"/>
      <c r="E10093" s="10"/>
      <c r="F10093" s="10"/>
      <c r="G10093" s="10"/>
      <c r="H10093" s="10"/>
      <c r="I10093" s="10"/>
      <c r="J10093" s="10"/>
      <c r="K10093" s="10"/>
      <c r="L10093" s="10"/>
      <c r="M10093" s="10"/>
      <c r="N10093" s="10"/>
      <c r="O10093" s="10"/>
      <c r="P10093" s="10"/>
      <c r="Q10093" s="10"/>
      <c r="R10093" s="10"/>
      <c r="S10093" s="10"/>
      <c r="T10093" s="10"/>
      <c r="U10093" s="10"/>
      <c r="V10093" s="10"/>
      <c r="W10093" s="10"/>
      <c r="X10093" s="10"/>
      <c r="Y10093" s="10"/>
      <c r="Z10093" s="10"/>
    </row>
    <row r="10094" spans="1:26" ht="12.75">
      <c r="A10094" s="10"/>
      <c r="B10094" s="10"/>
      <c r="C10094" s="10"/>
      <c r="D10094" s="10"/>
      <c r="E10094" s="10"/>
      <c r="F10094" s="10"/>
      <c r="G10094" s="10"/>
      <c r="H10094" s="10"/>
      <c r="I10094" s="10"/>
      <c r="J10094" s="10"/>
      <c r="K10094" s="10"/>
      <c r="L10094" s="10"/>
      <c r="M10094" s="10"/>
      <c r="N10094" s="10"/>
      <c r="O10094" s="10"/>
      <c r="P10094" s="10"/>
      <c r="Q10094" s="10"/>
      <c r="R10094" s="10"/>
      <c r="S10094" s="10"/>
      <c r="T10094" s="10"/>
      <c r="U10094" s="10"/>
      <c r="V10094" s="10"/>
      <c r="W10094" s="10"/>
      <c r="X10094" s="10"/>
      <c r="Y10094" s="10"/>
      <c r="Z10094" s="10"/>
    </row>
    <row r="10095" spans="1:26" ht="12.75">
      <c r="A10095" s="10"/>
      <c r="B10095" s="10"/>
      <c r="C10095" s="10"/>
      <c r="D10095" s="10"/>
      <c r="E10095" s="10"/>
      <c r="F10095" s="10"/>
      <c r="G10095" s="10"/>
      <c r="H10095" s="10"/>
      <c r="I10095" s="10"/>
      <c r="J10095" s="10"/>
      <c r="K10095" s="10"/>
      <c r="L10095" s="10"/>
      <c r="M10095" s="10"/>
      <c r="N10095" s="10"/>
      <c r="O10095" s="10"/>
      <c r="P10095" s="10"/>
      <c r="Q10095" s="10"/>
      <c r="R10095" s="10"/>
      <c r="S10095" s="10"/>
      <c r="T10095" s="10"/>
      <c r="U10095" s="10"/>
      <c r="V10095" s="10"/>
      <c r="W10095" s="10"/>
      <c r="X10095" s="10"/>
      <c r="Y10095" s="10"/>
      <c r="Z10095" s="10"/>
    </row>
    <row r="10096" spans="1:26" ht="12.75">
      <c r="A10096" s="10"/>
      <c r="B10096" s="10"/>
      <c r="C10096" s="10"/>
      <c r="D10096" s="10"/>
      <c r="E10096" s="10"/>
      <c r="F10096" s="10"/>
      <c r="G10096" s="10"/>
      <c r="H10096" s="10"/>
      <c r="I10096" s="10"/>
      <c r="J10096" s="10"/>
      <c r="K10096" s="10"/>
      <c r="L10096" s="10"/>
      <c r="M10096" s="10"/>
      <c r="N10096" s="10"/>
      <c r="O10096" s="10"/>
      <c r="P10096" s="10"/>
      <c r="Q10096" s="10"/>
      <c r="R10096" s="10"/>
      <c r="S10096" s="10"/>
      <c r="T10096" s="10"/>
      <c r="U10096" s="10"/>
      <c r="V10096" s="10"/>
      <c r="W10096" s="10"/>
      <c r="X10096" s="10"/>
      <c r="Y10096" s="10"/>
      <c r="Z10096" s="10"/>
    </row>
    <row r="10097" spans="1:26" ht="12.75">
      <c r="A10097" s="10"/>
      <c r="B10097" s="10"/>
      <c r="C10097" s="10"/>
      <c r="D10097" s="10"/>
      <c r="E10097" s="10"/>
      <c r="F10097" s="10"/>
      <c r="G10097" s="10"/>
      <c r="H10097" s="10"/>
      <c r="I10097" s="10"/>
      <c r="J10097" s="10"/>
      <c r="K10097" s="10"/>
      <c r="L10097" s="10"/>
      <c r="M10097" s="10"/>
      <c r="N10097" s="10"/>
      <c r="O10097" s="10"/>
      <c r="P10097" s="10"/>
      <c r="Q10097" s="10"/>
      <c r="R10097" s="10"/>
      <c r="S10097" s="10"/>
      <c r="T10097" s="10"/>
      <c r="U10097" s="10"/>
      <c r="V10097" s="10"/>
      <c r="W10097" s="10"/>
      <c r="X10097" s="10"/>
      <c r="Y10097" s="10"/>
      <c r="Z10097" s="10"/>
    </row>
    <row r="10098" spans="1:26" ht="12.75">
      <c r="A10098" s="10"/>
      <c r="B10098" s="10"/>
      <c r="C10098" s="10"/>
      <c r="D10098" s="10"/>
      <c r="E10098" s="10"/>
      <c r="F10098" s="10"/>
      <c r="G10098" s="10"/>
      <c r="H10098" s="10"/>
      <c r="I10098" s="10"/>
      <c r="J10098" s="10"/>
      <c r="K10098" s="10"/>
      <c r="L10098" s="10"/>
      <c r="M10098" s="10"/>
      <c r="N10098" s="10"/>
      <c r="O10098" s="10"/>
      <c r="P10098" s="10"/>
      <c r="Q10098" s="10"/>
      <c r="R10098" s="10"/>
      <c r="S10098" s="10"/>
      <c r="T10098" s="10"/>
      <c r="U10098" s="10"/>
      <c r="V10098" s="10"/>
      <c r="W10098" s="10"/>
      <c r="X10098" s="10"/>
      <c r="Y10098" s="10"/>
      <c r="Z10098" s="10"/>
    </row>
    <row r="10099" spans="1:26" ht="12.75">
      <c r="A10099" s="10"/>
      <c r="B10099" s="10"/>
      <c r="C10099" s="10"/>
      <c r="D10099" s="10"/>
      <c r="E10099" s="10"/>
      <c r="F10099" s="10"/>
      <c r="G10099" s="10"/>
      <c r="H10099" s="10"/>
      <c r="I10099" s="10"/>
      <c r="J10099" s="10"/>
      <c r="K10099" s="10"/>
      <c r="L10099" s="10"/>
      <c r="M10099" s="10"/>
      <c r="N10099" s="10"/>
      <c r="O10099" s="10"/>
      <c r="P10099" s="10"/>
      <c r="Q10099" s="10"/>
      <c r="R10099" s="10"/>
      <c r="S10099" s="10"/>
      <c r="T10099" s="10"/>
      <c r="U10099" s="10"/>
      <c r="V10099" s="10"/>
      <c r="W10099" s="10"/>
      <c r="X10099" s="10"/>
      <c r="Y10099" s="10"/>
      <c r="Z10099" s="10"/>
    </row>
    <row r="10100" spans="1:26" ht="12.75">
      <c r="A10100" s="10"/>
      <c r="B10100" s="10"/>
      <c r="C10100" s="10"/>
      <c r="D10100" s="10"/>
      <c r="E10100" s="10"/>
      <c r="F10100" s="10"/>
      <c r="G10100" s="10"/>
      <c r="H10100" s="10"/>
      <c r="I10100" s="10"/>
      <c r="J10100" s="10"/>
      <c r="K10100" s="10"/>
      <c r="L10100" s="10"/>
      <c r="M10100" s="10"/>
      <c r="N10100" s="10"/>
      <c r="O10100" s="10"/>
      <c r="P10100" s="10"/>
      <c r="Q10100" s="10"/>
      <c r="R10100" s="10"/>
      <c r="S10100" s="10"/>
      <c r="T10100" s="10"/>
      <c r="U10100" s="10"/>
      <c r="V10100" s="10"/>
      <c r="W10100" s="10"/>
      <c r="X10100" s="10"/>
      <c r="Y10100" s="10"/>
      <c r="Z10100" s="10"/>
    </row>
    <row r="10101" spans="1:26" ht="12.75">
      <c r="A10101" s="10"/>
      <c r="B10101" s="10"/>
      <c r="C10101" s="10"/>
      <c r="D10101" s="10"/>
      <c r="E10101" s="10"/>
      <c r="F10101" s="10"/>
      <c r="G10101" s="10"/>
      <c r="H10101" s="10"/>
      <c r="I10101" s="10"/>
      <c r="J10101" s="10"/>
      <c r="K10101" s="10"/>
      <c r="L10101" s="10"/>
      <c r="M10101" s="10"/>
      <c r="N10101" s="10"/>
      <c r="O10101" s="10"/>
      <c r="P10101" s="10"/>
      <c r="Q10101" s="10"/>
      <c r="R10101" s="10"/>
      <c r="S10101" s="10"/>
      <c r="T10101" s="10"/>
      <c r="U10101" s="10"/>
      <c r="V10101" s="10"/>
      <c r="W10101" s="10"/>
      <c r="X10101" s="10"/>
      <c r="Y10101" s="10"/>
      <c r="Z10101" s="10"/>
    </row>
    <row r="10102" spans="1:26" ht="12.75">
      <c r="A10102" s="10"/>
      <c r="B10102" s="10"/>
      <c r="C10102" s="10"/>
      <c r="D10102" s="10"/>
      <c r="E10102" s="10"/>
      <c r="F10102" s="10"/>
      <c r="G10102" s="10"/>
      <c r="H10102" s="10"/>
      <c r="I10102" s="10"/>
      <c r="J10102" s="10"/>
      <c r="K10102" s="10"/>
      <c r="L10102" s="10"/>
      <c r="M10102" s="10"/>
      <c r="N10102" s="10"/>
      <c r="O10102" s="10"/>
      <c r="P10102" s="10"/>
      <c r="Q10102" s="10"/>
      <c r="R10102" s="10"/>
      <c r="S10102" s="10"/>
      <c r="T10102" s="10"/>
      <c r="U10102" s="10"/>
      <c r="V10102" s="10"/>
      <c r="W10102" s="10"/>
      <c r="X10102" s="10"/>
      <c r="Y10102" s="10"/>
      <c r="Z10102" s="10"/>
    </row>
    <row r="10103" spans="1:26" ht="12.75">
      <c r="A10103" s="10"/>
      <c r="B10103" s="10"/>
      <c r="C10103" s="10"/>
      <c r="D10103" s="10"/>
      <c r="E10103" s="10"/>
      <c r="F10103" s="10"/>
      <c r="G10103" s="10"/>
      <c r="H10103" s="10"/>
      <c r="I10103" s="10"/>
      <c r="J10103" s="10"/>
      <c r="K10103" s="10"/>
      <c r="L10103" s="10"/>
      <c r="M10103" s="10"/>
      <c r="N10103" s="10"/>
      <c r="O10103" s="10"/>
      <c r="P10103" s="10"/>
      <c r="Q10103" s="10"/>
      <c r="R10103" s="10"/>
      <c r="S10103" s="10"/>
      <c r="T10103" s="10"/>
      <c r="U10103" s="10"/>
      <c r="V10103" s="10"/>
      <c r="W10103" s="10"/>
      <c r="X10103" s="10"/>
      <c r="Y10103" s="10"/>
      <c r="Z10103" s="10"/>
    </row>
    <row r="10104" spans="1:26" ht="12.75">
      <c r="A10104" s="10"/>
      <c r="B10104" s="10"/>
      <c r="C10104" s="10"/>
      <c r="D10104" s="10"/>
      <c r="E10104" s="10"/>
      <c r="F10104" s="10"/>
      <c r="G10104" s="10"/>
      <c r="H10104" s="10"/>
      <c r="I10104" s="10"/>
      <c r="J10104" s="10"/>
      <c r="K10104" s="10"/>
      <c r="L10104" s="10"/>
      <c r="M10104" s="10"/>
      <c r="N10104" s="10"/>
      <c r="O10104" s="10"/>
      <c r="P10104" s="10"/>
      <c r="Q10104" s="10"/>
      <c r="R10104" s="10"/>
      <c r="S10104" s="10"/>
      <c r="T10104" s="10"/>
      <c r="U10104" s="10"/>
      <c r="V10104" s="10"/>
      <c r="W10104" s="10"/>
      <c r="X10104" s="10"/>
      <c r="Y10104" s="10"/>
      <c r="Z10104" s="10"/>
    </row>
    <row r="10105" spans="1:26" ht="12.75">
      <c r="A10105" s="10"/>
      <c r="B10105" s="10"/>
      <c r="C10105" s="10"/>
      <c r="D10105" s="10"/>
      <c r="E10105" s="10"/>
      <c r="F10105" s="10"/>
      <c r="G10105" s="10"/>
      <c r="H10105" s="10"/>
      <c r="I10105" s="10"/>
      <c r="J10105" s="10"/>
      <c r="K10105" s="10"/>
      <c r="L10105" s="10"/>
      <c r="M10105" s="10"/>
      <c r="N10105" s="10"/>
      <c r="O10105" s="10"/>
      <c r="P10105" s="10"/>
      <c r="Q10105" s="10"/>
      <c r="R10105" s="10"/>
      <c r="S10105" s="10"/>
      <c r="T10105" s="10"/>
      <c r="U10105" s="10"/>
      <c r="V10105" s="10"/>
      <c r="W10105" s="10"/>
      <c r="X10105" s="10"/>
      <c r="Y10105" s="10"/>
      <c r="Z10105" s="10"/>
    </row>
    <row r="10106" spans="1:26" ht="12.75">
      <c r="A10106" s="10"/>
      <c r="B10106" s="10"/>
      <c r="C10106" s="10"/>
      <c r="D10106" s="10"/>
      <c r="E10106" s="10"/>
      <c r="F10106" s="10"/>
      <c r="G10106" s="10"/>
      <c r="H10106" s="10"/>
      <c r="I10106" s="10"/>
      <c r="J10106" s="10"/>
      <c r="K10106" s="10"/>
      <c r="L10106" s="10"/>
      <c r="M10106" s="10"/>
      <c r="N10106" s="10"/>
      <c r="O10106" s="10"/>
      <c r="P10106" s="10"/>
      <c r="Q10106" s="10"/>
      <c r="R10106" s="10"/>
      <c r="S10106" s="10"/>
      <c r="T10106" s="10"/>
      <c r="U10106" s="10"/>
      <c r="V10106" s="10"/>
      <c r="W10106" s="10"/>
      <c r="X10106" s="10"/>
      <c r="Y10106" s="10"/>
      <c r="Z10106" s="10"/>
    </row>
    <row r="10107" spans="1:26" ht="12.75">
      <c r="A10107" s="10"/>
      <c r="B10107" s="10"/>
      <c r="C10107" s="10"/>
      <c r="D10107" s="10"/>
      <c r="E10107" s="10"/>
      <c r="F10107" s="10"/>
      <c r="G10107" s="10"/>
      <c r="H10107" s="10"/>
      <c r="I10107" s="10"/>
      <c r="J10107" s="10"/>
      <c r="K10107" s="10"/>
      <c r="L10107" s="10"/>
      <c r="M10107" s="10"/>
      <c r="N10107" s="10"/>
      <c r="O10107" s="10"/>
      <c r="P10107" s="10"/>
      <c r="Q10107" s="10"/>
      <c r="R10107" s="10"/>
      <c r="S10107" s="10"/>
      <c r="T10107" s="10"/>
      <c r="U10107" s="10"/>
      <c r="V10107" s="10"/>
      <c r="W10107" s="10"/>
      <c r="X10107" s="10"/>
      <c r="Y10107" s="10"/>
      <c r="Z10107" s="10"/>
    </row>
    <row r="10108" spans="1:26" ht="12.75">
      <c r="A10108" s="10"/>
      <c r="B10108" s="10"/>
      <c r="C10108" s="10"/>
      <c r="D10108" s="10"/>
      <c r="E10108" s="10"/>
      <c r="F10108" s="10"/>
      <c r="G10108" s="10"/>
      <c r="H10108" s="10"/>
      <c r="I10108" s="10"/>
      <c r="J10108" s="10"/>
      <c r="K10108" s="10"/>
      <c r="L10108" s="10"/>
      <c r="M10108" s="10"/>
      <c r="N10108" s="10"/>
      <c r="O10108" s="10"/>
      <c r="P10108" s="10"/>
      <c r="Q10108" s="10"/>
      <c r="R10108" s="10"/>
      <c r="S10108" s="10"/>
      <c r="T10108" s="10"/>
      <c r="U10108" s="10"/>
      <c r="V10108" s="10"/>
      <c r="W10108" s="10"/>
      <c r="X10108" s="10"/>
      <c r="Y10108" s="10"/>
      <c r="Z10108" s="10"/>
    </row>
    <row r="10109" spans="1:26" ht="12.75">
      <c r="A10109" s="10"/>
      <c r="B10109" s="10"/>
      <c r="C10109" s="10"/>
      <c r="D10109" s="10"/>
      <c r="E10109" s="10"/>
      <c r="F10109" s="10"/>
      <c r="G10109" s="10"/>
      <c r="H10109" s="10"/>
      <c r="I10109" s="10"/>
      <c r="J10109" s="10"/>
      <c r="K10109" s="10"/>
      <c r="L10109" s="10"/>
      <c r="M10109" s="10"/>
      <c r="N10109" s="10"/>
      <c r="O10109" s="10"/>
      <c r="P10109" s="10"/>
      <c r="Q10109" s="10"/>
      <c r="R10109" s="10"/>
      <c r="S10109" s="10"/>
      <c r="T10109" s="10"/>
      <c r="U10109" s="10"/>
      <c r="V10109" s="10"/>
      <c r="W10109" s="10"/>
      <c r="X10109" s="10"/>
      <c r="Y10109" s="10"/>
      <c r="Z10109" s="10"/>
    </row>
    <row r="10110" spans="1:26" ht="12.75">
      <c r="A10110" s="10"/>
      <c r="B10110" s="10"/>
      <c r="C10110" s="10"/>
      <c r="D10110" s="10"/>
      <c r="E10110" s="10"/>
      <c r="F10110" s="10"/>
      <c r="G10110" s="10"/>
      <c r="H10110" s="10"/>
      <c r="I10110" s="10"/>
      <c r="J10110" s="10"/>
      <c r="K10110" s="10"/>
      <c r="L10110" s="10"/>
      <c r="M10110" s="10"/>
      <c r="N10110" s="10"/>
      <c r="O10110" s="10"/>
      <c r="P10110" s="10"/>
      <c r="Q10110" s="10"/>
      <c r="R10110" s="10"/>
      <c r="S10110" s="10"/>
      <c r="T10110" s="10"/>
      <c r="U10110" s="10"/>
      <c r="V10110" s="10"/>
      <c r="W10110" s="10"/>
      <c r="X10110" s="10"/>
      <c r="Y10110" s="10"/>
      <c r="Z10110" s="10"/>
    </row>
    <row r="10111" spans="1:26" ht="12.75">
      <c r="A10111" s="10"/>
      <c r="B10111" s="10"/>
      <c r="C10111" s="10"/>
      <c r="D10111" s="10"/>
      <c r="E10111" s="10"/>
      <c r="F10111" s="10"/>
      <c r="G10111" s="10"/>
      <c r="H10111" s="10"/>
      <c r="I10111" s="10"/>
      <c r="J10111" s="10"/>
      <c r="K10111" s="10"/>
      <c r="L10111" s="10"/>
      <c r="M10111" s="10"/>
      <c r="N10111" s="10"/>
      <c r="O10111" s="10"/>
      <c r="P10111" s="10"/>
      <c r="Q10111" s="10"/>
      <c r="R10111" s="10"/>
      <c r="S10111" s="10"/>
      <c r="T10111" s="10"/>
      <c r="U10111" s="10"/>
      <c r="V10111" s="10"/>
      <c r="W10111" s="10"/>
      <c r="X10111" s="10"/>
      <c r="Y10111" s="10"/>
      <c r="Z10111" s="10"/>
    </row>
    <row r="10112" spans="1:26" ht="12.75">
      <c r="A10112" s="10"/>
      <c r="B10112" s="10"/>
      <c r="C10112" s="10"/>
      <c r="D10112" s="10"/>
      <c r="E10112" s="10"/>
      <c r="F10112" s="10"/>
      <c r="G10112" s="10"/>
      <c r="H10112" s="10"/>
      <c r="I10112" s="10"/>
      <c r="J10112" s="10"/>
      <c r="K10112" s="10"/>
      <c r="L10112" s="10"/>
      <c r="M10112" s="10"/>
      <c r="N10112" s="10"/>
      <c r="O10112" s="10"/>
      <c r="P10112" s="10"/>
      <c r="Q10112" s="10"/>
      <c r="R10112" s="10"/>
      <c r="S10112" s="10"/>
      <c r="T10112" s="10"/>
      <c r="U10112" s="10"/>
      <c r="V10112" s="10"/>
      <c r="W10112" s="10"/>
      <c r="X10112" s="10"/>
      <c r="Y10112" s="10"/>
      <c r="Z10112" s="10"/>
    </row>
    <row r="10113" spans="1:26" ht="12.75">
      <c r="A10113" s="10"/>
      <c r="B10113" s="10"/>
      <c r="C10113" s="10"/>
      <c r="D10113" s="10"/>
      <c r="E10113" s="10"/>
      <c r="F10113" s="10"/>
      <c r="G10113" s="10"/>
      <c r="H10113" s="10"/>
      <c r="I10113" s="10"/>
      <c r="J10113" s="10"/>
      <c r="K10113" s="10"/>
      <c r="L10113" s="10"/>
      <c r="M10113" s="10"/>
      <c r="N10113" s="10"/>
      <c r="O10113" s="10"/>
      <c r="P10113" s="10"/>
      <c r="Q10113" s="10"/>
      <c r="R10113" s="10"/>
      <c r="S10113" s="10"/>
      <c r="T10113" s="10"/>
      <c r="U10113" s="10"/>
      <c r="V10113" s="10"/>
      <c r="W10113" s="10"/>
      <c r="X10113" s="10"/>
      <c r="Y10113" s="10"/>
      <c r="Z10113" s="10"/>
    </row>
    <row r="10114" spans="1:26" ht="12.75">
      <c r="A10114" s="10"/>
      <c r="B10114" s="10"/>
      <c r="C10114" s="10"/>
      <c r="D10114" s="10"/>
      <c r="E10114" s="10"/>
      <c r="F10114" s="10"/>
      <c r="G10114" s="10"/>
      <c r="H10114" s="10"/>
      <c r="I10114" s="10"/>
      <c r="J10114" s="10"/>
      <c r="K10114" s="10"/>
      <c r="L10114" s="10"/>
      <c r="M10114" s="10"/>
      <c r="N10114" s="10"/>
      <c r="O10114" s="10"/>
      <c r="P10114" s="10"/>
      <c r="Q10114" s="10"/>
      <c r="R10114" s="10"/>
      <c r="S10114" s="10"/>
      <c r="T10114" s="10"/>
      <c r="U10114" s="10"/>
      <c r="V10114" s="10"/>
      <c r="W10114" s="10"/>
      <c r="X10114" s="10"/>
      <c r="Y10114" s="10"/>
      <c r="Z10114" s="10"/>
    </row>
    <row r="10115" spans="1:26" ht="12.75">
      <c r="A10115" s="10"/>
      <c r="B10115" s="10"/>
      <c r="C10115" s="10"/>
      <c r="D10115" s="10"/>
      <c r="E10115" s="10"/>
      <c r="F10115" s="10"/>
      <c r="G10115" s="10"/>
      <c r="H10115" s="10"/>
      <c r="I10115" s="10"/>
      <c r="J10115" s="10"/>
      <c r="K10115" s="10"/>
      <c r="L10115" s="10"/>
      <c r="M10115" s="10"/>
      <c r="N10115" s="10"/>
      <c r="O10115" s="10"/>
      <c r="P10115" s="10"/>
      <c r="Q10115" s="10"/>
      <c r="R10115" s="10"/>
      <c r="S10115" s="10"/>
      <c r="T10115" s="10"/>
      <c r="U10115" s="10"/>
      <c r="V10115" s="10"/>
      <c r="W10115" s="10"/>
      <c r="X10115" s="10"/>
      <c r="Y10115" s="10"/>
      <c r="Z10115" s="10"/>
    </row>
    <row r="10116" spans="1:26" ht="12.75">
      <c r="A10116" s="10"/>
      <c r="B10116" s="10"/>
      <c r="C10116" s="10"/>
      <c r="D10116" s="10"/>
      <c r="E10116" s="10"/>
      <c r="F10116" s="10"/>
      <c r="G10116" s="10"/>
      <c r="H10116" s="10"/>
      <c r="I10116" s="10"/>
      <c r="J10116" s="10"/>
      <c r="K10116" s="10"/>
      <c r="L10116" s="10"/>
      <c r="M10116" s="10"/>
      <c r="N10116" s="10"/>
      <c r="O10116" s="10"/>
      <c r="P10116" s="10"/>
      <c r="Q10116" s="10"/>
      <c r="R10116" s="10"/>
      <c r="S10116" s="10"/>
      <c r="T10116" s="10"/>
      <c r="U10116" s="10"/>
      <c r="V10116" s="10"/>
      <c r="W10116" s="10"/>
      <c r="X10116" s="10"/>
      <c r="Y10116" s="10"/>
      <c r="Z10116" s="10"/>
    </row>
    <row r="10117" spans="1:26" ht="12.75">
      <c r="A10117" s="10"/>
      <c r="B10117" s="10"/>
      <c r="C10117" s="10"/>
      <c r="D10117" s="10"/>
      <c r="E10117" s="10"/>
      <c r="F10117" s="10"/>
      <c r="G10117" s="10"/>
      <c r="H10117" s="10"/>
      <c r="I10117" s="10"/>
      <c r="J10117" s="10"/>
      <c r="K10117" s="10"/>
      <c r="L10117" s="10"/>
      <c r="M10117" s="10"/>
      <c r="N10117" s="10"/>
      <c r="O10117" s="10"/>
      <c r="P10117" s="10"/>
      <c r="Q10117" s="10"/>
      <c r="R10117" s="10"/>
      <c r="S10117" s="10"/>
      <c r="T10117" s="10"/>
      <c r="U10117" s="10"/>
      <c r="V10117" s="10"/>
      <c r="W10117" s="10"/>
      <c r="X10117" s="10"/>
      <c r="Y10117" s="10"/>
      <c r="Z10117" s="10"/>
    </row>
    <row r="10118" spans="1:26" ht="12.75">
      <c r="A10118" s="10"/>
      <c r="B10118" s="10"/>
      <c r="C10118" s="10"/>
      <c r="D10118" s="10"/>
      <c r="E10118" s="10"/>
      <c r="F10118" s="10"/>
      <c r="G10118" s="10"/>
      <c r="H10118" s="10"/>
      <c r="I10118" s="10"/>
      <c r="J10118" s="10"/>
      <c r="K10118" s="10"/>
      <c r="L10118" s="10"/>
      <c r="M10118" s="10"/>
      <c r="N10118" s="10"/>
      <c r="O10118" s="10"/>
      <c r="P10118" s="10"/>
      <c r="Q10118" s="10"/>
      <c r="R10118" s="10"/>
      <c r="S10118" s="10"/>
      <c r="T10118" s="10"/>
      <c r="U10118" s="10"/>
      <c r="V10118" s="10"/>
      <c r="W10118" s="10"/>
      <c r="X10118" s="10"/>
      <c r="Y10118" s="10"/>
      <c r="Z10118" s="10"/>
    </row>
    <row r="10119" spans="1:26" ht="12.75">
      <c r="A10119" s="10"/>
      <c r="B10119" s="10"/>
      <c r="C10119" s="10"/>
      <c r="D10119" s="10"/>
      <c r="E10119" s="10"/>
      <c r="F10119" s="10"/>
      <c r="G10119" s="10"/>
      <c r="H10119" s="10"/>
      <c r="I10119" s="10"/>
      <c r="J10119" s="10"/>
      <c r="K10119" s="10"/>
      <c r="L10119" s="10"/>
      <c r="M10119" s="10"/>
      <c r="N10119" s="10"/>
      <c r="O10119" s="10"/>
      <c r="P10119" s="10"/>
      <c r="Q10119" s="10"/>
      <c r="R10119" s="10"/>
      <c r="S10119" s="10"/>
      <c r="T10119" s="10"/>
      <c r="U10119" s="10"/>
      <c r="V10119" s="10"/>
      <c r="W10119" s="10"/>
      <c r="X10119" s="10"/>
      <c r="Y10119" s="10"/>
      <c r="Z10119" s="10"/>
    </row>
    <row r="10120" spans="1:26" ht="12.75">
      <c r="A10120" s="10"/>
      <c r="B10120" s="10"/>
      <c r="C10120" s="10"/>
      <c r="D10120" s="10"/>
      <c r="E10120" s="10"/>
      <c r="F10120" s="10"/>
      <c r="G10120" s="10"/>
      <c r="H10120" s="10"/>
      <c r="I10120" s="10"/>
      <c r="J10120" s="10"/>
      <c r="K10120" s="10"/>
      <c r="L10120" s="10"/>
      <c r="M10120" s="10"/>
      <c r="N10120" s="10"/>
      <c r="O10120" s="10"/>
      <c r="P10120" s="10"/>
      <c r="Q10120" s="10"/>
      <c r="R10120" s="10"/>
      <c r="S10120" s="10"/>
      <c r="T10120" s="10"/>
      <c r="U10120" s="10"/>
      <c r="V10120" s="10"/>
      <c r="W10120" s="10"/>
      <c r="X10120" s="10"/>
      <c r="Y10120" s="10"/>
      <c r="Z10120" s="10"/>
    </row>
    <row r="10121" spans="1:26" ht="12.75">
      <c r="A10121" s="10"/>
      <c r="B10121" s="10"/>
      <c r="C10121" s="10"/>
      <c r="D10121" s="10"/>
      <c r="E10121" s="10"/>
      <c r="F10121" s="10"/>
      <c r="G10121" s="10"/>
      <c r="H10121" s="10"/>
      <c r="I10121" s="10"/>
      <c r="J10121" s="10"/>
      <c r="K10121" s="10"/>
      <c r="L10121" s="10"/>
      <c r="M10121" s="10"/>
      <c r="N10121" s="10"/>
      <c r="O10121" s="10"/>
      <c r="P10121" s="10"/>
      <c r="Q10121" s="10"/>
      <c r="R10121" s="10"/>
      <c r="S10121" s="10"/>
      <c r="T10121" s="10"/>
      <c r="U10121" s="10"/>
      <c r="V10121" s="10"/>
      <c r="W10121" s="10"/>
      <c r="X10121" s="10"/>
      <c r="Y10121" s="10"/>
      <c r="Z10121" s="10"/>
    </row>
    <row r="10122" spans="1:26" ht="12.75">
      <c r="A10122" s="10"/>
      <c r="B10122" s="10"/>
      <c r="C10122" s="10"/>
      <c r="D10122" s="10"/>
      <c r="E10122" s="10"/>
      <c r="F10122" s="10"/>
      <c r="G10122" s="10"/>
      <c r="H10122" s="10"/>
      <c r="I10122" s="10"/>
      <c r="J10122" s="10"/>
      <c r="K10122" s="10"/>
      <c r="L10122" s="10"/>
      <c r="M10122" s="10"/>
      <c r="N10122" s="10"/>
      <c r="O10122" s="10"/>
      <c r="P10122" s="10"/>
      <c r="Q10122" s="10"/>
      <c r="R10122" s="10"/>
      <c r="S10122" s="10"/>
      <c r="T10122" s="10"/>
      <c r="U10122" s="10"/>
      <c r="V10122" s="10"/>
      <c r="W10122" s="10"/>
      <c r="X10122" s="10"/>
      <c r="Y10122" s="10"/>
      <c r="Z10122" s="10"/>
    </row>
    <row r="10123" spans="1:26" ht="12.75">
      <c r="A10123" s="10"/>
      <c r="B10123" s="10"/>
      <c r="C10123" s="10"/>
      <c r="D10123" s="10"/>
      <c r="E10123" s="10"/>
      <c r="F10123" s="10"/>
      <c r="G10123" s="10"/>
      <c r="H10123" s="10"/>
      <c r="I10123" s="10"/>
      <c r="J10123" s="10"/>
      <c r="K10123" s="10"/>
      <c r="L10123" s="10"/>
      <c r="M10123" s="10"/>
      <c r="N10123" s="10"/>
      <c r="O10123" s="10"/>
      <c r="P10123" s="10"/>
      <c r="Q10123" s="10"/>
      <c r="R10123" s="10"/>
      <c r="S10123" s="10"/>
      <c r="T10123" s="10"/>
      <c r="U10123" s="10"/>
      <c r="V10123" s="10"/>
      <c r="W10123" s="10"/>
      <c r="X10123" s="10"/>
      <c r="Y10123" s="10"/>
      <c r="Z10123" s="10"/>
    </row>
    <row r="10124" spans="1:26" ht="12.75">
      <c r="A10124" s="10"/>
      <c r="B10124" s="10"/>
      <c r="C10124" s="10"/>
      <c r="D10124" s="10"/>
      <c r="E10124" s="10"/>
      <c r="F10124" s="10"/>
      <c r="G10124" s="10"/>
      <c r="H10124" s="10"/>
      <c r="I10124" s="10"/>
      <c r="J10124" s="10"/>
      <c r="K10124" s="10"/>
      <c r="L10124" s="10"/>
      <c r="M10124" s="10"/>
      <c r="N10124" s="10"/>
      <c r="O10124" s="10"/>
      <c r="P10124" s="10"/>
      <c r="Q10124" s="10"/>
      <c r="R10124" s="10"/>
      <c r="S10124" s="10"/>
      <c r="T10124" s="10"/>
      <c r="U10124" s="10"/>
      <c r="V10124" s="10"/>
      <c r="W10124" s="10"/>
      <c r="X10124" s="10"/>
      <c r="Y10124" s="10"/>
      <c r="Z10124" s="10"/>
    </row>
    <row r="10125" spans="1:26" ht="12.75">
      <c r="A10125" s="10"/>
      <c r="B10125" s="10"/>
      <c r="C10125" s="10"/>
      <c r="D10125" s="10"/>
      <c r="E10125" s="10"/>
      <c r="F10125" s="10"/>
      <c r="G10125" s="10"/>
      <c r="H10125" s="10"/>
      <c r="I10125" s="10"/>
      <c r="J10125" s="10"/>
      <c r="K10125" s="10"/>
      <c r="L10125" s="10"/>
      <c r="M10125" s="10"/>
      <c r="N10125" s="10"/>
      <c r="O10125" s="10"/>
      <c r="P10125" s="10"/>
      <c r="Q10125" s="10"/>
      <c r="R10125" s="10"/>
      <c r="S10125" s="10"/>
      <c r="T10125" s="10"/>
      <c r="U10125" s="10"/>
      <c r="V10125" s="10"/>
      <c r="W10125" s="10"/>
      <c r="X10125" s="10"/>
      <c r="Y10125" s="10"/>
      <c r="Z10125" s="10"/>
    </row>
    <row r="10126" spans="1:26" ht="12.75">
      <c r="A10126" s="10"/>
      <c r="B10126" s="10"/>
      <c r="C10126" s="10"/>
      <c r="D10126" s="10"/>
      <c r="E10126" s="10"/>
      <c r="F10126" s="10"/>
      <c r="G10126" s="10"/>
      <c r="H10126" s="10"/>
      <c r="I10126" s="10"/>
      <c r="J10126" s="10"/>
      <c r="K10126" s="10"/>
      <c r="L10126" s="10"/>
      <c r="M10126" s="10"/>
      <c r="N10126" s="10"/>
      <c r="O10126" s="10"/>
      <c r="P10126" s="10"/>
      <c r="Q10126" s="10"/>
      <c r="R10126" s="10"/>
      <c r="S10126" s="10"/>
      <c r="T10126" s="10"/>
      <c r="U10126" s="10"/>
      <c r="V10126" s="10"/>
      <c r="W10126" s="10"/>
      <c r="X10126" s="10"/>
      <c r="Y10126" s="10"/>
      <c r="Z10126" s="10"/>
    </row>
    <row r="10127" spans="1:26" ht="12.75">
      <c r="A10127" s="10"/>
      <c r="B10127" s="10"/>
      <c r="C10127" s="10"/>
      <c r="D10127" s="10"/>
      <c r="E10127" s="10"/>
      <c r="F10127" s="10"/>
      <c r="G10127" s="10"/>
      <c r="H10127" s="10"/>
      <c r="I10127" s="10"/>
      <c r="J10127" s="10"/>
      <c r="K10127" s="10"/>
      <c r="L10127" s="10"/>
      <c r="M10127" s="10"/>
      <c r="N10127" s="10"/>
      <c r="O10127" s="10"/>
      <c r="P10127" s="10"/>
      <c r="Q10127" s="10"/>
      <c r="R10127" s="10"/>
      <c r="S10127" s="10"/>
      <c r="T10127" s="10"/>
      <c r="U10127" s="10"/>
      <c r="V10127" s="10"/>
      <c r="W10127" s="10"/>
      <c r="X10127" s="10"/>
      <c r="Y10127" s="10"/>
      <c r="Z10127" s="10"/>
    </row>
    <row r="10128" spans="1:26" ht="12.75">
      <c r="A10128" s="10"/>
      <c r="B10128" s="10"/>
      <c r="C10128" s="10"/>
      <c r="D10128" s="10"/>
      <c r="E10128" s="10"/>
      <c r="F10128" s="10"/>
      <c r="G10128" s="10"/>
      <c r="H10128" s="10"/>
      <c r="I10128" s="10"/>
      <c r="J10128" s="10"/>
      <c r="K10128" s="10"/>
      <c r="L10128" s="10"/>
      <c r="M10128" s="10"/>
      <c r="N10128" s="10"/>
      <c r="O10128" s="10"/>
      <c r="P10128" s="10"/>
      <c r="Q10128" s="10"/>
      <c r="R10128" s="10"/>
      <c r="S10128" s="10"/>
      <c r="T10128" s="10"/>
      <c r="U10128" s="10"/>
      <c r="V10128" s="10"/>
      <c r="W10128" s="10"/>
      <c r="X10128" s="10"/>
      <c r="Y10128" s="10"/>
      <c r="Z10128" s="10"/>
    </row>
    <row r="10129" spans="1:26" ht="12.75">
      <c r="A10129" s="10"/>
      <c r="B10129" s="10"/>
      <c r="C10129" s="10"/>
      <c r="D10129" s="10"/>
      <c r="E10129" s="10"/>
      <c r="F10129" s="10"/>
      <c r="G10129" s="10"/>
      <c r="H10129" s="10"/>
      <c r="I10129" s="10"/>
      <c r="J10129" s="10"/>
      <c r="K10129" s="10"/>
      <c r="L10129" s="10"/>
      <c r="M10129" s="10"/>
      <c r="N10129" s="10"/>
      <c r="O10129" s="10"/>
      <c r="P10129" s="10"/>
      <c r="Q10129" s="10"/>
      <c r="R10129" s="10"/>
      <c r="S10129" s="10"/>
      <c r="T10129" s="10"/>
      <c r="U10129" s="10"/>
      <c r="V10129" s="10"/>
      <c r="W10129" s="10"/>
      <c r="X10129" s="10"/>
      <c r="Y10129" s="10"/>
      <c r="Z10129" s="10"/>
    </row>
    <row r="10130" spans="1:26" ht="12.75">
      <c r="A10130" s="10"/>
      <c r="B10130" s="10"/>
      <c r="C10130" s="10"/>
      <c r="D10130" s="10"/>
      <c r="E10130" s="10"/>
      <c r="F10130" s="10"/>
      <c r="G10130" s="10"/>
      <c r="H10130" s="10"/>
      <c r="I10130" s="10"/>
      <c r="J10130" s="10"/>
      <c r="K10130" s="10"/>
      <c r="L10130" s="10"/>
      <c r="M10130" s="10"/>
      <c r="N10130" s="10"/>
      <c r="O10130" s="10"/>
      <c r="P10130" s="10"/>
      <c r="Q10130" s="10"/>
      <c r="R10130" s="10"/>
      <c r="S10130" s="10"/>
      <c r="T10130" s="10"/>
      <c r="U10130" s="10"/>
      <c r="V10130" s="10"/>
      <c r="W10130" s="10"/>
      <c r="X10130" s="10"/>
      <c r="Y10130" s="10"/>
      <c r="Z10130" s="10"/>
    </row>
    <row r="10131" spans="1:26" ht="12.75">
      <c r="A10131" s="10"/>
      <c r="B10131" s="10"/>
      <c r="C10131" s="10"/>
      <c r="D10131" s="10"/>
      <c r="E10131" s="10"/>
      <c r="F10131" s="10"/>
      <c r="G10131" s="10"/>
      <c r="H10131" s="10"/>
      <c r="I10131" s="10"/>
      <c r="J10131" s="10"/>
      <c r="K10131" s="10"/>
      <c r="L10131" s="10"/>
      <c r="M10131" s="10"/>
      <c r="N10131" s="10"/>
      <c r="O10131" s="10"/>
      <c r="P10131" s="10"/>
      <c r="Q10131" s="10"/>
      <c r="R10131" s="10"/>
      <c r="S10131" s="10"/>
      <c r="T10131" s="10"/>
      <c r="U10131" s="10"/>
      <c r="V10131" s="10"/>
      <c r="W10131" s="10"/>
      <c r="X10131" s="10"/>
      <c r="Y10131" s="10"/>
      <c r="Z10131" s="10"/>
    </row>
    <row r="10132" spans="1:26" ht="12.75">
      <c r="A10132" s="10"/>
      <c r="B10132" s="10"/>
      <c r="C10132" s="10"/>
      <c r="D10132" s="10"/>
      <c r="E10132" s="10"/>
      <c r="F10132" s="10"/>
      <c r="G10132" s="10"/>
      <c r="H10132" s="10"/>
      <c r="I10132" s="10"/>
      <c r="J10132" s="10"/>
      <c r="K10132" s="10"/>
      <c r="L10132" s="10"/>
      <c r="M10132" s="10"/>
      <c r="N10132" s="10"/>
      <c r="O10132" s="10"/>
      <c r="P10132" s="10"/>
      <c r="Q10132" s="10"/>
      <c r="R10132" s="10"/>
      <c r="S10132" s="10"/>
      <c r="T10132" s="10"/>
      <c r="U10132" s="10"/>
      <c r="V10132" s="10"/>
      <c r="W10132" s="10"/>
      <c r="X10132" s="10"/>
      <c r="Y10132" s="10"/>
      <c r="Z10132" s="10"/>
    </row>
    <row r="10133" spans="1:26" ht="12.75">
      <c r="A10133" s="10"/>
      <c r="B10133" s="10"/>
      <c r="C10133" s="10"/>
      <c r="D10133" s="10"/>
      <c r="E10133" s="10"/>
      <c r="F10133" s="10"/>
      <c r="G10133" s="10"/>
      <c r="H10133" s="10"/>
      <c r="I10133" s="10"/>
      <c r="J10133" s="10"/>
      <c r="K10133" s="10"/>
      <c r="L10133" s="10"/>
      <c r="M10133" s="10"/>
      <c r="N10133" s="10"/>
      <c r="O10133" s="10"/>
      <c r="P10133" s="10"/>
      <c r="Q10133" s="10"/>
      <c r="R10133" s="10"/>
      <c r="S10133" s="10"/>
      <c r="T10133" s="10"/>
      <c r="U10133" s="10"/>
      <c r="V10133" s="10"/>
      <c r="W10133" s="10"/>
      <c r="X10133" s="10"/>
      <c r="Y10133" s="10"/>
      <c r="Z10133" s="10"/>
    </row>
    <row r="10134" spans="1:26" ht="12.75">
      <c r="A10134" s="10"/>
      <c r="B10134" s="10"/>
      <c r="C10134" s="10"/>
      <c r="D10134" s="10"/>
      <c r="E10134" s="10"/>
      <c r="F10134" s="10"/>
      <c r="G10134" s="10"/>
      <c r="H10134" s="10"/>
      <c r="I10134" s="10"/>
      <c r="J10134" s="10"/>
      <c r="K10134" s="10"/>
      <c r="L10134" s="10"/>
      <c r="M10134" s="10"/>
      <c r="N10134" s="10"/>
      <c r="O10134" s="10"/>
      <c r="P10134" s="10"/>
      <c r="Q10134" s="10"/>
      <c r="R10134" s="10"/>
      <c r="S10134" s="10"/>
      <c r="T10134" s="10"/>
      <c r="U10134" s="10"/>
      <c r="V10134" s="10"/>
      <c r="W10134" s="10"/>
      <c r="X10134" s="10"/>
      <c r="Y10134" s="10"/>
      <c r="Z10134" s="10"/>
    </row>
    <row r="10135" spans="1:26" ht="12.75">
      <c r="A10135" s="10"/>
      <c r="B10135" s="10"/>
      <c r="C10135" s="10"/>
      <c r="D10135" s="10"/>
      <c r="E10135" s="10"/>
      <c r="F10135" s="10"/>
      <c r="G10135" s="10"/>
      <c r="H10135" s="10"/>
      <c r="I10135" s="10"/>
      <c r="J10135" s="10"/>
      <c r="K10135" s="10"/>
      <c r="L10135" s="10"/>
      <c r="M10135" s="10"/>
      <c r="N10135" s="10"/>
      <c r="O10135" s="10"/>
      <c r="P10135" s="10"/>
      <c r="Q10135" s="10"/>
      <c r="R10135" s="10"/>
      <c r="S10135" s="10"/>
      <c r="T10135" s="10"/>
      <c r="U10135" s="10"/>
      <c r="V10135" s="10"/>
      <c r="W10135" s="10"/>
      <c r="X10135" s="10"/>
      <c r="Y10135" s="10"/>
      <c r="Z10135" s="10"/>
    </row>
    <row r="10136" spans="1:26" ht="12.75">
      <c r="A10136" s="10"/>
      <c r="B10136" s="10"/>
      <c r="C10136" s="10"/>
      <c r="D10136" s="10"/>
      <c r="E10136" s="10"/>
      <c r="F10136" s="10"/>
      <c r="G10136" s="10"/>
      <c r="H10136" s="10"/>
      <c r="I10136" s="10"/>
      <c r="J10136" s="10"/>
      <c r="K10136" s="10"/>
      <c r="L10136" s="10"/>
      <c r="M10136" s="10"/>
      <c r="N10136" s="10"/>
      <c r="O10136" s="10"/>
      <c r="P10136" s="10"/>
      <c r="Q10136" s="10"/>
      <c r="R10136" s="10"/>
      <c r="S10136" s="10"/>
      <c r="T10136" s="10"/>
      <c r="U10136" s="10"/>
      <c r="V10136" s="10"/>
      <c r="W10136" s="10"/>
      <c r="X10136" s="10"/>
      <c r="Y10136" s="10"/>
      <c r="Z10136" s="10"/>
    </row>
    <row r="10137" spans="1:26" ht="12.75">
      <c r="A10137" s="10"/>
      <c r="B10137" s="10"/>
      <c r="C10137" s="10"/>
      <c r="D10137" s="10"/>
      <c r="E10137" s="10"/>
      <c r="F10137" s="10"/>
      <c r="G10137" s="10"/>
      <c r="H10137" s="10"/>
      <c r="I10137" s="10"/>
      <c r="J10137" s="10"/>
      <c r="K10137" s="10"/>
      <c r="L10137" s="10"/>
      <c r="M10137" s="10"/>
      <c r="N10137" s="10"/>
      <c r="O10137" s="10"/>
      <c r="P10137" s="10"/>
      <c r="Q10137" s="10"/>
      <c r="R10137" s="10"/>
      <c r="S10137" s="10"/>
      <c r="T10137" s="10"/>
      <c r="U10137" s="10"/>
      <c r="V10137" s="10"/>
      <c r="W10137" s="10"/>
      <c r="X10137" s="10"/>
      <c r="Y10137" s="10"/>
      <c r="Z10137" s="10"/>
    </row>
    <row r="10138" spans="1:26" ht="12.75">
      <c r="A10138" s="10"/>
      <c r="B10138" s="10"/>
      <c r="C10138" s="10"/>
      <c r="D10138" s="10"/>
      <c r="E10138" s="10"/>
      <c r="F10138" s="10"/>
      <c r="G10138" s="10"/>
      <c r="H10138" s="10"/>
      <c r="I10138" s="10"/>
      <c r="J10138" s="10"/>
      <c r="K10138" s="10"/>
      <c r="L10138" s="10"/>
      <c r="M10138" s="10"/>
      <c r="N10138" s="10"/>
      <c r="O10138" s="10"/>
      <c r="P10138" s="10"/>
      <c r="Q10138" s="10"/>
      <c r="R10138" s="10"/>
      <c r="S10138" s="10"/>
      <c r="T10138" s="10"/>
      <c r="U10138" s="10"/>
      <c r="V10138" s="10"/>
      <c r="W10138" s="10"/>
      <c r="X10138" s="10"/>
      <c r="Y10138" s="10"/>
      <c r="Z10138" s="10"/>
    </row>
    <row r="10139" spans="1:26" ht="12.75">
      <c r="A10139" s="10"/>
      <c r="B10139" s="10"/>
      <c r="C10139" s="10"/>
      <c r="D10139" s="10"/>
      <c r="E10139" s="10"/>
      <c r="F10139" s="10"/>
      <c r="G10139" s="10"/>
      <c r="H10139" s="10"/>
      <c r="I10139" s="10"/>
      <c r="J10139" s="10"/>
      <c r="K10139" s="10"/>
      <c r="L10139" s="10"/>
      <c r="M10139" s="10"/>
      <c r="N10139" s="10"/>
      <c r="O10139" s="10"/>
      <c r="P10139" s="10"/>
      <c r="Q10139" s="10"/>
      <c r="R10139" s="10"/>
      <c r="S10139" s="10"/>
      <c r="T10139" s="10"/>
      <c r="U10139" s="10"/>
      <c r="V10139" s="10"/>
      <c r="W10139" s="10"/>
      <c r="X10139" s="10"/>
      <c r="Y10139" s="10"/>
      <c r="Z10139" s="10"/>
    </row>
    <row r="10140" spans="1:26" ht="12.75">
      <c r="A10140" s="10"/>
      <c r="B10140" s="10"/>
      <c r="C10140" s="10"/>
      <c r="D10140" s="10"/>
      <c r="E10140" s="10"/>
      <c r="F10140" s="10"/>
      <c r="G10140" s="10"/>
      <c r="H10140" s="10"/>
      <c r="I10140" s="10"/>
      <c r="J10140" s="10"/>
      <c r="K10140" s="10"/>
      <c r="L10140" s="10"/>
      <c r="M10140" s="10"/>
      <c r="N10140" s="10"/>
      <c r="O10140" s="10"/>
      <c r="P10140" s="10"/>
      <c r="Q10140" s="10"/>
      <c r="R10140" s="10"/>
      <c r="S10140" s="10"/>
      <c r="T10140" s="10"/>
      <c r="U10140" s="10"/>
      <c r="V10140" s="10"/>
      <c r="W10140" s="10"/>
      <c r="X10140" s="10"/>
      <c r="Y10140" s="10"/>
      <c r="Z10140" s="10"/>
    </row>
    <row r="10141" spans="1:26" ht="12.75">
      <c r="A10141" s="10"/>
      <c r="B10141" s="10"/>
      <c r="C10141" s="10"/>
      <c r="D10141" s="10"/>
      <c r="E10141" s="10"/>
      <c r="F10141" s="10"/>
      <c r="G10141" s="10"/>
      <c r="H10141" s="10"/>
      <c r="I10141" s="10"/>
      <c r="J10141" s="10"/>
      <c r="K10141" s="10"/>
      <c r="L10141" s="10"/>
      <c r="M10141" s="10"/>
      <c r="N10141" s="10"/>
      <c r="O10141" s="10"/>
      <c r="P10141" s="10"/>
      <c r="Q10141" s="10"/>
      <c r="R10141" s="10"/>
      <c r="S10141" s="10"/>
      <c r="T10141" s="10"/>
      <c r="U10141" s="10"/>
      <c r="V10141" s="10"/>
      <c r="W10141" s="10"/>
      <c r="X10141" s="10"/>
      <c r="Y10141" s="10"/>
      <c r="Z10141" s="10"/>
    </row>
    <row r="10142" spans="1:26" ht="12.75">
      <c r="A10142" s="10"/>
      <c r="B10142" s="10"/>
      <c r="C10142" s="10"/>
      <c r="D10142" s="10"/>
      <c r="E10142" s="10"/>
      <c r="F10142" s="10"/>
      <c r="G10142" s="10"/>
      <c r="H10142" s="10"/>
      <c r="I10142" s="10"/>
      <c r="J10142" s="10"/>
      <c r="K10142" s="10"/>
      <c r="L10142" s="10"/>
      <c r="M10142" s="10"/>
      <c r="N10142" s="10"/>
      <c r="O10142" s="10"/>
      <c r="P10142" s="10"/>
      <c r="Q10142" s="10"/>
      <c r="R10142" s="10"/>
      <c r="S10142" s="10"/>
      <c r="T10142" s="10"/>
      <c r="U10142" s="10"/>
      <c r="V10142" s="10"/>
      <c r="W10142" s="10"/>
      <c r="X10142" s="10"/>
      <c r="Y10142" s="10"/>
      <c r="Z10142" s="10"/>
    </row>
    <row r="10143" spans="1:26" ht="12.75">
      <c r="A10143" s="10"/>
      <c r="B10143" s="10"/>
      <c r="C10143" s="10"/>
      <c r="D10143" s="10"/>
      <c r="E10143" s="10"/>
      <c r="F10143" s="10"/>
      <c r="G10143" s="10"/>
      <c r="H10143" s="10"/>
      <c r="I10143" s="10"/>
      <c r="J10143" s="10"/>
      <c r="K10143" s="10"/>
      <c r="L10143" s="10"/>
      <c r="M10143" s="10"/>
      <c r="N10143" s="10"/>
      <c r="O10143" s="10"/>
      <c r="P10143" s="10"/>
      <c r="Q10143" s="10"/>
      <c r="R10143" s="10"/>
      <c r="S10143" s="10"/>
      <c r="T10143" s="10"/>
      <c r="U10143" s="10"/>
      <c r="V10143" s="10"/>
      <c r="W10143" s="10"/>
      <c r="X10143" s="10"/>
      <c r="Y10143" s="10"/>
      <c r="Z10143" s="10"/>
    </row>
    <row r="10144" spans="1:26" ht="12.75">
      <c r="A10144" s="10"/>
      <c r="B10144" s="10"/>
      <c r="C10144" s="10"/>
      <c r="D10144" s="10"/>
      <c r="E10144" s="10"/>
      <c r="F10144" s="10"/>
      <c r="G10144" s="10"/>
      <c r="H10144" s="10"/>
      <c r="I10144" s="10"/>
      <c r="J10144" s="10"/>
      <c r="K10144" s="10"/>
      <c r="L10144" s="10"/>
      <c r="M10144" s="10"/>
      <c r="N10144" s="10"/>
      <c r="O10144" s="10"/>
      <c r="P10144" s="10"/>
      <c r="Q10144" s="10"/>
      <c r="R10144" s="10"/>
      <c r="S10144" s="10"/>
      <c r="T10144" s="10"/>
      <c r="U10144" s="10"/>
      <c r="V10144" s="10"/>
      <c r="W10144" s="10"/>
      <c r="X10144" s="10"/>
      <c r="Y10144" s="10"/>
      <c r="Z10144" s="10"/>
    </row>
    <row r="10145" spans="1:26" ht="12.75">
      <c r="A10145" s="10"/>
      <c r="B10145" s="10"/>
      <c r="C10145" s="10"/>
      <c r="D10145" s="10"/>
      <c r="E10145" s="10"/>
      <c r="F10145" s="10"/>
      <c r="G10145" s="10"/>
      <c r="H10145" s="10"/>
      <c r="I10145" s="10"/>
      <c r="J10145" s="10"/>
      <c r="K10145" s="10"/>
      <c r="L10145" s="10"/>
      <c r="M10145" s="10"/>
      <c r="N10145" s="10"/>
      <c r="O10145" s="10"/>
      <c r="P10145" s="10"/>
      <c r="Q10145" s="10"/>
      <c r="R10145" s="10"/>
      <c r="S10145" s="10"/>
      <c r="T10145" s="10"/>
      <c r="U10145" s="10"/>
      <c r="V10145" s="10"/>
      <c r="W10145" s="10"/>
      <c r="X10145" s="10"/>
      <c r="Y10145" s="10"/>
      <c r="Z10145" s="10"/>
    </row>
    <row r="10146" spans="1:26" ht="12.75">
      <c r="A10146" s="10"/>
      <c r="B10146" s="10"/>
      <c r="C10146" s="10"/>
      <c r="D10146" s="10"/>
      <c r="E10146" s="10"/>
      <c r="F10146" s="10"/>
      <c r="G10146" s="10"/>
      <c r="H10146" s="10"/>
      <c r="I10146" s="10"/>
      <c r="J10146" s="10"/>
      <c r="K10146" s="10"/>
      <c r="L10146" s="10"/>
      <c r="M10146" s="10"/>
      <c r="N10146" s="10"/>
      <c r="O10146" s="10"/>
      <c r="P10146" s="10"/>
      <c r="Q10146" s="10"/>
      <c r="R10146" s="10"/>
      <c r="S10146" s="10"/>
      <c r="T10146" s="10"/>
      <c r="U10146" s="10"/>
      <c r="V10146" s="10"/>
      <c r="W10146" s="10"/>
      <c r="X10146" s="10"/>
      <c r="Y10146" s="10"/>
      <c r="Z10146" s="10"/>
    </row>
    <row r="10147" spans="1:26" ht="12.75">
      <c r="A10147" s="10"/>
      <c r="B10147" s="10"/>
      <c r="C10147" s="10"/>
      <c r="D10147" s="10"/>
      <c r="E10147" s="10"/>
      <c r="F10147" s="10"/>
      <c r="G10147" s="10"/>
      <c r="H10147" s="10"/>
      <c r="I10147" s="10"/>
      <c r="J10147" s="10"/>
      <c r="K10147" s="10"/>
      <c r="L10147" s="10"/>
      <c r="M10147" s="10"/>
      <c r="N10147" s="10"/>
      <c r="O10147" s="10"/>
      <c r="P10147" s="10"/>
      <c r="Q10147" s="10"/>
      <c r="R10147" s="10"/>
      <c r="S10147" s="10"/>
      <c r="T10147" s="10"/>
      <c r="U10147" s="10"/>
      <c r="V10147" s="10"/>
      <c r="W10147" s="10"/>
      <c r="X10147" s="10"/>
      <c r="Y10147" s="10"/>
      <c r="Z10147" s="10"/>
    </row>
    <row r="10148" spans="1:26" ht="12.75">
      <c r="A10148" s="10"/>
      <c r="B10148" s="10"/>
      <c r="C10148" s="10"/>
      <c r="D10148" s="10"/>
      <c r="E10148" s="10"/>
      <c r="F10148" s="10"/>
      <c r="G10148" s="10"/>
      <c r="H10148" s="10"/>
      <c r="I10148" s="10"/>
      <c r="J10148" s="10"/>
      <c r="K10148" s="10"/>
      <c r="L10148" s="10"/>
      <c r="M10148" s="10"/>
      <c r="N10148" s="10"/>
      <c r="O10148" s="10"/>
      <c r="P10148" s="10"/>
      <c r="Q10148" s="10"/>
      <c r="R10148" s="10"/>
      <c r="S10148" s="10"/>
      <c r="T10148" s="10"/>
      <c r="U10148" s="10"/>
      <c r="V10148" s="10"/>
      <c r="W10148" s="10"/>
      <c r="X10148" s="10"/>
      <c r="Y10148" s="10"/>
      <c r="Z10148" s="10"/>
    </row>
    <row r="10149" spans="1:26" ht="12.75">
      <c r="A10149" s="10"/>
      <c r="B10149" s="10"/>
      <c r="C10149" s="10"/>
      <c r="D10149" s="10"/>
      <c r="E10149" s="10"/>
      <c r="F10149" s="10"/>
      <c r="G10149" s="10"/>
      <c r="H10149" s="10"/>
      <c r="I10149" s="10"/>
      <c r="J10149" s="10"/>
      <c r="K10149" s="10"/>
      <c r="L10149" s="10"/>
      <c r="M10149" s="10"/>
      <c r="N10149" s="10"/>
      <c r="O10149" s="10"/>
      <c r="P10149" s="10"/>
      <c r="Q10149" s="10"/>
      <c r="R10149" s="10"/>
      <c r="S10149" s="10"/>
      <c r="T10149" s="10"/>
      <c r="U10149" s="10"/>
      <c r="V10149" s="10"/>
      <c r="W10149" s="10"/>
      <c r="X10149" s="10"/>
      <c r="Y10149" s="10"/>
      <c r="Z10149" s="10"/>
    </row>
    <row r="10150" spans="1:26" ht="12.75">
      <c r="A10150" s="10"/>
      <c r="B10150" s="10"/>
      <c r="C10150" s="10"/>
      <c r="D10150" s="10"/>
      <c r="E10150" s="10"/>
      <c r="F10150" s="10"/>
      <c r="G10150" s="10"/>
      <c r="H10150" s="10"/>
      <c r="I10150" s="10"/>
      <c r="J10150" s="10"/>
      <c r="K10150" s="10"/>
      <c r="L10150" s="10"/>
      <c r="M10150" s="10"/>
      <c r="N10150" s="10"/>
      <c r="O10150" s="10"/>
      <c r="P10150" s="10"/>
      <c r="Q10150" s="10"/>
      <c r="R10150" s="10"/>
      <c r="S10150" s="10"/>
      <c r="T10150" s="10"/>
      <c r="U10150" s="10"/>
      <c r="V10150" s="10"/>
      <c r="W10150" s="10"/>
      <c r="X10150" s="10"/>
      <c r="Y10150" s="10"/>
      <c r="Z10150" s="10"/>
    </row>
    <row r="10151" spans="1:26" ht="12.75">
      <c r="A10151" s="10"/>
      <c r="B10151" s="10"/>
      <c r="C10151" s="10"/>
      <c r="D10151" s="10"/>
      <c r="E10151" s="10"/>
      <c r="F10151" s="10"/>
      <c r="G10151" s="10"/>
      <c r="H10151" s="10"/>
      <c r="I10151" s="10"/>
      <c r="J10151" s="10"/>
      <c r="K10151" s="10"/>
      <c r="L10151" s="10"/>
      <c r="M10151" s="10"/>
      <c r="N10151" s="10"/>
      <c r="O10151" s="10"/>
      <c r="P10151" s="10"/>
      <c r="Q10151" s="10"/>
      <c r="R10151" s="10"/>
      <c r="S10151" s="10"/>
      <c r="T10151" s="10"/>
      <c r="U10151" s="10"/>
      <c r="V10151" s="10"/>
      <c r="W10151" s="10"/>
      <c r="X10151" s="10"/>
      <c r="Y10151" s="10"/>
      <c r="Z10151" s="10"/>
    </row>
    <row r="10152" spans="1:26" ht="12.75">
      <c r="A10152" s="10"/>
      <c r="B10152" s="10"/>
      <c r="C10152" s="10"/>
      <c r="D10152" s="10"/>
      <c r="E10152" s="10"/>
      <c r="F10152" s="10"/>
      <c r="G10152" s="10"/>
      <c r="H10152" s="10"/>
      <c r="I10152" s="10"/>
      <c r="J10152" s="10"/>
      <c r="K10152" s="10"/>
      <c r="L10152" s="10"/>
      <c r="M10152" s="10"/>
      <c r="N10152" s="10"/>
      <c r="O10152" s="10"/>
      <c r="P10152" s="10"/>
      <c r="Q10152" s="10"/>
      <c r="R10152" s="10"/>
      <c r="S10152" s="10"/>
      <c r="T10152" s="10"/>
      <c r="U10152" s="10"/>
      <c r="V10152" s="10"/>
      <c r="W10152" s="10"/>
      <c r="X10152" s="10"/>
      <c r="Y10152" s="10"/>
      <c r="Z10152" s="10"/>
    </row>
    <row r="10153" spans="1:26" ht="12.75">
      <c r="A10153" s="10"/>
      <c r="B10153" s="10"/>
      <c r="C10153" s="10"/>
      <c r="D10153" s="10"/>
      <c r="E10153" s="10"/>
      <c r="F10153" s="10"/>
      <c r="G10153" s="10"/>
      <c r="H10153" s="10"/>
      <c r="I10153" s="10"/>
      <c r="J10153" s="10"/>
      <c r="K10153" s="10"/>
      <c r="L10153" s="10"/>
      <c r="M10153" s="10"/>
      <c r="N10153" s="10"/>
      <c r="O10153" s="10"/>
      <c r="P10153" s="10"/>
      <c r="Q10153" s="10"/>
      <c r="R10153" s="10"/>
      <c r="S10153" s="10"/>
      <c r="T10153" s="10"/>
      <c r="U10153" s="10"/>
      <c r="V10153" s="10"/>
      <c r="W10153" s="10"/>
      <c r="X10153" s="10"/>
      <c r="Y10153" s="10"/>
      <c r="Z10153" s="10"/>
    </row>
    <row r="10154" spans="1:26" ht="12.75">
      <c r="A10154" s="10"/>
      <c r="B10154" s="10"/>
      <c r="C10154" s="10"/>
      <c r="D10154" s="10"/>
      <c r="E10154" s="10"/>
      <c r="F10154" s="10"/>
      <c r="G10154" s="10"/>
      <c r="H10154" s="10"/>
      <c r="I10154" s="10"/>
      <c r="J10154" s="10"/>
      <c r="K10154" s="10"/>
      <c r="L10154" s="10"/>
      <c r="M10154" s="10"/>
      <c r="N10154" s="10"/>
      <c r="O10154" s="10"/>
      <c r="P10154" s="10"/>
      <c r="Q10154" s="10"/>
      <c r="R10154" s="10"/>
      <c r="S10154" s="10"/>
      <c r="T10154" s="10"/>
      <c r="U10154" s="10"/>
      <c r="V10154" s="10"/>
      <c r="W10154" s="10"/>
      <c r="X10154" s="10"/>
      <c r="Y10154" s="10"/>
      <c r="Z10154" s="10"/>
    </row>
    <row r="10155" spans="1:26" ht="12.75">
      <c r="A10155" s="10"/>
      <c r="B10155" s="10"/>
      <c r="C10155" s="10"/>
      <c r="D10155" s="10"/>
      <c r="E10155" s="10"/>
      <c r="F10155" s="10"/>
      <c r="G10155" s="10"/>
      <c r="H10155" s="10"/>
      <c r="I10155" s="10"/>
      <c r="J10155" s="10"/>
      <c r="K10155" s="10"/>
      <c r="L10155" s="10"/>
      <c r="M10155" s="10"/>
      <c r="N10155" s="10"/>
      <c r="O10155" s="10"/>
      <c r="P10155" s="10"/>
      <c r="Q10155" s="10"/>
      <c r="R10155" s="10"/>
      <c r="S10155" s="10"/>
      <c r="T10155" s="10"/>
      <c r="U10155" s="10"/>
      <c r="V10155" s="10"/>
      <c r="W10155" s="10"/>
      <c r="X10155" s="10"/>
      <c r="Y10155" s="10"/>
      <c r="Z10155" s="10"/>
    </row>
    <row r="10156" spans="1:26" ht="12.75">
      <c r="A10156" s="10"/>
      <c r="B10156" s="10"/>
      <c r="C10156" s="10"/>
      <c r="D10156" s="10"/>
      <c r="E10156" s="10"/>
      <c r="F10156" s="10"/>
      <c r="G10156" s="10"/>
      <c r="H10156" s="10"/>
      <c r="I10156" s="10"/>
      <c r="J10156" s="10"/>
      <c r="K10156" s="10"/>
      <c r="L10156" s="10"/>
      <c r="M10156" s="10"/>
      <c r="N10156" s="10"/>
      <c r="O10156" s="10"/>
      <c r="P10156" s="10"/>
      <c r="Q10156" s="10"/>
      <c r="R10156" s="10"/>
      <c r="S10156" s="10"/>
      <c r="T10156" s="10"/>
      <c r="U10156" s="10"/>
      <c r="V10156" s="10"/>
      <c r="W10156" s="10"/>
      <c r="X10156" s="10"/>
      <c r="Y10156" s="10"/>
      <c r="Z10156" s="10"/>
    </row>
    <row r="10157" spans="1:26" ht="12.75">
      <c r="A10157" s="10"/>
      <c r="B10157" s="10"/>
      <c r="C10157" s="10"/>
      <c r="D10157" s="10"/>
      <c r="E10157" s="10"/>
      <c r="F10157" s="10"/>
      <c r="G10157" s="10"/>
      <c r="H10157" s="10"/>
      <c r="I10157" s="10"/>
      <c r="J10157" s="10"/>
      <c r="K10157" s="10"/>
      <c r="L10157" s="10"/>
      <c r="M10157" s="10"/>
      <c r="N10157" s="10"/>
      <c r="O10157" s="10"/>
      <c r="P10157" s="10"/>
      <c r="Q10157" s="10"/>
      <c r="R10157" s="10"/>
      <c r="S10157" s="10"/>
      <c r="T10157" s="10"/>
      <c r="U10157" s="10"/>
      <c r="V10157" s="10"/>
      <c r="W10157" s="10"/>
      <c r="X10157" s="10"/>
      <c r="Y10157" s="10"/>
      <c r="Z10157" s="10"/>
    </row>
    <row r="10158" spans="1:26" ht="12.75">
      <c r="A10158" s="10"/>
      <c r="B10158" s="10"/>
      <c r="C10158" s="10"/>
      <c r="D10158" s="10"/>
      <c r="E10158" s="10"/>
      <c r="F10158" s="10"/>
      <c r="G10158" s="10"/>
      <c r="H10158" s="10"/>
      <c r="I10158" s="10"/>
      <c r="J10158" s="10"/>
      <c r="K10158" s="10"/>
      <c r="L10158" s="10"/>
      <c r="M10158" s="10"/>
      <c r="N10158" s="10"/>
      <c r="O10158" s="10"/>
      <c r="P10158" s="10"/>
      <c r="Q10158" s="10"/>
      <c r="R10158" s="10"/>
      <c r="S10158" s="10"/>
      <c r="T10158" s="10"/>
      <c r="U10158" s="10"/>
      <c r="V10158" s="10"/>
      <c r="W10158" s="10"/>
      <c r="X10158" s="10"/>
      <c r="Y10158" s="10"/>
      <c r="Z10158" s="10"/>
    </row>
    <row r="10159" spans="1:26" ht="12.75">
      <c r="A10159" s="10"/>
      <c r="B10159" s="10"/>
      <c r="C10159" s="10"/>
      <c r="D10159" s="10"/>
      <c r="E10159" s="10"/>
      <c r="F10159" s="10"/>
      <c r="G10159" s="10"/>
      <c r="H10159" s="10"/>
      <c r="I10159" s="10"/>
      <c r="J10159" s="10"/>
      <c r="K10159" s="10"/>
      <c r="L10159" s="10"/>
      <c r="M10159" s="10"/>
      <c r="N10159" s="10"/>
      <c r="O10159" s="10"/>
      <c r="P10159" s="10"/>
      <c r="Q10159" s="10"/>
      <c r="R10159" s="10"/>
      <c r="S10159" s="10"/>
      <c r="T10159" s="10"/>
      <c r="U10159" s="10"/>
      <c r="V10159" s="10"/>
      <c r="W10159" s="10"/>
      <c r="X10159" s="10"/>
      <c r="Y10159" s="10"/>
      <c r="Z10159" s="10"/>
    </row>
    <row r="10160" spans="1:26" ht="12.75">
      <c r="A10160" s="10"/>
      <c r="B10160" s="10"/>
      <c r="C10160" s="10"/>
      <c r="D10160" s="10"/>
      <c r="E10160" s="10"/>
      <c r="F10160" s="10"/>
      <c r="G10160" s="10"/>
      <c r="H10160" s="10"/>
      <c r="I10160" s="10"/>
      <c r="J10160" s="10"/>
      <c r="K10160" s="10"/>
      <c r="L10160" s="10"/>
      <c r="M10160" s="10"/>
      <c r="N10160" s="10"/>
      <c r="O10160" s="10"/>
      <c r="P10160" s="10"/>
      <c r="Q10160" s="10"/>
      <c r="R10160" s="10"/>
      <c r="S10160" s="10"/>
      <c r="T10160" s="10"/>
      <c r="U10160" s="10"/>
      <c r="V10160" s="10"/>
      <c r="W10160" s="10"/>
      <c r="X10160" s="10"/>
      <c r="Y10160" s="10"/>
      <c r="Z10160" s="10"/>
    </row>
    <row r="10161" spans="1:26" ht="12.75">
      <c r="A10161" s="10"/>
      <c r="B10161" s="10"/>
      <c r="C10161" s="10"/>
      <c r="D10161" s="10"/>
      <c r="E10161" s="10"/>
      <c r="F10161" s="10"/>
      <c r="G10161" s="10"/>
      <c r="H10161" s="10"/>
      <c r="I10161" s="10"/>
      <c r="J10161" s="10"/>
      <c r="K10161" s="10"/>
      <c r="L10161" s="10"/>
      <c r="M10161" s="10"/>
      <c r="N10161" s="10"/>
      <c r="O10161" s="10"/>
      <c r="P10161" s="10"/>
      <c r="Q10161" s="10"/>
      <c r="R10161" s="10"/>
      <c r="S10161" s="10"/>
      <c r="T10161" s="10"/>
      <c r="U10161" s="10"/>
      <c r="V10161" s="10"/>
      <c r="W10161" s="10"/>
      <c r="X10161" s="10"/>
      <c r="Y10161" s="10"/>
      <c r="Z10161" s="10"/>
    </row>
    <row r="10162" spans="1:26" ht="12.75">
      <c r="A10162" s="10"/>
      <c r="B10162" s="10"/>
      <c r="C10162" s="10"/>
      <c r="D10162" s="10"/>
      <c r="E10162" s="10"/>
      <c r="F10162" s="10"/>
      <c r="G10162" s="10"/>
      <c r="H10162" s="10"/>
      <c r="I10162" s="10"/>
      <c r="J10162" s="10"/>
      <c r="K10162" s="10"/>
      <c r="L10162" s="10"/>
      <c r="M10162" s="10"/>
      <c r="N10162" s="10"/>
      <c r="O10162" s="10"/>
      <c r="P10162" s="10"/>
      <c r="Q10162" s="10"/>
      <c r="R10162" s="10"/>
      <c r="S10162" s="10"/>
      <c r="T10162" s="10"/>
      <c r="U10162" s="10"/>
      <c r="V10162" s="10"/>
      <c r="W10162" s="10"/>
      <c r="X10162" s="10"/>
      <c r="Y10162" s="10"/>
      <c r="Z10162" s="10"/>
    </row>
    <row r="10163" spans="1:26" ht="12.75">
      <c r="A10163" s="10"/>
      <c r="B10163" s="10"/>
      <c r="C10163" s="10"/>
      <c r="D10163" s="10"/>
      <c r="E10163" s="10"/>
      <c r="F10163" s="10"/>
      <c r="G10163" s="10"/>
      <c r="H10163" s="10"/>
      <c r="I10163" s="10"/>
      <c r="J10163" s="10"/>
      <c r="K10163" s="10"/>
      <c r="L10163" s="10"/>
      <c r="M10163" s="10"/>
      <c r="N10163" s="10"/>
      <c r="O10163" s="10"/>
      <c r="P10163" s="10"/>
      <c r="Q10163" s="10"/>
      <c r="R10163" s="10"/>
      <c r="S10163" s="10"/>
      <c r="T10163" s="10"/>
      <c r="U10163" s="10"/>
      <c r="V10163" s="10"/>
      <c r="W10163" s="10"/>
      <c r="X10163" s="10"/>
      <c r="Y10163" s="10"/>
      <c r="Z10163" s="10"/>
    </row>
    <row r="10164" spans="1:26" ht="12.75">
      <c r="A10164" s="10"/>
      <c r="B10164" s="10"/>
      <c r="C10164" s="10"/>
      <c r="D10164" s="10"/>
      <c r="E10164" s="10"/>
      <c r="F10164" s="10"/>
      <c r="G10164" s="10"/>
      <c r="H10164" s="10"/>
      <c r="I10164" s="10"/>
      <c r="J10164" s="10"/>
      <c r="K10164" s="10"/>
      <c r="L10164" s="10"/>
      <c r="M10164" s="10"/>
      <c r="N10164" s="10"/>
      <c r="O10164" s="10"/>
      <c r="P10164" s="10"/>
      <c r="Q10164" s="10"/>
      <c r="R10164" s="10"/>
      <c r="S10164" s="10"/>
      <c r="T10164" s="10"/>
      <c r="U10164" s="10"/>
      <c r="V10164" s="10"/>
      <c r="W10164" s="10"/>
      <c r="X10164" s="10"/>
      <c r="Y10164" s="10"/>
      <c r="Z10164" s="10"/>
    </row>
    <row r="10165" spans="1:26" ht="12.75">
      <c r="A10165" s="10"/>
      <c r="B10165" s="10"/>
      <c r="C10165" s="10"/>
      <c r="D10165" s="10"/>
      <c r="E10165" s="10"/>
      <c r="F10165" s="10"/>
      <c r="G10165" s="10"/>
      <c r="H10165" s="10"/>
      <c r="I10165" s="10"/>
      <c r="J10165" s="10"/>
      <c r="K10165" s="10"/>
      <c r="L10165" s="10"/>
      <c r="M10165" s="10"/>
      <c r="N10165" s="10"/>
      <c r="O10165" s="10"/>
      <c r="P10165" s="10"/>
      <c r="Q10165" s="10"/>
      <c r="R10165" s="10"/>
      <c r="S10165" s="10"/>
      <c r="T10165" s="10"/>
      <c r="U10165" s="10"/>
      <c r="V10165" s="10"/>
      <c r="W10165" s="10"/>
      <c r="X10165" s="10"/>
      <c r="Y10165" s="10"/>
      <c r="Z10165" s="10"/>
    </row>
    <row r="10166" spans="1:26" ht="12.75">
      <c r="A10166" s="10"/>
      <c r="B10166" s="10"/>
      <c r="C10166" s="10"/>
      <c r="D10166" s="10"/>
      <c r="E10166" s="10"/>
      <c r="F10166" s="10"/>
      <c r="G10166" s="10"/>
      <c r="H10166" s="10"/>
      <c r="I10166" s="10"/>
      <c r="J10166" s="10"/>
      <c r="K10166" s="10"/>
      <c r="L10166" s="10"/>
      <c r="M10166" s="10"/>
      <c r="N10166" s="10"/>
      <c r="O10166" s="10"/>
      <c r="P10166" s="10"/>
      <c r="Q10166" s="10"/>
      <c r="R10166" s="10"/>
      <c r="S10166" s="10"/>
      <c r="T10166" s="10"/>
      <c r="U10166" s="10"/>
      <c r="V10166" s="10"/>
      <c r="W10166" s="10"/>
      <c r="X10166" s="10"/>
      <c r="Y10166" s="10"/>
      <c r="Z10166" s="10"/>
    </row>
    <row r="10167" spans="1:26" ht="12.75">
      <c r="A10167" s="10"/>
      <c r="B10167" s="10"/>
      <c r="C10167" s="10"/>
      <c r="D10167" s="10"/>
      <c r="E10167" s="10"/>
      <c r="F10167" s="10"/>
      <c r="G10167" s="10"/>
      <c r="H10167" s="10"/>
      <c r="I10167" s="10"/>
      <c r="J10167" s="10"/>
      <c r="K10167" s="10"/>
      <c r="L10167" s="10"/>
      <c r="M10167" s="10"/>
      <c r="N10167" s="10"/>
      <c r="O10167" s="10"/>
      <c r="P10167" s="10"/>
      <c r="Q10167" s="10"/>
      <c r="R10167" s="10"/>
      <c r="S10167" s="10"/>
      <c r="T10167" s="10"/>
      <c r="U10167" s="10"/>
      <c r="V10167" s="10"/>
      <c r="W10167" s="10"/>
      <c r="X10167" s="10"/>
      <c r="Y10167" s="10"/>
      <c r="Z10167" s="10"/>
    </row>
    <row r="10168" spans="1:26" ht="12.75">
      <c r="A10168" s="10"/>
      <c r="B10168" s="10"/>
      <c r="C10168" s="10"/>
      <c r="D10168" s="10"/>
      <c r="E10168" s="10"/>
      <c r="F10168" s="10"/>
      <c r="G10168" s="10"/>
      <c r="H10168" s="10"/>
      <c r="I10168" s="10"/>
      <c r="J10168" s="10"/>
      <c r="K10168" s="10"/>
      <c r="L10168" s="10"/>
      <c r="M10168" s="10"/>
      <c r="N10168" s="10"/>
      <c r="O10168" s="10"/>
      <c r="P10168" s="10"/>
      <c r="Q10168" s="10"/>
      <c r="R10168" s="10"/>
      <c r="S10168" s="10"/>
      <c r="T10168" s="10"/>
      <c r="U10168" s="10"/>
      <c r="V10168" s="10"/>
      <c r="W10168" s="10"/>
      <c r="X10168" s="10"/>
      <c r="Y10168" s="10"/>
      <c r="Z10168" s="10"/>
    </row>
    <row r="10169" spans="1:26" ht="12.75">
      <c r="A10169" s="10"/>
      <c r="B10169" s="10"/>
      <c r="C10169" s="10"/>
      <c r="D10169" s="10"/>
      <c r="E10169" s="10"/>
      <c r="F10169" s="10"/>
      <c r="G10169" s="10"/>
      <c r="H10169" s="10"/>
      <c r="I10169" s="10"/>
      <c r="J10169" s="10"/>
      <c r="K10169" s="10"/>
      <c r="L10169" s="10"/>
      <c r="M10169" s="10"/>
      <c r="N10169" s="10"/>
      <c r="O10169" s="10"/>
      <c r="P10169" s="10"/>
      <c r="Q10169" s="10"/>
      <c r="R10169" s="10"/>
      <c r="S10169" s="10"/>
      <c r="T10169" s="10"/>
      <c r="U10169" s="10"/>
      <c r="V10169" s="10"/>
      <c r="W10169" s="10"/>
      <c r="X10169" s="10"/>
      <c r="Y10169" s="10"/>
      <c r="Z10169" s="10"/>
    </row>
    <row r="10170" spans="1:26" ht="12.75">
      <c r="A10170" s="10"/>
      <c r="B10170" s="10"/>
      <c r="C10170" s="10"/>
      <c r="D10170" s="10"/>
      <c r="E10170" s="10"/>
      <c r="F10170" s="10"/>
      <c r="G10170" s="10"/>
      <c r="H10170" s="10"/>
      <c r="I10170" s="10"/>
      <c r="J10170" s="10"/>
      <c r="K10170" s="10"/>
      <c r="L10170" s="10"/>
      <c r="M10170" s="10"/>
      <c r="N10170" s="10"/>
      <c r="O10170" s="10"/>
      <c r="P10170" s="10"/>
      <c r="Q10170" s="10"/>
      <c r="R10170" s="10"/>
      <c r="S10170" s="10"/>
      <c r="T10170" s="10"/>
      <c r="U10170" s="10"/>
      <c r="V10170" s="10"/>
      <c r="W10170" s="10"/>
      <c r="X10170" s="10"/>
      <c r="Y10170" s="10"/>
      <c r="Z10170" s="10"/>
    </row>
    <row r="10171" spans="1:26" ht="12.75">
      <c r="A10171" s="10"/>
      <c r="B10171" s="10"/>
      <c r="C10171" s="10"/>
      <c r="D10171" s="10"/>
      <c r="E10171" s="10"/>
      <c r="F10171" s="10"/>
      <c r="G10171" s="10"/>
      <c r="H10171" s="10"/>
      <c r="I10171" s="10"/>
      <c r="J10171" s="10"/>
      <c r="K10171" s="10"/>
      <c r="L10171" s="10"/>
      <c r="M10171" s="10"/>
      <c r="N10171" s="10"/>
      <c r="O10171" s="10"/>
      <c r="P10171" s="10"/>
      <c r="Q10171" s="10"/>
      <c r="R10171" s="10"/>
      <c r="S10171" s="10"/>
      <c r="T10171" s="10"/>
      <c r="U10171" s="10"/>
      <c r="V10171" s="10"/>
      <c r="W10171" s="10"/>
      <c r="X10171" s="10"/>
      <c r="Y10171" s="10"/>
      <c r="Z10171" s="10"/>
    </row>
    <row r="10172" spans="1:26" ht="12.75">
      <c r="A10172" s="10"/>
      <c r="B10172" s="10"/>
      <c r="C10172" s="10"/>
      <c r="D10172" s="10"/>
      <c r="E10172" s="10"/>
      <c r="F10172" s="10"/>
      <c r="G10172" s="10"/>
      <c r="H10172" s="10"/>
      <c r="I10172" s="10"/>
      <c r="J10172" s="10"/>
      <c r="K10172" s="10"/>
      <c r="L10172" s="10"/>
      <c r="M10172" s="10"/>
      <c r="N10172" s="10"/>
      <c r="O10172" s="10"/>
      <c r="P10172" s="10"/>
      <c r="Q10172" s="10"/>
      <c r="R10172" s="10"/>
      <c r="S10172" s="10"/>
      <c r="T10172" s="10"/>
      <c r="U10172" s="10"/>
      <c r="V10172" s="10"/>
      <c r="W10172" s="10"/>
      <c r="X10172" s="10"/>
      <c r="Y10172" s="10"/>
      <c r="Z10172" s="10"/>
    </row>
    <row r="10173" spans="1:26" ht="12.75">
      <c r="A10173" s="10"/>
      <c r="B10173" s="10"/>
      <c r="C10173" s="10"/>
      <c r="D10173" s="10"/>
      <c r="E10173" s="10"/>
      <c r="F10173" s="10"/>
      <c r="G10173" s="10"/>
      <c r="H10173" s="10"/>
      <c r="I10173" s="10"/>
      <c r="J10173" s="10"/>
      <c r="K10173" s="10"/>
      <c r="L10173" s="10"/>
      <c r="M10173" s="10"/>
      <c r="N10173" s="10"/>
      <c r="O10173" s="10"/>
      <c r="P10173" s="10"/>
      <c r="Q10173" s="10"/>
      <c r="R10173" s="10"/>
      <c r="S10173" s="10"/>
      <c r="T10173" s="10"/>
      <c r="U10173" s="10"/>
      <c r="V10173" s="10"/>
      <c r="W10173" s="10"/>
      <c r="X10173" s="10"/>
      <c r="Y10173" s="10"/>
      <c r="Z10173" s="10"/>
    </row>
    <row r="10174" spans="1:26" ht="12.75">
      <c r="A10174" s="10"/>
      <c r="B10174" s="10"/>
      <c r="C10174" s="10"/>
      <c r="D10174" s="10"/>
      <c r="E10174" s="10"/>
      <c r="F10174" s="10"/>
      <c r="G10174" s="10"/>
      <c r="H10174" s="10"/>
      <c r="I10174" s="10"/>
      <c r="J10174" s="10"/>
      <c r="K10174" s="10"/>
      <c r="L10174" s="10"/>
      <c r="M10174" s="10"/>
      <c r="N10174" s="10"/>
      <c r="O10174" s="10"/>
      <c r="P10174" s="10"/>
      <c r="Q10174" s="10"/>
      <c r="R10174" s="10"/>
      <c r="S10174" s="10"/>
      <c r="T10174" s="10"/>
      <c r="U10174" s="10"/>
      <c r="V10174" s="10"/>
      <c r="W10174" s="10"/>
      <c r="X10174" s="10"/>
      <c r="Y10174" s="10"/>
      <c r="Z10174" s="10"/>
    </row>
    <row r="10175" spans="1:26" ht="12.75">
      <c r="A10175" s="10"/>
      <c r="B10175" s="10"/>
      <c r="C10175" s="10"/>
      <c r="D10175" s="10"/>
      <c r="E10175" s="10"/>
      <c r="F10175" s="10"/>
      <c r="G10175" s="10"/>
      <c r="H10175" s="10"/>
      <c r="I10175" s="10"/>
      <c r="J10175" s="10"/>
      <c r="K10175" s="10"/>
      <c r="L10175" s="10"/>
      <c r="M10175" s="10"/>
      <c r="N10175" s="10"/>
      <c r="O10175" s="10"/>
      <c r="P10175" s="10"/>
      <c r="Q10175" s="10"/>
      <c r="R10175" s="10"/>
      <c r="S10175" s="10"/>
      <c r="T10175" s="10"/>
      <c r="U10175" s="10"/>
      <c r="V10175" s="10"/>
      <c r="W10175" s="10"/>
      <c r="X10175" s="10"/>
      <c r="Y10175" s="10"/>
      <c r="Z10175" s="10"/>
    </row>
    <row r="10176" spans="1:26" ht="12.75">
      <c r="A10176" s="10"/>
      <c r="B10176" s="10"/>
      <c r="C10176" s="10"/>
      <c r="D10176" s="10"/>
      <c r="E10176" s="10"/>
      <c r="F10176" s="10"/>
      <c r="G10176" s="10"/>
      <c r="H10176" s="10"/>
      <c r="I10176" s="10"/>
      <c r="J10176" s="10"/>
      <c r="K10176" s="10"/>
      <c r="L10176" s="10"/>
      <c r="M10176" s="10"/>
      <c r="N10176" s="10"/>
      <c r="O10176" s="10"/>
      <c r="P10176" s="10"/>
      <c r="Q10176" s="10"/>
      <c r="R10176" s="10"/>
      <c r="S10176" s="10"/>
      <c r="T10176" s="10"/>
      <c r="U10176" s="10"/>
      <c r="V10176" s="10"/>
      <c r="W10176" s="10"/>
      <c r="X10176" s="10"/>
      <c r="Y10176" s="10"/>
      <c r="Z10176" s="10"/>
    </row>
    <row r="10177" spans="1:26" ht="12.75">
      <c r="A10177" s="10"/>
      <c r="B10177" s="10"/>
      <c r="C10177" s="10"/>
      <c r="D10177" s="10"/>
      <c r="E10177" s="10"/>
      <c r="F10177" s="10"/>
      <c r="G10177" s="10"/>
      <c r="H10177" s="10"/>
      <c r="I10177" s="10"/>
      <c r="J10177" s="10"/>
      <c r="K10177" s="10"/>
      <c r="L10177" s="10"/>
      <c r="M10177" s="10"/>
      <c r="N10177" s="10"/>
      <c r="O10177" s="10"/>
      <c r="P10177" s="10"/>
      <c r="Q10177" s="10"/>
      <c r="R10177" s="10"/>
      <c r="S10177" s="10"/>
      <c r="T10177" s="10"/>
      <c r="U10177" s="10"/>
      <c r="V10177" s="10"/>
      <c r="W10177" s="10"/>
      <c r="X10177" s="10"/>
      <c r="Y10177" s="10"/>
      <c r="Z10177" s="10"/>
    </row>
    <row r="10178" spans="1:26" ht="12.75">
      <c r="A10178" s="10"/>
      <c r="B10178" s="10"/>
      <c r="C10178" s="10"/>
      <c r="D10178" s="10"/>
      <c r="E10178" s="10"/>
      <c r="F10178" s="10"/>
      <c r="G10178" s="10"/>
      <c r="H10178" s="10"/>
      <c r="I10178" s="10"/>
      <c r="J10178" s="10"/>
      <c r="K10178" s="10"/>
      <c r="L10178" s="10"/>
      <c r="M10178" s="10"/>
      <c r="N10178" s="10"/>
      <c r="O10178" s="10"/>
      <c r="P10178" s="10"/>
      <c r="Q10178" s="10"/>
      <c r="R10178" s="10"/>
      <c r="S10178" s="10"/>
      <c r="T10178" s="10"/>
      <c r="U10178" s="10"/>
      <c r="V10178" s="10"/>
      <c r="W10178" s="10"/>
      <c r="X10178" s="10"/>
      <c r="Y10178" s="10"/>
      <c r="Z10178" s="10"/>
    </row>
    <row r="10179" spans="1:26" ht="12.75">
      <c r="A10179" s="10"/>
      <c r="B10179" s="10"/>
      <c r="C10179" s="10"/>
      <c r="D10179" s="10"/>
      <c r="E10179" s="10"/>
      <c r="F10179" s="10"/>
      <c r="G10179" s="10"/>
      <c r="H10179" s="10"/>
      <c r="I10179" s="10"/>
      <c r="J10179" s="10"/>
      <c r="K10179" s="10"/>
      <c r="L10179" s="10"/>
      <c r="M10179" s="10"/>
      <c r="N10179" s="10"/>
      <c r="O10179" s="10"/>
      <c r="P10179" s="10"/>
      <c r="Q10179" s="10"/>
      <c r="R10179" s="10"/>
      <c r="S10179" s="10"/>
      <c r="T10179" s="10"/>
      <c r="U10179" s="10"/>
      <c r="V10179" s="10"/>
      <c r="W10179" s="10"/>
      <c r="X10179" s="10"/>
      <c r="Y10179" s="10"/>
      <c r="Z10179" s="10"/>
    </row>
    <row r="10180" spans="1:26" ht="12.75">
      <c r="A10180" s="10"/>
      <c r="B10180" s="10"/>
      <c r="C10180" s="10"/>
      <c r="D10180" s="10"/>
      <c r="E10180" s="10"/>
      <c r="F10180" s="10"/>
      <c r="G10180" s="10"/>
      <c r="H10180" s="10"/>
      <c r="I10180" s="10"/>
      <c r="J10180" s="10"/>
      <c r="K10180" s="10"/>
      <c r="L10180" s="10"/>
      <c r="M10180" s="10"/>
      <c r="N10180" s="10"/>
      <c r="O10180" s="10"/>
      <c r="P10180" s="10"/>
      <c r="Q10180" s="10"/>
      <c r="R10180" s="10"/>
      <c r="S10180" s="10"/>
      <c r="T10180" s="10"/>
      <c r="U10180" s="10"/>
      <c r="V10180" s="10"/>
      <c r="W10180" s="10"/>
      <c r="X10180" s="10"/>
      <c r="Y10180" s="10"/>
      <c r="Z10180" s="10"/>
    </row>
    <row r="10181" spans="1:26" ht="12.75">
      <c r="A10181" s="10"/>
      <c r="B10181" s="10"/>
      <c r="C10181" s="10"/>
      <c r="D10181" s="10"/>
      <c r="E10181" s="10"/>
      <c r="F10181" s="10"/>
      <c r="G10181" s="10"/>
      <c r="H10181" s="10"/>
      <c r="I10181" s="10"/>
      <c r="J10181" s="10"/>
      <c r="K10181" s="10"/>
      <c r="L10181" s="10"/>
      <c r="M10181" s="10"/>
      <c r="N10181" s="10"/>
      <c r="O10181" s="10"/>
      <c r="P10181" s="10"/>
      <c r="Q10181" s="10"/>
      <c r="R10181" s="10"/>
      <c r="S10181" s="10"/>
      <c r="T10181" s="10"/>
      <c r="U10181" s="10"/>
      <c r="V10181" s="10"/>
      <c r="W10181" s="10"/>
      <c r="X10181" s="10"/>
      <c r="Y10181" s="10"/>
      <c r="Z10181" s="10"/>
    </row>
    <row r="10182" spans="1:26" ht="12.75">
      <c r="A10182" s="10"/>
      <c r="B10182" s="10"/>
      <c r="C10182" s="10"/>
      <c r="D10182" s="10"/>
      <c r="E10182" s="10"/>
      <c r="F10182" s="10"/>
      <c r="G10182" s="10"/>
      <c r="H10182" s="10"/>
      <c r="I10182" s="10"/>
      <c r="J10182" s="10"/>
      <c r="K10182" s="10"/>
      <c r="L10182" s="10"/>
      <c r="M10182" s="10"/>
      <c r="N10182" s="10"/>
      <c r="O10182" s="10"/>
      <c r="P10182" s="10"/>
      <c r="Q10182" s="10"/>
      <c r="R10182" s="10"/>
      <c r="S10182" s="10"/>
      <c r="T10182" s="10"/>
      <c r="U10182" s="10"/>
      <c r="V10182" s="10"/>
      <c r="W10182" s="10"/>
      <c r="X10182" s="10"/>
      <c r="Y10182" s="10"/>
      <c r="Z10182" s="10"/>
    </row>
    <row r="10183" spans="1:26" ht="12.75">
      <c r="A10183" s="10"/>
      <c r="B10183" s="10"/>
      <c r="C10183" s="10"/>
      <c r="D10183" s="10"/>
      <c r="E10183" s="10"/>
      <c r="F10183" s="10"/>
      <c r="G10183" s="10"/>
      <c r="H10183" s="10"/>
      <c r="I10183" s="10"/>
      <c r="J10183" s="10"/>
      <c r="K10183" s="10"/>
      <c r="L10183" s="10"/>
      <c r="M10183" s="10"/>
      <c r="N10183" s="10"/>
      <c r="O10183" s="10"/>
      <c r="P10183" s="10"/>
      <c r="Q10183" s="10"/>
      <c r="R10183" s="10"/>
      <c r="S10183" s="10"/>
      <c r="T10183" s="10"/>
      <c r="U10183" s="10"/>
      <c r="V10183" s="10"/>
      <c r="W10183" s="10"/>
      <c r="X10183" s="10"/>
      <c r="Y10183" s="10"/>
      <c r="Z10183" s="10"/>
    </row>
    <row r="10184" spans="1:26" ht="12.75">
      <c r="A10184" s="10"/>
      <c r="B10184" s="10"/>
      <c r="C10184" s="10"/>
      <c r="D10184" s="10"/>
      <c r="E10184" s="10"/>
      <c r="F10184" s="10"/>
      <c r="G10184" s="10"/>
      <c r="H10184" s="10"/>
      <c r="I10184" s="10"/>
      <c r="J10184" s="10"/>
      <c r="K10184" s="10"/>
      <c r="L10184" s="10"/>
      <c r="M10184" s="10"/>
      <c r="N10184" s="10"/>
      <c r="O10184" s="10"/>
      <c r="P10184" s="10"/>
      <c r="Q10184" s="10"/>
      <c r="R10184" s="10"/>
      <c r="S10184" s="10"/>
      <c r="T10184" s="10"/>
      <c r="U10184" s="10"/>
      <c r="V10184" s="10"/>
      <c r="W10184" s="10"/>
      <c r="X10184" s="10"/>
      <c r="Y10184" s="10"/>
      <c r="Z10184" s="10"/>
    </row>
    <row r="10185" spans="1:26" ht="12.75">
      <c r="A10185" s="10"/>
      <c r="B10185" s="10"/>
      <c r="C10185" s="10"/>
      <c r="D10185" s="10"/>
      <c r="E10185" s="10"/>
      <c r="F10185" s="10"/>
      <c r="G10185" s="10"/>
      <c r="H10185" s="10"/>
      <c r="I10185" s="10"/>
      <c r="J10185" s="10"/>
      <c r="K10185" s="10"/>
      <c r="L10185" s="10"/>
      <c r="M10185" s="10"/>
      <c r="N10185" s="10"/>
      <c r="O10185" s="10"/>
      <c r="P10185" s="10"/>
      <c r="Q10185" s="10"/>
      <c r="R10185" s="10"/>
      <c r="S10185" s="10"/>
      <c r="T10185" s="10"/>
      <c r="U10185" s="10"/>
      <c r="V10185" s="10"/>
      <c r="W10185" s="10"/>
      <c r="X10185" s="10"/>
      <c r="Y10185" s="10"/>
      <c r="Z10185" s="10"/>
    </row>
    <row r="10186" spans="1:26" ht="12.75">
      <c r="A10186" s="10"/>
      <c r="B10186" s="10"/>
      <c r="C10186" s="10"/>
      <c r="D10186" s="10"/>
      <c r="E10186" s="10"/>
      <c r="F10186" s="10"/>
      <c r="G10186" s="10"/>
      <c r="H10186" s="10"/>
      <c r="I10186" s="10"/>
      <c r="J10186" s="10"/>
      <c r="K10186" s="10"/>
      <c r="L10186" s="10"/>
      <c r="M10186" s="10"/>
      <c r="N10186" s="10"/>
      <c r="O10186" s="10"/>
      <c r="P10186" s="10"/>
      <c r="Q10186" s="10"/>
      <c r="R10186" s="10"/>
      <c r="S10186" s="10"/>
      <c r="T10186" s="10"/>
      <c r="U10186" s="10"/>
      <c r="V10186" s="10"/>
      <c r="W10186" s="10"/>
      <c r="X10186" s="10"/>
      <c r="Y10186" s="10"/>
      <c r="Z10186" s="10"/>
    </row>
    <row r="10187" spans="1:26" ht="12.75">
      <c r="A10187" s="10"/>
      <c r="B10187" s="10"/>
      <c r="C10187" s="10"/>
      <c r="D10187" s="10"/>
      <c r="E10187" s="10"/>
      <c r="F10187" s="10"/>
      <c r="G10187" s="10"/>
      <c r="H10187" s="10"/>
      <c r="I10187" s="10"/>
      <c r="J10187" s="10"/>
      <c r="K10187" s="10"/>
      <c r="L10187" s="10"/>
      <c r="M10187" s="10"/>
      <c r="N10187" s="10"/>
      <c r="O10187" s="10"/>
      <c r="P10187" s="10"/>
      <c r="Q10187" s="10"/>
      <c r="R10187" s="10"/>
      <c r="S10187" s="10"/>
      <c r="T10187" s="10"/>
      <c r="U10187" s="10"/>
      <c r="V10187" s="10"/>
      <c r="W10187" s="10"/>
      <c r="X10187" s="10"/>
      <c r="Y10187" s="10"/>
      <c r="Z10187" s="10"/>
    </row>
    <row r="10188" spans="1:26" ht="12.75">
      <c r="A10188" s="10"/>
      <c r="B10188" s="10"/>
      <c r="C10188" s="10"/>
      <c r="D10188" s="10"/>
      <c r="E10188" s="10"/>
      <c r="F10188" s="10"/>
      <c r="G10188" s="10"/>
      <c r="H10188" s="10"/>
      <c r="I10188" s="10"/>
      <c r="J10188" s="10"/>
      <c r="K10188" s="10"/>
      <c r="L10188" s="10"/>
      <c r="M10188" s="10"/>
      <c r="N10188" s="10"/>
      <c r="O10188" s="10"/>
      <c r="P10188" s="10"/>
      <c r="Q10188" s="10"/>
      <c r="R10188" s="10"/>
      <c r="S10188" s="10"/>
      <c r="T10188" s="10"/>
      <c r="U10188" s="10"/>
      <c r="V10188" s="10"/>
      <c r="W10188" s="10"/>
      <c r="X10188" s="10"/>
      <c r="Y10188" s="10"/>
      <c r="Z10188" s="10"/>
    </row>
    <row r="10189" spans="1:26" ht="12.75">
      <c r="A10189" s="10"/>
      <c r="B10189" s="10"/>
      <c r="C10189" s="10"/>
      <c r="D10189" s="10"/>
      <c r="E10189" s="10"/>
      <c r="F10189" s="10"/>
      <c r="G10189" s="10"/>
      <c r="H10189" s="10"/>
      <c r="I10189" s="10"/>
      <c r="J10189" s="10"/>
      <c r="K10189" s="10"/>
      <c r="L10189" s="10"/>
      <c r="M10189" s="10"/>
      <c r="N10189" s="10"/>
      <c r="O10189" s="10"/>
      <c r="P10189" s="10"/>
      <c r="Q10189" s="10"/>
      <c r="R10189" s="10"/>
      <c r="S10189" s="10"/>
      <c r="T10189" s="10"/>
      <c r="U10189" s="10"/>
      <c r="V10189" s="10"/>
      <c r="W10189" s="10"/>
      <c r="X10189" s="10"/>
      <c r="Y10189" s="10"/>
      <c r="Z10189" s="10"/>
    </row>
    <row r="10190" spans="1:26" ht="12.75">
      <c r="A10190" s="10"/>
      <c r="B10190" s="10"/>
      <c r="C10190" s="10"/>
      <c r="D10190" s="10"/>
      <c r="E10190" s="10"/>
      <c r="F10190" s="10"/>
      <c r="G10190" s="10"/>
      <c r="H10190" s="10"/>
      <c r="I10190" s="10"/>
      <c r="J10190" s="10"/>
      <c r="K10190" s="10"/>
      <c r="L10190" s="10"/>
      <c r="M10190" s="10"/>
      <c r="N10190" s="10"/>
      <c r="O10190" s="10"/>
      <c r="P10190" s="10"/>
      <c r="Q10190" s="10"/>
      <c r="R10190" s="10"/>
      <c r="S10190" s="10"/>
      <c r="T10190" s="10"/>
      <c r="U10190" s="10"/>
      <c r="V10190" s="10"/>
      <c r="W10190" s="10"/>
      <c r="X10190" s="10"/>
      <c r="Y10190" s="10"/>
      <c r="Z10190" s="10"/>
    </row>
    <row r="10191" spans="1:26" ht="12.75">
      <c r="A10191" s="10"/>
      <c r="B10191" s="10"/>
      <c r="C10191" s="10"/>
      <c r="D10191" s="10"/>
      <c r="E10191" s="10"/>
      <c r="F10191" s="10"/>
      <c r="G10191" s="10"/>
      <c r="H10191" s="10"/>
      <c r="I10191" s="10"/>
      <c r="J10191" s="10"/>
      <c r="K10191" s="10"/>
      <c r="L10191" s="10"/>
      <c r="M10191" s="10"/>
      <c r="N10191" s="10"/>
      <c r="O10191" s="10"/>
      <c r="P10191" s="10"/>
      <c r="Q10191" s="10"/>
      <c r="R10191" s="10"/>
      <c r="S10191" s="10"/>
      <c r="T10191" s="10"/>
      <c r="U10191" s="10"/>
      <c r="V10191" s="10"/>
      <c r="W10191" s="10"/>
      <c r="X10191" s="10"/>
      <c r="Y10191" s="10"/>
      <c r="Z10191" s="10"/>
    </row>
    <row r="10192" spans="1:26" ht="12.75">
      <c r="A10192" s="10"/>
      <c r="B10192" s="10"/>
      <c r="C10192" s="10"/>
      <c r="D10192" s="10"/>
      <c r="E10192" s="10"/>
      <c r="F10192" s="10"/>
      <c r="G10192" s="10"/>
      <c r="H10192" s="10"/>
      <c r="I10192" s="10"/>
      <c r="J10192" s="10"/>
      <c r="K10192" s="10"/>
      <c r="L10192" s="10"/>
      <c r="M10192" s="10"/>
      <c r="N10192" s="10"/>
      <c r="O10192" s="10"/>
      <c r="P10192" s="10"/>
      <c r="Q10192" s="10"/>
      <c r="R10192" s="10"/>
      <c r="S10192" s="10"/>
      <c r="T10192" s="10"/>
      <c r="U10192" s="10"/>
      <c r="V10192" s="10"/>
      <c r="W10192" s="10"/>
      <c r="X10192" s="10"/>
      <c r="Y10192" s="10"/>
      <c r="Z10192" s="10"/>
    </row>
    <row r="10193" spans="1:26" ht="12.75">
      <c r="A10193" s="10"/>
      <c r="B10193" s="10"/>
      <c r="C10193" s="10"/>
      <c r="D10193" s="10"/>
      <c r="E10193" s="10"/>
      <c r="F10193" s="10"/>
      <c r="G10193" s="10"/>
      <c r="H10193" s="10"/>
      <c r="I10193" s="10"/>
      <c r="J10193" s="10"/>
      <c r="K10193" s="10"/>
      <c r="L10193" s="10"/>
      <c r="M10193" s="10"/>
      <c r="N10193" s="10"/>
      <c r="O10193" s="10"/>
      <c r="P10193" s="10"/>
      <c r="Q10193" s="10"/>
      <c r="R10193" s="10"/>
      <c r="S10193" s="10"/>
      <c r="T10193" s="10"/>
      <c r="U10193" s="10"/>
      <c r="V10193" s="10"/>
      <c r="W10193" s="10"/>
      <c r="X10193" s="10"/>
      <c r="Y10193" s="10"/>
      <c r="Z10193" s="10"/>
    </row>
    <row r="10194" spans="1:26" ht="12.75">
      <c r="A10194" s="10"/>
      <c r="B10194" s="10"/>
      <c r="C10194" s="10"/>
      <c r="D10194" s="10"/>
      <c r="E10194" s="10"/>
      <c r="F10194" s="10"/>
      <c r="G10194" s="10"/>
      <c r="H10194" s="10"/>
      <c r="I10194" s="10"/>
      <c r="J10194" s="10"/>
      <c r="K10194" s="10"/>
      <c r="L10194" s="10"/>
      <c r="M10194" s="10"/>
      <c r="N10194" s="10"/>
      <c r="O10194" s="10"/>
      <c r="P10194" s="10"/>
      <c r="Q10194" s="10"/>
      <c r="R10194" s="10"/>
      <c r="S10194" s="10"/>
      <c r="T10194" s="10"/>
      <c r="U10194" s="10"/>
      <c r="V10194" s="10"/>
      <c r="W10194" s="10"/>
      <c r="X10194" s="10"/>
      <c r="Y10194" s="10"/>
      <c r="Z10194" s="10"/>
    </row>
    <row r="10195" spans="1:26" ht="12.75">
      <c r="A10195" s="10"/>
      <c r="B10195" s="10"/>
      <c r="C10195" s="10"/>
      <c r="D10195" s="10"/>
      <c r="E10195" s="10"/>
      <c r="F10195" s="10"/>
      <c r="G10195" s="10"/>
      <c r="H10195" s="10"/>
      <c r="I10195" s="10"/>
      <c r="J10195" s="10"/>
      <c r="K10195" s="10"/>
      <c r="L10195" s="10"/>
      <c r="M10195" s="10"/>
      <c r="N10195" s="10"/>
      <c r="O10195" s="10"/>
      <c r="P10195" s="10"/>
      <c r="Q10195" s="10"/>
      <c r="R10195" s="10"/>
      <c r="S10195" s="10"/>
      <c r="T10195" s="10"/>
      <c r="U10195" s="10"/>
      <c r="V10195" s="10"/>
      <c r="W10195" s="10"/>
      <c r="X10195" s="10"/>
      <c r="Y10195" s="10"/>
      <c r="Z10195" s="10"/>
    </row>
    <row r="10196" spans="1:26" ht="12.75">
      <c r="A10196" s="10"/>
      <c r="B10196" s="10"/>
      <c r="C10196" s="10"/>
      <c r="D10196" s="10"/>
      <c r="E10196" s="10"/>
      <c r="F10196" s="10"/>
      <c r="G10196" s="10"/>
      <c r="H10196" s="10"/>
      <c r="I10196" s="10"/>
      <c r="J10196" s="10"/>
      <c r="K10196" s="10"/>
      <c r="L10196" s="10"/>
      <c r="M10196" s="10"/>
      <c r="N10196" s="10"/>
      <c r="O10196" s="10"/>
      <c r="P10196" s="10"/>
      <c r="Q10196" s="10"/>
      <c r="R10196" s="10"/>
      <c r="S10196" s="10"/>
      <c r="T10196" s="10"/>
      <c r="U10196" s="10"/>
      <c r="V10196" s="10"/>
      <c r="W10196" s="10"/>
      <c r="X10196" s="10"/>
      <c r="Y10196" s="10"/>
      <c r="Z10196" s="10"/>
    </row>
    <row r="10197" spans="1:26" ht="12.75">
      <c r="A10197" s="10"/>
      <c r="B10197" s="10"/>
      <c r="C10197" s="10"/>
      <c r="D10197" s="10"/>
      <c r="E10197" s="10"/>
      <c r="F10197" s="10"/>
      <c r="G10197" s="10"/>
      <c r="H10197" s="10"/>
      <c r="I10197" s="10"/>
      <c r="J10197" s="10"/>
      <c r="K10197" s="10"/>
      <c r="L10197" s="10"/>
      <c r="M10197" s="10"/>
      <c r="N10197" s="10"/>
      <c r="O10197" s="10"/>
      <c r="P10197" s="10"/>
      <c r="Q10197" s="10"/>
      <c r="R10197" s="10"/>
      <c r="S10197" s="10"/>
      <c r="T10197" s="10"/>
      <c r="U10197" s="10"/>
      <c r="V10197" s="10"/>
      <c r="W10197" s="10"/>
      <c r="X10197" s="10"/>
      <c r="Y10197" s="10"/>
      <c r="Z10197" s="10"/>
    </row>
    <row r="10198" spans="1:26" ht="12.75">
      <c r="A10198" s="10"/>
      <c r="B10198" s="10"/>
      <c r="C10198" s="10"/>
      <c r="D10198" s="10"/>
      <c r="E10198" s="10"/>
      <c r="F10198" s="10"/>
      <c r="G10198" s="10"/>
      <c r="H10198" s="10"/>
      <c r="I10198" s="10"/>
      <c r="J10198" s="10"/>
      <c r="K10198" s="10"/>
      <c r="L10198" s="10"/>
      <c r="M10198" s="10"/>
      <c r="N10198" s="10"/>
      <c r="O10198" s="10"/>
      <c r="P10198" s="10"/>
      <c r="Q10198" s="10"/>
      <c r="R10198" s="10"/>
      <c r="S10198" s="10"/>
      <c r="T10198" s="10"/>
      <c r="U10198" s="10"/>
      <c r="V10198" s="10"/>
      <c r="W10198" s="10"/>
      <c r="X10198" s="10"/>
      <c r="Y10198" s="10"/>
      <c r="Z10198" s="10"/>
    </row>
    <row r="10199" spans="1:26" ht="12.75">
      <c r="A10199" s="10"/>
      <c r="B10199" s="10"/>
      <c r="C10199" s="10"/>
      <c r="D10199" s="10"/>
      <c r="E10199" s="10"/>
      <c r="F10199" s="10"/>
      <c r="G10199" s="10"/>
      <c r="H10199" s="10"/>
      <c r="I10199" s="10"/>
      <c r="J10199" s="10"/>
      <c r="K10199" s="10"/>
      <c r="L10199" s="10"/>
      <c r="M10199" s="10"/>
      <c r="N10199" s="10"/>
      <c r="O10199" s="10"/>
      <c r="P10199" s="10"/>
      <c r="Q10199" s="10"/>
      <c r="R10199" s="10"/>
      <c r="S10199" s="10"/>
      <c r="T10199" s="10"/>
      <c r="U10199" s="10"/>
      <c r="V10199" s="10"/>
      <c r="W10199" s="10"/>
      <c r="X10199" s="10"/>
      <c r="Y10199" s="10"/>
      <c r="Z10199" s="10"/>
    </row>
    <row r="10200" spans="1:26" ht="12.75">
      <c r="A10200" s="10"/>
      <c r="B10200" s="10"/>
      <c r="C10200" s="10"/>
      <c r="D10200" s="10"/>
      <c r="E10200" s="10"/>
      <c r="F10200" s="10"/>
      <c r="G10200" s="10"/>
      <c r="H10200" s="10"/>
      <c r="I10200" s="10"/>
      <c r="J10200" s="10"/>
      <c r="K10200" s="10"/>
      <c r="L10200" s="10"/>
      <c r="M10200" s="10"/>
      <c r="N10200" s="10"/>
      <c r="O10200" s="10"/>
      <c r="P10200" s="10"/>
      <c r="Q10200" s="10"/>
      <c r="R10200" s="10"/>
      <c r="S10200" s="10"/>
      <c r="T10200" s="10"/>
      <c r="U10200" s="10"/>
      <c r="V10200" s="10"/>
      <c r="W10200" s="10"/>
      <c r="X10200" s="10"/>
      <c r="Y10200" s="10"/>
      <c r="Z10200" s="10"/>
    </row>
    <row r="10201" spans="1:26" ht="12.75">
      <c r="A10201" s="10"/>
      <c r="B10201" s="10"/>
      <c r="C10201" s="10"/>
      <c r="D10201" s="10"/>
      <c r="E10201" s="10"/>
      <c r="F10201" s="10"/>
      <c r="G10201" s="10"/>
      <c r="H10201" s="10"/>
      <c r="I10201" s="10"/>
      <c r="J10201" s="10"/>
      <c r="K10201" s="10"/>
      <c r="L10201" s="10"/>
      <c r="M10201" s="10"/>
      <c r="N10201" s="10"/>
      <c r="O10201" s="10"/>
      <c r="P10201" s="10"/>
      <c r="Q10201" s="10"/>
      <c r="R10201" s="10"/>
      <c r="S10201" s="10"/>
      <c r="T10201" s="10"/>
      <c r="U10201" s="10"/>
      <c r="V10201" s="10"/>
      <c r="W10201" s="10"/>
      <c r="X10201" s="10"/>
      <c r="Y10201" s="10"/>
      <c r="Z10201" s="10"/>
    </row>
    <row r="10202" spans="1:26" ht="12.75">
      <c r="A10202" s="10"/>
      <c r="B10202" s="10"/>
      <c r="C10202" s="10"/>
      <c r="D10202" s="10"/>
      <c r="E10202" s="10"/>
      <c r="F10202" s="10"/>
      <c r="G10202" s="10"/>
      <c r="H10202" s="10"/>
      <c r="I10202" s="10"/>
      <c r="J10202" s="10"/>
      <c r="K10202" s="10"/>
      <c r="L10202" s="10"/>
      <c r="M10202" s="10"/>
      <c r="N10202" s="10"/>
      <c r="O10202" s="10"/>
      <c r="P10202" s="10"/>
      <c r="Q10202" s="10"/>
      <c r="R10202" s="10"/>
      <c r="S10202" s="10"/>
      <c r="T10202" s="10"/>
      <c r="U10202" s="10"/>
      <c r="V10202" s="10"/>
      <c r="W10202" s="10"/>
      <c r="X10202" s="10"/>
      <c r="Y10202" s="10"/>
      <c r="Z10202" s="10"/>
    </row>
    <row r="10203" spans="1:26" ht="12.75">
      <c r="A10203" s="10"/>
      <c r="B10203" s="10"/>
      <c r="C10203" s="10"/>
      <c r="D10203" s="10"/>
      <c r="E10203" s="10"/>
      <c r="F10203" s="10"/>
      <c r="G10203" s="10"/>
      <c r="H10203" s="10"/>
      <c r="I10203" s="10"/>
      <c r="J10203" s="10"/>
      <c r="K10203" s="10"/>
      <c r="L10203" s="10"/>
      <c r="M10203" s="10"/>
      <c r="N10203" s="10"/>
      <c r="O10203" s="10"/>
      <c r="P10203" s="10"/>
      <c r="Q10203" s="10"/>
      <c r="R10203" s="10"/>
      <c r="S10203" s="10"/>
      <c r="T10203" s="10"/>
      <c r="U10203" s="10"/>
      <c r="V10203" s="10"/>
      <c r="W10203" s="10"/>
      <c r="X10203" s="10"/>
      <c r="Y10203" s="10"/>
      <c r="Z10203" s="10"/>
    </row>
    <row r="10204" spans="1:26" ht="12.75">
      <c r="A10204" s="10"/>
      <c r="B10204" s="10"/>
      <c r="C10204" s="10"/>
      <c r="D10204" s="10"/>
      <c r="E10204" s="10"/>
      <c r="F10204" s="10"/>
      <c r="G10204" s="10"/>
      <c r="H10204" s="10"/>
      <c r="I10204" s="10"/>
      <c r="J10204" s="10"/>
      <c r="K10204" s="10"/>
      <c r="L10204" s="10"/>
      <c r="M10204" s="10"/>
      <c r="N10204" s="10"/>
      <c r="O10204" s="10"/>
      <c r="P10204" s="10"/>
      <c r="Q10204" s="10"/>
      <c r="R10204" s="10"/>
      <c r="S10204" s="10"/>
      <c r="T10204" s="10"/>
      <c r="U10204" s="10"/>
      <c r="V10204" s="10"/>
      <c r="W10204" s="10"/>
      <c r="X10204" s="10"/>
      <c r="Y10204" s="10"/>
      <c r="Z10204" s="10"/>
    </row>
    <row r="10205" spans="1:26" ht="12.75">
      <c r="A10205" s="10"/>
      <c r="B10205" s="10"/>
      <c r="C10205" s="10"/>
      <c r="D10205" s="10"/>
      <c r="E10205" s="10"/>
      <c r="F10205" s="10"/>
      <c r="G10205" s="10"/>
      <c r="H10205" s="10"/>
      <c r="I10205" s="10"/>
      <c r="J10205" s="10"/>
      <c r="K10205" s="10"/>
      <c r="L10205" s="10"/>
      <c r="M10205" s="10"/>
      <c r="N10205" s="10"/>
      <c r="O10205" s="10"/>
      <c r="P10205" s="10"/>
      <c r="Q10205" s="10"/>
      <c r="R10205" s="10"/>
      <c r="S10205" s="10"/>
      <c r="T10205" s="10"/>
      <c r="U10205" s="10"/>
      <c r="V10205" s="10"/>
      <c r="W10205" s="10"/>
      <c r="X10205" s="10"/>
      <c r="Y10205" s="10"/>
      <c r="Z10205" s="10"/>
    </row>
    <row r="10206" spans="1:26" ht="12.75">
      <c r="A10206" s="10"/>
      <c r="B10206" s="10"/>
      <c r="C10206" s="10"/>
      <c r="D10206" s="10"/>
      <c r="E10206" s="10"/>
      <c r="F10206" s="10"/>
      <c r="G10206" s="10"/>
      <c r="H10206" s="10"/>
      <c r="I10206" s="10"/>
      <c r="J10206" s="10"/>
      <c r="K10206" s="10"/>
      <c r="L10206" s="10"/>
      <c r="M10206" s="10"/>
      <c r="N10206" s="10"/>
      <c r="O10206" s="10"/>
      <c r="P10206" s="10"/>
      <c r="Q10206" s="10"/>
      <c r="R10206" s="10"/>
      <c r="S10206" s="10"/>
      <c r="T10206" s="10"/>
      <c r="U10206" s="10"/>
      <c r="V10206" s="10"/>
      <c r="W10206" s="10"/>
      <c r="X10206" s="10"/>
      <c r="Y10206" s="10"/>
      <c r="Z10206" s="10"/>
    </row>
    <row r="10207" spans="1:26" ht="12.75">
      <c r="A10207" s="10"/>
      <c r="B10207" s="10"/>
      <c r="C10207" s="10"/>
      <c r="D10207" s="10"/>
      <c r="E10207" s="10"/>
      <c r="F10207" s="10"/>
      <c r="G10207" s="10"/>
      <c r="H10207" s="10"/>
      <c r="I10207" s="10"/>
      <c r="J10207" s="10"/>
      <c r="K10207" s="10"/>
      <c r="L10207" s="10"/>
      <c r="M10207" s="10"/>
      <c r="N10207" s="10"/>
      <c r="O10207" s="10"/>
      <c r="P10207" s="10"/>
      <c r="Q10207" s="10"/>
      <c r="R10207" s="10"/>
      <c r="S10207" s="10"/>
      <c r="T10207" s="10"/>
      <c r="U10207" s="10"/>
      <c r="V10207" s="10"/>
      <c r="W10207" s="10"/>
      <c r="X10207" s="10"/>
      <c r="Y10207" s="10"/>
      <c r="Z10207" s="10"/>
    </row>
    <row r="10208" spans="1:26" ht="12.75">
      <c r="A10208" s="10"/>
      <c r="B10208" s="10"/>
      <c r="C10208" s="10"/>
      <c r="D10208" s="10"/>
      <c r="E10208" s="10"/>
      <c r="F10208" s="10"/>
      <c r="G10208" s="10"/>
      <c r="H10208" s="10"/>
      <c r="I10208" s="10"/>
      <c r="J10208" s="10"/>
      <c r="K10208" s="10"/>
      <c r="L10208" s="10"/>
      <c r="M10208" s="10"/>
      <c r="N10208" s="10"/>
      <c r="O10208" s="10"/>
      <c r="P10208" s="10"/>
      <c r="Q10208" s="10"/>
      <c r="R10208" s="10"/>
      <c r="S10208" s="10"/>
      <c r="T10208" s="10"/>
      <c r="U10208" s="10"/>
      <c r="V10208" s="10"/>
      <c r="W10208" s="10"/>
      <c r="X10208" s="10"/>
      <c r="Y10208" s="10"/>
      <c r="Z10208" s="10"/>
    </row>
    <row r="10209" spans="1:26" ht="12.75">
      <c r="A10209" s="10"/>
      <c r="B10209" s="10"/>
      <c r="C10209" s="10"/>
      <c r="D10209" s="10"/>
      <c r="E10209" s="10"/>
      <c r="F10209" s="10"/>
      <c r="G10209" s="10"/>
      <c r="H10209" s="10"/>
      <c r="I10209" s="10"/>
      <c r="J10209" s="10"/>
      <c r="K10209" s="10"/>
      <c r="L10209" s="10"/>
      <c r="M10209" s="10"/>
      <c r="N10209" s="10"/>
      <c r="O10209" s="10"/>
      <c r="P10209" s="10"/>
      <c r="Q10209" s="10"/>
      <c r="R10209" s="10"/>
      <c r="S10209" s="10"/>
      <c r="T10209" s="10"/>
      <c r="U10209" s="10"/>
      <c r="V10209" s="10"/>
      <c r="W10209" s="10"/>
      <c r="X10209" s="10"/>
      <c r="Y10209" s="10"/>
      <c r="Z10209" s="10"/>
    </row>
    <row r="10210" spans="1:26" ht="12.75">
      <c r="A10210" s="10"/>
      <c r="B10210" s="10"/>
      <c r="C10210" s="10"/>
      <c r="D10210" s="10"/>
      <c r="E10210" s="10"/>
      <c r="F10210" s="10"/>
      <c r="G10210" s="10"/>
      <c r="H10210" s="10"/>
      <c r="I10210" s="10"/>
      <c r="J10210" s="10"/>
      <c r="K10210" s="10"/>
      <c r="L10210" s="10"/>
      <c r="M10210" s="10"/>
      <c r="N10210" s="10"/>
      <c r="O10210" s="10"/>
      <c r="P10210" s="10"/>
      <c r="Q10210" s="10"/>
      <c r="R10210" s="10"/>
      <c r="S10210" s="10"/>
      <c r="T10210" s="10"/>
      <c r="U10210" s="10"/>
      <c r="V10210" s="10"/>
      <c r="W10210" s="10"/>
      <c r="X10210" s="10"/>
      <c r="Y10210" s="10"/>
      <c r="Z10210" s="10"/>
    </row>
    <row r="10211" spans="1:26" ht="12.75">
      <c r="A10211" s="10"/>
      <c r="B10211" s="10"/>
      <c r="C10211" s="10"/>
      <c r="D10211" s="10"/>
      <c r="E10211" s="10"/>
      <c r="F10211" s="10"/>
      <c r="G10211" s="10"/>
      <c r="H10211" s="10"/>
      <c r="I10211" s="10"/>
      <c r="J10211" s="10"/>
      <c r="K10211" s="10"/>
      <c r="L10211" s="10"/>
      <c r="M10211" s="10"/>
      <c r="N10211" s="10"/>
      <c r="O10211" s="10"/>
      <c r="P10211" s="10"/>
      <c r="Q10211" s="10"/>
      <c r="R10211" s="10"/>
      <c r="S10211" s="10"/>
      <c r="T10211" s="10"/>
      <c r="U10211" s="10"/>
      <c r="V10211" s="10"/>
      <c r="W10211" s="10"/>
      <c r="X10211" s="10"/>
      <c r="Y10211" s="10"/>
      <c r="Z10211" s="10"/>
    </row>
    <row r="10212" spans="1:26" ht="12.75">
      <c r="A10212" s="10"/>
      <c r="B10212" s="10"/>
      <c r="C10212" s="10"/>
      <c r="D10212" s="10"/>
      <c r="E10212" s="10"/>
      <c r="F10212" s="10"/>
      <c r="G10212" s="10"/>
      <c r="H10212" s="10"/>
      <c r="I10212" s="10"/>
      <c r="J10212" s="10"/>
      <c r="K10212" s="10"/>
      <c r="L10212" s="10"/>
      <c r="M10212" s="10"/>
      <c r="N10212" s="10"/>
      <c r="O10212" s="10"/>
      <c r="P10212" s="10"/>
      <c r="Q10212" s="10"/>
      <c r="R10212" s="10"/>
      <c r="S10212" s="10"/>
      <c r="T10212" s="10"/>
      <c r="U10212" s="10"/>
      <c r="V10212" s="10"/>
      <c r="W10212" s="10"/>
      <c r="X10212" s="10"/>
      <c r="Y10212" s="10"/>
      <c r="Z10212" s="10"/>
    </row>
    <row r="10213" spans="1:26" ht="12.75">
      <c r="A10213" s="10"/>
      <c r="B10213" s="10"/>
      <c r="C10213" s="10"/>
      <c r="D10213" s="10"/>
      <c r="E10213" s="10"/>
      <c r="F10213" s="10"/>
      <c r="G10213" s="10"/>
      <c r="H10213" s="10"/>
      <c r="I10213" s="10"/>
      <c r="J10213" s="10"/>
      <c r="K10213" s="10"/>
      <c r="L10213" s="10"/>
      <c r="M10213" s="10"/>
      <c r="N10213" s="10"/>
      <c r="O10213" s="10"/>
      <c r="P10213" s="10"/>
      <c r="Q10213" s="10"/>
      <c r="R10213" s="10"/>
      <c r="S10213" s="10"/>
      <c r="T10213" s="10"/>
      <c r="U10213" s="10"/>
      <c r="V10213" s="10"/>
      <c r="W10213" s="10"/>
      <c r="X10213" s="10"/>
      <c r="Y10213" s="10"/>
      <c r="Z10213" s="10"/>
    </row>
    <row r="10214" spans="1:26" ht="12.75">
      <c r="A10214" s="10"/>
      <c r="B10214" s="10"/>
      <c r="C10214" s="10"/>
      <c r="D10214" s="10"/>
      <c r="E10214" s="10"/>
      <c r="F10214" s="10"/>
      <c r="G10214" s="10"/>
      <c r="H10214" s="10"/>
      <c r="I10214" s="10"/>
      <c r="J10214" s="10"/>
      <c r="K10214" s="10"/>
      <c r="L10214" s="10"/>
      <c r="M10214" s="10"/>
      <c r="N10214" s="10"/>
      <c r="O10214" s="10"/>
      <c r="P10214" s="10"/>
      <c r="Q10214" s="10"/>
      <c r="R10214" s="10"/>
      <c r="S10214" s="10"/>
      <c r="T10214" s="10"/>
      <c r="U10214" s="10"/>
      <c r="V10214" s="10"/>
      <c r="W10214" s="10"/>
      <c r="X10214" s="10"/>
      <c r="Y10214" s="10"/>
      <c r="Z10214" s="10"/>
    </row>
    <row r="10215" spans="1:26" ht="12.75">
      <c r="A10215" s="10"/>
      <c r="B10215" s="10"/>
      <c r="C10215" s="10"/>
      <c r="D10215" s="10"/>
      <c r="E10215" s="10"/>
      <c r="F10215" s="10"/>
      <c r="G10215" s="10"/>
      <c r="H10215" s="10"/>
      <c r="I10215" s="10"/>
      <c r="J10215" s="10"/>
      <c r="K10215" s="10"/>
      <c r="L10215" s="10"/>
      <c r="M10215" s="10"/>
      <c r="N10215" s="10"/>
      <c r="O10215" s="10"/>
      <c r="P10215" s="10"/>
      <c r="Q10215" s="10"/>
      <c r="R10215" s="10"/>
      <c r="S10215" s="10"/>
      <c r="T10215" s="10"/>
      <c r="U10215" s="10"/>
      <c r="V10215" s="10"/>
      <c r="W10215" s="10"/>
      <c r="X10215" s="10"/>
      <c r="Y10215" s="10"/>
      <c r="Z10215" s="10"/>
    </row>
    <row r="10216" spans="1:26" ht="12.75">
      <c r="A10216" s="10"/>
      <c r="B10216" s="10"/>
      <c r="C10216" s="10"/>
      <c r="D10216" s="10"/>
      <c r="E10216" s="10"/>
      <c r="F10216" s="10"/>
      <c r="G10216" s="10"/>
      <c r="H10216" s="10"/>
      <c r="I10216" s="10"/>
      <c r="J10216" s="10"/>
      <c r="K10216" s="10"/>
      <c r="L10216" s="10"/>
      <c r="M10216" s="10"/>
      <c r="N10216" s="10"/>
      <c r="O10216" s="10"/>
      <c r="P10216" s="10"/>
      <c r="Q10216" s="10"/>
      <c r="R10216" s="10"/>
      <c r="S10216" s="10"/>
      <c r="T10216" s="10"/>
      <c r="U10216" s="10"/>
      <c r="V10216" s="10"/>
      <c r="W10216" s="10"/>
      <c r="X10216" s="10"/>
      <c r="Y10216" s="10"/>
      <c r="Z10216" s="10"/>
    </row>
    <row r="10217" spans="1:26" ht="12.75">
      <c r="A10217" s="10"/>
      <c r="B10217" s="10"/>
      <c r="C10217" s="10"/>
      <c r="D10217" s="10"/>
      <c r="E10217" s="10"/>
      <c r="F10217" s="10"/>
      <c r="G10217" s="10"/>
      <c r="H10217" s="10"/>
      <c r="I10217" s="10"/>
      <c r="J10217" s="10"/>
      <c r="K10217" s="10"/>
      <c r="L10217" s="10"/>
      <c r="M10217" s="10"/>
      <c r="N10217" s="10"/>
      <c r="O10217" s="10"/>
      <c r="P10217" s="10"/>
      <c r="Q10217" s="10"/>
      <c r="R10217" s="10"/>
      <c r="S10217" s="10"/>
      <c r="T10217" s="10"/>
      <c r="U10217" s="10"/>
      <c r="V10217" s="10"/>
      <c r="W10217" s="10"/>
      <c r="X10217" s="10"/>
      <c r="Y10217" s="10"/>
      <c r="Z10217" s="10"/>
    </row>
    <row r="10218" spans="1:26" ht="12.75">
      <c r="A10218" s="10"/>
      <c r="B10218" s="10"/>
      <c r="C10218" s="10"/>
      <c r="D10218" s="10"/>
      <c r="E10218" s="10"/>
      <c r="F10218" s="10"/>
      <c r="G10218" s="10"/>
      <c r="H10218" s="10"/>
      <c r="I10218" s="10"/>
      <c r="J10218" s="10"/>
      <c r="K10218" s="10"/>
      <c r="L10218" s="10"/>
      <c r="M10218" s="10"/>
      <c r="N10218" s="10"/>
      <c r="O10218" s="10"/>
      <c r="P10218" s="10"/>
      <c r="Q10218" s="10"/>
      <c r="R10218" s="10"/>
      <c r="S10218" s="10"/>
      <c r="T10218" s="10"/>
      <c r="U10218" s="10"/>
      <c r="V10218" s="10"/>
      <c r="W10218" s="10"/>
      <c r="X10218" s="10"/>
      <c r="Y10218" s="10"/>
      <c r="Z10218" s="10"/>
    </row>
    <row r="10219" spans="1:26" ht="12.75">
      <c r="A10219" s="10"/>
      <c r="B10219" s="10"/>
      <c r="C10219" s="10"/>
      <c r="D10219" s="10"/>
      <c r="E10219" s="10"/>
      <c r="F10219" s="10"/>
      <c r="G10219" s="10"/>
      <c r="H10219" s="10"/>
      <c r="I10219" s="10"/>
      <c r="J10219" s="10"/>
      <c r="K10219" s="10"/>
      <c r="L10219" s="10"/>
      <c r="M10219" s="10"/>
      <c r="N10219" s="10"/>
      <c r="O10219" s="10"/>
      <c r="P10219" s="10"/>
      <c r="Q10219" s="10"/>
      <c r="R10219" s="10"/>
      <c r="S10219" s="10"/>
      <c r="T10219" s="10"/>
      <c r="U10219" s="10"/>
      <c r="V10219" s="10"/>
      <c r="W10219" s="10"/>
      <c r="X10219" s="10"/>
      <c r="Y10219" s="10"/>
      <c r="Z10219" s="10"/>
    </row>
    <row r="10220" spans="1:26" ht="12.75">
      <c r="A10220" s="10"/>
      <c r="B10220" s="10"/>
      <c r="C10220" s="10"/>
      <c r="D10220" s="10"/>
      <c r="E10220" s="10"/>
      <c r="F10220" s="10"/>
      <c r="G10220" s="10"/>
      <c r="H10220" s="10"/>
      <c r="I10220" s="10"/>
      <c r="J10220" s="10"/>
      <c r="K10220" s="10"/>
      <c r="L10220" s="10"/>
      <c r="M10220" s="10"/>
      <c r="N10220" s="10"/>
      <c r="O10220" s="10"/>
      <c r="P10220" s="10"/>
      <c r="Q10220" s="10"/>
      <c r="R10220" s="10"/>
      <c r="S10220" s="10"/>
      <c r="T10220" s="10"/>
      <c r="U10220" s="10"/>
      <c r="V10220" s="10"/>
      <c r="W10220" s="10"/>
      <c r="X10220" s="10"/>
      <c r="Y10220" s="10"/>
      <c r="Z10220" s="10"/>
    </row>
    <row r="10221" spans="1:26" ht="12.75">
      <c r="A10221" s="10"/>
      <c r="B10221" s="10"/>
      <c r="C10221" s="10"/>
      <c r="D10221" s="10"/>
      <c r="E10221" s="10"/>
      <c r="F10221" s="10"/>
      <c r="G10221" s="10"/>
      <c r="H10221" s="10"/>
      <c r="I10221" s="10"/>
      <c r="J10221" s="10"/>
      <c r="K10221" s="10"/>
      <c r="L10221" s="10"/>
      <c r="M10221" s="10"/>
      <c r="N10221" s="10"/>
      <c r="O10221" s="10"/>
      <c r="P10221" s="10"/>
      <c r="Q10221" s="10"/>
      <c r="R10221" s="10"/>
      <c r="S10221" s="10"/>
      <c r="T10221" s="10"/>
      <c r="U10221" s="10"/>
      <c r="V10221" s="10"/>
      <c r="W10221" s="10"/>
      <c r="X10221" s="10"/>
      <c r="Y10221" s="10"/>
      <c r="Z10221" s="10"/>
    </row>
    <row r="10222" spans="1:26" ht="12.75">
      <c r="A10222" s="10"/>
      <c r="B10222" s="10"/>
      <c r="C10222" s="10"/>
      <c r="D10222" s="10"/>
      <c r="E10222" s="10"/>
      <c r="F10222" s="10"/>
      <c r="G10222" s="10"/>
      <c r="H10222" s="10"/>
      <c r="I10222" s="10"/>
      <c r="J10222" s="10"/>
      <c r="K10222" s="10"/>
      <c r="L10222" s="10"/>
      <c r="M10222" s="10"/>
      <c r="N10222" s="10"/>
      <c r="O10222" s="10"/>
      <c r="P10222" s="10"/>
      <c r="Q10222" s="10"/>
      <c r="R10222" s="10"/>
      <c r="S10222" s="10"/>
      <c r="T10222" s="10"/>
      <c r="U10222" s="10"/>
      <c r="V10222" s="10"/>
      <c r="W10222" s="10"/>
      <c r="X10222" s="10"/>
      <c r="Y10222" s="10"/>
      <c r="Z10222" s="10"/>
    </row>
    <row r="10223" spans="1:26" ht="12.75">
      <c r="A10223" s="10"/>
      <c r="B10223" s="10"/>
      <c r="C10223" s="10"/>
      <c r="D10223" s="10"/>
      <c r="E10223" s="10"/>
      <c r="F10223" s="10"/>
      <c r="G10223" s="10"/>
      <c r="H10223" s="10"/>
      <c r="I10223" s="10"/>
      <c r="J10223" s="10"/>
      <c r="K10223" s="10"/>
      <c r="L10223" s="10"/>
      <c r="M10223" s="10"/>
      <c r="N10223" s="10"/>
      <c r="O10223" s="10"/>
      <c r="P10223" s="10"/>
      <c r="Q10223" s="10"/>
      <c r="R10223" s="10"/>
      <c r="S10223" s="10"/>
      <c r="T10223" s="10"/>
      <c r="U10223" s="10"/>
      <c r="V10223" s="10"/>
      <c r="W10223" s="10"/>
      <c r="X10223" s="10"/>
      <c r="Y10223" s="10"/>
      <c r="Z10223" s="10"/>
    </row>
    <row r="10224" spans="1:26" ht="12.75">
      <c r="A10224" s="10"/>
      <c r="B10224" s="10"/>
      <c r="C10224" s="10"/>
      <c r="D10224" s="10"/>
      <c r="E10224" s="10"/>
      <c r="F10224" s="10"/>
      <c r="G10224" s="10"/>
      <c r="H10224" s="10"/>
      <c r="I10224" s="10"/>
      <c r="J10224" s="10"/>
      <c r="K10224" s="10"/>
      <c r="L10224" s="10"/>
      <c r="M10224" s="10"/>
      <c r="N10224" s="10"/>
      <c r="O10224" s="10"/>
      <c r="P10224" s="10"/>
      <c r="Q10224" s="10"/>
      <c r="R10224" s="10"/>
      <c r="S10224" s="10"/>
      <c r="T10224" s="10"/>
      <c r="U10224" s="10"/>
      <c r="V10224" s="10"/>
      <c r="W10224" s="10"/>
      <c r="X10224" s="10"/>
      <c r="Y10224" s="10"/>
      <c r="Z10224" s="10"/>
    </row>
    <row r="10225" spans="1:26" ht="12.75">
      <c r="A10225" s="10"/>
      <c r="B10225" s="10"/>
      <c r="C10225" s="10"/>
      <c r="D10225" s="10"/>
      <c r="E10225" s="10"/>
      <c r="F10225" s="10"/>
      <c r="G10225" s="10"/>
      <c r="H10225" s="10"/>
      <c r="I10225" s="10"/>
      <c r="J10225" s="10"/>
      <c r="K10225" s="10"/>
      <c r="L10225" s="10"/>
      <c r="M10225" s="10"/>
      <c r="N10225" s="10"/>
      <c r="O10225" s="10"/>
      <c r="P10225" s="10"/>
      <c r="Q10225" s="10"/>
      <c r="R10225" s="10"/>
      <c r="S10225" s="10"/>
      <c r="T10225" s="10"/>
      <c r="U10225" s="10"/>
      <c r="V10225" s="10"/>
      <c r="W10225" s="10"/>
      <c r="X10225" s="10"/>
      <c r="Y10225" s="10"/>
      <c r="Z10225" s="10"/>
    </row>
    <row r="10226" spans="1:26" ht="12.75">
      <c r="A10226" s="10"/>
      <c r="B10226" s="10"/>
      <c r="C10226" s="10"/>
      <c r="D10226" s="10"/>
      <c r="E10226" s="10"/>
      <c r="F10226" s="10"/>
      <c r="G10226" s="10"/>
      <c r="H10226" s="10"/>
      <c r="I10226" s="10"/>
      <c r="J10226" s="10"/>
      <c r="K10226" s="10"/>
      <c r="L10226" s="10"/>
      <c r="M10226" s="10"/>
      <c r="N10226" s="10"/>
      <c r="O10226" s="10"/>
      <c r="P10226" s="10"/>
      <c r="Q10226" s="10"/>
      <c r="R10226" s="10"/>
      <c r="S10226" s="10"/>
      <c r="T10226" s="10"/>
      <c r="U10226" s="10"/>
      <c r="V10226" s="10"/>
      <c r="W10226" s="10"/>
      <c r="X10226" s="10"/>
      <c r="Y10226" s="10"/>
      <c r="Z10226" s="10"/>
    </row>
    <row r="10227" spans="1:26" ht="12.75">
      <c r="A10227" s="10"/>
      <c r="B10227" s="10"/>
      <c r="C10227" s="10"/>
      <c r="D10227" s="10"/>
      <c r="E10227" s="10"/>
      <c r="F10227" s="10"/>
      <c r="G10227" s="10"/>
      <c r="H10227" s="10"/>
      <c r="I10227" s="10"/>
      <c r="J10227" s="10"/>
      <c r="K10227" s="10"/>
      <c r="L10227" s="10"/>
      <c r="M10227" s="10"/>
      <c r="N10227" s="10"/>
      <c r="O10227" s="10"/>
      <c r="P10227" s="10"/>
      <c r="Q10227" s="10"/>
      <c r="R10227" s="10"/>
      <c r="S10227" s="10"/>
      <c r="T10227" s="10"/>
      <c r="U10227" s="10"/>
      <c r="V10227" s="10"/>
      <c r="W10227" s="10"/>
      <c r="X10227" s="10"/>
      <c r="Y10227" s="10"/>
      <c r="Z10227" s="10"/>
    </row>
    <row r="10228" spans="1:26" ht="12.75">
      <c r="A10228" s="10"/>
      <c r="B10228" s="10"/>
      <c r="C10228" s="10"/>
      <c r="D10228" s="10"/>
      <c r="E10228" s="10"/>
      <c r="F10228" s="10"/>
      <c r="G10228" s="10"/>
      <c r="H10228" s="10"/>
      <c r="I10228" s="10"/>
      <c r="J10228" s="10"/>
      <c r="K10228" s="10"/>
      <c r="L10228" s="10"/>
      <c r="M10228" s="10"/>
      <c r="N10228" s="10"/>
      <c r="O10228" s="10"/>
      <c r="P10228" s="10"/>
      <c r="Q10228" s="10"/>
      <c r="R10228" s="10"/>
      <c r="S10228" s="10"/>
      <c r="T10228" s="10"/>
      <c r="U10228" s="10"/>
      <c r="V10228" s="10"/>
      <c r="W10228" s="10"/>
      <c r="X10228" s="10"/>
      <c r="Y10228" s="10"/>
      <c r="Z10228" s="10"/>
    </row>
    <row r="10229" spans="1:26" ht="12.75">
      <c r="A10229" s="10"/>
      <c r="B10229" s="10"/>
      <c r="C10229" s="10"/>
      <c r="D10229" s="10"/>
      <c r="E10229" s="10"/>
      <c r="F10229" s="10"/>
      <c r="G10229" s="10"/>
      <c r="H10229" s="10"/>
      <c r="I10229" s="10"/>
      <c r="J10229" s="10"/>
      <c r="K10229" s="10"/>
      <c r="L10229" s="10"/>
      <c r="M10229" s="10"/>
      <c r="N10229" s="10"/>
      <c r="O10229" s="10"/>
      <c r="P10229" s="10"/>
      <c r="Q10229" s="10"/>
      <c r="R10229" s="10"/>
      <c r="S10229" s="10"/>
      <c r="T10229" s="10"/>
      <c r="U10229" s="10"/>
      <c r="V10229" s="10"/>
      <c r="W10229" s="10"/>
      <c r="X10229" s="10"/>
      <c r="Y10229" s="10"/>
      <c r="Z10229" s="10"/>
    </row>
    <row r="10230" spans="1:26" ht="12.75">
      <c r="A10230" s="10"/>
      <c r="B10230" s="10"/>
      <c r="C10230" s="10"/>
      <c r="D10230" s="10"/>
      <c r="E10230" s="10"/>
      <c r="F10230" s="10"/>
      <c r="G10230" s="10"/>
      <c r="H10230" s="10"/>
      <c r="I10230" s="10"/>
      <c r="J10230" s="10"/>
      <c r="K10230" s="10"/>
      <c r="L10230" s="10"/>
      <c r="M10230" s="10"/>
      <c r="N10230" s="10"/>
      <c r="O10230" s="10"/>
      <c r="P10230" s="10"/>
      <c r="Q10230" s="10"/>
      <c r="R10230" s="10"/>
      <c r="S10230" s="10"/>
      <c r="T10230" s="10"/>
      <c r="U10230" s="10"/>
      <c r="V10230" s="10"/>
      <c r="W10230" s="10"/>
      <c r="X10230" s="10"/>
      <c r="Y10230" s="10"/>
      <c r="Z10230" s="10"/>
    </row>
    <row r="10231" spans="1:26" ht="12.75">
      <c r="A10231" s="10"/>
      <c r="B10231" s="10"/>
      <c r="C10231" s="10"/>
      <c r="D10231" s="10"/>
      <c r="E10231" s="10"/>
      <c r="F10231" s="10"/>
      <c r="G10231" s="10"/>
      <c r="H10231" s="10"/>
      <c r="I10231" s="10"/>
      <c r="J10231" s="10"/>
      <c r="K10231" s="10"/>
      <c r="L10231" s="10"/>
      <c r="M10231" s="10"/>
      <c r="N10231" s="10"/>
      <c r="O10231" s="10"/>
      <c r="P10231" s="10"/>
      <c r="Q10231" s="10"/>
      <c r="R10231" s="10"/>
      <c r="S10231" s="10"/>
      <c r="T10231" s="10"/>
      <c r="U10231" s="10"/>
      <c r="V10231" s="10"/>
      <c r="W10231" s="10"/>
      <c r="X10231" s="10"/>
      <c r="Y10231" s="10"/>
      <c r="Z10231" s="10"/>
    </row>
    <row r="10232" spans="1:26" ht="12.75">
      <c r="A10232" s="10"/>
      <c r="B10232" s="10"/>
      <c r="C10232" s="10"/>
      <c r="D10232" s="10"/>
      <c r="E10232" s="10"/>
      <c r="F10232" s="10"/>
      <c r="G10232" s="10"/>
      <c r="H10232" s="10"/>
      <c r="I10232" s="10"/>
      <c r="J10232" s="10"/>
      <c r="K10232" s="10"/>
      <c r="L10232" s="10"/>
      <c r="M10232" s="10"/>
      <c r="N10232" s="10"/>
      <c r="O10232" s="10"/>
      <c r="P10232" s="10"/>
      <c r="Q10232" s="10"/>
      <c r="R10232" s="10"/>
      <c r="S10232" s="10"/>
      <c r="T10232" s="10"/>
      <c r="U10232" s="10"/>
      <c r="V10232" s="10"/>
      <c r="W10232" s="10"/>
      <c r="X10232" s="10"/>
      <c r="Y10232" s="10"/>
      <c r="Z10232" s="10"/>
    </row>
    <row r="10233" spans="1:26" ht="12.75">
      <c r="A10233" s="10"/>
      <c r="B10233" s="10"/>
      <c r="C10233" s="10"/>
      <c r="D10233" s="10"/>
      <c r="E10233" s="10"/>
      <c r="F10233" s="10"/>
      <c r="G10233" s="10"/>
      <c r="H10233" s="10"/>
      <c r="I10233" s="10"/>
      <c r="J10233" s="10"/>
      <c r="K10233" s="10"/>
      <c r="L10233" s="10"/>
      <c r="M10233" s="10"/>
      <c r="N10233" s="10"/>
      <c r="O10233" s="10"/>
      <c r="P10233" s="10"/>
      <c r="Q10233" s="10"/>
      <c r="R10233" s="10"/>
      <c r="S10233" s="10"/>
      <c r="T10233" s="10"/>
      <c r="U10233" s="10"/>
      <c r="V10233" s="10"/>
      <c r="W10233" s="10"/>
      <c r="X10233" s="10"/>
      <c r="Y10233" s="10"/>
      <c r="Z10233" s="10"/>
    </row>
    <row r="10234" spans="1:26" ht="12.75">
      <c r="A10234" s="10"/>
      <c r="B10234" s="10"/>
      <c r="C10234" s="10"/>
      <c r="D10234" s="10"/>
      <c r="E10234" s="10"/>
      <c r="F10234" s="10"/>
      <c r="G10234" s="10"/>
      <c r="H10234" s="10"/>
      <c r="I10234" s="10"/>
      <c r="J10234" s="10"/>
      <c r="K10234" s="10"/>
      <c r="L10234" s="10"/>
      <c r="M10234" s="10"/>
      <c r="N10234" s="10"/>
      <c r="O10234" s="10"/>
      <c r="P10234" s="10"/>
      <c r="Q10234" s="10"/>
      <c r="R10234" s="10"/>
      <c r="S10234" s="10"/>
      <c r="T10234" s="10"/>
      <c r="U10234" s="10"/>
      <c r="V10234" s="10"/>
      <c r="W10234" s="10"/>
      <c r="X10234" s="10"/>
      <c r="Y10234" s="10"/>
      <c r="Z10234" s="10"/>
    </row>
    <row r="10235" spans="1:26" ht="12.75">
      <c r="A10235" s="10"/>
      <c r="B10235" s="10"/>
      <c r="C10235" s="10"/>
      <c r="D10235" s="10"/>
      <c r="E10235" s="10"/>
      <c r="F10235" s="10"/>
      <c r="G10235" s="10"/>
      <c r="H10235" s="10"/>
      <c r="I10235" s="10"/>
      <c r="J10235" s="10"/>
      <c r="K10235" s="10"/>
      <c r="L10235" s="10"/>
      <c r="M10235" s="10"/>
      <c r="N10235" s="10"/>
      <c r="O10235" s="10"/>
      <c r="P10235" s="10"/>
      <c r="Q10235" s="10"/>
      <c r="R10235" s="10"/>
      <c r="S10235" s="10"/>
      <c r="T10235" s="10"/>
      <c r="U10235" s="10"/>
      <c r="V10235" s="10"/>
      <c r="W10235" s="10"/>
      <c r="X10235" s="10"/>
      <c r="Y10235" s="10"/>
      <c r="Z10235" s="10"/>
    </row>
    <row r="10236" spans="1:26" ht="12.75">
      <c r="A10236" s="10"/>
      <c r="B10236" s="10"/>
      <c r="C10236" s="10"/>
      <c r="D10236" s="10"/>
      <c r="E10236" s="10"/>
      <c r="F10236" s="10"/>
      <c r="G10236" s="10"/>
      <c r="H10236" s="10"/>
      <c r="I10236" s="10"/>
      <c r="J10236" s="10"/>
      <c r="K10236" s="10"/>
      <c r="L10236" s="10"/>
      <c r="M10236" s="10"/>
      <c r="N10236" s="10"/>
      <c r="O10236" s="10"/>
      <c r="P10236" s="10"/>
      <c r="Q10236" s="10"/>
      <c r="R10236" s="10"/>
      <c r="S10236" s="10"/>
      <c r="T10236" s="10"/>
      <c r="U10236" s="10"/>
      <c r="V10236" s="10"/>
      <c r="W10236" s="10"/>
      <c r="X10236" s="10"/>
      <c r="Y10236" s="10"/>
      <c r="Z10236" s="10"/>
    </row>
    <row r="10237" spans="1:26" ht="12.75">
      <c r="A10237" s="10"/>
      <c r="B10237" s="10"/>
      <c r="C10237" s="10"/>
      <c r="D10237" s="10"/>
      <c r="E10237" s="10"/>
      <c r="F10237" s="10"/>
      <c r="G10237" s="10"/>
      <c r="H10237" s="10"/>
      <c r="I10237" s="10"/>
      <c r="J10237" s="10"/>
      <c r="K10237" s="10"/>
      <c r="L10237" s="10"/>
      <c r="M10237" s="10"/>
      <c r="N10237" s="10"/>
      <c r="O10237" s="10"/>
      <c r="P10237" s="10"/>
      <c r="Q10237" s="10"/>
      <c r="R10237" s="10"/>
      <c r="S10237" s="10"/>
      <c r="T10237" s="10"/>
      <c r="U10237" s="10"/>
      <c r="V10237" s="10"/>
      <c r="W10237" s="10"/>
      <c r="X10237" s="10"/>
      <c r="Y10237" s="10"/>
      <c r="Z10237" s="10"/>
    </row>
    <row r="10238" spans="1:26" ht="12.75">
      <c r="A10238" s="10"/>
      <c r="B10238" s="10"/>
      <c r="C10238" s="10"/>
      <c r="D10238" s="10"/>
      <c r="E10238" s="10"/>
      <c r="F10238" s="10"/>
      <c r="G10238" s="10"/>
      <c r="H10238" s="10"/>
      <c r="I10238" s="10"/>
      <c r="J10238" s="10"/>
      <c r="K10238" s="10"/>
      <c r="L10238" s="10"/>
      <c r="M10238" s="10"/>
      <c r="N10238" s="10"/>
      <c r="O10238" s="10"/>
      <c r="P10238" s="10"/>
      <c r="Q10238" s="10"/>
      <c r="R10238" s="10"/>
      <c r="S10238" s="10"/>
      <c r="T10238" s="10"/>
      <c r="U10238" s="10"/>
      <c r="V10238" s="10"/>
      <c r="W10238" s="10"/>
      <c r="X10238" s="10"/>
      <c r="Y10238" s="10"/>
      <c r="Z10238" s="10"/>
    </row>
    <row r="10239" spans="1:26" ht="12.75">
      <c r="A10239" s="10"/>
      <c r="B10239" s="10"/>
      <c r="C10239" s="10"/>
      <c r="D10239" s="10"/>
      <c r="E10239" s="10"/>
      <c r="F10239" s="10"/>
      <c r="G10239" s="10"/>
      <c r="H10239" s="10"/>
      <c r="I10239" s="10"/>
      <c r="J10239" s="10"/>
      <c r="K10239" s="10"/>
      <c r="L10239" s="10"/>
      <c r="M10239" s="10"/>
      <c r="N10239" s="10"/>
      <c r="O10239" s="10"/>
      <c r="P10239" s="10"/>
      <c r="Q10239" s="10"/>
      <c r="R10239" s="10"/>
      <c r="S10239" s="10"/>
      <c r="T10239" s="10"/>
      <c r="U10239" s="10"/>
      <c r="V10239" s="10"/>
      <c r="W10239" s="10"/>
      <c r="X10239" s="10"/>
      <c r="Y10239" s="10"/>
      <c r="Z10239" s="10"/>
    </row>
    <row r="10240" spans="1:26" ht="12.75">
      <c r="A10240" s="10"/>
      <c r="B10240" s="10"/>
      <c r="C10240" s="10"/>
      <c r="D10240" s="10"/>
      <c r="E10240" s="10"/>
      <c r="F10240" s="10"/>
      <c r="G10240" s="10"/>
      <c r="H10240" s="10"/>
      <c r="I10240" s="10"/>
      <c r="J10240" s="10"/>
      <c r="K10240" s="10"/>
      <c r="L10240" s="10"/>
      <c r="M10240" s="10"/>
      <c r="N10240" s="10"/>
      <c r="O10240" s="10"/>
      <c r="P10240" s="10"/>
      <c r="Q10240" s="10"/>
      <c r="R10240" s="10"/>
      <c r="S10240" s="10"/>
      <c r="T10240" s="10"/>
      <c r="U10240" s="10"/>
      <c r="V10240" s="10"/>
      <c r="W10240" s="10"/>
      <c r="X10240" s="10"/>
      <c r="Y10240" s="10"/>
      <c r="Z10240" s="10"/>
    </row>
    <row r="10241" spans="1:26" ht="12.75">
      <c r="A10241" s="10"/>
      <c r="B10241" s="10"/>
      <c r="C10241" s="10"/>
      <c r="D10241" s="10"/>
      <c r="E10241" s="10"/>
      <c r="F10241" s="10"/>
      <c r="G10241" s="10"/>
      <c r="H10241" s="10"/>
      <c r="I10241" s="10"/>
      <c r="J10241" s="10"/>
      <c r="K10241" s="10"/>
      <c r="L10241" s="10"/>
      <c r="M10241" s="10"/>
      <c r="N10241" s="10"/>
      <c r="O10241" s="10"/>
      <c r="P10241" s="10"/>
      <c r="Q10241" s="10"/>
      <c r="R10241" s="10"/>
      <c r="S10241" s="10"/>
      <c r="T10241" s="10"/>
      <c r="U10241" s="10"/>
      <c r="V10241" s="10"/>
      <c r="W10241" s="10"/>
      <c r="X10241" s="10"/>
      <c r="Y10241" s="10"/>
      <c r="Z10241" s="10"/>
    </row>
    <row r="10242" spans="1:26" ht="12.75">
      <c r="A10242" s="10"/>
      <c r="B10242" s="10"/>
      <c r="C10242" s="10"/>
      <c r="D10242" s="10"/>
      <c r="E10242" s="10"/>
      <c r="F10242" s="10"/>
      <c r="G10242" s="10"/>
      <c r="H10242" s="10"/>
      <c r="I10242" s="10"/>
      <c r="J10242" s="10"/>
      <c r="K10242" s="10"/>
      <c r="L10242" s="10"/>
      <c r="M10242" s="10"/>
      <c r="N10242" s="10"/>
      <c r="O10242" s="10"/>
      <c r="P10242" s="10"/>
      <c r="Q10242" s="10"/>
      <c r="R10242" s="10"/>
      <c r="S10242" s="10"/>
      <c r="T10242" s="10"/>
      <c r="U10242" s="10"/>
      <c r="V10242" s="10"/>
      <c r="W10242" s="10"/>
      <c r="X10242" s="10"/>
      <c r="Y10242" s="10"/>
      <c r="Z10242" s="10"/>
    </row>
    <row r="10243" spans="1:26" ht="12.75">
      <c r="A10243" s="10"/>
      <c r="B10243" s="10"/>
      <c r="C10243" s="10"/>
      <c r="D10243" s="10"/>
      <c r="E10243" s="10"/>
      <c r="F10243" s="10"/>
      <c r="G10243" s="10"/>
      <c r="H10243" s="10"/>
      <c r="I10243" s="10"/>
      <c r="J10243" s="10"/>
      <c r="K10243" s="10"/>
      <c r="L10243" s="10"/>
      <c r="M10243" s="10"/>
      <c r="N10243" s="10"/>
      <c r="O10243" s="10"/>
      <c r="P10243" s="10"/>
      <c r="Q10243" s="10"/>
      <c r="R10243" s="10"/>
      <c r="S10243" s="10"/>
      <c r="T10243" s="10"/>
      <c r="U10243" s="10"/>
      <c r="V10243" s="10"/>
      <c r="W10243" s="10"/>
      <c r="X10243" s="10"/>
      <c r="Y10243" s="10"/>
      <c r="Z10243" s="10"/>
    </row>
    <row r="10244" spans="1:26" ht="12.75">
      <c r="A10244" s="10"/>
      <c r="B10244" s="10"/>
      <c r="C10244" s="10"/>
      <c r="D10244" s="10"/>
      <c r="E10244" s="10"/>
      <c r="F10244" s="10"/>
      <c r="G10244" s="10"/>
      <c r="H10244" s="10"/>
      <c r="I10244" s="10"/>
      <c r="J10244" s="10"/>
      <c r="K10244" s="10"/>
      <c r="L10244" s="10"/>
      <c r="M10244" s="10"/>
      <c r="N10244" s="10"/>
      <c r="O10244" s="10"/>
      <c r="P10244" s="10"/>
      <c r="Q10244" s="10"/>
      <c r="R10244" s="10"/>
      <c r="S10244" s="10"/>
      <c r="T10244" s="10"/>
      <c r="U10244" s="10"/>
      <c r="V10244" s="10"/>
      <c r="W10244" s="10"/>
      <c r="X10244" s="10"/>
      <c r="Y10244" s="10"/>
      <c r="Z10244" s="10"/>
    </row>
    <row r="10245" spans="1:26" ht="12.75">
      <c r="A10245" s="10"/>
      <c r="B10245" s="10"/>
      <c r="C10245" s="10"/>
      <c r="D10245" s="10"/>
      <c r="E10245" s="10"/>
      <c r="F10245" s="10"/>
      <c r="G10245" s="10"/>
      <c r="H10245" s="10"/>
      <c r="I10245" s="10"/>
      <c r="J10245" s="10"/>
      <c r="K10245" s="10"/>
      <c r="L10245" s="10"/>
      <c r="M10245" s="10"/>
      <c r="N10245" s="10"/>
      <c r="O10245" s="10"/>
      <c r="P10245" s="10"/>
      <c r="Q10245" s="10"/>
      <c r="R10245" s="10"/>
      <c r="S10245" s="10"/>
      <c r="T10245" s="10"/>
      <c r="U10245" s="10"/>
      <c r="V10245" s="10"/>
      <c r="W10245" s="10"/>
      <c r="X10245" s="10"/>
      <c r="Y10245" s="10"/>
      <c r="Z10245" s="10"/>
    </row>
    <row r="10246" spans="1:26" ht="12.75">
      <c r="A10246" s="10"/>
      <c r="B10246" s="10"/>
      <c r="C10246" s="10"/>
      <c r="D10246" s="10"/>
      <c r="E10246" s="10"/>
      <c r="F10246" s="10"/>
      <c r="G10246" s="10"/>
      <c r="H10246" s="10"/>
      <c r="I10246" s="10"/>
      <c r="J10246" s="10"/>
      <c r="K10246" s="10"/>
      <c r="L10246" s="10"/>
      <c r="M10246" s="10"/>
      <c r="N10246" s="10"/>
      <c r="O10246" s="10"/>
      <c r="P10246" s="10"/>
      <c r="Q10246" s="10"/>
      <c r="R10246" s="10"/>
      <c r="S10246" s="10"/>
      <c r="T10246" s="10"/>
      <c r="U10246" s="10"/>
      <c r="V10246" s="10"/>
      <c r="W10246" s="10"/>
      <c r="X10246" s="10"/>
      <c r="Y10246" s="10"/>
      <c r="Z10246" s="10"/>
    </row>
    <row r="10247" spans="1:26" ht="12.75">
      <c r="A10247" s="10"/>
      <c r="B10247" s="10"/>
      <c r="C10247" s="10"/>
      <c r="D10247" s="10"/>
      <c r="E10247" s="10"/>
      <c r="F10247" s="10"/>
      <c r="G10247" s="10"/>
      <c r="H10247" s="10"/>
      <c r="I10247" s="10"/>
      <c r="J10247" s="10"/>
      <c r="K10247" s="10"/>
      <c r="L10247" s="10"/>
      <c r="M10247" s="10"/>
      <c r="N10247" s="10"/>
      <c r="O10247" s="10"/>
      <c r="P10247" s="10"/>
      <c r="Q10247" s="10"/>
      <c r="R10247" s="10"/>
      <c r="S10247" s="10"/>
      <c r="T10247" s="10"/>
      <c r="U10247" s="10"/>
      <c r="V10247" s="10"/>
      <c r="W10247" s="10"/>
      <c r="X10247" s="10"/>
      <c r="Y10247" s="10"/>
      <c r="Z10247" s="10"/>
    </row>
    <row r="10248" spans="1:26" ht="12.75">
      <c r="A10248" s="10"/>
      <c r="B10248" s="10"/>
      <c r="C10248" s="10"/>
      <c r="D10248" s="10"/>
      <c r="E10248" s="10"/>
      <c r="F10248" s="10"/>
      <c r="G10248" s="10"/>
      <c r="H10248" s="10"/>
      <c r="I10248" s="10"/>
      <c r="J10248" s="10"/>
      <c r="K10248" s="10"/>
      <c r="L10248" s="10"/>
      <c r="M10248" s="10"/>
      <c r="N10248" s="10"/>
      <c r="O10248" s="10"/>
      <c r="P10248" s="10"/>
      <c r="Q10248" s="10"/>
      <c r="R10248" s="10"/>
      <c r="S10248" s="10"/>
      <c r="T10248" s="10"/>
      <c r="U10248" s="10"/>
      <c r="V10248" s="10"/>
      <c r="W10248" s="10"/>
      <c r="X10248" s="10"/>
      <c r="Y10248" s="10"/>
      <c r="Z10248" s="10"/>
    </row>
    <row r="10249" spans="1:26" ht="12.75">
      <c r="A10249" s="10"/>
      <c r="B10249" s="10"/>
      <c r="C10249" s="10"/>
      <c r="D10249" s="10"/>
      <c r="E10249" s="10"/>
      <c r="F10249" s="10"/>
      <c r="G10249" s="10"/>
      <c r="H10249" s="10"/>
      <c r="I10249" s="10"/>
      <c r="J10249" s="10"/>
      <c r="K10249" s="10"/>
      <c r="L10249" s="10"/>
      <c r="M10249" s="10"/>
      <c r="N10249" s="10"/>
      <c r="O10249" s="10"/>
      <c r="P10249" s="10"/>
      <c r="Q10249" s="10"/>
      <c r="R10249" s="10"/>
      <c r="S10249" s="10"/>
      <c r="T10249" s="10"/>
      <c r="U10249" s="10"/>
      <c r="V10249" s="10"/>
      <c r="W10249" s="10"/>
      <c r="X10249" s="10"/>
      <c r="Y10249" s="10"/>
      <c r="Z10249" s="10"/>
    </row>
    <row r="10250" spans="1:26" ht="12.75">
      <c r="A10250" s="10"/>
      <c r="B10250" s="10"/>
      <c r="C10250" s="10"/>
      <c r="D10250" s="10"/>
      <c r="E10250" s="10"/>
      <c r="F10250" s="10"/>
      <c r="G10250" s="10"/>
      <c r="H10250" s="10"/>
      <c r="I10250" s="10"/>
      <c r="J10250" s="10"/>
      <c r="K10250" s="10"/>
      <c r="L10250" s="10"/>
      <c r="M10250" s="10"/>
      <c r="N10250" s="10"/>
      <c r="O10250" s="10"/>
      <c r="P10250" s="10"/>
      <c r="Q10250" s="10"/>
      <c r="R10250" s="10"/>
      <c r="S10250" s="10"/>
      <c r="T10250" s="10"/>
      <c r="U10250" s="10"/>
      <c r="V10250" s="10"/>
      <c r="W10250" s="10"/>
      <c r="X10250" s="10"/>
      <c r="Y10250" s="10"/>
      <c r="Z10250" s="10"/>
    </row>
    <row r="10251" spans="1:26" ht="12.75">
      <c r="A10251" s="10"/>
      <c r="B10251" s="10"/>
      <c r="C10251" s="10"/>
      <c r="D10251" s="10"/>
      <c r="E10251" s="10"/>
      <c r="F10251" s="10"/>
      <c r="G10251" s="10"/>
      <c r="H10251" s="10"/>
      <c r="I10251" s="10"/>
      <c r="J10251" s="10"/>
      <c r="K10251" s="10"/>
      <c r="L10251" s="10"/>
      <c r="M10251" s="10"/>
      <c r="N10251" s="10"/>
      <c r="O10251" s="10"/>
      <c r="P10251" s="10"/>
      <c r="Q10251" s="10"/>
      <c r="R10251" s="10"/>
      <c r="S10251" s="10"/>
      <c r="T10251" s="10"/>
      <c r="U10251" s="10"/>
      <c r="V10251" s="10"/>
      <c r="W10251" s="10"/>
      <c r="X10251" s="10"/>
      <c r="Y10251" s="10"/>
      <c r="Z10251" s="10"/>
    </row>
    <row r="10252" spans="1:26" ht="12.75">
      <c r="A10252" s="10"/>
      <c r="B10252" s="10"/>
      <c r="C10252" s="10"/>
      <c r="D10252" s="10"/>
      <c r="E10252" s="10"/>
      <c r="F10252" s="10"/>
      <c r="G10252" s="10"/>
      <c r="H10252" s="10"/>
      <c r="I10252" s="10"/>
      <c r="J10252" s="10"/>
      <c r="K10252" s="10"/>
      <c r="L10252" s="10"/>
      <c r="M10252" s="10"/>
      <c r="N10252" s="10"/>
      <c r="O10252" s="10"/>
      <c r="P10252" s="10"/>
      <c r="Q10252" s="10"/>
      <c r="R10252" s="10"/>
      <c r="S10252" s="10"/>
      <c r="T10252" s="10"/>
      <c r="U10252" s="10"/>
      <c r="V10252" s="10"/>
      <c r="W10252" s="10"/>
      <c r="X10252" s="10"/>
      <c r="Y10252" s="10"/>
      <c r="Z10252" s="10"/>
    </row>
    <row r="10253" spans="1:26" ht="12.75">
      <c r="A10253" s="10"/>
      <c r="B10253" s="10"/>
      <c r="C10253" s="10"/>
      <c r="D10253" s="10"/>
      <c r="E10253" s="10"/>
      <c r="F10253" s="10"/>
      <c r="G10253" s="10"/>
      <c r="H10253" s="10"/>
      <c r="I10253" s="10"/>
      <c r="J10253" s="10"/>
      <c r="K10253" s="10"/>
      <c r="L10253" s="10"/>
      <c r="M10253" s="10"/>
      <c r="N10253" s="10"/>
      <c r="O10253" s="10"/>
      <c r="P10253" s="10"/>
      <c r="Q10253" s="10"/>
      <c r="R10253" s="10"/>
      <c r="S10253" s="10"/>
      <c r="T10253" s="10"/>
      <c r="U10253" s="10"/>
      <c r="V10253" s="10"/>
      <c r="W10253" s="10"/>
      <c r="X10253" s="10"/>
      <c r="Y10253" s="10"/>
      <c r="Z10253" s="10"/>
    </row>
    <row r="10254" spans="1:26" ht="12.75">
      <c r="A10254" s="10"/>
      <c r="B10254" s="10"/>
      <c r="C10254" s="10"/>
      <c r="D10254" s="10"/>
      <c r="E10254" s="10"/>
      <c r="F10254" s="10"/>
      <c r="G10254" s="10"/>
      <c r="H10254" s="10"/>
      <c r="I10254" s="10"/>
      <c r="J10254" s="10"/>
      <c r="K10254" s="10"/>
      <c r="L10254" s="10"/>
      <c r="M10254" s="10"/>
      <c r="N10254" s="10"/>
      <c r="O10254" s="10"/>
      <c r="P10254" s="10"/>
      <c r="Q10254" s="10"/>
      <c r="R10254" s="10"/>
      <c r="S10254" s="10"/>
      <c r="T10254" s="10"/>
      <c r="U10254" s="10"/>
      <c r="V10254" s="10"/>
      <c r="W10254" s="10"/>
      <c r="X10254" s="10"/>
      <c r="Y10254" s="10"/>
      <c r="Z10254" s="10"/>
    </row>
    <row r="10255" spans="1:26" ht="12.75">
      <c r="A10255" s="10"/>
      <c r="B10255" s="10"/>
      <c r="C10255" s="10"/>
      <c r="D10255" s="10"/>
      <c r="E10255" s="10"/>
      <c r="F10255" s="10"/>
      <c r="G10255" s="10"/>
      <c r="H10255" s="10"/>
      <c r="I10255" s="10"/>
      <c r="J10255" s="10"/>
      <c r="K10255" s="10"/>
      <c r="L10255" s="10"/>
      <c r="M10255" s="10"/>
      <c r="N10255" s="10"/>
      <c r="O10255" s="10"/>
      <c r="P10255" s="10"/>
      <c r="Q10255" s="10"/>
      <c r="R10255" s="10"/>
      <c r="S10255" s="10"/>
      <c r="T10255" s="10"/>
      <c r="U10255" s="10"/>
      <c r="V10255" s="10"/>
      <c r="W10255" s="10"/>
      <c r="X10255" s="10"/>
      <c r="Y10255" s="10"/>
      <c r="Z10255" s="10"/>
    </row>
    <row r="10256" spans="1:26" ht="12.75">
      <c r="A10256" s="10"/>
      <c r="B10256" s="10"/>
      <c r="C10256" s="10"/>
      <c r="D10256" s="10"/>
      <c r="E10256" s="10"/>
      <c r="F10256" s="10"/>
      <c r="G10256" s="10"/>
      <c r="H10256" s="10"/>
      <c r="I10256" s="10"/>
      <c r="J10256" s="10"/>
      <c r="K10256" s="10"/>
      <c r="L10256" s="10"/>
      <c r="M10256" s="10"/>
      <c r="N10256" s="10"/>
      <c r="O10256" s="10"/>
      <c r="P10256" s="10"/>
      <c r="Q10256" s="10"/>
      <c r="R10256" s="10"/>
      <c r="S10256" s="10"/>
      <c r="T10256" s="10"/>
      <c r="U10256" s="10"/>
      <c r="V10256" s="10"/>
      <c r="W10256" s="10"/>
      <c r="X10256" s="10"/>
      <c r="Y10256" s="10"/>
      <c r="Z10256" s="10"/>
    </row>
    <row r="10257" spans="1:26" ht="12.75">
      <c r="A10257" s="10"/>
      <c r="B10257" s="10"/>
      <c r="C10257" s="10"/>
      <c r="D10257" s="10"/>
      <c r="E10257" s="10"/>
      <c r="F10257" s="10"/>
      <c r="G10257" s="10"/>
      <c r="H10257" s="10"/>
      <c r="I10257" s="10"/>
      <c r="J10257" s="10"/>
      <c r="K10257" s="10"/>
      <c r="L10257" s="10"/>
      <c r="M10257" s="10"/>
      <c r="N10257" s="10"/>
      <c r="O10257" s="10"/>
      <c r="P10257" s="10"/>
      <c r="Q10257" s="10"/>
      <c r="R10257" s="10"/>
      <c r="S10257" s="10"/>
      <c r="T10257" s="10"/>
      <c r="U10257" s="10"/>
      <c r="V10257" s="10"/>
      <c r="W10257" s="10"/>
      <c r="X10257" s="10"/>
      <c r="Y10257" s="10"/>
      <c r="Z10257" s="10"/>
    </row>
    <row r="10258" spans="1:26" ht="12.75">
      <c r="A10258" s="10"/>
      <c r="B10258" s="10"/>
      <c r="C10258" s="10"/>
      <c r="D10258" s="10"/>
      <c r="E10258" s="10"/>
      <c r="F10258" s="10"/>
      <c r="G10258" s="10"/>
      <c r="H10258" s="10"/>
      <c r="I10258" s="10"/>
      <c r="J10258" s="10"/>
      <c r="K10258" s="10"/>
      <c r="L10258" s="10"/>
      <c r="M10258" s="10"/>
      <c r="N10258" s="10"/>
      <c r="O10258" s="10"/>
      <c r="P10258" s="10"/>
      <c r="Q10258" s="10"/>
      <c r="R10258" s="10"/>
      <c r="S10258" s="10"/>
      <c r="T10258" s="10"/>
      <c r="U10258" s="10"/>
      <c r="V10258" s="10"/>
      <c r="W10258" s="10"/>
      <c r="X10258" s="10"/>
      <c r="Y10258" s="10"/>
      <c r="Z10258" s="10"/>
    </row>
    <row r="10259" spans="1:26" ht="12.75">
      <c r="A10259" s="10"/>
      <c r="B10259" s="10"/>
      <c r="C10259" s="10"/>
      <c r="D10259" s="10"/>
      <c r="E10259" s="10"/>
      <c r="F10259" s="10"/>
      <c r="G10259" s="10"/>
      <c r="H10259" s="10"/>
      <c r="I10259" s="10"/>
      <c r="J10259" s="10"/>
      <c r="K10259" s="10"/>
      <c r="L10259" s="10"/>
      <c r="M10259" s="10"/>
      <c r="N10259" s="10"/>
      <c r="O10259" s="10"/>
      <c r="P10259" s="10"/>
      <c r="Q10259" s="10"/>
      <c r="R10259" s="10"/>
      <c r="S10259" s="10"/>
      <c r="T10259" s="10"/>
      <c r="U10259" s="10"/>
      <c r="V10259" s="10"/>
      <c r="W10259" s="10"/>
      <c r="X10259" s="10"/>
      <c r="Y10259" s="10"/>
      <c r="Z10259" s="10"/>
    </row>
    <row r="10260" spans="1:26" ht="12.75">
      <c r="A10260" s="10"/>
      <c r="B10260" s="10"/>
      <c r="C10260" s="10"/>
      <c r="D10260" s="10"/>
      <c r="E10260" s="10"/>
      <c r="F10260" s="10"/>
      <c r="G10260" s="10"/>
      <c r="H10260" s="10"/>
      <c r="I10260" s="10"/>
      <c r="J10260" s="10"/>
      <c r="K10260" s="10"/>
      <c r="L10260" s="10"/>
      <c r="M10260" s="10"/>
      <c r="N10260" s="10"/>
      <c r="O10260" s="10"/>
      <c r="P10260" s="10"/>
      <c r="Q10260" s="10"/>
      <c r="R10260" s="10"/>
      <c r="S10260" s="10"/>
      <c r="T10260" s="10"/>
      <c r="U10260" s="10"/>
      <c r="V10260" s="10"/>
      <c r="W10260" s="10"/>
      <c r="X10260" s="10"/>
      <c r="Y10260" s="10"/>
      <c r="Z10260" s="10"/>
    </row>
    <row r="10261" spans="1:26" ht="12.75">
      <c r="A10261" s="10"/>
      <c r="B10261" s="10"/>
      <c r="C10261" s="10"/>
      <c r="D10261" s="10"/>
      <c r="E10261" s="10"/>
      <c r="F10261" s="10"/>
      <c r="G10261" s="10"/>
      <c r="H10261" s="10"/>
      <c r="I10261" s="10"/>
      <c r="J10261" s="10"/>
      <c r="K10261" s="10"/>
      <c r="L10261" s="10"/>
      <c r="M10261" s="10"/>
      <c r="N10261" s="10"/>
      <c r="O10261" s="10"/>
      <c r="P10261" s="10"/>
      <c r="Q10261" s="10"/>
      <c r="R10261" s="10"/>
      <c r="S10261" s="10"/>
      <c r="T10261" s="10"/>
      <c r="U10261" s="10"/>
      <c r="V10261" s="10"/>
      <c r="W10261" s="10"/>
      <c r="X10261" s="10"/>
      <c r="Y10261" s="10"/>
      <c r="Z10261" s="10"/>
    </row>
    <row r="10262" spans="1:26" ht="12.75">
      <c r="A10262" s="10"/>
      <c r="B10262" s="10"/>
      <c r="C10262" s="10"/>
      <c r="D10262" s="10"/>
      <c r="E10262" s="10"/>
      <c r="F10262" s="10"/>
      <c r="G10262" s="10"/>
      <c r="H10262" s="10"/>
      <c r="I10262" s="10"/>
      <c r="J10262" s="10"/>
      <c r="K10262" s="10"/>
      <c r="L10262" s="10"/>
      <c r="M10262" s="10"/>
      <c r="N10262" s="10"/>
      <c r="O10262" s="10"/>
      <c r="P10262" s="10"/>
      <c r="Q10262" s="10"/>
      <c r="R10262" s="10"/>
      <c r="S10262" s="10"/>
      <c r="T10262" s="10"/>
      <c r="U10262" s="10"/>
      <c r="V10262" s="10"/>
      <c r="W10262" s="10"/>
      <c r="X10262" s="10"/>
      <c r="Y10262" s="10"/>
      <c r="Z10262" s="10"/>
    </row>
    <row r="10263" spans="1:26" ht="12.75">
      <c r="A10263" s="10"/>
      <c r="B10263" s="10"/>
      <c r="C10263" s="10"/>
      <c r="D10263" s="10"/>
      <c r="E10263" s="10"/>
      <c r="F10263" s="10"/>
      <c r="G10263" s="10"/>
      <c r="H10263" s="10"/>
      <c r="I10263" s="10"/>
      <c r="J10263" s="10"/>
      <c r="K10263" s="10"/>
      <c r="L10263" s="10"/>
      <c r="M10263" s="10"/>
      <c r="N10263" s="10"/>
      <c r="O10263" s="10"/>
      <c r="P10263" s="10"/>
      <c r="Q10263" s="10"/>
      <c r="R10263" s="10"/>
      <c r="S10263" s="10"/>
      <c r="T10263" s="10"/>
      <c r="U10263" s="10"/>
      <c r="V10263" s="10"/>
      <c r="W10263" s="10"/>
      <c r="X10263" s="10"/>
      <c r="Y10263" s="10"/>
      <c r="Z10263" s="10"/>
    </row>
    <row r="10264" spans="1:26" ht="12.75">
      <c r="A10264" s="10"/>
      <c r="B10264" s="10"/>
      <c r="C10264" s="10"/>
      <c r="D10264" s="10"/>
      <c r="E10264" s="10"/>
      <c r="F10264" s="10"/>
      <c r="G10264" s="10"/>
      <c r="H10264" s="10"/>
      <c r="I10264" s="10"/>
      <c r="J10264" s="10"/>
      <c r="K10264" s="10"/>
      <c r="L10264" s="10"/>
      <c r="M10264" s="10"/>
      <c r="N10264" s="10"/>
      <c r="O10264" s="10"/>
      <c r="P10264" s="10"/>
      <c r="Q10264" s="10"/>
      <c r="R10264" s="10"/>
      <c r="S10264" s="10"/>
      <c r="T10264" s="10"/>
      <c r="U10264" s="10"/>
      <c r="V10264" s="10"/>
      <c r="W10264" s="10"/>
      <c r="X10264" s="10"/>
      <c r="Y10264" s="10"/>
      <c r="Z10264" s="10"/>
    </row>
    <row r="10265" spans="1:26" ht="12.75">
      <c r="A10265" s="10"/>
      <c r="B10265" s="10"/>
      <c r="C10265" s="10"/>
      <c r="D10265" s="10"/>
      <c r="E10265" s="10"/>
      <c r="F10265" s="10"/>
      <c r="G10265" s="10"/>
      <c r="H10265" s="10"/>
      <c r="I10265" s="10"/>
      <c r="J10265" s="10"/>
      <c r="K10265" s="10"/>
      <c r="L10265" s="10"/>
      <c r="M10265" s="10"/>
      <c r="N10265" s="10"/>
      <c r="O10265" s="10"/>
      <c r="P10265" s="10"/>
      <c r="Q10265" s="10"/>
      <c r="R10265" s="10"/>
      <c r="S10265" s="10"/>
      <c r="T10265" s="10"/>
      <c r="U10265" s="10"/>
      <c r="V10265" s="10"/>
      <c r="W10265" s="10"/>
      <c r="X10265" s="10"/>
      <c r="Y10265" s="10"/>
      <c r="Z10265" s="10"/>
    </row>
    <row r="10266" spans="1:26" ht="12.75">
      <c r="A10266" s="10"/>
      <c r="B10266" s="10"/>
      <c r="C10266" s="10"/>
      <c r="D10266" s="10"/>
      <c r="E10266" s="10"/>
      <c r="F10266" s="10"/>
      <c r="G10266" s="10"/>
      <c r="H10266" s="10"/>
      <c r="I10266" s="10"/>
      <c r="J10266" s="10"/>
      <c r="K10266" s="10"/>
      <c r="L10266" s="10"/>
      <c r="M10266" s="10"/>
      <c r="N10266" s="10"/>
      <c r="O10266" s="10"/>
      <c r="P10266" s="10"/>
      <c r="Q10266" s="10"/>
      <c r="R10266" s="10"/>
      <c r="S10266" s="10"/>
      <c r="T10266" s="10"/>
      <c r="U10266" s="10"/>
      <c r="V10266" s="10"/>
      <c r="W10266" s="10"/>
      <c r="X10266" s="10"/>
      <c r="Y10266" s="10"/>
      <c r="Z10266" s="10"/>
    </row>
    <row r="10267" spans="1:26" ht="12.75">
      <c r="A10267" s="10"/>
      <c r="B10267" s="10"/>
      <c r="C10267" s="10"/>
      <c r="D10267" s="10"/>
      <c r="E10267" s="10"/>
      <c r="F10267" s="10"/>
      <c r="G10267" s="10"/>
      <c r="H10267" s="10"/>
      <c r="I10267" s="10"/>
      <c r="J10267" s="10"/>
      <c r="K10267" s="10"/>
      <c r="L10267" s="10"/>
      <c r="M10267" s="10"/>
      <c r="N10267" s="10"/>
      <c r="O10267" s="10"/>
      <c r="P10267" s="10"/>
      <c r="Q10267" s="10"/>
      <c r="R10267" s="10"/>
      <c r="S10267" s="10"/>
      <c r="T10267" s="10"/>
      <c r="U10267" s="10"/>
      <c r="V10267" s="10"/>
      <c r="W10267" s="10"/>
      <c r="X10267" s="10"/>
      <c r="Y10267" s="10"/>
      <c r="Z10267" s="10"/>
    </row>
    <row r="10268" spans="1:26" ht="12.75">
      <c r="A10268" s="10"/>
      <c r="B10268" s="10"/>
      <c r="C10268" s="10"/>
      <c r="D10268" s="10"/>
      <c r="E10268" s="10"/>
      <c r="F10268" s="10"/>
      <c r="G10268" s="10"/>
      <c r="H10268" s="10"/>
      <c r="I10268" s="10"/>
      <c r="J10268" s="10"/>
      <c r="K10268" s="10"/>
      <c r="L10268" s="10"/>
      <c r="M10268" s="10"/>
      <c r="N10268" s="10"/>
      <c r="O10268" s="10"/>
      <c r="P10268" s="10"/>
      <c r="Q10268" s="10"/>
      <c r="R10268" s="10"/>
      <c r="S10268" s="10"/>
      <c r="T10268" s="10"/>
      <c r="U10268" s="10"/>
      <c r="V10268" s="10"/>
      <c r="W10268" s="10"/>
      <c r="X10268" s="10"/>
      <c r="Y10268" s="10"/>
      <c r="Z10268" s="10"/>
    </row>
    <row r="10269" spans="1:26" ht="12.75">
      <c r="A10269" s="10"/>
      <c r="B10269" s="10"/>
      <c r="C10269" s="10"/>
      <c r="D10269" s="10"/>
      <c r="E10269" s="10"/>
      <c r="F10269" s="10"/>
      <c r="G10269" s="10"/>
      <c r="H10269" s="10"/>
      <c r="I10269" s="10"/>
      <c r="J10269" s="10"/>
      <c r="K10269" s="10"/>
      <c r="L10269" s="10"/>
      <c r="M10269" s="10"/>
      <c r="N10269" s="10"/>
      <c r="O10269" s="10"/>
      <c r="P10269" s="10"/>
      <c r="Q10269" s="10"/>
      <c r="R10269" s="10"/>
      <c r="S10269" s="10"/>
      <c r="T10269" s="10"/>
      <c r="U10269" s="10"/>
      <c r="V10269" s="10"/>
      <c r="W10269" s="10"/>
      <c r="X10269" s="10"/>
      <c r="Y10269" s="10"/>
      <c r="Z10269" s="10"/>
    </row>
    <row r="10270" spans="1:26" ht="12.75">
      <c r="A10270" s="10"/>
      <c r="B10270" s="10"/>
      <c r="C10270" s="10"/>
      <c r="D10270" s="10"/>
      <c r="E10270" s="10"/>
      <c r="F10270" s="10"/>
      <c r="G10270" s="10"/>
      <c r="H10270" s="10"/>
      <c r="I10270" s="10"/>
      <c r="J10270" s="10"/>
      <c r="K10270" s="10"/>
      <c r="L10270" s="10"/>
      <c r="M10270" s="10"/>
      <c r="N10270" s="10"/>
      <c r="O10270" s="10"/>
      <c r="P10270" s="10"/>
      <c r="Q10270" s="10"/>
      <c r="R10270" s="10"/>
      <c r="S10270" s="10"/>
      <c r="T10270" s="10"/>
      <c r="U10270" s="10"/>
      <c r="V10270" s="10"/>
      <c r="W10270" s="10"/>
      <c r="X10270" s="10"/>
      <c r="Y10270" s="10"/>
      <c r="Z10270" s="10"/>
    </row>
    <row r="10271" spans="1:26" ht="12.75">
      <c r="A10271" s="10"/>
      <c r="B10271" s="10"/>
      <c r="C10271" s="10"/>
      <c r="D10271" s="10"/>
      <c r="E10271" s="10"/>
      <c r="F10271" s="10"/>
      <c r="G10271" s="10"/>
      <c r="H10271" s="10"/>
      <c r="I10271" s="10"/>
      <c r="J10271" s="10"/>
      <c r="K10271" s="10"/>
      <c r="L10271" s="10"/>
      <c r="M10271" s="10"/>
      <c r="N10271" s="10"/>
      <c r="O10271" s="10"/>
      <c r="P10271" s="10"/>
      <c r="Q10271" s="10"/>
      <c r="R10271" s="10"/>
      <c r="S10271" s="10"/>
      <c r="T10271" s="10"/>
      <c r="U10271" s="10"/>
      <c r="V10271" s="10"/>
      <c r="W10271" s="10"/>
      <c r="X10271" s="10"/>
      <c r="Y10271" s="10"/>
      <c r="Z10271" s="10"/>
    </row>
    <row r="10272" spans="1:26" ht="12.75">
      <c r="A10272" s="10"/>
      <c r="B10272" s="10"/>
      <c r="C10272" s="10"/>
      <c r="D10272" s="10"/>
      <c r="E10272" s="10"/>
      <c r="F10272" s="10"/>
      <c r="G10272" s="10"/>
      <c r="H10272" s="10"/>
      <c r="I10272" s="10"/>
      <c r="J10272" s="10"/>
      <c r="K10272" s="10"/>
      <c r="L10272" s="10"/>
      <c r="M10272" s="10"/>
      <c r="N10272" s="10"/>
      <c r="O10272" s="10"/>
      <c r="P10272" s="10"/>
      <c r="Q10272" s="10"/>
      <c r="R10272" s="10"/>
      <c r="S10272" s="10"/>
      <c r="T10272" s="10"/>
      <c r="U10272" s="10"/>
      <c r="V10272" s="10"/>
      <c r="W10272" s="10"/>
      <c r="X10272" s="10"/>
      <c r="Y10272" s="10"/>
      <c r="Z10272" s="10"/>
    </row>
    <row r="10273" spans="1:26" ht="12.75">
      <c r="A10273" s="10"/>
      <c r="B10273" s="10"/>
      <c r="C10273" s="10"/>
      <c r="D10273" s="10"/>
      <c r="E10273" s="10"/>
      <c r="F10273" s="10"/>
      <c r="G10273" s="10"/>
      <c r="H10273" s="10"/>
      <c r="I10273" s="10"/>
      <c r="J10273" s="10"/>
      <c r="K10273" s="10"/>
      <c r="L10273" s="10"/>
      <c r="M10273" s="10"/>
      <c r="N10273" s="10"/>
      <c r="O10273" s="10"/>
      <c r="P10273" s="10"/>
      <c r="Q10273" s="10"/>
      <c r="R10273" s="10"/>
      <c r="S10273" s="10"/>
      <c r="T10273" s="10"/>
      <c r="U10273" s="10"/>
      <c r="V10273" s="10"/>
      <c r="W10273" s="10"/>
      <c r="X10273" s="10"/>
      <c r="Y10273" s="10"/>
      <c r="Z10273" s="10"/>
    </row>
    <row r="10274" spans="1:26" ht="12.75">
      <c r="A10274" s="10"/>
      <c r="B10274" s="10"/>
      <c r="C10274" s="10"/>
      <c r="D10274" s="10"/>
      <c r="E10274" s="10"/>
      <c r="F10274" s="10"/>
      <c r="G10274" s="10"/>
      <c r="H10274" s="10"/>
      <c r="I10274" s="10"/>
      <c r="J10274" s="10"/>
      <c r="K10274" s="10"/>
      <c r="L10274" s="10"/>
      <c r="M10274" s="10"/>
      <c r="N10274" s="10"/>
      <c r="O10274" s="10"/>
      <c r="P10274" s="10"/>
      <c r="Q10274" s="10"/>
      <c r="R10274" s="10"/>
      <c r="S10274" s="10"/>
      <c r="T10274" s="10"/>
      <c r="U10274" s="10"/>
      <c r="V10274" s="10"/>
      <c r="W10274" s="10"/>
      <c r="X10274" s="10"/>
      <c r="Y10274" s="10"/>
      <c r="Z10274" s="10"/>
    </row>
    <row r="10275" spans="1:26" ht="12.75">
      <c r="A10275" s="10"/>
      <c r="B10275" s="10"/>
      <c r="C10275" s="10"/>
      <c r="D10275" s="10"/>
      <c r="E10275" s="10"/>
      <c r="F10275" s="10"/>
      <c r="G10275" s="10"/>
      <c r="H10275" s="10"/>
      <c r="I10275" s="10"/>
      <c r="J10275" s="10"/>
      <c r="K10275" s="10"/>
      <c r="L10275" s="10"/>
      <c r="M10275" s="10"/>
      <c r="N10275" s="10"/>
      <c r="O10275" s="10"/>
      <c r="P10275" s="10"/>
      <c r="Q10275" s="10"/>
      <c r="R10275" s="10"/>
      <c r="S10275" s="10"/>
      <c r="T10275" s="10"/>
      <c r="U10275" s="10"/>
      <c r="V10275" s="10"/>
      <c r="W10275" s="10"/>
      <c r="X10275" s="10"/>
      <c r="Y10275" s="10"/>
      <c r="Z10275" s="10"/>
    </row>
    <row r="10276" spans="1:26" ht="12.75">
      <c r="A10276" s="10"/>
      <c r="B10276" s="10"/>
      <c r="C10276" s="10"/>
      <c r="D10276" s="10"/>
      <c r="E10276" s="10"/>
      <c r="F10276" s="10"/>
      <c r="G10276" s="10"/>
      <c r="H10276" s="10"/>
      <c r="I10276" s="10"/>
      <c r="J10276" s="10"/>
      <c r="K10276" s="10"/>
      <c r="L10276" s="10"/>
      <c r="M10276" s="10"/>
      <c r="N10276" s="10"/>
      <c r="O10276" s="10"/>
      <c r="P10276" s="10"/>
      <c r="Q10276" s="10"/>
      <c r="R10276" s="10"/>
      <c r="S10276" s="10"/>
      <c r="T10276" s="10"/>
      <c r="U10276" s="10"/>
      <c r="V10276" s="10"/>
      <c r="W10276" s="10"/>
      <c r="X10276" s="10"/>
      <c r="Y10276" s="10"/>
      <c r="Z10276" s="10"/>
    </row>
    <row r="10277" spans="1:26" ht="12.75">
      <c r="A10277" s="10"/>
      <c r="B10277" s="10"/>
      <c r="C10277" s="10"/>
      <c r="D10277" s="10"/>
      <c r="E10277" s="10"/>
      <c r="F10277" s="10"/>
      <c r="G10277" s="10"/>
      <c r="H10277" s="10"/>
      <c r="I10277" s="10"/>
      <c r="J10277" s="10"/>
      <c r="K10277" s="10"/>
      <c r="L10277" s="10"/>
      <c r="M10277" s="10"/>
      <c r="N10277" s="10"/>
      <c r="O10277" s="10"/>
      <c r="P10277" s="10"/>
      <c r="Q10277" s="10"/>
      <c r="R10277" s="10"/>
      <c r="S10277" s="10"/>
      <c r="T10277" s="10"/>
      <c r="U10277" s="10"/>
      <c r="V10277" s="10"/>
      <c r="W10277" s="10"/>
      <c r="X10277" s="10"/>
      <c r="Y10277" s="10"/>
      <c r="Z10277" s="10"/>
    </row>
    <row r="10278" spans="1:26" ht="12.75">
      <c r="A10278" s="10"/>
      <c r="B10278" s="10"/>
      <c r="C10278" s="10"/>
      <c r="D10278" s="10"/>
      <c r="E10278" s="10"/>
      <c r="F10278" s="10"/>
      <c r="G10278" s="10"/>
      <c r="H10278" s="10"/>
      <c r="I10278" s="10"/>
      <c r="J10278" s="10"/>
      <c r="K10278" s="10"/>
      <c r="L10278" s="10"/>
      <c r="M10278" s="10"/>
      <c r="N10278" s="10"/>
      <c r="O10278" s="10"/>
      <c r="P10278" s="10"/>
      <c r="Q10278" s="10"/>
      <c r="R10278" s="10"/>
      <c r="S10278" s="10"/>
      <c r="T10278" s="10"/>
      <c r="U10278" s="10"/>
      <c r="V10278" s="10"/>
      <c r="W10278" s="10"/>
      <c r="X10278" s="10"/>
      <c r="Y10278" s="10"/>
      <c r="Z10278" s="10"/>
    </row>
    <row r="10279" spans="1:26" ht="12.75">
      <c r="A10279" s="10"/>
      <c r="B10279" s="10"/>
      <c r="C10279" s="10"/>
      <c r="D10279" s="10"/>
      <c r="E10279" s="10"/>
      <c r="F10279" s="10"/>
      <c r="G10279" s="10"/>
      <c r="H10279" s="10"/>
      <c r="I10279" s="10"/>
      <c r="J10279" s="10"/>
      <c r="K10279" s="10"/>
      <c r="L10279" s="10"/>
      <c r="M10279" s="10"/>
      <c r="N10279" s="10"/>
      <c r="O10279" s="10"/>
      <c r="P10279" s="10"/>
      <c r="Q10279" s="10"/>
      <c r="R10279" s="10"/>
      <c r="S10279" s="10"/>
      <c r="T10279" s="10"/>
      <c r="U10279" s="10"/>
      <c r="V10279" s="10"/>
      <c r="W10279" s="10"/>
      <c r="X10279" s="10"/>
      <c r="Y10279" s="10"/>
      <c r="Z10279" s="10"/>
    </row>
    <row r="10280" spans="1:26" ht="12.75">
      <c r="A10280" s="10"/>
      <c r="B10280" s="10"/>
      <c r="C10280" s="10"/>
      <c r="D10280" s="10"/>
      <c r="E10280" s="10"/>
      <c r="F10280" s="10"/>
      <c r="G10280" s="10"/>
      <c r="H10280" s="10"/>
      <c r="I10280" s="10"/>
      <c r="J10280" s="10"/>
      <c r="K10280" s="10"/>
      <c r="L10280" s="10"/>
      <c r="M10280" s="10"/>
      <c r="N10280" s="10"/>
      <c r="O10280" s="10"/>
      <c r="P10280" s="10"/>
      <c r="Q10280" s="10"/>
      <c r="R10280" s="10"/>
      <c r="S10280" s="10"/>
      <c r="T10280" s="10"/>
      <c r="U10280" s="10"/>
      <c r="V10280" s="10"/>
      <c r="W10280" s="10"/>
      <c r="X10280" s="10"/>
      <c r="Y10280" s="10"/>
      <c r="Z10280" s="10"/>
    </row>
    <row r="10281" spans="1:26" ht="12.75">
      <c r="A10281" s="10"/>
      <c r="B10281" s="10"/>
      <c r="C10281" s="10"/>
      <c r="D10281" s="10"/>
      <c r="E10281" s="10"/>
      <c r="F10281" s="10"/>
      <c r="G10281" s="10"/>
      <c r="H10281" s="10"/>
      <c r="I10281" s="10"/>
      <c r="J10281" s="10"/>
      <c r="K10281" s="10"/>
      <c r="L10281" s="10"/>
      <c r="M10281" s="10"/>
      <c r="N10281" s="10"/>
      <c r="O10281" s="10"/>
      <c r="P10281" s="10"/>
      <c r="Q10281" s="10"/>
      <c r="R10281" s="10"/>
      <c r="S10281" s="10"/>
      <c r="T10281" s="10"/>
      <c r="U10281" s="10"/>
      <c r="V10281" s="10"/>
      <c r="W10281" s="10"/>
      <c r="X10281" s="10"/>
      <c r="Y10281" s="10"/>
      <c r="Z10281" s="10"/>
    </row>
    <row r="10282" spans="1:26" ht="12.75">
      <c r="A10282" s="10"/>
      <c r="B10282" s="10"/>
      <c r="C10282" s="10"/>
      <c r="D10282" s="10"/>
      <c r="E10282" s="10"/>
      <c r="F10282" s="10"/>
      <c r="G10282" s="10"/>
      <c r="H10282" s="10"/>
      <c r="I10282" s="10"/>
      <c r="J10282" s="10"/>
      <c r="K10282" s="10"/>
      <c r="L10282" s="10"/>
      <c r="M10282" s="10"/>
      <c r="N10282" s="10"/>
      <c r="O10282" s="10"/>
      <c r="P10282" s="10"/>
      <c r="Q10282" s="10"/>
      <c r="R10282" s="10"/>
      <c r="S10282" s="10"/>
      <c r="T10282" s="10"/>
      <c r="U10282" s="10"/>
      <c r="V10282" s="10"/>
      <c r="W10282" s="10"/>
      <c r="X10282" s="10"/>
      <c r="Y10282" s="10"/>
      <c r="Z10282" s="10"/>
    </row>
    <row r="10283" spans="1:26" ht="12.75">
      <c r="A10283" s="10"/>
      <c r="B10283" s="10"/>
      <c r="C10283" s="10"/>
      <c r="D10283" s="10"/>
      <c r="E10283" s="10"/>
      <c r="F10283" s="10"/>
      <c r="G10283" s="10"/>
      <c r="H10283" s="10"/>
      <c r="I10283" s="10"/>
      <c r="J10283" s="10"/>
      <c r="K10283" s="10"/>
      <c r="L10283" s="10"/>
      <c r="M10283" s="10"/>
      <c r="N10283" s="10"/>
      <c r="O10283" s="10"/>
      <c r="P10283" s="10"/>
      <c r="Q10283" s="10"/>
      <c r="R10283" s="10"/>
      <c r="S10283" s="10"/>
      <c r="T10283" s="10"/>
      <c r="U10283" s="10"/>
      <c r="V10283" s="10"/>
      <c r="W10283" s="10"/>
      <c r="X10283" s="10"/>
      <c r="Y10283" s="10"/>
      <c r="Z10283" s="10"/>
    </row>
    <row r="10284" spans="1:26" ht="12.75">
      <c r="A10284" s="10"/>
      <c r="B10284" s="10"/>
      <c r="C10284" s="10"/>
      <c r="D10284" s="10"/>
      <c r="E10284" s="10"/>
      <c r="F10284" s="10"/>
      <c r="G10284" s="10"/>
      <c r="H10284" s="10"/>
      <c r="I10284" s="10"/>
      <c r="J10284" s="10"/>
      <c r="K10284" s="10"/>
      <c r="L10284" s="10"/>
      <c r="M10284" s="10"/>
      <c r="N10284" s="10"/>
      <c r="O10284" s="10"/>
      <c r="P10284" s="10"/>
      <c r="Q10284" s="10"/>
      <c r="R10284" s="10"/>
      <c r="S10284" s="10"/>
      <c r="T10284" s="10"/>
      <c r="U10284" s="10"/>
      <c r="V10284" s="10"/>
      <c r="W10284" s="10"/>
      <c r="X10284" s="10"/>
      <c r="Y10284" s="10"/>
      <c r="Z10284" s="10"/>
    </row>
    <row r="10285" spans="1:26" ht="12.75">
      <c r="A10285" s="10"/>
      <c r="B10285" s="10"/>
      <c r="C10285" s="10"/>
      <c r="D10285" s="10"/>
      <c r="E10285" s="10"/>
      <c r="F10285" s="10"/>
      <c r="G10285" s="10"/>
      <c r="H10285" s="10"/>
      <c r="I10285" s="10"/>
      <c r="J10285" s="10"/>
      <c r="K10285" s="10"/>
      <c r="L10285" s="10"/>
      <c r="M10285" s="10"/>
      <c r="N10285" s="10"/>
      <c r="O10285" s="10"/>
      <c r="P10285" s="10"/>
      <c r="Q10285" s="10"/>
      <c r="R10285" s="10"/>
      <c r="S10285" s="10"/>
      <c r="T10285" s="10"/>
      <c r="U10285" s="10"/>
      <c r="V10285" s="10"/>
      <c r="W10285" s="10"/>
      <c r="X10285" s="10"/>
      <c r="Y10285" s="10"/>
      <c r="Z10285" s="10"/>
    </row>
    <row r="10286" spans="1:26" ht="12.75">
      <c r="A10286" s="10"/>
      <c r="B10286" s="10"/>
      <c r="C10286" s="10"/>
      <c r="D10286" s="10"/>
      <c r="E10286" s="10"/>
      <c r="F10286" s="10"/>
      <c r="G10286" s="10"/>
      <c r="H10286" s="10"/>
      <c r="I10286" s="10"/>
      <c r="J10286" s="10"/>
      <c r="K10286" s="10"/>
      <c r="L10286" s="10"/>
      <c r="M10286" s="10"/>
      <c r="N10286" s="10"/>
      <c r="O10286" s="10"/>
      <c r="P10286" s="10"/>
      <c r="Q10286" s="10"/>
      <c r="R10286" s="10"/>
      <c r="S10286" s="10"/>
      <c r="T10286" s="10"/>
      <c r="U10286" s="10"/>
      <c r="V10286" s="10"/>
      <c r="W10286" s="10"/>
      <c r="X10286" s="10"/>
      <c r="Y10286" s="10"/>
      <c r="Z10286" s="10"/>
    </row>
    <row r="10287" spans="1:26" ht="12.75">
      <c r="A10287" s="10"/>
      <c r="B10287" s="10"/>
      <c r="C10287" s="10"/>
      <c r="D10287" s="10"/>
      <c r="E10287" s="10"/>
      <c r="F10287" s="10"/>
      <c r="G10287" s="10"/>
      <c r="H10287" s="10"/>
      <c r="I10287" s="10"/>
      <c r="J10287" s="10"/>
      <c r="K10287" s="10"/>
      <c r="L10287" s="10"/>
      <c r="M10287" s="10"/>
      <c r="N10287" s="10"/>
      <c r="O10287" s="10"/>
      <c r="P10287" s="10"/>
      <c r="Q10287" s="10"/>
      <c r="R10287" s="10"/>
      <c r="S10287" s="10"/>
      <c r="T10287" s="10"/>
      <c r="U10287" s="10"/>
      <c r="V10287" s="10"/>
      <c r="W10287" s="10"/>
      <c r="X10287" s="10"/>
      <c r="Y10287" s="10"/>
      <c r="Z10287" s="10"/>
    </row>
    <row r="10288" spans="1:26" ht="12.75">
      <c r="A10288" s="10"/>
      <c r="B10288" s="10"/>
      <c r="C10288" s="10"/>
      <c r="D10288" s="10"/>
      <c r="E10288" s="10"/>
      <c r="F10288" s="10"/>
      <c r="G10288" s="10"/>
      <c r="H10288" s="10"/>
      <c r="I10288" s="10"/>
      <c r="J10288" s="10"/>
      <c r="K10288" s="10"/>
      <c r="L10288" s="10"/>
      <c r="M10288" s="10"/>
      <c r="N10288" s="10"/>
      <c r="O10288" s="10"/>
      <c r="P10288" s="10"/>
      <c r="Q10288" s="10"/>
      <c r="R10288" s="10"/>
      <c r="S10288" s="10"/>
      <c r="T10288" s="10"/>
      <c r="U10288" s="10"/>
      <c r="V10288" s="10"/>
      <c r="W10288" s="10"/>
      <c r="X10288" s="10"/>
      <c r="Y10288" s="10"/>
      <c r="Z10288" s="10"/>
    </row>
    <row r="10289" spans="1:26" ht="12.75">
      <c r="A10289" s="10"/>
      <c r="B10289" s="10"/>
      <c r="C10289" s="10"/>
      <c r="D10289" s="10"/>
      <c r="E10289" s="10"/>
      <c r="F10289" s="10"/>
      <c r="G10289" s="10"/>
      <c r="H10289" s="10"/>
      <c r="I10289" s="10"/>
      <c r="J10289" s="10"/>
      <c r="K10289" s="10"/>
      <c r="L10289" s="10"/>
      <c r="M10289" s="10"/>
      <c r="N10289" s="10"/>
      <c r="O10289" s="10"/>
      <c r="P10289" s="10"/>
      <c r="Q10289" s="10"/>
      <c r="R10289" s="10"/>
      <c r="S10289" s="10"/>
      <c r="T10289" s="10"/>
      <c r="U10289" s="10"/>
      <c r="V10289" s="10"/>
      <c r="W10289" s="10"/>
      <c r="X10289" s="10"/>
      <c r="Y10289" s="10"/>
      <c r="Z10289" s="10"/>
    </row>
    <row r="10290" spans="1:26" ht="12.75">
      <c r="A10290" s="10"/>
      <c r="B10290" s="10"/>
      <c r="C10290" s="10"/>
      <c r="D10290" s="10"/>
      <c r="E10290" s="10"/>
      <c r="F10290" s="10"/>
      <c r="G10290" s="10"/>
      <c r="H10290" s="10"/>
      <c r="I10290" s="10"/>
      <c r="J10290" s="10"/>
      <c r="K10290" s="10"/>
      <c r="L10290" s="10"/>
      <c r="M10290" s="10"/>
      <c r="N10290" s="10"/>
      <c r="O10290" s="10"/>
      <c r="P10290" s="10"/>
      <c r="Q10290" s="10"/>
      <c r="R10290" s="10"/>
      <c r="S10290" s="10"/>
      <c r="T10290" s="10"/>
      <c r="U10290" s="10"/>
      <c r="V10290" s="10"/>
      <c r="W10290" s="10"/>
      <c r="X10290" s="10"/>
      <c r="Y10290" s="10"/>
      <c r="Z10290" s="10"/>
    </row>
    <row r="10291" spans="1:26" ht="12.75">
      <c r="A10291" s="10"/>
      <c r="B10291" s="10"/>
      <c r="C10291" s="10"/>
      <c r="D10291" s="10"/>
      <c r="E10291" s="10"/>
      <c r="F10291" s="10"/>
      <c r="G10291" s="10"/>
      <c r="H10291" s="10"/>
      <c r="I10291" s="10"/>
      <c r="J10291" s="10"/>
      <c r="K10291" s="10"/>
      <c r="L10291" s="10"/>
      <c r="M10291" s="10"/>
      <c r="N10291" s="10"/>
      <c r="O10291" s="10"/>
      <c r="P10291" s="10"/>
      <c r="Q10291" s="10"/>
      <c r="R10291" s="10"/>
      <c r="S10291" s="10"/>
      <c r="T10291" s="10"/>
      <c r="U10291" s="10"/>
      <c r="V10291" s="10"/>
      <c r="W10291" s="10"/>
      <c r="X10291" s="10"/>
      <c r="Y10291" s="10"/>
      <c r="Z10291" s="10"/>
    </row>
    <row r="10292" spans="1:26" ht="12.75">
      <c r="A10292" s="10"/>
      <c r="B10292" s="10"/>
      <c r="C10292" s="10"/>
      <c r="D10292" s="10"/>
      <c r="E10292" s="10"/>
      <c r="F10292" s="10"/>
      <c r="G10292" s="10"/>
      <c r="H10292" s="10"/>
      <c r="I10292" s="10"/>
      <c r="J10292" s="10"/>
      <c r="K10292" s="10"/>
      <c r="L10292" s="10"/>
      <c r="M10292" s="10"/>
      <c r="N10292" s="10"/>
      <c r="O10292" s="10"/>
      <c r="P10292" s="10"/>
      <c r="Q10292" s="10"/>
      <c r="R10292" s="10"/>
      <c r="S10292" s="10"/>
      <c r="T10292" s="10"/>
      <c r="U10292" s="10"/>
      <c r="V10292" s="10"/>
      <c r="W10292" s="10"/>
      <c r="X10292" s="10"/>
      <c r="Y10292" s="10"/>
      <c r="Z10292" s="10"/>
    </row>
    <row r="10293" spans="1:26" ht="12.75">
      <c r="A10293" s="10"/>
      <c r="B10293" s="10"/>
      <c r="C10293" s="10"/>
      <c r="D10293" s="10"/>
      <c r="E10293" s="10"/>
      <c r="F10293" s="10"/>
      <c r="G10293" s="10"/>
      <c r="H10293" s="10"/>
      <c r="I10293" s="10"/>
      <c r="J10293" s="10"/>
      <c r="K10293" s="10"/>
      <c r="L10293" s="10"/>
      <c r="M10293" s="10"/>
      <c r="N10293" s="10"/>
      <c r="O10293" s="10"/>
      <c r="P10293" s="10"/>
      <c r="Q10293" s="10"/>
      <c r="R10293" s="10"/>
      <c r="S10293" s="10"/>
      <c r="T10293" s="10"/>
      <c r="U10293" s="10"/>
      <c r="V10293" s="10"/>
      <c r="W10293" s="10"/>
      <c r="X10293" s="10"/>
      <c r="Y10293" s="10"/>
      <c r="Z10293" s="10"/>
    </row>
    <row r="10294" spans="1:26" ht="12.75">
      <c r="A10294" s="10"/>
      <c r="B10294" s="10"/>
      <c r="C10294" s="10"/>
      <c r="D10294" s="10"/>
      <c r="E10294" s="10"/>
      <c r="F10294" s="10"/>
      <c r="G10294" s="10"/>
      <c r="H10294" s="10"/>
      <c r="I10294" s="10"/>
      <c r="J10294" s="10"/>
      <c r="K10294" s="10"/>
      <c r="L10294" s="10"/>
      <c r="M10294" s="10"/>
      <c r="N10294" s="10"/>
      <c r="O10294" s="10"/>
      <c r="P10294" s="10"/>
      <c r="Q10294" s="10"/>
      <c r="R10294" s="10"/>
      <c r="S10294" s="10"/>
      <c r="T10294" s="10"/>
      <c r="U10294" s="10"/>
      <c r="V10294" s="10"/>
      <c r="W10294" s="10"/>
      <c r="X10294" s="10"/>
      <c r="Y10294" s="10"/>
      <c r="Z10294" s="10"/>
    </row>
    <row r="10295" spans="1:26" ht="12.75">
      <c r="A10295" s="10"/>
      <c r="B10295" s="10"/>
      <c r="C10295" s="10"/>
      <c r="D10295" s="10"/>
      <c r="E10295" s="10"/>
      <c r="F10295" s="10"/>
      <c r="G10295" s="10"/>
      <c r="H10295" s="10"/>
      <c r="I10295" s="10"/>
      <c r="J10295" s="10"/>
      <c r="K10295" s="10"/>
      <c r="L10295" s="10"/>
      <c r="M10295" s="10"/>
      <c r="N10295" s="10"/>
      <c r="O10295" s="10"/>
      <c r="P10295" s="10"/>
      <c r="Q10295" s="10"/>
      <c r="R10295" s="10"/>
      <c r="S10295" s="10"/>
      <c r="T10295" s="10"/>
      <c r="U10295" s="10"/>
      <c r="V10295" s="10"/>
      <c r="W10295" s="10"/>
      <c r="X10295" s="10"/>
      <c r="Y10295" s="10"/>
      <c r="Z10295" s="10"/>
    </row>
    <row r="10296" spans="1:26" ht="12.75">
      <c r="A10296" s="10"/>
      <c r="B10296" s="10"/>
      <c r="C10296" s="10"/>
      <c r="D10296" s="10"/>
      <c r="E10296" s="10"/>
      <c r="F10296" s="10"/>
      <c r="G10296" s="10"/>
      <c r="H10296" s="10"/>
      <c r="I10296" s="10"/>
      <c r="J10296" s="10"/>
      <c r="K10296" s="10"/>
      <c r="L10296" s="10"/>
      <c r="M10296" s="10"/>
      <c r="N10296" s="10"/>
      <c r="O10296" s="10"/>
      <c r="P10296" s="10"/>
      <c r="Q10296" s="10"/>
      <c r="R10296" s="10"/>
      <c r="S10296" s="10"/>
      <c r="T10296" s="10"/>
      <c r="U10296" s="10"/>
      <c r="V10296" s="10"/>
      <c r="W10296" s="10"/>
      <c r="X10296" s="10"/>
      <c r="Y10296" s="10"/>
      <c r="Z10296" s="10"/>
    </row>
    <row r="10297" spans="1:26" ht="12.75">
      <c r="A10297" s="10"/>
      <c r="B10297" s="10"/>
      <c r="C10297" s="10"/>
      <c r="D10297" s="10"/>
      <c r="E10297" s="10"/>
      <c r="F10297" s="10"/>
      <c r="G10297" s="10"/>
      <c r="H10297" s="10"/>
      <c r="I10297" s="10"/>
      <c r="J10297" s="10"/>
      <c r="K10297" s="10"/>
      <c r="L10297" s="10"/>
      <c r="M10297" s="10"/>
      <c r="N10297" s="10"/>
      <c r="O10297" s="10"/>
      <c r="P10297" s="10"/>
      <c r="Q10297" s="10"/>
      <c r="R10297" s="10"/>
      <c r="S10297" s="10"/>
      <c r="T10297" s="10"/>
      <c r="U10297" s="10"/>
      <c r="V10297" s="10"/>
      <c r="W10297" s="10"/>
      <c r="X10297" s="10"/>
      <c r="Y10297" s="10"/>
      <c r="Z10297" s="10"/>
    </row>
    <row r="10298" spans="1:26" ht="12.75">
      <c r="A10298" s="10"/>
      <c r="B10298" s="10"/>
      <c r="C10298" s="10"/>
      <c r="D10298" s="10"/>
      <c r="E10298" s="10"/>
      <c r="F10298" s="10"/>
      <c r="G10298" s="10"/>
      <c r="H10298" s="10"/>
      <c r="I10298" s="10"/>
      <c r="J10298" s="10"/>
      <c r="K10298" s="10"/>
      <c r="L10298" s="10"/>
      <c r="M10298" s="10"/>
      <c r="N10298" s="10"/>
      <c r="O10298" s="10"/>
      <c r="P10298" s="10"/>
      <c r="Q10298" s="10"/>
      <c r="R10298" s="10"/>
      <c r="S10298" s="10"/>
      <c r="T10298" s="10"/>
      <c r="U10298" s="10"/>
      <c r="V10298" s="10"/>
      <c r="W10298" s="10"/>
      <c r="X10298" s="10"/>
      <c r="Y10298" s="10"/>
      <c r="Z10298" s="10"/>
    </row>
    <row r="10299" spans="1:26" ht="12.75">
      <c r="A10299" s="10"/>
      <c r="B10299" s="10"/>
      <c r="C10299" s="10"/>
      <c r="D10299" s="10"/>
      <c r="E10299" s="10"/>
      <c r="F10299" s="10"/>
      <c r="G10299" s="10"/>
      <c r="H10299" s="10"/>
      <c r="I10299" s="10"/>
      <c r="J10299" s="10"/>
      <c r="K10299" s="10"/>
      <c r="L10299" s="10"/>
      <c r="M10299" s="10"/>
      <c r="N10299" s="10"/>
      <c r="O10299" s="10"/>
      <c r="P10299" s="10"/>
      <c r="Q10299" s="10"/>
      <c r="R10299" s="10"/>
      <c r="S10299" s="10"/>
      <c r="T10299" s="10"/>
      <c r="U10299" s="10"/>
      <c r="V10299" s="10"/>
      <c r="W10299" s="10"/>
      <c r="X10299" s="10"/>
      <c r="Y10299" s="10"/>
      <c r="Z10299" s="10"/>
    </row>
    <row r="10300" spans="1:26" ht="12.75">
      <c r="A10300" s="10"/>
      <c r="B10300" s="10"/>
      <c r="C10300" s="10"/>
      <c r="D10300" s="10"/>
      <c r="E10300" s="10"/>
      <c r="F10300" s="10"/>
      <c r="G10300" s="10"/>
      <c r="H10300" s="10"/>
      <c r="I10300" s="10"/>
      <c r="J10300" s="10"/>
      <c r="K10300" s="10"/>
      <c r="L10300" s="10"/>
      <c r="M10300" s="10"/>
      <c r="N10300" s="10"/>
      <c r="O10300" s="10"/>
      <c r="P10300" s="10"/>
      <c r="Q10300" s="10"/>
      <c r="R10300" s="10"/>
      <c r="S10300" s="10"/>
      <c r="T10300" s="10"/>
      <c r="U10300" s="10"/>
      <c r="V10300" s="10"/>
      <c r="W10300" s="10"/>
      <c r="X10300" s="10"/>
      <c r="Y10300" s="10"/>
      <c r="Z10300" s="10"/>
    </row>
    <row r="10301" spans="1:26" ht="12.75">
      <c r="A10301" s="10"/>
      <c r="B10301" s="10"/>
      <c r="C10301" s="10"/>
      <c r="D10301" s="10"/>
      <c r="E10301" s="10"/>
      <c r="F10301" s="10"/>
      <c r="G10301" s="10"/>
      <c r="H10301" s="10"/>
      <c r="I10301" s="10"/>
      <c r="J10301" s="10"/>
      <c r="K10301" s="10"/>
      <c r="L10301" s="10"/>
      <c r="M10301" s="10"/>
      <c r="N10301" s="10"/>
      <c r="O10301" s="10"/>
      <c r="P10301" s="10"/>
      <c r="Q10301" s="10"/>
      <c r="R10301" s="10"/>
      <c r="S10301" s="10"/>
      <c r="T10301" s="10"/>
      <c r="U10301" s="10"/>
      <c r="V10301" s="10"/>
      <c r="W10301" s="10"/>
      <c r="X10301" s="10"/>
      <c r="Y10301" s="10"/>
      <c r="Z10301" s="10"/>
    </row>
    <row r="10302" spans="1:26" ht="12.75">
      <c r="A10302" s="10"/>
      <c r="B10302" s="10"/>
      <c r="C10302" s="10"/>
      <c r="D10302" s="10"/>
      <c r="E10302" s="10"/>
      <c r="F10302" s="10"/>
      <c r="G10302" s="10"/>
      <c r="H10302" s="10"/>
      <c r="I10302" s="10"/>
      <c r="J10302" s="10"/>
      <c r="K10302" s="10"/>
      <c r="L10302" s="10"/>
      <c r="M10302" s="10"/>
      <c r="N10302" s="10"/>
      <c r="O10302" s="10"/>
      <c r="P10302" s="10"/>
      <c r="Q10302" s="10"/>
      <c r="R10302" s="10"/>
      <c r="S10302" s="10"/>
      <c r="T10302" s="10"/>
      <c r="U10302" s="10"/>
      <c r="V10302" s="10"/>
      <c r="W10302" s="10"/>
      <c r="X10302" s="10"/>
      <c r="Y10302" s="10"/>
      <c r="Z10302" s="10"/>
    </row>
    <row r="10303" spans="1:26" ht="12.75">
      <c r="A10303" s="10"/>
      <c r="B10303" s="10"/>
      <c r="C10303" s="10"/>
      <c r="D10303" s="10"/>
      <c r="E10303" s="10"/>
      <c r="F10303" s="10"/>
      <c r="G10303" s="10"/>
      <c r="H10303" s="10"/>
      <c r="I10303" s="10"/>
      <c r="J10303" s="10"/>
      <c r="K10303" s="10"/>
      <c r="L10303" s="10"/>
      <c r="M10303" s="10"/>
      <c r="N10303" s="10"/>
      <c r="O10303" s="10"/>
      <c r="P10303" s="10"/>
      <c r="Q10303" s="10"/>
      <c r="R10303" s="10"/>
      <c r="S10303" s="10"/>
      <c r="T10303" s="10"/>
      <c r="U10303" s="10"/>
      <c r="V10303" s="10"/>
      <c r="W10303" s="10"/>
      <c r="X10303" s="10"/>
      <c r="Y10303" s="10"/>
      <c r="Z10303" s="10"/>
    </row>
    <row r="10304" spans="1:26" ht="12.75">
      <c r="A10304" s="10"/>
      <c r="B10304" s="10"/>
      <c r="C10304" s="10"/>
      <c r="D10304" s="10"/>
      <c r="E10304" s="10"/>
      <c r="F10304" s="10"/>
      <c r="G10304" s="10"/>
      <c r="H10304" s="10"/>
      <c r="I10304" s="10"/>
      <c r="J10304" s="10"/>
      <c r="K10304" s="10"/>
      <c r="L10304" s="10"/>
      <c r="M10304" s="10"/>
      <c r="N10304" s="10"/>
      <c r="O10304" s="10"/>
      <c r="P10304" s="10"/>
      <c r="Q10304" s="10"/>
      <c r="R10304" s="10"/>
      <c r="S10304" s="10"/>
      <c r="T10304" s="10"/>
      <c r="U10304" s="10"/>
      <c r="V10304" s="10"/>
      <c r="W10304" s="10"/>
      <c r="X10304" s="10"/>
      <c r="Y10304" s="10"/>
      <c r="Z10304" s="10"/>
    </row>
    <row r="10305" spans="1:26" ht="12.75">
      <c r="A10305" s="10"/>
      <c r="B10305" s="10"/>
      <c r="C10305" s="10"/>
      <c r="D10305" s="10"/>
      <c r="E10305" s="10"/>
      <c r="F10305" s="10"/>
      <c r="G10305" s="10"/>
      <c r="H10305" s="10"/>
      <c r="I10305" s="10"/>
      <c r="J10305" s="10"/>
      <c r="K10305" s="10"/>
      <c r="L10305" s="10"/>
      <c r="M10305" s="10"/>
      <c r="N10305" s="10"/>
      <c r="O10305" s="10"/>
      <c r="P10305" s="10"/>
      <c r="Q10305" s="10"/>
      <c r="R10305" s="10"/>
      <c r="S10305" s="10"/>
      <c r="T10305" s="10"/>
      <c r="U10305" s="10"/>
      <c r="V10305" s="10"/>
      <c r="W10305" s="10"/>
      <c r="X10305" s="10"/>
      <c r="Y10305" s="10"/>
      <c r="Z10305" s="10"/>
    </row>
    <row r="10306" spans="1:26" ht="12.75">
      <c r="A10306" s="10"/>
      <c r="B10306" s="10"/>
      <c r="C10306" s="10"/>
      <c r="D10306" s="10"/>
      <c r="E10306" s="10"/>
      <c r="F10306" s="10"/>
      <c r="G10306" s="10"/>
      <c r="H10306" s="10"/>
      <c r="I10306" s="10"/>
      <c r="J10306" s="10"/>
      <c r="K10306" s="10"/>
      <c r="L10306" s="10"/>
      <c r="M10306" s="10"/>
      <c r="N10306" s="10"/>
      <c r="O10306" s="10"/>
      <c r="P10306" s="10"/>
      <c r="Q10306" s="10"/>
      <c r="R10306" s="10"/>
      <c r="S10306" s="10"/>
      <c r="T10306" s="10"/>
      <c r="U10306" s="10"/>
      <c r="V10306" s="10"/>
      <c r="W10306" s="10"/>
      <c r="X10306" s="10"/>
      <c r="Y10306" s="10"/>
      <c r="Z10306" s="10"/>
    </row>
    <row r="10307" spans="1:26" ht="12.75">
      <c r="A10307" s="10"/>
      <c r="B10307" s="10"/>
      <c r="C10307" s="10"/>
      <c r="D10307" s="10"/>
      <c r="E10307" s="10"/>
      <c r="F10307" s="10"/>
      <c r="G10307" s="10"/>
      <c r="H10307" s="10"/>
      <c r="I10307" s="10"/>
      <c r="J10307" s="10"/>
      <c r="K10307" s="10"/>
      <c r="L10307" s="10"/>
      <c r="M10307" s="10"/>
      <c r="N10307" s="10"/>
      <c r="O10307" s="10"/>
      <c r="P10307" s="10"/>
      <c r="Q10307" s="10"/>
      <c r="R10307" s="10"/>
      <c r="S10307" s="10"/>
      <c r="T10307" s="10"/>
      <c r="U10307" s="10"/>
      <c r="V10307" s="10"/>
      <c r="W10307" s="10"/>
      <c r="X10307" s="10"/>
      <c r="Y10307" s="10"/>
      <c r="Z10307" s="10"/>
    </row>
    <row r="10308" spans="1:26" ht="12.75">
      <c r="A10308" s="10"/>
      <c r="B10308" s="10"/>
      <c r="C10308" s="10"/>
      <c r="D10308" s="10"/>
      <c r="E10308" s="10"/>
      <c r="F10308" s="10"/>
      <c r="G10308" s="10"/>
      <c r="H10308" s="10"/>
      <c r="I10308" s="10"/>
      <c r="J10308" s="10"/>
      <c r="K10308" s="10"/>
      <c r="L10308" s="10"/>
      <c r="M10308" s="10"/>
      <c r="N10308" s="10"/>
      <c r="O10308" s="10"/>
      <c r="P10308" s="10"/>
      <c r="Q10308" s="10"/>
      <c r="R10308" s="10"/>
      <c r="S10308" s="10"/>
      <c r="T10308" s="10"/>
      <c r="U10308" s="10"/>
      <c r="V10308" s="10"/>
      <c r="W10308" s="10"/>
      <c r="X10308" s="10"/>
      <c r="Y10308" s="10"/>
      <c r="Z10308" s="10"/>
    </row>
    <row r="10309" spans="1:26" ht="12.75">
      <c r="A10309" s="10"/>
      <c r="B10309" s="10"/>
      <c r="C10309" s="10"/>
      <c r="D10309" s="10"/>
      <c r="E10309" s="10"/>
      <c r="F10309" s="10"/>
      <c r="G10309" s="10"/>
      <c r="H10309" s="10"/>
      <c r="I10309" s="10"/>
      <c r="J10309" s="10"/>
      <c r="K10309" s="10"/>
      <c r="L10309" s="10"/>
      <c r="M10309" s="10"/>
      <c r="N10309" s="10"/>
      <c r="O10309" s="10"/>
      <c r="P10309" s="10"/>
      <c r="Q10309" s="10"/>
      <c r="R10309" s="10"/>
      <c r="S10309" s="10"/>
      <c r="T10309" s="10"/>
      <c r="U10309" s="10"/>
      <c r="V10309" s="10"/>
      <c r="W10309" s="10"/>
      <c r="X10309" s="10"/>
      <c r="Y10309" s="10"/>
      <c r="Z10309" s="10"/>
    </row>
    <row r="10310" spans="1:26" ht="12.75">
      <c r="A10310" s="10"/>
      <c r="B10310" s="10"/>
      <c r="C10310" s="10"/>
      <c r="D10310" s="10"/>
      <c r="E10310" s="10"/>
      <c r="F10310" s="10"/>
      <c r="G10310" s="10"/>
      <c r="H10310" s="10"/>
      <c r="I10310" s="10"/>
      <c r="J10310" s="10"/>
      <c r="K10310" s="10"/>
      <c r="L10310" s="10"/>
      <c r="M10310" s="10"/>
      <c r="N10310" s="10"/>
      <c r="O10310" s="10"/>
      <c r="P10310" s="10"/>
      <c r="Q10310" s="10"/>
      <c r="R10310" s="10"/>
      <c r="S10310" s="10"/>
      <c r="T10310" s="10"/>
      <c r="U10310" s="10"/>
      <c r="V10310" s="10"/>
      <c r="W10310" s="10"/>
      <c r="X10310" s="10"/>
      <c r="Y10310" s="10"/>
      <c r="Z10310" s="10"/>
    </row>
    <row r="10311" spans="1:26" ht="12.75">
      <c r="A10311" s="10"/>
      <c r="B10311" s="10"/>
      <c r="C10311" s="10"/>
      <c r="D10311" s="10"/>
      <c r="E10311" s="10"/>
      <c r="F10311" s="10"/>
      <c r="G10311" s="10"/>
      <c r="H10311" s="10"/>
      <c r="I10311" s="10"/>
      <c r="J10311" s="10"/>
      <c r="K10311" s="10"/>
      <c r="L10311" s="10"/>
      <c r="M10311" s="10"/>
      <c r="N10311" s="10"/>
      <c r="O10311" s="10"/>
      <c r="P10311" s="10"/>
      <c r="Q10311" s="10"/>
      <c r="R10311" s="10"/>
      <c r="S10311" s="10"/>
      <c r="T10311" s="10"/>
      <c r="U10311" s="10"/>
      <c r="V10311" s="10"/>
      <c r="W10311" s="10"/>
      <c r="X10311" s="10"/>
      <c r="Y10311" s="10"/>
      <c r="Z10311" s="10"/>
    </row>
    <row r="10312" spans="1:26" ht="12.75">
      <c r="A10312" s="10"/>
      <c r="B10312" s="10"/>
      <c r="C10312" s="10"/>
      <c r="D10312" s="10"/>
      <c r="E10312" s="10"/>
      <c r="F10312" s="10"/>
      <c r="G10312" s="10"/>
      <c r="H10312" s="10"/>
      <c r="I10312" s="10"/>
      <c r="J10312" s="10"/>
      <c r="K10312" s="10"/>
      <c r="L10312" s="10"/>
      <c r="M10312" s="10"/>
      <c r="N10312" s="10"/>
      <c r="O10312" s="10"/>
      <c r="P10312" s="10"/>
      <c r="Q10312" s="10"/>
      <c r="R10312" s="10"/>
      <c r="S10312" s="10"/>
      <c r="T10312" s="10"/>
      <c r="U10312" s="10"/>
      <c r="V10312" s="10"/>
      <c r="W10312" s="10"/>
      <c r="X10312" s="10"/>
      <c r="Y10312" s="10"/>
      <c r="Z10312" s="10"/>
    </row>
    <row r="10313" spans="1:26" ht="12.75">
      <c r="A10313" s="10"/>
      <c r="B10313" s="10"/>
      <c r="C10313" s="10"/>
      <c r="D10313" s="10"/>
      <c r="E10313" s="10"/>
      <c r="F10313" s="10"/>
      <c r="G10313" s="10"/>
      <c r="H10313" s="10"/>
      <c r="I10313" s="10"/>
      <c r="J10313" s="10"/>
      <c r="K10313" s="10"/>
      <c r="L10313" s="10"/>
      <c r="M10313" s="10"/>
      <c r="N10313" s="10"/>
      <c r="O10313" s="10"/>
      <c r="P10313" s="10"/>
      <c r="Q10313" s="10"/>
      <c r="R10313" s="10"/>
      <c r="S10313" s="10"/>
      <c r="T10313" s="10"/>
      <c r="U10313" s="10"/>
      <c r="V10313" s="10"/>
      <c r="W10313" s="10"/>
      <c r="X10313" s="10"/>
      <c r="Y10313" s="10"/>
      <c r="Z10313" s="10"/>
    </row>
    <row r="10314" spans="1:26" ht="12.75">
      <c r="A10314" s="10"/>
      <c r="B10314" s="10"/>
      <c r="C10314" s="10"/>
      <c r="D10314" s="10"/>
      <c r="E10314" s="10"/>
      <c r="F10314" s="10"/>
      <c r="G10314" s="10"/>
      <c r="H10314" s="10"/>
      <c r="I10314" s="10"/>
      <c r="J10314" s="10"/>
      <c r="K10314" s="10"/>
      <c r="L10314" s="10"/>
      <c r="M10314" s="10"/>
      <c r="N10314" s="10"/>
      <c r="O10314" s="10"/>
      <c r="P10314" s="10"/>
      <c r="Q10314" s="10"/>
      <c r="R10314" s="10"/>
      <c r="S10314" s="10"/>
      <c r="T10314" s="10"/>
      <c r="U10314" s="10"/>
      <c r="V10314" s="10"/>
      <c r="W10314" s="10"/>
      <c r="X10314" s="10"/>
      <c r="Y10314" s="10"/>
      <c r="Z10314" s="10"/>
    </row>
    <row r="10315" spans="1:26" ht="12.75">
      <c r="A10315" s="10"/>
      <c r="B10315" s="10"/>
      <c r="C10315" s="10"/>
      <c r="D10315" s="10"/>
      <c r="E10315" s="10"/>
      <c r="F10315" s="10"/>
      <c r="G10315" s="10"/>
      <c r="H10315" s="10"/>
      <c r="I10315" s="10"/>
      <c r="J10315" s="10"/>
      <c r="K10315" s="10"/>
      <c r="L10315" s="10"/>
      <c r="M10315" s="10"/>
      <c r="N10315" s="10"/>
      <c r="O10315" s="10"/>
      <c r="P10315" s="10"/>
      <c r="Q10315" s="10"/>
      <c r="R10315" s="10"/>
      <c r="S10315" s="10"/>
      <c r="T10315" s="10"/>
      <c r="U10315" s="10"/>
      <c r="V10315" s="10"/>
      <c r="W10315" s="10"/>
      <c r="X10315" s="10"/>
      <c r="Y10315" s="10"/>
      <c r="Z10315" s="10"/>
    </row>
    <row r="10316" spans="1:26" ht="12.75">
      <c r="A10316" s="10"/>
      <c r="B10316" s="10"/>
      <c r="C10316" s="10"/>
      <c r="D10316" s="10"/>
      <c r="E10316" s="10"/>
      <c r="F10316" s="10"/>
      <c r="G10316" s="10"/>
      <c r="H10316" s="10"/>
      <c r="I10316" s="10"/>
      <c r="J10316" s="10"/>
      <c r="K10316" s="10"/>
      <c r="L10316" s="10"/>
      <c r="M10316" s="10"/>
      <c r="N10316" s="10"/>
      <c r="O10316" s="10"/>
      <c r="P10316" s="10"/>
      <c r="Q10316" s="10"/>
      <c r="R10316" s="10"/>
      <c r="S10316" s="10"/>
      <c r="T10316" s="10"/>
      <c r="U10316" s="10"/>
      <c r="V10316" s="10"/>
      <c r="W10316" s="10"/>
      <c r="X10316" s="10"/>
      <c r="Y10316" s="10"/>
      <c r="Z10316" s="10"/>
    </row>
    <row r="10317" spans="1:26" ht="12.75">
      <c r="A10317" s="10"/>
      <c r="B10317" s="10"/>
      <c r="C10317" s="10"/>
      <c r="D10317" s="10"/>
      <c r="E10317" s="10"/>
      <c r="F10317" s="10"/>
      <c r="G10317" s="10"/>
      <c r="H10317" s="10"/>
      <c r="I10317" s="10"/>
      <c r="J10317" s="10"/>
      <c r="K10317" s="10"/>
      <c r="L10317" s="10"/>
      <c r="M10317" s="10"/>
      <c r="N10317" s="10"/>
      <c r="O10317" s="10"/>
      <c r="P10317" s="10"/>
      <c r="Q10317" s="10"/>
      <c r="R10317" s="10"/>
      <c r="S10317" s="10"/>
      <c r="T10317" s="10"/>
      <c r="U10317" s="10"/>
      <c r="V10317" s="10"/>
      <c r="W10317" s="10"/>
      <c r="X10317" s="10"/>
      <c r="Y10317" s="10"/>
      <c r="Z10317" s="10"/>
    </row>
    <row r="10318" spans="1:26" ht="12.75">
      <c r="A10318" s="10"/>
      <c r="B10318" s="10"/>
      <c r="C10318" s="10"/>
      <c r="D10318" s="10"/>
      <c r="E10318" s="10"/>
      <c r="F10318" s="10"/>
      <c r="G10318" s="10"/>
      <c r="H10318" s="10"/>
      <c r="I10318" s="10"/>
      <c r="J10318" s="10"/>
      <c r="K10318" s="10"/>
      <c r="L10318" s="10"/>
      <c r="M10318" s="10"/>
      <c r="N10318" s="10"/>
      <c r="O10318" s="10"/>
      <c r="P10318" s="10"/>
      <c r="Q10318" s="10"/>
      <c r="R10318" s="10"/>
      <c r="S10318" s="10"/>
      <c r="T10318" s="10"/>
      <c r="U10318" s="10"/>
      <c r="V10318" s="10"/>
      <c r="W10318" s="10"/>
      <c r="X10318" s="10"/>
      <c r="Y10318" s="10"/>
      <c r="Z10318" s="10"/>
    </row>
    <row r="10319" spans="1:26" ht="12.75">
      <c r="A10319" s="10"/>
      <c r="B10319" s="10"/>
      <c r="C10319" s="10"/>
      <c r="D10319" s="10"/>
      <c r="E10319" s="10"/>
      <c r="F10319" s="10"/>
      <c r="G10319" s="10"/>
      <c r="H10319" s="10"/>
      <c r="I10319" s="10"/>
      <c r="J10319" s="10"/>
      <c r="K10319" s="10"/>
      <c r="L10319" s="10"/>
      <c r="M10319" s="10"/>
      <c r="N10319" s="10"/>
      <c r="O10319" s="10"/>
      <c r="P10319" s="10"/>
      <c r="Q10319" s="10"/>
      <c r="R10319" s="10"/>
      <c r="S10319" s="10"/>
      <c r="T10319" s="10"/>
      <c r="U10319" s="10"/>
      <c r="V10319" s="10"/>
      <c r="W10319" s="10"/>
      <c r="X10319" s="10"/>
      <c r="Y10319" s="10"/>
      <c r="Z10319" s="10"/>
    </row>
    <row r="10320" spans="1:26" ht="12.75">
      <c r="A10320" s="10"/>
      <c r="B10320" s="10"/>
      <c r="C10320" s="10"/>
      <c r="D10320" s="10"/>
      <c r="E10320" s="10"/>
      <c r="F10320" s="10"/>
      <c r="G10320" s="10"/>
      <c r="H10320" s="10"/>
      <c r="I10320" s="10"/>
      <c r="J10320" s="10"/>
      <c r="K10320" s="10"/>
      <c r="L10320" s="10"/>
      <c r="M10320" s="10"/>
      <c r="N10320" s="10"/>
      <c r="O10320" s="10"/>
      <c r="P10320" s="10"/>
      <c r="Q10320" s="10"/>
      <c r="R10320" s="10"/>
      <c r="S10320" s="10"/>
      <c r="T10320" s="10"/>
      <c r="U10320" s="10"/>
      <c r="V10320" s="10"/>
      <c r="W10320" s="10"/>
      <c r="X10320" s="10"/>
      <c r="Y10320" s="10"/>
      <c r="Z10320" s="10"/>
    </row>
    <row r="10321" spans="1:26" ht="12.75">
      <c r="A10321" s="10"/>
      <c r="B10321" s="10"/>
      <c r="C10321" s="10"/>
      <c r="D10321" s="10"/>
      <c r="E10321" s="10"/>
      <c r="F10321" s="10"/>
      <c r="G10321" s="10"/>
      <c r="H10321" s="10"/>
      <c r="I10321" s="10"/>
      <c r="J10321" s="10"/>
      <c r="K10321" s="10"/>
      <c r="L10321" s="10"/>
      <c r="M10321" s="10"/>
      <c r="N10321" s="10"/>
      <c r="O10321" s="10"/>
      <c r="P10321" s="10"/>
      <c r="Q10321" s="10"/>
      <c r="R10321" s="10"/>
      <c r="S10321" s="10"/>
      <c r="T10321" s="10"/>
      <c r="U10321" s="10"/>
      <c r="V10321" s="10"/>
      <c r="W10321" s="10"/>
      <c r="X10321" s="10"/>
      <c r="Y10321" s="10"/>
      <c r="Z10321" s="10"/>
    </row>
    <row r="10322" spans="1:26" ht="12.75">
      <c r="A10322" s="10"/>
      <c r="B10322" s="10"/>
      <c r="C10322" s="10"/>
      <c r="D10322" s="10"/>
      <c r="E10322" s="10"/>
      <c r="F10322" s="10"/>
      <c r="G10322" s="10"/>
      <c r="H10322" s="10"/>
      <c r="I10322" s="10"/>
      <c r="J10322" s="10"/>
      <c r="K10322" s="10"/>
      <c r="L10322" s="10"/>
      <c r="M10322" s="10"/>
      <c r="N10322" s="10"/>
      <c r="O10322" s="10"/>
      <c r="P10322" s="10"/>
      <c r="Q10322" s="10"/>
      <c r="R10322" s="10"/>
      <c r="S10322" s="10"/>
      <c r="T10322" s="10"/>
      <c r="U10322" s="10"/>
      <c r="V10322" s="10"/>
      <c r="W10322" s="10"/>
      <c r="X10322" s="10"/>
      <c r="Y10322" s="10"/>
      <c r="Z10322" s="10"/>
    </row>
    <row r="10323" spans="1:26" ht="12.75">
      <c r="A10323" s="10"/>
      <c r="B10323" s="10"/>
      <c r="C10323" s="10"/>
      <c r="D10323" s="10"/>
      <c r="E10323" s="10"/>
      <c r="F10323" s="10"/>
      <c r="G10323" s="10"/>
      <c r="H10323" s="10"/>
      <c r="I10323" s="10"/>
      <c r="J10323" s="10"/>
      <c r="K10323" s="10"/>
      <c r="L10323" s="10"/>
      <c r="M10323" s="10"/>
      <c r="N10323" s="10"/>
      <c r="O10323" s="10"/>
      <c r="P10323" s="10"/>
      <c r="Q10323" s="10"/>
      <c r="R10323" s="10"/>
      <c r="S10323" s="10"/>
      <c r="T10323" s="10"/>
      <c r="U10323" s="10"/>
      <c r="V10323" s="10"/>
      <c r="W10323" s="10"/>
      <c r="X10323" s="10"/>
      <c r="Y10323" s="10"/>
      <c r="Z10323" s="10"/>
    </row>
    <row r="10324" spans="1:26" ht="12.75">
      <c r="A10324" s="10"/>
      <c r="B10324" s="10"/>
      <c r="C10324" s="10"/>
      <c r="D10324" s="10"/>
      <c r="E10324" s="10"/>
      <c r="F10324" s="10"/>
      <c r="G10324" s="10"/>
      <c r="H10324" s="10"/>
      <c r="I10324" s="10"/>
      <c r="J10324" s="10"/>
      <c r="K10324" s="10"/>
      <c r="L10324" s="10"/>
      <c r="M10324" s="10"/>
      <c r="N10324" s="10"/>
      <c r="O10324" s="10"/>
      <c r="P10324" s="10"/>
      <c r="Q10324" s="10"/>
      <c r="R10324" s="10"/>
      <c r="S10324" s="10"/>
      <c r="T10324" s="10"/>
      <c r="U10324" s="10"/>
      <c r="V10324" s="10"/>
      <c r="W10324" s="10"/>
      <c r="X10324" s="10"/>
      <c r="Y10324" s="10"/>
      <c r="Z10324" s="10"/>
    </row>
    <row r="10325" spans="1:26" ht="12.75">
      <c r="A10325" s="10"/>
      <c r="B10325" s="10"/>
      <c r="C10325" s="10"/>
      <c r="D10325" s="10"/>
      <c r="E10325" s="10"/>
      <c r="F10325" s="10"/>
      <c r="G10325" s="10"/>
      <c r="H10325" s="10"/>
      <c r="I10325" s="10"/>
      <c r="J10325" s="10"/>
      <c r="K10325" s="10"/>
      <c r="L10325" s="10"/>
      <c r="M10325" s="10"/>
      <c r="N10325" s="10"/>
      <c r="O10325" s="10"/>
      <c r="P10325" s="10"/>
      <c r="Q10325" s="10"/>
      <c r="R10325" s="10"/>
      <c r="S10325" s="10"/>
      <c r="T10325" s="10"/>
      <c r="U10325" s="10"/>
      <c r="V10325" s="10"/>
      <c r="W10325" s="10"/>
      <c r="X10325" s="10"/>
      <c r="Y10325" s="10"/>
      <c r="Z10325" s="10"/>
    </row>
    <row r="10326" spans="1:26" ht="12.75">
      <c r="A10326" s="10"/>
      <c r="B10326" s="10"/>
      <c r="C10326" s="10"/>
      <c r="D10326" s="10"/>
      <c r="E10326" s="10"/>
      <c r="F10326" s="10"/>
      <c r="G10326" s="10"/>
      <c r="H10326" s="10"/>
      <c r="I10326" s="10"/>
      <c r="J10326" s="10"/>
      <c r="K10326" s="10"/>
      <c r="L10326" s="10"/>
      <c r="M10326" s="10"/>
      <c r="N10326" s="10"/>
      <c r="O10326" s="10"/>
      <c r="P10326" s="10"/>
      <c r="Q10326" s="10"/>
      <c r="R10326" s="10"/>
      <c r="S10326" s="10"/>
      <c r="T10326" s="10"/>
      <c r="U10326" s="10"/>
      <c r="V10326" s="10"/>
      <c r="W10326" s="10"/>
      <c r="X10326" s="10"/>
      <c r="Y10326" s="10"/>
      <c r="Z10326" s="10"/>
    </row>
    <row r="10327" spans="1:26" ht="12.75">
      <c r="A10327" s="10"/>
      <c r="B10327" s="10"/>
      <c r="C10327" s="10"/>
      <c r="D10327" s="10"/>
      <c r="E10327" s="10"/>
      <c r="F10327" s="10"/>
      <c r="G10327" s="10"/>
      <c r="H10327" s="10"/>
      <c r="I10327" s="10"/>
      <c r="J10327" s="10"/>
      <c r="K10327" s="10"/>
      <c r="L10327" s="10"/>
      <c r="M10327" s="10"/>
      <c r="N10327" s="10"/>
      <c r="O10327" s="10"/>
      <c r="P10327" s="10"/>
      <c r="Q10327" s="10"/>
      <c r="R10327" s="10"/>
      <c r="S10327" s="10"/>
      <c r="T10327" s="10"/>
      <c r="U10327" s="10"/>
      <c r="V10327" s="10"/>
      <c r="W10327" s="10"/>
      <c r="X10327" s="10"/>
      <c r="Y10327" s="10"/>
      <c r="Z10327" s="10"/>
    </row>
    <row r="10328" spans="1:26" ht="12.75">
      <c r="A10328" s="10"/>
      <c r="B10328" s="10"/>
      <c r="C10328" s="10"/>
      <c r="D10328" s="10"/>
      <c r="E10328" s="10"/>
      <c r="F10328" s="10"/>
      <c r="G10328" s="10"/>
      <c r="H10328" s="10"/>
      <c r="I10328" s="10"/>
      <c r="J10328" s="10"/>
      <c r="K10328" s="10"/>
      <c r="L10328" s="10"/>
      <c r="M10328" s="10"/>
      <c r="N10328" s="10"/>
      <c r="O10328" s="10"/>
      <c r="P10328" s="10"/>
      <c r="Q10328" s="10"/>
      <c r="R10328" s="10"/>
      <c r="S10328" s="10"/>
      <c r="T10328" s="10"/>
      <c r="U10328" s="10"/>
      <c r="V10328" s="10"/>
      <c r="W10328" s="10"/>
      <c r="X10328" s="10"/>
      <c r="Y10328" s="10"/>
      <c r="Z10328" s="10"/>
    </row>
    <row r="10329" spans="1:26" ht="12.75">
      <c r="A10329" s="10"/>
      <c r="B10329" s="10"/>
      <c r="C10329" s="10"/>
      <c r="D10329" s="10"/>
      <c r="E10329" s="10"/>
      <c r="F10329" s="10"/>
      <c r="G10329" s="10"/>
      <c r="H10329" s="10"/>
      <c r="I10329" s="10"/>
      <c r="J10329" s="10"/>
      <c r="K10329" s="10"/>
      <c r="L10329" s="10"/>
      <c r="M10329" s="10"/>
      <c r="N10329" s="10"/>
      <c r="O10329" s="10"/>
      <c r="P10329" s="10"/>
      <c r="Q10329" s="10"/>
      <c r="R10329" s="10"/>
      <c r="S10329" s="10"/>
      <c r="T10329" s="10"/>
      <c r="U10329" s="10"/>
      <c r="V10329" s="10"/>
      <c r="W10329" s="10"/>
      <c r="X10329" s="10"/>
      <c r="Y10329" s="10"/>
      <c r="Z10329" s="10"/>
    </row>
    <row r="10330" spans="1:26" ht="12.75">
      <c r="A10330" s="10"/>
      <c r="B10330" s="10"/>
      <c r="C10330" s="10"/>
      <c r="D10330" s="10"/>
      <c r="E10330" s="10"/>
      <c r="F10330" s="10"/>
      <c r="G10330" s="10"/>
      <c r="H10330" s="10"/>
      <c r="I10330" s="10"/>
      <c r="J10330" s="10"/>
      <c r="K10330" s="10"/>
      <c r="L10330" s="10"/>
      <c r="M10330" s="10"/>
      <c r="N10330" s="10"/>
      <c r="O10330" s="10"/>
      <c r="P10330" s="10"/>
      <c r="Q10330" s="10"/>
      <c r="R10330" s="10"/>
      <c r="S10330" s="10"/>
      <c r="T10330" s="10"/>
      <c r="U10330" s="10"/>
      <c r="V10330" s="10"/>
      <c r="W10330" s="10"/>
      <c r="X10330" s="10"/>
      <c r="Y10330" s="10"/>
      <c r="Z10330" s="10"/>
    </row>
    <row r="10331" spans="1:26" ht="12.75">
      <c r="A10331" s="10"/>
      <c r="B10331" s="10"/>
      <c r="C10331" s="10"/>
      <c r="D10331" s="10"/>
      <c r="E10331" s="10"/>
      <c r="F10331" s="10"/>
      <c r="G10331" s="10"/>
      <c r="H10331" s="10"/>
      <c r="I10331" s="10"/>
      <c r="J10331" s="10"/>
      <c r="K10331" s="10"/>
      <c r="L10331" s="10"/>
      <c r="M10331" s="10"/>
      <c r="N10331" s="10"/>
      <c r="O10331" s="10"/>
      <c r="P10331" s="10"/>
      <c r="Q10331" s="10"/>
      <c r="R10331" s="10"/>
      <c r="S10331" s="10"/>
      <c r="T10331" s="10"/>
      <c r="U10331" s="10"/>
      <c r="V10331" s="10"/>
      <c r="W10331" s="10"/>
      <c r="X10331" s="10"/>
      <c r="Y10331" s="10"/>
      <c r="Z10331" s="10"/>
    </row>
    <row r="10332" spans="1:26" ht="12.75">
      <c r="A10332" s="10"/>
      <c r="B10332" s="10"/>
      <c r="C10332" s="10"/>
      <c r="D10332" s="10"/>
      <c r="E10332" s="10"/>
      <c r="F10332" s="10"/>
      <c r="G10332" s="10"/>
      <c r="H10332" s="10"/>
      <c r="I10332" s="10"/>
      <c r="J10332" s="10"/>
      <c r="K10332" s="10"/>
      <c r="L10332" s="10"/>
      <c r="M10332" s="10"/>
      <c r="N10332" s="10"/>
      <c r="O10332" s="10"/>
      <c r="P10332" s="10"/>
      <c r="Q10332" s="10"/>
      <c r="R10332" s="10"/>
      <c r="S10332" s="10"/>
      <c r="T10332" s="10"/>
      <c r="U10332" s="10"/>
      <c r="V10332" s="10"/>
      <c r="W10332" s="10"/>
      <c r="X10332" s="10"/>
      <c r="Y10332" s="10"/>
      <c r="Z10332" s="10"/>
    </row>
    <row r="10333" spans="1:26" ht="12.75">
      <c r="A10333" s="10"/>
      <c r="B10333" s="10"/>
      <c r="C10333" s="10"/>
      <c r="D10333" s="10"/>
      <c r="E10333" s="10"/>
      <c r="F10333" s="10"/>
      <c r="G10333" s="10"/>
      <c r="H10333" s="10"/>
      <c r="I10333" s="10"/>
      <c r="J10333" s="10"/>
      <c r="K10333" s="10"/>
      <c r="L10333" s="10"/>
      <c r="M10333" s="10"/>
      <c r="N10333" s="10"/>
      <c r="O10333" s="10"/>
      <c r="P10333" s="10"/>
      <c r="Q10333" s="10"/>
      <c r="R10333" s="10"/>
      <c r="S10333" s="10"/>
      <c r="T10333" s="10"/>
      <c r="U10333" s="10"/>
      <c r="V10333" s="10"/>
      <c r="W10333" s="10"/>
      <c r="X10333" s="10"/>
      <c r="Y10333" s="10"/>
      <c r="Z10333" s="10"/>
    </row>
    <row r="10334" spans="1:26" ht="12.75">
      <c r="A10334" s="10"/>
      <c r="B10334" s="10"/>
      <c r="C10334" s="10"/>
      <c r="D10334" s="10"/>
      <c r="E10334" s="10"/>
      <c r="F10334" s="10"/>
      <c r="G10334" s="10"/>
      <c r="H10334" s="10"/>
      <c r="I10334" s="10"/>
      <c r="J10334" s="10"/>
      <c r="K10334" s="10"/>
      <c r="L10334" s="10"/>
      <c r="M10334" s="10"/>
      <c r="N10334" s="10"/>
      <c r="O10334" s="10"/>
      <c r="P10334" s="10"/>
      <c r="Q10334" s="10"/>
      <c r="R10334" s="10"/>
      <c r="S10334" s="10"/>
      <c r="T10334" s="10"/>
      <c r="U10334" s="10"/>
      <c r="V10334" s="10"/>
      <c r="W10334" s="10"/>
      <c r="X10334" s="10"/>
      <c r="Y10334" s="10"/>
      <c r="Z10334" s="10"/>
    </row>
    <row r="10335" spans="1:26" ht="12.75">
      <c r="A10335" s="10"/>
      <c r="B10335" s="10"/>
      <c r="C10335" s="10"/>
      <c r="D10335" s="10"/>
      <c r="E10335" s="10"/>
      <c r="F10335" s="10"/>
      <c r="G10335" s="10"/>
      <c r="H10335" s="10"/>
      <c r="I10335" s="10"/>
      <c r="J10335" s="10"/>
      <c r="K10335" s="10"/>
      <c r="L10335" s="10"/>
      <c r="M10335" s="10"/>
      <c r="N10335" s="10"/>
      <c r="O10335" s="10"/>
      <c r="P10335" s="10"/>
      <c r="Q10335" s="10"/>
      <c r="R10335" s="10"/>
      <c r="S10335" s="10"/>
      <c r="T10335" s="10"/>
      <c r="U10335" s="10"/>
      <c r="V10335" s="10"/>
      <c r="W10335" s="10"/>
      <c r="X10335" s="10"/>
      <c r="Y10335" s="10"/>
      <c r="Z10335" s="10"/>
    </row>
    <row r="10336" spans="1:26" ht="12.75">
      <c r="A10336" s="10"/>
      <c r="B10336" s="10"/>
      <c r="C10336" s="10"/>
      <c r="D10336" s="10"/>
      <c r="E10336" s="10"/>
      <c r="F10336" s="10"/>
      <c r="G10336" s="10"/>
      <c r="H10336" s="10"/>
      <c r="I10336" s="10"/>
      <c r="J10336" s="10"/>
      <c r="K10336" s="10"/>
      <c r="L10336" s="10"/>
      <c r="M10336" s="10"/>
      <c r="N10336" s="10"/>
      <c r="O10336" s="10"/>
      <c r="P10336" s="10"/>
      <c r="Q10336" s="10"/>
      <c r="R10336" s="10"/>
      <c r="S10336" s="10"/>
      <c r="T10336" s="10"/>
      <c r="U10336" s="10"/>
      <c r="V10336" s="10"/>
      <c r="W10336" s="10"/>
      <c r="X10336" s="10"/>
      <c r="Y10336" s="10"/>
      <c r="Z10336" s="10"/>
    </row>
    <row r="10337" spans="1:26" ht="12.75">
      <c r="A10337" s="10"/>
      <c r="B10337" s="10"/>
      <c r="C10337" s="10"/>
      <c r="D10337" s="10"/>
      <c r="E10337" s="10"/>
      <c r="F10337" s="10"/>
      <c r="G10337" s="10"/>
      <c r="H10337" s="10"/>
      <c r="I10337" s="10"/>
      <c r="J10337" s="10"/>
      <c r="K10337" s="10"/>
      <c r="L10337" s="10"/>
      <c r="M10337" s="10"/>
      <c r="N10337" s="10"/>
      <c r="O10337" s="10"/>
      <c r="P10337" s="10"/>
      <c r="Q10337" s="10"/>
      <c r="R10337" s="10"/>
      <c r="S10337" s="10"/>
      <c r="T10337" s="10"/>
      <c r="U10337" s="10"/>
      <c r="V10337" s="10"/>
      <c r="W10337" s="10"/>
      <c r="X10337" s="10"/>
      <c r="Y10337" s="10"/>
      <c r="Z10337" s="10"/>
    </row>
    <row r="10338" spans="1:26" ht="12.75">
      <c r="A10338" s="10"/>
      <c r="B10338" s="10"/>
      <c r="C10338" s="10"/>
      <c r="D10338" s="10"/>
      <c r="E10338" s="10"/>
      <c r="F10338" s="10"/>
      <c r="G10338" s="10"/>
      <c r="H10338" s="10"/>
      <c r="I10338" s="10"/>
      <c r="J10338" s="10"/>
      <c r="K10338" s="10"/>
      <c r="L10338" s="10"/>
      <c r="M10338" s="10"/>
      <c r="N10338" s="10"/>
      <c r="O10338" s="10"/>
      <c r="P10338" s="10"/>
      <c r="Q10338" s="10"/>
      <c r="R10338" s="10"/>
      <c r="S10338" s="10"/>
      <c r="T10338" s="10"/>
      <c r="U10338" s="10"/>
      <c r="V10338" s="10"/>
      <c r="W10338" s="10"/>
      <c r="X10338" s="10"/>
      <c r="Y10338" s="10"/>
      <c r="Z10338" s="10"/>
    </row>
    <row r="10339" spans="1:26" ht="12.75">
      <c r="A10339" s="10"/>
      <c r="B10339" s="10"/>
      <c r="C10339" s="10"/>
      <c r="D10339" s="10"/>
      <c r="E10339" s="10"/>
      <c r="F10339" s="10"/>
      <c r="G10339" s="10"/>
      <c r="H10339" s="10"/>
      <c r="I10339" s="10"/>
      <c r="J10339" s="10"/>
      <c r="K10339" s="10"/>
      <c r="L10339" s="10"/>
      <c r="M10339" s="10"/>
      <c r="N10339" s="10"/>
      <c r="O10339" s="10"/>
      <c r="P10339" s="10"/>
      <c r="Q10339" s="10"/>
      <c r="R10339" s="10"/>
      <c r="S10339" s="10"/>
      <c r="T10339" s="10"/>
      <c r="U10339" s="10"/>
      <c r="V10339" s="10"/>
      <c r="W10339" s="10"/>
      <c r="X10339" s="10"/>
      <c r="Y10339" s="10"/>
      <c r="Z10339" s="10"/>
    </row>
    <row r="10340" spans="1:26" ht="12.75">
      <c r="A10340" s="10"/>
      <c r="B10340" s="10"/>
      <c r="C10340" s="10"/>
      <c r="D10340" s="10"/>
      <c r="E10340" s="10"/>
      <c r="F10340" s="10"/>
      <c r="G10340" s="10"/>
      <c r="H10340" s="10"/>
      <c r="I10340" s="10"/>
      <c r="J10340" s="10"/>
      <c r="K10340" s="10"/>
      <c r="L10340" s="10"/>
      <c r="M10340" s="10"/>
      <c r="N10340" s="10"/>
      <c r="O10340" s="10"/>
      <c r="P10340" s="10"/>
      <c r="Q10340" s="10"/>
      <c r="R10340" s="10"/>
      <c r="S10340" s="10"/>
      <c r="T10340" s="10"/>
      <c r="U10340" s="10"/>
      <c r="V10340" s="10"/>
      <c r="W10340" s="10"/>
      <c r="X10340" s="10"/>
      <c r="Y10340" s="10"/>
      <c r="Z10340" s="10"/>
    </row>
    <row r="10341" spans="1:26" ht="12.75">
      <c r="A10341" s="10"/>
      <c r="B10341" s="10"/>
      <c r="C10341" s="10"/>
      <c r="D10341" s="10"/>
      <c r="E10341" s="10"/>
      <c r="F10341" s="10"/>
      <c r="G10341" s="10"/>
      <c r="H10341" s="10"/>
      <c r="I10341" s="10"/>
      <c r="J10341" s="10"/>
      <c r="K10341" s="10"/>
      <c r="L10341" s="10"/>
      <c r="M10341" s="10"/>
      <c r="N10341" s="10"/>
      <c r="O10341" s="10"/>
      <c r="P10341" s="10"/>
      <c r="Q10341" s="10"/>
      <c r="R10341" s="10"/>
      <c r="S10341" s="10"/>
      <c r="T10341" s="10"/>
      <c r="U10341" s="10"/>
      <c r="V10341" s="10"/>
      <c r="W10341" s="10"/>
      <c r="X10341" s="10"/>
      <c r="Y10341" s="10"/>
      <c r="Z10341" s="10"/>
    </row>
    <row r="10342" spans="1:26" ht="12.75">
      <c r="A10342" s="10"/>
      <c r="B10342" s="10"/>
      <c r="C10342" s="10"/>
      <c r="D10342" s="10"/>
      <c r="E10342" s="10"/>
      <c r="F10342" s="10"/>
      <c r="G10342" s="10"/>
      <c r="H10342" s="10"/>
      <c r="I10342" s="10"/>
      <c r="J10342" s="10"/>
      <c r="K10342" s="10"/>
      <c r="L10342" s="10"/>
      <c r="M10342" s="10"/>
      <c r="N10342" s="10"/>
      <c r="O10342" s="10"/>
      <c r="P10342" s="10"/>
      <c r="Q10342" s="10"/>
      <c r="R10342" s="10"/>
      <c r="S10342" s="10"/>
      <c r="T10342" s="10"/>
      <c r="U10342" s="10"/>
      <c r="V10342" s="10"/>
      <c r="W10342" s="10"/>
      <c r="X10342" s="10"/>
      <c r="Y10342" s="10"/>
      <c r="Z10342" s="10"/>
    </row>
    <row r="10343" spans="1:26" ht="12.75">
      <c r="A10343" s="10"/>
      <c r="B10343" s="10"/>
      <c r="C10343" s="10"/>
      <c r="D10343" s="10"/>
      <c r="E10343" s="10"/>
      <c r="F10343" s="10"/>
      <c r="G10343" s="10"/>
      <c r="H10343" s="10"/>
      <c r="I10343" s="10"/>
      <c r="J10343" s="10"/>
      <c r="K10343" s="10"/>
      <c r="L10343" s="10"/>
      <c r="M10343" s="10"/>
      <c r="N10343" s="10"/>
      <c r="O10343" s="10"/>
      <c r="P10343" s="10"/>
      <c r="Q10343" s="10"/>
      <c r="R10343" s="10"/>
      <c r="S10343" s="10"/>
      <c r="T10343" s="10"/>
      <c r="U10343" s="10"/>
      <c r="V10343" s="10"/>
      <c r="W10343" s="10"/>
      <c r="X10343" s="10"/>
      <c r="Y10343" s="10"/>
      <c r="Z10343" s="10"/>
    </row>
    <row r="10344" spans="1:26" ht="12.75">
      <c r="A10344" s="10"/>
      <c r="B10344" s="10"/>
      <c r="C10344" s="10"/>
      <c r="D10344" s="10"/>
      <c r="E10344" s="10"/>
      <c r="F10344" s="10"/>
      <c r="G10344" s="10"/>
      <c r="H10344" s="10"/>
      <c r="I10344" s="10"/>
      <c r="J10344" s="10"/>
      <c r="K10344" s="10"/>
      <c r="L10344" s="10"/>
      <c r="M10344" s="10"/>
      <c r="N10344" s="10"/>
      <c r="O10344" s="10"/>
      <c r="P10344" s="10"/>
      <c r="Q10344" s="10"/>
      <c r="R10344" s="10"/>
      <c r="S10344" s="10"/>
      <c r="T10344" s="10"/>
      <c r="U10344" s="10"/>
      <c r="V10344" s="10"/>
      <c r="W10344" s="10"/>
      <c r="X10344" s="10"/>
      <c r="Y10344" s="10"/>
      <c r="Z10344" s="10"/>
    </row>
    <row r="10345" spans="1:26" ht="12.75">
      <c r="A10345" s="10"/>
      <c r="B10345" s="10"/>
      <c r="C10345" s="10"/>
      <c r="D10345" s="10"/>
      <c r="E10345" s="10"/>
      <c r="F10345" s="10"/>
      <c r="G10345" s="10"/>
      <c r="H10345" s="10"/>
      <c r="I10345" s="10"/>
      <c r="J10345" s="10"/>
      <c r="K10345" s="10"/>
      <c r="L10345" s="10"/>
      <c r="M10345" s="10"/>
      <c r="N10345" s="10"/>
      <c r="O10345" s="10"/>
      <c r="P10345" s="10"/>
      <c r="Q10345" s="10"/>
      <c r="R10345" s="10"/>
      <c r="S10345" s="10"/>
      <c r="T10345" s="10"/>
      <c r="U10345" s="10"/>
      <c r="V10345" s="10"/>
      <c r="W10345" s="10"/>
      <c r="X10345" s="10"/>
      <c r="Y10345" s="10"/>
      <c r="Z10345" s="10"/>
    </row>
    <row r="10346" spans="1:26" ht="12.75">
      <c r="A10346" s="10"/>
      <c r="B10346" s="10"/>
      <c r="C10346" s="10"/>
      <c r="D10346" s="10"/>
      <c r="E10346" s="10"/>
      <c r="F10346" s="10"/>
      <c r="G10346" s="10"/>
      <c r="H10346" s="10"/>
      <c r="I10346" s="10"/>
      <c r="J10346" s="10"/>
      <c r="K10346" s="10"/>
      <c r="L10346" s="10"/>
      <c r="M10346" s="10"/>
      <c r="N10346" s="10"/>
      <c r="O10346" s="10"/>
      <c r="P10346" s="10"/>
      <c r="Q10346" s="10"/>
      <c r="R10346" s="10"/>
      <c r="S10346" s="10"/>
      <c r="T10346" s="10"/>
      <c r="U10346" s="10"/>
      <c r="V10346" s="10"/>
      <c r="W10346" s="10"/>
      <c r="X10346" s="10"/>
      <c r="Y10346" s="10"/>
      <c r="Z10346" s="10"/>
    </row>
    <row r="10347" spans="1:26" ht="12.75">
      <c r="A10347" s="10"/>
      <c r="B10347" s="10"/>
      <c r="C10347" s="10"/>
      <c r="D10347" s="10"/>
      <c r="E10347" s="10"/>
      <c r="F10347" s="10"/>
      <c r="G10347" s="10"/>
      <c r="H10347" s="10"/>
      <c r="I10347" s="10"/>
      <c r="J10347" s="10"/>
      <c r="K10347" s="10"/>
      <c r="L10347" s="10"/>
      <c r="M10347" s="10"/>
      <c r="N10347" s="10"/>
      <c r="O10347" s="10"/>
      <c r="P10347" s="10"/>
      <c r="Q10347" s="10"/>
      <c r="R10347" s="10"/>
      <c r="S10347" s="10"/>
      <c r="T10347" s="10"/>
      <c r="U10347" s="10"/>
      <c r="V10347" s="10"/>
      <c r="W10347" s="10"/>
      <c r="X10347" s="10"/>
      <c r="Y10347" s="10"/>
      <c r="Z10347" s="10"/>
    </row>
    <row r="10348" spans="1:26" ht="12.75">
      <c r="A10348" s="10"/>
      <c r="B10348" s="10"/>
      <c r="C10348" s="10"/>
      <c r="D10348" s="10"/>
      <c r="E10348" s="10"/>
      <c r="F10348" s="10"/>
      <c r="G10348" s="10"/>
      <c r="H10348" s="10"/>
      <c r="I10348" s="10"/>
      <c r="J10348" s="10"/>
      <c r="K10348" s="10"/>
      <c r="L10348" s="10"/>
      <c r="M10348" s="10"/>
      <c r="N10348" s="10"/>
      <c r="O10348" s="10"/>
      <c r="P10348" s="10"/>
      <c r="Q10348" s="10"/>
      <c r="R10348" s="10"/>
      <c r="S10348" s="10"/>
      <c r="T10348" s="10"/>
      <c r="U10348" s="10"/>
      <c r="V10348" s="10"/>
      <c r="W10348" s="10"/>
      <c r="X10348" s="10"/>
      <c r="Y10348" s="10"/>
      <c r="Z10348" s="10"/>
    </row>
    <row r="10349" spans="1:26" ht="12.75">
      <c r="A10349" s="10"/>
      <c r="B10349" s="10"/>
      <c r="C10349" s="10"/>
      <c r="D10349" s="10"/>
      <c r="E10349" s="10"/>
      <c r="F10349" s="10"/>
      <c r="G10349" s="10"/>
      <c r="H10349" s="10"/>
      <c r="I10349" s="10"/>
      <c r="J10349" s="10"/>
      <c r="K10349" s="10"/>
      <c r="L10349" s="10"/>
      <c r="M10349" s="10"/>
      <c r="N10349" s="10"/>
      <c r="O10349" s="10"/>
      <c r="P10349" s="10"/>
      <c r="Q10349" s="10"/>
      <c r="R10349" s="10"/>
      <c r="S10349" s="10"/>
      <c r="T10349" s="10"/>
      <c r="U10349" s="10"/>
      <c r="V10349" s="10"/>
      <c r="W10349" s="10"/>
      <c r="X10349" s="10"/>
      <c r="Y10349" s="10"/>
      <c r="Z10349" s="10"/>
    </row>
    <row r="10350" spans="1:26" ht="12.75">
      <c r="A10350" s="10"/>
      <c r="B10350" s="10"/>
      <c r="C10350" s="10"/>
      <c r="D10350" s="10"/>
      <c r="E10350" s="10"/>
      <c r="F10350" s="10"/>
      <c r="G10350" s="10"/>
      <c r="H10350" s="10"/>
      <c r="I10350" s="10"/>
      <c r="J10350" s="10"/>
      <c r="K10350" s="10"/>
      <c r="L10350" s="10"/>
      <c r="M10350" s="10"/>
      <c r="N10350" s="10"/>
      <c r="O10350" s="10"/>
      <c r="P10350" s="10"/>
      <c r="Q10350" s="10"/>
      <c r="R10350" s="10"/>
      <c r="S10350" s="10"/>
      <c r="T10350" s="10"/>
      <c r="U10350" s="10"/>
      <c r="V10350" s="10"/>
      <c r="W10350" s="10"/>
      <c r="X10350" s="10"/>
      <c r="Y10350" s="10"/>
      <c r="Z10350" s="10"/>
    </row>
    <row r="10351" spans="1:26" ht="12.75">
      <c r="A10351" s="10"/>
      <c r="B10351" s="10"/>
      <c r="C10351" s="10"/>
      <c r="D10351" s="10"/>
      <c r="E10351" s="10"/>
      <c r="F10351" s="10"/>
      <c r="G10351" s="10"/>
      <c r="H10351" s="10"/>
      <c r="I10351" s="10"/>
      <c r="J10351" s="10"/>
      <c r="K10351" s="10"/>
      <c r="L10351" s="10"/>
      <c r="M10351" s="10"/>
      <c r="N10351" s="10"/>
      <c r="O10351" s="10"/>
      <c r="P10351" s="10"/>
      <c r="Q10351" s="10"/>
      <c r="R10351" s="10"/>
      <c r="S10351" s="10"/>
      <c r="T10351" s="10"/>
      <c r="U10351" s="10"/>
      <c r="V10351" s="10"/>
      <c r="W10351" s="10"/>
      <c r="X10351" s="10"/>
      <c r="Y10351" s="10"/>
      <c r="Z10351" s="10"/>
    </row>
    <row r="10352" spans="1:26" ht="12.75">
      <c r="A10352" s="10"/>
      <c r="B10352" s="10"/>
      <c r="C10352" s="10"/>
      <c r="D10352" s="10"/>
      <c r="E10352" s="10"/>
      <c r="F10352" s="10"/>
      <c r="G10352" s="10"/>
      <c r="H10352" s="10"/>
      <c r="I10352" s="10"/>
      <c r="J10352" s="10"/>
      <c r="K10352" s="10"/>
      <c r="L10352" s="10"/>
      <c r="M10352" s="10"/>
      <c r="N10352" s="10"/>
      <c r="O10352" s="10"/>
      <c r="P10352" s="10"/>
      <c r="Q10352" s="10"/>
      <c r="R10352" s="10"/>
      <c r="S10352" s="10"/>
      <c r="T10352" s="10"/>
      <c r="U10352" s="10"/>
      <c r="V10352" s="10"/>
      <c r="W10352" s="10"/>
      <c r="X10352" s="10"/>
      <c r="Y10352" s="10"/>
      <c r="Z10352" s="10"/>
    </row>
    <row r="10353" spans="1:26" ht="12.75">
      <c r="A10353" s="10"/>
      <c r="B10353" s="10"/>
      <c r="C10353" s="10"/>
      <c r="D10353" s="10"/>
      <c r="E10353" s="10"/>
      <c r="F10353" s="10"/>
      <c r="G10353" s="10"/>
      <c r="H10353" s="10"/>
      <c r="I10353" s="10"/>
      <c r="J10353" s="10"/>
      <c r="K10353" s="10"/>
      <c r="L10353" s="10"/>
      <c r="M10353" s="10"/>
      <c r="N10353" s="10"/>
      <c r="O10353" s="10"/>
      <c r="P10353" s="10"/>
      <c r="Q10353" s="10"/>
      <c r="R10353" s="10"/>
      <c r="S10353" s="10"/>
      <c r="T10353" s="10"/>
      <c r="U10353" s="10"/>
      <c r="V10353" s="10"/>
      <c r="W10353" s="10"/>
      <c r="X10353" s="10"/>
      <c r="Y10353" s="10"/>
      <c r="Z10353" s="10"/>
    </row>
    <row r="10354" spans="1:26" ht="12.75">
      <c r="A10354" s="10"/>
      <c r="B10354" s="10"/>
      <c r="C10354" s="10"/>
      <c r="D10354" s="10"/>
      <c r="E10354" s="10"/>
      <c r="F10354" s="10"/>
      <c r="G10354" s="10"/>
      <c r="H10354" s="10"/>
      <c r="I10354" s="10"/>
      <c r="J10354" s="10"/>
      <c r="K10354" s="10"/>
      <c r="L10354" s="10"/>
      <c r="M10354" s="10"/>
      <c r="N10354" s="10"/>
      <c r="O10354" s="10"/>
      <c r="P10354" s="10"/>
      <c r="Q10354" s="10"/>
      <c r="R10354" s="10"/>
      <c r="S10354" s="10"/>
      <c r="T10354" s="10"/>
      <c r="U10354" s="10"/>
      <c r="V10354" s="10"/>
      <c r="W10354" s="10"/>
      <c r="X10354" s="10"/>
      <c r="Y10354" s="10"/>
      <c r="Z10354" s="10"/>
    </row>
    <row r="10355" spans="1:26" ht="12.75">
      <c r="A10355" s="10"/>
      <c r="B10355" s="10"/>
      <c r="C10355" s="10"/>
      <c r="D10355" s="10"/>
      <c r="E10355" s="10"/>
      <c r="F10355" s="10"/>
      <c r="G10355" s="10"/>
      <c r="H10355" s="10"/>
      <c r="I10355" s="10"/>
      <c r="J10355" s="10"/>
      <c r="K10355" s="10"/>
      <c r="L10355" s="10"/>
      <c r="M10355" s="10"/>
      <c r="N10355" s="10"/>
      <c r="O10355" s="10"/>
      <c r="P10355" s="10"/>
      <c r="Q10355" s="10"/>
      <c r="R10355" s="10"/>
      <c r="S10355" s="10"/>
      <c r="T10355" s="10"/>
      <c r="U10355" s="10"/>
      <c r="V10355" s="10"/>
      <c r="W10355" s="10"/>
      <c r="X10355" s="10"/>
      <c r="Y10355" s="10"/>
      <c r="Z10355" s="10"/>
    </row>
    <row r="10356" spans="1:26" ht="12.75">
      <c r="A10356" s="10"/>
      <c r="B10356" s="10"/>
      <c r="C10356" s="10"/>
      <c r="D10356" s="10"/>
      <c r="E10356" s="10"/>
      <c r="F10356" s="10"/>
      <c r="G10356" s="10"/>
      <c r="H10356" s="10"/>
      <c r="I10356" s="10"/>
      <c r="J10356" s="10"/>
      <c r="K10356" s="10"/>
      <c r="L10356" s="10"/>
      <c r="M10356" s="10"/>
      <c r="N10356" s="10"/>
      <c r="O10356" s="10"/>
      <c r="P10356" s="10"/>
      <c r="Q10356" s="10"/>
      <c r="R10356" s="10"/>
      <c r="S10356" s="10"/>
      <c r="T10356" s="10"/>
      <c r="U10356" s="10"/>
      <c r="V10356" s="10"/>
      <c r="W10356" s="10"/>
      <c r="X10356" s="10"/>
      <c r="Y10356" s="10"/>
      <c r="Z10356" s="10"/>
    </row>
    <row r="10357" spans="1:26" ht="12.75">
      <c r="A10357" s="10"/>
      <c r="B10357" s="10"/>
      <c r="C10357" s="10"/>
      <c r="D10357" s="10"/>
      <c r="E10357" s="10"/>
      <c r="F10357" s="10"/>
      <c r="G10357" s="10"/>
      <c r="H10357" s="10"/>
      <c r="I10357" s="10"/>
      <c r="J10357" s="10"/>
      <c r="K10357" s="10"/>
      <c r="L10357" s="10"/>
      <c r="M10357" s="10"/>
      <c r="N10357" s="10"/>
      <c r="O10357" s="10"/>
      <c r="P10357" s="10"/>
      <c r="Q10357" s="10"/>
      <c r="R10357" s="10"/>
      <c r="S10357" s="10"/>
      <c r="T10357" s="10"/>
      <c r="U10357" s="10"/>
      <c r="V10357" s="10"/>
      <c r="W10357" s="10"/>
      <c r="X10357" s="10"/>
      <c r="Y10357" s="10"/>
      <c r="Z10357" s="10"/>
    </row>
    <row r="10358" spans="1:26" ht="12.75">
      <c r="A10358" s="10"/>
      <c r="B10358" s="10"/>
      <c r="C10358" s="10"/>
      <c r="D10358" s="10"/>
      <c r="E10358" s="10"/>
      <c r="F10358" s="10"/>
      <c r="G10358" s="10"/>
      <c r="H10358" s="10"/>
      <c r="I10358" s="10"/>
      <c r="J10358" s="10"/>
      <c r="K10358" s="10"/>
      <c r="L10358" s="10"/>
      <c r="M10358" s="10"/>
      <c r="N10358" s="10"/>
      <c r="O10358" s="10"/>
      <c r="P10358" s="10"/>
      <c r="Q10358" s="10"/>
      <c r="R10358" s="10"/>
      <c r="S10358" s="10"/>
      <c r="T10358" s="10"/>
      <c r="U10358" s="10"/>
      <c r="V10358" s="10"/>
      <c r="W10358" s="10"/>
      <c r="X10358" s="10"/>
      <c r="Y10358" s="10"/>
      <c r="Z10358" s="10"/>
    </row>
    <row r="10359" spans="1:26" ht="12.75">
      <c r="A10359" s="10"/>
      <c r="B10359" s="10"/>
      <c r="C10359" s="10"/>
      <c r="D10359" s="10"/>
      <c r="E10359" s="10"/>
      <c r="F10359" s="10"/>
      <c r="G10359" s="10"/>
      <c r="H10359" s="10"/>
      <c r="I10359" s="10"/>
      <c r="J10359" s="10"/>
      <c r="K10359" s="10"/>
      <c r="L10359" s="10"/>
      <c r="M10359" s="10"/>
      <c r="N10359" s="10"/>
      <c r="O10359" s="10"/>
      <c r="P10359" s="10"/>
      <c r="Q10359" s="10"/>
      <c r="R10359" s="10"/>
      <c r="S10359" s="10"/>
      <c r="T10359" s="10"/>
      <c r="U10359" s="10"/>
      <c r="V10359" s="10"/>
      <c r="W10359" s="10"/>
      <c r="X10359" s="10"/>
      <c r="Y10359" s="10"/>
      <c r="Z10359" s="10"/>
    </row>
    <row r="10360" spans="1:26" ht="12.75">
      <c r="A10360" s="10"/>
      <c r="B10360" s="10"/>
      <c r="C10360" s="10"/>
      <c r="D10360" s="10"/>
      <c r="E10360" s="10"/>
      <c r="F10360" s="10"/>
      <c r="G10360" s="10"/>
      <c r="H10360" s="10"/>
      <c r="I10360" s="10"/>
      <c r="J10360" s="10"/>
      <c r="K10360" s="10"/>
      <c r="L10360" s="10"/>
      <c r="M10360" s="10"/>
      <c r="N10360" s="10"/>
      <c r="O10360" s="10"/>
      <c r="P10360" s="10"/>
      <c r="Q10360" s="10"/>
      <c r="R10360" s="10"/>
      <c r="S10360" s="10"/>
      <c r="T10360" s="10"/>
      <c r="U10360" s="10"/>
      <c r="V10360" s="10"/>
      <c r="W10360" s="10"/>
      <c r="X10360" s="10"/>
      <c r="Y10360" s="10"/>
      <c r="Z10360" s="10"/>
    </row>
    <row r="10361" spans="1:26" ht="12.75">
      <c r="A10361" s="10"/>
      <c r="B10361" s="10"/>
      <c r="C10361" s="10"/>
      <c r="D10361" s="10"/>
      <c r="E10361" s="10"/>
      <c r="F10361" s="10"/>
      <c r="G10361" s="10"/>
      <c r="H10361" s="10"/>
      <c r="I10361" s="10"/>
      <c r="J10361" s="10"/>
      <c r="K10361" s="10"/>
      <c r="L10361" s="10"/>
      <c r="M10361" s="10"/>
      <c r="N10361" s="10"/>
      <c r="O10361" s="10"/>
      <c r="P10361" s="10"/>
      <c r="Q10361" s="10"/>
      <c r="R10361" s="10"/>
      <c r="S10361" s="10"/>
      <c r="T10361" s="10"/>
      <c r="U10361" s="10"/>
      <c r="V10361" s="10"/>
      <c r="W10361" s="10"/>
      <c r="X10361" s="10"/>
      <c r="Y10361" s="10"/>
      <c r="Z10361" s="10"/>
    </row>
    <row r="10362" spans="1:26" ht="12.75">
      <c r="A10362" s="10"/>
      <c r="B10362" s="10"/>
      <c r="C10362" s="10"/>
      <c r="D10362" s="10"/>
      <c r="E10362" s="10"/>
      <c r="F10362" s="10"/>
      <c r="G10362" s="10"/>
      <c r="H10362" s="10"/>
      <c r="I10362" s="10"/>
      <c r="J10362" s="10"/>
      <c r="K10362" s="10"/>
      <c r="L10362" s="10"/>
      <c r="M10362" s="10"/>
      <c r="N10362" s="10"/>
      <c r="O10362" s="10"/>
      <c r="P10362" s="10"/>
      <c r="Q10362" s="10"/>
      <c r="R10362" s="10"/>
      <c r="S10362" s="10"/>
      <c r="T10362" s="10"/>
      <c r="U10362" s="10"/>
      <c r="V10362" s="10"/>
      <c r="W10362" s="10"/>
      <c r="X10362" s="10"/>
      <c r="Y10362" s="10"/>
      <c r="Z10362" s="10"/>
    </row>
    <row r="10363" spans="1:26" ht="12.75">
      <c r="A10363" s="10"/>
      <c r="B10363" s="10"/>
      <c r="C10363" s="10"/>
      <c r="D10363" s="10"/>
      <c r="E10363" s="10"/>
      <c r="F10363" s="10"/>
      <c r="G10363" s="10"/>
      <c r="H10363" s="10"/>
      <c r="I10363" s="10"/>
      <c r="J10363" s="10"/>
      <c r="K10363" s="10"/>
      <c r="L10363" s="10"/>
      <c r="M10363" s="10"/>
      <c r="N10363" s="10"/>
      <c r="O10363" s="10"/>
      <c r="P10363" s="10"/>
      <c r="Q10363" s="10"/>
      <c r="R10363" s="10"/>
      <c r="S10363" s="10"/>
      <c r="T10363" s="10"/>
      <c r="U10363" s="10"/>
      <c r="V10363" s="10"/>
      <c r="W10363" s="10"/>
      <c r="X10363" s="10"/>
      <c r="Y10363" s="10"/>
      <c r="Z10363" s="10"/>
    </row>
    <row r="10364" spans="1:26" ht="12.75">
      <c r="A10364" s="10"/>
      <c r="B10364" s="10"/>
      <c r="C10364" s="10"/>
      <c r="D10364" s="10"/>
      <c r="E10364" s="10"/>
      <c r="F10364" s="10"/>
      <c r="G10364" s="10"/>
      <c r="H10364" s="10"/>
      <c r="I10364" s="10"/>
      <c r="J10364" s="10"/>
      <c r="K10364" s="10"/>
      <c r="L10364" s="10"/>
      <c r="M10364" s="10"/>
      <c r="N10364" s="10"/>
      <c r="O10364" s="10"/>
      <c r="P10364" s="10"/>
      <c r="Q10364" s="10"/>
      <c r="R10364" s="10"/>
      <c r="S10364" s="10"/>
      <c r="T10364" s="10"/>
      <c r="U10364" s="10"/>
      <c r="V10364" s="10"/>
      <c r="W10364" s="10"/>
      <c r="X10364" s="10"/>
      <c r="Y10364" s="10"/>
      <c r="Z10364" s="10"/>
    </row>
    <row r="10365" spans="1:26" ht="12.75">
      <c r="A10365" s="10"/>
      <c r="B10365" s="10"/>
      <c r="C10365" s="10"/>
      <c r="D10365" s="10"/>
      <c r="E10365" s="10"/>
      <c r="F10365" s="10"/>
      <c r="G10365" s="10"/>
      <c r="H10365" s="10"/>
      <c r="I10365" s="10"/>
      <c r="J10365" s="10"/>
      <c r="K10365" s="10"/>
      <c r="L10365" s="10"/>
      <c r="M10365" s="10"/>
      <c r="N10365" s="10"/>
      <c r="O10365" s="10"/>
      <c r="P10365" s="10"/>
      <c r="Q10365" s="10"/>
      <c r="R10365" s="10"/>
      <c r="S10365" s="10"/>
      <c r="T10365" s="10"/>
      <c r="U10365" s="10"/>
      <c r="V10365" s="10"/>
      <c r="W10365" s="10"/>
      <c r="X10365" s="10"/>
      <c r="Y10365" s="10"/>
      <c r="Z10365" s="10"/>
    </row>
    <row r="10366" spans="1:26" ht="12.75">
      <c r="A10366" s="10"/>
      <c r="B10366" s="10"/>
      <c r="C10366" s="10"/>
      <c r="D10366" s="10"/>
      <c r="E10366" s="10"/>
      <c r="F10366" s="10"/>
      <c r="G10366" s="10"/>
      <c r="H10366" s="10"/>
      <c r="I10366" s="10"/>
      <c r="J10366" s="10"/>
      <c r="K10366" s="10"/>
      <c r="L10366" s="10"/>
      <c r="M10366" s="10"/>
      <c r="N10366" s="10"/>
      <c r="O10366" s="10"/>
      <c r="P10366" s="10"/>
      <c r="Q10366" s="10"/>
      <c r="R10366" s="10"/>
      <c r="S10366" s="10"/>
      <c r="T10366" s="10"/>
      <c r="U10366" s="10"/>
      <c r="V10366" s="10"/>
      <c r="W10366" s="10"/>
      <c r="X10366" s="10"/>
      <c r="Y10366" s="10"/>
      <c r="Z10366" s="10"/>
    </row>
    <row r="10367" spans="1:26" ht="12.75">
      <c r="A10367" s="10"/>
      <c r="B10367" s="10"/>
      <c r="C10367" s="10"/>
      <c r="D10367" s="10"/>
      <c r="E10367" s="10"/>
      <c r="F10367" s="10"/>
      <c r="G10367" s="10"/>
      <c r="H10367" s="10"/>
      <c r="I10367" s="10"/>
      <c r="J10367" s="10"/>
      <c r="K10367" s="10"/>
      <c r="L10367" s="10"/>
      <c r="M10367" s="10"/>
      <c r="N10367" s="10"/>
      <c r="O10367" s="10"/>
      <c r="P10367" s="10"/>
      <c r="Q10367" s="10"/>
      <c r="R10367" s="10"/>
      <c r="S10367" s="10"/>
      <c r="T10367" s="10"/>
      <c r="U10367" s="10"/>
      <c r="V10367" s="10"/>
      <c r="W10367" s="10"/>
      <c r="X10367" s="10"/>
      <c r="Y10367" s="10"/>
      <c r="Z10367" s="10"/>
    </row>
    <row r="10368" spans="1:26" ht="12.75">
      <c r="A10368" s="10"/>
      <c r="B10368" s="10"/>
      <c r="C10368" s="10"/>
      <c r="D10368" s="10"/>
      <c r="E10368" s="10"/>
      <c r="F10368" s="10"/>
      <c r="G10368" s="10"/>
      <c r="H10368" s="10"/>
      <c r="I10368" s="10"/>
      <c r="J10368" s="10"/>
      <c r="K10368" s="10"/>
      <c r="L10368" s="10"/>
      <c r="M10368" s="10"/>
      <c r="N10368" s="10"/>
      <c r="O10368" s="10"/>
      <c r="P10368" s="10"/>
      <c r="Q10368" s="10"/>
      <c r="R10368" s="10"/>
      <c r="S10368" s="10"/>
      <c r="T10368" s="10"/>
      <c r="U10368" s="10"/>
      <c r="V10368" s="10"/>
      <c r="W10368" s="10"/>
      <c r="X10368" s="10"/>
      <c r="Y10368" s="10"/>
      <c r="Z10368" s="10"/>
    </row>
    <row r="10369" spans="1:26" ht="12.75">
      <c r="A10369" s="10"/>
      <c r="B10369" s="10"/>
      <c r="C10369" s="10"/>
      <c r="D10369" s="10"/>
      <c r="E10369" s="10"/>
      <c r="F10369" s="10"/>
      <c r="G10369" s="10"/>
      <c r="H10369" s="10"/>
      <c r="I10369" s="10"/>
      <c r="J10369" s="10"/>
      <c r="K10369" s="10"/>
      <c r="L10369" s="10"/>
      <c r="M10369" s="10"/>
      <c r="N10369" s="10"/>
      <c r="O10369" s="10"/>
      <c r="P10369" s="10"/>
      <c r="Q10369" s="10"/>
      <c r="R10369" s="10"/>
      <c r="S10369" s="10"/>
      <c r="T10369" s="10"/>
      <c r="U10369" s="10"/>
      <c r="V10369" s="10"/>
      <c r="W10369" s="10"/>
      <c r="X10369" s="10"/>
      <c r="Y10369" s="10"/>
      <c r="Z10369" s="10"/>
    </row>
    <row r="10370" spans="1:26" ht="12.75">
      <c r="A10370" s="10"/>
      <c r="B10370" s="10"/>
      <c r="C10370" s="10"/>
      <c r="D10370" s="10"/>
      <c r="E10370" s="10"/>
      <c r="F10370" s="10"/>
      <c r="G10370" s="10"/>
      <c r="H10370" s="10"/>
      <c r="I10370" s="10"/>
      <c r="J10370" s="10"/>
      <c r="K10370" s="10"/>
      <c r="L10370" s="10"/>
      <c r="M10370" s="10"/>
      <c r="N10370" s="10"/>
      <c r="O10370" s="10"/>
      <c r="P10370" s="10"/>
      <c r="Q10370" s="10"/>
      <c r="R10370" s="10"/>
      <c r="S10370" s="10"/>
      <c r="T10370" s="10"/>
      <c r="U10370" s="10"/>
      <c r="V10370" s="10"/>
      <c r="W10370" s="10"/>
      <c r="X10370" s="10"/>
      <c r="Y10370" s="10"/>
      <c r="Z10370" s="10"/>
    </row>
    <row r="10371" spans="1:26" ht="12.75">
      <c r="A10371" s="10"/>
      <c r="B10371" s="10"/>
      <c r="C10371" s="10"/>
      <c r="D10371" s="10"/>
      <c r="E10371" s="10"/>
      <c r="F10371" s="10"/>
      <c r="G10371" s="10"/>
      <c r="H10371" s="10"/>
      <c r="I10371" s="10"/>
      <c r="J10371" s="10"/>
      <c r="K10371" s="10"/>
      <c r="L10371" s="10"/>
      <c r="M10371" s="10"/>
      <c r="N10371" s="10"/>
      <c r="O10371" s="10"/>
      <c r="P10371" s="10"/>
      <c r="Q10371" s="10"/>
      <c r="R10371" s="10"/>
      <c r="S10371" s="10"/>
      <c r="T10371" s="10"/>
      <c r="U10371" s="10"/>
      <c r="V10371" s="10"/>
      <c r="W10371" s="10"/>
      <c r="X10371" s="10"/>
      <c r="Y10371" s="10"/>
      <c r="Z10371" s="10"/>
    </row>
    <row r="10372" spans="1:26" ht="12.75">
      <c r="A10372" s="10"/>
      <c r="B10372" s="10"/>
      <c r="C10372" s="10"/>
      <c r="D10372" s="10"/>
      <c r="E10372" s="10"/>
      <c r="F10372" s="10"/>
      <c r="G10372" s="10"/>
      <c r="H10372" s="10"/>
      <c r="I10372" s="10"/>
      <c r="J10372" s="10"/>
      <c r="K10372" s="10"/>
      <c r="L10372" s="10"/>
      <c r="M10372" s="10"/>
      <c r="N10372" s="10"/>
      <c r="O10372" s="10"/>
      <c r="P10372" s="10"/>
      <c r="Q10372" s="10"/>
      <c r="R10372" s="10"/>
      <c r="S10372" s="10"/>
      <c r="T10372" s="10"/>
      <c r="U10372" s="10"/>
      <c r="V10372" s="10"/>
      <c r="W10372" s="10"/>
      <c r="X10372" s="10"/>
      <c r="Y10372" s="10"/>
      <c r="Z10372" s="10"/>
    </row>
    <row r="10373" spans="1:26" ht="12.75">
      <c r="A10373" s="10"/>
      <c r="B10373" s="10"/>
      <c r="C10373" s="10"/>
      <c r="D10373" s="10"/>
      <c r="E10373" s="10"/>
      <c r="F10373" s="10"/>
      <c r="G10373" s="10"/>
      <c r="H10373" s="10"/>
      <c r="I10373" s="10"/>
      <c r="J10373" s="10"/>
      <c r="K10373" s="10"/>
      <c r="L10373" s="10"/>
      <c r="M10373" s="10"/>
      <c r="N10373" s="10"/>
      <c r="O10373" s="10"/>
      <c r="P10373" s="10"/>
      <c r="Q10373" s="10"/>
      <c r="R10373" s="10"/>
      <c r="S10373" s="10"/>
      <c r="T10373" s="10"/>
      <c r="U10373" s="10"/>
      <c r="V10373" s="10"/>
      <c r="W10373" s="10"/>
      <c r="X10373" s="10"/>
      <c r="Y10373" s="10"/>
      <c r="Z10373" s="10"/>
    </row>
    <row r="10374" spans="1:26" ht="12.75">
      <c r="A10374" s="10"/>
      <c r="B10374" s="10"/>
      <c r="C10374" s="10"/>
      <c r="D10374" s="10"/>
      <c r="E10374" s="10"/>
      <c r="F10374" s="10"/>
      <c r="G10374" s="10"/>
      <c r="H10374" s="10"/>
      <c r="I10374" s="10"/>
      <c r="J10374" s="10"/>
      <c r="K10374" s="10"/>
      <c r="L10374" s="10"/>
      <c r="M10374" s="10"/>
      <c r="N10374" s="10"/>
      <c r="O10374" s="10"/>
      <c r="P10374" s="10"/>
      <c r="Q10374" s="10"/>
      <c r="R10374" s="10"/>
      <c r="S10374" s="10"/>
      <c r="T10374" s="10"/>
      <c r="U10374" s="10"/>
      <c r="V10374" s="10"/>
      <c r="W10374" s="10"/>
      <c r="X10374" s="10"/>
      <c r="Y10374" s="10"/>
      <c r="Z10374" s="10"/>
    </row>
    <row r="10375" spans="1:26" ht="12.75">
      <c r="A10375" s="10"/>
      <c r="B10375" s="10"/>
      <c r="C10375" s="10"/>
      <c r="D10375" s="10"/>
      <c r="E10375" s="10"/>
      <c r="F10375" s="10"/>
      <c r="G10375" s="10"/>
      <c r="H10375" s="10"/>
      <c r="I10375" s="10"/>
      <c r="J10375" s="10"/>
      <c r="K10375" s="10"/>
      <c r="L10375" s="10"/>
      <c r="M10375" s="10"/>
      <c r="N10375" s="10"/>
      <c r="O10375" s="10"/>
      <c r="P10375" s="10"/>
      <c r="Q10375" s="10"/>
      <c r="R10375" s="10"/>
      <c r="S10375" s="10"/>
      <c r="T10375" s="10"/>
      <c r="U10375" s="10"/>
      <c r="V10375" s="10"/>
      <c r="W10375" s="10"/>
      <c r="X10375" s="10"/>
      <c r="Y10375" s="10"/>
      <c r="Z10375" s="10"/>
    </row>
    <row r="10376" spans="1:26" ht="12.75">
      <c r="A10376" s="10"/>
      <c r="B10376" s="10"/>
      <c r="C10376" s="10"/>
      <c r="D10376" s="10"/>
      <c r="E10376" s="10"/>
      <c r="F10376" s="10"/>
      <c r="G10376" s="10"/>
      <c r="H10376" s="10"/>
      <c r="I10376" s="10"/>
      <c r="J10376" s="10"/>
      <c r="K10376" s="10"/>
      <c r="L10376" s="10"/>
      <c r="M10376" s="10"/>
      <c r="N10376" s="10"/>
      <c r="O10376" s="10"/>
      <c r="P10376" s="10"/>
      <c r="Q10376" s="10"/>
      <c r="R10376" s="10"/>
      <c r="S10376" s="10"/>
      <c r="T10376" s="10"/>
      <c r="U10376" s="10"/>
      <c r="V10376" s="10"/>
      <c r="W10376" s="10"/>
      <c r="X10376" s="10"/>
      <c r="Y10376" s="10"/>
      <c r="Z10376" s="10"/>
    </row>
    <row r="10377" spans="1:26" ht="12.75">
      <c r="A10377" s="10"/>
      <c r="B10377" s="10"/>
      <c r="C10377" s="10"/>
      <c r="D10377" s="10"/>
      <c r="E10377" s="10"/>
      <c r="F10377" s="10"/>
      <c r="G10377" s="10"/>
      <c r="H10377" s="10"/>
      <c r="I10377" s="10"/>
      <c r="J10377" s="10"/>
      <c r="K10377" s="10"/>
      <c r="L10377" s="10"/>
      <c r="M10377" s="10"/>
      <c r="N10377" s="10"/>
      <c r="O10377" s="10"/>
      <c r="P10377" s="10"/>
      <c r="Q10377" s="10"/>
      <c r="R10377" s="10"/>
      <c r="S10377" s="10"/>
      <c r="T10377" s="10"/>
      <c r="U10377" s="10"/>
      <c r="V10377" s="10"/>
      <c r="W10377" s="10"/>
      <c r="X10377" s="10"/>
      <c r="Y10377" s="10"/>
      <c r="Z10377" s="10"/>
    </row>
    <row r="10378" spans="1:26" ht="12.75">
      <c r="A10378" s="10"/>
      <c r="B10378" s="10"/>
      <c r="C10378" s="10"/>
      <c r="D10378" s="10"/>
      <c r="E10378" s="10"/>
      <c r="F10378" s="10"/>
      <c r="G10378" s="10"/>
      <c r="H10378" s="10"/>
      <c r="I10378" s="10"/>
      <c r="J10378" s="10"/>
      <c r="K10378" s="10"/>
      <c r="L10378" s="10"/>
      <c r="M10378" s="10"/>
      <c r="N10378" s="10"/>
      <c r="O10378" s="10"/>
      <c r="P10378" s="10"/>
      <c r="Q10378" s="10"/>
      <c r="R10378" s="10"/>
      <c r="S10378" s="10"/>
      <c r="T10378" s="10"/>
      <c r="U10378" s="10"/>
      <c r="V10378" s="10"/>
      <c r="W10378" s="10"/>
      <c r="X10378" s="10"/>
      <c r="Y10378" s="10"/>
      <c r="Z10378" s="10"/>
    </row>
    <row r="10379" spans="1:26" ht="12.75">
      <c r="A10379" s="10"/>
      <c r="B10379" s="10"/>
      <c r="C10379" s="10"/>
      <c r="D10379" s="10"/>
      <c r="E10379" s="10"/>
      <c r="F10379" s="10"/>
      <c r="G10379" s="10"/>
      <c r="H10379" s="10"/>
      <c r="I10379" s="10"/>
      <c r="J10379" s="10"/>
      <c r="K10379" s="10"/>
      <c r="L10379" s="10"/>
      <c r="M10379" s="10"/>
      <c r="N10379" s="10"/>
      <c r="O10379" s="10"/>
      <c r="P10379" s="10"/>
      <c r="Q10379" s="10"/>
      <c r="R10379" s="10"/>
      <c r="S10379" s="10"/>
      <c r="T10379" s="10"/>
      <c r="U10379" s="10"/>
      <c r="V10379" s="10"/>
      <c r="W10379" s="10"/>
      <c r="X10379" s="10"/>
      <c r="Y10379" s="10"/>
      <c r="Z10379" s="10"/>
    </row>
    <row r="10380" spans="1:26" ht="12.75">
      <c r="A10380" s="10"/>
      <c r="B10380" s="10"/>
      <c r="C10380" s="10"/>
      <c r="D10380" s="10"/>
      <c r="E10380" s="10"/>
      <c r="F10380" s="10"/>
      <c r="G10380" s="10"/>
      <c r="H10380" s="10"/>
      <c r="I10380" s="10"/>
      <c r="J10380" s="10"/>
      <c r="K10380" s="10"/>
      <c r="L10380" s="10"/>
      <c r="M10380" s="10"/>
      <c r="N10380" s="10"/>
      <c r="O10380" s="10"/>
      <c r="P10380" s="10"/>
      <c r="Q10380" s="10"/>
      <c r="R10380" s="10"/>
      <c r="S10380" s="10"/>
      <c r="T10380" s="10"/>
      <c r="U10380" s="10"/>
      <c r="V10380" s="10"/>
      <c r="W10380" s="10"/>
      <c r="X10380" s="10"/>
      <c r="Y10380" s="10"/>
      <c r="Z10380" s="10"/>
    </row>
    <row r="10381" spans="1:26" ht="12.75">
      <c r="A10381" s="10"/>
      <c r="B10381" s="10"/>
      <c r="C10381" s="10"/>
      <c r="D10381" s="10"/>
      <c r="E10381" s="10"/>
      <c r="F10381" s="10"/>
      <c r="G10381" s="10"/>
      <c r="H10381" s="10"/>
      <c r="I10381" s="10"/>
      <c r="J10381" s="10"/>
      <c r="K10381" s="10"/>
      <c r="L10381" s="10"/>
      <c r="M10381" s="10"/>
      <c r="N10381" s="10"/>
      <c r="O10381" s="10"/>
      <c r="P10381" s="10"/>
      <c r="Q10381" s="10"/>
      <c r="R10381" s="10"/>
      <c r="S10381" s="10"/>
      <c r="T10381" s="10"/>
      <c r="U10381" s="10"/>
      <c r="V10381" s="10"/>
      <c r="W10381" s="10"/>
      <c r="X10381" s="10"/>
      <c r="Y10381" s="10"/>
      <c r="Z10381" s="10"/>
    </row>
    <row r="10382" spans="1:26" ht="12.75">
      <c r="A10382" s="10"/>
      <c r="B10382" s="10"/>
      <c r="C10382" s="10"/>
      <c r="D10382" s="10"/>
      <c r="E10382" s="10"/>
      <c r="F10382" s="10"/>
      <c r="G10382" s="10"/>
      <c r="H10382" s="10"/>
      <c r="I10382" s="10"/>
      <c r="J10382" s="10"/>
      <c r="K10382" s="10"/>
      <c r="L10382" s="10"/>
      <c r="M10382" s="10"/>
      <c r="N10382" s="10"/>
      <c r="O10382" s="10"/>
      <c r="P10382" s="10"/>
      <c r="Q10382" s="10"/>
      <c r="R10382" s="10"/>
      <c r="S10382" s="10"/>
      <c r="T10382" s="10"/>
      <c r="U10382" s="10"/>
      <c r="V10382" s="10"/>
      <c r="W10382" s="10"/>
      <c r="X10382" s="10"/>
      <c r="Y10382" s="10"/>
      <c r="Z10382" s="10"/>
    </row>
    <row r="10383" spans="1:26" ht="12.75">
      <c r="A10383" s="10"/>
      <c r="B10383" s="10"/>
      <c r="C10383" s="10"/>
      <c r="D10383" s="10"/>
      <c r="E10383" s="10"/>
      <c r="F10383" s="10"/>
      <c r="G10383" s="10"/>
      <c r="H10383" s="10"/>
      <c r="I10383" s="10"/>
      <c r="J10383" s="10"/>
      <c r="K10383" s="10"/>
      <c r="L10383" s="10"/>
      <c r="M10383" s="10"/>
      <c r="N10383" s="10"/>
      <c r="O10383" s="10"/>
      <c r="P10383" s="10"/>
      <c r="Q10383" s="10"/>
      <c r="R10383" s="10"/>
      <c r="S10383" s="10"/>
      <c r="T10383" s="10"/>
      <c r="U10383" s="10"/>
      <c r="V10383" s="10"/>
      <c r="W10383" s="10"/>
      <c r="X10383" s="10"/>
      <c r="Y10383" s="10"/>
      <c r="Z10383" s="10"/>
    </row>
    <row r="10384" spans="1:26" ht="12.75">
      <c r="A10384" s="10"/>
      <c r="B10384" s="10"/>
      <c r="C10384" s="10"/>
      <c r="D10384" s="10"/>
      <c r="E10384" s="10"/>
      <c r="F10384" s="10"/>
      <c r="G10384" s="10"/>
      <c r="H10384" s="10"/>
      <c r="I10384" s="10"/>
      <c r="J10384" s="10"/>
      <c r="K10384" s="10"/>
      <c r="L10384" s="10"/>
      <c r="M10384" s="10"/>
      <c r="N10384" s="10"/>
      <c r="O10384" s="10"/>
      <c r="P10384" s="10"/>
      <c r="Q10384" s="10"/>
      <c r="R10384" s="10"/>
      <c r="S10384" s="10"/>
      <c r="T10384" s="10"/>
      <c r="U10384" s="10"/>
      <c r="V10384" s="10"/>
      <c r="W10384" s="10"/>
      <c r="X10384" s="10"/>
      <c r="Y10384" s="10"/>
      <c r="Z10384" s="10"/>
    </row>
    <row r="10385" spans="1:26" ht="12.75">
      <c r="A10385" s="10"/>
      <c r="B10385" s="10"/>
      <c r="C10385" s="10"/>
      <c r="D10385" s="10"/>
      <c r="E10385" s="10"/>
      <c r="F10385" s="10"/>
      <c r="G10385" s="10"/>
      <c r="H10385" s="10"/>
      <c r="I10385" s="10"/>
      <c r="J10385" s="10"/>
      <c r="K10385" s="10"/>
      <c r="L10385" s="10"/>
      <c r="M10385" s="10"/>
      <c r="N10385" s="10"/>
      <c r="O10385" s="10"/>
      <c r="P10385" s="10"/>
      <c r="Q10385" s="10"/>
      <c r="R10385" s="10"/>
      <c r="S10385" s="10"/>
      <c r="T10385" s="10"/>
      <c r="U10385" s="10"/>
      <c r="V10385" s="10"/>
      <c r="W10385" s="10"/>
      <c r="X10385" s="10"/>
      <c r="Y10385" s="10"/>
      <c r="Z10385" s="10"/>
    </row>
    <row r="10386" spans="1:26" ht="12.75">
      <c r="A10386" s="10"/>
      <c r="B10386" s="10"/>
      <c r="C10386" s="10"/>
      <c r="D10386" s="10"/>
      <c r="E10386" s="10"/>
      <c r="F10386" s="10"/>
      <c r="G10386" s="10"/>
      <c r="H10386" s="10"/>
      <c r="I10386" s="10"/>
      <c r="J10386" s="10"/>
      <c r="K10386" s="10"/>
      <c r="L10386" s="10"/>
      <c r="M10386" s="10"/>
      <c r="N10386" s="10"/>
      <c r="O10386" s="10"/>
      <c r="P10386" s="10"/>
      <c r="Q10386" s="10"/>
      <c r="R10386" s="10"/>
      <c r="S10386" s="10"/>
      <c r="T10386" s="10"/>
      <c r="U10386" s="10"/>
      <c r="V10386" s="10"/>
      <c r="W10386" s="10"/>
      <c r="X10386" s="10"/>
      <c r="Y10386" s="10"/>
      <c r="Z10386" s="10"/>
    </row>
    <row r="10387" spans="1:26" ht="12.75">
      <c r="A10387" s="10"/>
      <c r="B10387" s="10"/>
      <c r="C10387" s="10"/>
      <c r="D10387" s="10"/>
      <c r="E10387" s="10"/>
      <c r="F10387" s="10"/>
      <c r="G10387" s="10"/>
      <c r="H10387" s="10"/>
      <c r="I10387" s="10"/>
      <c r="J10387" s="10"/>
      <c r="K10387" s="10"/>
      <c r="L10387" s="10"/>
      <c r="M10387" s="10"/>
      <c r="N10387" s="10"/>
      <c r="O10387" s="10"/>
      <c r="P10387" s="10"/>
      <c r="Q10387" s="10"/>
      <c r="R10387" s="10"/>
      <c r="S10387" s="10"/>
      <c r="T10387" s="10"/>
      <c r="U10387" s="10"/>
      <c r="V10387" s="10"/>
      <c r="W10387" s="10"/>
      <c r="X10387" s="10"/>
      <c r="Y10387" s="10"/>
      <c r="Z10387" s="10"/>
    </row>
    <row r="10388" spans="1:26" ht="12.75">
      <c r="A10388" s="10"/>
      <c r="B10388" s="10"/>
      <c r="C10388" s="10"/>
      <c r="D10388" s="10"/>
      <c r="E10388" s="10"/>
      <c r="F10388" s="10"/>
      <c r="G10388" s="10"/>
      <c r="H10388" s="10"/>
      <c r="I10388" s="10"/>
      <c r="J10388" s="10"/>
      <c r="K10388" s="10"/>
      <c r="L10388" s="10"/>
      <c r="M10388" s="10"/>
      <c r="N10388" s="10"/>
      <c r="O10388" s="10"/>
      <c r="P10388" s="10"/>
      <c r="Q10388" s="10"/>
      <c r="R10388" s="10"/>
      <c r="S10388" s="10"/>
      <c r="T10388" s="10"/>
      <c r="U10388" s="10"/>
      <c r="V10388" s="10"/>
      <c r="W10388" s="10"/>
      <c r="X10388" s="10"/>
      <c r="Y10388" s="10"/>
      <c r="Z10388" s="10"/>
    </row>
    <row r="10389" spans="1:26" ht="12.75">
      <c r="A10389" s="10"/>
      <c r="B10389" s="10"/>
      <c r="C10389" s="10"/>
      <c r="D10389" s="10"/>
      <c r="E10389" s="10"/>
      <c r="F10389" s="10"/>
      <c r="G10389" s="10"/>
      <c r="H10389" s="10"/>
      <c r="I10389" s="10"/>
      <c r="J10389" s="10"/>
      <c r="K10389" s="10"/>
      <c r="L10389" s="10"/>
      <c r="M10389" s="10"/>
      <c r="N10389" s="10"/>
      <c r="O10389" s="10"/>
      <c r="P10389" s="10"/>
      <c r="Q10389" s="10"/>
      <c r="R10389" s="10"/>
      <c r="S10389" s="10"/>
      <c r="T10389" s="10"/>
      <c r="U10389" s="10"/>
      <c r="V10389" s="10"/>
      <c r="W10389" s="10"/>
      <c r="X10389" s="10"/>
      <c r="Y10389" s="10"/>
      <c r="Z10389" s="10"/>
    </row>
    <row r="10390" spans="1:26" ht="12.75">
      <c r="A10390" s="10"/>
      <c r="B10390" s="10"/>
      <c r="C10390" s="10"/>
      <c r="D10390" s="10"/>
      <c r="E10390" s="10"/>
      <c r="F10390" s="10"/>
      <c r="G10390" s="10"/>
      <c r="H10390" s="10"/>
      <c r="I10390" s="10"/>
      <c r="J10390" s="10"/>
      <c r="K10390" s="10"/>
      <c r="L10390" s="10"/>
      <c r="M10390" s="10"/>
      <c r="N10390" s="10"/>
      <c r="O10390" s="10"/>
      <c r="P10390" s="10"/>
      <c r="Q10390" s="10"/>
      <c r="R10390" s="10"/>
      <c r="S10390" s="10"/>
      <c r="T10390" s="10"/>
      <c r="U10390" s="10"/>
      <c r="V10390" s="10"/>
      <c r="W10390" s="10"/>
      <c r="X10390" s="10"/>
      <c r="Y10390" s="10"/>
      <c r="Z10390" s="10"/>
    </row>
    <row r="10391" spans="1:26" ht="12.75">
      <c r="A10391" s="10"/>
      <c r="B10391" s="10"/>
      <c r="C10391" s="10"/>
      <c r="D10391" s="10"/>
      <c r="E10391" s="10"/>
      <c r="F10391" s="10"/>
      <c r="G10391" s="10"/>
      <c r="H10391" s="10"/>
      <c r="I10391" s="10"/>
      <c r="J10391" s="10"/>
      <c r="K10391" s="10"/>
      <c r="L10391" s="10"/>
      <c r="M10391" s="10"/>
      <c r="N10391" s="10"/>
      <c r="O10391" s="10"/>
      <c r="P10391" s="10"/>
      <c r="Q10391" s="10"/>
      <c r="R10391" s="10"/>
      <c r="S10391" s="10"/>
      <c r="T10391" s="10"/>
      <c r="U10391" s="10"/>
      <c r="V10391" s="10"/>
      <c r="W10391" s="10"/>
      <c r="X10391" s="10"/>
      <c r="Y10391" s="10"/>
      <c r="Z10391" s="10"/>
    </row>
    <row r="10392" spans="1:26" ht="12.75">
      <c r="A10392" s="10"/>
      <c r="B10392" s="10"/>
      <c r="C10392" s="10"/>
      <c r="D10392" s="10"/>
      <c r="E10392" s="10"/>
      <c r="F10392" s="10"/>
      <c r="G10392" s="10"/>
      <c r="H10392" s="10"/>
      <c r="I10392" s="10"/>
      <c r="J10392" s="10"/>
      <c r="K10392" s="10"/>
      <c r="L10392" s="10"/>
      <c r="M10392" s="10"/>
      <c r="N10392" s="10"/>
      <c r="O10392" s="10"/>
      <c r="P10392" s="10"/>
      <c r="Q10392" s="10"/>
      <c r="R10392" s="10"/>
      <c r="S10392" s="10"/>
      <c r="T10392" s="10"/>
      <c r="U10392" s="10"/>
      <c r="V10392" s="10"/>
      <c r="W10392" s="10"/>
      <c r="X10392" s="10"/>
      <c r="Y10392" s="10"/>
      <c r="Z10392" s="10"/>
    </row>
    <row r="10393" spans="1:26" ht="12.75">
      <c r="A10393" s="10"/>
      <c r="B10393" s="10"/>
      <c r="C10393" s="10"/>
      <c r="D10393" s="10"/>
      <c r="E10393" s="10"/>
      <c r="F10393" s="10"/>
      <c r="G10393" s="10"/>
      <c r="H10393" s="10"/>
      <c r="I10393" s="10"/>
      <c r="J10393" s="10"/>
      <c r="K10393" s="10"/>
      <c r="L10393" s="10"/>
      <c r="M10393" s="10"/>
      <c r="N10393" s="10"/>
      <c r="O10393" s="10"/>
      <c r="P10393" s="10"/>
      <c r="Q10393" s="10"/>
      <c r="R10393" s="10"/>
      <c r="S10393" s="10"/>
      <c r="T10393" s="10"/>
      <c r="U10393" s="10"/>
      <c r="V10393" s="10"/>
      <c r="W10393" s="10"/>
      <c r="X10393" s="10"/>
      <c r="Y10393" s="10"/>
      <c r="Z10393" s="10"/>
    </row>
    <row r="10394" spans="1:26" ht="12.75">
      <c r="A10394" s="10"/>
      <c r="B10394" s="10"/>
      <c r="C10394" s="10"/>
      <c r="D10394" s="10"/>
      <c r="E10394" s="10"/>
      <c r="F10394" s="10"/>
      <c r="G10394" s="10"/>
      <c r="H10394" s="10"/>
      <c r="I10394" s="10"/>
      <c r="J10394" s="10"/>
      <c r="K10394" s="10"/>
      <c r="L10394" s="10"/>
      <c r="M10394" s="10"/>
      <c r="N10394" s="10"/>
      <c r="O10394" s="10"/>
      <c r="P10394" s="10"/>
      <c r="Q10394" s="10"/>
      <c r="R10394" s="10"/>
      <c r="S10394" s="10"/>
      <c r="T10394" s="10"/>
      <c r="U10394" s="10"/>
      <c r="V10394" s="10"/>
      <c r="W10394" s="10"/>
      <c r="X10394" s="10"/>
      <c r="Y10394" s="10"/>
      <c r="Z10394" s="10"/>
    </row>
    <row r="10395" spans="1:26" ht="12.75">
      <c r="A10395" s="10"/>
      <c r="B10395" s="10"/>
      <c r="C10395" s="10"/>
      <c r="D10395" s="10"/>
      <c r="E10395" s="10"/>
      <c r="F10395" s="10"/>
      <c r="G10395" s="10"/>
      <c r="H10395" s="10"/>
      <c r="I10395" s="10"/>
      <c r="J10395" s="10"/>
      <c r="K10395" s="10"/>
      <c r="L10395" s="10"/>
      <c r="M10395" s="10"/>
      <c r="N10395" s="10"/>
      <c r="O10395" s="10"/>
      <c r="P10395" s="10"/>
      <c r="Q10395" s="10"/>
      <c r="R10395" s="10"/>
      <c r="S10395" s="10"/>
      <c r="T10395" s="10"/>
      <c r="U10395" s="10"/>
      <c r="V10395" s="10"/>
      <c r="W10395" s="10"/>
      <c r="X10395" s="10"/>
      <c r="Y10395" s="10"/>
      <c r="Z10395" s="10"/>
    </row>
    <row r="10396" spans="1:26" ht="12.75">
      <c r="A10396" s="10"/>
      <c r="B10396" s="10"/>
      <c r="C10396" s="10"/>
      <c r="D10396" s="10"/>
      <c r="E10396" s="10"/>
      <c r="F10396" s="10"/>
      <c r="G10396" s="10"/>
      <c r="H10396" s="10"/>
      <c r="I10396" s="10"/>
      <c r="J10396" s="10"/>
      <c r="K10396" s="10"/>
      <c r="L10396" s="10"/>
      <c r="M10396" s="10"/>
      <c r="N10396" s="10"/>
      <c r="O10396" s="10"/>
      <c r="P10396" s="10"/>
      <c r="Q10396" s="10"/>
      <c r="R10396" s="10"/>
      <c r="S10396" s="10"/>
      <c r="T10396" s="10"/>
      <c r="U10396" s="10"/>
      <c r="V10396" s="10"/>
      <c r="W10396" s="10"/>
      <c r="X10396" s="10"/>
      <c r="Y10396" s="10"/>
      <c r="Z10396" s="10"/>
    </row>
    <row r="10397" spans="1:26" ht="12.75">
      <c r="A10397" s="10"/>
      <c r="B10397" s="10"/>
      <c r="C10397" s="10"/>
      <c r="D10397" s="10"/>
      <c r="E10397" s="10"/>
      <c r="F10397" s="10"/>
      <c r="G10397" s="10"/>
      <c r="H10397" s="10"/>
      <c r="I10397" s="10"/>
      <c r="J10397" s="10"/>
      <c r="K10397" s="10"/>
      <c r="L10397" s="10"/>
      <c r="M10397" s="10"/>
      <c r="N10397" s="10"/>
      <c r="O10397" s="10"/>
      <c r="P10397" s="10"/>
      <c r="Q10397" s="10"/>
      <c r="R10397" s="10"/>
      <c r="S10397" s="10"/>
      <c r="T10397" s="10"/>
      <c r="U10397" s="10"/>
      <c r="V10397" s="10"/>
      <c r="W10397" s="10"/>
      <c r="X10397" s="10"/>
      <c r="Y10397" s="10"/>
      <c r="Z10397" s="10"/>
    </row>
    <row r="10398" spans="1:26" ht="12.75">
      <c r="A10398" s="10"/>
      <c r="B10398" s="10"/>
      <c r="C10398" s="10"/>
      <c r="D10398" s="10"/>
      <c r="E10398" s="10"/>
      <c r="F10398" s="10"/>
      <c r="G10398" s="10"/>
      <c r="H10398" s="10"/>
      <c r="I10398" s="10"/>
      <c r="J10398" s="10"/>
      <c r="K10398" s="10"/>
      <c r="L10398" s="10"/>
      <c r="M10398" s="10"/>
      <c r="N10398" s="10"/>
      <c r="O10398" s="10"/>
      <c r="P10398" s="10"/>
      <c r="Q10398" s="10"/>
      <c r="R10398" s="10"/>
      <c r="S10398" s="10"/>
      <c r="T10398" s="10"/>
      <c r="U10398" s="10"/>
      <c r="V10398" s="10"/>
      <c r="W10398" s="10"/>
      <c r="X10398" s="10"/>
      <c r="Y10398" s="10"/>
      <c r="Z10398" s="10"/>
    </row>
    <row r="10399" spans="1:26" ht="12.75">
      <c r="A10399" s="10"/>
      <c r="B10399" s="10"/>
      <c r="C10399" s="10"/>
      <c r="D10399" s="10"/>
      <c r="E10399" s="10"/>
      <c r="F10399" s="10"/>
      <c r="G10399" s="10"/>
      <c r="H10399" s="10"/>
      <c r="I10399" s="10"/>
      <c r="J10399" s="10"/>
      <c r="K10399" s="10"/>
      <c r="L10399" s="10"/>
      <c r="M10399" s="10"/>
      <c r="N10399" s="10"/>
      <c r="O10399" s="10"/>
      <c r="P10399" s="10"/>
      <c r="Q10399" s="10"/>
      <c r="R10399" s="10"/>
      <c r="S10399" s="10"/>
      <c r="T10399" s="10"/>
      <c r="U10399" s="10"/>
      <c r="V10399" s="10"/>
      <c r="W10399" s="10"/>
      <c r="X10399" s="10"/>
      <c r="Y10399" s="10"/>
      <c r="Z10399" s="10"/>
    </row>
    <row r="10400" spans="1:26" ht="12.75">
      <c r="A10400" s="10"/>
      <c r="B10400" s="10"/>
      <c r="C10400" s="10"/>
      <c r="D10400" s="10"/>
      <c r="E10400" s="10"/>
      <c r="F10400" s="10"/>
      <c r="G10400" s="10"/>
      <c r="H10400" s="10"/>
      <c r="I10400" s="10"/>
      <c r="J10400" s="10"/>
      <c r="K10400" s="10"/>
      <c r="L10400" s="10"/>
      <c r="M10400" s="10"/>
      <c r="N10400" s="10"/>
      <c r="O10400" s="10"/>
      <c r="P10400" s="10"/>
      <c r="Q10400" s="10"/>
      <c r="R10400" s="10"/>
      <c r="S10400" s="10"/>
      <c r="T10400" s="10"/>
      <c r="U10400" s="10"/>
      <c r="V10400" s="10"/>
      <c r="W10400" s="10"/>
      <c r="X10400" s="10"/>
      <c r="Y10400" s="10"/>
      <c r="Z10400" s="10"/>
    </row>
    <row r="10401" spans="1:26" ht="12.75">
      <c r="A10401" s="10"/>
      <c r="B10401" s="10"/>
      <c r="C10401" s="10"/>
      <c r="D10401" s="10"/>
      <c r="E10401" s="10"/>
      <c r="F10401" s="10"/>
      <c r="G10401" s="10"/>
      <c r="H10401" s="10"/>
      <c r="I10401" s="10"/>
      <c r="J10401" s="10"/>
      <c r="K10401" s="10"/>
      <c r="L10401" s="10"/>
      <c r="M10401" s="10"/>
      <c r="N10401" s="10"/>
      <c r="O10401" s="10"/>
      <c r="P10401" s="10"/>
      <c r="Q10401" s="10"/>
      <c r="R10401" s="10"/>
      <c r="S10401" s="10"/>
      <c r="T10401" s="10"/>
      <c r="U10401" s="10"/>
      <c r="V10401" s="10"/>
      <c r="W10401" s="10"/>
      <c r="X10401" s="10"/>
      <c r="Y10401" s="10"/>
      <c r="Z10401" s="10"/>
    </row>
    <row r="10402" spans="1:26" ht="12.75">
      <c r="A10402" s="10"/>
      <c r="B10402" s="10"/>
      <c r="C10402" s="10"/>
      <c r="D10402" s="10"/>
      <c r="E10402" s="10"/>
      <c r="F10402" s="10"/>
      <c r="G10402" s="10"/>
      <c r="H10402" s="10"/>
      <c r="I10402" s="10"/>
      <c r="J10402" s="10"/>
      <c r="K10402" s="10"/>
      <c r="L10402" s="10"/>
      <c r="M10402" s="10"/>
      <c r="N10402" s="10"/>
      <c r="O10402" s="10"/>
      <c r="P10402" s="10"/>
      <c r="Q10402" s="10"/>
      <c r="R10402" s="10"/>
      <c r="S10402" s="10"/>
      <c r="T10402" s="10"/>
      <c r="U10402" s="10"/>
      <c r="V10402" s="10"/>
      <c r="W10402" s="10"/>
      <c r="X10402" s="10"/>
      <c r="Y10402" s="10"/>
      <c r="Z10402" s="10"/>
    </row>
    <row r="10403" spans="1:26" ht="12.75">
      <c r="A10403" s="10"/>
      <c r="B10403" s="10"/>
      <c r="C10403" s="10"/>
      <c r="D10403" s="10"/>
      <c r="E10403" s="10"/>
      <c r="F10403" s="10"/>
      <c r="G10403" s="10"/>
      <c r="H10403" s="10"/>
      <c r="I10403" s="10"/>
      <c r="J10403" s="10"/>
      <c r="K10403" s="10"/>
      <c r="L10403" s="10"/>
      <c r="M10403" s="10"/>
      <c r="N10403" s="10"/>
      <c r="O10403" s="10"/>
      <c r="P10403" s="10"/>
      <c r="Q10403" s="10"/>
      <c r="R10403" s="10"/>
      <c r="S10403" s="10"/>
      <c r="T10403" s="10"/>
      <c r="U10403" s="10"/>
      <c r="V10403" s="10"/>
      <c r="W10403" s="10"/>
      <c r="X10403" s="10"/>
      <c r="Y10403" s="10"/>
      <c r="Z10403" s="10"/>
    </row>
    <row r="10404" spans="1:26" ht="12.75">
      <c r="A10404" s="10"/>
      <c r="B10404" s="10"/>
      <c r="C10404" s="10"/>
      <c r="D10404" s="10"/>
      <c r="E10404" s="10"/>
      <c r="F10404" s="10"/>
      <c r="G10404" s="10"/>
      <c r="H10404" s="10"/>
      <c r="I10404" s="10"/>
      <c r="J10404" s="10"/>
      <c r="K10404" s="10"/>
      <c r="L10404" s="10"/>
      <c r="M10404" s="10"/>
      <c r="N10404" s="10"/>
      <c r="O10404" s="10"/>
      <c r="P10404" s="10"/>
      <c r="Q10404" s="10"/>
      <c r="R10404" s="10"/>
      <c r="S10404" s="10"/>
      <c r="T10404" s="10"/>
      <c r="U10404" s="10"/>
      <c r="V10404" s="10"/>
      <c r="W10404" s="10"/>
      <c r="X10404" s="10"/>
      <c r="Y10404" s="10"/>
      <c r="Z10404" s="10"/>
    </row>
    <row r="10405" spans="1:26" ht="12.75">
      <c r="A10405" s="10"/>
      <c r="B10405" s="10"/>
      <c r="C10405" s="10"/>
      <c r="D10405" s="10"/>
      <c r="E10405" s="10"/>
      <c r="F10405" s="10"/>
      <c r="G10405" s="10"/>
      <c r="H10405" s="10"/>
      <c r="I10405" s="10"/>
      <c r="J10405" s="10"/>
      <c r="K10405" s="10"/>
      <c r="L10405" s="10"/>
      <c r="M10405" s="10"/>
      <c r="N10405" s="10"/>
      <c r="O10405" s="10"/>
      <c r="P10405" s="10"/>
      <c r="Q10405" s="10"/>
      <c r="R10405" s="10"/>
      <c r="S10405" s="10"/>
      <c r="T10405" s="10"/>
      <c r="U10405" s="10"/>
      <c r="V10405" s="10"/>
      <c r="W10405" s="10"/>
      <c r="X10405" s="10"/>
      <c r="Y10405" s="10"/>
      <c r="Z10405" s="10"/>
    </row>
    <row r="10406" spans="1:26" ht="12.75">
      <c r="A10406" s="10"/>
      <c r="B10406" s="10"/>
      <c r="C10406" s="10"/>
      <c r="D10406" s="10"/>
      <c r="E10406" s="10"/>
      <c r="F10406" s="10"/>
      <c r="G10406" s="10"/>
      <c r="H10406" s="10"/>
      <c r="I10406" s="10"/>
      <c r="J10406" s="10"/>
      <c r="K10406" s="10"/>
      <c r="L10406" s="10"/>
      <c r="M10406" s="10"/>
      <c r="N10406" s="10"/>
      <c r="O10406" s="10"/>
      <c r="P10406" s="10"/>
      <c r="Q10406" s="10"/>
      <c r="R10406" s="10"/>
      <c r="S10406" s="10"/>
      <c r="T10406" s="10"/>
      <c r="U10406" s="10"/>
      <c r="V10406" s="10"/>
      <c r="W10406" s="10"/>
      <c r="X10406" s="10"/>
      <c r="Y10406" s="10"/>
      <c r="Z10406" s="10"/>
    </row>
    <row r="10407" spans="1:26" ht="12.75">
      <c r="A10407" s="10"/>
      <c r="B10407" s="10"/>
      <c r="C10407" s="10"/>
      <c r="D10407" s="10"/>
      <c r="E10407" s="10"/>
      <c r="F10407" s="10"/>
      <c r="G10407" s="10"/>
      <c r="H10407" s="10"/>
      <c r="I10407" s="10"/>
      <c r="J10407" s="10"/>
      <c r="K10407" s="10"/>
      <c r="L10407" s="10"/>
      <c r="M10407" s="10"/>
      <c r="N10407" s="10"/>
      <c r="O10407" s="10"/>
      <c r="P10407" s="10"/>
      <c r="Q10407" s="10"/>
      <c r="R10407" s="10"/>
      <c r="S10407" s="10"/>
      <c r="T10407" s="10"/>
      <c r="U10407" s="10"/>
      <c r="V10407" s="10"/>
      <c r="W10407" s="10"/>
      <c r="X10407" s="10"/>
      <c r="Y10407" s="10"/>
      <c r="Z10407" s="10"/>
    </row>
    <row r="10408" spans="1:26" ht="12.75">
      <c r="A10408" s="10"/>
      <c r="B10408" s="10"/>
      <c r="C10408" s="10"/>
      <c r="D10408" s="10"/>
      <c r="E10408" s="10"/>
      <c r="F10408" s="10"/>
      <c r="G10408" s="10"/>
      <c r="H10408" s="10"/>
      <c r="I10408" s="10"/>
      <c r="J10408" s="10"/>
      <c r="K10408" s="10"/>
      <c r="L10408" s="10"/>
      <c r="M10408" s="10"/>
      <c r="N10408" s="10"/>
      <c r="O10408" s="10"/>
      <c r="P10408" s="10"/>
      <c r="Q10408" s="10"/>
      <c r="R10408" s="10"/>
      <c r="S10408" s="10"/>
      <c r="T10408" s="10"/>
      <c r="U10408" s="10"/>
      <c r="V10408" s="10"/>
      <c r="W10408" s="10"/>
      <c r="X10408" s="10"/>
      <c r="Y10408" s="10"/>
      <c r="Z10408" s="10"/>
    </row>
    <row r="10409" spans="1:26" ht="12.75">
      <c r="A10409" s="10"/>
      <c r="B10409" s="10"/>
      <c r="C10409" s="10"/>
      <c r="D10409" s="10"/>
      <c r="E10409" s="10"/>
      <c r="F10409" s="10"/>
      <c r="G10409" s="10"/>
      <c r="H10409" s="10"/>
      <c r="I10409" s="10"/>
      <c r="J10409" s="10"/>
      <c r="K10409" s="10"/>
      <c r="L10409" s="10"/>
      <c r="M10409" s="10"/>
      <c r="N10409" s="10"/>
      <c r="O10409" s="10"/>
      <c r="P10409" s="10"/>
      <c r="Q10409" s="10"/>
      <c r="R10409" s="10"/>
      <c r="S10409" s="10"/>
      <c r="T10409" s="10"/>
      <c r="U10409" s="10"/>
      <c r="V10409" s="10"/>
      <c r="W10409" s="10"/>
      <c r="X10409" s="10"/>
      <c r="Y10409" s="10"/>
      <c r="Z10409" s="10"/>
    </row>
    <row r="10410" spans="1:26" ht="12.75">
      <c r="A10410" s="10"/>
      <c r="B10410" s="10"/>
      <c r="C10410" s="10"/>
      <c r="D10410" s="10"/>
      <c r="E10410" s="10"/>
      <c r="F10410" s="10"/>
      <c r="G10410" s="10"/>
      <c r="H10410" s="10"/>
      <c r="I10410" s="10"/>
      <c r="J10410" s="10"/>
      <c r="K10410" s="10"/>
      <c r="L10410" s="10"/>
      <c r="M10410" s="10"/>
      <c r="N10410" s="10"/>
      <c r="O10410" s="10"/>
      <c r="P10410" s="10"/>
      <c r="Q10410" s="10"/>
      <c r="R10410" s="10"/>
      <c r="S10410" s="10"/>
      <c r="T10410" s="10"/>
      <c r="U10410" s="10"/>
      <c r="V10410" s="10"/>
      <c r="W10410" s="10"/>
      <c r="X10410" s="10"/>
      <c r="Y10410" s="10"/>
      <c r="Z10410" s="10"/>
    </row>
    <row r="10411" spans="1:26" ht="12.75">
      <c r="A10411" s="10"/>
      <c r="B10411" s="10"/>
      <c r="C10411" s="10"/>
      <c r="D10411" s="10"/>
      <c r="E10411" s="10"/>
      <c r="F10411" s="10"/>
      <c r="G10411" s="10"/>
      <c r="H10411" s="10"/>
      <c r="I10411" s="10"/>
      <c r="J10411" s="10"/>
      <c r="K10411" s="10"/>
      <c r="L10411" s="10"/>
      <c r="M10411" s="10"/>
      <c r="N10411" s="10"/>
      <c r="O10411" s="10"/>
      <c r="P10411" s="10"/>
      <c r="Q10411" s="10"/>
      <c r="R10411" s="10"/>
      <c r="S10411" s="10"/>
      <c r="T10411" s="10"/>
      <c r="U10411" s="10"/>
      <c r="V10411" s="10"/>
      <c r="W10411" s="10"/>
      <c r="X10411" s="10"/>
      <c r="Y10411" s="10"/>
      <c r="Z10411" s="10"/>
    </row>
    <row r="10412" spans="1:26" ht="12.75">
      <c r="A10412" s="10"/>
      <c r="B10412" s="10"/>
      <c r="C10412" s="10"/>
      <c r="D10412" s="10"/>
      <c r="E10412" s="10"/>
      <c r="F10412" s="10"/>
      <c r="G10412" s="10"/>
      <c r="H10412" s="10"/>
      <c r="I10412" s="10"/>
      <c r="J10412" s="10"/>
      <c r="K10412" s="10"/>
      <c r="L10412" s="10"/>
      <c r="M10412" s="10"/>
      <c r="N10412" s="10"/>
      <c r="O10412" s="10"/>
      <c r="P10412" s="10"/>
      <c r="Q10412" s="10"/>
      <c r="R10412" s="10"/>
      <c r="S10412" s="10"/>
      <c r="T10412" s="10"/>
      <c r="U10412" s="10"/>
      <c r="V10412" s="10"/>
      <c r="W10412" s="10"/>
      <c r="X10412" s="10"/>
      <c r="Y10412" s="10"/>
      <c r="Z10412" s="10"/>
    </row>
    <row r="10413" spans="1:26" ht="12.75">
      <c r="A10413" s="10"/>
      <c r="B10413" s="10"/>
      <c r="C10413" s="10"/>
      <c r="D10413" s="10"/>
      <c r="E10413" s="10"/>
      <c r="F10413" s="10"/>
      <c r="G10413" s="10"/>
      <c r="H10413" s="10"/>
      <c r="I10413" s="10"/>
      <c r="J10413" s="10"/>
      <c r="K10413" s="10"/>
      <c r="L10413" s="10"/>
      <c r="M10413" s="10"/>
      <c r="N10413" s="10"/>
      <c r="O10413" s="10"/>
      <c r="P10413" s="10"/>
      <c r="Q10413" s="10"/>
      <c r="R10413" s="10"/>
      <c r="S10413" s="10"/>
      <c r="T10413" s="10"/>
      <c r="U10413" s="10"/>
      <c r="V10413" s="10"/>
      <c r="W10413" s="10"/>
      <c r="X10413" s="10"/>
      <c r="Y10413" s="10"/>
      <c r="Z10413" s="10"/>
    </row>
    <row r="10414" spans="1:26" ht="12.75">
      <c r="A10414" s="10"/>
      <c r="B10414" s="10"/>
      <c r="C10414" s="10"/>
      <c r="D10414" s="10"/>
      <c r="E10414" s="10"/>
      <c r="F10414" s="10"/>
      <c r="G10414" s="10"/>
      <c r="H10414" s="10"/>
      <c r="I10414" s="10"/>
      <c r="J10414" s="10"/>
      <c r="K10414" s="10"/>
      <c r="L10414" s="10"/>
      <c r="M10414" s="10"/>
      <c r="N10414" s="10"/>
      <c r="O10414" s="10"/>
      <c r="P10414" s="10"/>
      <c r="Q10414" s="10"/>
      <c r="R10414" s="10"/>
      <c r="S10414" s="10"/>
      <c r="T10414" s="10"/>
      <c r="U10414" s="10"/>
      <c r="V10414" s="10"/>
      <c r="W10414" s="10"/>
      <c r="X10414" s="10"/>
      <c r="Y10414" s="10"/>
      <c r="Z10414" s="10"/>
    </row>
    <row r="10415" spans="1:26" ht="12.75">
      <c r="A10415" s="10"/>
      <c r="B10415" s="10"/>
      <c r="C10415" s="10"/>
      <c r="D10415" s="10"/>
      <c r="E10415" s="10"/>
      <c r="F10415" s="10"/>
      <c r="G10415" s="10"/>
      <c r="H10415" s="10"/>
      <c r="I10415" s="10"/>
      <c r="J10415" s="10"/>
      <c r="K10415" s="10"/>
      <c r="L10415" s="10"/>
      <c r="M10415" s="10"/>
      <c r="N10415" s="10"/>
      <c r="O10415" s="10"/>
      <c r="P10415" s="10"/>
      <c r="Q10415" s="10"/>
      <c r="R10415" s="10"/>
      <c r="S10415" s="10"/>
      <c r="T10415" s="10"/>
      <c r="U10415" s="10"/>
      <c r="V10415" s="10"/>
      <c r="W10415" s="10"/>
      <c r="X10415" s="10"/>
      <c r="Y10415" s="10"/>
      <c r="Z10415" s="10"/>
    </row>
    <row r="10416" spans="1:26" ht="12.75">
      <c r="A10416" s="10"/>
      <c r="B10416" s="10"/>
      <c r="C10416" s="10"/>
      <c r="D10416" s="10"/>
      <c r="E10416" s="10"/>
      <c r="F10416" s="10"/>
      <c r="G10416" s="10"/>
      <c r="H10416" s="10"/>
      <c r="I10416" s="10"/>
      <c r="J10416" s="10"/>
      <c r="K10416" s="10"/>
      <c r="L10416" s="10"/>
      <c r="M10416" s="10"/>
      <c r="N10416" s="10"/>
      <c r="O10416" s="10"/>
      <c r="P10416" s="10"/>
      <c r="Q10416" s="10"/>
      <c r="R10416" s="10"/>
      <c r="S10416" s="10"/>
      <c r="T10416" s="10"/>
      <c r="U10416" s="10"/>
      <c r="V10416" s="10"/>
      <c r="W10416" s="10"/>
      <c r="X10416" s="10"/>
      <c r="Y10416" s="10"/>
      <c r="Z10416" s="10"/>
    </row>
    <row r="10417" spans="1:26" ht="12.75">
      <c r="A10417" s="10"/>
      <c r="B10417" s="10"/>
      <c r="C10417" s="10"/>
      <c r="D10417" s="10"/>
      <c r="E10417" s="10"/>
      <c r="F10417" s="10"/>
      <c r="G10417" s="10"/>
      <c r="H10417" s="10"/>
      <c r="I10417" s="10"/>
      <c r="J10417" s="10"/>
      <c r="K10417" s="10"/>
      <c r="L10417" s="10"/>
      <c r="M10417" s="10"/>
      <c r="N10417" s="10"/>
      <c r="O10417" s="10"/>
      <c r="P10417" s="10"/>
      <c r="Q10417" s="10"/>
      <c r="R10417" s="10"/>
      <c r="S10417" s="10"/>
      <c r="T10417" s="10"/>
      <c r="U10417" s="10"/>
      <c r="V10417" s="10"/>
      <c r="W10417" s="10"/>
      <c r="X10417" s="10"/>
      <c r="Y10417" s="10"/>
      <c r="Z10417" s="10"/>
    </row>
    <row r="10418" spans="1:26" ht="12.75">
      <c r="A10418" s="10"/>
      <c r="B10418" s="10"/>
      <c r="C10418" s="10"/>
      <c r="D10418" s="10"/>
      <c r="E10418" s="10"/>
      <c r="F10418" s="10"/>
      <c r="G10418" s="10"/>
      <c r="H10418" s="10"/>
      <c r="I10418" s="10"/>
      <c r="J10418" s="10"/>
      <c r="K10418" s="10"/>
      <c r="L10418" s="10"/>
      <c r="M10418" s="10"/>
      <c r="N10418" s="10"/>
      <c r="O10418" s="10"/>
      <c r="P10418" s="10"/>
      <c r="Q10418" s="10"/>
      <c r="R10418" s="10"/>
      <c r="S10418" s="10"/>
      <c r="T10418" s="10"/>
      <c r="U10418" s="10"/>
      <c r="V10418" s="10"/>
      <c r="W10418" s="10"/>
      <c r="X10418" s="10"/>
      <c r="Y10418" s="10"/>
      <c r="Z10418" s="10"/>
    </row>
    <row r="10419" spans="1:26" ht="12.75">
      <c r="A10419" s="10"/>
      <c r="B10419" s="10"/>
      <c r="C10419" s="10"/>
      <c r="D10419" s="10"/>
      <c r="E10419" s="10"/>
      <c r="F10419" s="10"/>
      <c r="G10419" s="10"/>
      <c r="H10419" s="10"/>
      <c r="I10419" s="10"/>
      <c r="J10419" s="10"/>
      <c r="K10419" s="10"/>
      <c r="L10419" s="10"/>
      <c r="M10419" s="10"/>
      <c r="N10419" s="10"/>
      <c r="O10419" s="10"/>
      <c r="P10419" s="10"/>
      <c r="Q10419" s="10"/>
      <c r="R10419" s="10"/>
      <c r="S10419" s="10"/>
      <c r="T10419" s="10"/>
      <c r="U10419" s="10"/>
      <c r="V10419" s="10"/>
      <c r="W10419" s="10"/>
      <c r="X10419" s="10"/>
      <c r="Y10419" s="10"/>
      <c r="Z10419" s="10"/>
    </row>
    <row r="10420" spans="1:26" ht="12.75">
      <c r="A10420" s="10"/>
      <c r="B10420" s="10"/>
      <c r="C10420" s="10"/>
      <c r="D10420" s="10"/>
      <c r="E10420" s="10"/>
      <c r="F10420" s="10"/>
      <c r="G10420" s="10"/>
      <c r="H10420" s="10"/>
      <c r="I10420" s="10"/>
      <c r="J10420" s="10"/>
      <c r="K10420" s="10"/>
      <c r="L10420" s="10"/>
      <c r="M10420" s="10"/>
      <c r="N10420" s="10"/>
      <c r="O10420" s="10"/>
      <c r="P10420" s="10"/>
      <c r="Q10420" s="10"/>
      <c r="R10420" s="10"/>
      <c r="S10420" s="10"/>
      <c r="T10420" s="10"/>
      <c r="U10420" s="10"/>
      <c r="V10420" s="10"/>
      <c r="W10420" s="10"/>
      <c r="X10420" s="10"/>
      <c r="Y10420" s="10"/>
      <c r="Z10420" s="10"/>
    </row>
    <row r="10421" spans="1:26" ht="12.75">
      <c r="A10421" s="10"/>
      <c r="B10421" s="10"/>
      <c r="C10421" s="10"/>
      <c r="D10421" s="10"/>
      <c r="E10421" s="10"/>
      <c r="F10421" s="10"/>
      <c r="G10421" s="10"/>
      <c r="H10421" s="10"/>
      <c r="I10421" s="10"/>
      <c r="J10421" s="10"/>
      <c r="K10421" s="10"/>
      <c r="L10421" s="10"/>
      <c r="M10421" s="10"/>
      <c r="N10421" s="10"/>
      <c r="O10421" s="10"/>
      <c r="P10421" s="10"/>
      <c r="Q10421" s="10"/>
      <c r="R10421" s="10"/>
      <c r="S10421" s="10"/>
      <c r="T10421" s="10"/>
      <c r="U10421" s="10"/>
      <c r="V10421" s="10"/>
      <c r="W10421" s="10"/>
      <c r="X10421" s="10"/>
      <c r="Y10421" s="10"/>
      <c r="Z10421" s="10"/>
    </row>
    <row r="10422" spans="1:26" ht="12.75">
      <c r="A10422" s="10"/>
      <c r="B10422" s="10"/>
      <c r="C10422" s="10"/>
      <c r="D10422" s="10"/>
      <c r="E10422" s="10"/>
      <c r="F10422" s="10"/>
      <c r="G10422" s="10"/>
      <c r="H10422" s="10"/>
      <c r="I10422" s="10"/>
      <c r="J10422" s="10"/>
      <c r="K10422" s="10"/>
      <c r="L10422" s="10"/>
      <c r="M10422" s="10"/>
      <c r="N10422" s="10"/>
      <c r="O10422" s="10"/>
      <c r="P10422" s="10"/>
      <c r="Q10422" s="10"/>
      <c r="R10422" s="10"/>
      <c r="S10422" s="10"/>
      <c r="T10422" s="10"/>
      <c r="U10422" s="10"/>
      <c r="V10422" s="10"/>
      <c r="W10422" s="10"/>
      <c r="X10422" s="10"/>
      <c r="Y10422" s="10"/>
      <c r="Z10422" s="10"/>
    </row>
    <row r="10423" spans="1:26" ht="12.75">
      <c r="A10423" s="10"/>
      <c r="B10423" s="10"/>
      <c r="C10423" s="10"/>
      <c r="D10423" s="10"/>
      <c r="E10423" s="10"/>
      <c r="F10423" s="10"/>
      <c r="G10423" s="10"/>
      <c r="H10423" s="10"/>
      <c r="I10423" s="10"/>
      <c r="J10423" s="10"/>
      <c r="K10423" s="10"/>
      <c r="L10423" s="10"/>
      <c r="M10423" s="10"/>
      <c r="N10423" s="10"/>
      <c r="O10423" s="10"/>
      <c r="P10423" s="10"/>
      <c r="Q10423" s="10"/>
      <c r="R10423" s="10"/>
      <c r="S10423" s="10"/>
      <c r="T10423" s="10"/>
      <c r="U10423" s="10"/>
      <c r="V10423" s="10"/>
      <c r="W10423" s="10"/>
      <c r="X10423" s="10"/>
      <c r="Y10423" s="10"/>
      <c r="Z10423" s="10"/>
    </row>
    <row r="10424" spans="1:26" ht="12.75">
      <c r="A10424" s="10"/>
      <c r="B10424" s="10"/>
      <c r="C10424" s="10"/>
      <c r="D10424" s="10"/>
      <c r="E10424" s="10"/>
      <c r="F10424" s="10"/>
      <c r="G10424" s="10"/>
      <c r="H10424" s="10"/>
      <c r="I10424" s="10"/>
      <c r="J10424" s="10"/>
      <c r="K10424" s="10"/>
      <c r="L10424" s="10"/>
      <c r="M10424" s="10"/>
      <c r="N10424" s="10"/>
      <c r="O10424" s="10"/>
      <c r="P10424" s="10"/>
      <c r="Q10424" s="10"/>
      <c r="R10424" s="10"/>
      <c r="S10424" s="10"/>
      <c r="T10424" s="10"/>
      <c r="U10424" s="10"/>
      <c r="V10424" s="10"/>
      <c r="W10424" s="10"/>
      <c r="X10424" s="10"/>
      <c r="Y10424" s="10"/>
      <c r="Z10424" s="10"/>
    </row>
    <row r="10425" spans="1:26" ht="12.75">
      <c r="A10425" s="10"/>
      <c r="B10425" s="10"/>
      <c r="C10425" s="10"/>
      <c r="D10425" s="10"/>
      <c r="E10425" s="10"/>
      <c r="F10425" s="10"/>
      <c r="G10425" s="10"/>
      <c r="H10425" s="10"/>
      <c r="I10425" s="10"/>
      <c r="J10425" s="10"/>
      <c r="K10425" s="10"/>
      <c r="L10425" s="10"/>
      <c r="M10425" s="10"/>
      <c r="N10425" s="10"/>
      <c r="O10425" s="10"/>
      <c r="P10425" s="10"/>
      <c r="Q10425" s="10"/>
      <c r="R10425" s="10"/>
      <c r="S10425" s="10"/>
      <c r="T10425" s="10"/>
      <c r="U10425" s="10"/>
      <c r="V10425" s="10"/>
      <c r="W10425" s="10"/>
      <c r="X10425" s="10"/>
      <c r="Y10425" s="10"/>
      <c r="Z10425" s="10"/>
    </row>
    <row r="10426" spans="1:26" ht="12.75">
      <c r="A10426" s="10"/>
      <c r="B10426" s="10"/>
      <c r="C10426" s="10"/>
      <c r="D10426" s="10"/>
      <c r="E10426" s="10"/>
      <c r="F10426" s="10"/>
      <c r="G10426" s="10"/>
      <c r="H10426" s="10"/>
      <c r="I10426" s="10"/>
      <c r="J10426" s="10"/>
      <c r="K10426" s="10"/>
      <c r="L10426" s="10"/>
      <c r="M10426" s="10"/>
      <c r="N10426" s="10"/>
      <c r="O10426" s="10"/>
      <c r="P10426" s="10"/>
      <c r="Q10426" s="10"/>
      <c r="R10426" s="10"/>
      <c r="S10426" s="10"/>
      <c r="T10426" s="10"/>
      <c r="U10426" s="10"/>
      <c r="V10426" s="10"/>
      <c r="W10426" s="10"/>
      <c r="X10426" s="10"/>
      <c r="Y10426" s="10"/>
      <c r="Z10426" s="10"/>
    </row>
    <row r="10427" spans="1:26" ht="12.75">
      <c r="A10427" s="10"/>
      <c r="B10427" s="10"/>
      <c r="C10427" s="10"/>
      <c r="D10427" s="10"/>
      <c r="E10427" s="10"/>
      <c r="F10427" s="10"/>
      <c r="G10427" s="10"/>
      <c r="H10427" s="10"/>
      <c r="I10427" s="10"/>
      <c r="J10427" s="10"/>
      <c r="K10427" s="10"/>
      <c r="L10427" s="10"/>
      <c r="M10427" s="10"/>
      <c r="N10427" s="10"/>
      <c r="O10427" s="10"/>
      <c r="P10427" s="10"/>
      <c r="Q10427" s="10"/>
      <c r="R10427" s="10"/>
      <c r="S10427" s="10"/>
      <c r="T10427" s="10"/>
      <c r="U10427" s="10"/>
      <c r="V10427" s="10"/>
      <c r="W10427" s="10"/>
      <c r="X10427" s="10"/>
      <c r="Y10427" s="10"/>
      <c r="Z10427" s="10"/>
    </row>
    <row r="10428" spans="1:26" ht="12.75">
      <c r="A10428" s="10"/>
      <c r="B10428" s="10"/>
      <c r="C10428" s="10"/>
      <c r="D10428" s="10"/>
      <c r="E10428" s="10"/>
      <c r="F10428" s="10"/>
      <c r="G10428" s="10"/>
      <c r="H10428" s="10"/>
      <c r="I10428" s="10"/>
      <c r="J10428" s="10"/>
      <c r="K10428" s="10"/>
      <c r="L10428" s="10"/>
      <c r="M10428" s="10"/>
      <c r="N10428" s="10"/>
      <c r="O10428" s="10"/>
      <c r="P10428" s="10"/>
      <c r="Q10428" s="10"/>
      <c r="R10428" s="10"/>
      <c r="S10428" s="10"/>
      <c r="T10428" s="10"/>
      <c r="U10428" s="10"/>
      <c r="V10428" s="10"/>
      <c r="W10428" s="10"/>
      <c r="X10428" s="10"/>
      <c r="Y10428" s="10"/>
      <c r="Z10428" s="10"/>
    </row>
    <row r="10429" spans="1:26" ht="12.75">
      <c r="A10429" s="10"/>
      <c r="B10429" s="10"/>
      <c r="C10429" s="10"/>
      <c r="D10429" s="10"/>
      <c r="E10429" s="10"/>
      <c r="F10429" s="10"/>
      <c r="G10429" s="10"/>
      <c r="H10429" s="10"/>
      <c r="I10429" s="10"/>
      <c r="J10429" s="10"/>
      <c r="K10429" s="10"/>
      <c r="L10429" s="10"/>
      <c r="M10429" s="10"/>
      <c r="N10429" s="10"/>
      <c r="O10429" s="10"/>
      <c r="P10429" s="10"/>
      <c r="Q10429" s="10"/>
      <c r="R10429" s="10"/>
      <c r="S10429" s="10"/>
      <c r="T10429" s="10"/>
      <c r="U10429" s="10"/>
      <c r="V10429" s="10"/>
      <c r="W10429" s="10"/>
      <c r="X10429" s="10"/>
      <c r="Y10429" s="10"/>
      <c r="Z10429" s="10"/>
    </row>
    <row r="10430" spans="1:26" ht="12.75">
      <c r="A10430" s="10"/>
      <c r="B10430" s="10"/>
      <c r="C10430" s="10"/>
      <c r="D10430" s="10"/>
      <c r="E10430" s="10"/>
      <c r="F10430" s="10"/>
      <c r="G10430" s="10"/>
      <c r="H10430" s="10"/>
      <c r="I10430" s="10"/>
      <c r="J10430" s="10"/>
      <c r="K10430" s="10"/>
      <c r="L10430" s="10"/>
      <c r="M10430" s="10"/>
      <c r="N10430" s="10"/>
      <c r="O10430" s="10"/>
      <c r="P10430" s="10"/>
      <c r="Q10430" s="10"/>
      <c r="R10430" s="10"/>
      <c r="S10430" s="10"/>
      <c r="T10430" s="10"/>
      <c r="U10430" s="10"/>
      <c r="V10430" s="10"/>
      <c r="W10430" s="10"/>
      <c r="X10430" s="10"/>
      <c r="Y10430" s="10"/>
      <c r="Z10430" s="10"/>
    </row>
    <row r="10431" spans="1:26" ht="12.75">
      <c r="A10431" s="10"/>
      <c r="B10431" s="10"/>
      <c r="C10431" s="10"/>
      <c r="D10431" s="10"/>
      <c r="E10431" s="10"/>
      <c r="F10431" s="10"/>
      <c r="G10431" s="10"/>
      <c r="H10431" s="10"/>
      <c r="I10431" s="10"/>
      <c r="J10431" s="10"/>
      <c r="K10431" s="10"/>
      <c r="L10431" s="10"/>
      <c r="M10431" s="10"/>
      <c r="N10431" s="10"/>
      <c r="O10431" s="10"/>
      <c r="P10431" s="10"/>
      <c r="Q10431" s="10"/>
      <c r="R10431" s="10"/>
      <c r="S10431" s="10"/>
      <c r="T10431" s="10"/>
      <c r="U10431" s="10"/>
      <c r="V10431" s="10"/>
      <c r="W10431" s="10"/>
      <c r="X10431" s="10"/>
      <c r="Y10431" s="10"/>
      <c r="Z10431" s="10"/>
    </row>
    <row r="10432" spans="1:26" ht="12.75">
      <c r="A10432" s="10"/>
      <c r="B10432" s="10"/>
      <c r="C10432" s="10"/>
      <c r="D10432" s="10"/>
      <c r="E10432" s="10"/>
      <c r="F10432" s="10"/>
      <c r="G10432" s="10"/>
      <c r="H10432" s="10"/>
      <c r="I10432" s="10"/>
      <c r="J10432" s="10"/>
      <c r="K10432" s="10"/>
      <c r="L10432" s="10"/>
      <c r="M10432" s="10"/>
      <c r="N10432" s="10"/>
      <c r="O10432" s="10"/>
      <c r="P10432" s="10"/>
      <c r="Q10432" s="10"/>
      <c r="R10432" s="10"/>
      <c r="S10432" s="10"/>
      <c r="T10432" s="10"/>
      <c r="U10432" s="10"/>
      <c r="V10432" s="10"/>
      <c r="W10432" s="10"/>
      <c r="X10432" s="10"/>
      <c r="Y10432" s="10"/>
      <c r="Z10432" s="10"/>
    </row>
    <row r="10433" spans="1:26" ht="12.75">
      <c r="A10433" s="10"/>
      <c r="B10433" s="10"/>
      <c r="C10433" s="10"/>
      <c r="D10433" s="10"/>
      <c r="E10433" s="10"/>
      <c r="F10433" s="10"/>
      <c r="G10433" s="10"/>
      <c r="H10433" s="10"/>
      <c r="I10433" s="10"/>
      <c r="J10433" s="10"/>
      <c r="K10433" s="10"/>
      <c r="L10433" s="10"/>
      <c r="M10433" s="10"/>
      <c r="N10433" s="10"/>
      <c r="O10433" s="10"/>
      <c r="P10433" s="10"/>
      <c r="Q10433" s="10"/>
      <c r="R10433" s="10"/>
      <c r="S10433" s="10"/>
      <c r="T10433" s="10"/>
      <c r="U10433" s="10"/>
      <c r="V10433" s="10"/>
      <c r="W10433" s="10"/>
      <c r="X10433" s="10"/>
      <c r="Y10433" s="10"/>
      <c r="Z10433" s="10"/>
    </row>
    <row r="10434" spans="1:26" ht="12.75">
      <c r="A10434" s="10"/>
      <c r="B10434" s="10"/>
      <c r="C10434" s="10"/>
      <c r="D10434" s="10"/>
      <c r="E10434" s="10"/>
      <c r="F10434" s="10"/>
      <c r="G10434" s="10"/>
      <c r="H10434" s="10"/>
      <c r="I10434" s="10"/>
      <c r="J10434" s="10"/>
      <c r="K10434" s="10"/>
      <c r="L10434" s="10"/>
      <c r="M10434" s="10"/>
      <c r="N10434" s="10"/>
      <c r="O10434" s="10"/>
      <c r="P10434" s="10"/>
      <c r="Q10434" s="10"/>
      <c r="R10434" s="10"/>
      <c r="S10434" s="10"/>
      <c r="T10434" s="10"/>
      <c r="U10434" s="10"/>
      <c r="V10434" s="10"/>
      <c r="W10434" s="10"/>
      <c r="X10434" s="10"/>
      <c r="Y10434" s="10"/>
      <c r="Z10434" s="10"/>
    </row>
    <row r="10435" spans="1:26" ht="12.75">
      <c r="A10435" s="10"/>
      <c r="B10435" s="10"/>
      <c r="C10435" s="10"/>
      <c r="D10435" s="10"/>
      <c r="E10435" s="10"/>
      <c r="F10435" s="10"/>
      <c r="G10435" s="10"/>
      <c r="H10435" s="10"/>
      <c r="I10435" s="10"/>
      <c r="J10435" s="10"/>
      <c r="K10435" s="10"/>
      <c r="L10435" s="10"/>
      <c r="M10435" s="10"/>
      <c r="N10435" s="10"/>
      <c r="O10435" s="10"/>
      <c r="P10435" s="10"/>
      <c r="Q10435" s="10"/>
      <c r="R10435" s="10"/>
      <c r="S10435" s="10"/>
      <c r="T10435" s="10"/>
      <c r="U10435" s="10"/>
      <c r="V10435" s="10"/>
      <c r="W10435" s="10"/>
      <c r="X10435" s="10"/>
      <c r="Y10435" s="10"/>
      <c r="Z10435" s="10"/>
    </row>
    <row r="10436" spans="1:26" ht="12.75">
      <c r="A10436" s="10"/>
      <c r="B10436" s="10"/>
      <c r="C10436" s="10"/>
      <c r="D10436" s="10"/>
      <c r="E10436" s="10"/>
      <c r="F10436" s="10"/>
      <c r="G10436" s="10"/>
      <c r="H10436" s="10"/>
      <c r="I10436" s="10"/>
      <c r="J10436" s="10"/>
      <c r="K10436" s="10"/>
      <c r="L10436" s="10"/>
      <c r="M10436" s="10"/>
      <c r="N10436" s="10"/>
      <c r="O10436" s="10"/>
      <c r="P10436" s="10"/>
      <c r="Q10436" s="10"/>
      <c r="R10436" s="10"/>
      <c r="S10436" s="10"/>
      <c r="T10436" s="10"/>
      <c r="U10436" s="10"/>
      <c r="V10436" s="10"/>
      <c r="W10436" s="10"/>
      <c r="X10436" s="10"/>
      <c r="Y10436" s="10"/>
      <c r="Z10436" s="10"/>
    </row>
    <row r="10437" spans="1:26" ht="12.75">
      <c r="A10437" s="10"/>
      <c r="B10437" s="10"/>
      <c r="C10437" s="10"/>
      <c r="D10437" s="10"/>
      <c r="E10437" s="10"/>
      <c r="F10437" s="10"/>
      <c r="G10437" s="10"/>
      <c r="H10437" s="10"/>
      <c r="I10437" s="10"/>
      <c r="J10437" s="10"/>
      <c r="K10437" s="10"/>
      <c r="L10437" s="10"/>
      <c r="M10437" s="10"/>
      <c r="N10437" s="10"/>
      <c r="O10437" s="10"/>
      <c r="P10437" s="10"/>
      <c r="Q10437" s="10"/>
      <c r="R10437" s="10"/>
      <c r="S10437" s="10"/>
      <c r="T10437" s="10"/>
      <c r="U10437" s="10"/>
      <c r="V10437" s="10"/>
      <c r="W10437" s="10"/>
      <c r="X10437" s="10"/>
      <c r="Y10437" s="10"/>
      <c r="Z10437" s="10"/>
    </row>
    <row r="10438" spans="1:26" ht="12.75">
      <c r="A10438" s="10"/>
      <c r="B10438" s="10"/>
      <c r="C10438" s="10"/>
      <c r="D10438" s="10"/>
      <c r="E10438" s="10"/>
      <c r="F10438" s="10"/>
      <c r="G10438" s="10"/>
      <c r="H10438" s="10"/>
      <c r="I10438" s="10"/>
      <c r="J10438" s="10"/>
      <c r="K10438" s="10"/>
      <c r="L10438" s="10"/>
      <c r="M10438" s="10"/>
      <c r="N10438" s="10"/>
      <c r="O10438" s="10"/>
      <c r="P10438" s="10"/>
      <c r="Q10438" s="10"/>
      <c r="R10438" s="10"/>
      <c r="S10438" s="10"/>
      <c r="T10438" s="10"/>
      <c r="U10438" s="10"/>
      <c r="V10438" s="10"/>
      <c r="W10438" s="10"/>
      <c r="X10438" s="10"/>
      <c r="Y10438" s="10"/>
      <c r="Z10438" s="10"/>
    </row>
    <row r="10439" spans="1:26" ht="12.75">
      <c r="A10439" s="10"/>
      <c r="B10439" s="10"/>
      <c r="C10439" s="10"/>
      <c r="D10439" s="10"/>
      <c r="E10439" s="10"/>
      <c r="F10439" s="10"/>
      <c r="G10439" s="10"/>
      <c r="H10439" s="10"/>
      <c r="I10439" s="10"/>
      <c r="J10439" s="10"/>
      <c r="K10439" s="10"/>
      <c r="L10439" s="10"/>
      <c r="M10439" s="10"/>
      <c r="N10439" s="10"/>
      <c r="O10439" s="10"/>
      <c r="P10439" s="10"/>
      <c r="Q10439" s="10"/>
      <c r="R10439" s="10"/>
      <c r="S10439" s="10"/>
      <c r="T10439" s="10"/>
      <c r="U10439" s="10"/>
      <c r="V10439" s="10"/>
      <c r="W10439" s="10"/>
      <c r="X10439" s="10"/>
      <c r="Y10439" s="10"/>
      <c r="Z10439" s="10"/>
    </row>
    <row r="10440" spans="1:26" ht="12.75">
      <c r="A10440" s="10"/>
      <c r="B10440" s="10"/>
      <c r="C10440" s="10"/>
      <c r="D10440" s="10"/>
      <c r="E10440" s="10"/>
      <c r="F10440" s="10"/>
      <c r="G10440" s="10"/>
      <c r="H10440" s="10"/>
      <c r="I10440" s="10"/>
      <c r="J10440" s="10"/>
      <c r="K10440" s="10"/>
      <c r="L10440" s="10"/>
      <c r="M10440" s="10"/>
      <c r="N10440" s="10"/>
      <c r="O10440" s="10"/>
      <c r="P10440" s="10"/>
      <c r="Q10440" s="10"/>
      <c r="R10440" s="10"/>
      <c r="S10440" s="10"/>
      <c r="T10440" s="10"/>
      <c r="U10440" s="10"/>
      <c r="V10440" s="10"/>
      <c r="W10440" s="10"/>
      <c r="X10440" s="10"/>
      <c r="Y10440" s="10"/>
      <c r="Z10440" s="10"/>
    </row>
    <row r="10441" spans="1:26" ht="12.75">
      <c r="A10441" s="10"/>
      <c r="B10441" s="10"/>
      <c r="C10441" s="10"/>
      <c r="D10441" s="10"/>
      <c r="E10441" s="10"/>
      <c r="F10441" s="10"/>
      <c r="G10441" s="10"/>
      <c r="H10441" s="10"/>
      <c r="I10441" s="10"/>
      <c r="J10441" s="10"/>
      <c r="K10441" s="10"/>
      <c r="L10441" s="10"/>
      <c r="M10441" s="10"/>
      <c r="N10441" s="10"/>
      <c r="O10441" s="10"/>
      <c r="P10441" s="10"/>
      <c r="Q10441" s="10"/>
      <c r="R10441" s="10"/>
      <c r="S10441" s="10"/>
      <c r="T10441" s="10"/>
      <c r="U10441" s="10"/>
      <c r="V10441" s="10"/>
      <c r="W10441" s="10"/>
      <c r="X10441" s="10"/>
      <c r="Y10441" s="10"/>
      <c r="Z10441" s="10"/>
    </row>
    <row r="10442" spans="1:26" ht="12.75">
      <c r="A10442" s="10"/>
      <c r="B10442" s="10"/>
      <c r="C10442" s="10"/>
      <c r="D10442" s="10"/>
      <c r="E10442" s="10"/>
      <c r="F10442" s="10"/>
      <c r="G10442" s="10"/>
      <c r="H10442" s="10"/>
      <c r="I10442" s="10"/>
      <c r="J10442" s="10"/>
      <c r="K10442" s="10"/>
      <c r="L10442" s="10"/>
      <c r="M10442" s="10"/>
      <c r="N10442" s="10"/>
      <c r="O10442" s="10"/>
      <c r="P10442" s="10"/>
      <c r="Q10442" s="10"/>
      <c r="R10442" s="10"/>
      <c r="S10442" s="10"/>
      <c r="T10442" s="10"/>
      <c r="U10442" s="10"/>
      <c r="V10442" s="10"/>
      <c r="W10442" s="10"/>
      <c r="X10442" s="10"/>
      <c r="Y10442" s="10"/>
      <c r="Z10442" s="10"/>
    </row>
    <row r="10443" spans="1:26" ht="12.75">
      <c r="A10443" s="10"/>
      <c r="B10443" s="10"/>
      <c r="C10443" s="10"/>
      <c r="D10443" s="10"/>
      <c r="E10443" s="10"/>
      <c r="F10443" s="10"/>
      <c r="G10443" s="10"/>
      <c r="H10443" s="10"/>
      <c r="I10443" s="10"/>
      <c r="J10443" s="10"/>
      <c r="K10443" s="10"/>
      <c r="L10443" s="10"/>
      <c r="M10443" s="10"/>
      <c r="N10443" s="10"/>
      <c r="O10443" s="10"/>
      <c r="P10443" s="10"/>
      <c r="Q10443" s="10"/>
      <c r="R10443" s="10"/>
      <c r="S10443" s="10"/>
      <c r="T10443" s="10"/>
      <c r="U10443" s="10"/>
      <c r="V10443" s="10"/>
      <c r="W10443" s="10"/>
      <c r="X10443" s="10"/>
      <c r="Y10443" s="10"/>
      <c r="Z10443" s="10"/>
    </row>
    <row r="10444" spans="1:26" ht="12.75">
      <c r="A10444" s="10"/>
      <c r="B10444" s="10"/>
      <c r="C10444" s="10"/>
      <c r="D10444" s="10"/>
      <c r="E10444" s="10"/>
      <c r="F10444" s="10"/>
      <c r="G10444" s="10"/>
      <c r="H10444" s="10"/>
      <c r="I10444" s="10"/>
      <c r="J10444" s="10"/>
      <c r="K10444" s="10"/>
      <c r="L10444" s="10"/>
      <c r="M10444" s="10"/>
      <c r="N10444" s="10"/>
      <c r="O10444" s="10"/>
      <c r="P10444" s="10"/>
      <c r="Q10444" s="10"/>
      <c r="R10444" s="10"/>
      <c r="S10444" s="10"/>
      <c r="T10444" s="10"/>
      <c r="U10444" s="10"/>
      <c r="V10444" s="10"/>
      <c r="W10444" s="10"/>
      <c r="X10444" s="10"/>
      <c r="Y10444" s="10"/>
      <c r="Z10444" s="10"/>
    </row>
    <row r="10445" spans="1:26" ht="12.75">
      <c r="A10445" s="10"/>
      <c r="B10445" s="10"/>
      <c r="C10445" s="10"/>
      <c r="D10445" s="10"/>
      <c r="E10445" s="10"/>
      <c r="F10445" s="10"/>
      <c r="G10445" s="10"/>
      <c r="H10445" s="10"/>
      <c r="I10445" s="10"/>
      <c r="J10445" s="10"/>
      <c r="K10445" s="10"/>
      <c r="L10445" s="10"/>
      <c r="M10445" s="10"/>
      <c r="N10445" s="10"/>
      <c r="O10445" s="10"/>
      <c r="P10445" s="10"/>
      <c r="Q10445" s="10"/>
      <c r="R10445" s="10"/>
      <c r="S10445" s="10"/>
      <c r="T10445" s="10"/>
      <c r="U10445" s="10"/>
      <c r="V10445" s="10"/>
      <c r="W10445" s="10"/>
      <c r="X10445" s="10"/>
      <c r="Y10445" s="10"/>
      <c r="Z10445" s="10"/>
    </row>
    <row r="10446" spans="1:26" ht="12.75">
      <c r="A10446" s="10"/>
      <c r="B10446" s="10"/>
      <c r="C10446" s="10"/>
      <c r="D10446" s="10"/>
      <c r="E10446" s="10"/>
      <c r="F10446" s="10"/>
      <c r="G10446" s="10"/>
      <c r="H10446" s="10"/>
      <c r="I10446" s="10"/>
      <c r="J10446" s="10"/>
      <c r="K10446" s="10"/>
      <c r="L10446" s="10"/>
      <c r="M10446" s="10"/>
      <c r="N10446" s="10"/>
      <c r="O10446" s="10"/>
      <c r="P10446" s="10"/>
      <c r="Q10446" s="10"/>
      <c r="R10446" s="10"/>
      <c r="S10446" s="10"/>
      <c r="T10446" s="10"/>
      <c r="U10446" s="10"/>
      <c r="V10446" s="10"/>
      <c r="W10446" s="10"/>
      <c r="X10446" s="10"/>
      <c r="Y10446" s="10"/>
      <c r="Z10446" s="10"/>
    </row>
    <row r="10447" spans="1:26" ht="12.75">
      <c r="A10447" s="10"/>
      <c r="B10447" s="10"/>
      <c r="C10447" s="10"/>
      <c r="D10447" s="10"/>
      <c r="E10447" s="10"/>
      <c r="F10447" s="10"/>
      <c r="G10447" s="10"/>
      <c r="H10447" s="10"/>
      <c r="I10447" s="10"/>
      <c r="J10447" s="10"/>
      <c r="K10447" s="10"/>
      <c r="L10447" s="10"/>
      <c r="M10447" s="10"/>
      <c r="N10447" s="10"/>
      <c r="O10447" s="10"/>
      <c r="P10447" s="10"/>
      <c r="Q10447" s="10"/>
      <c r="R10447" s="10"/>
      <c r="S10447" s="10"/>
      <c r="T10447" s="10"/>
      <c r="U10447" s="10"/>
      <c r="V10447" s="10"/>
      <c r="W10447" s="10"/>
      <c r="X10447" s="10"/>
      <c r="Y10447" s="10"/>
      <c r="Z10447" s="10"/>
    </row>
    <row r="10448" spans="1:26" ht="12.75">
      <c r="A10448" s="10"/>
      <c r="B10448" s="10"/>
      <c r="C10448" s="10"/>
      <c r="D10448" s="10"/>
      <c r="E10448" s="10"/>
      <c r="F10448" s="10"/>
      <c r="G10448" s="10"/>
      <c r="H10448" s="10"/>
      <c r="I10448" s="10"/>
      <c r="J10448" s="10"/>
      <c r="K10448" s="10"/>
      <c r="L10448" s="10"/>
      <c r="M10448" s="10"/>
      <c r="N10448" s="10"/>
      <c r="O10448" s="10"/>
      <c r="P10448" s="10"/>
      <c r="Q10448" s="10"/>
      <c r="R10448" s="10"/>
      <c r="S10448" s="10"/>
      <c r="T10448" s="10"/>
      <c r="U10448" s="10"/>
      <c r="V10448" s="10"/>
      <c r="W10448" s="10"/>
      <c r="X10448" s="10"/>
      <c r="Y10448" s="10"/>
      <c r="Z10448" s="10"/>
    </row>
    <row r="10449" spans="1:26" ht="12.75">
      <c r="A10449" s="10"/>
      <c r="B10449" s="10"/>
      <c r="C10449" s="10"/>
      <c r="D10449" s="10"/>
      <c r="E10449" s="10"/>
      <c r="F10449" s="10"/>
      <c r="G10449" s="10"/>
      <c r="H10449" s="10"/>
      <c r="I10449" s="10"/>
      <c r="J10449" s="10"/>
      <c r="K10449" s="10"/>
      <c r="L10449" s="10"/>
      <c r="M10449" s="10"/>
      <c r="N10449" s="10"/>
      <c r="O10449" s="10"/>
      <c r="P10449" s="10"/>
      <c r="Q10449" s="10"/>
      <c r="R10449" s="10"/>
      <c r="S10449" s="10"/>
      <c r="T10449" s="10"/>
      <c r="U10449" s="10"/>
      <c r="V10449" s="10"/>
      <c r="W10449" s="10"/>
      <c r="X10449" s="10"/>
      <c r="Y10449" s="10"/>
      <c r="Z10449" s="10"/>
    </row>
    <row r="10450" spans="1:26" ht="12.75">
      <c r="A10450" s="10"/>
      <c r="B10450" s="10"/>
      <c r="C10450" s="10"/>
      <c r="D10450" s="10"/>
      <c r="E10450" s="10"/>
      <c r="F10450" s="10"/>
      <c r="G10450" s="10"/>
      <c r="H10450" s="10"/>
      <c r="I10450" s="10"/>
      <c r="J10450" s="10"/>
      <c r="K10450" s="10"/>
      <c r="L10450" s="10"/>
      <c r="M10450" s="10"/>
      <c r="N10450" s="10"/>
      <c r="O10450" s="10"/>
      <c r="P10450" s="10"/>
      <c r="Q10450" s="10"/>
      <c r="R10450" s="10"/>
      <c r="S10450" s="10"/>
      <c r="T10450" s="10"/>
      <c r="U10450" s="10"/>
      <c r="V10450" s="10"/>
      <c r="W10450" s="10"/>
      <c r="X10450" s="10"/>
      <c r="Y10450" s="10"/>
      <c r="Z10450" s="10"/>
    </row>
    <row r="10451" spans="1:26" ht="12.75">
      <c r="A10451" s="10"/>
      <c r="B10451" s="10"/>
      <c r="C10451" s="10"/>
      <c r="D10451" s="10"/>
      <c r="E10451" s="10"/>
      <c r="F10451" s="10"/>
      <c r="G10451" s="10"/>
      <c r="H10451" s="10"/>
      <c r="I10451" s="10"/>
      <c r="J10451" s="10"/>
      <c r="K10451" s="10"/>
      <c r="L10451" s="10"/>
      <c r="M10451" s="10"/>
      <c r="N10451" s="10"/>
      <c r="O10451" s="10"/>
      <c r="P10451" s="10"/>
      <c r="Q10451" s="10"/>
      <c r="R10451" s="10"/>
      <c r="S10451" s="10"/>
      <c r="T10451" s="10"/>
      <c r="U10451" s="10"/>
      <c r="V10451" s="10"/>
      <c r="W10451" s="10"/>
      <c r="X10451" s="10"/>
      <c r="Y10451" s="10"/>
      <c r="Z10451" s="10"/>
    </row>
    <row r="10452" spans="1:26" ht="12.75">
      <c r="A10452" s="10"/>
      <c r="B10452" s="10"/>
      <c r="C10452" s="10"/>
      <c r="D10452" s="10"/>
      <c r="E10452" s="10"/>
      <c r="F10452" s="10"/>
      <c r="G10452" s="10"/>
      <c r="H10452" s="10"/>
      <c r="I10452" s="10"/>
      <c r="J10452" s="10"/>
      <c r="K10452" s="10"/>
      <c r="L10452" s="10"/>
      <c r="M10452" s="10"/>
      <c r="N10452" s="10"/>
      <c r="O10452" s="10"/>
      <c r="P10452" s="10"/>
      <c r="Q10452" s="10"/>
      <c r="R10452" s="10"/>
      <c r="S10452" s="10"/>
      <c r="T10452" s="10"/>
      <c r="U10452" s="10"/>
      <c r="V10452" s="10"/>
      <c r="W10452" s="10"/>
      <c r="X10452" s="10"/>
      <c r="Y10452" s="10"/>
      <c r="Z10452" s="10"/>
    </row>
    <row r="10453" spans="1:26" ht="12.75">
      <c r="A10453" s="10"/>
      <c r="B10453" s="10"/>
      <c r="C10453" s="10"/>
      <c r="D10453" s="10"/>
      <c r="E10453" s="10"/>
      <c r="F10453" s="10"/>
      <c r="G10453" s="10"/>
      <c r="H10453" s="10"/>
      <c r="I10453" s="10"/>
      <c r="J10453" s="10"/>
      <c r="K10453" s="10"/>
      <c r="L10453" s="10"/>
      <c r="M10453" s="10"/>
      <c r="N10453" s="10"/>
      <c r="O10453" s="10"/>
      <c r="P10453" s="10"/>
      <c r="Q10453" s="10"/>
      <c r="R10453" s="10"/>
      <c r="S10453" s="10"/>
      <c r="T10453" s="10"/>
      <c r="U10453" s="10"/>
      <c r="V10453" s="10"/>
      <c r="W10453" s="10"/>
      <c r="X10453" s="10"/>
      <c r="Y10453" s="10"/>
      <c r="Z10453" s="10"/>
    </row>
    <row r="10454" spans="1:26" ht="12.75">
      <c r="A10454" s="10"/>
      <c r="B10454" s="10"/>
      <c r="C10454" s="10"/>
      <c r="D10454" s="10"/>
      <c r="E10454" s="10"/>
      <c r="F10454" s="10"/>
      <c r="G10454" s="10"/>
      <c r="H10454" s="10"/>
      <c r="I10454" s="10"/>
      <c r="J10454" s="10"/>
      <c r="K10454" s="10"/>
      <c r="L10454" s="10"/>
      <c r="M10454" s="10"/>
      <c r="N10454" s="10"/>
      <c r="O10454" s="10"/>
      <c r="P10454" s="10"/>
      <c r="Q10454" s="10"/>
      <c r="R10454" s="10"/>
      <c r="S10454" s="10"/>
      <c r="T10454" s="10"/>
      <c r="U10454" s="10"/>
      <c r="V10454" s="10"/>
      <c r="W10454" s="10"/>
      <c r="X10454" s="10"/>
      <c r="Y10454" s="10"/>
      <c r="Z10454" s="10"/>
    </row>
    <row r="10455" spans="1:26" ht="12.75">
      <c r="A10455" s="10"/>
      <c r="B10455" s="10"/>
      <c r="C10455" s="10"/>
      <c r="D10455" s="10"/>
      <c r="E10455" s="10"/>
      <c r="F10455" s="10"/>
      <c r="G10455" s="10"/>
      <c r="H10455" s="10"/>
      <c r="I10455" s="10"/>
      <c r="J10455" s="10"/>
      <c r="K10455" s="10"/>
      <c r="L10455" s="10"/>
      <c r="M10455" s="10"/>
      <c r="N10455" s="10"/>
      <c r="O10455" s="10"/>
      <c r="P10455" s="10"/>
      <c r="Q10455" s="10"/>
      <c r="R10455" s="10"/>
      <c r="S10455" s="10"/>
      <c r="T10455" s="10"/>
      <c r="U10455" s="10"/>
      <c r="V10455" s="10"/>
      <c r="W10455" s="10"/>
      <c r="X10455" s="10"/>
      <c r="Y10455" s="10"/>
      <c r="Z10455" s="10"/>
    </row>
    <row r="10456" spans="1:26" ht="12.75">
      <c r="A10456" s="10"/>
      <c r="B10456" s="10"/>
      <c r="C10456" s="10"/>
      <c r="D10456" s="10"/>
      <c r="E10456" s="10"/>
      <c r="F10456" s="10"/>
      <c r="G10456" s="10"/>
      <c r="H10456" s="10"/>
      <c r="I10456" s="10"/>
      <c r="J10456" s="10"/>
      <c r="K10456" s="10"/>
      <c r="L10456" s="10"/>
      <c r="M10456" s="10"/>
      <c r="N10456" s="10"/>
      <c r="O10456" s="10"/>
      <c r="P10456" s="10"/>
      <c r="Q10456" s="10"/>
      <c r="R10456" s="10"/>
      <c r="S10456" s="10"/>
      <c r="T10456" s="10"/>
      <c r="U10456" s="10"/>
      <c r="V10456" s="10"/>
      <c r="W10456" s="10"/>
      <c r="X10456" s="10"/>
      <c r="Y10456" s="10"/>
      <c r="Z10456" s="10"/>
    </row>
    <row r="10457" spans="1:26" ht="12.75">
      <c r="A10457" s="10"/>
      <c r="B10457" s="10"/>
      <c r="C10457" s="10"/>
      <c r="D10457" s="10"/>
      <c r="E10457" s="10"/>
      <c r="F10457" s="10"/>
      <c r="G10457" s="10"/>
      <c r="H10457" s="10"/>
      <c r="I10457" s="10"/>
      <c r="J10457" s="10"/>
      <c r="K10457" s="10"/>
      <c r="L10457" s="10"/>
      <c r="M10457" s="10"/>
      <c r="N10457" s="10"/>
      <c r="O10457" s="10"/>
      <c r="P10457" s="10"/>
      <c r="Q10457" s="10"/>
      <c r="R10457" s="10"/>
      <c r="S10457" s="10"/>
      <c r="T10457" s="10"/>
      <c r="U10457" s="10"/>
      <c r="V10457" s="10"/>
      <c r="W10457" s="10"/>
      <c r="X10457" s="10"/>
      <c r="Y10457" s="10"/>
      <c r="Z10457" s="10"/>
    </row>
    <row r="10458" spans="1:26" ht="12.75">
      <c r="A10458" s="10"/>
      <c r="B10458" s="10"/>
      <c r="C10458" s="10"/>
      <c r="D10458" s="10"/>
      <c r="E10458" s="10"/>
      <c r="F10458" s="10"/>
      <c r="G10458" s="10"/>
      <c r="H10458" s="10"/>
      <c r="I10458" s="10"/>
      <c r="J10458" s="10"/>
      <c r="K10458" s="10"/>
      <c r="L10458" s="10"/>
      <c r="M10458" s="10"/>
      <c r="N10458" s="10"/>
      <c r="O10458" s="10"/>
      <c r="P10458" s="10"/>
      <c r="Q10458" s="10"/>
      <c r="R10458" s="10"/>
      <c r="S10458" s="10"/>
      <c r="T10458" s="10"/>
      <c r="U10458" s="10"/>
      <c r="V10458" s="10"/>
      <c r="W10458" s="10"/>
      <c r="X10458" s="10"/>
      <c r="Y10458" s="10"/>
      <c r="Z10458" s="10"/>
    </row>
    <row r="10459" spans="1:26" ht="12.75">
      <c r="A10459" s="10"/>
      <c r="B10459" s="10"/>
      <c r="C10459" s="10"/>
      <c r="D10459" s="10"/>
      <c r="E10459" s="10"/>
      <c r="F10459" s="10"/>
      <c r="G10459" s="10"/>
      <c r="H10459" s="10"/>
      <c r="I10459" s="10"/>
      <c r="J10459" s="10"/>
      <c r="K10459" s="10"/>
      <c r="L10459" s="10"/>
      <c r="M10459" s="10"/>
      <c r="N10459" s="10"/>
      <c r="O10459" s="10"/>
      <c r="P10459" s="10"/>
      <c r="Q10459" s="10"/>
      <c r="R10459" s="10"/>
      <c r="S10459" s="10"/>
      <c r="T10459" s="10"/>
      <c r="U10459" s="10"/>
      <c r="V10459" s="10"/>
      <c r="W10459" s="10"/>
      <c r="X10459" s="10"/>
      <c r="Y10459" s="10"/>
      <c r="Z10459" s="10"/>
    </row>
    <row r="10460" spans="1:26" ht="12.75">
      <c r="A10460" s="10"/>
      <c r="B10460" s="10"/>
      <c r="C10460" s="10"/>
      <c r="D10460" s="10"/>
      <c r="E10460" s="10"/>
      <c r="F10460" s="10"/>
      <c r="G10460" s="10"/>
      <c r="H10460" s="10"/>
      <c r="I10460" s="10"/>
      <c r="J10460" s="10"/>
      <c r="K10460" s="10"/>
      <c r="L10460" s="10"/>
      <c r="M10460" s="10"/>
      <c r="N10460" s="10"/>
      <c r="O10460" s="10"/>
      <c r="P10460" s="10"/>
      <c r="Q10460" s="10"/>
      <c r="R10460" s="10"/>
      <c r="S10460" s="10"/>
      <c r="T10460" s="10"/>
      <c r="U10460" s="10"/>
      <c r="V10460" s="10"/>
      <c r="W10460" s="10"/>
      <c r="X10460" s="10"/>
      <c r="Y10460" s="10"/>
      <c r="Z10460" s="10"/>
    </row>
    <row r="10461" spans="1:26" ht="12.75">
      <c r="A10461" s="10"/>
      <c r="B10461" s="10"/>
      <c r="C10461" s="10"/>
      <c r="D10461" s="10"/>
      <c r="E10461" s="10"/>
      <c r="F10461" s="10"/>
      <c r="G10461" s="10"/>
      <c r="H10461" s="10"/>
      <c r="I10461" s="10"/>
      <c r="J10461" s="10"/>
      <c r="K10461" s="10"/>
      <c r="L10461" s="10"/>
      <c r="M10461" s="10"/>
      <c r="N10461" s="10"/>
      <c r="O10461" s="10"/>
      <c r="P10461" s="10"/>
      <c r="Q10461" s="10"/>
      <c r="R10461" s="10"/>
      <c r="S10461" s="10"/>
      <c r="T10461" s="10"/>
      <c r="U10461" s="10"/>
      <c r="V10461" s="10"/>
      <c r="W10461" s="10"/>
      <c r="X10461" s="10"/>
      <c r="Y10461" s="10"/>
      <c r="Z10461" s="10"/>
    </row>
    <row r="10462" spans="1:26" ht="12.75">
      <c r="A10462" s="10"/>
      <c r="B10462" s="10"/>
      <c r="C10462" s="10"/>
      <c r="D10462" s="10"/>
      <c r="E10462" s="10"/>
      <c r="F10462" s="10"/>
      <c r="G10462" s="10"/>
      <c r="H10462" s="10"/>
      <c r="I10462" s="10"/>
      <c r="J10462" s="10"/>
      <c r="K10462" s="10"/>
      <c r="L10462" s="10"/>
      <c r="M10462" s="10"/>
      <c r="N10462" s="10"/>
      <c r="O10462" s="10"/>
      <c r="P10462" s="10"/>
      <c r="Q10462" s="10"/>
      <c r="R10462" s="10"/>
      <c r="S10462" s="10"/>
      <c r="T10462" s="10"/>
      <c r="U10462" s="10"/>
      <c r="V10462" s="10"/>
      <c r="W10462" s="10"/>
      <c r="X10462" s="10"/>
      <c r="Y10462" s="10"/>
      <c r="Z10462" s="10"/>
    </row>
    <row r="10463" spans="1:26" ht="12.75">
      <c r="A10463" s="10"/>
      <c r="B10463" s="10"/>
      <c r="C10463" s="10"/>
      <c r="D10463" s="10"/>
      <c r="E10463" s="10"/>
      <c r="F10463" s="10"/>
      <c r="G10463" s="10"/>
      <c r="H10463" s="10"/>
      <c r="I10463" s="10"/>
      <c r="J10463" s="10"/>
      <c r="K10463" s="10"/>
      <c r="L10463" s="10"/>
      <c r="M10463" s="10"/>
      <c r="N10463" s="10"/>
      <c r="O10463" s="10"/>
      <c r="P10463" s="10"/>
      <c r="Q10463" s="10"/>
      <c r="R10463" s="10"/>
      <c r="S10463" s="10"/>
      <c r="T10463" s="10"/>
      <c r="U10463" s="10"/>
      <c r="V10463" s="10"/>
      <c r="W10463" s="10"/>
      <c r="X10463" s="10"/>
      <c r="Y10463" s="10"/>
      <c r="Z10463" s="10"/>
    </row>
    <row r="10464" spans="1:26" ht="12.75">
      <c r="A10464" s="10"/>
      <c r="B10464" s="10"/>
      <c r="C10464" s="10"/>
      <c r="D10464" s="10"/>
      <c r="E10464" s="10"/>
      <c r="F10464" s="10"/>
      <c r="G10464" s="10"/>
      <c r="H10464" s="10"/>
      <c r="I10464" s="10"/>
      <c r="J10464" s="10"/>
      <c r="K10464" s="10"/>
      <c r="L10464" s="10"/>
      <c r="M10464" s="10"/>
      <c r="N10464" s="10"/>
      <c r="O10464" s="10"/>
      <c r="P10464" s="10"/>
      <c r="Q10464" s="10"/>
      <c r="R10464" s="10"/>
      <c r="S10464" s="10"/>
      <c r="T10464" s="10"/>
      <c r="U10464" s="10"/>
      <c r="V10464" s="10"/>
      <c r="W10464" s="10"/>
      <c r="X10464" s="10"/>
      <c r="Y10464" s="10"/>
      <c r="Z10464" s="10"/>
    </row>
    <row r="10465" spans="1:26" ht="12.75">
      <c r="A10465" s="10"/>
      <c r="B10465" s="10"/>
      <c r="C10465" s="10"/>
      <c r="D10465" s="10"/>
      <c r="E10465" s="10"/>
      <c r="F10465" s="10"/>
      <c r="G10465" s="10"/>
      <c r="H10465" s="10"/>
      <c r="I10465" s="10"/>
      <c r="J10465" s="10"/>
      <c r="K10465" s="10"/>
      <c r="L10465" s="10"/>
      <c r="M10465" s="10"/>
      <c r="N10465" s="10"/>
      <c r="O10465" s="10"/>
      <c r="P10465" s="10"/>
      <c r="Q10465" s="10"/>
      <c r="R10465" s="10"/>
      <c r="S10465" s="10"/>
      <c r="T10465" s="10"/>
      <c r="U10465" s="10"/>
      <c r="V10465" s="10"/>
      <c r="W10465" s="10"/>
      <c r="X10465" s="10"/>
      <c r="Y10465" s="10"/>
      <c r="Z10465" s="10"/>
    </row>
    <row r="10466" spans="1:26" ht="12.75">
      <c r="A10466" s="10"/>
      <c r="B10466" s="10"/>
      <c r="C10466" s="10"/>
      <c r="D10466" s="10"/>
      <c r="E10466" s="10"/>
      <c r="F10466" s="10"/>
      <c r="G10466" s="10"/>
      <c r="H10466" s="10"/>
      <c r="I10466" s="10"/>
      <c r="J10466" s="10"/>
      <c r="K10466" s="10"/>
      <c r="L10466" s="10"/>
      <c r="M10466" s="10"/>
      <c r="N10466" s="10"/>
      <c r="O10466" s="10"/>
      <c r="P10466" s="10"/>
      <c r="Q10466" s="10"/>
      <c r="R10466" s="10"/>
      <c r="S10466" s="10"/>
      <c r="T10466" s="10"/>
      <c r="U10466" s="10"/>
      <c r="V10466" s="10"/>
      <c r="W10466" s="10"/>
      <c r="X10466" s="10"/>
      <c r="Y10466" s="10"/>
      <c r="Z10466" s="10"/>
    </row>
    <row r="10467" spans="1:26" ht="12.75">
      <c r="A10467" s="10"/>
      <c r="B10467" s="10"/>
      <c r="C10467" s="10"/>
      <c r="D10467" s="10"/>
      <c r="E10467" s="10"/>
      <c r="F10467" s="10"/>
      <c r="G10467" s="10"/>
      <c r="H10467" s="10"/>
      <c r="I10467" s="10"/>
      <c r="J10467" s="10"/>
      <c r="K10467" s="10"/>
      <c r="L10467" s="10"/>
      <c r="M10467" s="10"/>
      <c r="N10467" s="10"/>
      <c r="O10467" s="10"/>
      <c r="P10467" s="10"/>
      <c r="Q10467" s="10"/>
      <c r="R10467" s="10"/>
      <c r="S10467" s="10"/>
      <c r="T10467" s="10"/>
      <c r="U10467" s="10"/>
      <c r="V10467" s="10"/>
      <c r="W10467" s="10"/>
      <c r="X10467" s="10"/>
      <c r="Y10467" s="10"/>
      <c r="Z10467" s="10"/>
    </row>
    <row r="10468" spans="1:26" ht="12.75">
      <c r="A10468" s="10"/>
      <c r="B10468" s="10"/>
      <c r="C10468" s="10"/>
      <c r="D10468" s="10"/>
      <c r="E10468" s="10"/>
      <c r="F10468" s="10"/>
      <c r="G10468" s="10"/>
      <c r="H10468" s="10"/>
      <c r="I10468" s="10"/>
      <c r="J10468" s="10"/>
      <c r="K10468" s="10"/>
      <c r="L10468" s="10"/>
      <c r="M10468" s="10"/>
      <c r="N10468" s="10"/>
      <c r="O10468" s="10"/>
      <c r="P10468" s="10"/>
      <c r="Q10468" s="10"/>
      <c r="R10468" s="10"/>
      <c r="S10468" s="10"/>
      <c r="T10468" s="10"/>
      <c r="U10468" s="10"/>
      <c r="V10468" s="10"/>
      <c r="W10468" s="10"/>
      <c r="X10468" s="10"/>
      <c r="Y10468" s="10"/>
      <c r="Z10468" s="10"/>
    </row>
    <row r="10469" spans="1:26" ht="12.75">
      <c r="A10469" s="10"/>
      <c r="B10469" s="10"/>
      <c r="C10469" s="10"/>
      <c r="D10469" s="10"/>
      <c r="E10469" s="10"/>
      <c r="F10469" s="10"/>
      <c r="G10469" s="10"/>
      <c r="H10469" s="10"/>
      <c r="I10469" s="10"/>
      <c r="J10469" s="10"/>
      <c r="K10469" s="10"/>
      <c r="L10469" s="10"/>
      <c r="M10469" s="10"/>
      <c r="N10469" s="10"/>
      <c r="O10469" s="10"/>
      <c r="P10469" s="10"/>
      <c r="Q10469" s="10"/>
      <c r="R10469" s="10"/>
      <c r="S10469" s="10"/>
      <c r="T10469" s="10"/>
      <c r="U10469" s="10"/>
      <c r="V10469" s="10"/>
      <c r="W10469" s="10"/>
      <c r="X10469" s="10"/>
      <c r="Y10469" s="10"/>
      <c r="Z10469" s="10"/>
    </row>
    <row r="10470" spans="1:26" ht="12.75">
      <c r="A10470" s="10"/>
      <c r="B10470" s="10"/>
      <c r="C10470" s="10"/>
      <c r="D10470" s="10"/>
      <c r="E10470" s="10"/>
      <c r="F10470" s="10"/>
      <c r="G10470" s="10"/>
      <c r="H10470" s="10"/>
      <c r="I10470" s="10"/>
      <c r="J10470" s="10"/>
      <c r="K10470" s="10"/>
      <c r="L10470" s="10"/>
      <c r="M10470" s="10"/>
      <c r="N10470" s="10"/>
      <c r="O10470" s="10"/>
      <c r="P10470" s="10"/>
      <c r="Q10470" s="10"/>
      <c r="R10470" s="10"/>
      <c r="S10470" s="10"/>
      <c r="T10470" s="10"/>
      <c r="U10470" s="10"/>
      <c r="V10470" s="10"/>
      <c r="W10470" s="10"/>
      <c r="X10470" s="10"/>
      <c r="Y10470" s="10"/>
      <c r="Z10470" s="10"/>
    </row>
    <row r="10471" spans="1:26" ht="12.75">
      <c r="A10471" s="10"/>
      <c r="B10471" s="10"/>
      <c r="C10471" s="10"/>
      <c r="D10471" s="10"/>
      <c r="E10471" s="10"/>
      <c r="F10471" s="10"/>
      <c r="G10471" s="10"/>
      <c r="H10471" s="10"/>
      <c r="I10471" s="10"/>
      <c r="J10471" s="10"/>
      <c r="K10471" s="10"/>
      <c r="L10471" s="10"/>
      <c r="M10471" s="10"/>
      <c r="N10471" s="10"/>
      <c r="O10471" s="10"/>
      <c r="P10471" s="10"/>
      <c r="Q10471" s="10"/>
      <c r="R10471" s="10"/>
      <c r="S10471" s="10"/>
      <c r="T10471" s="10"/>
      <c r="U10471" s="10"/>
      <c r="V10471" s="10"/>
      <c r="W10471" s="10"/>
      <c r="X10471" s="10"/>
      <c r="Y10471" s="10"/>
      <c r="Z10471" s="10"/>
    </row>
    <row r="10472" spans="1:26" ht="12.75">
      <c r="A10472" s="10"/>
      <c r="B10472" s="10"/>
      <c r="C10472" s="10"/>
      <c r="D10472" s="10"/>
      <c r="E10472" s="10"/>
      <c r="F10472" s="10"/>
      <c r="G10472" s="10"/>
      <c r="H10472" s="10"/>
      <c r="I10472" s="10"/>
      <c r="J10472" s="10"/>
      <c r="K10472" s="10"/>
      <c r="L10472" s="10"/>
      <c r="M10472" s="10"/>
      <c r="N10472" s="10"/>
      <c r="O10472" s="10"/>
      <c r="P10472" s="10"/>
      <c r="Q10472" s="10"/>
      <c r="R10472" s="10"/>
      <c r="S10472" s="10"/>
      <c r="T10472" s="10"/>
      <c r="U10472" s="10"/>
      <c r="V10472" s="10"/>
      <c r="W10472" s="10"/>
      <c r="X10472" s="10"/>
      <c r="Y10472" s="10"/>
      <c r="Z10472" s="10"/>
    </row>
    <row r="10473" spans="1:26" ht="12.75">
      <c r="A10473" s="10"/>
      <c r="B10473" s="10"/>
      <c r="C10473" s="10"/>
      <c r="D10473" s="10"/>
      <c r="E10473" s="10"/>
      <c r="F10473" s="10"/>
      <c r="G10473" s="10"/>
      <c r="H10473" s="10"/>
      <c r="I10473" s="10"/>
      <c r="J10473" s="10"/>
      <c r="K10473" s="10"/>
      <c r="L10473" s="10"/>
      <c r="M10473" s="10"/>
      <c r="N10473" s="10"/>
      <c r="O10473" s="10"/>
      <c r="P10473" s="10"/>
      <c r="Q10473" s="10"/>
      <c r="R10473" s="10"/>
      <c r="S10473" s="10"/>
      <c r="T10473" s="10"/>
      <c r="U10473" s="10"/>
      <c r="V10473" s="10"/>
      <c r="W10473" s="10"/>
      <c r="X10473" s="10"/>
      <c r="Y10473" s="10"/>
      <c r="Z10473" s="10"/>
    </row>
    <row r="10474" spans="1:26" ht="12.75">
      <c r="A10474" s="10"/>
      <c r="B10474" s="10"/>
      <c r="C10474" s="10"/>
      <c r="D10474" s="10"/>
      <c r="E10474" s="10"/>
      <c r="F10474" s="10"/>
      <c r="G10474" s="10"/>
      <c r="H10474" s="10"/>
      <c r="I10474" s="10"/>
      <c r="J10474" s="10"/>
      <c r="K10474" s="10"/>
      <c r="L10474" s="10"/>
      <c r="M10474" s="10"/>
      <c r="N10474" s="10"/>
      <c r="O10474" s="10"/>
      <c r="P10474" s="10"/>
      <c r="Q10474" s="10"/>
      <c r="R10474" s="10"/>
      <c r="S10474" s="10"/>
      <c r="T10474" s="10"/>
      <c r="U10474" s="10"/>
      <c r="V10474" s="10"/>
      <c r="W10474" s="10"/>
      <c r="X10474" s="10"/>
      <c r="Y10474" s="10"/>
      <c r="Z10474" s="10"/>
    </row>
    <row r="10475" spans="1:26" ht="12.75">
      <c r="A10475" s="10"/>
      <c r="B10475" s="10"/>
      <c r="C10475" s="10"/>
      <c r="D10475" s="10"/>
      <c r="E10475" s="10"/>
      <c r="F10475" s="10"/>
      <c r="G10475" s="10"/>
      <c r="H10475" s="10"/>
      <c r="I10475" s="10"/>
      <c r="J10475" s="10"/>
      <c r="K10475" s="10"/>
      <c r="L10475" s="10"/>
      <c r="M10475" s="10"/>
      <c r="N10475" s="10"/>
      <c r="O10475" s="10"/>
      <c r="P10475" s="10"/>
      <c r="Q10475" s="10"/>
      <c r="R10475" s="10"/>
      <c r="S10475" s="10"/>
      <c r="T10475" s="10"/>
      <c r="U10475" s="10"/>
      <c r="V10475" s="10"/>
      <c r="W10475" s="10"/>
      <c r="X10475" s="10"/>
      <c r="Y10475" s="10"/>
      <c r="Z10475" s="10"/>
    </row>
    <row r="10476" spans="1:26" ht="12.75">
      <c r="A10476" s="10"/>
      <c r="B10476" s="10"/>
      <c r="C10476" s="10"/>
      <c r="D10476" s="10"/>
      <c r="E10476" s="10"/>
      <c r="F10476" s="10"/>
      <c r="G10476" s="10"/>
      <c r="H10476" s="10"/>
      <c r="I10476" s="10"/>
      <c r="J10476" s="10"/>
      <c r="K10476" s="10"/>
      <c r="L10476" s="10"/>
      <c r="M10476" s="10"/>
      <c r="N10476" s="10"/>
      <c r="O10476" s="10"/>
      <c r="P10476" s="10"/>
      <c r="Q10476" s="10"/>
      <c r="R10476" s="10"/>
      <c r="S10476" s="10"/>
      <c r="T10476" s="10"/>
      <c r="U10476" s="10"/>
      <c r="V10476" s="10"/>
      <c r="W10476" s="10"/>
      <c r="X10476" s="10"/>
      <c r="Y10476" s="10"/>
      <c r="Z10476" s="10"/>
    </row>
    <row r="10477" spans="1:26" ht="12.75">
      <c r="A10477" s="10"/>
      <c r="B10477" s="10"/>
      <c r="C10477" s="10"/>
      <c r="D10477" s="10"/>
      <c r="E10477" s="10"/>
      <c r="F10477" s="10"/>
      <c r="G10477" s="10"/>
      <c r="H10477" s="10"/>
      <c r="I10477" s="10"/>
      <c r="J10477" s="10"/>
      <c r="K10477" s="10"/>
      <c r="L10477" s="10"/>
      <c r="M10477" s="10"/>
      <c r="N10477" s="10"/>
      <c r="O10477" s="10"/>
      <c r="P10477" s="10"/>
      <c r="Q10477" s="10"/>
      <c r="R10477" s="10"/>
      <c r="S10477" s="10"/>
      <c r="T10477" s="10"/>
      <c r="U10477" s="10"/>
      <c r="V10477" s="10"/>
      <c r="W10477" s="10"/>
      <c r="X10477" s="10"/>
      <c r="Y10477" s="10"/>
      <c r="Z10477" s="10"/>
    </row>
    <row r="10478" spans="1:26" ht="12.75">
      <c r="A10478" s="10"/>
      <c r="B10478" s="10"/>
      <c r="C10478" s="10"/>
      <c r="D10478" s="10"/>
      <c r="E10478" s="10"/>
      <c r="F10478" s="10"/>
      <c r="G10478" s="10"/>
      <c r="H10478" s="10"/>
      <c r="I10478" s="10"/>
      <c r="J10478" s="10"/>
      <c r="K10478" s="10"/>
      <c r="L10478" s="10"/>
      <c r="M10478" s="10"/>
      <c r="N10478" s="10"/>
      <c r="O10478" s="10"/>
      <c r="P10478" s="10"/>
      <c r="Q10478" s="10"/>
      <c r="R10478" s="10"/>
      <c r="S10478" s="10"/>
      <c r="T10478" s="10"/>
      <c r="U10478" s="10"/>
      <c r="V10478" s="10"/>
      <c r="W10478" s="10"/>
      <c r="X10478" s="10"/>
      <c r="Y10478" s="10"/>
      <c r="Z10478" s="10"/>
    </row>
    <row r="10479" spans="1:26" ht="12.75">
      <c r="A10479" s="10"/>
      <c r="B10479" s="10"/>
      <c r="C10479" s="10"/>
      <c r="D10479" s="10"/>
      <c r="E10479" s="10"/>
      <c r="F10479" s="10"/>
      <c r="G10479" s="10"/>
      <c r="H10479" s="10"/>
      <c r="I10479" s="10"/>
      <c r="J10479" s="10"/>
      <c r="K10479" s="10"/>
      <c r="L10479" s="10"/>
      <c r="M10479" s="10"/>
      <c r="N10479" s="10"/>
      <c r="O10479" s="10"/>
      <c r="P10479" s="10"/>
      <c r="Q10479" s="10"/>
      <c r="R10479" s="10"/>
      <c r="S10479" s="10"/>
      <c r="T10479" s="10"/>
      <c r="U10479" s="10"/>
      <c r="V10479" s="10"/>
      <c r="W10479" s="10"/>
      <c r="X10479" s="10"/>
      <c r="Y10479" s="10"/>
      <c r="Z10479" s="10"/>
    </row>
    <row r="10480" spans="1:26" ht="12.75">
      <c r="A10480" s="10"/>
      <c r="B10480" s="10"/>
      <c r="C10480" s="10"/>
      <c r="D10480" s="10"/>
      <c r="E10480" s="10"/>
      <c r="F10480" s="10"/>
      <c r="G10480" s="10"/>
      <c r="H10480" s="10"/>
      <c r="I10480" s="10"/>
      <c r="J10480" s="10"/>
      <c r="K10480" s="10"/>
      <c r="L10480" s="10"/>
      <c r="M10480" s="10"/>
      <c r="N10480" s="10"/>
      <c r="O10480" s="10"/>
      <c r="P10480" s="10"/>
      <c r="Q10480" s="10"/>
      <c r="R10480" s="10"/>
      <c r="S10480" s="10"/>
      <c r="T10480" s="10"/>
      <c r="U10480" s="10"/>
      <c r="V10480" s="10"/>
      <c r="W10480" s="10"/>
      <c r="X10480" s="10"/>
      <c r="Y10480" s="10"/>
      <c r="Z10480" s="10"/>
    </row>
    <row r="10481" spans="1:26" ht="12.75">
      <c r="A10481" s="10"/>
      <c r="B10481" s="10"/>
      <c r="C10481" s="10"/>
      <c r="D10481" s="10"/>
      <c r="E10481" s="10"/>
      <c r="F10481" s="10"/>
      <c r="G10481" s="10"/>
      <c r="H10481" s="10"/>
      <c r="I10481" s="10"/>
      <c r="J10481" s="10"/>
      <c r="K10481" s="10"/>
      <c r="L10481" s="10"/>
      <c r="M10481" s="10"/>
      <c r="N10481" s="10"/>
      <c r="O10481" s="10"/>
      <c r="P10481" s="10"/>
      <c r="Q10481" s="10"/>
      <c r="R10481" s="10"/>
      <c r="S10481" s="10"/>
      <c r="T10481" s="10"/>
      <c r="U10481" s="10"/>
      <c r="V10481" s="10"/>
      <c r="W10481" s="10"/>
      <c r="X10481" s="10"/>
      <c r="Y10481" s="10"/>
      <c r="Z10481" s="10"/>
    </row>
    <row r="10482" spans="1:26" ht="12.75">
      <c r="A10482" s="10"/>
      <c r="B10482" s="10"/>
      <c r="C10482" s="10"/>
      <c r="D10482" s="10"/>
      <c r="E10482" s="10"/>
      <c r="F10482" s="10"/>
      <c r="G10482" s="10"/>
      <c r="H10482" s="10"/>
      <c r="I10482" s="10"/>
      <c r="J10482" s="10"/>
      <c r="K10482" s="10"/>
      <c r="L10482" s="10"/>
      <c r="M10482" s="10"/>
      <c r="N10482" s="10"/>
      <c r="O10482" s="10"/>
      <c r="P10482" s="10"/>
      <c r="Q10482" s="10"/>
      <c r="R10482" s="10"/>
      <c r="S10482" s="10"/>
      <c r="T10482" s="10"/>
      <c r="U10482" s="10"/>
      <c r="V10482" s="10"/>
      <c r="W10482" s="10"/>
      <c r="X10482" s="10"/>
      <c r="Y10482" s="10"/>
      <c r="Z10482" s="10"/>
    </row>
    <row r="10483" spans="1:26" ht="12.75">
      <c r="A10483" s="10"/>
      <c r="B10483" s="10"/>
      <c r="C10483" s="10"/>
      <c r="D10483" s="10"/>
      <c r="E10483" s="10"/>
      <c r="F10483" s="10"/>
      <c r="G10483" s="10"/>
      <c r="H10483" s="10"/>
      <c r="I10483" s="10"/>
      <c r="J10483" s="10"/>
      <c r="K10483" s="10"/>
      <c r="L10483" s="10"/>
      <c r="M10483" s="10"/>
      <c r="N10483" s="10"/>
      <c r="O10483" s="10"/>
      <c r="P10483" s="10"/>
      <c r="Q10483" s="10"/>
      <c r="R10483" s="10"/>
      <c r="S10483" s="10"/>
      <c r="T10483" s="10"/>
      <c r="U10483" s="10"/>
      <c r="V10483" s="10"/>
      <c r="W10483" s="10"/>
      <c r="X10483" s="10"/>
      <c r="Y10483" s="10"/>
      <c r="Z10483" s="10"/>
    </row>
    <row r="10484" spans="1:26" ht="12.75">
      <c r="A10484" s="10"/>
      <c r="B10484" s="10"/>
      <c r="C10484" s="10"/>
      <c r="D10484" s="10"/>
      <c r="E10484" s="10"/>
      <c r="F10484" s="10"/>
      <c r="G10484" s="10"/>
      <c r="H10484" s="10"/>
      <c r="I10484" s="10"/>
      <c r="J10484" s="10"/>
      <c r="K10484" s="10"/>
      <c r="L10484" s="10"/>
      <c r="M10484" s="10"/>
      <c r="N10484" s="10"/>
      <c r="O10484" s="10"/>
      <c r="P10484" s="10"/>
      <c r="Q10484" s="10"/>
      <c r="R10484" s="10"/>
      <c r="S10484" s="10"/>
      <c r="T10484" s="10"/>
      <c r="U10484" s="10"/>
      <c r="V10484" s="10"/>
      <c r="W10484" s="10"/>
      <c r="X10484" s="10"/>
      <c r="Y10484" s="10"/>
      <c r="Z10484" s="10"/>
    </row>
    <row r="10485" spans="1:26" ht="12.75">
      <c r="A10485" s="10"/>
      <c r="B10485" s="10"/>
      <c r="C10485" s="10"/>
      <c r="D10485" s="10"/>
      <c r="E10485" s="10"/>
      <c r="F10485" s="10"/>
      <c r="G10485" s="10"/>
      <c r="H10485" s="10"/>
      <c r="I10485" s="10"/>
      <c r="J10485" s="10"/>
      <c r="K10485" s="10"/>
      <c r="L10485" s="10"/>
      <c r="M10485" s="10"/>
      <c r="N10485" s="10"/>
      <c r="O10485" s="10"/>
      <c r="P10485" s="10"/>
      <c r="Q10485" s="10"/>
      <c r="R10485" s="10"/>
      <c r="S10485" s="10"/>
      <c r="T10485" s="10"/>
      <c r="U10485" s="10"/>
      <c r="V10485" s="10"/>
      <c r="W10485" s="10"/>
      <c r="X10485" s="10"/>
      <c r="Y10485" s="10"/>
      <c r="Z10485" s="10"/>
    </row>
    <row r="10486" spans="1:26" ht="12.75">
      <c r="A10486" s="10"/>
      <c r="B10486" s="10"/>
      <c r="C10486" s="10"/>
      <c r="D10486" s="10"/>
      <c r="E10486" s="10"/>
      <c r="F10486" s="10"/>
      <c r="G10486" s="10"/>
      <c r="H10486" s="10"/>
      <c r="I10486" s="10"/>
      <c r="J10486" s="10"/>
      <c r="K10486" s="10"/>
      <c r="L10486" s="10"/>
      <c r="M10486" s="10"/>
      <c r="N10486" s="10"/>
      <c r="O10486" s="10"/>
      <c r="P10486" s="10"/>
      <c r="Q10486" s="10"/>
      <c r="R10486" s="10"/>
      <c r="S10486" s="10"/>
      <c r="T10486" s="10"/>
      <c r="U10486" s="10"/>
      <c r="V10486" s="10"/>
      <c r="W10486" s="10"/>
      <c r="X10486" s="10"/>
      <c r="Y10486" s="10"/>
      <c r="Z10486" s="10"/>
    </row>
    <row r="10487" spans="1:26" ht="12.75">
      <c r="A10487" s="10"/>
      <c r="B10487" s="10"/>
      <c r="C10487" s="10"/>
      <c r="D10487" s="10"/>
      <c r="E10487" s="10"/>
      <c r="F10487" s="10"/>
      <c r="G10487" s="10"/>
      <c r="H10487" s="10"/>
      <c r="I10487" s="10"/>
      <c r="J10487" s="10"/>
      <c r="K10487" s="10"/>
      <c r="L10487" s="10"/>
      <c r="M10487" s="10"/>
      <c r="N10487" s="10"/>
      <c r="O10487" s="10"/>
      <c r="P10487" s="10"/>
      <c r="Q10487" s="10"/>
      <c r="R10487" s="10"/>
      <c r="S10487" s="10"/>
      <c r="T10487" s="10"/>
      <c r="U10487" s="10"/>
      <c r="V10487" s="10"/>
      <c r="W10487" s="10"/>
      <c r="X10487" s="10"/>
      <c r="Y10487" s="10"/>
      <c r="Z10487" s="10"/>
    </row>
    <row r="10488" spans="1:26" ht="12.75">
      <c r="A10488" s="10"/>
      <c r="B10488" s="10"/>
      <c r="C10488" s="10"/>
      <c r="D10488" s="10"/>
      <c r="E10488" s="10"/>
      <c r="F10488" s="10"/>
      <c r="G10488" s="10"/>
      <c r="H10488" s="10"/>
      <c r="I10488" s="10"/>
      <c r="J10488" s="10"/>
      <c r="K10488" s="10"/>
      <c r="L10488" s="10"/>
      <c r="M10488" s="10"/>
      <c r="N10488" s="10"/>
      <c r="O10488" s="10"/>
      <c r="P10488" s="10"/>
      <c r="Q10488" s="10"/>
      <c r="R10488" s="10"/>
      <c r="S10488" s="10"/>
      <c r="T10488" s="10"/>
      <c r="U10488" s="10"/>
      <c r="V10488" s="10"/>
      <c r="W10488" s="10"/>
      <c r="X10488" s="10"/>
      <c r="Y10488" s="10"/>
      <c r="Z10488" s="10"/>
    </row>
    <row r="10489" spans="1:26" ht="12.75">
      <c r="A10489" s="10"/>
      <c r="B10489" s="10"/>
      <c r="C10489" s="10"/>
      <c r="D10489" s="10"/>
      <c r="E10489" s="10"/>
      <c r="F10489" s="10"/>
      <c r="G10489" s="10"/>
      <c r="H10489" s="10"/>
      <c r="I10489" s="10"/>
      <c r="J10489" s="10"/>
      <c r="K10489" s="10"/>
      <c r="L10489" s="10"/>
      <c r="M10489" s="10"/>
      <c r="N10489" s="10"/>
      <c r="O10489" s="10"/>
      <c r="P10489" s="10"/>
      <c r="Q10489" s="10"/>
      <c r="R10489" s="10"/>
      <c r="S10489" s="10"/>
      <c r="T10489" s="10"/>
      <c r="U10489" s="10"/>
      <c r="V10489" s="10"/>
      <c r="W10489" s="10"/>
      <c r="X10489" s="10"/>
      <c r="Y10489" s="10"/>
      <c r="Z10489" s="10"/>
    </row>
    <row r="10490" spans="1:26" ht="12.75">
      <c r="A10490" s="10"/>
      <c r="B10490" s="10"/>
      <c r="C10490" s="10"/>
      <c r="D10490" s="10"/>
      <c r="E10490" s="10"/>
      <c r="F10490" s="10"/>
      <c r="G10490" s="10"/>
      <c r="H10490" s="10"/>
      <c r="I10490" s="10"/>
      <c r="J10490" s="10"/>
      <c r="K10490" s="10"/>
      <c r="L10490" s="10"/>
      <c r="M10490" s="10"/>
      <c r="N10490" s="10"/>
      <c r="O10490" s="10"/>
      <c r="P10490" s="10"/>
      <c r="Q10490" s="10"/>
      <c r="R10490" s="10"/>
      <c r="S10490" s="10"/>
      <c r="T10490" s="10"/>
      <c r="U10490" s="10"/>
      <c r="V10490" s="10"/>
      <c r="W10490" s="10"/>
      <c r="X10490" s="10"/>
      <c r="Y10490" s="10"/>
      <c r="Z10490" s="10"/>
    </row>
    <row r="10491" spans="1:26" ht="12.75">
      <c r="A10491" s="10"/>
      <c r="B10491" s="10"/>
      <c r="C10491" s="10"/>
      <c r="D10491" s="10"/>
      <c r="E10491" s="10"/>
      <c r="F10491" s="10"/>
      <c r="G10491" s="10"/>
      <c r="H10491" s="10"/>
      <c r="I10491" s="10"/>
      <c r="J10491" s="10"/>
      <c r="K10491" s="10"/>
      <c r="L10491" s="10"/>
      <c r="M10491" s="10"/>
      <c r="N10491" s="10"/>
      <c r="O10491" s="10"/>
      <c r="P10491" s="10"/>
      <c r="Q10491" s="10"/>
      <c r="R10491" s="10"/>
      <c r="S10491" s="10"/>
      <c r="T10491" s="10"/>
      <c r="U10491" s="10"/>
      <c r="V10491" s="10"/>
      <c r="W10491" s="10"/>
      <c r="X10491" s="10"/>
      <c r="Y10491" s="10"/>
      <c r="Z10491" s="10"/>
    </row>
    <row r="10492" spans="1:26" ht="12.75">
      <c r="A10492" s="10"/>
      <c r="B10492" s="10"/>
      <c r="C10492" s="10"/>
      <c r="D10492" s="10"/>
      <c r="E10492" s="10"/>
      <c r="F10492" s="10"/>
      <c r="G10492" s="10"/>
      <c r="H10492" s="10"/>
      <c r="I10492" s="10"/>
      <c r="J10492" s="10"/>
      <c r="K10492" s="10"/>
      <c r="L10492" s="10"/>
      <c r="M10492" s="10"/>
      <c r="N10492" s="10"/>
      <c r="O10492" s="10"/>
      <c r="P10492" s="10"/>
      <c r="Q10492" s="10"/>
      <c r="R10492" s="10"/>
      <c r="S10492" s="10"/>
      <c r="T10492" s="10"/>
      <c r="U10492" s="10"/>
      <c r="V10492" s="10"/>
      <c r="W10492" s="10"/>
      <c r="X10492" s="10"/>
      <c r="Y10492" s="10"/>
      <c r="Z10492" s="10"/>
    </row>
    <row r="10493" spans="1:26" ht="12.75">
      <c r="A10493" s="10"/>
      <c r="B10493" s="10"/>
      <c r="C10493" s="10"/>
      <c r="D10493" s="10"/>
      <c r="E10493" s="10"/>
      <c r="F10493" s="10"/>
      <c r="G10493" s="10"/>
      <c r="H10493" s="10"/>
      <c r="I10493" s="10"/>
      <c r="J10493" s="10"/>
      <c r="K10493" s="10"/>
      <c r="L10493" s="10"/>
      <c r="M10493" s="10"/>
      <c r="N10493" s="10"/>
      <c r="O10493" s="10"/>
      <c r="P10493" s="10"/>
      <c r="Q10493" s="10"/>
      <c r="R10493" s="10"/>
      <c r="S10493" s="10"/>
      <c r="T10493" s="10"/>
      <c r="U10493" s="10"/>
      <c r="V10493" s="10"/>
      <c r="W10493" s="10"/>
      <c r="X10493" s="10"/>
      <c r="Y10493" s="10"/>
      <c r="Z10493" s="10"/>
    </row>
    <row r="10494" spans="1:26" ht="12.75">
      <c r="A10494" s="10"/>
      <c r="B10494" s="10"/>
      <c r="C10494" s="10"/>
      <c r="D10494" s="10"/>
      <c r="E10494" s="10"/>
      <c r="F10494" s="10"/>
      <c r="G10494" s="10"/>
      <c r="H10494" s="10"/>
      <c r="I10494" s="10"/>
      <c r="J10494" s="10"/>
      <c r="K10494" s="10"/>
      <c r="L10494" s="10"/>
      <c r="M10494" s="10"/>
      <c r="N10494" s="10"/>
      <c r="O10494" s="10"/>
      <c r="P10494" s="10"/>
      <c r="Q10494" s="10"/>
      <c r="R10494" s="10"/>
      <c r="S10494" s="10"/>
      <c r="T10494" s="10"/>
      <c r="U10494" s="10"/>
      <c r="V10494" s="10"/>
      <c r="W10494" s="10"/>
      <c r="X10494" s="10"/>
      <c r="Y10494" s="10"/>
      <c r="Z10494" s="10"/>
    </row>
    <row r="10495" spans="1:26" ht="12.75">
      <c r="A10495" s="10"/>
      <c r="B10495" s="10"/>
      <c r="C10495" s="10"/>
      <c r="D10495" s="10"/>
      <c r="E10495" s="10"/>
      <c r="F10495" s="10"/>
      <c r="G10495" s="10"/>
      <c r="H10495" s="10"/>
      <c r="I10495" s="10"/>
      <c r="J10495" s="10"/>
      <c r="K10495" s="10"/>
      <c r="L10495" s="10"/>
      <c r="M10495" s="10"/>
      <c r="N10495" s="10"/>
      <c r="O10495" s="10"/>
      <c r="P10495" s="10"/>
      <c r="Q10495" s="10"/>
      <c r="R10495" s="10"/>
      <c r="S10495" s="10"/>
      <c r="T10495" s="10"/>
      <c r="U10495" s="10"/>
      <c r="V10495" s="10"/>
      <c r="W10495" s="10"/>
      <c r="X10495" s="10"/>
      <c r="Y10495" s="10"/>
      <c r="Z10495" s="10"/>
    </row>
    <row r="10496" spans="1:26" ht="12.75">
      <c r="A10496" s="10"/>
      <c r="B10496" s="10"/>
      <c r="C10496" s="10"/>
      <c r="D10496" s="10"/>
      <c r="E10496" s="10"/>
      <c r="F10496" s="10"/>
      <c r="G10496" s="10"/>
      <c r="H10496" s="10"/>
      <c r="I10496" s="10"/>
      <c r="J10496" s="10"/>
      <c r="K10496" s="10"/>
      <c r="L10496" s="10"/>
      <c r="M10496" s="10"/>
      <c r="N10496" s="10"/>
      <c r="O10496" s="10"/>
      <c r="P10496" s="10"/>
      <c r="Q10496" s="10"/>
      <c r="R10496" s="10"/>
      <c r="S10496" s="10"/>
      <c r="T10496" s="10"/>
      <c r="U10496" s="10"/>
      <c r="V10496" s="10"/>
      <c r="W10496" s="10"/>
      <c r="X10496" s="10"/>
      <c r="Y10496" s="10"/>
      <c r="Z10496" s="10"/>
    </row>
    <row r="10497" spans="1:26" ht="12.75">
      <c r="A10497" s="10"/>
      <c r="B10497" s="10"/>
      <c r="C10497" s="10"/>
      <c r="D10497" s="10"/>
      <c r="E10497" s="10"/>
      <c r="F10497" s="10"/>
      <c r="G10497" s="10"/>
      <c r="H10497" s="10"/>
      <c r="I10497" s="10"/>
      <c r="J10497" s="10"/>
      <c r="K10497" s="10"/>
      <c r="L10497" s="10"/>
      <c r="M10497" s="10"/>
      <c r="N10497" s="10"/>
      <c r="O10497" s="10"/>
      <c r="P10497" s="10"/>
      <c r="Q10497" s="10"/>
      <c r="R10497" s="10"/>
      <c r="S10497" s="10"/>
      <c r="T10497" s="10"/>
      <c r="U10497" s="10"/>
      <c r="V10497" s="10"/>
      <c r="W10497" s="10"/>
      <c r="X10497" s="10"/>
      <c r="Y10497" s="10"/>
      <c r="Z10497" s="10"/>
    </row>
    <row r="10498" spans="1:26" ht="12.75">
      <c r="A10498" s="10"/>
      <c r="B10498" s="10"/>
      <c r="C10498" s="10"/>
      <c r="D10498" s="10"/>
      <c r="E10498" s="10"/>
      <c r="F10498" s="10"/>
      <c r="G10498" s="10"/>
      <c r="H10498" s="10"/>
      <c r="I10498" s="10"/>
      <c r="J10498" s="10"/>
      <c r="K10498" s="10"/>
      <c r="L10498" s="10"/>
      <c r="M10498" s="10"/>
      <c r="N10498" s="10"/>
      <c r="O10498" s="10"/>
      <c r="P10498" s="10"/>
      <c r="Q10498" s="10"/>
      <c r="R10498" s="10"/>
      <c r="S10498" s="10"/>
      <c r="T10498" s="10"/>
      <c r="U10498" s="10"/>
      <c r="V10498" s="10"/>
      <c r="W10498" s="10"/>
      <c r="X10498" s="10"/>
      <c r="Y10498" s="10"/>
      <c r="Z10498" s="10"/>
    </row>
    <row r="10499" spans="1:26" ht="12.75">
      <c r="A10499" s="10"/>
      <c r="B10499" s="10"/>
      <c r="C10499" s="10"/>
      <c r="D10499" s="10"/>
      <c r="E10499" s="10"/>
      <c r="F10499" s="10"/>
      <c r="G10499" s="10"/>
      <c r="H10499" s="10"/>
      <c r="I10499" s="10"/>
      <c r="J10499" s="10"/>
      <c r="K10499" s="10"/>
      <c r="L10499" s="10"/>
      <c r="M10499" s="10"/>
      <c r="N10499" s="10"/>
      <c r="O10499" s="10"/>
      <c r="P10499" s="10"/>
      <c r="Q10499" s="10"/>
      <c r="R10499" s="10"/>
      <c r="S10499" s="10"/>
      <c r="T10499" s="10"/>
      <c r="U10499" s="10"/>
      <c r="V10499" s="10"/>
      <c r="W10499" s="10"/>
      <c r="X10499" s="10"/>
      <c r="Y10499" s="10"/>
      <c r="Z10499" s="10"/>
    </row>
    <row r="10500" spans="1:26" ht="12.75">
      <c r="A10500" s="10"/>
      <c r="B10500" s="10"/>
      <c r="C10500" s="10"/>
      <c r="D10500" s="10"/>
      <c r="E10500" s="10"/>
      <c r="F10500" s="10"/>
      <c r="G10500" s="10"/>
      <c r="H10500" s="10"/>
      <c r="I10500" s="10"/>
      <c r="J10500" s="10"/>
      <c r="K10500" s="10"/>
      <c r="L10500" s="10"/>
      <c r="M10500" s="10"/>
      <c r="N10500" s="10"/>
      <c r="O10500" s="10"/>
      <c r="P10500" s="10"/>
      <c r="Q10500" s="10"/>
      <c r="R10500" s="10"/>
      <c r="S10500" s="10"/>
      <c r="T10500" s="10"/>
      <c r="U10500" s="10"/>
      <c r="V10500" s="10"/>
      <c r="W10500" s="10"/>
      <c r="X10500" s="10"/>
      <c r="Y10500" s="10"/>
      <c r="Z10500" s="10"/>
    </row>
    <row r="10501" spans="1:26" ht="12.75">
      <c r="A10501" s="10"/>
      <c r="B10501" s="10"/>
      <c r="C10501" s="10"/>
      <c r="D10501" s="10"/>
      <c r="E10501" s="10"/>
      <c r="F10501" s="10"/>
      <c r="G10501" s="10"/>
      <c r="H10501" s="10"/>
      <c r="I10501" s="10"/>
      <c r="J10501" s="10"/>
      <c r="K10501" s="10"/>
      <c r="L10501" s="10"/>
      <c r="M10501" s="10"/>
      <c r="N10501" s="10"/>
      <c r="O10501" s="10"/>
      <c r="P10501" s="10"/>
      <c r="Q10501" s="10"/>
      <c r="R10501" s="10"/>
      <c r="S10501" s="10"/>
      <c r="T10501" s="10"/>
      <c r="U10501" s="10"/>
      <c r="V10501" s="10"/>
      <c r="W10501" s="10"/>
      <c r="X10501" s="10"/>
      <c r="Y10501" s="10"/>
      <c r="Z10501" s="10"/>
    </row>
    <row r="10502" spans="1:26" ht="12.75">
      <c r="A10502" s="10"/>
      <c r="B10502" s="10"/>
      <c r="C10502" s="10"/>
      <c r="D10502" s="10"/>
      <c r="E10502" s="10"/>
      <c r="F10502" s="10"/>
      <c r="G10502" s="10"/>
      <c r="H10502" s="10"/>
      <c r="I10502" s="10"/>
      <c r="J10502" s="10"/>
      <c r="K10502" s="10"/>
      <c r="L10502" s="10"/>
      <c r="M10502" s="10"/>
      <c r="N10502" s="10"/>
      <c r="O10502" s="10"/>
      <c r="P10502" s="10"/>
      <c r="Q10502" s="10"/>
      <c r="R10502" s="10"/>
      <c r="S10502" s="10"/>
      <c r="T10502" s="10"/>
      <c r="U10502" s="10"/>
      <c r="V10502" s="10"/>
      <c r="W10502" s="10"/>
      <c r="X10502" s="10"/>
      <c r="Y10502" s="10"/>
      <c r="Z10502" s="10"/>
    </row>
    <row r="10503" spans="1:26" ht="12.75">
      <c r="A10503" s="10"/>
      <c r="B10503" s="10"/>
      <c r="C10503" s="10"/>
      <c r="D10503" s="10"/>
      <c r="E10503" s="10"/>
      <c r="F10503" s="10"/>
      <c r="G10503" s="10"/>
      <c r="H10503" s="10"/>
      <c r="I10503" s="10"/>
      <c r="J10503" s="10"/>
      <c r="K10503" s="10"/>
      <c r="L10503" s="10"/>
      <c r="M10503" s="10"/>
      <c r="N10503" s="10"/>
      <c r="O10503" s="10"/>
      <c r="P10503" s="10"/>
      <c r="Q10503" s="10"/>
      <c r="R10503" s="10"/>
      <c r="S10503" s="10"/>
      <c r="T10503" s="10"/>
      <c r="U10503" s="10"/>
      <c r="V10503" s="10"/>
      <c r="W10503" s="10"/>
      <c r="X10503" s="10"/>
      <c r="Y10503" s="10"/>
      <c r="Z10503" s="10"/>
    </row>
    <row r="10504" spans="1:26" ht="12.75">
      <c r="A10504" s="10"/>
      <c r="B10504" s="10"/>
      <c r="C10504" s="10"/>
      <c r="D10504" s="10"/>
      <c r="E10504" s="10"/>
      <c r="F10504" s="10"/>
      <c r="G10504" s="10"/>
      <c r="H10504" s="10"/>
      <c r="I10504" s="10"/>
      <c r="J10504" s="10"/>
      <c r="K10504" s="10"/>
      <c r="L10504" s="10"/>
      <c r="M10504" s="10"/>
      <c r="N10504" s="10"/>
      <c r="O10504" s="10"/>
      <c r="P10504" s="10"/>
      <c r="Q10504" s="10"/>
      <c r="R10504" s="10"/>
      <c r="S10504" s="10"/>
      <c r="T10504" s="10"/>
      <c r="U10504" s="10"/>
      <c r="V10504" s="10"/>
      <c r="W10504" s="10"/>
      <c r="X10504" s="10"/>
      <c r="Y10504" s="10"/>
      <c r="Z10504" s="10"/>
    </row>
    <row r="10505" spans="1:26" ht="12.75">
      <c r="A10505" s="10"/>
      <c r="B10505" s="10"/>
      <c r="C10505" s="10"/>
      <c r="D10505" s="10"/>
      <c r="E10505" s="10"/>
      <c r="F10505" s="10"/>
      <c r="G10505" s="10"/>
      <c r="H10505" s="10"/>
      <c r="I10505" s="10"/>
      <c r="J10505" s="10"/>
      <c r="K10505" s="10"/>
      <c r="L10505" s="10"/>
      <c r="M10505" s="10"/>
      <c r="N10505" s="10"/>
      <c r="O10505" s="10"/>
      <c r="P10505" s="10"/>
      <c r="Q10505" s="10"/>
      <c r="R10505" s="10"/>
      <c r="S10505" s="10"/>
      <c r="T10505" s="10"/>
      <c r="U10505" s="10"/>
      <c r="V10505" s="10"/>
      <c r="W10505" s="10"/>
      <c r="X10505" s="10"/>
      <c r="Y10505" s="10"/>
      <c r="Z10505" s="10"/>
    </row>
    <row r="10506" spans="1:26" ht="12.75">
      <c r="A10506" s="10"/>
      <c r="B10506" s="10"/>
      <c r="C10506" s="10"/>
      <c r="D10506" s="10"/>
      <c r="E10506" s="10"/>
      <c r="F10506" s="10"/>
      <c r="G10506" s="10"/>
      <c r="H10506" s="10"/>
      <c r="I10506" s="10"/>
      <c r="J10506" s="10"/>
      <c r="K10506" s="10"/>
      <c r="L10506" s="10"/>
      <c r="M10506" s="10"/>
      <c r="N10506" s="10"/>
      <c r="O10506" s="10"/>
      <c r="P10506" s="10"/>
      <c r="Q10506" s="10"/>
      <c r="R10506" s="10"/>
      <c r="S10506" s="10"/>
      <c r="T10506" s="10"/>
      <c r="U10506" s="10"/>
      <c r="V10506" s="10"/>
      <c r="W10506" s="10"/>
      <c r="X10506" s="10"/>
      <c r="Y10506" s="10"/>
      <c r="Z10506" s="10"/>
    </row>
    <row r="10507" spans="1:26" ht="12.75">
      <c r="A10507" s="10"/>
      <c r="B10507" s="10"/>
      <c r="C10507" s="10"/>
      <c r="D10507" s="10"/>
      <c r="E10507" s="10"/>
      <c r="F10507" s="10"/>
      <c r="G10507" s="10"/>
      <c r="H10507" s="10"/>
      <c r="I10507" s="10"/>
      <c r="J10507" s="10"/>
      <c r="K10507" s="10"/>
      <c r="L10507" s="10"/>
      <c r="M10507" s="10"/>
      <c r="N10507" s="10"/>
      <c r="O10507" s="10"/>
      <c r="P10507" s="10"/>
      <c r="Q10507" s="10"/>
      <c r="R10507" s="10"/>
      <c r="S10507" s="10"/>
      <c r="T10507" s="10"/>
      <c r="U10507" s="10"/>
      <c r="V10507" s="10"/>
      <c r="W10507" s="10"/>
      <c r="X10507" s="10"/>
      <c r="Y10507" s="10"/>
      <c r="Z10507" s="10"/>
    </row>
    <row r="10508" spans="1:26" ht="12.75">
      <c r="A10508" s="10"/>
      <c r="B10508" s="10"/>
      <c r="C10508" s="10"/>
      <c r="D10508" s="10"/>
      <c r="E10508" s="10"/>
      <c r="F10508" s="10"/>
      <c r="G10508" s="10"/>
      <c r="H10508" s="10"/>
      <c r="I10508" s="10"/>
      <c r="J10508" s="10"/>
      <c r="K10508" s="10"/>
      <c r="L10508" s="10"/>
      <c r="M10508" s="10"/>
      <c r="N10508" s="10"/>
      <c r="O10508" s="10"/>
      <c r="P10508" s="10"/>
      <c r="Q10508" s="10"/>
      <c r="R10508" s="10"/>
      <c r="S10508" s="10"/>
      <c r="T10508" s="10"/>
      <c r="U10508" s="10"/>
      <c r="V10508" s="10"/>
      <c r="W10508" s="10"/>
      <c r="X10508" s="10"/>
      <c r="Y10508" s="10"/>
      <c r="Z10508" s="10"/>
    </row>
    <row r="10509" spans="1:26" ht="12.75">
      <c r="A10509" s="10"/>
      <c r="B10509" s="10"/>
      <c r="C10509" s="10"/>
      <c r="D10509" s="10"/>
      <c r="E10509" s="10"/>
      <c r="F10509" s="10"/>
      <c r="G10509" s="10"/>
      <c r="H10509" s="10"/>
      <c r="I10509" s="10"/>
      <c r="J10509" s="10"/>
      <c r="K10509" s="10"/>
      <c r="L10509" s="10"/>
      <c r="M10509" s="10"/>
      <c r="N10509" s="10"/>
      <c r="O10509" s="10"/>
      <c r="P10509" s="10"/>
      <c r="Q10509" s="10"/>
      <c r="R10509" s="10"/>
      <c r="S10509" s="10"/>
      <c r="T10509" s="10"/>
      <c r="U10509" s="10"/>
      <c r="V10509" s="10"/>
      <c r="W10509" s="10"/>
      <c r="X10509" s="10"/>
      <c r="Y10509" s="10"/>
      <c r="Z10509" s="10"/>
    </row>
    <row r="10510" spans="1:26" ht="12.75">
      <c r="A10510" s="10"/>
      <c r="B10510" s="10"/>
      <c r="C10510" s="10"/>
      <c r="D10510" s="10"/>
      <c r="E10510" s="10"/>
      <c r="F10510" s="10"/>
      <c r="G10510" s="10"/>
      <c r="H10510" s="10"/>
      <c r="I10510" s="10"/>
      <c r="J10510" s="10"/>
      <c r="K10510" s="10"/>
      <c r="L10510" s="10"/>
      <c r="M10510" s="10"/>
      <c r="N10510" s="10"/>
      <c r="O10510" s="10"/>
      <c r="P10510" s="10"/>
      <c r="Q10510" s="10"/>
      <c r="R10510" s="10"/>
      <c r="S10510" s="10"/>
      <c r="T10510" s="10"/>
      <c r="U10510" s="10"/>
      <c r="V10510" s="10"/>
      <c r="W10510" s="10"/>
      <c r="X10510" s="10"/>
      <c r="Y10510" s="10"/>
      <c r="Z10510" s="10"/>
    </row>
    <row r="10511" spans="1:26" ht="12.75">
      <c r="A10511" s="10"/>
      <c r="B10511" s="10"/>
      <c r="C10511" s="10"/>
      <c r="D10511" s="10"/>
      <c r="E10511" s="10"/>
      <c r="F10511" s="10"/>
      <c r="G10511" s="10"/>
      <c r="H10511" s="10"/>
      <c r="I10511" s="10"/>
      <c r="J10511" s="10"/>
      <c r="K10511" s="10"/>
      <c r="L10511" s="10"/>
      <c r="M10511" s="10"/>
      <c r="N10511" s="10"/>
      <c r="O10511" s="10"/>
      <c r="P10511" s="10"/>
      <c r="Q10511" s="10"/>
      <c r="R10511" s="10"/>
      <c r="S10511" s="10"/>
      <c r="T10511" s="10"/>
      <c r="U10511" s="10"/>
      <c r="V10511" s="10"/>
      <c r="W10511" s="10"/>
      <c r="X10511" s="10"/>
      <c r="Y10511" s="10"/>
      <c r="Z10511" s="10"/>
    </row>
    <row r="10512" spans="1:26" ht="12.75">
      <c r="A10512" s="10"/>
      <c r="B10512" s="10"/>
      <c r="C10512" s="10"/>
      <c r="D10512" s="10"/>
      <c r="E10512" s="10"/>
      <c r="F10512" s="10"/>
      <c r="G10512" s="10"/>
      <c r="H10512" s="10"/>
      <c r="I10512" s="10"/>
      <c r="J10512" s="10"/>
      <c r="K10512" s="10"/>
      <c r="L10512" s="10"/>
      <c r="M10512" s="10"/>
      <c r="N10512" s="10"/>
      <c r="O10512" s="10"/>
      <c r="P10512" s="10"/>
      <c r="Q10512" s="10"/>
      <c r="R10512" s="10"/>
      <c r="S10512" s="10"/>
      <c r="T10512" s="10"/>
      <c r="U10512" s="10"/>
      <c r="V10512" s="10"/>
      <c r="W10512" s="10"/>
      <c r="X10512" s="10"/>
      <c r="Y10512" s="10"/>
      <c r="Z10512" s="10"/>
    </row>
    <row r="10513" spans="1:26" ht="12.75">
      <c r="A10513" s="10"/>
      <c r="B10513" s="10"/>
      <c r="C10513" s="10"/>
      <c r="D10513" s="10"/>
      <c r="E10513" s="10"/>
      <c r="F10513" s="10"/>
      <c r="G10513" s="10"/>
      <c r="H10513" s="10"/>
      <c r="I10513" s="10"/>
      <c r="J10513" s="10"/>
      <c r="K10513" s="10"/>
      <c r="L10513" s="10"/>
      <c r="M10513" s="10"/>
      <c r="N10513" s="10"/>
      <c r="O10513" s="10"/>
      <c r="P10513" s="10"/>
      <c r="Q10513" s="10"/>
      <c r="R10513" s="10"/>
      <c r="S10513" s="10"/>
      <c r="T10513" s="10"/>
      <c r="U10513" s="10"/>
      <c r="V10513" s="10"/>
      <c r="W10513" s="10"/>
      <c r="X10513" s="10"/>
      <c r="Y10513" s="10"/>
      <c r="Z10513" s="10"/>
    </row>
    <row r="10514" spans="1:26" ht="12.75">
      <c r="A10514" s="10"/>
      <c r="B10514" s="10"/>
      <c r="C10514" s="10"/>
      <c r="D10514" s="10"/>
      <c r="E10514" s="10"/>
      <c r="F10514" s="10"/>
      <c r="G10514" s="10"/>
      <c r="H10514" s="10"/>
      <c r="I10514" s="10"/>
      <c r="J10514" s="10"/>
      <c r="K10514" s="10"/>
      <c r="L10514" s="10"/>
      <c r="M10514" s="10"/>
      <c r="N10514" s="10"/>
      <c r="O10514" s="10"/>
      <c r="P10514" s="10"/>
      <c r="Q10514" s="10"/>
      <c r="R10514" s="10"/>
      <c r="S10514" s="10"/>
      <c r="T10514" s="10"/>
      <c r="U10514" s="10"/>
      <c r="V10514" s="10"/>
      <c r="W10514" s="10"/>
      <c r="X10514" s="10"/>
      <c r="Y10514" s="10"/>
      <c r="Z10514" s="10"/>
    </row>
    <row r="10515" spans="1:26" ht="12.75">
      <c r="A10515" s="10"/>
      <c r="B10515" s="10"/>
      <c r="C10515" s="10"/>
      <c r="D10515" s="10"/>
      <c r="E10515" s="10"/>
      <c r="F10515" s="10"/>
      <c r="G10515" s="10"/>
      <c r="H10515" s="10"/>
      <c r="I10515" s="10"/>
      <c r="J10515" s="10"/>
      <c r="K10515" s="10"/>
      <c r="L10515" s="10"/>
      <c r="M10515" s="10"/>
      <c r="N10515" s="10"/>
      <c r="O10515" s="10"/>
      <c r="P10515" s="10"/>
      <c r="Q10515" s="10"/>
      <c r="R10515" s="10"/>
      <c r="S10515" s="10"/>
      <c r="T10515" s="10"/>
      <c r="U10515" s="10"/>
      <c r="V10515" s="10"/>
      <c r="W10515" s="10"/>
      <c r="X10515" s="10"/>
      <c r="Y10515" s="10"/>
      <c r="Z10515" s="10"/>
    </row>
    <row r="10516" spans="1:26" ht="12.75">
      <c r="A10516" s="10"/>
      <c r="B10516" s="10"/>
      <c r="C10516" s="10"/>
      <c r="D10516" s="10"/>
      <c r="E10516" s="10"/>
      <c r="F10516" s="10"/>
      <c r="G10516" s="10"/>
      <c r="H10516" s="10"/>
      <c r="I10516" s="10"/>
      <c r="J10516" s="10"/>
      <c r="K10516" s="10"/>
      <c r="L10516" s="10"/>
      <c r="M10516" s="10"/>
      <c r="N10516" s="10"/>
      <c r="O10516" s="10"/>
      <c r="P10516" s="10"/>
      <c r="Q10516" s="10"/>
      <c r="R10516" s="10"/>
      <c r="S10516" s="10"/>
      <c r="T10516" s="10"/>
      <c r="U10516" s="10"/>
      <c r="V10516" s="10"/>
      <c r="W10516" s="10"/>
      <c r="X10516" s="10"/>
      <c r="Y10516" s="10"/>
      <c r="Z10516" s="10"/>
    </row>
    <row r="10517" spans="1:26" ht="12.75">
      <c r="A10517" s="10"/>
      <c r="B10517" s="10"/>
      <c r="C10517" s="10"/>
      <c r="D10517" s="10"/>
      <c r="E10517" s="10"/>
      <c r="F10517" s="10"/>
      <c r="G10517" s="10"/>
      <c r="H10517" s="10"/>
      <c r="I10517" s="10"/>
      <c r="J10517" s="10"/>
      <c r="K10517" s="10"/>
      <c r="L10517" s="10"/>
      <c r="M10517" s="10"/>
      <c r="N10517" s="10"/>
      <c r="O10517" s="10"/>
      <c r="P10517" s="10"/>
      <c r="Q10517" s="10"/>
      <c r="R10517" s="10"/>
      <c r="S10517" s="10"/>
      <c r="T10517" s="10"/>
      <c r="U10517" s="10"/>
      <c r="V10517" s="10"/>
      <c r="W10517" s="10"/>
      <c r="X10517" s="10"/>
      <c r="Y10517" s="10"/>
      <c r="Z10517" s="10"/>
    </row>
    <row r="10518" spans="1:26" ht="12.75">
      <c r="A10518" s="10"/>
      <c r="B10518" s="10"/>
      <c r="C10518" s="10"/>
      <c r="D10518" s="10"/>
      <c r="E10518" s="10"/>
      <c r="F10518" s="10"/>
      <c r="G10518" s="10"/>
      <c r="H10518" s="10"/>
      <c r="I10518" s="10"/>
      <c r="J10518" s="10"/>
      <c r="K10518" s="10"/>
      <c r="L10518" s="10"/>
      <c r="M10518" s="10"/>
      <c r="N10518" s="10"/>
      <c r="O10518" s="10"/>
      <c r="P10518" s="10"/>
      <c r="Q10518" s="10"/>
      <c r="R10518" s="10"/>
      <c r="S10518" s="10"/>
      <c r="T10518" s="10"/>
      <c r="U10518" s="10"/>
      <c r="V10518" s="10"/>
      <c r="W10518" s="10"/>
      <c r="X10518" s="10"/>
      <c r="Y10518" s="10"/>
      <c r="Z10518" s="10"/>
    </row>
    <row r="10519" spans="1:26" ht="12.75">
      <c r="A10519" s="10"/>
      <c r="B10519" s="10"/>
      <c r="C10519" s="10"/>
      <c r="D10519" s="10"/>
      <c r="E10519" s="10"/>
      <c r="F10519" s="10"/>
      <c r="G10519" s="10"/>
      <c r="H10519" s="10"/>
      <c r="I10519" s="10"/>
      <c r="J10519" s="10"/>
      <c r="K10519" s="10"/>
      <c r="L10519" s="10"/>
      <c r="M10519" s="10"/>
      <c r="N10519" s="10"/>
      <c r="O10519" s="10"/>
      <c r="P10519" s="10"/>
      <c r="Q10519" s="10"/>
      <c r="R10519" s="10"/>
      <c r="S10519" s="10"/>
      <c r="T10519" s="10"/>
      <c r="U10519" s="10"/>
      <c r="V10519" s="10"/>
      <c r="W10519" s="10"/>
      <c r="X10519" s="10"/>
      <c r="Y10519" s="10"/>
      <c r="Z10519" s="10"/>
    </row>
    <row r="10520" spans="1:26" ht="12.75">
      <c r="A10520" s="10"/>
      <c r="B10520" s="10"/>
      <c r="C10520" s="10"/>
      <c r="D10520" s="10"/>
      <c r="E10520" s="10"/>
      <c r="F10520" s="10"/>
      <c r="G10520" s="10"/>
      <c r="H10520" s="10"/>
      <c r="I10520" s="10"/>
      <c r="J10520" s="10"/>
      <c r="K10520" s="10"/>
      <c r="L10520" s="10"/>
      <c r="M10520" s="10"/>
      <c r="N10520" s="10"/>
      <c r="O10520" s="10"/>
      <c r="P10520" s="10"/>
      <c r="Q10520" s="10"/>
      <c r="R10520" s="10"/>
      <c r="S10520" s="10"/>
      <c r="T10520" s="10"/>
      <c r="U10520" s="10"/>
      <c r="V10520" s="10"/>
      <c r="W10520" s="10"/>
      <c r="X10520" s="10"/>
      <c r="Y10520" s="10"/>
      <c r="Z10520" s="10"/>
    </row>
    <row r="10521" spans="1:26" ht="12.75">
      <c r="A10521" s="10"/>
      <c r="B10521" s="10"/>
      <c r="C10521" s="10"/>
      <c r="D10521" s="10"/>
      <c r="E10521" s="10"/>
      <c r="F10521" s="10"/>
      <c r="G10521" s="10"/>
      <c r="H10521" s="10"/>
      <c r="I10521" s="10"/>
      <c r="J10521" s="10"/>
      <c r="K10521" s="10"/>
      <c r="L10521" s="10"/>
      <c r="M10521" s="10"/>
      <c r="N10521" s="10"/>
      <c r="O10521" s="10"/>
      <c r="P10521" s="10"/>
      <c r="Q10521" s="10"/>
      <c r="R10521" s="10"/>
      <c r="S10521" s="10"/>
      <c r="T10521" s="10"/>
      <c r="U10521" s="10"/>
      <c r="V10521" s="10"/>
      <c r="W10521" s="10"/>
      <c r="X10521" s="10"/>
      <c r="Y10521" s="10"/>
      <c r="Z10521" s="10"/>
    </row>
    <row r="10522" spans="1:26" ht="12.75">
      <c r="A10522" s="10"/>
      <c r="B10522" s="10"/>
      <c r="C10522" s="10"/>
      <c r="D10522" s="10"/>
      <c r="E10522" s="10"/>
      <c r="F10522" s="10"/>
      <c r="G10522" s="10"/>
      <c r="H10522" s="10"/>
      <c r="I10522" s="10"/>
      <c r="J10522" s="10"/>
      <c r="K10522" s="10"/>
      <c r="L10522" s="10"/>
      <c r="M10522" s="10"/>
      <c r="N10522" s="10"/>
      <c r="O10522" s="10"/>
      <c r="P10522" s="10"/>
      <c r="Q10522" s="10"/>
      <c r="R10522" s="10"/>
      <c r="S10522" s="10"/>
      <c r="T10522" s="10"/>
      <c r="U10522" s="10"/>
      <c r="V10522" s="10"/>
      <c r="W10522" s="10"/>
      <c r="X10522" s="10"/>
      <c r="Y10522" s="10"/>
      <c r="Z10522" s="10"/>
    </row>
    <row r="10523" spans="1:26" ht="12.75">
      <c r="A10523" s="10"/>
      <c r="B10523" s="10"/>
      <c r="C10523" s="10"/>
      <c r="D10523" s="10"/>
      <c r="E10523" s="10"/>
      <c r="F10523" s="10"/>
      <c r="G10523" s="10"/>
      <c r="H10523" s="10"/>
      <c r="I10523" s="10"/>
      <c r="J10523" s="10"/>
      <c r="K10523" s="10"/>
      <c r="L10523" s="10"/>
      <c r="M10523" s="10"/>
      <c r="N10523" s="10"/>
      <c r="O10523" s="10"/>
      <c r="P10523" s="10"/>
      <c r="Q10523" s="10"/>
      <c r="R10523" s="10"/>
      <c r="S10523" s="10"/>
      <c r="T10523" s="10"/>
      <c r="U10523" s="10"/>
      <c r="V10523" s="10"/>
      <c r="W10523" s="10"/>
      <c r="X10523" s="10"/>
      <c r="Y10523" s="10"/>
      <c r="Z10523" s="10"/>
    </row>
    <row r="10524" spans="1:26" ht="12.75">
      <c r="A10524" s="10"/>
      <c r="B10524" s="10"/>
      <c r="C10524" s="10"/>
      <c r="D10524" s="10"/>
      <c r="E10524" s="10"/>
      <c r="F10524" s="10"/>
      <c r="G10524" s="10"/>
      <c r="H10524" s="10"/>
      <c r="I10524" s="10"/>
      <c r="J10524" s="10"/>
      <c r="K10524" s="10"/>
      <c r="L10524" s="10"/>
      <c r="M10524" s="10"/>
      <c r="N10524" s="10"/>
      <c r="O10524" s="10"/>
      <c r="P10524" s="10"/>
      <c r="Q10524" s="10"/>
      <c r="R10524" s="10"/>
      <c r="S10524" s="10"/>
      <c r="T10524" s="10"/>
      <c r="U10524" s="10"/>
      <c r="V10524" s="10"/>
      <c r="W10524" s="10"/>
      <c r="X10524" s="10"/>
      <c r="Y10524" s="10"/>
      <c r="Z10524" s="10"/>
    </row>
    <row r="10525" spans="1:26" ht="12.75">
      <c r="A10525" s="10"/>
      <c r="B10525" s="10"/>
      <c r="C10525" s="10"/>
      <c r="D10525" s="10"/>
      <c r="E10525" s="10"/>
      <c r="F10525" s="10"/>
      <c r="G10525" s="10"/>
      <c r="H10525" s="10"/>
      <c r="I10525" s="10"/>
      <c r="J10525" s="10"/>
      <c r="K10525" s="10"/>
      <c r="L10525" s="10"/>
      <c r="M10525" s="10"/>
      <c r="N10525" s="10"/>
      <c r="O10525" s="10"/>
      <c r="P10525" s="10"/>
      <c r="Q10525" s="10"/>
      <c r="R10525" s="10"/>
      <c r="S10525" s="10"/>
      <c r="T10525" s="10"/>
      <c r="U10525" s="10"/>
      <c r="V10525" s="10"/>
      <c r="W10525" s="10"/>
      <c r="X10525" s="10"/>
      <c r="Y10525" s="10"/>
      <c r="Z10525" s="10"/>
    </row>
    <row r="10526" spans="1:26" ht="12.75">
      <c r="A10526" s="10"/>
      <c r="B10526" s="10"/>
      <c r="C10526" s="10"/>
      <c r="D10526" s="10"/>
      <c r="E10526" s="10"/>
      <c r="F10526" s="10"/>
      <c r="G10526" s="10"/>
      <c r="H10526" s="10"/>
      <c r="I10526" s="10"/>
      <c r="J10526" s="10"/>
      <c r="K10526" s="10"/>
      <c r="L10526" s="10"/>
      <c r="M10526" s="10"/>
      <c r="N10526" s="10"/>
      <c r="O10526" s="10"/>
      <c r="P10526" s="10"/>
      <c r="Q10526" s="10"/>
      <c r="R10526" s="10"/>
      <c r="S10526" s="10"/>
      <c r="T10526" s="10"/>
      <c r="U10526" s="10"/>
      <c r="V10526" s="10"/>
      <c r="W10526" s="10"/>
      <c r="X10526" s="10"/>
      <c r="Y10526" s="10"/>
      <c r="Z10526" s="10"/>
    </row>
    <row r="10527" spans="1:26" ht="12.75">
      <c r="A10527" s="10"/>
      <c r="B10527" s="10"/>
      <c r="C10527" s="10"/>
      <c r="D10527" s="10"/>
      <c r="E10527" s="10"/>
      <c r="F10527" s="10"/>
      <c r="G10527" s="10"/>
      <c r="H10527" s="10"/>
      <c r="I10527" s="10"/>
      <c r="J10527" s="10"/>
      <c r="K10527" s="10"/>
      <c r="L10527" s="10"/>
      <c r="M10527" s="10"/>
      <c r="N10527" s="10"/>
      <c r="O10527" s="10"/>
      <c r="P10527" s="10"/>
      <c r="Q10527" s="10"/>
      <c r="R10527" s="10"/>
      <c r="S10527" s="10"/>
      <c r="T10527" s="10"/>
      <c r="U10527" s="10"/>
      <c r="V10527" s="10"/>
      <c r="W10527" s="10"/>
      <c r="X10527" s="10"/>
      <c r="Y10527" s="10"/>
      <c r="Z10527" s="10"/>
    </row>
    <row r="10528" spans="1:26" ht="12.75">
      <c r="A10528" s="10"/>
      <c r="B10528" s="10"/>
      <c r="C10528" s="10"/>
      <c r="D10528" s="10"/>
      <c r="E10528" s="10"/>
      <c r="F10528" s="10"/>
      <c r="G10528" s="10"/>
      <c r="H10528" s="10"/>
      <c r="I10528" s="10"/>
      <c r="J10528" s="10"/>
      <c r="K10528" s="10"/>
      <c r="L10528" s="10"/>
      <c r="M10528" s="10"/>
      <c r="N10528" s="10"/>
      <c r="O10528" s="10"/>
      <c r="P10528" s="10"/>
      <c r="Q10528" s="10"/>
      <c r="R10528" s="10"/>
      <c r="S10528" s="10"/>
      <c r="T10528" s="10"/>
      <c r="U10528" s="10"/>
      <c r="V10528" s="10"/>
      <c r="W10528" s="10"/>
      <c r="X10528" s="10"/>
      <c r="Y10528" s="10"/>
      <c r="Z10528" s="10"/>
    </row>
    <row r="10529" spans="1:26" ht="12.75">
      <c r="A10529" s="10"/>
      <c r="B10529" s="10"/>
      <c r="C10529" s="10"/>
      <c r="D10529" s="10"/>
      <c r="E10529" s="10"/>
      <c r="F10529" s="10"/>
      <c r="G10529" s="10"/>
      <c r="H10529" s="10"/>
      <c r="I10529" s="10"/>
      <c r="J10529" s="10"/>
      <c r="K10529" s="10"/>
      <c r="L10529" s="10"/>
      <c r="M10529" s="10"/>
      <c r="N10529" s="10"/>
      <c r="O10529" s="10"/>
      <c r="P10529" s="10"/>
      <c r="Q10529" s="10"/>
      <c r="R10529" s="10"/>
      <c r="S10529" s="10"/>
      <c r="T10529" s="10"/>
      <c r="U10529" s="10"/>
      <c r="V10529" s="10"/>
      <c r="W10529" s="10"/>
      <c r="X10529" s="10"/>
      <c r="Y10529" s="10"/>
      <c r="Z10529" s="10"/>
    </row>
    <row r="10530" spans="1:26" ht="12.75">
      <c r="A10530" s="10"/>
      <c r="B10530" s="10"/>
      <c r="C10530" s="10"/>
      <c r="D10530" s="10"/>
      <c r="E10530" s="10"/>
      <c r="F10530" s="10"/>
      <c r="G10530" s="10"/>
      <c r="H10530" s="10"/>
      <c r="I10530" s="10"/>
      <c r="J10530" s="10"/>
      <c r="K10530" s="10"/>
      <c r="L10530" s="10"/>
      <c r="M10530" s="10"/>
      <c r="N10530" s="10"/>
      <c r="O10530" s="10"/>
      <c r="P10530" s="10"/>
      <c r="Q10530" s="10"/>
      <c r="R10530" s="10"/>
      <c r="S10530" s="10"/>
      <c r="T10530" s="10"/>
      <c r="U10530" s="10"/>
      <c r="V10530" s="10"/>
      <c r="W10530" s="10"/>
      <c r="X10530" s="10"/>
      <c r="Y10530" s="10"/>
      <c r="Z10530" s="10"/>
    </row>
    <row r="10531" spans="1:26" ht="12.75">
      <c r="A10531" s="10"/>
      <c r="B10531" s="10"/>
      <c r="C10531" s="10"/>
      <c r="D10531" s="10"/>
      <c r="E10531" s="10"/>
      <c r="F10531" s="10"/>
      <c r="G10531" s="10"/>
      <c r="H10531" s="10"/>
      <c r="I10531" s="10"/>
      <c r="J10531" s="10"/>
      <c r="K10531" s="10"/>
      <c r="L10531" s="10"/>
      <c r="M10531" s="10"/>
      <c r="N10531" s="10"/>
      <c r="O10531" s="10"/>
      <c r="P10531" s="10"/>
      <c r="Q10531" s="10"/>
      <c r="R10531" s="10"/>
      <c r="S10531" s="10"/>
      <c r="T10531" s="10"/>
      <c r="U10531" s="10"/>
      <c r="V10531" s="10"/>
      <c r="W10531" s="10"/>
      <c r="X10531" s="10"/>
      <c r="Y10531" s="10"/>
      <c r="Z10531" s="10"/>
    </row>
    <row r="10532" spans="1:26" ht="12.75">
      <c r="A10532" s="10"/>
      <c r="B10532" s="10"/>
      <c r="C10532" s="10"/>
      <c r="D10532" s="10"/>
      <c r="E10532" s="10"/>
      <c r="F10532" s="10"/>
      <c r="G10532" s="10"/>
      <c r="H10532" s="10"/>
      <c r="I10532" s="10"/>
      <c r="J10532" s="10"/>
      <c r="K10532" s="10"/>
      <c r="L10532" s="10"/>
      <c r="M10532" s="10"/>
      <c r="N10532" s="10"/>
      <c r="O10532" s="10"/>
      <c r="P10532" s="10"/>
      <c r="Q10532" s="10"/>
      <c r="R10532" s="10"/>
      <c r="S10532" s="10"/>
      <c r="T10532" s="10"/>
      <c r="U10532" s="10"/>
      <c r="V10532" s="10"/>
      <c r="W10532" s="10"/>
      <c r="X10532" s="10"/>
      <c r="Y10532" s="10"/>
      <c r="Z10532" s="10"/>
    </row>
    <row r="10533" spans="1:26" ht="12.75">
      <c r="A10533" s="10"/>
      <c r="B10533" s="10"/>
      <c r="C10533" s="10"/>
      <c r="D10533" s="10"/>
      <c r="E10533" s="10"/>
      <c r="F10533" s="10"/>
      <c r="G10533" s="10"/>
      <c r="H10533" s="10"/>
      <c r="I10533" s="10"/>
      <c r="J10533" s="10"/>
      <c r="K10533" s="10"/>
      <c r="L10533" s="10"/>
      <c r="M10533" s="10"/>
      <c r="N10533" s="10"/>
      <c r="O10533" s="10"/>
      <c r="P10533" s="10"/>
      <c r="Q10533" s="10"/>
      <c r="R10533" s="10"/>
      <c r="S10533" s="10"/>
      <c r="T10533" s="10"/>
      <c r="U10533" s="10"/>
      <c r="V10533" s="10"/>
      <c r="W10533" s="10"/>
      <c r="X10533" s="10"/>
      <c r="Y10533" s="10"/>
      <c r="Z10533" s="10"/>
    </row>
    <row r="10534" spans="1:26" ht="12.75">
      <c r="A10534" s="10"/>
      <c r="B10534" s="10"/>
      <c r="C10534" s="10"/>
      <c r="D10534" s="10"/>
      <c r="E10534" s="10"/>
      <c r="F10534" s="10"/>
      <c r="G10534" s="10"/>
      <c r="H10534" s="10"/>
      <c r="I10534" s="10"/>
      <c r="J10534" s="10"/>
      <c r="K10534" s="10"/>
      <c r="L10534" s="10"/>
      <c r="M10534" s="10"/>
      <c r="N10534" s="10"/>
      <c r="O10534" s="10"/>
      <c r="P10534" s="10"/>
      <c r="Q10534" s="10"/>
      <c r="R10534" s="10"/>
      <c r="S10534" s="10"/>
      <c r="T10534" s="10"/>
      <c r="U10534" s="10"/>
      <c r="V10534" s="10"/>
      <c r="W10534" s="10"/>
      <c r="X10534" s="10"/>
      <c r="Y10534" s="10"/>
      <c r="Z10534" s="10"/>
    </row>
    <row r="10535" spans="1:26" ht="12.75">
      <c r="A10535" s="10"/>
      <c r="B10535" s="10"/>
      <c r="C10535" s="10"/>
      <c r="D10535" s="10"/>
      <c r="E10535" s="10"/>
      <c r="F10535" s="10"/>
      <c r="G10535" s="10"/>
      <c r="H10535" s="10"/>
      <c r="I10535" s="10"/>
      <c r="J10535" s="10"/>
      <c r="K10535" s="10"/>
      <c r="L10535" s="10"/>
      <c r="M10535" s="10"/>
      <c r="N10535" s="10"/>
      <c r="O10535" s="10"/>
      <c r="P10535" s="10"/>
      <c r="Q10535" s="10"/>
      <c r="R10535" s="10"/>
      <c r="S10535" s="10"/>
      <c r="T10535" s="10"/>
      <c r="U10535" s="10"/>
      <c r="V10535" s="10"/>
      <c r="W10535" s="10"/>
      <c r="X10535" s="10"/>
      <c r="Y10535" s="10"/>
      <c r="Z10535" s="10"/>
    </row>
    <row r="10536" spans="1:26" ht="12.75">
      <c r="A10536" s="10"/>
      <c r="B10536" s="10"/>
      <c r="C10536" s="10"/>
      <c r="D10536" s="10"/>
      <c r="E10536" s="10"/>
      <c r="F10536" s="10"/>
      <c r="G10536" s="10"/>
      <c r="H10536" s="10"/>
      <c r="I10536" s="10"/>
      <c r="J10536" s="10"/>
      <c r="K10536" s="10"/>
      <c r="L10536" s="10"/>
      <c r="M10536" s="10"/>
      <c r="N10536" s="10"/>
      <c r="O10536" s="10"/>
      <c r="P10536" s="10"/>
      <c r="Q10536" s="10"/>
      <c r="R10536" s="10"/>
      <c r="S10536" s="10"/>
      <c r="T10536" s="10"/>
      <c r="U10536" s="10"/>
      <c r="V10536" s="10"/>
      <c r="W10536" s="10"/>
      <c r="X10536" s="10"/>
      <c r="Y10536" s="10"/>
      <c r="Z10536" s="10"/>
    </row>
    <row r="10537" spans="1:26" ht="12.75">
      <c r="A10537" s="10"/>
      <c r="B10537" s="10"/>
      <c r="C10537" s="10"/>
      <c r="D10537" s="10"/>
      <c r="E10537" s="10"/>
      <c r="F10537" s="10"/>
      <c r="G10537" s="10"/>
      <c r="H10537" s="10"/>
      <c r="I10537" s="10"/>
      <c r="J10537" s="10"/>
      <c r="K10537" s="10"/>
      <c r="L10537" s="10"/>
      <c r="M10537" s="10"/>
      <c r="N10537" s="10"/>
      <c r="O10537" s="10"/>
      <c r="P10537" s="10"/>
      <c r="Q10537" s="10"/>
      <c r="R10537" s="10"/>
      <c r="S10537" s="10"/>
      <c r="T10537" s="10"/>
      <c r="U10537" s="10"/>
      <c r="V10537" s="10"/>
      <c r="W10537" s="10"/>
      <c r="X10537" s="10"/>
      <c r="Y10537" s="10"/>
      <c r="Z10537" s="10"/>
    </row>
    <row r="10538" spans="1:26" ht="12.75">
      <c r="A10538" s="10"/>
      <c r="B10538" s="10"/>
      <c r="C10538" s="10"/>
      <c r="D10538" s="10"/>
      <c r="E10538" s="10"/>
      <c r="F10538" s="10"/>
      <c r="G10538" s="10"/>
      <c r="H10538" s="10"/>
      <c r="I10538" s="10"/>
      <c r="J10538" s="10"/>
      <c r="K10538" s="10"/>
      <c r="L10538" s="10"/>
      <c r="M10538" s="10"/>
      <c r="N10538" s="10"/>
      <c r="O10538" s="10"/>
      <c r="P10538" s="10"/>
      <c r="Q10538" s="10"/>
      <c r="R10538" s="10"/>
      <c r="S10538" s="10"/>
      <c r="T10538" s="10"/>
      <c r="U10538" s="10"/>
      <c r="V10538" s="10"/>
      <c r="W10538" s="10"/>
      <c r="X10538" s="10"/>
      <c r="Y10538" s="10"/>
      <c r="Z10538" s="10"/>
    </row>
    <row r="10539" spans="1:26" ht="12.75">
      <c r="A10539" s="10"/>
      <c r="B10539" s="10"/>
      <c r="C10539" s="10"/>
      <c r="D10539" s="10"/>
      <c r="E10539" s="10"/>
      <c r="F10539" s="10"/>
      <c r="G10539" s="10"/>
      <c r="H10539" s="10"/>
      <c r="I10539" s="10"/>
      <c r="J10539" s="10"/>
      <c r="K10539" s="10"/>
      <c r="L10539" s="10"/>
      <c r="M10539" s="10"/>
      <c r="N10539" s="10"/>
      <c r="O10539" s="10"/>
      <c r="P10539" s="10"/>
      <c r="Q10539" s="10"/>
      <c r="R10539" s="10"/>
      <c r="S10539" s="10"/>
      <c r="T10539" s="10"/>
      <c r="U10539" s="10"/>
      <c r="V10539" s="10"/>
      <c r="W10539" s="10"/>
      <c r="X10539" s="10"/>
      <c r="Y10539" s="10"/>
      <c r="Z10539" s="10"/>
    </row>
    <row r="10540" spans="1:26" ht="12.75">
      <c r="A10540" s="10"/>
      <c r="B10540" s="10"/>
      <c r="C10540" s="10"/>
      <c r="D10540" s="10"/>
      <c r="E10540" s="10"/>
      <c r="F10540" s="10"/>
      <c r="G10540" s="10"/>
      <c r="H10540" s="10"/>
      <c r="I10540" s="10"/>
      <c r="J10540" s="10"/>
      <c r="K10540" s="10"/>
      <c r="L10540" s="10"/>
      <c r="M10540" s="10"/>
      <c r="N10540" s="10"/>
      <c r="O10540" s="10"/>
      <c r="P10540" s="10"/>
      <c r="Q10540" s="10"/>
      <c r="R10540" s="10"/>
      <c r="S10540" s="10"/>
      <c r="T10540" s="10"/>
      <c r="U10540" s="10"/>
      <c r="V10540" s="10"/>
      <c r="W10540" s="10"/>
      <c r="X10540" s="10"/>
      <c r="Y10540" s="10"/>
      <c r="Z10540" s="10"/>
    </row>
    <row r="10541" spans="1:26" ht="12.75">
      <c r="A10541" s="10"/>
      <c r="B10541" s="10"/>
      <c r="C10541" s="10"/>
      <c r="D10541" s="10"/>
      <c r="E10541" s="10"/>
      <c r="F10541" s="10"/>
      <c r="G10541" s="10"/>
      <c r="H10541" s="10"/>
      <c r="I10541" s="10"/>
      <c r="J10541" s="10"/>
      <c r="K10541" s="10"/>
      <c r="L10541" s="10"/>
      <c r="M10541" s="10"/>
      <c r="N10541" s="10"/>
      <c r="O10541" s="10"/>
      <c r="P10541" s="10"/>
      <c r="Q10541" s="10"/>
      <c r="R10541" s="10"/>
      <c r="S10541" s="10"/>
      <c r="T10541" s="10"/>
      <c r="U10541" s="10"/>
      <c r="V10541" s="10"/>
      <c r="W10541" s="10"/>
      <c r="X10541" s="10"/>
      <c r="Y10541" s="10"/>
      <c r="Z10541" s="10"/>
    </row>
    <row r="10542" spans="1:26" ht="12.75">
      <c r="A10542" s="10"/>
      <c r="B10542" s="10"/>
      <c r="C10542" s="10"/>
      <c r="D10542" s="10"/>
      <c r="E10542" s="10"/>
      <c r="F10542" s="10"/>
      <c r="G10542" s="10"/>
      <c r="H10542" s="10"/>
      <c r="I10542" s="10"/>
      <c r="J10542" s="10"/>
      <c r="K10542" s="10"/>
      <c r="L10542" s="10"/>
      <c r="M10542" s="10"/>
      <c r="N10542" s="10"/>
      <c r="O10542" s="10"/>
      <c r="P10542" s="10"/>
      <c r="Q10542" s="10"/>
      <c r="R10542" s="10"/>
      <c r="S10542" s="10"/>
      <c r="T10542" s="10"/>
      <c r="U10542" s="10"/>
      <c r="V10542" s="10"/>
      <c r="W10542" s="10"/>
      <c r="X10542" s="10"/>
      <c r="Y10542" s="10"/>
      <c r="Z10542" s="10"/>
    </row>
    <row r="10543" spans="1:26" ht="12.75">
      <c r="A10543" s="10"/>
      <c r="B10543" s="10"/>
      <c r="C10543" s="10"/>
      <c r="D10543" s="10"/>
      <c r="E10543" s="10"/>
      <c r="F10543" s="10"/>
      <c r="G10543" s="10"/>
      <c r="H10543" s="10"/>
      <c r="I10543" s="10"/>
      <c r="J10543" s="10"/>
      <c r="K10543" s="10"/>
      <c r="L10543" s="10"/>
      <c r="M10543" s="10"/>
      <c r="N10543" s="10"/>
      <c r="O10543" s="10"/>
      <c r="P10543" s="10"/>
      <c r="Q10543" s="10"/>
      <c r="R10543" s="10"/>
      <c r="S10543" s="10"/>
      <c r="T10543" s="10"/>
      <c r="U10543" s="10"/>
      <c r="V10543" s="10"/>
      <c r="W10543" s="10"/>
      <c r="X10543" s="10"/>
      <c r="Y10543" s="10"/>
      <c r="Z10543" s="10"/>
    </row>
    <row r="10544" spans="1:26" ht="12.75">
      <c r="A10544" s="10"/>
      <c r="B10544" s="10"/>
      <c r="C10544" s="10"/>
      <c r="D10544" s="10"/>
      <c r="E10544" s="10"/>
      <c r="F10544" s="10"/>
      <c r="G10544" s="10"/>
      <c r="H10544" s="10"/>
      <c r="I10544" s="10"/>
      <c r="J10544" s="10"/>
      <c r="K10544" s="10"/>
      <c r="L10544" s="10"/>
      <c r="M10544" s="10"/>
      <c r="N10544" s="10"/>
      <c r="O10544" s="10"/>
      <c r="P10544" s="10"/>
      <c r="Q10544" s="10"/>
      <c r="R10544" s="10"/>
      <c r="S10544" s="10"/>
      <c r="T10544" s="10"/>
      <c r="U10544" s="10"/>
      <c r="V10544" s="10"/>
      <c r="W10544" s="10"/>
      <c r="X10544" s="10"/>
      <c r="Y10544" s="10"/>
      <c r="Z10544" s="10"/>
    </row>
    <row r="10545" spans="1:26" ht="12.75">
      <c r="A10545" s="10"/>
      <c r="B10545" s="10"/>
      <c r="C10545" s="10"/>
      <c r="D10545" s="10"/>
      <c r="E10545" s="10"/>
      <c r="F10545" s="10"/>
      <c r="G10545" s="10"/>
      <c r="H10545" s="10"/>
      <c r="I10545" s="10"/>
      <c r="J10545" s="10"/>
      <c r="K10545" s="10"/>
      <c r="L10545" s="10"/>
      <c r="M10545" s="10"/>
      <c r="N10545" s="10"/>
      <c r="O10545" s="10"/>
      <c r="P10545" s="10"/>
      <c r="Q10545" s="10"/>
      <c r="R10545" s="10"/>
      <c r="S10545" s="10"/>
      <c r="T10545" s="10"/>
      <c r="U10545" s="10"/>
      <c r="V10545" s="10"/>
      <c r="W10545" s="10"/>
      <c r="X10545" s="10"/>
      <c r="Y10545" s="10"/>
      <c r="Z10545" s="10"/>
    </row>
    <row r="10546" spans="1:26" ht="12.75">
      <c r="A10546" s="10"/>
      <c r="B10546" s="10"/>
      <c r="C10546" s="10"/>
      <c r="D10546" s="10"/>
      <c r="E10546" s="10"/>
      <c r="F10546" s="10"/>
      <c r="G10546" s="10"/>
      <c r="H10546" s="10"/>
      <c r="I10546" s="10"/>
      <c r="J10546" s="10"/>
      <c r="K10546" s="10"/>
      <c r="L10546" s="10"/>
      <c r="M10546" s="10"/>
      <c r="N10546" s="10"/>
      <c r="O10546" s="10"/>
      <c r="P10546" s="10"/>
      <c r="Q10546" s="10"/>
      <c r="R10546" s="10"/>
      <c r="S10546" s="10"/>
      <c r="T10546" s="10"/>
      <c r="U10546" s="10"/>
      <c r="V10546" s="10"/>
      <c r="W10546" s="10"/>
      <c r="X10546" s="10"/>
      <c r="Y10546" s="10"/>
      <c r="Z10546" s="10"/>
    </row>
    <row r="10547" spans="1:26" ht="12.75">
      <c r="A10547" s="10"/>
      <c r="B10547" s="10"/>
      <c r="C10547" s="10"/>
      <c r="D10547" s="10"/>
      <c r="E10547" s="10"/>
      <c r="F10547" s="10"/>
      <c r="G10547" s="10"/>
      <c r="H10547" s="10"/>
      <c r="I10547" s="10"/>
      <c r="J10547" s="10"/>
      <c r="K10547" s="10"/>
      <c r="L10547" s="10"/>
      <c r="M10547" s="10"/>
      <c r="N10547" s="10"/>
      <c r="O10547" s="10"/>
      <c r="P10547" s="10"/>
      <c r="Q10547" s="10"/>
      <c r="R10547" s="10"/>
      <c r="S10547" s="10"/>
      <c r="T10547" s="10"/>
      <c r="U10547" s="10"/>
      <c r="V10547" s="10"/>
      <c r="W10547" s="10"/>
      <c r="X10547" s="10"/>
      <c r="Y10547" s="10"/>
      <c r="Z10547" s="10"/>
    </row>
    <row r="10548" spans="1:26" ht="12.75">
      <c r="A10548" s="10"/>
      <c r="B10548" s="10"/>
      <c r="C10548" s="10"/>
      <c r="D10548" s="10"/>
      <c r="E10548" s="10"/>
      <c r="F10548" s="10"/>
      <c r="G10548" s="10"/>
      <c r="H10548" s="10"/>
      <c r="I10548" s="10"/>
      <c r="J10548" s="10"/>
      <c r="K10548" s="10"/>
      <c r="L10548" s="10"/>
      <c r="M10548" s="10"/>
      <c r="N10548" s="10"/>
      <c r="O10548" s="10"/>
      <c r="P10548" s="10"/>
      <c r="Q10548" s="10"/>
      <c r="R10548" s="10"/>
      <c r="S10548" s="10"/>
      <c r="T10548" s="10"/>
      <c r="U10548" s="10"/>
      <c r="V10548" s="10"/>
      <c r="W10548" s="10"/>
      <c r="X10548" s="10"/>
      <c r="Y10548" s="10"/>
      <c r="Z10548" s="10"/>
    </row>
    <row r="10549" spans="1:26" ht="12.75">
      <c r="A10549" s="10"/>
      <c r="B10549" s="10"/>
      <c r="C10549" s="10"/>
      <c r="D10549" s="10"/>
      <c r="E10549" s="10"/>
      <c r="F10549" s="10"/>
      <c r="G10549" s="10"/>
      <c r="H10549" s="10"/>
      <c r="I10549" s="10"/>
      <c r="J10549" s="10"/>
      <c r="K10549" s="10"/>
      <c r="L10549" s="10"/>
      <c r="M10549" s="10"/>
      <c r="N10549" s="10"/>
      <c r="O10549" s="10"/>
      <c r="P10549" s="10"/>
      <c r="Q10549" s="10"/>
      <c r="R10549" s="10"/>
      <c r="S10549" s="10"/>
      <c r="T10549" s="10"/>
      <c r="U10549" s="10"/>
      <c r="V10549" s="10"/>
      <c r="W10549" s="10"/>
      <c r="X10549" s="10"/>
      <c r="Y10549" s="10"/>
      <c r="Z10549" s="10"/>
    </row>
    <row r="10550" spans="1:26" ht="12.75">
      <c r="A10550" s="10"/>
      <c r="B10550" s="10"/>
      <c r="C10550" s="10"/>
      <c r="D10550" s="10"/>
      <c r="E10550" s="10"/>
      <c r="F10550" s="10"/>
      <c r="G10550" s="10"/>
      <c r="H10550" s="10"/>
      <c r="I10550" s="10"/>
      <c r="J10550" s="10"/>
      <c r="K10550" s="10"/>
      <c r="L10550" s="10"/>
      <c r="M10550" s="10"/>
      <c r="N10550" s="10"/>
      <c r="O10550" s="10"/>
      <c r="P10550" s="10"/>
      <c r="Q10550" s="10"/>
      <c r="R10550" s="10"/>
      <c r="S10550" s="10"/>
      <c r="T10550" s="10"/>
      <c r="U10550" s="10"/>
      <c r="V10550" s="10"/>
      <c r="W10550" s="10"/>
      <c r="X10550" s="10"/>
      <c r="Y10550" s="10"/>
      <c r="Z10550" s="10"/>
    </row>
    <row r="10551" spans="1:26" ht="12.75">
      <c r="A10551" s="10"/>
      <c r="B10551" s="10"/>
      <c r="C10551" s="10"/>
      <c r="D10551" s="10"/>
      <c r="E10551" s="10"/>
      <c r="F10551" s="10"/>
      <c r="G10551" s="10"/>
      <c r="H10551" s="10"/>
      <c r="I10551" s="10"/>
      <c r="J10551" s="10"/>
      <c r="K10551" s="10"/>
      <c r="L10551" s="10"/>
      <c r="M10551" s="10"/>
      <c r="N10551" s="10"/>
      <c r="O10551" s="10"/>
      <c r="P10551" s="10"/>
      <c r="Q10551" s="10"/>
      <c r="R10551" s="10"/>
      <c r="S10551" s="10"/>
      <c r="T10551" s="10"/>
      <c r="U10551" s="10"/>
      <c r="V10551" s="10"/>
      <c r="W10551" s="10"/>
      <c r="X10551" s="10"/>
      <c r="Y10551" s="10"/>
      <c r="Z10551" s="10"/>
    </row>
    <row r="10552" spans="1:26" ht="12.75">
      <c r="A10552" s="10"/>
      <c r="B10552" s="10"/>
      <c r="C10552" s="10"/>
      <c r="D10552" s="10"/>
      <c r="E10552" s="10"/>
      <c r="F10552" s="10"/>
      <c r="G10552" s="10"/>
      <c r="H10552" s="10"/>
      <c r="I10552" s="10"/>
      <c r="J10552" s="10"/>
      <c r="K10552" s="10"/>
      <c r="L10552" s="10"/>
      <c r="M10552" s="10"/>
      <c r="N10552" s="10"/>
      <c r="O10552" s="10"/>
      <c r="P10552" s="10"/>
      <c r="Q10552" s="10"/>
      <c r="R10552" s="10"/>
      <c r="S10552" s="10"/>
      <c r="T10552" s="10"/>
      <c r="U10552" s="10"/>
      <c r="V10552" s="10"/>
      <c r="W10552" s="10"/>
      <c r="X10552" s="10"/>
      <c r="Y10552" s="10"/>
      <c r="Z10552" s="10"/>
    </row>
    <row r="10553" spans="1:26" ht="12.75">
      <c r="A10553" s="10"/>
      <c r="B10553" s="10"/>
      <c r="C10553" s="10"/>
      <c r="D10553" s="10"/>
      <c r="E10553" s="10"/>
      <c r="F10553" s="10"/>
      <c r="G10553" s="10"/>
      <c r="H10553" s="10"/>
      <c r="I10553" s="10"/>
      <c r="J10553" s="10"/>
      <c r="K10553" s="10"/>
      <c r="L10553" s="10"/>
      <c r="M10553" s="10"/>
      <c r="N10553" s="10"/>
      <c r="O10553" s="10"/>
      <c r="P10553" s="10"/>
      <c r="Q10553" s="10"/>
      <c r="R10553" s="10"/>
      <c r="S10553" s="10"/>
      <c r="T10553" s="10"/>
      <c r="U10553" s="10"/>
      <c r="V10553" s="10"/>
      <c r="W10553" s="10"/>
      <c r="X10553" s="10"/>
      <c r="Y10553" s="10"/>
      <c r="Z10553" s="10"/>
    </row>
    <row r="10554" spans="1:26" ht="12.75">
      <c r="A10554" s="10"/>
      <c r="B10554" s="10"/>
      <c r="C10554" s="10"/>
      <c r="D10554" s="10"/>
      <c r="E10554" s="10"/>
      <c r="F10554" s="10"/>
      <c r="G10554" s="10"/>
      <c r="H10554" s="10"/>
      <c r="I10554" s="10"/>
      <c r="J10554" s="10"/>
      <c r="K10554" s="10"/>
      <c r="L10554" s="10"/>
      <c r="M10554" s="10"/>
      <c r="N10554" s="10"/>
      <c r="O10554" s="10"/>
      <c r="P10554" s="10"/>
      <c r="Q10554" s="10"/>
      <c r="R10554" s="10"/>
      <c r="S10554" s="10"/>
      <c r="T10554" s="10"/>
      <c r="U10554" s="10"/>
      <c r="V10554" s="10"/>
      <c r="W10554" s="10"/>
      <c r="X10554" s="10"/>
      <c r="Y10554" s="10"/>
      <c r="Z10554" s="10"/>
    </row>
    <row r="10555" spans="1:26" ht="12.75">
      <c r="A10555" s="10"/>
      <c r="B10555" s="10"/>
      <c r="C10555" s="10"/>
      <c r="D10555" s="10"/>
      <c r="E10555" s="10"/>
      <c r="F10555" s="10"/>
      <c r="G10555" s="10"/>
      <c r="H10555" s="10"/>
      <c r="I10555" s="10"/>
      <c r="J10555" s="10"/>
      <c r="K10555" s="10"/>
      <c r="L10555" s="10"/>
      <c r="M10555" s="10"/>
      <c r="N10555" s="10"/>
      <c r="O10555" s="10"/>
      <c r="P10555" s="10"/>
      <c r="Q10555" s="10"/>
      <c r="R10555" s="10"/>
      <c r="S10555" s="10"/>
      <c r="T10555" s="10"/>
      <c r="U10555" s="10"/>
      <c r="V10555" s="10"/>
      <c r="W10555" s="10"/>
      <c r="X10555" s="10"/>
      <c r="Y10555" s="10"/>
      <c r="Z10555" s="10"/>
    </row>
    <row r="10556" spans="1:26" ht="12.75">
      <c r="A10556" s="10"/>
      <c r="B10556" s="10"/>
      <c r="C10556" s="10"/>
      <c r="D10556" s="10"/>
      <c r="E10556" s="10"/>
      <c r="F10556" s="10"/>
      <c r="G10556" s="10"/>
      <c r="H10556" s="10"/>
      <c r="I10556" s="10"/>
      <c r="J10556" s="10"/>
      <c r="K10556" s="10"/>
      <c r="L10556" s="10"/>
      <c r="M10556" s="10"/>
      <c r="N10556" s="10"/>
      <c r="O10556" s="10"/>
      <c r="P10556" s="10"/>
      <c r="Q10556" s="10"/>
      <c r="R10556" s="10"/>
      <c r="S10556" s="10"/>
      <c r="T10556" s="10"/>
      <c r="U10556" s="10"/>
      <c r="V10556" s="10"/>
      <c r="W10556" s="10"/>
      <c r="X10556" s="10"/>
      <c r="Y10556" s="10"/>
      <c r="Z10556" s="10"/>
    </row>
    <row r="10557" spans="1:26" ht="12.75">
      <c r="A10557" s="10"/>
      <c r="B10557" s="10"/>
      <c r="C10557" s="10"/>
      <c r="D10557" s="10"/>
      <c r="E10557" s="10"/>
      <c r="F10557" s="10"/>
      <c r="G10557" s="10"/>
      <c r="H10557" s="10"/>
      <c r="I10557" s="10"/>
      <c r="J10557" s="10"/>
      <c r="K10557" s="10"/>
      <c r="L10557" s="10"/>
      <c r="M10557" s="10"/>
      <c r="N10557" s="10"/>
      <c r="O10557" s="10"/>
      <c r="P10557" s="10"/>
      <c r="Q10557" s="10"/>
      <c r="R10557" s="10"/>
      <c r="S10557" s="10"/>
      <c r="T10557" s="10"/>
      <c r="U10557" s="10"/>
      <c r="V10557" s="10"/>
      <c r="W10557" s="10"/>
      <c r="X10557" s="10"/>
      <c r="Y10557" s="10"/>
      <c r="Z10557" s="10"/>
    </row>
    <row r="10558" spans="1:26" ht="12.75">
      <c r="A10558" s="10"/>
      <c r="B10558" s="10"/>
      <c r="C10558" s="10"/>
      <c r="D10558" s="10"/>
      <c r="E10558" s="10"/>
      <c r="F10558" s="10"/>
      <c r="G10558" s="10"/>
      <c r="H10558" s="10"/>
      <c r="I10558" s="10"/>
      <c r="J10558" s="10"/>
      <c r="K10558" s="10"/>
      <c r="L10558" s="10"/>
      <c r="M10558" s="10"/>
      <c r="N10558" s="10"/>
      <c r="O10558" s="10"/>
      <c r="P10558" s="10"/>
      <c r="Q10558" s="10"/>
      <c r="R10558" s="10"/>
      <c r="S10558" s="10"/>
      <c r="T10558" s="10"/>
      <c r="U10558" s="10"/>
      <c r="V10558" s="10"/>
      <c r="W10558" s="10"/>
      <c r="X10558" s="10"/>
      <c r="Y10558" s="10"/>
      <c r="Z10558" s="10"/>
    </row>
    <row r="10559" spans="1:26" ht="12.75">
      <c r="A10559" s="10"/>
      <c r="B10559" s="10"/>
      <c r="C10559" s="10"/>
      <c r="D10559" s="10"/>
      <c r="E10559" s="10"/>
      <c r="F10559" s="10"/>
      <c r="G10559" s="10"/>
      <c r="H10559" s="10"/>
      <c r="I10559" s="10"/>
      <c r="J10559" s="10"/>
      <c r="K10559" s="10"/>
      <c r="L10559" s="10"/>
      <c r="M10559" s="10"/>
      <c r="N10559" s="10"/>
      <c r="O10559" s="10"/>
      <c r="P10559" s="10"/>
      <c r="Q10559" s="10"/>
      <c r="R10559" s="10"/>
      <c r="S10559" s="10"/>
      <c r="T10559" s="10"/>
      <c r="U10559" s="10"/>
      <c r="V10559" s="10"/>
      <c r="W10559" s="10"/>
      <c r="X10559" s="10"/>
      <c r="Y10559" s="10"/>
      <c r="Z10559" s="10"/>
    </row>
    <row r="10560" spans="1:26" ht="12.75">
      <c r="A10560" s="10"/>
      <c r="B10560" s="10"/>
      <c r="C10560" s="10"/>
      <c r="D10560" s="10"/>
      <c r="E10560" s="10"/>
      <c r="F10560" s="10"/>
      <c r="G10560" s="10"/>
      <c r="H10560" s="10"/>
      <c r="I10560" s="10"/>
      <c r="J10560" s="10"/>
      <c r="K10560" s="10"/>
      <c r="L10560" s="10"/>
      <c r="M10560" s="10"/>
      <c r="N10560" s="10"/>
      <c r="O10560" s="10"/>
      <c r="P10560" s="10"/>
      <c r="Q10560" s="10"/>
      <c r="R10560" s="10"/>
      <c r="S10560" s="10"/>
      <c r="T10560" s="10"/>
      <c r="U10560" s="10"/>
      <c r="V10560" s="10"/>
      <c r="W10560" s="10"/>
      <c r="X10560" s="10"/>
      <c r="Y10560" s="10"/>
      <c r="Z10560" s="10"/>
    </row>
    <row r="10561" spans="1:26" ht="12.75">
      <c r="A10561" s="10"/>
      <c r="B10561" s="10"/>
      <c r="C10561" s="10"/>
      <c r="D10561" s="10"/>
      <c r="E10561" s="10"/>
      <c r="F10561" s="10"/>
      <c r="G10561" s="10"/>
      <c r="H10561" s="10"/>
      <c r="I10561" s="10"/>
      <c r="J10561" s="10"/>
      <c r="K10561" s="10"/>
      <c r="L10561" s="10"/>
      <c r="M10561" s="10"/>
      <c r="N10561" s="10"/>
      <c r="O10561" s="10"/>
      <c r="P10561" s="10"/>
      <c r="Q10561" s="10"/>
      <c r="R10561" s="10"/>
      <c r="S10561" s="10"/>
      <c r="T10561" s="10"/>
      <c r="U10561" s="10"/>
      <c r="V10561" s="10"/>
      <c r="W10561" s="10"/>
      <c r="X10561" s="10"/>
      <c r="Y10561" s="10"/>
      <c r="Z10561" s="10"/>
    </row>
    <row r="10562" spans="1:26" ht="12.75">
      <c r="A10562" s="10"/>
      <c r="B10562" s="10"/>
      <c r="C10562" s="10"/>
      <c r="D10562" s="10"/>
      <c r="E10562" s="10"/>
      <c r="F10562" s="10"/>
      <c r="G10562" s="10"/>
      <c r="H10562" s="10"/>
      <c r="I10562" s="10"/>
      <c r="J10562" s="10"/>
      <c r="K10562" s="10"/>
      <c r="L10562" s="10"/>
      <c r="M10562" s="10"/>
      <c r="N10562" s="10"/>
      <c r="O10562" s="10"/>
      <c r="P10562" s="10"/>
      <c r="Q10562" s="10"/>
      <c r="R10562" s="10"/>
      <c r="S10562" s="10"/>
      <c r="T10562" s="10"/>
      <c r="U10562" s="10"/>
      <c r="V10562" s="10"/>
      <c r="W10562" s="10"/>
      <c r="X10562" s="10"/>
      <c r="Y10562" s="10"/>
      <c r="Z10562" s="10"/>
    </row>
    <row r="10563" spans="1:26" ht="12.75">
      <c r="A10563" s="10"/>
      <c r="B10563" s="10"/>
      <c r="C10563" s="10"/>
      <c r="D10563" s="10"/>
      <c r="E10563" s="10"/>
      <c r="F10563" s="10"/>
      <c r="G10563" s="10"/>
      <c r="H10563" s="10"/>
      <c r="I10563" s="10"/>
      <c r="J10563" s="10"/>
      <c r="K10563" s="10"/>
      <c r="L10563" s="10"/>
      <c r="M10563" s="10"/>
      <c r="N10563" s="10"/>
      <c r="O10563" s="10"/>
      <c r="P10563" s="10"/>
      <c r="Q10563" s="10"/>
      <c r="R10563" s="10"/>
      <c r="S10563" s="10"/>
      <c r="T10563" s="10"/>
      <c r="U10563" s="10"/>
      <c r="V10563" s="10"/>
      <c r="W10563" s="10"/>
      <c r="X10563" s="10"/>
      <c r="Y10563" s="10"/>
      <c r="Z10563" s="10"/>
    </row>
    <row r="10564" spans="1:26" ht="12.75">
      <c r="A10564" s="10"/>
      <c r="B10564" s="10"/>
      <c r="C10564" s="10"/>
      <c r="D10564" s="10"/>
      <c r="E10564" s="10"/>
      <c r="F10564" s="10"/>
      <c r="G10564" s="10"/>
      <c r="H10564" s="10"/>
      <c r="I10564" s="10"/>
      <c r="J10564" s="10"/>
      <c r="K10564" s="10"/>
      <c r="L10564" s="10"/>
      <c r="M10564" s="10"/>
      <c r="N10564" s="10"/>
      <c r="O10564" s="10"/>
      <c r="P10564" s="10"/>
      <c r="Q10564" s="10"/>
      <c r="R10564" s="10"/>
      <c r="S10564" s="10"/>
      <c r="T10564" s="10"/>
      <c r="U10564" s="10"/>
      <c r="V10564" s="10"/>
      <c r="W10564" s="10"/>
      <c r="X10564" s="10"/>
      <c r="Y10564" s="10"/>
      <c r="Z10564" s="10"/>
    </row>
    <row r="10565" spans="1:26" ht="12.75">
      <c r="A10565" s="10"/>
      <c r="B10565" s="10"/>
      <c r="C10565" s="10"/>
      <c r="D10565" s="10"/>
      <c r="E10565" s="10"/>
      <c r="F10565" s="10"/>
      <c r="G10565" s="10"/>
      <c r="H10565" s="10"/>
      <c r="I10565" s="10"/>
      <c r="J10565" s="10"/>
      <c r="K10565" s="10"/>
      <c r="L10565" s="10"/>
      <c r="M10565" s="10"/>
      <c r="N10565" s="10"/>
      <c r="O10565" s="10"/>
      <c r="P10565" s="10"/>
      <c r="Q10565" s="10"/>
      <c r="R10565" s="10"/>
      <c r="S10565" s="10"/>
      <c r="T10565" s="10"/>
      <c r="U10565" s="10"/>
      <c r="V10565" s="10"/>
      <c r="W10565" s="10"/>
      <c r="X10565" s="10"/>
      <c r="Y10565" s="10"/>
      <c r="Z10565" s="10"/>
    </row>
    <row r="10566" spans="1:26" ht="12.75">
      <c r="A10566" s="10"/>
      <c r="B10566" s="10"/>
      <c r="C10566" s="10"/>
      <c r="D10566" s="10"/>
      <c r="E10566" s="10"/>
      <c r="F10566" s="10"/>
      <c r="G10566" s="10"/>
      <c r="H10566" s="10"/>
      <c r="I10566" s="10"/>
      <c r="J10566" s="10"/>
      <c r="K10566" s="10"/>
      <c r="L10566" s="10"/>
      <c r="M10566" s="10"/>
      <c r="N10566" s="10"/>
      <c r="O10566" s="10"/>
      <c r="P10566" s="10"/>
      <c r="Q10566" s="10"/>
      <c r="R10566" s="10"/>
      <c r="S10566" s="10"/>
      <c r="T10566" s="10"/>
      <c r="U10566" s="10"/>
      <c r="V10566" s="10"/>
      <c r="W10566" s="10"/>
      <c r="X10566" s="10"/>
      <c r="Y10566" s="10"/>
      <c r="Z10566" s="10"/>
    </row>
    <row r="10567" spans="1:26" ht="12.75">
      <c r="A10567" s="10"/>
      <c r="B10567" s="10"/>
      <c r="C10567" s="10"/>
      <c r="D10567" s="10"/>
      <c r="E10567" s="10"/>
      <c r="F10567" s="10"/>
      <c r="G10567" s="10"/>
      <c r="H10567" s="10"/>
      <c r="I10567" s="10"/>
      <c r="J10567" s="10"/>
      <c r="K10567" s="10"/>
      <c r="L10567" s="10"/>
      <c r="M10567" s="10"/>
      <c r="N10567" s="10"/>
      <c r="O10567" s="10"/>
      <c r="P10567" s="10"/>
      <c r="Q10567" s="10"/>
      <c r="R10567" s="10"/>
      <c r="S10567" s="10"/>
      <c r="T10567" s="10"/>
      <c r="U10567" s="10"/>
      <c r="V10567" s="10"/>
      <c r="W10567" s="10"/>
      <c r="X10567" s="10"/>
      <c r="Y10567" s="10"/>
      <c r="Z10567" s="10"/>
    </row>
    <row r="10568" spans="1:26" ht="12.75">
      <c r="A10568" s="10"/>
      <c r="B10568" s="10"/>
      <c r="C10568" s="10"/>
      <c r="D10568" s="10"/>
      <c r="E10568" s="10"/>
      <c r="F10568" s="10"/>
      <c r="G10568" s="10"/>
      <c r="H10568" s="10"/>
      <c r="I10568" s="10"/>
      <c r="J10568" s="10"/>
      <c r="K10568" s="10"/>
      <c r="L10568" s="10"/>
      <c r="M10568" s="10"/>
      <c r="N10568" s="10"/>
      <c r="O10568" s="10"/>
      <c r="P10568" s="10"/>
      <c r="Q10568" s="10"/>
      <c r="R10568" s="10"/>
      <c r="S10568" s="10"/>
      <c r="T10568" s="10"/>
      <c r="U10568" s="10"/>
      <c r="V10568" s="10"/>
      <c r="W10568" s="10"/>
      <c r="X10568" s="10"/>
      <c r="Y10568" s="10"/>
      <c r="Z10568" s="10"/>
    </row>
    <row r="10569" spans="1:26" ht="12.75">
      <c r="A10569" s="10"/>
      <c r="B10569" s="10"/>
      <c r="C10569" s="10"/>
      <c r="D10569" s="10"/>
      <c r="E10569" s="10"/>
      <c r="F10569" s="10"/>
      <c r="G10569" s="10"/>
      <c r="H10569" s="10"/>
      <c r="I10569" s="10"/>
      <c r="J10569" s="10"/>
      <c r="K10569" s="10"/>
      <c r="L10569" s="10"/>
      <c r="M10569" s="10"/>
      <c r="N10569" s="10"/>
      <c r="O10569" s="10"/>
      <c r="P10569" s="10"/>
      <c r="Q10569" s="10"/>
      <c r="R10569" s="10"/>
      <c r="S10569" s="10"/>
      <c r="T10569" s="10"/>
      <c r="U10569" s="10"/>
      <c r="V10569" s="10"/>
      <c r="W10569" s="10"/>
      <c r="X10569" s="10"/>
      <c r="Y10569" s="10"/>
      <c r="Z10569" s="10"/>
    </row>
    <row r="10570" spans="1:26" ht="12.75">
      <c r="A10570" s="10"/>
      <c r="B10570" s="10"/>
      <c r="C10570" s="10"/>
      <c r="D10570" s="10"/>
      <c r="E10570" s="10"/>
      <c r="F10570" s="10"/>
      <c r="G10570" s="10"/>
      <c r="H10570" s="10"/>
      <c r="I10570" s="10"/>
      <c r="J10570" s="10"/>
      <c r="K10570" s="10"/>
      <c r="L10570" s="10"/>
      <c r="M10570" s="10"/>
      <c r="N10570" s="10"/>
      <c r="O10570" s="10"/>
      <c r="P10570" s="10"/>
      <c r="Q10570" s="10"/>
      <c r="R10570" s="10"/>
      <c r="S10570" s="10"/>
      <c r="T10570" s="10"/>
      <c r="U10570" s="10"/>
      <c r="V10570" s="10"/>
      <c r="W10570" s="10"/>
      <c r="X10570" s="10"/>
      <c r="Y10570" s="10"/>
      <c r="Z10570" s="10"/>
    </row>
    <row r="10571" spans="1:26" ht="12.75">
      <c r="A10571" s="10"/>
      <c r="B10571" s="10"/>
      <c r="C10571" s="10"/>
      <c r="D10571" s="10"/>
      <c r="E10571" s="10"/>
      <c r="F10571" s="10"/>
      <c r="G10571" s="10"/>
      <c r="H10571" s="10"/>
      <c r="I10571" s="10"/>
      <c r="J10571" s="10"/>
      <c r="K10571" s="10"/>
      <c r="L10571" s="10"/>
      <c r="M10571" s="10"/>
      <c r="N10571" s="10"/>
      <c r="O10571" s="10"/>
      <c r="P10571" s="10"/>
      <c r="Q10571" s="10"/>
      <c r="R10571" s="10"/>
      <c r="S10571" s="10"/>
      <c r="T10571" s="10"/>
      <c r="U10571" s="10"/>
      <c r="V10571" s="10"/>
      <c r="W10571" s="10"/>
      <c r="X10571" s="10"/>
      <c r="Y10571" s="10"/>
      <c r="Z10571" s="10"/>
    </row>
    <row r="10572" spans="1:26" ht="12.75">
      <c r="A10572" s="10"/>
      <c r="B10572" s="10"/>
      <c r="C10572" s="10"/>
      <c r="D10572" s="10"/>
      <c r="E10572" s="10"/>
      <c r="F10572" s="10"/>
      <c r="G10572" s="10"/>
      <c r="H10572" s="10"/>
      <c r="I10572" s="10"/>
      <c r="J10572" s="10"/>
      <c r="K10572" s="10"/>
      <c r="L10572" s="10"/>
      <c r="M10572" s="10"/>
      <c r="N10572" s="10"/>
      <c r="O10572" s="10"/>
      <c r="P10572" s="10"/>
      <c r="Q10572" s="10"/>
      <c r="R10572" s="10"/>
      <c r="S10572" s="10"/>
      <c r="T10572" s="10"/>
      <c r="U10572" s="10"/>
      <c r="V10572" s="10"/>
      <c r="W10572" s="10"/>
      <c r="X10572" s="10"/>
      <c r="Y10572" s="10"/>
      <c r="Z10572" s="10"/>
    </row>
    <row r="10573" spans="1:26" ht="12.75">
      <c r="A10573" s="10"/>
      <c r="B10573" s="10"/>
      <c r="C10573" s="10"/>
      <c r="D10573" s="10"/>
      <c r="E10573" s="10"/>
      <c r="F10573" s="10"/>
      <c r="G10573" s="10"/>
      <c r="H10573" s="10"/>
      <c r="I10573" s="10"/>
      <c r="J10573" s="10"/>
      <c r="K10573" s="10"/>
      <c r="L10573" s="10"/>
      <c r="M10573" s="10"/>
      <c r="N10573" s="10"/>
      <c r="O10573" s="10"/>
      <c r="P10573" s="10"/>
      <c r="Q10573" s="10"/>
      <c r="R10573" s="10"/>
      <c r="S10573" s="10"/>
      <c r="T10573" s="10"/>
      <c r="U10573" s="10"/>
      <c r="V10573" s="10"/>
      <c r="W10573" s="10"/>
      <c r="X10573" s="10"/>
      <c r="Y10573" s="10"/>
      <c r="Z10573" s="10"/>
    </row>
    <row r="10574" spans="1:26" ht="12.75">
      <c r="A10574" s="10"/>
      <c r="B10574" s="10"/>
      <c r="C10574" s="10"/>
      <c r="D10574" s="10"/>
      <c r="E10574" s="10"/>
      <c r="F10574" s="10"/>
      <c r="G10574" s="10"/>
      <c r="H10574" s="10"/>
      <c r="I10574" s="10"/>
      <c r="J10574" s="10"/>
      <c r="K10574" s="10"/>
      <c r="L10574" s="10"/>
      <c r="M10574" s="10"/>
      <c r="N10574" s="10"/>
      <c r="O10574" s="10"/>
      <c r="P10574" s="10"/>
      <c r="Q10574" s="10"/>
      <c r="R10574" s="10"/>
      <c r="S10574" s="10"/>
      <c r="T10574" s="10"/>
      <c r="U10574" s="10"/>
      <c r="V10574" s="10"/>
      <c r="W10574" s="10"/>
      <c r="X10574" s="10"/>
      <c r="Y10574" s="10"/>
      <c r="Z10574" s="10"/>
    </row>
    <row r="10575" spans="1:26" ht="12.75">
      <c r="A10575" s="10"/>
      <c r="B10575" s="10"/>
      <c r="C10575" s="10"/>
      <c r="D10575" s="10"/>
      <c r="E10575" s="10"/>
      <c r="F10575" s="10"/>
      <c r="G10575" s="10"/>
      <c r="H10575" s="10"/>
      <c r="I10575" s="10"/>
      <c r="J10575" s="10"/>
      <c r="K10575" s="10"/>
      <c r="L10575" s="10"/>
      <c r="M10575" s="10"/>
      <c r="N10575" s="10"/>
      <c r="O10575" s="10"/>
      <c r="P10575" s="10"/>
      <c r="Q10575" s="10"/>
      <c r="R10575" s="10"/>
      <c r="S10575" s="10"/>
      <c r="T10575" s="10"/>
      <c r="U10575" s="10"/>
      <c r="V10575" s="10"/>
      <c r="W10575" s="10"/>
      <c r="X10575" s="10"/>
      <c r="Y10575" s="10"/>
      <c r="Z10575" s="10"/>
    </row>
    <row r="10576" spans="1:26" ht="12.75">
      <c r="A10576" s="10"/>
      <c r="B10576" s="10"/>
      <c r="C10576" s="10"/>
      <c r="D10576" s="10"/>
      <c r="E10576" s="10"/>
      <c r="F10576" s="10"/>
      <c r="G10576" s="10"/>
      <c r="H10576" s="10"/>
      <c r="I10576" s="10"/>
      <c r="J10576" s="10"/>
      <c r="K10576" s="10"/>
      <c r="L10576" s="10"/>
      <c r="M10576" s="10"/>
      <c r="N10576" s="10"/>
      <c r="O10576" s="10"/>
      <c r="P10576" s="10"/>
      <c r="Q10576" s="10"/>
      <c r="R10576" s="10"/>
      <c r="S10576" s="10"/>
      <c r="T10576" s="10"/>
      <c r="U10576" s="10"/>
      <c r="V10576" s="10"/>
      <c r="W10576" s="10"/>
      <c r="X10576" s="10"/>
      <c r="Y10576" s="10"/>
      <c r="Z10576" s="10"/>
    </row>
    <row r="10577" spans="1:26" ht="12.75">
      <c r="A10577" s="10"/>
      <c r="B10577" s="10"/>
      <c r="C10577" s="10"/>
      <c r="D10577" s="10"/>
      <c r="E10577" s="10"/>
      <c r="F10577" s="10"/>
      <c r="G10577" s="10"/>
      <c r="H10577" s="10"/>
      <c r="I10577" s="10"/>
      <c r="J10577" s="10"/>
      <c r="K10577" s="10"/>
      <c r="L10577" s="10"/>
      <c r="M10577" s="10"/>
      <c r="N10577" s="10"/>
      <c r="O10577" s="10"/>
      <c r="P10577" s="10"/>
      <c r="Q10577" s="10"/>
      <c r="R10577" s="10"/>
      <c r="S10577" s="10"/>
      <c r="T10577" s="10"/>
      <c r="U10577" s="10"/>
      <c r="V10577" s="10"/>
      <c r="W10577" s="10"/>
      <c r="X10577" s="10"/>
      <c r="Y10577" s="10"/>
      <c r="Z10577" s="10"/>
    </row>
    <row r="10578" spans="1:26" ht="12.75">
      <c r="A10578" s="10"/>
      <c r="B10578" s="10"/>
      <c r="C10578" s="10"/>
      <c r="D10578" s="10"/>
      <c r="E10578" s="10"/>
      <c r="F10578" s="10"/>
      <c r="G10578" s="10"/>
      <c r="H10578" s="10"/>
      <c r="I10578" s="10"/>
      <c r="J10578" s="10"/>
      <c r="K10578" s="10"/>
      <c r="L10578" s="10"/>
      <c r="M10578" s="10"/>
      <c r="N10578" s="10"/>
      <c r="O10578" s="10"/>
      <c r="P10578" s="10"/>
      <c r="Q10578" s="10"/>
      <c r="R10578" s="10"/>
      <c r="S10578" s="10"/>
      <c r="T10578" s="10"/>
      <c r="U10578" s="10"/>
      <c r="V10578" s="10"/>
      <c r="W10578" s="10"/>
      <c r="X10578" s="10"/>
      <c r="Y10578" s="10"/>
      <c r="Z10578" s="10"/>
    </row>
    <row r="10579" spans="1:26" ht="12.75">
      <c r="A10579" s="10"/>
      <c r="B10579" s="10"/>
      <c r="C10579" s="10"/>
      <c r="D10579" s="10"/>
      <c r="E10579" s="10"/>
      <c r="F10579" s="10"/>
      <c r="G10579" s="10"/>
      <c r="H10579" s="10"/>
      <c r="I10579" s="10"/>
      <c r="J10579" s="10"/>
      <c r="K10579" s="10"/>
      <c r="L10579" s="10"/>
      <c r="M10579" s="10"/>
      <c r="N10579" s="10"/>
      <c r="O10579" s="10"/>
      <c r="P10579" s="10"/>
      <c r="Q10579" s="10"/>
      <c r="R10579" s="10"/>
      <c r="S10579" s="10"/>
      <c r="T10579" s="10"/>
      <c r="U10579" s="10"/>
      <c r="V10579" s="10"/>
      <c r="W10579" s="10"/>
      <c r="X10579" s="10"/>
      <c r="Y10579" s="10"/>
      <c r="Z10579" s="10"/>
    </row>
    <row r="10580" spans="1:26" ht="12.75">
      <c r="A10580" s="10"/>
      <c r="B10580" s="10"/>
      <c r="C10580" s="10"/>
      <c r="D10580" s="10"/>
      <c r="E10580" s="10"/>
      <c r="F10580" s="10"/>
      <c r="G10580" s="10"/>
      <c r="H10580" s="10"/>
      <c r="I10580" s="10"/>
      <c r="J10580" s="10"/>
      <c r="K10580" s="10"/>
      <c r="L10580" s="10"/>
      <c r="M10580" s="10"/>
      <c r="N10580" s="10"/>
      <c r="O10580" s="10"/>
      <c r="P10580" s="10"/>
      <c r="Q10580" s="10"/>
      <c r="R10580" s="10"/>
      <c r="S10580" s="10"/>
      <c r="T10580" s="10"/>
      <c r="U10580" s="10"/>
      <c r="V10580" s="10"/>
      <c r="W10580" s="10"/>
      <c r="X10580" s="10"/>
      <c r="Y10580" s="10"/>
      <c r="Z10580" s="10"/>
    </row>
    <row r="10581" spans="1:26" ht="12.75">
      <c r="A10581" s="10"/>
      <c r="B10581" s="10"/>
      <c r="C10581" s="10"/>
      <c r="D10581" s="10"/>
      <c r="E10581" s="10"/>
      <c r="F10581" s="10"/>
      <c r="G10581" s="10"/>
      <c r="H10581" s="10"/>
      <c r="I10581" s="10"/>
      <c r="J10581" s="10"/>
      <c r="K10581" s="10"/>
      <c r="L10581" s="10"/>
      <c r="M10581" s="10"/>
      <c r="N10581" s="10"/>
      <c r="O10581" s="10"/>
      <c r="P10581" s="10"/>
      <c r="Q10581" s="10"/>
      <c r="R10581" s="10"/>
      <c r="S10581" s="10"/>
      <c r="T10581" s="10"/>
      <c r="U10581" s="10"/>
      <c r="V10581" s="10"/>
      <c r="W10581" s="10"/>
      <c r="X10581" s="10"/>
      <c r="Y10581" s="10"/>
      <c r="Z10581" s="10"/>
    </row>
    <row r="10582" spans="1:26" ht="12.75">
      <c r="A10582" s="10"/>
      <c r="B10582" s="10"/>
      <c r="C10582" s="10"/>
      <c r="D10582" s="10"/>
      <c r="E10582" s="10"/>
      <c r="F10582" s="10"/>
      <c r="G10582" s="10"/>
      <c r="H10582" s="10"/>
      <c r="I10582" s="10"/>
      <c r="J10582" s="10"/>
      <c r="K10582" s="10"/>
      <c r="L10582" s="10"/>
      <c r="M10582" s="10"/>
      <c r="N10582" s="10"/>
      <c r="O10582" s="10"/>
      <c r="P10582" s="10"/>
      <c r="Q10582" s="10"/>
      <c r="R10582" s="10"/>
      <c r="S10582" s="10"/>
      <c r="T10582" s="10"/>
      <c r="U10582" s="10"/>
      <c r="V10582" s="10"/>
      <c r="W10582" s="10"/>
      <c r="X10582" s="10"/>
      <c r="Y10582" s="10"/>
      <c r="Z10582" s="10"/>
    </row>
    <row r="10583" spans="1:26" ht="12.75">
      <c r="A10583" s="10"/>
      <c r="B10583" s="10"/>
      <c r="C10583" s="10"/>
      <c r="D10583" s="10"/>
      <c r="E10583" s="10"/>
      <c r="F10583" s="10"/>
      <c r="G10583" s="10"/>
      <c r="H10583" s="10"/>
      <c r="I10583" s="10"/>
      <c r="J10583" s="10"/>
      <c r="K10583" s="10"/>
      <c r="L10583" s="10"/>
      <c r="M10583" s="10"/>
      <c r="N10583" s="10"/>
      <c r="O10583" s="10"/>
      <c r="P10583" s="10"/>
      <c r="Q10583" s="10"/>
      <c r="R10583" s="10"/>
      <c r="S10583" s="10"/>
      <c r="T10583" s="10"/>
      <c r="U10583" s="10"/>
      <c r="V10583" s="10"/>
      <c r="W10583" s="10"/>
      <c r="X10583" s="10"/>
      <c r="Y10583" s="10"/>
      <c r="Z10583" s="10"/>
    </row>
    <row r="10584" spans="1:26" ht="12.75">
      <c r="A10584" s="10"/>
      <c r="B10584" s="10"/>
      <c r="C10584" s="10"/>
      <c r="D10584" s="10"/>
      <c r="E10584" s="10"/>
      <c r="F10584" s="10"/>
      <c r="G10584" s="10"/>
      <c r="H10584" s="10"/>
      <c r="I10584" s="10"/>
      <c r="J10584" s="10"/>
      <c r="K10584" s="10"/>
      <c r="L10584" s="10"/>
      <c r="M10584" s="10"/>
      <c r="N10584" s="10"/>
      <c r="O10584" s="10"/>
      <c r="P10584" s="10"/>
      <c r="Q10584" s="10"/>
      <c r="R10584" s="10"/>
      <c r="S10584" s="10"/>
      <c r="T10584" s="10"/>
      <c r="U10584" s="10"/>
      <c r="V10584" s="10"/>
      <c r="W10584" s="10"/>
      <c r="X10584" s="10"/>
      <c r="Y10584" s="10"/>
      <c r="Z10584" s="10"/>
    </row>
    <row r="10585" spans="1:26" ht="12.75">
      <c r="A10585" s="10"/>
      <c r="B10585" s="10"/>
      <c r="C10585" s="10"/>
      <c r="D10585" s="10"/>
      <c r="E10585" s="10"/>
      <c r="F10585" s="10"/>
      <c r="G10585" s="10"/>
      <c r="H10585" s="10"/>
      <c r="I10585" s="10"/>
      <c r="J10585" s="10"/>
      <c r="K10585" s="10"/>
      <c r="L10585" s="10"/>
      <c r="M10585" s="10"/>
      <c r="N10585" s="10"/>
      <c r="O10585" s="10"/>
      <c r="P10585" s="10"/>
      <c r="Q10585" s="10"/>
      <c r="R10585" s="10"/>
      <c r="S10585" s="10"/>
      <c r="T10585" s="10"/>
      <c r="U10585" s="10"/>
      <c r="V10585" s="10"/>
      <c r="W10585" s="10"/>
      <c r="X10585" s="10"/>
      <c r="Y10585" s="10"/>
      <c r="Z10585" s="10"/>
    </row>
    <row r="10586" spans="1:26" ht="12.75">
      <c r="A10586" s="10"/>
      <c r="B10586" s="10"/>
      <c r="C10586" s="10"/>
      <c r="D10586" s="10"/>
      <c r="E10586" s="10"/>
      <c r="F10586" s="10"/>
      <c r="G10586" s="10"/>
      <c r="H10586" s="10"/>
      <c r="I10586" s="10"/>
      <c r="J10586" s="10"/>
      <c r="K10586" s="10"/>
      <c r="L10586" s="10"/>
      <c r="M10586" s="10"/>
      <c r="N10586" s="10"/>
      <c r="O10586" s="10"/>
      <c r="P10586" s="10"/>
      <c r="Q10586" s="10"/>
      <c r="R10586" s="10"/>
      <c r="S10586" s="10"/>
      <c r="T10586" s="10"/>
      <c r="U10586" s="10"/>
      <c r="V10586" s="10"/>
      <c r="W10586" s="10"/>
      <c r="X10586" s="10"/>
      <c r="Y10586" s="10"/>
      <c r="Z10586" s="10"/>
    </row>
    <row r="10587" spans="1:26" ht="12.75">
      <c r="A10587" s="10"/>
      <c r="B10587" s="10"/>
      <c r="C10587" s="10"/>
      <c r="D10587" s="10"/>
      <c r="E10587" s="10"/>
      <c r="F10587" s="10"/>
      <c r="G10587" s="10"/>
      <c r="H10587" s="10"/>
      <c r="I10587" s="10"/>
      <c r="J10587" s="10"/>
      <c r="K10587" s="10"/>
      <c r="L10587" s="10"/>
      <c r="M10587" s="10"/>
      <c r="N10587" s="10"/>
      <c r="O10587" s="10"/>
      <c r="P10587" s="10"/>
      <c r="Q10587" s="10"/>
      <c r="R10587" s="10"/>
      <c r="S10587" s="10"/>
      <c r="T10587" s="10"/>
      <c r="U10587" s="10"/>
      <c r="V10587" s="10"/>
      <c r="W10587" s="10"/>
      <c r="X10587" s="10"/>
      <c r="Y10587" s="10"/>
      <c r="Z10587" s="10"/>
    </row>
    <row r="10588" spans="1:26" ht="12.75">
      <c r="A10588" s="10"/>
      <c r="B10588" s="10"/>
      <c r="C10588" s="10"/>
      <c r="D10588" s="10"/>
      <c r="E10588" s="10"/>
      <c r="F10588" s="10"/>
      <c r="G10588" s="10"/>
      <c r="H10588" s="10"/>
      <c r="I10588" s="10"/>
      <c r="J10588" s="10"/>
      <c r="K10588" s="10"/>
      <c r="L10588" s="10"/>
      <c r="M10588" s="10"/>
      <c r="N10588" s="10"/>
      <c r="O10588" s="10"/>
      <c r="P10588" s="10"/>
      <c r="Q10588" s="10"/>
      <c r="R10588" s="10"/>
      <c r="S10588" s="10"/>
      <c r="T10588" s="10"/>
      <c r="U10588" s="10"/>
      <c r="V10588" s="10"/>
      <c r="W10588" s="10"/>
      <c r="X10588" s="10"/>
      <c r="Y10588" s="10"/>
      <c r="Z10588" s="10"/>
    </row>
    <row r="10589" spans="1:26" ht="12.75">
      <c r="A10589" s="10"/>
      <c r="B10589" s="10"/>
      <c r="C10589" s="10"/>
      <c r="D10589" s="10"/>
      <c r="E10589" s="10"/>
      <c r="F10589" s="10"/>
      <c r="G10589" s="10"/>
      <c r="H10589" s="10"/>
      <c r="I10589" s="10"/>
      <c r="J10589" s="10"/>
      <c r="K10589" s="10"/>
      <c r="L10589" s="10"/>
      <c r="M10589" s="10"/>
      <c r="N10589" s="10"/>
      <c r="O10589" s="10"/>
      <c r="P10589" s="10"/>
      <c r="Q10589" s="10"/>
      <c r="R10589" s="10"/>
      <c r="S10589" s="10"/>
      <c r="T10589" s="10"/>
      <c r="U10589" s="10"/>
      <c r="V10589" s="10"/>
      <c r="W10589" s="10"/>
      <c r="X10589" s="10"/>
      <c r="Y10589" s="10"/>
      <c r="Z10589" s="10"/>
    </row>
    <row r="10590" spans="1:26" ht="12.75">
      <c r="A10590" s="10"/>
      <c r="B10590" s="10"/>
      <c r="C10590" s="10"/>
      <c r="D10590" s="10"/>
      <c r="E10590" s="10"/>
      <c r="F10590" s="10"/>
      <c r="G10590" s="10"/>
      <c r="H10590" s="10"/>
      <c r="I10590" s="10"/>
      <c r="J10590" s="10"/>
      <c r="K10590" s="10"/>
      <c r="L10590" s="10"/>
      <c r="M10590" s="10"/>
      <c r="N10590" s="10"/>
      <c r="O10590" s="10"/>
      <c r="P10590" s="10"/>
      <c r="Q10590" s="10"/>
      <c r="R10590" s="10"/>
      <c r="S10590" s="10"/>
      <c r="T10590" s="10"/>
      <c r="U10590" s="10"/>
      <c r="V10590" s="10"/>
      <c r="W10590" s="10"/>
      <c r="X10590" s="10"/>
      <c r="Y10590" s="10"/>
      <c r="Z10590" s="10"/>
    </row>
    <row r="10591" spans="1:26" ht="12.75">
      <c r="A10591" s="10"/>
      <c r="B10591" s="10"/>
      <c r="C10591" s="10"/>
      <c r="D10591" s="10"/>
      <c r="E10591" s="10"/>
      <c r="F10591" s="10"/>
      <c r="G10591" s="10"/>
      <c r="H10591" s="10"/>
      <c r="I10591" s="10"/>
      <c r="J10591" s="10"/>
      <c r="K10591" s="10"/>
      <c r="L10591" s="10"/>
      <c r="M10591" s="10"/>
      <c r="N10591" s="10"/>
      <c r="O10591" s="10"/>
      <c r="P10591" s="10"/>
      <c r="Q10591" s="10"/>
      <c r="R10591" s="10"/>
      <c r="S10591" s="10"/>
      <c r="T10591" s="10"/>
      <c r="U10591" s="10"/>
      <c r="V10591" s="10"/>
      <c r="W10591" s="10"/>
      <c r="X10591" s="10"/>
      <c r="Y10591" s="10"/>
      <c r="Z10591" s="10"/>
    </row>
    <row r="10592" spans="1:26" ht="12.75">
      <c r="A10592" s="10"/>
      <c r="B10592" s="10"/>
      <c r="C10592" s="10"/>
      <c r="D10592" s="10"/>
      <c r="E10592" s="10"/>
      <c r="F10592" s="10"/>
      <c r="G10592" s="10"/>
      <c r="H10592" s="10"/>
      <c r="I10592" s="10"/>
      <c r="J10592" s="10"/>
      <c r="K10592" s="10"/>
      <c r="L10592" s="10"/>
      <c r="M10592" s="10"/>
      <c r="N10592" s="10"/>
      <c r="O10592" s="10"/>
      <c r="P10592" s="10"/>
      <c r="Q10592" s="10"/>
      <c r="R10592" s="10"/>
      <c r="S10592" s="10"/>
      <c r="T10592" s="10"/>
      <c r="U10592" s="10"/>
      <c r="V10592" s="10"/>
      <c r="W10592" s="10"/>
      <c r="X10592" s="10"/>
      <c r="Y10592" s="10"/>
      <c r="Z10592" s="10"/>
    </row>
    <row r="10593" spans="1:26" ht="12.75">
      <c r="A10593" s="10"/>
      <c r="B10593" s="10"/>
      <c r="C10593" s="10"/>
      <c r="D10593" s="10"/>
      <c r="E10593" s="10"/>
      <c r="F10593" s="10"/>
      <c r="G10593" s="10"/>
      <c r="H10593" s="10"/>
      <c r="I10593" s="10"/>
      <c r="J10593" s="10"/>
      <c r="K10593" s="10"/>
      <c r="L10593" s="10"/>
      <c r="M10593" s="10"/>
      <c r="N10593" s="10"/>
      <c r="O10593" s="10"/>
      <c r="P10593" s="10"/>
      <c r="Q10593" s="10"/>
      <c r="R10593" s="10"/>
      <c r="S10593" s="10"/>
      <c r="T10593" s="10"/>
      <c r="U10593" s="10"/>
      <c r="V10593" s="10"/>
      <c r="W10593" s="10"/>
      <c r="X10593" s="10"/>
      <c r="Y10593" s="10"/>
      <c r="Z10593" s="10"/>
    </row>
    <row r="10594" spans="1:26" ht="12.75">
      <c r="A10594" s="10"/>
      <c r="B10594" s="10"/>
      <c r="C10594" s="10"/>
      <c r="D10594" s="10"/>
      <c r="E10594" s="10"/>
      <c r="F10594" s="10"/>
      <c r="G10594" s="10"/>
      <c r="H10594" s="10"/>
      <c r="I10594" s="10"/>
      <c r="J10594" s="10"/>
      <c r="K10594" s="10"/>
      <c r="L10594" s="10"/>
      <c r="M10594" s="10"/>
      <c r="N10594" s="10"/>
      <c r="O10594" s="10"/>
      <c r="P10594" s="10"/>
      <c r="Q10594" s="10"/>
      <c r="R10594" s="10"/>
      <c r="S10594" s="10"/>
      <c r="T10594" s="10"/>
      <c r="U10594" s="10"/>
      <c r="V10594" s="10"/>
      <c r="W10594" s="10"/>
      <c r="X10594" s="10"/>
      <c r="Y10594" s="10"/>
      <c r="Z10594" s="10"/>
    </row>
    <row r="10595" spans="1:26" ht="12.75">
      <c r="A10595" s="10"/>
      <c r="B10595" s="10"/>
      <c r="C10595" s="10"/>
      <c r="D10595" s="10"/>
      <c r="E10595" s="10"/>
      <c r="F10595" s="10"/>
      <c r="G10595" s="10"/>
      <c r="H10595" s="10"/>
      <c r="I10595" s="10"/>
      <c r="J10595" s="10"/>
      <c r="K10595" s="10"/>
      <c r="L10595" s="10"/>
      <c r="M10595" s="10"/>
      <c r="N10595" s="10"/>
      <c r="O10595" s="10"/>
      <c r="P10595" s="10"/>
      <c r="Q10595" s="10"/>
      <c r="R10595" s="10"/>
      <c r="S10595" s="10"/>
      <c r="T10595" s="10"/>
      <c r="U10595" s="10"/>
      <c r="V10595" s="10"/>
      <c r="W10595" s="10"/>
      <c r="X10595" s="10"/>
      <c r="Y10595" s="10"/>
      <c r="Z10595" s="10"/>
    </row>
    <row r="10596" spans="1:26" ht="12.75">
      <c r="A10596" s="10"/>
      <c r="B10596" s="10"/>
      <c r="C10596" s="10"/>
      <c r="D10596" s="10"/>
      <c r="E10596" s="10"/>
      <c r="F10596" s="10"/>
      <c r="G10596" s="10"/>
      <c r="H10596" s="10"/>
      <c r="I10596" s="10"/>
      <c r="J10596" s="10"/>
      <c r="K10596" s="10"/>
      <c r="L10596" s="10"/>
      <c r="M10596" s="10"/>
      <c r="N10596" s="10"/>
      <c r="O10596" s="10"/>
      <c r="P10596" s="10"/>
      <c r="Q10596" s="10"/>
      <c r="R10596" s="10"/>
      <c r="S10596" s="10"/>
      <c r="T10596" s="10"/>
      <c r="U10596" s="10"/>
      <c r="V10596" s="10"/>
      <c r="W10596" s="10"/>
      <c r="X10596" s="10"/>
      <c r="Y10596" s="10"/>
      <c r="Z10596" s="10"/>
    </row>
    <row r="10597" spans="1:26" ht="12.75">
      <c r="A10597" s="10"/>
      <c r="B10597" s="10"/>
      <c r="C10597" s="10"/>
      <c r="D10597" s="10"/>
      <c r="E10597" s="10"/>
      <c r="F10597" s="10"/>
      <c r="G10597" s="10"/>
      <c r="H10597" s="10"/>
      <c r="I10597" s="10"/>
      <c r="J10597" s="10"/>
      <c r="K10597" s="10"/>
      <c r="L10597" s="10"/>
      <c r="M10597" s="10"/>
      <c r="N10597" s="10"/>
      <c r="O10597" s="10"/>
      <c r="P10597" s="10"/>
      <c r="Q10597" s="10"/>
      <c r="R10597" s="10"/>
      <c r="S10597" s="10"/>
      <c r="T10597" s="10"/>
      <c r="U10597" s="10"/>
      <c r="V10597" s="10"/>
      <c r="W10597" s="10"/>
      <c r="X10597" s="10"/>
      <c r="Y10597" s="10"/>
      <c r="Z10597" s="10"/>
    </row>
    <row r="10598" spans="1:26" ht="12.75">
      <c r="A10598" s="10"/>
      <c r="B10598" s="10"/>
      <c r="C10598" s="10"/>
      <c r="D10598" s="10"/>
      <c r="E10598" s="10"/>
      <c r="F10598" s="10"/>
      <c r="G10598" s="10"/>
      <c r="H10598" s="10"/>
      <c r="I10598" s="10"/>
      <c r="J10598" s="10"/>
      <c r="K10598" s="10"/>
      <c r="L10598" s="10"/>
      <c r="M10598" s="10"/>
      <c r="N10598" s="10"/>
      <c r="O10598" s="10"/>
      <c r="P10598" s="10"/>
      <c r="Q10598" s="10"/>
      <c r="R10598" s="10"/>
      <c r="S10598" s="10"/>
      <c r="T10598" s="10"/>
      <c r="U10598" s="10"/>
      <c r="V10598" s="10"/>
      <c r="W10598" s="10"/>
      <c r="X10598" s="10"/>
      <c r="Y10598" s="10"/>
      <c r="Z10598" s="10"/>
    </row>
    <row r="10599" spans="1:26" ht="12.75">
      <c r="A10599" s="10"/>
      <c r="B10599" s="10"/>
      <c r="C10599" s="10"/>
      <c r="D10599" s="10"/>
      <c r="E10599" s="10"/>
      <c r="F10599" s="10"/>
      <c r="G10599" s="10"/>
      <c r="H10599" s="10"/>
      <c r="I10599" s="10"/>
      <c r="J10599" s="10"/>
      <c r="K10599" s="10"/>
      <c r="L10599" s="10"/>
      <c r="M10599" s="10"/>
      <c r="N10599" s="10"/>
      <c r="O10599" s="10"/>
      <c r="P10599" s="10"/>
      <c r="Q10599" s="10"/>
      <c r="R10599" s="10"/>
      <c r="S10599" s="10"/>
      <c r="T10599" s="10"/>
      <c r="U10599" s="10"/>
      <c r="V10599" s="10"/>
      <c r="W10599" s="10"/>
      <c r="X10599" s="10"/>
      <c r="Y10599" s="10"/>
      <c r="Z10599" s="10"/>
    </row>
    <row r="10600" spans="1:26" ht="12.75">
      <c r="A10600" s="10"/>
      <c r="B10600" s="10"/>
      <c r="C10600" s="10"/>
      <c r="D10600" s="10"/>
      <c r="E10600" s="10"/>
      <c r="F10600" s="10"/>
      <c r="G10600" s="10"/>
      <c r="H10600" s="10"/>
      <c r="I10600" s="10"/>
      <c r="J10600" s="10"/>
      <c r="K10600" s="10"/>
      <c r="L10600" s="10"/>
      <c r="M10600" s="10"/>
      <c r="N10600" s="10"/>
      <c r="O10600" s="10"/>
      <c r="P10600" s="10"/>
      <c r="Q10600" s="10"/>
      <c r="R10600" s="10"/>
      <c r="S10600" s="10"/>
      <c r="T10600" s="10"/>
      <c r="U10600" s="10"/>
      <c r="V10600" s="10"/>
      <c r="W10600" s="10"/>
      <c r="X10600" s="10"/>
      <c r="Y10600" s="10"/>
      <c r="Z10600" s="10"/>
    </row>
    <row r="10601" spans="1:26" ht="12.75">
      <c r="A10601" s="10"/>
      <c r="B10601" s="10"/>
      <c r="C10601" s="10"/>
      <c r="D10601" s="10"/>
      <c r="E10601" s="10"/>
      <c r="F10601" s="10"/>
      <c r="G10601" s="10"/>
      <c r="H10601" s="10"/>
      <c r="I10601" s="10"/>
      <c r="J10601" s="10"/>
      <c r="K10601" s="10"/>
      <c r="L10601" s="10"/>
      <c r="M10601" s="10"/>
      <c r="N10601" s="10"/>
      <c r="O10601" s="10"/>
      <c r="P10601" s="10"/>
      <c r="Q10601" s="10"/>
      <c r="R10601" s="10"/>
      <c r="S10601" s="10"/>
      <c r="T10601" s="10"/>
      <c r="U10601" s="10"/>
      <c r="V10601" s="10"/>
      <c r="W10601" s="10"/>
      <c r="X10601" s="10"/>
      <c r="Y10601" s="10"/>
      <c r="Z10601" s="10"/>
    </row>
    <row r="10602" spans="1:26" ht="12.75">
      <c r="A10602" s="10"/>
      <c r="B10602" s="10"/>
      <c r="C10602" s="10"/>
      <c r="D10602" s="10"/>
      <c r="E10602" s="10"/>
      <c r="F10602" s="10"/>
      <c r="G10602" s="10"/>
      <c r="H10602" s="10"/>
      <c r="I10602" s="10"/>
      <c r="J10602" s="10"/>
      <c r="K10602" s="10"/>
      <c r="L10602" s="10"/>
      <c r="M10602" s="10"/>
      <c r="N10602" s="10"/>
      <c r="O10602" s="10"/>
      <c r="P10602" s="10"/>
      <c r="Q10602" s="10"/>
      <c r="R10602" s="10"/>
      <c r="S10602" s="10"/>
      <c r="T10602" s="10"/>
      <c r="U10602" s="10"/>
      <c r="V10602" s="10"/>
      <c r="W10602" s="10"/>
      <c r="X10602" s="10"/>
      <c r="Y10602" s="10"/>
      <c r="Z10602" s="10"/>
    </row>
    <row r="10603" spans="1:26" ht="12.75">
      <c r="A10603" s="10"/>
      <c r="B10603" s="10"/>
      <c r="C10603" s="10"/>
      <c r="D10603" s="10"/>
      <c r="E10603" s="10"/>
      <c r="F10603" s="10"/>
      <c r="G10603" s="10"/>
      <c r="H10603" s="10"/>
      <c r="I10603" s="10"/>
      <c r="J10603" s="10"/>
      <c r="K10603" s="10"/>
      <c r="L10603" s="10"/>
      <c r="M10603" s="10"/>
      <c r="N10603" s="10"/>
      <c r="O10603" s="10"/>
      <c r="P10603" s="10"/>
      <c r="Q10603" s="10"/>
      <c r="R10603" s="10"/>
      <c r="S10603" s="10"/>
      <c r="T10603" s="10"/>
      <c r="U10603" s="10"/>
      <c r="V10603" s="10"/>
      <c r="W10603" s="10"/>
      <c r="X10603" s="10"/>
      <c r="Y10603" s="10"/>
      <c r="Z10603" s="10"/>
    </row>
    <row r="10604" spans="1:26" ht="12.75">
      <c r="A10604" s="10"/>
      <c r="B10604" s="10"/>
      <c r="C10604" s="10"/>
      <c r="D10604" s="10"/>
      <c r="E10604" s="10"/>
      <c r="F10604" s="10"/>
      <c r="G10604" s="10"/>
      <c r="H10604" s="10"/>
      <c r="I10604" s="10"/>
      <c r="J10604" s="10"/>
      <c r="K10604" s="10"/>
      <c r="L10604" s="10"/>
      <c r="M10604" s="10"/>
      <c r="N10604" s="10"/>
      <c r="O10604" s="10"/>
      <c r="P10604" s="10"/>
      <c r="Q10604" s="10"/>
      <c r="R10604" s="10"/>
      <c r="S10604" s="10"/>
      <c r="T10604" s="10"/>
      <c r="U10604" s="10"/>
      <c r="V10604" s="10"/>
      <c r="W10604" s="10"/>
      <c r="X10604" s="10"/>
      <c r="Y10604" s="10"/>
      <c r="Z10604" s="10"/>
    </row>
    <row r="10605" spans="1:26" ht="12.75">
      <c r="A10605" s="10"/>
      <c r="B10605" s="10"/>
      <c r="C10605" s="10"/>
      <c r="D10605" s="10"/>
      <c r="E10605" s="10"/>
      <c r="F10605" s="10"/>
      <c r="G10605" s="10"/>
      <c r="H10605" s="10"/>
      <c r="I10605" s="10"/>
      <c r="J10605" s="10"/>
      <c r="K10605" s="10"/>
      <c r="L10605" s="10"/>
      <c r="M10605" s="10"/>
      <c r="N10605" s="10"/>
      <c r="O10605" s="10"/>
      <c r="P10605" s="10"/>
      <c r="Q10605" s="10"/>
      <c r="R10605" s="10"/>
      <c r="S10605" s="10"/>
      <c r="T10605" s="10"/>
      <c r="U10605" s="10"/>
      <c r="V10605" s="10"/>
      <c r="W10605" s="10"/>
      <c r="X10605" s="10"/>
      <c r="Y10605" s="10"/>
      <c r="Z10605" s="10"/>
    </row>
    <row r="10606" spans="1:26" ht="12.75">
      <c r="A10606" s="10"/>
      <c r="B10606" s="10"/>
      <c r="C10606" s="10"/>
      <c r="D10606" s="10"/>
      <c r="E10606" s="10"/>
      <c r="F10606" s="10"/>
      <c r="G10606" s="10"/>
      <c r="H10606" s="10"/>
      <c r="I10606" s="10"/>
      <c r="J10606" s="10"/>
      <c r="K10606" s="10"/>
      <c r="L10606" s="10"/>
      <c r="M10606" s="10"/>
      <c r="N10606" s="10"/>
      <c r="O10606" s="10"/>
      <c r="P10606" s="10"/>
      <c r="Q10606" s="10"/>
      <c r="R10606" s="10"/>
      <c r="S10606" s="10"/>
      <c r="T10606" s="10"/>
      <c r="U10606" s="10"/>
      <c r="V10606" s="10"/>
      <c r="W10606" s="10"/>
      <c r="X10606" s="10"/>
      <c r="Y10606" s="10"/>
      <c r="Z10606" s="10"/>
    </row>
    <row r="10607" spans="1:26" ht="12.75">
      <c r="A10607" s="10"/>
      <c r="B10607" s="10"/>
      <c r="C10607" s="10"/>
      <c r="D10607" s="10"/>
      <c r="E10607" s="10"/>
      <c r="F10607" s="10"/>
      <c r="G10607" s="10"/>
      <c r="H10607" s="10"/>
      <c r="I10607" s="10"/>
      <c r="J10607" s="10"/>
      <c r="K10607" s="10"/>
      <c r="L10607" s="10"/>
      <c r="M10607" s="10"/>
      <c r="N10607" s="10"/>
      <c r="O10607" s="10"/>
      <c r="P10607" s="10"/>
      <c r="Q10607" s="10"/>
      <c r="R10607" s="10"/>
      <c r="S10607" s="10"/>
      <c r="T10607" s="10"/>
      <c r="U10607" s="10"/>
      <c r="V10607" s="10"/>
      <c r="W10607" s="10"/>
      <c r="X10607" s="10"/>
      <c r="Y10607" s="10"/>
      <c r="Z10607" s="10"/>
    </row>
    <row r="10608" spans="1:26" ht="12.75">
      <c r="A10608" s="10"/>
      <c r="B10608" s="10"/>
      <c r="C10608" s="10"/>
      <c r="D10608" s="10"/>
      <c r="E10608" s="10"/>
      <c r="F10608" s="10"/>
      <c r="G10608" s="10"/>
      <c r="H10608" s="10"/>
      <c r="I10608" s="10"/>
      <c r="J10608" s="10"/>
      <c r="K10608" s="10"/>
      <c r="L10608" s="10"/>
      <c r="M10608" s="10"/>
      <c r="N10608" s="10"/>
      <c r="O10608" s="10"/>
      <c r="P10608" s="10"/>
      <c r="Q10608" s="10"/>
      <c r="R10608" s="10"/>
      <c r="S10608" s="10"/>
      <c r="T10608" s="10"/>
      <c r="U10608" s="10"/>
      <c r="V10608" s="10"/>
      <c r="W10608" s="10"/>
      <c r="X10608" s="10"/>
      <c r="Y10608" s="10"/>
      <c r="Z10608" s="10"/>
    </row>
    <row r="10609" spans="1:26" ht="12.75">
      <c r="A10609" s="10"/>
      <c r="B10609" s="10"/>
      <c r="C10609" s="10"/>
      <c r="D10609" s="10"/>
      <c r="E10609" s="10"/>
      <c r="F10609" s="10"/>
      <c r="G10609" s="10"/>
      <c r="H10609" s="10"/>
      <c r="I10609" s="10"/>
      <c r="J10609" s="10"/>
      <c r="K10609" s="10"/>
      <c r="L10609" s="10"/>
      <c r="M10609" s="10"/>
      <c r="N10609" s="10"/>
      <c r="O10609" s="10"/>
      <c r="P10609" s="10"/>
      <c r="Q10609" s="10"/>
      <c r="R10609" s="10"/>
      <c r="S10609" s="10"/>
      <c r="T10609" s="10"/>
      <c r="U10609" s="10"/>
      <c r="V10609" s="10"/>
      <c r="W10609" s="10"/>
      <c r="X10609" s="10"/>
      <c r="Y10609" s="10"/>
      <c r="Z10609" s="10"/>
    </row>
    <row r="10610" spans="1:26" ht="12.75">
      <c r="A10610" s="10"/>
      <c r="B10610" s="10"/>
      <c r="C10610" s="10"/>
      <c r="D10610" s="10"/>
      <c r="E10610" s="10"/>
      <c r="F10610" s="10"/>
      <c r="G10610" s="10"/>
      <c r="H10610" s="10"/>
      <c r="I10610" s="10"/>
      <c r="J10610" s="10"/>
      <c r="K10610" s="10"/>
      <c r="L10610" s="10"/>
      <c r="M10610" s="10"/>
      <c r="N10610" s="10"/>
      <c r="O10610" s="10"/>
      <c r="P10610" s="10"/>
      <c r="Q10610" s="10"/>
      <c r="R10610" s="10"/>
      <c r="S10610" s="10"/>
      <c r="T10610" s="10"/>
      <c r="U10610" s="10"/>
      <c r="V10610" s="10"/>
      <c r="W10610" s="10"/>
      <c r="X10610" s="10"/>
      <c r="Y10610" s="10"/>
      <c r="Z10610" s="10"/>
    </row>
    <row r="10611" spans="1:26" ht="12.75">
      <c r="A10611" s="10"/>
      <c r="B10611" s="10"/>
      <c r="C10611" s="10"/>
      <c r="D10611" s="10"/>
      <c r="E10611" s="10"/>
      <c r="F10611" s="10"/>
      <c r="G10611" s="10"/>
      <c r="H10611" s="10"/>
      <c r="I10611" s="10"/>
      <c r="J10611" s="10"/>
      <c r="K10611" s="10"/>
      <c r="L10611" s="10"/>
      <c r="M10611" s="10"/>
      <c r="N10611" s="10"/>
      <c r="O10611" s="10"/>
      <c r="P10611" s="10"/>
      <c r="Q10611" s="10"/>
      <c r="R10611" s="10"/>
      <c r="S10611" s="10"/>
      <c r="T10611" s="10"/>
      <c r="U10611" s="10"/>
      <c r="V10611" s="10"/>
      <c r="W10611" s="10"/>
      <c r="X10611" s="10"/>
      <c r="Y10611" s="10"/>
      <c r="Z10611" s="10"/>
    </row>
    <row r="10612" spans="1:26" ht="12.75">
      <c r="A10612" s="10"/>
      <c r="B10612" s="10"/>
      <c r="C10612" s="10"/>
      <c r="D10612" s="10"/>
      <c r="E10612" s="10"/>
      <c r="F10612" s="10"/>
      <c r="G10612" s="10"/>
      <c r="H10612" s="10"/>
      <c r="I10612" s="10"/>
      <c r="J10612" s="10"/>
      <c r="K10612" s="10"/>
      <c r="L10612" s="10"/>
      <c r="M10612" s="10"/>
      <c r="N10612" s="10"/>
      <c r="O10612" s="10"/>
      <c r="P10612" s="10"/>
      <c r="Q10612" s="10"/>
      <c r="R10612" s="10"/>
      <c r="S10612" s="10"/>
      <c r="T10612" s="10"/>
      <c r="U10612" s="10"/>
      <c r="V10612" s="10"/>
      <c r="W10612" s="10"/>
      <c r="X10612" s="10"/>
      <c r="Y10612" s="10"/>
      <c r="Z10612" s="10"/>
    </row>
    <row r="10613" spans="1:26" ht="12.75">
      <c r="A10613" s="10"/>
      <c r="B10613" s="10"/>
      <c r="C10613" s="10"/>
      <c r="D10613" s="10"/>
      <c r="E10613" s="10"/>
      <c r="F10613" s="10"/>
      <c r="G10613" s="10"/>
      <c r="H10613" s="10"/>
      <c r="I10613" s="10"/>
      <c r="J10613" s="10"/>
      <c r="K10613" s="10"/>
      <c r="L10613" s="10"/>
      <c r="M10613" s="10"/>
      <c r="N10613" s="10"/>
      <c r="O10613" s="10"/>
      <c r="P10613" s="10"/>
      <c r="Q10613" s="10"/>
      <c r="R10613" s="10"/>
      <c r="S10613" s="10"/>
      <c r="T10613" s="10"/>
      <c r="U10613" s="10"/>
      <c r="V10613" s="10"/>
      <c r="W10613" s="10"/>
      <c r="X10613" s="10"/>
      <c r="Y10613" s="10"/>
      <c r="Z10613" s="10"/>
    </row>
    <row r="10614" spans="1:26" ht="12.75">
      <c r="A10614" s="10"/>
      <c r="B10614" s="10"/>
      <c r="C10614" s="10"/>
      <c r="D10614" s="10"/>
      <c r="E10614" s="10"/>
      <c r="F10614" s="10"/>
      <c r="G10614" s="10"/>
      <c r="H10614" s="10"/>
      <c r="I10614" s="10"/>
      <c r="J10614" s="10"/>
      <c r="K10614" s="10"/>
      <c r="L10614" s="10"/>
      <c r="M10614" s="10"/>
      <c r="N10614" s="10"/>
      <c r="O10614" s="10"/>
      <c r="P10614" s="10"/>
      <c r="Q10614" s="10"/>
      <c r="R10614" s="10"/>
      <c r="S10614" s="10"/>
      <c r="T10614" s="10"/>
      <c r="U10614" s="10"/>
      <c r="V10614" s="10"/>
      <c r="W10614" s="10"/>
      <c r="X10614" s="10"/>
      <c r="Y10614" s="10"/>
      <c r="Z10614" s="10"/>
    </row>
    <row r="10615" spans="1:26" ht="12.75">
      <c r="A10615" s="10"/>
      <c r="B10615" s="10"/>
      <c r="C10615" s="10"/>
      <c r="D10615" s="10"/>
      <c r="E10615" s="10"/>
      <c r="F10615" s="10"/>
      <c r="G10615" s="10"/>
      <c r="H10615" s="10"/>
      <c r="I10615" s="10"/>
      <c r="J10615" s="10"/>
      <c r="K10615" s="10"/>
      <c r="L10615" s="10"/>
      <c r="M10615" s="10"/>
      <c r="N10615" s="10"/>
      <c r="O10615" s="10"/>
      <c r="P10615" s="10"/>
      <c r="Q10615" s="10"/>
      <c r="R10615" s="10"/>
      <c r="S10615" s="10"/>
      <c r="T10615" s="10"/>
      <c r="U10615" s="10"/>
      <c r="V10615" s="10"/>
      <c r="W10615" s="10"/>
      <c r="X10615" s="10"/>
      <c r="Y10615" s="10"/>
      <c r="Z10615" s="10"/>
    </row>
    <row r="10616" spans="1:26" ht="12.75">
      <c r="A10616" s="10"/>
      <c r="B10616" s="10"/>
      <c r="C10616" s="10"/>
      <c r="D10616" s="10"/>
      <c r="E10616" s="10"/>
      <c r="F10616" s="10"/>
      <c r="G10616" s="10"/>
      <c r="H10616" s="10"/>
      <c r="I10616" s="10"/>
      <c r="J10616" s="10"/>
      <c r="K10616" s="10"/>
      <c r="L10616" s="10"/>
      <c r="M10616" s="10"/>
      <c r="N10616" s="10"/>
      <c r="O10616" s="10"/>
      <c r="P10616" s="10"/>
      <c r="Q10616" s="10"/>
      <c r="R10616" s="10"/>
      <c r="S10616" s="10"/>
      <c r="T10616" s="10"/>
      <c r="U10616" s="10"/>
      <c r="V10616" s="10"/>
      <c r="W10616" s="10"/>
      <c r="X10616" s="10"/>
      <c r="Y10616" s="10"/>
      <c r="Z10616" s="10"/>
    </row>
    <row r="10617" spans="1:26" ht="12.75">
      <c r="A10617" s="10"/>
      <c r="B10617" s="10"/>
      <c r="C10617" s="10"/>
      <c r="D10617" s="10"/>
      <c r="E10617" s="10"/>
      <c r="F10617" s="10"/>
      <c r="G10617" s="10"/>
      <c r="H10617" s="10"/>
      <c r="I10617" s="10"/>
      <c r="J10617" s="10"/>
      <c r="K10617" s="10"/>
      <c r="L10617" s="10"/>
      <c r="M10617" s="10"/>
      <c r="N10617" s="10"/>
      <c r="O10617" s="10"/>
      <c r="P10617" s="10"/>
      <c r="Q10617" s="10"/>
      <c r="R10617" s="10"/>
      <c r="S10617" s="10"/>
      <c r="T10617" s="10"/>
      <c r="U10617" s="10"/>
      <c r="V10617" s="10"/>
      <c r="W10617" s="10"/>
      <c r="X10617" s="10"/>
      <c r="Y10617" s="10"/>
      <c r="Z10617" s="10"/>
    </row>
    <row r="10618" spans="1:26" ht="12.75">
      <c r="A10618" s="10"/>
      <c r="B10618" s="10"/>
      <c r="C10618" s="10"/>
      <c r="D10618" s="10"/>
      <c r="E10618" s="10"/>
      <c r="F10618" s="10"/>
      <c r="G10618" s="10"/>
      <c r="H10618" s="10"/>
      <c r="I10618" s="10"/>
      <c r="J10618" s="10"/>
      <c r="K10618" s="10"/>
      <c r="L10618" s="10"/>
      <c r="M10618" s="10"/>
      <c r="N10618" s="10"/>
      <c r="O10618" s="10"/>
      <c r="P10618" s="10"/>
      <c r="Q10618" s="10"/>
      <c r="R10618" s="10"/>
      <c r="S10618" s="10"/>
      <c r="T10618" s="10"/>
      <c r="U10618" s="10"/>
      <c r="V10618" s="10"/>
      <c r="W10618" s="10"/>
      <c r="X10618" s="10"/>
      <c r="Y10618" s="10"/>
      <c r="Z10618" s="10"/>
    </row>
    <row r="10619" spans="1:26" ht="12.75">
      <c r="A10619" s="10"/>
      <c r="B10619" s="10"/>
      <c r="C10619" s="10"/>
      <c r="D10619" s="10"/>
      <c r="E10619" s="10"/>
      <c r="F10619" s="10"/>
      <c r="G10619" s="10"/>
      <c r="H10619" s="10"/>
      <c r="I10619" s="10"/>
      <c r="J10619" s="10"/>
      <c r="K10619" s="10"/>
      <c r="L10619" s="10"/>
      <c r="M10619" s="10"/>
      <c r="N10619" s="10"/>
      <c r="O10619" s="10"/>
      <c r="P10619" s="10"/>
      <c r="Q10619" s="10"/>
      <c r="R10619" s="10"/>
      <c r="S10619" s="10"/>
      <c r="T10619" s="10"/>
      <c r="U10619" s="10"/>
      <c r="V10619" s="10"/>
      <c r="W10619" s="10"/>
      <c r="X10619" s="10"/>
      <c r="Y10619" s="10"/>
      <c r="Z10619" s="10"/>
    </row>
    <row r="10620" spans="1:26" ht="12.75">
      <c r="A10620" s="10"/>
      <c r="B10620" s="10"/>
      <c r="C10620" s="10"/>
      <c r="D10620" s="10"/>
      <c r="E10620" s="10"/>
      <c r="F10620" s="10"/>
      <c r="G10620" s="10"/>
      <c r="H10620" s="10"/>
      <c r="I10620" s="10"/>
      <c r="J10620" s="10"/>
      <c r="K10620" s="10"/>
      <c r="L10620" s="10"/>
      <c r="M10620" s="10"/>
      <c r="N10620" s="10"/>
      <c r="O10620" s="10"/>
      <c r="P10620" s="10"/>
      <c r="Q10620" s="10"/>
      <c r="R10620" s="10"/>
      <c r="S10620" s="10"/>
      <c r="T10620" s="10"/>
      <c r="U10620" s="10"/>
      <c r="V10620" s="10"/>
      <c r="W10620" s="10"/>
      <c r="X10620" s="10"/>
      <c r="Y10620" s="10"/>
      <c r="Z10620" s="10"/>
    </row>
    <row r="10621" spans="1:26" ht="12.75">
      <c r="A10621" s="10"/>
      <c r="B10621" s="10"/>
      <c r="C10621" s="10"/>
      <c r="D10621" s="10"/>
      <c r="E10621" s="10"/>
      <c r="F10621" s="10"/>
      <c r="G10621" s="10"/>
      <c r="H10621" s="10"/>
      <c r="I10621" s="10"/>
      <c r="J10621" s="10"/>
      <c r="K10621" s="10"/>
      <c r="L10621" s="10"/>
      <c r="M10621" s="10"/>
      <c r="N10621" s="10"/>
      <c r="O10621" s="10"/>
      <c r="P10621" s="10"/>
      <c r="Q10621" s="10"/>
      <c r="R10621" s="10"/>
      <c r="S10621" s="10"/>
      <c r="T10621" s="10"/>
      <c r="U10621" s="10"/>
      <c r="V10621" s="10"/>
      <c r="W10621" s="10"/>
      <c r="X10621" s="10"/>
      <c r="Y10621" s="10"/>
      <c r="Z10621" s="10"/>
    </row>
    <row r="10622" spans="1:26" ht="12.75">
      <c r="A10622" s="10"/>
      <c r="B10622" s="10"/>
      <c r="C10622" s="10"/>
      <c r="D10622" s="10"/>
      <c r="E10622" s="10"/>
      <c r="F10622" s="10"/>
      <c r="G10622" s="10"/>
      <c r="H10622" s="10"/>
      <c r="I10622" s="10"/>
      <c r="J10622" s="10"/>
      <c r="K10622" s="10"/>
      <c r="L10622" s="10"/>
      <c r="M10622" s="10"/>
      <c r="N10622" s="10"/>
      <c r="O10622" s="10"/>
      <c r="P10622" s="10"/>
      <c r="Q10622" s="10"/>
      <c r="R10622" s="10"/>
      <c r="S10622" s="10"/>
      <c r="T10622" s="10"/>
      <c r="U10622" s="10"/>
      <c r="V10622" s="10"/>
      <c r="W10622" s="10"/>
      <c r="X10622" s="10"/>
      <c r="Y10622" s="10"/>
      <c r="Z10622" s="10"/>
    </row>
    <row r="10623" spans="1:26" ht="12.75">
      <c r="A10623" s="10"/>
      <c r="B10623" s="10"/>
      <c r="C10623" s="10"/>
      <c r="D10623" s="10"/>
      <c r="E10623" s="10"/>
      <c r="F10623" s="10"/>
      <c r="G10623" s="10"/>
      <c r="H10623" s="10"/>
      <c r="I10623" s="10"/>
      <c r="J10623" s="10"/>
      <c r="K10623" s="10"/>
      <c r="L10623" s="10"/>
      <c r="M10623" s="10"/>
      <c r="N10623" s="10"/>
      <c r="O10623" s="10"/>
      <c r="P10623" s="10"/>
      <c r="Q10623" s="10"/>
      <c r="R10623" s="10"/>
      <c r="S10623" s="10"/>
      <c r="T10623" s="10"/>
      <c r="U10623" s="10"/>
      <c r="V10623" s="10"/>
      <c r="W10623" s="10"/>
      <c r="X10623" s="10"/>
      <c r="Y10623" s="10"/>
      <c r="Z10623" s="10"/>
    </row>
    <row r="10624" spans="1:26" ht="12.75">
      <c r="A10624" s="10"/>
      <c r="B10624" s="10"/>
      <c r="C10624" s="10"/>
      <c r="D10624" s="10"/>
      <c r="E10624" s="10"/>
      <c r="F10624" s="10"/>
      <c r="G10624" s="10"/>
      <c r="H10624" s="10"/>
      <c r="I10624" s="10"/>
      <c r="J10624" s="10"/>
      <c r="K10624" s="10"/>
      <c r="L10624" s="10"/>
      <c r="M10624" s="10"/>
      <c r="N10624" s="10"/>
      <c r="O10624" s="10"/>
      <c r="P10624" s="10"/>
      <c r="Q10624" s="10"/>
      <c r="R10624" s="10"/>
      <c r="S10624" s="10"/>
      <c r="T10624" s="10"/>
      <c r="U10624" s="10"/>
      <c r="V10624" s="10"/>
      <c r="W10624" s="10"/>
      <c r="X10624" s="10"/>
      <c r="Y10624" s="10"/>
      <c r="Z10624" s="10"/>
    </row>
    <row r="10625" spans="1:26" ht="12.75">
      <c r="A10625" s="10"/>
      <c r="B10625" s="10"/>
      <c r="C10625" s="10"/>
      <c r="D10625" s="10"/>
      <c r="E10625" s="10"/>
      <c r="F10625" s="10"/>
      <c r="G10625" s="10"/>
      <c r="H10625" s="10"/>
      <c r="I10625" s="10"/>
      <c r="J10625" s="10"/>
      <c r="K10625" s="10"/>
      <c r="L10625" s="10"/>
      <c r="M10625" s="10"/>
      <c r="N10625" s="10"/>
      <c r="O10625" s="10"/>
      <c r="P10625" s="10"/>
      <c r="Q10625" s="10"/>
      <c r="R10625" s="10"/>
      <c r="S10625" s="10"/>
      <c r="T10625" s="10"/>
      <c r="U10625" s="10"/>
      <c r="V10625" s="10"/>
      <c r="W10625" s="10"/>
      <c r="X10625" s="10"/>
      <c r="Y10625" s="10"/>
      <c r="Z10625" s="10"/>
    </row>
    <row r="10626" spans="1:26" ht="12.75">
      <c r="A10626" s="10"/>
      <c r="B10626" s="10"/>
      <c r="C10626" s="10"/>
      <c r="D10626" s="10"/>
      <c r="E10626" s="10"/>
      <c r="F10626" s="10"/>
      <c r="G10626" s="10"/>
      <c r="H10626" s="10"/>
      <c r="I10626" s="10"/>
      <c r="J10626" s="10"/>
      <c r="K10626" s="10"/>
      <c r="L10626" s="10"/>
      <c r="M10626" s="10"/>
      <c r="N10626" s="10"/>
      <c r="O10626" s="10"/>
      <c r="P10626" s="10"/>
      <c r="Q10626" s="10"/>
      <c r="R10626" s="10"/>
      <c r="S10626" s="10"/>
      <c r="T10626" s="10"/>
      <c r="U10626" s="10"/>
      <c r="V10626" s="10"/>
      <c r="W10626" s="10"/>
      <c r="X10626" s="10"/>
      <c r="Y10626" s="10"/>
      <c r="Z10626" s="10"/>
    </row>
    <row r="10627" spans="1:26" ht="12.75">
      <c r="A10627" s="10"/>
      <c r="B10627" s="10"/>
      <c r="C10627" s="10"/>
      <c r="D10627" s="10"/>
      <c r="E10627" s="10"/>
      <c r="F10627" s="10"/>
      <c r="G10627" s="10"/>
      <c r="H10627" s="10"/>
      <c r="I10627" s="10"/>
      <c r="J10627" s="10"/>
      <c r="K10627" s="10"/>
      <c r="L10627" s="10"/>
      <c r="M10627" s="10"/>
      <c r="N10627" s="10"/>
      <c r="O10627" s="10"/>
      <c r="P10627" s="10"/>
      <c r="Q10627" s="10"/>
      <c r="R10627" s="10"/>
      <c r="S10627" s="10"/>
      <c r="T10627" s="10"/>
      <c r="U10627" s="10"/>
      <c r="V10627" s="10"/>
      <c r="W10627" s="10"/>
      <c r="X10627" s="10"/>
      <c r="Y10627" s="10"/>
      <c r="Z10627" s="10"/>
    </row>
    <row r="10628" spans="1:26" ht="12.75">
      <c r="A10628" s="10"/>
      <c r="B10628" s="10"/>
      <c r="C10628" s="10"/>
      <c r="D10628" s="10"/>
      <c r="E10628" s="10"/>
      <c r="F10628" s="10"/>
      <c r="G10628" s="10"/>
      <c r="H10628" s="10"/>
      <c r="I10628" s="10"/>
      <c r="J10628" s="10"/>
      <c r="K10628" s="10"/>
      <c r="L10628" s="10"/>
      <c r="M10628" s="10"/>
      <c r="N10628" s="10"/>
      <c r="O10628" s="10"/>
      <c r="P10628" s="10"/>
      <c r="Q10628" s="10"/>
      <c r="R10628" s="10"/>
      <c r="S10628" s="10"/>
      <c r="T10628" s="10"/>
      <c r="U10628" s="10"/>
      <c r="V10628" s="10"/>
      <c r="W10628" s="10"/>
      <c r="X10628" s="10"/>
      <c r="Y10628" s="10"/>
      <c r="Z10628" s="10"/>
    </row>
    <row r="10629" spans="1:26" ht="12.75">
      <c r="A10629" s="10"/>
      <c r="B10629" s="10"/>
      <c r="C10629" s="10"/>
      <c r="D10629" s="10"/>
      <c r="E10629" s="10"/>
      <c r="F10629" s="10"/>
      <c r="G10629" s="10"/>
      <c r="H10629" s="10"/>
      <c r="I10629" s="10"/>
      <c r="J10629" s="10"/>
      <c r="K10629" s="10"/>
      <c r="L10629" s="10"/>
      <c r="M10629" s="10"/>
      <c r="N10629" s="10"/>
      <c r="O10629" s="10"/>
      <c r="P10629" s="10"/>
      <c r="Q10629" s="10"/>
      <c r="R10629" s="10"/>
      <c r="S10629" s="10"/>
      <c r="T10629" s="10"/>
      <c r="U10629" s="10"/>
      <c r="V10629" s="10"/>
      <c r="W10629" s="10"/>
      <c r="X10629" s="10"/>
      <c r="Y10629" s="10"/>
      <c r="Z10629" s="10"/>
    </row>
    <row r="10630" spans="1:26" ht="12.75">
      <c r="A10630" s="10"/>
      <c r="B10630" s="10"/>
      <c r="C10630" s="10"/>
      <c r="D10630" s="10"/>
      <c r="E10630" s="10"/>
      <c r="F10630" s="10"/>
      <c r="G10630" s="10"/>
      <c r="H10630" s="10"/>
      <c r="I10630" s="10"/>
      <c r="J10630" s="10"/>
      <c r="K10630" s="10"/>
      <c r="L10630" s="10"/>
      <c r="M10630" s="10"/>
      <c r="N10630" s="10"/>
      <c r="O10630" s="10"/>
      <c r="P10630" s="10"/>
      <c r="Q10630" s="10"/>
      <c r="R10630" s="10"/>
      <c r="S10630" s="10"/>
      <c r="T10630" s="10"/>
      <c r="U10630" s="10"/>
      <c r="V10630" s="10"/>
      <c r="W10630" s="10"/>
      <c r="X10630" s="10"/>
      <c r="Y10630" s="10"/>
      <c r="Z10630" s="10"/>
    </row>
    <row r="10631" spans="1:26" ht="12.75">
      <c r="A10631" s="10"/>
      <c r="B10631" s="10"/>
      <c r="C10631" s="10"/>
      <c r="D10631" s="10"/>
      <c r="E10631" s="10"/>
      <c r="F10631" s="10"/>
      <c r="G10631" s="10"/>
      <c r="H10631" s="10"/>
      <c r="I10631" s="10"/>
      <c r="J10631" s="10"/>
      <c r="K10631" s="10"/>
      <c r="L10631" s="10"/>
      <c r="M10631" s="10"/>
      <c r="N10631" s="10"/>
      <c r="O10631" s="10"/>
      <c r="P10631" s="10"/>
      <c r="Q10631" s="10"/>
      <c r="R10631" s="10"/>
      <c r="S10631" s="10"/>
      <c r="T10631" s="10"/>
      <c r="U10631" s="10"/>
      <c r="V10631" s="10"/>
      <c r="W10631" s="10"/>
      <c r="X10631" s="10"/>
      <c r="Y10631" s="10"/>
      <c r="Z10631" s="10"/>
    </row>
    <row r="10632" spans="1:26" ht="12.75">
      <c r="A10632" s="10"/>
      <c r="B10632" s="10"/>
      <c r="C10632" s="10"/>
      <c r="D10632" s="10"/>
      <c r="E10632" s="10"/>
      <c r="F10632" s="10"/>
      <c r="G10632" s="10"/>
      <c r="H10632" s="10"/>
      <c r="I10632" s="10"/>
      <c r="J10632" s="10"/>
      <c r="K10632" s="10"/>
      <c r="L10632" s="10"/>
      <c r="M10632" s="10"/>
      <c r="N10632" s="10"/>
      <c r="O10632" s="10"/>
      <c r="P10632" s="10"/>
      <c r="Q10632" s="10"/>
      <c r="R10632" s="10"/>
      <c r="S10632" s="10"/>
      <c r="T10632" s="10"/>
      <c r="U10632" s="10"/>
      <c r="V10632" s="10"/>
      <c r="W10632" s="10"/>
      <c r="X10632" s="10"/>
      <c r="Y10632" s="10"/>
      <c r="Z10632" s="10"/>
    </row>
    <row r="10633" spans="1:26" ht="12.75">
      <c r="A10633" s="10"/>
      <c r="B10633" s="10"/>
      <c r="C10633" s="10"/>
      <c r="D10633" s="10"/>
      <c r="E10633" s="10"/>
      <c r="F10633" s="10"/>
      <c r="G10633" s="10"/>
      <c r="H10633" s="10"/>
      <c r="I10633" s="10"/>
      <c r="J10633" s="10"/>
      <c r="K10633" s="10"/>
      <c r="L10633" s="10"/>
      <c r="M10633" s="10"/>
      <c r="N10633" s="10"/>
      <c r="O10633" s="10"/>
      <c r="P10633" s="10"/>
      <c r="Q10633" s="10"/>
      <c r="R10633" s="10"/>
      <c r="S10633" s="10"/>
      <c r="T10633" s="10"/>
      <c r="U10633" s="10"/>
      <c r="V10633" s="10"/>
      <c r="W10633" s="10"/>
      <c r="X10633" s="10"/>
      <c r="Y10633" s="10"/>
      <c r="Z10633" s="10"/>
    </row>
    <row r="10634" spans="1:26" ht="12.75">
      <c r="A10634" s="10"/>
      <c r="B10634" s="10"/>
      <c r="C10634" s="10"/>
      <c r="D10634" s="10"/>
      <c r="E10634" s="10"/>
      <c r="F10634" s="10"/>
      <c r="G10634" s="10"/>
      <c r="H10634" s="10"/>
      <c r="I10634" s="10"/>
      <c r="J10634" s="10"/>
      <c r="K10634" s="10"/>
      <c r="L10634" s="10"/>
      <c r="M10634" s="10"/>
      <c r="N10634" s="10"/>
      <c r="O10634" s="10"/>
      <c r="P10634" s="10"/>
      <c r="Q10634" s="10"/>
      <c r="R10634" s="10"/>
      <c r="S10634" s="10"/>
      <c r="T10634" s="10"/>
      <c r="U10634" s="10"/>
      <c r="V10634" s="10"/>
      <c r="W10634" s="10"/>
      <c r="X10634" s="10"/>
      <c r="Y10634" s="10"/>
      <c r="Z10634" s="10"/>
    </row>
    <row r="10635" spans="1:26" ht="12.75">
      <c r="A10635" s="10"/>
      <c r="B10635" s="10"/>
      <c r="C10635" s="10"/>
      <c r="D10635" s="10"/>
      <c r="E10635" s="10"/>
      <c r="F10635" s="10"/>
      <c r="G10635" s="10"/>
      <c r="H10635" s="10"/>
      <c r="I10635" s="10"/>
      <c r="J10635" s="10"/>
      <c r="K10635" s="10"/>
      <c r="L10635" s="10"/>
      <c r="M10635" s="10"/>
      <c r="N10635" s="10"/>
      <c r="O10635" s="10"/>
      <c r="P10635" s="10"/>
      <c r="Q10635" s="10"/>
      <c r="R10635" s="10"/>
      <c r="S10635" s="10"/>
      <c r="T10635" s="10"/>
      <c r="U10635" s="10"/>
      <c r="V10635" s="10"/>
      <c r="W10635" s="10"/>
      <c r="X10635" s="10"/>
      <c r="Y10635" s="10"/>
      <c r="Z10635" s="10"/>
    </row>
    <row r="10636" spans="1:26" ht="12.75">
      <c r="A10636" s="10"/>
      <c r="B10636" s="10"/>
      <c r="C10636" s="10"/>
      <c r="D10636" s="10"/>
      <c r="E10636" s="10"/>
      <c r="F10636" s="10"/>
      <c r="G10636" s="10"/>
      <c r="H10636" s="10"/>
      <c r="I10636" s="10"/>
      <c r="J10636" s="10"/>
      <c r="K10636" s="10"/>
      <c r="L10636" s="10"/>
      <c r="M10636" s="10"/>
      <c r="N10636" s="10"/>
      <c r="O10636" s="10"/>
      <c r="P10636" s="10"/>
      <c r="Q10636" s="10"/>
      <c r="R10636" s="10"/>
      <c r="S10636" s="10"/>
      <c r="T10636" s="10"/>
      <c r="U10636" s="10"/>
      <c r="V10636" s="10"/>
      <c r="W10636" s="10"/>
      <c r="X10636" s="10"/>
      <c r="Y10636" s="10"/>
      <c r="Z10636" s="10"/>
    </row>
    <row r="10637" spans="1:26" ht="12.75">
      <c r="A10637" s="10"/>
      <c r="B10637" s="10"/>
      <c r="C10637" s="10"/>
      <c r="D10637" s="10"/>
      <c r="E10637" s="10"/>
      <c r="F10637" s="10"/>
      <c r="G10637" s="10"/>
      <c r="H10637" s="10"/>
      <c r="I10637" s="10"/>
      <c r="J10637" s="10"/>
      <c r="K10637" s="10"/>
      <c r="L10637" s="10"/>
      <c r="M10637" s="10"/>
      <c r="N10637" s="10"/>
      <c r="O10637" s="10"/>
      <c r="P10637" s="10"/>
      <c r="Q10637" s="10"/>
      <c r="R10637" s="10"/>
      <c r="S10637" s="10"/>
      <c r="T10637" s="10"/>
      <c r="U10637" s="10"/>
      <c r="V10637" s="10"/>
      <c r="W10637" s="10"/>
      <c r="X10637" s="10"/>
      <c r="Y10637" s="10"/>
      <c r="Z10637" s="10"/>
    </row>
    <row r="10638" spans="1:26" ht="12.75">
      <c r="A10638" s="10"/>
      <c r="B10638" s="10"/>
      <c r="C10638" s="10"/>
      <c r="D10638" s="10"/>
      <c r="E10638" s="10"/>
      <c r="F10638" s="10"/>
      <c r="G10638" s="10"/>
      <c r="H10638" s="10"/>
      <c r="I10638" s="10"/>
      <c r="J10638" s="10"/>
      <c r="K10638" s="10"/>
      <c r="L10638" s="10"/>
      <c r="M10638" s="10"/>
      <c r="N10638" s="10"/>
      <c r="O10638" s="10"/>
      <c r="P10638" s="10"/>
      <c r="Q10638" s="10"/>
      <c r="R10638" s="10"/>
      <c r="S10638" s="10"/>
      <c r="T10638" s="10"/>
      <c r="U10638" s="10"/>
      <c r="V10638" s="10"/>
      <c r="W10638" s="10"/>
      <c r="X10638" s="10"/>
      <c r="Y10638" s="10"/>
      <c r="Z10638" s="10"/>
    </row>
    <row r="10639" spans="1:26" ht="12.75">
      <c r="A10639" s="10"/>
      <c r="B10639" s="10"/>
      <c r="C10639" s="10"/>
      <c r="D10639" s="10"/>
      <c r="E10639" s="10"/>
      <c r="F10639" s="10"/>
      <c r="G10639" s="10"/>
      <c r="H10639" s="10"/>
      <c r="I10639" s="10"/>
      <c r="J10639" s="10"/>
      <c r="K10639" s="10"/>
      <c r="L10639" s="10"/>
      <c r="M10639" s="10"/>
      <c r="N10639" s="10"/>
      <c r="O10639" s="10"/>
      <c r="P10639" s="10"/>
      <c r="Q10639" s="10"/>
      <c r="R10639" s="10"/>
      <c r="S10639" s="10"/>
      <c r="T10639" s="10"/>
      <c r="U10639" s="10"/>
      <c r="V10639" s="10"/>
      <c r="W10639" s="10"/>
      <c r="X10639" s="10"/>
      <c r="Y10639" s="10"/>
      <c r="Z10639" s="10"/>
    </row>
    <row r="10640" spans="1:26" ht="12.75">
      <c r="A10640" s="10"/>
      <c r="B10640" s="10"/>
      <c r="C10640" s="10"/>
      <c r="D10640" s="10"/>
      <c r="E10640" s="10"/>
      <c r="F10640" s="10"/>
      <c r="G10640" s="10"/>
      <c r="H10640" s="10"/>
      <c r="I10640" s="10"/>
      <c r="J10640" s="10"/>
      <c r="K10640" s="10"/>
      <c r="L10640" s="10"/>
      <c r="M10640" s="10"/>
      <c r="N10640" s="10"/>
      <c r="O10640" s="10"/>
      <c r="P10640" s="10"/>
      <c r="Q10640" s="10"/>
      <c r="R10640" s="10"/>
      <c r="S10640" s="10"/>
      <c r="T10640" s="10"/>
      <c r="U10640" s="10"/>
      <c r="V10640" s="10"/>
      <c r="W10640" s="10"/>
      <c r="X10640" s="10"/>
      <c r="Y10640" s="10"/>
      <c r="Z10640" s="10"/>
    </row>
    <row r="10641" spans="1:26" ht="12.75">
      <c r="A10641" s="10"/>
      <c r="B10641" s="10"/>
      <c r="C10641" s="10"/>
      <c r="D10641" s="10"/>
      <c r="E10641" s="10"/>
      <c r="F10641" s="10"/>
      <c r="G10641" s="10"/>
      <c r="H10641" s="10"/>
      <c r="I10641" s="10"/>
      <c r="J10641" s="10"/>
      <c r="K10641" s="10"/>
      <c r="L10641" s="10"/>
      <c r="M10641" s="10"/>
      <c r="N10641" s="10"/>
      <c r="O10641" s="10"/>
      <c r="P10641" s="10"/>
      <c r="Q10641" s="10"/>
      <c r="R10641" s="10"/>
      <c r="S10641" s="10"/>
      <c r="T10641" s="10"/>
      <c r="U10641" s="10"/>
      <c r="V10641" s="10"/>
      <c r="W10641" s="10"/>
      <c r="X10641" s="10"/>
      <c r="Y10641" s="10"/>
      <c r="Z10641" s="10"/>
    </row>
    <row r="10642" spans="1:26" ht="12.75">
      <c r="A10642" s="10"/>
      <c r="B10642" s="10"/>
      <c r="C10642" s="10"/>
      <c r="D10642" s="10"/>
      <c r="E10642" s="10"/>
      <c r="F10642" s="10"/>
      <c r="G10642" s="10"/>
      <c r="H10642" s="10"/>
      <c r="I10642" s="10"/>
      <c r="J10642" s="10"/>
      <c r="K10642" s="10"/>
      <c r="L10642" s="10"/>
      <c r="M10642" s="10"/>
      <c r="N10642" s="10"/>
      <c r="O10642" s="10"/>
      <c r="P10642" s="10"/>
      <c r="Q10642" s="10"/>
      <c r="R10642" s="10"/>
      <c r="S10642" s="10"/>
      <c r="T10642" s="10"/>
      <c r="U10642" s="10"/>
      <c r="V10642" s="10"/>
      <c r="W10642" s="10"/>
      <c r="X10642" s="10"/>
      <c r="Y10642" s="10"/>
      <c r="Z10642" s="10"/>
    </row>
    <row r="10643" spans="1:26" ht="12.75">
      <c r="A10643" s="10"/>
      <c r="B10643" s="10"/>
      <c r="C10643" s="10"/>
      <c r="D10643" s="10"/>
      <c r="E10643" s="10"/>
      <c r="F10643" s="10"/>
      <c r="G10643" s="10"/>
      <c r="H10643" s="10"/>
      <c r="I10643" s="10"/>
      <c r="J10643" s="10"/>
      <c r="K10643" s="10"/>
      <c r="L10643" s="10"/>
      <c r="M10643" s="10"/>
      <c r="N10643" s="10"/>
      <c r="O10643" s="10"/>
      <c r="P10643" s="10"/>
      <c r="Q10643" s="10"/>
      <c r="R10643" s="10"/>
      <c r="S10643" s="10"/>
      <c r="T10643" s="10"/>
      <c r="U10643" s="10"/>
      <c r="V10643" s="10"/>
      <c r="W10643" s="10"/>
      <c r="X10643" s="10"/>
      <c r="Y10643" s="10"/>
      <c r="Z10643" s="10"/>
    </row>
    <row r="10644" spans="1:26" ht="12.75">
      <c r="A10644" s="10"/>
      <c r="B10644" s="10"/>
      <c r="C10644" s="10"/>
      <c r="D10644" s="10"/>
      <c r="E10644" s="10"/>
      <c r="F10644" s="10"/>
      <c r="G10644" s="10"/>
      <c r="H10644" s="10"/>
      <c r="I10644" s="10"/>
      <c r="J10644" s="10"/>
      <c r="K10644" s="10"/>
      <c r="L10644" s="10"/>
      <c r="M10644" s="10"/>
      <c r="N10644" s="10"/>
      <c r="O10644" s="10"/>
      <c r="P10644" s="10"/>
      <c r="Q10644" s="10"/>
      <c r="R10644" s="10"/>
      <c r="S10644" s="10"/>
      <c r="T10644" s="10"/>
      <c r="U10644" s="10"/>
      <c r="V10644" s="10"/>
      <c r="W10644" s="10"/>
      <c r="X10644" s="10"/>
      <c r="Y10644" s="10"/>
      <c r="Z10644" s="10"/>
    </row>
    <row r="10645" spans="1:26" ht="12.75">
      <c r="A10645" s="10"/>
      <c r="B10645" s="10"/>
      <c r="C10645" s="10"/>
      <c r="D10645" s="10"/>
      <c r="E10645" s="10"/>
      <c r="F10645" s="10"/>
      <c r="G10645" s="10"/>
      <c r="H10645" s="10"/>
      <c r="I10645" s="10"/>
      <c r="J10645" s="10"/>
      <c r="K10645" s="10"/>
      <c r="L10645" s="10"/>
      <c r="M10645" s="10"/>
      <c r="N10645" s="10"/>
      <c r="O10645" s="10"/>
      <c r="P10645" s="10"/>
      <c r="Q10645" s="10"/>
      <c r="R10645" s="10"/>
      <c r="S10645" s="10"/>
      <c r="T10645" s="10"/>
      <c r="U10645" s="10"/>
      <c r="V10645" s="10"/>
      <c r="W10645" s="10"/>
      <c r="X10645" s="10"/>
      <c r="Y10645" s="10"/>
      <c r="Z10645" s="10"/>
    </row>
    <row r="10646" spans="1:26" ht="12.75">
      <c r="A10646" s="10"/>
      <c r="B10646" s="10"/>
      <c r="C10646" s="10"/>
      <c r="D10646" s="10"/>
      <c r="E10646" s="10"/>
      <c r="F10646" s="10"/>
      <c r="G10646" s="10"/>
      <c r="H10646" s="10"/>
      <c r="I10646" s="10"/>
      <c r="J10646" s="10"/>
      <c r="K10646" s="10"/>
      <c r="L10646" s="10"/>
      <c r="M10646" s="10"/>
      <c r="N10646" s="10"/>
      <c r="O10646" s="10"/>
      <c r="P10646" s="10"/>
      <c r="Q10646" s="10"/>
      <c r="R10646" s="10"/>
      <c r="S10646" s="10"/>
      <c r="T10646" s="10"/>
      <c r="U10646" s="10"/>
      <c r="V10646" s="10"/>
      <c r="W10646" s="10"/>
      <c r="X10646" s="10"/>
      <c r="Y10646" s="10"/>
      <c r="Z10646" s="10"/>
    </row>
    <row r="10647" spans="1:26" ht="12.75">
      <c r="A10647" s="10"/>
      <c r="B10647" s="10"/>
      <c r="C10647" s="10"/>
      <c r="D10647" s="10"/>
      <c r="E10647" s="10"/>
      <c r="F10647" s="10"/>
      <c r="G10647" s="10"/>
      <c r="H10647" s="10"/>
      <c r="I10647" s="10"/>
      <c r="J10647" s="10"/>
      <c r="K10647" s="10"/>
      <c r="L10647" s="10"/>
      <c r="M10647" s="10"/>
      <c r="N10647" s="10"/>
      <c r="O10647" s="10"/>
      <c r="P10647" s="10"/>
      <c r="Q10647" s="10"/>
      <c r="R10647" s="10"/>
      <c r="S10647" s="10"/>
      <c r="T10647" s="10"/>
      <c r="U10647" s="10"/>
      <c r="V10647" s="10"/>
      <c r="W10647" s="10"/>
      <c r="X10647" s="10"/>
      <c r="Y10647" s="10"/>
      <c r="Z10647" s="10"/>
    </row>
    <row r="10648" spans="1:26" ht="12.75">
      <c r="A10648" s="10"/>
      <c r="B10648" s="10"/>
      <c r="C10648" s="10"/>
      <c r="D10648" s="10"/>
      <c r="E10648" s="10"/>
      <c r="F10648" s="10"/>
      <c r="G10648" s="10"/>
      <c r="H10648" s="10"/>
      <c r="I10648" s="10"/>
      <c r="J10648" s="10"/>
      <c r="K10648" s="10"/>
      <c r="L10648" s="10"/>
      <c r="M10648" s="10"/>
      <c r="N10648" s="10"/>
      <c r="O10648" s="10"/>
      <c r="P10648" s="10"/>
      <c r="Q10648" s="10"/>
      <c r="R10648" s="10"/>
      <c r="S10648" s="10"/>
      <c r="T10648" s="10"/>
      <c r="U10648" s="10"/>
      <c r="V10648" s="10"/>
      <c r="W10648" s="10"/>
      <c r="X10648" s="10"/>
      <c r="Y10648" s="10"/>
      <c r="Z10648" s="10"/>
    </row>
    <row r="10649" spans="1:26" ht="12.75">
      <c r="A10649" s="10"/>
      <c r="B10649" s="10"/>
      <c r="C10649" s="10"/>
      <c r="D10649" s="10"/>
      <c r="E10649" s="10"/>
      <c r="F10649" s="10"/>
      <c r="G10649" s="10"/>
      <c r="H10649" s="10"/>
      <c r="I10649" s="10"/>
      <c r="J10649" s="10"/>
      <c r="K10649" s="10"/>
      <c r="L10649" s="10"/>
      <c r="M10649" s="10"/>
      <c r="N10649" s="10"/>
      <c r="O10649" s="10"/>
      <c r="P10649" s="10"/>
      <c r="Q10649" s="10"/>
      <c r="R10649" s="10"/>
      <c r="S10649" s="10"/>
      <c r="T10649" s="10"/>
      <c r="U10649" s="10"/>
      <c r="V10649" s="10"/>
      <c r="W10649" s="10"/>
      <c r="X10649" s="10"/>
      <c r="Y10649" s="10"/>
      <c r="Z10649" s="10"/>
    </row>
    <row r="10650" spans="1:26" ht="12.75">
      <c r="A10650" s="10"/>
      <c r="B10650" s="10"/>
      <c r="C10650" s="10"/>
      <c r="D10650" s="10"/>
      <c r="E10650" s="10"/>
      <c r="F10650" s="10"/>
      <c r="G10650" s="10"/>
      <c r="H10650" s="10"/>
      <c r="I10650" s="10"/>
      <c r="J10650" s="10"/>
      <c r="K10650" s="10"/>
      <c r="L10650" s="10"/>
      <c r="M10650" s="10"/>
      <c r="N10650" s="10"/>
      <c r="O10650" s="10"/>
      <c r="P10650" s="10"/>
      <c r="Q10650" s="10"/>
      <c r="R10650" s="10"/>
      <c r="S10650" s="10"/>
      <c r="T10650" s="10"/>
      <c r="U10650" s="10"/>
      <c r="V10650" s="10"/>
      <c r="W10650" s="10"/>
      <c r="X10650" s="10"/>
      <c r="Y10650" s="10"/>
      <c r="Z10650" s="10"/>
    </row>
    <row r="10651" spans="1:26" ht="12.75">
      <c r="A10651" s="10"/>
      <c r="B10651" s="10"/>
      <c r="C10651" s="10"/>
      <c r="D10651" s="10"/>
      <c r="E10651" s="10"/>
      <c r="F10651" s="10"/>
      <c r="G10651" s="10"/>
      <c r="H10651" s="10"/>
      <c r="I10651" s="10"/>
      <c r="J10651" s="10"/>
      <c r="K10651" s="10"/>
      <c r="L10651" s="10"/>
      <c r="M10651" s="10"/>
      <c r="N10651" s="10"/>
      <c r="O10651" s="10"/>
      <c r="P10651" s="10"/>
      <c r="Q10651" s="10"/>
      <c r="R10651" s="10"/>
      <c r="S10651" s="10"/>
      <c r="T10651" s="10"/>
      <c r="U10651" s="10"/>
      <c r="V10651" s="10"/>
      <c r="W10651" s="10"/>
      <c r="X10651" s="10"/>
      <c r="Y10651" s="10"/>
      <c r="Z10651" s="10"/>
    </row>
    <row r="10652" spans="1:26" ht="12.75">
      <c r="A10652" s="10"/>
      <c r="B10652" s="10"/>
      <c r="C10652" s="10"/>
      <c r="D10652" s="10"/>
      <c r="E10652" s="10"/>
      <c r="F10652" s="10"/>
      <c r="G10652" s="10"/>
      <c r="H10652" s="10"/>
      <c r="I10652" s="10"/>
      <c r="J10652" s="10"/>
      <c r="K10652" s="10"/>
      <c r="L10652" s="10"/>
      <c r="M10652" s="10"/>
      <c r="N10652" s="10"/>
      <c r="O10652" s="10"/>
      <c r="P10652" s="10"/>
      <c r="Q10652" s="10"/>
      <c r="R10652" s="10"/>
      <c r="S10652" s="10"/>
      <c r="T10652" s="10"/>
      <c r="U10652" s="10"/>
      <c r="V10652" s="10"/>
      <c r="W10652" s="10"/>
      <c r="X10652" s="10"/>
      <c r="Y10652" s="10"/>
      <c r="Z10652" s="10"/>
    </row>
    <row r="10653" spans="1:26" ht="12.75">
      <c r="A10653" s="10"/>
      <c r="B10653" s="10"/>
      <c r="C10653" s="10"/>
      <c r="D10653" s="10"/>
      <c r="E10653" s="10"/>
      <c r="F10653" s="10"/>
      <c r="G10653" s="10"/>
      <c r="H10653" s="10"/>
      <c r="I10653" s="10"/>
      <c r="J10653" s="10"/>
      <c r="K10653" s="10"/>
      <c r="L10653" s="10"/>
      <c r="M10653" s="10"/>
      <c r="N10653" s="10"/>
      <c r="O10653" s="10"/>
      <c r="P10653" s="10"/>
      <c r="Q10653" s="10"/>
      <c r="R10653" s="10"/>
      <c r="S10653" s="10"/>
      <c r="T10653" s="10"/>
      <c r="U10653" s="10"/>
      <c r="V10653" s="10"/>
      <c r="W10653" s="10"/>
      <c r="X10653" s="10"/>
      <c r="Y10653" s="10"/>
      <c r="Z10653" s="10"/>
    </row>
    <row r="10654" spans="1:26" ht="12.75">
      <c r="A10654" s="10"/>
      <c r="B10654" s="10"/>
      <c r="C10654" s="10"/>
      <c r="D10654" s="10"/>
      <c r="E10654" s="10"/>
      <c r="F10654" s="10"/>
      <c r="G10654" s="10"/>
      <c r="H10654" s="10"/>
      <c r="I10654" s="10"/>
      <c r="J10654" s="10"/>
      <c r="K10654" s="10"/>
      <c r="L10654" s="10"/>
      <c r="M10654" s="10"/>
      <c r="N10654" s="10"/>
      <c r="O10654" s="10"/>
      <c r="P10654" s="10"/>
      <c r="Q10654" s="10"/>
      <c r="R10654" s="10"/>
      <c r="S10654" s="10"/>
      <c r="T10654" s="10"/>
      <c r="U10654" s="10"/>
      <c r="V10654" s="10"/>
      <c r="W10654" s="10"/>
      <c r="X10654" s="10"/>
      <c r="Y10654" s="10"/>
      <c r="Z10654" s="10"/>
    </row>
    <row r="10655" spans="1:26" ht="12.75">
      <c r="A10655" s="10"/>
      <c r="B10655" s="10"/>
      <c r="C10655" s="10"/>
      <c r="D10655" s="10"/>
      <c r="E10655" s="10"/>
      <c r="F10655" s="10"/>
      <c r="G10655" s="10"/>
      <c r="H10655" s="10"/>
      <c r="I10655" s="10"/>
      <c r="J10655" s="10"/>
      <c r="K10655" s="10"/>
      <c r="L10655" s="10"/>
      <c r="M10655" s="10"/>
      <c r="N10655" s="10"/>
      <c r="O10655" s="10"/>
      <c r="P10655" s="10"/>
      <c r="Q10655" s="10"/>
      <c r="R10655" s="10"/>
      <c r="S10655" s="10"/>
      <c r="T10655" s="10"/>
      <c r="U10655" s="10"/>
      <c r="V10655" s="10"/>
      <c r="W10655" s="10"/>
      <c r="X10655" s="10"/>
      <c r="Y10655" s="10"/>
      <c r="Z10655" s="10"/>
    </row>
    <row r="10656" spans="1:26" ht="12.75">
      <c r="A10656" s="10"/>
      <c r="B10656" s="10"/>
      <c r="C10656" s="10"/>
      <c r="D10656" s="10"/>
      <c r="E10656" s="10"/>
      <c r="F10656" s="10"/>
      <c r="G10656" s="10"/>
      <c r="H10656" s="10"/>
      <c r="I10656" s="10"/>
      <c r="J10656" s="10"/>
      <c r="K10656" s="10"/>
      <c r="L10656" s="10"/>
      <c r="M10656" s="10"/>
      <c r="N10656" s="10"/>
      <c r="O10656" s="10"/>
      <c r="P10656" s="10"/>
      <c r="Q10656" s="10"/>
      <c r="R10656" s="10"/>
      <c r="S10656" s="10"/>
      <c r="T10656" s="10"/>
      <c r="U10656" s="10"/>
      <c r="V10656" s="10"/>
      <c r="W10656" s="10"/>
      <c r="X10656" s="10"/>
      <c r="Y10656" s="10"/>
      <c r="Z10656" s="10"/>
    </row>
    <row r="10657" spans="1:26" ht="12.75">
      <c r="A10657" s="10"/>
      <c r="B10657" s="10"/>
      <c r="C10657" s="10"/>
      <c r="D10657" s="10"/>
      <c r="E10657" s="10"/>
      <c r="F10657" s="10"/>
      <c r="G10657" s="10"/>
      <c r="H10657" s="10"/>
      <c r="I10657" s="10"/>
      <c r="J10657" s="10"/>
      <c r="K10657" s="10"/>
      <c r="L10657" s="10"/>
      <c r="M10657" s="10"/>
      <c r="N10657" s="10"/>
      <c r="O10657" s="10"/>
      <c r="P10657" s="10"/>
      <c r="Q10657" s="10"/>
      <c r="R10657" s="10"/>
      <c r="S10657" s="10"/>
      <c r="T10657" s="10"/>
      <c r="U10657" s="10"/>
      <c r="V10657" s="10"/>
      <c r="W10657" s="10"/>
      <c r="X10657" s="10"/>
      <c r="Y10657" s="10"/>
      <c r="Z10657" s="10"/>
    </row>
    <row r="10658" spans="1:26" ht="12.75">
      <c r="A10658" s="10"/>
      <c r="B10658" s="10"/>
      <c r="C10658" s="10"/>
      <c r="D10658" s="10"/>
      <c r="E10658" s="10"/>
      <c r="F10658" s="10"/>
      <c r="G10658" s="10"/>
      <c r="H10658" s="10"/>
      <c r="I10658" s="10"/>
      <c r="J10658" s="10"/>
      <c r="K10658" s="10"/>
      <c r="L10658" s="10"/>
      <c r="M10658" s="10"/>
      <c r="N10658" s="10"/>
      <c r="O10658" s="10"/>
      <c r="P10658" s="10"/>
      <c r="Q10658" s="10"/>
      <c r="R10658" s="10"/>
      <c r="S10658" s="10"/>
      <c r="T10658" s="10"/>
      <c r="U10658" s="10"/>
      <c r="V10658" s="10"/>
      <c r="W10658" s="10"/>
      <c r="X10658" s="10"/>
      <c r="Y10658" s="10"/>
      <c r="Z10658" s="10"/>
    </row>
    <row r="10659" spans="1:26" ht="12.75">
      <c r="A10659" s="10"/>
      <c r="B10659" s="10"/>
      <c r="C10659" s="10"/>
      <c r="D10659" s="10"/>
      <c r="E10659" s="10"/>
      <c r="F10659" s="10"/>
      <c r="G10659" s="10"/>
      <c r="H10659" s="10"/>
      <c r="I10659" s="10"/>
      <c r="J10659" s="10"/>
      <c r="K10659" s="10"/>
      <c r="L10659" s="10"/>
      <c r="M10659" s="10"/>
      <c r="N10659" s="10"/>
      <c r="O10659" s="10"/>
      <c r="P10659" s="10"/>
      <c r="Q10659" s="10"/>
      <c r="R10659" s="10"/>
      <c r="S10659" s="10"/>
      <c r="T10659" s="10"/>
      <c r="U10659" s="10"/>
      <c r="V10659" s="10"/>
      <c r="W10659" s="10"/>
      <c r="X10659" s="10"/>
      <c r="Y10659" s="10"/>
      <c r="Z10659" s="10"/>
    </row>
    <row r="10660" spans="1:26" ht="12.75">
      <c r="A10660" s="10"/>
      <c r="B10660" s="10"/>
      <c r="C10660" s="10"/>
      <c r="D10660" s="10"/>
      <c r="E10660" s="10"/>
      <c r="F10660" s="10"/>
      <c r="G10660" s="10"/>
      <c r="H10660" s="10"/>
      <c r="I10660" s="10"/>
      <c r="J10660" s="10"/>
      <c r="K10660" s="10"/>
      <c r="L10660" s="10"/>
      <c r="M10660" s="10"/>
      <c r="N10660" s="10"/>
      <c r="O10660" s="10"/>
      <c r="P10660" s="10"/>
      <c r="Q10660" s="10"/>
      <c r="R10660" s="10"/>
      <c r="S10660" s="10"/>
      <c r="T10660" s="10"/>
      <c r="U10660" s="10"/>
      <c r="V10660" s="10"/>
      <c r="W10660" s="10"/>
      <c r="X10660" s="10"/>
      <c r="Y10660" s="10"/>
      <c r="Z10660" s="10"/>
    </row>
    <row r="10661" spans="1:26" ht="12.75">
      <c r="A10661" s="10"/>
      <c r="B10661" s="10"/>
      <c r="C10661" s="10"/>
      <c r="D10661" s="10"/>
      <c r="E10661" s="10"/>
      <c r="F10661" s="10"/>
      <c r="G10661" s="10"/>
      <c r="H10661" s="10"/>
      <c r="I10661" s="10"/>
      <c r="J10661" s="10"/>
      <c r="K10661" s="10"/>
      <c r="L10661" s="10"/>
      <c r="M10661" s="10"/>
      <c r="N10661" s="10"/>
      <c r="O10661" s="10"/>
      <c r="P10661" s="10"/>
      <c r="Q10661" s="10"/>
      <c r="R10661" s="10"/>
      <c r="S10661" s="10"/>
      <c r="T10661" s="10"/>
      <c r="U10661" s="10"/>
      <c r="V10661" s="10"/>
      <c r="W10661" s="10"/>
      <c r="X10661" s="10"/>
      <c r="Y10661" s="10"/>
      <c r="Z10661" s="10"/>
    </row>
    <row r="10662" spans="1:26" ht="12.75">
      <c r="A10662" s="10"/>
      <c r="B10662" s="10"/>
      <c r="C10662" s="10"/>
      <c r="D10662" s="10"/>
      <c r="E10662" s="10"/>
      <c r="F10662" s="10"/>
      <c r="G10662" s="10"/>
      <c r="H10662" s="10"/>
      <c r="I10662" s="10"/>
      <c r="J10662" s="10"/>
      <c r="K10662" s="10"/>
      <c r="L10662" s="10"/>
      <c r="M10662" s="10"/>
      <c r="N10662" s="10"/>
      <c r="O10662" s="10"/>
      <c r="P10662" s="10"/>
      <c r="Q10662" s="10"/>
      <c r="R10662" s="10"/>
      <c r="S10662" s="10"/>
      <c r="T10662" s="10"/>
      <c r="U10662" s="10"/>
      <c r="V10662" s="10"/>
      <c r="W10662" s="10"/>
      <c r="X10662" s="10"/>
      <c r="Y10662" s="10"/>
      <c r="Z10662" s="10"/>
    </row>
    <row r="10663" spans="1:26" ht="12.75">
      <c r="A10663" s="10"/>
      <c r="B10663" s="10"/>
      <c r="C10663" s="10"/>
      <c r="D10663" s="10"/>
      <c r="E10663" s="10"/>
      <c r="F10663" s="10"/>
      <c r="G10663" s="10"/>
      <c r="H10663" s="10"/>
      <c r="I10663" s="10"/>
      <c r="J10663" s="10"/>
      <c r="K10663" s="10"/>
      <c r="L10663" s="10"/>
      <c r="M10663" s="10"/>
      <c r="N10663" s="10"/>
      <c r="O10663" s="10"/>
      <c r="P10663" s="10"/>
      <c r="Q10663" s="10"/>
      <c r="R10663" s="10"/>
      <c r="S10663" s="10"/>
      <c r="T10663" s="10"/>
      <c r="U10663" s="10"/>
      <c r="V10663" s="10"/>
      <c r="W10663" s="10"/>
      <c r="X10663" s="10"/>
      <c r="Y10663" s="10"/>
      <c r="Z10663" s="10"/>
    </row>
    <row r="10664" spans="1:26" ht="12.75">
      <c r="A10664" s="10"/>
      <c r="B10664" s="10"/>
      <c r="C10664" s="10"/>
      <c r="D10664" s="10"/>
      <c r="E10664" s="10"/>
      <c r="F10664" s="10"/>
      <c r="G10664" s="10"/>
      <c r="H10664" s="10"/>
      <c r="I10664" s="10"/>
      <c r="J10664" s="10"/>
      <c r="K10664" s="10"/>
      <c r="L10664" s="10"/>
      <c r="M10664" s="10"/>
      <c r="N10664" s="10"/>
      <c r="O10664" s="10"/>
      <c r="P10664" s="10"/>
      <c r="Q10664" s="10"/>
      <c r="R10664" s="10"/>
      <c r="S10664" s="10"/>
      <c r="T10664" s="10"/>
      <c r="U10664" s="10"/>
      <c r="V10664" s="10"/>
      <c r="W10664" s="10"/>
      <c r="X10664" s="10"/>
      <c r="Y10664" s="10"/>
      <c r="Z10664" s="10"/>
    </row>
    <row r="10665" spans="1:26" ht="12.75">
      <c r="A10665" s="10"/>
      <c r="B10665" s="10"/>
      <c r="C10665" s="10"/>
      <c r="D10665" s="10"/>
      <c r="E10665" s="10"/>
      <c r="F10665" s="10"/>
      <c r="G10665" s="10"/>
      <c r="H10665" s="10"/>
      <c r="I10665" s="10"/>
      <c r="J10665" s="10"/>
      <c r="K10665" s="10"/>
      <c r="L10665" s="10"/>
      <c r="M10665" s="10"/>
      <c r="N10665" s="10"/>
      <c r="O10665" s="10"/>
      <c r="P10665" s="10"/>
      <c r="Q10665" s="10"/>
      <c r="R10665" s="10"/>
      <c r="S10665" s="10"/>
      <c r="T10665" s="10"/>
      <c r="U10665" s="10"/>
      <c r="V10665" s="10"/>
      <c r="W10665" s="10"/>
      <c r="X10665" s="10"/>
      <c r="Y10665" s="10"/>
      <c r="Z10665" s="10"/>
    </row>
    <row r="10666" spans="1:26" ht="12.75">
      <c r="A10666" s="10"/>
      <c r="B10666" s="10"/>
      <c r="C10666" s="10"/>
      <c r="D10666" s="10"/>
      <c r="E10666" s="10"/>
      <c r="F10666" s="10"/>
      <c r="G10666" s="10"/>
      <c r="H10666" s="10"/>
      <c r="I10666" s="10"/>
      <c r="J10666" s="10"/>
      <c r="K10666" s="10"/>
      <c r="L10666" s="10"/>
      <c r="M10666" s="10"/>
      <c r="N10666" s="10"/>
      <c r="O10666" s="10"/>
      <c r="P10666" s="10"/>
      <c r="Q10666" s="10"/>
      <c r="R10666" s="10"/>
      <c r="S10666" s="10"/>
      <c r="T10666" s="10"/>
      <c r="U10666" s="10"/>
      <c r="V10666" s="10"/>
      <c r="W10666" s="10"/>
      <c r="X10666" s="10"/>
      <c r="Y10666" s="10"/>
      <c r="Z10666" s="10"/>
    </row>
    <row r="10667" spans="1:26" ht="12.75">
      <c r="A10667" s="10"/>
      <c r="B10667" s="10"/>
      <c r="C10667" s="10"/>
      <c r="D10667" s="10"/>
      <c r="E10667" s="10"/>
      <c r="F10667" s="10"/>
      <c r="G10667" s="10"/>
      <c r="H10667" s="10"/>
      <c r="I10667" s="10"/>
      <c r="J10667" s="10"/>
      <c r="K10667" s="10"/>
      <c r="L10667" s="10"/>
      <c r="M10667" s="10"/>
      <c r="N10667" s="10"/>
      <c r="O10667" s="10"/>
      <c r="P10667" s="10"/>
      <c r="Q10667" s="10"/>
      <c r="R10667" s="10"/>
      <c r="S10667" s="10"/>
      <c r="T10667" s="10"/>
      <c r="U10667" s="10"/>
      <c r="V10667" s="10"/>
      <c r="W10667" s="10"/>
      <c r="X10667" s="10"/>
      <c r="Y10667" s="10"/>
      <c r="Z10667" s="10"/>
    </row>
    <row r="10668" spans="1:26" ht="12.75">
      <c r="A10668" s="10"/>
      <c r="B10668" s="10"/>
      <c r="C10668" s="10"/>
      <c r="D10668" s="10"/>
      <c r="E10668" s="10"/>
      <c r="F10668" s="10"/>
      <c r="G10668" s="10"/>
      <c r="H10668" s="10"/>
      <c r="I10668" s="10"/>
      <c r="J10668" s="10"/>
      <c r="K10668" s="10"/>
      <c r="L10668" s="10"/>
      <c r="M10668" s="10"/>
      <c r="N10668" s="10"/>
      <c r="O10668" s="10"/>
      <c r="P10668" s="10"/>
      <c r="Q10668" s="10"/>
      <c r="R10668" s="10"/>
      <c r="S10668" s="10"/>
      <c r="T10668" s="10"/>
      <c r="U10668" s="10"/>
      <c r="V10668" s="10"/>
      <c r="W10668" s="10"/>
      <c r="X10668" s="10"/>
      <c r="Y10668" s="10"/>
      <c r="Z10668" s="10"/>
    </row>
    <row r="10669" spans="1:26" ht="12.75">
      <c r="A10669" s="10"/>
      <c r="B10669" s="10"/>
      <c r="C10669" s="10"/>
      <c r="D10669" s="10"/>
      <c r="E10669" s="10"/>
      <c r="F10669" s="10"/>
      <c r="G10669" s="10"/>
      <c r="H10669" s="10"/>
      <c r="I10669" s="10"/>
      <c r="J10669" s="10"/>
      <c r="K10669" s="10"/>
      <c r="L10669" s="10"/>
      <c r="M10669" s="10"/>
      <c r="N10669" s="10"/>
      <c r="O10669" s="10"/>
      <c r="P10669" s="10"/>
      <c r="Q10669" s="10"/>
      <c r="R10669" s="10"/>
      <c r="S10669" s="10"/>
      <c r="T10669" s="10"/>
      <c r="U10669" s="10"/>
      <c r="V10669" s="10"/>
      <c r="W10669" s="10"/>
      <c r="X10669" s="10"/>
      <c r="Y10669" s="10"/>
      <c r="Z10669" s="10"/>
    </row>
    <row r="10670" spans="1:26" ht="12.75">
      <c r="A10670" s="10"/>
      <c r="B10670" s="10"/>
      <c r="C10670" s="10"/>
      <c r="D10670" s="10"/>
      <c r="E10670" s="10"/>
      <c r="F10670" s="10"/>
      <c r="G10670" s="10"/>
      <c r="H10670" s="10"/>
      <c r="I10670" s="10"/>
      <c r="J10670" s="10"/>
      <c r="K10670" s="10"/>
      <c r="L10670" s="10"/>
      <c r="M10670" s="10"/>
      <c r="N10670" s="10"/>
      <c r="O10670" s="10"/>
      <c r="P10670" s="10"/>
      <c r="Q10670" s="10"/>
      <c r="R10670" s="10"/>
      <c r="S10670" s="10"/>
      <c r="T10670" s="10"/>
      <c r="U10670" s="10"/>
      <c r="V10670" s="10"/>
      <c r="W10670" s="10"/>
      <c r="X10670" s="10"/>
      <c r="Y10670" s="10"/>
      <c r="Z10670" s="10"/>
    </row>
    <row r="10671" spans="1:26" ht="12.75">
      <c r="A10671" s="10"/>
      <c r="B10671" s="10"/>
      <c r="C10671" s="10"/>
      <c r="D10671" s="10"/>
      <c r="E10671" s="10"/>
      <c r="F10671" s="10"/>
      <c r="G10671" s="10"/>
      <c r="H10671" s="10"/>
      <c r="I10671" s="10"/>
      <c r="J10671" s="10"/>
      <c r="K10671" s="10"/>
      <c r="L10671" s="10"/>
      <c r="M10671" s="10"/>
      <c r="N10671" s="10"/>
      <c r="O10671" s="10"/>
      <c r="P10671" s="10"/>
      <c r="Q10671" s="10"/>
      <c r="R10671" s="10"/>
      <c r="S10671" s="10"/>
      <c r="T10671" s="10"/>
      <c r="U10671" s="10"/>
      <c r="V10671" s="10"/>
      <c r="W10671" s="10"/>
      <c r="X10671" s="10"/>
      <c r="Y10671" s="10"/>
      <c r="Z10671" s="10"/>
    </row>
    <row r="10672" spans="1:26" ht="12.75">
      <c r="A10672" s="10"/>
      <c r="B10672" s="10"/>
      <c r="C10672" s="10"/>
      <c r="D10672" s="10"/>
      <c r="E10672" s="10"/>
      <c r="F10672" s="10"/>
      <c r="G10672" s="10"/>
      <c r="H10672" s="10"/>
      <c r="I10672" s="10"/>
      <c r="J10672" s="10"/>
      <c r="K10672" s="10"/>
      <c r="L10672" s="10"/>
      <c r="M10672" s="10"/>
      <c r="N10672" s="10"/>
      <c r="O10672" s="10"/>
      <c r="P10672" s="10"/>
      <c r="Q10672" s="10"/>
      <c r="R10672" s="10"/>
      <c r="S10672" s="10"/>
      <c r="T10672" s="10"/>
      <c r="U10672" s="10"/>
      <c r="V10672" s="10"/>
      <c r="W10672" s="10"/>
      <c r="X10672" s="10"/>
      <c r="Y10672" s="10"/>
      <c r="Z10672" s="10"/>
    </row>
    <row r="10673" spans="1:26" ht="12.75">
      <c r="A10673" s="10"/>
      <c r="B10673" s="10"/>
      <c r="C10673" s="10"/>
      <c r="D10673" s="10"/>
      <c r="E10673" s="10"/>
      <c r="F10673" s="10"/>
      <c r="G10673" s="10"/>
      <c r="H10673" s="10"/>
      <c r="I10673" s="10"/>
      <c r="J10673" s="10"/>
      <c r="K10673" s="10"/>
      <c r="L10673" s="10"/>
      <c r="M10673" s="10"/>
      <c r="N10673" s="10"/>
      <c r="O10673" s="10"/>
      <c r="P10673" s="10"/>
      <c r="Q10673" s="10"/>
      <c r="R10673" s="10"/>
      <c r="S10673" s="10"/>
      <c r="T10673" s="10"/>
      <c r="U10673" s="10"/>
      <c r="V10673" s="10"/>
      <c r="W10673" s="10"/>
      <c r="X10673" s="10"/>
      <c r="Y10673" s="10"/>
      <c r="Z10673" s="10"/>
    </row>
    <row r="10674" spans="1:26" ht="12.75">
      <c r="A10674" s="10"/>
      <c r="B10674" s="10"/>
      <c r="C10674" s="10"/>
      <c r="D10674" s="10"/>
      <c r="E10674" s="10"/>
      <c r="F10674" s="10"/>
      <c r="G10674" s="10"/>
      <c r="H10674" s="10"/>
      <c r="I10674" s="10"/>
      <c r="J10674" s="10"/>
      <c r="K10674" s="10"/>
      <c r="L10674" s="10"/>
      <c r="M10674" s="10"/>
      <c r="N10674" s="10"/>
      <c r="O10674" s="10"/>
      <c r="P10674" s="10"/>
      <c r="Q10674" s="10"/>
      <c r="R10674" s="10"/>
      <c r="S10674" s="10"/>
      <c r="T10674" s="10"/>
      <c r="U10674" s="10"/>
      <c r="V10674" s="10"/>
      <c r="W10674" s="10"/>
      <c r="X10674" s="10"/>
      <c r="Y10674" s="10"/>
      <c r="Z10674" s="10"/>
    </row>
    <row r="10675" spans="1:26" ht="12.75">
      <c r="A10675" s="10"/>
      <c r="B10675" s="10"/>
      <c r="C10675" s="10"/>
      <c r="D10675" s="10"/>
      <c r="E10675" s="10"/>
      <c r="F10675" s="10"/>
      <c r="G10675" s="10"/>
      <c r="H10675" s="10"/>
      <c r="I10675" s="10"/>
      <c r="J10675" s="10"/>
      <c r="K10675" s="10"/>
      <c r="L10675" s="10"/>
      <c r="M10675" s="10"/>
      <c r="N10675" s="10"/>
      <c r="O10675" s="10"/>
      <c r="P10675" s="10"/>
      <c r="Q10675" s="10"/>
      <c r="R10675" s="10"/>
      <c r="S10675" s="10"/>
      <c r="T10675" s="10"/>
      <c r="U10675" s="10"/>
      <c r="V10675" s="10"/>
      <c r="W10675" s="10"/>
      <c r="X10675" s="10"/>
      <c r="Y10675" s="10"/>
      <c r="Z10675" s="10"/>
    </row>
    <row r="10676" spans="1:26" ht="12.75">
      <c r="A10676" s="10"/>
      <c r="B10676" s="10"/>
      <c r="C10676" s="10"/>
      <c r="D10676" s="10"/>
      <c r="E10676" s="10"/>
      <c r="F10676" s="10"/>
      <c r="G10676" s="10"/>
      <c r="H10676" s="10"/>
      <c r="I10676" s="10"/>
      <c r="J10676" s="10"/>
      <c r="K10676" s="10"/>
      <c r="L10676" s="10"/>
      <c r="M10676" s="10"/>
      <c r="N10676" s="10"/>
      <c r="O10676" s="10"/>
      <c r="P10676" s="10"/>
      <c r="Q10676" s="10"/>
      <c r="R10676" s="10"/>
      <c r="S10676" s="10"/>
      <c r="T10676" s="10"/>
      <c r="U10676" s="10"/>
      <c r="V10676" s="10"/>
      <c r="W10676" s="10"/>
      <c r="X10676" s="10"/>
      <c r="Y10676" s="10"/>
      <c r="Z10676" s="10"/>
    </row>
    <row r="10677" spans="1:26" ht="12.75">
      <c r="A10677" s="10"/>
      <c r="B10677" s="10"/>
      <c r="C10677" s="10"/>
      <c r="D10677" s="10"/>
      <c r="E10677" s="10"/>
      <c r="F10677" s="10"/>
      <c r="G10677" s="10"/>
      <c r="H10677" s="10"/>
      <c r="I10677" s="10"/>
      <c r="J10677" s="10"/>
      <c r="K10677" s="10"/>
      <c r="L10677" s="10"/>
      <c r="M10677" s="10"/>
      <c r="N10677" s="10"/>
      <c r="O10677" s="10"/>
      <c r="P10677" s="10"/>
      <c r="Q10677" s="10"/>
      <c r="R10677" s="10"/>
      <c r="S10677" s="10"/>
      <c r="T10677" s="10"/>
      <c r="U10677" s="10"/>
      <c r="V10677" s="10"/>
      <c r="W10677" s="10"/>
      <c r="X10677" s="10"/>
      <c r="Y10677" s="10"/>
      <c r="Z10677" s="10"/>
    </row>
    <row r="10678" spans="1:26" ht="12.75">
      <c r="A10678" s="10"/>
      <c r="B10678" s="10"/>
      <c r="C10678" s="10"/>
      <c r="D10678" s="10"/>
      <c r="E10678" s="10"/>
      <c r="F10678" s="10"/>
      <c r="G10678" s="10"/>
      <c r="H10678" s="10"/>
      <c r="I10678" s="10"/>
      <c r="J10678" s="10"/>
      <c r="K10678" s="10"/>
      <c r="L10678" s="10"/>
      <c r="M10678" s="10"/>
      <c r="N10678" s="10"/>
      <c r="O10678" s="10"/>
      <c r="P10678" s="10"/>
      <c r="Q10678" s="10"/>
      <c r="R10678" s="10"/>
      <c r="S10678" s="10"/>
      <c r="T10678" s="10"/>
      <c r="U10678" s="10"/>
      <c r="V10678" s="10"/>
      <c r="W10678" s="10"/>
      <c r="X10678" s="10"/>
      <c r="Y10678" s="10"/>
      <c r="Z10678" s="10"/>
    </row>
    <row r="10679" spans="1:26" ht="12.75">
      <c r="A10679" s="10"/>
      <c r="B10679" s="10"/>
      <c r="C10679" s="10"/>
      <c r="D10679" s="10"/>
      <c r="E10679" s="10"/>
      <c r="F10679" s="10"/>
      <c r="G10679" s="10"/>
      <c r="H10679" s="10"/>
      <c r="I10679" s="10"/>
      <c r="J10679" s="10"/>
      <c r="K10679" s="10"/>
      <c r="L10679" s="10"/>
      <c r="M10679" s="10"/>
      <c r="N10679" s="10"/>
      <c r="O10679" s="10"/>
      <c r="P10679" s="10"/>
      <c r="Q10679" s="10"/>
      <c r="R10679" s="10"/>
      <c r="S10679" s="10"/>
      <c r="T10679" s="10"/>
      <c r="U10679" s="10"/>
      <c r="V10679" s="10"/>
      <c r="W10679" s="10"/>
      <c r="X10679" s="10"/>
      <c r="Y10679" s="10"/>
      <c r="Z10679" s="10"/>
    </row>
    <row r="10680" spans="1:26" ht="12.75">
      <c r="A10680" s="10"/>
      <c r="B10680" s="10"/>
      <c r="C10680" s="10"/>
      <c r="D10680" s="10"/>
      <c r="E10680" s="10"/>
      <c r="F10680" s="10"/>
      <c r="G10680" s="10"/>
      <c r="H10680" s="10"/>
      <c r="I10680" s="10"/>
      <c r="J10680" s="10"/>
      <c r="K10680" s="10"/>
      <c r="L10680" s="10"/>
      <c r="M10680" s="10"/>
      <c r="N10680" s="10"/>
      <c r="O10680" s="10"/>
      <c r="P10680" s="10"/>
      <c r="Q10680" s="10"/>
      <c r="R10680" s="10"/>
      <c r="S10680" s="10"/>
      <c r="T10680" s="10"/>
      <c r="U10680" s="10"/>
      <c r="V10680" s="10"/>
      <c r="W10680" s="10"/>
      <c r="X10680" s="10"/>
      <c r="Y10680" s="10"/>
      <c r="Z10680" s="10"/>
    </row>
    <row r="10681" spans="1:26" ht="12.75">
      <c r="A10681" s="10"/>
      <c r="B10681" s="10"/>
      <c r="C10681" s="10"/>
      <c r="D10681" s="10"/>
      <c r="E10681" s="10"/>
      <c r="F10681" s="10"/>
      <c r="G10681" s="10"/>
      <c r="H10681" s="10"/>
      <c r="I10681" s="10"/>
      <c r="J10681" s="10"/>
      <c r="K10681" s="10"/>
      <c r="L10681" s="10"/>
      <c r="M10681" s="10"/>
      <c r="N10681" s="10"/>
      <c r="O10681" s="10"/>
      <c r="P10681" s="10"/>
      <c r="Q10681" s="10"/>
      <c r="R10681" s="10"/>
      <c r="S10681" s="10"/>
      <c r="T10681" s="10"/>
      <c r="U10681" s="10"/>
      <c r="V10681" s="10"/>
      <c r="W10681" s="10"/>
      <c r="X10681" s="10"/>
      <c r="Y10681" s="10"/>
      <c r="Z10681" s="10"/>
    </row>
    <row r="10682" spans="1:26" ht="12.75">
      <c r="A10682" s="10"/>
      <c r="B10682" s="10"/>
      <c r="C10682" s="10"/>
      <c r="D10682" s="10"/>
      <c r="E10682" s="10"/>
      <c r="F10682" s="10"/>
      <c r="G10682" s="10"/>
      <c r="H10682" s="10"/>
      <c r="I10682" s="10"/>
      <c r="J10682" s="10"/>
      <c r="K10682" s="10"/>
      <c r="L10682" s="10"/>
      <c r="M10682" s="10"/>
      <c r="N10682" s="10"/>
      <c r="O10682" s="10"/>
      <c r="P10682" s="10"/>
      <c r="Q10682" s="10"/>
      <c r="R10682" s="10"/>
      <c r="S10682" s="10"/>
      <c r="T10682" s="10"/>
      <c r="U10682" s="10"/>
      <c r="V10682" s="10"/>
      <c r="W10682" s="10"/>
      <c r="X10682" s="10"/>
      <c r="Y10682" s="10"/>
      <c r="Z10682" s="10"/>
    </row>
    <row r="10683" spans="1:26" ht="12.75">
      <c r="A10683" s="10"/>
      <c r="B10683" s="10"/>
      <c r="C10683" s="10"/>
      <c r="D10683" s="10"/>
      <c r="E10683" s="10"/>
      <c r="F10683" s="10"/>
      <c r="G10683" s="10"/>
      <c r="H10683" s="10"/>
      <c r="I10683" s="10"/>
      <c r="J10683" s="10"/>
      <c r="K10683" s="10"/>
      <c r="L10683" s="10"/>
      <c r="M10683" s="10"/>
      <c r="N10683" s="10"/>
      <c r="O10683" s="10"/>
      <c r="P10683" s="10"/>
      <c r="Q10683" s="10"/>
      <c r="R10683" s="10"/>
      <c r="S10683" s="10"/>
      <c r="T10683" s="10"/>
      <c r="U10683" s="10"/>
      <c r="V10683" s="10"/>
      <c r="W10683" s="10"/>
      <c r="X10683" s="10"/>
      <c r="Y10683" s="10"/>
      <c r="Z10683" s="10"/>
    </row>
    <row r="10684" spans="1:26" ht="12.75">
      <c r="A10684" s="10"/>
      <c r="B10684" s="10"/>
      <c r="C10684" s="10"/>
      <c r="D10684" s="10"/>
      <c r="E10684" s="10"/>
      <c r="F10684" s="10"/>
      <c r="G10684" s="10"/>
      <c r="H10684" s="10"/>
      <c r="I10684" s="10"/>
      <c r="J10684" s="10"/>
      <c r="K10684" s="10"/>
      <c r="L10684" s="10"/>
      <c r="M10684" s="10"/>
      <c r="N10684" s="10"/>
      <c r="O10684" s="10"/>
      <c r="P10684" s="10"/>
      <c r="Q10684" s="10"/>
      <c r="R10684" s="10"/>
      <c r="S10684" s="10"/>
      <c r="T10684" s="10"/>
      <c r="U10684" s="10"/>
      <c r="V10684" s="10"/>
      <c r="W10684" s="10"/>
      <c r="X10684" s="10"/>
      <c r="Y10684" s="10"/>
      <c r="Z10684" s="10"/>
    </row>
    <row r="10685" spans="1:26" ht="12.75">
      <c r="A10685" s="10"/>
      <c r="B10685" s="10"/>
      <c r="C10685" s="10"/>
      <c r="D10685" s="10"/>
      <c r="E10685" s="10"/>
      <c r="F10685" s="10"/>
      <c r="G10685" s="10"/>
      <c r="H10685" s="10"/>
      <c r="I10685" s="10"/>
      <c r="J10685" s="10"/>
      <c r="K10685" s="10"/>
      <c r="L10685" s="10"/>
      <c r="M10685" s="10"/>
      <c r="N10685" s="10"/>
      <c r="O10685" s="10"/>
      <c r="P10685" s="10"/>
      <c r="Q10685" s="10"/>
      <c r="R10685" s="10"/>
      <c r="S10685" s="10"/>
      <c r="T10685" s="10"/>
      <c r="U10685" s="10"/>
      <c r="V10685" s="10"/>
      <c r="W10685" s="10"/>
      <c r="X10685" s="10"/>
      <c r="Y10685" s="10"/>
      <c r="Z10685" s="10"/>
    </row>
    <row r="10686" spans="1:26" ht="12.75">
      <c r="A10686" s="10"/>
      <c r="B10686" s="10"/>
      <c r="C10686" s="10"/>
      <c r="D10686" s="10"/>
      <c r="E10686" s="10"/>
      <c r="F10686" s="10"/>
      <c r="G10686" s="10"/>
      <c r="H10686" s="10"/>
      <c r="I10686" s="10"/>
      <c r="J10686" s="10"/>
      <c r="K10686" s="10"/>
      <c r="L10686" s="10"/>
      <c r="M10686" s="10"/>
      <c r="N10686" s="10"/>
      <c r="O10686" s="10"/>
      <c r="P10686" s="10"/>
      <c r="Q10686" s="10"/>
      <c r="R10686" s="10"/>
      <c r="S10686" s="10"/>
      <c r="T10686" s="10"/>
      <c r="U10686" s="10"/>
      <c r="V10686" s="10"/>
      <c r="W10686" s="10"/>
      <c r="X10686" s="10"/>
      <c r="Y10686" s="10"/>
      <c r="Z10686" s="10"/>
    </row>
    <row r="10687" spans="1:26" ht="12.75">
      <c r="A10687" s="10"/>
      <c r="B10687" s="10"/>
      <c r="C10687" s="10"/>
      <c r="D10687" s="10"/>
      <c r="E10687" s="10"/>
      <c r="F10687" s="10"/>
      <c r="G10687" s="10"/>
      <c r="H10687" s="10"/>
      <c r="I10687" s="10"/>
      <c r="J10687" s="10"/>
      <c r="K10687" s="10"/>
      <c r="L10687" s="10"/>
      <c r="M10687" s="10"/>
      <c r="N10687" s="10"/>
      <c r="O10687" s="10"/>
      <c r="P10687" s="10"/>
      <c r="Q10687" s="10"/>
      <c r="R10687" s="10"/>
      <c r="S10687" s="10"/>
      <c r="T10687" s="10"/>
      <c r="U10687" s="10"/>
      <c r="V10687" s="10"/>
      <c r="W10687" s="10"/>
      <c r="X10687" s="10"/>
      <c r="Y10687" s="10"/>
      <c r="Z10687" s="10"/>
    </row>
    <row r="10688" spans="1:26" ht="12.75">
      <c r="A10688" s="10"/>
      <c r="B10688" s="10"/>
      <c r="C10688" s="10"/>
      <c r="D10688" s="10"/>
      <c r="E10688" s="10"/>
      <c r="F10688" s="10"/>
      <c r="G10688" s="10"/>
      <c r="H10688" s="10"/>
      <c r="I10688" s="10"/>
      <c r="J10688" s="10"/>
      <c r="K10688" s="10"/>
      <c r="L10688" s="10"/>
      <c r="M10688" s="10"/>
      <c r="N10688" s="10"/>
      <c r="O10688" s="10"/>
      <c r="P10688" s="10"/>
      <c r="Q10688" s="10"/>
      <c r="R10688" s="10"/>
      <c r="S10688" s="10"/>
      <c r="T10688" s="10"/>
      <c r="U10688" s="10"/>
      <c r="V10688" s="10"/>
      <c r="W10688" s="10"/>
      <c r="X10688" s="10"/>
      <c r="Y10688" s="10"/>
      <c r="Z10688" s="10"/>
    </row>
    <row r="10689" spans="1:26" ht="12.75">
      <c r="A10689" s="10"/>
      <c r="B10689" s="10"/>
      <c r="C10689" s="10"/>
      <c r="D10689" s="10"/>
      <c r="E10689" s="10"/>
      <c r="F10689" s="10"/>
      <c r="G10689" s="10"/>
      <c r="H10689" s="10"/>
      <c r="I10689" s="10"/>
      <c r="J10689" s="10"/>
      <c r="K10689" s="10"/>
      <c r="L10689" s="10"/>
      <c r="M10689" s="10"/>
      <c r="N10689" s="10"/>
      <c r="O10689" s="10"/>
      <c r="P10689" s="10"/>
      <c r="Q10689" s="10"/>
      <c r="R10689" s="10"/>
      <c r="S10689" s="10"/>
      <c r="T10689" s="10"/>
      <c r="U10689" s="10"/>
      <c r="V10689" s="10"/>
      <c r="W10689" s="10"/>
      <c r="X10689" s="10"/>
      <c r="Y10689" s="10"/>
      <c r="Z10689" s="10"/>
    </row>
    <row r="10690" spans="1:26" ht="12.75">
      <c r="A10690" s="10"/>
      <c r="B10690" s="10"/>
      <c r="C10690" s="10"/>
      <c r="D10690" s="10"/>
      <c r="E10690" s="10"/>
      <c r="F10690" s="10"/>
      <c r="G10690" s="10"/>
      <c r="H10690" s="10"/>
      <c r="I10690" s="10"/>
      <c r="J10690" s="10"/>
      <c r="K10690" s="10"/>
      <c r="L10690" s="10"/>
      <c r="M10690" s="10"/>
      <c r="N10690" s="10"/>
      <c r="O10690" s="10"/>
      <c r="P10690" s="10"/>
      <c r="Q10690" s="10"/>
      <c r="R10690" s="10"/>
      <c r="S10690" s="10"/>
      <c r="T10690" s="10"/>
      <c r="U10690" s="10"/>
      <c r="V10690" s="10"/>
      <c r="W10690" s="10"/>
      <c r="X10690" s="10"/>
      <c r="Y10690" s="10"/>
      <c r="Z10690" s="10"/>
    </row>
    <row r="10691" spans="1:26" ht="12.75">
      <c r="A10691" s="10"/>
      <c r="B10691" s="10"/>
      <c r="C10691" s="10"/>
      <c r="D10691" s="10"/>
      <c r="E10691" s="10"/>
      <c r="F10691" s="10"/>
      <c r="G10691" s="10"/>
      <c r="H10691" s="10"/>
      <c r="I10691" s="10"/>
      <c r="J10691" s="10"/>
      <c r="K10691" s="10"/>
      <c r="L10691" s="10"/>
      <c r="M10691" s="10"/>
      <c r="N10691" s="10"/>
      <c r="O10691" s="10"/>
      <c r="P10691" s="10"/>
      <c r="Q10691" s="10"/>
      <c r="R10691" s="10"/>
      <c r="S10691" s="10"/>
      <c r="T10691" s="10"/>
      <c r="U10691" s="10"/>
      <c r="V10691" s="10"/>
      <c r="W10691" s="10"/>
      <c r="X10691" s="10"/>
      <c r="Y10691" s="10"/>
      <c r="Z10691" s="10"/>
    </row>
    <row r="10692" spans="1:26" ht="12.75">
      <c r="A10692" s="10"/>
      <c r="B10692" s="10"/>
      <c r="C10692" s="10"/>
      <c r="D10692" s="10"/>
      <c r="E10692" s="10"/>
      <c r="F10692" s="10"/>
      <c r="G10692" s="10"/>
      <c r="H10692" s="10"/>
      <c r="I10692" s="10"/>
      <c r="J10692" s="10"/>
      <c r="K10692" s="10"/>
      <c r="L10692" s="10"/>
      <c r="M10692" s="10"/>
      <c r="N10692" s="10"/>
      <c r="O10692" s="10"/>
      <c r="P10692" s="10"/>
      <c r="Q10692" s="10"/>
      <c r="R10692" s="10"/>
      <c r="S10692" s="10"/>
      <c r="T10692" s="10"/>
      <c r="U10692" s="10"/>
      <c r="V10692" s="10"/>
      <c r="W10692" s="10"/>
      <c r="X10692" s="10"/>
      <c r="Y10692" s="10"/>
      <c r="Z10692" s="10"/>
    </row>
    <row r="10693" spans="1:26" ht="12.75">
      <c r="A10693" s="10"/>
      <c r="B10693" s="10"/>
      <c r="C10693" s="10"/>
      <c r="D10693" s="10"/>
      <c r="E10693" s="10"/>
      <c r="F10693" s="10"/>
      <c r="G10693" s="10"/>
      <c r="H10693" s="10"/>
      <c r="I10693" s="10"/>
      <c r="J10693" s="10"/>
      <c r="K10693" s="10"/>
      <c r="L10693" s="10"/>
      <c r="M10693" s="10"/>
      <c r="N10693" s="10"/>
      <c r="O10693" s="10"/>
      <c r="P10693" s="10"/>
      <c r="Q10693" s="10"/>
      <c r="R10693" s="10"/>
      <c r="S10693" s="10"/>
      <c r="T10693" s="10"/>
      <c r="U10693" s="10"/>
      <c r="V10693" s="10"/>
      <c r="W10693" s="10"/>
      <c r="X10693" s="10"/>
      <c r="Y10693" s="10"/>
      <c r="Z10693" s="10"/>
    </row>
    <row r="10694" spans="1:26" ht="12.75">
      <c r="A10694" s="10"/>
      <c r="B10694" s="10"/>
      <c r="C10694" s="10"/>
      <c r="D10694" s="10"/>
      <c r="E10694" s="10"/>
      <c r="F10694" s="10"/>
      <c r="G10694" s="10"/>
      <c r="H10694" s="10"/>
      <c r="I10694" s="10"/>
      <c r="J10694" s="10"/>
      <c r="K10694" s="10"/>
      <c r="L10694" s="10"/>
      <c r="M10694" s="10"/>
      <c r="N10694" s="10"/>
      <c r="O10694" s="10"/>
      <c r="P10694" s="10"/>
      <c r="Q10694" s="10"/>
      <c r="R10694" s="10"/>
      <c r="S10694" s="10"/>
      <c r="T10694" s="10"/>
      <c r="U10694" s="10"/>
      <c r="V10694" s="10"/>
      <c r="W10694" s="10"/>
      <c r="X10694" s="10"/>
      <c r="Y10694" s="10"/>
      <c r="Z10694" s="10"/>
    </row>
    <row r="10695" spans="1:26" ht="12.75">
      <c r="A10695" s="10"/>
      <c r="B10695" s="10"/>
      <c r="C10695" s="10"/>
      <c r="D10695" s="10"/>
      <c r="E10695" s="10"/>
      <c r="F10695" s="10"/>
      <c r="G10695" s="10"/>
      <c r="H10695" s="10"/>
      <c r="I10695" s="10"/>
      <c r="J10695" s="10"/>
      <c r="K10695" s="10"/>
      <c r="L10695" s="10"/>
      <c r="M10695" s="10"/>
      <c r="N10695" s="10"/>
      <c r="O10695" s="10"/>
      <c r="P10695" s="10"/>
      <c r="Q10695" s="10"/>
      <c r="R10695" s="10"/>
      <c r="S10695" s="10"/>
      <c r="T10695" s="10"/>
      <c r="U10695" s="10"/>
      <c r="V10695" s="10"/>
      <c r="W10695" s="10"/>
      <c r="X10695" s="10"/>
      <c r="Y10695" s="10"/>
      <c r="Z10695" s="10"/>
    </row>
    <row r="10696" spans="1:26" ht="12.75">
      <c r="A10696" s="10"/>
      <c r="B10696" s="10"/>
      <c r="C10696" s="10"/>
      <c r="D10696" s="10"/>
      <c r="E10696" s="10"/>
      <c r="F10696" s="10"/>
      <c r="G10696" s="10"/>
      <c r="H10696" s="10"/>
      <c r="I10696" s="10"/>
      <c r="J10696" s="10"/>
      <c r="K10696" s="10"/>
      <c r="L10696" s="10"/>
      <c r="M10696" s="10"/>
      <c r="N10696" s="10"/>
      <c r="O10696" s="10"/>
      <c r="P10696" s="10"/>
      <c r="Q10696" s="10"/>
      <c r="R10696" s="10"/>
      <c r="S10696" s="10"/>
      <c r="T10696" s="10"/>
      <c r="U10696" s="10"/>
      <c r="V10696" s="10"/>
      <c r="W10696" s="10"/>
      <c r="X10696" s="10"/>
      <c r="Y10696" s="10"/>
      <c r="Z10696" s="10"/>
    </row>
    <row r="10697" spans="1:26" ht="12.75">
      <c r="A10697" s="10"/>
      <c r="B10697" s="10"/>
      <c r="C10697" s="10"/>
      <c r="D10697" s="10"/>
      <c r="E10697" s="10"/>
      <c r="F10697" s="10"/>
      <c r="G10697" s="10"/>
      <c r="H10697" s="10"/>
      <c r="I10697" s="10"/>
      <c r="J10697" s="10"/>
      <c r="K10697" s="10"/>
      <c r="L10697" s="10"/>
      <c r="M10697" s="10"/>
      <c r="N10697" s="10"/>
      <c r="O10697" s="10"/>
      <c r="P10697" s="10"/>
      <c r="Q10697" s="10"/>
      <c r="R10697" s="10"/>
      <c r="S10697" s="10"/>
      <c r="T10697" s="10"/>
      <c r="U10697" s="10"/>
      <c r="V10697" s="10"/>
      <c r="W10697" s="10"/>
      <c r="X10697" s="10"/>
      <c r="Y10697" s="10"/>
      <c r="Z10697" s="10"/>
    </row>
    <row r="10698" spans="1:26" ht="12.75">
      <c r="A10698" s="10"/>
      <c r="B10698" s="10"/>
      <c r="C10698" s="10"/>
      <c r="D10698" s="10"/>
      <c r="E10698" s="10"/>
      <c r="F10698" s="10"/>
      <c r="G10698" s="10"/>
      <c r="H10698" s="10"/>
      <c r="I10698" s="10"/>
      <c r="J10698" s="10"/>
      <c r="K10698" s="10"/>
      <c r="L10698" s="10"/>
      <c r="M10698" s="10"/>
      <c r="N10698" s="10"/>
      <c r="O10698" s="10"/>
      <c r="P10698" s="10"/>
      <c r="Q10698" s="10"/>
      <c r="R10698" s="10"/>
      <c r="S10698" s="10"/>
      <c r="T10698" s="10"/>
      <c r="U10698" s="10"/>
      <c r="V10698" s="10"/>
      <c r="W10698" s="10"/>
      <c r="X10698" s="10"/>
      <c r="Y10698" s="10"/>
      <c r="Z10698" s="10"/>
    </row>
    <row r="10699" spans="1:26" ht="12.75">
      <c r="A10699" s="10"/>
      <c r="B10699" s="10"/>
      <c r="C10699" s="10"/>
      <c r="D10699" s="10"/>
      <c r="E10699" s="10"/>
      <c r="F10699" s="10"/>
      <c r="G10699" s="10"/>
      <c r="H10699" s="10"/>
      <c r="I10699" s="10"/>
      <c r="J10699" s="10"/>
      <c r="K10699" s="10"/>
      <c r="L10699" s="10"/>
      <c r="M10699" s="10"/>
      <c r="N10699" s="10"/>
      <c r="O10699" s="10"/>
      <c r="P10699" s="10"/>
      <c r="Q10699" s="10"/>
      <c r="R10699" s="10"/>
      <c r="S10699" s="10"/>
      <c r="T10699" s="10"/>
      <c r="U10699" s="10"/>
      <c r="V10699" s="10"/>
      <c r="W10699" s="10"/>
      <c r="X10699" s="10"/>
      <c r="Y10699" s="10"/>
      <c r="Z10699" s="10"/>
    </row>
    <row r="10700" spans="1:26" ht="12.75">
      <c r="A10700" s="10"/>
      <c r="B10700" s="10"/>
      <c r="C10700" s="10"/>
      <c r="D10700" s="10"/>
      <c r="E10700" s="10"/>
      <c r="F10700" s="10"/>
      <c r="G10700" s="10"/>
      <c r="H10700" s="10"/>
      <c r="I10700" s="10"/>
      <c r="J10700" s="10"/>
      <c r="K10700" s="10"/>
      <c r="L10700" s="10"/>
      <c r="M10700" s="10"/>
      <c r="N10700" s="10"/>
      <c r="O10700" s="10"/>
      <c r="P10700" s="10"/>
      <c r="Q10700" s="10"/>
      <c r="R10700" s="10"/>
      <c r="S10700" s="10"/>
      <c r="T10700" s="10"/>
      <c r="U10700" s="10"/>
      <c r="V10700" s="10"/>
      <c r="W10700" s="10"/>
      <c r="X10700" s="10"/>
      <c r="Y10700" s="10"/>
      <c r="Z10700" s="10"/>
    </row>
    <row r="10701" spans="1:26" ht="12.75">
      <c r="A10701" s="10"/>
      <c r="B10701" s="10"/>
      <c r="C10701" s="10"/>
      <c r="D10701" s="10"/>
      <c r="E10701" s="10"/>
      <c r="F10701" s="10"/>
      <c r="G10701" s="10"/>
      <c r="H10701" s="10"/>
      <c r="I10701" s="10"/>
      <c r="J10701" s="10"/>
      <c r="K10701" s="10"/>
      <c r="L10701" s="10"/>
      <c r="M10701" s="10"/>
      <c r="N10701" s="10"/>
      <c r="O10701" s="10"/>
      <c r="P10701" s="10"/>
      <c r="Q10701" s="10"/>
      <c r="R10701" s="10"/>
      <c r="S10701" s="10"/>
      <c r="T10701" s="10"/>
      <c r="U10701" s="10"/>
      <c r="V10701" s="10"/>
      <c r="W10701" s="10"/>
      <c r="X10701" s="10"/>
      <c r="Y10701" s="10"/>
      <c r="Z10701" s="10"/>
    </row>
    <row r="10702" spans="1:26" ht="12.75">
      <c r="A10702" s="10"/>
      <c r="B10702" s="10"/>
      <c r="C10702" s="10"/>
      <c r="D10702" s="10"/>
      <c r="E10702" s="10"/>
      <c r="F10702" s="10"/>
      <c r="G10702" s="10"/>
      <c r="H10702" s="10"/>
      <c r="I10702" s="10"/>
      <c r="J10702" s="10"/>
      <c r="K10702" s="10"/>
      <c r="L10702" s="10"/>
      <c r="M10702" s="10"/>
      <c r="N10702" s="10"/>
      <c r="O10702" s="10"/>
      <c r="P10702" s="10"/>
      <c r="Q10702" s="10"/>
      <c r="R10702" s="10"/>
      <c r="S10702" s="10"/>
      <c r="T10702" s="10"/>
      <c r="U10702" s="10"/>
      <c r="V10702" s="10"/>
      <c r="W10702" s="10"/>
      <c r="X10702" s="10"/>
      <c r="Y10702" s="10"/>
      <c r="Z10702" s="10"/>
    </row>
    <row r="10703" spans="1:26" ht="12.75">
      <c r="A10703" s="10"/>
      <c r="B10703" s="10"/>
      <c r="C10703" s="10"/>
      <c r="D10703" s="10"/>
      <c r="E10703" s="10"/>
      <c r="F10703" s="10"/>
      <c r="G10703" s="10"/>
      <c r="H10703" s="10"/>
      <c r="I10703" s="10"/>
      <c r="J10703" s="10"/>
      <c r="K10703" s="10"/>
      <c r="L10703" s="10"/>
      <c r="M10703" s="10"/>
      <c r="N10703" s="10"/>
      <c r="O10703" s="10"/>
      <c r="P10703" s="10"/>
      <c r="Q10703" s="10"/>
      <c r="R10703" s="10"/>
      <c r="S10703" s="10"/>
      <c r="T10703" s="10"/>
      <c r="U10703" s="10"/>
      <c r="V10703" s="10"/>
      <c r="W10703" s="10"/>
      <c r="X10703" s="10"/>
      <c r="Y10703" s="10"/>
      <c r="Z10703" s="10"/>
    </row>
    <row r="10704" spans="1:26" ht="12.75">
      <c r="A10704" s="10"/>
      <c r="B10704" s="10"/>
      <c r="C10704" s="10"/>
      <c r="D10704" s="10"/>
      <c r="E10704" s="10"/>
      <c r="F10704" s="10"/>
      <c r="G10704" s="10"/>
      <c r="H10704" s="10"/>
      <c r="I10704" s="10"/>
      <c r="J10704" s="10"/>
      <c r="K10704" s="10"/>
      <c r="L10704" s="10"/>
      <c r="M10704" s="10"/>
      <c r="N10704" s="10"/>
      <c r="O10704" s="10"/>
      <c r="P10704" s="10"/>
      <c r="Q10704" s="10"/>
      <c r="R10704" s="10"/>
      <c r="S10704" s="10"/>
      <c r="T10704" s="10"/>
      <c r="U10704" s="10"/>
      <c r="V10704" s="10"/>
      <c r="W10704" s="10"/>
      <c r="X10704" s="10"/>
      <c r="Y10704" s="10"/>
      <c r="Z10704" s="10"/>
    </row>
    <row r="10705" spans="1:26" ht="12.75">
      <c r="A10705" s="10"/>
      <c r="B10705" s="10"/>
      <c r="C10705" s="10"/>
      <c r="D10705" s="10"/>
      <c r="E10705" s="10"/>
      <c r="F10705" s="10"/>
      <c r="G10705" s="10"/>
      <c r="H10705" s="10"/>
      <c r="I10705" s="10"/>
      <c r="J10705" s="10"/>
      <c r="K10705" s="10"/>
      <c r="L10705" s="10"/>
      <c r="M10705" s="10"/>
      <c r="N10705" s="10"/>
      <c r="O10705" s="10"/>
      <c r="P10705" s="10"/>
      <c r="Q10705" s="10"/>
      <c r="R10705" s="10"/>
      <c r="S10705" s="10"/>
      <c r="T10705" s="10"/>
      <c r="U10705" s="10"/>
      <c r="V10705" s="10"/>
      <c r="W10705" s="10"/>
      <c r="X10705" s="10"/>
      <c r="Y10705" s="10"/>
      <c r="Z10705" s="10"/>
    </row>
    <row r="10706" spans="1:26" ht="12.75">
      <c r="A10706" s="10"/>
      <c r="B10706" s="10"/>
      <c r="C10706" s="10"/>
      <c r="D10706" s="10"/>
      <c r="E10706" s="10"/>
      <c r="F10706" s="10"/>
      <c r="G10706" s="10"/>
      <c r="H10706" s="10"/>
      <c r="I10706" s="10"/>
      <c r="J10706" s="10"/>
      <c r="K10706" s="10"/>
      <c r="L10706" s="10"/>
      <c r="M10706" s="10"/>
      <c r="N10706" s="10"/>
      <c r="O10706" s="10"/>
      <c r="P10706" s="10"/>
      <c r="Q10706" s="10"/>
      <c r="R10706" s="10"/>
      <c r="S10706" s="10"/>
      <c r="T10706" s="10"/>
      <c r="U10706" s="10"/>
      <c r="V10706" s="10"/>
      <c r="W10706" s="10"/>
      <c r="X10706" s="10"/>
      <c r="Y10706" s="10"/>
      <c r="Z10706" s="10"/>
    </row>
    <row r="10707" spans="1:26" ht="12.75">
      <c r="A10707" s="10"/>
      <c r="B10707" s="10"/>
      <c r="C10707" s="10"/>
      <c r="D10707" s="10"/>
      <c r="E10707" s="10"/>
      <c r="F10707" s="10"/>
      <c r="G10707" s="10"/>
      <c r="H10707" s="10"/>
      <c r="I10707" s="10"/>
      <c r="J10707" s="10"/>
      <c r="K10707" s="10"/>
      <c r="L10707" s="10"/>
      <c r="M10707" s="10"/>
      <c r="N10707" s="10"/>
      <c r="O10707" s="10"/>
      <c r="P10707" s="10"/>
      <c r="Q10707" s="10"/>
      <c r="R10707" s="10"/>
      <c r="S10707" s="10"/>
      <c r="T10707" s="10"/>
      <c r="U10707" s="10"/>
      <c r="V10707" s="10"/>
      <c r="W10707" s="10"/>
      <c r="X10707" s="10"/>
      <c r="Y10707" s="10"/>
      <c r="Z10707" s="10"/>
    </row>
    <row r="10708" spans="1:26" ht="12.75">
      <c r="A10708" s="10"/>
      <c r="B10708" s="10"/>
      <c r="C10708" s="10"/>
      <c r="D10708" s="10"/>
      <c r="E10708" s="10"/>
      <c r="F10708" s="10"/>
      <c r="G10708" s="10"/>
      <c r="H10708" s="10"/>
      <c r="I10708" s="10"/>
      <c r="J10708" s="10"/>
      <c r="K10708" s="10"/>
      <c r="L10708" s="10"/>
      <c r="M10708" s="10"/>
      <c r="N10708" s="10"/>
      <c r="O10708" s="10"/>
      <c r="P10708" s="10"/>
      <c r="Q10708" s="10"/>
      <c r="R10708" s="10"/>
      <c r="S10708" s="10"/>
      <c r="T10708" s="10"/>
      <c r="U10708" s="10"/>
      <c r="V10708" s="10"/>
      <c r="W10708" s="10"/>
      <c r="X10708" s="10"/>
      <c r="Y10708" s="10"/>
      <c r="Z10708" s="10"/>
    </row>
    <row r="10709" spans="1:26" ht="12.75">
      <c r="A10709" s="10"/>
      <c r="B10709" s="10"/>
      <c r="C10709" s="10"/>
      <c r="D10709" s="10"/>
      <c r="E10709" s="10"/>
      <c r="F10709" s="10"/>
      <c r="G10709" s="10"/>
      <c r="H10709" s="10"/>
      <c r="I10709" s="10"/>
      <c r="J10709" s="10"/>
      <c r="K10709" s="10"/>
      <c r="L10709" s="10"/>
      <c r="M10709" s="10"/>
      <c r="N10709" s="10"/>
      <c r="O10709" s="10"/>
      <c r="P10709" s="10"/>
      <c r="Q10709" s="10"/>
      <c r="R10709" s="10"/>
      <c r="S10709" s="10"/>
      <c r="T10709" s="10"/>
      <c r="U10709" s="10"/>
      <c r="V10709" s="10"/>
      <c r="W10709" s="10"/>
      <c r="X10709" s="10"/>
      <c r="Y10709" s="10"/>
      <c r="Z10709" s="10"/>
    </row>
    <row r="10710" spans="1:26" ht="12.75">
      <c r="A10710" s="10"/>
      <c r="B10710" s="10"/>
      <c r="C10710" s="10"/>
      <c r="D10710" s="10"/>
      <c r="E10710" s="10"/>
      <c r="F10710" s="10"/>
      <c r="G10710" s="10"/>
      <c r="H10710" s="10"/>
      <c r="I10710" s="10"/>
      <c r="J10710" s="10"/>
      <c r="K10710" s="10"/>
      <c r="L10710" s="10"/>
      <c r="M10710" s="10"/>
      <c r="N10710" s="10"/>
      <c r="O10710" s="10"/>
      <c r="P10710" s="10"/>
      <c r="Q10710" s="10"/>
      <c r="R10710" s="10"/>
      <c r="S10710" s="10"/>
      <c r="T10710" s="10"/>
      <c r="U10710" s="10"/>
      <c r="V10710" s="10"/>
      <c r="W10710" s="10"/>
      <c r="X10710" s="10"/>
      <c r="Y10710" s="10"/>
      <c r="Z10710" s="10"/>
    </row>
    <row r="10711" spans="1:26" ht="12.75">
      <c r="A10711" s="10"/>
      <c r="B10711" s="10"/>
      <c r="C10711" s="10"/>
      <c r="D10711" s="10"/>
      <c r="E10711" s="10"/>
      <c r="F10711" s="10"/>
      <c r="G10711" s="10"/>
      <c r="H10711" s="10"/>
      <c r="I10711" s="10"/>
      <c r="J10711" s="10"/>
      <c r="K10711" s="10"/>
      <c r="L10711" s="10"/>
      <c r="M10711" s="10"/>
      <c r="N10711" s="10"/>
      <c r="O10711" s="10"/>
      <c r="P10711" s="10"/>
      <c r="Q10711" s="10"/>
      <c r="R10711" s="10"/>
      <c r="S10711" s="10"/>
      <c r="T10711" s="10"/>
      <c r="U10711" s="10"/>
      <c r="V10711" s="10"/>
      <c r="W10711" s="10"/>
      <c r="X10711" s="10"/>
      <c r="Y10711" s="10"/>
      <c r="Z10711" s="10"/>
    </row>
    <row r="10712" spans="1:26" ht="12.75">
      <c r="A10712" s="10"/>
      <c r="B10712" s="10"/>
      <c r="C10712" s="10"/>
      <c r="D10712" s="10"/>
      <c r="E10712" s="10"/>
      <c r="F10712" s="10"/>
      <c r="G10712" s="10"/>
      <c r="H10712" s="10"/>
      <c r="I10712" s="10"/>
      <c r="J10712" s="10"/>
      <c r="K10712" s="10"/>
      <c r="L10712" s="10"/>
      <c r="M10712" s="10"/>
      <c r="N10712" s="10"/>
      <c r="O10712" s="10"/>
      <c r="P10712" s="10"/>
      <c r="Q10712" s="10"/>
      <c r="R10712" s="10"/>
      <c r="S10712" s="10"/>
      <c r="T10712" s="10"/>
      <c r="U10712" s="10"/>
      <c r="V10712" s="10"/>
      <c r="W10712" s="10"/>
      <c r="X10712" s="10"/>
      <c r="Y10712" s="10"/>
      <c r="Z10712" s="10"/>
    </row>
    <row r="10713" spans="1:26" ht="12.75">
      <c r="A10713" s="10"/>
      <c r="B10713" s="10"/>
      <c r="C10713" s="10"/>
      <c r="D10713" s="10"/>
      <c r="E10713" s="10"/>
      <c r="F10713" s="10"/>
      <c r="G10713" s="10"/>
      <c r="H10713" s="10"/>
      <c r="I10713" s="10"/>
      <c r="J10713" s="10"/>
      <c r="K10713" s="10"/>
      <c r="L10713" s="10"/>
      <c r="M10713" s="10"/>
      <c r="N10713" s="10"/>
      <c r="O10713" s="10"/>
      <c r="P10713" s="10"/>
      <c r="Q10713" s="10"/>
      <c r="R10713" s="10"/>
      <c r="S10713" s="10"/>
      <c r="T10713" s="10"/>
      <c r="U10713" s="10"/>
      <c r="V10713" s="10"/>
      <c r="W10713" s="10"/>
      <c r="X10713" s="10"/>
      <c r="Y10713" s="10"/>
      <c r="Z10713" s="10"/>
    </row>
    <row r="10714" spans="1:26" ht="12.75">
      <c r="A10714" s="10"/>
      <c r="B10714" s="10"/>
      <c r="C10714" s="10"/>
      <c r="D10714" s="10"/>
      <c r="E10714" s="10"/>
      <c r="F10714" s="10"/>
      <c r="G10714" s="10"/>
      <c r="H10714" s="10"/>
      <c r="I10714" s="10"/>
      <c r="J10714" s="10"/>
      <c r="K10714" s="10"/>
      <c r="L10714" s="10"/>
      <c r="M10714" s="10"/>
      <c r="N10714" s="10"/>
      <c r="O10714" s="10"/>
      <c r="P10714" s="10"/>
      <c r="Q10714" s="10"/>
      <c r="R10714" s="10"/>
      <c r="S10714" s="10"/>
      <c r="T10714" s="10"/>
      <c r="U10714" s="10"/>
      <c r="V10714" s="10"/>
      <c r="W10714" s="10"/>
      <c r="X10714" s="10"/>
      <c r="Y10714" s="10"/>
      <c r="Z10714" s="10"/>
    </row>
    <row r="10715" spans="1:26" ht="12.75">
      <c r="A10715" s="10"/>
      <c r="B10715" s="10"/>
      <c r="C10715" s="10"/>
      <c r="D10715" s="10"/>
      <c r="E10715" s="10"/>
      <c r="F10715" s="10"/>
      <c r="G10715" s="10"/>
      <c r="H10715" s="10"/>
      <c r="I10715" s="10"/>
      <c r="J10715" s="10"/>
      <c r="K10715" s="10"/>
      <c r="L10715" s="10"/>
      <c r="M10715" s="10"/>
      <c r="N10715" s="10"/>
      <c r="O10715" s="10"/>
      <c r="P10715" s="10"/>
      <c r="Q10715" s="10"/>
      <c r="R10715" s="10"/>
      <c r="S10715" s="10"/>
      <c r="T10715" s="10"/>
      <c r="U10715" s="10"/>
      <c r="V10715" s="10"/>
      <c r="W10715" s="10"/>
      <c r="X10715" s="10"/>
      <c r="Y10715" s="10"/>
      <c r="Z10715" s="10"/>
    </row>
    <row r="10716" spans="1:26" ht="12.75">
      <c r="A10716" s="10"/>
      <c r="B10716" s="10"/>
      <c r="C10716" s="10"/>
      <c r="D10716" s="10"/>
      <c r="E10716" s="10"/>
      <c r="F10716" s="10"/>
      <c r="G10716" s="10"/>
      <c r="H10716" s="10"/>
      <c r="I10716" s="10"/>
      <c r="J10716" s="10"/>
      <c r="K10716" s="10"/>
      <c r="L10716" s="10"/>
      <c r="M10716" s="10"/>
      <c r="N10716" s="10"/>
      <c r="O10716" s="10"/>
      <c r="P10716" s="10"/>
      <c r="Q10716" s="10"/>
      <c r="R10716" s="10"/>
      <c r="S10716" s="10"/>
      <c r="T10716" s="10"/>
      <c r="U10716" s="10"/>
      <c r="V10716" s="10"/>
      <c r="W10716" s="10"/>
      <c r="X10716" s="10"/>
      <c r="Y10716" s="10"/>
      <c r="Z10716" s="10"/>
    </row>
    <row r="10717" spans="1:26" ht="12.75">
      <c r="A10717" s="10"/>
      <c r="B10717" s="10"/>
      <c r="C10717" s="10"/>
      <c r="D10717" s="10"/>
      <c r="E10717" s="10"/>
      <c r="F10717" s="10"/>
      <c r="G10717" s="10"/>
      <c r="H10717" s="10"/>
      <c r="I10717" s="10"/>
      <c r="J10717" s="10"/>
      <c r="K10717" s="10"/>
      <c r="L10717" s="10"/>
      <c r="M10717" s="10"/>
      <c r="N10717" s="10"/>
      <c r="O10717" s="10"/>
      <c r="P10717" s="10"/>
      <c r="Q10717" s="10"/>
      <c r="R10717" s="10"/>
      <c r="S10717" s="10"/>
      <c r="T10717" s="10"/>
      <c r="U10717" s="10"/>
      <c r="V10717" s="10"/>
      <c r="W10717" s="10"/>
      <c r="X10717" s="10"/>
      <c r="Y10717" s="10"/>
      <c r="Z10717" s="10"/>
    </row>
    <row r="10718" spans="1:26" ht="12.75">
      <c r="A10718" s="10"/>
      <c r="B10718" s="10"/>
      <c r="C10718" s="10"/>
      <c r="D10718" s="10"/>
      <c r="E10718" s="10"/>
      <c r="F10718" s="10"/>
      <c r="G10718" s="10"/>
      <c r="H10718" s="10"/>
      <c r="I10718" s="10"/>
      <c r="J10718" s="10"/>
      <c r="K10718" s="10"/>
      <c r="L10718" s="10"/>
      <c r="M10718" s="10"/>
      <c r="N10718" s="10"/>
      <c r="O10718" s="10"/>
      <c r="P10718" s="10"/>
      <c r="Q10718" s="10"/>
      <c r="R10718" s="10"/>
      <c r="S10718" s="10"/>
      <c r="T10718" s="10"/>
      <c r="U10718" s="10"/>
      <c r="V10718" s="10"/>
      <c r="W10718" s="10"/>
      <c r="X10718" s="10"/>
      <c r="Y10718" s="10"/>
      <c r="Z10718" s="10"/>
    </row>
    <row r="10719" spans="1:26" ht="12.75">
      <c r="A10719" s="10"/>
      <c r="B10719" s="10"/>
      <c r="C10719" s="10"/>
      <c r="D10719" s="10"/>
      <c r="E10719" s="10"/>
      <c r="F10719" s="10"/>
      <c r="G10719" s="10"/>
      <c r="H10719" s="10"/>
      <c r="I10719" s="10"/>
      <c r="J10719" s="10"/>
      <c r="K10719" s="10"/>
      <c r="L10719" s="10"/>
      <c r="M10719" s="10"/>
      <c r="N10719" s="10"/>
      <c r="O10719" s="10"/>
      <c r="P10719" s="10"/>
      <c r="Q10719" s="10"/>
      <c r="R10719" s="10"/>
      <c r="S10719" s="10"/>
      <c r="T10719" s="10"/>
      <c r="U10719" s="10"/>
      <c r="V10719" s="10"/>
      <c r="W10719" s="10"/>
      <c r="X10719" s="10"/>
      <c r="Y10719" s="10"/>
      <c r="Z10719" s="10"/>
    </row>
    <row r="10720" spans="1:26" ht="12.75">
      <c r="A10720" s="10"/>
      <c r="B10720" s="10"/>
      <c r="C10720" s="10"/>
      <c r="D10720" s="10"/>
      <c r="E10720" s="10"/>
      <c r="F10720" s="10"/>
      <c r="G10720" s="10"/>
      <c r="H10720" s="10"/>
      <c r="I10720" s="10"/>
      <c r="J10720" s="10"/>
      <c r="K10720" s="10"/>
      <c r="L10720" s="10"/>
      <c r="M10720" s="10"/>
      <c r="N10720" s="10"/>
      <c r="O10720" s="10"/>
      <c r="P10720" s="10"/>
      <c r="Q10720" s="10"/>
      <c r="R10720" s="10"/>
      <c r="S10720" s="10"/>
      <c r="T10720" s="10"/>
      <c r="U10720" s="10"/>
      <c r="V10720" s="10"/>
      <c r="W10720" s="10"/>
      <c r="X10720" s="10"/>
      <c r="Y10720" s="10"/>
      <c r="Z10720" s="10"/>
    </row>
    <row r="10721" spans="1:26" ht="12.75">
      <c r="A10721" s="10"/>
      <c r="B10721" s="10"/>
      <c r="C10721" s="10"/>
      <c r="D10721" s="10"/>
      <c r="E10721" s="10"/>
      <c r="F10721" s="10"/>
      <c r="G10721" s="10"/>
      <c r="H10721" s="10"/>
      <c r="I10721" s="10"/>
      <c r="J10721" s="10"/>
      <c r="K10721" s="10"/>
      <c r="L10721" s="10"/>
      <c r="M10721" s="10"/>
      <c r="N10721" s="10"/>
      <c r="O10721" s="10"/>
      <c r="P10721" s="10"/>
      <c r="Q10721" s="10"/>
      <c r="R10721" s="10"/>
      <c r="S10721" s="10"/>
      <c r="T10721" s="10"/>
      <c r="U10721" s="10"/>
      <c r="V10721" s="10"/>
      <c r="W10721" s="10"/>
      <c r="X10721" s="10"/>
      <c r="Y10721" s="10"/>
      <c r="Z10721" s="10"/>
    </row>
    <row r="10722" spans="1:26" ht="12.75">
      <c r="A10722" s="10"/>
      <c r="B10722" s="10"/>
      <c r="C10722" s="10"/>
      <c r="D10722" s="10"/>
      <c r="E10722" s="10"/>
      <c r="F10722" s="10"/>
      <c r="G10722" s="10"/>
      <c r="H10722" s="10"/>
      <c r="I10722" s="10"/>
      <c r="J10722" s="10"/>
      <c r="K10722" s="10"/>
      <c r="L10722" s="10"/>
      <c r="M10722" s="10"/>
      <c r="N10722" s="10"/>
      <c r="O10722" s="10"/>
      <c r="P10722" s="10"/>
      <c r="Q10722" s="10"/>
      <c r="R10722" s="10"/>
      <c r="S10722" s="10"/>
      <c r="T10722" s="10"/>
      <c r="U10722" s="10"/>
      <c r="V10722" s="10"/>
      <c r="W10722" s="10"/>
      <c r="X10722" s="10"/>
      <c r="Y10722" s="10"/>
      <c r="Z10722" s="10"/>
    </row>
    <row r="10723" spans="1:26" ht="12.75">
      <c r="A10723" s="10"/>
      <c r="B10723" s="10"/>
      <c r="C10723" s="10"/>
      <c r="D10723" s="10"/>
      <c r="E10723" s="10"/>
      <c r="F10723" s="10"/>
      <c r="G10723" s="10"/>
      <c r="H10723" s="10"/>
      <c r="I10723" s="10"/>
      <c r="J10723" s="10"/>
      <c r="K10723" s="10"/>
      <c r="L10723" s="10"/>
      <c r="M10723" s="10"/>
      <c r="N10723" s="10"/>
      <c r="O10723" s="10"/>
      <c r="P10723" s="10"/>
      <c r="Q10723" s="10"/>
      <c r="R10723" s="10"/>
      <c r="S10723" s="10"/>
      <c r="T10723" s="10"/>
      <c r="U10723" s="10"/>
      <c r="V10723" s="10"/>
      <c r="W10723" s="10"/>
      <c r="X10723" s="10"/>
      <c r="Y10723" s="10"/>
      <c r="Z10723" s="10"/>
    </row>
    <row r="10724" spans="1:26" ht="12.75">
      <c r="A10724" s="10"/>
      <c r="B10724" s="10"/>
      <c r="C10724" s="10"/>
      <c r="D10724" s="10"/>
      <c r="E10724" s="10"/>
      <c r="F10724" s="10"/>
      <c r="G10724" s="10"/>
      <c r="H10724" s="10"/>
      <c r="I10724" s="10"/>
      <c r="J10724" s="10"/>
      <c r="K10724" s="10"/>
      <c r="L10724" s="10"/>
      <c r="M10724" s="10"/>
      <c r="N10724" s="10"/>
      <c r="O10724" s="10"/>
      <c r="P10724" s="10"/>
      <c r="Q10724" s="10"/>
      <c r="R10724" s="10"/>
      <c r="S10724" s="10"/>
      <c r="T10724" s="10"/>
      <c r="U10724" s="10"/>
      <c r="V10724" s="10"/>
      <c r="W10724" s="10"/>
      <c r="X10724" s="10"/>
      <c r="Y10724" s="10"/>
      <c r="Z10724" s="10"/>
    </row>
    <row r="10725" spans="1:26" ht="12.75">
      <c r="A10725" s="10"/>
      <c r="B10725" s="10"/>
      <c r="C10725" s="10"/>
      <c r="D10725" s="10"/>
      <c r="E10725" s="10"/>
      <c r="F10725" s="10"/>
      <c r="G10725" s="10"/>
      <c r="H10725" s="10"/>
      <c r="I10725" s="10"/>
      <c r="J10725" s="10"/>
      <c r="K10725" s="10"/>
      <c r="L10725" s="10"/>
      <c r="M10725" s="10"/>
      <c r="N10725" s="10"/>
      <c r="O10725" s="10"/>
      <c r="P10725" s="10"/>
      <c r="Q10725" s="10"/>
      <c r="R10725" s="10"/>
      <c r="S10725" s="10"/>
      <c r="T10725" s="10"/>
      <c r="U10725" s="10"/>
      <c r="V10725" s="10"/>
      <c r="W10725" s="10"/>
      <c r="X10725" s="10"/>
      <c r="Y10725" s="10"/>
      <c r="Z10725" s="10"/>
    </row>
    <row r="10726" spans="1:26" ht="12.75">
      <c r="A10726" s="10"/>
      <c r="B10726" s="10"/>
      <c r="C10726" s="10"/>
      <c r="D10726" s="10"/>
      <c r="E10726" s="10"/>
      <c r="F10726" s="10"/>
      <c r="G10726" s="10"/>
      <c r="H10726" s="10"/>
      <c r="I10726" s="10"/>
      <c r="J10726" s="10"/>
      <c r="K10726" s="10"/>
      <c r="L10726" s="10"/>
      <c r="M10726" s="10"/>
      <c r="N10726" s="10"/>
      <c r="O10726" s="10"/>
      <c r="P10726" s="10"/>
      <c r="Q10726" s="10"/>
      <c r="R10726" s="10"/>
      <c r="S10726" s="10"/>
      <c r="T10726" s="10"/>
      <c r="U10726" s="10"/>
      <c r="V10726" s="10"/>
      <c r="W10726" s="10"/>
      <c r="X10726" s="10"/>
      <c r="Y10726" s="10"/>
      <c r="Z10726" s="10"/>
    </row>
    <row r="10727" spans="1:26" ht="12.75">
      <c r="A10727" s="10"/>
      <c r="B10727" s="10"/>
      <c r="C10727" s="10"/>
      <c r="D10727" s="10"/>
      <c r="E10727" s="10"/>
      <c r="F10727" s="10"/>
      <c r="G10727" s="10"/>
      <c r="H10727" s="10"/>
      <c r="I10727" s="10"/>
      <c r="J10727" s="10"/>
      <c r="K10727" s="10"/>
      <c r="L10727" s="10"/>
      <c r="M10727" s="10"/>
      <c r="N10727" s="10"/>
      <c r="O10727" s="10"/>
      <c r="P10727" s="10"/>
      <c r="Q10727" s="10"/>
      <c r="R10727" s="10"/>
      <c r="S10727" s="10"/>
      <c r="T10727" s="10"/>
      <c r="U10727" s="10"/>
      <c r="V10727" s="10"/>
      <c r="W10727" s="10"/>
      <c r="X10727" s="10"/>
      <c r="Y10727" s="10"/>
      <c r="Z10727" s="10"/>
    </row>
    <row r="10728" spans="1:26" ht="12.75">
      <c r="A10728" s="10"/>
      <c r="B10728" s="10"/>
      <c r="C10728" s="10"/>
      <c r="D10728" s="10"/>
      <c r="E10728" s="10"/>
      <c r="F10728" s="10"/>
      <c r="G10728" s="10"/>
      <c r="H10728" s="10"/>
      <c r="I10728" s="10"/>
      <c r="J10728" s="10"/>
      <c r="K10728" s="10"/>
      <c r="L10728" s="10"/>
      <c r="M10728" s="10"/>
      <c r="N10728" s="10"/>
      <c r="O10728" s="10"/>
      <c r="P10728" s="10"/>
      <c r="Q10728" s="10"/>
      <c r="R10728" s="10"/>
      <c r="S10728" s="10"/>
      <c r="T10728" s="10"/>
      <c r="U10728" s="10"/>
      <c r="V10728" s="10"/>
      <c r="W10728" s="10"/>
      <c r="X10728" s="10"/>
      <c r="Y10728" s="10"/>
      <c r="Z10728" s="10"/>
    </row>
    <row r="10729" spans="1:26" ht="12.75">
      <c r="A10729" s="10"/>
      <c r="B10729" s="10"/>
      <c r="C10729" s="10"/>
      <c r="D10729" s="10"/>
      <c r="E10729" s="10"/>
      <c r="F10729" s="10"/>
      <c r="G10729" s="10"/>
      <c r="H10729" s="10"/>
      <c r="I10729" s="10"/>
      <c r="J10729" s="10"/>
      <c r="K10729" s="10"/>
      <c r="L10729" s="10"/>
      <c r="M10729" s="10"/>
      <c r="N10729" s="10"/>
      <c r="O10729" s="10"/>
      <c r="P10729" s="10"/>
      <c r="Q10729" s="10"/>
      <c r="R10729" s="10"/>
      <c r="S10729" s="10"/>
      <c r="T10729" s="10"/>
      <c r="U10729" s="10"/>
      <c r="V10729" s="10"/>
      <c r="W10729" s="10"/>
      <c r="X10729" s="10"/>
      <c r="Y10729" s="10"/>
      <c r="Z10729" s="10"/>
    </row>
    <row r="10730" spans="1:26" ht="12.75">
      <c r="A10730" s="10"/>
      <c r="B10730" s="10"/>
      <c r="C10730" s="10"/>
      <c r="D10730" s="10"/>
      <c r="E10730" s="10"/>
      <c r="F10730" s="10"/>
      <c r="G10730" s="10"/>
      <c r="H10730" s="10"/>
      <c r="I10730" s="10"/>
      <c r="J10730" s="10"/>
      <c r="K10730" s="10"/>
      <c r="L10730" s="10"/>
      <c r="M10730" s="10"/>
      <c r="N10730" s="10"/>
      <c r="O10730" s="10"/>
      <c r="P10730" s="10"/>
      <c r="Q10730" s="10"/>
      <c r="R10730" s="10"/>
      <c r="S10730" s="10"/>
      <c r="T10730" s="10"/>
      <c r="U10730" s="10"/>
      <c r="V10730" s="10"/>
      <c r="W10730" s="10"/>
      <c r="X10730" s="10"/>
      <c r="Y10730" s="10"/>
      <c r="Z10730" s="10"/>
    </row>
    <row r="10731" spans="1:26" ht="12.75">
      <c r="A10731" s="10"/>
      <c r="B10731" s="10"/>
      <c r="C10731" s="10"/>
      <c r="D10731" s="10"/>
      <c r="E10731" s="10"/>
      <c r="F10731" s="10"/>
      <c r="G10731" s="10"/>
      <c r="H10731" s="10"/>
      <c r="I10731" s="10"/>
      <c r="J10731" s="10"/>
      <c r="K10731" s="10"/>
      <c r="L10731" s="10"/>
      <c r="M10731" s="10"/>
      <c r="N10731" s="10"/>
      <c r="O10731" s="10"/>
      <c r="P10731" s="10"/>
      <c r="Q10731" s="10"/>
      <c r="R10731" s="10"/>
      <c r="S10731" s="10"/>
      <c r="T10731" s="10"/>
      <c r="U10731" s="10"/>
      <c r="V10731" s="10"/>
      <c r="W10731" s="10"/>
      <c r="X10731" s="10"/>
      <c r="Y10731" s="10"/>
      <c r="Z10731" s="10"/>
    </row>
    <row r="10732" spans="1:26" ht="12.75">
      <c r="A10732" s="10"/>
      <c r="B10732" s="10"/>
      <c r="C10732" s="10"/>
      <c r="D10732" s="10"/>
      <c r="E10732" s="10"/>
      <c r="F10732" s="10"/>
      <c r="G10732" s="10"/>
      <c r="H10732" s="10"/>
      <c r="I10732" s="10"/>
      <c r="J10732" s="10"/>
      <c r="K10732" s="10"/>
      <c r="L10732" s="10"/>
      <c r="M10732" s="10"/>
      <c r="N10732" s="10"/>
      <c r="O10732" s="10"/>
      <c r="P10732" s="10"/>
      <c r="Q10732" s="10"/>
      <c r="R10732" s="10"/>
      <c r="S10732" s="10"/>
      <c r="T10732" s="10"/>
      <c r="U10732" s="10"/>
      <c r="V10732" s="10"/>
      <c r="W10732" s="10"/>
      <c r="X10732" s="10"/>
      <c r="Y10732" s="10"/>
      <c r="Z10732" s="10"/>
    </row>
    <row r="10733" spans="1:26" ht="12.75">
      <c r="A10733" s="10"/>
      <c r="B10733" s="10"/>
      <c r="C10733" s="10"/>
      <c r="D10733" s="10"/>
      <c r="E10733" s="10"/>
      <c r="F10733" s="10"/>
      <c r="G10733" s="10"/>
      <c r="H10733" s="10"/>
      <c r="I10733" s="10"/>
      <c r="J10733" s="10"/>
      <c r="K10733" s="10"/>
      <c r="L10733" s="10"/>
      <c r="M10733" s="10"/>
      <c r="N10733" s="10"/>
      <c r="O10733" s="10"/>
      <c r="P10733" s="10"/>
      <c r="Q10733" s="10"/>
      <c r="R10733" s="10"/>
      <c r="S10733" s="10"/>
      <c r="T10733" s="10"/>
      <c r="U10733" s="10"/>
      <c r="V10733" s="10"/>
      <c r="W10733" s="10"/>
      <c r="X10733" s="10"/>
      <c r="Y10733" s="10"/>
      <c r="Z10733" s="10"/>
    </row>
    <row r="10734" spans="1:26" ht="12.75">
      <c r="A10734" s="10"/>
      <c r="B10734" s="10"/>
      <c r="C10734" s="10"/>
      <c r="D10734" s="10"/>
      <c r="E10734" s="10"/>
      <c r="F10734" s="10"/>
      <c r="G10734" s="10"/>
      <c r="H10734" s="10"/>
      <c r="I10734" s="10"/>
      <c r="J10734" s="10"/>
      <c r="K10734" s="10"/>
      <c r="L10734" s="10"/>
      <c r="M10734" s="10"/>
      <c r="N10734" s="10"/>
      <c r="O10734" s="10"/>
      <c r="P10734" s="10"/>
      <c r="Q10734" s="10"/>
      <c r="R10734" s="10"/>
      <c r="S10734" s="10"/>
      <c r="T10734" s="10"/>
      <c r="U10734" s="10"/>
      <c r="V10734" s="10"/>
      <c r="W10734" s="10"/>
      <c r="X10734" s="10"/>
      <c r="Y10734" s="10"/>
      <c r="Z10734" s="10"/>
    </row>
    <row r="10735" spans="1:26" ht="12.75">
      <c r="A10735" s="10"/>
      <c r="B10735" s="10"/>
      <c r="C10735" s="10"/>
      <c r="D10735" s="10"/>
      <c r="E10735" s="10"/>
      <c r="F10735" s="10"/>
      <c r="G10735" s="10"/>
      <c r="H10735" s="10"/>
      <c r="I10735" s="10"/>
      <c r="J10735" s="10"/>
      <c r="K10735" s="10"/>
      <c r="L10735" s="10"/>
      <c r="M10735" s="10"/>
      <c r="N10735" s="10"/>
      <c r="O10735" s="10"/>
      <c r="P10735" s="10"/>
      <c r="Q10735" s="10"/>
      <c r="R10735" s="10"/>
      <c r="S10735" s="10"/>
      <c r="T10735" s="10"/>
      <c r="U10735" s="10"/>
      <c r="V10735" s="10"/>
      <c r="W10735" s="10"/>
      <c r="X10735" s="10"/>
      <c r="Y10735" s="10"/>
      <c r="Z10735" s="10"/>
    </row>
    <row r="10736" spans="1:26" ht="12.75">
      <c r="A10736" s="10"/>
      <c r="B10736" s="10"/>
      <c r="C10736" s="10"/>
      <c r="D10736" s="10"/>
      <c r="E10736" s="10"/>
      <c r="F10736" s="10"/>
      <c r="G10736" s="10"/>
      <c r="H10736" s="10"/>
      <c r="I10736" s="10"/>
      <c r="J10736" s="10"/>
      <c r="K10736" s="10"/>
      <c r="L10736" s="10"/>
      <c r="M10736" s="10"/>
      <c r="N10736" s="10"/>
      <c r="O10736" s="10"/>
      <c r="P10736" s="10"/>
      <c r="Q10736" s="10"/>
      <c r="R10736" s="10"/>
      <c r="S10736" s="10"/>
      <c r="T10736" s="10"/>
      <c r="U10736" s="10"/>
      <c r="V10736" s="10"/>
      <c r="W10736" s="10"/>
      <c r="X10736" s="10"/>
      <c r="Y10736" s="10"/>
      <c r="Z10736" s="10"/>
    </row>
    <row r="10737" spans="1:26" ht="12.75">
      <c r="A10737" s="10"/>
      <c r="B10737" s="10"/>
      <c r="C10737" s="10"/>
      <c r="D10737" s="10"/>
      <c r="E10737" s="10"/>
      <c r="F10737" s="10"/>
      <c r="G10737" s="10"/>
      <c r="H10737" s="10"/>
      <c r="I10737" s="10"/>
      <c r="J10737" s="10"/>
      <c r="K10737" s="10"/>
      <c r="L10737" s="10"/>
      <c r="M10737" s="10"/>
      <c r="N10737" s="10"/>
      <c r="O10737" s="10"/>
      <c r="P10737" s="10"/>
      <c r="Q10737" s="10"/>
      <c r="R10737" s="10"/>
      <c r="S10737" s="10"/>
      <c r="T10737" s="10"/>
      <c r="U10737" s="10"/>
      <c r="V10737" s="10"/>
      <c r="W10737" s="10"/>
      <c r="X10737" s="10"/>
      <c r="Y10737" s="10"/>
      <c r="Z10737" s="10"/>
    </row>
    <row r="10738" spans="1:26" ht="12.75">
      <c r="A10738" s="10"/>
      <c r="B10738" s="10"/>
      <c r="C10738" s="10"/>
      <c r="D10738" s="10"/>
      <c r="E10738" s="10"/>
      <c r="F10738" s="10"/>
      <c r="G10738" s="10"/>
      <c r="H10738" s="10"/>
      <c r="I10738" s="10"/>
      <c r="J10738" s="10"/>
      <c r="K10738" s="10"/>
      <c r="L10738" s="10"/>
      <c r="M10738" s="10"/>
      <c r="N10738" s="10"/>
      <c r="O10738" s="10"/>
      <c r="P10738" s="10"/>
      <c r="Q10738" s="10"/>
      <c r="R10738" s="10"/>
      <c r="S10738" s="10"/>
      <c r="T10738" s="10"/>
      <c r="U10738" s="10"/>
      <c r="V10738" s="10"/>
      <c r="W10738" s="10"/>
      <c r="X10738" s="10"/>
      <c r="Y10738" s="10"/>
      <c r="Z10738" s="10"/>
    </row>
    <row r="10739" spans="1:26" ht="12.75">
      <c r="A10739" s="10"/>
      <c r="B10739" s="10"/>
      <c r="C10739" s="10"/>
      <c r="D10739" s="10"/>
      <c r="E10739" s="10"/>
      <c r="F10739" s="10"/>
      <c r="G10739" s="10"/>
      <c r="H10739" s="10"/>
      <c r="I10739" s="10"/>
      <c r="J10739" s="10"/>
      <c r="K10739" s="10"/>
      <c r="L10739" s="10"/>
      <c r="M10739" s="10"/>
      <c r="N10739" s="10"/>
      <c r="O10739" s="10"/>
      <c r="P10739" s="10"/>
      <c r="Q10739" s="10"/>
      <c r="R10739" s="10"/>
      <c r="S10739" s="10"/>
      <c r="T10739" s="10"/>
      <c r="U10739" s="10"/>
      <c r="V10739" s="10"/>
      <c r="W10739" s="10"/>
      <c r="X10739" s="10"/>
      <c r="Y10739" s="10"/>
      <c r="Z10739" s="10"/>
    </row>
    <row r="10740" spans="1:26" ht="12.75">
      <c r="A10740" s="10"/>
      <c r="B10740" s="10"/>
      <c r="C10740" s="10"/>
      <c r="D10740" s="10"/>
      <c r="E10740" s="10"/>
      <c r="F10740" s="10"/>
      <c r="G10740" s="10"/>
      <c r="H10740" s="10"/>
      <c r="I10740" s="10"/>
      <c r="J10740" s="10"/>
      <c r="K10740" s="10"/>
      <c r="L10740" s="10"/>
      <c r="M10740" s="10"/>
      <c r="N10740" s="10"/>
      <c r="O10740" s="10"/>
      <c r="P10740" s="10"/>
      <c r="Q10740" s="10"/>
      <c r="R10740" s="10"/>
      <c r="S10740" s="10"/>
      <c r="T10740" s="10"/>
      <c r="U10740" s="10"/>
      <c r="V10740" s="10"/>
      <c r="W10740" s="10"/>
      <c r="X10740" s="10"/>
      <c r="Y10740" s="10"/>
      <c r="Z10740" s="10"/>
    </row>
    <row r="10741" spans="1:26" ht="12.75">
      <c r="A10741" s="10"/>
      <c r="B10741" s="10"/>
      <c r="C10741" s="10"/>
      <c r="D10741" s="10"/>
      <c r="E10741" s="10"/>
      <c r="F10741" s="10"/>
      <c r="G10741" s="10"/>
      <c r="H10741" s="10"/>
      <c r="I10741" s="10"/>
      <c r="J10741" s="10"/>
      <c r="K10741" s="10"/>
      <c r="L10741" s="10"/>
      <c r="M10741" s="10"/>
      <c r="N10741" s="10"/>
      <c r="O10741" s="10"/>
      <c r="P10741" s="10"/>
      <c r="Q10741" s="10"/>
      <c r="R10741" s="10"/>
      <c r="S10741" s="10"/>
      <c r="T10741" s="10"/>
      <c r="U10741" s="10"/>
      <c r="V10741" s="10"/>
      <c r="W10741" s="10"/>
      <c r="X10741" s="10"/>
      <c r="Y10741" s="10"/>
      <c r="Z10741" s="10"/>
    </row>
    <row r="10742" spans="1:26" ht="12.75">
      <c r="A10742" s="10"/>
      <c r="B10742" s="10"/>
      <c r="C10742" s="10"/>
      <c r="D10742" s="10"/>
      <c r="E10742" s="10"/>
      <c r="F10742" s="10"/>
      <c r="G10742" s="10"/>
      <c r="H10742" s="10"/>
      <c r="I10742" s="10"/>
      <c r="J10742" s="10"/>
      <c r="K10742" s="10"/>
      <c r="L10742" s="10"/>
      <c r="M10742" s="10"/>
      <c r="N10742" s="10"/>
      <c r="O10742" s="10"/>
      <c r="P10742" s="10"/>
      <c r="Q10742" s="10"/>
      <c r="R10742" s="10"/>
      <c r="S10742" s="10"/>
      <c r="T10742" s="10"/>
      <c r="U10742" s="10"/>
      <c r="V10742" s="10"/>
      <c r="W10742" s="10"/>
      <c r="X10742" s="10"/>
      <c r="Y10742" s="10"/>
      <c r="Z10742" s="10"/>
    </row>
    <row r="10743" spans="1:26" ht="12.75">
      <c r="A10743" s="10"/>
      <c r="B10743" s="10"/>
      <c r="C10743" s="10"/>
      <c r="D10743" s="10"/>
      <c r="E10743" s="10"/>
      <c r="F10743" s="10"/>
      <c r="G10743" s="10"/>
      <c r="H10743" s="10"/>
      <c r="I10743" s="10"/>
      <c r="J10743" s="10"/>
      <c r="K10743" s="10"/>
      <c r="L10743" s="10"/>
      <c r="M10743" s="10"/>
      <c r="N10743" s="10"/>
      <c r="O10743" s="10"/>
      <c r="P10743" s="10"/>
      <c r="Q10743" s="10"/>
      <c r="R10743" s="10"/>
      <c r="S10743" s="10"/>
      <c r="T10743" s="10"/>
      <c r="U10743" s="10"/>
      <c r="V10743" s="10"/>
      <c r="W10743" s="10"/>
      <c r="X10743" s="10"/>
      <c r="Y10743" s="10"/>
      <c r="Z10743" s="10"/>
    </row>
    <row r="10744" spans="1:26" ht="12.75">
      <c r="A10744" s="10"/>
      <c r="B10744" s="10"/>
      <c r="C10744" s="10"/>
      <c r="D10744" s="10"/>
      <c r="E10744" s="10"/>
      <c r="F10744" s="10"/>
      <c r="G10744" s="10"/>
      <c r="H10744" s="10"/>
      <c r="I10744" s="10"/>
      <c r="J10744" s="10"/>
      <c r="K10744" s="10"/>
      <c r="L10744" s="10"/>
      <c r="M10744" s="10"/>
      <c r="N10744" s="10"/>
      <c r="O10744" s="10"/>
      <c r="P10744" s="10"/>
      <c r="Q10744" s="10"/>
      <c r="R10744" s="10"/>
      <c r="S10744" s="10"/>
      <c r="T10744" s="10"/>
      <c r="U10744" s="10"/>
      <c r="V10744" s="10"/>
      <c r="W10744" s="10"/>
      <c r="X10744" s="10"/>
      <c r="Y10744" s="10"/>
      <c r="Z10744" s="10"/>
    </row>
    <row r="10745" spans="1:26" ht="12.75">
      <c r="A10745" s="10"/>
      <c r="B10745" s="10"/>
      <c r="C10745" s="10"/>
      <c r="D10745" s="10"/>
      <c r="E10745" s="10"/>
      <c r="F10745" s="10"/>
      <c r="G10745" s="10"/>
      <c r="H10745" s="10"/>
      <c r="I10745" s="10"/>
      <c r="J10745" s="10"/>
      <c r="K10745" s="10"/>
      <c r="L10745" s="10"/>
      <c r="M10745" s="10"/>
      <c r="N10745" s="10"/>
      <c r="O10745" s="10"/>
      <c r="P10745" s="10"/>
      <c r="Q10745" s="10"/>
      <c r="R10745" s="10"/>
      <c r="S10745" s="10"/>
      <c r="T10745" s="10"/>
      <c r="U10745" s="10"/>
      <c r="V10745" s="10"/>
      <c r="W10745" s="10"/>
      <c r="X10745" s="10"/>
      <c r="Y10745" s="10"/>
      <c r="Z10745" s="10"/>
    </row>
    <row r="10746" spans="1:26" ht="12.75">
      <c r="A10746" s="10"/>
      <c r="B10746" s="10"/>
      <c r="C10746" s="10"/>
      <c r="D10746" s="10"/>
      <c r="E10746" s="10"/>
      <c r="F10746" s="10"/>
      <c r="G10746" s="10"/>
      <c r="H10746" s="10"/>
      <c r="I10746" s="10"/>
      <c r="J10746" s="10"/>
      <c r="K10746" s="10"/>
      <c r="L10746" s="10"/>
      <c r="M10746" s="10"/>
      <c r="N10746" s="10"/>
      <c r="O10746" s="10"/>
      <c r="P10746" s="10"/>
      <c r="Q10746" s="10"/>
      <c r="R10746" s="10"/>
      <c r="S10746" s="10"/>
      <c r="T10746" s="10"/>
      <c r="U10746" s="10"/>
      <c r="V10746" s="10"/>
      <c r="W10746" s="10"/>
      <c r="X10746" s="10"/>
      <c r="Y10746" s="10"/>
      <c r="Z10746" s="10"/>
    </row>
    <row r="10747" spans="1:26" ht="12.75">
      <c r="A10747" s="10"/>
      <c r="B10747" s="10"/>
      <c r="C10747" s="10"/>
      <c r="D10747" s="10"/>
      <c r="E10747" s="10"/>
      <c r="F10747" s="10"/>
      <c r="G10747" s="10"/>
      <c r="H10747" s="10"/>
      <c r="I10747" s="10"/>
      <c r="J10747" s="10"/>
      <c r="K10747" s="10"/>
      <c r="L10747" s="10"/>
      <c r="M10747" s="10"/>
      <c r="N10747" s="10"/>
      <c r="O10747" s="10"/>
      <c r="P10747" s="10"/>
      <c r="Q10747" s="10"/>
      <c r="R10747" s="10"/>
      <c r="S10747" s="10"/>
      <c r="T10747" s="10"/>
      <c r="U10747" s="10"/>
      <c r="V10747" s="10"/>
      <c r="W10747" s="10"/>
      <c r="X10747" s="10"/>
      <c r="Y10747" s="10"/>
      <c r="Z10747" s="10"/>
    </row>
    <row r="10748" spans="1:26" ht="12.75">
      <c r="A10748" s="10"/>
      <c r="B10748" s="10"/>
      <c r="C10748" s="10"/>
      <c r="D10748" s="10"/>
      <c r="E10748" s="10"/>
      <c r="F10748" s="10"/>
      <c r="G10748" s="10"/>
      <c r="H10748" s="10"/>
      <c r="I10748" s="10"/>
      <c r="J10748" s="10"/>
      <c r="K10748" s="10"/>
      <c r="L10748" s="10"/>
      <c r="M10748" s="10"/>
      <c r="N10748" s="10"/>
      <c r="O10748" s="10"/>
      <c r="P10748" s="10"/>
      <c r="Q10748" s="10"/>
      <c r="R10748" s="10"/>
      <c r="S10748" s="10"/>
      <c r="T10748" s="10"/>
      <c r="U10748" s="10"/>
      <c r="V10748" s="10"/>
      <c r="W10748" s="10"/>
      <c r="X10748" s="10"/>
      <c r="Y10748" s="10"/>
      <c r="Z10748" s="10"/>
    </row>
    <row r="10749" spans="1:26" ht="12.75">
      <c r="A10749" s="10"/>
      <c r="B10749" s="10"/>
      <c r="C10749" s="10"/>
      <c r="D10749" s="10"/>
      <c r="E10749" s="10"/>
      <c r="F10749" s="10"/>
      <c r="G10749" s="10"/>
      <c r="H10749" s="10"/>
      <c r="I10749" s="10"/>
      <c r="J10749" s="10"/>
      <c r="K10749" s="10"/>
      <c r="L10749" s="10"/>
      <c r="M10749" s="10"/>
      <c r="N10749" s="10"/>
      <c r="O10749" s="10"/>
      <c r="P10749" s="10"/>
      <c r="Q10749" s="10"/>
      <c r="R10749" s="10"/>
      <c r="S10749" s="10"/>
      <c r="T10749" s="10"/>
      <c r="U10749" s="10"/>
      <c r="V10749" s="10"/>
      <c r="W10749" s="10"/>
      <c r="X10749" s="10"/>
      <c r="Y10749" s="10"/>
      <c r="Z10749" s="10"/>
    </row>
    <row r="10750" spans="1:26" ht="12.75">
      <c r="A10750" s="10"/>
      <c r="B10750" s="10"/>
      <c r="C10750" s="10"/>
      <c r="D10750" s="10"/>
      <c r="E10750" s="10"/>
      <c r="F10750" s="10"/>
      <c r="G10750" s="10"/>
      <c r="H10750" s="10"/>
      <c r="I10750" s="10"/>
      <c r="J10750" s="10"/>
      <c r="K10750" s="10"/>
      <c r="L10750" s="10"/>
      <c r="M10750" s="10"/>
      <c r="N10750" s="10"/>
      <c r="O10750" s="10"/>
      <c r="P10750" s="10"/>
      <c r="Q10750" s="10"/>
      <c r="R10750" s="10"/>
      <c r="S10750" s="10"/>
      <c r="T10750" s="10"/>
      <c r="U10750" s="10"/>
      <c r="V10750" s="10"/>
      <c r="W10750" s="10"/>
      <c r="X10750" s="10"/>
      <c r="Y10750" s="10"/>
      <c r="Z10750" s="10"/>
    </row>
    <row r="10751" spans="1:26" ht="12.75">
      <c r="A10751" s="10"/>
      <c r="B10751" s="10"/>
      <c r="C10751" s="10"/>
      <c r="D10751" s="10"/>
      <c r="E10751" s="10"/>
      <c r="F10751" s="10"/>
      <c r="G10751" s="10"/>
      <c r="H10751" s="10"/>
      <c r="I10751" s="10"/>
      <c r="J10751" s="10"/>
      <c r="K10751" s="10"/>
      <c r="L10751" s="10"/>
      <c r="M10751" s="10"/>
      <c r="N10751" s="10"/>
      <c r="O10751" s="10"/>
      <c r="P10751" s="10"/>
      <c r="Q10751" s="10"/>
      <c r="R10751" s="10"/>
      <c r="S10751" s="10"/>
      <c r="T10751" s="10"/>
      <c r="U10751" s="10"/>
      <c r="V10751" s="10"/>
      <c r="W10751" s="10"/>
      <c r="X10751" s="10"/>
      <c r="Y10751" s="10"/>
      <c r="Z10751" s="10"/>
    </row>
    <row r="10752" spans="1:26" ht="12.75">
      <c r="A10752" s="10"/>
      <c r="B10752" s="10"/>
      <c r="C10752" s="10"/>
      <c r="D10752" s="10"/>
      <c r="E10752" s="10"/>
      <c r="F10752" s="10"/>
      <c r="G10752" s="10"/>
      <c r="H10752" s="10"/>
      <c r="I10752" s="10"/>
      <c r="J10752" s="10"/>
      <c r="K10752" s="10"/>
      <c r="L10752" s="10"/>
      <c r="M10752" s="10"/>
      <c r="N10752" s="10"/>
      <c r="O10752" s="10"/>
      <c r="P10752" s="10"/>
      <c r="Q10752" s="10"/>
      <c r="R10752" s="10"/>
      <c r="S10752" s="10"/>
      <c r="T10752" s="10"/>
      <c r="U10752" s="10"/>
      <c r="V10752" s="10"/>
      <c r="W10752" s="10"/>
      <c r="X10752" s="10"/>
      <c r="Y10752" s="10"/>
      <c r="Z10752" s="10"/>
    </row>
    <row r="10753" spans="1:26" ht="12.75">
      <c r="A10753" s="10"/>
      <c r="B10753" s="10"/>
      <c r="C10753" s="10"/>
      <c r="D10753" s="10"/>
      <c r="E10753" s="10"/>
      <c r="F10753" s="10"/>
      <c r="G10753" s="10"/>
      <c r="H10753" s="10"/>
      <c r="I10753" s="10"/>
      <c r="J10753" s="10"/>
      <c r="K10753" s="10"/>
      <c r="L10753" s="10"/>
      <c r="M10753" s="10"/>
      <c r="N10753" s="10"/>
      <c r="O10753" s="10"/>
      <c r="P10753" s="10"/>
      <c r="Q10753" s="10"/>
      <c r="R10753" s="10"/>
      <c r="S10753" s="10"/>
      <c r="T10753" s="10"/>
      <c r="U10753" s="10"/>
      <c r="V10753" s="10"/>
      <c r="W10753" s="10"/>
      <c r="X10753" s="10"/>
      <c r="Y10753" s="10"/>
      <c r="Z10753" s="10"/>
    </row>
    <row r="10754" spans="1:26" ht="12.75">
      <c r="A10754" s="10"/>
      <c r="B10754" s="10"/>
      <c r="C10754" s="10"/>
      <c r="D10754" s="10"/>
      <c r="E10754" s="10"/>
      <c r="F10754" s="10"/>
      <c r="G10754" s="10"/>
      <c r="H10754" s="10"/>
      <c r="I10754" s="10"/>
      <c r="J10754" s="10"/>
      <c r="K10754" s="10"/>
      <c r="L10754" s="10"/>
      <c r="M10754" s="10"/>
      <c r="N10754" s="10"/>
      <c r="O10754" s="10"/>
      <c r="P10754" s="10"/>
      <c r="Q10754" s="10"/>
      <c r="R10754" s="10"/>
      <c r="S10754" s="10"/>
      <c r="T10754" s="10"/>
      <c r="U10754" s="10"/>
      <c r="V10754" s="10"/>
      <c r="W10754" s="10"/>
      <c r="X10754" s="10"/>
      <c r="Y10754" s="10"/>
      <c r="Z10754" s="10"/>
    </row>
    <row r="10755" spans="1:26" ht="12.75">
      <c r="A10755" s="10"/>
      <c r="B10755" s="10"/>
      <c r="C10755" s="10"/>
      <c r="D10755" s="10"/>
      <c r="E10755" s="10"/>
      <c r="F10755" s="10"/>
      <c r="G10755" s="10"/>
      <c r="H10755" s="10"/>
      <c r="I10755" s="10"/>
      <c r="J10755" s="10"/>
      <c r="K10755" s="10"/>
      <c r="L10755" s="10"/>
      <c r="M10755" s="10"/>
      <c r="N10755" s="10"/>
      <c r="O10755" s="10"/>
      <c r="P10755" s="10"/>
      <c r="Q10755" s="10"/>
      <c r="R10755" s="10"/>
      <c r="S10755" s="10"/>
      <c r="T10755" s="10"/>
      <c r="U10755" s="10"/>
      <c r="V10755" s="10"/>
      <c r="W10755" s="10"/>
      <c r="X10755" s="10"/>
      <c r="Y10755" s="10"/>
      <c r="Z10755" s="10"/>
    </row>
    <row r="10756" spans="1:26" ht="12.75">
      <c r="A10756" s="10"/>
      <c r="B10756" s="10"/>
      <c r="C10756" s="10"/>
      <c r="D10756" s="10"/>
      <c r="E10756" s="10"/>
      <c r="F10756" s="10"/>
      <c r="G10756" s="10"/>
      <c r="H10756" s="10"/>
      <c r="I10756" s="10"/>
      <c r="J10756" s="10"/>
      <c r="K10756" s="10"/>
      <c r="L10756" s="10"/>
      <c r="M10756" s="10"/>
      <c r="N10756" s="10"/>
      <c r="O10756" s="10"/>
      <c r="P10756" s="10"/>
      <c r="Q10756" s="10"/>
      <c r="R10756" s="10"/>
      <c r="S10756" s="10"/>
      <c r="T10756" s="10"/>
      <c r="U10756" s="10"/>
      <c r="V10756" s="10"/>
      <c r="W10756" s="10"/>
      <c r="X10756" s="10"/>
      <c r="Y10756" s="10"/>
      <c r="Z10756" s="10"/>
    </row>
    <row r="10757" spans="1:26" ht="12.75">
      <c r="A10757" s="10"/>
      <c r="B10757" s="10"/>
      <c r="C10757" s="10"/>
      <c r="D10757" s="10"/>
      <c r="E10757" s="10"/>
      <c r="F10757" s="10"/>
      <c r="G10757" s="10"/>
      <c r="H10757" s="10"/>
      <c r="I10757" s="10"/>
      <c r="J10757" s="10"/>
      <c r="K10757" s="10"/>
      <c r="L10757" s="10"/>
      <c r="M10757" s="10"/>
      <c r="N10757" s="10"/>
      <c r="O10757" s="10"/>
      <c r="P10757" s="10"/>
      <c r="Q10757" s="10"/>
      <c r="R10757" s="10"/>
      <c r="S10757" s="10"/>
      <c r="T10757" s="10"/>
      <c r="U10757" s="10"/>
      <c r="V10757" s="10"/>
      <c r="W10757" s="10"/>
      <c r="X10757" s="10"/>
      <c r="Y10757" s="10"/>
      <c r="Z10757" s="10"/>
    </row>
    <row r="10758" spans="1:26" ht="12.75">
      <c r="A10758" s="10"/>
      <c r="B10758" s="10"/>
      <c r="C10758" s="10"/>
      <c r="D10758" s="10"/>
      <c r="E10758" s="10"/>
      <c r="F10758" s="10"/>
      <c r="G10758" s="10"/>
      <c r="H10758" s="10"/>
      <c r="I10758" s="10"/>
      <c r="J10758" s="10"/>
      <c r="K10758" s="10"/>
      <c r="L10758" s="10"/>
      <c r="M10758" s="10"/>
      <c r="N10758" s="10"/>
      <c r="O10758" s="10"/>
      <c r="P10758" s="10"/>
      <c r="Q10758" s="10"/>
      <c r="R10758" s="10"/>
      <c r="S10758" s="10"/>
      <c r="T10758" s="10"/>
      <c r="U10758" s="10"/>
      <c r="V10758" s="10"/>
      <c r="W10758" s="10"/>
      <c r="X10758" s="10"/>
      <c r="Y10758" s="10"/>
      <c r="Z10758" s="10"/>
    </row>
    <row r="10759" spans="1:26" ht="12.75">
      <c r="A10759" s="10"/>
      <c r="B10759" s="10"/>
      <c r="C10759" s="10"/>
      <c r="D10759" s="10"/>
      <c r="E10759" s="10"/>
      <c r="F10759" s="10"/>
      <c r="G10759" s="10"/>
      <c r="H10759" s="10"/>
      <c r="I10759" s="10"/>
      <c r="J10759" s="10"/>
      <c r="K10759" s="10"/>
      <c r="L10759" s="10"/>
      <c r="M10759" s="10"/>
      <c r="N10759" s="10"/>
      <c r="O10759" s="10"/>
      <c r="P10759" s="10"/>
      <c r="Q10759" s="10"/>
      <c r="R10759" s="10"/>
      <c r="S10759" s="10"/>
      <c r="T10759" s="10"/>
      <c r="U10759" s="10"/>
      <c r="V10759" s="10"/>
      <c r="W10759" s="10"/>
      <c r="X10759" s="10"/>
      <c r="Y10759" s="10"/>
      <c r="Z10759" s="10"/>
    </row>
    <row r="10760" spans="1:26" ht="12.75">
      <c r="A10760" s="10"/>
      <c r="B10760" s="10"/>
      <c r="C10760" s="10"/>
      <c r="D10760" s="10"/>
      <c r="E10760" s="10"/>
      <c r="F10760" s="10"/>
      <c r="G10760" s="10"/>
      <c r="H10760" s="10"/>
      <c r="I10760" s="10"/>
      <c r="J10760" s="10"/>
      <c r="K10760" s="10"/>
      <c r="L10760" s="10"/>
      <c r="M10760" s="10"/>
      <c r="N10760" s="10"/>
      <c r="O10760" s="10"/>
      <c r="P10760" s="10"/>
      <c r="Q10760" s="10"/>
      <c r="R10760" s="10"/>
      <c r="S10760" s="10"/>
      <c r="T10760" s="10"/>
      <c r="U10760" s="10"/>
      <c r="V10760" s="10"/>
      <c r="W10760" s="10"/>
      <c r="X10760" s="10"/>
      <c r="Y10760" s="10"/>
      <c r="Z10760" s="10"/>
    </row>
    <row r="10761" spans="1:26" ht="12.75">
      <c r="A10761" s="10"/>
      <c r="B10761" s="10"/>
      <c r="C10761" s="10"/>
      <c r="D10761" s="10"/>
      <c r="E10761" s="10"/>
      <c r="F10761" s="10"/>
      <c r="G10761" s="10"/>
      <c r="H10761" s="10"/>
      <c r="I10761" s="10"/>
      <c r="J10761" s="10"/>
      <c r="K10761" s="10"/>
      <c r="L10761" s="10"/>
      <c r="M10761" s="10"/>
      <c r="N10761" s="10"/>
      <c r="O10761" s="10"/>
      <c r="P10761" s="10"/>
      <c r="Q10761" s="10"/>
      <c r="R10761" s="10"/>
      <c r="S10761" s="10"/>
      <c r="T10761" s="10"/>
      <c r="U10761" s="10"/>
      <c r="V10761" s="10"/>
      <c r="W10761" s="10"/>
      <c r="X10761" s="10"/>
      <c r="Y10761" s="10"/>
      <c r="Z10761" s="10"/>
    </row>
    <row r="10762" spans="1:26" ht="12.75">
      <c r="A10762" s="10"/>
      <c r="B10762" s="10"/>
      <c r="C10762" s="10"/>
      <c r="D10762" s="10"/>
      <c r="E10762" s="10"/>
      <c r="F10762" s="10"/>
      <c r="G10762" s="10"/>
      <c r="H10762" s="10"/>
      <c r="I10762" s="10"/>
      <c r="J10762" s="10"/>
      <c r="K10762" s="10"/>
      <c r="L10762" s="10"/>
      <c r="M10762" s="10"/>
      <c r="N10762" s="10"/>
      <c r="O10762" s="10"/>
      <c r="P10762" s="10"/>
      <c r="Q10762" s="10"/>
      <c r="R10762" s="10"/>
      <c r="S10762" s="10"/>
      <c r="T10762" s="10"/>
      <c r="U10762" s="10"/>
      <c r="V10762" s="10"/>
      <c r="W10762" s="10"/>
      <c r="X10762" s="10"/>
      <c r="Y10762" s="10"/>
      <c r="Z10762" s="10"/>
    </row>
    <row r="10763" spans="1:26" ht="12.75">
      <c r="A10763" s="10"/>
      <c r="B10763" s="10"/>
      <c r="C10763" s="10"/>
      <c r="D10763" s="10"/>
      <c r="E10763" s="10"/>
      <c r="F10763" s="10"/>
      <c r="G10763" s="10"/>
      <c r="H10763" s="10"/>
      <c r="I10763" s="10"/>
      <c r="J10763" s="10"/>
      <c r="K10763" s="10"/>
      <c r="L10763" s="10"/>
      <c r="M10763" s="10"/>
      <c r="N10763" s="10"/>
      <c r="O10763" s="10"/>
      <c r="P10763" s="10"/>
      <c r="Q10763" s="10"/>
      <c r="R10763" s="10"/>
      <c r="S10763" s="10"/>
      <c r="T10763" s="10"/>
      <c r="U10763" s="10"/>
      <c r="V10763" s="10"/>
      <c r="W10763" s="10"/>
      <c r="X10763" s="10"/>
      <c r="Y10763" s="10"/>
      <c r="Z10763" s="10"/>
    </row>
    <row r="10764" spans="1:26" ht="12.75">
      <c r="A10764" s="10"/>
      <c r="B10764" s="10"/>
      <c r="C10764" s="10"/>
      <c r="D10764" s="10"/>
      <c r="E10764" s="10"/>
      <c r="F10764" s="10"/>
      <c r="G10764" s="10"/>
      <c r="H10764" s="10"/>
      <c r="I10764" s="10"/>
      <c r="J10764" s="10"/>
      <c r="K10764" s="10"/>
      <c r="L10764" s="10"/>
      <c r="M10764" s="10"/>
      <c r="N10764" s="10"/>
      <c r="O10764" s="10"/>
      <c r="P10764" s="10"/>
      <c r="Q10764" s="10"/>
      <c r="R10764" s="10"/>
      <c r="S10764" s="10"/>
      <c r="T10764" s="10"/>
      <c r="U10764" s="10"/>
      <c r="V10764" s="10"/>
      <c r="W10764" s="10"/>
      <c r="X10764" s="10"/>
      <c r="Y10764" s="10"/>
      <c r="Z10764" s="10"/>
    </row>
    <row r="10765" spans="1:26" ht="12.75">
      <c r="A10765" s="10"/>
      <c r="B10765" s="10"/>
      <c r="C10765" s="10"/>
      <c r="D10765" s="10"/>
      <c r="E10765" s="10"/>
      <c r="F10765" s="10"/>
      <c r="G10765" s="10"/>
      <c r="H10765" s="10"/>
      <c r="I10765" s="10"/>
      <c r="J10765" s="10"/>
      <c r="K10765" s="10"/>
      <c r="L10765" s="10"/>
      <c r="M10765" s="10"/>
      <c r="N10765" s="10"/>
      <c r="O10765" s="10"/>
      <c r="P10765" s="10"/>
      <c r="Q10765" s="10"/>
      <c r="R10765" s="10"/>
      <c r="S10765" s="10"/>
      <c r="T10765" s="10"/>
      <c r="U10765" s="10"/>
      <c r="V10765" s="10"/>
      <c r="W10765" s="10"/>
      <c r="X10765" s="10"/>
      <c r="Y10765" s="10"/>
      <c r="Z10765" s="10"/>
    </row>
    <row r="10766" spans="1:26" ht="12.75">
      <c r="A10766" s="10"/>
      <c r="B10766" s="10"/>
      <c r="C10766" s="10"/>
      <c r="D10766" s="10"/>
      <c r="E10766" s="10"/>
      <c r="F10766" s="10"/>
      <c r="G10766" s="10"/>
      <c r="H10766" s="10"/>
      <c r="I10766" s="10"/>
      <c r="J10766" s="10"/>
      <c r="K10766" s="10"/>
      <c r="L10766" s="10"/>
      <c r="M10766" s="10"/>
      <c r="N10766" s="10"/>
      <c r="O10766" s="10"/>
      <c r="P10766" s="10"/>
      <c r="Q10766" s="10"/>
      <c r="R10766" s="10"/>
      <c r="S10766" s="10"/>
      <c r="T10766" s="10"/>
      <c r="U10766" s="10"/>
      <c r="V10766" s="10"/>
      <c r="W10766" s="10"/>
      <c r="X10766" s="10"/>
      <c r="Y10766" s="10"/>
      <c r="Z10766" s="10"/>
    </row>
    <row r="10767" spans="1:26" ht="12.75">
      <c r="A10767" s="10"/>
      <c r="B10767" s="10"/>
      <c r="C10767" s="10"/>
      <c r="D10767" s="10"/>
      <c r="E10767" s="10"/>
      <c r="F10767" s="10"/>
      <c r="G10767" s="10"/>
      <c r="H10767" s="10"/>
      <c r="I10767" s="10"/>
      <c r="J10767" s="10"/>
      <c r="K10767" s="10"/>
      <c r="L10767" s="10"/>
      <c r="M10767" s="10"/>
      <c r="N10767" s="10"/>
      <c r="O10767" s="10"/>
      <c r="P10767" s="10"/>
      <c r="Q10767" s="10"/>
      <c r="R10767" s="10"/>
      <c r="S10767" s="10"/>
      <c r="T10767" s="10"/>
      <c r="U10767" s="10"/>
      <c r="V10767" s="10"/>
      <c r="W10767" s="10"/>
      <c r="X10767" s="10"/>
      <c r="Y10767" s="10"/>
      <c r="Z10767" s="10"/>
    </row>
    <row r="10768" spans="1:26" ht="12.75">
      <c r="A10768" s="10"/>
      <c r="B10768" s="10"/>
      <c r="C10768" s="10"/>
      <c r="D10768" s="10"/>
      <c r="E10768" s="10"/>
      <c r="F10768" s="10"/>
      <c r="G10768" s="10"/>
      <c r="H10768" s="10"/>
      <c r="I10768" s="10"/>
      <c r="J10768" s="10"/>
      <c r="K10768" s="10"/>
      <c r="L10768" s="10"/>
      <c r="M10768" s="10"/>
      <c r="N10768" s="10"/>
      <c r="O10768" s="10"/>
      <c r="P10768" s="10"/>
      <c r="Q10768" s="10"/>
      <c r="R10768" s="10"/>
      <c r="S10768" s="10"/>
      <c r="T10768" s="10"/>
      <c r="U10768" s="10"/>
      <c r="V10768" s="10"/>
      <c r="W10768" s="10"/>
      <c r="X10768" s="10"/>
      <c r="Y10768" s="10"/>
      <c r="Z10768" s="10"/>
    </row>
    <row r="10769" spans="1:26" ht="12.75">
      <c r="A10769" s="10"/>
      <c r="B10769" s="10"/>
      <c r="C10769" s="10"/>
      <c r="D10769" s="10"/>
      <c r="E10769" s="10"/>
      <c r="F10769" s="10"/>
      <c r="G10769" s="10"/>
      <c r="H10769" s="10"/>
      <c r="I10769" s="10"/>
      <c r="J10769" s="10"/>
      <c r="K10769" s="10"/>
      <c r="L10769" s="10"/>
      <c r="M10769" s="10"/>
      <c r="N10769" s="10"/>
      <c r="O10769" s="10"/>
      <c r="P10769" s="10"/>
      <c r="Q10769" s="10"/>
      <c r="R10769" s="10"/>
      <c r="S10769" s="10"/>
      <c r="T10769" s="10"/>
      <c r="U10769" s="10"/>
      <c r="V10769" s="10"/>
      <c r="W10769" s="10"/>
      <c r="X10769" s="10"/>
      <c r="Y10769" s="10"/>
      <c r="Z10769" s="10"/>
    </row>
    <row r="10770" spans="1:26" ht="12.75">
      <c r="A10770" s="10"/>
      <c r="B10770" s="10"/>
      <c r="C10770" s="10"/>
      <c r="D10770" s="10"/>
      <c r="E10770" s="10"/>
      <c r="F10770" s="10"/>
      <c r="G10770" s="10"/>
      <c r="H10770" s="10"/>
      <c r="I10770" s="10"/>
      <c r="J10770" s="10"/>
      <c r="K10770" s="10"/>
      <c r="L10770" s="10"/>
      <c r="M10770" s="10"/>
      <c r="N10770" s="10"/>
      <c r="O10770" s="10"/>
      <c r="P10770" s="10"/>
      <c r="Q10770" s="10"/>
      <c r="R10770" s="10"/>
      <c r="S10770" s="10"/>
      <c r="T10770" s="10"/>
      <c r="U10770" s="10"/>
      <c r="V10770" s="10"/>
      <c r="W10770" s="10"/>
      <c r="X10770" s="10"/>
      <c r="Y10770" s="10"/>
      <c r="Z10770" s="10"/>
    </row>
    <row r="10771" spans="1:26" ht="12.75">
      <c r="A10771" s="10"/>
      <c r="B10771" s="10"/>
      <c r="C10771" s="10"/>
      <c r="D10771" s="10"/>
      <c r="E10771" s="10"/>
      <c r="F10771" s="10"/>
      <c r="G10771" s="10"/>
      <c r="H10771" s="10"/>
      <c r="I10771" s="10"/>
      <c r="J10771" s="10"/>
      <c r="K10771" s="10"/>
      <c r="L10771" s="10"/>
      <c r="M10771" s="10"/>
      <c r="N10771" s="10"/>
      <c r="O10771" s="10"/>
      <c r="P10771" s="10"/>
      <c r="Q10771" s="10"/>
      <c r="R10771" s="10"/>
      <c r="S10771" s="10"/>
      <c r="T10771" s="10"/>
      <c r="U10771" s="10"/>
      <c r="V10771" s="10"/>
      <c r="W10771" s="10"/>
      <c r="X10771" s="10"/>
      <c r="Y10771" s="10"/>
      <c r="Z10771" s="10"/>
    </row>
    <row r="10772" spans="1:26" ht="12.75">
      <c r="A10772" s="10"/>
      <c r="B10772" s="10"/>
      <c r="C10772" s="10"/>
      <c r="D10772" s="10"/>
      <c r="E10772" s="10"/>
      <c r="F10772" s="10"/>
      <c r="G10772" s="10"/>
      <c r="H10772" s="10"/>
      <c r="I10772" s="10"/>
      <c r="J10772" s="10"/>
      <c r="K10772" s="10"/>
      <c r="L10772" s="10"/>
      <c r="M10772" s="10"/>
      <c r="N10772" s="10"/>
      <c r="O10772" s="10"/>
      <c r="P10772" s="10"/>
      <c r="Q10772" s="10"/>
      <c r="R10772" s="10"/>
      <c r="S10772" s="10"/>
      <c r="T10772" s="10"/>
      <c r="U10772" s="10"/>
      <c r="V10772" s="10"/>
      <c r="W10772" s="10"/>
      <c r="X10772" s="10"/>
      <c r="Y10772" s="10"/>
      <c r="Z10772" s="10"/>
    </row>
    <row r="10773" spans="1:26" ht="12.75">
      <c r="A10773" s="10"/>
      <c r="B10773" s="10"/>
      <c r="C10773" s="10"/>
      <c r="D10773" s="10"/>
      <c r="E10773" s="10"/>
      <c r="F10773" s="10"/>
      <c r="G10773" s="10"/>
      <c r="H10773" s="10"/>
      <c r="I10773" s="10"/>
      <c r="J10773" s="10"/>
      <c r="K10773" s="10"/>
      <c r="L10773" s="10"/>
      <c r="M10773" s="10"/>
      <c r="N10773" s="10"/>
      <c r="O10773" s="10"/>
      <c r="P10773" s="10"/>
      <c r="Q10773" s="10"/>
      <c r="R10773" s="10"/>
      <c r="S10773" s="10"/>
      <c r="T10773" s="10"/>
      <c r="U10773" s="10"/>
      <c r="V10773" s="10"/>
      <c r="W10773" s="10"/>
      <c r="X10773" s="10"/>
      <c r="Y10773" s="10"/>
      <c r="Z10773" s="10"/>
    </row>
    <row r="10774" spans="1:26" ht="12.75">
      <c r="A10774" s="10"/>
      <c r="B10774" s="10"/>
      <c r="C10774" s="10"/>
      <c r="D10774" s="10"/>
      <c r="E10774" s="10"/>
      <c r="F10774" s="10"/>
      <c r="G10774" s="10"/>
      <c r="H10774" s="10"/>
      <c r="I10774" s="10"/>
      <c r="J10774" s="10"/>
      <c r="K10774" s="10"/>
      <c r="L10774" s="10"/>
      <c r="M10774" s="10"/>
      <c r="N10774" s="10"/>
      <c r="O10774" s="10"/>
      <c r="P10774" s="10"/>
      <c r="Q10774" s="10"/>
      <c r="R10774" s="10"/>
      <c r="S10774" s="10"/>
      <c r="T10774" s="10"/>
      <c r="U10774" s="10"/>
      <c r="V10774" s="10"/>
      <c r="W10774" s="10"/>
      <c r="X10774" s="10"/>
      <c r="Y10774" s="10"/>
      <c r="Z10774" s="10"/>
    </row>
    <row r="10775" spans="1:26" ht="12.75">
      <c r="A10775" s="10"/>
      <c r="B10775" s="10"/>
      <c r="C10775" s="10"/>
      <c r="D10775" s="10"/>
      <c r="E10775" s="10"/>
      <c r="F10775" s="10"/>
      <c r="G10775" s="10"/>
      <c r="H10775" s="10"/>
      <c r="I10775" s="10"/>
      <c r="J10775" s="10"/>
      <c r="K10775" s="10"/>
      <c r="L10775" s="10"/>
      <c r="M10775" s="10"/>
      <c r="N10775" s="10"/>
      <c r="O10775" s="10"/>
      <c r="P10775" s="10"/>
      <c r="Q10775" s="10"/>
      <c r="R10775" s="10"/>
      <c r="S10775" s="10"/>
      <c r="T10775" s="10"/>
      <c r="U10775" s="10"/>
      <c r="V10775" s="10"/>
      <c r="W10775" s="10"/>
      <c r="X10775" s="10"/>
      <c r="Y10775" s="10"/>
      <c r="Z10775" s="10"/>
    </row>
    <row r="10776" spans="1:26" ht="12.75">
      <c r="A10776" s="10"/>
      <c r="B10776" s="10"/>
      <c r="C10776" s="10"/>
      <c r="D10776" s="10"/>
      <c r="E10776" s="10"/>
      <c r="F10776" s="10"/>
      <c r="G10776" s="10"/>
      <c r="H10776" s="10"/>
      <c r="I10776" s="10"/>
      <c r="J10776" s="10"/>
      <c r="K10776" s="10"/>
      <c r="L10776" s="10"/>
      <c r="M10776" s="10"/>
      <c r="N10776" s="10"/>
      <c r="O10776" s="10"/>
      <c r="P10776" s="10"/>
      <c r="Q10776" s="10"/>
      <c r="R10776" s="10"/>
      <c r="S10776" s="10"/>
      <c r="T10776" s="10"/>
      <c r="U10776" s="10"/>
      <c r="V10776" s="10"/>
      <c r="W10776" s="10"/>
      <c r="X10776" s="10"/>
      <c r="Y10776" s="10"/>
      <c r="Z10776" s="10"/>
    </row>
    <row r="10777" spans="1:26" ht="12.75">
      <c r="A10777" s="10"/>
      <c r="B10777" s="10"/>
      <c r="C10777" s="10"/>
      <c r="D10777" s="10"/>
      <c r="E10777" s="10"/>
      <c r="F10777" s="10"/>
      <c r="G10777" s="10"/>
      <c r="H10777" s="10"/>
      <c r="I10777" s="10"/>
      <c r="J10777" s="10"/>
      <c r="K10777" s="10"/>
      <c r="L10777" s="10"/>
      <c r="M10777" s="10"/>
      <c r="N10777" s="10"/>
      <c r="O10777" s="10"/>
      <c r="P10777" s="10"/>
      <c r="Q10777" s="10"/>
      <c r="R10777" s="10"/>
      <c r="S10777" s="10"/>
      <c r="T10777" s="10"/>
      <c r="U10777" s="10"/>
      <c r="V10777" s="10"/>
      <c r="W10777" s="10"/>
      <c r="X10777" s="10"/>
      <c r="Y10777" s="10"/>
      <c r="Z10777" s="10"/>
    </row>
    <row r="10778" spans="1:26" ht="12.75">
      <c r="A10778" s="10"/>
      <c r="B10778" s="10"/>
      <c r="C10778" s="10"/>
      <c r="D10778" s="10"/>
      <c r="E10778" s="10"/>
      <c r="F10778" s="10"/>
      <c r="G10778" s="10"/>
      <c r="H10778" s="10"/>
      <c r="I10778" s="10"/>
      <c r="J10778" s="10"/>
      <c r="K10778" s="10"/>
      <c r="L10778" s="10"/>
      <c r="M10778" s="10"/>
      <c r="N10778" s="10"/>
      <c r="O10778" s="10"/>
      <c r="P10778" s="10"/>
      <c r="Q10778" s="10"/>
      <c r="R10778" s="10"/>
      <c r="S10778" s="10"/>
      <c r="T10778" s="10"/>
      <c r="U10778" s="10"/>
      <c r="V10778" s="10"/>
      <c r="W10778" s="10"/>
      <c r="X10778" s="10"/>
      <c r="Y10778" s="10"/>
      <c r="Z10778" s="10"/>
    </row>
    <row r="10779" spans="1:26" ht="12.75">
      <c r="A10779" s="10"/>
      <c r="B10779" s="10"/>
      <c r="C10779" s="10"/>
      <c r="D10779" s="10"/>
      <c r="E10779" s="10"/>
      <c r="F10779" s="10"/>
      <c r="G10779" s="10"/>
      <c r="H10779" s="10"/>
      <c r="I10779" s="10"/>
      <c r="J10779" s="10"/>
      <c r="K10779" s="10"/>
      <c r="L10779" s="10"/>
      <c r="M10779" s="10"/>
      <c r="N10779" s="10"/>
      <c r="O10779" s="10"/>
      <c r="P10779" s="10"/>
      <c r="Q10779" s="10"/>
      <c r="R10779" s="10"/>
      <c r="S10779" s="10"/>
      <c r="T10779" s="10"/>
      <c r="U10779" s="10"/>
      <c r="V10779" s="10"/>
      <c r="W10779" s="10"/>
      <c r="X10779" s="10"/>
      <c r="Y10779" s="10"/>
      <c r="Z10779" s="10"/>
    </row>
    <row r="10780" spans="1:26" ht="12.75">
      <c r="A10780" s="10"/>
      <c r="B10780" s="10"/>
      <c r="C10780" s="10"/>
      <c r="D10780" s="10"/>
      <c r="E10780" s="10"/>
      <c r="F10780" s="10"/>
      <c r="G10780" s="10"/>
      <c r="H10780" s="10"/>
      <c r="I10780" s="10"/>
      <c r="J10780" s="10"/>
      <c r="K10780" s="10"/>
      <c r="L10780" s="10"/>
      <c r="M10780" s="10"/>
      <c r="N10780" s="10"/>
      <c r="O10780" s="10"/>
      <c r="P10780" s="10"/>
      <c r="Q10780" s="10"/>
      <c r="R10780" s="10"/>
      <c r="S10780" s="10"/>
      <c r="T10780" s="10"/>
      <c r="U10780" s="10"/>
      <c r="V10780" s="10"/>
      <c r="W10780" s="10"/>
      <c r="X10780" s="10"/>
      <c r="Y10780" s="10"/>
      <c r="Z10780" s="10"/>
    </row>
    <row r="10781" spans="1:26" ht="12.75">
      <c r="A10781" s="10"/>
      <c r="B10781" s="10"/>
      <c r="C10781" s="10"/>
      <c r="D10781" s="10"/>
      <c r="E10781" s="10"/>
      <c r="F10781" s="10"/>
      <c r="G10781" s="10"/>
      <c r="H10781" s="10"/>
      <c r="I10781" s="10"/>
      <c r="J10781" s="10"/>
      <c r="K10781" s="10"/>
      <c r="L10781" s="10"/>
      <c r="M10781" s="10"/>
      <c r="N10781" s="10"/>
      <c r="O10781" s="10"/>
      <c r="P10781" s="10"/>
      <c r="Q10781" s="10"/>
      <c r="R10781" s="10"/>
      <c r="S10781" s="10"/>
      <c r="T10781" s="10"/>
      <c r="U10781" s="10"/>
      <c r="V10781" s="10"/>
      <c r="W10781" s="10"/>
      <c r="X10781" s="10"/>
      <c r="Y10781" s="10"/>
      <c r="Z10781" s="10"/>
    </row>
    <row r="10782" spans="1:26" ht="12.75">
      <c r="A10782" s="10"/>
      <c r="B10782" s="10"/>
      <c r="C10782" s="10"/>
      <c r="D10782" s="10"/>
      <c r="E10782" s="10"/>
      <c r="F10782" s="10"/>
      <c r="G10782" s="10"/>
      <c r="H10782" s="10"/>
      <c r="I10782" s="10"/>
      <c r="J10782" s="10"/>
      <c r="K10782" s="10"/>
      <c r="L10782" s="10"/>
      <c r="M10782" s="10"/>
      <c r="N10782" s="10"/>
      <c r="O10782" s="10"/>
      <c r="P10782" s="10"/>
      <c r="Q10782" s="10"/>
      <c r="R10782" s="10"/>
      <c r="S10782" s="10"/>
      <c r="T10782" s="10"/>
      <c r="U10782" s="10"/>
      <c r="V10782" s="10"/>
      <c r="W10782" s="10"/>
      <c r="X10782" s="10"/>
      <c r="Y10782" s="10"/>
      <c r="Z10782" s="10"/>
    </row>
    <row r="10783" spans="1:26" ht="12.75">
      <c r="A10783" s="10"/>
      <c r="B10783" s="10"/>
      <c r="C10783" s="10"/>
      <c r="D10783" s="10"/>
      <c r="E10783" s="10"/>
      <c r="F10783" s="10"/>
      <c r="G10783" s="10"/>
      <c r="H10783" s="10"/>
      <c r="I10783" s="10"/>
      <c r="J10783" s="10"/>
      <c r="K10783" s="10"/>
      <c r="L10783" s="10"/>
      <c r="M10783" s="10"/>
      <c r="N10783" s="10"/>
      <c r="O10783" s="10"/>
      <c r="P10783" s="10"/>
      <c r="Q10783" s="10"/>
      <c r="R10783" s="10"/>
      <c r="S10783" s="10"/>
      <c r="T10783" s="10"/>
      <c r="U10783" s="10"/>
      <c r="V10783" s="10"/>
      <c r="W10783" s="10"/>
      <c r="X10783" s="10"/>
      <c r="Y10783" s="10"/>
      <c r="Z10783" s="10"/>
    </row>
    <row r="10784" spans="1:26" ht="12.75">
      <c r="A10784" s="10"/>
      <c r="B10784" s="10"/>
      <c r="C10784" s="10"/>
      <c r="D10784" s="10"/>
      <c r="E10784" s="10"/>
      <c r="F10784" s="10"/>
      <c r="G10784" s="10"/>
      <c r="H10784" s="10"/>
      <c r="I10784" s="10"/>
      <c r="J10784" s="10"/>
      <c r="K10784" s="10"/>
      <c r="L10784" s="10"/>
      <c r="M10784" s="10"/>
      <c r="N10784" s="10"/>
      <c r="O10784" s="10"/>
      <c r="P10784" s="10"/>
      <c r="Q10784" s="10"/>
      <c r="R10784" s="10"/>
      <c r="S10784" s="10"/>
      <c r="T10784" s="10"/>
      <c r="U10784" s="10"/>
      <c r="V10784" s="10"/>
      <c r="W10784" s="10"/>
      <c r="X10784" s="10"/>
      <c r="Y10784" s="10"/>
      <c r="Z10784" s="10"/>
    </row>
    <row r="10785" spans="1:26" ht="12.75">
      <c r="A10785" s="10"/>
      <c r="B10785" s="10"/>
      <c r="C10785" s="10"/>
      <c r="D10785" s="10"/>
      <c r="E10785" s="10"/>
      <c r="F10785" s="10"/>
      <c r="G10785" s="10"/>
      <c r="H10785" s="10"/>
      <c r="I10785" s="10"/>
      <c r="J10785" s="10"/>
      <c r="K10785" s="10"/>
      <c r="L10785" s="10"/>
      <c r="M10785" s="10"/>
      <c r="N10785" s="10"/>
      <c r="O10785" s="10"/>
      <c r="P10785" s="10"/>
      <c r="Q10785" s="10"/>
      <c r="R10785" s="10"/>
      <c r="S10785" s="10"/>
      <c r="T10785" s="10"/>
      <c r="U10785" s="10"/>
      <c r="V10785" s="10"/>
      <c r="W10785" s="10"/>
      <c r="X10785" s="10"/>
      <c r="Y10785" s="10"/>
      <c r="Z10785" s="10"/>
    </row>
    <row r="10786" spans="1:26" ht="12.75">
      <c r="A10786" s="10"/>
      <c r="B10786" s="10"/>
      <c r="C10786" s="10"/>
      <c r="D10786" s="10"/>
      <c r="E10786" s="10"/>
      <c r="F10786" s="10"/>
      <c r="G10786" s="10"/>
      <c r="H10786" s="10"/>
      <c r="I10786" s="10"/>
      <c r="J10786" s="10"/>
      <c r="K10786" s="10"/>
      <c r="L10786" s="10"/>
      <c r="M10786" s="10"/>
      <c r="N10786" s="10"/>
      <c r="O10786" s="10"/>
      <c r="P10786" s="10"/>
      <c r="Q10786" s="10"/>
      <c r="R10786" s="10"/>
      <c r="S10786" s="10"/>
      <c r="T10786" s="10"/>
      <c r="U10786" s="10"/>
      <c r="V10786" s="10"/>
      <c r="W10786" s="10"/>
      <c r="X10786" s="10"/>
      <c r="Y10786" s="10"/>
      <c r="Z10786" s="10"/>
    </row>
    <row r="10787" spans="1:26" ht="12.75">
      <c r="A10787" s="10"/>
      <c r="B10787" s="10"/>
      <c r="C10787" s="10"/>
      <c r="D10787" s="10"/>
      <c r="E10787" s="10"/>
      <c r="F10787" s="10"/>
      <c r="G10787" s="10"/>
      <c r="H10787" s="10"/>
      <c r="I10787" s="10"/>
      <c r="J10787" s="10"/>
      <c r="K10787" s="10"/>
      <c r="L10787" s="10"/>
      <c r="M10787" s="10"/>
      <c r="N10787" s="10"/>
      <c r="O10787" s="10"/>
      <c r="P10787" s="10"/>
      <c r="Q10787" s="10"/>
      <c r="R10787" s="10"/>
      <c r="S10787" s="10"/>
      <c r="T10787" s="10"/>
      <c r="U10787" s="10"/>
      <c r="V10787" s="10"/>
      <c r="W10787" s="10"/>
      <c r="X10787" s="10"/>
      <c r="Y10787" s="10"/>
      <c r="Z10787" s="10"/>
    </row>
    <row r="10788" spans="1:26" ht="12.75">
      <c r="A10788" s="10"/>
      <c r="B10788" s="10"/>
      <c r="C10788" s="10"/>
      <c r="D10788" s="10"/>
      <c r="E10788" s="10"/>
      <c r="F10788" s="10"/>
      <c r="G10788" s="10"/>
      <c r="H10788" s="10"/>
      <c r="I10788" s="10"/>
      <c r="J10788" s="10"/>
      <c r="K10788" s="10"/>
      <c r="L10788" s="10"/>
      <c r="M10788" s="10"/>
      <c r="N10788" s="10"/>
      <c r="O10788" s="10"/>
      <c r="P10788" s="10"/>
      <c r="Q10788" s="10"/>
      <c r="R10788" s="10"/>
      <c r="S10788" s="10"/>
      <c r="T10788" s="10"/>
      <c r="U10788" s="10"/>
      <c r="V10788" s="10"/>
      <c r="W10788" s="10"/>
      <c r="X10788" s="10"/>
      <c r="Y10788" s="10"/>
      <c r="Z10788" s="10"/>
    </row>
    <row r="10789" spans="1:26" ht="12.75">
      <c r="A10789" s="10"/>
      <c r="B10789" s="10"/>
      <c r="C10789" s="10"/>
      <c r="D10789" s="10"/>
      <c r="E10789" s="10"/>
      <c r="F10789" s="10"/>
      <c r="G10789" s="10"/>
      <c r="H10789" s="10"/>
      <c r="I10789" s="10"/>
      <c r="J10789" s="10"/>
      <c r="K10789" s="10"/>
      <c r="L10789" s="10"/>
      <c r="M10789" s="10"/>
      <c r="N10789" s="10"/>
      <c r="O10789" s="10"/>
      <c r="P10789" s="10"/>
      <c r="Q10789" s="10"/>
      <c r="R10789" s="10"/>
      <c r="S10789" s="10"/>
      <c r="T10789" s="10"/>
      <c r="U10789" s="10"/>
      <c r="V10789" s="10"/>
      <c r="W10789" s="10"/>
      <c r="X10789" s="10"/>
      <c r="Y10789" s="10"/>
      <c r="Z10789" s="10"/>
    </row>
    <row r="10790" spans="1:26" ht="12.75">
      <c r="A10790" s="10"/>
      <c r="B10790" s="10"/>
      <c r="C10790" s="10"/>
      <c r="D10790" s="10"/>
      <c r="E10790" s="10"/>
      <c r="F10790" s="10"/>
      <c r="G10790" s="10"/>
      <c r="H10790" s="10"/>
      <c r="I10790" s="10"/>
      <c r="J10790" s="10"/>
      <c r="K10790" s="10"/>
      <c r="L10790" s="10"/>
      <c r="M10790" s="10"/>
      <c r="N10790" s="10"/>
      <c r="O10790" s="10"/>
      <c r="P10790" s="10"/>
      <c r="Q10790" s="10"/>
      <c r="R10790" s="10"/>
      <c r="S10790" s="10"/>
      <c r="T10790" s="10"/>
      <c r="U10790" s="10"/>
      <c r="V10790" s="10"/>
      <c r="W10790" s="10"/>
      <c r="X10790" s="10"/>
      <c r="Y10790" s="10"/>
      <c r="Z10790" s="10"/>
    </row>
    <row r="10791" spans="1:26" ht="12.75">
      <c r="A10791" s="10"/>
      <c r="B10791" s="10"/>
      <c r="C10791" s="10"/>
      <c r="D10791" s="10"/>
      <c r="E10791" s="10"/>
      <c r="F10791" s="10"/>
      <c r="G10791" s="10"/>
      <c r="H10791" s="10"/>
      <c r="I10791" s="10"/>
      <c r="J10791" s="10"/>
      <c r="K10791" s="10"/>
      <c r="L10791" s="10"/>
      <c r="M10791" s="10"/>
      <c r="N10791" s="10"/>
      <c r="O10791" s="10"/>
      <c r="P10791" s="10"/>
      <c r="Q10791" s="10"/>
      <c r="R10791" s="10"/>
      <c r="S10791" s="10"/>
      <c r="T10791" s="10"/>
      <c r="U10791" s="10"/>
      <c r="V10791" s="10"/>
      <c r="W10791" s="10"/>
      <c r="X10791" s="10"/>
      <c r="Y10791" s="10"/>
      <c r="Z10791" s="10"/>
    </row>
    <row r="10792" spans="1:26" ht="12.75">
      <c r="A10792" s="10"/>
      <c r="B10792" s="10"/>
      <c r="C10792" s="10"/>
      <c r="D10792" s="10"/>
      <c r="E10792" s="10"/>
      <c r="F10792" s="10"/>
      <c r="G10792" s="10"/>
      <c r="H10792" s="10"/>
      <c r="I10792" s="10"/>
      <c r="J10792" s="10"/>
      <c r="K10792" s="10"/>
      <c r="L10792" s="10"/>
      <c r="M10792" s="10"/>
      <c r="N10792" s="10"/>
      <c r="O10792" s="10"/>
      <c r="P10792" s="10"/>
      <c r="Q10792" s="10"/>
      <c r="R10792" s="10"/>
      <c r="S10792" s="10"/>
      <c r="T10792" s="10"/>
      <c r="U10792" s="10"/>
      <c r="V10792" s="10"/>
      <c r="W10792" s="10"/>
      <c r="X10792" s="10"/>
      <c r="Y10792" s="10"/>
      <c r="Z10792" s="10"/>
    </row>
    <row r="10793" spans="1:26" ht="12.75">
      <c r="A10793" s="10"/>
      <c r="B10793" s="10"/>
      <c r="C10793" s="10"/>
      <c r="D10793" s="10"/>
      <c r="E10793" s="10"/>
      <c r="F10793" s="10"/>
      <c r="G10793" s="10"/>
      <c r="H10793" s="10"/>
      <c r="I10793" s="10"/>
      <c r="J10793" s="10"/>
      <c r="K10793" s="10"/>
      <c r="L10793" s="10"/>
      <c r="M10793" s="10"/>
      <c r="N10793" s="10"/>
      <c r="O10793" s="10"/>
      <c r="P10793" s="10"/>
      <c r="Q10793" s="10"/>
      <c r="R10793" s="10"/>
      <c r="S10793" s="10"/>
      <c r="T10793" s="10"/>
      <c r="U10793" s="10"/>
      <c r="V10793" s="10"/>
      <c r="W10793" s="10"/>
      <c r="X10793" s="10"/>
      <c r="Y10793" s="10"/>
      <c r="Z10793" s="10"/>
    </row>
    <row r="10794" spans="1:26" ht="12.75">
      <c r="A10794" s="10"/>
      <c r="B10794" s="10"/>
      <c r="C10794" s="10"/>
      <c r="D10794" s="10"/>
      <c r="E10794" s="10"/>
      <c r="F10794" s="10"/>
      <c r="G10794" s="10"/>
      <c r="H10794" s="10"/>
      <c r="I10794" s="10"/>
      <c r="J10794" s="10"/>
      <c r="K10794" s="10"/>
      <c r="L10794" s="10"/>
      <c r="M10794" s="10"/>
      <c r="N10794" s="10"/>
      <c r="O10794" s="10"/>
      <c r="P10794" s="10"/>
      <c r="Q10794" s="10"/>
      <c r="R10794" s="10"/>
      <c r="S10794" s="10"/>
      <c r="T10794" s="10"/>
      <c r="U10794" s="10"/>
      <c r="V10794" s="10"/>
      <c r="W10794" s="10"/>
      <c r="X10794" s="10"/>
      <c r="Y10794" s="10"/>
      <c r="Z10794" s="10"/>
    </row>
    <row r="10795" spans="1:26" ht="12.75">
      <c r="A10795" s="10"/>
      <c r="B10795" s="10"/>
      <c r="C10795" s="10"/>
      <c r="D10795" s="10"/>
      <c r="E10795" s="10"/>
      <c r="F10795" s="10"/>
      <c r="G10795" s="10"/>
      <c r="H10795" s="10"/>
      <c r="I10795" s="10"/>
      <c r="J10795" s="10"/>
      <c r="K10795" s="10"/>
      <c r="L10795" s="10"/>
      <c r="M10795" s="10"/>
      <c r="N10795" s="10"/>
      <c r="O10795" s="10"/>
      <c r="P10795" s="10"/>
      <c r="Q10795" s="10"/>
      <c r="R10795" s="10"/>
      <c r="S10795" s="10"/>
      <c r="T10795" s="10"/>
      <c r="U10795" s="10"/>
      <c r="V10795" s="10"/>
      <c r="W10795" s="10"/>
      <c r="X10795" s="10"/>
      <c r="Y10795" s="10"/>
      <c r="Z10795" s="10"/>
    </row>
    <row r="10796" spans="1:26" ht="12.75">
      <c r="A10796" s="10"/>
      <c r="B10796" s="10"/>
      <c r="C10796" s="10"/>
      <c r="D10796" s="10"/>
      <c r="E10796" s="10"/>
      <c r="F10796" s="10"/>
      <c r="G10796" s="10"/>
      <c r="H10796" s="10"/>
      <c r="I10796" s="10"/>
      <c r="J10796" s="10"/>
      <c r="K10796" s="10"/>
      <c r="L10796" s="10"/>
      <c r="M10796" s="10"/>
      <c r="N10796" s="10"/>
      <c r="O10796" s="10"/>
      <c r="P10796" s="10"/>
      <c r="Q10796" s="10"/>
      <c r="R10796" s="10"/>
      <c r="S10796" s="10"/>
      <c r="T10796" s="10"/>
      <c r="U10796" s="10"/>
      <c r="V10796" s="10"/>
      <c r="W10796" s="10"/>
      <c r="X10796" s="10"/>
      <c r="Y10796" s="10"/>
      <c r="Z10796" s="10"/>
    </row>
    <row r="10797" spans="1:26" ht="12.75">
      <c r="A10797" s="10"/>
      <c r="B10797" s="10"/>
      <c r="C10797" s="10"/>
      <c r="D10797" s="10"/>
      <c r="E10797" s="10"/>
      <c r="F10797" s="10"/>
      <c r="G10797" s="10"/>
      <c r="H10797" s="10"/>
      <c r="I10797" s="10"/>
      <c r="J10797" s="10"/>
      <c r="K10797" s="10"/>
      <c r="L10797" s="10"/>
      <c r="M10797" s="10"/>
      <c r="N10797" s="10"/>
      <c r="O10797" s="10"/>
      <c r="P10797" s="10"/>
      <c r="Q10797" s="10"/>
      <c r="R10797" s="10"/>
      <c r="S10797" s="10"/>
      <c r="T10797" s="10"/>
      <c r="U10797" s="10"/>
      <c r="V10797" s="10"/>
      <c r="W10797" s="10"/>
      <c r="X10797" s="10"/>
      <c r="Y10797" s="10"/>
      <c r="Z10797" s="10"/>
    </row>
    <row r="10798" spans="1:26" ht="12.75">
      <c r="A10798" s="10"/>
      <c r="B10798" s="10"/>
      <c r="C10798" s="10"/>
      <c r="D10798" s="10"/>
      <c r="E10798" s="10"/>
      <c r="F10798" s="10"/>
      <c r="G10798" s="10"/>
      <c r="H10798" s="10"/>
      <c r="I10798" s="10"/>
      <c r="J10798" s="10"/>
      <c r="K10798" s="10"/>
      <c r="L10798" s="10"/>
      <c r="M10798" s="10"/>
      <c r="N10798" s="10"/>
      <c r="O10798" s="10"/>
      <c r="P10798" s="10"/>
      <c r="Q10798" s="10"/>
      <c r="R10798" s="10"/>
      <c r="S10798" s="10"/>
      <c r="T10798" s="10"/>
      <c r="U10798" s="10"/>
      <c r="V10798" s="10"/>
      <c r="W10798" s="10"/>
      <c r="X10798" s="10"/>
      <c r="Y10798" s="10"/>
      <c r="Z10798" s="10"/>
    </row>
    <row r="10799" spans="1:26" ht="12.75">
      <c r="A10799" s="10"/>
      <c r="B10799" s="10"/>
      <c r="C10799" s="10"/>
      <c r="D10799" s="10"/>
      <c r="E10799" s="10"/>
      <c r="F10799" s="10"/>
      <c r="G10799" s="10"/>
      <c r="H10799" s="10"/>
      <c r="I10799" s="10"/>
      <c r="J10799" s="10"/>
      <c r="K10799" s="10"/>
      <c r="L10799" s="10"/>
      <c r="M10799" s="10"/>
      <c r="N10799" s="10"/>
      <c r="O10799" s="10"/>
      <c r="P10799" s="10"/>
      <c r="Q10799" s="10"/>
      <c r="R10799" s="10"/>
      <c r="S10799" s="10"/>
      <c r="T10799" s="10"/>
      <c r="U10799" s="10"/>
      <c r="V10799" s="10"/>
      <c r="W10799" s="10"/>
      <c r="X10799" s="10"/>
      <c r="Y10799" s="10"/>
      <c r="Z10799" s="10"/>
    </row>
    <row r="10800" spans="1:26" ht="12.75">
      <c r="A10800" s="10"/>
      <c r="B10800" s="10"/>
      <c r="C10800" s="10"/>
      <c r="D10800" s="10"/>
      <c r="E10800" s="10"/>
      <c r="F10800" s="10"/>
      <c r="G10800" s="10"/>
      <c r="H10800" s="10"/>
      <c r="I10800" s="10"/>
      <c r="J10800" s="10"/>
      <c r="K10800" s="10"/>
      <c r="L10800" s="10"/>
      <c r="M10800" s="10"/>
      <c r="N10800" s="10"/>
      <c r="O10800" s="10"/>
      <c r="P10800" s="10"/>
      <c r="Q10800" s="10"/>
      <c r="R10800" s="10"/>
      <c r="S10800" s="10"/>
      <c r="T10800" s="10"/>
      <c r="U10800" s="10"/>
      <c r="V10800" s="10"/>
      <c r="W10800" s="10"/>
      <c r="X10800" s="10"/>
      <c r="Y10800" s="10"/>
      <c r="Z10800" s="10"/>
    </row>
    <row r="10801" spans="1:26" ht="12.75">
      <c r="A10801" s="10"/>
      <c r="B10801" s="10"/>
      <c r="C10801" s="10"/>
      <c r="D10801" s="10"/>
      <c r="E10801" s="10"/>
      <c r="F10801" s="10"/>
      <c r="G10801" s="10"/>
      <c r="H10801" s="10"/>
      <c r="I10801" s="10"/>
      <c r="J10801" s="10"/>
      <c r="K10801" s="10"/>
      <c r="L10801" s="10"/>
      <c r="M10801" s="10"/>
      <c r="N10801" s="10"/>
      <c r="O10801" s="10"/>
      <c r="P10801" s="10"/>
      <c r="Q10801" s="10"/>
      <c r="R10801" s="10"/>
      <c r="S10801" s="10"/>
      <c r="T10801" s="10"/>
      <c r="U10801" s="10"/>
      <c r="V10801" s="10"/>
      <c r="W10801" s="10"/>
      <c r="X10801" s="10"/>
      <c r="Y10801" s="10"/>
      <c r="Z10801" s="10"/>
    </row>
    <row r="10802" spans="1:26" ht="12.75">
      <c r="A10802" s="10"/>
      <c r="B10802" s="10"/>
      <c r="C10802" s="10"/>
      <c r="D10802" s="10"/>
      <c r="E10802" s="10"/>
      <c r="F10802" s="10"/>
      <c r="G10802" s="10"/>
      <c r="H10802" s="10"/>
      <c r="I10802" s="10"/>
      <c r="J10802" s="10"/>
      <c r="K10802" s="10"/>
      <c r="L10802" s="10"/>
      <c r="M10802" s="10"/>
      <c r="N10802" s="10"/>
      <c r="O10802" s="10"/>
      <c r="P10802" s="10"/>
      <c r="Q10802" s="10"/>
      <c r="R10802" s="10"/>
      <c r="S10802" s="10"/>
      <c r="T10802" s="10"/>
      <c r="U10802" s="10"/>
      <c r="V10802" s="10"/>
      <c r="W10802" s="10"/>
      <c r="X10802" s="10"/>
      <c r="Y10802" s="10"/>
      <c r="Z10802" s="10"/>
    </row>
    <row r="10803" spans="1:26" ht="12.75">
      <c r="A10803" s="10"/>
      <c r="B10803" s="10"/>
      <c r="C10803" s="10"/>
      <c r="D10803" s="10"/>
      <c r="E10803" s="10"/>
      <c r="F10803" s="10"/>
      <c r="G10803" s="10"/>
      <c r="H10803" s="10"/>
      <c r="I10803" s="10"/>
      <c r="J10803" s="10"/>
      <c r="K10803" s="10"/>
      <c r="L10803" s="10"/>
      <c r="M10803" s="10"/>
      <c r="N10803" s="10"/>
      <c r="O10803" s="10"/>
      <c r="P10803" s="10"/>
      <c r="Q10803" s="10"/>
      <c r="R10803" s="10"/>
      <c r="S10803" s="10"/>
      <c r="T10803" s="10"/>
      <c r="U10803" s="10"/>
      <c r="V10803" s="10"/>
      <c r="W10803" s="10"/>
      <c r="X10803" s="10"/>
      <c r="Y10803" s="10"/>
      <c r="Z10803" s="10"/>
    </row>
    <row r="10804" spans="1:26" ht="12.75">
      <c r="A10804" s="10"/>
      <c r="B10804" s="10"/>
      <c r="C10804" s="10"/>
      <c r="D10804" s="10"/>
      <c r="E10804" s="10"/>
      <c r="F10804" s="10"/>
      <c r="G10804" s="10"/>
      <c r="H10804" s="10"/>
      <c r="I10804" s="10"/>
      <c r="J10804" s="10"/>
      <c r="K10804" s="10"/>
      <c r="L10804" s="10"/>
      <c r="M10804" s="10"/>
      <c r="N10804" s="10"/>
      <c r="O10804" s="10"/>
      <c r="P10804" s="10"/>
      <c r="Q10804" s="10"/>
      <c r="R10804" s="10"/>
      <c r="S10804" s="10"/>
      <c r="T10804" s="10"/>
      <c r="U10804" s="10"/>
      <c r="V10804" s="10"/>
      <c r="W10804" s="10"/>
      <c r="X10804" s="10"/>
      <c r="Y10804" s="10"/>
      <c r="Z10804" s="10"/>
    </row>
    <row r="10805" spans="1:26" ht="12.75">
      <c r="A10805" s="10"/>
      <c r="B10805" s="10"/>
      <c r="C10805" s="10"/>
      <c r="D10805" s="10"/>
      <c r="E10805" s="10"/>
      <c r="F10805" s="10"/>
      <c r="G10805" s="10"/>
      <c r="H10805" s="10"/>
      <c r="I10805" s="10"/>
      <c r="J10805" s="10"/>
      <c r="K10805" s="10"/>
      <c r="L10805" s="10"/>
      <c r="M10805" s="10"/>
      <c r="N10805" s="10"/>
      <c r="O10805" s="10"/>
      <c r="P10805" s="10"/>
      <c r="Q10805" s="10"/>
      <c r="R10805" s="10"/>
      <c r="S10805" s="10"/>
      <c r="T10805" s="10"/>
      <c r="U10805" s="10"/>
      <c r="V10805" s="10"/>
      <c r="W10805" s="10"/>
      <c r="X10805" s="10"/>
      <c r="Y10805" s="10"/>
      <c r="Z10805" s="10"/>
    </row>
    <row r="10806" spans="1:26" ht="12.75">
      <c r="A10806" s="10"/>
      <c r="B10806" s="10"/>
      <c r="C10806" s="10"/>
      <c r="D10806" s="10"/>
      <c r="E10806" s="10"/>
      <c r="F10806" s="10"/>
      <c r="G10806" s="10"/>
      <c r="H10806" s="10"/>
      <c r="I10806" s="10"/>
      <c r="J10806" s="10"/>
      <c r="K10806" s="10"/>
      <c r="L10806" s="10"/>
      <c r="M10806" s="10"/>
      <c r="N10806" s="10"/>
      <c r="O10806" s="10"/>
      <c r="P10806" s="10"/>
      <c r="Q10806" s="10"/>
      <c r="R10806" s="10"/>
      <c r="S10806" s="10"/>
      <c r="T10806" s="10"/>
      <c r="U10806" s="10"/>
      <c r="V10806" s="10"/>
      <c r="W10806" s="10"/>
      <c r="X10806" s="10"/>
      <c r="Y10806" s="10"/>
      <c r="Z10806" s="10"/>
    </row>
    <row r="10807" spans="1:26" ht="12.75">
      <c r="A10807" s="10"/>
      <c r="B10807" s="10"/>
      <c r="C10807" s="10"/>
      <c r="D10807" s="10"/>
      <c r="E10807" s="10"/>
      <c r="F10807" s="10"/>
      <c r="G10807" s="10"/>
      <c r="H10807" s="10"/>
      <c r="I10807" s="10"/>
      <c r="J10807" s="10"/>
      <c r="K10807" s="10"/>
      <c r="L10807" s="10"/>
      <c r="M10807" s="10"/>
      <c r="N10807" s="10"/>
      <c r="O10807" s="10"/>
      <c r="P10807" s="10"/>
      <c r="Q10807" s="10"/>
      <c r="R10807" s="10"/>
      <c r="S10807" s="10"/>
      <c r="T10807" s="10"/>
      <c r="U10807" s="10"/>
      <c r="V10807" s="10"/>
      <c r="W10807" s="10"/>
      <c r="X10807" s="10"/>
      <c r="Y10807" s="10"/>
      <c r="Z10807" s="10"/>
    </row>
    <row r="10808" spans="1:26" ht="12.75">
      <c r="A10808" s="10"/>
      <c r="B10808" s="10"/>
      <c r="C10808" s="10"/>
      <c r="D10808" s="10"/>
      <c r="E10808" s="10"/>
      <c r="F10808" s="10"/>
      <c r="G10808" s="10"/>
      <c r="H10808" s="10"/>
      <c r="I10808" s="10"/>
      <c r="J10808" s="10"/>
      <c r="K10808" s="10"/>
      <c r="L10808" s="10"/>
      <c r="M10808" s="10"/>
      <c r="N10808" s="10"/>
      <c r="O10808" s="10"/>
      <c r="P10808" s="10"/>
      <c r="Q10808" s="10"/>
      <c r="R10808" s="10"/>
      <c r="S10808" s="10"/>
      <c r="T10808" s="10"/>
      <c r="U10808" s="10"/>
      <c r="V10808" s="10"/>
      <c r="W10808" s="10"/>
      <c r="X10808" s="10"/>
      <c r="Y10808" s="10"/>
      <c r="Z10808" s="10"/>
    </row>
    <row r="10809" spans="1:26" ht="12.75">
      <c r="A10809" s="10"/>
      <c r="B10809" s="10"/>
      <c r="C10809" s="10"/>
      <c r="D10809" s="10"/>
      <c r="E10809" s="10"/>
      <c r="F10809" s="10"/>
      <c r="G10809" s="10"/>
      <c r="H10809" s="10"/>
      <c r="I10809" s="10"/>
      <c r="J10809" s="10"/>
      <c r="K10809" s="10"/>
      <c r="L10809" s="10"/>
      <c r="M10809" s="10"/>
      <c r="N10809" s="10"/>
      <c r="O10809" s="10"/>
      <c r="P10809" s="10"/>
      <c r="Q10809" s="10"/>
      <c r="R10809" s="10"/>
      <c r="S10809" s="10"/>
      <c r="T10809" s="10"/>
      <c r="U10809" s="10"/>
      <c r="V10809" s="10"/>
      <c r="W10809" s="10"/>
      <c r="X10809" s="10"/>
      <c r="Y10809" s="10"/>
      <c r="Z10809" s="10"/>
    </row>
    <row r="10810" spans="1:26" ht="12.75">
      <c r="A10810" s="10"/>
      <c r="B10810" s="10"/>
      <c r="C10810" s="10"/>
      <c r="D10810" s="10"/>
      <c r="E10810" s="10"/>
      <c r="F10810" s="10"/>
      <c r="G10810" s="10"/>
      <c r="H10810" s="10"/>
      <c r="I10810" s="10"/>
      <c r="J10810" s="10"/>
      <c r="K10810" s="10"/>
      <c r="L10810" s="10"/>
      <c r="M10810" s="10"/>
      <c r="N10810" s="10"/>
      <c r="O10810" s="10"/>
      <c r="P10810" s="10"/>
      <c r="Q10810" s="10"/>
      <c r="R10810" s="10"/>
      <c r="S10810" s="10"/>
      <c r="T10810" s="10"/>
      <c r="U10810" s="10"/>
      <c r="V10810" s="10"/>
      <c r="W10810" s="10"/>
      <c r="X10810" s="10"/>
      <c r="Y10810" s="10"/>
      <c r="Z10810" s="10"/>
    </row>
    <row r="10811" spans="1:26" ht="12.75">
      <c r="A10811" s="10"/>
      <c r="B10811" s="10"/>
      <c r="C10811" s="10"/>
      <c r="D10811" s="10"/>
      <c r="E10811" s="10"/>
      <c r="F10811" s="10"/>
      <c r="G10811" s="10"/>
      <c r="H10811" s="10"/>
      <c r="I10811" s="10"/>
      <c r="J10811" s="10"/>
      <c r="K10811" s="10"/>
      <c r="L10811" s="10"/>
      <c r="M10811" s="10"/>
      <c r="N10811" s="10"/>
      <c r="O10811" s="10"/>
      <c r="P10811" s="10"/>
      <c r="Q10811" s="10"/>
      <c r="R10811" s="10"/>
      <c r="S10811" s="10"/>
      <c r="T10811" s="10"/>
      <c r="U10811" s="10"/>
      <c r="V10811" s="10"/>
      <c r="W10811" s="10"/>
      <c r="X10811" s="10"/>
      <c r="Y10811" s="10"/>
      <c r="Z10811" s="10"/>
    </row>
    <row r="10812" spans="1:26" ht="12.75">
      <c r="A10812" s="10"/>
      <c r="B10812" s="10"/>
      <c r="C10812" s="10"/>
      <c r="D10812" s="10"/>
      <c r="E10812" s="10"/>
      <c r="F10812" s="10"/>
      <c r="G10812" s="10"/>
      <c r="H10812" s="10"/>
      <c r="I10812" s="10"/>
      <c r="J10812" s="10"/>
      <c r="K10812" s="10"/>
      <c r="L10812" s="10"/>
      <c r="M10812" s="10"/>
      <c r="N10812" s="10"/>
      <c r="O10812" s="10"/>
      <c r="P10812" s="10"/>
      <c r="Q10812" s="10"/>
      <c r="R10812" s="10"/>
      <c r="S10812" s="10"/>
      <c r="T10812" s="10"/>
      <c r="U10812" s="10"/>
      <c r="V10812" s="10"/>
      <c r="W10812" s="10"/>
      <c r="X10812" s="10"/>
      <c r="Y10812" s="10"/>
      <c r="Z10812" s="10"/>
    </row>
    <row r="10813" spans="1:26" ht="12.75">
      <c r="A10813" s="10"/>
      <c r="B10813" s="10"/>
      <c r="C10813" s="10"/>
      <c r="D10813" s="10"/>
      <c r="E10813" s="10"/>
      <c r="F10813" s="10"/>
      <c r="G10813" s="10"/>
      <c r="H10813" s="10"/>
      <c r="I10813" s="10"/>
      <c r="J10813" s="10"/>
      <c r="K10813" s="10"/>
      <c r="L10813" s="10"/>
      <c r="M10813" s="10"/>
      <c r="N10813" s="10"/>
      <c r="O10813" s="10"/>
      <c r="P10813" s="10"/>
      <c r="Q10813" s="10"/>
      <c r="R10813" s="10"/>
      <c r="S10813" s="10"/>
      <c r="T10813" s="10"/>
      <c r="U10813" s="10"/>
      <c r="V10813" s="10"/>
      <c r="W10813" s="10"/>
      <c r="X10813" s="10"/>
      <c r="Y10813" s="10"/>
      <c r="Z10813" s="10"/>
    </row>
    <row r="10814" spans="1:26" ht="12.75">
      <c r="A10814" s="10"/>
      <c r="B10814" s="10"/>
      <c r="C10814" s="10"/>
      <c r="D10814" s="10"/>
      <c r="E10814" s="10"/>
      <c r="F10814" s="10"/>
      <c r="G10814" s="10"/>
      <c r="H10814" s="10"/>
      <c r="I10814" s="10"/>
      <c r="J10814" s="10"/>
      <c r="K10814" s="10"/>
      <c r="L10814" s="10"/>
      <c r="M10814" s="10"/>
      <c r="N10814" s="10"/>
      <c r="O10814" s="10"/>
      <c r="P10814" s="10"/>
      <c r="Q10814" s="10"/>
      <c r="R10814" s="10"/>
      <c r="S10814" s="10"/>
      <c r="T10814" s="10"/>
      <c r="U10814" s="10"/>
      <c r="V10814" s="10"/>
      <c r="W10814" s="10"/>
      <c r="X10814" s="10"/>
      <c r="Y10814" s="10"/>
      <c r="Z10814" s="10"/>
    </row>
    <row r="10815" spans="1:26" ht="12.75">
      <c r="A10815" s="10"/>
      <c r="B10815" s="10"/>
      <c r="C10815" s="10"/>
      <c r="D10815" s="10"/>
      <c r="E10815" s="10"/>
      <c r="F10815" s="10"/>
      <c r="G10815" s="10"/>
      <c r="H10815" s="10"/>
      <c r="I10815" s="10"/>
      <c r="J10815" s="10"/>
      <c r="K10815" s="10"/>
      <c r="L10815" s="10"/>
      <c r="M10815" s="10"/>
      <c r="N10815" s="10"/>
      <c r="O10815" s="10"/>
      <c r="P10815" s="10"/>
      <c r="Q10815" s="10"/>
      <c r="R10815" s="10"/>
      <c r="S10815" s="10"/>
      <c r="T10815" s="10"/>
      <c r="U10815" s="10"/>
      <c r="V10815" s="10"/>
      <c r="W10815" s="10"/>
      <c r="X10815" s="10"/>
      <c r="Y10815" s="10"/>
      <c r="Z10815" s="10"/>
    </row>
    <row r="10816" spans="1:26" ht="12.75">
      <c r="A10816" s="10"/>
      <c r="B10816" s="10"/>
      <c r="C10816" s="10"/>
      <c r="D10816" s="10"/>
      <c r="E10816" s="10"/>
      <c r="F10816" s="10"/>
      <c r="G10816" s="10"/>
      <c r="H10816" s="10"/>
      <c r="I10816" s="10"/>
      <c r="J10816" s="10"/>
      <c r="K10816" s="10"/>
      <c r="L10816" s="10"/>
      <c r="M10816" s="10"/>
      <c r="N10816" s="10"/>
      <c r="O10816" s="10"/>
      <c r="P10816" s="10"/>
      <c r="Q10816" s="10"/>
      <c r="R10816" s="10"/>
      <c r="S10816" s="10"/>
      <c r="T10816" s="10"/>
      <c r="U10816" s="10"/>
      <c r="V10816" s="10"/>
      <c r="W10816" s="10"/>
      <c r="X10816" s="10"/>
      <c r="Y10816" s="10"/>
      <c r="Z10816" s="10"/>
    </row>
    <row r="10817" spans="1:26" ht="12.75">
      <c r="A10817" s="10"/>
      <c r="B10817" s="10"/>
      <c r="C10817" s="10"/>
      <c r="D10817" s="10"/>
      <c r="E10817" s="10"/>
      <c r="F10817" s="10"/>
      <c r="G10817" s="10"/>
      <c r="H10817" s="10"/>
      <c r="I10817" s="10"/>
      <c r="J10817" s="10"/>
      <c r="K10817" s="10"/>
      <c r="L10817" s="10"/>
      <c r="M10817" s="10"/>
      <c r="N10817" s="10"/>
      <c r="O10817" s="10"/>
      <c r="P10817" s="10"/>
      <c r="Q10817" s="10"/>
      <c r="R10817" s="10"/>
      <c r="S10817" s="10"/>
      <c r="T10817" s="10"/>
      <c r="U10817" s="10"/>
      <c r="V10817" s="10"/>
      <c r="W10817" s="10"/>
      <c r="X10817" s="10"/>
      <c r="Y10817" s="10"/>
      <c r="Z10817" s="10"/>
    </row>
    <row r="10818" spans="1:26" ht="12.75">
      <c r="A10818" s="10"/>
      <c r="B10818" s="10"/>
      <c r="C10818" s="10"/>
      <c r="D10818" s="10"/>
      <c r="E10818" s="10"/>
      <c r="F10818" s="10"/>
      <c r="G10818" s="10"/>
      <c r="H10818" s="10"/>
      <c r="I10818" s="10"/>
      <c r="J10818" s="10"/>
      <c r="K10818" s="10"/>
      <c r="L10818" s="10"/>
      <c r="M10818" s="10"/>
      <c r="N10818" s="10"/>
      <c r="O10818" s="10"/>
      <c r="P10818" s="10"/>
      <c r="Q10818" s="10"/>
      <c r="R10818" s="10"/>
      <c r="S10818" s="10"/>
      <c r="T10818" s="10"/>
      <c r="U10818" s="10"/>
      <c r="V10818" s="10"/>
      <c r="W10818" s="10"/>
      <c r="X10818" s="10"/>
      <c r="Y10818" s="10"/>
      <c r="Z10818" s="10"/>
    </row>
    <row r="10819" spans="1:26" ht="12.75">
      <c r="A10819" s="10"/>
      <c r="B10819" s="10"/>
      <c r="C10819" s="10"/>
      <c r="D10819" s="10"/>
      <c r="E10819" s="10"/>
      <c r="F10819" s="10"/>
      <c r="G10819" s="10"/>
      <c r="H10819" s="10"/>
      <c r="I10819" s="10"/>
      <c r="J10819" s="10"/>
      <c r="K10819" s="10"/>
      <c r="L10819" s="10"/>
      <c r="M10819" s="10"/>
      <c r="N10819" s="10"/>
      <c r="O10819" s="10"/>
      <c r="P10819" s="10"/>
      <c r="Q10819" s="10"/>
      <c r="R10819" s="10"/>
      <c r="S10819" s="10"/>
      <c r="T10819" s="10"/>
      <c r="U10819" s="10"/>
      <c r="V10819" s="10"/>
      <c r="W10819" s="10"/>
      <c r="X10819" s="10"/>
      <c r="Y10819" s="10"/>
      <c r="Z10819" s="10"/>
    </row>
    <row r="10820" spans="1:26" ht="12.75">
      <c r="A10820" s="10"/>
      <c r="B10820" s="10"/>
      <c r="C10820" s="10"/>
      <c r="D10820" s="10"/>
      <c r="E10820" s="10"/>
      <c r="F10820" s="10"/>
      <c r="G10820" s="10"/>
      <c r="H10820" s="10"/>
      <c r="I10820" s="10"/>
      <c r="J10820" s="10"/>
      <c r="K10820" s="10"/>
      <c r="L10820" s="10"/>
      <c r="M10820" s="10"/>
      <c r="N10820" s="10"/>
      <c r="O10820" s="10"/>
      <c r="P10820" s="10"/>
      <c r="Q10820" s="10"/>
      <c r="R10820" s="10"/>
      <c r="S10820" s="10"/>
      <c r="T10820" s="10"/>
      <c r="U10820" s="10"/>
      <c r="V10820" s="10"/>
      <c r="W10820" s="10"/>
      <c r="X10820" s="10"/>
      <c r="Y10820" s="10"/>
      <c r="Z10820" s="10"/>
    </row>
    <row r="10821" spans="1:26" ht="12.75">
      <c r="A10821" s="10"/>
      <c r="B10821" s="10"/>
      <c r="C10821" s="10"/>
      <c r="D10821" s="10"/>
      <c r="E10821" s="10"/>
      <c r="F10821" s="10"/>
      <c r="G10821" s="10"/>
      <c r="H10821" s="10"/>
      <c r="I10821" s="10"/>
      <c r="J10821" s="10"/>
      <c r="K10821" s="10"/>
      <c r="L10821" s="10"/>
      <c r="M10821" s="10"/>
      <c r="N10821" s="10"/>
      <c r="O10821" s="10"/>
      <c r="P10821" s="10"/>
      <c r="Q10821" s="10"/>
      <c r="R10821" s="10"/>
      <c r="S10821" s="10"/>
      <c r="T10821" s="10"/>
      <c r="U10821" s="10"/>
      <c r="V10821" s="10"/>
      <c r="W10821" s="10"/>
      <c r="X10821" s="10"/>
      <c r="Y10821" s="10"/>
      <c r="Z10821" s="10"/>
    </row>
    <row r="10822" spans="1:26" ht="12.75">
      <c r="A10822" s="10"/>
      <c r="B10822" s="10"/>
      <c r="C10822" s="10"/>
      <c r="D10822" s="10"/>
      <c r="E10822" s="10"/>
      <c r="F10822" s="10"/>
      <c r="G10822" s="10"/>
      <c r="H10822" s="10"/>
      <c r="I10822" s="10"/>
      <c r="J10822" s="10"/>
      <c r="K10822" s="10"/>
      <c r="L10822" s="10"/>
      <c r="M10822" s="10"/>
      <c r="N10822" s="10"/>
      <c r="O10822" s="10"/>
      <c r="P10822" s="10"/>
      <c r="Q10822" s="10"/>
      <c r="R10822" s="10"/>
      <c r="S10822" s="10"/>
      <c r="T10822" s="10"/>
      <c r="U10822" s="10"/>
      <c r="V10822" s="10"/>
      <c r="W10822" s="10"/>
      <c r="X10822" s="10"/>
      <c r="Y10822" s="10"/>
      <c r="Z10822" s="10"/>
    </row>
    <row r="10823" spans="1:26" ht="12.75">
      <c r="A10823" s="10"/>
      <c r="B10823" s="10"/>
      <c r="C10823" s="10"/>
      <c r="D10823" s="10"/>
      <c r="E10823" s="10"/>
      <c r="F10823" s="10"/>
      <c r="G10823" s="10"/>
      <c r="H10823" s="10"/>
      <c r="I10823" s="10"/>
      <c r="J10823" s="10"/>
      <c r="K10823" s="10"/>
      <c r="L10823" s="10"/>
      <c r="M10823" s="10"/>
      <c r="N10823" s="10"/>
      <c r="O10823" s="10"/>
      <c r="P10823" s="10"/>
      <c r="Q10823" s="10"/>
      <c r="R10823" s="10"/>
      <c r="S10823" s="10"/>
      <c r="T10823" s="10"/>
      <c r="U10823" s="10"/>
      <c r="V10823" s="10"/>
      <c r="W10823" s="10"/>
      <c r="X10823" s="10"/>
      <c r="Y10823" s="10"/>
      <c r="Z10823" s="10"/>
    </row>
    <row r="10824" spans="1:26" ht="12.75">
      <c r="A10824" s="10"/>
      <c r="B10824" s="10"/>
      <c r="C10824" s="10"/>
      <c r="D10824" s="10"/>
      <c r="E10824" s="10"/>
      <c r="F10824" s="10"/>
      <c r="G10824" s="10"/>
      <c r="H10824" s="10"/>
      <c r="I10824" s="10"/>
      <c r="J10824" s="10"/>
      <c r="K10824" s="10"/>
      <c r="L10824" s="10"/>
      <c r="M10824" s="10"/>
      <c r="N10824" s="10"/>
      <c r="O10824" s="10"/>
      <c r="P10824" s="10"/>
      <c r="Q10824" s="10"/>
      <c r="R10824" s="10"/>
      <c r="S10824" s="10"/>
      <c r="T10824" s="10"/>
      <c r="U10824" s="10"/>
      <c r="V10824" s="10"/>
      <c r="W10824" s="10"/>
      <c r="X10824" s="10"/>
      <c r="Y10824" s="10"/>
      <c r="Z10824" s="10"/>
    </row>
    <row r="10825" spans="1:26" ht="12.75">
      <c r="A10825" s="10"/>
      <c r="B10825" s="10"/>
      <c r="C10825" s="10"/>
      <c r="D10825" s="10"/>
      <c r="E10825" s="10"/>
      <c r="F10825" s="10"/>
      <c r="G10825" s="10"/>
      <c r="H10825" s="10"/>
      <c r="I10825" s="10"/>
      <c r="J10825" s="10"/>
      <c r="K10825" s="10"/>
      <c r="L10825" s="10"/>
      <c r="M10825" s="10"/>
      <c r="N10825" s="10"/>
      <c r="O10825" s="10"/>
      <c r="P10825" s="10"/>
      <c r="Q10825" s="10"/>
      <c r="R10825" s="10"/>
      <c r="S10825" s="10"/>
      <c r="T10825" s="10"/>
      <c r="U10825" s="10"/>
      <c r="V10825" s="10"/>
      <c r="W10825" s="10"/>
      <c r="X10825" s="10"/>
      <c r="Y10825" s="10"/>
      <c r="Z10825" s="10"/>
    </row>
    <row r="10826" spans="1:26" ht="12.75">
      <c r="A10826" s="10"/>
      <c r="B10826" s="10"/>
      <c r="C10826" s="10"/>
      <c r="D10826" s="10"/>
      <c r="E10826" s="10"/>
      <c r="F10826" s="10"/>
      <c r="G10826" s="10"/>
      <c r="H10826" s="10"/>
      <c r="I10826" s="10"/>
      <c r="J10826" s="10"/>
      <c r="K10826" s="10"/>
      <c r="L10826" s="10"/>
      <c r="M10826" s="10"/>
      <c r="N10826" s="10"/>
      <c r="O10826" s="10"/>
      <c r="P10826" s="10"/>
      <c r="Q10826" s="10"/>
      <c r="R10826" s="10"/>
      <c r="S10826" s="10"/>
      <c r="T10826" s="10"/>
      <c r="U10826" s="10"/>
      <c r="V10826" s="10"/>
      <c r="W10826" s="10"/>
      <c r="X10826" s="10"/>
      <c r="Y10826" s="10"/>
      <c r="Z10826" s="10"/>
    </row>
    <row r="10827" spans="1:26" ht="12.75">
      <c r="A10827" s="10"/>
      <c r="B10827" s="10"/>
      <c r="C10827" s="10"/>
      <c r="D10827" s="10"/>
      <c r="E10827" s="10"/>
      <c r="F10827" s="10"/>
      <c r="G10827" s="10"/>
      <c r="H10827" s="10"/>
      <c r="I10827" s="10"/>
      <c r="J10827" s="10"/>
      <c r="K10827" s="10"/>
      <c r="L10827" s="10"/>
      <c r="M10827" s="10"/>
      <c r="N10827" s="10"/>
      <c r="O10827" s="10"/>
      <c r="P10827" s="10"/>
      <c r="Q10827" s="10"/>
      <c r="R10827" s="10"/>
      <c r="S10827" s="10"/>
      <c r="T10827" s="10"/>
      <c r="U10827" s="10"/>
      <c r="V10827" s="10"/>
      <c r="W10827" s="10"/>
      <c r="X10827" s="10"/>
      <c r="Y10827" s="10"/>
      <c r="Z10827" s="10"/>
    </row>
    <row r="10828" spans="1:26" ht="12.75">
      <c r="A10828" s="10"/>
      <c r="B10828" s="10"/>
      <c r="C10828" s="10"/>
      <c r="D10828" s="10"/>
      <c r="E10828" s="10"/>
      <c r="F10828" s="10"/>
      <c r="G10828" s="10"/>
      <c r="H10828" s="10"/>
      <c r="I10828" s="10"/>
      <c r="J10828" s="10"/>
      <c r="K10828" s="10"/>
      <c r="L10828" s="10"/>
      <c r="M10828" s="10"/>
      <c r="N10828" s="10"/>
      <c r="O10828" s="10"/>
      <c r="P10828" s="10"/>
      <c r="Q10828" s="10"/>
      <c r="R10828" s="10"/>
      <c r="S10828" s="10"/>
      <c r="T10828" s="10"/>
      <c r="U10828" s="10"/>
      <c r="V10828" s="10"/>
      <c r="W10828" s="10"/>
      <c r="X10828" s="10"/>
      <c r="Y10828" s="10"/>
      <c r="Z10828" s="10"/>
    </row>
    <row r="10829" spans="1:26" ht="12.75">
      <c r="A10829" s="10"/>
      <c r="B10829" s="10"/>
      <c r="C10829" s="10"/>
      <c r="D10829" s="10"/>
      <c r="E10829" s="10"/>
      <c r="F10829" s="10"/>
      <c r="G10829" s="10"/>
      <c r="H10829" s="10"/>
      <c r="I10829" s="10"/>
      <c r="J10829" s="10"/>
      <c r="K10829" s="10"/>
      <c r="L10829" s="10"/>
      <c r="M10829" s="10"/>
      <c r="N10829" s="10"/>
      <c r="O10829" s="10"/>
      <c r="P10829" s="10"/>
      <c r="Q10829" s="10"/>
      <c r="R10829" s="10"/>
      <c r="S10829" s="10"/>
      <c r="T10829" s="10"/>
      <c r="U10829" s="10"/>
      <c r="V10829" s="10"/>
      <c r="W10829" s="10"/>
      <c r="X10829" s="10"/>
      <c r="Y10829" s="10"/>
      <c r="Z10829" s="10"/>
    </row>
    <row r="10830" spans="1:26" ht="12.75">
      <c r="A10830" s="10"/>
      <c r="B10830" s="10"/>
      <c r="C10830" s="10"/>
      <c r="D10830" s="10"/>
      <c r="E10830" s="10"/>
      <c r="F10830" s="10"/>
      <c r="G10830" s="10"/>
      <c r="H10830" s="10"/>
      <c r="I10830" s="10"/>
      <c r="J10830" s="10"/>
      <c r="K10830" s="10"/>
      <c r="L10830" s="10"/>
      <c r="M10830" s="10"/>
      <c r="N10830" s="10"/>
      <c r="O10830" s="10"/>
      <c r="P10830" s="10"/>
      <c r="Q10830" s="10"/>
      <c r="R10830" s="10"/>
      <c r="S10830" s="10"/>
      <c r="T10830" s="10"/>
      <c r="U10830" s="10"/>
      <c r="V10830" s="10"/>
      <c r="W10830" s="10"/>
      <c r="X10830" s="10"/>
      <c r="Y10830" s="10"/>
      <c r="Z10830" s="10"/>
    </row>
    <row r="10831" spans="1:26" ht="12.75">
      <c r="A10831" s="10"/>
      <c r="B10831" s="10"/>
      <c r="C10831" s="10"/>
      <c r="D10831" s="10"/>
      <c r="E10831" s="10"/>
      <c r="F10831" s="10"/>
      <c r="G10831" s="10"/>
      <c r="H10831" s="10"/>
      <c r="I10831" s="10"/>
      <c r="J10831" s="10"/>
      <c r="K10831" s="10"/>
      <c r="L10831" s="10"/>
      <c r="M10831" s="10"/>
      <c r="N10831" s="10"/>
      <c r="O10831" s="10"/>
      <c r="P10831" s="10"/>
      <c r="Q10831" s="10"/>
      <c r="R10831" s="10"/>
      <c r="S10831" s="10"/>
      <c r="T10831" s="10"/>
      <c r="U10831" s="10"/>
      <c r="V10831" s="10"/>
      <c r="W10831" s="10"/>
      <c r="X10831" s="10"/>
      <c r="Y10831" s="10"/>
      <c r="Z10831" s="10"/>
    </row>
    <row r="10832" spans="1:26" ht="12.75">
      <c r="A10832" s="10"/>
      <c r="B10832" s="10"/>
      <c r="C10832" s="10"/>
      <c r="D10832" s="10"/>
      <c r="E10832" s="10"/>
      <c r="F10832" s="10"/>
      <c r="G10832" s="10"/>
      <c r="H10832" s="10"/>
      <c r="I10832" s="10"/>
      <c r="J10832" s="10"/>
      <c r="K10832" s="10"/>
      <c r="L10832" s="10"/>
      <c r="M10832" s="10"/>
      <c r="N10832" s="10"/>
      <c r="O10832" s="10"/>
      <c r="P10832" s="10"/>
      <c r="Q10832" s="10"/>
      <c r="R10832" s="10"/>
      <c r="S10832" s="10"/>
      <c r="T10832" s="10"/>
      <c r="U10832" s="10"/>
      <c r="V10832" s="10"/>
      <c r="W10832" s="10"/>
      <c r="X10832" s="10"/>
      <c r="Y10832" s="10"/>
      <c r="Z10832" s="10"/>
    </row>
    <row r="10833" spans="1:26" ht="12.75">
      <c r="A10833" s="10"/>
      <c r="B10833" s="10"/>
      <c r="C10833" s="10"/>
      <c r="D10833" s="10"/>
      <c r="E10833" s="10"/>
      <c r="F10833" s="10"/>
      <c r="G10833" s="10"/>
      <c r="H10833" s="10"/>
      <c r="I10833" s="10"/>
      <c r="J10833" s="10"/>
      <c r="K10833" s="10"/>
      <c r="L10833" s="10"/>
      <c r="M10833" s="10"/>
      <c r="N10833" s="10"/>
      <c r="O10833" s="10"/>
      <c r="P10833" s="10"/>
      <c r="Q10833" s="10"/>
      <c r="R10833" s="10"/>
      <c r="S10833" s="10"/>
      <c r="T10833" s="10"/>
      <c r="U10833" s="10"/>
      <c r="V10833" s="10"/>
      <c r="W10833" s="10"/>
      <c r="X10833" s="10"/>
      <c r="Y10833" s="10"/>
      <c r="Z10833" s="10"/>
    </row>
    <row r="10834" spans="1:26" ht="12.75">
      <c r="A10834" s="10"/>
      <c r="B10834" s="10"/>
      <c r="C10834" s="10"/>
      <c r="D10834" s="10"/>
      <c r="E10834" s="10"/>
      <c r="F10834" s="10"/>
      <c r="G10834" s="10"/>
      <c r="H10834" s="10"/>
      <c r="I10834" s="10"/>
      <c r="J10834" s="10"/>
      <c r="K10834" s="10"/>
      <c r="L10834" s="10"/>
      <c r="M10834" s="10"/>
      <c r="N10834" s="10"/>
      <c r="O10834" s="10"/>
      <c r="P10834" s="10"/>
      <c r="Q10834" s="10"/>
      <c r="R10834" s="10"/>
      <c r="S10834" s="10"/>
      <c r="T10834" s="10"/>
      <c r="U10834" s="10"/>
      <c r="V10834" s="10"/>
      <c r="W10834" s="10"/>
      <c r="X10834" s="10"/>
      <c r="Y10834" s="10"/>
      <c r="Z10834" s="10"/>
    </row>
    <row r="10835" spans="1:26" ht="12.75">
      <c r="A10835" s="10"/>
      <c r="B10835" s="10"/>
      <c r="C10835" s="10"/>
      <c r="D10835" s="10"/>
      <c r="E10835" s="10"/>
      <c r="F10835" s="10"/>
      <c r="G10835" s="10"/>
      <c r="H10835" s="10"/>
      <c r="I10835" s="10"/>
      <c r="J10835" s="10"/>
      <c r="K10835" s="10"/>
      <c r="L10835" s="10"/>
      <c r="M10835" s="10"/>
      <c r="N10835" s="10"/>
      <c r="O10835" s="10"/>
      <c r="P10835" s="10"/>
      <c r="Q10835" s="10"/>
      <c r="R10835" s="10"/>
      <c r="S10835" s="10"/>
      <c r="T10835" s="10"/>
      <c r="U10835" s="10"/>
      <c r="V10835" s="10"/>
      <c r="W10835" s="10"/>
      <c r="X10835" s="10"/>
      <c r="Y10835" s="10"/>
      <c r="Z10835" s="10"/>
    </row>
    <row r="10836" spans="1:26" ht="12.75">
      <c r="A10836" s="10"/>
      <c r="B10836" s="10"/>
      <c r="C10836" s="10"/>
      <c r="D10836" s="10"/>
      <c r="E10836" s="10"/>
      <c r="F10836" s="10"/>
      <c r="G10836" s="10"/>
      <c r="H10836" s="10"/>
      <c r="I10836" s="10"/>
      <c r="J10836" s="10"/>
      <c r="K10836" s="10"/>
      <c r="L10836" s="10"/>
      <c r="M10836" s="10"/>
      <c r="N10836" s="10"/>
      <c r="O10836" s="10"/>
      <c r="P10836" s="10"/>
      <c r="Q10836" s="10"/>
      <c r="R10836" s="10"/>
      <c r="S10836" s="10"/>
      <c r="T10836" s="10"/>
      <c r="U10836" s="10"/>
      <c r="V10836" s="10"/>
      <c r="W10836" s="10"/>
      <c r="X10836" s="10"/>
      <c r="Y10836" s="10"/>
      <c r="Z10836" s="10"/>
    </row>
    <row r="10837" spans="1:26" ht="12.75">
      <c r="A10837" s="10"/>
      <c r="B10837" s="10"/>
      <c r="C10837" s="10"/>
      <c r="D10837" s="10"/>
      <c r="E10837" s="10"/>
      <c r="F10837" s="10"/>
      <c r="G10837" s="10"/>
      <c r="H10837" s="10"/>
      <c r="I10837" s="10"/>
      <c r="J10837" s="10"/>
      <c r="K10837" s="10"/>
      <c r="L10837" s="10"/>
      <c r="M10837" s="10"/>
      <c r="N10837" s="10"/>
      <c r="O10837" s="10"/>
      <c r="P10837" s="10"/>
      <c r="Q10837" s="10"/>
      <c r="R10837" s="10"/>
      <c r="S10837" s="10"/>
      <c r="T10837" s="10"/>
      <c r="U10837" s="10"/>
      <c r="V10837" s="10"/>
      <c r="W10837" s="10"/>
      <c r="X10837" s="10"/>
      <c r="Y10837" s="10"/>
      <c r="Z10837" s="10"/>
    </row>
    <row r="10838" spans="1:26" ht="12.75">
      <c r="A10838" s="10"/>
      <c r="B10838" s="10"/>
      <c r="C10838" s="10"/>
      <c r="D10838" s="10"/>
      <c r="E10838" s="10"/>
      <c r="F10838" s="10"/>
      <c r="G10838" s="10"/>
      <c r="H10838" s="10"/>
      <c r="I10838" s="10"/>
      <c r="J10838" s="10"/>
      <c r="K10838" s="10"/>
      <c r="L10838" s="10"/>
      <c r="M10838" s="10"/>
      <c r="N10838" s="10"/>
      <c r="O10838" s="10"/>
      <c r="P10838" s="10"/>
      <c r="Q10838" s="10"/>
      <c r="R10838" s="10"/>
      <c r="S10838" s="10"/>
      <c r="T10838" s="10"/>
      <c r="U10838" s="10"/>
      <c r="V10838" s="10"/>
      <c r="W10838" s="10"/>
      <c r="X10838" s="10"/>
      <c r="Y10838" s="10"/>
      <c r="Z10838" s="10"/>
    </row>
    <row r="10839" spans="1:26" ht="12.75">
      <c r="A10839" s="10"/>
      <c r="B10839" s="10"/>
      <c r="C10839" s="10"/>
      <c r="D10839" s="10"/>
      <c r="E10839" s="10"/>
      <c r="F10839" s="10"/>
      <c r="G10839" s="10"/>
      <c r="H10839" s="10"/>
      <c r="I10839" s="10"/>
      <c r="J10839" s="10"/>
      <c r="K10839" s="10"/>
      <c r="L10839" s="10"/>
      <c r="M10839" s="10"/>
      <c r="N10839" s="10"/>
      <c r="O10839" s="10"/>
      <c r="P10839" s="10"/>
      <c r="Q10839" s="10"/>
      <c r="R10839" s="10"/>
      <c r="S10839" s="10"/>
      <c r="T10839" s="10"/>
      <c r="U10839" s="10"/>
      <c r="V10839" s="10"/>
      <c r="W10839" s="10"/>
      <c r="X10839" s="10"/>
      <c r="Y10839" s="10"/>
      <c r="Z10839" s="10"/>
    </row>
    <row r="10840" spans="1:26" ht="12.75">
      <c r="A10840" s="10"/>
      <c r="B10840" s="10"/>
      <c r="C10840" s="10"/>
      <c r="D10840" s="10"/>
      <c r="E10840" s="10"/>
      <c r="F10840" s="10"/>
      <c r="G10840" s="10"/>
      <c r="H10840" s="10"/>
      <c r="I10840" s="10"/>
      <c r="J10840" s="10"/>
      <c r="K10840" s="10"/>
      <c r="L10840" s="10"/>
      <c r="M10840" s="10"/>
      <c r="N10840" s="10"/>
      <c r="O10840" s="10"/>
      <c r="P10840" s="10"/>
      <c r="Q10840" s="10"/>
      <c r="R10840" s="10"/>
      <c r="S10840" s="10"/>
      <c r="T10840" s="10"/>
      <c r="U10840" s="10"/>
      <c r="V10840" s="10"/>
      <c r="W10840" s="10"/>
      <c r="X10840" s="10"/>
      <c r="Y10840" s="10"/>
      <c r="Z10840" s="10"/>
    </row>
    <row r="10841" spans="1:26" ht="12.75">
      <c r="A10841" s="10"/>
      <c r="B10841" s="10"/>
      <c r="C10841" s="10"/>
      <c r="D10841" s="10"/>
      <c r="E10841" s="10"/>
      <c r="F10841" s="10"/>
      <c r="G10841" s="10"/>
      <c r="H10841" s="10"/>
      <c r="I10841" s="10"/>
      <c r="J10841" s="10"/>
      <c r="K10841" s="10"/>
      <c r="L10841" s="10"/>
      <c r="M10841" s="10"/>
      <c r="N10841" s="10"/>
      <c r="O10841" s="10"/>
      <c r="P10841" s="10"/>
      <c r="Q10841" s="10"/>
      <c r="R10841" s="10"/>
      <c r="S10841" s="10"/>
      <c r="T10841" s="10"/>
      <c r="U10841" s="10"/>
      <c r="V10841" s="10"/>
      <c r="W10841" s="10"/>
      <c r="X10841" s="10"/>
      <c r="Y10841" s="10"/>
      <c r="Z10841" s="10"/>
    </row>
    <row r="10842" spans="1:26" ht="12.75">
      <c r="A10842" s="10"/>
      <c r="B10842" s="10"/>
      <c r="C10842" s="10"/>
      <c r="D10842" s="10"/>
      <c r="E10842" s="10"/>
      <c r="F10842" s="10"/>
      <c r="G10842" s="10"/>
      <c r="H10842" s="10"/>
      <c r="I10842" s="10"/>
      <c r="J10842" s="10"/>
      <c r="K10842" s="10"/>
      <c r="L10842" s="10"/>
      <c r="M10842" s="10"/>
      <c r="N10842" s="10"/>
      <c r="O10842" s="10"/>
      <c r="P10842" s="10"/>
      <c r="Q10842" s="10"/>
      <c r="R10842" s="10"/>
      <c r="S10842" s="10"/>
      <c r="T10842" s="10"/>
      <c r="U10842" s="10"/>
      <c r="V10842" s="10"/>
      <c r="W10842" s="10"/>
      <c r="X10842" s="10"/>
      <c r="Y10842" s="10"/>
      <c r="Z10842" s="10"/>
    </row>
    <row r="10843" spans="1:26" ht="12.75">
      <c r="A10843" s="10"/>
      <c r="B10843" s="10"/>
      <c r="C10843" s="10"/>
      <c r="D10843" s="10"/>
      <c r="E10843" s="10"/>
      <c r="F10843" s="10"/>
      <c r="G10843" s="10"/>
      <c r="H10843" s="10"/>
      <c r="I10843" s="10"/>
      <c r="J10843" s="10"/>
      <c r="K10843" s="10"/>
      <c r="L10843" s="10"/>
      <c r="M10843" s="10"/>
      <c r="N10843" s="10"/>
      <c r="O10843" s="10"/>
      <c r="P10843" s="10"/>
      <c r="Q10843" s="10"/>
      <c r="R10843" s="10"/>
      <c r="S10843" s="10"/>
      <c r="T10843" s="10"/>
      <c r="U10843" s="10"/>
      <c r="V10843" s="10"/>
      <c r="W10843" s="10"/>
      <c r="X10843" s="10"/>
      <c r="Y10843" s="10"/>
      <c r="Z10843" s="10"/>
    </row>
    <row r="10844" spans="1:26" ht="12.75">
      <c r="A10844" s="10"/>
      <c r="B10844" s="10"/>
      <c r="C10844" s="10"/>
      <c r="D10844" s="10"/>
      <c r="E10844" s="10"/>
      <c r="F10844" s="10"/>
      <c r="G10844" s="10"/>
      <c r="H10844" s="10"/>
      <c r="I10844" s="10"/>
      <c r="J10844" s="10"/>
      <c r="K10844" s="10"/>
      <c r="L10844" s="10"/>
      <c r="M10844" s="10"/>
      <c r="N10844" s="10"/>
      <c r="O10844" s="10"/>
      <c r="P10844" s="10"/>
      <c r="Q10844" s="10"/>
      <c r="R10844" s="10"/>
      <c r="S10844" s="10"/>
      <c r="T10844" s="10"/>
      <c r="U10844" s="10"/>
      <c r="V10844" s="10"/>
      <c r="W10844" s="10"/>
      <c r="X10844" s="10"/>
      <c r="Y10844" s="10"/>
      <c r="Z10844" s="10"/>
    </row>
    <row r="10845" spans="1:26" ht="12.75">
      <c r="A10845" s="10"/>
      <c r="B10845" s="10"/>
      <c r="C10845" s="10"/>
      <c r="D10845" s="10"/>
      <c r="E10845" s="10"/>
      <c r="F10845" s="10"/>
      <c r="G10845" s="10"/>
      <c r="H10845" s="10"/>
      <c r="I10845" s="10"/>
      <c r="J10845" s="10"/>
      <c r="K10845" s="10"/>
      <c r="L10845" s="10"/>
      <c r="M10845" s="10"/>
      <c r="N10845" s="10"/>
      <c r="O10845" s="10"/>
      <c r="P10845" s="10"/>
      <c r="Q10845" s="10"/>
      <c r="R10845" s="10"/>
      <c r="S10845" s="10"/>
      <c r="T10845" s="10"/>
      <c r="U10845" s="10"/>
      <c r="V10845" s="10"/>
      <c r="W10845" s="10"/>
      <c r="X10845" s="10"/>
      <c r="Y10845" s="10"/>
      <c r="Z10845" s="10"/>
    </row>
    <row r="10846" spans="1:26" ht="12.75">
      <c r="A10846" s="10"/>
      <c r="B10846" s="10"/>
      <c r="C10846" s="10"/>
      <c r="D10846" s="10"/>
      <c r="E10846" s="10"/>
      <c r="F10846" s="10"/>
      <c r="G10846" s="10"/>
      <c r="H10846" s="10"/>
      <c r="I10846" s="10"/>
      <c r="J10846" s="10"/>
      <c r="K10846" s="10"/>
      <c r="L10846" s="10"/>
      <c r="M10846" s="10"/>
      <c r="N10846" s="10"/>
      <c r="O10846" s="10"/>
      <c r="P10846" s="10"/>
      <c r="Q10846" s="10"/>
      <c r="R10846" s="10"/>
      <c r="S10846" s="10"/>
      <c r="T10846" s="10"/>
      <c r="U10846" s="10"/>
      <c r="V10846" s="10"/>
      <c r="W10846" s="10"/>
      <c r="X10846" s="10"/>
      <c r="Y10846" s="10"/>
      <c r="Z10846" s="10"/>
    </row>
    <row r="10847" spans="1:26" ht="12.75">
      <c r="A10847" s="10"/>
      <c r="B10847" s="10"/>
      <c r="C10847" s="10"/>
      <c r="D10847" s="10"/>
      <c r="E10847" s="10"/>
      <c r="F10847" s="10"/>
      <c r="G10847" s="10"/>
      <c r="H10847" s="10"/>
      <c r="I10847" s="10"/>
      <c r="J10847" s="10"/>
      <c r="K10847" s="10"/>
      <c r="L10847" s="10"/>
      <c r="M10847" s="10"/>
      <c r="N10847" s="10"/>
      <c r="O10847" s="10"/>
      <c r="P10847" s="10"/>
      <c r="Q10847" s="10"/>
      <c r="R10847" s="10"/>
      <c r="S10847" s="10"/>
      <c r="T10847" s="10"/>
      <c r="U10847" s="10"/>
      <c r="V10847" s="10"/>
      <c r="W10847" s="10"/>
      <c r="X10847" s="10"/>
      <c r="Y10847" s="10"/>
      <c r="Z10847" s="10"/>
    </row>
    <row r="10848" spans="1:26" ht="12.75">
      <c r="A10848" s="10"/>
      <c r="B10848" s="10"/>
      <c r="C10848" s="10"/>
      <c r="D10848" s="10"/>
      <c r="E10848" s="10"/>
      <c r="F10848" s="10"/>
      <c r="G10848" s="10"/>
      <c r="H10848" s="10"/>
      <c r="I10848" s="10"/>
      <c r="J10848" s="10"/>
      <c r="K10848" s="10"/>
      <c r="L10848" s="10"/>
      <c r="M10848" s="10"/>
      <c r="N10848" s="10"/>
      <c r="O10848" s="10"/>
      <c r="P10848" s="10"/>
      <c r="Q10848" s="10"/>
      <c r="R10848" s="10"/>
      <c r="S10848" s="10"/>
      <c r="T10848" s="10"/>
      <c r="U10848" s="10"/>
      <c r="V10848" s="10"/>
      <c r="W10848" s="10"/>
      <c r="X10848" s="10"/>
      <c r="Y10848" s="10"/>
      <c r="Z10848" s="10"/>
    </row>
    <row r="10849" spans="1:26" ht="12.75">
      <c r="A10849" s="10"/>
      <c r="B10849" s="10"/>
      <c r="C10849" s="10"/>
      <c r="D10849" s="10"/>
      <c r="E10849" s="10"/>
      <c r="F10849" s="10"/>
      <c r="G10849" s="10"/>
      <c r="H10849" s="10"/>
      <c r="I10849" s="10"/>
      <c r="J10849" s="10"/>
      <c r="K10849" s="10"/>
      <c r="L10849" s="10"/>
      <c r="M10849" s="10"/>
      <c r="N10849" s="10"/>
      <c r="O10849" s="10"/>
      <c r="P10849" s="10"/>
      <c r="Q10849" s="10"/>
      <c r="R10849" s="10"/>
      <c r="S10849" s="10"/>
      <c r="T10849" s="10"/>
      <c r="U10849" s="10"/>
      <c r="V10849" s="10"/>
      <c r="W10849" s="10"/>
      <c r="X10849" s="10"/>
      <c r="Y10849" s="10"/>
      <c r="Z10849" s="10"/>
    </row>
    <row r="10850" spans="1:26" ht="12.75">
      <c r="A10850" s="10"/>
      <c r="B10850" s="10"/>
      <c r="C10850" s="10"/>
      <c r="D10850" s="10"/>
      <c r="E10850" s="10"/>
      <c r="F10850" s="10"/>
      <c r="G10850" s="10"/>
      <c r="H10850" s="10"/>
      <c r="I10850" s="10"/>
      <c r="J10850" s="10"/>
      <c r="K10850" s="10"/>
      <c r="L10850" s="10"/>
      <c r="M10850" s="10"/>
      <c r="N10850" s="10"/>
      <c r="O10850" s="10"/>
      <c r="P10850" s="10"/>
      <c r="Q10850" s="10"/>
      <c r="R10850" s="10"/>
      <c r="S10850" s="10"/>
      <c r="T10850" s="10"/>
      <c r="U10850" s="10"/>
      <c r="V10850" s="10"/>
      <c r="W10850" s="10"/>
      <c r="X10850" s="10"/>
      <c r="Y10850" s="10"/>
      <c r="Z10850" s="10"/>
    </row>
    <row r="10851" spans="1:26" ht="12.75">
      <c r="A10851" s="10"/>
      <c r="B10851" s="10"/>
      <c r="C10851" s="10"/>
      <c r="D10851" s="10"/>
      <c r="E10851" s="10"/>
      <c r="F10851" s="10"/>
      <c r="G10851" s="10"/>
      <c r="H10851" s="10"/>
      <c r="I10851" s="10"/>
      <c r="J10851" s="10"/>
      <c r="K10851" s="10"/>
      <c r="L10851" s="10"/>
      <c r="M10851" s="10"/>
      <c r="N10851" s="10"/>
      <c r="O10851" s="10"/>
      <c r="P10851" s="10"/>
      <c r="Q10851" s="10"/>
      <c r="R10851" s="10"/>
      <c r="S10851" s="10"/>
      <c r="T10851" s="10"/>
      <c r="U10851" s="10"/>
      <c r="V10851" s="10"/>
      <c r="W10851" s="10"/>
      <c r="X10851" s="10"/>
      <c r="Y10851" s="10"/>
      <c r="Z10851" s="10"/>
    </row>
    <row r="10852" spans="1:26" ht="12.75">
      <c r="A10852" s="10"/>
      <c r="B10852" s="10"/>
      <c r="C10852" s="10"/>
      <c r="D10852" s="10"/>
      <c r="E10852" s="10"/>
      <c r="F10852" s="10"/>
      <c r="G10852" s="10"/>
      <c r="H10852" s="10"/>
      <c r="I10852" s="10"/>
      <c r="J10852" s="10"/>
      <c r="K10852" s="10"/>
      <c r="L10852" s="10"/>
      <c r="M10852" s="10"/>
      <c r="N10852" s="10"/>
      <c r="O10852" s="10"/>
      <c r="P10852" s="10"/>
      <c r="Q10852" s="10"/>
      <c r="R10852" s="10"/>
      <c r="S10852" s="10"/>
      <c r="T10852" s="10"/>
      <c r="U10852" s="10"/>
      <c r="V10852" s="10"/>
      <c r="W10852" s="10"/>
      <c r="X10852" s="10"/>
      <c r="Y10852" s="10"/>
      <c r="Z10852" s="10"/>
    </row>
    <row r="10853" spans="1:26" ht="12.75">
      <c r="A10853" s="10"/>
      <c r="B10853" s="10"/>
      <c r="C10853" s="10"/>
      <c r="D10853" s="10"/>
      <c r="E10853" s="10"/>
      <c r="F10853" s="10"/>
      <c r="G10853" s="10"/>
      <c r="H10853" s="10"/>
      <c r="I10853" s="10"/>
      <c r="J10853" s="10"/>
      <c r="K10853" s="10"/>
      <c r="L10853" s="10"/>
      <c r="M10853" s="10"/>
      <c r="N10853" s="10"/>
      <c r="O10853" s="10"/>
      <c r="P10853" s="10"/>
      <c r="Q10853" s="10"/>
      <c r="R10853" s="10"/>
      <c r="S10853" s="10"/>
      <c r="T10853" s="10"/>
      <c r="U10853" s="10"/>
      <c r="V10853" s="10"/>
      <c r="W10853" s="10"/>
      <c r="X10853" s="10"/>
      <c r="Y10853" s="10"/>
      <c r="Z10853" s="10"/>
    </row>
    <row r="10854" spans="1:26" ht="12.75">
      <c r="A10854" s="10"/>
      <c r="B10854" s="10"/>
      <c r="C10854" s="10"/>
      <c r="D10854" s="10"/>
      <c r="E10854" s="10"/>
      <c r="F10854" s="10"/>
      <c r="G10854" s="10"/>
      <c r="H10854" s="10"/>
      <c r="I10854" s="10"/>
      <c r="J10854" s="10"/>
      <c r="K10854" s="10"/>
      <c r="L10854" s="10"/>
      <c r="M10854" s="10"/>
      <c r="N10854" s="10"/>
      <c r="O10854" s="10"/>
      <c r="P10854" s="10"/>
      <c r="Q10854" s="10"/>
      <c r="R10854" s="10"/>
      <c r="S10854" s="10"/>
      <c r="T10854" s="10"/>
      <c r="U10854" s="10"/>
      <c r="V10854" s="10"/>
      <c r="W10854" s="10"/>
      <c r="X10854" s="10"/>
      <c r="Y10854" s="10"/>
      <c r="Z10854" s="10"/>
    </row>
    <row r="10855" spans="1:26" ht="12.75">
      <c r="A10855" s="10"/>
      <c r="B10855" s="10"/>
      <c r="C10855" s="10"/>
      <c r="D10855" s="10"/>
      <c r="E10855" s="10"/>
      <c r="F10855" s="10"/>
      <c r="G10855" s="10"/>
      <c r="H10855" s="10"/>
      <c r="I10855" s="10"/>
      <c r="J10855" s="10"/>
      <c r="K10855" s="10"/>
      <c r="L10855" s="10"/>
      <c r="M10855" s="10"/>
      <c r="N10855" s="10"/>
      <c r="O10855" s="10"/>
      <c r="P10855" s="10"/>
      <c r="Q10855" s="10"/>
      <c r="R10855" s="10"/>
      <c r="S10855" s="10"/>
      <c r="T10855" s="10"/>
      <c r="U10855" s="10"/>
      <c r="V10855" s="10"/>
      <c r="W10855" s="10"/>
      <c r="X10855" s="10"/>
      <c r="Y10855" s="10"/>
      <c r="Z10855" s="10"/>
    </row>
    <row r="10856" spans="1:26" ht="12.75">
      <c r="A10856" s="10"/>
      <c r="B10856" s="10"/>
      <c r="C10856" s="10"/>
      <c r="D10856" s="10"/>
      <c r="E10856" s="10"/>
      <c r="F10856" s="10"/>
      <c r="G10856" s="10"/>
      <c r="H10856" s="10"/>
      <c r="I10856" s="10"/>
      <c r="J10856" s="10"/>
      <c r="K10856" s="10"/>
      <c r="L10856" s="10"/>
      <c r="M10856" s="10"/>
      <c r="N10856" s="10"/>
      <c r="O10856" s="10"/>
      <c r="P10856" s="10"/>
      <c r="Q10856" s="10"/>
      <c r="R10856" s="10"/>
      <c r="S10856" s="10"/>
      <c r="T10856" s="10"/>
      <c r="U10856" s="10"/>
      <c r="V10856" s="10"/>
      <c r="W10856" s="10"/>
      <c r="X10856" s="10"/>
      <c r="Y10856" s="10"/>
      <c r="Z10856" s="10"/>
    </row>
    <row r="10857" spans="1:26" ht="12.75">
      <c r="A10857" s="10"/>
      <c r="B10857" s="10"/>
      <c r="C10857" s="10"/>
      <c r="D10857" s="10"/>
      <c r="E10857" s="10"/>
      <c r="F10857" s="10"/>
      <c r="G10857" s="10"/>
      <c r="H10857" s="10"/>
      <c r="I10857" s="10"/>
      <c r="J10857" s="10"/>
      <c r="K10857" s="10"/>
      <c r="L10857" s="10"/>
      <c r="M10857" s="10"/>
      <c r="N10857" s="10"/>
      <c r="O10857" s="10"/>
      <c r="P10857" s="10"/>
      <c r="Q10857" s="10"/>
      <c r="R10857" s="10"/>
      <c r="S10857" s="10"/>
      <c r="T10857" s="10"/>
      <c r="U10857" s="10"/>
      <c r="V10857" s="10"/>
      <c r="W10857" s="10"/>
      <c r="X10857" s="10"/>
      <c r="Y10857" s="10"/>
      <c r="Z10857" s="10"/>
    </row>
    <row r="10858" spans="1:26" ht="12.75">
      <c r="A10858" s="10"/>
      <c r="B10858" s="10"/>
      <c r="C10858" s="10"/>
      <c r="D10858" s="10"/>
      <c r="E10858" s="10"/>
      <c r="F10858" s="10"/>
      <c r="G10858" s="10"/>
      <c r="H10858" s="10"/>
      <c r="I10858" s="10"/>
      <c r="J10858" s="10"/>
      <c r="K10858" s="10"/>
      <c r="L10858" s="10"/>
      <c r="M10858" s="10"/>
      <c r="N10858" s="10"/>
      <c r="O10858" s="10"/>
      <c r="P10858" s="10"/>
      <c r="Q10858" s="10"/>
      <c r="R10858" s="10"/>
      <c r="S10858" s="10"/>
      <c r="T10858" s="10"/>
      <c r="U10858" s="10"/>
      <c r="V10858" s="10"/>
      <c r="W10858" s="10"/>
      <c r="X10858" s="10"/>
      <c r="Y10858" s="10"/>
      <c r="Z10858" s="10"/>
    </row>
    <row r="10859" spans="1:26" ht="12.75">
      <c r="A10859" s="10"/>
      <c r="B10859" s="10"/>
      <c r="C10859" s="10"/>
      <c r="D10859" s="10"/>
      <c r="E10859" s="10"/>
      <c r="F10859" s="10"/>
      <c r="G10859" s="10"/>
      <c r="H10859" s="10"/>
      <c r="I10859" s="10"/>
      <c r="J10859" s="10"/>
      <c r="K10859" s="10"/>
      <c r="L10859" s="10"/>
      <c r="M10859" s="10"/>
      <c r="N10859" s="10"/>
      <c r="O10859" s="10"/>
      <c r="P10859" s="10"/>
      <c r="Q10859" s="10"/>
      <c r="R10859" s="10"/>
      <c r="S10859" s="10"/>
      <c r="T10859" s="10"/>
      <c r="U10859" s="10"/>
      <c r="V10859" s="10"/>
      <c r="W10859" s="10"/>
      <c r="X10859" s="10"/>
      <c r="Y10859" s="10"/>
      <c r="Z10859" s="10"/>
    </row>
    <row r="10860" spans="1:26" ht="12.75">
      <c r="A10860" s="10"/>
      <c r="B10860" s="10"/>
      <c r="C10860" s="10"/>
      <c r="D10860" s="10"/>
      <c r="E10860" s="10"/>
      <c r="F10860" s="10"/>
      <c r="G10860" s="10"/>
      <c r="H10860" s="10"/>
      <c r="I10860" s="10"/>
      <c r="J10860" s="10"/>
      <c r="K10860" s="10"/>
      <c r="L10860" s="10"/>
      <c r="M10860" s="10"/>
      <c r="N10860" s="10"/>
      <c r="O10860" s="10"/>
      <c r="P10860" s="10"/>
      <c r="Q10860" s="10"/>
      <c r="R10860" s="10"/>
      <c r="S10860" s="10"/>
      <c r="T10860" s="10"/>
      <c r="U10860" s="10"/>
      <c r="V10860" s="10"/>
      <c r="W10860" s="10"/>
      <c r="X10860" s="10"/>
      <c r="Y10860" s="10"/>
      <c r="Z10860" s="10"/>
    </row>
    <row r="10861" spans="1:26" ht="12.75">
      <c r="A10861" s="10"/>
      <c r="B10861" s="10"/>
      <c r="C10861" s="10"/>
      <c r="D10861" s="10"/>
      <c r="E10861" s="10"/>
      <c r="F10861" s="10"/>
      <c r="G10861" s="10"/>
      <c r="H10861" s="10"/>
      <c r="I10861" s="10"/>
      <c r="J10861" s="10"/>
      <c r="K10861" s="10"/>
      <c r="L10861" s="10"/>
      <c r="M10861" s="10"/>
      <c r="N10861" s="10"/>
      <c r="O10861" s="10"/>
      <c r="P10861" s="10"/>
      <c r="Q10861" s="10"/>
      <c r="R10861" s="10"/>
      <c r="S10861" s="10"/>
      <c r="T10861" s="10"/>
      <c r="U10861" s="10"/>
      <c r="V10861" s="10"/>
      <c r="W10861" s="10"/>
      <c r="X10861" s="10"/>
      <c r="Y10861" s="10"/>
      <c r="Z10861" s="10"/>
    </row>
    <row r="10862" spans="1:26" ht="12.75">
      <c r="A10862" s="10"/>
      <c r="B10862" s="10"/>
      <c r="C10862" s="10"/>
      <c r="D10862" s="10"/>
      <c r="E10862" s="10"/>
      <c r="F10862" s="10"/>
      <c r="G10862" s="10"/>
      <c r="H10862" s="10"/>
      <c r="I10862" s="10"/>
      <c r="J10862" s="10"/>
      <c r="K10862" s="10"/>
      <c r="L10862" s="10"/>
      <c r="M10862" s="10"/>
      <c r="N10862" s="10"/>
      <c r="O10862" s="10"/>
      <c r="P10862" s="10"/>
      <c r="Q10862" s="10"/>
      <c r="R10862" s="10"/>
      <c r="S10862" s="10"/>
      <c r="T10862" s="10"/>
      <c r="U10862" s="10"/>
      <c r="V10862" s="10"/>
      <c r="W10862" s="10"/>
      <c r="X10862" s="10"/>
      <c r="Y10862" s="10"/>
      <c r="Z10862" s="10"/>
    </row>
    <row r="10863" spans="1:26" ht="12.75">
      <c r="A10863" s="10"/>
      <c r="B10863" s="10"/>
      <c r="C10863" s="10"/>
      <c r="D10863" s="10"/>
      <c r="E10863" s="10"/>
      <c r="F10863" s="10"/>
      <c r="G10863" s="10"/>
      <c r="H10863" s="10"/>
      <c r="I10863" s="10"/>
      <c r="J10863" s="10"/>
      <c r="K10863" s="10"/>
      <c r="L10863" s="10"/>
      <c r="M10863" s="10"/>
      <c r="N10863" s="10"/>
      <c r="O10863" s="10"/>
      <c r="P10863" s="10"/>
      <c r="Q10863" s="10"/>
      <c r="R10863" s="10"/>
      <c r="S10863" s="10"/>
      <c r="T10863" s="10"/>
      <c r="U10863" s="10"/>
      <c r="V10863" s="10"/>
      <c r="W10863" s="10"/>
      <c r="X10863" s="10"/>
      <c r="Y10863" s="10"/>
      <c r="Z10863" s="10"/>
    </row>
    <row r="10864" spans="1:26" ht="12.75">
      <c r="A10864" s="10"/>
      <c r="B10864" s="10"/>
      <c r="C10864" s="10"/>
      <c r="D10864" s="10"/>
      <c r="E10864" s="10"/>
      <c r="F10864" s="10"/>
      <c r="G10864" s="10"/>
      <c r="H10864" s="10"/>
      <c r="I10864" s="10"/>
      <c r="J10864" s="10"/>
      <c r="K10864" s="10"/>
      <c r="L10864" s="10"/>
      <c r="M10864" s="10"/>
      <c r="N10864" s="10"/>
      <c r="O10864" s="10"/>
      <c r="P10864" s="10"/>
      <c r="Q10864" s="10"/>
      <c r="R10864" s="10"/>
      <c r="S10864" s="10"/>
      <c r="T10864" s="10"/>
      <c r="U10864" s="10"/>
      <c r="V10864" s="10"/>
      <c r="W10864" s="10"/>
      <c r="X10864" s="10"/>
      <c r="Y10864" s="10"/>
      <c r="Z10864" s="10"/>
    </row>
    <row r="10865" spans="1:26" ht="12.75">
      <c r="A10865" s="10"/>
      <c r="B10865" s="10"/>
      <c r="C10865" s="10"/>
      <c r="D10865" s="10"/>
      <c r="E10865" s="10"/>
      <c r="F10865" s="10"/>
      <c r="G10865" s="10"/>
      <c r="H10865" s="10"/>
      <c r="I10865" s="10"/>
      <c r="J10865" s="10"/>
      <c r="K10865" s="10"/>
      <c r="L10865" s="10"/>
      <c r="M10865" s="10"/>
      <c r="N10865" s="10"/>
      <c r="O10865" s="10"/>
      <c r="P10865" s="10"/>
      <c r="Q10865" s="10"/>
      <c r="R10865" s="10"/>
      <c r="S10865" s="10"/>
      <c r="T10865" s="10"/>
      <c r="U10865" s="10"/>
      <c r="V10865" s="10"/>
      <c r="W10865" s="10"/>
      <c r="X10865" s="10"/>
      <c r="Y10865" s="10"/>
      <c r="Z10865" s="10"/>
    </row>
    <row r="10866" spans="1:26" ht="12.75">
      <c r="A10866" s="10"/>
      <c r="B10866" s="10"/>
      <c r="C10866" s="10"/>
      <c r="D10866" s="10"/>
      <c r="E10866" s="10"/>
      <c r="F10866" s="10"/>
      <c r="G10866" s="10"/>
      <c r="H10866" s="10"/>
      <c r="I10866" s="10"/>
      <c r="J10866" s="10"/>
      <c r="K10866" s="10"/>
      <c r="L10866" s="10"/>
      <c r="M10866" s="10"/>
      <c r="N10866" s="10"/>
      <c r="O10866" s="10"/>
      <c r="P10866" s="10"/>
      <c r="Q10866" s="10"/>
      <c r="R10866" s="10"/>
      <c r="S10866" s="10"/>
      <c r="T10866" s="10"/>
      <c r="U10866" s="10"/>
      <c r="V10866" s="10"/>
      <c r="W10866" s="10"/>
      <c r="X10866" s="10"/>
      <c r="Y10866" s="10"/>
      <c r="Z10866" s="10"/>
    </row>
    <row r="10867" spans="1:26" ht="12.75">
      <c r="A10867" s="10"/>
      <c r="B10867" s="10"/>
      <c r="C10867" s="10"/>
      <c r="D10867" s="10"/>
      <c r="E10867" s="10"/>
      <c r="F10867" s="10"/>
      <c r="G10867" s="10"/>
      <c r="H10867" s="10"/>
      <c r="I10867" s="10"/>
      <c r="J10867" s="10"/>
      <c r="K10867" s="10"/>
      <c r="L10867" s="10"/>
      <c r="M10867" s="10"/>
      <c r="N10867" s="10"/>
      <c r="O10867" s="10"/>
      <c r="P10867" s="10"/>
      <c r="Q10867" s="10"/>
      <c r="R10867" s="10"/>
      <c r="S10867" s="10"/>
      <c r="T10867" s="10"/>
      <c r="U10867" s="10"/>
      <c r="V10867" s="10"/>
      <c r="W10867" s="10"/>
      <c r="X10867" s="10"/>
      <c r="Y10867" s="10"/>
      <c r="Z10867" s="10"/>
    </row>
    <row r="10868" spans="1:26" ht="12.75">
      <c r="A10868" s="10"/>
      <c r="B10868" s="10"/>
      <c r="C10868" s="10"/>
      <c r="D10868" s="10"/>
      <c r="E10868" s="10"/>
      <c r="F10868" s="10"/>
      <c r="G10868" s="10"/>
      <c r="H10868" s="10"/>
      <c r="I10868" s="10"/>
      <c r="J10868" s="10"/>
      <c r="K10868" s="10"/>
      <c r="L10868" s="10"/>
      <c r="M10868" s="10"/>
      <c r="N10868" s="10"/>
      <c r="O10868" s="10"/>
      <c r="P10868" s="10"/>
      <c r="Q10868" s="10"/>
      <c r="R10868" s="10"/>
      <c r="S10868" s="10"/>
      <c r="T10868" s="10"/>
      <c r="U10868" s="10"/>
      <c r="V10868" s="10"/>
      <c r="W10868" s="10"/>
      <c r="X10868" s="10"/>
      <c r="Y10868" s="10"/>
      <c r="Z10868" s="10"/>
    </row>
    <row r="10869" spans="1:26" ht="12.75">
      <c r="A10869" s="10"/>
      <c r="B10869" s="10"/>
      <c r="C10869" s="10"/>
      <c r="D10869" s="10"/>
      <c r="E10869" s="10"/>
      <c r="F10869" s="10"/>
      <c r="G10869" s="10"/>
      <c r="H10869" s="10"/>
      <c r="I10869" s="10"/>
      <c r="J10869" s="10"/>
      <c r="K10869" s="10"/>
      <c r="L10869" s="10"/>
      <c r="M10869" s="10"/>
      <c r="N10869" s="10"/>
      <c r="O10869" s="10"/>
      <c r="P10869" s="10"/>
      <c r="Q10869" s="10"/>
      <c r="R10869" s="10"/>
      <c r="S10869" s="10"/>
      <c r="T10869" s="10"/>
      <c r="U10869" s="10"/>
      <c r="V10869" s="10"/>
      <c r="W10869" s="10"/>
      <c r="X10869" s="10"/>
      <c r="Y10869" s="10"/>
      <c r="Z10869" s="10"/>
    </row>
    <row r="10870" spans="1:26" ht="12.75">
      <c r="A10870" s="10"/>
      <c r="B10870" s="10"/>
      <c r="C10870" s="10"/>
      <c r="D10870" s="10"/>
      <c r="E10870" s="10"/>
      <c r="F10870" s="10"/>
      <c r="G10870" s="10"/>
      <c r="H10870" s="10"/>
      <c r="I10870" s="10"/>
      <c r="J10870" s="10"/>
      <c r="K10870" s="10"/>
      <c r="L10870" s="10"/>
      <c r="M10870" s="10"/>
      <c r="N10870" s="10"/>
      <c r="O10870" s="10"/>
      <c r="P10870" s="10"/>
      <c r="Q10870" s="10"/>
      <c r="R10870" s="10"/>
      <c r="S10870" s="10"/>
      <c r="T10870" s="10"/>
      <c r="U10870" s="10"/>
      <c r="V10870" s="10"/>
      <c r="W10870" s="10"/>
      <c r="X10870" s="10"/>
      <c r="Y10870" s="10"/>
      <c r="Z10870" s="10"/>
    </row>
    <row r="10871" spans="1:26" ht="12.75">
      <c r="A10871" s="10"/>
      <c r="B10871" s="10"/>
      <c r="C10871" s="10"/>
      <c r="D10871" s="10"/>
      <c r="E10871" s="10"/>
      <c r="F10871" s="10"/>
      <c r="G10871" s="10"/>
      <c r="H10871" s="10"/>
      <c r="I10871" s="10"/>
      <c r="J10871" s="10"/>
      <c r="K10871" s="10"/>
      <c r="L10871" s="10"/>
      <c r="M10871" s="10"/>
      <c r="N10871" s="10"/>
      <c r="O10871" s="10"/>
      <c r="P10871" s="10"/>
      <c r="Q10871" s="10"/>
      <c r="R10871" s="10"/>
      <c r="S10871" s="10"/>
      <c r="T10871" s="10"/>
      <c r="U10871" s="10"/>
      <c r="V10871" s="10"/>
      <c r="W10871" s="10"/>
      <c r="X10871" s="10"/>
      <c r="Y10871" s="10"/>
      <c r="Z10871" s="10"/>
    </row>
    <row r="10872" spans="1:26" ht="12.75">
      <c r="A10872" s="10"/>
      <c r="B10872" s="10"/>
      <c r="C10872" s="10"/>
      <c r="D10872" s="10"/>
      <c r="E10872" s="10"/>
      <c r="F10872" s="10"/>
      <c r="G10872" s="10"/>
      <c r="H10872" s="10"/>
      <c r="I10872" s="10"/>
      <c r="J10872" s="10"/>
      <c r="K10872" s="10"/>
      <c r="L10872" s="10"/>
      <c r="M10872" s="10"/>
      <c r="N10872" s="10"/>
      <c r="O10872" s="10"/>
      <c r="P10872" s="10"/>
      <c r="Q10872" s="10"/>
      <c r="R10872" s="10"/>
      <c r="S10872" s="10"/>
      <c r="T10872" s="10"/>
      <c r="U10872" s="10"/>
      <c r="V10872" s="10"/>
      <c r="W10872" s="10"/>
      <c r="X10872" s="10"/>
      <c r="Y10872" s="10"/>
      <c r="Z10872" s="10"/>
    </row>
    <row r="10873" spans="1:26" ht="12.75">
      <c r="A10873" s="10"/>
      <c r="B10873" s="10"/>
      <c r="C10873" s="10"/>
      <c r="D10873" s="10"/>
      <c r="E10873" s="10"/>
      <c r="F10873" s="10"/>
      <c r="G10873" s="10"/>
      <c r="H10873" s="10"/>
      <c r="I10873" s="10"/>
      <c r="J10873" s="10"/>
      <c r="K10873" s="10"/>
      <c r="L10873" s="10"/>
      <c r="M10873" s="10"/>
      <c r="N10873" s="10"/>
      <c r="O10873" s="10"/>
      <c r="P10873" s="10"/>
      <c r="Q10873" s="10"/>
      <c r="R10873" s="10"/>
      <c r="S10873" s="10"/>
      <c r="T10873" s="10"/>
      <c r="U10873" s="10"/>
      <c r="V10873" s="10"/>
      <c r="W10873" s="10"/>
      <c r="X10873" s="10"/>
      <c r="Y10873" s="10"/>
      <c r="Z10873" s="10"/>
    </row>
    <row r="10874" spans="1:26" ht="12.75">
      <c r="A10874" s="10"/>
      <c r="B10874" s="10"/>
      <c r="C10874" s="10"/>
      <c r="D10874" s="10"/>
      <c r="E10874" s="10"/>
      <c r="F10874" s="10"/>
      <c r="G10874" s="10"/>
      <c r="H10874" s="10"/>
      <c r="I10874" s="10"/>
      <c r="J10874" s="10"/>
      <c r="K10874" s="10"/>
      <c r="L10874" s="10"/>
      <c r="M10874" s="10"/>
      <c r="N10874" s="10"/>
      <c r="O10874" s="10"/>
      <c r="P10874" s="10"/>
      <c r="Q10874" s="10"/>
      <c r="R10874" s="10"/>
      <c r="S10874" s="10"/>
      <c r="T10874" s="10"/>
      <c r="U10874" s="10"/>
      <c r="V10874" s="10"/>
      <c r="W10874" s="10"/>
      <c r="X10874" s="10"/>
      <c r="Y10874" s="10"/>
      <c r="Z10874" s="10"/>
    </row>
    <row r="10875" spans="1:26" ht="12.75">
      <c r="A10875" s="10"/>
      <c r="B10875" s="10"/>
      <c r="C10875" s="10"/>
      <c r="D10875" s="10"/>
      <c r="E10875" s="10"/>
      <c r="F10875" s="10"/>
      <c r="G10875" s="10"/>
      <c r="H10875" s="10"/>
      <c r="I10875" s="10"/>
      <c r="J10875" s="10"/>
      <c r="K10875" s="10"/>
      <c r="L10875" s="10"/>
      <c r="M10875" s="10"/>
      <c r="N10875" s="10"/>
      <c r="O10875" s="10"/>
      <c r="P10875" s="10"/>
      <c r="Q10875" s="10"/>
      <c r="R10875" s="10"/>
      <c r="S10875" s="10"/>
      <c r="T10875" s="10"/>
      <c r="U10875" s="10"/>
      <c r="V10875" s="10"/>
      <c r="W10875" s="10"/>
      <c r="X10875" s="10"/>
      <c r="Y10875" s="10"/>
      <c r="Z10875" s="10"/>
    </row>
    <row r="10876" spans="1:26" ht="12.75">
      <c r="A10876" s="10"/>
      <c r="B10876" s="10"/>
      <c r="C10876" s="10"/>
      <c r="D10876" s="10"/>
      <c r="E10876" s="10"/>
      <c r="F10876" s="10"/>
      <c r="G10876" s="10"/>
      <c r="H10876" s="10"/>
      <c r="I10876" s="10"/>
      <c r="J10876" s="10"/>
      <c r="K10876" s="10"/>
      <c r="L10876" s="10"/>
      <c r="M10876" s="10"/>
      <c r="N10876" s="10"/>
      <c r="O10876" s="10"/>
      <c r="P10876" s="10"/>
      <c r="Q10876" s="10"/>
      <c r="R10876" s="10"/>
      <c r="S10876" s="10"/>
      <c r="T10876" s="10"/>
      <c r="U10876" s="10"/>
      <c r="V10876" s="10"/>
      <c r="W10876" s="10"/>
      <c r="X10876" s="10"/>
      <c r="Y10876" s="10"/>
      <c r="Z10876" s="10"/>
    </row>
    <row r="10877" spans="1:26" ht="12.75">
      <c r="A10877" s="10"/>
      <c r="B10877" s="10"/>
      <c r="C10877" s="10"/>
      <c r="D10877" s="10"/>
      <c r="E10877" s="10"/>
      <c r="F10877" s="10"/>
      <c r="G10877" s="10"/>
      <c r="H10877" s="10"/>
      <c r="I10877" s="10"/>
      <c r="J10877" s="10"/>
      <c r="K10877" s="10"/>
      <c r="L10877" s="10"/>
      <c r="M10877" s="10"/>
      <c r="N10877" s="10"/>
      <c r="O10877" s="10"/>
      <c r="P10877" s="10"/>
      <c r="Q10877" s="10"/>
      <c r="R10877" s="10"/>
      <c r="S10877" s="10"/>
      <c r="T10877" s="10"/>
      <c r="U10877" s="10"/>
      <c r="V10877" s="10"/>
      <c r="W10877" s="10"/>
      <c r="X10877" s="10"/>
      <c r="Y10877" s="10"/>
      <c r="Z10877" s="10"/>
    </row>
    <row r="10878" spans="1:26" ht="12.75">
      <c r="A10878" s="10"/>
      <c r="B10878" s="10"/>
      <c r="C10878" s="10"/>
      <c r="D10878" s="10"/>
      <c r="E10878" s="10"/>
      <c r="F10878" s="10"/>
      <c r="G10878" s="10"/>
      <c r="H10878" s="10"/>
      <c r="I10878" s="10"/>
      <c r="J10878" s="10"/>
      <c r="K10878" s="10"/>
      <c r="L10878" s="10"/>
      <c r="M10878" s="10"/>
      <c r="N10878" s="10"/>
      <c r="O10878" s="10"/>
      <c r="P10878" s="10"/>
      <c r="Q10878" s="10"/>
      <c r="R10878" s="10"/>
      <c r="S10878" s="10"/>
      <c r="T10878" s="10"/>
      <c r="U10878" s="10"/>
      <c r="V10878" s="10"/>
      <c r="W10878" s="10"/>
      <c r="X10878" s="10"/>
      <c r="Y10878" s="10"/>
      <c r="Z10878" s="10"/>
    </row>
    <row r="10879" spans="1:26" ht="12.75">
      <c r="A10879" s="10"/>
      <c r="B10879" s="10"/>
      <c r="C10879" s="10"/>
      <c r="D10879" s="10"/>
      <c r="E10879" s="10"/>
      <c r="F10879" s="10"/>
      <c r="G10879" s="10"/>
      <c r="H10879" s="10"/>
      <c r="I10879" s="10"/>
      <c r="J10879" s="10"/>
      <c r="K10879" s="10"/>
      <c r="L10879" s="10"/>
      <c r="M10879" s="10"/>
      <c r="N10879" s="10"/>
      <c r="O10879" s="10"/>
      <c r="P10879" s="10"/>
      <c r="Q10879" s="10"/>
      <c r="R10879" s="10"/>
      <c r="S10879" s="10"/>
      <c r="T10879" s="10"/>
      <c r="U10879" s="10"/>
      <c r="V10879" s="10"/>
      <c r="W10879" s="10"/>
      <c r="X10879" s="10"/>
      <c r="Y10879" s="10"/>
      <c r="Z10879" s="10"/>
    </row>
    <row r="10880" spans="1:26" ht="12.75">
      <c r="A10880" s="10"/>
      <c r="B10880" s="10"/>
      <c r="C10880" s="10"/>
      <c r="D10880" s="10"/>
      <c r="E10880" s="10"/>
      <c r="F10880" s="10"/>
      <c r="G10880" s="10"/>
      <c r="H10880" s="10"/>
      <c r="I10880" s="10"/>
      <c r="J10880" s="10"/>
      <c r="K10880" s="10"/>
      <c r="L10880" s="10"/>
      <c r="M10880" s="10"/>
      <c r="N10880" s="10"/>
      <c r="O10880" s="10"/>
      <c r="P10880" s="10"/>
      <c r="Q10880" s="10"/>
      <c r="R10880" s="10"/>
      <c r="S10880" s="10"/>
      <c r="T10880" s="10"/>
      <c r="U10880" s="10"/>
      <c r="V10880" s="10"/>
      <c r="W10880" s="10"/>
      <c r="X10880" s="10"/>
      <c r="Y10880" s="10"/>
      <c r="Z10880" s="10"/>
    </row>
    <row r="10881" spans="1:26" ht="12.75">
      <c r="A10881" s="10"/>
      <c r="B10881" s="10"/>
      <c r="C10881" s="10"/>
      <c r="D10881" s="10"/>
      <c r="E10881" s="10"/>
      <c r="F10881" s="10"/>
      <c r="G10881" s="10"/>
      <c r="H10881" s="10"/>
      <c r="I10881" s="10"/>
      <c r="J10881" s="10"/>
      <c r="K10881" s="10"/>
      <c r="L10881" s="10"/>
      <c r="M10881" s="10"/>
      <c r="N10881" s="10"/>
      <c r="O10881" s="10"/>
      <c r="P10881" s="10"/>
      <c r="Q10881" s="10"/>
      <c r="R10881" s="10"/>
      <c r="S10881" s="10"/>
      <c r="T10881" s="10"/>
      <c r="U10881" s="10"/>
      <c r="V10881" s="10"/>
      <c r="W10881" s="10"/>
      <c r="X10881" s="10"/>
      <c r="Y10881" s="10"/>
      <c r="Z10881" s="10"/>
    </row>
    <row r="10882" spans="1:26" ht="12.75">
      <c r="A10882" s="10"/>
      <c r="B10882" s="10"/>
      <c r="C10882" s="10"/>
      <c r="D10882" s="10"/>
      <c r="E10882" s="10"/>
      <c r="F10882" s="10"/>
      <c r="G10882" s="10"/>
      <c r="H10882" s="10"/>
      <c r="I10882" s="10"/>
      <c r="J10882" s="10"/>
      <c r="K10882" s="10"/>
      <c r="L10882" s="10"/>
      <c r="M10882" s="10"/>
      <c r="N10882" s="10"/>
      <c r="O10882" s="10"/>
      <c r="P10882" s="10"/>
      <c r="Q10882" s="10"/>
      <c r="R10882" s="10"/>
      <c r="S10882" s="10"/>
      <c r="T10882" s="10"/>
      <c r="U10882" s="10"/>
      <c r="V10882" s="10"/>
      <c r="W10882" s="10"/>
      <c r="X10882" s="10"/>
      <c r="Y10882" s="10"/>
      <c r="Z10882" s="10"/>
    </row>
    <row r="10883" spans="1:26" ht="12.75">
      <c r="A10883" s="10"/>
      <c r="B10883" s="10"/>
      <c r="C10883" s="10"/>
      <c r="D10883" s="10"/>
      <c r="E10883" s="10"/>
      <c r="F10883" s="10"/>
      <c r="G10883" s="10"/>
      <c r="H10883" s="10"/>
      <c r="I10883" s="10"/>
      <c r="J10883" s="10"/>
      <c r="K10883" s="10"/>
      <c r="L10883" s="10"/>
      <c r="M10883" s="10"/>
      <c r="N10883" s="10"/>
      <c r="O10883" s="10"/>
      <c r="P10883" s="10"/>
      <c r="Q10883" s="10"/>
      <c r="R10883" s="10"/>
      <c r="S10883" s="10"/>
      <c r="T10883" s="10"/>
      <c r="U10883" s="10"/>
      <c r="V10883" s="10"/>
      <c r="W10883" s="10"/>
      <c r="X10883" s="10"/>
      <c r="Y10883" s="10"/>
      <c r="Z10883" s="10"/>
    </row>
    <row r="10884" spans="1:26" ht="12.75">
      <c r="A10884" s="10"/>
      <c r="B10884" s="10"/>
      <c r="C10884" s="10"/>
      <c r="D10884" s="10"/>
      <c r="E10884" s="10"/>
      <c r="F10884" s="10"/>
      <c r="G10884" s="10"/>
      <c r="H10884" s="10"/>
      <c r="I10884" s="10"/>
      <c r="J10884" s="10"/>
      <c r="K10884" s="10"/>
      <c r="L10884" s="10"/>
      <c r="M10884" s="10"/>
      <c r="N10884" s="10"/>
      <c r="O10884" s="10"/>
      <c r="P10884" s="10"/>
      <c r="Q10884" s="10"/>
      <c r="R10884" s="10"/>
      <c r="S10884" s="10"/>
      <c r="T10884" s="10"/>
      <c r="U10884" s="10"/>
      <c r="V10884" s="10"/>
      <c r="W10884" s="10"/>
      <c r="X10884" s="10"/>
      <c r="Y10884" s="10"/>
      <c r="Z10884" s="10"/>
    </row>
    <row r="10885" spans="1:26" ht="12.75">
      <c r="A10885" s="10"/>
      <c r="B10885" s="10"/>
      <c r="C10885" s="10"/>
      <c r="D10885" s="10"/>
      <c r="E10885" s="10"/>
      <c r="F10885" s="10"/>
      <c r="G10885" s="10"/>
      <c r="H10885" s="10"/>
      <c r="I10885" s="10"/>
      <c r="J10885" s="10"/>
      <c r="K10885" s="10"/>
      <c r="L10885" s="10"/>
      <c r="M10885" s="10"/>
      <c r="N10885" s="10"/>
      <c r="O10885" s="10"/>
      <c r="P10885" s="10"/>
      <c r="Q10885" s="10"/>
      <c r="R10885" s="10"/>
      <c r="S10885" s="10"/>
      <c r="T10885" s="10"/>
      <c r="U10885" s="10"/>
      <c r="V10885" s="10"/>
      <c r="W10885" s="10"/>
      <c r="X10885" s="10"/>
      <c r="Y10885" s="10"/>
      <c r="Z10885" s="10"/>
    </row>
    <row r="10886" spans="1:26" ht="12.75">
      <c r="A10886" s="10"/>
      <c r="B10886" s="10"/>
      <c r="C10886" s="10"/>
      <c r="D10886" s="10"/>
      <c r="E10886" s="10"/>
      <c r="F10886" s="10"/>
      <c r="G10886" s="10"/>
      <c r="H10886" s="10"/>
      <c r="I10886" s="10"/>
      <c r="J10886" s="10"/>
      <c r="K10886" s="10"/>
      <c r="L10886" s="10"/>
      <c r="M10886" s="10"/>
      <c r="N10886" s="10"/>
      <c r="O10886" s="10"/>
      <c r="P10886" s="10"/>
      <c r="Q10886" s="10"/>
      <c r="R10886" s="10"/>
      <c r="S10886" s="10"/>
      <c r="T10886" s="10"/>
      <c r="U10886" s="10"/>
      <c r="V10886" s="10"/>
      <c r="W10886" s="10"/>
      <c r="X10886" s="10"/>
      <c r="Y10886" s="10"/>
      <c r="Z10886" s="10"/>
    </row>
    <row r="10887" spans="1:26" ht="12.75">
      <c r="A10887" s="10"/>
      <c r="B10887" s="10"/>
      <c r="C10887" s="10"/>
      <c r="D10887" s="10"/>
      <c r="E10887" s="10"/>
      <c r="F10887" s="10"/>
      <c r="G10887" s="10"/>
      <c r="H10887" s="10"/>
      <c r="I10887" s="10"/>
      <c r="J10887" s="10"/>
      <c r="K10887" s="10"/>
      <c r="L10887" s="10"/>
      <c r="M10887" s="10"/>
      <c r="N10887" s="10"/>
      <c r="O10887" s="10"/>
      <c r="P10887" s="10"/>
      <c r="Q10887" s="10"/>
      <c r="R10887" s="10"/>
      <c r="S10887" s="10"/>
      <c r="T10887" s="10"/>
      <c r="U10887" s="10"/>
      <c r="V10887" s="10"/>
      <c r="W10887" s="10"/>
      <c r="X10887" s="10"/>
      <c r="Y10887" s="10"/>
      <c r="Z10887" s="10"/>
    </row>
    <row r="10888" spans="1:26" ht="12.75">
      <c r="A10888" s="10"/>
      <c r="B10888" s="10"/>
      <c r="C10888" s="10"/>
      <c r="D10888" s="10"/>
      <c r="E10888" s="10"/>
      <c r="F10888" s="10"/>
      <c r="G10888" s="10"/>
      <c r="H10888" s="10"/>
      <c r="I10888" s="10"/>
      <c r="J10888" s="10"/>
      <c r="K10888" s="10"/>
      <c r="L10888" s="10"/>
      <c r="M10888" s="10"/>
      <c r="N10888" s="10"/>
      <c r="O10888" s="10"/>
      <c r="P10888" s="10"/>
      <c r="Q10888" s="10"/>
      <c r="R10888" s="10"/>
      <c r="S10888" s="10"/>
      <c r="T10888" s="10"/>
      <c r="U10888" s="10"/>
      <c r="V10888" s="10"/>
      <c r="W10888" s="10"/>
      <c r="X10888" s="10"/>
      <c r="Y10888" s="10"/>
      <c r="Z10888" s="10"/>
    </row>
    <row r="10889" spans="1:26" ht="12.75">
      <c r="A10889" s="10"/>
      <c r="B10889" s="10"/>
      <c r="C10889" s="10"/>
      <c r="D10889" s="10"/>
      <c r="E10889" s="10"/>
      <c r="F10889" s="10"/>
      <c r="G10889" s="10"/>
      <c r="H10889" s="10"/>
      <c r="I10889" s="10"/>
      <c r="J10889" s="10"/>
      <c r="K10889" s="10"/>
      <c r="L10889" s="10"/>
      <c r="M10889" s="10"/>
      <c r="N10889" s="10"/>
      <c r="O10889" s="10"/>
      <c r="P10889" s="10"/>
      <c r="Q10889" s="10"/>
      <c r="R10889" s="10"/>
      <c r="S10889" s="10"/>
      <c r="T10889" s="10"/>
      <c r="U10889" s="10"/>
      <c r="V10889" s="10"/>
      <c r="W10889" s="10"/>
      <c r="X10889" s="10"/>
      <c r="Y10889" s="10"/>
      <c r="Z10889" s="10"/>
    </row>
    <row r="10890" spans="1:26" ht="12.75">
      <c r="A10890" s="10"/>
      <c r="B10890" s="10"/>
      <c r="C10890" s="10"/>
      <c r="D10890" s="10"/>
      <c r="E10890" s="10"/>
      <c r="F10890" s="10"/>
      <c r="G10890" s="10"/>
      <c r="H10890" s="10"/>
      <c r="I10890" s="10"/>
      <c r="J10890" s="10"/>
      <c r="K10890" s="10"/>
      <c r="L10890" s="10"/>
      <c r="M10890" s="10"/>
      <c r="N10890" s="10"/>
      <c r="O10890" s="10"/>
      <c r="P10890" s="10"/>
      <c r="Q10890" s="10"/>
      <c r="R10890" s="10"/>
      <c r="S10890" s="10"/>
      <c r="T10890" s="10"/>
      <c r="U10890" s="10"/>
      <c r="V10890" s="10"/>
      <c r="W10890" s="10"/>
      <c r="X10890" s="10"/>
      <c r="Y10890" s="10"/>
      <c r="Z10890" s="10"/>
    </row>
    <row r="10891" spans="1:26" ht="12.75">
      <c r="A10891" s="10"/>
      <c r="B10891" s="10"/>
      <c r="C10891" s="10"/>
      <c r="D10891" s="10"/>
      <c r="E10891" s="10"/>
      <c r="F10891" s="10"/>
      <c r="G10891" s="10"/>
      <c r="H10891" s="10"/>
      <c r="I10891" s="10"/>
      <c r="J10891" s="10"/>
      <c r="K10891" s="10"/>
      <c r="L10891" s="10"/>
      <c r="M10891" s="10"/>
      <c r="N10891" s="10"/>
      <c r="O10891" s="10"/>
      <c r="P10891" s="10"/>
      <c r="Q10891" s="10"/>
      <c r="R10891" s="10"/>
      <c r="S10891" s="10"/>
      <c r="T10891" s="10"/>
      <c r="U10891" s="10"/>
      <c r="V10891" s="10"/>
      <c r="W10891" s="10"/>
      <c r="X10891" s="10"/>
      <c r="Y10891" s="10"/>
      <c r="Z10891" s="10"/>
    </row>
    <row r="10892" spans="1:26" ht="12.75">
      <c r="A10892" s="10"/>
      <c r="B10892" s="10"/>
      <c r="C10892" s="10"/>
      <c r="D10892" s="10"/>
      <c r="E10892" s="10"/>
      <c r="F10892" s="10"/>
      <c r="G10892" s="10"/>
      <c r="H10892" s="10"/>
      <c r="I10892" s="10"/>
      <c r="J10892" s="10"/>
      <c r="K10892" s="10"/>
      <c r="L10892" s="10"/>
      <c r="M10892" s="10"/>
      <c r="N10892" s="10"/>
      <c r="O10892" s="10"/>
      <c r="P10892" s="10"/>
      <c r="Q10892" s="10"/>
      <c r="R10892" s="10"/>
      <c r="S10892" s="10"/>
      <c r="T10892" s="10"/>
      <c r="U10892" s="10"/>
      <c r="V10892" s="10"/>
      <c r="W10892" s="10"/>
      <c r="X10892" s="10"/>
      <c r="Y10892" s="10"/>
      <c r="Z10892" s="10"/>
    </row>
    <row r="10893" spans="1:26" ht="12.75">
      <c r="A10893" s="10"/>
      <c r="B10893" s="10"/>
      <c r="C10893" s="10"/>
      <c r="D10893" s="10"/>
      <c r="E10893" s="10"/>
      <c r="F10893" s="10"/>
      <c r="G10893" s="10"/>
      <c r="H10893" s="10"/>
      <c r="I10893" s="10"/>
      <c r="J10893" s="10"/>
      <c r="K10893" s="10"/>
      <c r="L10893" s="10"/>
      <c r="M10893" s="10"/>
      <c r="N10893" s="10"/>
      <c r="O10893" s="10"/>
      <c r="P10893" s="10"/>
      <c r="Q10893" s="10"/>
      <c r="R10893" s="10"/>
      <c r="S10893" s="10"/>
      <c r="T10893" s="10"/>
      <c r="U10893" s="10"/>
      <c r="V10893" s="10"/>
      <c r="W10893" s="10"/>
      <c r="X10893" s="10"/>
      <c r="Y10893" s="10"/>
      <c r="Z10893" s="10"/>
    </row>
    <row r="10894" spans="1:26" ht="12.75">
      <c r="A10894" s="10"/>
      <c r="B10894" s="10"/>
      <c r="C10894" s="10"/>
      <c r="D10894" s="10"/>
      <c r="E10894" s="10"/>
      <c r="F10894" s="10"/>
      <c r="G10894" s="10"/>
      <c r="H10894" s="10"/>
      <c r="I10894" s="10"/>
      <c r="J10894" s="10"/>
      <c r="K10894" s="10"/>
      <c r="L10894" s="10"/>
      <c r="M10894" s="10"/>
      <c r="N10894" s="10"/>
      <c r="O10894" s="10"/>
      <c r="P10894" s="10"/>
      <c r="Q10894" s="10"/>
      <c r="R10894" s="10"/>
      <c r="S10894" s="10"/>
      <c r="T10894" s="10"/>
      <c r="U10894" s="10"/>
      <c r="V10894" s="10"/>
      <c r="W10894" s="10"/>
      <c r="X10894" s="10"/>
      <c r="Y10894" s="10"/>
      <c r="Z10894" s="10"/>
    </row>
    <row r="10895" spans="1:26" ht="12.75">
      <c r="A10895" s="10"/>
      <c r="B10895" s="10"/>
      <c r="C10895" s="10"/>
      <c r="D10895" s="10"/>
      <c r="E10895" s="10"/>
      <c r="F10895" s="10"/>
      <c r="G10895" s="10"/>
      <c r="H10895" s="10"/>
      <c r="I10895" s="10"/>
      <c r="J10895" s="10"/>
      <c r="K10895" s="10"/>
      <c r="L10895" s="10"/>
      <c r="M10895" s="10"/>
      <c r="N10895" s="10"/>
      <c r="O10895" s="10"/>
      <c r="P10895" s="10"/>
      <c r="Q10895" s="10"/>
      <c r="R10895" s="10"/>
      <c r="S10895" s="10"/>
      <c r="T10895" s="10"/>
      <c r="U10895" s="10"/>
      <c r="V10895" s="10"/>
      <c r="W10895" s="10"/>
      <c r="X10895" s="10"/>
      <c r="Y10895" s="10"/>
      <c r="Z10895" s="10"/>
    </row>
    <row r="10896" spans="1:26" ht="12.75">
      <c r="A10896" s="10"/>
      <c r="B10896" s="10"/>
      <c r="C10896" s="10"/>
      <c r="D10896" s="10"/>
      <c r="E10896" s="10"/>
      <c r="F10896" s="10"/>
      <c r="G10896" s="10"/>
      <c r="H10896" s="10"/>
      <c r="I10896" s="10"/>
      <c r="J10896" s="10"/>
      <c r="K10896" s="10"/>
      <c r="L10896" s="10"/>
      <c r="M10896" s="10"/>
      <c r="N10896" s="10"/>
      <c r="O10896" s="10"/>
      <c r="P10896" s="10"/>
      <c r="Q10896" s="10"/>
      <c r="R10896" s="10"/>
      <c r="S10896" s="10"/>
      <c r="T10896" s="10"/>
      <c r="U10896" s="10"/>
      <c r="V10896" s="10"/>
      <c r="W10896" s="10"/>
      <c r="X10896" s="10"/>
      <c r="Y10896" s="10"/>
      <c r="Z10896" s="10"/>
    </row>
    <row r="10897" spans="1:26" ht="12.75">
      <c r="A10897" s="10"/>
      <c r="B10897" s="10"/>
      <c r="C10897" s="10"/>
      <c r="D10897" s="10"/>
      <c r="E10897" s="10"/>
      <c r="F10897" s="10"/>
      <c r="G10897" s="10"/>
      <c r="H10897" s="10"/>
      <c r="I10897" s="10"/>
      <c r="J10897" s="10"/>
      <c r="K10897" s="10"/>
      <c r="L10897" s="10"/>
      <c r="M10897" s="10"/>
      <c r="N10897" s="10"/>
      <c r="O10897" s="10"/>
      <c r="P10897" s="10"/>
      <c r="Q10897" s="10"/>
      <c r="R10897" s="10"/>
      <c r="S10897" s="10"/>
      <c r="T10897" s="10"/>
      <c r="U10897" s="10"/>
      <c r="V10897" s="10"/>
      <c r="W10897" s="10"/>
      <c r="X10897" s="10"/>
      <c r="Y10897" s="10"/>
      <c r="Z10897" s="10"/>
    </row>
    <row r="10898" spans="1:26" ht="12.75">
      <c r="A10898" s="10"/>
      <c r="B10898" s="10"/>
      <c r="C10898" s="10"/>
      <c r="D10898" s="10"/>
      <c r="E10898" s="10"/>
      <c r="F10898" s="10"/>
      <c r="G10898" s="10"/>
      <c r="H10898" s="10"/>
      <c r="I10898" s="10"/>
      <c r="J10898" s="10"/>
      <c r="K10898" s="10"/>
      <c r="L10898" s="10"/>
      <c r="M10898" s="10"/>
      <c r="N10898" s="10"/>
      <c r="O10898" s="10"/>
      <c r="P10898" s="10"/>
      <c r="Q10898" s="10"/>
      <c r="R10898" s="10"/>
      <c r="S10898" s="10"/>
      <c r="T10898" s="10"/>
      <c r="U10898" s="10"/>
      <c r="V10898" s="10"/>
      <c r="W10898" s="10"/>
      <c r="X10898" s="10"/>
      <c r="Y10898" s="10"/>
      <c r="Z10898" s="10"/>
    </row>
    <row r="10899" spans="1:26" ht="12.75">
      <c r="A10899" s="10"/>
      <c r="B10899" s="10"/>
      <c r="C10899" s="10"/>
      <c r="D10899" s="10"/>
      <c r="E10899" s="10"/>
      <c r="F10899" s="10"/>
      <c r="G10899" s="10"/>
      <c r="H10899" s="10"/>
      <c r="I10899" s="10"/>
      <c r="J10899" s="10"/>
      <c r="K10899" s="10"/>
      <c r="L10899" s="10"/>
      <c r="M10899" s="10"/>
      <c r="N10899" s="10"/>
      <c r="O10899" s="10"/>
      <c r="P10899" s="10"/>
      <c r="Q10899" s="10"/>
      <c r="R10899" s="10"/>
      <c r="S10899" s="10"/>
      <c r="T10899" s="10"/>
      <c r="U10899" s="10"/>
      <c r="V10899" s="10"/>
      <c r="W10899" s="10"/>
      <c r="X10899" s="10"/>
      <c r="Y10899" s="10"/>
      <c r="Z10899" s="10"/>
    </row>
    <row r="10900" spans="1:26" ht="12.75">
      <c r="A10900" s="10"/>
      <c r="B10900" s="10"/>
      <c r="C10900" s="10"/>
      <c r="D10900" s="10"/>
      <c r="E10900" s="10"/>
      <c r="F10900" s="10"/>
      <c r="G10900" s="10"/>
      <c r="H10900" s="10"/>
      <c r="I10900" s="10"/>
      <c r="J10900" s="10"/>
      <c r="K10900" s="10"/>
      <c r="L10900" s="10"/>
      <c r="M10900" s="10"/>
      <c r="N10900" s="10"/>
      <c r="O10900" s="10"/>
      <c r="P10900" s="10"/>
      <c r="Q10900" s="10"/>
      <c r="R10900" s="10"/>
      <c r="S10900" s="10"/>
      <c r="T10900" s="10"/>
      <c r="U10900" s="10"/>
      <c r="V10900" s="10"/>
      <c r="W10900" s="10"/>
      <c r="X10900" s="10"/>
      <c r="Y10900" s="10"/>
      <c r="Z10900" s="10"/>
    </row>
    <row r="10901" spans="1:26" ht="12.75">
      <c r="A10901" s="10"/>
      <c r="B10901" s="10"/>
      <c r="C10901" s="10"/>
      <c r="D10901" s="10"/>
      <c r="E10901" s="10"/>
      <c r="F10901" s="10"/>
      <c r="G10901" s="10"/>
      <c r="H10901" s="10"/>
      <c r="I10901" s="10"/>
      <c r="J10901" s="10"/>
      <c r="K10901" s="10"/>
      <c r="L10901" s="10"/>
      <c r="M10901" s="10"/>
      <c r="N10901" s="10"/>
      <c r="O10901" s="10"/>
      <c r="P10901" s="10"/>
      <c r="Q10901" s="10"/>
      <c r="R10901" s="10"/>
      <c r="S10901" s="10"/>
      <c r="T10901" s="10"/>
      <c r="U10901" s="10"/>
      <c r="V10901" s="10"/>
      <c r="W10901" s="10"/>
      <c r="X10901" s="10"/>
      <c r="Y10901" s="10"/>
      <c r="Z10901" s="10"/>
    </row>
    <row r="10902" spans="1:26" ht="12.75">
      <c r="A10902" s="10"/>
      <c r="B10902" s="10"/>
      <c r="C10902" s="10"/>
      <c r="D10902" s="10"/>
      <c r="E10902" s="10"/>
      <c r="F10902" s="10"/>
      <c r="G10902" s="10"/>
      <c r="H10902" s="10"/>
      <c r="I10902" s="10"/>
      <c r="J10902" s="10"/>
      <c r="K10902" s="10"/>
      <c r="L10902" s="10"/>
      <c r="M10902" s="10"/>
      <c r="N10902" s="10"/>
      <c r="O10902" s="10"/>
      <c r="P10902" s="10"/>
      <c r="Q10902" s="10"/>
      <c r="R10902" s="10"/>
      <c r="S10902" s="10"/>
      <c r="T10902" s="10"/>
      <c r="U10902" s="10"/>
      <c r="V10902" s="10"/>
      <c r="W10902" s="10"/>
      <c r="X10902" s="10"/>
      <c r="Y10902" s="10"/>
      <c r="Z10902" s="10"/>
    </row>
    <row r="10903" spans="1:26" ht="12.75">
      <c r="A10903" s="10"/>
      <c r="B10903" s="10"/>
      <c r="C10903" s="10"/>
      <c r="D10903" s="10"/>
      <c r="E10903" s="10"/>
      <c r="F10903" s="10"/>
      <c r="G10903" s="10"/>
      <c r="H10903" s="10"/>
      <c r="I10903" s="10"/>
      <c r="J10903" s="10"/>
      <c r="K10903" s="10"/>
      <c r="L10903" s="10"/>
      <c r="M10903" s="10"/>
      <c r="N10903" s="10"/>
      <c r="O10903" s="10"/>
      <c r="P10903" s="10"/>
      <c r="Q10903" s="10"/>
      <c r="R10903" s="10"/>
      <c r="S10903" s="10"/>
      <c r="T10903" s="10"/>
      <c r="U10903" s="10"/>
      <c r="V10903" s="10"/>
      <c r="W10903" s="10"/>
      <c r="X10903" s="10"/>
      <c r="Y10903" s="10"/>
      <c r="Z10903" s="10"/>
    </row>
    <row r="10904" spans="1:26" ht="12.75">
      <c r="A10904" s="10"/>
      <c r="B10904" s="10"/>
      <c r="C10904" s="10"/>
      <c r="D10904" s="10"/>
      <c r="E10904" s="10"/>
      <c r="F10904" s="10"/>
      <c r="G10904" s="10"/>
      <c r="H10904" s="10"/>
      <c r="I10904" s="10"/>
      <c r="J10904" s="10"/>
      <c r="K10904" s="10"/>
      <c r="L10904" s="10"/>
      <c r="M10904" s="10"/>
      <c r="N10904" s="10"/>
      <c r="O10904" s="10"/>
      <c r="P10904" s="10"/>
      <c r="Q10904" s="10"/>
      <c r="R10904" s="10"/>
      <c r="S10904" s="10"/>
      <c r="T10904" s="10"/>
      <c r="U10904" s="10"/>
      <c r="V10904" s="10"/>
      <c r="W10904" s="10"/>
      <c r="X10904" s="10"/>
      <c r="Y10904" s="10"/>
      <c r="Z10904" s="10"/>
    </row>
    <row r="10905" spans="1:26" ht="12.75">
      <c r="A10905" s="10"/>
      <c r="B10905" s="10"/>
      <c r="C10905" s="10"/>
      <c r="D10905" s="10"/>
      <c r="E10905" s="10"/>
      <c r="F10905" s="10"/>
      <c r="G10905" s="10"/>
      <c r="H10905" s="10"/>
      <c r="I10905" s="10"/>
      <c r="J10905" s="10"/>
      <c r="K10905" s="10"/>
      <c r="L10905" s="10"/>
      <c r="M10905" s="10"/>
      <c r="N10905" s="10"/>
      <c r="O10905" s="10"/>
      <c r="P10905" s="10"/>
      <c r="Q10905" s="10"/>
      <c r="R10905" s="10"/>
      <c r="S10905" s="10"/>
      <c r="T10905" s="10"/>
      <c r="U10905" s="10"/>
      <c r="V10905" s="10"/>
      <c r="W10905" s="10"/>
      <c r="X10905" s="10"/>
      <c r="Y10905" s="10"/>
      <c r="Z10905" s="10"/>
    </row>
    <row r="10906" spans="1:26" ht="12.75">
      <c r="A10906" s="10"/>
      <c r="B10906" s="10"/>
      <c r="C10906" s="10"/>
      <c r="D10906" s="10"/>
      <c r="E10906" s="10"/>
      <c r="F10906" s="10"/>
      <c r="G10906" s="10"/>
      <c r="H10906" s="10"/>
      <c r="I10906" s="10"/>
      <c r="J10906" s="10"/>
      <c r="K10906" s="10"/>
      <c r="L10906" s="10"/>
      <c r="M10906" s="10"/>
      <c r="N10906" s="10"/>
      <c r="O10906" s="10"/>
      <c r="P10906" s="10"/>
      <c r="Q10906" s="10"/>
      <c r="R10906" s="10"/>
      <c r="S10906" s="10"/>
      <c r="T10906" s="10"/>
      <c r="U10906" s="10"/>
      <c r="V10906" s="10"/>
      <c r="W10906" s="10"/>
      <c r="X10906" s="10"/>
      <c r="Y10906" s="10"/>
      <c r="Z10906" s="10"/>
    </row>
    <row r="10907" spans="1:26" ht="12.75">
      <c r="A10907" s="10"/>
      <c r="B10907" s="10"/>
      <c r="C10907" s="10"/>
      <c r="D10907" s="10"/>
      <c r="E10907" s="10"/>
      <c r="F10907" s="10"/>
      <c r="G10907" s="10"/>
      <c r="H10907" s="10"/>
      <c r="I10907" s="10"/>
      <c r="J10907" s="10"/>
      <c r="K10907" s="10"/>
      <c r="L10907" s="10"/>
      <c r="M10907" s="10"/>
      <c r="N10907" s="10"/>
      <c r="O10907" s="10"/>
      <c r="P10907" s="10"/>
      <c r="Q10907" s="10"/>
      <c r="R10907" s="10"/>
      <c r="S10907" s="10"/>
      <c r="T10907" s="10"/>
      <c r="U10907" s="10"/>
      <c r="V10907" s="10"/>
      <c r="W10907" s="10"/>
      <c r="X10907" s="10"/>
      <c r="Y10907" s="10"/>
      <c r="Z10907" s="10"/>
    </row>
    <row r="10908" spans="1:26" ht="12.75">
      <c r="A10908" s="10"/>
      <c r="B10908" s="10"/>
      <c r="C10908" s="10"/>
      <c r="D10908" s="10"/>
      <c r="E10908" s="10"/>
      <c r="F10908" s="10"/>
      <c r="G10908" s="10"/>
      <c r="H10908" s="10"/>
      <c r="I10908" s="10"/>
      <c r="J10908" s="10"/>
      <c r="K10908" s="10"/>
      <c r="L10908" s="10"/>
      <c r="M10908" s="10"/>
      <c r="N10908" s="10"/>
      <c r="O10908" s="10"/>
      <c r="P10908" s="10"/>
      <c r="Q10908" s="10"/>
      <c r="R10908" s="10"/>
      <c r="S10908" s="10"/>
      <c r="T10908" s="10"/>
      <c r="U10908" s="10"/>
      <c r="V10908" s="10"/>
      <c r="W10908" s="10"/>
      <c r="X10908" s="10"/>
      <c r="Y10908" s="10"/>
      <c r="Z10908" s="10"/>
    </row>
    <row r="10909" spans="1:26" ht="12.75">
      <c r="A10909" s="10"/>
      <c r="B10909" s="10"/>
      <c r="C10909" s="10"/>
      <c r="D10909" s="10"/>
      <c r="E10909" s="10"/>
      <c r="F10909" s="10"/>
      <c r="G10909" s="10"/>
      <c r="H10909" s="10"/>
      <c r="I10909" s="10"/>
      <c r="J10909" s="10"/>
      <c r="K10909" s="10"/>
      <c r="L10909" s="10"/>
      <c r="M10909" s="10"/>
      <c r="N10909" s="10"/>
      <c r="O10909" s="10"/>
      <c r="P10909" s="10"/>
      <c r="Q10909" s="10"/>
      <c r="R10909" s="10"/>
      <c r="S10909" s="10"/>
      <c r="T10909" s="10"/>
      <c r="U10909" s="10"/>
      <c r="V10909" s="10"/>
      <c r="W10909" s="10"/>
      <c r="X10909" s="10"/>
      <c r="Y10909" s="10"/>
      <c r="Z10909" s="10"/>
    </row>
    <row r="10910" spans="1:26" ht="12.75">
      <c r="A10910" s="10"/>
      <c r="B10910" s="10"/>
      <c r="C10910" s="10"/>
      <c r="D10910" s="10"/>
      <c r="E10910" s="10"/>
      <c r="F10910" s="10"/>
      <c r="G10910" s="10"/>
      <c r="H10910" s="10"/>
      <c r="I10910" s="10"/>
      <c r="J10910" s="10"/>
      <c r="K10910" s="10"/>
      <c r="L10910" s="10"/>
      <c r="M10910" s="10"/>
      <c r="N10910" s="10"/>
      <c r="O10910" s="10"/>
      <c r="P10910" s="10"/>
      <c r="Q10910" s="10"/>
      <c r="R10910" s="10"/>
      <c r="S10910" s="10"/>
      <c r="T10910" s="10"/>
      <c r="U10910" s="10"/>
      <c r="V10910" s="10"/>
      <c r="W10910" s="10"/>
      <c r="X10910" s="10"/>
      <c r="Y10910" s="10"/>
      <c r="Z10910" s="10"/>
    </row>
    <row r="10911" spans="1:26" ht="12.75">
      <c r="A10911" s="10"/>
      <c r="B10911" s="10"/>
      <c r="C10911" s="10"/>
      <c r="D10911" s="10"/>
      <c r="E10911" s="10"/>
      <c r="F10911" s="10"/>
      <c r="G10911" s="10"/>
      <c r="H10911" s="10"/>
      <c r="I10911" s="10"/>
      <c r="J10911" s="10"/>
      <c r="K10911" s="10"/>
      <c r="L10911" s="10"/>
      <c r="M10911" s="10"/>
      <c r="N10911" s="10"/>
      <c r="O10911" s="10"/>
      <c r="P10911" s="10"/>
      <c r="Q10911" s="10"/>
      <c r="R10911" s="10"/>
      <c r="S10911" s="10"/>
      <c r="T10911" s="10"/>
      <c r="U10911" s="10"/>
      <c r="V10911" s="10"/>
      <c r="W10911" s="10"/>
      <c r="X10911" s="10"/>
      <c r="Y10911" s="10"/>
      <c r="Z10911" s="10"/>
    </row>
    <row r="10912" spans="1:26" ht="12.75">
      <c r="A10912" s="10"/>
      <c r="B10912" s="10"/>
      <c r="C10912" s="10"/>
      <c r="D10912" s="10"/>
      <c r="E10912" s="10"/>
      <c r="F10912" s="10"/>
      <c r="G10912" s="10"/>
      <c r="H10912" s="10"/>
      <c r="I10912" s="10"/>
      <c r="J10912" s="10"/>
      <c r="K10912" s="10"/>
      <c r="L10912" s="10"/>
      <c r="M10912" s="10"/>
      <c r="N10912" s="10"/>
      <c r="O10912" s="10"/>
      <c r="P10912" s="10"/>
      <c r="Q10912" s="10"/>
      <c r="R10912" s="10"/>
      <c r="S10912" s="10"/>
      <c r="T10912" s="10"/>
      <c r="U10912" s="10"/>
      <c r="V10912" s="10"/>
      <c r="W10912" s="10"/>
      <c r="X10912" s="10"/>
      <c r="Y10912" s="10"/>
      <c r="Z10912" s="10"/>
    </row>
    <row r="10913" spans="1:26" ht="12.75">
      <c r="A10913" s="10"/>
      <c r="B10913" s="10"/>
      <c r="C10913" s="10"/>
      <c r="D10913" s="10"/>
      <c r="E10913" s="10"/>
      <c r="F10913" s="10"/>
      <c r="G10913" s="10"/>
      <c r="H10913" s="10"/>
      <c r="I10913" s="10"/>
      <c r="J10913" s="10"/>
      <c r="K10913" s="10"/>
      <c r="L10913" s="10"/>
      <c r="M10913" s="10"/>
      <c r="N10913" s="10"/>
      <c r="O10913" s="10"/>
      <c r="P10913" s="10"/>
      <c r="Q10913" s="10"/>
      <c r="R10913" s="10"/>
      <c r="S10913" s="10"/>
      <c r="T10913" s="10"/>
      <c r="U10913" s="10"/>
      <c r="V10913" s="10"/>
      <c r="W10913" s="10"/>
      <c r="X10913" s="10"/>
      <c r="Y10913" s="10"/>
      <c r="Z10913" s="10"/>
    </row>
    <row r="10914" spans="1:26" ht="12.75">
      <c r="A10914" s="10"/>
      <c r="B10914" s="10"/>
      <c r="C10914" s="10"/>
      <c r="D10914" s="10"/>
      <c r="E10914" s="10"/>
      <c r="F10914" s="10"/>
      <c r="G10914" s="10"/>
      <c r="H10914" s="10"/>
      <c r="I10914" s="10"/>
      <c r="J10914" s="10"/>
      <c r="K10914" s="10"/>
      <c r="L10914" s="10"/>
      <c r="M10914" s="10"/>
      <c r="N10914" s="10"/>
      <c r="O10914" s="10"/>
      <c r="P10914" s="10"/>
      <c r="Q10914" s="10"/>
      <c r="R10914" s="10"/>
      <c r="S10914" s="10"/>
      <c r="T10914" s="10"/>
      <c r="U10914" s="10"/>
      <c r="V10914" s="10"/>
      <c r="W10914" s="10"/>
      <c r="X10914" s="10"/>
      <c r="Y10914" s="10"/>
      <c r="Z10914" s="10"/>
    </row>
    <row r="10915" spans="1:26" ht="12.75">
      <c r="A10915" s="10"/>
      <c r="B10915" s="10"/>
      <c r="C10915" s="10"/>
      <c r="D10915" s="10"/>
      <c r="E10915" s="10"/>
      <c r="F10915" s="10"/>
      <c r="G10915" s="10"/>
      <c r="H10915" s="10"/>
      <c r="I10915" s="10"/>
      <c r="J10915" s="10"/>
      <c r="K10915" s="10"/>
      <c r="L10915" s="10"/>
      <c r="M10915" s="10"/>
      <c r="N10915" s="10"/>
      <c r="O10915" s="10"/>
      <c r="P10915" s="10"/>
      <c r="Q10915" s="10"/>
      <c r="R10915" s="10"/>
      <c r="S10915" s="10"/>
      <c r="T10915" s="10"/>
      <c r="U10915" s="10"/>
      <c r="V10915" s="10"/>
      <c r="W10915" s="10"/>
      <c r="X10915" s="10"/>
      <c r="Y10915" s="10"/>
      <c r="Z10915" s="10"/>
    </row>
    <row r="10916" spans="1:26" ht="12.75">
      <c r="A10916" s="10"/>
      <c r="B10916" s="10"/>
      <c r="C10916" s="10"/>
      <c r="D10916" s="10"/>
      <c r="E10916" s="10"/>
      <c r="F10916" s="10"/>
      <c r="G10916" s="10"/>
      <c r="H10916" s="10"/>
      <c r="I10916" s="10"/>
      <c r="J10916" s="10"/>
      <c r="K10916" s="10"/>
      <c r="L10916" s="10"/>
      <c r="M10916" s="10"/>
      <c r="N10916" s="10"/>
      <c r="O10916" s="10"/>
      <c r="P10916" s="10"/>
      <c r="Q10916" s="10"/>
      <c r="R10916" s="10"/>
      <c r="S10916" s="10"/>
      <c r="T10916" s="10"/>
      <c r="U10916" s="10"/>
      <c r="V10916" s="10"/>
      <c r="W10916" s="10"/>
      <c r="X10916" s="10"/>
      <c r="Y10916" s="10"/>
      <c r="Z10916" s="10"/>
    </row>
    <row r="10917" spans="1:26" ht="12.75">
      <c r="A10917" s="10"/>
      <c r="B10917" s="10"/>
      <c r="C10917" s="10"/>
      <c r="D10917" s="10"/>
      <c r="E10917" s="10"/>
      <c r="F10917" s="10"/>
      <c r="G10917" s="10"/>
      <c r="H10917" s="10"/>
      <c r="I10917" s="10"/>
      <c r="J10917" s="10"/>
      <c r="K10917" s="10"/>
      <c r="L10917" s="10"/>
      <c r="M10917" s="10"/>
      <c r="N10917" s="10"/>
      <c r="O10917" s="10"/>
      <c r="P10917" s="10"/>
      <c r="Q10917" s="10"/>
      <c r="R10917" s="10"/>
      <c r="S10917" s="10"/>
      <c r="T10917" s="10"/>
      <c r="U10917" s="10"/>
      <c r="V10917" s="10"/>
      <c r="W10917" s="10"/>
      <c r="X10917" s="10"/>
      <c r="Y10917" s="10"/>
      <c r="Z10917" s="10"/>
    </row>
    <row r="10918" spans="1:26" ht="12.75">
      <c r="A10918" s="10"/>
      <c r="B10918" s="10"/>
      <c r="C10918" s="10"/>
      <c r="D10918" s="10"/>
      <c r="E10918" s="10"/>
      <c r="F10918" s="10"/>
      <c r="G10918" s="10"/>
      <c r="H10918" s="10"/>
      <c r="I10918" s="10"/>
      <c r="J10918" s="10"/>
      <c r="K10918" s="10"/>
      <c r="L10918" s="10"/>
      <c r="M10918" s="10"/>
      <c r="N10918" s="10"/>
      <c r="O10918" s="10"/>
      <c r="P10918" s="10"/>
      <c r="Q10918" s="10"/>
      <c r="R10918" s="10"/>
      <c r="S10918" s="10"/>
      <c r="T10918" s="10"/>
      <c r="U10918" s="10"/>
      <c r="V10918" s="10"/>
      <c r="W10918" s="10"/>
      <c r="X10918" s="10"/>
      <c r="Y10918" s="10"/>
      <c r="Z10918" s="10"/>
    </row>
    <row r="10919" spans="1:26" ht="12.75">
      <c r="A10919" s="10"/>
      <c r="B10919" s="10"/>
      <c r="C10919" s="10"/>
      <c r="D10919" s="10"/>
      <c r="E10919" s="10"/>
      <c r="F10919" s="10"/>
      <c r="G10919" s="10"/>
      <c r="H10919" s="10"/>
      <c r="I10919" s="10"/>
      <c r="J10919" s="10"/>
      <c r="K10919" s="10"/>
      <c r="L10919" s="10"/>
      <c r="M10919" s="10"/>
      <c r="N10919" s="10"/>
      <c r="O10919" s="10"/>
      <c r="P10919" s="10"/>
      <c r="Q10919" s="10"/>
      <c r="R10919" s="10"/>
      <c r="S10919" s="10"/>
      <c r="T10919" s="10"/>
      <c r="U10919" s="10"/>
      <c r="V10919" s="10"/>
      <c r="W10919" s="10"/>
      <c r="X10919" s="10"/>
      <c r="Y10919" s="10"/>
      <c r="Z10919" s="10"/>
    </row>
    <row r="10920" spans="1:26" ht="12.75">
      <c r="A10920" s="10"/>
      <c r="B10920" s="10"/>
      <c r="C10920" s="10"/>
      <c r="D10920" s="10"/>
      <c r="E10920" s="10"/>
      <c r="F10920" s="10"/>
      <c r="G10920" s="10"/>
      <c r="H10920" s="10"/>
      <c r="I10920" s="10"/>
      <c r="J10920" s="10"/>
      <c r="K10920" s="10"/>
      <c r="L10920" s="10"/>
      <c r="M10920" s="10"/>
      <c r="N10920" s="10"/>
      <c r="O10920" s="10"/>
      <c r="P10920" s="10"/>
      <c r="Q10920" s="10"/>
      <c r="R10920" s="10"/>
      <c r="S10920" s="10"/>
      <c r="T10920" s="10"/>
      <c r="U10920" s="10"/>
      <c r="V10920" s="10"/>
      <c r="W10920" s="10"/>
      <c r="X10920" s="10"/>
      <c r="Y10920" s="10"/>
      <c r="Z10920" s="10"/>
    </row>
    <row r="10921" spans="1:26" ht="12.75">
      <c r="A10921" s="10"/>
      <c r="B10921" s="10"/>
      <c r="C10921" s="10"/>
      <c r="D10921" s="10"/>
      <c r="E10921" s="10"/>
      <c r="F10921" s="10"/>
      <c r="G10921" s="10"/>
      <c r="H10921" s="10"/>
      <c r="I10921" s="10"/>
      <c r="J10921" s="10"/>
      <c r="K10921" s="10"/>
      <c r="L10921" s="10"/>
      <c r="M10921" s="10"/>
      <c r="N10921" s="10"/>
      <c r="O10921" s="10"/>
      <c r="P10921" s="10"/>
      <c r="Q10921" s="10"/>
      <c r="R10921" s="10"/>
      <c r="S10921" s="10"/>
      <c r="T10921" s="10"/>
      <c r="U10921" s="10"/>
      <c r="V10921" s="10"/>
      <c r="W10921" s="10"/>
      <c r="X10921" s="10"/>
      <c r="Y10921" s="10"/>
      <c r="Z10921" s="10"/>
    </row>
    <row r="10922" spans="1:26" ht="12.75">
      <c r="A10922" s="10"/>
      <c r="B10922" s="10"/>
      <c r="C10922" s="10"/>
      <c r="D10922" s="10"/>
      <c r="E10922" s="10"/>
      <c r="F10922" s="10"/>
      <c r="G10922" s="10"/>
      <c r="H10922" s="10"/>
      <c r="I10922" s="10"/>
      <c r="J10922" s="10"/>
      <c r="K10922" s="10"/>
      <c r="L10922" s="10"/>
      <c r="M10922" s="10"/>
      <c r="N10922" s="10"/>
      <c r="O10922" s="10"/>
      <c r="P10922" s="10"/>
      <c r="Q10922" s="10"/>
      <c r="R10922" s="10"/>
      <c r="S10922" s="10"/>
      <c r="T10922" s="10"/>
      <c r="U10922" s="10"/>
      <c r="V10922" s="10"/>
      <c r="W10922" s="10"/>
      <c r="X10922" s="10"/>
      <c r="Y10922" s="10"/>
      <c r="Z10922" s="10"/>
    </row>
    <row r="10923" spans="1:26" ht="12.75">
      <c r="A10923" s="10"/>
      <c r="B10923" s="10"/>
      <c r="C10923" s="10"/>
      <c r="D10923" s="10"/>
      <c r="E10923" s="10"/>
      <c r="F10923" s="10"/>
      <c r="G10923" s="10"/>
      <c r="H10923" s="10"/>
      <c r="I10923" s="10"/>
      <c r="J10923" s="10"/>
      <c r="K10923" s="10"/>
      <c r="L10923" s="10"/>
      <c r="M10923" s="10"/>
      <c r="N10923" s="10"/>
      <c r="O10923" s="10"/>
      <c r="P10923" s="10"/>
      <c r="Q10923" s="10"/>
      <c r="R10923" s="10"/>
      <c r="S10923" s="10"/>
      <c r="T10923" s="10"/>
      <c r="U10923" s="10"/>
      <c r="V10923" s="10"/>
      <c r="W10923" s="10"/>
      <c r="X10923" s="10"/>
      <c r="Y10923" s="10"/>
      <c r="Z10923" s="10"/>
    </row>
    <row r="10924" spans="1:26" ht="12.75">
      <c r="A10924" s="10"/>
      <c r="B10924" s="10"/>
      <c r="C10924" s="10"/>
      <c r="D10924" s="10"/>
      <c r="E10924" s="10"/>
      <c r="F10924" s="10"/>
      <c r="G10924" s="10"/>
      <c r="H10924" s="10"/>
      <c r="I10924" s="10"/>
      <c r="J10924" s="10"/>
      <c r="K10924" s="10"/>
      <c r="L10924" s="10"/>
      <c r="M10924" s="10"/>
      <c r="N10924" s="10"/>
      <c r="O10924" s="10"/>
      <c r="P10924" s="10"/>
      <c r="Q10924" s="10"/>
      <c r="R10924" s="10"/>
      <c r="S10924" s="10"/>
      <c r="T10924" s="10"/>
      <c r="U10924" s="10"/>
      <c r="V10924" s="10"/>
      <c r="W10924" s="10"/>
      <c r="X10924" s="10"/>
      <c r="Y10924" s="10"/>
      <c r="Z10924" s="10"/>
    </row>
    <row r="10925" spans="1:26" ht="12.75">
      <c r="A10925" s="10"/>
      <c r="B10925" s="10"/>
      <c r="C10925" s="10"/>
      <c r="D10925" s="10"/>
      <c r="E10925" s="10"/>
      <c r="F10925" s="10"/>
      <c r="G10925" s="10"/>
      <c r="H10925" s="10"/>
      <c r="I10925" s="10"/>
      <c r="J10925" s="10"/>
      <c r="K10925" s="10"/>
      <c r="L10925" s="10"/>
      <c r="M10925" s="10"/>
      <c r="N10925" s="10"/>
      <c r="O10925" s="10"/>
      <c r="P10925" s="10"/>
      <c r="Q10925" s="10"/>
      <c r="R10925" s="10"/>
      <c r="S10925" s="10"/>
      <c r="T10925" s="10"/>
      <c r="U10925" s="10"/>
      <c r="V10925" s="10"/>
      <c r="W10925" s="10"/>
      <c r="X10925" s="10"/>
      <c r="Y10925" s="10"/>
      <c r="Z10925" s="10"/>
    </row>
    <row r="10926" spans="1:26" ht="12.75">
      <c r="A10926" s="10"/>
      <c r="B10926" s="10"/>
      <c r="C10926" s="10"/>
      <c r="D10926" s="10"/>
      <c r="E10926" s="10"/>
      <c r="F10926" s="10"/>
      <c r="G10926" s="10"/>
      <c r="H10926" s="10"/>
      <c r="I10926" s="10"/>
      <c r="J10926" s="10"/>
      <c r="K10926" s="10"/>
      <c r="L10926" s="10"/>
      <c r="M10926" s="10"/>
      <c r="N10926" s="10"/>
      <c r="O10926" s="10"/>
      <c r="P10926" s="10"/>
      <c r="Q10926" s="10"/>
      <c r="R10926" s="10"/>
      <c r="S10926" s="10"/>
      <c r="T10926" s="10"/>
      <c r="U10926" s="10"/>
      <c r="V10926" s="10"/>
      <c r="W10926" s="10"/>
      <c r="X10926" s="10"/>
      <c r="Y10926" s="10"/>
      <c r="Z10926" s="10"/>
    </row>
    <row r="10927" spans="1:26" ht="12.75">
      <c r="A10927" s="10"/>
      <c r="B10927" s="10"/>
      <c r="C10927" s="10"/>
      <c r="D10927" s="10"/>
      <c r="E10927" s="10"/>
      <c r="F10927" s="10"/>
      <c r="G10927" s="10"/>
      <c r="H10927" s="10"/>
      <c r="I10927" s="10"/>
      <c r="J10927" s="10"/>
      <c r="K10927" s="10"/>
      <c r="L10927" s="10"/>
      <c r="M10927" s="10"/>
      <c r="N10927" s="10"/>
      <c r="O10927" s="10"/>
      <c r="P10927" s="10"/>
      <c r="Q10927" s="10"/>
      <c r="R10927" s="10"/>
      <c r="S10927" s="10"/>
      <c r="T10927" s="10"/>
      <c r="U10927" s="10"/>
      <c r="V10927" s="10"/>
      <c r="W10927" s="10"/>
      <c r="X10927" s="10"/>
      <c r="Y10927" s="10"/>
      <c r="Z10927" s="10"/>
    </row>
    <row r="10928" spans="1:26" ht="12.75">
      <c r="A10928" s="10"/>
      <c r="B10928" s="10"/>
      <c r="C10928" s="10"/>
      <c r="D10928" s="10"/>
      <c r="E10928" s="10"/>
      <c r="F10928" s="10"/>
      <c r="G10928" s="10"/>
      <c r="H10928" s="10"/>
      <c r="I10928" s="10"/>
      <c r="J10928" s="10"/>
      <c r="K10928" s="10"/>
      <c r="L10928" s="10"/>
      <c r="M10928" s="10"/>
      <c r="N10928" s="10"/>
      <c r="O10928" s="10"/>
      <c r="P10928" s="10"/>
      <c r="Q10928" s="10"/>
      <c r="R10928" s="10"/>
      <c r="S10928" s="10"/>
      <c r="T10928" s="10"/>
      <c r="U10928" s="10"/>
      <c r="V10928" s="10"/>
      <c r="W10928" s="10"/>
      <c r="X10928" s="10"/>
      <c r="Y10928" s="10"/>
      <c r="Z10928" s="10"/>
    </row>
    <row r="10929" spans="1:26" ht="12.75">
      <c r="A10929" s="10"/>
      <c r="B10929" s="10"/>
      <c r="C10929" s="10"/>
      <c r="D10929" s="10"/>
      <c r="E10929" s="10"/>
      <c r="F10929" s="10"/>
      <c r="G10929" s="10"/>
      <c r="H10929" s="10"/>
      <c r="I10929" s="10"/>
      <c r="J10929" s="10"/>
      <c r="K10929" s="10"/>
      <c r="L10929" s="10"/>
      <c r="M10929" s="10"/>
      <c r="N10929" s="10"/>
      <c r="O10929" s="10"/>
      <c r="P10929" s="10"/>
      <c r="Q10929" s="10"/>
      <c r="R10929" s="10"/>
      <c r="S10929" s="10"/>
      <c r="T10929" s="10"/>
      <c r="U10929" s="10"/>
      <c r="V10929" s="10"/>
      <c r="W10929" s="10"/>
      <c r="X10929" s="10"/>
      <c r="Y10929" s="10"/>
      <c r="Z10929" s="10"/>
    </row>
    <row r="10930" spans="1:26" ht="12.75">
      <c r="A10930" s="10"/>
      <c r="B10930" s="10"/>
      <c r="C10930" s="10"/>
      <c r="D10930" s="10"/>
      <c r="E10930" s="10"/>
      <c r="F10930" s="10"/>
      <c r="G10930" s="10"/>
      <c r="H10930" s="10"/>
      <c r="I10930" s="10"/>
      <c r="J10930" s="10"/>
      <c r="K10930" s="10"/>
      <c r="L10930" s="10"/>
      <c r="M10930" s="10"/>
      <c r="N10930" s="10"/>
      <c r="O10930" s="10"/>
      <c r="P10930" s="10"/>
      <c r="Q10930" s="10"/>
      <c r="R10930" s="10"/>
      <c r="S10930" s="10"/>
      <c r="T10930" s="10"/>
      <c r="U10930" s="10"/>
      <c r="V10930" s="10"/>
      <c r="W10930" s="10"/>
      <c r="X10930" s="10"/>
      <c r="Y10930" s="10"/>
      <c r="Z10930" s="10"/>
    </row>
    <row r="10931" spans="1:26" ht="12.75">
      <c r="A10931" s="10"/>
      <c r="B10931" s="10"/>
      <c r="C10931" s="10"/>
      <c r="D10931" s="10"/>
      <c r="E10931" s="10"/>
      <c r="F10931" s="10"/>
      <c r="G10931" s="10"/>
      <c r="H10931" s="10"/>
      <c r="I10931" s="10"/>
      <c r="J10931" s="10"/>
      <c r="K10931" s="10"/>
      <c r="L10931" s="10"/>
      <c r="M10931" s="10"/>
      <c r="N10931" s="10"/>
      <c r="O10931" s="10"/>
      <c r="P10931" s="10"/>
      <c r="Q10931" s="10"/>
      <c r="R10931" s="10"/>
      <c r="S10931" s="10"/>
      <c r="T10931" s="10"/>
      <c r="U10931" s="10"/>
      <c r="V10931" s="10"/>
      <c r="W10931" s="10"/>
      <c r="X10931" s="10"/>
      <c r="Y10931" s="10"/>
      <c r="Z10931" s="10"/>
    </row>
    <row r="10932" spans="1:26" ht="12.75">
      <c r="A10932" s="10"/>
      <c r="B10932" s="10"/>
      <c r="C10932" s="10"/>
      <c r="D10932" s="10"/>
      <c r="E10932" s="10"/>
      <c r="F10932" s="10"/>
      <c r="G10932" s="10"/>
      <c r="H10932" s="10"/>
      <c r="I10932" s="10"/>
      <c r="J10932" s="10"/>
      <c r="K10932" s="10"/>
      <c r="L10932" s="10"/>
      <c r="M10932" s="10"/>
      <c r="N10932" s="10"/>
      <c r="O10932" s="10"/>
      <c r="P10932" s="10"/>
      <c r="Q10932" s="10"/>
      <c r="R10932" s="10"/>
      <c r="S10932" s="10"/>
      <c r="T10932" s="10"/>
      <c r="U10932" s="10"/>
      <c r="V10932" s="10"/>
      <c r="W10932" s="10"/>
      <c r="X10932" s="10"/>
      <c r="Y10932" s="10"/>
      <c r="Z10932" s="10"/>
    </row>
    <row r="10933" spans="1:26" ht="12.75">
      <c r="A10933" s="10"/>
      <c r="B10933" s="10"/>
      <c r="C10933" s="10"/>
      <c r="D10933" s="10"/>
      <c r="E10933" s="10"/>
      <c r="F10933" s="10"/>
      <c r="G10933" s="10"/>
      <c r="H10933" s="10"/>
      <c r="I10933" s="10"/>
      <c r="J10933" s="10"/>
      <c r="K10933" s="10"/>
      <c r="L10933" s="10"/>
      <c r="M10933" s="10"/>
      <c r="N10933" s="10"/>
      <c r="O10933" s="10"/>
      <c r="P10933" s="10"/>
      <c r="Q10933" s="10"/>
      <c r="R10933" s="10"/>
      <c r="S10933" s="10"/>
      <c r="T10933" s="10"/>
      <c r="U10933" s="10"/>
      <c r="V10933" s="10"/>
      <c r="W10933" s="10"/>
      <c r="X10933" s="10"/>
      <c r="Y10933" s="10"/>
      <c r="Z10933" s="10"/>
    </row>
    <row r="10934" spans="1:26" ht="12.75">
      <c r="A10934" s="10"/>
      <c r="B10934" s="10"/>
      <c r="C10934" s="10"/>
      <c r="D10934" s="10"/>
      <c r="E10934" s="10"/>
      <c r="F10934" s="10"/>
      <c r="G10934" s="10"/>
      <c r="H10934" s="10"/>
      <c r="I10934" s="10"/>
      <c r="J10934" s="10"/>
      <c r="K10934" s="10"/>
      <c r="L10934" s="10"/>
      <c r="M10934" s="10"/>
      <c r="N10934" s="10"/>
      <c r="O10934" s="10"/>
      <c r="P10934" s="10"/>
      <c r="Q10934" s="10"/>
      <c r="R10934" s="10"/>
      <c r="S10934" s="10"/>
      <c r="T10934" s="10"/>
      <c r="U10934" s="10"/>
      <c r="V10934" s="10"/>
      <c r="W10934" s="10"/>
      <c r="X10934" s="10"/>
      <c r="Y10934" s="10"/>
      <c r="Z10934" s="10"/>
    </row>
    <row r="10935" spans="1:26" ht="12.75">
      <c r="A10935" s="10"/>
      <c r="B10935" s="10"/>
      <c r="C10935" s="10"/>
      <c r="D10935" s="10"/>
      <c r="E10935" s="10"/>
      <c r="F10935" s="10"/>
      <c r="G10935" s="10"/>
      <c r="H10935" s="10"/>
      <c r="I10935" s="10"/>
      <c r="J10935" s="10"/>
      <c r="K10935" s="10"/>
      <c r="L10935" s="10"/>
      <c r="M10935" s="10"/>
      <c r="N10935" s="10"/>
      <c r="O10935" s="10"/>
      <c r="P10935" s="10"/>
      <c r="Q10935" s="10"/>
      <c r="R10935" s="10"/>
      <c r="S10935" s="10"/>
      <c r="T10935" s="10"/>
      <c r="U10935" s="10"/>
      <c r="V10935" s="10"/>
      <c r="W10935" s="10"/>
      <c r="X10935" s="10"/>
      <c r="Y10935" s="10"/>
      <c r="Z10935" s="10"/>
    </row>
    <row r="10936" spans="1:26" ht="12.75">
      <c r="A10936" s="10"/>
      <c r="B10936" s="10"/>
      <c r="C10936" s="10"/>
      <c r="D10936" s="10"/>
      <c r="E10936" s="10"/>
      <c r="F10936" s="10"/>
      <c r="G10936" s="10"/>
      <c r="H10936" s="10"/>
      <c r="I10936" s="10"/>
      <c r="J10936" s="10"/>
      <c r="K10936" s="10"/>
      <c r="L10936" s="10"/>
      <c r="M10936" s="10"/>
      <c r="N10936" s="10"/>
      <c r="O10936" s="10"/>
      <c r="P10936" s="10"/>
      <c r="Q10936" s="10"/>
      <c r="R10936" s="10"/>
      <c r="S10936" s="10"/>
      <c r="T10936" s="10"/>
      <c r="U10936" s="10"/>
      <c r="V10936" s="10"/>
      <c r="W10936" s="10"/>
      <c r="X10936" s="10"/>
      <c r="Y10936" s="10"/>
      <c r="Z10936" s="10"/>
    </row>
    <row r="10937" spans="1:26" ht="12.75">
      <c r="A10937" s="10"/>
      <c r="B10937" s="10"/>
      <c r="C10937" s="10"/>
      <c r="D10937" s="10"/>
      <c r="E10937" s="10"/>
      <c r="F10937" s="10"/>
      <c r="G10937" s="10"/>
      <c r="H10937" s="10"/>
      <c r="I10937" s="10"/>
      <c r="J10937" s="10"/>
      <c r="K10937" s="10"/>
      <c r="L10937" s="10"/>
      <c r="M10937" s="10"/>
      <c r="N10937" s="10"/>
      <c r="O10937" s="10"/>
      <c r="P10937" s="10"/>
      <c r="Q10937" s="10"/>
      <c r="R10937" s="10"/>
      <c r="S10937" s="10"/>
      <c r="T10937" s="10"/>
      <c r="U10937" s="10"/>
      <c r="V10937" s="10"/>
      <c r="W10937" s="10"/>
      <c r="X10937" s="10"/>
      <c r="Y10937" s="10"/>
      <c r="Z10937" s="10"/>
    </row>
    <row r="10938" spans="1:26" ht="12.75">
      <c r="A10938" s="10"/>
      <c r="B10938" s="10"/>
      <c r="C10938" s="10"/>
      <c r="D10938" s="10"/>
      <c r="E10938" s="10"/>
      <c r="F10938" s="10"/>
      <c r="G10938" s="10"/>
      <c r="H10938" s="10"/>
      <c r="I10938" s="10"/>
      <c r="J10938" s="10"/>
      <c r="K10938" s="10"/>
      <c r="L10938" s="10"/>
      <c r="M10938" s="10"/>
      <c r="N10938" s="10"/>
      <c r="O10938" s="10"/>
      <c r="P10938" s="10"/>
      <c r="Q10938" s="10"/>
      <c r="R10938" s="10"/>
      <c r="S10938" s="10"/>
      <c r="T10938" s="10"/>
      <c r="U10938" s="10"/>
      <c r="V10938" s="10"/>
      <c r="W10938" s="10"/>
      <c r="X10938" s="10"/>
      <c r="Y10938" s="10"/>
      <c r="Z10938" s="10"/>
    </row>
    <row r="10939" spans="1:26" ht="12.75">
      <c r="A10939" s="10"/>
      <c r="B10939" s="10"/>
      <c r="C10939" s="10"/>
      <c r="D10939" s="10"/>
      <c r="E10939" s="10"/>
      <c r="F10939" s="10"/>
      <c r="G10939" s="10"/>
      <c r="H10939" s="10"/>
      <c r="I10939" s="10"/>
      <c r="J10939" s="10"/>
      <c r="K10939" s="10"/>
      <c r="L10939" s="10"/>
      <c r="M10939" s="10"/>
      <c r="N10939" s="10"/>
      <c r="O10939" s="10"/>
      <c r="P10939" s="10"/>
      <c r="Q10939" s="10"/>
      <c r="R10939" s="10"/>
      <c r="S10939" s="10"/>
      <c r="T10939" s="10"/>
      <c r="U10939" s="10"/>
      <c r="V10939" s="10"/>
      <c r="W10939" s="10"/>
      <c r="X10939" s="10"/>
      <c r="Y10939" s="10"/>
      <c r="Z10939" s="10"/>
    </row>
    <row r="10940" spans="1:26" ht="12.75">
      <c r="A10940" s="10"/>
      <c r="B10940" s="10"/>
      <c r="C10940" s="10"/>
      <c r="D10940" s="10"/>
      <c r="E10940" s="10"/>
      <c r="F10940" s="10"/>
      <c r="G10940" s="10"/>
      <c r="H10940" s="10"/>
      <c r="I10940" s="10"/>
      <c r="J10940" s="10"/>
      <c r="K10940" s="10"/>
      <c r="L10940" s="10"/>
      <c r="M10940" s="10"/>
      <c r="N10940" s="10"/>
      <c r="O10940" s="10"/>
      <c r="P10940" s="10"/>
      <c r="Q10940" s="10"/>
      <c r="R10940" s="10"/>
      <c r="S10940" s="10"/>
      <c r="T10940" s="10"/>
      <c r="U10940" s="10"/>
      <c r="V10940" s="10"/>
      <c r="W10940" s="10"/>
      <c r="X10940" s="10"/>
      <c r="Y10940" s="10"/>
      <c r="Z10940" s="10"/>
    </row>
    <row r="10941" spans="1:26" ht="12.75">
      <c r="A10941" s="10"/>
      <c r="B10941" s="10"/>
      <c r="C10941" s="10"/>
      <c r="D10941" s="10"/>
      <c r="E10941" s="10"/>
      <c r="F10941" s="10"/>
      <c r="G10941" s="10"/>
      <c r="H10941" s="10"/>
      <c r="I10941" s="10"/>
      <c r="J10941" s="10"/>
      <c r="K10941" s="10"/>
      <c r="L10941" s="10"/>
      <c r="M10941" s="10"/>
      <c r="N10941" s="10"/>
      <c r="O10941" s="10"/>
      <c r="P10941" s="10"/>
      <c r="Q10941" s="10"/>
      <c r="R10941" s="10"/>
      <c r="S10941" s="10"/>
      <c r="T10941" s="10"/>
      <c r="U10941" s="10"/>
      <c r="V10941" s="10"/>
      <c r="W10941" s="10"/>
      <c r="X10941" s="10"/>
      <c r="Y10941" s="10"/>
      <c r="Z10941" s="10"/>
    </row>
    <row r="10942" spans="1:26" ht="12.75">
      <c r="A10942" s="10"/>
      <c r="B10942" s="10"/>
      <c r="C10942" s="10"/>
      <c r="D10942" s="10"/>
      <c r="E10942" s="10"/>
      <c r="F10942" s="10"/>
      <c r="G10942" s="10"/>
      <c r="H10942" s="10"/>
      <c r="I10942" s="10"/>
      <c r="J10942" s="10"/>
      <c r="K10942" s="10"/>
      <c r="L10942" s="10"/>
      <c r="M10942" s="10"/>
      <c r="N10942" s="10"/>
      <c r="O10942" s="10"/>
      <c r="P10942" s="10"/>
      <c r="Q10942" s="10"/>
      <c r="R10942" s="10"/>
      <c r="S10942" s="10"/>
      <c r="T10942" s="10"/>
      <c r="U10942" s="10"/>
      <c r="V10942" s="10"/>
      <c r="W10942" s="10"/>
      <c r="X10942" s="10"/>
      <c r="Y10942" s="10"/>
      <c r="Z10942" s="10"/>
    </row>
    <row r="10943" spans="1:26" ht="12.75">
      <c r="A10943" s="10"/>
      <c r="B10943" s="10"/>
      <c r="C10943" s="10"/>
      <c r="D10943" s="10"/>
      <c r="E10943" s="10"/>
      <c r="F10943" s="10"/>
      <c r="G10943" s="10"/>
      <c r="H10943" s="10"/>
      <c r="I10943" s="10"/>
      <c r="J10943" s="10"/>
      <c r="K10943" s="10"/>
      <c r="L10943" s="10"/>
      <c r="M10943" s="10"/>
      <c r="N10943" s="10"/>
      <c r="O10943" s="10"/>
      <c r="P10943" s="10"/>
      <c r="Q10943" s="10"/>
      <c r="R10943" s="10"/>
      <c r="S10943" s="10"/>
      <c r="T10943" s="10"/>
      <c r="U10943" s="10"/>
      <c r="V10943" s="10"/>
      <c r="W10943" s="10"/>
      <c r="X10943" s="10"/>
      <c r="Y10943" s="10"/>
      <c r="Z10943" s="10"/>
    </row>
    <row r="10944" spans="1:26" ht="12.75">
      <c r="A10944" s="10"/>
      <c r="B10944" s="10"/>
      <c r="C10944" s="10"/>
      <c r="D10944" s="10"/>
      <c r="E10944" s="10"/>
      <c r="F10944" s="10"/>
      <c r="G10944" s="10"/>
      <c r="H10944" s="10"/>
      <c r="I10944" s="10"/>
      <c r="J10944" s="10"/>
      <c r="K10944" s="10"/>
      <c r="L10944" s="10"/>
      <c r="M10944" s="10"/>
      <c r="N10944" s="10"/>
      <c r="O10944" s="10"/>
      <c r="P10944" s="10"/>
      <c r="Q10944" s="10"/>
      <c r="R10944" s="10"/>
      <c r="S10944" s="10"/>
      <c r="T10944" s="10"/>
      <c r="U10944" s="10"/>
      <c r="V10944" s="10"/>
      <c r="W10944" s="10"/>
      <c r="X10944" s="10"/>
      <c r="Y10944" s="10"/>
      <c r="Z10944" s="10"/>
    </row>
    <row r="10945" spans="1:26" ht="12.75">
      <c r="A10945" s="10"/>
      <c r="B10945" s="10"/>
      <c r="C10945" s="10"/>
      <c r="D10945" s="10"/>
      <c r="E10945" s="10"/>
      <c r="F10945" s="10"/>
      <c r="G10945" s="10"/>
      <c r="H10945" s="10"/>
      <c r="I10945" s="10"/>
      <c r="J10945" s="10"/>
      <c r="K10945" s="10"/>
      <c r="L10945" s="10"/>
      <c r="M10945" s="10"/>
      <c r="N10945" s="10"/>
      <c r="O10945" s="10"/>
      <c r="P10945" s="10"/>
      <c r="Q10945" s="10"/>
      <c r="R10945" s="10"/>
      <c r="S10945" s="10"/>
      <c r="T10945" s="10"/>
      <c r="U10945" s="10"/>
      <c r="V10945" s="10"/>
      <c r="W10945" s="10"/>
      <c r="X10945" s="10"/>
      <c r="Y10945" s="10"/>
      <c r="Z10945" s="10"/>
    </row>
    <row r="10946" spans="1:26" ht="12.75">
      <c r="A10946" s="10"/>
      <c r="B10946" s="10"/>
      <c r="C10946" s="10"/>
      <c r="D10946" s="10"/>
      <c r="E10946" s="10"/>
      <c r="F10946" s="10"/>
      <c r="G10946" s="10"/>
      <c r="H10946" s="10"/>
      <c r="I10946" s="10"/>
      <c r="J10946" s="10"/>
      <c r="K10946" s="10"/>
      <c r="L10946" s="10"/>
      <c r="M10946" s="10"/>
      <c r="N10946" s="10"/>
      <c r="O10946" s="10"/>
      <c r="P10946" s="10"/>
      <c r="Q10946" s="10"/>
      <c r="R10946" s="10"/>
      <c r="S10946" s="10"/>
      <c r="T10946" s="10"/>
      <c r="U10946" s="10"/>
      <c r="V10946" s="10"/>
      <c r="W10946" s="10"/>
      <c r="X10946" s="10"/>
      <c r="Y10946" s="10"/>
      <c r="Z10946" s="10"/>
    </row>
    <row r="10947" spans="1:26" ht="12.75">
      <c r="A10947" s="10"/>
      <c r="B10947" s="10"/>
      <c r="C10947" s="10"/>
      <c r="D10947" s="10"/>
      <c r="E10947" s="10"/>
      <c r="F10947" s="10"/>
      <c r="G10947" s="10"/>
      <c r="H10947" s="10"/>
      <c r="I10947" s="10"/>
      <c r="J10947" s="10"/>
      <c r="K10947" s="10"/>
      <c r="L10947" s="10"/>
      <c r="M10947" s="10"/>
      <c r="N10947" s="10"/>
      <c r="O10947" s="10"/>
      <c r="P10947" s="10"/>
      <c r="Q10947" s="10"/>
      <c r="R10947" s="10"/>
      <c r="S10947" s="10"/>
      <c r="T10947" s="10"/>
      <c r="U10947" s="10"/>
      <c r="V10947" s="10"/>
      <c r="W10947" s="10"/>
      <c r="X10947" s="10"/>
      <c r="Y10947" s="10"/>
      <c r="Z10947" s="10"/>
    </row>
    <row r="10948" spans="1:26" ht="12.75">
      <c r="A10948" s="10"/>
      <c r="B10948" s="10"/>
      <c r="C10948" s="10"/>
      <c r="D10948" s="10"/>
      <c r="E10948" s="10"/>
      <c r="F10948" s="10"/>
      <c r="G10948" s="10"/>
      <c r="H10948" s="10"/>
      <c r="I10948" s="10"/>
      <c r="J10948" s="10"/>
      <c r="K10948" s="10"/>
      <c r="L10948" s="10"/>
      <c r="M10948" s="10"/>
      <c r="N10948" s="10"/>
      <c r="O10948" s="10"/>
      <c r="P10948" s="10"/>
      <c r="Q10948" s="10"/>
      <c r="R10948" s="10"/>
      <c r="S10948" s="10"/>
      <c r="T10948" s="10"/>
      <c r="U10948" s="10"/>
      <c r="V10948" s="10"/>
      <c r="W10948" s="10"/>
      <c r="X10948" s="10"/>
      <c r="Y10948" s="10"/>
      <c r="Z10948" s="10"/>
    </row>
    <row r="10949" spans="1:26" ht="12.75">
      <c r="A10949" s="10"/>
      <c r="B10949" s="10"/>
      <c r="C10949" s="10"/>
      <c r="D10949" s="10"/>
      <c r="E10949" s="10"/>
      <c r="F10949" s="10"/>
      <c r="G10949" s="10"/>
      <c r="H10949" s="10"/>
      <c r="I10949" s="10"/>
      <c r="J10949" s="10"/>
      <c r="K10949" s="10"/>
      <c r="L10949" s="10"/>
      <c r="M10949" s="10"/>
      <c r="N10949" s="10"/>
      <c r="O10949" s="10"/>
      <c r="P10949" s="10"/>
      <c r="Q10949" s="10"/>
      <c r="R10949" s="10"/>
      <c r="S10949" s="10"/>
      <c r="T10949" s="10"/>
      <c r="U10949" s="10"/>
      <c r="V10949" s="10"/>
      <c r="W10949" s="10"/>
      <c r="X10949" s="10"/>
      <c r="Y10949" s="10"/>
      <c r="Z10949" s="10"/>
    </row>
    <row r="10950" spans="1:26" ht="12.75">
      <c r="A10950" s="10"/>
      <c r="B10950" s="10"/>
      <c r="C10950" s="10"/>
      <c r="D10950" s="10"/>
      <c r="E10950" s="10"/>
      <c r="F10950" s="10"/>
      <c r="G10950" s="10"/>
      <c r="H10950" s="10"/>
      <c r="I10950" s="10"/>
      <c r="J10950" s="10"/>
      <c r="K10950" s="10"/>
      <c r="L10950" s="10"/>
      <c r="M10950" s="10"/>
      <c r="N10950" s="10"/>
      <c r="O10950" s="10"/>
      <c r="P10950" s="10"/>
      <c r="Q10950" s="10"/>
      <c r="R10950" s="10"/>
      <c r="S10950" s="10"/>
      <c r="T10950" s="10"/>
      <c r="U10950" s="10"/>
      <c r="V10950" s="10"/>
      <c r="W10950" s="10"/>
      <c r="X10950" s="10"/>
      <c r="Y10950" s="10"/>
      <c r="Z10950" s="10"/>
    </row>
    <row r="10951" spans="1:26" ht="12.75">
      <c r="A10951" s="10"/>
      <c r="B10951" s="10"/>
      <c r="C10951" s="10"/>
      <c r="D10951" s="10"/>
      <c r="E10951" s="10"/>
      <c r="F10951" s="10"/>
      <c r="G10951" s="10"/>
      <c r="H10951" s="10"/>
      <c r="I10951" s="10"/>
      <c r="J10951" s="10"/>
      <c r="K10951" s="10"/>
      <c r="L10951" s="10"/>
      <c r="M10951" s="10"/>
      <c r="N10951" s="10"/>
      <c r="O10951" s="10"/>
      <c r="P10951" s="10"/>
      <c r="Q10951" s="10"/>
      <c r="R10951" s="10"/>
      <c r="S10951" s="10"/>
      <c r="T10951" s="10"/>
      <c r="U10951" s="10"/>
      <c r="V10951" s="10"/>
      <c r="W10951" s="10"/>
      <c r="X10951" s="10"/>
      <c r="Y10951" s="10"/>
      <c r="Z10951" s="10"/>
    </row>
    <row r="10952" spans="1:26" ht="12.75">
      <c r="A10952" s="10"/>
      <c r="B10952" s="10"/>
      <c r="C10952" s="10"/>
      <c r="D10952" s="10"/>
      <c r="E10952" s="10"/>
      <c r="F10952" s="10"/>
      <c r="G10952" s="10"/>
      <c r="H10952" s="10"/>
      <c r="I10952" s="10"/>
      <c r="J10952" s="10"/>
      <c r="K10952" s="10"/>
      <c r="L10952" s="10"/>
      <c r="M10952" s="10"/>
      <c r="N10952" s="10"/>
      <c r="O10952" s="10"/>
      <c r="P10952" s="10"/>
      <c r="Q10952" s="10"/>
      <c r="R10952" s="10"/>
      <c r="S10952" s="10"/>
      <c r="T10952" s="10"/>
      <c r="U10952" s="10"/>
      <c r="V10952" s="10"/>
      <c r="W10952" s="10"/>
      <c r="X10952" s="10"/>
      <c r="Y10952" s="10"/>
      <c r="Z10952" s="10"/>
    </row>
    <row r="10953" spans="1:26" ht="12.75">
      <c r="A10953" s="10"/>
      <c r="B10953" s="10"/>
      <c r="C10953" s="10"/>
      <c r="D10953" s="10"/>
      <c r="E10953" s="10"/>
      <c r="F10953" s="10"/>
      <c r="G10953" s="10"/>
      <c r="H10953" s="10"/>
      <c r="I10953" s="10"/>
      <c r="J10953" s="10"/>
      <c r="K10953" s="10"/>
      <c r="L10953" s="10"/>
      <c r="M10953" s="10"/>
      <c r="N10953" s="10"/>
      <c r="O10953" s="10"/>
      <c r="P10953" s="10"/>
      <c r="Q10953" s="10"/>
      <c r="R10953" s="10"/>
      <c r="S10953" s="10"/>
      <c r="T10953" s="10"/>
      <c r="U10953" s="10"/>
      <c r="V10953" s="10"/>
      <c r="W10953" s="10"/>
      <c r="X10953" s="10"/>
      <c r="Y10953" s="10"/>
      <c r="Z10953" s="10"/>
    </row>
    <row r="10954" spans="1:26" ht="12.75">
      <c r="A10954" s="10"/>
      <c r="B10954" s="10"/>
      <c r="C10954" s="10"/>
      <c r="D10954" s="10"/>
      <c r="E10954" s="10"/>
      <c r="F10954" s="10"/>
      <c r="G10954" s="10"/>
      <c r="H10954" s="10"/>
      <c r="I10954" s="10"/>
      <c r="J10954" s="10"/>
      <c r="K10954" s="10"/>
      <c r="L10954" s="10"/>
      <c r="M10954" s="10"/>
      <c r="N10954" s="10"/>
      <c r="O10954" s="10"/>
      <c r="P10954" s="10"/>
      <c r="Q10954" s="10"/>
      <c r="R10954" s="10"/>
      <c r="S10954" s="10"/>
      <c r="T10954" s="10"/>
      <c r="U10954" s="10"/>
      <c r="V10954" s="10"/>
      <c r="W10954" s="10"/>
      <c r="X10954" s="10"/>
      <c r="Y10954" s="10"/>
      <c r="Z10954" s="10"/>
    </row>
    <row r="10955" spans="1:26" ht="12.75">
      <c r="A10955" s="10"/>
      <c r="B10955" s="10"/>
      <c r="C10955" s="10"/>
      <c r="D10955" s="10"/>
      <c r="E10955" s="10"/>
      <c r="F10955" s="10"/>
      <c r="G10955" s="10"/>
      <c r="H10955" s="10"/>
      <c r="I10955" s="10"/>
      <c r="J10955" s="10"/>
      <c r="K10955" s="10"/>
      <c r="L10955" s="10"/>
      <c r="M10955" s="10"/>
      <c r="N10955" s="10"/>
      <c r="O10955" s="10"/>
      <c r="P10955" s="10"/>
      <c r="Q10955" s="10"/>
      <c r="R10955" s="10"/>
      <c r="S10955" s="10"/>
      <c r="T10955" s="10"/>
      <c r="U10955" s="10"/>
      <c r="V10955" s="10"/>
      <c r="W10955" s="10"/>
      <c r="X10955" s="10"/>
      <c r="Y10955" s="10"/>
      <c r="Z10955" s="10"/>
    </row>
    <row r="10956" spans="1:26" ht="12.75">
      <c r="A10956" s="10"/>
      <c r="B10956" s="10"/>
      <c r="C10956" s="10"/>
      <c r="D10956" s="10"/>
      <c r="E10956" s="10"/>
      <c r="F10956" s="10"/>
      <c r="G10956" s="10"/>
      <c r="H10956" s="10"/>
      <c r="I10956" s="10"/>
      <c r="J10956" s="10"/>
      <c r="K10956" s="10"/>
      <c r="L10956" s="10"/>
      <c r="M10956" s="10"/>
      <c r="N10956" s="10"/>
      <c r="O10956" s="10"/>
      <c r="P10956" s="10"/>
      <c r="Q10956" s="10"/>
      <c r="R10956" s="10"/>
      <c r="S10956" s="10"/>
      <c r="T10956" s="10"/>
      <c r="U10956" s="10"/>
      <c r="V10956" s="10"/>
      <c r="W10956" s="10"/>
      <c r="X10956" s="10"/>
      <c r="Y10956" s="10"/>
      <c r="Z10956" s="10"/>
    </row>
    <row r="10957" spans="1:26" ht="12.75">
      <c r="A10957" s="10"/>
      <c r="B10957" s="10"/>
      <c r="C10957" s="10"/>
      <c r="D10957" s="10"/>
      <c r="E10957" s="10"/>
      <c r="F10957" s="10"/>
      <c r="G10957" s="10"/>
      <c r="H10957" s="10"/>
      <c r="I10957" s="10"/>
      <c r="J10957" s="10"/>
      <c r="K10957" s="10"/>
      <c r="L10957" s="10"/>
      <c r="M10957" s="10"/>
      <c r="N10957" s="10"/>
      <c r="O10957" s="10"/>
      <c r="P10957" s="10"/>
      <c r="Q10957" s="10"/>
      <c r="R10957" s="10"/>
      <c r="S10957" s="10"/>
      <c r="T10957" s="10"/>
      <c r="U10957" s="10"/>
      <c r="V10957" s="10"/>
      <c r="W10957" s="10"/>
      <c r="X10957" s="10"/>
      <c r="Y10957" s="10"/>
      <c r="Z10957" s="10"/>
    </row>
    <row r="10958" spans="1:26" ht="12.75">
      <c r="A10958" s="10"/>
      <c r="B10958" s="10"/>
      <c r="C10958" s="10"/>
      <c r="D10958" s="10"/>
      <c r="E10958" s="10"/>
      <c r="F10958" s="10"/>
      <c r="G10958" s="10"/>
      <c r="H10958" s="10"/>
      <c r="I10958" s="10"/>
      <c r="J10958" s="10"/>
      <c r="K10958" s="10"/>
      <c r="L10958" s="10"/>
      <c r="M10958" s="10"/>
      <c r="N10958" s="10"/>
      <c r="O10958" s="10"/>
      <c r="P10958" s="10"/>
      <c r="Q10958" s="10"/>
      <c r="R10958" s="10"/>
      <c r="S10958" s="10"/>
      <c r="T10958" s="10"/>
      <c r="U10958" s="10"/>
      <c r="V10958" s="10"/>
      <c r="W10958" s="10"/>
      <c r="X10958" s="10"/>
      <c r="Y10958" s="10"/>
      <c r="Z10958" s="10"/>
    </row>
    <row r="10959" spans="1:26" ht="12.75">
      <c r="A10959" s="10"/>
      <c r="B10959" s="10"/>
      <c r="C10959" s="10"/>
      <c r="D10959" s="10"/>
      <c r="E10959" s="10"/>
      <c r="F10959" s="10"/>
      <c r="G10959" s="10"/>
      <c r="H10959" s="10"/>
      <c r="I10959" s="10"/>
      <c r="J10959" s="10"/>
      <c r="K10959" s="10"/>
      <c r="L10959" s="10"/>
      <c r="M10959" s="10"/>
      <c r="N10959" s="10"/>
      <c r="O10959" s="10"/>
      <c r="P10959" s="10"/>
      <c r="Q10959" s="10"/>
      <c r="R10959" s="10"/>
      <c r="S10959" s="10"/>
      <c r="T10959" s="10"/>
      <c r="U10959" s="10"/>
      <c r="V10959" s="10"/>
      <c r="W10959" s="10"/>
      <c r="X10959" s="10"/>
      <c r="Y10959" s="10"/>
      <c r="Z10959" s="10"/>
    </row>
    <row r="10960" spans="1:26" ht="12.75">
      <c r="A10960" s="10"/>
      <c r="B10960" s="10"/>
      <c r="C10960" s="10"/>
      <c r="D10960" s="10"/>
      <c r="E10960" s="10"/>
      <c r="F10960" s="10"/>
      <c r="G10960" s="10"/>
      <c r="H10960" s="10"/>
      <c r="I10960" s="10"/>
      <c r="J10960" s="10"/>
      <c r="K10960" s="10"/>
      <c r="L10960" s="10"/>
      <c r="M10960" s="10"/>
      <c r="N10960" s="10"/>
      <c r="O10960" s="10"/>
      <c r="P10960" s="10"/>
      <c r="Q10960" s="10"/>
      <c r="R10960" s="10"/>
      <c r="S10960" s="10"/>
      <c r="T10960" s="10"/>
      <c r="U10960" s="10"/>
      <c r="V10960" s="10"/>
      <c r="W10960" s="10"/>
      <c r="X10960" s="10"/>
      <c r="Y10960" s="10"/>
      <c r="Z10960" s="10"/>
    </row>
    <row r="10961" spans="1:26" ht="12.75">
      <c r="A10961" s="10"/>
      <c r="B10961" s="10"/>
      <c r="C10961" s="10"/>
      <c r="D10961" s="10"/>
      <c r="E10961" s="10"/>
      <c r="F10961" s="10"/>
      <c r="G10961" s="10"/>
      <c r="H10961" s="10"/>
      <c r="I10961" s="10"/>
      <c r="J10961" s="10"/>
      <c r="K10961" s="10"/>
      <c r="L10961" s="10"/>
      <c r="M10961" s="10"/>
      <c r="N10961" s="10"/>
      <c r="O10961" s="10"/>
      <c r="P10961" s="10"/>
      <c r="Q10961" s="10"/>
      <c r="R10961" s="10"/>
      <c r="S10961" s="10"/>
      <c r="T10961" s="10"/>
      <c r="U10961" s="10"/>
      <c r="V10961" s="10"/>
      <c r="W10961" s="10"/>
      <c r="X10961" s="10"/>
      <c r="Y10961" s="10"/>
      <c r="Z10961" s="10"/>
    </row>
    <row r="10962" spans="1:26" ht="12.75">
      <c r="A10962" s="10"/>
      <c r="B10962" s="10"/>
      <c r="C10962" s="10"/>
      <c r="D10962" s="10"/>
      <c r="E10962" s="10"/>
      <c r="F10962" s="10"/>
      <c r="G10962" s="10"/>
      <c r="H10962" s="10"/>
      <c r="I10962" s="10"/>
      <c r="J10962" s="10"/>
      <c r="K10962" s="10"/>
      <c r="L10962" s="10"/>
      <c r="M10962" s="10"/>
      <c r="N10962" s="10"/>
      <c r="O10962" s="10"/>
      <c r="P10962" s="10"/>
      <c r="Q10962" s="10"/>
      <c r="R10962" s="10"/>
      <c r="S10962" s="10"/>
      <c r="T10962" s="10"/>
      <c r="U10962" s="10"/>
      <c r="V10962" s="10"/>
      <c r="W10962" s="10"/>
      <c r="X10962" s="10"/>
      <c r="Y10962" s="10"/>
      <c r="Z10962" s="10"/>
    </row>
    <row r="10963" spans="1:26" ht="12.75">
      <c r="A10963" s="10"/>
      <c r="B10963" s="10"/>
      <c r="C10963" s="10"/>
      <c r="D10963" s="10"/>
      <c r="E10963" s="10"/>
      <c r="F10963" s="10"/>
      <c r="G10963" s="10"/>
      <c r="H10963" s="10"/>
      <c r="I10963" s="10"/>
      <c r="J10963" s="10"/>
      <c r="K10963" s="10"/>
      <c r="L10963" s="10"/>
      <c r="M10963" s="10"/>
      <c r="N10963" s="10"/>
      <c r="O10963" s="10"/>
      <c r="P10963" s="10"/>
      <c r="Q10963" s="10"/>
      <c r="R10963" s="10"/>
      <c r="S10963" s="10"/>
      <c r="T10963" s="10"/>
      <c r="U10963" s="10"/>
      <c r="V10963" s="10"/>
      <c r="W10963" s="10"/>
      <c r="X10963" s="10"/>
      <c r="Y10963" s="10"/>
      <c r="Z10963" s="10"/>
    </row>
    <row r="10964" spans="1:26" ht="12.75">
      <c r="A10964" s="10"/>
      <c r="B10964" s="10"/>
      <c r="C10964" s="10"/>
      <c r="D10964" s="10"/>
      <c r="E10964" s="10"/>
      <c r="F10964" s="10"/>
      <c r="G10964" s="10"/>
      <c r="H10964" s="10"/>
      <c r="I10964" s="10"/>
      <c r="J10964" s="10"/>
      <c r="K10964" s="10"/>
      <c r="L10964" s="10"/>
      <c r="M10964" s="10"/>
      <c r="N10964" s="10"/>
      <c r="O10964" s="10"/>
      <c r="P10964" s="10"/>
      <c r="Q10964" s="10"/>
      <c r="R10964" s="10"/>
      <c r="S10964" s="10"/>
      <c r="T10964" s="10"/>
      <c r="U10964" s="10"/>
      <c r="V10964" s="10"/>
      <c r="W10964" s="10"/>
      <c r="X10964" s="10"/>
      <c r="Y10964" s="10"/>
      <c r="Z10964" s="10"/>
    </row>
    <row r="10965" spans="1:26" ht="12.75">
      <c r="A10965" s="10"/>
      <c r="B10965" s="10"/>
      <c r="C10965" s="10"/>
      <c r="D10965" s="10"/>
      <c r="E10965" s="10"/>
      <c r="F10965" s="10"/>
      <c r="G10965" s="10"/>
      <c r="H10965" s="10"/>
      <c r="I10965" s="10"/>
      <c r="J10965" s="10"/>
      <c r="K10965" s="10"/>
      <c r="L10965" s="10"/>
      <c r="M10965" s="10"/>
      <c r="N10965" s="10"/>
      <c r="O10965" s="10"/>
      <c r="P10965" s="10"/>
      <c r="Q10965" s="10"/>
      <c r="R10965" s="10"/>
      <c r="S10965" s="10"/>
      <c r="T10965" s="10"/>
      <c r="U10965" s="10"/>
      <c r="V10965" s="10"/>
      <c r="W10965" s="10"/>
      <c r="X10965" s="10"/>
      <c r="Y10965" s="10"/>
      <c r="Z10965" s="10"/>
    </row>
    <row r="10966" spans="1:26" ht="12.75">
      <c r="A10966" s="10"/>
      <c r="B10966" s="10"/>
      <c r="C10966" s="10"/>
      <c r="D10966" s="10"/>
      <c r="E10966" s="10"/>
      <c r="F10966" s="10"/>
      <c r="G10966" s="10"/>
      <c r="H10966" s="10"/>
      <c r="I10966" s="10"/>
      <c r="J10966" s="10"/>
      <c r="K10966" s="10"/>
      <c r="L10966" s="10"/>
      <c r="M10966" s="10"/>
      <c r="N10966" s="10"/>
      <c r="O10966" s="10"/>
      <c r="P10966" s="10"/>
      <c r="Q10966" s="10"/>
      <c r="R10966" s="10"/>
      <c r="S10966" s="10"/>
      <c r="T10966" s="10"/>
      <c r="U10966" s="10"/>
      <c r="V10966" s="10"/>
      <c r="W10966" s="10"/>
      <c r="X10966" s="10"/>
      <c r="Y10966" s="10"/>
      <c r="Z10966" s="10"/>
    </row>
    <row r="10967" spans="1:26" ht="12.75">
      <c r="A10967" s="10"/>
      <c r="B10967" s="10"/>
      <c r="C10967" s="10"/>
      <c r="D10967" s="10"/>
      <c r="E10967" s="10"/>
      <c r="F10967" s="10"/>
      <c r="G10967" s="10"/>
      <c r="H10967" s="10"/>
      <c r="I10967" s="10"/>
      <c r="J10967" s="10"/>
      <c r="K10967" s="10"/>
      <c r="L10967" s="10"/>
      <c r="M10967" s="10"/>
      <c r="N10967" s="10"/>
      <c r="O10967" s="10"/>
      <c r="P10967" s="10"/>
      <c r="Q10967" s="10"/>
      <c r="R10967" s="10"/>
      <c r="S10967" s="10"/>
      <c r="T10967" s="10"/>
      <c r="U10967" s="10"/>
      <c r="V10967" s="10"/>
      <c r="W10967" s="10"/>
      <c r="X10967" s="10"/>
      <c r="Y10967" s="10"/>
      <c r="Z10967" s="10"/>
    </row>
    <row r="10968" spans="1:26" ht="12.75">
      <c r="A10968" s="10"/>
      <c r="B10968" s="10"/>
      <c r="C10968" s="10"/>
      <c r="D10968" s="10"/>
      <c r="E10968" s="10"/>
      <c r="F10968" s="10"/>
      <c r="G10968" s="10"/>
      <c r="H10968" s="10"/>
      <c r="I10968" s="10"/>
      <c r="J10968" s="10"/>
      <c r="K10968" s="10"/>
      <c r="L10968" s="10"/>
      <c r="M10968" s="10"/>
      <c r="N10968" s="10"/>
      <c r="O10968" s="10"/>
      <c r="P10968" s="10"/>
      <c r="Q10968" s="10"/>
      <c r="R10968" s="10"/>
      <c r="S10968" s="10"/>
      <c r="T10968" s="10"/>
      <c r="U10968" s="10"/>
      <c r="V10968" s="10"/>
      <c r="W10968" s="10"/>
      <c r="X10968" s="10"/>
      <c r="Y10968" s="10"/>
      <c r="Z10968" s="10"/>
    </row>
    <row r="10969" spans="1:26" ht="12.75">
      <c r="A10969" s="10"/>
      <c r="B10969" s="10"/>
      <c r="C10969" s="10"/>
      <c r="D10969" s="10"/>
      <c r="E10969" s="10"/>
      <c r="F10969" s="10"/>
      <c r="G10969" s="10"/>
      <c r="H10969" s="10"/>
      <c r="I10969" s="10"/>
      <c r="J10969" s="10"/>
      <c r="K10969" s="10"/>
      <c r="L10969" s="10"/>
      <c r="M10969" s="10"/>
      <c r="N10969" s="10"/>
      <c r="O10969" s="10"/>
      <c r="P10969" s="10"/>
      <c r="Q10969" s="10"/>
      <c r="R10969" s="10"/>
      <c r="S10969" s="10"/>
      <c r="T10969" s="10"/>
      <c r="U10969" s="10"/>
      <c r="V10969" s="10"/>
      <c r="W10969" s="10"/>
      <c r="X10969" s="10"/>
      <c r="Y10969" s="10"/>
      <c r="Z10969" s="10"/>
    </row>
    <row r="10970" spans="1:26" ht="12.75">
      <c r="A10970" s="10"/>
      <c r="B10970" s="10"/>
      <c r="C10970" s="10"/>
      <c r="D10970" s="10"/>
      <c r="E10970" s="10"/>
      <c r="F10970" s="10"/>
      <c r="G10970" s="10"/>
      <c r="H10970" s="10"/>
      <c r="I10970" s="10"/>
      <c r="J10970" s="10"/>
      <c r="K10970" s="10"/>
      <c r="L10970" s="10"/>
      <c r="M10970" s="10"/>
      <c r="N10970" s="10"/>
      <c r="O10970" s="10"/>
      <c r="P10970" s="10"/>
      <c r="Q10970" s="10"/>
      <c r="R10970" s="10"/>
      <c r="S10970" s="10"/>
      <c r="T10970" s="10"/>
      <c r="U10970" s="10"/>
      <c r="V10970" s="10"/>
      <c r="W10970" s="10"/>
      <c r="X10970" s="10"/>
      <c r="Y10970" s="10"/>
      <c r="Z10970" s="10"/>
    </row>
    <row r="10971" spans="1:26" ht="12.75">
      <c r="A10971" s="10"/>
      <c r="B10971" s="10"/>
      <c r="C10971" s="10"/>
      <c r="D10971" s="10"/>
      <c r="E10971" s="10"/>
      <c r="F10971" s="10"/>
      <c r="G10971" s="10"/>
      <c r="H10971" s="10"/>
      <c r="I10971" s="10"/>
      <c r="J10971" s="10"/>
      <c r="K10971" s="10"/>
      <c r="L10971" s="10"/>
      <c r="M10971" s="10"/>
      <c r="N10971" s="10"/>
      <c r="O10971" s="10"/>
      <c r="P10971" s="10"/>
      <c r="Q10971" s="10"/>
      <c r="R10971" s="10"/>
      <c r="S10971" s="10"/>
      <c r="T10971" s="10"/>
      <c r="U10971" s="10"/>
      <c r="V10971" s="10"/>
      <c r="W10971" s="10"/>
      <c r="X10971" s="10"/>
      <c r="Y10971" s="10"/>
      <c r="Z10971" s="10"/>
    </row>
    <row r="10972" spans="1:26" ht="12.75">
      <c r="A10972" s="10"/>
      <c r="B10972" s="10"/>
      <c r="C10972" s="10"/>
      <c r="D10972" s="10"/>
      <c r="E10972" s="10"/>
      <c r="F10972" s="10"/>
      <c r="G10972" s="10"/>
      <c r="H10972" s="10"/>
      <c r="I10972" s="10"/>
      <c r="J10972" s="10"/>
      <c r="K10972" s="10"/>
      <c r="L10972" s="10"/>
      <c r="M10972" s="10"/>
      <c r="N10972" s="10"/>
      <c r="O10972" s="10"/>
      <c r="P10972" s="10"/>
      <c r="Q10972" s="10"/>
      <c r="R10972" s="10"/>
      <c r="S10972" s="10"/>
      <c r="T10972" s="10"/>
      <c r="U10972" s="10"/>
      <c r="V10972" s="10"/>
      <c r="W10972" s="10"/>
      <c r="X10972" s="10"/>
      <c r="Y10972" s="10"/>
      <c r="Z10972" s="10"/>
    </row>
    <row r="10973" spans="1:26" ht="12.75">
      <c r="A10973" s="10"/>
      <c r="B10973" s="10"/>
      <c r="C10973" s="10"/>
      <c r="D10973" s="10"/>
      <c r="E10973" s="10"/>
      <c r="F10973" s="10"/>
      <c r="G10973" s="10"/>
      <c r="H10973" s="10"/>
      <c r="I10973" s="10"/>
      <c r="J10973" s="10"/>
      <c r="K10973" s="10"/>
      <c r="L10973" s="10"/>
      <c r="M10973" s="10"/>
      <c r="N10973" s="10"/>
      <c r="O10973" s="10"/>
      <c r="P10973" s="10"/>
      <c r="Q10973" s="10"/>
      <c r="R10973" s="10"/>
      <c r="S10973" s="10"/>
      <c r="T10973" s="10"/>
      <c r="U10973" s="10"/>
      <c r="V10973" s="10"/>
      <c r="W10973" s="10"/>
      <c r="X10973" s="10"/>
      <c r="Y10973" s="10"/>
      <c r="Z10973" s="10"/>
    </row>
    <row r="10974" spans="1:26" ht="12.75">
      <c r="A10974" s="10"/>
      <c r="B10974" s="10"/>
      <c r="C10974" s="10"/>
      <c r="D10974" s="10"/>
      <c r="E10974" s="10"/>
      <c r="F10974" s="10"/>
      <c r="G10974" s="10"/>
      <c r="H10974" s="10"/>
      <c r="I10974" s="10"/>
      <c r="J10974" s="10"/>
      <c r="K10974" s="10"/>
      <c r="L10974" s="10"/>
      <c r="M10974" s="10"/>
      <c r="N10974" s="10"/>
      <c r="O10974" s="10"/>
      <c r="P10974" s="10"/>
      <c r="Q10974" s="10"/>
      <c r="R10974" s="10"/>
      <c r="S10974" s="10"/>
      <c r="T10974" s="10"/>
      <c r="U10974" s="10"/>
      <c r="V10974" s="10"/>
      <c r="W10974" s="10"/>
      <c r="X10974" s="10"/>
      <c r="Y10974" s="10"/>
      <c r="Z10974" s="10"/>
    </row>
    <row r="10975" spans="1:26" ht="12.75">
      <c r="A10975" s="10"/>
      <c r="B10975" s="10"/>
      <c r="C10975" s="10"/>
      <c r="D10975" s="10"/>
      <c r="E10975" s="10"/>
      <c r="F10975" s="10"/>
      <c r="G10975" s="10"/>
      <c r="H10975" s="10"/>
      <c r="I10975" s="10"/>
      <c r="J10975" s="10"/>
      <c r="K10975" s="10"/>
      <c r="L10975" s="10"/>
      <c r="M10975" s="10"/>
      <c r="N10975" s="10"/>
      <c r="O10975" s="10"/>
      <c r="P10975" s="10"/>
      <c r="Q10975" s="10"/>
      <c r="R10975" s="10"/>
      <c r="S10975" s="10"/>
      <c r="T10975" s="10"/>
      <c r="U10975" s="10"/>
      <c r="V10975" s="10"/>
      <c r="W10975" s="10"/>
      <c r="X10975" s="10"/>
      <c r="Y10975" s="10"/>
      <c r="Z10975" s="10"/>
    </row>
    <row r="10976" spans="1:26" ht="12.75">
      <c r="A10976" s="10"/>
      <c r="B10976" s="10"/>
      <c r="C10976" s="10"/>
      <c r="D10976" s="10"/>
      <c r="E10976" s="10"/>
      <c r="F10976" s="10"/>
      <c r="G10976" s="10"/>
      <c r="H10976" s="10"/>
      <c r="I10976" s="10"/>
      <c r="J10976" s="10"/>
      <c r="K10976" s="10"/>
      <c r="L10976" s="10"/>
      <c r="M10976" s="10"/>
      <c r="N10976" s="10"/>
      <c r="O10976" s="10"/>
      <c r="P10976" s="10"/>
      <c r="Q10976" s="10"/>
      <c r="R10976" s="10"/>
      <c r="S10976" s="10"/>
      <c r="T10976" s="10"/>
      <c r="U10976" s="10"/>
      <c r="V10976" s="10"/>
      <c r="W10976" s="10"/>
      <c r="X10976" s="10"/>
      <c r="Y10976" s="10"/>
      <c r="Z10976" s="10"/>
    </row>
    <row r="10977" spans="1:26" ht="12.75">
      <c r="A10977" s="10"/>
      <c r="B10977" s="10"/>
      <c r="C10977" s="10"/>
      <c r="D10977" s="10"/>
      <c r="E10977" s="10"/>
      <c r="F10977" s="10"/>
      <c r="G10977" s="10"/>
      <c r="H10977" s="10"/>
      <c r="I10977" s="10"/>
      <c r="J10977" s="10"/>
      <c r="K10977" s="10"/>
      <c r="L10977" s="10"/>
      <c r="M10977" s="10"/>
      <c r="N10977" s="10"/>
      <c r="O10977" s="10"/>
      <c r="P10977" s="10"/>
      <c r="Q10977" s="10"/>
      <c r="R10977" s="10"/>
      <c r="S10977" s="10"/>
      <c r="T10977" s="10"/>
      <c r="U10977" s="10"/>
      <c r="V10977" s="10"/>
      <c r="W10977" s="10"/>
      <c r="X10977" s="10"/>
      <c r="Y10977" s="10"/>
      <c r="Z10977" s="10"/>
    </row>
    <row r="10978" spans="1:26" ht="12.75">
      <c r="A10978" s="10"/>
      <c r="B10978" s="10"/>
      <c r="C10978" s="10"/>
      <c r="D10978" s="10"/>
      <c r="E10978" s="10"/>
      <c r="F10978" s="10"/>
      <c r="G10978" s="10"/>
      <c r="H10978" s="10"/>
      <c r="I10978" s="10"/>
      <c r="J10978" s="10"/>
      <c r="K10978" s="10"/>
      <c r="L10978" s="10"/>
      <c r="M10978" s="10"/>
      <c r="N10978" s="10"/>
      <c r="O10978" s="10"/>
      <c r="P10978" s="10"/>
      <c r="Q10978" s="10"/>
      <c r="R10978" s="10"/>
      <c r="S10978" s="10"/>
      <c r="T10978" s="10"/>
      <c r="U10978" s="10"/>
      <c r="V10978" s="10"/>
      <c r="W10978" s="10"/>
      <c r="X10978" s="10"/>
      <c r="Y10978" s="10"/>
      <c r="Z10978" s="10"/>
    </row>
    <row r="10979" spans="1:26" ht="12.75">
      <c r="A10979" s="10"/>
      <c r="B10979" s="10"/>
      <c r="C10979" s="10"/>
      <c r="D10979" s="10"/>
      <c r="E10979" s="10"/>
      <c r="F10979" s="10"/>
      <c r="G10979" s="10"/>
      <c r="H10979" s="10"/>
      <c r="I10979" s="10"/>
      <c r="J10979" s="10"/>
      <c r="K10979" s="10"/>
      <c r="L10979" s="10"/>
      <c r="M10979" s="10"/>
      <c r="N10979" s="10"/>
      <c r="O10979" s="10"/>
      <c r="P10979" s="10"/>
      <c r="Q10979" s="10"/>
      <c r="R10979" s="10"/>
      <c r="S10979" s="10"/>
      <c r="T10979" s="10"/>
      <c r="U10979" s="10"/>
      <c r="V10979" s="10"/>
      <c r="W10979" s="10"/>
      <c r="X10979" s="10"/>
      <c r="Y10979" s="10"/>
      <c r="Z10979" s="10"/>
    </row>
    <row r="10980" spans="1:26" ht="12.75">
      <c r="A10980" s="10"/>
      <c r="B10980" s="10"/>
      <c r="C10980" s="10"/>
      <c r="D10980" s="10"/>
      <c r="E10980" s="10"/>
      <c r="F10980" s="10"/>
      <c r="G10980" s="10"/>
      <c r="H10980" s="10"/>
      <c r="I10980" s="10"/>
      <c r="J10980" s="10"/>
      <c r="K10980" s="10"/>
      <c r="L10980" s="10"/>
      <c r="M10980" s="10"/>
      <c r="N10980" s="10"/>
      <c r="O10980" s="10"/>
      <c r="P10980" s="10"/>
      <c r="Q10980" s="10"/>
      <c r="R10980" s="10"/>
      <c r="S10980" s="10"/>
      <c r="T10980" s="10"/>
      <c r="U10980" s="10"/>
      <c r="V10980" s="10"/>
      <c r="W10980" s="10"/>
      <c r="X10980" s="10"/>
      <c r="Y10980" s="10"/>
      <c r="Z10980" s="10"/>
    </row>
    <row r="10981" spans="1:26" ht="12.75">
      <c r="A10981" s="10"/>
      <c r="B10981" s="10"/>
      <c r="C10981" s="10"/>
      <c r="D10981" s="10"/>
      <c r="E10981" s="10"/>
      <c r="F10981" s="10"/>
      <c r="G10981" s="10"/>
      <c r="H10981" s="10"/>
      <c r="I10981" s="10"/>
      <c r="J10981" s="10"/>
      <c r="K10981" s="10"/>
      <c r="L10981" s="10"/>
      <c r="M10981" s="10"/>
      <c r="N10981" s="10"/>
      <c r="O10981" s="10"/>
      <c r="P10981" s="10"/>
      <c r="Q10981" s="10"/>
      <c r="R10981" s="10"/>
      <c r="S10981" s="10"/>
      <c r="T10981" s="10"/>
      <c r="U10981" s="10"/>
      <c r="V10981" s="10"/>
      <c r="W10981" s="10"/>
      <c r="X10981" s="10"/>
      <c r="Y10981" s="10"/>
      <c r="Z10981" s="10"/>
    </row>
    <row r="10982" spans="1:26" ht="12.75">
      <c r="A10982" s="10"/>
      <c r="B10982" s="10"/>
      <c r="C10982" s="10"/>
      <c r="D10982" s="10"/>
      <c r="E10982" s="10"/>
      <c r="F10982" s="10"/>
      <c r="G10982" s="10"/>
      <c r="H10982" s="10"/>
      <c r="I10982" s="10"/>
      <c r="J10982" s="10"/>
      <c r="K10982" s="10"/>
      <c r="L10982" s="10"/>
      <c r="M10982" s="10"/>
      <c r="N10982" s="10"/>
      <c r="O10982" s="10"/>
      <c r="P10982" s="10"/>
      <c r="Q10982" s="10"/>
      <c r="R10982" s="10"/>
      <c r="S10982" s="10"/>
      <c r="T10982" s="10"/>
      <c r="U10982" s="10"/>
      <c r="V10982" s="10"/>
      <c r="W10982" s="10"/>
      <c r="X10982" s="10"/>
      <c r="Y10982" s="10"/>
      <c r="Z10982" s="10"/>
    </row>
    <row r="10983" spans="1:26" ht="12.75">
      <c r="A10983" s="10"/>
      <c r="B10983" s="10"/>
      <c r="C10983" s="10"/>
      <c r="D10983" s="10"/>
      <c r="E10983" s="10"/>
      <c r="F10983" s="10"/>
      <c r="G10983" s="10"/>
      <c r="H10983" s="10"/>
      <c r="I10983" s="10"/>
      <c r="J10983" s="10"/>
      <c r="K10983" s="10"/>
      <c r="L10983" s="10"/>
      <c r="M10983" s="10"/>
      <c r="N10983" s="10"/>
      <c r="O10983" s="10"/>
      <c r="P10983" s="10"/>
      <c r="Q10983" s="10"/>
      <c r="R10983" s="10"/>
      <c r="S10983" s="10"/>
      <c r="T10983" s="10"/>
      <c r="U10983" s="10"/>
      <c r="V10983" s="10"/>
      <c r="W10983" s="10"/>
      <c r="X10983" s="10"/>
      <c r="Y10983" s="10"/>
      <c r="Z10983" s="10"/>
    </row>
    <row r="10984" spans="1:26" ht="12.75">
      <c r="A10984" s="10"/>
      <c r="B10984" s="10"/>
      <c r="C10984" s="10"/>
      <c r="D10984" s="10"/>
      <c r="E10984" s="10"/>
      <c r="F10984" s="10"/>
      <c r="G10984" s="10"/>
      <c r="H10984" s="10"/>
      <c r="I10984" s="10"/>
      <c r="J10984" s="10"/>
      <c r="K10984" s="10"/>
      <c r="L10984" s="10"/>
      <c r="M10984" s="10"/>
      <c r="N10984" s="10"/>
      <c r="O10984" s="10"/>
      <c r="P10984" s="10"/>
      <c r="Q10984" s="10"/>
      <c r="R10984" s="10"/>
      <c r="S10984" s="10"/>
      <c r="T10984" s="10"/>
      <c r="U10984" s="10"/>
      <c r="V10984" s="10"/>
      <c r="W10984" s="10"/>
      <c r="X10984" s="10"/>
      <c r="Y10984" s="10"/>
      <c r="Z10984" s="10"/>
    </row>
    <row r="10985" spans="1:26" ht="12.75">
      <c r="A10985" s="10"/>
      <c r="B10985" s="10"/>
      <c r="C10985" s="10"/>
      <c r="D10985" s="10"/>
      <c r="E10985" s="10"/>
      <c r="F10985" s="10"/>
      <c r="G10985" s="10"/>
      <c r="H10985" s="10"/>
      <c r="I10985" s="10"/>
      <c r="J10985" s="10"/>
      <c r="K10985" s="10"/>
      <c r="L10985" s="10"/>
      <c r="M10985" s="10"/>
      <c r="N10985" s="10"/>
      <c r="O10985" s="10"/>
      <c r="P10985" s="10"/>
      <c r="Q10985" s="10"/>
      <c r="R10985" s="10"/>
      <c r="S10985" s="10"/>
      <c r="T10985" s="10"/>
      <c r="U10985" s="10"/>
      <c r="V10985" s="10"/>
      <c r="W10985" s="10"/>
      <c r="X10985" s="10"/>
      <c r="Y10985" s="10"/>
      <c r="Z10985" s="10"/>
    </row>
    <row r="10986" spans="1:26" ht="12.75">
      <c r="A10986" s="10"/>
      <c r="B10986" s="10"/>
      <c r="C10986" s="10"/>
      <c r="D10986" s="10"/>
      <c r="E10986" s="10"/>
      <c r="F10986" s="10"/>
      <c r="G10986" s="10"/>
      <c r="H10986" s="10"/>
      <c r="I10986" s="10"/>
      <c r="J10986" s="10"/>
      <c r="K10986" s="10"/>
      <c r="L10986" s="10"/>
      <c r="M10986" s="10"/>
      <c r="N10986" s="10"/>
      <c r="O10986" s="10"/>
      <c r="P10986" s="10"/>
      <c r="Q10986" s="10"/>
      <c r="R10986" s="10"/>
      <c r="S10986" s="10"/>
      <c r="T10986" s="10"/>
      <c r="U10986" s="10"/>
      <c r="V10986" s="10"/>
      <c r="W10986" s="10"/>
      <c r="X10986" s="10"/>
      <c r="Y10986" s="10"/>
      <c r="Z10986" s="10"/>
    </row>
    <row r="10987" spans="1:26" ht="12.75">
      <c r="A10987" s="10"/>
      <c r="B10987" s="10"/>
      <c r="C10987" s="10"/>
      <c r="D10987" s="10"/>
      <c r="E10987" s="10"/>
      <c r="F10987" s="10"/>
      <c r="G10987" s="10"/>
      <c r="H10987" s="10"/>
      <c r="I10987" s="10"/>
      <c r="J10987" s="10"/>
      <c r="K10987" s="10"/>
      <c r="L10987" s="10"/>
      <c r="M10987" s="10"/>
      <c r="N10987" s="10"/>
      <c r="O10987" s="10"/>
      <c r="P10987" s="10"/>
      <c r="Q10987" s="10"/>
      <c r="R10987" s="10"/>
      <c r="S10987" s="10"/>
      <c r="T10987" s="10"/>
      <c r="U10987" s="10"/>
      <c r="V10987" s="10"/>
      <c r="W10987" s="10"/>
      <c r="X10987" s="10"/>
      <c r="Y10987" s="10"/>
      <c r="Z10987" s="10"/>
    </row>
    <row r="10988" spans="1:26" ht="12.75">
      <c r="A10988" s="10"/>
      <c r="B10988" s="10"/>
      <c r="C10988" s="10"/>
      <c r="D10988" s="10"/>
      <c r="E10988" s="10"/>
      <c r="F10988" s="10"/>
      <c r="G10988" s="10"/>
      <c r="H10988" s="10"/>
      <c r="I10988" s="10"/>
      <c r="J10988" s="10"/>
      <c r="K10988" s="10"/>
      <c r="L10988" s="10"/>
      <c r="M10988" s="10"/>
      <c r="N10988" s="10"/>
      <c r="O10988" s="10"/>
      <c r="P10988" s="10"/>
      <c r="Q10988" s="10"/>
      <c r="R10988" s="10"/>
      <c r="S10988" s="10"/>
      <c r="T10988" s="10"/>
      <c r="U10988" s="10"/>
      <c r="V10988" s="10"/>
      <c r="W10988" s="10"/>
      <c r="X10988" s="10"/>
      <c r="Y10988" s="10"/>
      <c r="Z10988" s="10"/>
    </row>
    <row r="10989" spans="1:26" ht="12.75">
      <c r="A10989" s="10"/>
      <c r="B10989" s="10"/>
      <c r="C10989" s="10"/>
      <c r="D10989" s="10"/>
      <c r="E10989" s="10"/>
      <c r="F10989" s="10"/>
      <c r="G10989" s="10"/>
      <c r="H10989" s="10"/>
      <c r="I10989" s="10"/>
      <c r="J10989" s="10"/>
      <c r="K10989" s="10"/>
      <c r="L10989" s="10"/>
      <c r="M10989" s="10"/>
      <c r="N10989" s="10"/>
      <c r="O10989" s="10"/>
      <c r="P10989" s="10"/>
      <c r="Q10989" s="10"/>
      <c r="R10989" s="10"/>
      <c r="S10989" s="10"/>
      <c r="T10989" s="10"/>
      <c r="U10989" s="10"/>
      <c r="V10989" s="10"/>
      <c r="W10989" s="10"/>
      <c r="X10989" s="10"/>
      <c r="Y10989" s="10"/>
      <c r="Z10989" s="10"/>
    </row>
    <row r="10990" spans="1:26" ht="12.75">
      <c r="A10990" s="10"/>
      <c r="B10990" s="10"/>
      <c r="C10990" s="10"/>
      <c r="D10990" s="10"/>
      <c r="E10990" s="10"/>
      <c r="F10990" s="10"/>
      <c r="G10990" s="10"/>
      <c r="H10990" s="10"/>
      <c r="I10990" s="10"/>
      <c r="J10990" s="10"/>
      <c r="K10990" s="10"/>
      <c r="L10990" s="10"/>
      <c r="M10990" s="10"/>
      <c r="N10990" s="10"/>
      <c r="O10990" s="10"/>
      <c r="P10990" s="10"/>
      <c r="Q10990" s="10"/>
      <c r="R10990" s="10"/>
      <c r="S10990" s="10"/>
      <c r="T10990" s="10"/>
      <c r="U10990" s="10"/>
      <c r="V10990" s="10"/>
      <c r="W10990" s="10"/>
      <c r="X10990" s="10"/>
      <c r="Y10990" s="10"/>
      <c r="Z10990" s="10"/>
    </row>
    <row r="10991" spans="1:26" ht="12.75">
      <c r="A10991" s="10"/>
      <c r="B10991" s="10"/>
      <c r="C10991" s="10"/>
      <c r="D10991" s="10"/>
      <c r="E10991" s="10"/>
      <c r="F10991" s="10"/>
      <c r="G10991" s="10"/>
      <c r="H10991" s="10"/>
      <c r="I10991" s="10"/>
      <c r="J10991" s="10"/>
      <c r="K10991" s="10"/>
      <c r="L10991" s="10"/>
      <c r="M10991" s="10"/>
      <c r="N10991" s="10"/>
      <c r="O10991" s="10"/>
      <c r="P10991" s="10"/>
      <c r="Q10991" s="10"/>
      <c r="R10991" s="10"/>
      <c r="S10991" s="10"/>
      <c r="T10991" s="10"/>
      <c r="U10991" s="10"/>
      <c r="V10991" s="10"/>
      <c r="W10991" s="10"/>
      <c r="X10991" s="10"/>
      <c r="Y10991" s="10"/>
      <c r="Z10991" s="10"/>
    </row>
    <row r="10992" spans="1:26" ht="12.75">
      <c r="A10992" s="10"/>
      <c r="B10992" s="10"/>
      <c r="C10992" s="10"/>
      <c r="D10992" s="10"/>
      <c r="E10992" s="10"/>
      <c r="F10992" s="10"/>
      <c r="G10992" s="10"/>
      <c r="H10992" s="10"/>
      <c r="I10992" s="10"/>
      <c r="J10992" s="10"/>
      <c r="K10992" s="10"/>
      <c r="L10992" s="10"/>
      <c r="M10992" s="10"/>
      <c r="N10992" s="10"/>
      <c r="O10992" s="10"/>
      <c r="P10992" s="10"/>
      <c r="Q10992" s="10"/>
      <c r="R10992" s="10"/>
      <c r="S10992" s="10"/>
      <c r="T10992" s="10"/>
      <c r="U10992" s="10"/>
      <c r="V10992" s="10"/>
      <c r="W10992" s="10"/>
      <c r="X10992" s="10"/>
      <c r="Y10992" s="10"/>
      <c r="Z10992" s="10"/>
    </row>
    <row r="10993" spans="1:26" ht="12.75">
      <c r="A10993" s="10"/>
      <c r="B10993" s="10"/>
      <c r="C10993" s="10"/>
      <c r="D10993" s="10"/>
      <c r="E10993" s="10"/>
      <c r="F10993" s="10"/>
      <c r="G10993" s="10"/>
      <c r="H10993" s="10"/>
      <c r="I10993" s="10"/>
      <c r="J10993" s="10"/>
      <c r="K10993" s="10"/>
      <c r="L10993" s="10"/>
      <c r="M10993" s="10"/>
      <c r="N10993" s="10"/>
      <c r="O10993" s="10"/>
      <c r="P10993" s="10"/>
      <c r="Q10993" s="10"/>
      <c r="R10993" s="10"/>
      <c r="S10993" s="10"/>
      <c r="T10993" s="10"/>
      <c r="U10993" s="10"/>
      <c r="V10993" s="10"/>
      <c r="W10993" s="10"/>
      <c r="X10993" s="10"/>
      <c r="Y10993" s="10"/>
      <c r="Z10993" s="10"/>
    </row>
    <row r="10994" spans="1:26" ht="12.75">
      <c r="A10994" s="10"/>
      <c r="B10994" s="10"/>
      <c r="C10994" s="10"/>
      <c r="D10994" s="10"/>
      <c r="E10994" s="10"/>
      <c r="F10994" s="10"/>
      <c r="G10994" s="10"/>
      <c r="H10994" s="10"/>
      <c r="I10994" s="10"/>
      <c r="J10994" s="10"/>
      <c r="K10994" s="10"/>
      <c r="L10994" s="10"/>
      <c r="M10994" s="10"/>
      <c r="N10994" s="10"/>
      <c r="O10994" s="10"/>
      <c r="P10994" s="10"/>
      <c r="Q10994" s="10"/>
      <c r="R10994" s="10"/>
      <c r="S10994" s="10"/>
      <c r="T10994" s="10"/>
      <c r="U10994" s="10"/>
      <c r="V10994" s="10"/>
      <c r="W10994" s="10"/>
      <c r="X10994" s="10"/>
      <c r="Y10994" s="10"/>
      <c r="Z10994" s="10"/>
    </row>
    <row r="10995" spans="1:26" ht="12.75">
      <c r="A10995" s="10"/>
      <c r="B10995" s="10"/>
      <c r="C10995" s="10"/>
      <c r="D10995" s="10"/>
      <c r="E10995" s="10"/>
      <c r="F10995" s="10"/>
      <c r="G10995" s="10"/>
      <c r="H10995" s="10"/>
      <c r="I10995" s="10"/>
      <c r="J10995" s="10"/>
      <c r="K10995" s="10"/>
      <c r="L10995" s="10"/>
      <c r="M10995" s="10"/>
      <c r="N10995" s="10"/>
      <c r="O10995" s="10"/>
      <c r="P10995" s="10"/>
      <c r="Q10995" s="10"/>
      <c r="R10995" s="10"/>
      <c r="S10995" s="10"/>
      <c r="T10995" s="10"/>
      <c r="U10995" s="10"/>
      <c r="V10995" s="10"/>
      <c r="W10995" s="10"/>
      <c r="X10995" s="10"/>
      <c r="Y10995" s="10"/>
      <c r="Z10995" s="10"/>
    </row>
    <row r="10996" spans="1:26" ht="12.75">
      <c r="A10996" s="10"/>
      <c r="B10996" s="10"/>
      <c r="C10996" s="10"/>
      <c r="D10996" s="10"/>
      <c r="E10996" s="10"/>
      <c r="F10996" s="10"/>
      <c r="G10996" s="10"/>
      <c r="H10996" s="10"/>
      <c r="I10996" s="10"/>
      <c r="J10996" s="10"/>
      <c r="K10996" s="10"/>
      <c r="L10996" s="10"/>
      <c r="M10996" s="10"/>
      <c r="N10996" s="10"/>
      <c r="O10996" s="10"/>
      <c r="P10996" s="10"/>
      <c r="Q10996" s="10"/>
      <c r="R10996" s="10"/>
      <c r="S10996" s="10"/>
      <c r="T10996" s="10"/>
      <c r="U10996" s="10"/>
      <c r="V10996" s="10"/>
      <c r="W10996" s="10"/>
      <c r="X10996" s="10"/>
      <c r="Y10996" s="10"/>
      <c r="Z10996" s="10"/>
    </row>
    <row r="10997" spans="1:26" ht="12.75">
      <c r="A10997" s="10"/>
      <c r="B10997" s="10"/>
      <c r="C10997" s="10"/>
      <c r="D10997" s="10"/>
      <c r="E10997" s="10"/>
      <c r="F10997" s="10"/>
      <c r="G10997" s="10"/>
      <c r="H10997" s="10"/>
      <c r="I10997" s="10"/>
      <c r="J10997" s="10"/>
      <c r="K10997" s="10"/>
      <c r="L10997" s="10"/>
      <c r="M10997" s="10"/>
      <c r="N10997" s="10"/>
      <c r="O10997" s="10"/>
      <c r="P10997" s="10"/>
      <c r="Q10997" s="10"/>
      <c r="R10997" s="10"/>
      <c r="S10997" s="10"/>
      <c r="T10997" s="10"/>
      <c r="U10997" s="10"/>
      <c r="V10997" s="10"/>
      <c r="W10997" s="10"/>
      <c r="X10997" s="10"/>
      <c r="Y10997" s="10"/>
      <c r="Z10997" s="10"/>
    </row>
    <row r="10998" spans="1:26" ht="12.75">
      <c r="A10998" s="10"/>
      <c r="B10998" s="10"/>
      <c r="C10998" s="10"/>
      <c r="D10998" s="10"/>
      <c r="E10998" s="10"/>
      <c r="F10998" s="10"/>
      <c r="G10998" s="10"/>
      <c r="H10998" s="10"/>
      <c r="I10998" s="10"/>
      <c r="J10998" s="10"/>
      <c r="K10998" s="10"/>
      <c r="L10998" s="10"/>
      <c r="M10998" s="10"/>
      <c r="N10998" s="10"/>
      <c r="O10998" s="10"/>
      <c r="P10998" s="10"/>
      <c r="Q10998" s="10"/>
      <c r="R10998" s="10"/>
      <c r="S10998" s="10"/>
      <c r="T10998" s="10"/>
      <c r="U10998" s="10"/>
      <c r="V10998" s="10"/>
      <c r="W10998" s="10"/>
      <c r="X10998" s="10"/>
      <c r="Y10998" s="10"/>
      <c r="Z10998" s="10"/>
    </row>
    <row r="10999" spans="1:26" ht="12.75">
      <c r="A10999" s="10"/>
      <c r="B10999" s="10"/>
      <c r="C10999" s="10"/>
      <c r="D10999" s="10"/>
      <c r="E10999" s="10"/>
      <c r="F10999" s="10"/>
      <c r="G10999" s="10"/>
      <c r="H10999" s="10"/>
      <c r="I10999" s="10"/>
      <c r="J10999" s="10"/>
      <c r="K10999" s="10"/>
      <c r="L10999" s="10"/>
      <c r="M10999" s="10"/>
      <c r="N10999" s="10"/>
      <c r="O10999" s="10"/>
      <c r="P10999" s="10"/>
      <c r="Q10999" s="10"/>
      <c r="R10999" s="10"/>
      <c r="S10999" s="10"/>
      <c r="T10999" s="10"/>
      <c r="U10999" s="10"/>
      <c r="V10999" s="10"/>
      <c r="W10999" s="10"/>
      <c r="X10999" s="10"/>
      <c r="Y10999" s="10"/>
      <c r="Z10999" s="10"/>
    </row>
    <row r="11000" spans="1:26" ht="12.75">
      <c r="A11000" s="10"/>
      <c r="B11000" s="10"/>
      <c r="C11000" s="10"/>
      <c r="D11000" s="10"/>
      <c r="E11000" s="10"/>
      <c r="F11000" s="10"/>
      <c r="G11000" s="10"/>
      <c r="H11000" s="10"/>
      <c r="I11000" s="10"/>
      <c r="J11000" s="10"/>
      <c r="K11000" s="10"/>
      <c r="L11000" s="10"/>
      <c r="M11000" s="10"/>
      <c r="N11000" s="10"/>
      <c r="O11000" s="10"/>
      <c r="P11000" s="10"/>
      <c r="Q11000" s="10"/>
      <c r="R11000" s="10"/>
      <c r="S11000" s="10"/>
      <c r="T11000" s="10"/>
      <c r="U11000" s="10"/>
      <c r="V11000" s="10"/>
      <c r="W11000" s="10"/>
      <c r="X11000" s="10"/>
      <c r="Y11000" s="10"/>
      <c r="Z11000" s="10"/>
    </row>
    <row r="11001" spans="1:26" ht="12.75">
      <c r="A11001" s="10"/>
      <c r="B11001" s="10"/>
      <c r="C11001" s="10"/>
      <c r="D11001" s="10"/>
      <c r="E11001" s="10"/>
      <c r="F11001" s="10"/>
      <c r="G11001" s="10"/>
      <c r="H11001" s="10"/>
      <c r="I11001" s="10"/>
      <c r="J11001" s="10"/>
      <c r="K11001" s="10"/>
      <c r="L11001" s="10"/>
      <c r="M11001" s="10"/>
      <c r="N11001" s="10"/>
      <c r="O11001" s="10"/>
      <c r="P11001" s="10"/>
      <c r="Q11001" s="10"/>
      <c r="R11001" s="10"/>
      <c r="S11001" s="10"/>
      <c r="T11001" s="10"/>
      <c r="U11001" s="10"/>
      <c r="V11001" s="10"/>
      <c r="W11001" s="10"/>
      <c r="X11001" s="10"/>
      <c r="Y11001" s="10"/>
      <c r="Z11001" s="10"/>
    </row>
    <row r="11002" spans="1:26" ht="12.75">
      <c r="A11002" s="10"/>
      <c r="B11002" s="10"/>
      <c r="C11002" s="10"/>
      <c r="D11002" s="10"/>
      <c r="E11002" s="10"/>
      <c r="F11002" s="10"/>
      <c r="G11002" s="10"/>
      <c r="H11002" s="10"/>
      <c r="I11002" s="10"/>
      <c r="J11002" s="10"/>
      <c r="K11002" s="10"/>
      <c r="L11002" s="10"/>
      <c r="M11002" s="10"/>
      <c r="N11002" s="10"/>
      <c r="O11002" s="10"/>
      <c r="P11002" s="10"/>
      <c r="Q11002" s="10"/>
      <c r="R11002" s="10"/>
      <c r="S11002" s="10"/>
      <c r="T11002" s="10"/>
      <c r="U11002" s="10"/>
      <c r="V11002" s="10"/>
      <c r="W11002" s="10"/>
      <c r="X11002" s="10"/>
      <c r="Y11002" s="10"/>
      <c r="Z11002" s="10"/>
    </row>
    <row r="11003" spans="1:26" ht="12.75">
      <c r="A11003" s="10"/>
      <c r="B11003" s="10"/>
      <c r="C11003" s="10"/>
      <c r="D11003" s="10"/>
      <c r="E11003" s="10"/>
      <c r="F11003" s="10"/>
      <c r="G11003" s="10"/>
      <c r="H11003" s="10"/>
      <c r="I11003" s="10"/>
      <c r="J11003" s="10"/>
      <c r="K11003" s="10"/>
      <c r="L11003" s="10"/>
      <c r="M11003" s="10"/>
      <c r="N11003" s="10"/>
      <c r="O11003" s="10"/>
      <c r="P11003" s="10"/>
      <c r="Q11003" s="10"/>
      <c r="R11003" s="10"/>
      <c r="S11003" s="10"/>
      <c r="T11003" s="10"/>
      <c r="U11003" s="10"/>
      <c r="V11003" s="10"/>
      <c r="W11003" s="10"/>
      <c r="X11003" s="10"/>
      <c r="Y11003" s="10"/>
      <c r="Z11003" s="10"/>
    </row>
    <row r="11004" spans="1:26" ht="12.75">
      <c r="A11004" s="10"/>
      <c r="B11004" s="10"/>
      <c r="C11004" s="10"/>
      <c r="D11004" s="10"/>
      <c r="E11004" s="10"/>
      <c r="F11004" s="10"/>
      <c r="G11004" s="10"/>
      <c r="H11004" s="10"/>
      <c r="I11004" s="10"/>
      <c r="J11004" s="10"/>
      <c r="K11004" s="10"/>
      <c r="L11004" s="10"/>
      <c r="M11004" s="10"/>
      <c r="N11004" s="10"/>
      <c r="O11004" s="10"/>
      <c r="P11004" s="10"/>
      <c r="Q11004" s="10"/>
      <c r="R11004" s="10"/>
      <c r="S11004" s="10"/>
      <c r="T11004" s="10"/>
      <c r="U11004" s="10"/>
      <c r="V11004" s="10"/>
      <c r="W11004" s="10"/>
      <c r="X11004" s="10"/>
      <c r="Y11004" s="10"/>
      <c r="Z11004" s="10"/>
    </row>
    <row r="11005" spans="1:26" ht="12.75">
      <c r="A11005" s="10"/>
      <c r="B11005" s="10"/>
      <c r="C11005" s="10"/>
      <c r="D11005" s="10"/>
      <c r="E11005" s="10"/>
      <c r="F11005" s="10"/>
      <c r="G11005" s="10"/>
      <c r="H11005" s="10"/>
      <c r="I11005" s="10"/>
      <c r="J11005" s="10"/>
      <c r="K11005" s="10"/>
      <c r="L11005" s="10"/>
      <c r="M11005" s="10"/>
      <c r="N11005" s="10"/>
      <c r="O11005" s="10"/>
      <c r="P11005" s="10"/>
      <c r="Q11005" s="10"/>
      <c r="R11005" s="10"/>
      <c r="S11005" s="10"/>
      <c r="T11005" s="10"/>
      <c r="U11005" s="10"/>
      <c r="V11005" s="10"/>
      <c r="W11005" s="10"/>
      <c r="X11005" s="10"/>
      <c r="Y11005" s="10"/>
      <c r="Z11005" s="10"/>
    </row>
    <row r="11006" spans="1:26" ht="12.75">
      <c r="A11006" s="10"/>
      <c r="B11006" s="10"/>
      <c r="C11006" s="10"/>
      <c r="D11006" s="10"/>
      <c r="E11006" s="10"/>
      <c r="F11006" s="10"/>
      <c r="G11006" s="10"/>
      <c r="H11006" s="10"/>
      <c r="I11006" s="10"/>
      <c r="J11006" s="10"/>
      <c r="K11006" s="10"/>
      <c r="L11006" s="10"/>
      <c r="M11006" s="10"/>
      <c r="N11006" s="10"/>
      <c r="O11006" s="10"/>
      <c r="P11006" s="10"/>
      <c r="Q11006" s="10"/>
      <c r="R11006" s="10"/>
      <c r="S11006" s="10"/>
      <c r="T11006" s="10"/>
      <c r="U11006" s="10"/>
      <c r="V11006" s="10"/>
      <c r="W11006" s="10"/>
      <c r="X11006" s="10"/>
      <c r="Y11006" s="10"/>
      <c r="Z11006" s="10"/>
    </row>
    <row r="11007" spans="1:26" ht="12.75">
      <c r="A11007" s="10"/>
      <c r="B11007" s="10"/>
      <c r="C11007" s="10"/>
      <c r="D11007" s="10"/>
      <c r="E11007" s="10"/>
      <c r="F11007" s="10"/>
      <c r="G11007" s="10"/>
      <c r="H11007" s="10"/>
      <c r="I11007" s="10"/>
      <c r="J11007" s="10"/>
      <c r="K11007" s="10"/>
      <c r="L11007" s="10"/>
      <c r="M11007" s="10"/>
      <c r="N11007" s="10"/>
      <c r="O11007" s="10"/>
      <c r="P11007" s="10"/>
      <c r="Q11007" s="10"/>
      <c r="R11007" s="10"/>
      <c r="S11007" s="10"/>
      <c r="T11007" s="10"/>
      <c r="U11007" s="10"/>
      <c r="V11007" s="10"/>
      <c r="W11007" s="10"/>
      <c r="X11007" s="10"/>
      <c r="Y11007" s="10"/>
      <c r="Z11007" s="10"/>
    </row>
    <row r="11008" spans="1:26" ht="12.75">
      <c r="A11008" s="10"/>
      <c r="B11008" s="10"/>
      <c r="C11008" s="10"/>
      <c r="D11008" s="10"/>
      <c r="E11008" s="10"/>
      <c r="F11008" s="10"/>
      <c r="G11008" s="10"/>
      <c r="H11008" s="10"/>
      <c r="I11008" s="10"/>
      <c r="J11008" s="10"/>
      <c r="K11008" s="10"/>
      <c r="L11008" s="10"/>
      <c r="M11008" s="10"/>
      <c r="N11008" s="10"/>
      <c r="O11008" s="10"/>
      <c r="P11008" s="10"/>
      <c r="Q11008" s="10"/>
      <c r="R11008" s="10"/>
      <c r="S11008" s="10"/>
      <c r="T11008" s="10"/>
      <c r="U11008" s="10"/>
      <c r="V11008" s="10"/>
      <c r="W11008" s="10"/>
      <c r="X11008" s="10"/>
      <c r="Y11008" s="10"/>
      <c r="Z11008" s="10"/>
    </row>
    <row r="11009" spans="1:26" ht="12.75">
      <c r="A11009" s="10"/>
      <c r="B11009" s="10"/>
      <c r="C11009" s="10"/>
      <c r="D11009" s="10"/>
      <c r="E11009" s="10"/>
      <c r="F11009" s="10"/>
      <c r="G11009" s="10"/>
      <c r="H11009" s="10"/>
      <c r="I11009" s="10"/>
      <c r="J11009" s="10"/>
      <c r="K11009" s="10"/>
      <c r="L11009" s="10"/>
      <c r="M11009" s="10"/>
      <c r="N11009" s="10"/>
      <c r="O11009" s="10"/>
      <c r="P11009" s="10"/>
      <c r="Q11009" s="10"/>
      <c r="R11009" s="10"/>
      <c r="S11009" s="10"/>
      <c r="T11009" s="10"/>
      <c r="U11009" s="10"/>
      <c r="V11009" s="10"/>
      <c r="W11009" s="10"/>
      <c r="X11009" s="10"/>
      <c r="Y11009" s="10"/>
      <c r="Z11009" s="10"/>
    </row>
    <row r="11010" spans="1:26" ht="12.75">
      <c r="A11010" s="10"/>
      <c r="B11010" s="10"/>
      <c r="C11010" s="10"/>
      <c r="D11010" s="10"/>
      <c r="E11010" s="10"/>
      <c r="F11010" s="10"/>
      <c r="G11010" s="10"/>
      <c r="H11010" s="10"/>
      <c r="I11010" s="10"/>
      <c r="J11010" s="10"/>
      <c r="K11010" s="10"/>
      <c r="L11010" s="10"/>
      <c r="M11010" s="10"/>
      <c r="N11010" s="10"/>
      <c r="O11010" s="10"/>
      <c r="P11010" s="10"/>
      <c r="Q11010" s="10"/>
      <c r="R11010" s="10"/>
      <c r="S11010" s="10"/>
      <c r="T11010" s="10"/>
      <c r="U11010" s="10"/>
      <c r="V11010" s="10"/>
      <c r="W11010" s="10"/>
      <c r="X11010" s="10"/>
      <c r="Y11010" s="10"/>
      <c r="Z11010" s="10"/>
    </row>
    <row r="11011" spans="1:26" ht="12.75">
      <c r="A11011" s="10"/>
      <c r="B11011" s="10"/>
      <c r="C11011" s="10"/>
      <c r="D11011" s="10"/>
      <c r="E11011" s="10"/>
      <c r="F11011" s="10"/>
      <c r="G11011" s="10"/>
      <c r="H11011" s="10"/>
      <c r="I11011" s="10"/>
      <c r="J11011" s="10"/>
      <c r="K11011" s="10"/>
      <c r="L11011" s="10"/>
      <c r="M11011" s="10"/>
      <c r="N11011" s="10"/>
      <c r="O11011" s="10"/>
      <c r="P11011" s="10"/>
      <c r="Q11011" s="10"/>
      <c r="R11011" s="10"/>
      <c r="S11011" s="10"/>
      <c r="T11011" s="10"/>
      <c r="U11011" s="10"/>
      <c r="V11011" s="10"/>
      <c r="W11011" s="10"/>
      <c r="X11011" s="10"/>
      <c r="Y11011" s="10"/>
      <c r="Z11011" s="10"/>
    </row>
    <row r="11012" spans="1:26" ht="12.75">
      <c r="A11012" s="10"/>
      <c r="B11012" s="10"/>
      <c r="C11012" s="10"/>
      <c r="D11012" s="10"/>
      <c r="E11012" s="10"/>
      <c r="F11012" s="10"/>
      <c r="G11012" s="10"/>
      <c r="H11012" s="10"/>
      <c r="I11012" s="10"/>
      <c r="J11012" s="10"/>
      <c r="K11012" s="10"/>
      <c r="L11012" s="10"/>
      <c r="M11012" s="10"/>
      <c r="N11012" s="10"/>
      <c r="O11012" s="10"/>
      <c r="P11012" s="10"/>
      <c r="Q11012" s="10"/>
      <c r="R11012" s="10"/>
      <c r="S11012" s="10"/>
      <c r="T11012" s="10"/>
      <c r="U11012" s="10"/>
      <c r="V11012" s="10"/>
      <c r="W11012" s="10"/>
      <c r="X11012" s="10"/>
      <c r="Y11012" s="10"/>
      <c r="Z11012" s="10"/>
    </row>
    <row r="11013" spans="1:26" ht="12.75">
      <c r="A11013" s="10"/>
      <c r="B11013" s="10"/>
      <c r="C11013" s="10"/>
      <c r="D11013" s="10"/>
      <c r="E11013" s="10"/>
      <c r="F11013" s="10"/>
      <c r="G11013" s="10"/>
      <c r="H11013" s="10"/>
      <c r="I11013" s="10"/>
      <c r="J11013" s="10"/>
      <c r="K11013" s="10"/>
      <c r="L11013" s="10"/>
      <c r="M11013" s="10"/>
      <c r="N11013" s="10"/>
      <c r="O11013" s="10"/>
      <c r="P11013" s="10"/>
      <c r="Q11013" s="10"/>
      <c r="R11013" s="10"/>
      <c r="S11013" s="10"/>
      <c r="T11013" s="10"/>
      <c r="U11013" s="10"/>
      <c r="V11013" s="10"/>
      <c r="W11013" s="10"/>
      <c r="X11013" s="10"/>
      <c r="Y11013" s="10"/>
      <c r="Z11013" s="10"/>
    </row>
    <row r="11014" spans="1:26" ht="12.75">
      <c r="A11014" s="10"/>
      <c r="B11014" s="10"/>
      <c r="C11014" s="10"/>
      <c r="D11014" s="10"/>
      <c r="E11014" s="10"/>
      <c r="F11014" s="10"/>
      <c r="G11014" s="10"/>
      <c r="H11014" s="10"/>
      <c r="I11014" s="10"/>
      <c r="J11014" s="10"/>
      <c r="K11014" s="10"/>
      <c r="L11014" s="10"/>
      <c r="M11014" s="10"/>
      <c r="N11014" s="10"/>
      <c r="O11014" s="10"/>
      <c r="P11014" s="10"/>
      <c r="Q11014" s="10"/>
      <c r="R11014" s="10"/>
      <c r="S11014" s="10"/>
      <c r="T11014" s="10"/>
      <c r="U11014" s="10"/>
      <c r="V11014" s="10"/>
      <c r="W11014" s="10"/>
      <c r="X11014" s="10"/>
      <c r="Y11014" s="10"/>
      <c r="Z11014" s="10"/>
    </row>
    <row r="11015" spans="1:26" ht="12.75">
      <c r="A11015" s="10"/>
      <c r="B11015" s="10"/>
      <c r="C11015" s="10"/>
      <c r="D11015" s="10"/>
      <c r="E11015" s="10"/>
      <c r="F11015" s="10"/>
      <c r="G11015" s="10"/>
      <c r="H11015" s="10"/>
      <c r="I11015" s="10"/>
      <c r="J11015" s="10"/>
      <c r="K11015" s="10"/>
      <c r="L11015" s="10"/>
      <c r="M11015" s="10"/>
      <c r="N11015" s="10"/>
      <c r="O11015" s="10"/>
      <c r="P11015" s="10"/>
      <c r="Q11015" s="10"/>
      <c r="R11015" s="10"/>
      <c r="S11015" s="10"/>
      <c r="T11015" s="10"/>
      <c r="U11015" s="10"/>
      <c r="V11015" s="10"/>
      <c r="W11015" s="10"/>
      <c r="X11015" s="10"/>
      <c r="Y11015" s="10"/>
      <c r="Z11015" s="10"/>
    </row>
    <row r="11016" spans="1:26" ht="12.75">
      <c r="A11016" s="10"/>
      <c r="B11016" s="10"/>
      <c r="C11016" s="10"/>
      <c r="D11016" s="10"/>
      <c r="E11016" s="10"/>
      <c r="F11016" s="10"/>
      <c r="G11016" s="10"/>
      <c r="H11016" s="10"/>
      <c r="I11016" s="10"/>
      <c r="J11016" s="10"/>
      <c r="K11016" s="10"/>
      <c r="L11016" s="10"/>
      <c r="M11016" s="10"/>
      <c r="N11016" s="10"/>
      <c r="O11016" s="10"/>
      <c r="P11016" s="10"/>
      <c r="Q11016" s="10"/>
      <c r="R11016" s="10"/>
      <c r="S11016" s="10"/>
      <c r="T11016" s="10"/>
      <c r="U11016" s="10"/>
      <c r="V11016" s="10"/>
      <c r="W11016" s="10"/>
      <c r="X11016" s="10"/>
      <c r="Y11016" s="10"/>
      <c r="Z11016" s="10"/>
    </row>
    <row r="11017" spans="1:26" ht="12.75">
      <c r="A11017" s="10"/>
      <c r="B11017" s="10"/>
      <c r="C11017" s="10"/>
      <c r="D11017" s="10"/>
      <c r="E11017" s="10"/>
      <c r="F11017" s="10"/>
      <c r="G11017" s="10"/>
      <c r="H11017" s="10"/>
      <c r="I11017" s="10"/>
      <c r="J11017" s="10"/>
      <c r="K11017" s="10"/>
      <c r="L11017" s="10"/>
      <c r="M11017" s="10"/>
      <c r="N11017" s="10"/>
      <c r="O11017" s="10"/>
      <c r="P11017" s="10"/>
      <c r="Q11017" s="10"/>
      <c r="R11017" s="10"/>
      <c r="S11017" s="10"/>
      <c r="T11017" s="10"/>
      <c r="U11017" s="10"/>
      <c r="V11017" s="10"/>
      <c r="W11017" s="10"/>
      <c r="X11017" s="10"/>
      <c r="Y11017" s="10"/>
      <c r="Z11017" s="10"/>
    </row>
    <row r="11018" spans="1:26" ht="12.75">
      <c r="A11018" s="10"/>
      <c r="B11018" s="10"/>
      <c r="C11018" s="10"/>
      <c r="D11018" s="10"/>
      <c r="E11018" s="10"/>
      <c r="F11018" s="10"/>
      <c r="G11018" s="10"/>
      <c r="H11018" s="10"/>
      <c r="I11018" s="10"/>
      <c r="J11018" s="10"/>
      <c r="K11018" s="10"/>
      <c r="L11018" s="10"/>
      <c r="M11018" s="10"/>
      <c r="N11018" s="10"/>
      <c r="O11018" s="10"/>
      <c r="P11018" s="10"/>
      <c r="Q11018" s="10"/>
      <c r="R11018" s="10"/>
      <c r="S11018" s="10"/>
      <c r="T11018" s="10"/>
      <c r="U11018" s="10"/>
      <c r="V11018" s="10"/>
      <c r="W11018" s="10"/>
      <c r="X11018" s="10"/>
      <c r="Y11018" s="10"/>
      <c r="Z11018" s="10"/>
    </row>
    <row r="11019" spans="1:26" ht="12.75">
      <c r="A11019" s="10"/>
      <c r="B11019" s="10"/>
      <c r="C11019" s="10"/>
      <c r="D11019" s="10"/>
      <c r="E11019" s="10"/>
      <c r="F11019" s="10"/>
      <c r="G11019" s="10"/>
      <c r="H11019" s="10"/>
      <c r="I11019" s="10"/>
      <c r="J11019" s="10"/>
      <c r="K11019" s="10"/>
      <c r="L11019" s="10"/>
      <c r="M11019" s="10"/>
      <c r="N11019" s="10"/>
      <c r="O11019" s="10"/>
      <c r="P11019" s="10"/>
      <c r="Q11019" s="10"/>
      <c r="R11019" s="10"/>
      <c r="S11019" s="10"/>
      <c r="T11019" s="10"/>
      <c r="U11019" s="10"/>
      <c r="V11019" s="10"/>
      <c r="W11019" s="10"/>
      <c r="X11019" s="10"/>
      <c r="Y11019" s="10"/>
      <c r="Z11019" s="10"/>
    </row>
    <row r="11020" spans="1:26" ht="12.75">
      <c r="A11020" s="10"/>
      <c r="B11020" s="10"/>
      <c r="C11020" s="10"/>
      <c r="D11020" s="10"/>
      <c r="E11020" s="10"/>
      <c r="F11020" s="10"/>
      <c r="G11020" s="10"/>
      <c r="H11020" s="10"/>
      <c r="I11020" s="10"/>
      <c r="J11020" s="10"/>
      <c r="K11020" s="10"/>
      <c r="L11020" s="10"/>
      <c r="M11020" s="10"/>
      <c r="N11020" s="10"/>
      <c r="O11020" s="10"/>
      <c r="P11020" s="10"/>
      <c r="Q11020" s="10"/>
      <c r="R11020" s="10"/>
      <c r="S11020" s="10"/>
      <c r="T11020" s="10"/>
      <c r="U11020" s="10"/>
      <c r="V11020" s="10"/>
      <c r="W11020" s="10"/>
      <c r="X11020" s="10"/>
      <c r="Y11020" s="10"/>
      <c r="Z11020" s="10"/>
    </row>
    <row r="11021" spans="1:26" ht="12.75">
      <c r="A11021" s="10"/>
      <c r="B11021" s="10"/>
      <c r="C11021" s="10"/>
      <c r="D11021" s="10"/>
      <c r="E11021" s="10"/>
      <c r="F11021" s="10"/>
      <c r="G11021" s="10"/>
      <c r="H11021" s="10"/>
      <c r="I11021" s="10"/>
      <c r="J11021" s="10"/>
      <c r="K11021" s="10"/>
      <c r="L11021" s="10"/>
      <c r="M11021" s="10"/>
      <c r="N11021" s="10"/>
      <c r="O11021" s="10"/>
      <c r="P11021" s="10"/>
      <c r="Q11021" s="10"/>
      <c r="R11021" s="10"/>
      <c r="S11021" s="10"/>
      <c r="T11021" s="10"/>
      <c r="U11021" s="10"/>
      <c r="V11021" s="10"/>
      <c r="W11021" s="10"/>
      <c r="X11021" s="10"/>
      <c r="Y11021" s="10"/>
      <c r="Z11021" s="10"/>
    </row>
    <row r="11022" spans="1:26" ht="12.75">
      <c r="A11022" s="10"/>
      <c r="B11022" s="10"/>
      <c r="C11022" s="10"/>
      <c r="D11022" s="10"/>
      <c r="E11022" s="10"/>
      <c r="F11022" s="10"/>
      <c r="G11022" s="10"/>
      <c r="H11022" s="10"/>
      <c r="I11022" s="10"/>
      <c r="J11022" s="10"/>
      <c r="K11022" s="10"/>
      <c r="L11022" s="10"/>
      <c r="M11022" s="10"/>
      <c r="N11022" s="10"/>
      <c r="O11022" s="10"/>
      <c r="P11022" s="10"/>
      <c r="Q11022" s="10"/>
      <c r="R11022" s="10"/>
      <c r="S11022" s="10"/>
      <c r="T11022" s="10"/>
      <c r="U11022" s="10"/>
      <c r="V11022" s="10"/>
      <c r="W11022" s="10"/>
      <c r="X11022" s="10"/>
      <c r="Y11022" s="10"/>
      <c r="Z11022" s="10"/>
    </row>
    <row r="11023" spans="1:26" ht="12.75">
      <c r="A11023" s="10"/>
      <c r="B11023" s="10"/>
      <c r="C11023" s="10"/>
      <c r="D11023" s="10"/>
      <c r="E11023" s="10"/>
      <c r="F11023" s="10"/>
      <c r="G11023" s="10"/>
      <c r="H11023" s="10"/>
      <c r="I11023" s="10"/>
      <c r="J11023" s="10"/>
      <c r="K11023" s="10"/>
      <c r="L11023" s="10"/>
      <c r="M11023" s="10"/>
      <c r="N11023" s="10"/>
      <c r="O11023" s="10"/>
      <c r="P11023" s="10"/>
      <c r="Q11023" s="10"/>
      <c r="R11023" s="10"/>
      <c r="S11023" s="10"/>
      <c r="T11023" s="10"/>
      <c r="U11023" s="10"/>
      <c r="V11023" s="10"/>
      <c r="W11023" s="10"/>
      <c r="X11023" s="10"/>
      <c r="Y11023" s="10"/>
      <c r="Z11023" s="10"/>
    </row>
    <row r="11024" spans="1:26" ht="12.75">
      <c r="A11024" s="10"/>
      <c r="B11024" s="10"/>
      <c r="C11024" s="10"/>
      <c r="D11024" s="10"/>
      <c r="E11024" s="10"/>
      <c r="F11024" s="10"/>
      <c r="G11024" s="10"/>
      <c r="H11024" s="10"/>
      <c r="I11024" s="10"/>
      <c r="J11024" s="10"/>
      <c r="K11024" s="10"/>
      <c r="L11024" s="10"/>
      <c r="M11024" s="10"/>
      <c r="N11024" s="10"/>
      <c r="O11024" s="10"/>
      <c r="P11024" s="10"/>
      <c r="Q11024" s="10"/>
      <c r="R11024" s="10"/>
      <c r="S11024" s="10"/>
      <c r="T11024" s="10"/>
      <c r="U11024" s="10"/>
      <c r="V11024" s="10"/>
      <c r="W11024" s="10"/>
      <c r="X11024" s="10"/>
      <c r="Y11024" s="10"/>
      <c r="Z11024" s="10"/>
    </row>
    <row r="11025" spans="1:26" ht="12.75">
      <c r="A11025" s="10"/>
      <c r="B11025" s="10"/>
      <c r="C11025" s="10"/>
      <c r="D11025" s="10"/>
      <c r="E11025" s="10"/>
      <c r="F11025" s="10"/>
      <c r="G11025" s="10"/>
      <c r="H11025" s="10"/>
      <c r="I11025" s="10"/>
      <c r="J11025" s="10"/>
      <c r="K11025" s="10"/>
      <c r="L11025" s="10"/>
      <c r="M11025" s="10"/>
      <c r="N11025" s="10"/>
      <c r="O11025" s="10"/>
      <c r="P11025" s="10"/>
      <c r="Q11025" s="10"/>
      <c r="R11025" s="10"/>
      <c r="S11025" s="10"/>
      <c r="T11025" s="10"/>
      <c r="U11025" s="10"/>
      <c r="V11025" s="10"/>
      <c r="W11025" s="10"/>
      <c r="X11025" s="10"/>
      <c r="Y11025" s="10"/>
      <c r="Z11025" s="10"/>
    </row>
    <row r="11026" spans="1:26" ht="12.75">
      <c r="A11026" s="10"/>
      <c r="B11026" s="10"/>
      <c r="C11026" s="10"/>
      <c r="D11026" s="10"/>
      <c r="E11026" s="10"/>
      <c r="F11026" s="10"/>
      <c r="G11026" s="10"/>
      <c r="H11026" s="10"/>
      <c r="I11026" s="10"/>
      <c r="J11026" s="10"/>
      <c r="K11026" s="10"/>
      <c r="L11026" s="10"/>
      <c r="M11026" s="10"/>
      <c r="N11026" s="10"/>
      <c r="O11026" s="10"/>
      <c r="P11026" s="10"/>
      <c r="Q11026" s="10"/>
      <c r="R11026" s="10"/>
      <c r="S11026" s="10"/>
      <c r="T11026" s="10"/>
      <c r="U11026" s="10"/>
      <c r="V11026" s="10"/>
      <c r="W11026" s="10"/>
      <c r="X11026" s="10"/>
      <c r="Y11026" s="10"/>
      <c r="Z11026" s="10"/>
    </row>
    <row r="11027" spans="1:26" ht="12.75">
      <c r="A11027" s="10"/>
      <c r="B11027" s="10"/>
      <c r="C11027" s="10"/>
      <c r="D11027" s="10"/>
      <c r="E11027" s="10"/>
      <c r="F11027" s="10"/>
      <c r="G11027" s="10"/>
      <c r="H11027" s="10"/>
      <c r="I11027" s="10"/>
      <c r="J11027" s="10"/>
      <c r="K11027" s="10"/>
      <c r="L11027" s="10"/>
      <c r="M11027" s="10"/>
      <c r="N11027" s="10"/>
      <c r="O11027" s="10"/>
      <c r="P11027" s="10"/>
      <c r="Q11027" s="10"/>
      <c r="R11027" s="10"/>
      <c r="S11027" s="10"/>
      <c r="T11027" s="10"/>
      <c r="U11027" s="10"/>
      <c r="V11027" s="10"/>
      <c r="W11027" s="10"/>
      <c r="X11027" s="10"/>
      <c r="Y11027" s="10"/>
      <c r="Z11027" s="10"/>
    </row>
    <row r="11028" spans="1:26" ht="12.75">
      <c r="A11028" s="10"/>
      <c r="B11028" s="10"/>
      <c r="C11028" s="10"/>
      <c r="D11028" s="10"/>
      <c r="E11028" s="10"/>
      <c r="F11028" s="10"/>
      <c r="G11028" s="10"/>
      <c r="H11028" s="10"/>
      <c r="I11028" s="10"/>
      <c r="J11028" s="10"/>
      <c r="K11028" s="10"/>
      <c r="L11028" s="10"/>
      <c r="M11028" s="10"/>
      <c r="N11028" s="10"/>
      <c r="O11028" s="10"/>
      <c r="P11028" s="10"/>
      <c r="Q11028" s="10"/>
      <c r="R11028" s="10"/>
      <c r="S11028" s="10"/>
      <c r="T11028" s="10"/>
      <c r="U11028" s="10"/>
      <c r="V11028" s="10"/>
      <c r="W11028" s="10"/>
      <c r="X11028" s="10"/>
      <c r="Y11028" s="10"/>
      <c r="Z11028" s="10"/>
    </row>
    <row r="11029" spans="1:26" ht="12.75">
      <c r="A11029" s="10"/>
      <c r="B11029" s="10"/>
      <c r="C11029" s="10"/>
      <c r="D11029" s="10"/>
      <c r="E11029" s="10"/>
      <c r="F11029" s="10"/>
      <c r="G11029" s="10"/>
      <c r="H11029" s="10"/>
      <c r="I11029" s="10"/>
      <c r="J11029" s="10"/>
      <c r="K11029" s="10"/>
      <c r="L11029" s="10"/>
      <c r="M11029" s="10"/>
      <c r="N11029" s="10"/>
      <c r="O11029" s="10"/>
      <c r="P11029" s="10"/>
      <c r="Q11029" s="10"/>
      <c r="R11029" s="10"/>
      <c r="S11029" s="10"/>
      <c r="T11029" s="10"/>
      <c r="U11029" s="10"/>
      <c r="V11029" s="10"/>
      <c r="W11029" s="10"/>
      <c r="X11029" s="10"/>
      <c r="Y11029" s="10"/>
      <c r="Z11029" s="10"/>
    </row>
    <row r="11030" spans="1:26" ht="12.75">
      <c r="A11030" s="10"/>
      <c r="B11030" s="10"/>
      <c r="C11030" s="10"/>
      <c r="D11030" s="10"/>
      <c r="E11030" s="10"/>
      <c r="F11030" s="10"/>
      <c r="G11030" s="10"/>
      <c r="H11030" s="10"/>
      <c r="I11030" s="10"/>
      <c r="J11030" s="10"/>
      <c r="K11030" s="10"/>
      <c r="L11030" s="10"/>
      <c r="M11030" s="10"/>
      <c r="N11030" s="10"/>
      <c r="O11030" s="10"/>
      <c r="P11030" s="10"/>
      <c r="Q11030" s="10"/>
      <c r="R11030" s="10"/>
      <c r="S11030" s="10"/>
      <c r="T11030" s="10"/>
      <c r="U11030" s="10"/>
      <c r="V11030" s="10"/>
      <c r="W11030" s="10"/>
      <c r="X11030" s="10"/>
      <c r="Y11030" s="10"/>
      <c r="Z11030" s="10"/>
    </row>
    <row r="11031" spans="1:26" ht="12.75">
      <c r="A11031" s="10"/>
      <c r="B11031" s="10"/>
      <c r="C11031" s="10"/>
      <c r="D11031" s="10"/>
      <c r="E11031" s="10"/>
      <c r="F11031" s="10"/>
      <c r="G11031" s="10"/>
      <c r="H11031" s="10"/>
      <c r="I11031" s="10"/>
      <c r="J11031" s="10"/>
      <c r="K11031" s="10"/>
      <c r="L11031" s="10"/>
      <c r="M11031" s="10"/>
      <c r="N11031" s="10"/>
      <c r="O11031" s="10"/>
      <c r="P11031" s="10"/>
      <c r="Q11031" s="10"/>
      <c r="R11031" s="10"/>
      <c r="S11031" s="10"/>
      <c r="T11031" s="10"/>
      <c r="U11031" s="10"/>
      <c r="V11031" s="10"/>
      <c r="W11031" s="10"/>
      <c r="X11031" s="10"/>
      <c r="Y11031" s="10"/>
      <c r="Z11031" s="10"/>
    </row>
    <row r="11032" spans="1:26" ht="12.75">
      <c r="A11032" s="10"/>
      <c r="B11032" s="10"/>
      <c r="C11032" s="10"/>
      <c r="D11032" s="10"/>
      <c r="E11032" s="10"/>
      <c r="F11032" s="10"/>
      <c r="G11032" s="10"/>
      <c r="H11032" s="10"/>
      <c r="I11032" s="10"/>
      <c r="J11032" s="10"/>
      <c r="K11032" s="10"/>
      <c r="L11032" s="10"/>
      <c r="M11032" s="10"/>
      <c r="N11032" s="10"/>
      <c r="O11032" s="10"/>
      <c r="P11032" s="10"/>
      <c r="Q11032" s="10"/>
      <c r="R11032" s="10"/>
      <c r="S11032" s="10"/>
      <c r="T11032" s="10"/>
      <c r="U11032" s="10"/>
      <c r="V11032" s="10"/>
      <c r="W11032" s="10"/>
      <c r="X11032" s="10"/>
      <c r="Y11032" s="10"/>
      <c r="Z11032" s="10"/>
    </row>
    <row r="11033" spans="1:26" ht="12.75">
      <c r="A11033" s="10"/>
      <c r="B11033" s="10"/>
      <c r="C11033" s="10"/>
      <c r="D11033" s="10"/>
      <c r="E11033" s="10"/>
      <c r="F11033" s="10"/>
      <c r="G11033" s="10"/>
      <c r="H11033" s="10"/>
      <c r="I11033" s="10"/>
      <c r="J11033" s="10"/>
      <c r="K11033" s="10"/>
      <c r="L11033" s="10"/>
      <c r="M11033" s="10"/>
      <c r="N11033" s="10"/>
      <c r="O11033" s="10"/>
      <c r="P11033" s="10"/>
      <c r="Q11033" s="10"/>
      <c r="R11033" s="10"/>
      <c r="S11033" s="10"/>
      <c r="T11033" s="10"/>
      <c r="U11033" s="10"/>
      <c r="V11033" s="10"/>
      <c r="W11033" s="10"/>
      <c r="X11033" s="10"/>
      <c r="Y11033" s="10"/>
      <c r="Z11033" s="10"/>
    </row>
    <row r="11034" spans="1:26" ht="12.75">
      <c r="A11034" s="10"/>
      <c r="B11034" s="10"/>
      <c r="C11034" s="10"/>
      <c r="D11034" s="10"/>
      <c r="E11034" s="10"/>
      <c r="F11034" s="10"/>
      <c r="G11034" s="10"/>
      <c r="H11034" s="10"/>
      <c r="I11034" s="10"/>
      <c r="J11034" s="10"/>
      <c r="K11034" s="10"/>
      <c r="L11034" s="10"/>
      <c r="M11034" s="10"/>
      <c r="N11034" s="10"/>
      <c r="O11034" s="10"/>
      <c r="P11034" s="10"/>
      <c r="Q11034" s="10"/>
      <c r="R11034" s="10"/>
      <c r="S11034" s="10"/>
      <c r="T11034" s="10"/>
      <c r="U11034" s="10"/>
      <c r="V11034" s="10"/>
      <c r="W11034" s="10"/>
      <c r="X11034" s="10"/>
      <c r="Y11034" s="10"/>
      <c r="Z11034" s="10"/>
    </row>
    <row r="11035" spans="1:26" ht="12.75">
      <c r="A11035" s="10"/>
      <c r="B11035" s="10"/>
      <c r="C11035" s="10"/>
      <c r="D11035" s="10"/>
      <c r="E11035" s="10"/>
      <c r="F11035" s="10"/>
      <c r="G11035" s="10"/>
      <c r="H11035" s="10"/>
      <c r="I11035" s="10"/>
      <c r="J11035" s="10"/>
      <c r="K11035" s="10"/>
      <c r="L11035" s="10"/>
      <c r="M11035" s="10"/>
      <c r="N11035" s="10"/>
      <c r="O11035" s="10"/>
      <c r="P11035" s="10"/>
      <c r="Q11035" s="10"/>
      <c r="R11035" s="10"/>
      <c r="S11035" s="10"/>
      <c r="T11035" s="10"/>
      <c r="U11035" s="10"/>
      <c r="V11035" s="10"/>
      <c r="W11035" s="10"/>
      <c r="X11035" s="10"/>
      <c r="Y11035" s="10"/>
      <c r="Z11035" s="10"/>
    </row>
    <row r="11036" spans="1:26" ht="12.75">
      <c r="A11036" s="10"/>
      <c r="B11036" s="10"/>
      <c r="C11036" s="10"/>
      <c r="D11036" s="10"/>
      <c r="E11036" s="10"/>
      <c r="F11036" s="10"/>
      <c r="G11036" s="10"/>
      <c r="H11036" s="10"/>
      <c r="I11036" s="10"/>
      <c r="J11036" s="10"/>
      <c r="K11036" s="10"/>
      <c r="L11036" s="10"/>
      <c r="M11036" s="10"/>
      <c r="N11036" s="10"/>
      <c r="O11036" s="10"/>
      <c r="P11036" s="10"/>
      <c r="Q11036" s="10"/>
      <c r="R11036" s="10"/>
      <c r="S11036" s="10"/>
      <c r="T11036" s="10"/>
      <c r="U11036" s="10"/>
      <c r="V11036" s="10"/>
      <c r="W11036" s="10"/>
      <c r="X11036" s="10"/>
      <c r="Y11036" s="10"/>
      <c r="Z11036" s="10"/>
    </row>
    <row r="11037" spans="1:26" ht="12.75">
      <c r="A11037" s="10"/>
      <c r="B11037" s="10"/>
      <c r="C11037" s="10"/>
      <c r="D11037" s="10"/>
      <c r="E11037" s="10"/>
      <c r="F11037" s="10"/>
      <c r="G11037" s="10"/>
      <c r="H11037" s="10"/>
      <c r="I11037" s="10"/>
      <c r="J11037" s="10"/>
      <c r="K11037" s="10"/>
      <c r="L11037" s="10"/>
      <c r="M11037" s="10"/>
      <c r="N11037" s="10"/>
      <c r="O11037" s="10"/>
      <c r="P11037" s="10"/>
      <c r="Q11037" s="10"/>
      <c r="R11037" s="10"/>
      <c r="S11037" s="10"/>
      <c r="T11037" s="10"/>
      <c r="U11037" s="10"/>
      <c r="V11037" s="10"/>
      <c r="W11037" s="10"/>
      <c r="X11037" s="10"/>
      <c r="Y11037" s="10"/>
      <c r="Z11037" s="10"/>
    </row>
    <row r="11038" spans="1:26" ht="12.75">
      <c r="A11038" s="10"/>
      <c r="B11038" s="10"/>
      <c r="C11038" s="10"/>
      <c r="D11038" s="10"/>
      <c r="E11038" s="10"/>
      <c r="F11038" s="10"/>
      <c r="G11038" s="10"/>
      <c r="H11038" s="10"/>
      <c r="I11038" s="10"/>
      <c r="J11038" s="10"/>
      <c r="K11038" s="10"/>
      <c r="L11038" s="10"/>
      <c r="M11038" s="10"/>
      <c r="N11038" s="10"/>
      <c r="O11038" s="10"/>
      <c r="P11038" s="10"/>
      <c r="Q11038" s="10"/>
      <c r="R11038" s="10"/>
      <c r="S11038" s="10"/>
      <c r="T11038" s="10"/>
      <c r="U11038" s="10"/>
      <c r="V11038" s="10"/>
      <c r="W11038" s="10"/>
      <c r="X11038" s="10"/>
      <c r="Y11038" s="10"/>
      <c r="Z11038" s="10"/>
    </row>
    <row r="11039" spans="1:26" ht="12.75">
      <c r="A11039" s="10"/>
      <c r="B11039" s="10"/>
      <c r="C11039" s="10"/>
      <c r="D11039" s="10"/>
      <c r="E11039" s="10"/>
      <c r="F11039" s="10"/>
      <c r="G11039" s="10"/>
      <c r="H11039" s="10"/>
      <c r="I11039" s="10"/>
      <c r="J11039" s="10"/>
      <c r="K11039" s="10"/>
      <c r="L11039" s="10"/>
      <c r="M11039" s="10"/>
      <c r="N11039" s="10"/>
      <c r="O11039" s="10"/>
      <c r="P11039" s="10"/>
      <c r="Q11039" s="10"/>
      <c r="R11039" s="10"/>
      <c r="S11039" s="10"/>
      <c r="T11039" s="10"/>
      <c r="U11039" s="10"/>
      <c r="V11039" s="10"/>
      <c r="W11039" s="10"/>
      <c r="X11039" s="10"/>
      <c r="Y11039" s="10"/>
      <c r="Z11039" s="10"/>
    </row>
    <row r="11040" spans="1:26" ht="12.75">
      <c r="A11040" s="10"/>
      <c r="B11040" s="10"/>
      <c r="C11040" s="10"/>
      <c r="D11040" s="10"/>
      <c r="E11040" s="10"/>
      <c r="F11040" s="10"/>
      <c r="G11040" s="10"/>
      <c r="H11040" s="10"/>
      <c r="I11040" s="10"/>
      <c r="J11040" s="10"/>
      <c r="K11040" s="10"/>
      <c r="L11040" s="10"/>
      <c r="M11040" s="10"/>
      <c r="N11040" s="10"/>
      <c r="O11040" s="10"/>
      <c r="P11040" s="10"/>
      <c r="Q11040" s="10"/>
      <c r="R11040" s="10"/>
      <c r="S11040" s="10"/>
      <c r="T11040" s="10"/>
      <c r="U11040" s="10"/>
      <c r="V11040" s="10"/>
      <c r="W11040" s="10"/>
      <c r="X11040" s="10"/>
      <c r="Y11040" s="10"/>
      <c r="Z11040" s="10"/>
    </row>
    <row r="11041" spans="1:26" ht="12.75">
      <c r="A11041" s="10"/>
      <c r="B11041" s="10"/>
      <c r="C11041" s="10"/>
      <c r="D11041" s="10"/>
      <c r="E11041" s="10"/>
      <c r="F11041" s="10"/>
      <c r="G11041" s="10"/>
      <c r="H11041" s="10"/>
      <c r="I11041" s="10"/>
      <c r="J11041" s="10"/>
      <c r="K11041" s="10"/>
      <c r="L11041" s="10"/>
      <c r="M11041" s="10"/>
      <c r="N11041" s="10"/>
      <c r="O11041" s="10"/>
      <c r="P11041" s="10"/>
      <c r="Q11041" s="10"/>
      <c r="R11041" s="10"/>
      <c r="S11041" s="10"/>
      <c r="T11041" s="10"/>
      <c r="U11041" s="10"/>
      <c r="V11041" s="10"/>
      <c r="W11041" s="10"/>
      <c r="X11041" s="10"/>
      <c r="Y11041" s="10"/>
      <c r="Z11041" s="10"/>
    </row>
    <row r="11042" spans="1:26" ht="12.75">
      <c r="A11042" s="10"/>
      <c r="B11042" s="10"/>
      <c r="C11042" s="10"/>
      <c r="D11042" s="10"/>
      <c r="E11042" s="10"/>
      <c r="F11042" s="10"/>
      <c r="G11042" s="10"/>
      <c r="H11042" s="10"/>
      <c r="I11042" s="10"/>
      <c r="J11042" s="10"/>
      <c r="K11042" s="10"/>
      <c r="L11042" s="10"/>
      <c r="M11042" s="10"/>
      <c r="N11042" s="10"/>
      <c r="O11042" s="10"/>
      <c r="P11042" s="10"/>
      <c r="Q11042" s="10"/>
      <c r="R11042" s="10"/>
      <c r="S11042" s="10"/>
      <c r="T11042" s="10"/>
      <c r="U11042" s="10"/>
      <c r="V11042" s="10"/>
      <c r="W11042" s="10"/>
      <c r="X11042" s="10"/>
      <c r="Y11042" s="10"/>
      <c r="Z11042" s="10"/>
    </row>
    <row r="11043" spans="1:26" ht="12.75">
      <c r="A11043" s="10"/>
      <c r="B11043" s="10"/>
      <c r="C11043" s="10"/>
      <c r="D11043" s="10"/>
      <c r="E11043" s="10"/>
      <c r="F11043" s="10"/>
      <c r="G11043" s="10"/>
      <c r="H11043" s="10"/>
      <c r="I11043" s="10"/>
      <c r="J11043" s="10"/>
      <c r="K11043" s="10"/>
      <c r="L11043" s="10"/>
      <c r="M11043" s="10"/>
      <c r="N11043" s="10"/>
      <c r="O11043" s="10"/>
      <c r="P11043" s="10"/>
      <c r="Q11043" s="10"/>
      <c r="R11043" s="10"/>
      <c r="S11043" s="10"/>
      <c r="T11043" s="10"/>
      <c r="U11043" s="10"/>
      <c r="V11043" s="10"/>
      <c r="W11043" s="10"/>
      <c r="X11043" s="10"/>
      <c r="Y11043" s="10"/>
      <c r="Z11043" s="10"/>
    </row>
    <row r="11044" spans="1:26" ht="12.75">
      <c r="A11044" s="10"/>
      <c r="B11044" s="10"/>
      <c r="C11044" s="10"/>
      <c r="D11044" s="10"/>
      <c r="E11044" s="10"/>
      <c r="F11044" s="10"/>
      <c r="G11044" s="10"/>
      <c r="H11044" s="10"/>
      <c r="I11044" s="10"/>
      <c r="J11044" s="10"/>
      <c r="K11044" s="10"/>
      <c r="L11044" s="10"/>
      <c r="M11044" s="10"/>
      <c r="N11044" s="10"/>
      <c r="O11044" s="10"/>
      <c r="P11044" s="10"/>
      <c r="Q11044" s="10"/>
      <c r="R11044" s="10"/>
      <c r="S11044" s="10"/>
      <c r="T11044" s="10"/>
      <c r="U11044" s="10"/>
      <c r="V11044" s="10"/>
      <c r="W11044" s="10"/>
      <c r="X11044" s="10"/>
      <c r="Y11044" s="10"/>
      <c r="Z11044" s="10"/>
    </row>
    <row r="11045" spans="1:26" ht="12.75">
      <c r="A11045" s="10"/>
      <c r="B11045" s="10"/>
      <c r="C11045" s="10"/>
      <c r="D11045" s="10"/>
      <c r="E11045" s="10"/>
      <c r="F11045" s="10"/>
      <c r="G11045" s="10"/>
      <c r="H11045" s="10"/>
      <c r="I11045" s="10"/>
      <c r="J11045" s="10"/>
      <c r="K11045" s="10"/>
      <c r="L11045" s="10"/>
      <c r="M11045" s="10"/>
      <c r="N11045" s="10"/>
      <c r="O11045" s="10"/>
      <c r="P11045" s="10"/>
      <c r="Q11045" s="10"/>
      <c r="R11045" s="10"/>
      <c r="S11045" s="10"/>
      <c r="T11045" s="10"/>
      <c r="U11045" s="10"/>
      <c r="V11045" s="10"/>
      <c r="W11045" s="10"/>
      <c r="X11045" s="10"/>
      <c r="Y11045" s="10"/>
      <c r="Z11045" s="10"/>
    </row>
    <row r="11046" spans="1:26" ht="12.75">
      <c r="A11046" s="10"/>
      <c r="B11046" s="10"/>
      <c r="C11046" s="10"/>
      <c r="D11046" s="10"/>
      <c r="E11046" s="10"/>
      <c r="F11046" s="10"/>
      <c r="G11046" s="10"/>
      <c r="H11046" s="10"/>
      <c r="I11046" s="10"/>
      <c r="J11046" s="10"/>
      <c r="K11046" s="10"/>
      <c r="L11046" s="10"/>
      <c r="M11046" s="10"/>
      <c r="N11046" s="10"/>
      <c r="O11046" s="10"/>
      <c r="P11046" s="10"/>
      <c r="Q11046" s="10"/>
      <c r="R11046" s="10"/>
      <c r="S11046" s="10"/>
      <c r="T11046" s="10"/>
      <c r="U11046" s="10"/>
      <c r="V11046" s="10"/>
      <c r="W11046" s="10"/>
      <c r="X11046" s="10"/>
      <c r="Y11046" s="10"/>
      <c r="Z11046" s="10"/>
    </row>
    <row r="11047" spans="1:26" ht="12.75">
      <c r="A11047" s="10"/>
      <c r="B11047" s="10"/>
      <c r="C11047" s="10"/>
      <c r="D11047" s="10"/>
      <c r="E11047" s="10"/>
      <c r="F11047" s="10"/>
      <c r="G11047" s="10"/>
      <c r="H11047" s="10"/>
      <c r="I11047" s="10"/>
      <c r="J11047" s="10"/>
      <c r="K11047" s="10"/>
      <c r="L11047" s="10"/>
      <c r="M11047" s="10"/>
      <c r="N11047" s="10"/>
      <c r="O11047" s="10"/>
      <c r="P11047" s="10"/>
      <c r="Q11047" s="10"/>
      <c r="R11047" s="10"/>
      <c r="S11047" s="10"/>
      <c r="T11047" s="10"/>
      <c r="U11047" s="10"/>
      <c r="V11047" s="10"/>
      <c r="W11047" s="10"/>
      <c r="X11047" s="10"/>
      <c r="Y11047" s="10"/>
      <c r="Z11047" s="10"/>
    </row>
    <row r="11048" spans="1:26" ht="12.75">
      <c r="A11048" s="10"/>
      <c r="B11048" s="10"/>
      <c r="C11048" s="10"/>
      <c r="D11048" s="10"/>
      <c r="E11048" s="10"/>
      <c r="F11048" s="10"/>
      <c r="G11048" s="10"/>
      <c r="H11048" s="10"/>
      <c r="I11048" s="10"/>
      <c r="J11048" s="10"/>
      <c r="K11048" s="10"/>
      <c r="L11048" s="10"/>
      <c r="M11048" s="10"/>
      <c r="N11048" s="10"/>
      <c r="O11048" s="10"/>
      <c r="P11048" s="10"/>
      <c r="Q11048" s="10"/>
      <c r="R11048" s="10"/>
      <c r="S11048" s="10"/>
      <c r="T11048" s="10"/>
      <c r="U11048" s="10"/>
      <c r="V11048" s="10"/>
      <c r="W11048" s="10"/>
      <c r="X11048" s="10"/>
      <c r="Y11048" s="10"/>
      <c r="Z11048" s="10"/>
    </row>
    <row r="11049" spans="1:26" ht="12.75">
      <c r="A11049" s="10"/>
      <c r="B11049" s="10"/>
      <c r="C11049" s="10"/>
      <c r="D11049" s="10"/>
      <c r="E11049" s="10"/>
      <c r="F11049" s="10"/>
      <c r="G11049" s="10"/>
      <c r="H11049" s="10"/>
      <c r="I11049" s="10"/>
      <c r="J11049" s="10"/>
      <c r="K11049" s="10"/>
      <c r="L11049" s="10"/>
      <c r="M11049" s="10"/>
      <c r="N11049" s="10"/>
      <c r="O11049" s="10"/>
      <c r="P11049" s="10"/>
      <c r="Q11049" s="10"/>
      <c r="R11049" s="10"/>
      <c r="S11049" s="10"/>
      <c r="T11049" s="10"/>
      <c r="U11049" s="10"/>
      <c r="V11049" s="10"/>
      <c r="W11049" s="10"/>
      <c r="X11049" s="10"/>
      <c r="Y11049" s="10"/>
      <c r="Z11049" s="10"/>
    </row>
    <row r="11050" spans="1:26" ht="12.75">
      <c r="A11050" s="10"/>
      <c r="B11050" s="10"/>
      <c r="C11050" s="10"/>
      <c r="D11050" s="10"/>
      <c r="E11050" s="10"/>
      <c r="F11050" s="10"/>
      <c r="G11050" s="10"/>
      <c r="H11050" s="10"/>
      <c r="I11050" s="10"/>
      <c r="J11050" s="10"/>
      <c r="K11050" s="10"/>
      <c r="L11050" s="10"/>
      <c r="M11050" s="10"/>
      <c r="N11050" s="10"/>
      <c r="O11050" s="10"/>
      <c r="P11050" s="10"/>
      <c r="Q11050" s="10"/>
      <c r="R11050" s="10"/>
      <c r="S11050" s="10"/>
      <c r="T11050" s="10"/>
      <c r="U11050" s="10"/>
      <c r="V11050" s="10"/>
      <c r="W11050" s="10"/>
      <c r="X11050" s="10"/>
      <c r="Y11050" s="10"/>
      <c r="Z11050" s="10"/>
    </row>
    <row r="11051" spans="1:26" ht="12.75">
      <c r="A11051" s="10"/>
      <c r="B11051" s="10"/>
      <c r="C11051" s="10"/>
      <c r="D11051" s="10"/>
      <c r="E11051" s="10"/>
      <c r="F11051" s="10"/>
      <c r="G11051" s="10"/>
      <c r="H11051" s="10"/>
      <c r="I11051" s="10"/>
      <c r="J11051" s="10"/>
      <c r="K11051" s="10"/>
      <c r="L11051" s="10"/>
      <c r="M11051" s="10"/>
      <c r="N11051" s="10"/>
      <c r="O11051" s="10"/>
      <c r="P11051" s="10"/>
      <c r="Q11051" s="10"/>
      <c r="R11051" s="10"/>
      <c r="S11051" s="10"/>
      <c r="T11051" s="10"/>
      <c r="U11051" s="10"/>
      <c r="V11051" s="10"/>
      <c r="W11051" s="10"/>
      <c r="X11051" s="10"/>
      <c r="Y11051" s="10"/>
      <c r="Z11051" s="10"/>
    </row>
    <row r="11052" spans="1:26" ht="12.75">
      <c r="A11052" s="10"/>
      <c r="B11052" s="10"/>
      <c r="C11052" s="10"/>
      <c r="D11052" s="10"/>
      <c r="E11052" s="10"/>
      <c r="F11052" s="10"/>
      <c r="G11052" s="10"/>
      <c r="H11052" s="10"/>
      <c r="I11052" s="10"/>
      <c r="J11052" s="10"/>
      <c r="K11052" s="10"/>
      <c r="L11052" s="10"/>
      <c r="M11052" s="10"/>
      <c r="N11052" s="10"/>
      <c r="O11052" s="10"/>
      <c r="P11052" s="10"/>
      <c r="Q11052" s="10"/>
      <c r="R11052" s="10"/>
      <c r="S11052" s="10"/>
      <c r="T11052" s="10"/>
      <c r="U11052" s="10"/>
      <c r="V11052" s="10"/>
      <c r="W11052" s="10"/>
      <c r="X11052" s="10"/>
      <c r="Y11052" s="10"/>
      <c r="Z11052" s="10"/>
    </row>
    <row r="11053" spans="1:26" ht="12.75">
      <c r="A11053" s="10"/>
      <c r="B11053" s="10"/>
      <c r="C11053" s="10"/>
      <c r="D11053" s="10"/>
      <c r="E11053" s="10"/>
      <c r="F11053" s="10"/>
      <c r="G11053" s="10"/>
      <c r="H11053" s="10"/>
      <c r="I11053" s="10"/>
      <c r="J11053" s="10"/>
      <c r="K11053" s="10"/>
      <c r="L11053" s="10"/>
      <c r="M11053" s="10"/>
      <c r="N11053" s="10"/>
      <c r="O11053" s="10"/>
      <c r="P11053" s="10"/>
      <c r="Q11053" s="10"/>
      <c r="R11053" s="10"/>
      <c r="S11053" s="10"/>
      <c r="T11053" s="10"/>
      <c r="U11053" s="10"/>
      <c r="V11053" s="10"/>
      <c r="W11053" s="10"/>
      <c r="X11053" s="10"/>
      <c r="Y11053" s="10"/>
      <c r="Z11053" s="10"/>
    </row>
    <row r="11054" spans="1:26" ht="12.75">
      <c r="A11054" s="10"/>
      <c r="B11054" s="10"/>
      <c r="C11054" s="10"/>
      <c r="D11054" s="10"/>
      <c r="E11054" s="10"/>
      <c r="F11054" s="10"/>
      <c r="G11054" s="10"/>
      <c r="H11054" s="10"/>
      <c r="I11054" s="10"/>
      <c r="J11054" s="10"/>
      <c r="K11054" s="10"/>
      <c r="L11054" s="10"/>
      <c r="M11054" s="10"/>
      <c r="N11054" s="10"/>
      <c r="O11054" s="10"/>
      <c r="P11054" s="10"/>
      <c r="Q11054" s="10"/>
      <c r="R11054" s="10"/>
      <c r="S11054" s="10"/>
      <c r="T11054" s="10"/>
      <c r="U11054" s="10"/>
      <c r="V11054" s="10"/>
      <c r="W11054" s="10"/>
      <c r="X11054" s="10"/>
      <c r="Y11054" s="10"/>
      <c r="Z11054" s="10"/>
    </row>
    <row r="11055" spans="1:26" ht="12.75">
      <c r="A11055" s="10"/>
      <c r="B11055" s="10"/>
      <c r="C11055" s="10"/>
      <c r="D11055" s="10"/>
      <c r="E11055" s="10"/>
      <c r="F11055" s="10"/>
      <c r="G11055" s="10"/>
      <c r="H11055" s="10"/>
      <c r="I11055" s="10"/>
      <c r="J11055" s="10"/>
      <c r="K11055" s="10"/>
      <c r="L11055" s="10"/>
      <c r="M11055" s="10"/>
      <c r="N11055" s="10"/>
      <c r="O11055" s="10"/>
      <c r="P11055" s="10"/>
      <c r="Q11055" s="10"/>
      <c r="R11055" s="10"/>
      <c r="S11055" s="10"/>
      <c r="T11055" s="10"/>
      <c r="U11055" s="10"/>
      <c r="V11055" s="10"/>
      <c r="W11055" s="10"/>
      <c r="X11055" s="10"/>
      <c r="Y11055" s="10"/>
      <c r="Z11055" s="10"/>
    </row>
    <row r="11056" spans="1:26" ht="12.75">
      <c r="A11056" s="10"/>
      <c r="B11056" s="10"/>
      <c r="C11056" s="10"/>
      <c r="D11056" s="10"/>
      <c r="E11056" s="10"/>
      <c r="F11056" s="10"/>
      <c r="G11056" s="10"/>
      <c r="H11056" s="10"/>
      <c r="I11056" s="10"/>
      <c r="J11056" s="10"/>
      <c r="K11056" s="10"/>
      <c r="L11056" s="10"/>
      <c r="M11056" s="10"/>
      <c r="N11056" s="10"/>
      <c r="O11056" s="10"/>
      <c r="P11056" s="10"/>
      <c r="Q11056" s="10"/>
      <c r="R11056" s="10"/>
      <c r="S11056" s="10"/>
      <c r="T11056" s="10"/>
      <c r="U11056" s="10"/>
      <c r="V11056" s="10"/>
      <c r="W11056" s="10"/>
      <c r="X11056" s="10"/>
      <c r="Y11056" s="10"/>
      <c r="Z11056" s="10"/>
    </row>
    <row r="11057" spans="1:26" ht="12.75">
      <c r="A11057" s="10"/>
      <c r="B11057" s="10"/>
      <c r="C11057" s="10"/>
      <c r="D11057" s="10"/>
      <c r="E11057" s="10"/>
      <c r="F11057" s="10"/>
      <c r="G11057" s="10"/>
      <c r="H11057" s="10"/>
      <c r="I11057" s="10"/>
      <c r="J11057" s="10"/>
      <c r="K11057" s="10"/>
      <c r="L11057" s="10"/>
      <c r="M11057" s="10"/>
      <c r="N11057" s="10"/>
      <c r="O11057" s="10"/>
      <c r="P11057" s="10"/>
      <c r="Q11057" s="10"/>
      <c r="R11057" s="10"/>
      <c r="S11057" s="10"/>
      <c r="T11057" s="10"/>
      <c r="U11057" s="10"/>
      <c r="V11057" s="10"/>
      <c r="W11057" s="10"/>
      <c r="X11057" s="10"/>
      <c r="Y11057" s="10"/>
      <c r="Z11057" s="10"/>
    </row>
    <row r="11058" spans="1:26" ht="12.75">
      <c r="A11058" s="10"/>
      <c r="B11058" s="10"/>
      <c r="C11058" s="10"/>
      <c r="D11058" s="10"/>
      <c r="E11058" s="10"/>
      <c r="F11058" s="10"/>
      <c r="G11058" s="10"/>
      <c r="H11058" s="10"/>
      <c r="I11058" s="10"/>
      <c r="J11058" s="10"/>
      <c r="K11058" s="10"/>
      <c r="L11058" s="10"/>
      <c r="M11058" s="10"/>
      <c r="N11058" s="10"/>
      <c r="O11058" s="10"/>
      <c r="P11058" s="10"/>
      <c r="Q11058" s="10"/>
      <c r="R11058" s="10"/>
      <c r="S11058" s="10"/>
      <c r="T11058" s="10"/>
      <c r="U11058" s="10"/>
      <c r="V11058" s="10"/>
      <c r="W11058" s="10"/>
      <c r="X11058" s="10"/>
      <c r="Y11058" s="10"/>
      <c r="Z11058" s="10"/>
    </row>
    <row r="11059" spans="1:26" ht="12.75">
      <c r="A11059" s="10"/>
      <c r="B11059" s="10"/>
      <c r="C11059" s="10"/>
      <c r="D11059" s="10"/>
      <c r="E11059" s="10"/>
      <c r="F11059" s="10"/>
      <c r="G11059" s="10"/>
      <c r="H11059" s="10"/>
      <c r="I11059" s="10"/>
      <c r="J11059" s="10"/>
      <c r="K11059" s="10"/>
      <c r="L11059" s="10"/>
      <c r="M11059" s="10"/>
      <c r="N11059" s="10"/>
      <c r="O11059" s="10"/>
      <c r="P11059" s="10"/>
      <c r="Q11059" s="10"/>
      <c r="R11059" s="10"/>
      <c r="S11059" s="10"/>
      <c r="T11059" s="10"/>
      <c r="U11059" s="10"/>
      <c r="V11059" s="10"/>
      <c r="W11059" s="10"/>
      <c r="X11059" s="10"/>
      <c r="Y11059" s="10"/>
      <c r="Z11059" s="10"/>
    </row>
    <row r="11060" spans="1:26" ht="12.75">
      <c r="A11060" s="10"/>
      <c r="B11060" s="10"/>
      <c r="C11060" s="10"/>
      <c r="D11060" s="10"/>
      <c r="E11060" s="10"/>
      <c r="F11060" s="10"/>
      <c r="G11060" s="10"/>
      <c r="H11060" s="10"/>
      <c r="I11060" s="10"/>
      <c r="J11060" s="10"/>
      <c r="K11060" s="10"/>
      <c r="L11060" s="10"/>
      <c r="M11060" s="10"/>
      <c r="N11060" s="10"/>
      <c r="O11060" s="10"/>
      <c r="P11060" s="10"/>
      <c r="Q11060" s="10"/>
      <c r="R11060" s="10"/>
      <c r="S11060" s="10"/>
      <c r="T11060" s="10"/>
      <c r="U11060" s="10"/>
      <c r="V11060" s="10"/>
      <c r="W11060" s="10"/>
      <c r="X11060" s="10"/>
      <c r="Y11060" s="10"/>
      <c r="Z11060" s="10"/>
    </row>
    <row r="11061" spans="1:26" ht="12.75">
      <c r="A11061" s="10"/>
      <c r="B11061" s="10"/>
      <c r="C11061" s="10"/>
      <c r="D11061" s="10"/>
      <c r="E11061" s="10"/>
      <c r="F11061" s="10"/>
      <c r="G11061" s="10"/>
      <c r="H11061" s="10"/>
      <c r="I11061" s="10"/>
      <c r="J11061" s="10"/>
      <c r="K11061" s="10"/>
      <c r="L11061" s="10"/>
      <c r="M11061" s="10"/>
      <c r="N11061" s="10"/>
      <c r="O11061" s="10"/>
      <c r="P11061" s="10"/>
      <c r="Q11061" s="10"/>
      <c r="R11061" s="10"/>
      <c r="S11061" s="10"/>
      <c r="T11061" s="10"/>
      <c r="U11061" s="10"/>
      <c r="V11061" s="10"/>
      <c r="W11061" s="10"/>
      <c r="X11061" s="10"/>
      <c r="Y11061" s="10"/>
      <c r="Z11061" s="10"/>
    </row>
    <row r="11062" spans="1:26" ht="12.75">
      <c r="A11062" s="10"/>
      <c r="B11062" s="10"/>
      <c r="C11062" s="10"/>
      <c r="D11062" s="10"/>
      <c r="E11062" s="10"/>
      <c r="F11062" s="10"/>
      <c r="G11062" s="10"/>
      <c r="H11062" s="10"/>
      <c r="I11062" s="10"/>
      <c r="J11062" s="10"/>
      <c r="K11062" s="10"/>
      <c r="L11062" s="10"/>
      <c r="M11062" s="10"/>
      <c r="N11062" s="10"/>
      <c r="O11062" s="10"/>
      <c r="P11062" s="10"/>
      <c r="Q11062" s="10"/>
      <c r="R11062" s="10"/>
      <c r="S11062" s="10"/>
      <c r="T11062" s="10"/>
      <c r="U11062" s="10"/>
      <c r="V11062" s="10"/>
      <c r="W11062" s="10"/>
      <c r="X11062" s="10"/>
      <c r="Y11062" s="10"/>
      <c r="Z11062" s="10"/>
    </row>
    <row r="11063" spans="1:26" ht="12.75">
      <c r="A11063" s="10"/>
      <c r="B11063" s="10"/>
      <c r="C11063" s="10"/>
      <c r="D11063" s="10"/>
      <c r="E11063" s="10"/>
      <c r="F11063" s="10"/>
      <c r="G11063" s="10"/>
      <c r="H11063" s="10"/>
      <c r="I11063" s="10"/>
      <c r="J11063" s="10"/>
      <c r="K11063" s="10"/>
      <c r="L11063" s="10"/>
      <c r="M11063" s="10"/>
      <c r="N11063" s="10"/>
      <c r="O11063" s="10"/>
      <c r="P11063" s="10"/>
      <c r="Q11063" s="10"/>
      <c r="R11063" s="10"/>
      <c r="S11063" s="10"/>
      <c r="T11063" s="10"/>
      <c r="U11063" s="10"/>
      <c r="V11063" s="10"/>
      <c r="W11063" s="10"/>
      <c r="X11063" s="10"/>
      <c r="Y11063" s="10"/>
      <c r="Z11063" s="10"/>
    </row>
    <row r="11064" spans="1:26" ht="12.75">
      <c r="A11064" s="10"/>
      <c r="B11064" s="10"/>
      <c r="C11064" s="10"/>
      <c r="D11064" s="10"/>
      <c r="E11064" s="10"/>
      <c r="F11064" s="10"/>
      <c r="G11064" s="10"/>
      <c r="H11064" s="10"/>
      <c r="I11064" s="10"/>
      <c r="J11064" s="10"/>
      <c r="K11064" s="10"/>
      <c r="L11064" s="10"/>
      <c r="M11064" s="10"/>
      <c r="N11064" s="10"/>
      <c r="O11064" s="10"/>
      <c r="P11064" s="10"/>
      <c r="Q11064" s="10"/>
      <c r="R11064" s="10"/>
      <c r="S11064" s="10"/>
      <c r="T11064" s="10"/>
      <c r="U11064" s="10"/>
      <c r="V11064" s="10"/>
      <c r="W11064" s="10"/>
      <c r="X11064" s="10"/>
      <c r="Y11064" s="10"/>
      <c r="Z11064" s="10"/>
    </row>
    <row r="11065" spans="1:26" ht="12.75">
      <c r="A11065" s="10"/>
      <c r="B11065" s="10"/>
      <c r="C11065" s="10"/>
      <c r="D11065" s="10"/>
      <c r="E11065" s="10"/>
      <c r="F11065" s="10"/>
      <c r="G11065" s="10"/>
      <c r="H11065" s="10"/>
      <c r="I11065" s="10"/>
      <c r="J11065" s="10"/>
      <c r="K11065" s="10"/>
      <c r="L11065" s="10"/>
      <c r="M11065" s="10"/>
      <c r="N11065" s="10"/>
      <c r="O11065" s="10"/>
      <c r="P11065" s="10"/>
      <c r="Q11065" s="10"/>
      <c r="R11065" s="10"/>
      <c r="S11065" s="10"/>
      <c r="T11065" s="10"/>
      <c r="U11065" s="10"/>
      <c r="V11065" s="10"/>
      <c r="W11065" s="10"/>
      <c r="X11065" s="10"/>
      <c r="Y11065" s="10"/>
      <c r="Z11065" s="10"/>
    </row>
    <row r="11066" spans="1:26" ht="12.75">
      <c r="A11066" s="10"/>
      <c r="B11066" s="10"/>
      <c r="C11066" s="10"/>
      <c r="D11066" s="10"/>
      <c r="E11066" s="10"/>
      <c r="F11066" s="10"/>
      <c r="G11066" s="10"/>
      <c r="H11066" s="10"/>
      <c r="I11066" s="10"/>
      <c r="J11066" s="10"/>
      <c r="K11066" s="10"/>
      <c r="L11066" s="10"/>
      <c r="M11066" s="10"/>
      <c r="N11066" s="10"/>
      <c r="O11066" s="10"/>
      <c r="P11066" s="10"/>
      <c r="Q11066" s="10"/>
      <c r="R11066" s="10"/>
      <c r="S11066" s="10"/>
      <c r="T11066" s="10"/>
      <c r="U11066" s="10"/>
      <c r="V11066" s="10"/>
      <c r="W11066" s="10"/>
      <c r="X11066" s="10"/>
      <c r="Y11066" s="10"/>
      <c r="Z11066" s="10"/>
    </row>
    <row r="11067" spans="1:26" ht="12.75">
      <c r="A11067" s="10"/>
      <c r="B11067" s="10"/>
      <c r="C11067" s="10"/>
      <c r="D11067" s="10"/>
      <c r="E11067" s="10"/>
      <c r="F11067" s="10"/>
      <c r="G11067" s="10"/>
      <c r="H11067" s="10"/>
      <c r="I11067" s="10"/>
      <c r="J11067" s="10"/>
      <c r="K11067" s="10"/>
      <c r="L11067" s="10"/>
      <c r="M11067" s="10"/>
      <c r="N11067" s="10"/>
      <c r="O11067" s="10"/>
      <c r="P11067" s="10"/>
      <c r="Q11067" s="10"/>
      <c r="R11067" s="10"/>
      <c r="S11067" s="10"/>
      <c r="T11067" s="10"/>
      <c r="U11067" s="10"/>
      <c r="V11067" s="10"/>
      <c r="W11067" s="10"/>
      <c r="X11067" s="10"/>
      <c r="Y11067" s="10"/>
      <c r="Z11067" s="10"/>
    </row>
    <row r="11068" spans="1:26" ht="12.75">
      <c r="A11068" s="10"/>
      <c r="B11068" s="10"/>
      <c r="C11068" s="10"/>
      <c r="D11068" s="10"/>
      <c r="E11068" s="10"/>
      <c r="F11068" s="10"/>
      <c r="G11068" s="10"/>
      <c r="H11068" s="10"/>
      <c r="I11068" s="10"/>
      <c r="J11068" s="10"/>
      <c r="K11068" s="10"/>
      <c r="L11068" s="10"/>
      <c r="M11068" s="10"/>
      <c r="N11068" s="10"/>
      <c r="O11068" s="10"/>
      <c r="P11068" s="10"/>
      <c r="Q11068" s="10"/>
      <c r="R11068" s="10"/>
      <c r="S11068" s="10"/>
      <c r="T11068" s="10"/>
      <c r="U11068" s="10"/>
      <c r="V11068" s="10"/>
      <c r="W11068" s="10"/>
      <c r="X11068" s="10"/>
      <c r="Y11068" s="10"/>
      <c r="Z11068" s="10"/>
    </row>
    <row r="11069" spans="1:26" ht="12.75">
      <c r="A11069" s="10"/>
      <c r="B11069" s="10"/>
      <c r="C11069" s="10"/>
      <c r="D11069" s="10"/>
      <c r="E11069" s="10"/>
      <c r="F11069" s="10"/>
      <c r="G11069" s="10"/>
      <c r="H11069" s="10"/>
      <c r="I11069" s="10"/>
      <c r="J11069" s="10"/>
      <c r="K11069" s="10"/>
      <c r="L11069" s="10"/>
      <c r="M11069" s="10"/>
      <c r="N11069" s="10"/>
      <c r="O11069" s="10"/>
      <c r="P11069" s="10"/>
      <c r="Q11069" s="10"/>
      <c r="R11069" s="10"/>
      <c r="S11069" s="10"/>
      <c r="T11069" s="10"/>
      <c r="U11069" s="10"/>
      <c r="V11069" s="10"/>
      <c r="W11069" s="10"/>
      <c r="X11069" s="10"/>
      <c r="Y11069" s="10"/>
      <c r="Z11069" s="10"/>
    </row>
    <row r="11070" spans="1:26" ht="12.75">
      <c r="A11070" s="10"/>
      <c r="B11070" s="10"/>
      <c r="C11070" s="10"/>
      <c r="D11070" s="10"/>
      <c r="E11070" s="10"/>
      <c r="F11070" s="10"/>
      <c r="G11070" s="10"/>
      <c r="H11070" s="10"/>
      <c r="I11070" s="10"/>
      <c r="J11070" s="10"/>
      <c r="K11070" s="10"/>
      <c r="L11070" s="10"/>
      <c r="M11070" s="10"/>
      <c r="N11070" s="10"/>
      <c r="O11070" s="10"/>
      <c r="P11070" s="10"/>
      <c r="Q11070" s="10"/>
      <c r="R11070" s="10"/>
      <c r="S11070" s="10"/>
      <c r="T11070" s="10"/>
      <c r="U11070" s="10"/>
      <c r="V11070" s="10"/>
      <c r="W11070" s="10"/>
      <c r="X11070" s="10"/>
      <c r="Y11070" s="10"/>
      <c r="Z11070" s="10"/>
    </row>
    <row r="11071" spans="1:26" ht="12.75">
      <c r="A11071" s="10"/>
      <c r="B11071" s="10"/>
      <c r="C11071" s="10"/>
      <c r="D11071" s="10"/>
      <c r="E11071" s="10"/>
      <c r="F11071" s="10"/>
      <c r="G11071" s="10"/>
      <c r="H11071" s="10"/>
      <c r="I11071" s="10"/>
      <c r="J11071" s="10"/>
      <c r="K11071" s="10"/>
      <c r="L11071" s="10"/>
      <c r="M11071" s="10"/>
      <c r="N11071" s="10"/>
      <c r="O11071" s="10"/>
      <c r="P11071" s="10"/>
      <c r="Q11071" s="10"/>
      <c r="R11071" s="10"/>
      <c r="S11071" s="10"/>
      <c r="T11071" s="10"/>
      <c r="U11071" s="10"/>
      <c r="V11071" s="10"/>
      <c r="W11071" s="10"/>
      <c r="X11071" s="10"/>
      <c r="Y11071" s="10"/>
      <c r="Z11071" s="10"/>
    </row>
    <row r="11072" spans="1:26" ht="12.75">
      <c r="A11072" s="10"/>
      <c r="B11072" s="10"/>
      <c r="C11072" s="10"/>
      <c r="D11072" s="10"/>
      <c r="E11072" s="10"/>
      <c r="F11072" s="10"/>
      <c r="G11072" s="10"/>
      <c r="H11072" s="10"/>
      <c r="I11072" s="10"/>
      <c r="J11072" s="10"/>
      <c r="K11072" s="10"/>
      <c r="L11072" s="10"/>
      <c r="M11072" s="10"/>
      <c r="N11072" s="10"/>
      <c r="O11072" s="10"/>
      <c r="P11072" s="10"/>
      <c r="Q11072" s="10"/>
      <c r="R11072" s="10"/>
      <c r="S11072" s="10"/>
      <c r="T11072" s="10"/>
      <c r="U11072" s="10"/>
      <c r="V11072" s="10"/>
      <c r="W11072" s="10"/>
      <c r="X11072" s="10"/>
      <c r="Y11072" s="10"/>
      <c r="Z11072" s="10"/>
    </row>
    <row r="11073" spans="1:26" ht="12.75">
      <c r="A11073" s="10"/>
      <c r="B11073" s="10"/>
      <c r="C11073" s="10"/>
      <c r="D11073" s="10"/>
      <c r="E11073" s="10"/>
      <c r="F11073" s="10"/>
      <c r="G11073" s="10"/>
      <c r="H11073" s="10"/>
      <c r="I11073" s="10"/>
      <c r="J11073" s="10"/>
      <c r="K11073" s="10"/>
      <c r="L11073" s="10"/>
      <c r="M11073" s="10"/>
      <c r="N11073" s="10"/>
      <c r="O11073" s="10"/>
      <c r="P11073" s="10"/>
      <c r="Q11073" s="10"/>
      <c r="R11073" s="10"/>
      <c r="S11073" s="10"/>
      <c r="T11073" s="10"/>
      <c r="U11073" s="10"/>
      <c r="V11073" s="10"/>
      <c r="W11073" s="10"/>
      <c r="X11073" s="10"/>
      <c r="Y11073" s="10"/>
      <c r="Z11073" s="10"/>
    </row>
    <row r="11074" spans="1:26" ht="12.75">
      <c r="A11074" s="10"/>
      <c r="B11074" s="10"/>
      <c r="C11074" s="10"/>
      <c r="D11074" s="10"/>
      <c r="E11074" s="10"/>
      <c r="F11074" s="10"/>
      <c r="G11074" s="10"/>
      <c r="H11074" s="10"/>
      <c r="I11074" s="10"/>
      <c r="J11074" s="10"/>
      <c r="K11074" s="10"/>
      <c r="L11074" s="10"/>
      <c r="M11074" s="10"/>
      <c r="N11074" s="10"/>
      <c r="O11074" s="10"/>
      <c r="P11074" s="10"/>
      <c r="Q11074" s="10"/>
      <c r="R11074" s="10"/>
      <c r="S11074" s="10"/>
      <c r="T11074" s="10"/>
      <c r="U11074" s="10"/>
      <c r="V11074" s="10"/>
      <c r="W11074" s="10"/>
      <c r="X11074" s="10"/>
      <c r="Y11074" s="10"/>
      <c r="Z11074" s="10"/>
    </row>
    <row r="11075" spans="1:26" ht="12.75">
      <c r="A11075" s="10"/>
      <c r="B11075" s="10"/>
      <c r="C11075" s="10"/>
      <c r="D11075" s="10"/>
      <c r="E11075" s="10"/>
      <c r="F11075" s="10"/>
      <c r="G11075" s="10"/>
      <c r="H11075" s="10"/>
      <c r="I11075" s="10"/>
      <c r="J11075" s="10"/>
      <c r="K11075" s="10"/>
      <c r="L11075" s="10"/>
      <c r="M11075" s="10"/>
      <c r="N11075" s="10"/>
      <c r="O11075" s="10"/>
      <c r="P11075" s="10"/>
      <c r="Q11075" s="10"/>
      <c r="R11075" s="10"/>
      <c r="S11075" s="10"/>
      <c r="T11075" s="10"/>
      <c r="U11075" s="10"/>
      <c r="V11075" s="10"/>
      <c r="W11075" s="10"/>
      <c r="X11075" s="10"/>
      <c r="Y11075" s="10"/>
      <c r="Z11075" s="10"/>
    </row>
    <row r="11076" spans="1:26" ht="12.75">
      <c r="A11076" s="10"/>
      <c r="B11076" s="10"/>
      <c r="C11076" s="10"/>
      <c r="D11076" s="10"/>
      <c r="E11076" s="10"/>
      <c r="F11076" s="10"/>
      <c r="G11076" s="10"/>
      <c r="H11076" s="10"/>
      <c r="I11076" s="10"/>
      <c r="J11076" s="10"/>
      <c r="K11076" s="10"/>
      <c r="L11076" s="10"/>
      <c r="M11076" s="10"/>
      <c r="N11076" s="10"/>
      <c r="O11076" s="10"/>
      <c r="P11076" s="10"/>
      <c r="Q11076" s="10"/>
      <c r="R11076" s="10"/>
      <c r="S11076" s="10"/>
      <c r="T11076" s="10"/>
      <c r="U11076" s="10"/>
      <c r="V11076" s="10"/>
      <c r="W11076" s="10"/>
      <c r="X11076" s="10"/>
      <c r="Y11076" s="10"/>
      <c r="Z11076" s="10"/>
    </row>
    <row r="11077" spans="1:26" ht="12.75">
      <c r="A11077" s="10"/>
      <c r="B11077" s="10"/>
      <c r="C11077" s="10"/>
      <c r="D11077" s="10"/>
      <c r="E11077" s="10"/>
      <c r="F11077" s="10"/>
      <c r="G11077" s="10"/>
      <c r="H11077" s="10"/>
      <c r="I11077" s="10"/>
      <c r="J11077" s="10"/>
      <c r="K11077" s="10"/>
      <c r="L11077" s="10"/>
      <c r="M11077" s="10"/>
      <c r="N11077" s="10"/>
      <c r="O11077" s="10"/>
      <c r="P11077" s="10"/>
      <c r="Q11077" s="10"/>
      <c r="R11077" s="10"/>
      <c r="S11077" s="10"/>
      <c r="T11077" s="10"/>
      <c r="U11077" s="10"/>
      <c r="V11077" s="10"/>
      <c r="W11077" s="10"/>
      <c r="X11077" s="10"/>
      <c r="Y11077" s="10"/>
      <c r="Z11077" s="10"/>
    </row>
    <row r="11078" spans="1:26" ht="12.75">
      <c r="A11078" s="10"/>
      <c r="B11078" s="10"/>
      <c r="C11078" s="10"/>
      <c r="D11078" s="10"/>
      <c r="E11078" s="10"/>
      <c r="F11078" s="10"/>
      <c r="G11078" s="10"/>
      <c r="H11078" s="10"/>
      <c r="I11078" s="10"/>
      <c r="J11078" s="10"/>
      <c r="K11078" s="10"/>
      <c r="L11078" s="10"/>
      <c r="M11078" s="10"/>
      <c r="N11078" s="10"/>
      <c r="O11078" s="10"/>
      <c r="P11078" s="10"/>
      <c r="Q11078" s="10"/>
      <c r="R11078" s="10"/>
      <c r="S11078" s="10"/>
      <c r="T11078" s="10"/>
      <c r="U11078" s="10"/>
      <c r="V11078" s="10"/>
      <c r="W11078" s="10"/>
      <c r="X11078" s="10"/>
      <c r="Y11078" s="10"/>
      <c r="Z11078" s="10"/>
    </row>
    <row r="11079" spans="1:26" ht="12.75">
      <c r="A11079" s="10"/>
      <c r="B11079" s="10"/>
      <c r="C11079" s="10"/>
      <c r="D11079" s="10"/>
      <c r="E11079" s="10"/>
      <c r="F11079" s="10"/>
      <c r="G11079" s="10"/>
      <c r="H11079" s="10"/>
      <c r="I11079" s="10"/>
      <c r="J11079" s="10"/>
      <c r="K11079" s="10"/>
      <c r="L11079" s="10"/>
      <c r="M11079" s="10"/>
      <c r="N11079" s="10"/>
      <c r="O11079" s="10"/>
      <c r="P11079" s="10"/>
      <c r="Q11079" s="10"/>
      <c r="R11079" s="10"/>
      <c r="S11079" s="10"/>
      <c r="T11079" s="10"/>
      <c r="U11079" s="10"/>
      <c r="V11079" s="10"/>
      <c r="W11079" s="10"/>
      <c r="X11079" s="10"/>
      <c r="Y11079" s="10"/>
      <c r="Z11079" s="10"/>
    </row>
    <row r="11080" spans="1:26" ht="12.75">
      <c r="A11080" s="10"/>
      <c r="B11080" s="10"/>
      <c r="C11080" s="10"/>
      <c r="D11080" s="10"/>
      <c r="E11080" s="10"/>
      <c r="F11080" s="10"/>
      <c r="G11080" s="10"/>
      <c r="H11080" s="10"/>
      <c r="I11080" s="10"/>
      <c r="J11080" s="10"/>
      <c r="K11080" s="10"/>
      <c r="L11080" s="10"/>
      <c r="M11080" s="10"/>
      <c r="N11080" s="10"/>
      <c r="O11080" s="10"/>
      <c r="P11080" s="10"/>
      <c r="Q11080" s="10"/>
      <c r="R11080" s="10"/>
      <c r="S11080" s="10"/>
      <c r="T11080" s="10"/>
      <c r="U11080" s="10"/>
      <c r="V11080" s="10"/>
      <c r="W11080" s="10"/>
      <c r="X11080" s="10"/>
      <c r="Y11080" s="10"/>
      <c r="Z11080" s="10"/>
    </row>
    <row r="11081" spans="1:26" ht="12.75">
      <c r="A11081" s="10"/>
      <c r="B11081" s="10"/>
      <c r="C11081" s="10"/>
      <c r="D11081" s="10"/>
      <c r="E11081" s="10"/>
      <c r="F11081" s="10"/>
      <c r="G11081" s="10"/>
      <c r="H11081" s="10"/>
      <c r="I11081" s="10"/>
      <c r="J11081" s="10"/>
      <c r="K11081" s="10"/>
      <c r="L11081" s="10"/>
      <c r="M11081" s="10"/>
      <c r="N11081" s="10"/>
      <c r="O11081" s="10"/>
      <c r="P11081" s="10"/>
      <c r="Q11081" s="10"/>
      <c r="R11081" s="10"/>
      <c r="S11081" s="10"/>
      <c r="T11081" s="10"/>
      <c r="U11081" s="10"/>
      <c r="V11081" s="10"/>
      <c r="W11081" s="10"/>
      <c r="X11081" s="10"/>
      <c r="Y11081" s="10"/>
      <c r="Z11081" s="10"/>
    </row>
    <row r="11082" spans="1:26" ht="12.75">
      <c r="A11082" s="10"/>
      <c r="B11082" s="10"/>
      <c r="C11082" s="10"/>
      <c r="D11082" s="10"/>
      <c r="E11082" s="10"/>
      <c r="F11082" s="10"/>
      <c r="G11082" s="10"/>
      <c r="H11082" s="10"/>
      <c r="I11082" s="10"/>
      <c r="J11082" s="10"/>
      <c r="K11082" s="10"/>
      <c r="L11082" s="10"/>
      <c r="M11082" s="10"/>
      <c r="N11082" s="10"/>
      <c r="O11082" s="10"/>
      <c r="P11082" s="10"/>
      <c r="Q11082" s="10"/>
      <c r="R11082" s="10"/>
      <c r="S11082" s="10"/>
      <c r="T11082" s="10"/>
      <c r="U11082" s="10"/>
      <c r="V11082" s="10"/>
      <c r="W11082" s="10"/>
      <c r="X11082" s="10"/>
      <c r="Y11082" s="10"/>
      <c r="Z11082" s="10"/>
    </row>
    <row r="11083" spans="1:26" ht="12.75">
      <c r="A11083" s="10"/>
      <c r="B11083" s="10"/>
      <c r="C11083" s="10"/>
      <c r="D11083" s="10"/>
      <c r="E11083" s="10"/>
      <c r="F11083" s="10"/>
      <c r="G11083" s="10"/>
      <c r="H11083" s="10"/>
      <c r="I11083" s="10"/>
      <c r="J11083" s="10"/>
      <c r="K11083" s="10"/>
      <c r="L11083" s="10"/>
      <c r="M11083" s="10"/>
      <c r="N11083" s="10"/>
      <c r="O11083" s="10"/>
      <c r="P11083" s="10"/>
      <c r="Q11083" s="10"/>
      <c r="R11083" s="10"/>
      <c r="S11083" s="10"/>
      <c r="T11083" s="10"/>
      <c r="U11083" s="10"/>
      <c r="V11083" s="10"/>
      <c r="W11083" s="10"/>
      <c r="X11083" s="10"/>
      <c r="Y11083" s="10"/>
      <c r="Z11083" s="10"/>
    </row>
    <row r="11084" spans="1:26" ht="12.75">
      <c r="A11084" s="10"/>
      <c r="B11084" s="10"/>
      <c r="C11084" s="10"/>
      <c r="D11084" s="10"/>
      <c r="E11084" s="10"/>
      <c r="F11084" s="10"/>
      <c r="G11084" s="10"/>
      <c r="H11084" s="10"/>
      <c r="I11084" s="10"/>
      <c r="J11084" s="10"/>
      <c r="K11084" s="10"/>
      <c r="L11084" s="10"/>
      <c r="M11084" s="10"/>
      <c r="N11084" s="10"/>
      <c r="O11084" s="10"/>
      <c r="P11084" s="10"/>
      <c r="Q11084" s="10"/>
      <c r="R11084" s="10"/>
      <c r="S11084" s="10"/>
      <c r="T11084" s="10"/>
      <c r="U11084" s="10"/>
      <c r="V11084" s="10"/>
      <c r="W11084" s="10"/>
      <c r="X11084" s="10"/>
      <c r="Y11084" s="10"/>
      <c r="Z11084" s="10"/>
    </row>
    <row r="11085" spans="1:26" ht="12.75">
      <c r="A11085" s="10"/>
      <c r="B11085" s="10"/>
      <c r="C11085" s="10"/>
      <c r="D11085" s="10"/>
      <c r="E11085" s="10"/>
      <c r="F11085" s="10"/>
      <c r="G11085" s="10"/>
      <c r="H11085" s="10"/>
      <c r="I11085" s="10"/>
      <c r="J11085" s="10"/>
      <c r="K11085" s="10"/>
      <c r="L11085" s="10"/>
      <c r="M11085" s="10"/>
      <c r="N11085" s="10"/>
      <c r="O11085" s="10"/>
      <c r="P11085" s="10"/>
      <c r="Q11085" s="10"/>
      <c r="R11085" s="10"/>
      <c r="S11085" s="10"/>
      <c r="T11085" s="10"/>
      <c r="U11085" s="10"/>
      <c r="V11085" s="10"/>
      <c r="W11085" s="10"/>
      <c r="X11085" s="10"/>
      <c r="Y11085" s="10"/>
      <c r="Z11085" s="10"/>
    </row>
    <row r="11086" spans="1:26" ht="12.75">
      <c r="A11086" s="10"/>
      <c r="B11086" s="10"/>
      <c r="C11086" s="10"/>
      <c r="D11086" s="10"/>
      <c r="E11086" s="10"/>
      <c r="F11086" s="10"/>
      <c r="G11086" s="10"/>
      <c r="H11086" s="10"/>
      <c r="I11086" s="10"/>
      <c r="J11086" s="10"/>
      <c r="K11086" s="10"/>
      <c r="L11086" s="10"/>
      <c r="M11086" s="10"/>
      <c r="N11086" s="10"/>
      <c r="O11086" s="10"/>
      <c r="P11086" s="10"/>
      <c r="Q11086" s="10"/>
      <c r="R11086" s="10"/>
      <c r="S11086" s="10"/>
      <c r="T11086" s="10"/>
      <c r="U11086" s="10"/>
      <c r="V11086" s="10"/>
      <c r="W11086" s="10"/>
      <c r="X11086" s="10"/>
      <c r="Y11086" s="10"/>
      <c r="Z11086" s="10"/>
    </row>
    <row r="11087" spans="1:26" ht="12.75">
      <c r="A11087" s="10"/>
      <c r="B11087" s="10"/>
      <c r="C11087" s="10"/>
      <c r="D11087" s="10"/>
      <c r="E11087" s="10"/>
      <c r="F11087" s="10"/>
      <c r="G11087" s="10"/>
      <c r="H11087" s="10"/>
      <c r="I11087" s="10"/>
      <c r="J11087" s="10"/>
      <c r="K11087" s="10"/>
      <c r="L11087" s="10"/>
      <c r="M11087" s="10"/>
      <c r="N11087" s="10"/>
      <c r="O11087" s="10"/>
      <c r="P11087" s="10"/>
      <c r="Q11087" s="10"/>
      <c r="R11087" s="10"/>
      <c r="S11087" s="10"/>
      <c r="T11087" s="10"/>
      <c r="U11087" s="10"/>
      <c r="V11087" s="10"/>
      <c r="W11087" s="10"/>
      <c r="X11087" s="10"/>
      <c r="Y11087" s="10"/>
      <c r="Z11087" s="10"/>
    </row>
    <row r="11088" spans="1:26" ht="12.75">
      <c r="A11088" s="10"/>
      <c r="B11088" s="10"/>
      <c r="C11088" s="10"/>
      <c r="D11088" s="10"/>
      <c r="E11088" s="10"/>
      <c r="F11088" s="10"/>
      <c r="G11088" s="10"/>
      <c r="H11088" s="10"/>
      <c r="I11088" s="10"/>
      <c r="J11088" s="10"/>
      <c r="K11088" s="10"/>
      <c r="L11088" s="10"/>
      <c r="M11088" s="10"/>
      <c r="N11088" s="10"/>
      <c r="O11088" s="10"/>
      <c r="P11088" s="10"/>
      <c r="Q11088" s="10"/>
      <c r="R11088" s="10"/>
      <c r="S11088" s="10"/>
      <c r="T11088" s="10"/>
      <c r="U11088" s="10"/>
      <c r="V11088" s="10"/>
      <c r="W11088" s="10"/>
      <c r="X11088" s="10"/>
      <c r="Y11088" s="10"/>
      <c r="Z11088" s="10"/>
    </row>
    <row r="11089" spans="1:26" ht="12.75">
      <c r="A11089" s="10"/>
      <c r="B11089" s="10"/>
      <c r="C11089" s="10"/>
      <c r="D11089" s="10"/>
      <c r="E11089" s="10"/>
      <c r="F11089" s="10"/>
      <c r="G11089" s="10"/>
      <c r="H11089" s="10"/>
      <c r="I11089" s="10"/>
      <c r="J11089" s="10"/>
      <c r="K11089" s="10"/>
      <c r="L11089" s="10"/>
      <c r="M11089" s="10"/>
      <c r="N11089" s="10"/>
      <c r="O11089" s="10"/>
      <c r="P11089" s="10"/>
      <c r="Q11089" s="10"/>
      <c r="R11089" s="10"/>
      <c r="S11089" s="10"/>
      <c r="T11089" s="10"/>
      <c r="U11089" s="10"/>
      <c r="V11089" s="10"/>
      <c r="W11089" s="10"/>
      <c r="X11089" s="10"/>
      <c r="Y11089" s="10"/>
      <c r="Z11089" s="10"/>
    </row>
    <row r="11090" spans="1:26" ht="12.75">
      <c r="A11090" s="10"/>
      <c r="B11090" s="10"/>
      <c r="C11090" s="10"/>
      <c r="D11090" s="10"/>
      <c r="E11090" s="10"/>
      <c r="F11090" s="10"/>
      <c r="G11090" s="10"/>
      <c r="H11090" s="10"/>
      <c r="I11090" s="10"/>
      <c r="J11090" s="10"/>
      <c r="K11090" s="10"/>
      <c r="L11090" s="10"/>
      <c r="M11090" s="10"/>
      <c r="N11090" s="10"/>
      <c r="O11090" s="10"/>
      <c r="P11090" s="10"/>
      <c r="Q11090" s="10"/>
      <c r="R11090" s="10"/>
      <c r="S11090" s="10"/>
      <c r="T11090" s="10"/>
      <c r="U11090" s="10"/>
      <c r="V11090" s="10"/>
      <c r="W11090" s="10"/>
      <c r="X11090" s="10"/>
      <c r="Y11090" s="10"/>
      <c r="Z11090" s="10"/>
    </row>
    <row r="11091" spans="1:26" ht="12.75">
      <c r="A11091" s="10"/>
      <c r="B11091" s="10"/>
      <c r="C11091" s="10"/>
      <c r="D11091" s="10"/>
      <c r="E11091" s="10"/>
      <c r="F11091" s="10"/>
      <c r="G11091" s="10"/>
      <c r="H11091" s="10"/>
      <c r="I11091" s="10"/>
      <c r="J11091" s="10"/>
      <c r="K11091" s="10"/>
      <c r="L11091" s="10"/>
      <c r="M11091" s="10"/>
      <c r="N11091" s="10"/>
      <c r="O11091" s="10"/>
      <c r="P11091" s="10"/>
      <c r="Q11091" s="10"/>
      <c r="R11091" s="10"/>
      <c r="S11091" s="10"/>
      <c r="T11091" s="10"/>
      <c r="U11091" s="10"/>
      <c r="V11091" s="10"/>
      <c r="W11091" s="10"/>
      <c r="X11091" s="10"/>
      <c r="Y11091" s="10"/>
      <c r="Z11091" s="10"/>
    </row>
    <row r="11092" spans="1:26" ht="12.75">
      <c r="A11092" s="10"/>
      <c r="B11092" s="10"/>
      <c r="C11092" s="10"/>
      <c r="D11092" s="10"/>
      <c r="E11092" s="10"/>
      <c r="F11092" s="10"/>
      <c r="G11092" s="10"/>
      <c r="H11092" s="10"/>
      <c r="I11092" s="10"/>
      <c r="J11092" s="10"/>
      <c r="K11092" s="10"/>
      <c r="L11092" s="10"/>
      <c r="M11092" s="10"/>
      <c r="N11092" s="10"/>
      <c r="O11092" s="10"/>
      <c r="P11092" s="10"/>
      <c r="Q11092" s="10"/>
      <c r="R11092" s="10"/>
      <c r="S11092" s="10"/>
      <c r="T11092" s="10"/>
      <c r="U11092" s="10"/>
      <c r="V11092" s="10"/>
      <c r="W11092" s="10"/>
      <c r="X11092" s="10"/>
      <c r="Y11092" s="10"/>
      <c r="Z11092" s="10"/>
    </row>
    <row r="11093" spans="1:26" ht="12.75">
      <c r="A11093" s="10"/>
      <c r="B11093" s="10"/>
      <c r="C11093" s="10"/>
      <c r="D11093" s="10"/>
      <c r="E11093" s="10"/>
      <c r="F11093" s="10"/>
      <c r="G11093" s="10"/>
      <c r="H11093" s="10"/>
      <c r="I11093" s="10"/>
      <c r="J11093" s="10"/>
      <c r="K11093" s="10"/>
      <c r="L11093" s="10"/>
      <c r="M11093" s="10"/>
      <c r="N11093" s="10"/>
      <c r="O11093" s="10"/>
      <c r="P11093" s="10"/>
      <c r="Q11093" s="10"/>
      <c r="R11093" s="10"/>
      <c r="S11093" s="10"/>
      <c r="T11093" s="10"/>
      <c r="U11093" s="10"/>
      <c r="V11093" s="10"/>
      <c r="W11093" s="10"/>
      <c r="X11093" s="10"/>
      <c r="Y11093" s="10"/>
      <c r="Z11093" s="10"/>
    </row>
    <row r="11094" spans="1:26" ht="12.75">
      <c r="A11094" s="10"/>
      <c r="B11094" s="10"/>
      <c r="C11094" s="10"/>
      <c r="D11094" s="10"/>
      <c r="E11094" s="10"/>
      <c r="F11094" s="10"/>
      <c r="G11094" s="10"/>
      <c r="H11094" s="10"/>
      <c r="I11094" s="10"/>
      <c r="J11094" s="10"/>
      <c r="K11094" s="10"/>
      <c r="L11094" s="10"/>
      <c r="M11094" s="10"/>
      <c r="N11094" s="10"/>
      <c r="O11094" s="10"/>
      <c r="P11094" s="10"/>
      <c r="Q11094" s="10"/>
      <c r="R11094" s="10"/>
      <c r="S11094" s="10"/>
      <c r="T11094" s="10"/>
      <c r="U11094" s="10"/>
      <c r="V11094" s="10"/>
      <c r="W11094" s="10"/>
      <c r="X11094" s="10"/>
      <c r="Y11094" s="10"/>
      <c r="Z11094" s="10"/>
    </row>
    <row r="11095" spans="1:26" ht="12.75">
      <c r="A11095" s="10"/>
      <c r="B11095" s="10"/>
      <c r="C11095" s="10"/>
      <c r="D11095" s="10"/>
      <c r="E11095" s="10"/>
      <c r="F11095" s="10"/>
      <c r="G11095" s="10"/>
      <c r="H11095" s="10"/>
      <c r="I11095" s="10"/>
      <c r="J11095" s="10"/>
      <c r="K11095" s="10"/>
      <c r="L11095" s="10"/>
      <c r="M11095" s="10"/>
      <c r="N11095" s="10"/>
      <c r="O11095" s="10"/>
      <c r="P11095" s="10"/>
      <c r="Q11095" s="10"/>
      <c r="R11095" s="10"/>
      <c r="S11095" s="10"/>
      <c r="T11095" s="10"/>
      <c r="U11095" s="10"/>
      <c r="V11095" s="10"/>
      <c r="W11095" s="10"/>
      <c r="X11095" s="10"/>
      <c r="Y11095" s="10"/>
      <c r="Z11095" s="10"/>
    </row>
    <row r="11096" spans="1:26" ht="12.75">
      <c r="A11096" s="10"/>
      <c r="B11096" s="10"/>
      <c r="C11096" s="10"/>
      <c r="D11096" s="10"/>
      <c r="E11096" s="10"/>
      <c r="F11096" s="10"/>
      <c r="G11096" s="10"/>
      <c r="H11096" s="10"/>
      <c r="I11096" s="10"/>
      <c r="J11096" s="10"/>
      <c r="K11096" s="10"/>
      <c r="L11096" s="10"/>
      <c r="M11096" s="10"/>
      <c r="N11096" s="10"/>
      <c r="O11096" s="10"/>
      <c r="P11096" s="10"/>
      <c r="Q11096" s="10"/>
      <c r="R11096" s="10"/>
      <c r="S11096" s="10"/>
      <c r="T11096" s="10"/>
      <c r="U11096" s="10"/>
      <c r="V11096" s="10"/>
      <c r="W11096" s="10"/>
      <c r="X11096" s="10"/>
      <c r="Y11096" s="10"/>
      <c r="Z11096" s="10"/>
    </row>
    <row r="11097" spans="1:26" ht="12.75">
      <c r="A11097" s="10"/>
      <c r="B11097" s="10"/>
      <c r="C11097" s="10"/>
      <c r="D11097" s="10"/>
      <c r="E11097" s="10"/>
      <c r="F11097" s="10"/>
      <c r="G11097" s="10"/>
      <c r="H11097" s="10"/>
      <c r="I11097" s="10"/>
      <c r="J11097" s="10"/>
      <c r="K11097" s="10"/>
      <c r="L11097" s="10"/>
      <c r="M11097" s="10"/>
      <c r="N11097" s="10"/>
      <c r="O11097" s="10"/>
      <c r="P11097" s="10"/>
      <c r="Q11097" s="10"/>
      <c r="R11097" s="10"/>
      <c r="S11097" s="10"/>
      <c r="T11097" s="10"/>
      <c r="U11097" s="10"/>
      <c r="V11097" s="10"/>
      <c r="W11097" s="10"/>
      <c r="X11097" s="10"/>
      <c r="Y11097" s="10"/>
      <c r="Z11097" s="10"/>
    </row>
    <row r="11098" spans="1:26" ht="12.75">
      <c r="A11098" s="10"/>
      <c r="B11098" s="10"/>
      <c r="C11098" s="10"/>
      <c r="D11098" s="10"/>
      <c r="E11098" s="10"/>
      <c r="F11098" s="10"/>
      <c r="G11098" s="10"/>
      <c r="H11098" s="10"/>
      <c r="I11098" s="10"/>
      <c r="J11098" s="10"/>
      <c r="K11098" s="10"/>
      <c r="L11098" s="10"/>
      <c r="M11098" s="10"/>
      <c r="N11098" s="10"/>
      <c r="O11098" s="10"/>
      <c r="P11098" s="10"/>
      <c r="Q11098" s="10"/>
      <c r="R11098" s="10"/>
      <c r="S11098" s="10"/>
      <c r="T11098" s="10"/>
      <c r="U11098" s="10"/>
      <c r="V11098" s="10"/>
      <c r="W11098" s="10"/>
      <c r="X11098" s="10"/>
      <c r="Y11098" s="10"/>
      <c r="Z11098" s="10"/>
    </row>
    <row r="11099" spans="1:26" ht="12.75">
      <c r="A11099" s="10"/>
      <c r="B11099" s="10"/>
      <c r="C11099" s="10"/>
      <c r="D11099" s="10"/>
      <c r="E11099" s="10"/>
      <c r="F11099" s="10"/>
      <c r="G11099" s="10"/>
      <c r="H11099" s="10"/>
      <c r="I11099" s="10"/>
      <c r="J11099" s="10"/>
      <c r="K11099" s="10"/>
      <c r="L11099" s="10"/>
      <c r="M11099" s="10"/>
      <c r="N11099" s="10"/>
      <c r="O11099" s="10"/>
      <c r="P11099" s="10"/>
      <c r="Q11099" s="10"/>
      <c r="R11099" s="10"/>
      <c r="S11099" s="10"/>
      <c r="T11099" s="10"/>
      <c r="U11099" s="10"/>
      <c r="V11099" s="10"/>
      <c r="W11099" s="10"/>
      <c r="X11099" s="10"/>
      <c r="Y11099" s="10"/>
      <c r="Z11099" s="10"/>
    </row>
    <row r="11100" spans="1:26" ht="12.75">
      <c r="A11100" s="10"/>
      <c r="B11100" s="10"/>
      <c r="C11100" s="10"/>
      <c r="D11100" s="10"/>
      <c r="E11100" s="10"/>
      <c r="F11100" s="10"/>
      <c r="G11100" s="10"/>
      <c r="H11100" s="10"/>
      <c r="I11100" s="10"/>
      <c r="J11100" s="10"/>
      <c r="K11100" s="10"/>
      <c r="L11100" s="10"/>
      <c r="M11100" s="10"/>
      <c r="N11100" s="10"/>
      <c r="O11100" s="10"/>
      <c r="P11100" s="10"/>
      <c r="Q11100" s="10"/>
      <c r="R11100" s="10"/>
      <c r="S11100" s="10"/>
      <c r="T11100" s="10"/>
      <c r="U11100" s="10"/>
      <c r="V11100" s="10"/>
      <c r="W11100" s="10"/>
      <c r="X11100" s="10"/>
      <c r="Y11100" s="10"/>
      <c r="Z11100" s="10"/>
    </row>
    <row r="11101" spans="1:26" ht="12.75">
      <c r="A11101" s="10"/>
      <c r="B11101" s="10"/>
      <c r="C11101" s="10"/>
      <c r="D11101" s="10"/>
      <c r="E11101" s="10"/>
      <c r="F11101" s="10"/>
      <c r="G11101" s="10"/>
      <c r="H11101" s="10"/>
      <c r="I11101" s="10"/>
      <c r="J11101" s="10"/>
      <c r="K11101" s="10"/>
      <c r="L11101" s="10"/>
      <c r="M11101" s="10"/>
      <c r="N11101" s="10"/>
      <c r="O11101" s="10"/>
      <c r="P11101" s="10"/>
      <c r="Q11101" s="10"/>
      <c r="R11101" s="10"/>
      <c r="S11101" s="10"/>
      <c r="T11101" s="10"/>
      <c r="U11101" s="10"/>
      <c r="V11101" s="10"/>
      <c r="W11101" s="10"/>
      <c r="X11101" s="10"/>
      <c r="Y11101" s="10"/>
      <c r="Z11101" s="10"/>
    </row>
    <row r="11102" spans="1:26" ht="12.75">
      <c r="A11102" s="10"/>
      <c r="B11102" s="10"/>
      <c r="C11102" s="10"/>
      <c r="D11102" s="10"/>
      <c r="E11102" s="10"/>
      <c r="F11102" s="10"/>
      <c r="G11102" s="10"/>
      <c r="H11102" s="10"/>
      <c r="I11102" s="10"/>
      <c r="J11102" s="10"/>
      <c r="K11102" s="10"/>
      <c r="L11102" s="10"/>
      <c r="M11102" s="10"/>
      <c r="N11102" s="10"/>
      <c r="O11102" s="10"/>
      <c r="P11102" s="10"/>
      <c r="Q11102" s="10"/>
      <c r="R11102" s="10"/>
      <c r="S11102" s="10"/>
      <c r="T11102" s="10"/>
      <c r="U11102" s="10"/>
      <c r="V11102" s="10"/>
      <c r="W11102" s="10"/>
      <c r="X11102" s="10"/>
      <c r="Y11102" s="10"/>
      <c r="Z11102" s="10"/>
    </row>
    <row r="11103" spans="1:26" ht="12.75">
      <c r="A11103" s="10"/>
      <c r="B11103" s="10"/>
      <c r="C11103" s="10"/>
      <c r="D11103" s="10"/>
      <c r="E11103" s="10"/>
      <c r="F11103" s="10"/>
      <c r="G11103" s="10"/>
      <c r="H11103" s="10"/>
      <c r="I11103" s="10"/>
      <c r="J11103" s="10"/>
      <c r="K11103" s="10"/>
      <c r="L11103" s="10"/>
      <c r="M11103" s="10"/>
      <c r="N11103" s="10"/>
      <c r="O11103" s="10"/>
      <c r="P11103" s="10"/>
      <c r="Q11103" s="10"/>
      <c r="R11103" s="10"/>
      <c r="S11103" s="10"/>
      <c r="T11103" s="10"/>
      <c r="U11103" s="10"/>
      <c r="V11103" s="10"/>
      <c r="W11103" s="10"/>
      <c r="X11103" s="10"/>
      <c r="Y11103" s="10"/>
      <c r="Z11103" s="10"/>
    </row>
    <row r="11104" spans="1:26" ht="12.75">
      <c r="A11104" s="10"/>
      <c r="B11104" s="10"/>
      <c r="C11104" s="10"/>
      <c r="D11104" s="10"/>
      <c r="E11104" s="10"/>
      <c r="F11104" s="10"/>
      <c r="G11104" s="10"/>
      <c r="H11104" s="10"/>
      <c r="I11104" s="10"/>
      <c r="J11104" s="10"/>
      <c r="K11104" s="10"/>
      <c r="L11104" s="10"/>
      <c r="M11104" s="10"/>
      <c r="N11104" s="10"/>
      <c r="O11104" s="10"/>
      <c r="P11104" s="10"/>
      <c r="Q11104" s="10"/>
      <c r="R11104" s="10"/>
      <c r="S11104" s="10"/>
      <c r="T11104" s="10"/>
      <c r="U11104" s="10"/>
      <c r="V11104" s="10"/>
      <c r="W11104" s="10"/>
      <c r="X11104" s="10"/>
      <c r="Y11104" s="10"/>
      <c r="Z11104" s="10"/>
    </row>
    <row r="11105" spans="1:26" ht="12.75">
      <c r="A11105" s="10"/>
      <c r="B11105" s="10"/>
      <c r="C11105" s="10"/>
      <c r="D11105" s="10"/>
      <c r="E11105" s="10"/>
      <c r="F11105" s="10"/>
      <c r="G11105" s="10"/>
      <c r="H11105" s="10"/>
      <c r="I11105" s="10"/>
      <c r="J11105" s="10"/>
      <c r="K11105" s="10"/>
      <c r="L11105" s="10"/>
      <c r="M11105" s="10"/>
      <c r="N11105" s="10"/>
      <c r="O11105" s="10"/>
      <c r="P11105" s="10"/>
      <c r="Q11105" s="10"/>
      <c r="R11105" s="10"/>
      <c r="S11105" s="10"/>
      <c r="T11105" s="10"/>
      <c r="U11105" s="10"/>
      <c r="V11105" s="10"/>
      <c r="W11105" s="10"/>
      <c r="X11105" s="10"/>
      <c r="Y11105" s="10"/>
      <c r="Z11105" s="10"/>
    </row>
    <row r="11106" spans="1:26" ht="12.75">
      <c r="A11106" s="10"/>
      <c r="B11106" s="10"/>
      <c r="C11106" s="10"/>
      <c r="D11106" s="10"/>
      <c r="E11106" s="10"/>
      <c r="F11106" s="10"/>
      <c r="G11106" s="10"/>
      <c r="H11106" s="10"/>
      <c r="I11106" s="10"/>
      <c r="J11106" s="10"/>
      <c r="K11106" s="10"/>
      <c r="L11106" s="10"/>
      <c r="M11106" s="10"/>
      <c r="N11106" s="10"/>
      <c r="O11106" s="10"/>
      <c r="P11106" s="10"/>
      <c r="Q11106" s="10"/>
      <c r="R11106" s="10"/>
      <c r="S11106" s="10"/>
      <c r="T11106" s="10"/>
      <c r="U11106" s="10"/>
      <c r="V11106" s="10"/>
      <c r="W11106" s="10"/>
      <c r="X11106" s="10"/>
      <c r="Y11106" s="10"/>
      <c r="Z11106" s="10"/>
    </row>
    <row r="11107" spans="1:26" ht="12.75">
      <c r="A11107" s="10"/>
      <c r="B11107" s="10"/>
      <c r="C11107" s="10"/>
      <c r="D11107" s="10"/>
      <c r="E11107" s="10"/>
      <c r="F11107" s="10"/>
      <c r="G11107" s="10"/>
      <c r="H11107" s="10"/>
      <c r="I11107" s="10"/>
      <c r="J11107" s="10"/>
      <c r="K11107" s="10"/>
      <c r="L11107" s="10"/>
      <c r="M11107" s="10"/>
      <c r="N11107" s="10"/>
      <c r="O11107" s="10"/>
      <c r="P11107" s="10"/>
      <c r="Q11107" s="10"/>
      <c r="R11107" s="10"/>
      <c r="S11107" s="10"/>
      <c r="T11107" s="10"/>
      <c r="U11107" s="10"/>
      <c r="V11107" s="10"/>
      <c r="W11107" s="10"/>
      <c r="X11107" s="10"/>
      <c r="Y11107" s="10"/>
      <c r="Z11107" s="10"/>
    </row>
    <row r="11108" spans="1:26" ht="12.75">
      <c r="A11108" s="10"/>
      <c r="B11108" s="10"/>
      <c r="C11108" s="10"/>
      <c r="D11108" s="10"/>
      <c r="E11108" s="10"/>
      <c r="F11108" s="10"/>
      <c r="G11108" s="10"/>
      <c r="H11108" s="10"/>
      <c r="I11108" s="10"/>
      <c r="J11108" s="10"/>
      <c r="K11108" s="10"/>
      <c r="L11108" s="10"/>
      <c r="M11108" s="10"/>
      <c r="N11108" s="10"/>
      <c r="O11108" s="10"/>
      <c r="P11108" s="10"/>
      <c r="Q11108" s="10"/>
      <c r="R11108" s="10"/>
      <c r="S11108" s="10"/>
      <c r="T11108" s="10"/>
      <c r="U11108" s="10"/>
      <c r="V11108" s="10"/>
      <c r="W11108" s="10"/>
      <c r="X11108" s="10"/>
      <c r="Y11108" s="10"/>
      <c r="Z11108" s="10"/>
    </row>
    <row r="11109" spans="1:26" ht="12.75">
      <c r="A11109" s="10"/>
      <c r="B11109" s="10"/>
      <c r="C11109" s="10"/>
      <c r="D11109" s="10"/>
      <c r="E11109" s="10"/>
      <c r="F11109" s="10"/>
      <c r="G11109" s="10"/>
      <c r="H11109" s="10"/>
      <c r="I11109" s="10"/>
      <c r="J11109" s="10"/>
      <c r="K11109" s="10"/>
      <c r="L11109" s="10"/>
      <c r="M11109" s="10"/>
      <c r="N11109" s="10"/>
      <c r="O11109" s="10"/>
      <c r="P11109" s="10"/>
      <c r="Q11109" s="10"/>
      <c r="R11109" s="10"/>
      <c r="S11109" s="10"/>
      <c r="T11109" s="10"/>
      <c r="U11109" s="10"/>
      <c r="V11109" s="10"/>
      <c r="W11109" s="10"/>
      <c r="X11109" s="10"/>
      <c r="Y11109" s="10"/>
      <c r="Z11109" s="10"/>
    </row>
    <row r="11110" spans="1:26" ht="12.75">
      <c r="A11110" s="10"/>
      <c r="B11110" s="10"/>
      <c r="C11110" s="10"/>
      <c r="D11110" s="10"/>
      <c r="E11110" s="10"/>
      <c r="F11110" s="10"/>
      <c r="G11110" s="10"/>
      <c r="H11110" s="10"/>
      <c r="I11110" s="10"/>
      <c r="J11110" s="10"/>
      <c r="K11110" s="10"/>
      <c r="L11110" s="10"/>
      <c r="M11110" s="10"/>
      <c r="N11110" s="10"/>
      <c r="O11110" s="10"/>
      <c r="P11110" s="10"/>
      <c r="Q11110" s="10"/>
      <c r="R11110" s="10"/>
      <c r="S11110" s="10"/>
      <c r="T11110" s="10"/>
      <c r="U11110" s="10"/>
      <c r="V11110" s="10"/>
      <c r="W11110" s="10"/>
      <c r="X11110" s="10"/>
      <c r="Y11110" s="10"/>
      <c r="Z11110" s="10"/>
    </row>
    <row r="11111" spans="1:26" ht="12.75">
      <c r="A11111" s="10"/>
      <c r="B11111" s="10"/>
      <c r="C11111" s="10"/>
      <c r="D11111" s="10"/>
      <c r="E11111" s="10"/>
      <c r="F11111" s="10"/>
      <c r="G11111" s="10"/>
      <c r="H11111" s="10"/>
      <c r="I11111" s="10"/>
      <c r="J11111" s="10"/>
      <c r="K11111" s="10"/>
      <c r="L11111" s="10"/>
      <c r="M11111" s="10"/>
      <c r="N11111" s="10"/>
      <c r="O11111" s="10"/>
      <c r="P11111" s="10"/>
      <c r="Q11111" s="10"/>
      <c r="R11111" s="10"/>
      <c r="S11111" s="10"/>
      <c r="T11111" s="10"/>
      <c r="U11111" s="10"/>
      <c r="V11111" s="10"/>
      <c r="W11111" s="10"/>
      <c r="X11111" s="10"/>
      <c r="Y11111" s="10"/>
      <c r="Z11111" s="10"/>
    </row>
    <row r="11112" spans="1:26" ht="12.75">
      <c r="A11112" s="10"/>
      <c r="B11112" s="10"/>
      <c r="C11112" s="10"/>
      <c r="D11112" s="10"/>
      <c r="E11112" s="10"/>
      <c r="F11112" s="10"/>
      <c r="G11112" s="10"/>
      <c r="H11112" s="10"/>
      <c r="I11112" s="10"/>
      <c r="J11112" s="10"/>
      <c r="K11112" s="10"/>
      <c r="L11112" s="10"/>
      <c r="M11112" s="10"/>
      <c r="N11112" s="10"/>
      <c r="O11112" s="10"/>
      <c r="P11112" s="10"/>
      <c r="Q11112" s="10"/>
      <c r="R11112" s="10"/>
      <c r="S11112" s="10"/>
      <c r="T11112" s="10"/>
      <c r="U11112" s="10"/>
      <c r="V11112" s="10"/>
      <c r="W11112" s="10"/>
      <c r="X11112" s="10"/>
      <c r="Y11112" s="10"/>
      <c r="Z11112" s="10"/>
    </row>
    <row r="11113" spans="1:26" ht="12.75">
      <c r="A11113" s="10"/>
      <c r="B11113" s="10"/>
      <c r="C11113" s="10"/>
      <c r="D11113" s="10"/>
      <c r="E11113" s="10"/>
      <c r="F11113" s="10"/>
      <c r="G11113" s="10"/>
      <c r="H11113" s="10"/>
      <c r="I11113" s="10"/>
      <c r="J11113" s="10"/>
      <c r="K11113" s="10"/>
      <c r="L11113" s="10"/>
      <c r="M11113" s="10"/>
      <c r="N11113" s="10"/>
      <c r="O11113" s="10"/>
      <c r="P11113" s="10"/>
      <c r="Q11113" s="10"/>
      <c r="R11113" s="10"/>
      <c r="S11113" s="10"/>
      <c r="T11113" s="10"/>
      <c r="U11113" s="10"/>
      <c r="V11113" s="10"/>
      <c r="W11113" s="10"/>
      <c r="X11113" s="10"/>
      <c r="Y11113" s="10"/>
      <c r="Z11113" s="10"/>
    </row>
    <row r="11114" spans="1:26" ht="12.75">
      <c r="A11114" s="10"/>
      <c r="B11114" s="10"/>
      <c r="C11114" s="10"/>
      <c r="D11114" s="10"/>
      <c r="E11114" s="10"/>
      <c r="F11114" s="10"/>
      <c r="G11114" s="10"/>
      <c r="H11114" s="10"/>
      <c r="I11114" s="10"/>
      <c r="J11114" s="10"/>
      <c r="K11114" s="10"/>
      <c r="L11114" s="10"/>
      <c r="M11114" s="10"/>
      <c r="N11114" s="10"/>
      <c r="O11114" s="10"/>
      <c r="P11114" s="10"/>
      <c r="Q11114" s="10"/>
      <c r="R11114" s="10"/>
      <c r="S11114" s="10"/>
      <c r="T11114" s="10"/>
      <c r="U11114" s="10"/>
      <c r="V11114" s="10"/>
      <c r="W11114" s="10"/>
      <c r="X11114" s="10"/>
      <c r="Y11114" s="10"/>
      <c r="Z11114" s="10"/>
    </row>
    <row r="11115" spans="1:26" ht="12.75">
      <c r="A11115" s="10"/>
      <c r="B11115" s="10"/>
      <c r="C11115" s="10"/>
      <c r="D11115" s="10"/>
      <c r="E11115" s="10"/>
      <c r="F11115" s="10"/>
      <c r="G11115" s="10"/>
      <c r="H11115" s="10"/>
      <c r="I11115" s="10"/>
      <c r="J11115" s="10"/>
      <c r="K11115" s="10"/>
      <c r="L11115" s="10"/>
      <c r="M11115" s="10"/>
      <c r="N11115" s="10"/>
      <c r="O11115" s="10"/>
      <c r="P11115" s="10"/>
      <c r="Q11115" s="10"/>
      <c r="R11115" s="10"/>
      <c r="S11115" s="10"/>
      <c r="T11115" s="10"/>
      <c r="U11115" s="10"/>
      <c r="V11115" s="10"/>
      <c r="W11115" s="10"/>
      <c r="X11115" s="10"/>
      <c r="Y11115" s="10"/>
      <c r="Z11115" s="10"/>
    </row>
    <row r="11116" spans="1:26" ht="12.75">
      <c r="A11116" s="10"/>
      <c r="B11116" s="10"/>
      <c r="C11116" s="10"/>
      <c r="D11116" s="10"/>
      <c r="E11116" s="10"/>
      <c r="F11116" s="10"/>
      <c r="G11116" s="10"/>
      <c r="H11116" s="10"/>
      <c r="I11116" s="10"/>
      <c r="J11116" s="10"/>
      <c r="K11116" s="10"/>
      <c r="L11116" s="10"/>
      <c r="M11116" s="10"/>
      <c r="N11116" s="10"/>
      <c r="O11116" s="10"/>
      <c r="P11116" s="10"/>
      <c r="Q11116" s="10"/>
      <c r="R11116" s="10"/>
      <c r="S11116" s="10"/>
      <c r="T11116" s="10"/>
      <c r="U11116" s="10"/>
      <c r="V11116" s="10"/>
      <c r="W11116" s="10"/>
      <c r="X11116" s="10"/>
      <c r="Y11116" s="10"/>
      <c r="Z11116" s="10"/>
    </row>
    <row r="11117" spans="1:26" ht="12.75">
      <c r="A11117" s="10"/>
      <c r="B11117" s="10"/>
      <c r="C11117" s="10"/>
      <c r="D11117" s="10"/>
      <c r="E11117" s="10"/>
      <c r="F11117" s="10"/>
      <c r="G11117" s="10"/>
      <c r="H11117" s="10"/>
      <c r="I11117" s="10"/>
      <c r="J11117" s="10"/>
      <c r="K11117" s="10"/>
      <c r="L11117" s="10"/>
      <c r="M11117" s="10"/>
      <c r="N11117" s="10"/>
      <c r="O11117" s="10"/>
      <c r="P11117" s="10"/>
      <c r="Q11117" s="10"/>
      <c r="R11117" s="10"/>
      <c r="S11117" s="10"/>
      <c r="T11117" s="10"/>
      <c r="U11117" s="10"/>
      <c r="V11117" s="10"/>
      <c r="W11117" s="10"/>
      <c r="X11117" s="10"/>
      <c r="Y11117" s="10"/>
      <c r="Z11117" s="10"/>
    </row>
    <row r="11118" spans="1:26" ht="12.75">
      <c r="A11118" s="10"/>
      <c r="B11118" s="10"/>
      <c r="C11118" s="10"/>
      <c r="D11118" s="10"/>
      <c r="E11118" s="10"/>
      <c r="F11118" s="10"/>
      <c r="G11118" s="10"/>
      <c r="H11118" s="10"/>
      <c r="I11118" s="10"/>
      <c r="J11118" s="10"/>
      <c r="K11118" s="10"/>
      <c r="L11118" s="10"/>
      <c r="M11118" s="10"/>
      <c r="N11118" s="10"/>
      <c r="O11118" s="10"/>
      <c r="P11118" s="10"/>
      <c r="Q11118" s="10"/>
      <c r="R11118" s="10"/>
      <c r="S11118" s="10"/>
      <c r="T11118" s="10"/>
      <c r="U11118" s="10"/>
      <c r="V11118" s="10"/>
      <c r="W11118" s="10"/>
      <c r="X11118" s="10"/>
      <c r="Y11118" s="10"/>
      <c r="Z11118" s="10"/>
    </row>
    <row r="11119" spans="1:26" ht="12.75">
      <c r="A11119" s="10"/>
      <c r="B11119" s="10"/>
      <c r="C11119" s="10"/>
      <c r="D11119" s="10"/>
      <c r="E11119" s="10"/>
      <c r="F11119" s="10"/>
      <c r="G11119" s="10"/>
      <c r="H11119" s="10"/>
      <c r="I11119" s="10"/>
      <c r="J11119" s="10"/>
      <c r="K11119" s="10"/>
      <c r="L11119" s="10"/>
      <c r="M11119" s="10"/>
      <c r="N11119" s="10"/>
      <c r="O11119" s="10"/>
      <c r="P11119" s="10"/>
      <c r="Q11119" s="10"/>
      <c r="R11119" s="10"/>
      <c r="S11119" s="10"/>
      <c r="T11119" s="10"/>
      <c r="U11119" s="10"/>
      <c r="V11119" s="10"/>
      <c r="W11119" s="10"/>
      <c r="X11119" s="10"/>
      <c r="Y11119" s="10"/>
      <c r="Z11119" s="10"/>
    </row>
    <row r="11120" spans="1:26" ht="12.75">
      <c r="A11120" s="10"/>
      <c r="B11120" s="10"/>
      <c r="C11120" s="10"/>
      <c r="D11120" s="10"/>
      <c r="E11120" s="10"/>
      <c r="F11120" s="10"/>
      <c r="G11120" s="10"/>
      <c r="H11120" s="10"/>
      <c r="I11120" s="10"/>
      <c r="J11120" s="10"/>
      <c r="K11120" s="10"/>
      <c r="L11120" s="10"/>
      <c r="M11120" s="10"/>
      <c r="N11120" s="10"/>
      <c r="O11120" s="10"/>
      <c r="P11120" s="10"/>
      <c r="Q11120" s="10"/>
      <c r="R11120" s="10"/>
      <c r="S11120" s="10"/>
      <c r="T11120" s="10"/>
      <c r="U11120" s="10"/>
      <c r="V11120" s="10"/>
      <c r="W11120" s="10"/>
      <c r="X11120" s="10"/>
      <c r="Y11120" s="10"/>
      <c r="Z11120" s="10"/>
    </row>
    <row r="11121" spans="1:26" ht="12.75">
      <c r="A11121" s="10"/>
      <c r="B11121" s="10"/>
      <c r="C11121" s="10"/>
      <c r="D11121" s="10"/>
      <c r="E11121" s="10"/>
      <c r="F11121" s="10"/>
      <c r="G11121" s="10"/>
      <c r="H11121" s="10"/>
      <c r="I11121" s="10"/>
      <c r="J11121" s="10"/>
      <c r="K11121" s="10"/>
      <c r="L11121" s="10"/>
      <c r="M11121" s="10"/>
      <c r="N11121" s="10"/>
      <c r="O11121" s="10"/>
      <c r="P11121" s="10"/>
      <c r="Q11121" s="10"/>
      <c r="R11121" s="10"/>
      <c r="S11121" s="10"/>
      <c r="T11121" s="10"/>
      <c r="U11121" s="10"/>
      <c r="V11121" s="10"/>
      <c r="W11121" s="10"/>
      <c r="X11121" s="10"/>
      <c r="Y11121" s="10"/>
      <c r="Z11121" s="10"/>
    </row>
    <row r="11122" spans="1:26" ht="12.75">
      <c r="A11122" s="10"/>
      <c r="B11122" s="10"/>
      <c r="C11122" s="10"/>
      <c r="D11122" s="10"/>
      <c r="E11122" s="10"/>
      <c r="F11122" s="10"/>
      <c r="G11122" s="10"/>
      <c r="H11122" s="10"/>
      <c r="I11122" s="10"/>
      <c r="J11122" s="10"/>
      <c r="K11122" s="10"/>
      <c r="L11122" s="10"/>
      <c r="M11122" s="10"/>
      <c r="N11122" s="10"/>
      <c r="O11122" s="10"/>
      <c r="P11122" s="10"/>
      <c r="Q11122" s="10"/>
      <c r="R11122" s="10"/>
      <c r="S11122" s="10"/>
      <c r="T11122" s="10"/>
      <c r="U11122" s="10"/>
      <c r="V11122" s="10"/>
      <c r="W11122" s="10"/>
      <c r="X11122" s="10"/>
      <c r="Y11122" s="10"/>
      <c r="Z11122" s="10"/>
    </row>
    <row r="11123" spans="1:26" ht="12.75">
      <c r="A11123" s="10"/>
      <c r="B11123" s="10"/>
      <c r="C11123" s="10"/>
      <c r="D11123" s="10"/>
      <c r="E11123" s="10"/>
      <c r="F11123" s="10"/>
      <c r="G11123" s="10"/>
      <c r="H11123" s="10"/>
      <c r="I11123" s="10"/>
      <c r="J11123" s="10"/>
      <c r="K11123" s="10"/>
      <c r="L11123" s="10"/>
      <c r="M11123" s="10"/>
      <c r="N11123" s="10"/>
      <c r="O11123" s="10"/>
      <c r="P11123" s="10"/>
      <c r="Q11123" s="10"/>
      <c r="R11123" s="10"/>
      <c r="S11123" s="10"/>
      <c r="T11123" s="10"/>
      <c r="U11123" s="10"/>
      <c r="V11123" s="10"/>
      <c r="W11123" s="10"/>
      <c r="X11123" s="10"/>
      <c r="Y11123" s="10"/>
      <c r="Z11123" s="10"/>
    </row>
    <row r="11124" spans="1:26" ht="12.75">
      <c r="A11124" s="10"/>
      <c r="B11124" s="10"/>
      <c r="C11124" s="10"/>
      <c r="D11124" s="10"/>
      <c r="E11124" s="10"/>
      <c r="F11124" s="10"/>
      <c r="G11124" s="10"/>
      <c r="H11124" s="10"/>
      <c r="I11124" s="10"/>
      <c r="J11124" s="10"/>
      <c r="K11124" s="10"/>
      <c r="L11124" s="10"/>
      <c r="M11124" s="10"/>
      <c r="N11124" s="10"/>
      <c r="O11124" s="10"/>
      <c r="P11124" s="10"/>
      <c r="Q11124" s="10"/>
      <c r="R11124" s="10"/>
      <c r="S11124" s="10"/>
      <c r="T11124" s="10"/>
      <c r="U11124" s="10"/>
      <c r="V11124" s="10"/>
      <c r="W11124" s="10"/>
      <c r="X11124" s="10"/>
      <c r="Y11124" s="10"/>
      <c r="Z11124" s="10"/>
    </row>
    <row r="11125" spans="1:26" ht="12.75">
      <c r="A11125" s="10"/>
      <c r="B11125" s="10"/>
      <c r="C11125" s="10"/>
      <c r="D11125" s="10"/>
      <c r="E11125" s="10"/>
      <c r="F11125" s="10"/>
      <c r="G11125" s="10"/>
      <c r="H11125" s="10"/>
      <c r="I11125" s="10"/>
      <c r="J11125" s="10"/>
      <c r="K11125" s="10"/>
      <c r="L11125" s="10"/>
      <c r="M11125" s="10"/>
      <c r="N11125" s="10"/>
      <c r="O11125" s="10"/>
      <c r="P11125" s="10"/>
      <c r="Q11125" s="10"/>
      <c r="R11125" s="10"/>
      <c r="S11125" s="10"/>
      <c r="T11125" s="10"/>
      <c r="U11125" s="10"/>
      <c r="V11125" s="10"/>
      <c r="W11125" s="10"/>
      <c r="X11125" s="10"/>
      <c r="Y11125" s="10"/>
      <c r="Z11125" s="10"/>
    </row>
    <row r="11126" spans="1:26" ht="12.75">
      <c r="A11126" s="10"/>
      <c r="B11126" s="10"/>
      <c r="C11126" s="10"/>
      <c r="D11126" s="10"/>
      <c r="E11126" s="10"/>
      <c r="F11126" s="10"/>
      <c r="G11126" s="10"/>
      <c r="H11126" s="10"/>
      <c r="I11126" s="10"/>
      <c r="J11126" s="10"/>
      <c r="K11126" s="10"/>
      <c r="L11126" s="10"/>
      <c r="M11126" s="10"/>
      <c r="N11126" s="10"/>
      <c r="O11126" s="10"/>
      <c r="P11126" s="10"/>
      <c r="Q11126" s="10"/>
      <c r="R11126" s="10"/>
      <c r="S11126" s="10"/>
      <c r="T11126" s="10"/>
      <c r="U11126" s="10"/>
      <c r="V11126" s="10"/>
      <c r="W11126" s="10"/>
      <c r="X11126" s="10"/>
      <c r="Y11126" s="10"/>
      <c r="Z11126" s="10"/>
    </row>
    <row r="11127" spans="1:26" ht="12.75">
      <c r="A11127" s="10"/>
      <c r="B11127" s="10"/>
      <c r="C11127" s="10"/>
      <c r="D11127" s="10"/>
      <c r="E11127" s="10"/>
      <c r="F11127" s="10"/>
      <c r="G11127" s="10"/>
      <c r="H11127" s="10"/>
      <c r="I11127" s="10"/>
      <c r="J11127" s="10"/>
      <c r="K11127" s="10"/>
      <c r="L11127" s="10"/>
      <c r="M11127" s="10"/>
      <c r="N11127" s="10"/>
      <c r="O11127" s="10"/>
      <c r="P11127" s="10"/>
      <c r="Q11127" s="10"/>
      <c r="R11127" s="10"/>
      <c r="S11127" s="10"/>
      <c r="T11127" s="10"/>
      <c r="U11127" s="10"/>
      <c r="V11127" s="10"/>
      <c r="W11127" s="10"/>
      <c r="X11127" s="10"/>
      <c r="Y11127" s="10"/>
      <c r="Z11127" s="10"/>
    </row>
    <row r="11128" spans="1:26" ht="12.75">
      <c r="A11128" s="10"/>
      <c r="B11128" s="10"/>
      <c r="C11128" s="10"/>
      <c r="D11128" s="10"/>
      <c r="E11128" s="10"/>
      <c r="F11128" s="10"/>
      <c r="G11128" s="10"/>
      <c r="H11128" s="10"/>
      <c r="I11128" s="10"/>
      <c r="J11128" s="10"/>
      <c r="K11128" s="10"/>
      <c r="L11128" s="10"/>
      <c r="M11128" s="10"/>
      <c r="N11128" s="10"/>
      <c r="O11128" s="10"/>
      <c r="P11128" s="10"/>
      <c r="Q11128" s="10"/>
      <c r="R11128" s="10"/>
      <c r="S11128" s="10"/>
      <c r="T11128" s="10"/>
      <c r="U11128" s="10"/>
      <c r="V11128" s="10"/>
      <c r="W11128" s="10"/>
      <c r="X11128" s="10"/>
      <c r="Y11128" s="10"/>
      <c r="Z11128" s="10"/>
    </row>
    <row r="11129" spans="1:26" ht="12.75">
      <c r="A11129" s="10"/>
      <c r="B11129" s="10"/>
      <c r="C11129" s="10"/>
      <c r="D11129" s="10"/>
      <c r="E11129" s="10"/>
      <c r="F11129" s="10"/>
      <c r="G11129" s="10"/>
      <c r="H11129" s="10"/>
      <c r="I11129" s="10"/>
      <c r="J11129" s="10"/>
      <c r="K11129" s="10"/>
      <c r="L11129" s="10"/>
      <c r="M11129" s="10"/>
      <c r="N11129" s="10"/>
      <c r="O11129" s="10"/>
      <c r="P11129" s="10"/>
      <c r="Q11129" s="10"/>
      <c r="R11129" s="10"/>
      <c r="S11129" s="10"/>
      <c r="T11129" s="10"/>
      <c r="U11129" s="10"/>
      <c r="V11129" s="10"/>
      <c r="W11129" s="10"/>
      <c r="X11129" s="10"/>
      <c r="Y11129" s="10"/>
      <c r="Z11129" s="10"/>
    </row>
    <row r="11130" spans="1:26" ht="12.75">
      <c r="A11130" s="10"/>
      <c r="B11130" s="10"/>
      <c r="C11130" s="10"/>
      <c r="D11130" s="10"/>
      <c r="E11130" s="10"/>
      <c r="F11130" s="10"/>
      <c r="G11130" s="10"/>
      <c r="H11130" s="10"/>
      <c r="I11130" s="10"/>
      <c r="J11130" s="10"/>
      <c r="K11130" s="10"/>
      <c r="L11130" s="10"/>
      <c r="M11130" s="10"/>
      <c r="N11130" s="10"/>
      <c r="O11130" s="10"/>
      <c r="P11130" s="10"/>
      <c r="Q11130" s="10"/>
      <c r="R11130" s="10"/>
      <c r="S11130" s="10"/>
      <c r="T11130" s="10"/>
      <c r="U11130" s="10"/>
      <c r="V11130" s="10"/>
      <c r="W11130" s="10"/>
      <c r="X11130" s="10"/>
      <c r="Y11130" s="10"/>
      <c r="Z11130" s="10"/>
    </row>
    <row r="11131" spans="1:26" ht="12.75">
      <c r="A11131" s="10"/>
      <c r="B11131" s="10"/>
      <c r="C11131" s="10"/>
      <c r="D11131" s="10"/>
      <c r="E11131" s="10"/>
      <c r="F11131" s="10"/>
      <c r="G11131" s="10"/>
      <c r="H11131" s="10"/>
      <c r="I11131" s="10"/>
      <c r="J11131" s="10"/>
      <c r="K11131" s="10"/>
      <c r="L11131" s="10"/>
      <c r="M11131" s="10"/>
      <c r="N11131" s="10"/>
      <c r="O11131" s="10"/>
      <c r="P11131" s="10"/>
      <c r="Q11131" s="10"/>
      <c r="R11131" s="10"/>
      <c r="S11131" s="10"/>
      <c r="T11131" s="10"/>
      <c r="U11131" s="10"/>
      <c r="V11131" s="10"/>
      <c r="W11131" s="10"/>
      <c r="X11131" s="10"/>
      <c r="Y11131" s="10"/>
      <c r="Z11131" s="10"/>
    </row>
    <row r="11132" spans="1:26" ht="12.75">
      <c r="A11132" s="10"/>
      <c r="B11132" s="10"/>
      <c r="C11132" s="10"/>
      <c r="D11132" s="10"/>
      <c r="E11132" s="10"/>
      <c r="F11132" s="10"/>
      <c r="G11132" s="10"/>
      <c r="H11132" s="10"/>
      <c r="I11132" s="10"/>
      <c r="J11132" s="10"/>
      <c r="K11132" s="10"/>
      <c r="L11132" s="10"/>
      <c r="M11132" s="10"/>
      <c r="N11132" s="10"/>
      <c r="O11132" s="10"/>
      <c r="P11132" s="10"/>
      <c r="Q11132" s="10"/>
      <c r="R11132" s="10"/>
      <c r="S11132" s="10"/>
      <c r="T11132" s="10"/>
      <c r="U11132" s="10"/>
      <c r="V11132" s="10"/>
      <c r="W11132" s="10"/>
      <c r="X11132" s="10"/>
      <c r="Y11132" s="10"/>
      <c r="Z11132" s="10"/>
    </row>
    <row r="11133" spans="1:26" ht="12.75">
      <c r="A11133" s="10"/>
      <c r="B11133" s="10"/>
      <c r="C11133" s="10"/>
      <c r="D11133" s="10"/>
      <c r="E11133" s="10"/>
      <c r="F11133" s="10"/>
      <c r="G11133" s="10"/>
      <c r="H11133" s="10"/>
      <c r="I11133" s="10"/>
      <c r="J11133" s="10"/>
      <c r="K11133" s="10"/>
      <c r="L11133" s="10"/>
      <c r="M11133" s="10"/>
      <c r="N11133" s="10"/>
      <c r="O11133" s="10"/>
      <c r="P11133" s="10"/>
      <c r="Q11133" s="10"/>
      <c r="R11133" s="10"/>
      <c r="S11133" s="10"/>
      <c r="T11133" s="10"/>
      <c r="U11133" s="10"/>
      <c r="V11133" s="10"/>
      <c r="W11133" s="10"/>
      <c r="X11133" s="10"/>
      <c r="Y11133" s="10"/>
      <c r="Z11133" s="10"/>
    </row>
    <row r="11134" spans="1:26" ht="12.75">
      <c r="A11134" s="10"/>
      <c r="B11134" s="10"/>
      <c r="C11134" s="10"/>
      <c r="D11134" s="10"/>
      <c r="E11134" s="10"/>
      <c r="F11134" s="10"/>
      <c r="G11134" s="10"/>
      <c r="H11134" s="10"/>
      <c r="I11134" s="10"/>
      <c r="J11134" s="10"/>
      <c r="K11134" s="10"/>
      <c r="L11134" s="10"/>
      <c r="M11134" s="10"/>
      <c r="N11134" s="10"/>
      <c r="O11134" s="10"/>
      <c r="P11134" s="10"/>
      <c r="Q11134" s="10"/>
      <c r="R11134" s="10"/>
      <c r="S11134" s="10"/>
      <c r="T11134" s="10"/>
      <c r="U11134" s="10"/>
      <c r="V11134" s="10"/>
      <c r="W11134" s="10"/>
      <c r="X11134" s="10"/>
      <c r="Y11134" s="10"/>
      <c r="Z11134" s="10"/>
    </row>
    <row r="11135" spans="1:26" ht="12.75">
      <c r="A11135" s="10"/>
      <c r="B11135" s="10"/>
      <c r="C11135" s="10"/>
      <c r="D11135" s="10"/>
      <c r="E11135" s="10"/>
      <c r="F11135" s="10"/>
      <c r="G11135" s="10"/>
      <c r="H11135" s="10"/>
      <c r="I11135" s="10"/>
      <c r="J11135" s="10"/>
      <c r="K11135" s="10"/>
      <c r="L11135" s="10"/>
      <c r="M11135" s="10"/>
      <c r="N11135" s="10"/>
      <c r="O11135" s="10"/>
      <c r="P11135" s="10"/>
      <c r="Q11135" s="10"/>
      <c r="R11135" s="10"/>
      <c r="S11135" s="10"/>
      <c r="T11135" s="10"/>
      <c r="U11135" s="10"/>
      <c r="V11135" s="10"/>
      <c r="W11135" s="10"/>
      <c r="X11135" s="10"/>
      <c r="Y11135" s="10"/>
      <c r="Z11135" s="10"/>
    </row>
    <row r="11136" spans="1:26" ht="12.75">
      <c r="A11136" s="10"/>
      <c r="B11136" s="10"/>
      <c r="C11136" s="10"/>
      <c r="D11136" s="10"/>
      <c r="E11136" s="10"/>
      <c r="F11136" s="10"/>
      <c r="G11136" s="10"/>
      <c r="H11136" s="10"/>
      <c r="I11136" s="10"/>
      <c r="J11136" s="10"/>
      <c r="K11136" s="10"/>
      <c r="L11136" s="10"/>
      <c r="M11136" s="10"/>
      <c r="N11136" s="10"/>
      <c r="O11136" s="10"/>
      <c r="P11136" s="10"/>
      <c r="Q11136" s="10"/>
      <c r="R11136" s="10"/>
      <c r="S11136" s="10"/>
      <c r="T11136" s="10"/>
      <c r="U11136" s="10"/>
      <c r="V11136" s="10"/>
      <c r="W11136" s="10"/>
      <c r="X11136" s="10"/>
      <c r="Y11136" s="10"/>
      <c r="Z11136" s="10"/>
    </row>
    <row r="11137" spans="1:26" ht="12.75">
      <c r="A11137" s="10"/>
      <c r="B11137" s="10"/>
      <c r="C11137" s="10"/>
      <c r="D11137" s="10"/>
      <c r="E11137" s="10"/>
      <c r="F11137" s="10"/>
      <c r="G11137" s="10"/>
      <c r="H11137" s="10"/>
      <c r="I11137" s="10"/>
      <c r="J11137" s="10"/>
      <c r="K11137" s="10"/>
      <c r="L11137" s="10"/>
      <c r="M11137" s="10"/>
      <c r="N11137" s="10"/>
      <c r="O11137" s="10"/>
      <c r="P11137" s="10"/>
      <c r="Q11137" s="10"/>
      <c r="R11137" s="10"/>
      <c r="S11137" s="10"/>
      <c r="T11137" s="10"/>
      <c r="U11137" s="10"/>
      <c r="V11137" s="10"/>
      <c r="W11137" s="10"/>
      <c r="X11137" s="10"/>
      <c r="Y11137" s="10"/>
      <c r="Z11137" s="10"/>
    </row>
    <row r="11138" spans="1:26" ht="12.75">
      <c r="A11138" s="10"/>
      <c r="B11138" s="10"/>
      <c r="C11138" s="10"/>
      <c r="D11138" s="10"/>
      <c r="E11138" s="10"/>
      <c r="F11138" s="10"/>
      <c r="G11138" s="10"/>
      <c r="H11138" s="10"/>
      <c r="I11138" s="10"/>
      <c r="J11138" s="10"/>
      <c r="K11138" s="10"/>
      <c r="L11138" s="10"/>
      <c r="M11138" s="10"/>
      <c r="N11138" s="10"/>
      <c r="O11138" s="10"/>
      <c r="P11138" s="10"/>
      <c r="Q11138" s="10"/>
      <c r="R11138" s="10"/>
      <c r="S11138" s="10"/>
      <c r="T11138" s="10"/>
      <c r="U11138" s="10"/>
      <c r="V11138" s="10"/>
      <c r="W11138" s="10"/>
      <c r="X11138" s="10"/>
      <c r="Y11138" s="10"/>
      <c r="Z11138" s="10"/>
    </row>
    <row r="11139" spans="1:26" ht="12.75">
      <c r="A11139" s="10"/>
      <c r="B11139" s="10"/>
      <c r="C11139" s="10"/>
      <c r="D11139" s="10"/>
      <c r="E11139" s="10"/>
      <c r="F11139" s="10"/>
      <c r="G11139" s="10"/>
      <c r="H11139" s="10"/>
      <c r="I11139" s="10"/>
      <c r="J11139" s="10"/>
      <c r="K11139" s="10"/>
      <c r="L11139" s="10"/>
      <c r="M11139" s="10"/>
      <c r="N11139" s="10"/>
      <c r="O11139" s="10"/>
      <c r="P11139" s="10"/>
      <c r="Q11139" s="10"/>
      <c r="R11139" s="10"/>
      <c r="S11139" s="10"/>
      <c r="T11139" s="10"/>
      <c r="U11139" s="10"/>
      <c r="V11139" s="10"/>
      <c r="W11139" s="10"/>
      <c r="X11139" s="10"/>
      <c r="Y11139" s="10"/>
      <c r="Z11139" s="10"/>
    </row>
    <row r="11140" spans="1:26" ht="12.75">
      <c r="A11140" s="10"/>
      <c r="B11140" s="10"/>
      <c r="C11140" s="10"/>
      <c r="D11140" s="10"/>
      <c r="E11140" s="10"/>
      <c r="F11140" s="10"/>
      <c r="G11140" s="10"/>
      <c r="H11140" s="10"/>
      <c r="I11140" s="10"/>
      <c r="J11140" s="10"/>
      <c r="K11140" s="10"/>
      <c r="L11140" s="10"/>
      <c r="M11140" s="10"/>
      <c r="N11140" s="10"/>
      <c r="O11140" s="10"/>
      <c r="P11140" s="10"/>
      <c r="Q11140" s="10"/>
      <c r="R11140" s="10"/>
      <c r="S11140" s="10"/>
      <c r="T11140" s="10"/>
      <c r="U11140" s="10"/>
      <c r="V11140" s="10"/>
      <c r="W11140" s="10"/>
      <c r="X11140" s="10"/>
      <c r="Y11140" s="10"/>
      <c r="Z11140" s="10"/>
    </row>
    <row r="11141" spans="1:26" ht="12.75">
      <c r="A11141" s="10"/>
      <c r="B11141" s="10"/>
      <c r="C11141" s="10"/>
      <c r="D11141" s="10"/>
      <c r="E11141" s="10"/>
      <c r="F11141" s="10"/>
      <c r="G11141" s="10"/>
      <c r="H11141" s="10"/>
      <c r="I11141" s="10"/>
      <c r="J11141" s="10"/>
      <c r="K11141" s="10"/>
      <c r="L11141" s="10"/>
      <c r="M11141" s="10"/>
      <c r="N11141" s="10"/>
      <c r="O11141" s="10"/>
      <c r="P11141" s="10"/>
      <c r="Q11141" s="10"/>
      <c r="R11141" s="10"/>
      <c r="S11141" s="10"/>
      <c r="T11141" s="10"/>
      <c r="U11141" s="10"/>
      <c r="V11141" s="10"/>
      <c r="W11141" s="10"/>
      <c r="X11141" s="10"/>
      <c r="Y11141" s="10"/>
      <c r="Z11141" s="10"/>
    </row>
    <row r="11142" spans="1:26" ht="12.75">
      <c r="A11142" s="10"/>
      <c r="B11142" s="10"/>
      <c r="C11142" s="10"/>
      <c r="D11142" s="10"/>
      <c r="E11142" s="10"/>
      <c r="F11142" s="10"/>
      <c r="G11142" s="10"/>
      <c r="H11142" s="10"/>
      <c r="I11142" s="10"/>
      <c r="J11142" s="10"/>
      <c r="K11142" s="10"/>
      <c r="L11142" s="10"/>
      <c r="M11142" s="10"/>
      <c r="N11142" s="10"/>
      <c r="O11142" s="10"/>
      <c r="P11142" s="10"/>
      <c r="Q11142" s="10"/>
      <c r="R11142" s="10"/>
      <c r="S11142" s="10"/>
      <c r="T11142" s="10"/>
      <c r="U11142" s="10"/>
      <c r="V11142" s="10"/>
      <c r="W11142" s="10"/>
      <c r="X11142" s="10"/>
      <c r="Y11142" s="10"/>
      <c r="Z11142" s="10"/>
    </row>
    <row r="11143" spans="1:26" ht="12.75">
      <c r="A11143" s="10"/>
      <c r="B11143" s="10"/>
      <c r="C11143" s="10"/>
      <c r="D11143" s="10"/>
      <c r="E11143" s="10"/>
      <c r="F11143" s="10"/>
      <c r="G11143" s="10"/>
      <c r="H11143" s="10"/>
      <c r="I11143" s="10"/>
      <c r="J11143" s="10"/>
      <c r="K11143" s="10"/>
      <c r="L11143" s="10"/>
      <c r="M11143" s="10"/>
      <c r="N11143" s="10"/>
      <c r="O11143" s="10"/>
      <c r="P11143" s="10"/>
      <c r="Q11143" s="10"/>
      <c r="R11143" s="10"/>
      <c r="S11143" s="10"/>
      <c r="T11143" s="10"/>
      <c r="U11143" s="10"/>
      <c r="V11143" s="10"/>
      <c r="W11143" s="10"/>
      <c r="X11143" s="10"/>
      <c r="Y11143" s="10"/>
      <c r="Z11143" s="10"/>
    </row>
    <row r="11144" spans="1:26" ht="12.75">
      <c r="A11144" s="10"/>
      <c r="B11144" s="10"/>
      <c r="C11144" s="10"/>
      <c r="D11144" s="10"/>
      <c r="E11144" s="10"/>
      <c r="F11144" s="10"/>
      <c r="G11144" s="10"/>
      <c r="H11144" s="10"/>
      <c r="I11144" s="10"/>
      <c r="J11144" s="10"/>
      <c r="K11144" s="10"/>
      <c r="L11144" s="10"/>
      <c r="M11144" s="10"/>
      <c r="N11144" s="10"/>
      <c r="O11144" s="10"/>
      <c r="P11144" s="10"/>
      <c r="Q11144" s="10"/>
      <c r="R11144" s="10"/>
      <c r="S11144" s="10"/>
      <c r="T11144" s="10"/>
      <c r="U11144" s="10"/>
      <c r="V11144" s="10"/>
      <c r="W11144" s="10"/>
      <c r="X11144" s="10"/>
      <c r="Y11144" s="10"/>
      <c r="Z11144" s="10"/>
    </row>
    <row r="11145" spans="1:26" ht="12.75">
      <c r="A11145" s="10"/>
      <c r="B11145" s="10"/>
      <c r="C11145" s="10"/>
      <c r="D11145" s="10"/>
      <c r="E11145" s="10"/>
      <c r="F11145" s="10"/>
      <c r="G11145" s="10"/>
      <c r="H11145" s="10"/>
      <c r="I11145" s="10"/>
      <c r="J11145" s="10"/>
      <c r="K11145" s="10"/>
      <c r="L11145" s="10"/>
      <c r="M11145" s="10"/>
      <c r="N11145" s="10"/>
      <c r="O11145" s="10"/>
      <c r="P11145" s="10"/>
      <c r="Q11145" s="10"/>
      <c r="R11145" s="10"/>
      <c r="S11145" s="10"/>
      <c r="T11145" s="10"/>
      <c r="U11145" s="10"/>
      <c r="V11145" s="10"/>
      <c r="W11145" s="10"/>
      <c r="X11145" s="10"/>
      <c r="Y11145" s="10"/>
      <c r="Z11145" s="10"/>
    </row>
    <row r="11146" spans="1:26" ht="12.75">
      <c r="A11146" s="10"/>
      <c r="B11146" s="10"/>
      <c r="C11146" s="10"/>
      <c r="D11146" s="10"/>
      <c r="E11146" s="10"/>
      <c r="F11146" s="10"/>
      <c r="G11146" s="10"/>
      <c r="H11146" s="10"/>
      <c r="I11146" s="10"/>
      <c r="J11146" s="10"/>
      <c r="K11146" s="10"/>
      <c r="L11146" s="10"/>
      <c r="M11146" s="10"/>
      <c r="N11146" s="10"/>
      <c r="O11146" s="10"/>
      <c r="P11146" s="10"/>
      <c r="Q11146" s="10"/>
      <c r="R11146" s="10"/>
      <c r="S11146" s="10"/>
      <c r="T11146" s="10"/>
      <c r="U11146" s="10"/>
      <c r="V11146" s="10"/>
      <c r="W11146" s="10"/>
      <c r="X11146" s="10"/>
      <c r="Y11146" s="10"/>
      <c r="Z11146" s="10"/>
    </row>
    <row r="11147" spans="1:26" ht="12.75">
      <c r="A11147" s="10"/>
      <c r="B11147" s="10"/>
      <c r="C11147" s="10"/>
      <c r="D11147" s="10"/>
      <c r="E11147" s="10"/>
      <c r="F11147" s="10"/>
      <c r="G11147" s="10"/>
      <c r="H11147" s="10"/>
      <c r="I11147" s="10"/>
      <c r="J11147" s="10"/>
      <c r="K11147" s="10"/>
      <c r="L11147" s="10"/>
      <c r="M11147" s="10"/>
      <c r="N11147" s="10"/>
      <c r="O11147" s="10"/>
      <c r="P11147" s="10"/>
      <c r="Q11147" s="10"/>
      <c r="R11147" s="10"/>
      <c r="S11147" s="10"/>
      <c r="T11147" s="10"/>
      <c r="U11147" s="10"/>
      <c r="V11147" s="10"/>
      <c r="W11147" s="10"/>
      <c r="X11147" s="10"/>
      <c r="Y11147" s="10"/>
      <c r="Z11147" s="10"/>
    </row>
    <row r="11148" spans="1:26" ht="12.75">
      <c r="A11148" s="10"/>
      <c r="B11148" s="10"/>
      <c r="C11148" s="10"/>
      <c r="D11148" s="10"/>
      <c r="E11148" s="10"/>
      <c r="F11148" s="10"/>
      <c r="G11148" s="10"/>
      <c r="H11148" s="10"/>
      <c r="I11148" s="10"/>
      <c r="J11148" s="10"/>
      <c r="K11148" s="10"/>
      <c r="L11148" s="10"/>
      <c r="M11148" s="10"/>
      <c r="N11148" s="10"/>
      <c r="O11148" s="10"/>
      <c r="P11148" s="10"/>
      <c r="Q11148" s="10"/>
      <c r="R11148" s="10"/>
      <c r="S11148" s="10"/>
      <c r="T11148" s="10"/>
      <c r="U11148" s="10"/>
      <c r="V11148" s="10"/>
      <c r="W11148" s="10"/>
      <c r="X11148" s="10"/>
      <c r="Y11148" s="10"/>
      <c r="Z11148" s="10"/>
    </row>
    <row r="11149" spans="1:26" ht="12.75">
      <c r="A11149" s="10"/>
      <c r="B11149" s="10"/>
      <c r="C11149" s="10"/>
      <c r="D11149" s="10"/>
      <c r="E11149" s="10"/>
      <c r="F11149" s="10"/>
      <c r="G11149" s="10"/>
      <c r="H11149" s="10"/>
      <c r="I11149" s="10"/>
      <c r="J11149" s="10"/>
      <c r="K11149" s="10"/>
      <c r="L11149" s="10"/>
      <c r="M11149" s="10"/>
      <c r="N11149" s="10"/>
      <c r="O11149" s="10"/>
      <c r="P11149" s="10"/>
      <c r="Q11149" s="10"/>
      <c r="R11149" s="10"/>
      <c r="S11149" s="10"/>
      <c r="T11149" s="10"/>
      <c r="U11149" s="10"/>
      <c r="V11149" s="10"/>
      <c r="W11149" s="10"/>
      <c r="X11149" s="10"/>
      <c r="Y11149" s="10"/>
      <c r="Z11149" s="10"/>
    </row>
    <row r="11150" spans="1:26" ht="12.75">
      <c r="A11150" s="10"/>
      <c r="B11150" s="10"/>
      <c r="C11150" s="10"/>
      <c r="D11150" s="10"/>
      <c r="E11150" s="10"/>
      <c r="F11150" s="10"/>
      <c r="G11150" s="10"/>
      <c r="H11150" s="10"/>
      <c r="I11150" s="10"/>
      <c r="J11150" s="10"/>
      <c r="K11150" s="10"/>
      <c r="L11150" s="10"/>
      <c r="M11150" s="10"/>
      <c r="N11150" s="10"/>
      <c r="O11150" s="10"/>
      <c r="P11150" s="10"/>
      <c r="Q11150" s="10"/>
      <c r="R11150" s="10"/>
      <c r="S11150" s="10"/>
      <c r="T11150" s="10"/>
      <c r="U11150" s="10"/>
      <c r="V11150" s="10"/>
      <c r="W11150" s="10"/>
      <c r="X11150" s="10"/>
      <c r="Y11150" s="10"/>
      <c r="Z11150" s="10"/>
    </row>
    <row r="11151" spans="1:26" ht="12.75">
      <c r="A11151" s="10"/>
      <c r="B11151" s="10"/>
      <c r="C11151" s="10"/>
      <c r="D11151" s="10"/>
      <c r="E11151" s="10"/>
      <c r="F11151" s="10"/>
      <c r="G11151" s="10"/>
      <c r="H11151" s="10"/>
      <c r="I11151" s="10"/>
      <c r="J11151" s="10"/>
      <c r="K11151" s="10"/>
      <c r="L11151" s="10"/>
      <c r="M11151" s="10"/>
      <c r="N11151" s="10"/>
      <c r="O11151" s="10"/>
      <c r="P11151" s="10"/>
      <c r="Q11151" s="10"/>
      <c r="R11151" s="10"/>
      <c r="S11151" s="10"/>
      <c r="T11151" s="10"/>
      <c r="U11151" s="10"/>
      <c r="V11151" s="10"/>
      <c r="W11151" s="10"/>
      <c r="X11151" s="10"/>
      <c r="Y11151" s="10"/>
      <c r="Z11151" s="10"/>
    </row>
    <row r="11152" spans="1:26" ht="12.75">
      <c r="A11152" s="10"/>
      <c r="B11152" s="10"/>
      <c r="C11152" s="10"/>
      <c r="D11152" s="10"/>
      <c r="E11152" s="10"/>
      <c r="F11152" s="10"/>
      <c r="G11152" s="10"/>
      <c r="H11152" s="10"/>
      <c r="I11152" s="10"/>
      <c r="J11152" s="10"/>
      <c r="K11152" s="10"/>
      <c r="L11152" s="10"/>
      <c r="M11152" s="10"/>
      <c r="N11152" s="10"/>
      <c r="O11152" s="10"/>
      <c r="P11152" s="10"/>
      <c r="Q11152" s="10"/>
      <c r="R11152" s="10"/>
      <c r="S11152" s="10"/>
      <c r="T11152" s="10"/>
      <c r="U11152" s="10"/>
      <c r="V11152" s="10"/>
      <c r="W11152" s="10"/>
      <c r="X11152" s="10"/>
      <c r="Y11152" s="10"/>
      <c r="Z11152" s="10"/>
    </row>
    <row r="11153" spans="1:26" ht="12.75">
      <c r="A11153" s="10"/>
      <c r="B11153" s="10"/>
      <c r="C11153" s="10"/>
      <c r="D11153" s="10"/>
      <c r="E11153" s="10"/>
      <c r="F11153" s="10"/>
      <c r="G11153" s="10"/>
      <c r="H11153" s="10"/>
      <c r="I11153" s="10"/>
      <c r="J11153" s="10"/>
      <c r="K11153" s="10"/>
      <c r="L11153" s="10"/>
      <c r="M11153" s="10"/>
      <c r="N11153" s="10"/>
      <c r="O11153" s="10"/>
      <c r="P11153" s="10"/>
      <c r="Q11153" s="10"/>
      <c r="R11153" s="10"/>
      <c r="S11153" s="10"/>
      <c r="T11153" s="10"/>
      <c r="U11153" s="10"/>
      <c r="V11153" s="10"/>
      <c r="W11153" s="10"/>
      <c r="X11153" s="10"/>
      <c r="Y11153" s="10"/>
      <c r="Z11153" s="10"/>
    </row>
    <row r="11154" spans="1:26" ht="12.75">
      <c r="A11154" s="10"/>
      <c r="B11154" s="10"/>
      <c r="C11154" s="10"/>
      <c r="D11154" s="10"/>
      <c r="E11154" s="10"/>
      <c r="F11154" s="10"/>
      <c r="G11154" s="10"/>
      <c r="H11154" s="10"/>
      <c r="I11154" s="10"/>
      <c r="J11154" s="10"/>
      <c r="K11154" s="10"/>
      <c r="L11154" s="10"/>
      <c r="M11154" s="10"/>
      <c r="N11154" s="10"/>
      <c r="O11154" s="10"/>
      <c r="P11154" s="10"/>
      <c r="Q11154" s="10"/>
      <c r="R11154" s="10"/>
      <c r="S11154" s="10"/>
      <c r="T11154" s="10"/>
      <c r="U11154" s="10"/>
      <c r="V11154" s="10"/>
      <c r="W11154" s="10"/>
      <c r="X11154" s="10"/>
      <c r="Y11154" s="10"/>
      <c r="Z11154" s="10"/>
    </row>
    <row r="11155" spans="1:26" ht="12.75">
      <c r="A11155" s="10"/>
      <c r="B11155" s="10"/>
      <c r="C11155" s="10"/>
      <c r="D11155" s="10"/>
      <c r="E11155" s="10"/>
      <c r="F11155" s="10"/>
      <c r="G11155" s="10"/>
      <c r="H11155" s="10"/>
      <c r="I11155" s="10"/>
      <c r="J11155" s="10"/>
      <c r="K11155" s="10"/>
      <c r="L11155" s="10"/>
      <c r="M11155" s="10"/>
      <c r="N11155" s="10"/>
      <c r="O11155" s="10"/>
      <c r="P11155" s="10"/>
      <c r="Q11155" s="10"/>
      <c r="R11155" s="10"/>
      <c r="S11155" s="10"/>
      <c r="T11155" s="10"/>
      <c r="U11155" s="10"/>
      <c r="V11155" s="10"/>
      <c r="W11155" s="10"/>
      <c r="X11155" s="10"/>
      <c r="Y11155" s="10"/>
      <c r="Z11155" s="10"/>
    </row>
    <row r="11156" spans="1:26" ht="12.75">
      <c r="A11156" s="10"/>
      <c r="B11156" s="10"/>
      <c r="C11156" s="10"/>
      <c r="D11156" s="10"/>
      <c r="E11156" s="10"/>
      <c r="F11156" s="10"/>
      <c r="G11156" s="10"/>
      <c r="H11156" s="10"/>
      <c r="I11156" s="10"/>
      <c r="J11156" s="10"/>
      <c r="K11156" s="10"/>
      <c r="L11156" s="10"/>
      <c r="M11156" s="10"/>
      <c r="N11156" s="10"/>
      <c r="O11156" s="10"/>
      <c r="P11156" s="10"/>
      <c r="Q11156" s="10"/>
      <c r="R11156" s="10"/>
      <c r="S11156" s="10"/>
      <c r="T11156" s="10"/>
      <c r="U11156" s="10"/>
      <c r="V11156" s="10"/>
      <c r="W11156" s="10"/>
      <c r="X11156" s="10"/>
      <c r="Y11156" s="10"/>
      <c r="Z11156" s="10"/>
    </row>
    <row r="11157" spans="1:26" ht="12.75">
      <c r="A11157" s="10"/>
      <c r="B11157" s="10"/>
      <c r="C11157" s="10"/>
      <c r="D11157" s="10"/>
      <c r="E11157" s="10"/>
      <c r="F11157" s="10"/>
      <c r="G11157" s="10"/>
      <c r="H11157" s="10"/>
      <c r="I11157" s="10"/>
      <c r="J11157" s="10"/>
      <c r="K11157" s="10"/>
      <c r="L11157" s="10"/>
      <c r="M11157" s="10"/>
      <c r="N11157" s="10"/>
      <c r="O11157" s="10"/>
      <c r="P11157" s="10"/>
      <c r="Q11157" s="10"/>
      <c r="R11157" s="10"/>
      <c r="S11157" s="10"/>
      <c r="T11157" s="10"/>
      <c r="U11157" s="10"/>
      <c r="V11157" s="10"/>
      <c r="W11157" s="10"/>
      <c r="X11157" s="10"/>
      <c r="Y11157" s="10"/>
      <c r="Z11157" s="10"/>
    </row>
    <row r="11158" spans="1:26" ht="12.75">
      <c r="A11158" s="10"/>
      <c r="B11158" s="10"/>
      <c r="C11158" s="10"/>
      <c r="D11158" s="10"/>
      <c r="E11158" s="10"/>
      <c r="F11158" s="10"/>
      <c r="G11158" s="10"/>
      <c r="H11158" s="10"/>
      <c r="I11158" s="10"/>
      <c r="J11158" s="10"/>
      <c r="K11158" s="10"/>
      <c r="L11158" s="10"/>
      <c r="M11158" s="10"/>
      <c r="N11158" s="10"/>
      <c r="O11158" s="10"/>
      <c r="P11158" s="10"/>
      <c r="Q11158" s="10"/>
      <c r="R11158" s="10"/>
      <c r="S11158" s="10"/>
      <c r="T11158" s="10"/>
      <c r="U11158" s="10"/>
      <c r="V11158" s="10"/>
      <c r="W11158" s="10"/>
      <c r="X11158" s="10"/>
      <c r="Y11158" s="10"/>
      <c r="Z11158" s="10"/>
    </row>
    <row r="11159" spans="1:26" ht="12.75">
      <c r="A11159" s="10"/>
      <c r="B11159" s="10"/>
      <c r="C11159" s="10"/>
      <c r="D11159" s="10"/>
      <c r="E11159" s="10"/>
      <c r="F11159" s="10"/>
      <c r="G11159" s="10"/>
      <c r="H11159" s="10"/>
      <c r="I11159" s="10"/>
      <c r="J11159" s="10"/>
      <c r="K11159" s="10"/>
      <c r="L11159" s="10"/>
      <c r="M11159" s="10"/>
      <c r="N11159" s="10"/>
      <c r="O11159" s="10"/>
      <c r="P11159" s="10"/>
      <c r="Q11159" s="10"/>
      <c r="R11159" s="10"/>
      <c r="S11159" s="10"/>
      <c r="T11159" s="10"/>
      <c r="U11159" s="10"/>
      <c r="V11159" s="10"/>
      <c r="W11159" s="10"/>
      <c r="X11159" s="10"/>
      <c r="Y11159" s="10"/>
      <c r="Z11159" s="10"/>
    </row>
    <row r="11160" spans="1:26" ht="12.75">
      <c r="A11160" s="10"/>
      <c r="B11160" s="10"/>
      <c r="C11160" s="10"/>
      <c r="D11160" s="10"/>
      <c r="E11160" s="10"/>
      <c r="F11160" s="10"/>
      <c r="G11160" s="10"/>
      <c r="H11160" s="10"/>
      <c r="I11160" s="10"/>
      <c r="J11160" s="10"/>
      <c r="K11160" s="10"/>
      <c r="L11160" s="10"/>
      <c r="M11160" s="10"/>
      <c r="N11160" s="10"/>
      <c r="O11160" s="10"/>
      <c r="P11160" s="10"/>
      <c r="Q11160" s="10"/>
      <c r="R11160" s="10"/>
      <c r="S11160" s="10"/>
      <c r="T11160" s="10"/>
      <c r="U11160" s="10"/>
      <c r="V11160" s="10"/>
      <c r="W11160" s="10"/>
      <c r="X11160" s="10"/>
      <c r="Y11160" s="10"/>
      <c r="Z11160" s="10"/>
    </row>
    <row r="11161" spans="1:26" ht="12.75">
      <c r="A11161" s="10"/>
      <c r="B11161" s="10"/>
      <c r="C11161" s="10"/>
      <c r="D11161" s="10"/>
      <c r="E11161" s="10"/>
      <c r="F11161" s="10"/>
      <c r="G11161" s="10"/>
      <c r="H11161" s="10"/>
      <c r="I11161" s="10"/>
      <c r="J11161" s="10"/>
      <c r="K11161" s="10"/>
      <c r="L11161" s="10"/>
      <c r="M11161" s="10"/>
      <c r="N11161" s="10"/>
      <c r="O11161" s="10"/>
      <c r="P11161" s="10"/>
      <c r="Q11161" s="10"/>
      <c r="R11161" s="10"/>
      <c r="S11161" s="10"/>
      <c r="T11161" s="10"/>
      <c r="U11161" s="10"/>
      <c r="V11161" s="10"/>
      <c r="W11161" s="10"/>
      <c r="X11161" s="10"/>
      <c r="Y11161" s="10"/>
      <c r="Z11161" s="10"/>
    </row>
    <row r="11162" spans="1:26" ht="12.75">
      <c r="A11162" s="10"/>
      <c r="B11162" s="10"/>
      <c r="C11162" s="10"/>
      <c r="D11162" s="10"/>
      <c r="E11162" s="10"/>
      <c r="F11162" s="10"/>
      <c r="G11162" s="10"/>
      <c r="H11162" s="10"/>
      <c r="I11162" s="10"/>
      <c r="J11162" s="10"/>
      <c r="K11162" s="10"/>
      <c r="L11162" s="10"/>
      <c r="M11162" s="10"/>
      <c r="N11162" s="10"/>
      <c r="O11162" s="10"/>
      <c r="P11162" s="10"/>
      <c r="Q11162" s="10"/>
      <c r="R11162" s="10"/>
      <c r="S11162" s="10"/>
      <c r="T11162" s="10"/>
      <c r="U11162" s="10"/>
      <c r="V11162" s="10"/>
      <c r="W11162" s="10"/>
      <c r="X11162" s="10"/>
      <c r="Y11162" s="10"/>
      <c r="Z11162" s="10"/>
    </row>
    <row r="11163" spans="1:26" ht="12.75">
      <c r="A11163" s="10"/>
      <c r="B11163" s="10"/>
      <c r="C11163" s="10"/>
      <c r="D11163" s="10"/>
      <c r="E11163" s="10"/>
      <c r="F11163" s="10"/>
      <c r="G11163" s="10"/>
      <c r="H11163" s="10"/>
      <c r="I11163" s="10"/>
      <c r="J11163" s="10"/>
      <c r="K11163" s="10"/>
      <c r="L11163" s="10"/>
      <c r="M11163" s="10"/>
      <c r="N11163" s="10"/>
      <c r="O11163" s="10"/>
      <c r="P11163" s="10"/>
      <c r="Q11163" s="10"/>
      <c r="R11163" s="10"/>
      <c r="S11163" s="10"/>
      <c r="T11163" s="10"/>
      <c r="U11163" s="10"/>
      <c r="V11163" s="10"/>
      <c r="W11163" s="10"/>
      <c r="X11163" s="10"/>
      <c r="Y11163" s="10"/>
      <c r="Z11163" s="10"/>
    </row>
    <row r="11164" spans="1:26" ht="12.75">
      <c r="A11164" s="10"/>
      <c r="B11164" s="10"/>
      <c r="C11164" s="10"/>
      <c r="D11164" s="10"/>
      <c r="E11164" s="10"/>
      <c r="F11164" s="10"/>
      <c r="G11164" s="10"/>
      <c r="H11164" s="10"/>
      <c r="I11164" s="10"/>
      <c r="J11164" s="10"/>
      <c r="K11164" s="10"/>
      <c r="L11164" s="10"/>
      <c r="M11164" s="10"/>
      <c r="N11164" s="10"/>
      <c r="O11164" s="10"/>
      <c r="P11164" s="10"/>
      <c r="Q11164" s="10"/>
      <c r="R11164" s="10"/>
      <c r="S11164" s="10"/>
      <c r="T11164" s="10"/>
      <c r="U11164" s="10"/>
      <c r="V11164" s="10"/>
      <c r="W11164" s="10"/>
      <c r="X11164" s="10"/>
      <c r="Y11164" s="10"/>
      <c r="Z11164" s="10"/>
    </row>
    <row r="11165" spans="1:26" ht="12.75">
      <c r="A11165" s="10"/>
      <c r="B11165" s="10"/>
      <c r="C11165" s="10"/>
      <c r="D11165" s="10"/>
      <c r="E11165" s="10"/>
      <c r="F11165" s="10"/>
      <c r="G11165" s="10"/>
      <c r="H11165" s="10"/>
      <c r="I11165" s="10"/>
      <c r="J11165" s="10"/>
      <c r="K11165" s="10"/>
      <c r="L11165" s="10"/>
      <c r="M11165" s="10"/>
      <c r="N11165" s="10"/>
      <c r="O11165" s="10"/>
      <c r="P11165" s="10"/>
      <c r="Q11165" s="10"/>
      <c r="R11165" s="10"/>
      <c r="S11165" s="10"/>
      <c r="T11165" s="10"/>
      <c r="U11165" s="10"/>
      <c r="V11165" s="10"/>
      <c r="W11165" s="10"/>
      <c r="X11165" s="10"/>
      <c r="Y11165" s="10"/>
      <c r="Z11165" s="10"/>
    </row>
    <row r="11166" spans="1:26" ht="12.75">
      <c r="A11166" s="10"/>
      <c r="B11166" s="10"/>
      <c r="C11166" s="10"/>
      <c r="D11166" s="10"/>
      <c r="E11166" s="10"/>
      <c r="F11166" s="10"/>
      <c r="G11166" s="10"/>
      <c r="H11166" s="10"/>
      <c r="I11166" s="10"/>
      <c r="J11166" s="10"/>
      <c r="K11166" s="10"/>
      <c r="L11166" s="10"/>
      <c r="M11166" s="10"/>
      <c r="N11166" s="10"/>
      <c r="O11166" s="10"/>
      <c r="P11166" s="10"/>
      <c r="Q11166" s="10"/>
      <c r="R11166" s="10"/>
      <c r="S11166" s="10"/>
      <c r="T11166" s="10"/>
      <c r="U11166" s="10"/>
      <c r="V11166" s="10"/>
      <c r="W11166" s="10"/>
      <c r="X11166" s="10"/>
      <c r="Y11166" s="10"/>
      <c r="Z11166" s="10"/>
    </row>
    <row r="11167" spans="1:26" ht="12.75">
      <c r="A11167" s="10"/>
      <c r="B11167" s="10"/>
      <c r="C11167" s="10"/>
      <c r="D11167" s="10"/>
      <c r="E11167" s="10"/>
      <c r="F11167" s="10"/>
      <c r="G11167" s="10"/>
      <c r="H11167" s="10"/>
      <c r="I11167" s="10"/>
      <c r="J11167" s="10"/>
      <c r="K11167" s="10"/>
      <c r="L11167" s="10"/>
      <c r="M11167" s="10"/>
      <c r="N11167" s="10"/>
      <c r="O11167" s="10"/>
      <c r="P11167" s="10"/>
      <c r="Q11167" s="10"/>
      <c r="R11167" s="10"/>
      <c r="S11167" s="10"/>
      <c r="T11167" s="10"/>
      <c r="U11167" s="10"/>
      <c r="V11167" s="10"/>
      <c r="W11167" s="10"/>
      <c r="X11167" s="10"/>
      <c r="Y11167" s="10"/>
      <c r="Z11167" s="10"/>
    </row>
    <row r="11168" spans="1:26" ht="12.75">
      <c r="A11168" s="10"/>
      <c r="B11168" s="10"/>
      <c r="C11168" s="10"/>
      <c r="D11168" s="10"/>
      <c r="E11168" s="10"/>
      <c r="F11168" s="10"/>
      <c r="G11168" s="10"/>
      <c r="H11168" s="10"/>
      <c r="I11168" s="10"/>
      <c r="J11168" s="10"/>
      <c r="K11168" s="10"/>
      <c r="L11168" s="10"/>
      <c r="M11168" s="10"/>
      <c r="N11168" s="10"/>
      <c r="O11168" s="10"/>
      <c r="P11168" s="10"/>
      <c r="Q11168" s="10"/>
      <c r="R11168" s="10"/>
      <c r="S11168" s="10"/>
      <c r="T11168" s="10"/>
      <c r="U11168" s="10"/>
      <c r="V11168" s="10"/>
      <c r="W11168" s="10"/>
      <c r="X11168" s="10"/>
      <c r="Y11168" s="10"/>
      <c r="Z11168" s="10"/>
    </row>
    <row r="11169" spans="1:26" ht="12.75">
      <c r="A11169" s="10"/>
      <c r="B11169" s="10"/>
      <c r="C11169" s="10"/>
      <c r="D11169" s="10"/>
      <c r="E11169" s="10"/>
      <c r="F11169" s="10"/>
      <c r="G11169" s="10"/>
      <c r="H11169" s="10"/>
      <c r="I11169" s="10"/>
      <c r="J11169" s="10"/>
      <c r="K11169" s="10"/>
      <c r="L11169" s="10"/>
      <c r="M11169" s="10"/>
      <c r="N11169" s="10"/>
      <c r="O11169" s="10"/>
      <c r="P11169" s="10"/>
      <c r="Q11169" s="10"/>
      <c r="R11169" s="10"/>
      <c r="S11169" s="10"/>
      <c r="T11169" s="10"/>
      <c r="U11169" s="10"/>
      <c r="V11169" s="10"/>
      <c r="W11169" s="10"/>
      <c r="X11169" s="10"/>
      <c r="Y11169" s="10"/>
      <c r="Z11169" s="10"/>
    </row>
    <row r="11170" spans="1:26" ht="12.75">
      <c r="A11170" s="10"/>
      <c r="B11170" s="10"/>
      <c r="C11170" s="10"/>
      <c r="D11170" s="10"/>
      <c r="E11170" s="10"/>
      <c r="F11170" s="10"/>
      <c r="G11170" s="10"/>
      <c r="H11170" s="10"/>
      <c r="I11170" s="10"/>
      <c r="J11170" s="10"/>
      <c r="K11170" s="10"/>
      <c r="L11170" s="10"/>
      <c r="M11170" s="10"/>
      <c r="N11170" s="10"/>
      <c r="O11170" s="10"/>
      <c r="P11170" s="10"/>
      <c r="Q11170" s="10"/>
      <c r="R11170" s="10"/>
      <c r="S11170" s="10"/>
      <c r="T11170" s="10"/>
      <c r="U11170" s="10"/>
      <c r="V11170" s="10"/>
      <c r="W11170" s="10"/>
      <c r="X11170" s="10"/>
      <c r="Y11170" s="10"/>
      <c r="Z11170" s="10"/>
    </row>
    <row r="11171" spans="1:26" ht="12.75">
      <c r="A11171" s="10"/>
      <c r="B11171" s="10"/>
      <c r="C11171" s="10"/>
      <c r="D11171" s="10"/>
      <c r="E11171" s="10"/>
      <c r="F11171" s="10"/>
      <c r="G11171" s="10"/>
      <c r="H11171" s="10"/>
      <c r="I11171" s="10"/>
      <c r="J11171" s="10"/>
      <c r="K11171" s="10"/>
      <c r="L11171" s="10"/>
      <c r="M11171" s="10"/>
      <c r="N11171" s="10"/>
      <c r="O11171" s="10"/>
      <c r="P11171" s="10"/>
      <c r="Q11171" s="10"/>
      <c r="R11171" s="10"/>
      <c r="S11171" s="10"/>
      <c r="T11171" s="10"/>
      <c r="U11171" s="10"/>
      <c r="V11171" s="10"/>
      <c r="W11171" s="10"/>
      <c r="X11171" s="10"/>
      <c r="Y11171" s="10"/>
      <c r="Z11171" s="10"/>
    </row>
    <row r="11172" spans="1:26" ht="12.75">
      <c r="A11172" s="10"/>
      <c r="B11172" s="10"/>
      <c r="C11172" s="10"/>
      <c r="D11172" s="10"/>
      <c r="E11172" s="10"/>
      <c r="F11172" s="10"/>
      <c r="G11172" s="10"/>
      <c r="H11172" s="10"/>
      <c r="I11172" s="10"/>
      <c r="J11172" s="10"/>
      <c r="K11172" s="10"/>
      <c r="L11172" s="10"/>
      <c r="M11172" s="10"/>
      <c r="N11172" s="10"/>
      <c r="O11172" s="10"/>
      <c r="P11172" s="10"/>
      <c r="Q11172" s="10"/>
      <c r="R11172" s="10"/>
      <c r="S11172" s="10"/>
      <c r="T11172" s="10"/>
      <c r="U11172" s="10"/>
      <c r="V11172" s="10"/>
      <c r="W11172" s="10"/>
      <c r="X11172" s="10"/>
      <c r="Y11172" s="10"/>
      <c r="Z11172" s="10"/>
    </row>
    <row r="11173" spans="1:26" ht="12.75">
      <c r="A11173" s="10"/>
      <c r="B11173" s="10"/>
      <c r="C11173" s="10"/>
      <c r="D11173" s="10"/>
      <c r="E11173" s="10"/>
      <c r="F11173" s="10"/>
      <c r="G11173" s="10"/>
      <c r="H11173" s="10"/>
      <c r="I11173" s="10"/>
      <c r="J11173" s="10"/>
      <c r="K11173" s="10"/>
      <c r="L11173" s="10"/>
      <c r="M11173" s="10"/>
      <c r="N11173" s="10"/>
      <c r="O11173" s="10"/>
      <c r="P11173" s="10"/>
      <c r="Q11173" s="10"/>
      <c r="R11173" s="10"/>
      <c r="S11173" s="10"/>
      <c r="T11173" s="10"/>
      <c r="U11173" s="10"/>
      <c r="V11173" s="10"/>
      <c r="W11173" s="10"/>
      <c r="X11173" s="10"/>
      <c r="Y11173" s="10"/>
      <c r="Z11173" s="10"/>
    </row>
    <row r="11174" spans="1:26" ht="12.75">
      <c r="A11174" s="10"/>
      <c r="B11174" s="10"/>
      <c r="C11174" s="10"/>
      <c r="D11174" s="10"/>
      <c r="E11174" s="10"/>
      <c r="F11174" s="10"/>
      <c r="G11174" s="10"/>
      <c r="H11174" s="10"/>
      <c r="I11174" s="10"/>
      <c r="J11174" s="10"/>
      <c r="K11174" s="10"/>
      <c r="L11174" s="10"/>
      <c r="M11174" s="10"/>
      <c r="N11174" s="10"/>
      <c r="O11174" s="10"/>
      <c r="P11174" s="10"/>
      <c r="Q11174" s="10"/>
      <c r="R11174" s="10"/>
      <c r="S11174" s="10"/>
      <c r="T11174" s="10"/>
      <c r="U11174" s="10"/>
      <c r="V11174" s="10"/>
      <c r="W11174" s="10"/>
      <c r="X11174" s="10"/>
      <c r="Y11174" s="10"/>
      <c r="Z11174" s="10"/>
    </row>
    <row r="11175" spans="1:26" ht="12.75">
      <c r="A11175" s="10"/>
      <c r="B11175" s="10"/>
      <c r="C11175" s="10"/>
      <c r="D11175" s="10"/>
      <c r="E11175" s="10"/>
      <c r="F11175" s="10"/>
      <c r="G11175" s="10"/>
      <c r="H11175" s="10"/>
      <c r="I11175" s="10"/>
      <c r="J11175" s="10"/>
      <c r="K11175" s="10"/>
      <c r="L11175" s="10"/>
      <c r="M11175" s="10"/>
      <c r="N11175" s="10"/>
      <c r="O11175" s="10"/>
      <c r="P11175" s="10"/>
      <c r="Q11175" s="10"/>
      <c r="R11175" s="10"/>
      <c r="S11175" s="10"/>
      <c r="T11175" s="10"/>
      <c r="U11175" s="10"/>
      <c r="V11175" s="10"/>
      <c r="W11175" s="10"/>
      <c r="X11175" s="10"/>
      <c r="Y11175" s="10"/>
      <c r="Z11175" s="10"/>
    </row>
    <row r="11176" spans="1:26" ht="12.75">
      <c r="A11176" s="10"/>
      <c r="B11176" s="10"/>
      <c r="C11176" s="10"/>
      <c r="D11176" s="10"/>
      <c r="E11176" s="10"/>
      <c r="F11176" s="10"/>
      <c r="G11176" s="10"/>
      <c r="H11176" s="10"/>
      <c r="I11176" s="10"/>
      <c r="J11176" s="10"/>
      <c r="K11176" s="10"/>
      <c r="L11176" s="10"/>
      <c r="M11176" s="10"/>
      <c r="N11176" s="10"/>
      <c r="O11176" s="10"/>
      <c r="P11176" s="10"/>
      <c r="Q11176" s="10"/>
      <c r="R11176" s="10"/>
      <c r="S11176" s="10"/>
      <c r="T11176" s="10"/>
      <c r="U11176" s="10"/>
      <c r="V11176" s="10"/>
      <c r="W11176" s="10"/>
      <c r="X11176" s="10"/>
      <c r="Y11176" s="10"/>
      <c r="Z11176" s="10"/>
    </row>
    <row r="11177" spans="1:26" ht="12.75">
      <c r="A11177" s="10"/>
      <c r="B11177" s="10"/>
      <c r="C11177" s="10"/>
      <c r="D11177" s="10"/>
      <c r="E11177" s="10"/>
      <c r="F11177" s="10"/>
      <c r="G11177" s="10"/>
      <c r="H11177" s="10"/>
      <c r="I11177" s="10"/>
      <c r="J11177" s="10"/>
      <c r="K11177" s="10"/>
      <c r="L11177" s="10"/>
      <c r="M11177" s="10"/>
      <c r="N11177" s="10"/>
      <c r="O11177" s="10"/>
      <c r="P11177" s="10"/>
      <c r="Q11177" s="10"/>
      <c r="R11177" s="10"/>
      <c r="S11177" s="10"/>
      <c r="T11177" s="10"/>
      <c r="U11177" s="10"/>
      <c r="V11177" s="10"/>
      <c r="W11177" s="10"/>
      <c r="X11177" s="10"/>
      <c r="Y11177" s="10"/>
      <c r="Z11177" s="10"/>
    </row>
    <row r="11178" spans="1:26" ht="12.75">
      <c r="A11178" s="10"/>
      <c r="B11178" s="10"/>
      <c r="C11178" s="10"/>
      <c r="D11178" s="10"/>
      <c r="E11178" s="10"/>
      <c r="F11178" s="10"/>
      <c r="G11178" s="10"/>
      <c r="H11178" s="10"/>
      <c r="I11178" s="10"/>
      <c r="J11178" s="10"/>
      <c r="K11178" s="10"/>
      <c r="L11178" s="10"/>
      <c r="M11178" s="10"/>
      <c r="N11178" s="10"/>
      <c r="O11178" s="10"/>
      <c r="P11178" s="10"/>
      <c r="Q11178" s="10"/>
      <c r="R11178" s="10"/>
      <c r="S11178" s="10"/>
      <c r="T11178" s="10"/>
      <c r="U11178" s="10"/>
      <c r="V11178" s="10"/>
      <c r="W11178" s="10"/>
      <c r="X11178" s="10"/>
      <c r="Y11178" s="10"/>
      <c r="Z11178" s="10"/>
    </row>
    <row r="11179" spans="1:26" ht="12.75">
      <c r="A11179" s="10"/>
      <c r="B11179" s="10"/>
      <c r="C11179" s="10"/>
      <c r="D11179" s="10"/>
      <c r="E11179" s="10"/>
      <c r="F11179" s="10"/>
      <c r="G11179" s="10"/>
      <c r="H11179" s="10"/>
      <c r="I11179" s="10"/>
      <c r="J11179" s="10"/>
      <c r="K11179" s="10"/>
      <c r="L11179" s="10"/>
      <c r="M11179" s="10"/>
      <c r="N11179" s="10"/>
      <c r="O11179" s="10"/>
      <c r="P11179" s="10"/>
      <c r="Q11179" s="10"/>
      <c r="R11179" s="10"/>
      <c r="S11179" s="10"/>
      <c r="T11179" s="10"/>
      <c r="U11179" s="10"/>
      <c r="V11179" s="10"/>
      <c r="W11179" s="10"/>
      <c r="X11179" s="10"/>
      <c r="Y11179" s="10"/>
      <c r="Z11179" s="10"/>
    </row>
    <row r="11180" spans="1:26" ht="12.75">
      <c r="A11180" s="10"/>
      <c r="B11180" s="10"/>
      <c r="C11180" s="10"/>
      <c r="D11180" s="10"/>
      <c r="E11180" s="10"/>
      <c r="F11180" s="10"/>
      <c r="G11180" s="10"/>
      <c r="H11180" s="10"/>
      <c r="I11180" s="10"/>
      <c r="J11180" s="10"/>
      <c r="K11180" s="10"/>
      <c r="L11180" s="10"/>
      <c r="M11180" s="10"/>
      <c r="N11180" s="10"/>
      <c r="O11180" s="10"/>
      <c r="P11180" s="10"/>
      <c r="Q11180" s="10"/>
      <c r="R11180" s="10"/>
      <c r="S11180" s="10"/>
      <c r="T11180" s="10"/>
      <c r="U11180" s="10"/>
      <c r="V11180" s="10"/>
      <c r="W11180" s="10"/>
      <c r="X11180" s="10"/>
      <c r="Y11180" s="10"/>
      <c r="Z11180" s="10"/>
    </row>
    <row r="11181" spans="1:26" ht="12.75">
      <c r="A11181" s="10"/>
      <c r="B11181" s="10"/>
      <c r="C11181" s="10"/>
      <c r="D11181" s="10"/>
      <c r="E11181" s="10"/>
      <c r="F11181" s="10"/>
      <c r="G11181" s="10"/>
      <c r="H11181" s="10"/>
      <c r="I11181" s="10"/>
      <c r="J11181" s="10"/>
      <c r="K11181" s="10"/>
      <c r="L11181" s="10"/>
      <c r="M11181" s="10"/>
      <c r="N11181" s="10"/>
      <c r="O11181" s="10"/>
      <c r="P11181" s="10"/>
      <c r="Q11181" s="10"/>
      <c r="R11181" s="10"/>
      <c r="S11181" s="10"/>
      <c r="T11181" s="10"/>
      <c r="U11181" s="10"/>
      <c r="V11181" s="10"/>
      <c r="W11181" s="10"/>
      <c r="X11181" s="10"/>
      <c r="Y11181" s="10"/>
      <c r="Z11181" s="10"/>
    </row>
    <row r="11182" spans="1:26" ht="12.75">
      <c r="A11182" s="10"/>
      <c r="B11182" s="10"/>
      <c r="C11182" s="10"/>
      <c r="D11182" s="10"/>
      <c r="E11182" s="10"/>
      <c r="F11182" s="10"/>
      <c r="G11182" s="10"/>
      <c r="H11182" s="10"/>
      <c r="I11182" s="10"/>
      <c r="J11182" s="10"/>
      <c r="K11182" s="10"/>
      <c r="L11182" s="10"/>
      <c r="M11182" s="10"/>
      <c r="N11182" s="10"/>
      <c r="O11182" s="10"/>
      <c r="P11182" s="10"/>
      <c r="Q11182" s="10"/>
      <c r="R11182" s="10"/>
      <c r="S11182" s="10"/>
      <c r="T11182" s="10"/>
      <c r="U11182" s="10"/>
      <c r="V11182" s="10"/>
      <c r="W11182" s="10"/>
      <c r="X11182" s="10"/>
      <c r="Y11182" s="10"/>
      <c r="Z11182" s="10"/>
    </row>
    <row r="11183" spans="1:26" ht="12.75">
      <c r="A11183" s="10"/>
      <c r="B11183" s="10"/>
      <c r="C11183" s="10"/>
      <c r="D11183" s="10"/>
      <c r="E11183" s="10"/>
      <c r="F11183" s="10"/>
      <c r="G11183" s="10"/>
      <c r="H11183" s="10"/>
      <c r="I11183" s="10"/>
      <c r="J11183" s="10"/>
      <c r="K11183" s="10"/>
      <c r="L11183" s="10"/>
      <c r="M11183" s="10"/>
      <c r="N11183" s="10"/>
      <c r="O11183" s="10"/>
      <c r="P11183" s="10"/>
      <c r="Q11183" s="10"/>
      <c r="R11183" s="10"/>
      <c r="S11183" s="10"/>
      <c r="T11183" s="10"/>
      <c r="U11183" s="10"/>
      <c r="V11183" s="10"/>
      <c r="W11183" s="10"/>
      <c r="X11183" s="10"/>
      <c r="Y11183" s="10"/>
      <c r="Z11183" s="10"/>
    </row>
    <row r="11184" spans="1:26" ht="12.75">
      <c r="A11184" s="10"/>
      <c r="B11184" s="10"/>
      <c r="C11184" s="10"/>
      <c r="D11184" s="10"/>
      <c r="E11184" s="10"/>
      <c r="F11184" s="10"/>
      <c r="G11184" s="10"/>
      <c r="H11184" s="10"/>
      <c r="I11184" s="10"/>
      <c r="J11184" s="10"/>
      <c r="K11184" s="10"/>
      <c r="L11184" s="10"/>
      <c r="M11184" s="10"/>
      <c r="N11184" s="10"/>
      <c r="O11184" s="10"/>
      <c r="P11184" s="10"/>
      <c r="Q11184" s="10"/>
      <c r="R11184" s="10"/>
      <c r="S11184" s="10"/>
      <c r="T11184" s="10"/>
      <c r="U11184" s="10"/>
      <c r="V11184" s="10"/>
      <c r="W11184" s="10"/>
      <c r="X11184" s="10"/>
      <c r="Y11184" s="10"/>
      <c r="Z11184" s="10"/>
    </row>
    <row r="11185" spans="1:26" ht="12.75">
      <c r="A11185" s="10"/>
      <c r="B11185" s="10"/>
      <c r="C11185" s="10"/>
      <c r="D11185" s="10"/>
      <c r="E11185" s="10"/>
      <c r="F11185" s="10"/>
      <c r="G11185" s="10"/>
      <c r="H11185" s="10"/>
      <c r="I11185" s="10"/>
      <c r="J11185" s="10"/>
      <c r="K11185" s="10"/>
      <c r="L11185" s="10"/>
      <c r="M11185" s="10"/>
      <c r="N11185" s="10"/>
      <c r="O11185" s="10"/>
      <c r="P11185" s="10"/>
      <c r="Q11185" s="10"/>
      <c r="R11185" s="10"/>
      <c r="S11185" s="10"/>
      <c r="T11185" s="10"/>
      <c r="U11185" s="10"/>
      <c r="V11185" s="10"/>
      <c r="W11185" s="10"/>
      <c r="X11185" s="10"/>
      <c r="Y11185" s="10"/>
      <c r="Z11185" s="10"/>
    </row>
    <row r="11186" spans="1:26" ht="12.75">
      <c r="A11186" s="10"/>
      <c r="B11186" s="10"/>
      <c r="C11186" s="10"/>
      <c r="D11186" s="10"/>
      <c r="E11186" s="10"/>
      <c r="F11186" s="10"/>
      <c r="G11186" s="10"/>
      <c r="H11186" s="10"/>
      <c r="I11186" s="10"/>
      <c r="J11186" s="10"/>
      <c r="K11186" s="10"/>
      <c r="L11186" s="10"/>
      <c r="M11186" s="10"/>
      <c r="N11186" s="10"/>
      <c r="O11186" s="10"/>
      <c r="P11186" s="10"/>
      <c r="Q11186" s="10"/>
      <c r="R11186" s="10"/>
      <c r="S11186" s="10"/>
      <c r="T11186" s="10"/>
      <c r="U11186" s="10"/>
      <c r="V11186" s="10"/>
      <c r="W11186" s="10"/>
      <c r="X11186" s="10"/>
      <c r="Y11186" s="10"/>
      <c r="Z11186" s="10"/>
    </row>
    <row r="11187" spans="1:26" ht="12.75">
      <c r="A11187" s="10"/>
      <c r="B11187" s="10"/>
      <c r="C11187" s="10"/>
      <c r="D11187" s="10"/>
      <c r="E11187" s="10"/>
      <c r="F11187" s="10"/>
      <c r="G11187" s="10"/>
      <c r="H11187" s="10"/>
      <c r="I11187" s="10"/>
      <c r="J11187" s="10"/>
      <c r="K11187" s="10"/>
      <c r="L11187" s="10"/>
      <c r="M11187" s="10"/>
      <c r="N11187" s="10"/>
      <c r="O11187" s="10"/>
      <c r="P11187" s="10"/>
      <c r="Q11187" s="10"/>
      <c r="R11187" s="10"/>
      <c r="S11187" s="10"/>
      <c r="T11187" s="10"/>
      <c r="U11187" s="10"/>
      <c r="V11187" s="10"/>
      <c r="W11187" s="10"/>
      <c r="X11187" s="10"/>
      <c r="Y11187" s="10"/>
      <c r="Z11187" s="10"/>
    </row>
    <row r="11188" spans="1:26" ht="12.75">
      <c r="A11188" s="10"/>
      <c r="B11188" s="10"/>
      <c r="C11188" s="10"/>
      <c r="D11188" s="10"/>
      <c r="E11188" s="10"/>
      <c r="F11188" s="10"/>
      <c r="G11188" s="10"/>
      <c r="H11188" s="10"/>
      <c r="I11188" s="10"/>
      <c r="J11188" s="10"/>
      <c r="K11188" s="10"/>
      <c r="L11188" s="10"/>
      <c r="M11188" s="10"/>
      <c r="N11188" s="10"/>
      <c r="O11188" s="10"/>
      <c r="P11188" s="10"/>
      <c r="Q11188" s="10"/>
      <c r="R11188" s="10"/>
      <c r="S11188" s="10"/>
      <c r="T11188" s="10"/>
      <c r="U11188" s="10"/>
      <c r="V11188" s="10"/>
      <c r="W11188" s="10"/>
      <c r="X11188" s="10"/>
      <c r="Y11188" s="10"/>
      <c r="Z11188" s="10"/>
    </row>
    <row r="11189" spans="1:26" ht="12.75">
      <c r="A11189" s="10"/>
      <c r="B11189" s="10"/>
      <c r="C11189" s="10"/>
      <c r="D11189" s="10"/>
      <c r="E11189" s="10"/>
      <c r="F11189" s="10"/>
      <c r="G11189" s="10"/>
      <c r="H11189" s="10"/>
      <c r="I11189" s="10"/>
      <c r="J11189" s="10"/>
      <c r="K11189" s="10"/>
      <c r="L11189" s="10"/>
      <c r="M11189" s="10"/>
      <c r="N11189" s="10"/>
      <c r="O11189" s="10"/>
      <c r="P11189" s="10"/>
      <c r="Q11189" s="10"/>
      <c r="R11189" s="10"/>
      <c r="S11189" s="10"/>
      <c r="T11189" s="10"/>
      <c r="U11189" s="10"/>
      <c r="V11189" s="10"/>
      <c r="W11189" s="10"/>
      <c r="X11189" s="10"/>
      <c r="Y11189" s="10"/>
      <c r="Z11189" s="10"/>
    </row>
    <row r="11190" spans="1:26" ht="12.75">
      <c r="A11190" s="10"/>
      <c r="B11190" s="10"/>
      <c r="C11190" s="10"/>
      <c r="D11190" s="10"/>
      <c r="E11190" s="10"/>
      <c r="F11190" s="10"/>
      <c r="G11190" s="10"/>
      <c r="H11190" s="10"/>
      <c r="I11190" s="10"/>
      <c r="J11190" s="10"/>
      <c r="K11190" s="10"/>
      <c r="L11190" s="10"/>
      <c r="M11190" s="10"/>
      <c r="N11190" s="10"/>
      <c r="O11190" s="10"/>
      <c r="P11190" s="10"/>
      <c r="Q11190" s="10"/>
      <c r="R11190" s="10"/>
      <c r="S11190" s="10"/>
      <c r="T11190" s="10"/>
      <c r="U11190" s="10"/>
      <c r="V11190" s="10"/>
      <c r="W11190" s="10"/>
      <c r="X11190" s="10"/>
      <c r="Y11190" s="10"/>
      <c r="Z11190" s="10"/>
    </row>
    <row r="11191" spans="1:26" ht="12.75">
      <c r="A11191" s="10"/>
      <c r="B11191" s="10"/>
      <c r="C11191" s="10"/>
      <c r="D11191" s="10"/>
      <c r="E11191" s="10"/>
      <c r="F11191" s="10"/>
      <c r="G11191" s="10"/>
      <c r="H11191" s="10"/>
      <c r="I11191" s="10"/>
      <c r="J11191" s="10"/>
      <c r="K11191" s="10"/>
      <c r="L11191" s="10"/>
      <c r="M11191" s="10"/>
      <c r="N11191" s="10"/>
      <c r="O11191" s="10"/>
      <c r="P11191" s="10"/>
      <c r="Q11191" s="10"/>
      <c r="R11191" s="10"/>
      <c r="S11191" s="10"/>
      <c r="T11191" s="10"/>
      <c r="U11191" s="10"/>
      <c r="V11191" s="10"/>
      <c r="W11191" s="10"/>
      <c r="X11191" s="10"/>
      <c r="Y11191" s="10"/>
      <c r="Z11191" s="10"/>
    </row>
    <row r="11192" spans="1:26" ht="12.75">
      <c r="A11192" s="10"/>
      <c r="B11192" s="10"/>
      <c r="C11192" s="10"/>
      <c r="D11192" s="10"/>
      <c r="E11192" s="10"/>
      <c r="F11192" s="10"/>
      <c r="G11192" s="10"/>
      <c r="H11192" s="10"/>
      <c r="I11192" s="10"/>
      <c r="J11192" s="10"/>
      <c r="K11192" s="10"/>
      <c r="L11192" s="10"/>
      <c r="M11192" s="10"/>
      <c r="N11192" s="10"/>
      <c r="O11192" s="10"/>
      <c r="P11192" s="10"/>
      <c r="Q11192" s="10"/>
      <c r="R11192" s="10"/>
      <c r="S11192" s="10"/>
      <c r="T11192" s="10"/>
      <c r="U11192" s="10"/>
      <c r="V11192" s="10"/>
      <c r="W11192" s="10"/>
      <c r="X11192" s="10"/>
      <c r="Y11192" s="10"/>
      <c r="Z11192" s="10"/>
    </row>
    <row r="11193" spans="1:26" ht="12.75">
      <c r="A11193" s="10"/>
      <c r="B11193" s="10"/>
      <c r="C11193" s="10"/>
      <c r="D11193" s="10"/>
      <c r="E11193" s="10"/>
      <c r="F11193" s="10"/>
      <c r="G11193" s="10"/>
      <c r="H11193" s="10"/>
      <c r="I11193" s="10"/>
      <c r="J11193" s="10"/>
      <c r="K11193" s="10"/>
      <c r="L11193" s="10"/>
      <c r="M11193" s="10"/>
      <c r="N11193" s="10"/>
      <c r="O11193" s="10"/>
      <c r="P11193" s="10"/>
      <c r="Q11193" s="10"/>
      <c r="R11193" s="10"/>
      <c r="S11193" s="10"/>
      <c r="T11193" s="10"/>
      <c r="U11193" s="10"/>
      <c r="V11193" s="10"/>
      <c r="W11193" s="10"/>
      <c r="X11193" s="10"/>
      <c r="Y11193" s="10"/>
      <c r="Z11193" s="10"/>
    </row>
    <row r="11194" spans="1:26" ht="12.75">
      <c r="A11194" s="10"/>
      <c r="B11194" s="10"/>
      <c r="C11194" s="10"/>
      <c r="D11194" s="10"/>
      <c r="E11194" s="10"/>
      <c r="F11194" s="10"/>
      <c r="G11194" s="10"/>
      <c r="H11194" s="10"/>
      <c r="I11194" s="10"/>
      <c r="J11194" s="10"/>
      <c r="K11194" s="10"/>
      <c r="L11194" s="10"/>
      <c r="M11194" s="10"/>
      <c r="N11194" s="10"/>
      <c r="O11194" s="10"/>
      <c r="P11194" s="10"/>
      <c r="Q11194" s="10"/>
      <c r="R11194" s="10"/>
      <c r="S11194" s="10"/>
      <c r="T11194" s="10"/>
      <c r="U11194" s="10"/>
      <c r="V11194" s="10"/>
      <c r="W11194" s="10"/>
      <c r="X11194" s="10"/>
      <c r="Y11194" s="10"/>
      <c r="Z11194" s="10"/>
    </row>
    <row r="11195" spans="1:26" ht="12.75">
      <c r="A11195" s="10"/>
      <c r="B11195" s="10"/>
      <c r="C11195" s="10"/>
      <c r="D11195" s="10"/>
      <c r="E11195" s="10"/>
      <c r="F11195" s="10"/>
      <c r="G11195" s="10"/>
      <c r="H11195" s="10"/>
      <c r="I11195" s="10"/>
      <c r="J11195" s="10"/>
      <c r="K11195" s="10"/>
      <c r="L11195" s="10"/>
      <c r="M11195" s="10"/>
      <c r="N11195" s="10"/>
      <c r="O11195" s="10"/>
      <c r="P11195" s="10"/>
      <c r="Q11195" s="10"/>
      <c r="R11195" s="10"/>
      <c r="S11195" s="10"/>
      <c r="T11195" s="10"/>
      <c r="U11195" s="10"/>
      <c r="V11195" s="10"/>
      <c r="W11195" s="10"/>
      <c r="X11195" s="10"/>
      <c r="Y11195" s="10"/>
      <c r="Z11195" s="10"/>
    </row>
    <row r="11196" spans="1:26" ht="12.75">
      <c r="A11196" s="10"/>
      <c r="B11196" s="10"/>
      <c r="C11196" s="10"/>
      <c r="D11196" s="10"/>
      <c r="E11196" s="10"/>
      <c r="F11196" s="10"/>
      <c r="G11196" s="10"/>
      <c r="H11196" s="10"/>
      <c r="I11196" s="10"/>
      <c r="J11196" s="10"/>
      <c r="K11196" s="10"/>
      <c r="L11196" s="10"/>
      <c r="M11196" s="10"/>
      <c r="N11196" s="10"/>
      <c r="O11196" s="10"/>
      <c r="P11196" s="10"/>
      <c r="Q11196" s="10"/>
      <c r="R11196" s="10"/>
      <c r="S11196" s="10"/>
      <c r="T11196" s="10"/>
      <c r="U11196" s="10"/>
      <c r="V11196" s="10"/>
      <c r="W11196" s="10"/>
      <c r="X11196" s="10"/>
      <c r="Y11196" s="10"/>
      <c r="Z11196" s="10"/>
    </row>
    <row r="11197" spans="1:26" ht="12.75">
      <c r="A11197" s="10"/>
      <c r="B11197" s="10"/>
      <c r="C11197" s="10"/>
      <c r="D11197" s="10"/>
      <c r="E11197" s="10"/>
      <c r="F11197" s="10"/>
      <c r="G11197" s="10"/>
      <c r="H11197" s="10"/>
      <c r="I11197" s="10"/>
      <c r="J11197" s="10"/>
      <c r="K11197" s="10"/>
      <c r="L11197" s="10"/>
      <c r="M11197" s="10"/>
      <c r="N11197" s="10"/>
      <c r="O11197" s="10"/>
      <c r="P11197" s="10"/>
      <c r="Q11197" s="10"/>
      <c r="R11197" s="10"/>
      <c r="S11197" s="10"/>
      <c r="T11197" s="10"/>
      <c r="U11197" s="10"/>
      <c r="V11197" s="10"/>
      <c r="W11197" s="10"/>
      <c r="X11197" s="10"/>
      <c r="Y11197" s="10"/>
      <c r="Z11197" s="10"/>
    </row>
    <row r="11198" spans="1:26" ht="12.75">
      <c r="A11198" s="10"/>
      <c r="B11198" s="10"/>
      <c r="C11198" s="10"/>
      <c r="D11198" s="10"/>
      <c r="E11198" s="10"/>
      <c r="F11198" s="10"/>
      <c r="G11198" s="10"/>
      <c r="H11198" s="10"/>
      <c r="I11198" s="10"/>
      <c r="J11198" s="10"/>
      <c r="K11198" s="10"/>
      <c r="L11198" s="10"/>
      <c r="M11198" s="10"/>
      <c r="N11198" s="10"/>
      <c r="O11198" s="10"/>
      <c r="P11198" s="10"/>
      <c r="Q11198" s="10"/>
      <c r="R11198" s="10"/>
      <c r="S11198" s="10"/>
      <c r="T11198" s="10"/>
      <c r="U11198" s="10"/>
      <c r="V11198" s="10"/>
      <c r="W11198" s="10"/>
      <c r="X11198" s="10"/>
      <c r="Y11198" s="10"/>
      <c r="Z11198" s="10"/>
    </row>
    <row r="11199" spans="1:26" ht="12.75">
      <c r="A11199" s="10"/>
      <c r="B11199" s="10"/>
      <c r="C11199" s="10"/>
      <c r="D11199" s="10"/>
      <c r="E11199" s="10"/>
      <c r="F11199" s="10"/>
      <c r="G11199" s="10"/>
      <c r="H11199" s="10"/>
      <c r="I11199" s="10"/>
      <c r="J11199" s="10"/>
      <c r="K11199" s="10"/>
      <c r="L11199" s="10"/>
      <c r="M11199" s="10"/>
      <c r="N11199" s="10"/>
      <c r="O11199" s="10"/>
      <c r="P11199" s="10"/>
      <c r="Q11199" s="10"/>
      <c r="R11199" s="10"/>
      <c r="S11199" s="10"/>
      <c r="T11199" s="10"/>
      <c r="U11199" s="10"/>
      <c r="V11199" s="10"/>
      <c r="W11199" s="10"/>
      <c r="X11199" s="10"/>
      <c r="Y11199" s="10"/>
      <c r="Z11199" s="10"/>
    </row>
    <row r="11200" spans="1:26" ht="12.75">
      <c r="A11200" s="10"/>
      <c r="B11200" s="10"/>
      <c r="C11200" s="10"/>
      <c r="D11200" s="10"/>
      <c r="E11200" s="10"/>
      <c r="F11200" s="10"/>
      <c r="G11200" s="10"/>
      <c r="H11200" s="10"/>
      <c r="I11200" s="10"/>
      <c r="J11200" s="10"/>
      <c r="K11200" s="10"/>
      <c r="L11200" s="10"/>
      <c r="M11200" s="10"/>
      <c r="N11200" s="10"/>
      <c r="O11200" s="10"/>
      <c r="P11200" s="10"/>
      <c r="Q11200" s="10"/>
      <c r="R11200" s="10"/>
      <c r="S11200" s="10"/>
      <c r="T11200" s="10"/>
      <c r="U11200" s="10"/>
      <c r="V11200" s="10"/>
      <c r="W11200" s="10"/>
      <c r="X11200" s="10"/>
      <c r="Y11200" s="10"/>
      <c r="Z11200" s="10"/>
    </row>
    <row r="11201" spans="1:26" ht="12.75">
      <c r="A11201" s="10"/>
      <c r="B11201" s="10"/>
      <c r="C11201" s="10"/>
      <c r="D11201" s="10"/>
      <c r="E11201" s="10"/>
      <c r="F11201" s="10"/>
      <c r="G11201" s="10"/>
      <c r="H11201" s="10"/>
      <c r="I11201" s="10"/>
      <c r="J11201" s="10"/>
      <c r="K11201" s="10"/>
      <c r="L11201" s="10"/>
      <c r="M11201" s="10"/>
      <c r="N11201" s="10"/>
      <c r="O11201" s="10"/>
      <c r="P11201" s="10"/>
      <c r="Q11201" s="10"/>
      <c r="R11201" s="10"/>
      <c r="S11201" s="10"/>
      <c r="T11201" s="10"/>
      <c r="U11201" s="10"/>
      <c r="V11201" s="10"/>
      <c r="W11201" s="10"/>
      <c r="X11201" s="10"/>
      <c r="Y11201" s="10"/>
      <c r="Z11201" s="10"/>
    </row>
    <row r="11202" spans="1:26" ht="12.75">
      <c r="A11202" s="10"/>
      <c r="B11202" s="10"/>
      <c r="C11202" s="10"/>
      <c r="D11202" s="10"/>
      <c r="E11202" s="10"/>
      <c r="F11202" s="10"/>
      <c r="G11202" s="10"/>
      <c r="H11202" s="10"/>
      <c r="I11202" s="10"/>
      <c r="J11202" s="10"/>
      <c r="K11202" s="10"/>
      <c r="L11202" s="10"/>
      <c r="M11202" s="10"/>
      <c r="N11202" s="10"/>
      <c r="O11202" s="10"/>
      <c r="P11202" s="10"/>
      <c r="Q11202" s="10"/>
      <c r="R11202" s="10"/>
      <c r="S11202" s="10"/>
      <c r="T11202" s="10"/>
      <c r="U11202" s="10"/>
      <c r="V11202" s="10"/>
      <c r="W11202" s="10"/>
      <c r="X11202" s="10"/>
      <c r="Y11202" s="10"/>
      <c r="Z11202" s="10"/>
    </row>
    <row r="11203" spans="1:26" ht="12.75">
      <c r="A11203" s="10"/>
      <c r="B11203" s="10"/>
      <c r="C11203" s="10"/>
      <c r="D11203" s="10"/>
      <c r="E11203" s="10"/>
      <c r="F11203" s="10"/>
      <c r="G11203" s="10"/>
      <c r="H11203" s="10"/>
      <c r="I11203" s="10"/>
      <c r="J11203" s="10"/>
      <c r="K11203" s="10"/>
      <c r="L11203" s="10"/>
      <c r="M11203" s="10"/>
      <c r="N11203" s="10"/>
      <c r="O11203" s="10"/>
      <c r="P11203" s="10"/>
      <c r="Q11203" s="10"/>
      <c r="R11203" s="10"/>
      <c r="S11203" s="10"/>
      <c r="T11203" s="10"/>
      <c r="U11203" s="10"/>
      <c r="V11203" s="10"/>
      <c r="W11203" s="10"/>
      <c r="X11203" s="10"/>
      <c r="Y11203" s="10"/>
      <c r="Z11203" s="10"/>
    </row>
    <row r="11204" spans="1:26" ht="12.75">
      <c r="A11204" s="10"/>
      <c r="B11204" s="10"/>
      <c r="C11204" s="10"/>
      <c r="D11204" s="10"/>
      <c r="E11204" s="10"/>
      <c r="F11204" s="10"/>
      <c r="G11204" s="10"/>
      <c r="H11204" s="10"/>
      <c r="I11204" s="10"/>
      <c r="J11204" s="10"/>
      <c r="K11204" s="10"/>
      <c r="L11204" s="10"/>
      <c r="M11204" s="10"/>
      <c r="N11204" s="10"/>
      <c r="O11204" s="10"/>
      <c r="P11204" s="10"/>
      <c r="Q11204" s="10"/>
      <c r="R11204" s="10"/>
      <c r="S11204" s="10"/>
      <c r="T11204" s="10"/>
      <c r="U11204" s="10"/>
      <c r="V11204" s="10"/>
      <c r="W11204" s="10"/>
      <c r="X11204" s="10"/>
      <c r="Y11204" s="10"/>
      <c r="Z11204" s="10"/>
    </row>
    <row r="11205" spans="1:26" ht="12.75">
      <c r="A11205" s="10"/>
      <c r="B11205" s="10"/>
      <c r="C11205" s="10"/>
      <c r="D11205" s="10"/>
      <c r="E11205" s="10"/>
      <c r="F11205" s="10"/>
      <c r="G11205" s="10"/>
      <c r="H11205" s="10"/>
      <c r="I11205" s="10"/>
      <c r="J11205" s="10"/>
      <c r="K11205" s="10"/>
      <c r="L11205" s="10"/>
      <c r="M11205" s="10"/>
      <c r="N11205" s="10"/>
      <c r="O11205" s="10"/>
      <c r="P11205" s="10"/>
      <c r="Q11205" s="10"/>
      <c r="R11205" s="10"/>
      <c r="S11205" s="10"/>
      <c r="T11205" s="10"/>
      <c r="U11205" s="10"/>
      <c r="V11205" s="10"/>
      <c r="W11205" s="10"/>
      <c r="X11205" s="10"/>
      <c r="Y11205" s="10"/>
      <c r="Z11205" s="10"/>
    </row>
    <row r="11206" spans="1:26" ht="12.75">
      <c r="A11206" s="10"/>
      <c r="B11206" s="10"/>
      <c r="C11206" s="10"/>
      <c r="D11206" s="10"/>
      <c r="E11206" s="10"/>
      <c r="F11206" s="10"/>
      <c r="G11206" s="10"/>
      <c r="H11206" s="10"/>
      <c r="I11206" s="10"/>
      <c r="J11206" s="10"/>
      <c r="K11206" s="10"/>
      <c r="L11206" s="10"/>
      <c r="M11206" s="10"/>
      <c r="N11206" s="10"/>
      <c r="O11206" s="10"/>
      <c r="P11206" s="10"/>
      <c r="Q11206" s="10"/>
      <c r="R11206" s="10"/>
      <c r="S11206" s="10"/>
      <c r="T11206" s="10"/>
      <c r="U11206" s="10"/>
      <c r="V11206" s="10"/>
      <c r="W11206" s="10"/>
      <c r="X11206" s="10"/>
      <c r="Y11206" s="10"/>
      <c r="Z11206" s="10"/>
    </row>
    <row r="11207" spans="1:26" ht="12.75">
      <c r="A11207" s="10"/>
      <c r="B11207" s="10"/>
      <c r="C11207" s="10"/>
      <c r="D11207" s="10"/>
      <c r="E11207" s="10"/>
      <c r="F11207" s="10"/>
      <c r="G11207" s="10"/>
      <c r="H11207" s="10"/>
      <c r="I11207" s="10"/>
      <c r="J11207" s="10"/>
      <c r="K11207" s="10"/>
      <c r="L11207" s="10"/>
      <c r="M11207" s="10"/>
      <c r="N11207" s="10"/>
      <c r="O11207" s="10"/>
      <c r="P11207" s="10"/>
      <c r="Q11207" s="10"/>
      <c r="R11207" s="10"/>
      <c r="S11207" s="10"/>
      <c r="T11207" s="10"/>
      <c r="U11207" s="10"/>
      <c r="V11207" s="10"/>
      <c r="W11207" s="10"/>
      <c r="X11207" s="10"/>
      <c r="Y11207" s="10"/>
      <c r="Z11207" s="10"/>
    </row>
    <row r="11208" spans="1:26" ht="12.75">
      <c r="A11208" s="10"/>
      <c r="B11208" s="10"/>
      <c r="C11208" s="10"/>
      <c r="D11208" s="10"/>
      <c r="E11208" s="10"/>
      <c r="F11208" s="10"/>
      <c r="G11208" s="10"/>
      <c r="H11208" s="10"/>
      <c r="I11208" s="10"/>
      <c r="J11208" s="10"/>
      <c r="K11208" s="10"/>
      <c r="L11208" s="10"/>
      <c r="M11208" s="10"/>
      <c r="N11208" s="10"/>
      <c r="O11208" s="10"/>
      <c r="P11208" s="10"/>
      <c r="Q11208" s="10"/>
      <c r="R11208" s="10"/>
      <c r="S11208" s="10"/>
      <c r="T11208" s="10"/>
      <c r="U11208" s="10"/>
      <c r="V11208" s="10"/>
      <c r="W11208" s="10"/>
      <c r="X11208" s="10"/>
      <c r="Y11208" s="10"/>
      <c r="Z11208" s="10"/>
    </row>
    <row r="11209" spans="1:26" ht="12.75">
      <c r="A11209" s="10"/>
      <c r="B11209" s="10"/>
      <c r="C11209" s="10"/>
      <c r="D11209" s="10"/>
      <c r="E11209" s="10"/>
      <c r="F11209" s="10"/>
      <c r="G11209" s="10"/>
      <c r="H11209" s="10"/>
      <c r="I11209" s="10"/>
      <c r="J11209" s="10"/>
      <c r="K11209" s="10"/>
      <c r="L11209" s="10"/>
      <c r="M11209" s="10"/>
      <c r="N11209" s="10"/>
      <c r="O11209" s="10"/>
      <c r="P11209" s="10"/>
      <c r="Q11209" s="10"/>
      <c r="R11209" s="10"/>
      <c r="S11209" s="10"/>
      <c r="T11209" s="10"/>
      <c r="U11209" s="10"/>
      <c r="V11209" s="10"/>
      <c r="W11209" s="10"/>
      <c r="X11209" s="10"/>
      <c r="Y11209" s="10"/>
      <c r="Z11209" s="10"/>
    </row>
    <row r="11210" spans="1:26" ht="12.75">
      <c r="A11210" s="10"/>
      <c r="B11210" s="10"/>
      <c r="C11210" s="10"/>
      <c r="D11210" s="10"/>
      <c r="E11210" s="10"/>
      <c r="F11210" s="10"/>
      <c r="G11210" s="10"/>
      <c r="H11210" s="10"/>
      <c r="I11210" s="10"/>
      <c r="J11210" s="10"/>
      <c r="K11210" s="10"/>
      <c r="L11210" s="10"/>
      <c r="M11210" s="10"/>
      <c r="N11210" s="10"/>
      <c r="O11210" s="10"/>
      <c r="P11210" s="10"/>
      <c r="Q11210" s="10"/>
      <c r="R11210" s="10"/>
      <c r="S11210" s="10"/>
      <c r="T11210" s="10"/>
      <c r="U11210" s="10"/>
      <c r="V11210" s="10"/>
      <c r="W11210" s="10"/>
      <c r="X11210" s="10"/>
      <c r="Y11210" s="10"/>
      <c r="Z11210" s="10"/>
    </row>
    <row r="11211" spans="1:26" ht="12.75">
      <c r="A11211" s="10"/>
      <c r="B11211" s="10"/>
      <c r="C11211" s="10"/>
      <c r="D11211" s="10"/>
      <c r="E11211" s="10"/>
      <c r="F11211" s="10"/>
      <c r="G11211" s="10"/>
      <c r="H11211" s="10"/>
      <c r="I11211" s="10"/>
      <c r="J11211" s="10"/>
      <c r="K11211" s="10"/>
      <c r="L11211" s="10"/>
      <c r="M11211" s="10"/>
      <c r="N11211" s="10"/>
      <c r="O11211" s="10"/>
      <c r="P11211" s="10"/>
      <c r="Q11211" s="10"/>
      <c r="R11211" s="10"/>
      <c r="S11211" s="10"/>
      <c r="T11211" s="10"/>
      <c r="U11211" s="10"/>
      <c r="V11211" s="10"/>
      <c r="W11211" s="10"/>
      <c r="X11211" s="10"/>
      <c r="Y11211" s="10"/>
      <c r="Z11211" s="10"/>
    </row>
    <row r="11212" spans="1:26" ht="12.75">
      <c r="A11212" s="10"/>
      <c r="B11212" s="10"/>
      <c r="C11212" s="10"/>
      <c r="D11212" s="10"/>
      <c r="E11212" s="10"/>
      <c r="F11212" s="10"/>
      <c r="G11212" s="10"/>
      <c r="H11212" s="10"/>
      <c r="I11212" s="10"/>
      <c r="J11212" s="10"/>
      <c r="K11212" s="10"/>
      <c r="L11212" s="10"/>
      <c r="M11212" s="10"/>
      <c r="N11212" s="10"/>
      <c r="O11212" s="10"/>
      <c r="P11212" s="10"/>
      <c r="Q11212" s="10"/>
      <c r="R11212" s="10"/>
      <c r="S11212" s="10"/>
      <c r="T11212" s="10"/>
      <c r="U11212" s="10"/>
      <c r="V11212" s="10"/>
      <c r="W11212" s="10"/>
      <c r="X11212" s="10"/>
      <c r="Y11212" s="10"/>
      <c r="Z11212" s="10"/>
    </row>
    <row r="11213" spans="1:26" ht="12.75">
      <c r="A11213" s="10"/>
      <c r="B11213" s="10"/>
      <c r="C11213" s="10"/>
      <c r="D11213" s="10"/>
      <c r="E11213" s="10"/>
      <c r="F11213" s="10"/>
      <c r="G11213" s="10"/>
      <c r="H11213" s="10"/>
      <c r="I11213" s="10"/>
      <c r="J11213" s="10"/>
      <c r="K11213" s="10"/>
      <c r="L11213" s="10"/>
      <c r="M11213" s="10"/>
      <c r="N11213" s="10"/>
      <c r="O11213" s="10"/>
      <c r="P11213" s="10"/>
      <c r="Q11213" s="10"/>
      <c r="R11213" s="10"/>
      <c r="S11213" s="10"/>
      <c r="T11213" s="10"/>
      <c r="U11213" s="10"/>
      <c r="V11213" s="10"/>
      <c r="W11213" s="10"/>
      <c r="X11213" s="10"/>
      <c r="Y11213" s="10"/>
      <c r="Z11213" s="10"/>
    </row>
    <row r="11214" spans="1:26" ht="12.75">
      <c r="A11214" s="10"/>
      <c r="B11214" s="10"/>
      <c r="C11214" s="10"/>
      <c r="D11214" s="10"/>
      <c r="E11214" s="10"/>
      <c r="F11214" s="10"/>
      <c r="G11214" s="10"/>
      <c r="H11214" s="10"/>
      <c r="I11214" s="10"/>
      <c r="J11214" s="10"/>
      <c r="K11214" s="10"/>
      <c r="L11214" s="10"/>
      <c r="M11214" s="10"/>
      <c r="N11214" s="10"/>
      <c r="O11214" s="10"/>
      <c r="P11214" s="10"/>
      <c r="Q11214" s="10"/>
      <c r="R11214" s="10"/>
      <c r="S11214" s="10"/>
      <c r="T11214" s="10"/>
      <c r="U11214" s="10"/>
      <c r="V11214" s="10"/>
      <c r="W11214" s="10"/>
      <c r="X11214" s="10"/>
      <c r="Y11214" s="10"/>
      <c r="Z11214" s="10"/>
    </row>
    <row r="11215" spans="1:26" ht="12.75">
      <c r="A11215" s="10"/>
      <c r="B11215" s="10"/>
      <c r="C11215" s="10"/>
      <c r="D11215" s="10"/>
      <c r="E11215" s="10"/>
      <c r="F11215" s="10"/>
      <c r="G11215" s="10"/>
      <c r="H11215" s="10"/>
      <c r="I11215" s="10"/>
      <c r="J11215" s="10"/>
      <c r="K11215" s="10"/>
      <c r="L11215" s="10"/>
      <c r="M11215" s="10"/>
      <c r="N11215" s="10"/>
      <c r="O11215" s="10"/>
      <c r="P11215" s="10"/>
      <c r="Q11215" s="10"/>
      <c r="R11215" s="10"/>
      <c r="S11215" s="10"/>
      <c r="T11215" s="10"/>
      <c r="U11215" s="10"/>
      <c r="V11215" s="10"/>
      <c r="W11215" s="10"/>
      <c r="X11215" s="10"/>
      <c r="Y11215" s="10"/>
      <c r="Z11215" s="10"/>
    </row>
    <row r="11216" spans="1:26" ht="12.75">
      <c r="A11216" s="10"/>
      <c r="B11216" s="10"/>
      <c r="C11216" s="10"/>
      <c r="D11216" s="10"/>
      <c r="E11216" s="10"/>
      <c r="F11216" s="10"/>
      <c r="G11216" s="10"/>
      <c r="H11216" s="10"/>
      <c r="I11216" s="10"/>
      <c r="J11216" s="10"/>
      <c r="K11216" s="10"/>
      <c r="L11216" s="10"/>
      <c r="M11216" s="10"/>
      <c r="N11216" s="10"/>
      <c r="O11216" s="10"/>
      <c r="P11216" s="10"/>
      <c r="Q11216" s="10"/>
      <c r="R11216" s="10"/>
      <c r="S11216" s="10"/>
      <c r="T11216" s="10"/>
      <c r="U11216" s="10"/>
      <c r="V11216" s="10"/>
      <c r="W11216" s="10"/>
      <c r="X11216" s="10"/>
      <c r="Y11216" s="10"/>
      <c r="Z11216" s="10"/>
    </row>
    <row r="11217" spans="1:26" ht="12.75">
      <c r="A11217" s="10"/>
      <c r="B11217" s="10"/>
      <c r="C11217" s="10"/>
      <c r="D11217" s="10"/>
      <c r="E11217" s="10"/>
      <c r="F11217" s="10"/>
      <c r="G11217" s="10"/>
      <c r="H11217" s="10"/>
      <c r="I11217" s="10"/>
      <c r="J11217" s="10"/>
      <c r="K11217" s="10"/>
      <c r="L11217" s="10"/>
      <c r="M11217" s="10"/>
      <c r="N11217" s="10"/>
      <c r="O11217" s="10"/>
      <c r="P11217" s="10"/>
      <c r="Q11217" s="10"/>
      <c r="R11217" s="10"/>
      <c r="S11217" s="10"/>
      <c r="T11217" s="10"/>
      <c r="U11217" s="10"/>
      <c r="V11217" s="10"/>
      <c r="W11217" s="10"/>
      <c r="X11217" s="10"/>
      <c r="Y11217" s="10"/>
      <c r="Z11217" s="10"/>
    </row>
    <row r="11218" spans="1:26" ht="12.75">
      <c r="A11218" s="10"/>
      <c r="B11218" s="10"/>
      <c r="C11218" s="10"/>
      <c r="D11218" s="10"/>
      <c r="E11218" s="10"/>
      <c r="F11218" s="10"/>
      <c r="G11218" s="10"/>
      <c r="H11218" s="10"/>
      <c r="I11218" s="10"/>
      <c r="J11218" s="10"/>
      <c r="K11218" s="10"/>
      <c r="L11218" s="10"/>
      <c r="M11218" s="10"/>
      <c r="N11218" s="10"/>
      <c r="O11218" s="10"/>
      <c r="P11218" s="10"/>
      <c r="Q11218" s="10"/>
      <c r="R11218" s="10"/>
      <c r="S11218" s="10"/>
      <c r="T11218" s="10"/>
      <c r="U11218" s="10"/>
      <c r="V11218" s="10"/>
      <c r="W11218" s="10"/>
      <c r="X11218" s="10"/>
      <c r="Y11218" s="10"/>
      <c r="Z11218" s="10"/>
    </row>
    <row r="11219" spans="1:26" ht="12.75">
      <c r="A11219" s="10"/>
      <c r="B11219" s="10"/>
      <c r="C11219" s="10"/>
      <c r="D11219" s="10"/>
      <c r="E11219" s="10"/>
      <c r="F11219" s="10"/>
      <c r="G11219" s="10"/>
      <c r="H11219" s="10"/>
      <c r="I11219" s="10"/>
      <c r="J11219" s="10"/>
      <c r="K11219" s="10"/>
      <c r="L11219" s="10"/>
      <c r="M11219" s="10"/>
      <c r="N11219" s="10"/>
      <c r="O11219" s="10"/>
      <c r="P11219" s="10"/>
      <c r="Q11219" s="10"/>
      <c r="R11219" s="10"/>
      <c r="S11219" s="10"/>
      <c r="T11219" s="10"/>
      <c r="U11219" s="10"/>
      <c r="V11219" s="10"/>
      <c r="W11219" s="10"/>
      <c r="X11219" s="10"/>
      <c r="Y11219" s="10"/>
      <c r="Z11219" s="10"/>
    </row>
    <row r="11220" spans="1:26" ht="12.75">
      <c r="A11220" s="10"/>
      <c r="B11220" s="10"/>
      <c r="C11220" s="10"/>
      <c r="D11220" s="10"/>
      <c r="E11220" s="10"/>
      <c r="F11220" s="10"/>
      <c r="G11220" s="10"/>
      <c r="H11220" s="10"/>
      <c r="I11220" s="10"/>
      <c r="J11220" s="10"/>
      <c r="K11220" s="10"/>
      <c r="L11220" s="10"/>
      <c r="M11220" s="10"/>
      <c r="N11220" s="10"/>
      <c r="O11220" s="10"/>
      <c r="P11220" s="10"/>
      <c r="Q11220" s="10"/>
      <c r="R11220" s="10"/>
      <c r="S11220" s="10"/>
      <c r="T11220" s="10"/>
      <c r="U11220" s="10"/>
      <c r="V11220" s="10"/>
      <c r="W11220" s="10"/>
      <c r="X11220" s="10"/>
      <c r="Y11220" s="10"/>
      <c r="Z11220" s="10"/>
    </row>
    <row r="11221" spans="1:26" ht="12.75">
      <c r="A11221" s="10"/>
      <c r="B11221" s="10"/>
      <c r="C11221" s="10"/>
      <c r="D11221" s="10"/>
      <c r="E11221" s="10"/>
      <c r="F11221" s="10"/>
      <c r="G11221" s="10"/>
      <c r="H11221" s="10"/>
      <c r="I11221" s="10"/>
      <c r="J11221" s="10"/>
      <c r="K11221" s="10"/>
      <c r="L11221" s="10"/>
      <c r="M11221" s="10"/>
      <c r="N11221" s="10"/>
      <c r="O11221" s="10"/>
      <c r="P11221" s="10"/>
      <c r="Q11221" s="10"/>
      <c r="R11221" s="10"/>
      <c r="S11221" s="10"/>
      <c r="T11221" s="10"/>
      <c r="U11221" s="10"/>
      <c r="V11221" s="10"/>
      <c r="W11221" s="10"/>
      <c r="X11221" s="10"/>
      <c r="Y11221" s="10"/>
      <c r="Z11221" s="10"/>
    </row>
    <row r="11222" spans="1:26" ht="12.75">
      <c r="A11222" s="10"/>
      <c r="B11222" s="10"/>
      <c r="C11222" s="10"/>
      <c r="D11222" s="10"/>
      <c r="E11222" s="10"/>
      <c r="F11222" s="10"/>
      <c r="G11222" s="10"/>
      <c r="H11222" s="10"/>
      <c r="I11222" s="10"/>
      <c r="J11222" s="10"/>
      <c r="K11222" s="10"/>
      <c r="L11222" s="10"/>
      <c r="M11222" s="10"/>
      <c r="N11222" s="10"/>
      <c r="O11222" s="10"/>
      <c r="P11222" s="10"/>
      <c r="Q11222" s="10"/>
      <c r="R11222" s="10"/>
      <c r="S11222" s="10"/>
      <c r="T11222" s="10"/>
      <c r="U11222" s="10"/>
      <c r="V11222" s="10"/>
      <c r="W11222" s="10"/>
      <c r="X11222" s="10"/>
      <c r="Y11222" s="10"/>
      <c r="Z11222" s="10"/>
    </row>
    <row r="11223" spans="1:26" ht="12.75">
      <c r="A11223" s="10"/>
      <c r="B11223" s="10"/>
      <c r="C11223" s="10"/>
      <c r="D11223" s="10"/>
      <c r="E11223" s="10"/>
      <c r="F11223" s="10"/>
      <c r="G11223" s="10"/>
      <c r="H11223" s="10"/>
      <c r="I11223" s="10"/>
      <c r="J11223" s="10"/>
      <c r="K11223" s="10"/>
      <c r="L11223" s="10"/>
      <c r="M11223" s="10"/>
      <c r="N11223" s="10"/>
      <c r="O11223" s="10"/>
      <c r="P11223" s="10"/>
      <c r="Q11223" s="10"/>
      <c r="R11223" s="10"/>
      <c r="S11223" s="10"/>
      <c r="T11223" s="10"/>
      <c r="U11223" s="10"/>
      <c r="V11223" s="10"/>
      <c r="W11223" s="10"/>
      <c r="X11223" s="10"/>
      <c r="Y11223" s="10"/>
      <c r="Z11223" s="10"/>
    </row>
    <row r="11224" spans="1:26" ht="12.75">
      <c r="A11224" s="10"/>
      <c r="B11224" s="10"/>
      <c r="C11224" s="10"/>
      <c r="D11224" s="10"/>
      <c r="E11224" s="10"/>
      <c r="F11224" s="10"/>
      <c r="G11224" s="10"/>
      <c r="H11224" s="10"/>
      <c r="I11224" s="10"/>
      <c r="J11224" s="10"/>
      <c r="K11224" s="10"/>
      <c r="L11224" s="10"/>
      <c r="M11224" s="10"/>
      <c r="N11224" s="10"/>
      <c r="O11224" s="10"/>
      <c r="P11224" s="10"/>
      <c r="Q11224" s="10"/>
      <c r="R11224" s="10"/>
      <c r="S11224" s="10"/>
      <c r="T11224" s="10"/>
      <c r="U11224" s="10"/>
      <c r="V11224" s="10"/>
      <c r="W11224" s="10"/>
      <c r="X11224" s="10"/>
      <c r="Y11224" s="10"/>
      <c r="Z11224" s="10"/>
    </row>
    <row r="11225" spans="1:26" ht="12.75">
      <c r="A11225" s="10"/>
      <c r="B11225" s="10"/>
      <c r="C11225" s="10"/>
      <c r="D11225" s="10"/>
      <c r="E11225" s="10"/>
      <c r="F11225" s="10"/>
      <c r="G11225" s="10"/>
      <c r="H11225" s="10"/>
      <c r="I11225" s="10"/>
      <c r="J11225" s="10"/>
      <c r="K11225" s="10"/>
      <c r="L11225" s="10"/>
      <c r="M11225" s="10"/>
      <c r="N11225" s="10"/>
      <c r="O11225" s="10"/>
      <c r="P11225" s="10"/>
      <c r="Q11225" s="10"/>
      <c r="R11225" s="10"/>
      <c r="S11225" s="10"/>
      <c r="T11225" s="10"/>
      <c r="U11225" s="10"/>
      <c r="V11225" s="10"/>
      <c r="W11225" s="10"/>
      <c r="X11225" s="10"/>
      <c r="Y11225" s="10"/>
      <c r="Z11225" s="10"/>
    </row>
    <row r="11226" spans="1:26" ht="12.75">
      <c r="A11226" s="10"/>
      <c r="B11226" s="10"/>
      <c r="C11226" s="10"/>
      <c r="D11226" s="10"/>
      <c r="E11226" s="10"/>
      <c r="F11226" s="10"/>
      <c r="G11226" s="10"/>
      <c r="H11226" s="10"/>
      <c r="I11226" s="10"/>
      <c r="J11226" s="10"/>
      <c r="K11226" s="10"/>
      <c r="L11226" s="10"/>
      <c r="M11226" s="10"/>
      <c r="N11226" s="10"/>
      <c r="O11226" s="10"/>
      <c r="P11226" s="10"/>
      <c r="Q11226" s="10"/>
      <c r="R11226" s="10"/>
      <c r="S11226" s="10"/>
      <c r="T11226" s="10"/>
      <c r="U11226" s="10"/>
      <c r="V11226" s="10"/>
      <c r="W11226" s="10"/>
      <c r="X11226" s="10"/>
      <c r="Y11226" s="10"/>
      <c r="Z11226" s="10"/>
    </row>
    <row r="11227" spans="1:26" ht="12.75">
      <c r="A11227" s="10"/>
      <c r="B11227" s="10"/>
      <c r="C11227" s="10"/>
      <c r="D11227" s="10"/>
      <c r="E11227" s="10"/>
      <c r="F11227" s="10"/>
      <c r="G11227" s="10"/>
      <c r="H11227" s="10"/>
      <c r="I11227" s="10"/>
      <c r="J11227" s="10"/>
      <c r="K11227" s="10"/>
      <c r="L11227" s="10"/>
      <c r="M11227" s="10"/>
      <c r="N11227" s="10"/>
      <c r="O11227" s="10"/>
      <c r="P11227" s="10"/>
      <c r="Q11227" s="10"/>
      <c r="R11227" s="10"/>
      <c r="S11227" s="10"/>
      <c r="T11227" s="10"/>
      <c r="U11227" s="10"/>
      <c r="V11227" s="10"/>
      <c r="W11227" s="10"/>
      <c r="X11227" s="10"/>
      <c r="Y11227" s="10"/>
      <c r="Z11227" s="10"/>
    </row>
    <row r="11228" spans="1:26" ht="12.75">
      <c r="A11228" s="10"/>
      <c r="B11228" s="10"/>
      <c r="C11228" s="10"/>
      <c r="D11228" s="10"/>
      <c r="E11228" s="10"/>
      <c r="F11228" s="10"/>
      <c r="G11228" s="10"/>
      <c r="H11228" s="10"/>
      <c r="I11228" s="10"/>
      <c r="J11228" s="10"/>
      <c r="K11228" s="10"/>
      <c r="L11228" s="10"/>
      <c r="M11228" s="10"/>
      <c r="N11228" s="10"/>
      <c r="O11228" s="10"/>
      <c r="P11228" s="10"/>
      <c r="Q11228" s="10"/>
      <c r="R11228" s="10"/>
      <c r="S11228" s="10"/>
      <c r="T11228" s="10"/>
      <c r="U11228" s="10"/>
      <c r="V11228" s="10"/>
      <c r="W11228" s="10"/>
      <c r="X11228" s="10"/>
      <c r="Y11228" s="10"/>
      <c r="Z11228" s="10"/>
    </row>
    <row r="11229" spans="1:26" ht="12.75">
      <c r="A11229" s="10"/>
      <c r="B11229" s="10"/>
      <c r="C11229" s="10"/>
      <c r="D11229" s="10"/>
      <c r="E11229" s="10"/>
      <c r="F11229" s="10"/>
      <c r="G11229" s="10"/>
      <c r="H11229" s="10"/>
      <c r="I11229" s="10"/>
      <c r="J11229" s="10"/>
      <c r="K11229" s="10"/>
      <c r="L11229" s="10"/>
      <c r="M11229" s="10"/>
      <c r="N11229" s="10"/>
      <c r="O11229" s="10"/>
      <c r="P11229" s="10"/>
      <c r="Q11229" s="10"/>
      <c r="R11229" s="10"/>
      <c r="S11229" s="10"/>
      <c r="T11229" s="10"/>
      <c r="U11229" s="10"/>
      <c r="V11229" s="10"/>
      <c r="W11229" s="10"/>
      <c r="X11229" s="10"/>
      <c r="Y11229" s="10"/>
      <c r="Z11229" s="10"/>
    </row>
    <row r="11230" spans="1:26" ht="12.75">
      <c r="A11230" s="10"/>
      <c r="B11230" s="10"/>
      <c r="C11230" s="10"/>
      <c r="D11230" s="10"/>
      <c r="E11230" s="10"/>
      <c r="F11230" s="10"/>
      <c r="G11230" s="10"/>
      <c r="H11230" s="10"/>
      <c r="I11230" s="10"/>
      <c r="J11230" s="10"/>
      <c r="K11230" s="10"/>
      <c r="L11230" s="10"/>
      <c r="M11230" s="10"/>
      <c r="N11230" s="10"/>
      <c r="O11230" s="10"/>
      <c r="P11230" s="10"/>
      <c r="Q11230" s="10"/>
      <c r="R11230" s="10"/>
      <c r="S11230" s="10"/>
      <c r="T11230" s="10"/>
      <c r="U11230" s="10"/>
      <c r="V11230" s="10"/>
      <c r="W11230" s="10"/>
      <c r="X11230" s="10"/>
      <c r="Y11230" s="10"/>
      <c r="Z11230" s="10"/>
    </row>
    <row r="11231" spans="1:26" ht="12.75">
      <c r="A11231" s="10"/>
      <c r="B11231" s="10"/>
      <c r="C11231" s="10"/>
      <c r="D11231" s="10"/>
      <c r="E11231" s="10"/>
      <c r="F11231" s="10"/>
      <c r="G11231" s="10"/>
      <c r="H11231" s="10"/>
      <c r="I11231" s="10"/>
      <c r="J11231" s="10"/>
      <c r="K11231" s="10"/>
      <c r="L11231" s="10"/>
      <c r="M11231" s="10"/>
      <c r="N11231" s="10"/>
      <c r="O11231" s="10"/>
      <c r="P11231" s="10"/>
      <c r="Q11231" s="10"/>
      <c r="R11231" s="10"/>
      <c r="S11231" s="10"/>
      <c r="T11231" s="10"/>
      <c r="U11231" s="10"/>
      <c r="V11231" s="10"/>
      <c r="W11231" s="10"/>
      <c r="X11231" s="10"/>
      <c r="Y11231" s="10"/>
      <c r="Z11231" s="10"/>
    </row>
    <row r="11232" spans="1:26" ht="12.75">
      <c r="A11232" s="10"/>
      <c r="B11232" s="10"/>
      <c r="C11232" s="10"/>
      <c r="D11232" s="10"/>
      <c r="E11232" s="10"/>
      <c r="F11232" s="10"/>
      <c r="G11232" s="10"/>
      <c r="H11232" s="10"/>
      <c r="I11232" s="10"/>
      <c r="J11232" s="10"/>
      <c r="K11232" s="10"/>
      <c r="L11232" s="10"/>
      <c r="M11232" s="10"/>
      <c r="N11232" s="10"/>
      <c r="O11232" s="10"/>
      <c r="P11232" s="10"/>
      <c r="Q11232" s="10"/>
      <c r="R11232" s="10"/>
      <c r="S11232" s="10"/>
      <c r="T11232" s="10"/>
      <c r="U11232" s="10"/>
      <c r="V11232" s="10"/>
      <c r="W11232" s="10"/>
      <c r="X11232" s="10"/>
      <c r="Y11232" s="10"/>
      <c r="Z11232" s="10"/>
    </row>
    <row r="11233" spans="1:26" ht="12.75">
      <c r="A11233" s="10"/>
      <c r="B11233" s="10"/>
      <c r="C11233" s="10"/>
      <c r="D11233" s="10"/>
      <c r="E11233" s="10"/>
      <c r="F11233" s="10"/>
      <c r="G11233" s="10"/>
      <c r="H11233" s="10"/>
      <c r="I11233" s="10"/>
      <c r="J11233" s="10"/>
      <c r="K11233" s="10"/>
      <c r="L11233" s="10"/>
      <c r="M11233" s="10"/>
      <c r="N11233" s="10"/>
      <c r="O11233" s="10"/>
      <c r="P11233" s="10"/>
      <c r="Q11233" s="10"/>
      <c r="R11233" s="10"/>
      <c r="S11233" s="10"/>
      <c r="T11233" s="10"/>
      <c r="U11233" s="10"/>
      <c r="V11233" s="10"/>
      <c r="W11233" s="10"/>
      <c r="X11233" s="10"/>
      <c r="Y11233" s="10"/>
      <c r="Z11233" s="10"/>
    </row>
    <row r="11234" spans="1:26" ht="12.75">
      <c r="A11234" s="10"/>
      <c r="B11234" s="10"/>
      <c r="C11234" s="10"/>
      <c r="D11234" s="10"/>
      <c r="E11234" s="10"/>
      <c r="F11234" s="10"/>
      <c r="G11234" s="10"/>
      <c r="H11234" s="10"/>
      <c r="I11234" s="10"/>
      <c r="J11234" s="10"/>
      <c r="K11234" s="10"/>
      <c r="L11234" s="10"/>
      <c r="M11234" s="10"/>
      <c r="N11234" s="10"/>
      <c r="O11234" s="10"/>
      <c r="P11234" s="10"/>
      <c r="Q11234" s="10"/>
      <c r="R11234" s="10"/>
      <c r="S11234" s="10"/>
      <c r="T11234" s="10"/>
      <c r="U11234" s="10"/>
      <c r="V11234" s="10"/>
      <c r="W11234" s="10"/>
      <c r="X11234" s="10"/>
      <c r="Y11234" s="10"/>
      <c r="Z11234" s="10"/>
    </row>
    <row r="11235" spans="1:26" ht="12.75">
      <c r="A11235" s="10"/>
      <c r="B11235" s="10"/>
      <c r="C11235" s="10"/>
      <c r="D11235" s="10"/>
      <c r="E11235" s="10"/>
      <c r="F11235" s="10"/>
      <c r="G11235" s="10"/>
      <c r="H11235" s="10"/>
      <c r="I11235" s="10"/>
      <c r="J11235" s="10"/>
      <c r="K11235" s="10"/>
      <c r="L11235" s="10"/>
      <c r="M11235" s="10"/>
      <c r="N11235" s="10"/>
      <c r="O11235" s="10"/>
      <c r="P11235" s="10"/>
      <c r="Q11235" s="10"/>
      <c r="R11235" s="10"/>
      <c r="S11235" s="10"/>
      <c r="T11235" s="10"/>
      <c r="U11235" s="10"/>
      <c r="V11235" s="10"/>
      <c r="W11235" s="10"/>
      <c r="X11235" s="10"/>
      <c r="Y11235" s="10"/>
      <c r="Z11235" s="10"/>
    </row>
    <row r="11236" spans="1:26" ht="12.75">
      <c r="A11236" s="10"/>
      <c r="B11236" s="10"/>
      <c r="C11236" s="10"/>
      <c r="D11236" s="10"/>
      <c r="E11236" s="10"/>
      <c r="F11236" s="10"/>
      <c r="G11236" s="10"/>
      <c r="H11236" s="10"/>
      <c r="I11236" s="10"/>
      <c r="J11236" s="10"/>
      <c r="K11236" s="10"/>
      <c r="L11236" s="10"/>
      <c r="M11236" s="10"/>
      <c r="N11236" s="10"/>
      <c r="O11236" s="10"/>
      <c r="P11236" s="10"/>
      <c r="Q11236" s="10"/>
      <c r="R11236" s="10"/>
      <c r="S11236" s="10"/>
      <c r="T11236" s="10"/>
      <c r="U11236" s="10"/>
      <c r="V11236" s="10"/>
      <c r="W11236" s="10"/>
      <c r="X11236" s="10"/>
      <c r="Y11236" s="10"/>
      <c r="Z11236" s="10"/>
    </row>
    <row r="11237" spans="1:26" ht="12.75">
      <c r="A11237" s="10"/>
      <c r="B11237" s="10"/>
      <c r="C11237" s="10"/>
      <c r="D11237" s="10"/>
      <c r="E11237" s="10"/>
      <c r="F11237" s="10"/>
      <c r="G11237" s="10"/>
      <c r="H11237" s="10"/>
      <c r="I11237" s="10"/>
      <c r="J11237" s="10"/>
      <c r="K11237" s="10"/>
      <c r="L11237" s="10"/>
      <c r="M11237" s="10"/>
      <c r="N11237" s="10"/>
      <c r="O11237" s="10"/>
      <c r="P11237" s="10"/>
      <c r="Q11237" s="10"/>
      <c r="R11237" s="10"/>
      <c r="S11237" s="10"/>
      <c r="T11237" s="10"/>
      <c r="U11237" s="10"/>
      <c r="V11237" s="10"/>
      <c r="W11237" s="10"/>
      <c r="X11237" s="10"/>
      <c r="Y11237" s="10"/>
      <c r="Z11237" s="10"/>
    </row>
    <row r="11238" spans="1:26" ht="12.75">
      <c r="A11238" s="10"/>
      <c r="B11238" s="10"/>
      <c r="C11238" s="10"/>
      <c r="D11238" s="10"/>
      <c r="E11238" s="10"/>
      <c r="F11238" s="10"/>
      <c r="G11238" s="10"/>
      <c r="H11238" s="10"/>
      <c r="I11238" s="10"/>
      <c r="J11238" s="10"/>
      <c r="K11238" s="10"/>
      <c r="L11238" s="10"/>
      <c r="M11238" s="10"/>
      <c r="N11238" s="10"/>
      <c r="O11238" s="10"/>
      <c r="P11238" s="10"/>
      <c r="Q11238" s="10"/>
      <c r="R11238" s="10"/>
      <c r="S11238" s="10"/>
      <c r="T11238" s="10"/>
      <c r="U11238" s="10"/>
      <c r="V11238" s="10"/>
      <c r="W11238" s="10"/>
      <c r="X11238" s="10"/>
      <c r="Y11238" s="10"/>
      <c r="Z11238" s="10"/>
    </row>
    <row r="11239" spans="1:26" ht="12.75">
      <c r="A11239" s="10"/>
      <c r="B11239" s="10"/>
      <c r="C11239" s="10"/>
      <c r="D11239" s="10"/>
      <c r="E11239" s="10"/>
      <c r="F11239" s="10"/>
      <c r="G11239" s="10"/>
      <c r="H11239" s="10"/>
      <c r="I11239" s="10"/>
      <c r="J11239" s="10"/>
      <c r="K11239" s="10"/>
      <c r="L11239" s="10"/>
      <c r="M11239" s="10"/>
      <c r="N11239" s="10"/>
      <c r="O11239" s="10"/>
      <c r="P11239" s="10"/>
      <c r="Q11239" s="10"/>
      <c r="R11239" s="10"/>
      <c r="S11239" s="10"/>
      <c r="T11239" s="10"/>
      <c r="U11239" s="10"/>
      <c r="V11239" s="10"/>
      <c r="W11239" s="10"/>
      <c r="X11239" s="10"/>
      <c r="Y11239" s="10"/>
      <c r="Z11239" s="10"/>
    </row>
    <row r="11240" spans="1:26" ht="12.75">
      <c r="A11240" s="10"/>
      <c r="B11240" s="10"/>
      <c r="C11240" s="10"/>
      <c r="D11240" s="10"/>
      <c r="E11240" s="10"/>
      <c r="F11240" s="10"/>
      <c r="G11240" s="10"/>
      <c r="H11240" s="10"/>
      <c r="I11240" s="10"/>
      <c r="J11240" s="10"/>
      <c r="K11240" s="10"/>
      <c r="L11240" s="10"/>
      <c r="M11240" s="10"/>
      <c r="N11240" s="10"/>
      <c r="O11240" s="10"/>
      <c r="P11240" s="10"/>
      <c r="Q11240" s="10"/>
      <c r="R11240" s="10"/>
      <c r="S11240" s="10"/>
      <c r="T11240" s="10"/>
      <c r="U11240" s="10"/>
      <c r="V11240" s="10"/>
      <c r="W11240" s="10"/>
      <c r="X11240" s="10"/>
      <c r="Y11240" s="10"/>
      <c r="Z11240" s="10"/>
    </row>
    <row r="11241" spans="1:26" ht="12.75">
      <c r="A11241" s="10"/>
      <c r="B11241" s="10"/>
      <c r="C11241" s="10"/>
      <c r="D11241" s="10"/>
      <c r="E11241" s="10"/>
      <c r="F11241" s="10"/>
      <c r="G11241" s="10"/>
      <c r="H11241" s="10"/>
      <c r="I11241" s="10"/>
      <c r="J11241" s="10"/>
      <c r="K11241" s="10"/>
      <c r="L11241" s="10"/>
      <c r="M11241" s="10"/>
      <c r="N11241" s="10"/>
      <c r="O11241" s="10"/>
      <c r="P11241" s="10"/>
      <c r="Q11241" s="10"/>
      <c r="R11241" s="10"/>
      <c r="S11241" s="10"/>
      <c r="T11241" s="10"/>
      <c r="U11241" s="10"/>
      <c r="V11241" s="10"/>
      <c r="W11241" s="10"/>
      <c r="X11241" s="10"/>
      <c r="Y11241" s="10"/>
      <c r="Z11241" s="10"/>
    </row>
    <row r="11242" spans="1:26" ht="12.75">
      <c r="A11242" s="10"/>
      <c r="B11242" s="10"/>
      <c r="C11242" s="10"/>
      <c r="D11242" s="10"/>
      <c r="E11242" s="10"/>
      <c r="F11242" s="10"/>
      <c r="G11242" s="10"/>
      <c r="H11242" s="10"/>
      <c r="I11242" s="10"/>
      <c r="J11242" s="10"/>
      <c r="K11242" s="10"/>
      <c r="L11242" s="10"/>
      <c r="M11242" s="10"/>
      <c r="N11242" s="10"/>
      <c r="O11242" s="10"/>
      <c r="P11242" s="10"/>
      <c r="Q11242" s="10"/>
      <c r="R11242" s="10"/>
      <c r="S11242" s="10"/>
      <c r="T11242" s="10"/>
      <c r="U11242" s="10"/>
      <c r="V11242" s="10"/>
      <c r="W11242" s="10"/>
      <c r="X11242" s="10"/>
      <c r="Y11242" s="10"/>
      <c r="Z11242" s="10"/>
    </row>
    <row r="11243" spans="1:26" ht="12.75">
      <c r="A11243" s="10"/>
      <c r="B11243" s="10"/>
      <c r="C11243" s="10"/>
      <c r="D11243" s="10"/>
      <c r="E11243" s="10"/>
      <c r="F11243" s="10"/>
      <c r="G11243" s="10"/>
      <c r="H11243" s="10"/>
      <c r="I11243" s="10"/>
      <c r="J11243" s="10"/>
      <c r="K11243" s="10"/>
      <c r="L11243" s="10"/>
      <c r="M11243" s="10"/>
      <c r="N11243" s="10"/>
      <c r="O11243" s="10"/>
      <c r="P11243" s="10"/>
      <c r="Q11243" s="10"/>
      <c r="R11243" s="10"/>
      <c r="S11243" s="10"/>
      <c r="T11243" s="10"/>
      <c r="U11243" s="10"/>
      <c r="V11243" s="10"/>
      <c r="W11243" s="10"/>
      <c r="X11243" s="10"/>
      <c r="Y11243" s="10"/>
      <c r="Z11243" s="10"/>
    </row>
    <row r="11244" spans="1:26" ht="12.75">
      <c r="A11244" s="10"/>
      <c r="B11244" s="10"/>
      <c r="C11244" s="10"/>
      <c r="D11244" s="10"/>
      <c r="E11244" s="10"/>
      <c r="F11244" s="10"/>
      <c r="G11244" s="10"/>
      <c r="H11244" s="10"/>
      <c r="I11244" s="10"/>
      <c r="J11244" s="10"/>
      <c r="K11244" s="10"/>
      <c r="L11244" s="10"/>
      <c r="M11244" s="10"/>
      <c r="N11244" s="10"/>
      <c r="O11244" s="10"/>
      <c r="P11244" s="10"/>
      <c r="Q11244" s="10"/>
      <c r="R11244" s="10"/>
      <c r="S11244" s="10"/>
      <c r="T11244" s="10"/>
      <c r="U11244" s="10"/>
      <c r="V11244" s="10"/>
      <c r="W11244" s="10"/>
      <c r="X11244" s="10"/>
      <c r="Y11244" s="10"/>
      <c r="Z11244" s="10"/>
    </row>
    <row r="11245" spans="1:26" ht="12.75">
      <c r="A11245" s="10"/>
      <c r="B11245" s="10"/>
      <c r="C11245" s="10"/>
      <c r="D11245" s="10"/>
      <c r="E11245" s="10"/>
      <c r="F11245" s="10"/>
      <c r="G11245" s="10"/>
      <c r="H11245" s="10"/>
      <c r="I11245" s="10"/>
      <c r="J11245" s="10"/>
      <c r="K11245" s="10"/>
      <c r="L11245" s="10"/>
      <c r="M11245" s="10"/>
      <c r="N11245" s="10"/>
      <c r="O11245" s="10"/>
      <c r="P11245" s="10"/>
      <c r="Q11245" s="10"/>
      <c r="R11245" s="10"/>
      <c r="S11245" s="10"/>
      <c r="T11245" s="10"/>
      <c r="U11245" s="10"/>
      <c r="V11245" s="10"/>
      <c r="W11245" s="10"/>
      <c r="X11245" s="10"/>
      <c r="Y11245" s="10"/>
      <c r="Z11245" s="10"/>
    </row>
    <row r="11246" spans="1:26" ht="12.75">
      <c r="A11246" s="10"/>
      <c r="B11246" s="10"/>
      <c r="C11246" s="10"/>
      <c r="D11246" s="10"/>
      <c r="E11246" s="10"/>
      <c r="F11246" s="10"/>
      <c r="G11246" s="10"/>
      <c r="H11246" s="10"/>
      <c r="I11246" s="10"/>
      <c r="J11246" s="10"/>
      <c r="K11246" s="10"/>
      <c r="L11246" s="10"/>
      <c r="M11246" s="10"/>
      <c r="N11246" s="10"/>
      <c r="O11246" s="10"/>
      <c r="P11246" s="10"/>
      <c r="Q11246" s="10"/>
      <c r="R11246" s="10"/>
      <c r="S11246" s="10"/>
      <c r="T11246" s="10"/>
      <c r="U11246" s="10"/>
      <c r="V11246" s="10"/>
      <c r="W11246" s="10"/>
      <c r="X11246" s="10"/>
      <c r="Y11246" s="10"/>
      <c r="Z11246" s="10"/>
    </row>
    <row r="11247" spans="1:26" ht="12.75">
      <c r="A11247" s="10"/>
      <c r="B11247" s="10"/>
      <c r="C11247" s="10"/>
      <c r="D11247" s="10"/>
      <c r="E11247" s="10"/>
      <c r="F11247" s="10"/>
      <c r="G11247" s="10"/>
      <c r="H11247" s="10"/>
      <c r="I11247" s="10"/>
      <c r="J11247" s="10"/>
      <c r="K11247" s="10"/>
      <c r="L11247" s="10"/>
      <c r="M11247" s="10"/>
      <c r="N11247" s="10"/>
      <c r="O11247" s="10"/>
      <c r="P11247" s="10"/>
      <c r="Q11247" s="10"/>
      <c r="R11247" s="10"/>
      <c r="S11247" s="10"/>
      <c r="T11247" s="10"/>
      <c r="U11247" s="10"/>
      <c r="V11247" s="10"/>
      <c r="W11247" s="10"/>
      <c r="X11247" s="10"/>
      <c r="Y11247" s="10"/>
      <c r="Z11247" s="10"/>
    </row>
    <row r="11248" spans="1:26" ht="12.75">
      <c r="A11248" s="10"/>
      <c r="B11248" s="10"/>
      <c r="C11248" s="10"/>
      <c r="D11248" s="10"/>
      <c r="E11248" s="10"/>
      <c r="F11248" s="10"/>
      <c r="G11248" s="10"/>
      <c r="H11248" s="10"/>
      <c r="I11248" s="10"/>
      <c r="J11248" s="10"/>
      <c r="K11248" s="10"/>
      <c r="L11248" s="10"/>
      <c r="M11248" s="10"/>
      <c r="N11248" s="10"/>
      <c r="O11248" s="10"/>
      <c r="P11248" s="10"/>
      <c r="Q11248" s="10"/>
      <c r="R11248" s="10"/>
      <c r="S11248" s="10"/>
      <c r="T11248" s="10"/>
      <c r="U11248" s="10"/>
      <c r="V11248" s="10"/>
      <c r="W11248" s="10"/>
      <c r="X11248" s="10"/>
      <c r="Y11248" s="10"/>
      <c r="Z11248" s="10"/>
    </row>
    <row r="11249" spans="1:26" ht="12.75">
      <c r="A11249" s="10"/>
      <c r="B11249" s="10"/>
      <c r="C11249" s="10"/>
      <c r="D11249" s="10"/>
      <c r="E11249" s="10"/>
      <c r="F11249" s="10"/>
      <c r="G11249" s="10"/>
      <c r="H11249" s="10"/>
      <c r="I11249" s="10"/>
      <c r="J11249" s="10"/>
      <c r="K11249" s="10"/>
      <c r="L11249" s="10"/>
      <c r="M11249" s="10"/>
      <c r="N11249" s="10"/>
      <c r="O11249" s="10"/>
      <c r="P11249" s="10"/>
      <c r="Q11249" s="10"/>
      <c r="R11249" s="10"/>
      <c r="S11249" s="10"/>
      <c r="T11249" s="10"/>
      <c r="U11249" s="10"/>
      <c r="V11249" s="10"/>
      <c r="W11249" s="10"/>
      <c r="X11249" s="10"/>
      <c r="Y11249" s="10"/>
      <c r="Z11249" s="10"/>
    </row>
    <row r="11250" spans="1:26" ht="12.75">
      <c r="A11250" s="10"/>
      <c r="B11250" s="10"/>
      <c r="C11250" s="10"/>
      <c r="D11250" s="10"/>
      <c r="E11250" s="10"/>
      <c r="F11250" s="10"/>
      <c r="G11250" s="10"/>
      <c r="H11250" s="10"/>
      <c r="I11250" s="10"/>
      <c r="J11250" s="10"/>
      <c r="K11250" s="10"/>
      <c r="L11250" s="10"/>
      <c r="M11250" s="10"/>
      <c r="N11250" s="10"/>
      <c r="O11250" s="10"/>
      <c r="P11250" s="10"/>
      <c r="Q11250" s="10"/>
      <c r="R11250" s="10"/>
      <c r="S11250" s="10"/>
      <c r="T11250" s="10"/>
      <c r="U11250" s="10"/>
      <c r="V11250" s="10"/>
      <c r="W11250" s="10"/>
      <c r="X11250" s="10"/>
      <c r="Y11250" s="10"/>
      <c r="Z11250" s="10"/>
    </row>
    <row r="11251" spans="1:26" ht="12.75">
      <c r="A11251" s="10"/>
      <c r="B11251" s="10"/>
      <c r="C11251" s="10"/>
      <c r="D11251" s="10"/>
      <c r="E11251" s="10"/>
      <c r="F11251" s="10"/>
      <c r="G11251" s="10"/>
      <c r="H11251" s="10"/>
      <c r="I11251" s="10"/>
      <c r="J11251" s="10"/>
      <c r="K11251" s="10"/>
      <c r="L11251" s="10"/>
      <c r="M11251" s="10"/>
      <c r="N11251" s="10"/>
      <c r="O11251" s="10"/>
      <c r="P11251" s="10"/>
      <c r="Q11251" s="10"/>
      <c r="R11251" s="10"/>
      <c r="S11251" s="10"/>
      <c r="T11251" s="10"/>
      <c r="U11251" s="10"/>
      <c r="V11251" s="10"/>
      <c r="W11251" s="10"/>
      <c r="X11251" s="10"/>
      <c r="Y11251" s="10"/>
      <c r="Z11251" s="10"/>
    </row>
    <row r="11252" spans="1:26" ht="12.75">
      <c r="A11252" s="10"/>
      <c r="B11252" s="10"/>
      <c r="C11252" s="10"/>
      <c r="D11252" s="10"/>
      <c r="E11252" s="10"/>
      <c r="F11252" s="10"/>
      <c r="G11252" s="10"/>
      <c r="H11252" s="10"/>
      <c r="I11252" s="10"/>
      <c r="J11252" s="10"/>
      <c r="K11252" s="10"/>
      <c r="L11252" s="10"/>
      <c r="M11252" s="10"/>
      <c r="N11252" s="10"/>
      <c r="O11252" s="10"/>
      <c r="P11252" s="10"/>
      <c r="Q11252" s="10"/>
      <c r="R11252" s="10"/>
      <c r="S11252" s="10"/>
      <c r="T11252" s="10"/>
      <c r="U11252" s="10"/>
      <c r="V11252" s="10"/>
      <c r="W11252" s="10"/>
      <c r="X11252" s="10"/>
      <c r="Y11252" s="10"/>
      <c r="Z11252" s="10"/>
    </row>
    <row r="11253" spans="1:26" ht="12.75">
      <c r="A11253" s="10"/>
      <c r="B11253" s="10"/>
      <c r="C11253" s="10"/>
      <c r="D11253" s="10"/>
      <c r="E11253" s="10"/>
      <c r="F11253" s="10"/>
      <c r="G11253" s="10"/>
      <c r="H11253" s="10"/>
      <c r="I11253" s="10"/>
      <c r="J11253" s="10"/>
      <c r="K11253" s="10"/>
      <c r="L11253" s="10"/>
      <c r="M11253" s="10"/>
      <c r="N11253" s="10"/>
      <c r="O11253" s="10"/>
      <c r="P11253" s="10"/>
      <c r="Q11253" s="10"/>
      <c r="R11253" s="10"/>
      <c r="S11253" s="10"/>
      <c r="T11253" s="10"/>
      <c r="U11253" s="10"/>
      <c r="V11253" s="10"/>
      <c r="W11253" s="10"/>
      <c r="X11253" s="10"/>
      <c r="Y11253" s="10"/>
      <c r="Z11253" s="10"/>
    </row>
    <row r="11254" spans="1:26" ht="12.75">
      <c r="A11254" s="10"/>
      <c r="B11254" s="10"/>
      <c r="C11254" s="10"/>
      <c r="D11254" s="10"/>
      <c r="E11254" s="10"/>
      <c r="F11254" s="10"/>
      <c r="G11254" s="10"/>
      <c r="H11254" s="10"/>
      <c r="I11254" s="10"/>
      <c r="J11254" s="10"/>
      <c r="K11254" s="10"/>
      <c r="L11254" s="10"/>
      <c r="M11254" s="10"/>
      <c r="N11254" s="10"/>
      <c r="O11254" s="10"/>
      <c r="P11254" s="10"/>
      <c r="Q11254" s="10"/>
      <c r="R11254" s="10"/>
      <c r="S11254" s="10"/>
      <c r="T11254" s="10"/>
      <c r="U11254" s="10"/>
      <c r="V11254" s="10"/>
      <c r="W11254" s="10"/>
      <c r="X11254" s="10"/>
      <c r="Y11254" s="10"/>
      <c r="Z11254" s="10"/>
    </row>
    <row r="11255" spans="1:26" ht="12.75">
      <c r="A11255" s="10"/>
      <c r="B11255" s="10"/>
      <c r="C11255" s="10"/>
      <c r="D11255" s="10"/>
      <c r="E11255" s="10"/>
      <c r="F11255" s="10"/>
      <c r="G11255" s="10"/>
      <c r="H11255" s="10"/>
      <c r="I11255" s="10"/>
      <c r="J11255" s="10"/>
      <c r="K11255" s="10"/>
      <c r="L11255" s="10"/>
      <c r="M11255" s="10"/>
      <c r="N11255" s="10"/>
      <c r="O11255" s="10"/>
      <c r="P11255" s="10"/>
      <c r="Q11255" s="10"/>
      <c r="R11255" s="10"/>
      <c r="S11255" s="10"/>
      <c r="T11255" s="10"/>
      <c r="U11255" s="10"/>
      <c r="V11255" s="10"/>
      <c r="W11255" s="10"/>
      <c r="X11255" s="10"/>
      <c r="Y11255" s="10"/>
      <c r="Z11255" s="10"/>
    </row>
    <row r="11256" spans="1:26" ht="12.75">
      <c r="A11256" s="10"/>
      <c r="B11256" s="10"/>
      <c r="C11256" s="10"/>
      <c r="D11256" s="10"/>
      <c r="E11256" s="10"/>
      <c r="F11256" s="10"/>
      <c r="G11256" s="10"/>
      <c r="H11256" s="10"/>
      <c r="I11256" s="10"/>
      <c r="J11256" s="10"/>
      <c r="K11256" s="10"/>
      <c r="L11256" s="10"/>
      <c r="M11256" s="10"/>
      <c r="N11256" s="10"/>
      <c r="O11256" s="10"/>
      <c r="P11256" s="10"/>
      <c r="Q11256" s="10"/>
      <c r="R11256" s="10"/>
      <c r="S11256" s="10"/>
      <c r="T11256" s="10"/>
      <c r="U11256" s="10"/>
      <c r="V11256" s="10"/>
      <c r="W11256" s="10"/>
      <c r="X11256" s="10"/>
      <c r="Y11256" s="10"/>
      <c r="Z11256" s="10"/>
    </row>
    <row r="11257" spans="1:26" ht="12.75">
      <c r="A11257" s="10"/>
      <c r="B11257" s="10"/>
      <c r="C11257" s="10"/>
      <c r="D11257" s="10"/>
      <c r="E11257" s="10"/>
      <c r="F11257" s="10"/>
      <c r="G11257" s="10"/>
      <c r="H11257" s="10"/>
      <c r="I11257" s="10"/>
      <c r="J11257" s="10"/>
      <c r="K11257" s="10"/>
      <c r="L11257" s="10"/>
      <c r="M11257" s="10"/>
      <c r="N11257" s="10"/>
      <c r="O11257" s="10"/>
      <c r="P11257" s="10"/>
      <c r="Q11257" s="10"/>
      <c r="R11257" s="10"/>
      <c r="S11257" s="10"/>
      <c r="T11257" s="10"/>
      <c r="U11257" s="10"/>
      <c r="V11257" s="10"/>
      <c r="W11257" s="10"/>
      <c r="X11257" s="10"/>
      <c r="Y11257" s="10"/>
      <c r="Z11257" s="10"/>
    </row>
    <row r="11258" spans="1:26" ht="12.75">
      <c r="A11258" s="10"/>
      <c r="B11258" s="10"/>
      <c r="C11258" s="10"/>
      <c r="D11258" s="10"/>
      <c r="E11258" s="10"/>
      <c r="F11258" s="10"/>
      <c r="G11258" s="10"/>
      <c r="H11258" s="10"/>
      <c r="I11258" s="10"/>
      <c r="J11258" s="10"/>
      <c r="K11258" s="10"/>
      <c r="L11258" s="10"/>
      <c r="M11258" s="10"/>
      <c r="N11258" s="10"/>
      <c r="O11258" s="10"/>
      <c r="P11258" s="10"/>
      <c r="Q11258" s="10"/>
      <c r="R11258" s="10"/>
      <c r="S11258" s="10"/>
      <c r="T11258" s="10"/>
      <c r="U11258" s="10"/>
      <c r="V11258" s="10"/>
      <c r="W11258" s="10"/>
      <c r="X11258" s="10"/>
      <c r="Y11258" s="10"/>
      <c r="Z11258" s="10"/>
    </row>
    <row r="11259" spans="1:26" ht="12.75">
      <c r="A11259" s="10"/>
      <c r="B11259" s="10"/>
      <c r="C11259" s="10"/>
      <c r="D11259" s="10"/>
      <c r="E11259" s="10"/>
      <c r="F11259" s="10"/>
      <c r="G11259" s="10"/>
      <c r="H11259" s="10"/>
      <c r="I11259" s="10"/>
      <c r="J11259" s="10"/>
      <c r="K11259" s="10"/>
      <c r="L11259" s="10"/>
      <c r="M11259" s="10"/>
      <c r="N11259" s="10"/>
      <c r="O11259" s="10"/>
      <c r="P11259" s="10"/>
      <c r="Q11259" s="10"/>
      <c r="R11259" s="10"/>
      <c r="S11259" s="10"/>
      <c r="T11259" s="10"/>
      <c r="U11259" s="10"/>
      <c r="V11259" s="10"/>
      <c r="W11259" s="10"/>
      <c r="X11259" s="10"/>
      <c r="Y11259" s="10"/>
      <c r="Z11259" s="10"/>
    </row>
    <row r="11260" spans="1:26" ht="12.75">
      <c r="A11260" s="10"/>
      <c r="B11260" s="10"/>
      <c r="C11260" s="10"/>
      <c r="D11260" s="10"/>
      <c r="E11260" s="10"/>
      <c r="F11260" s="10"/>
      <c r="G11260" s="10"/>
      <c r="H11260" s="10"/>
      <c r="I11260" s="10"/>
      <c r="J11260" s="10"/>
      <c r="K11260" s="10"/>
      <c r="L11260" s="10"/>
      <c r="M11260" s="10"/>
      <c r="N11260" s="10"/>
      <c r="O11260" s="10"/>
      <c r="P11260" s="10"/>
      <c r="Q11260" s="10"/>
      <c r="R11260" s="10"/>
      <c r="S11260" s="10"/>
      <c r="T11260" s="10"/>
      <c r="U11260" s="10"/>
      <c r="V11260" s="10"/>
      <c r="W11260" s="10"/>
      <c r="X11260" s="10"/>
      <c r="Y11260" s="10"/>
      <c r="Z11260" s="10"/>
    </row>
    <row r="11261" spans="1:26" ht="12.75">
      <c r="A11261" s="10"/>
      <c r="B11261" s="10"/>
      <c r="C11261" s="10"/>
      <c r="D11261" s="10"/>
      <c r="E11261" s="10"/>
      <c r="F11261" s="10"/>
      <c r="G11261" s="10"/>
      <c r="H11261" s="10"/>
      <c r="I11261" s="10"/>
      <c r="J11261" s="10"/>
      <c r="K11261" s="10"/>
      <c r="L11261" s="10"/>
      <c r="M11261" s="10"/>
      <c r="N11261" s="10"/>
      <c r="O11261" s="10"/>
      <c r="P11261" s="10"/>
      <c r="Q11261" s="10"/>
      <c r="R11261" s="10"/>
      <c r="S11261" s="10"/>
      <c r="T11261" s="10"/>
      <c r="U11261" s="10"/>
      <c r="V11261" s="10"/>
      <c r="W11261" s="10"/>
      <c r="X11261" s="10"/>
      <c r="Y11261" s="10"/>
      <c r="Z11261" s="10"/>
    </row>
    <row r="11262" spans="1:26" ht="12.75">
      <c r="A11262" s="10"/>
      <c r="B11262" s="10"/>
      <c r="C11262" s="10"/>
      <c r="D11262" s="10"/>
      <c r="E11262" s="10"/>
      <c r="F11262" s="10"/>
      <c r="G11262" s="10"/>
      <c r="H11262" s="10"/>
      <c r="I11262" s="10"/>
      <c r="J11262" s="10"/>
      <c r="K11262" s="10"/>
      <c r="L11262" s="10"/>
      <c r="M11262" s="10"/>
      <c r="N11262" s="10"/>
      <c r="O11262" s="10"/>
      <c r="P11262" s="10"/>
      <c r="Q11262" s="10"/>
      <c r="R11262" s="10"/>
      <c r="S11262" s="10"/>
      <c r="T11262" s="10"/>
      <c r="U11262" s="10"/>
      <c r="V11262" s="10"/>
      <c r="W11262" s="10"/>
      <c r="X11262" s="10"/>
      <c r="Y11262" s="10"/>
      <c r="Z11262" s="10"/>
    </row>
    <row r="11263" spans="1:26" ht="12.75">
      <c r="A11263" s="10"/>
      <c r="B11263" s="10"/>
      <c r="C11263" s="10"/>
      <c r="D11263" s="10"/>
      <c r="E11263" s="10"/>
      <c r="F11263" s="10"/>
      <c r="G11263" s="10"/>
      <c r="H11263" s="10"/>
      <c r="I11263" s="10"/>
      <c r="J11263" s="10"/>
      <c r="K11263" s="10"/>
      <c r="L11263" s="10"/>
      <c r="M11263" s="10"/>
      <c r="N11263" s="10"/>
      <c r="O11263" s="10"/>
      <c r="P11263" s="10"/>
      <c r="Q11263" s="10"/>
      <c r="R11263" s="10"/>
      <c r="S11263" s="10"/>
      <c r="T11263" s="10"/>
      <c r="U11263" s="10"/>
      <c r="V11263" s="10"/>
      <c r="W11263" s="10"/>
      <c r="X11263" s="10"/>
      <c r="Y11263" s="10"/>
      <c r="Z11263" s="10"/>
    </row>
    <row r="11264" spans="1:26" ht="12.75">
      <c r="A11264" s="10"/>
      <c r="B11264" s="10"/>
      <c r="C11264" s="10"/>
      <c r="D11264" s="10"/>
      <c r="E11264" s="10"/>
      <c r="F11264" s="10"/>
      <c r="G11264" s="10"/>
      <c r="H11264" s="10"/>
      <c r="I11264" s="10"/>
      <c r="J11264" s="10"/>
      <c r="K11264" s="10"/>
      <c r="L11264" s="10"/>
      <c r="M11264" s="10"/>
      <c r="N11264" s="10"/>
      <c r="O11264" s="10"/>
      <c r="P11264" s="10"/>
      <c r="Q11264" s="10"/>
      <c r="R11264" s="10"/>
      <c r="S11264" s="10"/>
      <c r="T11264" s="10"/>
      <c r="U11264" s="10"/>
      <c r="V11264" s="10"/>
      <c r="W11264" s="10"/>
      <c r="X11264" s="10"/>
      <c r="Y11264" s="10"/>
      <c r="Z11264" s="10"/>
    </row>
    <row r="11265" spans="1:26" ht="12.75">
      <c r="A11265" s="10"/>
      <c r="B11265" s="10"/>
      <c r="C11265" s="10"/>
      <c r="D11265" s="10"/>
      <c r="E11265" s="10"/>
      <c r="F11265" s="10"/>
      <c r="G11265" s="10"/>
      <c r="H11265" s="10"/>
      <c r="I11265" s="10"/>
      <c r="J11265" s="10"/>
      <c r="K11265" s="10"/>
      <c r="L11265" s="10"/>
      <c r="M11265" s="10"/>
      <c r="N11265" s="10"/>
      <c r="O11265" s="10"/>
      <c r="P11265" s="10"/>
      <c r="Q11265" s="10"/>
      <c r="R11265" s="10"/>
      <c r="S11265" s="10"/>
      <c r="T11265" s="10"/>
      <c r="U11265" s="10"/>
      <c r="V11265" s="10"/>
      <c r="W11265" s="10"/>
      <c r="X11265" s="10"/>
      <c r="Y11265" s="10"/>
      <c r="Z11265" s="10"/>
    </row>
    <row r="11266" spans="1:26" ht="12.75">
      <c r="A11266" s="10"/>
      <c r="B11266" s="10"/>
      <c r="C11266" s="10"/>
      <c r="D11266" s="10"/>
      <c r="E11266" s="10"/>
      <c r="F11266" s="10"/>
      <c r="G11266" s="10"/>
      <c r="H11266" s="10"/>
      <c r="I11266" s="10"/>
      <c r="J11266" s="10"/>
      <c r="K11266" s="10"/>
      <c r="L11266" s="10"/>
      <c r="M11266" s="10"/>
      <c r="N11266" s="10"/>
      <c r="O11266" s="10"/>
      <c r="P11266" s="10"/>
      <c r="Q11266" s="10"/>
      <c r="R11266" s="10"/>
      <c r="S11266" s="10"/>
      <c r="T11266" s="10"/>
      <c r="U11266" s="10"/>
      <c r="V11266" s="10"/>
      <c r="W11266" s="10"/>
      <c r="X11266" s="10"/>
      <c r="Y11266" s="10"/>
      <c r="Z11266" s="10"/>
    </row>
    <row r="11267" spans="1:26" ht="12.75">
      <c r="A11267" s="10"/>
      <c r="B11267" s="10"/>
      <c r="C11267" s="10"/>
      <c r="D11267" s="10"/>
      <c r="E11267" s="10"/>
      <c r="F11267" s="10"/>
      <c r="G11267" s="10"/>
      <c r="H11267" s="10"/>
      <c r="I11267" s="10"/>
      <c r="J11267" s="10"/>
      <c r="K11267" s="10"/>
      <c r="L11267" s="10"/>
      <c r="M11267" s="10"/>
      <c r="N11267" s="10"/>
      <c r="O11267" s="10"/>
      <c r="P11267" s="10"/>
      <c r="Q11267" s="10"/>
      <c r="R11267" s="10"/>
      <c r="S11267" s="10"/>
      <c r="T11267" s="10"/>
      <c r="U11267" s="10"/>
      <c r="V11267" s="10"/>
      <c r="W11267" s="10"/>
      <c r="X11267" s="10"/>
      <c r="Y11267" s="10"/>
      <c r="Z11267" s="10"/>
    </row>
    <row r="11268" spans="1:26" ht="12.75">
      <c r="A11268" s="10"/>
      <c r="B11268" s="10"/>
      <c r="C11268" s="10"/>
      <c r="D11268" s="10"/>
      <c r="E11268" s="10"/>
      <c r="F11268" s="10"/>
      <c r="G11268" s="10"/>
      <c r="H11268" s="10"/>
      <c r="I11268" s="10"/>
      <c r="J11268" s="10"/>
      <c r="K11268" s="10"/>
      <c r="L11268" s="10"/>
      <c r="M11268" s="10"/>
      <c r="N11268" s="10"/>
      <c r="O11268" s="10"/>
      <c r="P11268" s="10"/>
      <c r="Q11268" s="10"/>
      <c r="R11268" s="10"/>
      <c r="S11268" s="10"/>
      <c r="T11268" s="10"/>
      <c r="U11268" s="10"/>
      <c r="V11268" s="10"/>
      <c r="W11268" s="10"/>
      <c r="X11268" s="10"/>
      <c r="Y11268" s="10"/>
      <c r="Z11268" s="10"/>
    </row>
    <row r="11269" spans="1:26" ht="12.75">
      <c r="A11269" s="10"/>
      <c r="B11269" s="10"/>
      <c r="C11269" s="10"/>
      <c r="D11269" s="10"/>
      <c r="E11269" s="10"/>
      <c r="F11269" s="10"/>
      <c r="G11269" s="10"/>
      <c r="H11269" s="10"/>
      <c r="I11269" s="10"/>
      <c r="J11269" s="10"/>
      <c r="K11269" s="10"/>
      <c r="L11269" s="10"/>
      <c r="M11269" s="10"/>
      <c r="N11269" s="10"/>
      <c r="O11269" s="10"/>
      <c r="P11269" s="10"/>
      <c r="Q11269" s="10"/>
      <c r="R11269" s="10"/>
      <c r="S11269" s="10"/>
      <c r="T11269" s="10"/>
      <c r="U11269" s="10"/>
      <c r="V11269" s="10"/>
      <c r="W11269" s="10"/>
      <c r="X11269" s="10"/>
      <c r="Y11269" s="10"/>
      <c r="Z11269" s="10"/>
    </row>
    <row r="11270" spans="1:26" ht="12.75">
      <c r="A11270" s="10"/>
      <c r="B11270" s="10"/>
      <c r="C11270" s="10"/>
      <c r="D11270" s="10"/>
      <c r="E11270" s="10"/>
      <c r="F11270" s="10"/>
      <c r="G11270" s="10"/>
      <c r="H11270" s="10"/>
      <c r="I11270" s="10"/>
      <c r="J11270" s="10"/>
      <c r="K11270" s="10"/>
      <c r="L11270" s="10"/>
      <c r="M11270" s="10"/>
      <c r="N11270" s="10"/>
      <c r="O11270" s="10"/>
      <c r="P11270" s="10"/>
      <c r="Q11270" s="10"/>
      <c r="R11270" s="10"/>
      <c r="S11270" s="10"/>
      <c r="T11270" s="10"/>
      <c r="U11270" s="10"/>
      <c r="V11270" s="10"/>
      <c r="W11270" s="10"/>
      <c r="X11270" s="10"/>
      <c r="Y11270" s="10"/>
      <c r="Z11270" s="10"/>
    </row>
    <row r="11271" spans="1:26" ht="12.75">
      <c r="A11271" s="10"/>
      <c r="B11271" s="10"/>
      <c r="C11271" s="10"/>
      <c r="D11271" s="10"/>
      <c r="E11271" s="10"/>
      <c r="F11271" s="10"/>
      <c r="G11271" s="10"/>
      <c r="H11271" s="10"/>
      <c r="I11271" s="10"/>
      <c r="J11271" s="10"/>
      <c r="K11271" s="10"/>
      <c r="L11271" s="10"/>
      <c r="M11271" s="10"/>
      <c r="N11271" s="10"/>
      <c r="O11271" s="10"/>
      <c r="P11271" s="10"/>
      <c r="Q11271" s="10"/>
      <c r="R11271" s="10"/>
      <c r="S11271" s="10"/>
      <c r="T11271" s="10"/>
      <c r="U11271" s="10"/>
      <c r="V11271" s="10"/>
      <c r="W11271" s="10"/>
      <c r="X11271" s="10"/>
      <c r="Y11271" s="10"/>
      <c r="Z11271" s="10"/>
    </row>
    <row r="11272" spans="1:26" ht="12.75">
      <c r="A11272" s="10"/>
      <c r="B11272" s="10"/>
      <c r="C11272" s="10"/>
      <c r="D11272" s="10"/>
      <c r="E11272" s="10"/>
      <c r="F11272" s="10"/>
      <c r="G11272" s="10"/>
      <c r="H11272" s="10"/>
      <c r="I11272" s="10"/>
      <c r="J11272" s="10"/>
      <c r="K11272" s="10"/>
      <c r="L11272" s="10"/>
      <c r="M11272" s="10"/>
      <c r="N11272" s="10"/>
      <c r="O11272" s="10"/>
      <c r="P11272" s="10"/>
      <c r="Q11272" s="10"/>
      <c r="R11272" s="10"/>
      <c r="S11272" s="10"/>
      <c r="T11272" s="10"/>
      <c r="U11272" s="10"/>
      <c r="V11272" s="10"/>
      <c r="W11272" s="10"/>
      <c r="X11272" s="10"/>
      <c r="Y11272" s="10"/>
      <c r="Z11272" s="10"/>
    </row>
    <row r="11273" spans="1:26" ht="12.75">
      <c r="A11273" s="10"/>
      <c r="B11273" s="10"/>
      <c r="C11273" s="10"/>
      <c r="D11273" s="10"/>
      <c r="E11273" s="10"/>
      <c r="F11273" s="10"/>
      <c r="G11273" s="10"/>
      <c r="H11273" s="10"/>
      <c r="I11273" s="10"/>
      <c r="J11273" s="10"/>
      <c r="K11273" s="10"/>
      <c r="L11273" s="10"/>
      <c r="M11273" s="10"/>
      <c r="N11273" s="10"/>
      <c r="O11273" s="10"/>
      <c r="P11273" s="10"/>
      <c r="Q11273" s="10"/>
      <c r="R11273" s="10"/>
      <c r="S11273" s="10"/>
      <c r="T11273" s="10"/>
      <c r="U11273" s="10"/>
      <c r="V11273" s="10"/>
      <c r="W11273" s="10"/>
      <c r="X11273" s="10"/>
      <c r="Y11273" s="10"/>
      <c r="Z11273" s="10"/>
    </row>
    <row r="11274" spans="1:26" ht="12.75">
      <c r="A11274" s="10"/>
      <c r="B11274" s="10"/>
      <c r="C11274" s="10"/>
      <c r="D11274" s="10"/>
      <c r="E11274" s="10"/>
      <c r="F11274" s="10"/>
      <c r="G11274" s="10"/>
      <c r="H11274" s="10"/>
      <c r="I11274" s="10"/>
      <c r="J11274" s="10"/>
      <c r="K11274" s="10"/>
      <c r="L11274" s="10"/>
      <c r="M11274" s="10"/>
      <c r="N11274" s="10"/>
      <c r="O11274" s="10"/>
      <c r="P11274" s="10"/>
      <c r="Q11274" s="10"/>
      <c r="R11274" s="10"/>
      <c r="S11274" s="10"/>
      <c r="T11274" s="10"/>
      <c r="U11274" s="10"/>
      <c r="V11274" s="10"/>
      <c r="W11274" s="10"/>
      <c r="X11274" s="10"/>
      <c r="Y11274" s="10"/>
      <c r="Z11274" s="10"/>
    </row>
    <row r="11275" spans="1:26" ht="12.75">
      <c r="A11275" s="10"/>
      <c r="B11275" s="10"/>
      <c r="C11275" s="10"/>
      <c r="D11275" s="10"/>
      <c r="E11275" s="10"/>
      <c r="F11275" s="10"/>
      <c r="G11275" s="10"/>
      <c r="H11275" s="10"/>
      <c r="I11275" s="10"/>
      <c r="J11275" s="10"/>
      <c r="K11275" s="10"/>
      <c r="L11275" s="10"/>
      <c r="M11275" s="10"/>
      <c r="N11275" s="10"/>
      <c r="O11275" s="10"/>
      <c r="P11275" s="10"/>
      <c r="Q11275" s="10"/>
      <c r="R11275" s="10"/>
      <c r="S11275" s="10"/>
      <c r="T11275" s="10"/>
      <c r="U11275" s="10"/>
      <c r="V11275" s="10"/>
      <c r="W11275" s="10"/>
      <c r="X11275" s="10"/>
      <c r="Y11275" s="10"/>
      <c r="Z11275" s="10"/>
    </row>
    <row r="11276" spans="1:26" ht="12.75">
      <c r="A11276" s="10"/>
      <c r="B11276" s="10"/>
      <c r="C11276" s="10"/>
      <c r="D11276" s="10"/>
      <c r="E11276" s="10"/>
      <c r="F11276" s="10"/>
      <c r="G11276" s="10"/>
      <c r="H11276" s="10"/>
      <c r="I11276" s="10"/>
      <c r="J11276" s="10"/>
      <c r="K11276" s="10"/>
      <c r="L11276" s="10"/>
      <c r="M11276" s="10"/>
      <c r="N11276" s="10"/>
      <c r="O11276" s="10"/>
      <c r="P11276" s="10"/>
      <c r="Q11276" s="10"/>
      <c r="R11276" s="10"/>
      <c r="S11276" s="10"/>
      <c r="T11276" s="10"/>
      <c r="U11276" s="10"/>
      <c r="V11276" s="10"/>
      <c r="W11276" s="10"/>
      <c r="X11276" s="10"/>
      <c r="Y11276" s="10"/>
      <c r="Z11276" s="10"/>
    </row>
    <row r="11277" spans="1:26" ht="12.75">
      <c r="A11277" s="10"/>
      <c r="B11277" s="10"/>
      <c r="C11277" s="10"/>
      <c r="D11277" s="10"/>
      <c r="E11277" s="10"/>
      <c r="F11277" s="10"/>
      <c r="G11277" s="10"/>
      <c r="H11277" s="10"/>
      <c r="I11277" s="10"/>
      <c r="J11277" s="10"/>
      <c r="K11277" s="10"/>
      <c r="L11277" s="10"/>
      <c r="M11277" s="10"/>
      <c r="N11277" s="10"/>
      <c r="O11277" s="10"/>
      <c r="P11277" s="10"/>
      <c r="Q11277" s="10"/>
      <c r="R11277" s="10"/>
      <c r="S11277" s="10"/>
      <c r="T11277" s="10"/>
      <c r="U11277" s="10"/>
      <c r="V11277" s="10"/>
      <c r="W11277" s="10"/>
      <c r="X11277" s="10"/>
      <c r="Y11277" s="10"/>
      <c r="Z11277" s="10"/>
    </row>
    <row r="11278" spans="1:26" ht="12.75">
      <c r="A11278" s="10"/>
      <c r="B11278" s="10"/>
      <c r="C11278" s="10"/>
      <c r="D11278" s="10"/>
      <c r="E11278" s="10"/>
      <c r="F11278" s="10"/>
      <c r="G11278" s="10"/>
      <c r="H11278" s="10"/>
      <c r="I11278" s="10"/>
      <c r="J11278" s="10"/>
      <c r="K11278" s="10"/>
      <c r="L11278" s="10"/>
      <c r="M11278" s="10"/>
      <c r="N11278" s="10"/>
      <c r="O11278" s="10"/>
      <c r="P11278" s="10"/>
      <c r="Q11278" s="10"/>
      <c r="R11278" s="10"/>
      <c r="S11278" s="10"/>
      <c r="T11278" s="10"/>
      <c r="U11278" s="10"/>
      <c r="V11278" s="10"/>
      <c r="W11278" s="10"/>
      <c r="X11278" s="10"/>
      <c r="Y11278" s="10"/>
      <c r="Z11278" s="10"/>
    </row>
    <row r="11279" spans="1:26" ht="12.75">
      <c r="A11279" s="10"/>
      <c r="B11279" s="10"/>
      <c r="C11279" s="10"/>
      <c r="D11279" s="10"/>
      <c r="E11279" s="10"/>
      <c r="F11279" s="10"/>
      <c r="G11279" s="10"/>
      <c r="H11279" s="10"/>
      <c r="I11279" s="10"/>
      <c r="J11279" s="10"/>
      <c r="K11279" s="10"/>
      <c r="L11279" s="10"/>
      <c r="M11279" s="10"/>
      <c r="N11279" s="10"/>
      <c r="O11279" s="10"/>
      <c r="P11279" s="10"/>
      <c r="Q11279" s="10"/>
      <c r="R11279" s="10"/>
      <c r="S11279" s="10"/>
      <c r="T11279" s="10"/>
      <c r="U11279" s="10"/>
      <c r="V11279" s="10"/>
      <c r="W11279" s="10"/>
      <c r="X11279" s="10"/>
      <c r="Y11279" s="10"/>
      <c r="Z11279" s="10"/>
    </row>
    <row r="11280" spans="1:26" ht="12.75">
      <c r="A11280" s="10"/>
      <c r="B11280" s="10"/>
      <c r="C11280" s="10"/>
      <c r="D11280" s="10"/>
      <c r="E11280" s="10"/>
      <c r="F11280" s="10"/>
      <c r="G11280" s="10"/>
      <c r="H11280" s="10"/>
      <c r="I11280" s="10"/>
      <c r="J11280" s="10"/>
      <c r="K11280" s="10"/>
      <c r="L11280" s="10"/>
      <c r="M11280" s="10"/>
      <c r="N11280" s="10"/>
      <c r="O11280" s="10"/>
      <c r="P11280" s="10"/>
      <c r="Q11280" s="10"/>
      <c r="R11280" s="10"/>
      <c r="S11280" s="10"/>
      <c r="T11280" s="10"/>
      <c r="U11280" s="10"/>
      <c r="V11280" s="10"/>
      <c r="W11280" s="10"/>
      <c r="X11280" s="10"/>
      <c r="Y11280" s="10"/>
      <c r="Z11280" s="10"/>
    </row>
    <row r="11281" spans="1:26" ht="12.75">
      <c r="A11281" s="10"/>
      <c r="B11281" s="10"/>
      <c r="C11281" s="10"/>
      <c r="D11281" s="10"/>
      <c r="E11281" s="10"/>
      <c r="F11281" s="10"/>
      <c r="G11281" s="10"/>
      <c r="H11281" s="10"/>
      <c r="I11281" s="10"/>
      <c r="J11281" s="10"/>
      <c r="K11281" s="10"/>
      <c r="L11281" s="10"/>
      <c r="M11281" s="10"/>
      <c r="N11281" s="10"/>
      <c r="O11281" s="10"/>
      <c r="P11281" s="10"/>
      <c r="Q11281" s="10"/>
      <c r="R11281" s="10"/>
      <c r="S11281" s="10"/>
      <c r="T11281" s="10"/>
      <c r="U11281" s="10"/>
      <c r="V11281" s="10"/>
      <c r="W11281" s="10"/>
      <c r="X11281" s="10"/>
      <c r="Y11281" s="10"/>
      <c r="Z11281" s="10"/>
    </row>
    <row r="11282" spans="1:26" ht="12.75">
      <c r="A11282" s="10"/>
      <c r="B11282" s="10"/>
      <c r="C11282" s="10"/>
      <c r="D11282" s="10"/>
      <c r="E11282" s="10"/>
      <c r="F11282" s="10"/>
      <c r="G11282" s="10"/>
      <c r="H11282" s="10"/>
      <c r="I11282" s="10"/>
      <c r="J11282" s="10"/>
      <c r="K11282" s="10"/>
      <c r="L11282" s="10"/>
      <c r="M11282" s="10"/>
      <c r="N11282" s="10"/>
      <c r="O11282" s="10"/>
      <c r="P11282" s="10"/>
      <c r="Q11282" s="10"/>
      <c r="R11282" s="10"/>
      <c r="S11282" s="10"/>
      <c r="T11282" s="10"/>
      <c r="U11282" s="10"/>
      <c r="V11282" s="10"/>
      <c r="W11282" s="10"/>
      <c r="X11282" s="10"/>
      <c r="Y11282" s="10"/>
      <c r="Z11282" s="10"/>
    </row>
    <row r="11283" spans="1:26" ht="12.75">
      <c r="A11283" s="10"/>
      <c r="B11283" s="10"/>
      <c r="C11283" s="10"/>
      <c r="D11283" s="10"/>
      <c r="E11283" s="10"/>
      <c r="F11283" s="10"/>
      <c r="G11283" s="10"/>
      <c r="H11283" s="10"/>
      <c r="I11283" s="10"/>
      <c r="J11283" s="10"/>
      <c r="K11283" s="10"/>
      <c r="L11283" s="10"/>
      <c r="M11283" s="10"/>
      <c r="N11283" s="10"/>
      <c r="O11283" s="10"/>
      <c r="P11283" s="10"/>
      <c r="Q11283" s="10"/>
      <c r="R11283" s="10"/>
      <c r="S11283" s="10"/>
      <c r="T11283" s="10"/>
      <c r="U11283" s="10"/>
      <c r="V11283" s="10"/>
      <c r="W11283" s="10"/>
      <c r="X11283" s="10"/>
      <c r="Y11283" s="10"/>
      <c r="Z11283" s="10"/>
    </row>
    <row r="11284" spans="1:26" ht="12.75">
      <c r="A11284" s="10"/>
      <c r="B11284" s="10"/>
      <c r="C11284" s="10"/>
      <c r="D11284" s="10"/>
      <c r="E11284" s="10"/>
      <c r="F11284" s="10"/>
      <c r="G11284" s="10"/>
      <c r="H11284" s="10"/>
      <c r="I11284" s="10"/>
      <c r="J11284" s="10"/>
      <c r="K11284" s="10"/>
      <c r="L11284" s="10"/>
      <c r="M11284" s="10"/>
      <c r="N11284" s="10"/>
      <c r="O11284" s="10"/>
      <c r="P11284" s="10"/>
      <c r="Q11284" s="10"/>
      <c r="R11284" s="10"/>
      <c r="S11284" s="10"/>
      <c r="T11284" s="10"/>
      <c r="U11284" s="10"/>
      <c r="V11284" s="10"/>
      <c r="W11284" s="10"/>
      <c r="X11284" s="10"/>
      <c r="Y11284" s="10"/>
      <c r="Z11284" s="10"/>
    </row>
    <row r="11285" spans="1:26" ht="12.75">
      <c r="A11285" s="10"/>
      <c r="B11285" s="10"/>
      <c r="C11285" s="10"/>
      <c r="D11285" s="10"/>
      <c r="E11285" s="10"/>
      <c r="F11285" s="10"/>
      <c r="G11285" s="10"/>
      <c r="H11285" s="10"/>
      <c r="I11285" s="10"/>
      <c r="J11285" s="10"/>
      <c r="K11285" s="10"/>
      <c r="L11285" s="10"/>
      <c r="M11285" s="10"/>
      <c r="N11285" s="10"/>
      <c r="O11285" s="10"/>
      <c r="P11285" s="10"/>
      <c r="Q11285" s="10"/>
      <c r="R11285" s="10"/>
      <c r="S11285" s="10"/>
      <c r="T11285" s="10"/>
      <c r="U11285" s="10"/>
      <c r="V11285" s="10"/>
      <c r="W11285" s="10"/>
      <c r="X11285" s="10"/>
      <c r="Y11285" s="10"/>
      <c r="Z11285" s="10"/>
    </row>
    <row r="11286" spans="1:26" ht="12.75">
      <c r="A11286" s="10"/>
      <c r="B11286" s="10"/>
      <c r="C11286" s="10"/>
      <c r="D11286" s="10"/>
      <c r="E11286" s="10"/>
      <c r="F11286" s="10"/>
      <c r="G11286" s="10"/>
      <c r="H11286" s="10"/>
      <c r="I11286" s="10"/>
      <c r="J11286" s="10"/>
      <c r="K11286" s="10"/>
      <c r="L11286" s="10"/>
      <c r="M11286" s="10"/>
      <c r="N11286" s="10"/>
      <c r="O11286" s="10"/>
      <c r="P11286" s="10"/>
      <c r="Q11286" s="10"/>
      <c r="R11286" s="10"/>
      <c r="S11286" s="10"/>
      <c r="T11286" s="10"/>
      <c r="U11286" s="10"/>
      <c r="V11286" s="10"/>
      <c r="W11286" s="10"/>
      <c r="X11286" s="10"/>
      <c r="Y11286" s="10"/>
      <c r="Z11286" s="10"/>
    </row>
    <row r="11287" spans="1:26" ht="12.75">
      <c r="A11287" s="10"/>
      <c r="B11287" s="10"/>
      <c r="C11287" s="10"/>
      <c r="D11287" s="10"/>
      <c r="E11287" s="10"/>
      <c r="F11287" s="10"/>
      <c r="G11287" s="10"/>
      <c r="H11287" s="10"/>
      <c r="I11287" s="10"/>
      <c r="J11287" s="10"/>
      <c r="K11287" s="10"/>
      <c r="L11287" s="10"/>
      <c r="M11287" s="10"/>
      <c r="N11287" s="10"/>
      <c r="O11287" s="10"/>
      <c r="P11287" s="10"/>
      <c r="Q11287" s="10"/>
      <c r="R11287" s="10"/>
      <c r="S11287" s="10"/>
      <c r="T11287" s="10"/>
      <c r="U11287" s="10"/>
      <c r="V11287" s="10"/>
      <c r="W11287" s="10"/>
      <c r="X11287" s="10"/>
      <c r="Y11287" s="10"/>
      <c r="Z11287" s="10"/>
    </row>
    <row r="11288" spans="1:26" ht="12.75">
      <c r="A11288" s="10"/>
      <c r="B11288" s="10"/>
      <c r="C11288" s="10"/>
      <c r="D11288" s="10"/>
      <c r="E11288" s="10"/>
      <c r="F11288" s="10"/>
      <c r="G11288" s="10"/>
      <c r="H11288" s="10"/>
      <c r="I11288" s="10"/>
      <c r="J11288" s="10"/>
      <c r="K11288" s="10"/>
      <c r="L11288" s="10"/>
      <c r="M11288" s="10"/>
      <c r="N11288" s="10"/>
      <c r="O11288" s="10"/>
      <c r="P11288" s="10"/>
      <c r="Q11288" s="10"/>
      <c r="R11288" s="10"/>
      <c r="S11288" s="10"/>
      <c r="T11288" s="10"/>
      <c r="U11288" s="10"/>
      <c r="V11288" s="10"/>
      <c r="W11288" s="10"/>
      <c r="X11288" s="10"/>
      <c r="Y11288" s="10"/>
      <c r="Z11288" s="10"/>
    </row>
    <row r="11289" spans="1:26" ht="12.75">
      <c r="A11289" s="10"/>
      <c r="B11289" s="10"/>
      <c r="C11289" s="10"/>
      <c r="D11289" s="10"/>
      <c r="E11289" s="10"/>
      <c r="F11289" s="10"/>
      <c r="G11289" s="10"/>
      <c r="H11289" s="10"/>
      <c r="I11289" s="10"/>
      <c r="J11289" s="10"/>
      <c r="K11289" s="10"/>
      <c r="L11289" s="10"/>
      <c r="M11289" s="10"/>
      <c r="N11289" s="10"/>
      <c r="O11289" s="10"/>
      <c r="P11289" s="10"/>
      <c r="Q11289" s="10"/>
      <c r="R11289" s="10"/>
      <c r="S11289" s="10"/>
      <c r="T11289" s="10"/>
      <c r="U11289" s="10"/>
      <c r="V11289" s="10"/>
      <c r="W11289" s="10"/>
      <c r="X11289" s="10"/>
      <c r="Y11289" s="10"/>
      <c r="Z11289" s="10"/>
    </row>
    <row r="11290" spans="1:26" ht="12.75">
      <c r="A11290" s="10"/>
      <c r="B11290" s="10"/>
      <c r="C11290" s="10"/>
      <c r="D11290" s="10"/>
      <c r="E11290" s="10"/>
      <c r="F11290" s="10"/>
      <c r="G11290" s="10"/>
      <c r="H11290" s="10"/>
      <c r="I11290" s="10"/>
      <c r="J11290" s="10"/>
      <c r="K11290" s="10"/>
      <c r="L11290" s="10"/>
      <c r="M11290" s="10"/>
      <c r="N11290" s="10"/>
      <c r="O11290" s="10"/>
      <c r="P11290" s="10"/>
      <c r="Q11290" s="10"/>
      <c r="R11290" s="10"/>
      <c r="S11290" s="10"/>
      <c r="T11290" s="10"/>
      <c r="U11290" s="10"/>
      <c r="V11290" s="10"/>
      <c r="W11290" s="10"/>
      <c r="X11290" s="10"/>
      <c r="Y11290" s="10"/>
      <c r="Z11290" s="10"/>
    </row>
    <row r="11291" spans="1:26" ht="12.75">
      <c r="A11291" s="10"/>
      <c r="B11291" s="10"/>
      <c r="C11291" s="10"/>
      <c r="D11291" s="10"/>
      <c r="E11291" s="10"/>
      <c r="F11291" s="10"/>
      <c r="G11291" s="10"/>
      <c r="H11291" s="10"/>
      <c r="I11291" s="10"/>
      <c r="J11291" s="10"/>
      <c r="K11291" s="10"/>
      <c r="L11291" s="10"/>
      <c r="M11291" s="10"/>
      <c r="N11291" s="10"/>
      <c r="O11291" s="10"/>
      <c r="P11291" s="10"/>
      <c r="Q11291" s="10"/>
      <c r="R11291" s="10"/>
      <c r="S11291" s="10"/>
      <c r="T11291" s="10"/>
      <c r="U11291" s="10"/>
      <c r="V11291" s="10"/>
      <c r="W11291" s="10"/>
      <c r="X11291" s="10"/>
      <c r="Y11291" s="10"/>
      <c r="Z11291" s="10"/>
    </row>
    <row r="11292" spans="1:26" ht="12.75">
      <c r="A11292" s="10"/>
      <c r="B11292" s="10"/>
      <c r="C11292" s="10"/>
      <c r="D11292" s="10"/>
      <c r="E11292" s="10"/>
      <c r="F11292" s="10"/>
      <c r="G11292" s="10"/>
      <c r="H11292" s="10"/>
      <c r="I11292" s="10"/>
      <c r="J11292" s="10"/>
      <c r="K11292" s="10"/>
      <c r="L11292" s="10"/>
      <c r="M11292" s="10"/>
      <c r="N11292" s="10"/>
      <c r="O11292" s="10"/>
      <c r="P11292" s="10"/>
      <c r="Q11292" s="10"/>
      <c r="R11292" s="10"/>
      <c r="S11292" s="10"/>
      <c r="T11292" s="10"/>
      <c r="U11292" s="10"/>
      <c r="V11292" s="10"/>
      <c r="W11292" s="10"/>
      <c r="X11292" s="10"/>
      <c r="Y11292" s="10"/>
      <c r="Z11292" s="10"/>
    </row>
    <row r="11293" spans="1:26" ht="12.75">
      <c r="A11293" s="10"/>
      <c r="B11293" s="10"/>
      <c r="C11293" s="10"/>
      <c r="D11293" s="10"/>
      <c r="E11293" s="10"/>
      <c r="F11293" s="10"/>
      <c r="G11293" s="10"/>
      <c r="H11293" s="10"/>
      <c r="I11293" s="10"/>
      <c r="J11293" s="10"/>
      <c r="K11293" s="10"/>
      <c r="L11293" s="10"/>
      <c r="M11293" s="10"/>
      <c r="N11293" s="10"/>
      <c r="O11293" s="10"/>
      <c r="P11293" s="10"/>
      <c r="Q11293" s="10"/>
      <c r="R11293" s="10"/>
      <c r="S11293" s="10"/>
      <c r="T11293" s="10"/>
      <c r="U11293" s="10"/>
      <c r="V11293" s="10"/>
      <c r="W11293" s="10"/>
      <c r="X11293" s="10"/>
      <c r="Y11293" s="10"/>
      <c r="Z11293" s="10"/>
    </row>
    <row r="11294" spans="1:26" ht="12.75">
      <c r="A11294" s="10"/>
      <c r="B11294" s="10"/>
      <c r="C11294" s="10"/>
      <c r="D11294" s="10"/>
      <c r="E11294" s="10"/>
      <c r="F11294" s="10"/>
      <c r="G11294" s="10"/>
      <c r="H11294" s="10"/>
      <c r="I11294" s="10"/>
      <c r="J11294" s="10"/>
      <c r="K11294" s="10"/>
      <c r="L11294" s="10"/>
      <c r="M11294" s="10"/>
      <c r="N11294" s="10"/>
      <c r="O11294" s="10"/>
      <c r="P11294" s="10"/>
      <c r="Q11294" s="10"/>
      <c r="R11294" s="10"/>
      <c r="S11294" s="10"/>
      <c r="T11294" s="10"/>
      <c r="U11294" s="10"/>
      <c r="V11294" s="10"/>
      <c r="W11294" s="10"/>
      <c r="X11294" s="10"/>
      <c r="Y11294" s="10"/>
      <c r="Z11294" s="10"/>
    </row>
    <row r="11295" spans="1:26" ht="12.75">
      <c r="A11295" s="10"/>
      <c r="B11295" s="10"/>
      <c r="C11295" s="10"/>
      <c r="D11295" s="10"/>
      <c r="E11295" s="10"/>
      <c r="F11295" s="10"/>
      <c r="G11295" s="10"/>
      <c r="H11295" s="10"/>
      <c r="I11295" s="10"/>
      <c r="J11295" s="10"/>
      <c r="K11295" s="10"/>
      <c r="L11295" s="10"/>
      <c r="M11295" s="10"/>
      <c r="N11295" s="10"/>
      <c r="O11295" s="10"/>
      <c r="P11295" s="10"/>
      <c r="Q11295" s="10"/>
      <c r="R11295" s="10"/>
      <c r="S11295" s="10"/>
      <c r="T11295" s="10"/>
      <c r="U11295" s="10"/>
      <c r="V11295" s="10"/>
      <c r="W11295" s="10"/>
      <c r="X11295" s="10"/>
      <c r="Y11295" s="10"/>
      <c r="Z11295" s="10"/>
    </row>
    <row r="11296" spans="1:26" ht="12.75">
      <c r="A11296" s="10"/>
      <c r="B11296" s="10"/>
      <c r="C11296" s="10"/>
      <c r="D11296" s="10"/>
      <c r="E11296" s="10"/>
      <c r="F11296" s="10"/>
      <c r="G11296" s="10"/>
      <c r="H11296" s="10"/>
      <c r="I11296" s="10"/>
      <c r="J11296" s="10"/>
      <c r="K11296" s="10"/>
      <c r="L11296" s="10"/>
      <c r="M11296" s="10"/>
      <c r="N11296" s="10"/>
      <c r="O11296" s="10"/>
      <c r="P11296" s="10"/>
      <c r="Q11296" s="10"/>
      <c r="R11296" s="10"/>
      <c r="S11296" s="10"/>
      <c r="T11296" s="10"/>
      <c r="U11296" s="10"/>
      <c r="V11296" s="10"/>
      <c r="W11296" s="10"/>
      <c r="X11296" s="10"/>
      <c r="Y11296" s="10"/>
      <c r="Z11296" s="10"/>
    </row>
    <row r="11297" spans="1:26" ht="12.75">
      <c r="A11297" s="10"/>
      <c r="B11297" s="10"/>
      <c r="C11297" s="10"/>
      <c r="D11297" s="10"/>
      <c r="E11297" s="10"/>
      <c r="F11297" s="10"/>
      <c r="G11297" s="10"/>
      <c r="H11297" s="10"/>
      <c r="I11297" s="10"/>
      <c r="J11297" s="10"/>
      <c r="K11297" s="10"/>
      <c r="L11297" s="10"/>
      <c r="M11297" s="10"/>
      <c r="N11297" s="10"/>
      <c r="O11297" s="10"/>
      <c r="P11297" s="10"/>
      <c r="Q11297" s="10"/>
      <c r="R11297" s="10"/>
      <c r="S11297" s="10"/>
      <c r="T11297" s="10"/>
      <c r="U11297" s="10"/>
      <c r="V11297" s="10"/>
      <c r="W11297" s="10"/>
      <c r="X11297" s="10"/>
      <c r="Y11297" s="10"/>
      <c r="Z11297" s="10"/>
    </row>
    <row r="11298" spans="1:26" ht="12.75">
      <c r="A11298" s="10"/>
      <c r="B11298" s="10"/>
      <c r="C11298" s="10"/>
      <c r="D11298" s="10"/>
      <c r="E11298" s="10"/>
      <c r="F11298" s="10"/>
      <c r="G11298" s="10"/>
      <c r="H11298" s="10"/>
      <c r="I11298" s="10"/>
      <c r="J11298" s="10"/>
      <c r="K11298" s="10"/>
      <c r="L11298" s="10"/>
      <c r="M11298" s="10"/>
      <c r="N11298" s="10"/>
      <c r="O11298" s="10"/>
      <c r="P11298" s="10"/>
      <c r="Q11298" s="10"/>
      <c r="R11298" s="10"/>
      <c r="S11298" s="10"/>
      <c r="T11298" s="10"/>
      <c r="U11298" s="10"/>
      <c r="V11298" s="10"/>
      <c r="W11298" s="10"/>
      <c r="X11298" s="10"/>
      <c r="Y11298" s="10"/>
      <c r="Z11298" s="10"/>
    </row>
    <row r="11299" spans="1:26" ht="12.75">
      <c r="A11299" s="10"/>
      <c r="B11299" s="10"/>
      <c r="C11299" s="10"/>
      <c r="D11299" s="10"/>
      <c r="E11299" s="10"/>
      <c r="F11299" s="10"/>
      <c r="G11299" s="10"/>
      <c r="H11299" s="10"/>
      <c r="I11299" s="10"/>
      <c r="J11299" s="10"/>
      <c r="K11299" s="10"/>
      <c r="L11299" s="10"/>
      <c r="M11299" s="10"/>
      <c r="N11299" s="10"/>
      <c r="O11299" s="10"/>
      <c r="P11299" s="10"/>
      <c r="Q11299" s="10"/>
      <c r="R11299" s="10"/>
      <c r="S11299" s="10"/>
      <c r="T11299" s="10"/>
      <c r="U11299" s="10"/>
      <c r="V11299" s="10"/>
      <c r="W11299" s="10"/>
      <c r="X11299" s="10"/>
      <c r="Y11299" s="10"/>
      <c r="Z11299" s="10"/>
    </row>
    <row r="11300" spans="1:26" ht="12.75">
      <c r="A11300" s="10"/>
      <c r="B11300" s="10"/>
      <c r="C11300" s="10"/>
      <c r="D11300" s="10"/>
      <c r="E11300" s="10"/>
      <c r="F11300" s="10"/>
      <c r="G11300" s="10"/>
      <c r="H11300" s="10"/>
      <c r="I11300" s="10"/>
      <c r="J11300" s="10"/>
      <c r="K11300" s="10"/>
      <c r="L11300" s="10"/>
      <c r="M11300" s="10"/>
      <c r="N11300" s="10"/>
      <c r="O11300" s="10"/>
      <c r="P11300" s="10"/>
      <c r="Q11300" s="10"/>
      <c r="R11300" s="10"/>
      <c r="S11300" s="10"/>
      <c r="T11300" s="10"/>
      <c r="U11300" s="10"/>
      <c r="V11300" s="10"/>
      <c r="W11300" s="10"/>
      <c r="X11300" s="10"/>
      <c r="Y11300" s="10"/>
      <c r="Z11300" s="10"/>
    </row>
    <row r="11301" spans="1:26" ht="12.75">
      <c r="A11301" s="10"/>
      <c r="B11301" s="10"/>
      <c r="C11301" s="10"/>
      <c r="D11301" s="10"/>
      <c r="E11301" s="10"/>
      <c r="F11301" s="10"/>
      <c r="G11301" s="10"/>
      <c r="H11301" s="10"/>
      <c r="I11301" s="10"/>
      <c r="J11301" s="10"/>
      <c r="K11301" s="10"/>
      <c r="L11301" s="10"/>
      <c r="M11301" s="10"/>
      <c r="N11301" s="10"/>
      <c r="O11301" s="10"/>
      <c r="P11301" s="10"/>
      <c r="Q11301" s="10"/>
      <c r="R11301" s="10"/>
      <c r="S11301" s="10"/>
      <c r="T11301" s="10"/>
      <c r="U11301" s="10"/>
      <c r="V11301" s="10"/>
      <c r="W11301" s="10"/>
      <c r="X11301" s="10"/>
      <c r="Y11301" s="10"/>
      <c r="Z11301" s="10"/>
    </row>
    <row r="11302" spans="1:26" ht="12.75">
      <c r="A11302" s="10"/>
      <c r="B11302" s="10"/>
      <c r="C11302" s="10"/>
      <c r="D11302" s="10"/>
      <c r="E11302" s="10"/>
      <c r="F11302" s="10"/>
      <c r="G11302" s="10"/>
      <c r="H11302" s="10"/>
      <c r="I11302" s="10"/>
      <c r="J11302" s="10"/>
      <c r="K11302" s="10"/>
      <c r="L11302" s="10"/>
      <c r="M11302" s="10"/>
      <c r="N11302" s="10"/>
      <c r="O11302" s="10"/>
      <c r="P11302" s="10"/>
      <c r="Q11302" s="10"/>
      <c r="R11302" s="10"/>
      <c r="S11302" s="10"/>
      <c r="T11302" s="10"/>
      <c r="U11302" s="10"/>
      <c r="V11302" s="10"/>
      <c r="W11302" s="10"/>
      <c r="X11302" s="10"/>
      <c r="Y11302" s="10"/>
      <c r="Z11302" s="10"/>
    </row>
    <row r="11303" spans="1:26" ht="12.75">
      <c r="A11303" s="10"/>
      <c r="B11303" s="10"/>
      <c r="C11303" s="10"/>
      <c r="D11303" s="10"/>
      <c r="E11303" s="10"/>
      <c r="F11303" s="10"/>
      <c r="G11303" s="10"/>
      <c r="H11303" s="10"/>
      <c r="I11303" s="10"/>
      <c r="J11303" s="10"/>
      <c r="K11303" s="10"/>
      <c r="L11303" s="10"/>
      <c r="M11303" s="10"/>
      <c r="N11303" s="10"/>
      <c r="O11303" s="10"/>
      <c r="P11303" s="10"/>
      <c r="Q11303" s="10"/>
      <c r="R11303" s="10"/>
      <c r="S11303" s="10"/>
      <c r="T11303" s="10"/>
      <c r="U11303" s="10"/>
      <c r="V11303" s="10"/>
      <c r="W11303" s="10"/>
      <c r="X11303" s="10"/>
      <c r="Y11303" s="10"/>
      <c r="Z11303" s="10"/>
    </row>
    <row r="11304" spans="1:26" ht="12.75">
      <c r="A11304" s="10"/>
      <c r="B11304" s="10"/>
      <c r="C11304" s="10"/>
      <c r="D11304" s="10"/>
      <c r="E11304" s="10"/>
      <c r="F11304" s="10"/>
      <c r="G11304" s="10"/>
      <c r="H11304" s="10"/>
      <c r="I11304" s="10"/>
      <c r="J11304" s="10"/>
      <c r="K11304" s="10"/>
      <c r="L11304" s="10"/>
      <c r="M11304" s="10"/>
      <c r="N11304" s="10"/>
      <c r="O11304" s="10"/>
      <c r="P11304" s="10"/>
      <c r="Q11304" s="10"/>
      <c r="R11304" s="10"/>
      <c r="S11304" s="10"/>
      <c r="T11304" s="10"/>
      <c r="U11304" s="10"/>
      <c r="V11304" s="10"/>
      <c r="W11304" s="10"/>
      <c r="X11304" s="10"/>
      <c r="Y11304" s="10"/>
      <c r="Z11304" s="10"/>
    </row>
    <row r="11305" spans="1:26" ht="12.75">
      <c r="A11305" s="10"/>
      <c r="B11305" s="10"/>
      <c r="C11305" s="10"/>
      <c r="D11305" s="10"/>
      <c r="E11305" s="10"/>
      <c r="F11305" s="10"/>
      <c r="G11305" s="10"/>
      <c r="H11305" s="10"/>
      <c r="I11305" s="10"/>
      <c r="J11305" s="10"/>
      <c r="K11305" s="10"/>
      <c r="L11305" s="10"/>
      <c r="M11305" s="10"/>
      <c r="N11305" s="10"/>
      <c r="O11305" s="10"/>
      <c r="P11305" s="10"/>
      <c r="Q11305" s="10"/>
      <c r="R11305" s="10"/>
      <c r="S11305" s="10"/>
      <c r="T11305" s="10"/>
      <c r="U11305" s="10"/>
      <c r="V11305" s="10"/>
      <c r="W11305" s="10"/>
      <c r="X11305" s="10"/>
      <c r="Y11305" s="10"/>
      <c r="Z11305" s="10"/>
    </row>
    <row r="11306" spans="1:26" ht="12.75">
      <c r="A11306" s="10"/>
      <c r="B11306" s="10"/>
      <c r="C11306" s="10"/>
      <c r="D11306" s="10"/>
      <c r="E11306" s="10"/>
      <c r="F11306" s="10"/>
      <c r="G11306" s="10"/>
      <c r="H11306" s="10"/>
      <c r="I11306" s="10"/>
      <c r="J11306" s="10"/>
      <c r="K11306" s="10"/>
      <c r="L11306" s="10"/>
      <c r="M11306" s="10"/>
      <c r="N11306" s="10"/>
      <c r="O11306" s="10"/>
      <c r="P11306" s="10"/>
      <c r="Q11306" s="10"/>
      <c r="R11306" s="10"/>
      <c r="S11306" s="10"/>
      <c r="T11306" s="10"/>
      <c r="U11306" s="10"/>
      <c r="V11306" s="10"/>
      <c r="W11306" s="10"/>
      <c r="X11306" s="10"/>
      <c r="Y11306" s="10"/>
      <c r="Z11306" s="10"/>
    </row>
    <row r="11307" spans="1:26" ht="12.75">
      <c r="A11307" s="10"/>
      <c r="B11307" s="10"/>
      <c r="C11307" s="10"/>
      <c r="D11307" s="10"/>
      <c r="E11307" s="10"/>
      <c r="F11307" s="10"/>
      <c r="G11307" s="10"/>
      <c r="H11307" s="10"/>
      <c r="I11307" s="10"/>
      <c r="J11307" s="10"/>
      <c r="K11307" s="10"/>
      <c r="L11307" s="10"/>
      <c r="M11307" s="10"/>
      <c r="N11307" s="10"/>
      <c r="O11307" s="10"/>
      <c r="P11307" s="10"/>
      <c r="Q11307" s="10"/>
      <c r="R11307" s="10"/>
      <c r="S11307" s="10"/>
      <c r="T11307" s="10"/>
      <c r="U11307" s="10"/>
      <c r="V11307" s="10"/>
      <c r="W11307" s="10"/>
      <c r="X11307" s="10"/>
      <c r="Y11307" s="10"/>
      <c r="Z11307" s="10"/>
    </row>
    <row r="11308" spans="1:26" ht="12.75">
      <c r="A11308" s="10"/>
      <c r="B11308" s="10"/>
      <c r="C11308" s="10"/>
      <c r="D11308" s="10"/>
      <c r="E11308" s="10"/>
      <c r="F11308" s="10"/>
      <c r="G11308" s="10"/>
      <c r="H11308" s="10"/>
      <c r="I11308" s="10"/>
      <c r="J11308" s="10"/>
      <c r="K11308" s="10"/>
      <c r="L11308" s="10"/>
      <c r="M11308" s="10"/>
      <c r="N11308" s="10"/>
      <c r="O11308" s="10"/>
      <c r="P11308" s="10"/>
      <c r="Q11308" s="10"/>
      <c r="R11308" s="10"/>
      <c r="S11308" s="10"/>
      <c r="T11308" s="10"/>
      <c r="U11308" s="10"/>
      <c r="V11308" s="10"/>
      <c r="W11308" s="10"/>
      <c r="X11308" s="10"/>
      <c r="Y11308" s="10"/>
      <c r="Z11308" s="10"/>
    </row>
    <row r="11309" spans="1:26" ht="12.75">
      <c r="A11309" s="10"/>
      <c r="B11309" s="10"/>
      <c r="C11309" s="10"/>
      <c r="D11309" s="10"/>
      <c r="E11309" s="10"/>
      <c r="F11309" s="10"/>
      <c r="G11309" s="10"/>
      <c r="H11309" s="10"/>
      <c r="I11309" s="10"/>
      <c r="J11309" s="10"/>
      <c r="K11309" s="10"/>
      <c r="L11309" s="10"/>
      <c r="M11309" s="10"/>
      <c r="N11309" s="10"/>
      <c r="O11309" s="10"/>
      <c r="P11309" s="10"/>
      <c r="Q11309" s="10"/>
      <c r="R11309" s="10"/>
      <c r="S11309" s="10"/>
      <c r="T11309" s="10"/>
      <c r="U11309" s="10"/>
      <c r="V11309" s="10"/>
      <c r="W11309" s="10"/>
      <c r="X11309" s="10"/>
      <c r="Y11309" s="10"/>
      <c r="Z11309" s="10"/>
    </row>
    <row r="11310" spans="1:26" ht="12.75">
      <c r="A11310" s="10"/>
      <c r="B11310" s="10"/>
      <c r="C11310" s="10"/>
      <c r="D11310" s="10"/>
      <c r="E11310" s="10"/>
      <c r="F11310" s="10"/>
      <c r="G11310" s="10"/>
      <c r="H11310" s="10"/>
      <c r="I11310" s="10"/>
      <c r="J11310" s="10"/>
      <c r="K11310" s="10"/>
      <c r="L11310" s="10"/>
      <c r="M11310" s="10"/>
      <c r="N11310" s="10"/>
      <c r="O11310" s="10"/>
      <c r="P11310" s="10"/>
      <c r="Q11310" s="10"/>
      <c r="R11310" s="10"/>
      <c r="S11310" s="10"/>
      <c r="T11310" s="10"/>
      <c r="U11310" s="10"/>
      <c r="V11310" s="10"/>
      <c r="W11310" s="10"/>
      <c r="X11310" s="10"/>
      <c r="Y11310" s="10"/>
      <c r="Z11310" s="10"/>
    </row>
    <row r="11311" spans="1:26" ht="12.75">
      <c r="A11311" s="10"/>
      <c r="B11311" s="10"/>
      <c r="C11311" s="10"/>
      <c r="D11311" s="10"/>
      <c r="E11311" s="10"/>
      <c r="F11311" s="10"/>
      <c r="G11311" s="10"/>
      <c r="H11311" s="10"/>
      <c r="I11311" s="10"/>
      <c r="J11311" s="10"/>
      <c r="K11311" s="10"/>
      <c r="L11311" s="10"/>
      <c r="M11311" s="10"/>
      <c r="N11311" s="10"/>
      <c r="O11311" s="10"/>
      <c r="P11311" s="10"/>
      <c r="Q11311" s="10"/>
      <c r="R11311" s="10"/>
      <c r="S11311" s="10"/>
      <c r="T11311" s="10"/>
      <c r="U11311" s="10"/>
      <c r="V11311" s="10"/>
      <c r="W11311" s="10"/>
      <c r="X11311" s="10"/>
      <c r="Y11311" s="10"/>
      <c r="Z11311" s="10"/>
    </row>
    <row r="11312" spans="1:26" ht="12.75">
      <c r="A11312" s="10"/>
      <c r="B11312" s="10"/>
      <c r="C11312" s="10"/>
      <c r="D11312" s="10"/>
      <c r="E11312" s="10"/>
      <c r="F11312" s="10"/>
      <c r="G11312" s="10"/>
      <c r="H11312" s="10"/>
      <c r="I11312" s="10"/>
      <c r="J11312" s="10"/>
      <c r="K11312" s="10"/>
      <c r="L11312" s="10"/>
      <c r="M11312" s="10"/>
      <c r="N11312" s="10"/>
      <c r="O11312" s="10"/>
      <c r="P11312" s="10"/>
      <c r="Q11312" s="10"/>
      <c r="R11312" s="10"/>
      <c r="S11312" s="10"/>
      <c r="T11312" s="10"/>
      <c r="U11312" s="10"/>
      <c r="V11312" s="10"/>
      <c r="W11312" s="10"/>
      <c r="X11312" s="10"/>
      <c r="Y11312" s="10"/>
      <c r="Z11312" s="10"/>
    </row>
    <row r="11313" spans="1:26" ht="12.75">
      <c r="A11313" s="10"/>
      <c r="B11313" s="10"/>
      <c r="C11313" s="10"/>
      <c r="D11313" s="10"/>
      <c r="E11313" s="10"/>
      <c r="F11313" s="10"/>
      <c r="G11313" s="10"/>
      <c r="H11313" s="10"/>
      <c r="I11313" s="10"/>
      <c r="J11313" s="10"/>
      <c r="K11313" s="10"/>
      <c r="L11313" s="10"/>
      <c r="M11313" s="10"/>
      <c r="N11313" s="10"/>
      <c r="O11313" s="10"/>
      <c r="P11313" s="10"/>
      <c r="Q11313" s="10"/>
      <c r="R11313" s="10"/>
      <c r="S11313" s="10"/>
      <c r="T11313" s="10"/>
      <c r="U11313" s="10"/>
      <c r="V11313" s="10"/>
      <c r="W11313" s="10"/>
      <c r="X11313" s="10"/>
      <c r="Y11313" s="10"/>
      <c r="Z11313" s="10"/>
    </row>
    <row r="11314" spans="1:26" ht="12.75">
      <c r="A11314" s="10"/>
      <c r="B11314" s="10"/>
      <c r="C11314" s="10"/>
      <c r="D11314" s="10"/>
      <c r="E11314" s="10"/>
      <c r="F11314" s="10"/>
      <c r="G11314" s="10"/>
      <c r="H11314" s="10"/>
      <c r="I11314" s="10"/>
      <c r="J11314" s="10"/>
      <c r="K11314" s="10"/>
      <c r="L11314" s="10"/>
      <c r="M11314" s="10"/>
      <c r="N11314" s="10"/>
      <c r="O11314" s="10"/>
      <c r="P11314" s="10"/>
      <c r="Q11314" s="10"/>
      <c r="R11314" s="10"/>
      <c r="S11314" s="10"/>
      <c r="T11314" s="10"/>
      <c r="U11314" s="10"/>
      <c r="V11314" s="10"/>
      <c r="W11314" s="10"/>
      <c r="X11314" s="10"/>
      <c r="Y11314" s="10"/>
      <c r="Z11314" s="10"/>
    </row>
    <row r="11315" spans="1:26" ht="12.75">
      <c r="A11315" s="10"/>
      <c r="B11315" s="10"/>
      <c r="C11315" s="10"/>
      <c r="D11315" s="10"/>
      <c r="E11315" s="10"/>
      <c r="F11315" s="10"/>
      <c r="G11315" s="10"/>
      <c r="H11315" s="10"/>
      <c r="I11315" s="10"/>
      <c r="J11315" s="10"/>
      <c r="K11315" s="10"/>
      <c r="L11315" s="10"/>
      <c r="M11315" s="10"/>
      <c r="N11315" s="10"/>
      <c r="O11315" s="10"/>
      <c r="P11315" s="10"/>
      <c r="Q11315" s="10"/>
      <c r="R11315" s="10"/>
      <c r="S11315" s="10"/>
      <c r="T11315" s="10"/>
      <c r="U11315" s="10"/>
      <c r="V11315" s="10"/>
      <c r="W11315" s="10"/>
      <c r="X11315" s="10"/>
      <c r="Y11315" s="10"/>
      <c r="Z11315" s="10"/>
    </row>
    <row r="11316" spans="1:26" ht="12.75">
      <c r="A11316" s="10"/>
      <c r="B11316" s="10"/>
      <c r="C11316" s="10"/>
      <c r="D11316" s="10"/>
      <c r="E11316" s="10"/>
      <c r="F11316" s="10"/>
      <c r="G11316" s="10"/>
      <c r="H11316" s="10"/>
      <c r="I11316" s="10"/>
      <c r="J11316" s="10"/>
      <c r="K11316" s="10"/>
      <c r="L11316" s="10"/>
      <c r="M11316" s="10"/>
      <c r="N11316" s="10"/>
      <c r="O11316" s="10"/>
      <c r="P11316" s="10"/>
      <c r="Q11316" s="10"/>
      <c r="R11316" s="10"/>
      <c r="S11316" s="10"/>
      <c r="T11316" s="10"/>
      <c r="U11316" s="10"/>
      <c r="V11316" s="10"/>
      <c r="W11316" s="10"/>
      <c r="X11316" s="10"/>
      <c r="Y11316" s="10"/>
      <c r="Z11316" s="10"/>
    </row>
    <row r="11317" spans="1:26" ht="12.75">
      <c r="A11317" s="10"/>
      <c r="B11317" s="10"/>
      <c r="C11317" s="10"/>
      <c r="D11317" s="10"/>
      <c r="E11317" s="10"/>
      <c r="F11317" s="10"/>
      <c r="G11317" s="10"/>
      <c r="H11317" s="10"/>
      <c r="I11317" s="10"/>
      <c r="J11317" s="10"/>
      <c r="K11317" s="10"/>
      <c r="L11317" s="10"/>
      <c r="M11317" s="10"/>
      <c r="N11317" s="10"/>
      <c r="O11317" s="10"/>
      <c r="P11317" s="10"/>
      <c r="Q11317" s="10"/>
      <c r="R11317" s="10"/>
      <c r="S11317" s="10"/>
      <c r="T11317" s="10"/>
      <c r="U11317" s="10"/>
      <c r="V11317" s="10"/>
      <c r="W11317" s="10"/>
      <c r="X11317" s="10"/>
      <c r="Y11317" s="10"/>
      <c r="Z11317" s="10"/>
    </row>
    <row r="11318" spans="1:26" ht="12.75">
      <c r="A11318" s="10"/>
      <c r="B11318" s="10"/>
      <c r="C11318" s="10"/>
      <c r="D11318" s="10"/>
      <c r="E11318" s="10"/>
      <c r="F11318" s="10"/>
      <c r="G11318" s="10"/>
      <c r="H11318" s="10"/>
      <c r="I11318" s="10"/>
      <c r="J11318" s="10"/>
      <c r="K11318" s="10"/>
      <c r="L11318" s="10"/>
      <c r="M11318" s="10"/>
      <c r="N11318" s="10"/>
      <c r="O11318" s="10"/>
      <c r="P11318" s="10"/>
      <c r="Q11318" s="10"/>
      <c r="R11318" s="10"/>
      <c r="S11318" s="10"/>
      <c r="T11318" s="10"/>
      <c r="U11318" s="10"/>
      <c r="V11318" s="10"/>
      <c r="W11318" s="10"/>
      <c r="X11318" s="10"/>
      <c r="Y11318" s="10"/>
      <c r="Z11318" s="10"/>
    </row>
    <row r="11319" spans="1:26" ht="12.75">
      <c r="A11319" s="10"/>
      <c r="B11319" s="10"/>
      <c r="C11319" s="10"/>
      <c r="D11319" s="10"/>
      <c r="E11319" s="10"/>
      <c r="F11319" s="10"/>
      <c r="G11319" s="10"/>
      <c r="H11319" s="10"/>
      <c r="I11319" s="10"/>
      <c r="J11319" s="10"/>
      <c r="K11319" s="10"/>
      <c r="L11319" s="10"/>
      <c r="M11319" s="10"/>
      <c r="N11319" s="10"/>
      <c r="O11319" s="10"/>
      <c r="P11319" s="10"/>
      <c r="Q11319" s="10"/>
      <c r="R11319" s="10"/>
      <c r="S11319" s="10"/>
      <c r="T11319" s="10"/>
      <c r="U11319" s="10"/>
      <c r="V11319" s="10"/>
      <c r="W11319" s="10"/>
      <c r="X11319" s="10"/>
      <c r="Y11319" s="10"/>
      <c r="Z11319" s="10"/>
    </row>
    <row r="11320" spans="1:26" ht="12.75">
      <c r="A11320" s="10"/>
      <c r="B11320" s="10"/>
      <c r="C11320" s="10"/>
      <c r="D11320" s="10"/>
      <c r="E11320" s="10"/>
      <c r="F11320" s="10"/>
      <c r="G11320" s="10"/>
      <c r="H11320" s="10"/>
      <c r="I11320" s="10"/>
      <c r="J11320" s="10"/>
      <c r="K11320" s="10"/>
      <c r="L11320" s="10"/>
      <c r="M11320" s="10"/>
      <c r="N11320" s="10"/>
      <c r="O11320" s="10"/>
      <c r="P11320" s="10"/>
      <c r="Q11320" s="10"/>
      <c r="R11320" s="10"/>
      <c r="S11320" s="10"/>
      <c r="T11320" s="10"/>
      <c r="U11320" s="10"/>
      <c r="V11320" s="10"/>
      <c r="W11320" s="10"/>
      <c r="X11320" s="10"/>
      <c r="Y11320" s="10"/>
      <c r="Z11320" s="10"/>
    </row>
    <row r="11321" spans="1:26" ht="12.75">
      <c r="A11321" s="10"/>
      <c r="B11321" s="10"/>
      <c r="C11321" s="10"/>
      <c r="D11321" s="10"/>
      <c r="E11321" s="10"/>
      <c r="F11321" s="10"/>
      <c r="G11321" s="10"/>
      <c r="H11321" s="10"/>
      <c r="I11321" s="10"/>
      <c r="J11321" s="10"/>
      <c r="K11321" s="10"/>
      <c r="L11321" s="10"/>
      <c r="M11321" s="10"/>
      <c r="N11321" s="10"/>
      <c r="O11321" s="10"/>
      <c r="P11321" s="10"/>
      <c r="Q11321" s="10"/>
      <c r="R11321" s="10"/>
      <c r="S11321" s="10"/>
      <c r="T11321" s="10"/>
      <c r="U11321" s="10"/>
      <c r="V11321" s="10"/>
      <c r="W11321" s="10"/>
      <c r="X11321" s="10"/>
      <c r="Y11321" s="10"/>
      <c r="Z11321" s="10"/>
    </row>
    <row r="11322" spans="1:26" ht="12.75">
      <c r="A11322" s="10"/>
      <c r="B11322" s="10"/>
      <c r="C11322" s="10"/>
      <c r="D11322" s="10"/>
      <c r="E11322" s="10"/>
      <c r="F11322" s="10"/>
      <c r="G11322" s="10"/>
      <c r="H11322" s="10"/>
      <c r="I11322" s="10"/>
      <c r="J11322" s="10"/>
      <c r="K11322" s="10"/>
      <c r="L11322" s="10"/>
      <c r="M11322" s="10"/>
      <c r="N11322" s="10"/>
      <c r="O11322" s="10"/>
      <c r="P11322" s="10"/>
      <c r="Q11322" s="10"/>
      <c r="R11322" s="10"/>
      <c r="S11322" s="10"/>
      <c r="T11322" s="10"/>
      <c r="U11322" s="10"/>
      <c r="V11322" s="10"/>
      <c r="W11322" s="10"/>
      <c r="X11322" s="10"/>
      <c r="Y11322" s="10"/>
      <c r="Z11322" s="10"/>
    </row>
    <row r="11323" spans="1:26" ht="12.75">
      <c r="A11323" s="10"/>
      <c r="B11323" s="10"/>
      <c r="C11323" s="10"/>
      <c r="D11323" s="10"/>
      <c r="E11323" s="10"/>
      <c r="F11323" s="10"/>
      <c r="G11323" s="10"/>
      <c r="H11323" s="10"/>
      <c r="I11323" s="10"/>
      <c r="J11323" s="10"/>
      <c r="K11323" s="10"/>
      <c r="L11323" s="10"/>
      <c r="M11323" s="10"/>
      <c r="N11323" s="10"/>
      <c r="O11323" s="10"/>
      <c r="P11323" s="10"/>
      <c r="Q11323" s="10"/>
      <c r="R11323" s="10"/>
      <c r="S11323" s="10"/>
      <c r="T11323" s="10"/>
      <c r="U11323" s="10"/>
      <c r="V11323" s="10"/>
      <c r="W11323" s="10"/>
      <c r="X11323" s="10"/>
      <c r="Y11323" s="10"/>
      <c r="Z11323" s="10"/>
    </row>
    <row r="11324" spans="1:26" ht="12.75">
      <c r="A11324" s="10"/>
      <c r="B11324" s="10"/>
      <c r="C11324" s="10"/>
      <c r="D11324" s="10"/>
      <c r="E11324" s="10"/>
      <c r="F11324" s="10"/>
      <c r="G11324" s="10"/>
      <c r="H11324" s="10"/>
      <c r="I11324" s="10"/>
      <c r="J11324" s="10"/>
      <c r="K11324" s="10"/>
      <c r="L11324" s="10"/>
      <c r="M11324" s="10"/>
      <c r="N11324" s="10"/>
      <c r="O11324" s="10"/>
      <c r="P11324" s="10"/>
      <c r="Q11324" s="10"/>
      <c r="R11324" s="10"/>
      <c r="S11324" s="10"/>
      <c r="T11324" s="10"/>
      <c r="U11324" s="10"/>
      <c r="V11324" s="10"/>
      <c r="W11324" s="10"/>
      <c r="X11324" s="10"/>
      <c r="Y11324" s="10"/>
      <c r="Z11324" s="10"/>
    </row>
    <row r="11325" spans="1:26" ht="12.75">
      <c r="A11325" s="10"/>
      <c r="B11325" s="10"/>
      <c r="C11325" s="10"/>
      <c r="D11325" s="10"/>
      <c r="E11325" s="10"/>
      <c r="F11325" s="10"/>
      <c r="G11325" s="10"/>
      <c r="H11325" s="10"/>
      <c r="I11325" s="10"/>
      <c r="J11325" s="10"/>
      <c r="K11325" s="10"/>
      <c r="L11325" s="10"/>
      <c r="M11325" s="10"/>
      <c r="N11325" s="10"/>
      <c r="O11325" s="10"/>
      <c r="P11325" s="10"/>
      <c r="Q11325" s="10"/>
      <c r="R11325" s="10"/>
      <c r="S11325" s="10"/>
      <c r="T11325" s="10"/>
      <c r="U11325" s="10"/>
      <c r="V11325" s="10"/>
      <c r="W11325" s="10"/>
      <c r="X11325" s="10"/>
      <c r="Y11325" s="10"/>
      <c r="Z11325" s="10"/>
    </row>
    <row r="11326" spans="1:26" ht="12.75">
      <c r="A11326" s="10"/>
      <c r="B11326" s="10"/>
      <c r="C11326" s="10"/>
      <c r="D11326" s="10"/>
      <c r="E11326" s="10"/>
      <c r="F11326" s="10"/>
      <c r="G11326" s="10"/>
      <c r="H11326" s="10"/>
      <c r="I11326" s="10"/>
      <c r="J11326" s="10"/>
      <c r="K11326" s="10"/>
      <c r="L11326" s="10"/>
      <c r="M11326" s="10"/>
      <c r="N11326" s="10"/>
      <c r="O11326" s="10"/>
      <c r="P11326" s="10"/>
      <c r="Q11326" s="10"/>
      <c r="R11326" s="10"/>
      <c r="S11326" s="10"/>
      <c r="T11326" s="10"/>
      <c r="U11326" s="10"/>
      <c r="V11326" s="10"/>
      <c r="W11326" s="10"/>
      <c r="X11326" s="10"/>
      <c r="Y11326" s="10"/>
      <c r="Z11326" s="10"/>
    </row>
    <row r="11327" spans="1:26" ht="12.75">
      <c r="A11327" s="10"/>
      <c r="B11327" s="10"/>
      <c r="C11327" s="10"/>
      <c r="D11327" s="10"/>
      <c r="E11327" s="10"/>
      <c r="F11327" s="10"/>
      <c r="G11327" s="10"/>
      <c r="H11327" s="10"/>
      <c r="I11327" s="10"/>
      <c r="J11327" s="10"/>
      <c r="K11327" s="10"/>
      <c r="L11327" s="10"/>
      <c r="M11327" s="10"/>
      <c r="N11327" s="10"/>
      <c r="O11327" s="10"/>
      <c r="P11327" s="10"/>
      <c r="Q11327" s="10"/>
      <c r="R11327" s="10"/>
      <c r="S11327" s="10"/>
      <c r="T11327" s="10"/>
      <c r="U11327" s="10"/>
      <c r="V11327" s="10"/>
      <c r="W11327" s="10"/>
      <c r="X11327" s="10"/>
      <c r="Y11327" s="10"/>
      <c r="Z11327" s="10"/>
    </row>
    <row r="11328" spans="1:26" ht="12.75">
      <c r="A11328" s="10"/>
      <c r="B11328" s="10"/>
      <c r="C11328" s="10"/>
      <c r="D11328" s="10"/>
      <c r="E11328" s="10"/>
      <c r="F11328" s="10"/>
      <c r="G11328" s="10"/>
      <c r="H11328" s="10"/>
      <c r="I11328" s="10"/>
      <c r="J11328" s="10"/>
      <c r="K11328" s="10"/>
      <c r="L11328" s="10"/>
      <c r="M11328" s="10"/>
      <c r="N11328" s="10"/>
      <c r="O11328" s="10"/>
      <c r="P11328" s="10"/>
      <c r="Q11328" s="10"/>
      <c r="R11328" s="10"/>
      <c r="S11328" s="10"/>
      <c r="T11328" s="10"/>
      <c r="U11328" s="10"/>
      <c r="V11328" s="10"/>
      <c r="W11328" s="10"/>
      <c r="X11328" s="10"/>
      <c r="Y11328" s="10"/>
      <c r="Z11328" s="10"/>
    </row>
    <row r="11329" spans="1:26" ht="12.75">
      <c r="A11329" s="10"/>
      <c r="B11329" s="10"/>
      <c r="C11329" s="10"/>
      <c r="D11329" s="10"/>
      <c r="E11329" s="10"/>
      <c r="F11329" s="10"/>
      <c r="G11329" s="10"/>
      <c r="H11329" s="10"/>
      <c r="I11329" s="10"/>
      <c r="J11329" s="10"/>
      <c r="K11329" s="10"/>
      <c r="L11329" s="10"/>
      <c r="M11329" s="10"/>
      <c r="N11329" s="10"/>
      <c r="O11329" s="10"/>
      <c r="P11329" s="10"/>
      <c r="Q11329" s="10"/>
      <c r="R11329" s="10"/>
      <c r="S11329" s="10"/>
      <c r="T11329" s="10"/>
      <c r="U11329" s="10"/>
      <c r="V11329" s="10"/>
      <c r="W11329" s="10"/>
      <c r="X11329" s="10"/>
      <c r="Y11329" s="10"/>
      <c r="Z11329" s="10"/>
    </row>
    <row r="11330" spans="1:26" ht="12.75">
      <c r="A11330" s="10"/>
      <c r="B11330" s="10"/>
      <c r="C11330" s="10"/>
      <c r="D11330" s="10"/>
      <c r="E11330" s="10"/>
      <c r="F11330" s="10"/>
      <c r="G11330" s="10"/>
      <c r="H11330" s="10"/>
      <c r="I11330" s="10"/>
      <c r="J11330" s="10"/>
      <c r="K11330" s="10"/>
      <c r="L11330" s="10"/>
      <c r="M11330" s="10"/>
      <c r="N11330" s="10"/>
      <c r="O11330" s="10"/>
      <c r="P11330" s="10"/>
      <c r="Q11330" s="10"/>
      <c r="R11330" s="10"/>
      <c r="S11330" s="10"/>
      <c r="T11330" s="10"/>
      <c r="U11330" s="10"/>
      <c r="V11330" s="10"/>
      <c r="W11330" s="10"/>
      <c r="X11330" s="10"/>
      <c r="Y11330" s="10"/>
      <c r="Z11330" s="10"/>
    </row>
    <row r="11331" spans="1:26" ht="12.75">
      <c r="A11331" s="10"/>
      <c r="B11331" s="10"/>
      <c r="C11331" s="10"/>
      <c r="D11331" s="10"/>
      <c r="E11331" s="10"/>
      <c r="F11331" s="10"/>
      <c r="G11331" s="10"/>
      <c r="H11331" s="10"/>
      <c r="I11331" s="10"/>
      <c r="J11331" s="10"/>
      <c r="K11331" s="10"/>
      <c r="L11331" s="10"/>
      <c r="M11331" s="10"/>
      <c r="N11331" s="10"/>
      <c r="O11331" s="10"/>
      <c r="P11331" s="10"/>
      <c r="Q11331" s="10"/>
      <c r="R11331" s="10"/>
      <c r="S11331" s="10"/>
      <c r="T11331" s="10"/>
      <c r="U11331" s="10"/>
      <c r="V11331" s="10"/>
      <c r="W11331" s="10"/>
      <c r="X11331" s="10"/>
      <c r="Y11331" s="10"/>
      <c r="Z11331" s="10"/>
    </row>
    <row r="11332" spans="1:26" ht="12.75">
      <c r="A11332" s="10"/>
      <c r="B11332" s="10"/>
      <c r="C11332" s="10"/>
      <c r="D11332" s="10"/>
      <c r="E11332" s="10"/>
      <c r="F11332" s="10"/>
      <c r="G11332" s="10"/>
      <c r="H11332" s="10"/>
      <c r="I11332" s="10"/>
      <c r="J11332" s="10"/>
      <c r="K11332" s="10"/>
      <c r="L11332" s="10"/>
      <c r="M11332" s="10"/>
      <c r="N11332" s="10"/>
      <c r="O11332" s="10"/>
      <c r="P11332" s="10"/>
      <c r="Q11332" s="10"/>
      <c r="R11332" s="10"/>
      <c r="S11332" s="10"/>
      <c r="T11332" s="10"/>
      <c r="U11332" s="10"/>
      <c r="V11332" s="10"/>
      <c r="W11332" s="10"/>
      <c r="X11332" s="10"/>
      <c r="Y11332" s="10"/>
      <c r="Z11332" s="10"/>
    </row>
    <row r="11333" spans="1:26" ht="12.75">
      <c r="A11333" s="10"/>
      <c r="B11333" s="10"/>
      <c r="C11333" s="10"/>
      <c r="D11333" s="10"/>
      <c r="E11333" s="10"/>
      <c r="F11333" s="10"/>
      <c r="G11333" s="10"/>
      <c r="H11333" s="10"/>
      <c r="I11333" s="10"/>
      <c r="J11333" s="10"/>
      <c r="K11333" s="10"/>
      <c r="L11333" s="10"/>
      <c r="M11333" s="10"/>
      <c r="N11333" s="10"/>
      <c r="O11333" s="10"/>
      <c r="P11333" s="10"/>
      <c r="Q11333" s="10"/>
      <c r="R11333" s="10"/>
      <c r="S11333" s="10"/>
      <c r="T11333" s="10"/>
      <c r="U11333" s="10"/>
      <c r="V11333" s="10"/>
      <c r="W11333" s="10"/>
      <c r="X11333" s="10"/>
      <c r="Y11333" s="10"/>
      <c r="Z11333" s="10"/>
    </row>
    <row r="11334" spans="1:26" ht="12.75">
      <c r="A11334" s="10"/>
      <c r="B11334" s="10"/>
      <c r="C11334" s="10"/>
      <c r="D11334" s="10"/>
      <c r="E11334" s="10"/>
      <c r="F11334" s="10"/>
      <c r="G11334" s="10"/>
      <c r="H11334" s="10"/>
      <c r="I11334" s="10"/>
      <c r="J11334" s="10"/>
      <c r="K11334" s="10"/>
      <c r="L11334" s="10"/>
      <c r="M11334" s="10"/>
      <c r="N11334" s="10"/>
      <c r="O11334" s="10"/>
      <c r="P11334" s="10"/>
      <c r="Q11334" s="10"/>
      <c r="R11334" s="10"/>
      <c r="S11334" s="10"/>
      <c r="T11334" s="10"/>
      <c r="U11334" s="10"/>
      <c r="V11334" s="10"/>
      <c r="W11334" s="10"/>
      <c r="X11334" s="10"/>
      <c r="Y11334" s="10"/>
      <c r="Z11334" s="10"/>
    </row>
    <row r="11335" spans="1:26" ht="12.75">
      <c r="A11335" s="10"/>
      <c r="B11335" s="10"/>
      <c r="C11335" s="10"/>
      <c r="D11335" s="10"/>
      <c r="E11335" s="10"/>
      <c r="F11335" s="10"/>
      <c r="G11335" s="10"/>
      <c r="H11335" s="10"/>
      <c r="I11335" s="10"/>
      <c r="J11335" s="10"/>
      <c r="K11335" s="10"/>
      <c r="L11335" s="10"/>
      <c r="M11335" s="10"/>
      <c r="N11335" s="10"/>
      <c r="O11335" s="10"/>
      <c r="P11335" s="10"/>
      <c r="Q11335" s="10"/>
      <c r="R11335" s="10"/>
      <c r="S11335" s="10"/>
      <c r="T11335" s="10"/>
      <c r="U11335" s="10"/>
      <c r="V11335" s="10"/>
      <c r="W11335" s="10"/>
      <c r="X11335" s="10"/>
      <c r="Y11335" s="10"/>
      <c r="Z11335" s="10"/>
    </row>
    <row r="11336" spans="1:26" ht="12.75">
      <c r="A11336" s="10"/>
      <c r="B11336" s="10"/>
      <c r="C11336" s="10"/>
      <c r="D11336" s="10"/>
      <c r="E11336" s="10"/>
      <c r="F11336" s="10"/>
      <c r="G11336" s="10"/>
      <c r="H11336" s="10"/>
      <c r="I11336" s="10"/>
      <c r="J11336" s="10"/>
      <c r="K11336" s="10"/>
      <c r="L11336" s="10"/>
      <c r="M11336" s="10"/>
      <c r="N11336" s="10"/>
      <c r="O11336" s="10"/>
      <c r="P11336" s="10"/>
      <c r="Q11336" s="10"/>
      <c r="R11336" s="10"/>
      <c r="S11336" s="10"/>
      <c r="T11336" s="10"/>
      <c r="U11336" s="10"/>
      <c r="V11336" s="10"/>
      <c r="W11336" s="10"/>
      <c r="X11336" s="10"/>
      <c r="Y11336" s="10"/>
      <c r="Z11336" s="10"/>
    </row>
    <row r="11337" spans="1:26" ht="12.75">
      <c r="A11337" s="10"/>
      <c r="B11337" s="10"/>
      <c r="C11337" s="10"/>
      <c r="D11337" s="10"/>
      <c r="E11337" s="10"/>
      <c r="F11337" s="10"/>
      <c r="G11337" s="10"/>
      <c r="H11337" s="10"/>
      <c r="I11337" s="10"/>
      <c r="J11337" s="10"/>
      <c r="K11337" s="10"/>
      <c r="L11337" s="10"/>
      <c r="M11337" s="10"/>
      <c r="N11337" s="10"/>
      <c r="O11337" s="10"/>
      <c r="P11337" s="10"/>
      <c r="Q11337" s="10"/>
      <c r="R11337" s="10"/>
      <c r="S11337" s="10"/>
      <c r="T11337" s="10"/>
      <c r="U11337" s="10"/>
      <c r="V11337" s="10"/>
      <c r="W11337" s="10"/>
      <c r="X11337" s="10"/>
      <c r="Y11337" s="10"/>
      <c r="Z11337" s="10"/>
    </row>
    <row r="11338" spans="1:26" ht="12.75">
      <c r="A11338" s="10"/>
      <c r="B11338" s="10"/>
      <c r="C11338" s="10"/>
      <c r="D11338" s="10"/>
      <c r="E11338" s="10"/>
      <c r="F11338" s="10"/>
      <c r="G11338" s="10"/>
      <c r="H11338" s="10"/>
      <c r="I11338" s="10"/>
      <c r="J11338" s="10"/>
      <c r="K11338" s="10"/>
      <c r="L11338" s="10"/>
      <c r="M11338" s="10"/>
      <c r="N11338" s="10"/>
      <c r="O11338" s="10"/>
      <c r="P11338" s="10"/>
      <c r="Q11338" s="10"/>
      <c r="R11338" s="10"/>
      <c r="S11338" s="10"/>
      <c r="T11338" s="10"/>
      <c r="U11338" s="10"/>
      <c r="V11338" s="10"/>
      <c r="W11338" s="10"/>
      <c r="X11338" s="10"/>
      <c r="Y11338" s="10"/>
      <c r="Z11338" s="10"/>
    </row>
    <row r="11339" spans="1:26" ht="12.75">
      <c r="A11339" s="10"/>
      <c r="B11339" s="10"/>
      <c r="C11339" s="10"/>
      <c r="D11339" s="10"/>
      <c r="E11339" s="10"/>
      <c r="F11339" s="10"/>
      <c r="G11339" s="10"/>
      <c r="H11339" s="10"/>
      <c r="I11339" s="10"/>
      <c r="J11339" s="10"/>
      <c r="K11339" s="10"/>
      <c r="L11339" s="10"/>
      <c r="M11339" s="10"/>
      <c r="N11339" s="10"/>
      <c r="O11339" s="10"/>
      <c r="P11339" s="10"/>
      <c r="Q11339" s="10"/>
      <c r="R11339" s="10"/>
      <c r="S11339" s="10"/>
      <c r="T11339" s="10"/>
      <c r="U11339" s="10"/>
      <c r="V11339" s="10"/>
      <c r="W11339" s="10"/>
      <c r="X11339" s="10"/>
      <c r="Y11339" s="10"/>
      <c r="Z11339" s="10"/>
    </row>
    <row r="11340" spans="1:26" ht="12.75">
      <c r="A11340" s="10"/>
      <c r="B11340" s="10"/>
      <c r="C11340" s="10"/>
      <c r="D11340" s="10"/>
      <c r="E11340" s="10"/>
      <c r="F11340" s="10"/>
      <c r="G11340" s="10"/>
      <c r="H11340" s="10"/>
      <c r="I11340" s="10"/>
      <c r="J11340" s="10"/>
      <c r="K11340" s="10"/>
      <c r="L11340" s="10"/>
      <c r="M11340" s="10"/>
      <c r="N11340" s="10"/>
      <c r="O11340" s="10"/>
      <c r="P11340" s="10"/>
      <c r="Q11340" s="10"/>
      <c r="R11340" s="10"/>
      <c r="S11340" s="10"/>
      <c r="T11340" s="10"/>
      <c r="U11340" s="10"/>
      <c r="V11340" s="10"/>
      <c r="W11340" s="10"/>
      <c r="X11340" s="10"/>
      <c r="Y11340" s="10"/>
      <c r="Z11340" s="10"/>
    </row>
    <row r="11341" spans="1:26" ht="12.75">
      <c r="A11341" s="10"/>
      <c r="B11341" s="10"/>
      <c r="C11341" s="10"/>
      <c r="D11341" s="10"/>
      <c r="E11341" s="10"/>
      <c r="F11341" s="10"/>
      <c r="G11341" s="10"/>
      <c r="H11341" s="10"/>
      <c r="I11341" s="10"/>
      <c r="J11341" s="10"/>
      <c r="K11341" s="10"/>
      <c r="L11341" s="10"/>
      <c r="M11341" s="10"/>
      <c r="N11341" s="10"/>
      <c r="O11341" s="10"/>
      <c r="P11341" s="10"/>
      <c r="Q11341" s="10"/>
      <c r="R11341" s="10"/>
      <c r="S11341" s="10"/>
      <c r="T11341" s="10"/>
      <c r="U11341" s="10"/>
      <c r="V11341" s="10"/>
      <c r="W11341" s="10"/>
      <c r="X11341" s="10"/>
      <c r="Y11341" s="10"/>
      <c r="Z11341" s="10"/>
    </row>
    <row r="11342" spans="1:26" ht="12.75">
      <c r="A11342" s="10"/>
      <c r="B11342" s="10"/>
      <c r="C11342" s="10"/>
      <c r="D11342" s="10"/>
      <c r="E11342" s="10"/>
      <c r="F11342" s="10"/>
      <c r="G11342" s="10"/>
      <c r="H11342" s="10"/>
      <c r="I11342" s="10"/>
      <c r="J11342" s="10"/>
      <c r="K11342" s="10"/>
      <c r="L11342" s="10"/>
      <c r="M11342" s="10"/>
      <c r="N11342" s="10"/>
      <c r="O11342" s="10"/>
      <c r="P11342" s="10"/>
      <c r="Q11342" s="10"/>
      <c r="R11342" s="10"/>
      <c r="S11342" s="10"/>
      <c r="T11342" s="10"/>
      <c r="U11342" s="10"/>
      <c r="V11342" s="10"/>
      <c r="W11342" s="10"/>
      <c r="X11342" s="10"/>
      <c r="Y11342" s="10"/>
      <c r="Z11342" s="10"/>
    </row>
    <row r="11343" spans="1:26" ht="12.75">
      <c r="A11343" s="10"/>
      <c r="B11343" s="10"/>
      <c r="C11343" s="10"/>
      <c r="D11343" s="10"/>
      <c r="E11343" s="10"/>
      <c r="F11343" s="10"/>
      <c r="G11343" s="10"/>
      <c r="H11343" s="10"/>
      <c r="I11343" s="10"/>
      <c r="J11343" s="10"/>
      <c r="K11343" s="10"/>
      <c r="L11343" s="10"/>
      <c r="M11343" s="10"/>
      <c r="N11343" s="10"/>
      <c r="O11343" s="10"/>
      <c r="P11343" s="10"/>
      <c r="Q11343" s="10"/>
      <c r="R11343" s="10"/>
      <c r="S11343" s="10"/>
      <c r="T11343" s="10"/>
      <c r="U11343" s="10"/>
      <c r="V11343" s="10"/>
      <c r="W11343" s="10"/>
      <c r="X11343" s="10"/>
      <c r="Y11343" s="10"/>
      <c r="Z11343" s="10"/>
    </row>
    <row r="11344" spans="1:26" ht="12.75">
      <c r="A11344" s="10"/>
      <c r="B11344" s="10"/>
      <c r="C11344" s="10"/>
      <c r="D11344" s="10"/>
      <c r="E11344" s="10"/>
      <c r="F11344" s="10"/>
      <c r="G11344" s="10"/>
      <c r="H11344" s="10"/>
      <c r="I11344" s="10"/>
      <c r="J11344" s="10"/>
      <c r="K11344" s="10"/>
      <c r="L11344" s="10"/>
      <c r="M11344" s="10"/>
      <c r="N11344" s="10"/>
      <c r="O11344" s="10"/>
      <c r="P11344" s="10"/>
      <c r="Q11344" s="10"/>
      <c r="R11344" s="10"/>
      <c r="S11344" s="10"/>
      <c r="T11344" s="10"/>
      <c r="U11344" s="10"/>
      <c r="V11344" s="10"/>
      <c r="W11344" s="10"/>
      <c r="X11344" s="10"/>
      <c r="Y11344" s="10"/>
      <c r="Z11344" s="10"/>
    </row>
    <row r="11345" spans="1:26" ht="12.75">
      <c r="A11345" s="10"/>
      <c r="B11345" s="10"/>
      <c r="C11345" s="10"/>
      <c r="D11345" s="10"/>
      <c r="E11345" s="10"/>
      <c r="F11345" s="10"/>
      <c r="G11345" s="10"/>
      <c r="H11345" s="10"/>
      <c r="I11345" s="10"/>
      <c r="J11345" s="10"/>
      <c r="K11345" s="10"/>
      <c r="L11345" s="10"/>
      <c r="M11345" s="10"/>
      <c r="N11345" s="10"/>
      <c r="O11345" s="10"/>
      <c r="P11345" s="10"/>
      <c r="Q11345" s="10"/>
      <c r="R11345" s="10"/>
      <c r="S11345" s="10"/>
      <c r="T11345" s="10"/>
      <c r="U11345" s="10"/>
      <c r="V11345" s="10"/>
      <c r="W11345" s="10"/>
      <c r="X11345" s="10"/>
      <c r="Y11345" s="10"/>
      <c r="Z11345" s="10"/>
    </row>
    <row r="11346" spans="1:26" ht="12.75">
      <c r="A11346" s="10"/>
      <c r="B11346" s="10"/>
      <c r="C11346" s="10"/>
      <c r="D11346" s="10"/>
      <c r="E11346" s="10"/>
      <c r="F11346" s="10"/>
      <c r="G11346" s="10"/>
      <c r="H11346" s="10"/>
      <c r="I11346" s="10"/>
      <c r="J11346" s="10"/>
      <c r="K11346" s="10"/>
      <c r="L11346" s="10"/>
      <c r="M11346" s="10"/>
      <c r="N11346" s="10"/>
      <c r="O11346" s="10"/>
      <c r="P11346" s="10"/>
      <c r="Q11346" s="10"/>
      <c r="R11346" s="10"/>
      <c r="S11346" s="10"/>
      <c r="T11346" s="10"/>
      <c r="U11346" s="10"/>
      <c r="V11346" s="10"/>
      <c r="W11346" s="10"/>
      <c r="X11346" s="10"/>
      <c r="Y11346" s="10"/>
      <c r="Z11346" s="10"/>
    </row>
    <row r="11347" spans="1:26" ht="12.75">
      <c r="A11347" s="10"/>
      <c r="B11347" s="10"/>
      <c r="C11347" s="10"/>
      <c r="D11347" s="10"/>
      <c r="E11347" s="10"/>
      <c r="F11347" s="10"/>
      <c r="G11347" s="10"/>
      <c r="H11347" s="10"/>
      <c r="I11347" s="10"/>
      <c r="J11347" s="10"/>
      <c r="K11347" s="10"/>
      <c r="L11347" s="10"/>
      <c r="M11347" s="10"/>
      <c r="N11347" s="10"/>
      <c r="O11347" s="10"/>
      <c r="P11347" s="10"/>
      <c r="Q11347" s="10"/>
      <c r="R11347" s="10"/>
      <c r="S11347" s="10"/>
      <c r="T11347" s="10"/>
      <c r="U11347" s="10"/>
      <c r="V11347" s="10"/>
      <c r="W11347" s="10"/>
      <c r="X11347" s="10"/>
      <c r="Y11347" s="10"/>
      <c r="Z11347" s="10"/>
    </row>
    <row r="11348" spans="1:26" ht="12.75">
      <c r="A11348" s="10"/>
      <c r="B11348" s="10"/>
      <c r="C11348" s="10"/>
      <c r="D11348" s="10"/>
      <c r="E11348" s="10"/>
      <c r="F11348" s="10"/>
      <c r="G11348" s="10"/>
      <c r="H11348" s="10"/>
      <c r="I11348" s="10"/>
      <c r="J11348" s="10"/>
      <c r="K11348" s="10"/>
      <c r="L11348" s="10"/>
      <c r="M11348" s="10"/>
      <c r="N11348" s="10"/>
      <c r="O11348" s="10"/>
      <c r="P11348" s="10"/>
      <c r="Q11348" s="10"/>
      <c r="R11348" s="10"/>
      <c r="S11348" s="10"/>
      <c r="T11348" s="10"/>
      <c r="U11348" s="10"/>
      <c r="V11348" s="10"/>
      <c r="W11348" s="10"/>
      <c r="X11348" s="10"/>
      <c r="Y11348" s="10"/>
      <c r="Z11348" s="10"/>
    </row>
    <row r="11349" spans="1:26" ht="12.75">
      <c r="A11349" s="10"/>
      <c r="B11349" s="10"/>
      <c r="C11349" s="10"/>
      <c r="D11349" s="10"/>
      <c r="E11349" s="10"/>
      <c r="F11349" s="10"/>
      <c r="G11349" s="10"/>
      <c r="H11349" s="10"/>
      <c r="I11349" s="10"/>
      <c r="J11349" s="10"/>
      <c r="K11349" s="10"/>
      <c r="L11349" s="10"/>
      <c r="M11349" s="10"/>
      <c r="N11349" s="10"/>
      <c r="O11349" s="10"/>
      <c r="P11349" s="10"/>
      <c r="Q11349" s="10"/>
      <c r="R11349" s="10"/>
      <c r="S11349" s="10"/>
      <c r="T11349" s="10"/>
      <c r="U11349" s="10"/>
      <c r="V11349" s="10"/>
      <c r="W11349" s="10"/>
      <c r="X11349" s="10"/>
      <c r="Y11349" s="10"/>
      <c r="Z11349" s="10"/>
    </row>
    <row r="11350" spans="1:26" ht="12.75">
      <c r="A11350" s="10"/>
      <c r="B11350" s="10"/>
      <c r="C11350" s="10"/>
      <c r="D11350" s="10"/>
      <c r="E11350" s="10"/>
      <c r="F11350" s="10"/>
      <c r="G11350" s="10"/>
      <c r="H11350" s="10"/>
      <c r="I11350" s="10"/>
      <c r="J11350" s="10"/>
      <c r="K11350" s="10"/>
      <c r="L11350" s="10"/>
      <c r="M11350" s="10"/>
      <c r="N11350" s="10"/>
      <c r="O11350" s="10"/>
      <c r="P11350" s="10"/>
      <c r="Q11350" s="10"/>
      <c r="R11350" s="10"/>
      <c r="S11350" s="10"/>
      <c r="T11350" s="10"/>
      <c r="U11350" s="10"/>
      <c r="V11350" s="10"/>
      <c r="W11350" s="10"/>
      <c r="X11350" s="10"/>
      <c r="Y11350" s="10"/>
      <c r="Z11350" s="10"/>
    </row>
    <row r="11351" spans="1:26" ht="12.75">
      <c r="A11351" s="10"/>
      <c r="B11351" s="10"/>
      <c r="C11351" s="10"/>
      <c r="D11351" s="10"/>
      <c r="E11351" s="10"/>
      <c r="F11351" s="10"/>
      <c r="G11351" s="10"/>
      <c r="H11351" s="10"/>
      <c r="I11351" s="10"/>
      <c r="J11351" s="10"/>
      <c r="K11351" s="10"/>
      <c r="L11351" s="10"/>
      <c r="M11351" s="10"/>
      <c r="N11351" s="10"/>
      <c r="O11351" s="10"/>
      <c r="P11351" s="10"/>
      <c r="Q11351" s="10"/>
      <c r="R11351" s="10"/>
      <c r="S11351" s="10"/>
      <c r="T11351" s="10"/>
      <c r="U11351" s="10"/>
      <c r="V11351" s="10"/>
      <c r="W11351" s="10"/>
      <c r="X11351" s="10"/>
      <c r="Y11351" s="10"/>
      <c r="Z11351" s="10"/>
    </row>
    <row r="11352" spans="1:26" ht="12.75">
      <c r="A11352" s="10"/>
      <c r="B11352" s="10"/>
      <c r="C11352" s="10"/>
      <c r="D11352" s="10"/>
      <c r="E11352" s="10"/>
      <c r="F11352" s="10"/>
      <c r="G11352" s="10"/>
      <c r="H11352" s="10"/>
      <c r="I11352" s="10"/>
      <c r="J11352" s="10"/>
      <c r="K11352" s="10"/>
      <c r="L11352" s="10"/>
      <c r="M11352" s="10"/>
      <c r="N11352" s="10"/>
      <c r="O11352" s="10"/>
      <c r="P11352" s="10"/>
      <c r="Q11352" s="10"/>
      <c r="R11352" s="10"/>
      <c r="S11352" s="10"/>
      <c r="T11352" s="10"/>
      <c r="U11352" s="10"/>
      <c r="V11352" s="10"/>
      <c r="W11352" s="10"/>
      <c r="X11352" s="10"/>
      <c r="Y11352" s="10"/>
      <c r="Z11352" s="10"/>
    </row>
    <row r="11353" spans="1:26" ht="12.75">
      <c r="A11353" s="10"/>
      <c r="B11353" s="10"/>
      <c r="C11353" s="10"/>
      <c r="D11353" s="10"/>
      <c r="E11353" s="10"/>
      <c r="F11353" s="10"/>
      <c r="G11353" s="10"/>
      <c r="H11353" s="10"/>
      <c r="I11353" s="10"/>
      <c r="J11353" s="10"/>
      <c r="K11353" s="10"/>
      <c r="L11353" s="10"/>
      <c r="M11353" s="10"/>
      <c r="N11353" s="10"/>
      <c r="O11353" s="10"/>
      <c r="P11353" s="10"/>
      <c r="Q11353" s="10"/>
      <c r="R11353" s="10"/>
      <c r="S11353" s="10"/>
      <c r="T11353" s="10"/>
      <c r="U11353" s="10"/>
      <c r="V11353" s="10"/>
      <c r="W11353" s="10"/>
      <c r="X11353" s="10"/>
      <c r="Y11353" s="10"/>
      <c r="Z11353" s="10"/>
    </row>
    <row r="11354" spans="1:26" ht="12.75">
      <c r="A11354" s="10"/>
      <c r="B11354" s="10"/>
      <c r="C11354" s="10"/>
      <c r="D11354" s="10"/>
      <c r="E11354" s="10"/>
      <c r="F11354" s="10"/>
      <c r="G11354" s="10"/>
      <c r="H11354" s="10"/>
      <c r="I11354" s="10"/>
      <c r="J11354" s="10"/>
      <c r="K11354" s="10"/>
      <c r="L11354" s="10"/>
      <c r="M11354" s="10"/>
      <c r="N11354" s="10"/>
      <c r="O11354" s="10"/>
      <c r="P11354" s="10"/>
      <c r="Q11354" s="10"/>
      <c r="R11354" s="10"/>
      <c r="S11354" s="10"/>
      <c r="T11354" s="10"/>
      <c r="U11354" s="10"/>
      <c r="V11354" s="10"/>
      <c r="W11354" s="10"/>
      <c r="X11354" s="10"/>
      <c r="Y11354" s="10"/>
      <c r="Z11354" s="10"/>
    </row>
    <row r="11355" spans="1:26" ht="12.75">
      <c r="A11355" s="10"/>
      <c r="B11355" s="10"/>
      <c r="C11355" s="10"/>
      <c r="D11355" s="10"/>
      <c r="E11355" s="10"/>
      <c r="F11355" s="10"/>
      <c r="G11355" s="10"/>
      <c r="H11355" s="10"/>
      <c r="I11355" s="10"/>
      <c r="J11355" s="10"/>
      <c r="K11355" s="10"/>
      <c r="L11355" s="10"/>
      <c r="M11355" s="10"/>
      <c r="N11355" s="10"/>
      <c r="O11355" s="10"/>
      <c r="P11355" s="10"/>
      <c r="Q11355" s="10"/>
      <c r="R11355" s="10"/>
      <c r="S11355" s="10"/>
      <c r="T11355" s="10"/>
      <c r="U11355" s="10"/>
      <c r="V11355" s="10"/>
      <c r="W11355" s="10"/>
      <c r="X11355" s="10"/>
      <c r="Y11355" s="10"/>
      <c r="Z11355" s="10"/>
    </row>
    <row r="11356" spans="1:26" ht="12.75">
      <c r="A11356" s="10"/>
      <c r="B11356" s="10"/>
      <c r="C11356" s="10"/>
      <c r="D11356" s="10"/>
      <c r="E11356" s="10"/>
      <c r="F11356" s="10"/>
      <c r="G11356" s="10"/>
      <c r="H11356" s="10"/>
      <c r="I11356" s="10"/>
      <c r="J11356" s="10"/>
      <c r="K11356" s="10"/>
      <c r="L11356" s="10"/>
      <c r="M11356" s="10"/>
      <c r="N11356" s="10"/>
      <c r="O11356" s="10"/>
      <c r="P11356" s="10"/>
      <c r="Q11356" s="10"/>
      <c r="R11356" s="10"/>
      <c r="S11356" s="10"/>
      <c r="T11356" s="10"/>
      <c r="U11356" s="10"/>
      <c r="V11356" s="10"/>
      <c r="W11356" s="10"/>
      <c r="X11356" s="10"/>
      <c r="Y11356" s="10"/>
      <c r="Z11356" s="10"/>
    </row>
    <row r="11357" spans="1:26" ht="12.75">
      <c r="A11357" s="10"/>
      <c r="B11357" s="10"/>
      <c r="C11357" s="10"/>
      <c r="D11357" s="10"/>
      <c r="E11357" s="10"/>
      <c r="F11357" s="10"/>
      <c r="G11357" s="10"/>
      <c r="H11357" s="10"/>
      <c r="I11357" s="10"/>
      <c r="J11357" s="10"/>
      <c r="K11357" s="10"/>
      <c r="L11357" s="10"/>
      <c r="M11357" s="10"/>
      <c r="N11357" s="10"/>
      <c r="O11357" s="10"/>
      <c r="P11357" s="10"/>
      <c r="Q11357" s="10"/>
      <c r="R11357" s="10"/>
      <c r="S11357" s="10"/>
      <c r="T11357" s="10"/>
      <c r="U11357" s="10"/>
      <c r="V11357" s="10"/>
      <c r="W11357" s="10"/>
      <c r="X11357" s="10"/>
      <c r="Y11357" s="10"/>
      <c r="Z11357" s="10"/>
    </row>
    <row r="11358" spans="1:26" ht="12.75">
      <c r="A11358" s="10"/>
      <c r="B11358" s="10"/>
      <c r="C11358" s="10"/>
      <c r="D11358" s="10"/>
      <c r="E11358" s="10"/>
      <c r="F11358" s="10"/>
      <c r="G11358" s="10"/>
      <c r="H11358" s="10"/>
      <c r="I11358" s="10"/>
      <c r="J11358" s="10"/>
      <c r="K11358" s="10"/>
      <c r="L11358" s="10"/>
      <c r="M11358" s="10"/>
      <c r="N11358" s="10"/>
      <c r="O11358" s="10"/>
      <c r="P11358" s="10"/>
      <c r="Q11358" s="10"/>
      <c r="R11358" s="10"/>
      <c r="S11358" s="10"/>
      <c r="T11358" s="10"/>
      <c r="U11358" s="10"/>
      <c r="V11358" s="10"/>
      <c r="W11358" s="10"/>
      <c r="X11358" s="10"/>
      <c r="Y11358" s="10"/>
      <c r="Z11358" s="10"/>
    </row>
    <row r="11359" spans="1:26" ht="12.75">
      <c r="A11359" s="10"/>
      <c r="B11359" s="10"/>
      <c r="C11359" s="10"/>
      <c r="D11359" s="10"/>
      <c r="E11359" s="10"/>
      <c r="F11359" s="10"/>
      <c r="G11359" s="10"/>
      <c r="H11359" s="10"/>
      <c r="I11359" s="10"/>
      <c r="J11359" s="10"/>
      <c r="K11359" s="10"/>
      <c r="L11359" s="10"/>
      <c r="M11359" s="10"/>
      <c r="N11359" s="10"/>
      <c r="O11359" s="10"/>
      <c r="P11359" s="10"/>
      <c r="Q11359" s="10"/>
      <c r="R11359" s="10"/>
      <c r="S11359" s="10"/>
      <c r="T11359" s="10"/>
      <c r="U11359" s="10"/>
      <c r="V11359" s="10"/>
      <c r="W11359" s="10"/>
      <c r="X11359" s="10"/>
      <c r="Y11359" s="10"/>
      <c r="Z11359" s="10"/>
    </row>
    <row r="11360" spans="1:26" ht="12.75">
      <c r="A11360" s="10"/>
      <c r="B11360" s="10"/>
      <c r="C11360" s="10"/>
      <c r="D11360" s="10"/>
      <c r="E11360" s="10"/>
      <c r="F11360" s="10"/>
      <c r="G11360" s="10"/>
      <c r="H11360" s="10"/>
      <c r="I11360" s="10"/>
      <c r="J11360" s="10"/>
      <c r="K11360" s="10"/>
      <c r="L11360" s="10"/>
      <c r="M11360" s="10"/>
      <c r="N11360" s="10"/>
      <c r="O11360" s="10"/>
      <c r="P11360" s="10"/>
      <c r="Q11360" s="10"/>
      <c r="R11360" s="10"/>
      <c r="S11360" s="10"/>
      <c r="T11360" s="10"/>
      <c r="U11360" s="10"/>
      <c r="V11360" s="10"/>
      <c r="W11360" s="10"/>
      <c r="X11360" s="10"/>
      <c r="Y11360" s="10"/>
      <c r="Z11360" s="10"/>
    </row>
    <row r="11361" spans="1:26" ht="12.75">
      <c r="A11361" s="10"/>
      <c r="B11361" s="10"/>
      <c r="C11361" s="10"/>
      <c r="D11361" s="10"/>
      <c r="E11361" s="10"/>
      <c r="F11361" s="10"/>
      <c r="G11361" s="10"/>
      <c r="H11361" s="10"/>
      <c r="I11361" s="10"/>
      <c r="J11361" s="10"/>
      <c r="K11361" s="10"/>
      <c r="L11361" s="10"/>
      <c r="M11361" s="10"/>
      <c r="N11361" s="10"/>
      <c r="O11361" s="10"/>
      <c r="P11361" s="10"/>
      <c r="Q11361" s="10"/>
      <c r="R11361" s="10"/>
      <c r="S11361" s="10"/>
      <c r="T11361" s="10"/>
      <c r="U11361" s="10"/>
      <c r="V11361" s="10"/>
      <c r="W11361" s="10"/>
      <c r="X11361" s="10"/>
      <c r="Y11361" s="10"/>
      <c r="Z11361" s="10"/>
    </row>
    <row r="11362" spans="1:26" ht="12.75">
      <c r="A11362" s="10"/>
      <c r="B11362" s="10"/>
      <c r="C11362" s="10"/>
      <c r="D11362" s="10"/>
      <c r="E11362" s="10"/>
      <c r="F11362" s="10"/>
      <c r="G11362" s="10"/>
      <c r="H11362" s="10"/>
      <c r="I11362" s="10"/>
      <c r="J11362" s="10"/>
      <c r="K11362" s="10"/>
      <c r="L11362" s="10"/>
      <c r="M11362" s="10"/>
      <c r="N11362" s="10"/>
      <c r="O11362" s="10"/>
      <c r="P11362" s="10"/>
      <c r="Q11362" s="10"/>
      <c r="R11362" s="10"/>
      <c r="S11362" s="10"/>
      <c r="T11362" s="10"/>
      <c r="U11362" s="10"/>
      <c r="V11362" s="10"/>
      <c r="W11362" s="10"/>
      <c r="X11362" s="10"/>
      <c r="Y11362" s="10"/>
      <c r="Z11362" s="10"/>
    </row>
    <row r="11363" spans="1:26" ht="12.75">
      <c r="A11363" s="10"/>
      <c r="B11363" s="10"/>
      <c r="C11363" s="10"/>
      <c r="D11363" s="10"/>
      <c r="E11363" s="10"/>
      <c r="F11363" s="10"/>
      <c r="G11363" s="10"/>
      <c r="H11363" s="10"/>
      <c r="I11363" s="10"/>
      <c r="J11363" s="10"/>
      <c r="K11363" s="10"/>
      <c r="L11363" s="10"/>
      <c r="M11363" s="10"/>
      <c r="N11363" s="10"/>
      <c r="O11363" s="10"/>
      <c r="P11363" s="10"/>
      <c r="Q11363" s="10"/>
      <c r="R11363" s="10"/>
      <c r="S11363" s="10"/>
      <c r="T11363" s="10"/>
      <c r="U11363" s="10"/>
      <c r="V11363" s="10"/>
      <c r="W11363" s="10"/>
      <c r="X11363" s="10"/>
      <c r="Y11363" s="10"/>
      <c r="Z11363" s="10"/>
    </row>
    <row r="11364" spans="1:26" ht="12.75">
      <c r="A11364" s="10"/>
      <c r="B11364" s="10"/>
      <c r="C11364" s="10"/>
      <c r="D11364" s="10"/>
      <c r="E11364" s="10"/>
      <c r="F11364" s="10"/>
      <c r="G11364" s="10"/>
      <c r="H11364" s="10"/>
      <c r="I11364" s="10"/>
      <c r="J11364" s="10"/>
      <c r="K11364" s="10"/>
      <c r="L11364" s="10"/>
      <c r="M11364" s="10"/>
      <c r="N11364" s="10"/>
      <c r="O11364" s="10"/>
      <c r="P11364" s="10"/>
      <c r="Q11364" s="10"/>
      <c r="R11364" s="10"/>
      <c r="S11364" s="10"/>
      <c r="T11364" s="10"/>
      <c r="U11364" s="10"/>
      <c r="V11364" s="10"/>
      <c r="W11364" s="10"/>
      <c r="X11364" s="10"/>
      <c r="Y11364" s="10"/>
      <c r="Z11364" s="10"/>
    </row>
    <row r="11365" spans="1:26" ht="12.75">
      <c r="A11365" s="10"/>
      <c r="B11365" s="10"/>
      <c r="C11365" s="10"/>
      <c r="D11365" s="10"/>
      <c r="E11365" s="10"/>
      <c r="F11365" s="10"/>
      <c r="G11365" s="10"/>
      <c r="H11365" s="10"/>
      <c r="I11365" s="10"/>
      <c r="J11365" s="10"/>
      <c r="K11365" s="10"/>
      <c r="L11365" s="10"/>
      <c r="M11365" s="10"/>
      <c r="N11365" s="10"/>
      <c r="O11365" s="10"/>
      <c r="P11365" s="10"/>
      <c r="Q11365" s="10"/>
      <c r="R11365" s="10"/>
      <c r="S11365" s="10"/>
      <c r="T11365" s="10"/>
      <c r="U11365" s="10"/>
      <c r="V11365" s="10"/>
      <c r="W11365" s="10"/>
      <c r="X11365" s="10"/>
      <c r="Y11365" s="10"/>
      <c r="Z11365" s="10"/>
    </row>
    <row r="11366" spans="1:26" ht="12.75">
      <c r="A11366" s="10"/>
      <c r="B11366" s="10"/>
      <c r="C11366" s="10"/>
      <c r="D11366" s="10"/>
      <c r="E11366" s="10"/>
      <c r="F11366" s="10"/>
      <c r="G11366" s="10"/>
      <c r="H11366" s="10"/>
      <c r="I11366" s="10"/>
      <c r="J11366" s="10"/>
      <c r="K11366" s="10"/>
      <c r="L11366" s="10"/>
      <c r="M11366" s="10"/>
      <c r="N11366" s="10"/>
      <c r="O11366" s="10"/>
      <c r="P11366" s="10"/>
      <c r="Q11366" s="10"/>
      <c r="R11366" s="10"/>
      <c r="S11366" s="10"/>
      <c r="T11366" s="10"/>
      <c r="U11366" s="10"/>
      <c r="V11366" s="10"/>
      <c r="W11366" s="10"/>
      <c r="X11366" s="10"/>
      <c r="Y11366" s="10"/>
      <c r="Z11366" s="10"/>
    </row>
    <row r="11367" spans="1:26" ht="12.75">
      <c r="A11367" s="10"/>
      <c r="B11367" s="10"/>
      <c r="C11367" s="10"/>
      <c r="D11367" s="10"/>
      <c r="E11367" s="10"/>
      <c r="F11367" s="10"/>
      <c r="G11367" s="10"/>
      <c r="H11367" s="10"/>
      <c r="I11367" s="10"/>
      <c r="J11367" s="10"/>
      <c r="K11367" s="10"/>
      <c r="L11367" s="10"/>
      <c r="M11367" s="10"/>
      <c r="N11367" s="10"/>
      <c r="O11367" s="10"/>
      <c r="P11367" s="10"/>
      <c r="Q11367" s="10"/>
      <c r="R11367" s="10"/>
      <c r="S11367" s="10"/>
      <c r="T11367" s="10"/>
      <c r="U11367" s="10"/>
      <c r="V11367" s="10"/>
      <c r="W11367" s="10"/>
      <c r="X11367" s="10"/>
      <c r="Y11367" s="10"/>
      <c r="Z11367" s="10"/>
    </row>
    <row r="11368" spans="1:26" ht="12.75">
      <c r="A11368" s="10"/>
      <c r="B11368" s="10"/>
      <c r="C11368" s="10"/>
      <c r="D11368" s="10"/>
      <c r="E11368" s="10"/>
      <c r="F11368" s="10"/>
      <c r="G11368" s="10"/>
      <c r="H11368" s="10"/>
      <c r="I11368" s="10"/>
      <c r="J11368" s="10"/>
      <c r="K11368" s="10"/>
      <c r="L11368" s="10"/>
      <c r="M11368" s="10"/>
      <c r="N11368" s="10"/>
      <c r="O11368" s="10"/>
      <c r="P11368" s="10"/>
      <c r="Q11368" s="10"/>
      <c r="R11368" s="10"/>
      <c r="S11368" s="10"/>
      <c r="T11368" s="10"/>
      <c r="U11368" s="10"/>
      <c r="V11368" s="10"/>
      <c r="W11368" s="10"/>
      <c r="X11368" s="10"/>
      <c r="Y11368" s="10"/>
      <c r="Z11368" s="10"/>
    </row>
    <row r="11369" spans="1:26" ht="12.75">
      <c r="A11369" s="10"/>
      <c r="B11369" s="10"/>
      <c r="C11369" s="10"/>
      <c r="D11369" s="10"/>
      <c r="E11369" s="10"/>
      <c r="F11369" s="10"/>
      <c r="G11369" s="10"/>
      <c r="H11369" s="10"/>
      <c r="I11369" s="10"/>
      <c r="J11369" s="10"/>
      <c r="K11369" s="10"/>
      <c r="L11369" s="10"/>
      <c r="M11369" s="10"/>
      <c r="N11369" s="10"/>
      <c r="O11369" s="10"/>
      <c r="P11369" s="10"/>
      <c r="Q11369" s="10"/>
      <c r="R11369" s="10"/>
      <c r="S11369" s="10"/>
      <c r="T11369" s="10"/>
      <c r="U11369" s="10"/>
      <c r="V11369" s="10"/>
      <c r="W11369" s="10"/>
      <c r="X11369" s="10"/>
      <c r="Y11369" s="10"/>
      <c r="Z11369" s="10"/>
    </row>
    <row r="11370" spans="1:26" ht="12.75">
      <c r="A11370" s="10"/>
      <c r="B11370" s="10"/>
      <c r="C11370" s="10"/>
      <c r="D11370" s="10"/>
      <c r="E11370" s="10"/>
      <c r="F11370" s="10"/>
      <c r="G11370" s="10"/>
      <c r="H11370" s="10"/>
      <c r="I11370" s="10"/>
      <c r="J11370" s="10"/>
      <c r="K11370" s="10"/>
      <c r="L11370" s="10"/>
      <c r="M11370" s="10"/>
      <c r="N11370" s="10"/>
      <c r="O11370" s="10"/>
      <c r="P11370" s="10"/>
      <c r="Q11370" s="10"/>
      <c r="R11370" s="10"/>
      <c r="S11370" s="10"/>
      <c r="T11370" s="10"/>
      <c r="U11370" s="10"/>
      <c r="V11370" s="10"/>
      <c r="W11370" s="10"/>
      <c r="X11370" s="10"/>
      <c r="Y11370" s="10"/>
      <c r="Z11370" s="10"/>
    </row>
    <row r="11371" spans="1:26" ht="12.75">
      <c r="A11371" s="10"/>
      <c r="B11371" s="10"/>
      <c r="C11371" s="10"/>
      <c r="D11371" s="10"/>
      <c r="E11371" s="10"/>
      <c r="F11371" s="10"/>
      <c r="G11371" s="10"/>
      <c r="H11371" s="10"/>
      <c r="I11371" s="10"/>
      <c r="J11371" s="10"/>
      <c r="K11371" s="10"/>
      <c r="L11371" s="10"/>
      <c r="M11371" s="10"/>
      <c r="N11371" s="10"/>
      <c r="O11371" s="10"/>
      <c r="P11371" s="10"/>
      <c r="Q11371" s="10"/>
      <c r="R11371" s="10"/>
      <c r="S11371" s="10"/>
      <c r="T11371" s="10"/>
      <c r="U11371" s="10"/>
      <c r="V11371" s="10"/>
      <c r="W11371" s="10"/>
      <c r="X11371" s="10"/>
      <c r="Y11371" s="10"/>
      <c r="Z11371" s="10"/>
    </row>
    <row r="11372" spans="1:26" ht="12.75">
      <c r="A11372" s="10"/>
      <c r="B11372" s="10"/>
      <c r="C11372" s="10"/>
      <c r="D11372" s="10"/>
      <c r="E11372" s="10"/>
      <c r="F11372" s="10"/>
      <c r="G11372" s="10"/>
      <c r="H11372" s="10"/>
      <c r="I11372" s="10"/>
      <c r="J11372" s="10"/>
      <c r="K11372" s="10"/>
      <c r="L11372" s="10"/>
      <c r="M11372" s="10"/>
      <c r="N11372" s="10"/>
      <c r="O11372" s="10"/>
      <c r="P11372" s="10"/>
      <c r="Q11372" s="10"/>
      <c r="R11372" s="10"/>
      <c r="S11372" s="10"/>
      <c r="T11372" s="10"/>
      <c r="U11372" s="10"/>
      <c r="V11372" s="10"/>
      <c r="W11372" s="10"/>
      <c r="X11372" s="10"/>
      <c r="Y11372" s="10"/>
      <c r="Z11372" s="10"/>
    </row>
    <row r="11373" spans="1:26" ht="12.75">
      <c r="A11373" s="10"/>
      <c r="B11373" s="10"/>
      <c r="C11373" s="10"/>
      <c r="D11373" s="10"/>
      <c r="E11373" s="10"/>
      <c r="F11373" s="10"/>
      <c r="G11373" s="10"/>
      <c r="H11373" s="10"/>
      <c r="I11373" s="10"/>
      <c r="J11373" s="10"/>
      <c r="K11373" s="10"/>
      <c r="L11373" s="10"/>
      <c r="M11373" s="10"/>
      <c r="N11373" s="10"/>
      <c r="O11373" s="10"/>
      <c r="P11373" s="10"/>
      <c r="Q11373" s="10"/>
      <c r="R11373" s="10"/>
      <c r="S11373" s="10"/>
      <c r="T11373" s="10"/>
      <c r="U11373" s="10"/>
      <c r="V11373" s="10"/>
      <c r="W11373" s="10"/>
      <c r="X11373" s="10"/>
      <c r="Y11373" s="10"/>
      <c r="Z11373" s="10"/>
    </row>
    <row r="11374" spans="1:26" ht="12.75">
      <c r="A11374" s="10"/>
      <c r="B11374" s="10"/>
      <c r="C11374" s="10"/>
      <c r="D11374" s="10"/>
      <c r="E11374" s="10"/>
      <c r="F11374" s="10"/>
      <c r="G11374" s="10"/>
      <c r="H11374" s="10"/>
      <c r="I11374" s="10"/>
      <c r="J11374" s="10"/>
      <c r="K11374" s="10"/>
      <c r="L11374" s="10"/>
      <c r="M11374" s="10"/>
      <c r="N11374" s="10"/>
      <c r="O11374" s="10"/>
      <c r="P11374" s="10"/>
      <c r="Q11374" s="10"/>
      <c r="R11374" s="10"/>
      <c r="S11374" s="10"/>
      <c r="T11374" s="10"/>
      <c r="U11374" s="10"/>
      <c r="V11374" s="10"/>
      <c r="W11374" s="10"/>
      <c r="X11374" s="10"/>
      <c r="Y11374" s="10"/>
      <c r="Z11374" s="10"/>
    </row>
    <row r="11375" spans="1:26" ht="12.75">
      <c r="A11375" s="10"/>
      <c r="B11375" s="10"/>
      <c r="C11375" s="10"/>
      <c r="D11375" s="10"/>
      <c r="E11375" s="10"/>
      <c r="F11375" s="10"/>
      <c r="G11375" s="10"/>
      <c r="H11375" s="10"/>
      <c r="I11375" s="10"/>
      <c r="J11375" s="10"/>
      <c r="K11375" s="10"/>
      <c r="L11375" s="10"/>
      <c r="M11375" s="10"/>
      <c r="N11375" s="10"/>
      <c r="O11375" s="10"/>
      <c r="P11375" s="10"/>
      <c r="Q11375" s="10"/>
      <c r="R11375" s="10"/>
      <c r="S11375" s="10"/>
      <c r="T11375" s="10"/>
      <c r="U11375" s="10"/>
      <c r="V11375" s="10"/>
      <c r="W11375" s="10"/>
      <c r="X11375" s="10"/>
      <c r="Y11375" s="10"/>
      <c r="Z11375" s="10"/>
    </row>
    <row r="11376" spans="1:26" ht="12.75">
      <c r="A11376" s="10"/>
      <c r="B11376" s="10"/>
      <c r="C11376" s="10"/>
      <c r="D11376" s="10"/>
      <c r="E11376" s="10"/>
      <c r="F11376" s="10"/>
      <c r="G11376" s="10"/>
      <c r="H11376" s="10"/>
      <c r="I11376" s="10"/>
      <c r="J11376" s="10"/>
      <c r="K11376" s="10"/>
      <c r="L11376" s="10"/>
      <c r="M11376" s="10"/>
      <c r="N11376" s="10"/>
      <c r="O11376" s="10"/>
      <c r="P11376" s="10"/>
      <c r="Q11376" s="10"/>
      <c r="R11376" s="10"/>
      <c r="S11376" s="10"/>
      <c r="T11376" s="10"/>
      <c r="U11376" s="10"/>
      <c r="V11376" s="10"/>
      <c r="W11376" s="10"/>
      <c r="X11376" s="10"/>
      <c r="Y11376" s="10"/>
      <c r="Z11376" s="10"/>
    </row>
    <row r="11377" spans="1:26" ht="12.75">
      <c r="A11377" s="10"/>
      <c r="B11377" s="10"/>
      <c r="C11377" s="10"/>
      <c r="D11377" s="10"/>
      <c r="E11377" s="10"/>
      <c r="F11377" s="10"/>
      <c r="G11377" s="10"/>
      <c r="H11377" s="10"/>
      <c r="I11377" s="10"/>
      <c r="J11377" s="10"/>
      <c r="K11377" s="10"/>
      <c r="L11377" s="10"/>
      <c r="M11377" s="10"/>
      <c r="N11377" s="10"/>
      <c r="O11377" s="10"/>
      <c r="P11377" s="10"/>
      <c r="Q11377" s="10"/>
      <c r="R11377" s="10"/>
      <c r="S11377" s="10"/>
      <c r="T11377" s="10"/>
      <c r="U11377" s="10"/>
      <c r="V11377" s="10"/>
      <c r="W11377" s="10"/>
      <c r="X11377" s="10"/>
      <c r="Y11377" s="10"/>
      <c r="Z11377" s="10"/>
    </row>
    <row r="11378" spans="1:26" ht="12.75">
      <c r="A11378" s="10"/>
      <c r="B11378" s="10"/>
      <c r="C11378" s="10"/>
      <c r="D11378" s="10"/>
      <c r="E11378" s="10"/>
      <c r="F11378" s="10"/>
      <c r="G11378" s="10"/>
      <c r="H11378" s="10"/>
      <c r="I11378" s="10"/>
      <c r="J11378" s="10"/>
      <c r="K11378" s="10"/>
      <c r="L11378" s="10"/>
      <c r="M11378" s="10"/>
      <c r="N11378" s="10"/>
      <c r="O11378" s="10"/>
      <c r="P11378" s="10"/>
      <c r="Q11378" s="10"/>
      <c r="R11378" s="10"/>
      <c r="S11378" s="10"/>
      <c r="T11378" s="10"/>
      <c r="U11378" s="10"/>
      <c r="V11378" s="10"/>
      <c r="W11378" s="10"/>
      <c r="X11378" s="10"/>
      <c r="Y11378" s="10"/>
      <c r="Z11378" s="10"/>
    </row>
    <row r="11379" spans="1:26" ht="12.75">
      <c r="A11379" s="10"/>
      <c r="B11379" s="10"/>
      <c r="C11379" s="10"/>
      <c r="D11379" s="10"/>
      <c r="E11379" s="10"/>
      <c r="F11379" s="10"/>
      <c r="G11379" s="10"/>
      <c r="H11379" s="10"/>
      <c r="I11379" s="10"/>
      <c r="J11379" s="10"/>
      <c r="K11379" s="10"/>
      <c r="L11379" s="10"/>
      <c r="M11379" s="10"/>
      <c r="N11379" s="10"/>
      <c r="O11379" s="10"/>
      <c r="P11379" s="10"/>
      <c r="Q11379" s="10"/>
      <c r="R11379" s="10"/>
      <c r="S11379" s="10"/>
      <c r="T11379" s="10"/>
      <c r="U11379" s="10"/>
      <c r="V11379" s="10"/>
      <c r="W11379" s="10"/>
      <c r="X11379" s="10"/>
      <c r="Y11379" s="10"/>
      <c r="Z11379" s="10"/>
    </row>
    <row r="11380" spans="1:26" ht="12.75">
      <c r="A11380" s="10"/>
      <c r="B11380" s="10"/>
      <c r="C11380" s="10"/>
      <c r="D11380" s="10"/>
      <c r="E11380" s="10"/>
      <c r="F11380" s="10"/>
      <c r="G11380" s="10"/>
      <c r="H11380" s="10"/>
      <c r="I11380" s="10"/>
      <c r="J11380" s="10"/>
      <c r="K11380" s="10"/>
      <c r="L11380" s="10"/>
      <c r="M11380" s="10"/>
      <c r="N11380" s="10"/>
      <c r="O11380" s="10"/>
      <c r="P11380" s="10"/>
      <c r="Q11380" s="10"/>
      <c r="R11380" s="10"/>
      <c r="S11380" s="10"/>
      <c r="T11380" s="10"/>
      <c r="U11380" s="10"/>
      <c r="V11380" s="10"/>
      <c r="W11380" s="10"/>
      <c r="X11380" s="10"/>
      <c r="Y11380" s="10"/>
      <c r="Z11380" s="10"/>
    </row>
    <row r="11381" spans="1:26" ht="12.75">
      <c r="A11381" s="10"/>
      <c r="B11381" s="10"/>
      <c r="C11381" s="10"/>
      <c r="D11381" s="10"/>
      <c r="E11381" s="10"/>
      <c r="F11381" s="10"/>
      <c r="G11381" s="10"/>
      <c r="H11381" s="10"/>
      <c r="I11381" s="10"/>
      <c r="J11381" s="10"/>
      <c r="K11381" s="10"/>
      <c r="L11381" s="10"/>
      <c r="M11381" s="10"/>
      <c r="N11381" s="10"/>
      <c r="O11381" s="10"/>
      <c r="P11381" s="10"/>
      <c r="Q11381" s="10"/>
      <c r="R11381" s="10"/>
      <c r="S11381" s="10"/>
      <c r="T11381" s="10"/>
      <c r="U11381" s="10"/>
      <c r="V11381" s="10"/>
      <c r="W11381" s="10"/>
      <c r="X11381" s="10"/>
      <c r="Y11381" s="10"/>
      <c r="Z11381" s="10"/>
    </row>
    <row r="11382" spans="1:26" ht="12.75">
      <c r="A11382" s="10"/>
      <c r="B11382" s="10"/>
      <c r="C11382" s="10"/>
      <c r="D11382" s="10"/>
      <c r="E11382" s="10"/>
      <c r="F11382" s="10"/>
      <c r="G11382" s="10"/>
      <c r="H11382" s="10"/>
      <c r="I11382" s="10"/>
      <c r="J11382" s="10"/>
      <c r="K11382" s="10"/>
      <c r="L11382" s="10"/>
      <c r="M11382" s="10"/>
      <c r="N11382" s="10"/>
      <c r="O11382" s="10"/>
      <c r="P11382" s="10"/>
      <c r="Q11382" s="10"/>
      <c r="R11382" s="10"/>
      <c r="S11382" s="10"/>
      <c r="T11382" s="10"/>
      <c r="U11382" s="10"/>
      <c r="V11382" s="10"/>
      <c r="W11382" s="10"/>
      <c r="X11382" s="10"/>
      <c r="Y11382" s="10"/>
      <c r="Z11382" s="10"/>
    </row>
    <row r="11383" spans="1:26" ht="12.75">
      <c r="A11383" s="10"/>
      <c r="B11383" s="10"/>
      <c r="C11383" s="10"/>
      <c r="D11383" s="10"/>
      <c r="E11383" s="10"/>
      <c r="F11383" s="10"/>
      <c r="G11383" s="10"/>
      <c r="H11383" s="10"/>
      <c r="I11383" s="10"/>
      <c r="J11383" s="10"/>
      <c r="K11383" s="10"/>
      <c r="L11383" s="10"/>
      <c r="M11383" s="10"/>
      <c r="N11383" s="10"/>
      <c r="O11383" s="10"/>
      <c r="P11383" s="10"/>
      <c r="Q11383" s="10"/>
      <c r="R11383" s="10"/>
      <c r="S11383" s="10"/>
      <c r="T11383" s="10"/>
      <c r="U11383" s="10"/>
      <c r="V11383" s="10"/>
      <c r="W11383" s="10"/>
      <c r="X11383" s="10"/>
      <c r="Y11383" s="10"/>
      <c r="Z11383" s="10"/>
    </row>
    <row r="11384" spans="1:26" ht="12.75">
      <c r="A11384" s="10"/>
      <c r="B11384" s="10"/>
      <c r="C11384" s="10"/>
      <c r="D11384" s="10"/>
      <c r="E11384" s="10"/>
      <c r="F11384" s="10"/>
      <c r="G11384" s="10"/>
      <c r="H11384" s="10"/>
      <c r="I11384" s="10"/>
      <c r="J11384" s="10"/>
      <c r="K11384" s="10"/>
      <c r="L11384" s="10"/>
      <c r="M11384" s="10"/>
      <c r="N11384" s="10"/>
      <c r="O11384" s="10"/>
      <c r="P11384" s="10"/>
      <c r="Q11384" s="10"/>
      <c r="R11384" s="10"/>
      <c r="S11384" s="10"/>
      <c r="T11384" s="10"/>
      <c r="U11384" s="10"/>
      <c r="V11384" s="10"/>
      <c r="W11384" s="10"/>
      <c r="X11384" s="10"/>
      <c r="Y11384" s="10"/>
      <c r="Z11384" s="10"/>
    </row>
    <row r="11385" spans="1:26" ht="12.75">
      <c r="A11385" s="10"/>
      <c r="B11385" s="10"/>
      <c r="C11385" s="10"/>
      <c r="D11385" s="10"/>
      <c r="E11385" s="10"/>
      <c r="F11385" s="10"/>
      <c r="G11385" s="10"/>
      <c r="H11385" s="10"/>
      <c r="I11385" s="10"/>
      <c r="J11385" s="10"/>
      <c r="K11385" s="10"/>
      <c r="L11385" s="10"/>
      <c r="M11385" s="10"/>
      <c r="N11385" s="10"/>
      <c r="O11385" s="10"/>
      <c r="P11385" s="10"/>
      <c r="Q11385" s="10"/>
      <c r="R11385" s="10"/>
      <c r="S11385" s="10"/>
      <c r="T11385" s="10"/>
      <c r="U11385" s="10"/>
      <c r="V11385" s="10"/>
      <c r="W11385" s="10"/>
      <c r="X11385" s="10"/>
      <c r="Y11385" s="10"/>
      <c r="Z11385" s="10"/>
    </row>
    <row r="11386" spans="1:26" ht="12.75">
      <c r="A11386" s="10"/>
      <c r="B11386" s="10"/>
      <c r="C11386" s="10"/>
      <c r="D11386" s="10"/>
      <c r="E11386" s="10"/>
      <c r="F11386" s="10"/>
      <c r="G11386" s="10"/>
      <c r="H11386" s="10"/>
      <c r="I11386" s="10"/>
      <c r="J11386" s="10"/>
      <c r="K11386" s="10"/>
      <c r="L11386" s="10"/>
      <c r="M11386" s="10"/>
      <c r="N11386" s="10"/>
      <c r="O11386" s="10"/>
      <c r="P11386" s="10"/>
      <c r="Q11386" s="10"/>
      <c r="R11386" s="10"/>
      <c r="S11386" s="10"/>
      <c r="T11386" s="10"/>
      <c r="U11386" s="10"/>
      <c r="V11386" s="10"/>
      <c r="W11386" s="10"/>
      <c r="X11386" s="10"/>
      <c r="Y11386" s="10"/>
      <c r="Z11386" s="10"/>
    </row>
    <row r="11387" spans="1:26" ht="12.75">
      <c r="A11387" s="10"/>
      <c r="B11387" s="10"/>
      <c r="C11387" s="10"/>
      <c r="D11387" s="10"/>
      <c r="E11387" s="10"/>
      <c r="F11387" s="10"/>
      <c r="G11387" s="10"/>
      <c r="H11387" s="10"/>
      <c r="I11387" s="10"/>
      <c r="J11387" s="10"/>
      <c r="K11387" s="10"/>
      <c r="L11387" s="10"/>
      <c r="M11387" s="10"/>
      <c r="N11387" s="10"/>
      <c r="O11387" s="10"/>
      <c r="P11387" s="10"/>
      <c r="Q11387" s="10"/>
      <c r="R11387" s="10"/>
      <c r="S11387" s="10"/>
      <c r="T11387" s="10"/>
      <c r="U11387" s="10"/>
      <c r="V11387" s="10"/>
      <c r="W11387" s="10"/>
      <c r="X11387" s="10"/>
      <c r="Y11387" s="10"/>
      <c r="Z11387" s="10"/>
    </row>
    <row r="11388" spans="1:26" ht="12.75">
      <c r="A11388" s="10"/>
      <c r="B11388" s="10"/>
      <c r="C11388" s="10"/>
      <c r="D11388" s="10"/>
      <c r="E11388" s="10"/>
      <c r="F11388" s="10"/>
      <c r="G11388" s="10"/>
      <c r="H11388" s="10"/>
      <c r="I11388" s="10"/>
      <c r="J11388" s="10"/>
      <c r="K11388" s="10"/>
      <c r="L11388" s="10"/>
      <c r="M11388" s="10"/>
      <c r="N11388" s="10"/>
      <c r="O11388" s="10"/>
      <c r="P11388" s="10"/>
      <c r="Q11388" s="10"/>
      <c r="R11388" s="10"/>
      <c r="S11388" s="10"/>
      <c r="T11388" s="10"/>
      <c r="U11388" s="10"/>
      <c r="V11388" s="10"/>
      <c r="W11388" s="10"/>
      <c r="X11388" s="10"/>
      <c r="Y11388" s="10"/>
      <c r="Z11388" s="10"/>
    </row>
    <row r="11389" spans="1:26" ht="12.75">
      <c r="A11389" s="10"/>
      <c r="B11389" s="10"/>
      <c r="C11389" s="10"/>
      <c r="D11389" s="10"/>
      <c r="E11389" s="10"/>
      <c r="F11389" s="10"/>
      <c r="G11389" s="10"/>
      <c r="H11389" s="10"/>
      <c r="I11389" s="10"/>
      <c r="J11389" s="10"/>
      <c r="K11389" s="10"/>
      <c r="L11389" s="10"/>
      <c r="M11389" s="10"/>
      <c r="N11389" s="10"/>
      <c r="O11389" s="10"/>
      <c r="P11389" s="10"/>
      <c r="Q11389" s="10"/>
      <c r="R11389" s="10"/>
      <c r="S11389" s="10"/>
      <c r="T11389" s="10"/>
      <c r="U11389" s="10"/>
      <c r="V11389" s="10"/>
      <c r="W11389" s="10"/>
      <c r="X11389" s="10"/>
      <c r="Y11389" s="10"/>
      <c r="Z11389" s="10"/>
    </row>
    <row r="11390" spans="1:26" ht="12.75">
      <c r="A11390" s="10"/>
      <c r="B11390" s="10"/>
      <c r="C11390" s="10"/>
      <c r="D11390" s="10"/>
      <c r="E11390" s="10"/>
      <c r="F11390" s="10"/>
      <c r="G11390" s="10"/>
      <c r="H11390" s="10"/>
      <c r="I11390" s="10"/>
      <c r="J11390" s="10"/>
      <c r="K11390" s="10"/>
      <c r="L11390" s="10"/>
      <c r="M11390" s="10"/>
      <c r="N11390" s="10"/>
      <c r="O11390" s="10"/>
      <c r="P11390" s="10"/>
      <c r="Q11390" s="10"/>
      <c r="R11390" s="10"/>
      <c r="S11390" s="10"/>
      <c r="T11390" s="10"/>
      <c r="U11390" s="10"/>
      <c r="V11390" s="10"/>
      <c r="W11390" s="10"/>
      <c r="X11390" s="10"/>
      <c r="Y11390" s="10"/>
      <c r="Z11390" s="10"/>
    </row>
    <row r="11391" spans="1:26" ht="12.75">
      <c r="A11391" s="10"/>
      <c r="B11391" s="10"/>
      <c r="C11391" s="10"/>
      <c r="D11391" s="10"/>
      <c r="E11391" s="10"/>
      <c r="F11391" s="10"/>
      <c r="G11391" s="10"/>
      <c r="H11391" s="10"/>
      <c r="I11391" s="10"/>
      <c r="J11391" s="10"/>
      <c r="K11391" s="10"/>
      <c r="L11391" s="10"/>
      <c r="M11391" s="10"/>
      <c r="N11391" s="10"/>
      <c r="O11391" s="10"/>
      <c r="P11391" s="10"/>
      <c r="Q11391" s="10"/>
      <c r="R11391" s="10"/>
      <c r="S11391" s="10"/>
      <c r="T11391" s="10"/>
      <c r="U11391" s="10"/>
      <c r="V11391" s="10"/>
      <c r="W11391" s="10"/>
      <c r="X11391" s="10"/>
      <c r="Y11391" s="10"/>
      <c r="Z11391" s="10"/>
    </row>
    <row r="11392" spans="1:26" ht="12.75">
      <c r="A11392" s="10"/>
      <c r="B11392" s="10"/>
      <c r="C11392" s="10"/>
      <c r="D11392" s="10"/>
      <c r="E11392" s="10"/>
      <c r="F11392" s="10"/>
      <c r="G11392" s="10"/>
      <c r="H11392" s="10"/>
      <c r="I11392" s="10"/>
      <c r="J11392" s="10"/>
      <c r="K11392" s="10"/>
      <c r="L11392" s="10"/>
      <c r="M11392" s="10"/>
      <c r="N11392" s="10"/>
      <c r="O11392" s="10"/>
      <c r="P11392" s="10"/>
      <c r="Q11392" s="10"/>
      <c r="R11392" s="10"/>
      <c r="S11392" s="10"/>
      <c r="T11392" s="10"/>
      <c r="U11392" s="10"/>
      <c r="V11392" s="10"/>
      <c r="W11392" s="10"/>
      <c r="X11392" s="10"/>
      <c r="Y11392" s="10"/>
      <c r="Z11392" s="10"/>
    </row>
    <row r="11393" spans="1:26" ht="12.75">
      <c r="A11393" s="10"/>
      <c r="B11393" s="10"/>
      <c r="C11393" s="10"/>
      <c r="D11393" s="10"/>
      <c r="E11393" s="10"/>
      <c r="F11393" s="10"/>
      <c r="G11393" s="10"/>
      <c r="H11393" s="10"/>
      <c r="I11393" s="10"/>
      <c r="J11393" s="10"/>
      <c r="K11393" s="10"/>
      <c r="L11393" s="10"/>
      <c r="M11393" s="10"/>
      <c r="N11393" s="10"/>
      <c r="O11393" s="10"/>
      <c r="P11393" s="10"/>
      <c r="Q11393" s="10"/>
      <c r="R11393" s="10"/>
      <c r="S11393" s="10"/>
      <c r="T11393" s="10"/>
      <c r="U11393" s="10"/>
      <c r="V11393" s="10"/>
      <c r="W11393" s="10"/>
      <c r="X11393" s="10"/>
      <c r="Y11393" s="10"/>
      <c r="Z11393" s="10"/>
    </row>
    <row r="11394" spans="1:26" ht="12.75">
      <c r="A11394" s="10"/>
      <c r="B11394" s="10"/>
      <c r="C11394" s="10"/>
      <c r="D11394" s="10"/>
      <c r="E11394" s="10"/>
      <c r="F11394" s="10"/>
      <c r="G11394" s="10"/>
      <c r="H11394" s="10"/>
      <c r="I11394" s="10"/>
      <c r="J11394" s="10"/>
      <c r="K11394" s="10"/>
      <c r="L11394" s="10"/>
      <c r="M11394" s="10"/>
      <c r="N11394" s="10"/>
      <c r="O11394" s="10"/>
      <c r="P11394" s="10"/>
      <c r="Q11394" s="10"/>
      <c r="R11394" s="10"/>
      <c r="S11394" s="10"/>
      <c r="T11394" s="10"/>
      <c r="U11394" s="10"/>
      <c r="V11394" s="10"/>
      <c r="W11394" s="10"/>
      <c r="X11394" s="10"/>
      <c r="Y11394" s="10"/>
      <c r="Z11394" s="10"/>
    </row>
    <row r="11395" spans="1:26" ht="12.75">
      <c r="A11395" s="10"/>
      <c r="B11395" s="10"/>
      <c r="C11395" s="10"/>
      <c r="D11395" s="10"/>
      <c r="E11395" s="10"/>
      <c r="F11395" s="10"/>
      <c r="G11395" s="10"/>
      <c r="H11395" s="10"/>
      <c r="I11395" s="10"/>
      <c r="J11395" s="10"/>
      <c r="K11395" s="10"/>
      <c r="L11395" s="10"/>
      <c r="M11395" s="10"/>
      <c r="N11395" s="10"/>
      <c r="O11395" s="10"/>
      <c r="P11395" s="10"/>
      <c r="Q11395" s="10"/>
      <c r="R11395" s="10"/>
      <c r="S11395" s="10"/>
      <c r="T11395" s="10"/>
      <c r="U11395" s="10"/>
      <c r="V11395" s="10"/>
      <c r="W11395" s="10"/>
      <c r="X11395" s="10"/>
      <c r="Y11395" s="10"/>
      <c r="Z11395" s="10"/>
    </row>
    <row r="11396" spans="1:26" ht="12.75">
      <c r="A11396" s="10"/>
      <c r="B11396" s="10"/>
      <c r="C11396" s="10"/>
      <c r="D11396" s="10"/>
      <c r="E11396" s="10"/>
      <c r="F11396" s="10"/>
      <c r="G11396" s="10"/>
      <c r="H11396" s="10"/>
      <c r="I11396" s="10"/>
      <c r="J11396" s="10"/>
      <c r="K11396" s="10"/>
      <c r="L11396" s="10"/>
      <c r="M11396" s="10"/>
      <c r="N11396" s="10"/>
      <c r="O11396" s="10"/>
      <c r="P11396" s="10"/>
      <c r="Q11396" s="10"/>
      <c r="R11396" s="10"/>
      <c r="S11396" s="10"/>
      <c r="T11396" s="10"/>
      <c r="U11396" s="10"/>
      <c r="V11396" s="10"/>
      <c r="W11396" s="10"/>
      <c r="X11396" s="10"/>
      <c r="Y11396" s="10"/>
      <c r="Z11396" s="10"/>
    </row>
    <row r="11397" spans="1:26" ht="12.75">
      <c r="A11397" s="10"/>
      <c r="B11397" s="10"/>
      <c r="C11397" s="10"/>
      <c r="D11397" s="10"/>
      <c r="E11397" s="10"/>
      <c r="F11397" s="10"/>
      <c r="G11397" s="10"/>
      <c r="H11397" s="10"/>
      <c r="I11397" s="10"/>
      <c r="J11397" s="10"/>
      <c r="K11397" s="10"/>
      <c r="L11397" s="10"/>
      <c r="M11397" s="10"/>
      <c r="N11397" s="10"/>
      <c r="O11397" s="10"/>
      <c r="P11397" s="10"/>
      <c r="Q11397" s="10"/>
      <c r="R11397" s="10"/>
      <c r="S11397" s="10"/>
      <c r="T11397" s="10"/>
      <c r="U11397" s="10"/>
      <c r="V11397" s="10"/>
      <c r="W11397" s="10"/>
      <c r="X11397" s="10"/>
      <c r="Y11397" s="10"/>
      <c r="Z11397" s="10"/>
    </row>
    <row r="11398" spans="1:26" ht="12.75">
      <c r="A11398" s="10"/>
      <c r="B11398" s="10"/>
      <c r="C11398" s="10"/>
      <c r="D11398" s="10"/>
      <c r="E11398" s="10"/>
      <c r="F11398" s="10"/>
      <c r="G11398" s="10"/>
      <c r="H11398" s="10"/>
      <c r="I11398" s="10"/>
      <c r="J11398" s="10"/>
      <c r="K11398" s="10"/>
      <c r="L11398" s="10"/>
      <c r="M11398" s="10"/>
      <c r="N11398" s="10"/>
      <c r="O11398" s="10"/>
      <c r="P11398" s="10"/>
      <c r="Q11398" s="10"/>
      <c r="R11398" s="10"/>
      <c r="S11398" s="10"/>
      <c r="T11398" s="10"/>
      <c r="U11398" s="10"/>
      <c r="V11398" s="10"/>
      <c r="W11398" s="10"/>
      <c r="X11398" s="10"/>
      <c r="Y11398" s="10"/>
      <c r="Z11398" s="10"/>
    </row>
    <row r="11399" spans="1:26" ht="12.75">
      <c r="A11399" s="10"/>
      <c r="B11399" s="10"/>
      <c r="C11399" s="10"/>
      <c r="D11399" s="10"/>
      <c r="E11399" s="10"/>
      <c r="F11399" s="10"/>
      <c r="G11399" s="10"/>
      <c r="H11399" s="10"/>
      <c r="I11399" s="10"/>
      <c r="J11399" s="10"/>
      <c r="K11399" s="10"/>
      <c r="L11399" s="10"/>
      <c r="M11399" s="10"/>
      <c r="N11399" s="10"/>
      <c r="O11399" s="10"/>
      <c r="P11399" s="10"/>
      <c r="Q11399" s="10"/>
      <c r="R11399" s="10"/>
      <c r="S11399" s="10"/>
      <c r="T11399" s="10"/>
      <c r="U11399" s="10"/>
      <c r="V11399" s="10"/>
      <c r="W11399" s="10"/>
      <c r="X11399" s="10"/>
      <c r="Y11399" s="10"/>
      <c r="Z11399" s="10"/>
    </row>
    <row r="11400" spans="1:26" ht="12.75">
      <c r="A11400" s="10"/>
      <c r="B11400" s="10"/>
      <c r="C11400" s="10"/>
      <c r="D11400" s="10"/>
      <c r="E11400" s="10"/>
      <c r="F11400" s="10"/>
      <c r="G11400" s="10"/>
      <c r="H11400" s="10"/>
      <c r="I11400" s="10"/>
      <c r="J11400" s="10"/>
      <c r="K11400" s="10"/>
      <c r="L11400" s="10"/>
      <c r="M11400" s="10"/>
      <c r="N11400" s="10"/>
      <c r="O11400" s="10"/>
      <c r="P11400" s="10"/>
      <c r="Q11400" s="10"/>
      <c r="R11400" s="10"/>
      <c r="S11400" s="10"/>
      <c r="T11400" s="10"/>
      <c r="U11400" s="10"/>
      <c r="V11400" s="10"/>
      <c r="W11400" s="10"/>
      <c r="X11400" s="10"/>
      <c r="Y11400" s="10"/>
      <c r="Z11400" s="10"/>
    </row>
    <row r="11401" spans="1:26" ht="12.75">
      <c r="A11401" s="10"/>
      <c r="B11401" s="10"/>
      <c r="C11401" s="10"/>
      <c r="D11401" s="10"/>
      <c r="E11401" s="10"/>
      <c r="F11401" s="10"/>
      <c r="G11401" s="10"/>
      <c r="H11401" s="10"/>
      <c r="I11401" s="10"/>
      <c r="J11401" s="10"/>
      <c r="K11401" s="10"/>
      <c r="L11401" s="10"/>
      <c r="M11401" s="10"/>
      <c r="N11401" s="10"/>
      <c r="O11401" s="10"/>
      <c r="P11401" s="10"/>
      <c r="Q11401" s="10"/>
      <c r="R11401" s="10"/>
      <c r="S11401" s="10"/>
      <c r="T11401" s="10"/>
      <c r="U11401" s="10"/>
      <c r="V11401" s="10"/>
      <c r="W11401" s="10"/>
      <c r="X11401" s="10"/>
      <c r="Y11401" s="10"/>
      <c r="Z11401" s="10"/>
    </row>
    <row r="11402" spans="1:26" ht="12.75">
      <c r="A11402" s="10"/>
      <c r="B11402" s="10"/>
      <c r="C11402" s="10"/>
      <c r="D11402" s="10"/>
      <c r="E11402" s="10"/>
      <c r="F11402" s="10"/>
      <c r="G11402" s="10"/>
      <c r="H11402" s="10"/>
      <c r="I11402" s="10"/>
      <c r="J11402" s="10"/>
      <c r="K11402" s="10"/>
      <c r="L11402" s="10"/>
      <c r="M11402" s="10"/>
      <c r="N11402" s="10"/>
      <c r="O11402" s="10"/>
      <c r="P11402" s="10"/>
      <c r="Q11402" s="10"/>
      <c r="R11402" s="10"/>
      <c r="S11402" s="10"/>
      <c r="T11402" s="10"/>
      <c r="U11402" s="10"/>
      <c r="V11402" s="10"/>
      <c r="W11402" s="10"/>
      <c r="X11402" s="10"/>
      <c r="Y11402" s="10"/>
      <c r="Z11402" s="10"/>
    </row>
    <row r="11403" spans="1:26" ht="12.75">
      <c r="A11403" s="10"/>
      <c r="B11403" s="10"/>
      <c r="C11403" s="10"/>
      <c r="D11403" s="10"/>
      <c r="E11403" s="10"/>
      <c r="F11403" s="10"/>
      <c r="G11403" s="10"/>
      <c r="H11403" s="10"/>
      <c r="I11403" s="10"/>
      <c r="J11403" s="10"/>
      <c r="K11403" s="10"/>
      <c r="L11403" s="10"/>
      <c r="M11403" s="10"/>
      <c r="N11403" s="10"/>
      <c r="O11403" s="10"/>
      <c r="P11403" s="10"/>
      <c r="Q11403" s="10"/>
      <c r="R11403" s="10"/>
      <c r="S11403" s="10"/>
      <c r="T11403" s="10"/>
      <c r="U11403" s="10"/>
      <c r="V11403" s="10"/>
      <c r="W11403" s="10"/>
      <c r="X11403" s="10"/>
      <c r="Y11403" s="10"/>
      <c r="Z11403" s="10"/>
    </row>
    <row r="11404" spans="1:26" ht="12.75">
      <c r="A11404" s="10"/>
      <c r="B11404" s="10"/>
      <c r="C11404" s="10"/>
      <c r="D11404" s="10"/>
      <c r="E11404" s="10"/>
      <c r="F11404" s="10"/>
      <c r="G11404" s="10"/>
      <c r="H11404" s="10"/>
      <c r="I11404" s="10"/>
      <c r="J11404" s="10"/>
      <c r="K11404" s="10"/>
      <c r="L11404" s="10"/>
      <c r="M11404" s="10"/>
      <c r="N11404" s="10"/>
      <c r="O11404" s="10"/>
      <c r="P11404" s="10"/>
      <c r="Q11404" s="10"/>
      <c r="R11404" s="10"/>
      <c r="S11404" s="10"/>
      <c r="T11404" s="10"/>
      <c r="U11404" s="10"/>
      <c r="V11404" s="10"/>
      <c r="W11404" s="10"/>
      <c r="X11404" s="10"/>
      <c r="Y11404" s="10"/>
      <c r="Z11404" s="10"/>
    </row>
    <row r="11405" spans="1:26" ht="12.75">
      <c r="A11405" s="10"/>
      <c r="B11405" s="10"/>
      <c r="C11405" s="10"/>
      <c r="D11405" s="10"/>
      <c r="E11405" s="10"/>
      <c r="F11405" s="10"/>
      <c r="G11405" s="10"/>
      <c r="H11405" s="10"/>
      <c r="I11405" s="10"/>
      <c r="J11405" s="10"/>
      <c r="K11405" s="10"/>
      <c r="L11405" s="10"/>
      <c r="M11405" s="10"/>
      <c r="N11405" s="10"/>
      <c r="O11405" s="10"/>
      <c r="P11405" s="10"/>
      <c r="Q11405" s="10"/>
      <c r="R11405" s="10"/>
      <c r="S11405" s="10"/>
      <c r="T11405" s="10"/>
      <c r="U11405" s="10"/>
      <c r="V11405" s="10"/>
      <c r="W11405" s="10"/>
      <c r="X11405" s="10"/>
      <c r="Y11405" s="10"/>
      <c r="Z11405" s="10"/>
    </row>
    <row r="11406" spans="1:26" ht="12.75">
      <c r="A11406" s="10"/>
      <c r="B11406" s="10"/>
      <c r="C11406" s="10"/>
      <c r="D11406" s="10"/>
      <c r="E11406" s="10"/>
      <c r="F11406" s="10"/>
      <c r="G11406" s="10"/>
      <c r="H11406" s="10"/>
      <c r="I11406" s="10"/>
      <c r="J11406" s="10"/>
      <c r="K11406" s="10"/>
      <c r="L11406" s="10"/>
      <c r="M11406" s="10"/>
      <c r="N11406" s="10"/>
      <c r="O11406" s="10"/>
      <c r="P11406" s="10"/>
      <c r="Q11406" s="10"/>
      <c r="R11406" s="10"/>
      <c r="S11406" s="10"/>
      <c r="T11406" s="10"/>
      <c r="U11406" s="10"/>
      <c r="V11406" s="10"/>
      <c r="W11406" s="10"/>
      <c r="X11406" s="10"/>
      <c r="Y11406" s="10"/>
      <c r="Z11406" s="10"/>
    </row>
    <row r="11407" spans="1:26" ht="12.75">
      <c r="A11407" s="10"/>
      <c r="B11407" s="10"/>
      <c r="C11407" s="10"/>
      <c r="D11407" s="10"/>
      <c r="E11407" s="10"/>
      <c r="F11407" s="10"/>
      <c r="G11407" s="10"/>
      <c r="H11407" s="10"/>
      <c r="I11407" s="10"/>
      <c r="J11407" s="10"/>
      <c r="K11407" s="10"/>
      <c r="L11407" s="10"/>
      <c r="M11407" s="10"/>
      <c r="N11407" s="10"/>
      <c r="O11407" s="10"/>
      <c r="P11407" s="10"/>
      <c r="Q11407" s="10"/>
      <c r="R11407" s="10"/>
      <c r="S11407" s="10"/>
      <c r="T11407" s="10"/>
      <c r="U11407" s="10"/>
      <c r="V11407" s="10"/>
      <c r="W11407" s="10"/>
      <c r="X11407" s="10"/>
      <c r="Y11407" s="10"/>
      <c r="Z11407" s="10"/>
    </row>
    <row r="11408" spans="1:26" ht="12.75">
      <c r="A11408" s="10"/>
      <c r="B11408" s="10"/>
      <c r="C11408" s="10"/>
      <c r="D11408" s="10"/>
      <c r="E11408" s="10"/>
      <c r="F11408" s="10"/>
      <c r="G11408" s="10"/>
      <c r="H11408" s="10"/>
      <c r="I11408" s="10"/>
      <c r="J11408" s="10"/>
      <c r="K11408" s="10"/>
      <c r="L11408" s="10"/>
      <c r="M11408" s="10"/>
      <c r="N11408" s="10"/>
      <c r="O11408" s="10"/>
      <c r="P11408" s="10"/>
      <c r="Q11408" s="10"/>
      <c r="R11408" s="10"/>
      <c r="S11408" s="10"/>
      <c r="T11408" s="10"/>
      <c r="U11408" s="10"/>
      <c r="V11408" s="10"/>
      <c r="W11408" s="10"/>
      <c r="X11408" s="10"/>
      <c r="Y11408" s="10"/>
      <c r="Z11408" s="10"/>
    </row>
    <row r="11409" spans="1:26" ht="12.75">
      <c r="A11409" s="10"/>
      <c r="B11409" s="10"/>
      <c r="C11409" s="10"/>
      <c r="D11409" s="10"/>
      <c r="E11409" s="10"/>
      <c r="F11409" s="10"/>
      <c r="G11409" s="10"/>
      <c r="H11409" s="10"/>
      <c r="I11409" s="10"/>
      <c r="J11409" s="10"/>
      <c r="K11409" s="10"/>
      <c r="L11409" s="10"/>
      <c r="M11409" s="10"/>
      <c r="N11409" s="10"/>
      <c r="O11409" s="10"/>
      <c r="P11409" s="10"/>
      <c r="Q11409" s="10"/>
      <c r="R11409" s="10"/>
      <c r="S11409" s="10"/>
      <c r="T11409" s="10"/>
      <c r="U11409" s="10"/>
      <c r="V11409" s="10"/>
      <c r="W11409" s="10"/>
      <c r="X11409" s="10"/>
      <c r="Y11409" s="10"/>
      <c r="Z11409" s="10"/>
    </row>
    <row r="11410" spans="1:26" ht="12.75">
      <c r="A11410" s="10"/>
      <c r="B11410" s="10"/>
      <c r="C11410" s="10"/>
      <c r="D11410" s="10"/>
      <c r="E11410" s="10"/>
      <c r="F11410" s="10"/>
      <c r="G11410" s="10"/>
      <c r="H11410" s="10"/>
      <c r="I11410" s="10"/>
      <c r="J11410" s="10"/>
      <c r="K11410" s="10"/>
      <c r="L11410" s="10"/>
      <c r="M11410" s="10"/>
      <c r="N11410" s="10"/>
      <c r="O11410" s="10"/>
      <c r="P11410" s="10"/>
      <c r="Q11410" s="10"/>
      <c r="R11410" s="10"/>
      <c r="S11410" s="10"/>
      <c r="T11410" s="10"/>
      <c r="U11410" s="10"/>
      <c r="V11410" s="10"/>
      <c r="W11410" s="10"/>
      <c r="X11410" s="10"/>
      <c r="Y11410" s="10"/>
      <c r="Z11410" s="10"/>
    </row>
    <row r="11411" spans="1:26" ht="12.75">
      <c r="A11411" s="10"/>
      <c r="B11411" s="10"/>
      <c r="C11411" s="10"/>
      <c r="D11411" s="10"/>
      <c r="E11411" s="10"/>
      <c r="F11411" s="10"/>
      <c r="G11411" s="10"/>
      <c r="H11411" s="10"/>
      <c r="I11411" s="10"/>
      <c r="J11411" s="10"/>
      <c r="K11411" s="10"/>
      <c r="L11411" s="10"/>
      <c r="M11411" s="10"/>
      <c r="N11411" s="10"/>
      <c r="O11411" s="10"/>
      <c r="P11411" s="10"/>
      <c r="Q11411" s="10"/>
      <c r="R11411" s="10"/>
      <c r="S11411" s="10"/>
      <c r="T11411" s="10"/>
      <c r="U11411" s="10"/>
      <c r="V11411" s="10"/>
      <c r="W11411" s="10"/>
      <c r="X11411" s="10"/>
      <c r="Y11411" s="10"/>
      <c r="Z11411" s="10"/>
    </row>
    <row r="11412" spans="1:26" ht="12.75">
      <c r="A11412" s="10"/>
      <c r="B11412" s="10"/>
      <c r="C11412" s="10"/>
      <c r="D11412" s="10"/>
      <c r="E11412" s="10"/>
      <c r="F11412" s="10"/>
      <c r="G11412" s="10"/>
      <c r="H11412" s="10"/>
      <c r="I11412" s="10"/>
      <c r="J11412" s="10"/>
      <c r="K11412" s="10"/>
      <c r="L11412" s="10"/>
      <c r="M11412" s="10"/>
      <c r="N11412" s="10"/>
      <c r="O11412" s="10"/>
      <c r="P11412" s="10"/>
      <c r="Q11412" s="10"/>
      <c r="R11412" s="10"/>
      <c r="S11412" s="10"/>
      <c r="T11412" s="10"/>
      <c r="U11412" s="10"/>
      <c r="V11412" s="10"/>
      <c r="W11412" s="10"/>
      <c r="X11412" s="10"/>
      <c r="Y11412" s="10"/>
      <c r="Z11412" s="10"/>
    </row>
    <row r="11413" spans="1:26" ht="12.75">
      <c r="A11413" s="10"/>
      <c r="B11413" s="10"/>
      <c r="C11413" s="10"/>
      <c r="D11413" s="10"/>
      <c r="E11413" s="10"/>
      <c r="F11413" s="10"/>
      <c r="G11413" s="10"/>
      <c r="H11413" s="10"/>
      <c r="I11413" s="10"/>
      <c r="J11413" s="10"/>
      <c r="K11413" s="10"/>
      <c r="L11413" s="10"/>
      <c r="M11413" s="10"/>
      <c r="N11413" s="10"/>
      <c r="O11413" s="10"/>
      <c r="P11413" s="10"/>
      <c r="Q11413" s="10"/>
      <c r="R11413" s="10"/>
      <c r="S11413" s="10"/>
      <c r="T11413" s="10"/>
      <c r="U11413" s="10"/>
      <c r="V11413" s="10"/>
      <c r="W11413" s="10"/>
      <c r="X11413" s="10"/>
      <c r="Y11413" s="10"/>
      <c r="Z11413" s="10"/>
    </row>
    <row r="11414" spans="1:26" ht="12.75">
      <c r="A11414" s="10"/>
      <c r="B11414" s="10"/>
      <c r="C11414" s="10"/>
      <c r="D11414" s="10"/>
      <c r="E11414" s="10"/>
      <c r="F11414" s="10"/>
      <c r="G11414" s="10"/>
      <c r="H11414" s="10"/>
      <c r="I11414" s="10"/>
      <c r="J11414" s="10"/>
      <c r="K11414" s="10"/>
      <c r="L11414" s="10"/>
      <c r="M11414" s="10"/>
      <c r="N11414" s="10"/>
      <c r="O11414" s="10"/>
      <c r="P11414" s="10"/>
      <c r="Q11414" s="10"/>
      <c r="R11414" s="10"/>
      <c r="S11414" s="10"/>
      <c r="T11414" s="10"/>
      <c r="U11414" s="10"/>
      <c r="V11414" s="10"/>
      <c r="W11414" s="10"/>
      <c r="X11414" s="10"/>
      <c r="Y11414" s="10"/>
      <c r="Z11414" s="10"/>
    </row>
    <row r="11415" spans="1:26" ht="12.75">
      <c r="A11415" s="10"/>
      <c r="B11415" s="10"/>
      <c r="C11415" s="10"/>
      <c r="D11415" s="10"/>
      <c r="E11415" s="10"/>
      <c r="F11415" s="10"/>
      <c r="G11415" s="10"/>
      <c r="H11415" s="10"/>
      <c r="I11415" s="10"/>
      <c r="J11415" s="10"/>
      <c r="K11415" s="10"/>
      <c r="L11415" s="10"/>
      <c r="M11415" s="10"/>
      <c r="N11415" s="10"/>
      <c r="O11415" s="10"/>
      <c r="P11415" s="10"/>
      <c r="Q11415" s="10"/>
      <c r="R11415" s="10"/>
      <c r="S11415" s="10"/>
      <c r="T11415" s="10"/>
      <c r="U11415" s="10"/>
      <c r="V11415" s="10"/>
      <c r="W11415" s="10"/>
      <c r="X11415" s="10"/>
      <c r="Y11415" s="10"/>
      <c r="Z11415" s="10"/>
    </row>
    <row r="11416" spans="1:26" ht="12.75">
      <c r="A11416" s="10"/>
      <c r="B11416" s="10"/>
      <c r="C11416" s="10"/>
      <c r="D11416" s="10"/>
      <c r="E11416" s="10"/>
      <c r="F11416" s="10"/>
      <c r="G11416" s="10"/>
      <c r="H11416" s="10"/>
      <c r="I11416" s="10"/>
      <c r="J11416" s="10"/>
      <c r="K11416" s="10"/>
      <c r="L11416" s="10"/>
      <c r="M11416" s="10"/>
      <c r="N11416" s="10"/>
      <c r="O11416" s="10"/>
      <c r="P11416" s="10"/>
      <c r="Q11416" s="10"/>
      <c r="R11416" s="10"/>
      <c r="S11416" s="10"/>
      <c r="T11416" s="10"/>
      <c r="U11416" s="10"/>
      <c r="V11416" s="10"/>
      <c r="W11416" s="10"/>
      <c r="X11416" s="10"/>
      <c r="Y11416" s="10"/>
      <c r="Z11416" s="10"/>
    </row>
    <row r="11417" spans="1:26" ht="12.75">
      <c r="A11417" s="10"/>
      <c r="B11417" s="10"/>
      <c r="C11417" s="10"/>
      <c r="D11417" s="10"/>
      <c r="E11417" s="10"/>
      <c r="F11417" s="10"/>
      <c r="G11417" s="10"/>
      <c r="H11417" s="10"/>
      <c r="I11417" s="10"/>
      <c r="J11417" s="10"/>
      <c r="K11417" s="10"/>
      <c r="L11417" s="10"/>
      <c r="M11417" s="10"/>
      <c r="N11417" s="10"/>
      <c r="O11417" s="10"/>
      <c r="P11417" s="10"/>
      <c r="Q11417" s="10"/>
      <c r="R11417" s="10"/>
      <c r="S11417" s="10"/>
      <c r="T11417" s="10"/>
      <c r="U11417" s="10"/>
      <c r="V11417" s="10"/>
      <c r="W11417" s="10"/>
      <c r="X11417" s="10"/>
      <c r="Y11417" s="10"/>
      <c r="Z11417" s="10"/>
    </row>
    <row r="11418" spans="1:26" ht="12.75">
      <c r="A11418" s="10"/>
      <c r="B11418" s="10"/>
      <c r="C11418" s="10"/>
      <c r="D11418" s="10"/>
      <c r="E11418" s="10"/>
      <c r="F11418" s="10"/>
      <c r="G11418" s="10"/>
      <c r="H11418" s="10"/>
      <c r="I11418" s="10"/>
      <c r="J11418" s="10"/>
      <c r="K11418" s="10"/>
      <c r="L11418" s="10"/>
      <c r="M11418" s="10"/>
      <c r="N11418" s="10"/>
      <c r="O11418" s="10"/>
      <c r="P11418" s="10"/>
      <c r="Q11418" s="10"/>
      <c r="R11418" s="10"/>
      <c r="S11418" s="10"/>
      <c r="T11418" s="10"/>
      <c r="U11418" s="10"/>
      <c r="V11418" s="10"/>
      <c r="W11418" s="10"/>
      <c r="X11418" s="10"/>
      <c r="Y11418" s="10"/>
      <c r="Z11418" s="10"/>
    </row>
    <row r="11419" spans="1:26" ht="12.75">
      <c r="A11419" s="10"/>
      <c r="B11419" s="10"/>
      <c r="C11419" s="10"/>
      <c r="D11419" s="10"/>
      <c r="E11419" s="10"/>
      <c r="F11419" s="10"/>
      <c r="G11419" s="10"/>
      <c r="H11419" s="10"/>
      <c r="I11419" s="10"/>
      <c r="J11419" s="10"/>
      <c r="K11419" s="10"/>
      <c r="L11419" s="10"/>
      <c r="M11419" s="10"/>
      <c r="N11419" s="10"/>
      <c r="O11419" s="10"/>
      <c r="P11419" s="10"/>
      <c r="Q11419" s="10"/>
      <c r="R11419" s="10"/>
      <c r="S11419" s="10"/>
      <c r="T11419" s="10"/>
      <c r="U11419" s="10"/>
      <c r="V11419" s="10"/>
      <c r="W11419" s="10"/>
      <c r="X11419" s="10"/>
      <c r="Y11419" s="10"/>
      <c r="Z11419" s="10"/>
    </row>
    <row r="11420" spans="1:26" ht="12.75">
      <c r="A11420" s="10"/>
      <c r="B11420" s="10"/>
      <c r="C11420" s="10"/>
      <c r="D11420" s="10"/>
      <c r="E11420" s="10"/>
      <c r="F11420" s="10"/>
      <c r="G11420" s="10"/>
      <c r="H11420" s="10"/>
      <c r="I11420" s="10"/>
      <c r="J11420" s="10"/>
      <c r="K11420" s="10"/>
      <c r="L11420" s="10"/>
      <c r="M11420" s="10"/>
      <c r="N11420" s="10"/>
      <c r="O11420" s="10"/>
      <c r="P11420" s="10"/>
      <c r="Q11420" s="10"/>
      <c r="R11420" s="10"/>
      <c r="S11420" s="10"/>
      <c r="T11420" s="10"/>
      <c r="U11420" s="10"/>
      <c r="V11420" s="10"/>
      <c r="W11420" s="10"/>
      <c r="X11420" s="10"/>
      <c r="Y11420" s="10"/>
      <c r="Z11420" s="10"/>
    </row>
    <row r="11421" spans="1:26" ht="12.75">
      <c r="A11421" s="10"/>
      <c r="B11421" s="10"/>
      <c r="C11421" s="10"/>
      <c r="D11421" s="10"/>
      <c r="E11421" s="10"/>
      <c r="F11421" s="10"/>
      <c r="G11421" s="10"/>
      <c r="H11421" s="10"/>
      <c r="I11421" s="10"/>
      <c r="J11421" s="10"/>
      <c r="K11421" s="10"/>
      <c r="L11421" s="10"/>
      <c r="M11421" s="10"/>
      <c r="N11421" s="10"/>
      <c r="O11421" s="10"/>
      <c r="P11421" s="10"/>
      <c r="Q11421" s="10"/>
      <c r="R11421" s="10"/>
      <c r="S11421" s="10"/>
      <c r="T11421" s="10"/>
      <c r="U11421" s="10"/>
      <c r="V11421" s="10"/>
      <c r="W11421" s="10"/>
      <c r="X11421" s="10"/>
      <c r="Y11421" s="10"/>
      <c r="Z11421" s="10"/>
    </row>
    <row r="11422" spans="1:26" ht="12.75">
      <c r="A11422" s="10"/>
      <c r="B11422" s="10"/>
      <c r="C11422" s="10"/>
      <c r="D11422" s="10"/>
      <c r="E11422" s="10"/>
      <c r="F11422" s="10"/>
      <c r="G11422" s="10"/>
      <c r="H11422" s="10"/>
      <c r="I11422" s="10"/>
      <c r="J11422" s="10"/>
      <c r="K11422" s="10"/>
      <c r="L11422" s="10"/>
      <c r="M11422" s="10"/>
      <c r="N11422" s="10"/>
      <c r="O11422" s="10"/>
      <c r="P11422" s="10"/>
      <c r="Q11422" s="10"/>
      <c r="R11422" s="10"/>
      <c r="S11422" s="10"/>
      <c r="T11422" s="10"/>
      <c r="U11422" s="10"/>
      <c r="V11422" s="10"/>
      <c r="W11422" s="10"/>
      <c r="X11422" s="10"/>
      <c r="Y11422" s="10"/>
      <c r="Z11422" s="10"/>
    </row>
    <row r="11423" spans="1:26" ht="12.75">
      <c r="A11423" s="10"/>
      <c r="B11423" s="10"/>
      <c r="C11423" s="10"/>
      <c r="D11423" s="10"/>
      <c r="E11423" s="10"/>
      <c r="F11423" s="10"/>
      <c r="G11423" s="10"/>
      <c r="H11423" s="10"/>
      <c r="I11423" s="10"/>
      <c r="J11423" s="10"/>
      <c r="K11423" s="10"/>
      <c r="L11423" s="10"/>
      <c r="M11423" s="10"/>
      <c r="N11423" s="10"/>
      <c r="O11423" s="10"/>
      <c r="P11423" s="10"/>
      <c r="Q11423" s="10"/>
      <c r="R11423" s="10"/>
      <c r="S11423" s="10"/>
      <c r="T11423" s="10"/>
      <c r="U11423" s="10"/>
      <c r="V11423" s="10"/>
      <c r="W11423" s="10"/>
      <c r="X11423" s="10"/>
      <c r="Y11423" s="10"/>
      <c r="Z11423" s="10"/>
    </row>
    <row r="11424" spans="1:26" ht="12.75">
      <c r="A11424" s="10"/>
      <c r="B11424" s="10"/>
      <c r="C11424" s="10"/>
      <c r="D11424" s="10"/>
      <c r="E11424" s="10"/>
      <c r="F11424" s="10"/>
      <c r="G11424" s="10"/>
      <c r="H11424" s="10"/>
      <c r="I11424" s="10"/>
      <c r="J11424" s="10"/>
      <c r="K11424" s="10"/>
      <c r="L11424" s="10"/>
      <c r="M11424" s="10"/>
      <c r="N11424" s="10"/>
      <c r="O11424" s="10"/>
      <c r="P11424" s="10"/>
      <c r="Q11424" s="10"/>
      <c r="R11424" s="10"/>
      <c r="S11424" s="10"/>
      <c r="T11424" s="10"/>
      <c r="U11424" s="10"/>
      <c r="V11424" s="10"/>
      <c r="W11424" s="10"/>
      <c r="X11424" s="10"/>
      <c r="Y11424" s="10"/>
      <c r="Z11424" s="10"/>
    </row>
    <row r="11425" spans="1:26" ht="12.75">
      <c r="A11425" s="10"/>
      <c r="B11425" s="10"/>
      <c r="C11425" s="10"/>
      <c r="D11425" s="10"/>
      <c r="E11425" s="10"/>
      <c r="F11425" s="10"/>
      <c r="G11425" s="10"/>
      <c r="H11425" s="10"/>
      <c r="I11425" s="10"/>
      <c r="J11425" s="10"/>
      <c r="K11425" s="10"/>
      <c r="L11425" s="10"/>
      <c r="M11425" s="10"/>
      <c r="N11425" s="10"/>
      <c r="O11425" s="10"/>
      <c r="P11425" s="10"/>
      <c r="Q11425" s="10"/>
      <c r="R11425" s="10"/>
      <c r="S11425" s="10"/>
      <c r="T11425" s="10"/>
      <c r="U11425" s="10"/>
      <c r="V11425" s="10"/>
      <c r="W11425" s="10"/>
      <c r="X11425" s="10"/>
      <c r="Y11425" s="10"/>
      <c r="Z11425" s="10"/>
    </row>
    <row r="11426" spans="1:26" ht="12.75">
      <c r="A11426" s="10"/>
      <c r="B11426" s="10"/>
      <c r="C11426" s="10"/>
      <c r="D11426" s="10"/>
      <c r="E11426" s="10"/>
      <c r="F11426" s="10"/>
      <c r="G11426" s="10"/>
      <c r="H11426" s="10"/>
      <c r="I11426" s="10"/>
      <c r="J11426" s="10"/>
      <c r="K11426" s="10"/>
      <c r="L11426" s="10"/>
      <c r="M11426" s="10"/>
      <c r="N11426" s="10"/>
      <c r="O11426" s="10"/>
      <c r="P11426" s="10"/>
      <c r="Q11426" s="10"/>
      <c r="R11426" s="10"/>
      <c r="S11426" s="10"/>
      <c r="T11426" s="10"/>
      <c r="U11426" s="10"/>
      <c r="V11426" s="10"/>
      <c r="W11426" s="10"/>
      <c r="X11426" s="10"/>
      <c r="Y11426" s="10"/>
      <c r="Z11426" s="10"/>
    </row>
    <row r="11427" spans="1:26" ht="12.75">
      <c r="A11427" s="10"/>
      <c r="B11427" s="10"/>
      <c r="C11427" s="10"/>
      <c r="D11427" s="10"/>
      <c r="E11427" s="10"/>
      <c r="F11427" s="10"/>
      <c r="G11427" s="10"/>
      <c r="H11427" s="10"/>
      <c r="I11427" s="10"/>
      <c r="J11427" s="10"/>
      <c r="K11427" s="10"/>
      <c r="L11427" s="10"/>
      <c r="M11427" s="10"/>
      <c r="N11427" s="10"/>
      <c r="O11427" s="10"/>
      <c r="P11427" s="10"/>
      <c r="Q11427" s="10"/>
      <c r="R11427" s="10"/>
      <c r="S11427" s="10"/>
      <c r="T11427" s="10"/>
      <c r="U11427" s="10"/>
      <c r="V11427" s="10"/>
      <c r="W11427" s="10"/>
      <c r="X11427" s="10"/>
      <c r="Y11427" s="10"/>
      <c r="Z11427" s="10"/>
    </row>
    <row r="11428" spans="1:26" ht="12.75">
      <c r="A11428" s="10"/>
      <c r="B11428" s="10"/>
      <c r="C11428" s="10"/>
      <c r="D11428" s="10"/>
      <c r="E11428" s="10"/>
      <c r="F11428" s="10"/>
      <c r="G11428" s="10"/>
      <c r="H11428" s="10"/>
      <c r="I11428" s="10"/>
      <c r="J11428" s="10"/>
      <c r="K11428" s="10"/>
      <c r="L11428" s="10"/>
      <c r="M11428" s="10"/>
      <c r="N11428" s="10"/>
      <c r="O11428" s="10"/>
      <c r="P11428" s="10"/>
      <c r="Q11428" s="10"/>
      <c r="R11428" s="10"/>
      <c r="S11428" s="10"/>
      <c r="T11428" s="10"/>
      <c r="U11428" s="10"/>
      <c r="V11428" s="10"/>
      <c r="W11428" s="10"/>
      <c r="X11428" s="10"/>
      <c r="Y11428" s="10"/>
      <c r="Z11428" s="10"/>
    </row>
    <row r="11429" spans="1:26" ht="12.75">
      <c r="A11429" s="10"/>
      <c r="B11429" s="10"/>
      <c r="C11429" s="10"/>
      <c r="D11429" s="10"/>
      <c r="E11429" s="10"/>
      <c r="F11429" s="10"/>
      <c r="G11429" s="10"/>
      <c r="H11429" s="10"/>
      <c r="I11429" s="10"/>
      <c r="J11429" s="10"/>
      <c r="K11429" s="10"/>
      <c r="L11429" s="10"/>
      <c r="M11429" s="10"/>
      <c r="N11429" s="10"/>
      <c r="O11429" s="10"/>
      <c r="P11429" s="10"/>
      <c r="Q11429" s="10"/>
      <c r="R11429" s="10"/>
      <c r="S11429" s="10"/>
      <c r="T11429" s="10"/>
      <c r="U11429" s="10"/>
      <c r="V11429" s="10"/>
      <c r="W11429" s="10"/>
      <c r="X11429" s="10"/>
      <c r="Y11429" s="10"/>
      <c r="Z11429" s="10"/>
    </row>
    <row r="11430" spans="1:26" ht="12.75">
      <c r="A11430" s="10"/>
      <c r="B11430" s="10"/>
      <c r="C11430" s="10"/>
      <c r="D11430" s="10"/>
      <c r="E11430" s="10"/>
      <c r="F11430" s="10"/>
      <c r="G11430" s="10"/>
      <c r="H11430" s="10"/>
      <c r="I11430" s="10"/>
      <c r="J11430" s="10"/>
      <c r="K11430" s="10"/>
      <c r="L11430" s="10"/>
      <c r="M11430" s="10"/>
      <c r="N11430" s="10"/>
      <c r="O11430" s="10"/>
      <c r="P11430" s="10"/>
      <c r="Q11430" s="10"/>
      <c r="R11430" s="10"/>
      <c r="S11430" s="10"/>
      <c r="T11430" s="10"/>
      <c r="U11430" s="10"/>
      <c r="V11430" s="10"/>
      <c r="W11430" s="10"/>
      <c r="X11430" s="10"/>
      <c r="Y11430" s="10"/>
      <c r="Z11430" s="10"/>
    </row>
    <row r="11431" spans="1:26" ht="12.75">
      <c r="A11431" s="10"/>
      <c r="B11431" s="10"/>
      <c r="C11431" s="10"/>
      <c r="D11431" s="10"/>
      <c r="E11431" s="10"/>
      <c r="F11431" s="10"/>
      <c r="G11431" s="10"/>
      <c r="H11431" s="10"/>
      <c r="I11431" s="10"/>
      <c r="J11431" s="10"/>
      <c r="K11431" s="10"/>
      <c r="L11431" s="10"/>
      <c r="M11431" s="10"/>
      <c r="N11431" s="10"/>
      <c r="O11431" s="10"/>
      <c r="P11431" s="10"/>
      <c r="Q11431" s="10"/>
      <c r="R11431" s="10"/>
      <c r="S11431" s="10"/>
      <c r="T11431" s="10"/>
      <c r="U11431" s="10"/>
      <c r="V11431" s="10"/>
      <c r="W11431" s="10"/>
      <c r="X11431" s="10"/>
      <c r="Y11431" s="10"/>
      <c r="Z11431" s="10"/>
    </row>
    <row r="11432" spans="1:26" ht="12.75">
      <c r="A11432" s="10"/>
      <c r="B11432" s="10"/>
      <c r="C11432" s="10"/>
      <c r="D11432" s="10"/>
      <c r="E11432" s="10"/>
      <c r="F11432" s="10"/>
      <c r="G11432" s="10"/>
      <c r="H11432" s="10"/>
      <c r="I11432" s="10"/>
      <c r="J11432" s="10"/>
      <c r="K11432" s="10"/>
      <c r="L11432" s="10"/>
      <c r="M11432" s="10"/>
      <c r="N11432" s="10"/>
      <c r="O11432" s="10"/>
      <c r="P11432" s="10"/>
      <c r="Q11432" s="10"/>
      <c r="R11432" s="10"/>
      <c r="S11432" s="10"/>
      <c r="T11432" s="10"/>
      <c r="U11432" s="10"/>
      <c r="V11432" s="10"/>
      <c r="W11432" s="10"/>
      <c r="X11432" s="10"/>
      <c r="Y11432" s="10"/>
      <c r="Z11432" s="10"/>
    </row>
    <row r="11433" spans="1:26" ht="12.75">
      <c r="A11433" s="10"/>
      <c r="B11433" s="10"/>
      <c r="C11433" s="10"/>
      <c r="D11433" s="10"/>
      <c r="E11433" s="10"/>
      <c r="F11433" s="10"/>
      <c r="G11433" s="10"/>
      <c r="H11433" s="10"/>
      <c r="I11433" s="10"/>
      <c r="J11433" s="10"/>
      <c r="K11433" s="10"/>
      <c r="L11433" s="10"/>
      <c r="M11433" s="10"/>
      <c r="N11433" s="10"/>
      <c r="O11433" s="10"/>
      <c r="P11433" s="10"/>
      <c r="Q11433" s="10"/>
      <c r="R11433" s="10"/>
      <c r="S11433" s="10"/>
      <c r="T11433" s="10"/>
      <c r="U11433" s="10"/>
      <c r="V11433" s="10"/>
      <c r="W11433" s="10"/>
      <c r="X11433" s="10"/>
      <c r="Y11433" s="10"/>
      <c r="Z11433" s="10"/>
    </row>
    <row r="11434" spans="1:26" ht="12.75">
      <c r="A11434" s="10"/>
      <c r="B11434" s="10"/>
      <c r="C11434" s="10"/>
      <c r="D11434" s="10"/>
      <c r="E11434" s="10"/>
      <c r="F11434" s="10"/>
      <c r="G11434" s="10"/>
      <c r="H11434" s="10"/>
      <c r="I11434" s="10"/>
      <c r="J11434" s="10"/>
      <c r="K11434" s="10"/>
      <c r="L11434" s="10"/>
      <c r="M11434" s="10"/>
      <c r="N11434" s="10"/>
      <c r="O11434" s="10"/>
      <c r="P11434" s="10"/>
      <c r="Q11434" s="10"/>
      <c r="R11434" s="10"/>
      <c r="S11434" s="10"/>
      <c r="T11434" s="10"/>
      <c r="U11434" s="10"/>
      <c r="V11434" s="10"/>
      <c r="W11434" s="10"/>
      <c r="X11434" s="10"/>
      <c r="Y11434" s="10"/>
      <c r="Z11434" s="10"/>
    </row>
    <row r="11435" spans="1:26" ht="12.75">
      <c r="A11435" s="10"/>
      <c r="B11435" s="10"/>
      <c r="C11435" s="10"/>
      <c r="D11435" s="10"/>
      <c r="E11435" s="10"/>
      <c r="F11435" s="10"/>
      <c r="G11435" s="10"/>
      <c r="H11435" s="10"/>
      <c r="I11435" s="10"/>
      <c r="J11435" s="10"/>
      <c r="K11435" s="10"/>
      <c r="L11435" s="10"/>
      <c r="M11435" s="10"/>
      <c r="N11435" s="10"/>
      <c r="O11435" s="10"/>
      <c r="P11435" s="10"/>
      <c r="Q11435" s="10"/>
      <c r="R11435" s="10"/>
      <c r="S11435" s="10"/>
      <c r="T11435" s="10"/>
      <c r="U11435" s="10"/>
      <c r="V11435" s="10"/>
      <c r="W11435" s="10"/>
      <c r="X11435" s="10"/>
      <c r="Y11435" s="10"/>
      <c r="Z11435" s="10"/>
    </row>
    <row r="11436" spans="1:26" ht="12.75">
      <c r="A11436" s="10"/>
      <c r="B11436" s="10"/>
      <c r="C11436" s="10"/>
      <c r="D11436" s="10"/>
      <c r="E11436" s="10"/>
      <c r="F11436" s="10"/>
      <c r="G11436" s="10"/>
      <c r="H11436" s="10"/>
      <c r="I11436" s="10"/>
      <c r="J11436" s="10"/>
      <c r="K11436" s="10"/>
      <c r="L11436" s="10"/>
      <c r="M11436" s="10"/>
      <c r="N11436" s="10"/>
      <c r="O11436" s="10"/>
      <c r="P11436" s="10"/>
      <c r="Q11436" s="10"/>
      <c r="R11436" s="10"/>
      <c r="S11436" s="10"/>
      <c r="T11436" s="10"/>
      <c r="U11436" s="10"/>
      <c r="V11436" s="10"/>
      <c r="W11436" s="10"/>
      <c r="X11436" s="10"/>
      <c r="Y11436" s="10"/>
      <c r="Z11436" s="10"/>
    </row>
    <row r="11437" spans="1:26" ht="12.75">
      <c r="A11437" s="10"/>
      <c r="B11437" s="10"/>
      <c r="C11437" s="10"/>
      <c r="D11437" s="10"/>
      <c r="E11437" s="10"/>
      <c r="F11437" s="10"/>
      <c r="G11437" s="10"/>
      <c r="H11437" s="10"/>
      <c r="I11437" s="10"/>
      <c r="J11437" s="10"/>
      <c r="K11437" s="10"/>
      <c r="L11437" s="10"/>
      <c r="M11437" s="10"/>
      <c r="N11437" s="10"/>
      <c r="O11437" s="10"/>
      <c r="P11437" s="10"/>
      <c r="Q11437" s="10"/>
      <c r="R11437" s="10"/>
      <c r="S11437" s="10"/>
      <c r="T11437" s="10"/>
      <c r="U11437" s="10"/>
      <c r="V11437" s="10"/>
      <c r="W11437" s="10"/>
      <c r="X11437" s="10"/>
      <c r="Y11437" s="10"/>
      <c r="Z11437" s="10"/>
    </row>
    <row r="11438" spans="1:26" ht="12.75">
      <c r="A11438" s="10"/>
      <c r="B11438" s="10"/>
      <c r="C11438" s="10"/>
      <c r="D11438" s="10"/>
      <c r="E11438" s="10"/>
      <c r="F11438" s="10"/>
      <c r="G11438" s="10"/>
      <c r="H11438" s="10"/>
      <c r="I11438" s="10"/>
      <c r="J11438" s="10"/>
      <c r="K11438" s="10"/>
      <c r="L11438" s="10"/>
      <c r="M11438" s="10"/>
      <c r="N11438" s="10"/>
      <c r="O11438" s="10"/>
      <c r="P11438" s="10"/>
      <c r="Q11438" s="10"/>
      <c r="R11438" s="10"/>
      <c r="S11438" s="10"/>
      <c r="T11438" s="10"/>
      <c r="U11438" s="10"/>
      <c r="V11438" s="10"/>
      <c r="W11438" s="10"/>
      <c r="X11438" s="10"/>
      <c r="Y11438" s="10"/>
      <c r="Z11438" s="10"/>
    </row>
    <row r="11439" spans="1:26" ht="12.75">
      <c r="A11439" s="10"/>
      <c r="B11439" s="10"/>
      <c r="C11439" s="10"/>
      <c r="D11439" s="10"/>
      <c r="E11439" s="10"/>
      <c r="F11439" s="10"/>
      <c r="G11439" s="10"/>
      <c r="H11439" s="10"/>
      <c r="I11439" s="10"/>
      <c r="J11439" s="10"/>
      <c r="K11439" s="10"/>
      <c r="L11439" s="10"/>
      <c r="M11439" s="10"/>
      <c r="N11439" s="10"/>
      <c r="O11439" s="10"/>
      <c r="P11439" s="10"/>
      <c r="Q11439" s="10"/>
      <c r="R11439" s="10"/>
      <c r="S11439" s="10"/>
      <c r="T11439" s="10"/>
      <c r="U11439" s="10"/>
      <c r="V11439" s="10"/>
      <c r="W11439" s="10"/>
      <c r="X11439" s="10"/>
      <c r="Y11439" s="10"/>
      <c r="Z11439" s="10"/>
    </row>
    <row r="11440" spans="1:26" ht="12.75">
      <c r="A11440" s="10"/>
      <c r="B11440" s="10"/>
      <c r="C11440" s="10"/>
      <c r="D11440" s="10"/>
      <c r="E11440" s="10"/>
      <c r="F11440" s="10"/>
      <c r="G11440" s="10"/>
      <c r="H11440" s="10"/>
      <c r="I11440" s="10"/>
      <c r="J11440" s="10"/>
      <c r="K11440" s="10"/>
      <c r="L11440" s="10"/>
      <c r="M11440" s="10"/>
      <c r="N11440" s="10"/>
      <c r="O11440" s="10"/>
      <c r="P11440" s="10"/>
      <c r="Q11440" s="10"/>
      <c r="R11440" s="10"/>
      <c r="S11440" s="10"/>
      <c r="T11440" s="10"/>
      <c r="U11440" s="10"/>
      <c r="V11440" s="10"/>
      <c r="W11440" s="10"/>
      <c r="X11440" s="10"/>
      <c r="Y11440" s="10"/>
      <c r="Z11440" s="10"/>
    </row>
    <row r="11441" spans="1:26" ht="12.75">
      <c r="A11441" s="10"/>
      <c r="B11441" s="10"/>
      <c r="C11441" s="10"/>
      <c r="D11441" s="10"/>
      <c r="E11441" s="10"/>
      <c r="F11441" s="10"/>
      <c r="G11441" s="10"/>
      <c r="H11441" s="10"/>
      <c r="I11441" s="10"/>
      <c r="J11441" s="10"/>
      <c r="K11441" s="10"/>
      <c r="L11441" s="10"/>
      <c r="M11441" s="10"/>
      <c r="N11441" s="10"/>
      <c r="O11441" s="10"/>
      <c r="P11441" s="10"/>
      <c r="Q11441" s="10"/>
      <c r="R11441" s="10"/>
      <c r="S11441" s="10"/>
      <c r="T11441" s="10"/>
      <c r="U11441" s="10"/>
      <c r="V11441" s="10"/>
      <c r="W11441" s="10"/>
      <c r="X11441" s="10"/>
      <c r="Y11441" s="10"/>
      <c r="Z11441" s="10"/>
    </row>
    <row r="11442" spans="1:26" ht="12.75">
      <c r="A11442" s="10"/>
      <c r="B11442" s="10"/>
      <c r="C11442" s="10"/>
      <c r="D11442" s="10"/>
      <c r="E11442" s="10"/>
      <c r="F11442" s="10"/>
      <c r="G11442" s="10"/>
      <c r="H11442" s="10"/>
      <c r="I11442" s="10"/>
      <c r="J11442" s="10"/>
      <c r="K11442" s="10"/>
      <c r="L11442" s="10"/>
      <c r="M11442" s="10"/>
      <c r="N11442" s="10"/>
      <c r="O11442" s="10"/>
      <c r="P11442" s="10"/>
      <c r="Q11442" s="10"/>
      <c r="R11442" s="10"/>
      <c r="S11442" s="10"/>
      <c r="T11442" s="10"/>
      <c r="U11442" s="10"/>
      <c r="V11442" s="10"/>
      <c r="W11442" s="10"/>
      <c r="X11442" s="10"/>
      <c r="Y11442" s="10"/>
      <c r="Z11442" s="10"/>
    </row>
    <row r="11443" spans="1:26" ht="12.75">
      <c r="A11443" s="10"/>
      <c r="B11443" s="10"/>
      <c r="C11443" s="10"/>
      <c r="D11443" s="10"/>
      <c r="E11443" s="10"/>
      <c r="F11443" s="10"/>
      <c r="G11443" s="10"/>
      <c r="H11443" s="10"/>
      <c r="I11443" s="10"/>
      <c r="J11443" s="10"/>
      <c r="K11443" s="10"/>
      <c r="L11443" s="10"/>
      <c r="M11443" s="10"/>
      <c r="N11443" s="10"/>
      <c r="O11443" s="10"/>
      <c r="P11443" s="10"/>
      <c r="Q11443" s="10"/>
      <c r="R11443" s="10"/>
      <c r="S11443" s="10"/>
      <c r="T11443" s="10"/>
      <c r="U11443" s="10"/>
      <c r="V11443" s="10"/>
      <c r="W11443" s="10"/>
      <c r="X11443" s="10"/>
      <c r="Y11443" s="10"/>
      <c r="Z11443" s="10"/>
    </row>
    <row r="11444" spans="1:26" ht="12.75">
      <c r="A11444" s="10"/>
      <c r="B11444" s="10"/>
      <c r="C11444" s="10"/>
      <c r="D11444" s="10"/>
      <c r="E11444" s="10"/>
      <c r="F11444" s="10"/>
      <c r="G11444" s="10"/>
      <c r="H11444" s="10"/>
      <c r="I11444" s="10"/>
      <c r="J11444" s="10"/>
      <c r="K11444" s="10"/>
      <c r="L11444" s="10"/>
      <c r="M11444" s="10"/>
      <c r="N11444" s="10"/>
      <c r="O11444" s="10"/>
      <c r="P11444" s="10"/>
      <c r="Q11444" s="10"/>
      <c r="R11444" s="10"/>
      <c r="S11444" s="10"/>
      <c r="T11444" s="10"/>
      <c r="U11444" s="10"/>
      <c r="V11444" s="10"/>
      <c r="W11444" s="10"/>
      <c r="X11444" s="10"/>
      <c r="Y11444" s="10"/>
      <c r="Z11444" s="10"/>
    </row>
    <row r="11445" spans="1:26" ht="12.75">
      <c r="A11445" s="10"/>
      <c r="B11445" s="10"/>
      <c r="C11445" s="10"/>
      <c r="D11445" s="10"/>
      <c r="E11445" s="10"/>
      <c r="F11445" s="10"/>
      <c r="G11445" s="10"/>
      <c r="H11445" s="10"/>
      <c r="I11445" s="10"/>
      <c r="J11445" s="10"/>
      <c r="K11445" s="10"/>
      <c r="L11445" s="10"/>
      <c r="M11445" s="10"/>
      <c r="N11445" s="10"/>
      <c r="O11445" s="10"/>
      <c r="P11445" s="10"/>
      <c r="Q11445" s="10"/>
      <c r="R11445" s="10"/>
      <c r="S11445" s="10"/>
      <c r="T11445" s="10"/>
      <c r="U11445" s="10"/>
      <c r="V11445" s="10"/>
      <c r="W11445" s="10"/>
      <c r="X11445" s="10"/>
      <c r="Y11445" s="10"/>
      <c r="Z11445" s="10"/>
    </row>
    <row r="11446" spans="1:26" ht="12.75">
      <c r="A11446" s="10"/>
      <c r="B11446" s="10"/>
      <c r="C11446" s="10"/>
      <c r="D11446" s="10"/>
      <c r="E11446" s="10"/>
      <c r="F11446" s="10"/>
      <c r="G11446" s="10"/>
      <c r="H11446" s="10"/>
      <c r="I11446" s="10"/>
      <c r="J11446" s="10"/>
      <c r="K11446" s="10"/>
      <c r="L11446" s="10"/>
      <c r="M11446" s="10"/>
      <c r="N11446" s="10"/>
      <c r="O11446" s="10"/>
      <c r="P11446" s="10"/>
      <c r="Q11446" s="10"/>
      <c r="R11446" s="10"/>
      <c r="S11446" s="10"/>
      <c r="T11446" s="10"/>
      <c r="U11446" s="10"/>
      <c r="V11446" s="10"/>
      <c r="W11446" s="10"/>
      <c r="X11446" s="10"/>
      <c r="Y11446" s="10"/>
      <c r="Z11446" s="10"/>
    </row>
    <row r="11447" spans="1:26" ht="12.75">
      <c r="A11447" s="10"/>
      <c r="B11447" s="10"/>
      <c r="C11447" s="10"/>
      <c r="D11447" s="10"/>
      <c r="E11447" s="10"/>
      <c r="F11447" s="10"/>
      <c r="G11447" s="10"/>
      <c r="H11447" s="10"/>
      <c r="I11447" s="10"/>
      <c r="J11447" s="10"/>
      <c r="K11447" s="10"/>
      <c r="L11447" s="10"/>
      <c r="M11447" s="10"/>
      <c r="N11447" s="10"/>
      <c r="O11447" s="10"/>
      <c r="P11447" s="10"/>
      <c r="Q11447" s="10"/>
      <c r="R11447" s="10"/>
      <c r="S11447" s="10"/>
      <c r="T11447" s="10"/>
      <c r="U11447" s="10"/>
      <c r="V11447" s="10"/>
      <c r="W11447" s="10"/>
      <c r="X11447" s="10"/>
      <c r="Y11447" s="10"/>
      <c r="Z11447" s="10"/>
    </row>
    <row r="11448" spans="1:26" ht="12.75">
      <c r="A11448" s="10"/>
      <c r="B11448" s="10"/>
      <c r="C11448" s="10"/>
      <c r="D11448" s="10"/>
      <c r="E11448" s="10"/>
      <c r="F11448" s="10"/>
      <c r="G11448" s="10"/>
      <c r="H11448" s="10"/>
      <c r="I11448" s="10"/>
      <c r="J11448" s="10"/>
      <c r="K11448" s="10"/>
      <c r="L11448" s="10"/>
      <c r="M11448" s="10"/>
      <c r="N11448" s="10"/>
      <c r="O11448" s="10"/>
      <c r="P11448" s="10"/>
      <c r="Q11448" s="10"/>
      <c r="R11448" s="10"/>
      <c r="S11448" s="10"/>
      <c r="T11448" s="10"/>
      <c r="U11448" s="10"/>
      <c r="V11448" s="10"/>
      <c r="W11448" s="10"/>
      <c r="X11448" s="10"/>
      <c r="Y11448" s="10"/>
      <c r="Z11448" s="10"/>
    </row>
    <row r="11449" spans="1:26" ht="12.75">
      <c r="A11449" s="10"/>
      <c r="B11449" s="10"/>
      <c r="C11449" s="10"/>
      <c r="D11449" s="10"/>
      <c r="E11449" s="10"/>
      <c r="F11449" s="10"/>
      <c r="G11449" s="10"/>
      <c r="H11449" s="10"/>
      <c r="I11449" s="10"/>
      <c r="J11449" s="10"/>
      <c r="K11449" s="10"/>
      <c r="L11449" s="10"/>
      <c r="M11449" s="10"/>
      <c r="N11449" s="10"/>
      <c r="O11449" s="10"/>
      <c r="P11449" s="10"/>
      <c r="Q11449" s="10"/>
      <c r="R11449" s="10"/>
      <c r="S11449" s="10"/>
      <c r="T11449" s="10"/>
      <c r="U11449" s="10"/>
      <c r="V11449" s="10"/>
      <c r="W11449" s="10"/>
      <c r="X11449" s="10"/>
      <c r="Y11449" s="10"/>
      <c r="Z11449" s="10"/>
    </row>
    <row r="11450" spans="1:26" ht="12.75">
      <c r="A11450" s="10"/>
      <c r="B11450" s="10"/>
      <c r="C11450" s="10"/>
      <c r="D11450" s="10"/>
      <c r="E11450" s="10"/>
      <c r="F11450" s="10"/>
      <c r="G11450" s="10"/>
      <c r="H11450" s="10"/>
      <c r="I11450" s="10"/>
      <c r="J11450" s="10"/>
      <c r="K11450" s="10"/>
      <c r="L11450" s="10"/>
      <c r="M11450" s="10"/>
      <c r="N11450" s="10"/>
      <c r="O11450" s="10"/>
      <c r="P11450" s="10"/>
      <c r="Q11450" s="10"/>
      <c r="R11450" s="10"/>
      <c r="S11450" s="10"/>
      <c r="T11450" s="10"/>
      <c r="U11450" s="10"/>
      <c r="V11450" s="10"/>
      <c r="W11450" s="10"/>
      <c r="X11450" s="10"/>
      <c r="Y11450" s="10"/>
      <c r="Z11450" s="10"/>
    </row>
    <row r="11451" spans="1:26" ht="12.75">
      <c r="A11451" s="10"/>
      <c r="B11451" s="10"/>
      <c r="C11451" s="10"/>
      <c r="D11451" s="10"/>
      <c r="E11451" s="10"/>
      <c r="F11451" s="10"/>
      <c r="G11451" s="10"/>
      <c r="H11451" s="10"/>
      <c r="I11451" s="10"/>
      <c r="J11451" s="10"/>
      <c r="K11451" s="10"/>
      <c r="L11451" s="10"/>
      <c r="M11451" s="10"/>
      <c r="N11451" s="10"/>
      <c r="O11451" s="10"/>
      <c r="P11451" s="10"/>
      <c r="Q11451" s="10"/>
      <c r="R11451" s="10"/>
      <c r="S11451" s="10"/>
      <c r="T11451" s="10"/>
      <c r="U11451" s="10"/>
      <c r="V11451" s="10"/>
      <c r="W11451" s="10"/>
      <c r="X11451" s="10"/>
      <c r="Y11451" s="10"/>
      <c r="Z11451" s="10"/>
    </row>
    <row r="11452" spans="1:26" ht="12.75">
      <c r="A11452" s="10"/>
      <c r="B11452" s="10"/>
      <c r="C11452" s="10"/>
      <c r="D11452" s="10"/>
      <c r="E11452" s="10"/>
      <c r="F11452" s="10"/>
      <c r="G11452" s="10"/>
      <c r="H11452" s="10"/>
      <c r="I11452" s="10"/>
      <c r="J11452" s="10"/>
      <c r="K11452" s="10"/>
      <c r="L11452" s="10"/>
      <c r="M11452" s="10"/>
      <c r="N11452" s="10"/>
      <c r="O11452" s="10"/>
      <c r="P11452" s="10"/>
      <c r="Q11452" s="10"/>
      <c r="R11452" s="10"/>
      <c r="S11452" s="10"/>
      <c r="T11452" s="10"/>
      <c r="U11452" s="10"/>
      <c r="V11452" s="10"/>
      <c r="W11452" s="10"/>
      <c r="X11452" s="10"/>
      <c r="Y11452" s="10"/>
      <c r="Z11452" s="10"/>
    </row>
    <row r="11453" spans="1:26" ht="12.75">
      <c r="A11453" s="10"/>
      <c r="B11453" s="10"/>
      <c r="C11453" s="10"/>
      <c r="D11453" s="10"/>
      <c r="E11453" s="10"/>
      <c r="F11453" s="10"/>
      <c r="G11453" s="10"/>
      <c r="H11453" s="10"/>
      <c r="I11453" s="10"/>
      <c r="J11453" s="10"/>
      <c r="K11453" s="10"/>
      <c r="L11453" s="10"/>
      <c r="M11453" s="10"/>
      <c r="N11453" s="10"/>
      <c r="O11453" s="10"/>
      <c r="P11453" s="10"/>
      <c r="Q11453" s="10"/>
      <c r="R11453" s="10"/>
      <c r="S11453" s="10"/>
      <c r="T11453" s="10"/>
      <c r="U11453" s="10"/>
      <c r="V11453" s="10"/>
      <c r="W11453" s="10"/>
      <c r="X11453" s="10"/>
      <c r="Y11453" s="10"/>
      <c r="Z11453" s="10"/>
    </row>
    <row r="11454" spans="1:26" ht="12.75">
      <c r="A11454" s="10"/>
      <c r="B11454" s="10"/>
      <c r="C11454" s="10"/>
      <c r="D11454" s="10"/>
      <c r="E11454" s="10"/>
      <c r="F11454" s="10"/>
      <c r="G11454" s="10"/>
      <c r="H11454" s="10"/>
      <c r="I11454" s="10"/>
      <c r="J11454" s="10"/>
      <c r="K11454" s="10"/>
      <c r="L11454" s="10"/>
      <c r="M11454" s="10"/>
      <c r="N11454" s="10"/>
      <c r="O11454" s="10"/>
      <c r="P11454" s="10"/>
      <c r="Q11454" s="10"/>
      <c r="R11454" s="10"/>
      <c r="S11454" s="10"/>
      <c r="T11454" s="10"/>
      <c r="U11454" s="10"/>
      <c r="V11454" s="10"/>
      <c r="W11454" s="10"/>
      <c r="X11454" s="10"/>
      <c r="Y11454" s="10"/>
      <c r="Z11454" s="10"/>
    </row>
    <row r="11455" spans="1:26" ht="12.75">
      <c r="A11455" s="10"/>
      <c r="B11455" s="10"/>
      <c r="C11455" s="10"/>
      <c r="D11455" s="10"/>
      <c r="E11455" s="10"/>
      <c r="F11455" s="10"/>
      <c r="G11455" s="10"/>
      <c r="H11455" s="10"/>
      <c r="I11455" s="10"/>
      <c r="J11455" s="10"/>
      <c r="K11455" s="10"/>
      <c r="L11455" s="10"/>
      <c r="M11455" s="10"/>
      <c r="N11455" s="10"/>
      <c r="O11455" s="10"/>
      <c r="P11455" s="10"/>
      <c r="Q11455" s="10"/>
      <c r="R11455" s="10"/>
      <c r="S11455" s="10"/>
      <c r="T11455" s="10"/>
      <c r="U11455" s="10"/>
      <c r="V11455" s="10"/>
      <c r="W11455" s="10"/>
      <c r="X11455" s="10"/>
      <c r="Y11455" s="10"/>
      <c r="Z11455" s="10"/>
    </row>
    <row r="11456" spans="1:26" ht="12.75">
      <c r="A11456" s="10"/>
      <c r="B11456" s="10"/>
      <c r="C11456" s="10"/>
      <c r="D11456" s="10"/>
      <c r="E11456" s="10"/>
      <c r="F11456" s="10"/>
      <c r="G11456" s="10"/>
      <c r="H11456" s="10"/>
      <c r="I11456" s="10"/>
      <c r="J11456" s="10"/>
      <c r="K11456" s="10"/>
      <c r="L11456" s="10"/>
      <c r="M11456" s="10"/>
      <c r="N11456" s="10"/>
      <c r="O11456" s="10"/>
      <c r="P11456" s="10"/>
      <c r="Q11456" s="10"/>
      <c r="R11456" s="10"/>
      <c r="S11456" s="10"/>
      <c r="T11456" s="10"/>
      <c r="U11456" s="10"/>
      <c r="V11456" s="10"/>
      <c r="W11456" s="10"/>
      <c r="X11456" s="10"/>
      <c r="Y11456" s="10"/>
      <c r="Z11456" s="10"/>
    </row>
    <row r="11457" spans="1:26" ht="12.75">
      <c r="A11457" s="10"/>
      <c r="B11457" s="10"/>
      <c r="C11457" s="10"/>
      <c r="D11457" s="10"/>
      <c r="E11457" s="10"/>
      <c r="F11457" s="10"/>
      <c r="G11457" s="10"/>
      <c r="H11457" s="10"/>
      <c r="I11457" s="10"/>
      <c r="J11457" s="10"/>
      <c r="K11457" s="10"/>
      <c r="L11457" s="10"/>
      <c r="M11457" s="10"/>
      <c r="N11457" s="10"/>
      <c r="O11457" s="10"/>
      <c r="P11457" s="10"/>
      <c r="Q11457" s="10"/>
      <c r="R11457" s="10"/>
      <c r="S11457" s="10"/>
      <c r="T11457" s="10"/>
      <c r="U11457" s="10"/>
      <c r="V11457" s="10"/>
      <c r="W11457" s="10"/>
      <c r="X11457" s="10"/>
      <c r="Y11457" s="10"/>
      <c r="Z11457" s="10"/>
    </row>
    <row r="11458" spans="1:26" ht="12.75">
      <c r="A11458" s="10"/>
      <c r="B11458" s="10"/>
      <c r="C11458" s="10"/>
      <c r="D11458" s="10"/>
      <c r="E11458" s="10"/>
      <c r="F11458" s="10"/>
      <c r="G11458" s="10"/>
      <c r="H11458" s="10"/>
      <c r="I11458" s="10"/>
      <c r="J11458" s="10"/>
      <c r="K11458" s="10"/>
      <c r="L11458" s="10"/>
      <c r="M11458" s="10"/>
      <c r="N11458" s="10"/>
      <c r="O11458" s="10"/>
      <c r="P11458" s="10"/>
      <c r="Q11458" s="10"/>
      <c r="R11458" s="10"/>
      <c r="S11458" s="10"/>
      <c r="T11458" s="10"/>
      <c r="U11458" s="10"/>
      <c r="V11458" s="10"/>
      <c r="W11458" s="10"/>
      <c r="X11458" s="10"/>
      <c r="Y11458" s="10"/>
      <c r="Z11458" s="10"/>
    </row>
    <row r="11459" spans="1:26" ht="12.75">
      <c r="A11459" s="10"/>
      <c r="B11459" s="10"/>
      <c r="C11459" s="10"/>
      <c r="D11459" s="10"/>
      <c r="E11459" s="10"/>
      <c r="F11459" s="10"/>
      <c r="G11459" s="10"/>
      <c r="H11459" s="10"/>
      <c r="I11459" s="10"/>
      <c r="J11459" s="10"/>
      <c r="K11459" s="10"/>
      <c r="L11459" s="10"/>
      <c r="M11459" s="10"/>
      <c r="N11459" s="10"/>
      <c r="O11459" s="10"/>
      <c r="P11459" s="10"/>
      <c r="Q11459" s="10"/>
      <c r="R11459" s="10"/>
      <c r="S11459" s="10"/>
      <c r="T11459" s="10"/>
      <c r="U11459" s="10"/>
      <c r="V11459" s="10"/>
      <c r="W11459" s="10"/>
      <c r="X11459" s="10"/>
      <c r="Y11459" s="10"/>
      <c r="Z11459" s="10"/>
    </row>
    <row r="11460" spans="1:26" ht="12.75">
      <c r="A11460" s="10"/>
      <c r="B11460" s="10"/>
      <c r="C11460" s="10"/>
      <c r="D11460" s="10"/>
      <c r="E11460" s="10"/>
      <c r="F11460" s="10"/>
      <c r="G11460" s="10"/>
      <c r="H11460" s="10"/>
      <c r="I11460" s="10"/>
      <c r="J11460" s="10"/>
      <c r="K11460" s="10"/>
      <c r="L11460" s="10"/>
      <c r="M11460" s="10"/>
      <c r="N11460" s="10"/>
      <c r="O11460" s="10"/>
      <c r="P11460" s="10"/>
      <c r="Q11460" s="10"/>
      <c r="R11460" s="10"/>
      <c r="S11460" s="10"/>
      <c r="T11460" s="10"/>
      <c r="U11460" s="10"/>
      <c r="V11460" s="10"/>
      <c r="W11460" s="10"/>
      <c r="X11460" s="10"/>
      <c r="Y11460" s="10"/>
      <c r="Z11460" s="10"/>
    </row>
    <row r="11461" spans="1:26" ht="12.75">
      <c r="A11461" s="10"/>
      <c r="B11461" s="10"/>
      <c r="C11461" s="10"/>
      <c r="D11461" s="10"/>
      <c r="E11461" s="10"/>
      <c r="F11461" s="10"/>
      <c r="G11461" s="10"/>
      <c r="H11461" s="10"/>
      <c r="I11461" s="10"/>
      <c r="J11461" s="10"/>
      <c r="K11461" s="10"/>
      <c r="L11461" s="10"/>
      <c r="M11461" s="10"/>
      <c r="N11461" s="10"/>
      <c r="O11461" s="10"/>
      <c r="P11461" s="10"/>
      <c r="Q11461" s="10"/>
      <c r="R11461" s="10"/>
      <c r="S11461" s="10"/>
      <c r="T11461" s="10"/>
      <c r="U11461" s="10"/>
      <c r="V11461" s="10"/>
      <c r="W11461" s="10"/>
      <c r="X11461" s="10"/>
      <c r="Y11461" s="10"/>
      <c r="Z11461" s="10"/>
    </row>
    <row r="11462" spans="1:26" ht="12.75">
      <c r="A11462" s="10"/>
      <c r="B11462" s="10"/>
      <c r="C11462" s="10"/>
      <c r="D11462" s="10"/>
      <c r="E11462" s="10"/>
      <c r="F11462" s="10"/>
      <c r="G11462" s="10"/>
      <c r="H11462" s="10"/>
      <c r="I11462" s="10"/>
      <c r="J11462" s="10"/>
      <c r="K11462" s="10"/>
      <c r="L11462" s="10"/>
      <c r="M11462" s="10"/>
      <c r="N11462" s="10"/>
      <c r="O11462" s="10"/>
      <c r="P11462" s="10"/>
      <c r="Q11462" s="10"/>
      <c r="R11462" s="10"/>
      <c r="S11462" s="10"/>
      <c r="T11462" s="10"/>
      <c r="U11462" s="10"/>
      <c r="V11462" s="10"/>
      <c r="W11462" s="10"/>
      <c r="X11462" s="10"/>
      <c r="Y11462" s="10"/>
      <c r="Z11462" s="10"/>
    </row>
    <row r="11463" spans="1:26" ht="12.75">
      <c r="A11463" s="10"/>
      <c r="B11463" s="10"/>
      <c r="C11463" s="10"/>
      <c r="D11463" s="10"/>
      <c r="E11463" s="10"/>
      <c r="F11463" s="10"/>
      <c r="G11463" s="10"/>
      <c r="H11463" s="10"/>
      <c r="I11463" s="10"/>
      <c r="J11463" s="10"/>
      <c r="K11463" s="10"/>
      <c r="L11463" s="10"/>
      <c r="M11463" s="10"/>
      <c r="N11463" s="10"/>
      <c r="O11463" s="10"/>
      <c r="P11463" s="10"/>
      <c r="Q11463" s="10"/>
      <c r="R11463" s="10"/>
      <c r="S11463" s="10"/>
      <c r="T11463" s="10"/>
      <c r="U11463" s="10"/>
      <c r="V11463" s="10"/>
      <c r="W11463" s="10"/>
      <c r="X11463" s="10"/>
      <c r="Y11463" s="10"/>
      <c r="Z11463" s="10"/>
    </row>
    <row r="11464" spans="1:26" ht="12.75">
      <c r="A11464" s="10"/>
      <c r="B11464" s="10"/>
      <c r="C11464" s="10"/>
      <c r="D11464" s="10"/>
      <c r="E11464" s="10"/>
      <c r="F11464" s="10"/>
      <c r="G11464" s="10"/>
      <c r="H11464" s="10"/>
      <c r="I11464" s="10"/>
      <c r="J11464" s="10"/>
      <c r="K11464" s="10"/>
      <c r="L11464" s="10"/>
      <c r="M11464" s="10"/>
      <c r="N11464" s="10"/>
      <c r="O11464" s="10"/>
      <c r="P11464" s="10"/>
      <c r="Q11464" s="10"/>
      <c r="R11464" s="10"/>
      <c r="S11464" s="10"/>
      <c r="T11464" s="10"/>
      <c r="U11464" s="10"/>
      <c r="V11464" s="10"/>
      <c r="W11464" s="10"/>
      <c r="X11464" s="10"/>
      <c r="Y11464" s="10"/>
      <c r="Z11464" s="10"/>
    </row>
    <row r="11465" spans="1:26" ht="12.75">
      <c r="A11465" s="10"/>
      <c r="B11465" s="10"/>
      <c r="C11465" s="10"/>
      <c r="D11465" s="10"/>
      <c r="E11465" s="10"/>
      <c r="F11465" s="10"/>
      <c r="G11465" s="10"/>
      <c r="H11465" s="10"/>
      <c r="I11465" s="10"/>
      <c r="J11465" s="10"/>
      <c r="K11465" s="10"/>
      <c r="L11465" s="10"/>
      <c r="M11465" s="10"/>
      <c r="N11465" s="10"/>
      <c r="O11465" s="10"/>
      <c r="P11465" s="10"/>
      <c r="Q11465" s="10"/>
      <c r="R11465" s="10"/>
      <c r="S11465" s="10"/>
      <c r="T11465" s="10"/>
      <c r="U11465" s="10"/>
      <c r="V11465" s="10"/>
      <c r="W11465" s="10"/>
      <c r="X11465" s="10"/>
      <c r="Y11465" s="10"/>
      <c r="Z11465" s="10"/>
    </row>
    <row r="11466" spans="1:26" ht="12.75">
      <c r="A11466" s="10"/>
      <c r="B11466" s="10"/>
      <c r="C11466" s="10"/>
      <c r="D11466" s="10"/>
      <c r="E11466" s="10"/>
      <c r="F11466" s="10"/>
      <c r="G11466" s="10"/>
      <c r="H11466" s="10"/>
      <c r="I11466" s="10"/>
      <c r="J11466" s="10"/>
      <c r="K11466" s="10"/>
      <c r="L11466" s="10"/>
      <c r="M11466" s="10"/>
      <c r="N11466" s="10"/>
      <c r="O11466" s="10"/>
      <c r="P11466" s="10"/>
      <c r="Q11466" s="10"/>
      <c r="R11466" s="10"/>
      <c r="S11466" s="10"/>
      <c r="T11466" s="10"/>
      <c r="U11466" s="10"/>
      <c r="V11466" s="10"/>
      <c r="W11466" s="10"/>
      <c r="X11466" s="10"/>
      <c r="Y11466" s="10"/>
      <c r="Z11466" s="10"/>
    </row>
    <row r="11467" spans="1:26" ht="12.75">
      <c r="A11467" s="10"/>
      <c r="B11467" s="10"/>
      <c r="C11467" s="10"/>
      <c r="D11467" s="10"/>
      <c r="E11467" s="10"/>
      <c r="F11467" s="10"/>
      <c r="G11467" s="10"/>
      <c r="H11467" s="10"/>
      <c r="I11467" s="10"/>
      <c r="J11467" s="10"/>
      <c r="K11467" s="10"/>
      <c r="L11467" s="10"/>
      <c r="M11467" s="10"/>
      <c r="N11467" s="10"/>
      <c r="O11467" s="10"/>
      <c r="P11467" s="10"/>
      <c r="Q11467" s="10"/>
      <c r="R11467" s="10"/>
      <c r="S11467" s="10"/>
      <c r="T11467" s="10"/>
      <c r="U11467" s="10"/>
      <c r="V11467" s="10"/>
      <c r="W11467" s="10"/>
      <c r="X11467" s="10"/>
      <c r="Y11467" s="10"/>
      <c r="Z11467" s="10"/>
    </row>
    <row r="11468" spans="1:26" ht="12.75">
      <c r="A11468" s="10"/>
      <c r="B11468" s="10"/>
      <c r="C11468" s="10"/>
      <c r="D11468" s="10"/>
      <c r="E11468" s="10"/>
      <c r="F11468" s="10"/>
      <c r="G11468" s="10"/>
      <c r="H11468" s="10"/>
      <c r="I11468" s="10"/>
      <c r="J11468" s="10"/>
      <c r="K11468" s="10"/>
      <c r="L11468" s="10"/>
      <c r="M11468" s="10"/>
      <c r="N11468" s="10"/>
      <c r="O11468" s="10"/>
      <c r="P11468" s="10"/>
      <c r="Q11468" s="10"/>
      <c r="R11468" s="10"/>
      <c r="S11468" s="10"/>
      <c r="T11468" s="10"/>
      <c r="U11468" s="10"/>
      <c r="V11468" s="10"/>
      <c r="W11468" s="10"/>
      <c r="X11468" s="10"/>
      <c r="Y11468" s="10"/>
      <c r="Z11468" s="10"/>
    </row>
    <row r="11469" spans="1:26" ht="12.75">
      <c r="A11469" s="10"/>
      <c r="B11469" s="10"/>
      <c r="C11469" s="10"/>
      <c r="D11469" s="10"/>
      <c r="E11469" s="10"/>
      <c r="F11469" s="10"/>
      <c r="G11469" s="10"/>
      <c r="H11469" s="10"/>
      <c r="I11469" s="10"/>
      <c r="J11469" s="10"/>
      <c r="K11469" s="10"/>
      <c r="L11469" s="10"/>
      <c r="M11469" s="10"/>
      <c r="N11469" s="10"/>
      <c r="O11469" s="10"/>
      <c r="P11469" s="10"/>
      <c r="Q11469" s="10"/>
      <c r="R11469" s="10"/>
      <c r="S11469" s="10"/>
      <c r="T11469" s="10"/>
      <c r="U11469" s="10"/>
      <c r="V11469" s="10"/>
      <c r="W11469" s="10"/>
      <c r="X11469" s="10"/>
      <c r="Y11469" s="10"/>
      <c r="Z11469" s="10"/>
    </row>
    <row r="11470" spans="1:26" ht="12.75">
      <c r="A11470" s="10"/>
      <c r="B11470" s="10"/>
      <c r="C11470" s="10"/>
      <c r="D11470" s="10"/>
      <c r="E11470" s="10"/>
      <c r="F11470" s="10"/>
      <c r="G11470" s="10"/>
      <c r="H11470" s="10"/>
      <c r="I11470" s="10"/>
      <c r="J11470" s="10"/>
      <c r="K11470" s="10"/>
      <c r="L11470" s="10"/>
      <c r="M11470" s="10"/>
      <c r="N11470" s="10"/>
      <c r="O11470" s="10"/>
      <c r="P11470" s="10"/>
      <c r="Q11470" s="10"/>
      <c r="R11470" s="10"/>
      <c r="S11470" s="10"/>
      <c r="T11470" s="10"/>
      <c r="U11470" s="10"/>
      <c r="V11470" s="10"/>
      <c r="W11470" s="10"/>
      <c r="X11470" s="10"/>
      <c r="Y11470" s="10"/>
      <c r="Z11470" s="10"/>
    </row>
    <row r="11471" spans="1:26" ht="12.75">
      <c r="A11471" s="10"/>
      <c r="B11471" s="10"/>
      <c r="C11471" s="10"/>
      <c r="D11471" s="10"/>
      <c r="E11471" s="10"/>
      <c r="F11471" s="10"/>
      <c r="G11471" s="10"/>
      <c r="H11471" s="10"/>
      <c r="I11471" s="10"/>
      <c r="J11471" s="10"/>
      <c r="K11471" s="10"/>
      <c r="L11471" s="10"/>
      <c r="M11471" s="10"/>
      <c r="N11471" s="10"/>
      <c r="O11471" s="10"/>
      <c r="P11471" s="10"/>
      <c r="Q11471" s="10"/>
      <c r="R11471" s="10"/>
      <c r="S11471" s="10"/>
      <c r="T11471" s="10"/>
      <c r="U11471" s="10"/>
      <c r="V11471" s="10"/>
      <c r="W11471" s="10"/>
      <c r="X11471" s="10"/>
      <c r="Y11471" s="10"/>
      <c r="Z11471" s="10"/>
    </row>
    <row r="11472" spans="1:26" ht="12.75">
      <c r="A11472" s="10"/>
      <c r="B11472" s="10"/>
      <c r="C11472" s="10"/>
      <c r="D11472" s="10"/>
      <c r="E11472" s="10"/>
      <c r="F11472" s="10"/>
      <c r="G11472" s="10"/>
      <c r="H11472" s="10"/>
      <c r="I11472" s="10"/>
      <c r="J11472" s="10"/>
      <c r="K11472" s="10"/>
      <c r="L11472" s="10"/>
      <c r="M11472" s="10"/>
      <c r="N11472" s="10"/>
      <c r="O11472" s="10"/>
      <c r="P11472" s="10"/>
      <c r="Q11472" s="10"/>
      <c r="R11472" s="10"/>
      <c r="S11472" s="10"/>
      <c r="T11472" s="10"/>
      <c r="U11472" s="10"/>
      <c r="V11472" s="10"/>
      <c r="W11472" s="10"/>
      <c r="X11472" s="10"/>
      <c r="Y11472" s="10"/>
      <c r="Z11472" s="10"/>
    </row>
    <row r="11473" spans="1:26" ht="12.75">
      <c r="A11473" s="10"/>
      <c r="B11473" s="10"/>
      <c r="C11473" s="10"/>
      <c r="D11473" s="10"/>
      <c r="E11473" s="10"/>
      <c r="F11473" s="10"/>
      <c r="G11473" s="10"/>
      <c r="H11473" s="10"/>
      <c r="I11473" s="10"/>
      <c r="J11473" s="10"/>
      <c r="K11473" s="10"/>
      <c r="L11473" s="10"/>
      <c r="M11473" s="10"/>
      <c r="N11473" s="10"/>
      <c r="O11473" s="10"/>
      <c r="P11473" s="10"/>
      <c r="Q11473" s="10"/>
      <c r="R11473" s="10"/>
      <c r="S11473" s="10"/>
      <c r="T11473" s="10"/>
      <c r="U11473" s="10"/>
      <c r="V11473" s="10"/>
      <c r="W11473" s="10"/>
      <c r="X11473" s="10"/>
      <c r="Y11473" s="10"/>
      <c r="Z11473" s="10"/>
    </row>
    <row r="11474" spans="1:26" ht="12.75">
      <c r="A11474" s="10"/>
      <c r="B11474" s="10"/>
      <c r="C11474" s="10"/>
      <c r="D11474" s="10"/>
      <c r="E11474" s="10"/>
      <c r="F11474" s="10"/>
      <c r="G11474" s="10"/>
      <c r="H11474" s="10"/>
      <c r="I11474" s="10"/>
      <c r="J11474" s="10"/>
      <c r="K11474" s="10"/>
      <c r="L11474" s="10"/>
      <c r="M11474" s="10"/>
      <c r="N11474" s="10"/>
      <c r="O11474" s="10"/>
      <c r="P11474" s="10"/>
      <c r="Q11474" s="10"/>
      <c r="R11474" s="10"/>
      <c r="S11474" s="10"/>
      <c r="T11474" s="10"/>
      <c r="U11474" s="10"/>
      <c r="V11474" s="10"/>
      <c r="W11474" s="10"/>
      <c r="X11474" s="10"/>
      <c r="Y11474" s="10"/>
      <c r="Z11474" s="10"/>
    </row>
    <row r="11475" spans="1:26" ht="12.75">
      <c r="A11475" s="10"/>
      <c r="B11475" s="10"/>
      <c r="C11475" s="10"/>
      <c r="D11475" s="10"/>
      <c r="E11475" s="10"/>
      <c r="F11475" s="10"/>
      <c r="G11475" s="10"/>
      <c r="H11475" s="10"/>
      <c r="I11475" s="10"/>
      <c r="J11475" s="10"/>
      <c r="K11475" s="10"/>
      <c r="L11475" s="10"/>
      <c r="M11475" s="10"/>
      <c r="N11475" s="10"/>
      <c r="O11475" s="10"/>
      <c r="P11475" s="10"/>
      <c r="Q11475" s="10"/>
      <c r="R11475" s="10"/>
      <c r="S11475" s="10"/>
      <c r="T11475" s="10"/>
      <c r="U11475" s="10"/>
      <c r="V11475" s="10"/>
      <c r="W11475" s="10"/>
      <c r="X11475" s="10"/>
      <c r="Y11475" s="10"/>
      <c r="Z11475" s="10"/>
    </row>
    <row r="11476" spans="1:26" ht="12.75">
      <c r="A11476" s="10"/>
      <c r="B11476" s="10"/>
      <c r="C11476" s="10"/>
      <c r="D11476" s="10"/>
      <c r="E11476" s="10"/>
      <c r="F11476" s="10"/>
      <c r="G11476" s="10"/>
      <c r="H11476" s="10"/>
      <c r="I11476" s="10"/>
      <c r="J11476" s="10"/>
      <c r="K11476" s="10"/>
      <c r="L11476" s="10"/>
      <c r="M11476" s="10"/>
      <c r="N11476" s="10"/>
      <c r="O11476" s="10"/>
      <c r="P11476" s="10"/>
      <c r="Q11476" s="10"/>
      <c r="R11476" s="10"/>
      <c r="S11476" s="10"/>
      <c r="T11476" s="10"/>
      <c r="U11476" s="10"/>
      <c r="V11476" s="10"/>
      <c r="W11476" s="10"/>
      <c r="X11476" s="10"/>
      <c r="Y11476" s="10"/>
      <c r="Z11476" s="10"/>
    </row>
    <row r="11477" spans="1:26" ht="12.75">
      <c r="A11477" s="10"/>
      <c r="B11477" s="10"/>
      <c r="C11477" s="10"/>
      <c r="D11477" s="10"/>
      <c r="E11477" s="10"/>
      <c r="F11477" s="10"/>
      <c r="G11477" s="10"/>
      <c r="H11477" s="10"/>
      <c r="I11477" s="10"/>
      <c r="J11477" s="10"/>
      <c r="K11477" s="10"/>
      <c r="L11477" s="10"/>
      <c r="M11477" s="10"/>
      <c r="N11477" s="10"/>
      <c r="O11477" s="10"/>
      <c r="P11477" s="10"/>
      <c r="Q11477" s="10"/>
      <c r="R11477" s="10"/>
      <c r="S11477" s="10"/>
      <c r="T11477" s="10"/>
      <c r="U11477" s="10"/>
      <c r="V11477" s="10"/>
      <c r="W11477" s="10"/>
      <c r="X11477" s="10"/>
      <c r="Y11477" s="10"/>
      <c r="Z11477" s="10"/>
    </row>
    <row r="11478" spans="1:26" ht="12.75">
      <c r="A11478" s="10"/>
      <c r="B11478" s="10"/>
      <c r="C11478" s="10"/>
      <c r="D11478" s="10"/>
      <c r="E11478" s="10"/>
      <c r="F11478" s="10"/>
      <c r="G11478" s="10"/>
      <c r="H11478" s="10"/>
      <c r="I11478" s="10"/>
      <c r="J11478" s="10"/>
      <c r="K11478" s="10"/>
      <c r="L11478" s="10"/>
      <c r="M11478" s="10"/>
      <c r="N11478" s="10"/>
      <c r="O11478" s="10"/>
      <c r="P11478" s="10"/>
      <c r="Q11478" s="10"/>
      <c r="R11478" s="10"/>
      <c r="S11478" s="10"/>
      <c r="T11478" s="10"/>
      <c r="U11478" s="10"/>
      <c r="V11478" s="10"/>
      <c r="W11478" s="10"/>
      <c r="X11478" s="10"/>
      <c r="Y11478" s="10"/>
      <c r="Z11478" s="10"/>
    </row>
    <row r="11479" spans="1:26" ht="12.75">
      <c r="A11479" s="10"/>
      <c r="B11479" s="10"/>
      <c r="C11479" s="10"/>
      <c r="D11479" s="10"/>
      <c r="E11479" s="10"/>
      <c r="F11479" s="10"/>
      <c r="G11479" s="10"/>
      <c r="H11479" s="10"/>
      <c r="I11479" s="10"/>
      <c r="J11479" s="10"/>
      <c r="K11479" s="10"/>
      <c r="L11479" s="10"/>
      <c r="M11479" s="10"/>
      <c r="N11479" s="10"/>
      <c r="O11479" s="10"/>
      <c r="P11479" s="10"/>
      <c r="Q11479" s="10"/>
      <c r="R11479" s="10"/>
      <c r="S11479" s="10"/>
      <c r="T11479" s="10"/>
      <c r="U11479" s="10"/>
      <c r="V11479" s="10"/>
      <c r="W11479" s="10"/>
      <c r="X11479" s="10"/>
      <c r="Y11479" s="10"/>
      <c r="Z11479" s="10"/>
    </row>
    <row r="11480" spans="1:26" ht="12.75">
      <c r="A11480" s="10"/>
      <c r="B11480" s="10"/>
      <c r="C11480" s="10"/>
      <c r="D11480" s="10"/>
      <c r="E11480" s="10"/>
      <c r="F11480" s="10"/>
      <c r="G11480" s="10"/>
      <c r="H11480" s="10"/>
      <c r="I11480" s="10"/>
      <c r="J11480" s="10"/>
      <c r="K11480" s="10"/>
      <c r="L11480" s="10"/>
      <c r="M11480" s="10"/>
      <c r="N11480" s="10"/>
      <c r="O11480" s="10"/>
      <c r="P11480" s="10"/>
      <c r="Q11480" s="10"/>
      <c r="R11480" s="10"/>
      <c r="S11480" s="10"/>
      <c r="T11480" s="10"/>
      <c r="U11480" s="10"/>
      <c r="V11480" s="10"/>
      <c r="W11480" s="10"/>
      <c r="X11480" s="10"/>
      <c r="Y11480" s="10"/>
      <c r="Z11480" s="10"/>
    </row>
    <row r="11481" spans="1:26" ht="12.75">
      <c r="A11481" s="10"/>
      <c r="B11481" s="10"/>
      <c r="C11481" s="10"/>
      <c r="D11481" s="10"/>
      <c r="E11481" s="10"/>
      <c r="F11481" s="10"/>
      <c r="G11481" s="10"/>
      <c r="H11481" s="10"/>
      <c r="I11481" s="10"/>
      <c r="J11481" s="10"/>
      <c r="K11481" s="10"/>
      <c r="L11481" s="10"/>
      <c r="M11481" s="10"/>
      <c r="N11481" s="10"/>
      <c r="O11481" s="10"/>
      <c r="P11481" s="10"/>
      <c r="Q11481" s="10"/>
      <c r="R11481" s="10"/>
      <c r="S11481" s="10"/>
      <c r="T11481" s="10"/>
      <c r="U11481" s="10"/>
      <c r="V11481" s="10"/>
      <c r="W11481" s="10"/>
      <c r="X11481" s="10"/>
      <c r="Y11481" s="10"/>
      <c r="Z11481" s="10"/>
    </row>
    <row r="11482" spans="1:26" ht="12.75">
      <c r="A11482" s="10"/>
      <c r="B11482" s="10"/>
      <c r="C11482" s="10"/>
      <c r="D11482" s="10"/>
      <c r="E11482" s="10"/>
      <c r="F11482" s="10"/>
      <c r="G11482" s="10"/>
      <c r="H11482" s="10"/>
      <c r="I11482" s="10"/>
      <c r="J11482" s="10"/>
      <c r="K11482" s="10"/>
      <c r="L11482" s="10"/>
      <c r="M11482" s="10"/>
      <c r="N11482" s="10"/>
      <c r="O11482" s="10"/>
      <c r="P11482" s="10"/>
      <c r="Q11482" s="10"/>
      <c r="R11482" s="10"/>
      <c r="S11482" s="10"/>
      <c r="T11482" s="10"/>
      <c r="U11482" s="10"/>
      <c r="V11482" s="10"/>
      <c r="W11482" s="10"/>
      <c r="X11482" s="10"/>
      <c r="Y11482" s="10"/>
      <c r="Z11482" s="10"/>
    </row>
    <row r="11483" spans="1:26" ht="12.75">
      <c r="A11483" s="10"/>
      <c r="B11483" s="10"/>
      <c r="C11483" s="10"/>
      <c r="D11483" s="10"/>
      <c r="E11483" s="10"/>
      <c r="F11483" s="10"/>
      <c r="G11483" s="10"/>
      <c r="H11483" s="10"/>
      <c r="I11483" s="10"/>
      <c r="J11483" s="10"/>
      <c r="K11483" s="10"/>
      <c r="L11483" s="10"/>
      <c r="M11483" s="10"/>
      <c r="N11483" s="10"/>
      <c r="O11483" s="10"/>
      <c r="P11483" s="10"/>
      <c r="Q11483" s="10"/>
      <c r="R11483" s="10"/>
      <c r="S11483" s="10"/>
      <c r="T11483" s="10"/>
      <c r="U11483" s="10"/>
      <c r="V11483" s="10"/>
      <c r="W11483" s="10"/>
      <c r="X11483" s="10"/>
      <c r="Y11483" s="10"/>
      <c r="Z11483" s="10"/>
    </row>
    <row r="11484" spans="1:26" ht="12.75">
      <c r="A11484" s="10"/>
      <c r="B11484" s="10"/>
      <c r="C11484" s="10"/>
      <c r="D11484" s="10"/>
      <c r="E11484" s="10"/>
      <c r="F11484" s="10"/>
      <c r="G11484" s="10"/>
      <c r="H11484" s="10"/>
      <c r="I11484" s="10"/>
      <c r="J11484" s="10"/>
      <c r="K11484" s="10"/>
      <c r="L11484" s="10"/>
      <c r="M11484" s="10"/>
      <c r="N11484" s="10"/>
      <c r="O11484" s="10"/>
      <c r="P11484" s="10"/>
      <c r="Q11484" s="10"/>
      <c r="R11484" s="10"/>
      <c r="S11484" s="10"/>
      <c r="T11484" s="10"/>
      <c r="U11484" s="10"/>
      <c r="V11484" s="10"/>
      <c r="W11484" s="10"/>
      <c r="X11484" s="10"/>
      <c r="Y11484" s="10"/>
      <c r="Z11484" s="10"/>
    </row>
    <row r="11485" spans="1:26" ht="12.75">
      <c r="A11485" s="10"/>
      <c r="B11485" s="10"/>
      <c r="C11485" s="10"/>
      <c r="D11485" s="10"/>
      <c r="E11485" s="10"/>
      <c r="F11485" s="10"/>
      <c r="G11485" s="10"/>
      <c r="H11485" s="10"/>
      <c r="I11485" s="10"/>
      <c r="J11485" s="10"/>
      <c r="K11485" s="10"/>
      <c r="L11485" s="10"/>
      <c r="M11485" s="10"/>
      <c r="N11485" s="10"/>
      <c r="O11485" s="10"/>
      <c r="P11485" s="10"/>
      <c r="Q11485" s="10"/>
      <c r="R11485" s="10"/>
      <c r="S11485" s="10"/>
      <c r="T11485" s="10"/>
      <c r="U11485" s="10"/>
      <c r="V11485" s="10"/>
      <c r="W11485" s="10"/>
      <c r="X11485" s="10"/>
      <c r="Y11485" s="10"/>
      <c r="Z11485" s="10"/>
    </row>
    <row r="11486" spans="1:26" ht="12.75">
      <c r="A11486" s="10"/>
      <c r="B11486" s="10"/>
      <c r="C11486" s="10"/>
      <c r="D11486" s="10"/>
      <c r="E11486" s="10"/>
      <c r="F11486" s="10"/>
      <c r="G11486" s="10"/>
      <c r="H11486" s="10"/>
      <c r="I11486" s="10"/>
      <c r="J11486" s="10"/>
      <c r="K11486" s="10"/>
      <c r="L11486" s="10"/>
      <c r="M11486" s="10"/>
      <c r="N11486" s="10"/>
      <c r="O11486" s="10"/>
      <c r="P11486" s="10"/>
      <c r="Q11486" s="10"/>
      <c r="R11486" s="10"/>
      <c r="S11486" s="10"/>
      <c r="T11486" s="10"/>
      <c r="U11486" s="10"/>
      <c r="V11486" s="10"/>
      <c r="W11486" s="10"/>
      <c r="X11486" s="10"/>
      <c r="Y11486" s="10"/>
      <c r="Z11486" s="10"/>
    </row>
    <row r="11487" spans="1:26" ht="12.75">
      <c r="A11487" s="10"/>
      <c r="B11487" s="10"/>
      <c r="C11487" s="10"/>
      <c r="D11487" s="10"/>
      <c r="E11487" s="10"/>
      <c r="F11487" s="10"/>
      <c r="G11487" s="10"/>
      <c r="H11487" s="10"/>
      <c r="I11487" s="10"/>
      <c r="J11487" s="10"/>
      <c r="K11487" s="10"/>
      <c r="L11487" s="10"/>
      <c r="M11487" s="10"/>
      <c r="N11487" s="10"/>
      <c r="O11487" s="10"/>
      <c r="P11487" s="10"/>
      <c r="Q11487" s="10"/>
      <c r="R11487" s="10"/>
      <c r="S11487" s="10"/>
      <c r="T11487" s="10"/>
      <c r="U11487" s="10"/>
      <c r="V11487" s="10"/>
      <c r="W11487" s="10"/>
      <c r="X11487" s="10"/>
      <c r="Y11487" s="10"/>
      <c r="Z11487" s="10"/>
    </row>
    <row r="11488" spans="1:26" ht="12.75">
      <c r="A11488" s="10"/>
      <c r="B11488" s="10"/>
      <c r="C11488" s="10"/>
      <c r="D11488" s="10"/>
      <c r="E11488" s="10"/>
      <c r="F11488" s="10"/>
      <c r="G11488" s="10"/>
      <c r="H11488" s="10"/>
      <c r="I11488" s="10"/>
      <c r="J11488" s="10"/>
      <c r="K11488" s="10"/>
      <c r="L11488" s="10"/>
      <c r="M11488" s="10"/>
      <c r="N11488" s="10"/>
      <c r="O11488" s="10"/>
      <c r="P11488" s="10"/>
      <c r="Q11488" s="10"/>
      <c r="R11488" s="10"/>
      <c r="S11488" s="10"/>
      <c r="T11488" s="10"/>
      <c r="U11488" s="10"/>
      <c r="V11488" s="10"/>
      <c r="W11488" s="10"/>
      <c r="X11488" s="10"/>
      <c r="Y11488" s="10"/>
      <c r="Z11488" s="10"/>
    </row>
    <row r="11489" spans="1:26" ht="12.75">
      <c r="A11489" s="10"/>
      <c r="B11489" s="10"/>
      <c r="C11489" s="10"/>
      <c r="D11489" s="10"/>
      <c r="E11489" s="10"/>
      <c r="F11489" s="10"/>
      <c r="G11489" s="10"/>
      <c r="H11489" s="10"/>
      <c r="I11489" s="10"/>
      <c r="J11489" s="10"/>
      <c r="K11489" s="10"/>
      <c r="L11489" s="10"/>
      <c r="M11489" s="10"/>
      <c r="N11489" s="10"/>
      <c r="O11489" s="10"/>
      <c r="P11489" s="10"/>
      <c r="Q11489" s="10"/>
      <c r="R11489" s="10"/>
      <c r="S11489" s="10"/>
      <c r="T11489" s="10"/>
      <c r="U11489" s="10"/>
      <c r="V11489" s="10"/>
      <c r="W11489" s="10"/>
      <c r="X11489" s="10"/>
      <c r="Y11489" s="10"/>
      <c r="Z11489" s="10"/>
    </row>
    <row r="11490" spans="1:26" ht="12.75">
      <c r="A11490" s="10"/>
      <c r="B11490" s="10"/>
      <c r="C11490" s="10"/>
      <c r="D11490" s="10"/>
      <c r="E11490" s="10"/>
      <c r="F11490" s="10"/>
      <c r="G11490" s="10"/>
      <c r="H11490" s="10"/>
      <c r="I11490" s="10"/>
      <c r="J11490" s="10"/>
      <c r="K11490" s="10"/>
      <c r="L11490" s="10"/>
      <c r="M11490" s="10"/>
      <c r="N11490" s="10"/>
      <c r="O11490" s="10"/>
      <c r="P11490" s="10"/>
      <c r="Q11490" s="10"/>
      <c r="R11490" s="10"/>
      <c r="S11490" s="10"/>
      <c r="T11490" s="10"/>
      <c r="U11490" s="10"/>
      <c r="V11490" s="10"/>
      <c r="W11490" s="10"/>
      <c r="X11490" s="10"/>
      <c r="Y11490" s="10"/>
      <c r="Z11490" s="10"/>
    </row>
    <row r="11491" spans="1:26" ht="12.75">
      <c r="A11491" s="10"/>
      <c r="B11491" s="10"/>
      <c r="C11491" s="10"/>
      <c r="D11491" s="10"/>
      <c r="E11491" s="10"/>
      <c r="F11491" s="10"/>
      <c r="G11491" s="10"/>
      <c r="H11491" s="10"/>
      <c r="I11491" s="10"/>
      <c r="J11491" s="10"/>
      <c r="K11491" s="10"/>
      <c r="L11491" s="10"/>
      <c r="M11491" s="10"/>
      <c r="N11491" s="10"/>
      <c r="O11491" s="10"/>
      <c r="P11491" s="10"/>
      <c r="Q11491" s="10"/>
      <c r="R11491" s="10"/>
      <c r="S11491" s="10"/>
      <c r="T11491" s="10"/>
      <c r="U11491" s="10"/>
      <c r="V11491" s="10"/>
      <c r="W11491" s="10"/>
      <c r="X11491" s="10"/>
      <c r="Y11491" s="10"/>
      <c r="Z11491" s="10"/>
    </row>
    <row r="11492" spans="1:26" ht="12.75">
      <c r="A11492" s="10"/>
      <c r="B11492" s="10"/>
      <c r="C11492" s="10"/>
      <c r="D11492" s="10"/>
      <c r="E11492" s="10"/>
      <c r="F11492" s="10"/>
      <c r="G11492" s="10"/>
      <c r="H11492" s="10"/>
      <c r="I11492" s="10"/>
      <c r="J11492" s="10"/>
      <c r="K11492" s="10"/>
      <c r="L11492" s="10"/>
      <c r="M11492" s="10"/>
      <c r="N11492" s="10"/>
      <c r="O11492" s="10"/>
      <c r="P11492" s="10"/>
      <c r="Q11492" s="10"/>
      <c r="R11492" s="10"/>
      <c r="S11492" s="10"/>
      <c r="T11492" s="10"/>
      <c r="U11492" s="10"/>
      <c r="V11492" s="10"/>
      <c r="W11492" s="10"/>
      <c r="X11492" s="10"/>
      <c r="Y11492" s="10"/>
      <c r="Z11492" s="10"/>
    </row>
    <row r="11493" spans="1:26" ht="12.75">
      <c r="A11493" s="10"/>
      <c r="B11493" s="10"/>
      <c r="C11493" s="10"/>
      <c r="D11493" s="10"/>
      <c r="E11493" s="10"/>
      <c r="F11493" s="10"/>
      <c r="G11493" s="10"/>
      <c r="H11493" s="10"/>
      <c r="I11493" s="10"/>
      <c r="J11493" s="10"/>
      <c r="K11493" s="10"/>
      <c r="L11493" s="10"/>
      <c r="M11493" s="10"/>
      <c r="N11493" s="10"/>
      <c r="O11493" s="10"/>
      <c r="P11493" s="10"/>
      <c r="Q11493" s="10"/>
      <c r="R11493" s="10"/>
      <c r="S11493" s="10"/>
      <c r="T11493" s="10"/>
      <c r="U11493" s="10"/>
      <c r="V11493" s="10"/>
      <c r="W11493" s="10"/>
      <c r="X11493" s="10"/>
      <c r="Y11493" s="10"/>
      <c r="Z11493" s="10"/>
    </row>
    <row r="11494" spans="1:26" ht="12.75">
      <c r="A11494" s="10"/>
      <c r="B11494" s="10"/>
      <c r="C11494" s="10"/>
      <c r="D11494" s="10"/>
      <c r="E11494" s="10"/>
      <c r="F11494" s="10"/>
      <c r="G11494" s="10"/>
      <c r="H11494" s="10"/>
      <c r="I11494" s="10"/>
      <c r="J11494" s="10"/>
      <c r="K11494" s="10"/>
      <c r="L11494" s="10"/>
      <c r="M11494" s="10"/>
      <c r="N11494" s="10"/>
      <c r="O11494" s="10"/>
      <c r="P11494" s="10"/>
      <c r="Q11494" s="10"/>
      <c r="R11494" s="10"/>
      <c r="S11494" s="10"/>
      <c r="T11494" s="10"/>
      <c r="U11494" s="10"/>
      <c r="V11494" s="10"/>
      <c r="W11494" s="10"/>
      <c r="X11494" s="10"/>
      <c r="Y11494" s="10"/>
      <c r="Z11494" s="10"/>
    </row>
    <row r="11495" spans="1:26" ht="12.75">
      <c r="A11495" s="10"/>
      <c r="B11495" s="10"/>
      <c r="C11495" s="10"/>
      <c r="D11495" s="10"/>
      <c r="E11495" s="10"/>
      <c r="F11495" s="10"/>
      <c r="G11495" s="10"/>
      <c r="H11495" s="10"/>
      <c r="I11495" s="10"/>
      <c r="J11495" s="10"/>
      <c r="K11495" s="10"/>
      <c r="L11495" s="10"/>
      <c r="M11495" s="10"/>
      <c r="N11495" s="10"/>
      <c r="O11495" s="10"/>
      <c r="P11495" s="10"/>
      <c r="Q11495" s="10"/>
      <c r="R11495" s="10"/>
      <c r="S11495" s="10"/>
      <c r="T11495" s="10"/>
      <c r="U11495" s="10"/>
      <c r="V11495" s="10"/>
      <c r="W11495" s="10"/>
      <c r="X11495" s="10"/>
      <c r="Y11495" s="10"/>
      <c r="Z11495" s="10"/>
    </row>
    <row r="11496" spans="1:26" ht="12.75">
      <c r="A11496" s="10"/>
      <c r="B11496" s="10"/>
      <c r="C11496" s="10"/>
      <c r="D11496" s="10"/>
      <c r="E11496" s="10"/>
      <c r="F11496" s="10"/>
      <c r="G11496" s="10"/>
      <c r="H11496" s="10"/>
      <c r="I11496" s="10"/>
      <c r="J11496" s="10"/>
      <c r="K11496" s="10"/>
      <c r="L11496" s="10"/>
      <c r="M11496" s="10"/>
      <c r="N11496" s="10"/>
      <c r="O11496" s="10"/>
      <c r="P11496" s="10"/>
      <c r="Q11496" s="10"/>
      <c r="R11496" s="10"/>
      <c r="S11496" s="10"/>
      <c r="T11496" s="10"/>
      <c r="U11496" s="10"/>
      <c r="V11496" s="10"/>
      <c r="W11496" s="10"/>
      <c r="X11496" s="10"/>
      <c r="Y11496" s="10"/>
      <c r="Z11496" s="10"/>
    </row>
    <row r="11497" spans="1:26" ht="12.75">
      <c r="A11497" s="10"/>
      <c r="B11497" s="10"/>
      <c r="C11497" s="10"/>
      <c r="D11497" s="10"/>
      <c r="E11497" s="10"/>
      <c r="F11497" s="10"/>
      <c r="G11497" s="10"/>
      <c r="H11497" s="10"/>
      <c r="I11497" s="10"/>
      <c r="J11497" s="10"/>
      <c r="K11497" s="10"/>
      <c r="L11497" s="10"/>
      <c r="M11497" s="10"/>
      <c r="N11497" s="10"/>
      <c r="O11497" s="10"/>
      <c r="P11497" s="10"/>
      <c r="Q11497" s="10"/>
      <c r="R11497" s="10"/>
      <c r="S11497" s="10"/>
      <c r="T11497" s="10"/>
      <c r="U11497" s="10"/>
      <c r="V11497" s="10"/>
      <c r="W11497" s="10"/>
      <c r="X11497" s="10"/>
      <c r="Y11497" s="10"/>
      <c r="Z11497" s="10"/>
    </row>
    <row r="11498" spans="1:26" ht="12.75">
      <c r="A11498" s="10"/>
      <c r="B11498" s="10"/>
      <c r="C11498" s="10"/>
      <c r="D11498" s="10"/>
      <c r="E11498" s="10"/>
      <c r="F11498" s="10"/>
      <c r="G11498" s="10"/>
      <c r="H11498" s="10"/>
      <c r="I11498" s="10"/>
      <c r="J11498" s="10"/>
      <c r="K11498" s="10"/>
      <c r="L11498" s="10"/>
      <c r="M11498" s="10"/>
      <c r="N11498" s="10"/>
      <c r="O11498" s="10"/>
      <c r="P11498" s="10"/>
      <c r="Q11498" s="10"/>
      <c r="R11498" s="10"/>
      <c r="S11498" s="10"/>
      <c r="T11498" s="10"/>
      <c r="U11498" s="10"/>
      <c r="V11498" s="10"/>
      <c r="W11498" s="10"/>
      <c r="X11498" s="10"/>
      <c r="Y11498" s="10"/>
      <c r="Z11498" s="10"/>
    </row>
    <row r="11499" spans="1:26" ht="12.75">
      <c r="A11499" s="10"/>
      <c r="B11499" s="10"/>
      <c r="C11499" s="10"/>
      <c r="D11499" s="10"/>
      <c r="E11499" s="10"/>
      <c r="F11499" s="10"/>
      <c r="G11499" s="10"/>
      <c r="H11499" s="10"/>
      <c r="I11499" s="10"/>
      <c r="J11499" s="10"/>
      <c r="K11499" s="10"/>
      <c r="L11499" s="10"/>
      <c r="M11499" s="10"/>
      <c r="N11499" s="10"/>
      <c r="O11499" s="10"/>
      <c r="P11499" s="10"/>
      <c r="Q11499" s="10"/>
      <c r="R11499" s="10"/>
      <c r="S11499" s="10"/>
      <c r="T11499" s="10"/>
      <c r="U11499" s="10"/>
      <c r="V11499" s="10"/>
      <c r="W11499" s="10"/>
      <c r="X11499" s="10"/>
      <c r="Y11499" s="10"/>
      <c r="Z11499" s="10"/>
    </row>
    <row r="11500" spans="1:26" ht="12.75">
      <c r="A11500" s="10"/>
      <c r="B11500" s="10"/>
      <c r="C11500" s="10"/>
      <c r="D11500" s="10"/>
      <c r="E11500" s="10"/>
      <c r="F11500" s="10"/>
      <c r="G11500" s="10"/>
      <c r="H11500" s="10"/>
      <c r="I11500" s="10"/>
      <c r="J11500" s="10"/>
      <c r="K11500" s="10"/>
      <c r="L11500" s="10"/>
      <c r="M11500" s="10"/>
      <c r="N11500" s="10"/>
      <c r="O11500" s="10"/>
      <c r="P11500" s="10"/>
      <c r="Q11500" s="10"/>
      <c r="R11500" s="10"/>
      <c r="S11500" s="10"/>
      <c r="T11500" s="10"/>
      <c r="U11500" s="10"/>
      <c r="V11500" s="10"/>
      <c r="W11500" s="10"/>
      <c r="X11500" s="10"/>
      <c r="Y11500" s="10"/>
      <c r="Z11500" s="10"/>
    </row>
    <row r="11501" spans="1:26" ht="12.75">
      <c r="A11501" s="10"/>
      <c r="B11501" s="10"/>
      <c r="C11501" s="10"/>
      <c r="D11501" s="10"/>
      <c r="E11501" s="10"/>
      <c r="F11501" s="10"/>
      <c r="G11501" s="10"/>
      <c r="H11501" s="10"/>
      <c r="I11501" s="10"/>
      <c r="J11501" s="10"/>
      <c r="K11501" s="10"/>
      <c r="L11501" s="10"/>
      <c r="M11501" s="10"/>
      <c r="N11501" s="10"/>
      <c r="O11501" s="10"/>
      <c r="P11501" s="10"/>
      <c r="Q11501" s="10"/>
      <c r="R11501" s="10"/>
      <c r="S11501" s="10"/>
      <c r="T11501" s="10"/>
      <c r="U11501" s="10"/>
      <c r="V11501" s="10"/>
      <c r="W11501" s="10"/>
      <c r="X11501" s="10"/>
      <c r="Y11501" s="10"/>
      <c r="Z11501" s="10"/>
    </row>
    <row r="11502" spans="1:26" ht="12.75">
      <c r="A11502" s="10"/>
      <c r="B11502" s="10"/>
      <c r="C11502" s="10"/>
      <c r="D11502" s="10"/>
      <c r="E11502" s="10"/>
      <c r="F11502" s="10"/>
      <c r="G11502" s="10"/>
      <c r="H11502" s="10"/>
      <c r="I11502" s="10"/>
      <c r="J11502" s="10"/>
      <c r="K11502" s="10"/>
      <c r="L11502" s="10"/>
      <c r="M11502" s="10"/>
      <c r="N11502" s="10"/>
      <c r="O11502" s="10"/>
      <c r="P11502" s="10"/>
      <c r="Q11502" s="10"/>
      <c r="R11502" s="10"/>
      <c r="S11502" s="10"/>
      <c r="T11502" s="10"/>
      <c r="U11502" s="10"/>
      <c r="V11502" s="10"/>
      <c r="W11502" s="10"/>
      <c r="X11502" s="10"/>
      <c r="Y11502" s="10"/>
      <c r="Z11502" s="10"/>
    </row>
    <row r="11503" spans="1:26" ht="12.75">
      <c r="A11503" s="10"/>
      <c r="B11503" s="10"/>
      <c r="C11503" s="10"/>
      <c r="D11503" s="10"/>
      <c r="E11503" s="10"/>
      <c r="F11503" s="10"/>
      <c r="G11503" s="10"/>
      <c r="H11503" s="10"/>
      <c r="I11503" s="10"/>
      <c r="J11503" s="10"/>
      <c r="K11503" s="10"/>
      <c r="L11503" s="10"/>
      <c r="M11503" s="10"/>
      <c r="N11503" s="10"/>
      <c r="O11503" s="10"/>
      <c r="P11503" s="10"/>
      <c r="Q11503" s="10"/>
      <c r="R11503" s="10"/>
      <c r="S11503" s="10"/>
      <c r="T11503" s="10"/>
      <c r="U11503" s="10"/>
      <c r="V11503" s="10"/>
      <c r="W11503" s="10"/>
      <c r="X11503" s="10"/>
      <c r="Y11503" s="10"/>
      <c r="Z11503" s="10"/>
    </row>
    <row r="11504" spans="1:26" ht="12.75">
      <c r="A11504" s="10"/>
      <c r="B11504" s="10"/>
      <c r="C11504" s="10"/>
      <c r="D11504" s="10"/>
      <c r="E11504" s="10"/>
      <c r="F11504" s="10"/>
      <c r="G11504" s="10"/>
      <c r="H11504" s="10"/>
      <c r="I11504" s="10"/>
      <c r="J11504" s="10"/>
      <c r="K11504" s="10"/>
      <c r="L11504" s="10"/>
      <c r="M11504" s="10"/>
      <c r="N11504" s="10"/>
      <c r="O11504" s="10"/>
      <c r="P11504" s="10"/>
      <c r="Q11504" s="10"/>
      <c r="R11504" s="10"/>
      <c r="S11504" s="10"/>
      <c r="T11504" s="10"/>
      <c r="U11504" s="10"/>
      <c r="V11504" s="10"/>
      <c r="W11504" s="10"/>
      <c r="X11504" s="10"/>
      <c r="Y11504" s="10"/>
      <c r="Z11504" s="10"/>
    </row>
    <row r="11505" spans="1:26" ht="12.75">
      <c r="A11505" s="10"/>
      <c r="B11505" s="10"/>
      <c r="C11505" s="10"/>
      <c r="D11505" s="10"/>
      <c r="E11505" s="10"/>
      <c r="F11505" s="10"/>
      <c r="G11505" s="10"/>
      <c r="H11505" s="10"/>
      <c r="I11505" s="10"/>
      <c r="J11505" s="10"/>
      <c r="K11505" s="10"/>
      <c r="L11505" s="10"/>
      <c r="M11505" s="10"/>
      <c r="N11505" s="10"/>
      <c r="O11505" s="10"/>
      <c r="P11505" s="10"/>
      <c r="Q11505" s="10"/>
      <c r="R11505" s="10"/>
      <c r="S11505" s="10"/>
      <c r="T11505" s="10"/>
      <c r="U11505" s="10"/>
      <c r="V11505" s="10"/>
      <c r="W11505" s="10"/>
      <c r="X11505" s="10"/>
      <c r="Y11505" s="10"/>
      <c r="Z11505" s="10"/>
    </row>
    <row r="11506" spans="1:26" ht="12.75">
      <c r="A11506" s="10"/>
      <c r="B11506" s="10"/>
      <c r="C11506" s="10"/>
      <c r="D11506" s="10"/>
      <c r="E11506" s="10"/>
      <c r="F11506" s="10"/>
      <c r="G11506" s="10"/>
      <c r="H11506" s="10"/>
      <c r="I11506" s="10"/>
      <c r="J11506" s="10"/>
      <c r="K11506" s="10"/>
      <c r="L11506" s="10"/>
      <c r="M11506" s="10"/>
      <c r="N11506" s="10"/>
      <c r="O11506" s="10"/>
      <c r="P11506" s="10"/>
      <c r="Q11506" s="10"/>
      <c r="R11506" s="10"/>
      <c r="S11506" s="10"/>
      <c r="T11506" s="10"/>
      <c r="U11506" s="10"/>
      <c r="V11506" s="10"/>
      <c r="W11506" s="10"/>
      <c r="X11506" s="10"/>
      <c r="Y11506" s="10"/>
      <c r="Z11506" s="10"/>
    </row>
    <row r="11507" spans="1:26" ht="12.75">
      <c r="A11507" s="10"/>
      <c r="B11507" s="10"/>
      <c r="C11507" s="10"/>
      <c r="D11507" s="10"/>
      <c r="E11507" s="10"/>
      <c r="F11507" s="10"/>
      <c r="G11507" s="10"/>
      <c r="H11507" s="10"/>
      <c r="I11507" s="10"/>
      <c r="J11507" s="10"/>
      <c r="K11507" s="10"/>
      <c r="L11507" s="10"/>
      <c r="M11507" s="10"/>
      <c r="N11507" s="10"/>
      <c r="O11507" s="10"/>
      <c r="P11507" s="10"/>
      <c r="Q11507" s="10"/>
      <c r="R11507" s="10"/>
      <c r="S11507" s="10"/>
      <c r="T11507" s="10"/>
      <c r="U11507" s="10"/>
      <c r="V11507" s="10"/>
      <c r="W11507" s="10"/>
      <c r="X11507" s="10"/>
      <c r="Y11507" s="10"/>
      <c r="Z11507" s="10"/>
    </row>
    <row r="11508" spans="1:26" ht="12.75">
      <c r="A11508" s="10"/>
      <c r="B11508" s="10"/>
      <c r="C11508" s="10"/>
      <c r="D11508" s="10"/>
      <c r="E11508" s="10"/>
      <c r="F11508" s="10"/>
      <c r="G11508" s="10"/>
      <c r="H11508" s="10"/>
      <c r="I11508" s="10"/>
      <c r="J11508" s="10"/>
      <c r="K11508" s="10"/>
      <c r="L11508" s="10"/>
      <c r="M11508" s="10"/>
      <c r="N11508" s="10"/>
      <c r="O11508" s="10"/>
      <c r="P11508" s="10"/>
      <c r="Q11508" s="10"/>
      <c r="R11508" s="10"/>
      <c r="S11508" s="10"/>
      <c r="T11508" s="10"/>
      <c r="U11508" s="10"/>
      <c r="V11508" s="10"/>
      <c r="W11508" s="10"/>
      <c r="X11508" s="10"/>
      <c r="Y11508" s="10"/>
      <c r="Z11508" s="10"/>
    </row>
    <row r="11509" spans="1:26" ht="12.75">
      <c r="A11509" s="10"/>
      <c r="B11509" s="10"/>
      <c r="C11509" s="10"/>
      <c r="D11509" s="10"/>
      <c r="E11509" s="10"/>
      <c r="F11509" s="10"/>
      <c r="G11509" s="10"/>
      <c r="H11509" s="10"/>
      <c r="I11509" s="10"/>
      <c r="J11509" s="10"/>
      <c r="K11509" s="10"/>
      <c r="L11509" s="10"/>
      <c r="M11509" s="10"/>
      <c r="N11509" s="10"/>
      <c r="O11509" s="10"/>
      <c r="P11509" s="10"/>
      <c r="Q11509" s="10"/>
      <c r="R11509" s="10"/>
      <c r="S11509" s="10"/>
      <c r="T11509" s="10"/>
      <c r="U11509" s="10"/>
      <c r="V11509" s="10"/>
      <c r="W11509" s="10"/>
      <c r="X11509" s="10"/>
      <c r="Y11509" s="10"/>
      <c r="Z11509" s="10"/>
    </row>
    <row r="11510" spans="1:26" ht="12.75">
      <c r="A11510" s="10"/>
      <c r="B11510" s="10"/>
      <c r="C11510" s="10"/>
      <c r="D11510" s="10"/>
      <c r="E11510" s="10"/>
      <c r="F11510" s="10"/>
      <c r="G11510" s="10"/>
      <c r="H11510" s="10"/>
      <c r="I11510" s="10"/>
      <c r="J11510" s="10"/>
      <c r="K11510" s="10"/>
      <c r="L11510" s="10"/>
      <c r="M11510" s="10"/>
      <c r="N11510" s="10"/>
      <c r="O11510" s="10"/>
      <c r="P11510" s="10"/>
      <c r="Q11510" s="10"/>
      <c r="R11510" s="10"/>
      <c r="S11510" s="10"/>
      <c r="T11510" s="10"/>
      <c r="U11510" s="10"/>
      <c r="V11510" s="10"/>
      <c r="W11510" s="10"/>
      <c r="X11510" s="10"/>
      <c r="Y11510" s="10"/>
      <c r="Z11510" s="10"/>
    </row>
    <row r="11511" spans="1:26" ht="12.75">
      <c r="A11511" s="10"/>
      <c r="B11511" s="10"/>
      <c r="C11511" s="10"/>
      <c r="D11511" s="10"/>
      <c r="E11511" s="10"/>
      <c r="F11511" s="10"/>
      <c r="G11511" s="10"/>
      <c r="H11511" s="10"/>
      <c r="I11511" s="10"/>
      <c r="J11511" s="10"/>
      <c r="K11511" s="10"/>
      <c r="L11511" s="10"/>
      <c r="M11511" s="10"/>
      <c r="N11511" s="10"/>
      <c r="O11511" s="10"/>
      <c r="P11511" s="10"/>
      <c r="Q11511" s="10"/>
      <c r="R11511" s="10"/>
      <c r="S11511" s="10"/>
      <c r="T11511" s="10"/>
      <c r="U11511" s="10"/>
      <c r="V11511" s="10"/>
      <c r="W11511" s="10"/>
      <c r="X11511" s="10"/>
      <c r="Y11511" s="10"/>
      <c r="Z11511" s="10"/>
    </row>
    <row r="11512" spans="1:26" ht="12.75">
      <c r="A11512" s="10"/>
      <c r="B11512" s="10"/>
      <c r="C11512" s="10"/>
      <c r="D11512" s="10"/>
      <c r="E11512" s="10"/>
      <c r="F11512" s="10"/>
      <c r="G11512" s="10"/>
      <c r="H11512" s="10"/>
      <c r="I11512" s="10"/>
      <c r="J11512" s="10"/>
      <c r="K11512" s="10"/>
      <c r="L11512" s="10"/>
      <c r="M11512" s="10"/>
      <c r="N11512" s="10"/>
      <c r="O11512" s="10"/>
      <c r="P11512" s="10"/>
      <c r="Q11512" s="10"/>
      <c r="R11512" s="10"/>
      <c r="S11512" s="10"/>
      <c r="T11512" s="10"/>
      <c r="U11512" s="10"/>
      <c r="V11512" s="10"/>
      <c r="W11512" s="10"/>
      <c r="X11512" s="10"/>
      <c r="Y11512" s="10"/>
      <c r="Z11512" s="10"/>
    </row>
    <row r="11513" spans="1:26" ht="12.75">
      <c r="A11513" s="10"/>
      <c r="B11513" s="10"/>
      <c r="C11513" s="10"/>
      <c r="D11513" s="10"/>
      <c r="E11513" s="10"/>
      <c r="F11513" s="10"/>
      <c r="G11513" s="10"/>
      <c r="H11513" s="10"/>
      <c r="I11513" s="10"/>
      <c r="J11513" s="10"/>
      <c r="K11513" s="10"/>
      <c r="L11513" s="10"/>
      <c r="M11513" s="10"/>
      <c r="N11513" s="10"/>
      <c r="O11513" s="10"/>
      <c r="P11513" s="10"/>
      <c r="Q11513" s="10"/>
      <c r="R11513" s="10"/>
      <c r="S11513" s="10"/>
      <c r="T11513" s="10"/>
      <c r="U11513" s="10"/>
      <c r="V11513" s="10"/>
      <c r="W11513" s="10"/>
      <c r="X11513" s="10"/>
      <c r="Y11513" s="10"/>
      <c r="Z11513" s="10"/>
    </row>
    <row r="11514" spans="1:26" ht="12.75">
      <c r="A11514" s="10"/>
      <c r="B11514" s="10"/>
      <c r="C11514" s="10"/>
      <c r="D11514" s="10"/>
      <c r="E11514" s="10"/>
      <c r="F11514" s="10"/>
      <c r="G11514" s="10"/>
      <c r="H11514" s="10"/>
      <c r="I11514" s="10"/>
      <c r="J11514" s="10"/>
      <c r="K11514" s="10"/>
      <c r="L11514" s="10"/>
      <c r="M11514" s="10"/>
      <c r="N11514" s="10"/>
      <c r="O11514" s="10"/>
      <c r="P11514" s="10"/>
      <c r="Q11514" s="10"/>
      <c r="R11514" s="10"/>
      <c r="S11514" s="10"/>
      <c r="T11514" s="10"/>
      <c r="U11514" s="10"/>
      <c r="V11514" s="10"/>
      <c r="W11514" s="10"/>
      <c r="X11514" s="10"/>
      <c r="Y11514" s="10"/>
      <c r="Z11514" s="10"/>
    </row>
    <row r="11515" spans="1:26" ht="12.75">
      <c r="A11515" s="10"/>
      <c r="B11515" s="10"/>
      <c r="C11515" s="10"/>
      <c r="D11515" s="10"/>
      <c r="E11515" s="10"/>
      <c r="F11515" s="10"/>
      <c r="G11515" s="10"/>
      <c r="H11515" s="10"/>
      <c r="I11515" s="10"/>
      <c r="J11515" s="10"/>
      <c r="K11515" s="10"/>
      <c r="L11515" s="10"/>
      <c r="M11515" s="10"/>
      <c r="N11515" s="10"/>
      <c r="O11515" s="10"/>
      <c r="P11515" s="10"/>
      <c r="Q11515" s="10"/>
      <c r="R11515" s="10"/>
      <c r="S11515" s="10"/>
      <c r="T11515" s="10"/>
      <c r="U11515" s="10"/>
      <c r="V11515" s="10"/>
      <c r="W11515" s="10"/>
      <c r="X11515" s="10"/>
      <c r="Y11515" s="10"/>
      <c r="Z11515" s="10"/>
    </row>
    <row r="11516" spans="1:26" ht="12.75">
      <c r="A11516" s="10"/>
      <c r="B11516" s="10"/>
      <c r="C11516" s="10"/>
      <c r="D11516" s="10"/>
      <c r="E11516" s="10"/>
      <c r="F11516" s="10"/>
      <c r="G11516" s="10"/>
      <c r="H11516" s="10"/>
      <c r="I11516" s="10"/>
      <c r="J11516" s="10"/>
      <c r="K11516" s="10"/>
      <c r="L11516" s="10"/>
      <c r="M11516" s="10"/>
      <c r="N11516" s="10"/>
      <c r="O11516" s="10"/>
      <c r="P11516" s="10"/>
      <c r="Q11516" s="10"/>
      <c r="R11516" s="10"/>
      <c r="S11516" s="10"/>
      <c r="T11516" s="10"/>
      <c r="U11516" s="10"/>
      <c r="V11516" s="10"/>
      <c r="W11516" s="10"/>
      <c r="X11516" s="10"/>
      <c r="Y11516" s="10"/>
      <c r="Z11516" s="10"/>
    </row>
    <row r="11517" spans="1:26" ht="12.75">
      <c r="A11517" s="10"/>
      <c r="B11517" s="10"/>
      <c r="C11517" s="10"/>
      <c r="D11517" s="10"/>
      <c r="E11517" s="10"/>
      <c r="F11517" s="10"/>
      <c r="G11517" s="10"/>
      <c r="H11517" s="10"/>
      <c r="I11517" s="10"/>
      <c r="J11517" s="10"/>
      <c r="K11517" s="10"/>
      <c r="L11517" s="10"/>
      <c r="M11517" s="10"/>
      <c r="N11517" s="10"/>
      <c r="O11517" s="10"/>
      <c r="P11517" s="10"/>
      <c r="Q11517" s="10"/>
      <c r="R11517" s="10"/>
      <c r="S11517" s="10"/>
      <c r="T11517" s="10"/>
      <c r="U11517" s="10"/>
      <c r="V11517" s="10"/>
      <c r="W11517" s="10"/>
      <c r="X11517" s="10"/>
      <c r="Y11517" s="10"/>
      <c r="Z11517" s="10"/>
    </row>
    <row r="11518" spans="1:26" ht="12.75">
      <c r="A11518" s="10"/>
      <c r="B11518" s="10"/>
      <c r="C11518" s="10"/>
      <c r="D11518" s="10"/>
      <c r="E11518" s="10"/>
      <c r="F11518" s="10"/>
      <c r="G11518" s="10"/>
      <c r="H11518" s="10"/>
      <c r="I11518" s="10"/>
      <c r="J11518" s="10"/>
      <c r="K11518" s="10"/>
      <c r="L11518" s="10"/>
      <c r="M11518" s="10"/>
      <c r="N11518" s="10"/>
      <c r="O11518" s="10"/>
      <c r="P11518" s="10"/>
      <c r="Q11518" s="10"/>
      <c r="R11518" s="10"/>
      <c r="S11518" s="10"/>
      <c r="T11518" s="10"/>
      <c r="U11518" s="10"/>
      <c r="V11518" s="10"/>
      <c r="W11518" s="10"/>
      <c r="X11518" s="10"/>
      <c r="Y11518" s="10"/>
      <c r="Z11518" s="10"/>
    </row>
    <row r="11519" spans="1:26" ht="12.75">
      <c r="A11519" s="10"/>
      <c r="B11519" s="10"/>
      <c r="C11519" s="10"/>
      <c r="D11519" s="10"/>
      <c r="E11519" s="10"/>
      <c r="F11519" s="10"/>
      <c r="G11519" s="10"/>
      <c r="H11519" s="10"/>
      <c r="I11519" s="10"/>
      <c r="J11519" s="10"/>
      <c r="K11519" s="10"/>
      <c r="L11519" s="10"/>
      <c r="M11519" s="10"/>
      <c r="N11519" s="10"/>
      <c r="O11519" s="10"/>
      <c r="P11519" s="10"/>
      <c r="Q11519" s="10"/>
      <c r="R11519" s="10"/>
      <c r="S11519" s="10"/>
      <c r="T11519" s="10"/>
      <c r="U11519" s="10"/>
      <c r="V11519" s="10"/>
      <c r="W11519" s="10"/>
      <c r="X11519" s="10"/>
      <c r="Y11519" s="10"/>
      <c r="Z11519" s="10"/>
    </row>
    <row r="11520" spans="1:26" ht="12.75">
      <c r="A11520" s="10"/>
      <c r="B11520" s="10"/>
      <c r="C11520" s="10"/>
      <c r="D11520" s="10"/>
      <c r="E11520" s="10"/>
      <c r="F11520" s="10"/>
      <c r="G11520" s="10"/>
      <c r="H11520" s="10"/>
      <c r="I11520" s="10"/>
      <c r="J11520" s="10"/>
      <c r="K11520" s="10"/>
      <c r="L11520" s="10"/>
      <c r="M11520" s="10"/>
      <c r="N11520" s="10"/>
      <c r="O11520" s="10"/>
      <c r="P11520" s="10"/>
      <c r="Q11520" s="10"/>
      <c r="R11520" s="10"/>
      <c r="S11520" s="10"/>
      <c r="T11520" s="10"/>
      <c r="U11520" s="10"/>
      <c r="V11520" s="10"/>
      <c r="W11520" s="10"/>
      <c r="X11520" s="10"/>
      <c r="Y11520" s="10"/>
      <c r="Z11520" s="10"/>
    </row>
    <row r="11521" spans="1:26" ht="12.75">
      <c r="A11521" s="10"/>
      <c r="B11521" s="10"/>
      <c r="C11521" s="10"/>
      <c r="D11521" s="10"/>
      <c r="E11521" s="10"/>
      <c r="F11521" s="10"/>
      <c r="G11521" s="10"/>
      <c r="H11521" s="10"/>
      <c r="I11521" s="10"/>
      <c r="J11521" s="10"/>
      <c r="K11521" s="10"/>
      <c r="L11521" s="10"/>
      <c r="M11521" s="10"/>
      <c r="N11521" s="10"/>
      <c r="O11521" s="10"/>
      <c r="P11521" s="10"/>
      <c r="Q11521" s="10"/>
      <c r="R11521" s="10"/>
      <c r="S11521" s="10"/>
      <c r="T11521" s="10"/>
      <c r="U11521" s="10"/>
      <c r="V11521" s="10"/>
      <c r="W11521" s="10"/>
      <c r="X11521" s="10"/>
      <c r="Y11521" s="10"/>
      <c r="Z11521" s="10"/>
    </row>
    <row r="11522" spans="1:26" ht="12.75">
      <c r="A11522" s="10"/>
      <c r="B11522" s="10"/>
      <c r="C11522" s="10"/>
      <c r="D11522" s="10"/>
      <c r="E11522" s="10"/>
      <c r="F11522" s="10"/>
      <c r="G11522" s="10"/>
      <c r="H11522" s="10"/>
      <c r="I11522" s="10"/>
      <c r="J11522" s="10"/>
      <c r="K11522" s="10"/>
      <c r="L11522" s="10"/>
      <c r="M11522" s="10"/>
      <c r="N11522" s="10"/>
      <c r="O11522" s="10"/>
      <c r="P11522" s="10"/>
      <c r="Q11522" s="10"/>
      <c r="R11522" s="10"/>
      <c r="S11522" s="10"/>
      <c r="T11522" s="10"/>
      <c r="U11522" s="10"/>
      <c r="V11522" s="10"/>
      <c r="W11522" s="10"/>
      <c r="X11522" s="10"/>
      <c r="Y11522" s="10"/>
      <c r="Z11522" s="10"/>
    </row>
    <row r="11523" spans="1:26" ht="12.75">
      <c r="A11523" s="10"/>
      <c r="B11523" s="10"/>
      <c r="C11523" s="10"/>
      <c r="D11523" s="10"/>
      <c r="E11523" s="10"/>
      <c r="F11523" s="10"/>
      <c r="G11523" s="10"/>
      <c r="H11523" s="10"/>
      <c r="I11523" s="10"/>
      <c r="J11523" s="10"/>
      <c r="K11523" s="10"/>
      <c r="L11523" s="10"/>
      <c r="M11523" s="10"/>
      <c r="N11523" s="10"/>
      <c r="O11523" s="10"/>
      <c r="P11523" s="10"/>
      <c r="Q11523" s="10"/>
      <c r="R11523" s="10"/>
      <c r="S11523" s="10"/>
      <c r="T11523" s="10"/>
      <c r="U11523" s="10"/>
      <c r="V11523" s="10"/>
      <c r="W11523" s="10"/>
      <c r="X11523" s="10"/>
      <c r="Y11523" s="10"/>
      <c r="Z11523" s="10"/>
    </row>
    <row r="11524" spans="1:26" ht="12.75">
      <c r="A11524" s="10"/>
      <c r="B11524" s="10"/>
      <c r="C11524" s="10"/>
      <c r="D11524" s="10"/>
      <c r="E11524" s="10"/>
      <c r="F11524" s="10"/>
      <c r="G11524" s="10"/>
      <c r="H11524" s="10"/>
      <c r="I11524" s="10"/>
      <c r="J11524" s="10"/>
      <c r="K11524" s="10"/>
      <c r="L11524" s="10"/>
      <c r="M11524" s="10"/>
      <c r="N11524" s="10"/>
      <c r="O11524" s="10"/>
      <c r="P11524" s="10"/>
      <c r="Q11524" s="10"/>
      <c r="R11524" s="10"/>
      <c r="S11524" s="10"/>
      <c r="T11524" s="10"/>
      <c r="U11524" s="10"/>
      <c r="V11524" s="10"/>
      <c r="W11524" s="10"/>
      <c r="X11524" s="10"/>
      <c r="Y11524" s="10"/>
      <c r="Z11524" s="10"/>
    </row>
    <row r="11525" spans="1:26" ht="12.75">
      <c r="A11525" s="10"/>
      <c r="B11525" s="10"/>
      <c r="C11525" s="10"/>
      <c r="D11525" s="10"/>
      <c r="E11525" s="10"/>
      <c r="F11525" s="10"/>
      <c r="G11525" s="10"/>
      <c r="H11525" s="10"/>
      <c r="I11525" s="10"/>
      <c r="J11525" s="10"/>
      <c r="K11525" s="10"/>
      <c r="L11525" s="10"/>
      <c r="M11525" s="10"/>
      <c r="N11525" s="10"/>
      <c r="O11525" s="10"/>
      <c r="P11525" s="10"/>
      <c r="Q11525" s="10"/>
      <c r="R11525" s="10"/>
      <c r="S11525" s="10"/>
      <c r="T11525" s="10"/>
      <c r="U11525" s="10"/>
      <c r="V11525" s="10"/>
      <c r="W11525" s="10"/>
      <c r="X11525" s="10"/>
      <c r="Y11525" s="10"/>
      <c r="Z11525" s="10"/>
    </row>
    <row r="11526" spans="1:26" ht="12.75">
      <c r="A11526" s="10"/>
      <c r="B11526" s="10"/>
      <c r="C11526" s="10"/>
      <c r="D11526" s="10"/>
      <c r="E11526" s="10"/>
      <c r="F11526" s="10"/>
      <c r="G11526" s="10"/>
      <c r="H11526" s="10"/>
      <c r="I11526" s="10"/>
      <c r="J11526" s="10"/>
      <c r="K11526" s="10"/>
      <c r="L11526" s="10"/>
      <c r="M11526" s="10"/>
      <c r="N11526" s="10"/>
      <c r="O11526" s="10"/>
      <c r="P11526" s="10"/>
      <c r="Q11526" s="10"/>
      <c r="R11526" s="10"/>
      <c r="S11526" s="10"/>
      <c r="T11526" s="10"/>
      <c r="U11526" s="10"/>
      <c r="V11526" s="10"/>
      <c r="W11526" s="10"/>
      <c r="X11526" s="10"/>
      <c r="Y11526" s="10"/>
      <c r="Z11526" s="10"/>
    </row>
    <row r="11527" spans="1:26" ht="12.75">
      <c r="A11527" s="10"/>
      <c r="B11527" s="10"/>
      <c r="C11527" s="10"/>
      <c r="D11527" s="10"/>
      <c r="E11527" s="10"/>
      <c r="F11527" s="10"/>
      <c r="G11527" s="10"/>
      <c r="H11527" s="10"/>
      <c r="I11527" s="10"/>
      <c r="J11527" s="10"/>
      <c r="K11527" s="10"/>
      <c r="L11527" s="10"/>
      <c r="M11527" s="10"/>
      <c r="N11527" s="10"/>
      <c r="O11527" s="10"/>
      <c r="P11527" s="10"/>
      <c r="Q11527" s="10"/>
      <c r="R11527" s="10"/>
      <c r="S11527" s="10"/>
      <c r="T11527" s="10"/>
      <c r="U11527" s="10"/>
      <c r="V11527" s="10"/>
      <c r="W11527" s="10"/>
      <c r="X11527" s="10"/>
      <c r="Y11527" s="10"/>
      <c r="Z11527" s="10"/>
    </row>
    <row r="11528" spans="1:26" ht="12.75">
      <c r="A11528" s="10"/>
      <c r="B11528" s="10"/>
      <c r="C11528" s="10"/>
      <c r="D11528" s="10"/>
      <c r="E11528" s="10"/>
      <c r="F11528" s="10"/>
      <c r="G11528" s="10"/>
      <c r="H11528" s="10"/>
      <c r="I11528" s="10"/>
      <c r="J11528" s="10"/>
      <c r="K11528" s="10"/>
      <c r="L11528" s="10"/>
      <c r="M11528" s="10"/>
      <c r="N11528" s="10"/>
      <c r="O11528" s="10"/>
      <c r="P11528" s="10"/>
      <c r="Q11528" s="10"/>
      <c r="R11528" s="10"/>
      <c r="S11528" s="10"/>
      <c r="T11528" s="10"/>
      <c r="U11528" s="10"/>
      <c r="V11528" s="10"/>
      <c r="W11528" s="10"/>
      <c r="X11528" s="10"/>
      <c r="Y11528" s="10"/>
      <c r="Z11528" s="10"/>
    </row>
    <row r="11529" spans="1:26" ht="12.75">
      <c r="A11529" s="10"/>
      <c r="B11529" s="10"/>
      <c r="C11529" s="10"/>
      <c r="D11529" s="10"/>
      <c r="E11529" s="10"/>
      <c r="F11529" s="10"/>
      <c r="G11529" s="10"/>
      <c r="H11529" s="10"/>
      <c r="I11529" s="10"/>
      <c r="J11529" s="10"/>
      <c r="K11529" s="10"/>
      <c r="L11529" s="10"/>
      <c r="M11529" s="10"/>
      <c r="N11529" s="10"/>
      <c r="O11529" s="10"/>
      <c r="P11529" s="10"/>
      <c r="Q11529" s="10"/>
      <c r="R11529" s="10"/>
      <c r="S11529" s="10"/>
      <c r="T11529" s="10"/>
      <c r="U11529" s="10"/>
      <c r="V11529" s="10"/>
      <c r="W11529" s="10"/>
      <c r="X11529" s="10"/>
      <c r="Y11529" s="10"/>
      <c r="Z11529" s="10"/>
    </row>
    <row r="11530" spans="1:26" ht="12.75">
      <c r="A11530" s="10"/>
      <c r="B11530" s="10"/>
      <c r="C11530" s="10"/>
      <c r="D11530" s="10"/>
      <c r="E11530" s="10"/>
      <c r="F11530" s="10"/>
      <c r="G11530" s="10"/>
      <c r="H11530" s="10"/>
      <c r="I11530" s="10"/>
      <c r="J11530" s="10"/>
      <c r="K11530" s="10"/>
      <c r="L11530" s="10"/>
      <c r="M11530" s="10"/>
      <c r="N11530" s="10"/>
      <c r="O11530" s="10"/>
      <c r="P11530" s="10"/>
      <c r="Q11530" s="10"/>
      <c r="R11530" s="10"/>
      <c r="S11530" s="10"/>
      <c r="T11530" s="10"/>
      <c r="U11530" s="10"/>
      <c r="V11530" s="10"/>
      <c r="W11530" s="10"/>
      <c r="X11530" s="10"/>
      <c r="Y11530" s="10"/>
      <c r="Z11530" s="10"/>
    </row>
    <row r="11531" spans="1:26" ht="12.75">
      <c r="A11531" s="10"/>
      <c r="B11531" s="10"/>
      <c r="C11531" s="10"/>
      <c r="D11531" s="10"/>
      <c r="E11531" s="10"/>
      <c r="F11531" s="10"/>
      <c r="G11531" s="10"/>
      <c r="H11531" s="10"/>
      <c r="I11531" s="10"/>
      <c r="J11531" s="10"/>
      <c r="K11531" s="10"/>
      <c r="L11531" s="10"/>
      <c r="M11531" s="10"/>
      <c r="N11531" s="10"/>
      <c r="O11531" s="10"/>
      <c r="P11531" s="10"/>
      <c r="Q11531" s="10"/>
      <c r="R11531" s="10"/>
      <c r="S11531" s="10"/>
      <c r="T11531" s="10"/>
      <c r="U11531" s="10"/>
      <c r="V11531" s="10"/>
      <c r="W11531" s="10"/>
      <c r="X11531" s="10"/>
      <c r="Y11531" s="10"/>
      <c r="Z11531" s="10"/>
    </row>
    <row r="11532" spans="1:26" ht="12.75">
      <c r="A11532" s="10"/>
      <c r="B11532" s="10"/>
      <c r="C11532" s="10"/>
      <c r="D11532" s="10"/>
      <c r="E11532" s="10"/>
      <c r="F11532" s="10"/>
      <c r="G11532" s="10"/>
      <c r="H11532" s="10"/>
      <c r="I11532" s="10"/>
      <c r="J11532" s="10"/>
      <c r="K11532" s="10"/>
      <c r="L11532" s="10"/>
      <c r="M11532" s="10"/>
      <c r="N11532" s="10"/>
      <c r="O11532" s="10"/>
      <c r="P11532" s="10"/>
      <c r="Q11532" s="10"/>
      <c r="R11532" s="10"/>
      <c r="S11532" s="10"/>
      <c r="T11532" s="10"/>
      <c r="U11532" s="10"/>
      <c r="V11532" s="10"/>
      <c r="W11532" s="10"/>
      <c r="X11532" s="10"/>
      <c r="Y11532" s="10"/>
      <c r="Z11532" s="10"/>
    </row>
    <row r="11533" spans="1:26" ht="12.75">
      <c r="A11533" s="10"/>
      <c r="B11533" s="10"/>
      <c r="C11533" s="10"/>
      <c r="D11533" s="10"/>
      <c r="E11533" s="10"/>
      <c r="F11533" s="10"/>
      <c r="G11533" s="10"/>
      <c r="H11533" s="10"/>
      <c r="I11533" s="10"/>
      <c r="J11533" s="10"/>
      <c r="K11533" s="10"/>
      <c r="L11533" s="10"/>
      <c r="M11533" s="10"/>
      <c r="N11533" s="10"/>
      <c r="O11533" s="10"/>
      <c r="P11533" s="10"/>
      <c r="Q11533" s="10"/>
      <c r="R11533" s="10"/>
      <c r="S11533" s="10"/>
      <c r="T11533" s="10"/>
      <c r="U11533" s="10"/>
      <c r="V11533" s="10"/>
      <c r="W11533" s="10"/>
      <c r="X11533" s="10"/>
      <c r="Y11533" s="10"/>
      <c r="Z11533" s="10"/>
    </row>
    <row r="11534" spans="1:26" ht="12.75">
      <c r="A11534" s="10"/>
      <c r="B11534" s="10"/>
      <c r="C11534" s="10"/>
      <c r="D11534" s="10"/>
      <c r="E11534" s="10"/>
      <c r="F11534" s="10"/>
      <c r="G11534" s="10"/>
      <c r="H11534" s="10"/>
      <c r="I11534" s="10"/>
      <c r="J11534" s="10"/>
      <c r="K11534" s="10"/>
      <c r="L11534" s="10"/>
      <c r="M11534" s="10"/>
      <c r="N11534" s="10"/>
      <c r="O11534" s="10"/>
      <c r="P11534" s="10"/>
      <c r="Q11534" s="10"/>
      <c r="R11534" s="10"/>
      <c r="S11534" s="10"/>
      <c r="T11534" s="10"/>
      <c r="U11534" s="10"/>
      <c r="V11534" s="10"/>
      <c r="W11534" s="10"/>
      <c r="X11534" s="10"/>
      <c r="Y11534" s="10"/>
      <c r="Z11534" s="10"/>
    </row>
    <row r="11535" spans="1:26" ht="12.75">
      <c r="A11535" s="10"/>
      <c r="B11535" s="10"/>
      <c r="C11535" s="10"/>
      <c r="D11535" s="10"/>
      <c r="E11535" s="10"/>
      <c r="F11535" s="10"/>
      <c r="G11535" s="10"/>
      <c r="H11535" s="10"/>
      <c r="I11535" s="10"/>
      <c r="J11535" s="10"/>
      <c r="K11535" s="10"/>
      <c r="L11535" s="10"/>
      <c r="M11535" s="10"/>
      <c r="N11535" s="10"/>
      <c r="O11535" s="10"/>
      <c r="P11535" s="10"/>
      <c r="Q11535" s="10"/>
      <c r="R11535" s="10"/>
      <c r="S11535" s="10"/>
      <c r="T11535" s="10"/>
      <c r="U11535" s="10"/>
      <c r="V11535" s="10"/>
      <c r="W11535" s="10"/>
      <c r="X11535" s="10"/>
      <c r="Y11535" s="10"/>
      <c r="Z11535" s="10"/>
    </row>
    <row r="11536" spans="1:26" ht="12.75">
      <c r="A11536" s="10"/>
      <c r="B11536" s="10"/>
      <c r="C11536" s="10"/>
      <c r="D11536" s="10"/>
      <c r="E11536" s="10"/>
      <c r="F11536" s="10"/>
      <c r="G11536" s="10"/>
      <c r="H11536" s="10"/>
      <c r="I11536" s="10"/>
      <c r="J11536" s="10"/>
      <c r="K11536" s="10"/>
      <c r="L11536" s="10"/>
      <c r="M11536" s="10"/>
      <c r="N11536" s="10"/>
      <c r="O11536" s="10"/>
      <c r="P11536" s="10"/>
      <c r="Q11536" s="10"/>
      <c r="R11536" s="10"/>
      <c r="S11536" s="10"/>
      <c r="T11536" s="10"/>
      <c r="U11536" s="10"/>
      <c r="V11536" s="10"/>
      <c r="W11536" s="10"/>
      <c r="X11536" s="10"/>
      <c r="Y11536" s="10"/>
      <c r="Z11536" s="10"/>
    </row>
    <row r="11537" spans="1:26" ht="12.75">
      <c r="A11537" s="10"/>
      <c r="B11537" s="10"/>
      <c r="C11537" s="10"/>
      <c r="D11537" s="10"/>
      <c r="E11537" s="10"/>
      <c r="F11537" s="10"/>
      <c r="G11537" s="10"/>
      <c r="H11537" s="10"/>
      <c r="I11537" s="10"/>
      <c r="J11537" s="10"/>
      <c r="K11537" s="10"/>
      <c r="L11537" s="10"/>
      <c r="M11537" s="10"/>
      <c r="N11537" s="10"/>
      <c r="O11537" s="10"/>
      <c r="P11537" s="10"/>
      <c r="Q11537" s="10"/>
      <c r="R11537" s="10"/>
      <c r="S11537" s="10"/>
      <c r="T11537" s="10"/>
      <c r="U11537" s="10"/>
      <c r="V11537" s="10"/>
      <c r="W11537" s="10"/>
      <c r="X11537" s="10"/>
      <c r="Y11537" s="10"/>
      <c r="Z11537" s="10"/>
    </row>
    <row r="11538" spans="1:26" ht="12.75">
      <c r="A11538" s="10"/>
      <c r="B11538" s="10"/>
      <c r="C11538" s="10"/>
      <c r="D11538" s="10"/>
      <c r="E11538" s="10"/>
      <c r="F11538" s="10"/>
      <c r="G11538" s="10"/>
      <c r="H11538" s="10"/>
      <c r="I11538" s="10"/>
      <c r="J11538" s="10"/>
      <c r="K11538" s="10"/>
      <c r="L11538" s="10"/>
      <c r="M11538" s="10"/>
      <c r="N11538" s="10"/>
      <c r="O11538" s="10"/>
      <c r="P11538" s="10"/>
      <c r="Q11538" s="10"/>
      <c r="R11538" s="10"/>
      <c r="S11538" s="10"/>
      <c r="T11538" s="10"/>
      <c r="U11538" s="10"/>
      <c r="V11538" s="10"/>
      <c r="W11538" s="10"/>
      <c r="X11538" s="10"/>
      <c r="Y11538" s="10"/>
      <c r="Z11538" s="10"/>
    </row>
    <row r="11539" spans="1:26" ht="12.75">
      <c r="A11539" s="10"/>
      <c r="B11539" s="10"/>
      <c r="C11539" s="10"/>
      <c r="D11539" s="10"/>
      <c r="E11539" s="10"/>
      <c r="F11539" s="10"/>
      <c r="G11539" s="10"/>
      <c r="H11539" s="10"/>
      <c r="I11539" s="10"/>
      <c r="J11539" s="10"/>
      <c r="K11539" s="10"/>
      <c r="L11539" s="10"/>
      <c r="M11539" s="10"/>
      <c r="N11539" s="10"/>
      <c r="O11539" s="10"/>
      <c r="P11539" s="10"/>
      <c r="Q11539" s="10"/>
      <c r="R11539" s="10"/>
      <c r="S11539" s="10"/>
      <c r="T11539" s="10"/>
      <c r="U11539" s="10"/>
      <c r="V11539" s="10"/>
      <c r="W11539" s="10"/>
      <c r="X11539" s="10"/>
      <c r="Y11539" s="10"/>
      <c r="Z11539" s="10"/>
    </row>
    <row r="11540" spans="1:26" ht="12.75">
      <c r="A11540" s="10"/>
      <c r="B11540" s="10"/>
      <c r="C11540" s="10"/>
      <c r="D11540" s="10"/>
      <c r="E11540" s="10"/>
      <c r="F11540" s="10"/>
      <c r="G11540" s="10"/>
      <c r="H11540" s="10"/>
      <c r="I11540" s="10"/>
      <c r="J11540" s="10"/>
      <c r="K11540" s="10"/>
      <c r="L11540" s="10"/>
      <c r="M11540" s="10"/>
      <c r="N11540" s="10"/>
      <c r="O11540" s="10"/>
      <c r="P11540" s="10"/>
      <c r="Q11540" s="10"/>
      <c r="R11540" s="10"/>
      <c r="S11540" s="10"/>
      <c r="T11540" s="10"/>
      <c r="U11540" s="10"/>
      <c r="V11540" s="10"/>
      <c r="W11540" s="10"/>
      <c r="X11540" s="10"/>
      <c r="Y11540" s="10"/>
      <c r="Z11540" s="10"/>
    </row>
    <row r="11541" spans="1:26" ht="12.75">
      <c r="A11541" s="10"/>
      <c r="B11541" s="10"/>
      <c r="C11541" s="10"/>
      <c r="D11541" s="10"/>
      <c r="E11541" s="10"/>
      <c r="F11541" s="10"/>
      <c r="G11541" s="10"/>
      <c r="H11541" s="10"/>
      <c r="I11541" s="10"/>
      <c r="J11541" s="10"/>
      <c r="K11541" s="10"/>
      <c r="L11541" s="10"/>
      <c r="M11541" s="10"/>
      <c r="N11541" s="10"/>
      <c r="O11541" s="10"/>
      <c r="P11541" s="10"/>
      <c r="Q11541" s="10"/>
      <c r="R11541" s="10"/>
      <c r="S11541" s="10"/>
      <c r="T11541" s="10"/>
      <c r="U11541" s="10"/>
      <c r="V11541" s="10"/>
      <c r="W11541" s="10"/>
      <c r="X11541" s="10"/>
      <c r="Y11541" s="10"/>
      <c r="Z11541" s="10"/>
    </row>
    <row r="11542" spans="1:26" ht="12.75">
      <c r="A11542" s="10"/>
      <c r="B11542" s="10"/>
      <c r="C11542" s="10"/>
      <c r="D11542" s="10"/>
      <c r="E11542" s="10"/>
      <c r="F11542" s="10"/>
      <c r="G11542" s="10"/>
      <c r="H11542" s="10"/>
      <c r="I11542" s="10"/>
      <c r="J11542" s="10"/>
      <c r="K11542" s="10"/>
      <c r="L11542" s="10"/>
      <c r="M11542" s="10"/>
      <c r="N11542" s="10"/>
      <c r="O11542" s="10"/>
      <c r="P11542" s="10"/>
      <c r="Q11542" s="10"/>
      <c r="R11542" s="10"/>
      <c r="S11542" s="10"/>
      <c r="T11542" s="10"/>
      <c r="U11542" s="10"/>
      <c r="V11542" s="10"/>
      <c r="W11542" s="10"/>
      <c r="X11542" s="10"/>
      <c r="Y11542" s="10"/>
      <c r="Z11542" s="10"/>
    </row>
    <row r="11543" spans="1:26" ht="12.75">
      <c r="A11543" s="10"/>
      <c r="B11543" s="10"/>
      <c r="C11543" s="10"/>
      <c r="D11543" s="10"/>
      <c r="E11543" s="10"/>
      <c r="F11543" s="10"/>
      <c r="G11543" s="10"/>
      <c r="H11543" s="10"/>
      <c r="I11543" s="10"/>
      <c r="J11543" s="10"/>
      <c r="K11543" s="10"/>
      <c r="L11543" s="10"/>
      <c r="M11543" s="10"/>
      <c r="N11543" s="10"/>
      <c r="O11543" s="10"/>
      <c r="P11543" s="10"/>
      <c r="Q11543" s="10"/>
      <c r="R11543" s="10"/>
      <c r="S11543" s="10"/>
      <c r="T11543" s="10"/>
      <c r="U11543" s="10"/>
      <c r="V11543" s="10"/>
      <c r="W11543" s="10"/>
      <c r="X11543" s="10"/>
      <c r="Y11543" s="10"/>
      <c r="Z11543" s="10"/>
    </row>
    <row r="11544" spans="1:26" ht="12.75">
      <c r="A11544" s="10"/>
      <c r="B11544" s="10"/>
      <c r="C11544" s="10"/>
      <c r="D11544" s="10"/>
      <c r="E11544" s="10"/>
      <c r="F11544" s="10"/>
      <c r="G11544" s="10"/>
      <c r="H11544" s="10"/>
      <c r="I11544" s="10"/>
      <c r="J11544" s="10"/>
      <c r="K11544" s="10"/>
      <c r="L11544" s="10"/>
      <c r="M11544" s="10"/>
      <c r="N11544" s="10"/>
      <c r="O11544" s="10"/>
      <c r="P11544" s="10"/>
      <c r="Q11544" s="10"/>
      <c r="R11544" s="10"/>
      <c r="S11544" s="10"/>
      <c r="T11544" s="10"/>
      <c r="U11544" s="10"/>
      <c r="V11544" s="10"/>
      <c r="W11544" s="10"/>
      <c r="X11544" s="10"/>
      <c r="Y11544" s="10"/>
      <c r="Z11544" s="10"/>
    </row>
    <row r="11545" spans="1:26" ht="12.75">
      <c r="A11545" s="10"/>
      <c r="B11545" s="10"/>
      <c r="C11545" s="10"/>
      <c r="D11545" s="10"/>
      <c r="E11545" s="10"/>
      <c r="F11545" s="10"/>
      <c r="G11545" s="10"/>
      <c r="H11545" s="10"/>
      <c r="I11545" s="10"/>
      <c r="J11545" s="10"/>
      <c r="K11545" s="10"/>
      <c r="L11545" s="10"/>
      <c r="M11545" s="10"/>
      <c r="N11545" s="10"/>
      <c r="O11545" s="10"/>
      <c r="P11545" s="10"/>
      <c r="Q11545" s="10"/>
      <c r="R11545" s="10"/>
      <c r="S11545" s="10"/>
      <c r="T11545" s="10"/>
      <c r="U11545" s="10"/>
      <c r="V11545" s="10"/>
      <c r="W11545" s="10"/>
      <c r="X11545" s="10"/>
      <c r="Y11545" s="10"/>
      <c r="Z11545" s="10"/>
    </row>
    <row r="11546" spans="1:26" ht="12.75">
      <c r="A11546" s="10"/>
      <c r="B11546" s="10"/>
      <c r="C11546" s="10"/>
      <c r="D11546" s="10"/>
      <c r="E11546" s="10"/>
      <c r="F11546" s="10"/>
      <c r="G11546" s="10"/>
      <c r="H11546" s="10"/>
      <c r="I11546" s="10"/>
      <c r="J11546" s="10"/>
      <c r="K11546" s="10"/>
      <c r="L11546" s="10"/>
      <c r="M11546" s="10"/>
      <c r="N11546" s="10"/>
      <c r="O11546" s="10"/>
      <c r="P11546" s="10"/>
      <c r="Q11546" s="10"/>
      <c r="R11546" s="10"/>
      <c r="S11546" s="10"/>
      <c r="T11546" s="10"/>
      <c r="U11546" s="10"/>
      <c r="V11546" s="10"/>
      <c r="W11546" s="10"/>
      <c r="X11546" s="10"/>
      <c r="Y11546" s="10"/>
      <c r="Z11546" s="10"/>
    </row>
    <row r="11547" spans="1:26" ht="12.75">
      <c r="A11547" s="10"/>
      <c r="B11547" s="10"/>
      <c r="C11547" s="10"/>
      <c r="D11547" s="10"/>
      <c r="E11547" s="10"/>
      <c r="F11547" s="10"/>
      <c r="G11547" s="10"/>
      <c r="H11547" s="10"/>
      <c r="I11547" s="10"/>
      <c r="J11547" s="10"/>
      <c r="K11547" s="10"/>
      <c r="L11547" s="10"/>
      <c r="M11547" s="10"/>
      <c r="N11547" s="10"/>
      <c r="O11547" s="10"/>
      <c r="P11547" s="10"/>
      <c r="Q11547" s="10"/>
      <c r="R11547" s="10"/>
      <c r="S11547" s="10"/>
      <c r="T11547" s="10"/>
      <c r="U11547" s="10"/>
      <c r="V11547" s="10"/>
      <c r="W11547" s="10"/>
      <c r="X11547" s="10"/>
      <c r="Y11547" s="10"/>
      <c r="Z11547" s="10"/>
    </row>
    <row r="11548" spans="1:26" ht="12.75">
      <c r="A11548" s="10"/>
      <c r="B11548" s="10"/>
      <c r="C11548" s="10"/>
      <c r="D11548" s="10"/>
      <c r="E11548" s="10"/>
      <c r="F11548" s="10"/>
      <c r="G11548" s="10"/>
      <c r="H11548" s="10"/>
      <c r="I11548" s="10"/>
      <c r="J11548" s="10"/>
      <c r="K11548" s="10"/>
      <c r="L11548" s="10"/>
      <c r="M11548" s="10"/>
      <c r="N11548" s="10"/>
      <c r="O11548" s="10"/>
      <c r="P11548" s="10"/>
      <c r="Q11548" s="10"/>
      <c r="R11548" s="10"/>
      <c r="S11548" s="10"/>
      <c r="T11548" s="10"/>
      <c r="U11548" s="10"/>
      <c r="V11548" s="10"/>
      <c r="W11548" s="10"/>
      <c r="X11548" s="10"/>
      <c r="Y11548" s="10"/>
      <c r="Z11548" s="10"/>
    </row>
    <row r="11549" spans="1:26" ht="12.75">
      <c r="A11549" s="10"/>
      <c r="B11549" s="10"/>
      <c r="C11549" s="10"/>
      <c r="D11549" s="10"/>
      <c r="E11549" s="10"/>
      <c r="F11549" s="10"/>
      <c r="G11549" s="10"/>
      <c r="H11549" s="10"/>
      <c r="I11549" s="10"/>
      <c r="J11549" s="10"/>
      <c r="K11549" s="10"/>
      <c r="L11549" s="10"/>
      <c r="M11549" s="10"/>
      <c r="N11549" s="10"/>
      <c r="O11549" s="10"/>
      <c r="P11549" s="10"/>
      <c r="Q11549" s="10"/>
      <c r="R11549" s="10"/>
      <c r="S11549" s="10"/>
      <c r="T11549" s="10"/>
      <c r="U11549" s="10"/>
      <c r="V11549" s="10"/>
      <c r="W11549" s="10"/>
      <c r="X11549" s="10"/>
      <c r="Y11549" s="10"/>
      <c r="Z11549" s="10"/>
    </row>
    <row r="11550" spans="1:26" ht="12.75">
      <c r="A11550" s="10"/>
      <c r="B11550" s="10"/>
      <c r="C11550" s="10"/>
      <c r="D11550" s="10"/>
      <c r="E11550" s="10"/>
      <c r="F11550" s="10"/>
      <c r="G11550" s="10"/>
      <c r="H11550" s="10"/>
      <c r="I11550" s="10"/>
      <c r="J11550" s="10"/>
      <c r="K11550" s="10"/>
      <c r="L11550" s="10"/>
      <c r="M11550" s="10"/>
      <c r="N11550" s="10"/>
      <c r="O11550" s="10"/>
      <c r="P11550" s="10"/>
      <c r="Q11550" s="10"/>
      <c r="R11550" s="10"/>
      <c r="S11550" s="10"/>
      <c r="T11550" s="10"/>
      <c r="U11550" s="10"/>
      <c r="V11550" s="10"/>
      <c r="W11550" s="10"/>
      <c r="X11550" s="10"/>
      <c r="Y11550" s="10"/>
      <c r="Z11550" s="10"/>
    </row>
    <row r="11551" spans="1:26" ht="12.75">
      <c r="A11551" s="10"/>
      <c r="B11551" s="10"/>
      <c r="C11551" s="10"/>
      <c r="D11551" s="10"/>
      <c r="E11551" s="10"/>
      <c r="F11551" s="10"/>
      <c r="G11551" s="10"/>
      <c r="H11551" s="10"/>
      <c r="I11551" s="10"/>
      <c r="J11551" s="10"/>
      <c r="K11551" s="10"/>
      <c r="L11551" s="10"/>
      <c r="M11551" s="10"/>
      <c r="N11551" s="10"/>
      <c r="O11551" s="10"/>
      <c r="P11551" s="10"/>
      <c r="Q11551" s="10"/>
      <c r="R11551" s="10"/>
      <c r="S11551" s="10"/>
      <c r="T11551" s="10"/>
      <c r="U11551" s="10"/>
      <c r="V11551" s="10"/>
      <c r="W11551" s="10"/>
      <c r="X11551" s="10"/>
      <c r="Y11551" s="10"/>
      <c r="Z11551" s="10"/>
    </row>
    <row r="11552" spans="1:26" ht="12.75">
      <c r="A11552" s="10"/>
      <c r="B11552" s="10"/>
      <c r="C11552" s="10"/>
      <c r="D11552" s="10"/>
      <c r="E11552" s="10"/>
      <c r="F11552" s="10"/>
      <c r="G11552" s="10"/>
      <c r="H11552" s="10"/>
      <c r="I11552" s="10"/>
      <c r="J11552" s="10"/>
      <c r="K11552" s="10"/>
      <c r="L11552" s="10"/>
      <c r="M11552" s="10"/>
      <c r="N11552" s="10"/>
      <c r="O11552" s="10"/>
      <c r="P11552" s="10"/>
      <c r="Q11552" s="10"/>
      <c r="R11552" s="10"/>
      <c r="S11552" s="10"/>
      <c r="T11552" s="10"/>
      <c r="U11552" s="10"/>
      <c r="V11552" s="10"/>
      <c r="W11552" s="10"/>
      <c r="X11552" s="10"/>
      <c r="Y11552" s="10"/>
      <c r="Z11552" s="10"/>
    </row>
    <row r="11553" spans="1:26" ht="12.75">
      <c r="A11553" s="10"/>
      <c r="B11553" s="10"/>
      <c r="C11553" s="10"/>
      <c r="D11553" s="10"/>
      <c r="E11553" s="10"/>
      <c r="F11553" s="10"/>
      <c r="G11553" s="10"/>
      <c r="H11553" s="10"/>
      <c r="I11553" s="10"/>
      <c r="J11553" s="10"/>
      <c r="K11553" s="10"/>
      <c r="L11553" s="10"/>
      <c r="M11553" s="10"/>
      <c r="N11553" s="10"/>
      <c r="O11553" s="10"/>
      <c r="P11553" s="10"/>
      <c r="Q11553" s="10"/>
      <c r="R11553" s="10"/>
      <c r="S11553" s="10"/>
      <c r="T11553" s="10"/>
      <c r="U11553" s="10"/>
      <c r="V11553" s="10"/>
      <c r="W11553" s="10"/>
      <c r="X11553" s="10"/>
      <c r="Y11553" s="10"/>
      <c r="Z11553" s="10"/>
    </row>
    <row r="11554" spans="1:26" ht="12.75">
      <c r="A11554" s="10"/>
      <c r="B11554" s="10"/>
      <c r="C11554" s="10"/>
      <c r="D11554" s="10"/>
      <c r="E11554" s="10"/>
      <c r="F11554" s="10"/>
      <c r="G11554" s="10"/>
      <c r="H11554" s="10"/>
      <c r="I11554" s="10"/>
      <c r="J11554" s="10"/>
      <c r="K11554" s="10"/>
      <c r="L11554" s="10"/>
      <c r="M11554" s="10"/>
      <c r="N11554" s="10"/>
      <c r="O11554" s="10"/>
      <c r="P11554" s="10"/>
      <c r="Q11554" s="10"/>
      <c r="R11554" s="10"/>
      <c r="S11554" s="10"/>
      <c r="T11554" s="10"/>
      <c r="U11554" s="10"/>
      <c r="V11554" s="10"/>
      <c r="W11554" s="10"/>
      <c r="X11554" s="10"/>
      <c r="Y11554" s="10"/>
      <c r="Z11554" s="10"/>
    </row>
    <row r="11555" spans="1:26" ht="12.75">
      <c r="A11555" s="10"/>
      <c r="B11555" s="10"/>
      <c r="C11555" s="10"/>
      <c r="D11555" s="10"/>
      <c r="E11555" s="10"/>
      <c r="F11555" s="10"/>
      <c r="G11555" s="10"/>
      <c r="H11555" s="10"/>
      <c r="I11555" s="10"/>
      <c r="J11555" s="10"/>
      <c r="K11555" s="10"/>
      <c r="L11555" s="10"/>
      <c r="M11555" s="10"/>
      <c r="N11555" s="10"/>
      <c r="O11555" s="10"/>
      <c r="P11555" s="10"/>
      <c r="Q11555" s="10"/>
      <c r="R11555" s="10"/>
      <c r="S11555" s="10"/>
      <c r="T11555" s="10"/>
      <c r="U11555" s="10"/>
      <c r="V11555" s="10"/>
      <c r="W11555" s="10"/>
      <c r="X11555" s="10"/>
      <c r="Y11555" s="10"/>
      <c r="Z11555" s="10"/>
    </row>
    <row r="11556" spans="1:26" ht="12.75">
      <c r="A11556" s="10"/>
      <c r="B11556" s="10"/>
      <c r="C11556" s="10"/>
      <c r="D11556" s="10"/>
      <c r="E11556" s="10"/>
      <c r="F11556" s="10"/>
      <c r="G11556" s="10"/>
      <c r="H11556" s="10"/>
      <c r="I11556" s="10"/>
      <c r="J11556" s="10"/>
      <c r="K11556" s="10"/>
      <c r="L11556" s="10"/>
      <c r="M11556" s="10"/>
      <c r="N11556" s="10"/>
      <c r="O11556" s="10"/>
      <c r="P11556" s="10"/>
      <c r="Q11556" s="10"/>
      <c r="R11556" s="10"/>
      <c r="S11556" s="10"/>
      <c r="T11556" s="10"/>
      <c r="U11556" s="10"/>
      <c r="V11556" s="10"/>
      <c r="W11556" s="10"/>
      <c r="X11556" s="10"/>
      <c r="Y11556" s="10"/>
      <c r="Z11556" s="10"/>
    </row>
    <row r="11557" spans="1:26" ht="12.75">
      <c r="A11557" s="10"/>
      <c r="B11557" s="10"/>
      <c r="C11557" s="10"/>
      <c r="D11557" s="10"/>
      <c r="E11557" s="10"/>
      <c r="F11557" s="10"/>
      <c r="G11557" s="10"/>
      <c r="H11557" s="10"/>
      <c r="I11557" s="10"/>
      <c r="J11557" s="10"/>
      <c r="K11557" s="10"/>
      <c r="L11557" s="10"/>
      <c r="M11557" s="10"/>
      <c r="N11557" s="10"/>
      <c r="O11557" s="10"/>
      <c r="P11557" s="10"/>
      <c r="Q11557" s="10"/>
      <c r="R11557" s="10"/>
      <c r="S11557" s="10"/>
      <c r="T11557" s="10"/>
      <c r="U11557" s="10"/>
      <c r="V11557" s="10"/>
      <c r="W11557" s="10"/>
      <c r="X11557" s="10"/>
      <c r="Y11557" s="10"/>
      <c r="Z11557" s="10"/>
    </row>
    <row r="11558" spans="1:26" ht="12.75">
      <c r="A11558" s="10"/>
      <c r="B11558" s="10"/>
      <c r="C11558" s="10"/>
      <c r="D11558" s="10"/>
      <c r="E11558" s="10"/>
      <c r="F11558" s="10"/>
      <c r="G11558" s="10"/>
      <c r="H11558" s="10"/>
      <c r="I11558" s="10"/>
      <c r="J11558" s="10"/>
      <c r="K11558" s="10"/>
      <c r="L11558" s="10"/>
      <c r="M11558" s="10"/>
      <c r="N11558" s="10"/>
      <c r="O11558" s="10"/>
      <c r="P11558" s="10"/>
      <c r="Q11558" s="10"/>
      <c r="R11558" s="10"/>
      <c r="S11558" s="10"/>
      <c r="T11558" s="10"/>
      <c r="U11558" s="10"/>
      <c r="V11558" s="10"/>
      <c r="W11558" s="10"/>
      <c r="X11558" s="10"/>
      <c r="Y11558" s="10"/>
      <c r="Z11558" s="10"/>
    </row>
    <row r="11559" spans="1:26" ht="12.75">
      <c r="A11559" s="10"/>
      <c r="B11559" s="10"/>
      <c r="C11559" s="10"/>
      <c r="D11559" s="10"/>
      <c r="E11559" s="10"/>
      <c r="F11559" s="10"/>
      <c r="G11559" s="10"/>
      <c r="H11559" s="10"/>
      <c r="I11559" s="10"/>
      <c r="J11559" s="10"/>
      <c r="K11559" s="10"/>
      <c r="L11559" s="10"/>
      <c r="M11559" s="10"/>
      <c r="N11559" s="10"/>
      <c r="O11559" s="10"/>
      <c r="P11559" s="10"/>
      <c r="Q11559" s="10"/>
      <c r="R11559" s="10"/>
      <c r="S11559" s="10"/>
      <c r="T11559" s="10"/>
      <c r="U11559" s="10"/>
      <c r="V11559" s="10"/>
      <c r="W11559" s="10"/>
      <c r="X11559" s="10"/>
      <c r="Y11559" s="10"/>
      <c r="Z11559" s="10"/>
    </row>
    <row r="11560" spans="1:26" ht="12.75">
      <c r="A11560" s="10"/>
      <c r="B11560" s="10"/>
      <c r="C11560" s="10"/>
      <c r="D11560" s="10"/>
      <c r="E11560" s="10"/>
      <c r="F11560" s="10"/>
      <c r="G11560" s="10"/>
      <c r="H11560" s="10"/>
      <c r="I11560" s="10"/>
      <c r="J11560" s="10"/>
      <c r="K11560" s="10"/>
      <c r="L11560" s="10"/>
      <c r="M11560" s="10"/>
      <c r="N11560" s="10"/>
      <c r="O11560" s="10"/>
      <c r="P11560" s="10"/>
      <c r="Q11560" s="10"/>
      <c r="R11560" s="10"/>
      <c r="S11560" s="10"/>
      <c r="T11560" s="10"/>
      <c r="U11560" s="10"/>
      <c r="V11560" s="10"/>
      <c r="W11560" s="10"/>
      <c r="X11560" s="10"/>
      <c r="Y11560" s="10"/>
      <c r="Z11560" s="10"/>
    </row>
    <row r="11561" spans="1:26" ht="12.75">
      <c r="A11561" s="10"/>
      <c r="B11561" s="10"/>
      <c r="C11561" s="10"/>
      <c r="D11561" s="10"/>
      <c r="E11561" s="10"/>
      <c r="F11561" s="10"/>
      <c r="G11561" s="10"/>
      <c r="H11561" s="10"/>
      <c r="I11561" s="10"/>
      <c r="J11561" s="10"/>
      <c r="K11561" s="10"/>
      <c r="L11561" s="10"/>
      <c r="M11561" s="10"/>
      <c r="N11561" s="10"/>
      <c r="O11561" s="10"/>
      <c r="P11561" s="10"/>
      <c r="Q11561" s="10"/>
      <c r="R11561" s="10"/>
      <c r="S11561" s="10"/>
      <c r="T11561" s="10"/>
      <c r="U11561" s="10"/>
      <c r="V11561" s="10"/>
      <c r="W11561" s="10"/>
      <c r="X11561" s="10"/>
      <c r="Y11561" s="10"/>
      <c r="Z11561" s="10"/>
    </row>
    <row r="11562" spans="1:26" ht="12.75">
      <c r="A11562" s="10"/>
      <c r="B11562" s="10"/>
      <c r="C11562" s="10"/>
      <c r="D11562" s="10"/>
      <c r="E11562" s="10"/>
      <c r="F11562" s="10"/>
      <c r="G11562" s="10"/>
      <c r="H11562" s="10"/>
      <c r="I11562" s="10"/>
      <c r="J11562" s="10"/>
      <c r="K11562" s="10"/>
      <c r="L11562" s="10"/>
      <c r="M11562" s="10"/>
      <c r="N11562" s="10"/>
      <c r="O11562" s="10"/>
      <c r="P11562" s="10"/>
      <c r="Q11562" s="10"/>
      <c r="R11562" s="10"/>
      <c r="S11562" s="10"/>
      <c r="T11562" s="10"/>
      <c r="U11562" s="10"/>
      <c r="V11562" s="10"/>
      <c r="W11562" s="10"/>
      <c r="X11562" s="10"/>
      <c r="Y11562" s="10"/>
      <c r="Z11562" s="10"/>
    </row>
    <row r="11563" spans="1:26" ht="12.75">
      <c r="A11563" s="10"/>
      <c r="B11563" s="10"/>
      <c r="C11563" s="10"/>
      <c r="D11563" s="10"/>
      <c r="E11563" s="10"/>
      <c r="F11563" s="10"/>
      <c r="G11563" s="10"/>
      <c r="H11563" s="10"/>
      <c r="I11563" s="10"/>
      <c r="J11563" s="10"/>
      <c r="K11563" s="10"/>
      <c r="L11563" s="10"/>
      <c r="M11563" s="10"/>
      <c r="N11563" s="10"/>
      <c r="O11563" s="10"/>
      <c r="P11563" s="10"/>
      <c r="Q11563" s="10"/>
      <c r="R11563" s="10"/>
      <c r="S11563" s="10"/>
      <c r="T11563" s="10"/>
      <c r="U11563" s="10"/>
      <c r="V11563" s="10"/>
      <c r="W11563" s="10"/>
      <c r="X11563" s="10"/>
      <c r="Y11563" s="10"/>
      <c r="Z11563" s="10"/>
    </row>
    <row r="11564" spans="1:26" ht="12.75">
      <c r="A11564" s="10"/>
      <c r="B11564" s="10"/>
      <c r="C11564" s="10"/>
      <c r="D11564" s="10"/>
      <c r="E11564" s="10"/>
      <c r="F11564" s="10"/>
      <c r="G11564" s="10"/>
      <c r="H11564" s="10"/>
      <c r="I11564" s="10"/>
      <c r="J11564" s="10"/>
      <c r="K11564" s="10"/>
      <c r="L11564" s="10"/>
      <c r="M11564" s="10"/>
      <c r="N11564" s="10"/>
      <c r="O11564" s="10"/>
      <c r="P11564" s="10"/>
      <c r="Q11564" s="10"/>
      <c r="R11564" s="10"/>
      <c r="S11564" s="10"/>
      <c r="T11564" s="10"/>
      <c r="U11564" s="10"/>
      <c r="V11564" s="10"/>
      <c r="W11564" s="10"/>
      <c r="X11564" s="10"/>
      <c r="Y11564" s="10"/>
      <c r="Z11564" s="10"/>
    </row>
    <row r="11565" spans="1:26" ht="12.75">
      <c r="A11565" s="10"/>
      <c r="B11565" s="10"/>
      <c r="C11565" s="10"/>
      <c r="D11565" s="10"/>
      <c r="E11565" s="10"/>
      <c r="F11565" s="10"/>
      <c r="G11565" s="10"/>
      <c r="H11565" s="10"/>
      <c r="I11565" s="10"/>
      <c r="J11565" s="10"/>
      <c r="K11565" s="10"/>
      <c r="L11565" s="10"/>
      <c r="M11565" s="10"/>
      <c r="N11565" s="10"/>
      <c r="O11565" s="10"/>
      <c r="P11565" s="10"/>
      <c r="Q11565" s="10"/>
      <c r="R11565" s="10"/>
      <c r="S11565" s="10"/>
      <c r="T11565" s="10"/>
      <c r="U11565" s="10"/>
      <c r="V11565" s="10"/>
      <c r="W11565" s="10"/>
      <c r="X11565" s="10"/>
      <c r="Y11565" s="10"/>
      <c r="Z11565" s="10"/>
    </row>
    <row r="11566" spans="1:26" ht="12.75">
      <c r="A11566" s="10"/>
      <c r="B11566" s="10"/>
      <c r="C11566" s="10"/>
      <c r="D11566" s="10"/>
      <c r="E11566" s="10"/>
      <c r="F11566" s="10"/>
      <c r="G11566" s="10"/>
      <c r="H11566" s="10"/>
      <c r="I11566" s="10"/>
      <c r="J11566" s="10"/>
      <c r="K11566" s="10"/>
      <c r="L11566" s="10"/>
      <c r="M11566" s="10"/>
      <c r="N11566" s="10"/>
      <c r="O11566" s="10"/>
      <c r="P11566" s="10"/>
      <c r="Q11566" s="10"/>
      <c r="R11566" s="10"/>
      <c r="S11566" s="10"/>
      <c r="T11566" s="10"/>
      <c r="U11566" s="10"/>
      <c r="V11566" s="10"/>
      <c r="W11566" s="10"/>
      <c r="X11566" s="10"/>
      <c r="Y11566" s="10"/>
      <c r="Z11566" s="10"/>
    </row>
    <row r="11567" spans="1:26" ht="12.75">
      <c r="A11567" s="10"/>
      <c r="B11567" s="10"/>
      <c r="C11567" s="10"/>
      <c r="D11567" s="10"/>
      <c r="E11567" s="10"/>
      <c r="F11567" s="10"/>
      <c r="G11567" s="10"/>
      <c r="H11567" s="10"/>
      <c r="I11567" s="10"/>
      <c r="J11567" s="10"/>
      <c r="K11567" s="10"/>
      <c r="L11567" s="10"/>
      <c r="M11567" s="10"/>
      <c r="N11567" s="10"/>
      <c r="O11567" s="10"/>
      <c r="P11567" s="10"/>
      <c r="Q11567" s="10"/>
      <c r="R11567" s="10"/>
      <c r="S11567" s="10"/>
      <c r="T11567" s="10"/>
      <c r="U11567" s="10"/>
      <c r="V11567" s="10"/>
      <c r="W11567" s="10"/>
      <c r="X11567" s="10"/>
      <c r="Y11567" s="10"/>
      <c r="Z11567" s="10"/>
    </row>
    <row r="11568" spans="1:26" ht="12.75">
      <c r="A11568" s="10"/>
      <c r="B11568" s="10"/>
      <c r="C11568" s="10"/>
      <c r="D11568" s="10"/>
      <c r="E11568" s="10"/>
      <c r="F11568" s="10"/>
      <c r="G11568" s="10"/>
      <c r="H11568" s="10"/>
      <c r="I11568" s="10"/>
      <c r="J11568" s="10"/>
      <c r="K11568" s="10"/>
      <c r="L11568" s="10"/>
      <c r="M11568" s="10"/>
      <c r="N11568" s="10"/>
      <c r="O11568" s="10"/>
      <c r="P11568" s="10"/>
      <c r="Q11568" s="10"/>
      <c r="R11568" s="10"/>
      <c r="S11568" s="10"/>
      <c r="T11568" s="10"/>
      <c r="U11568" s="10"/>
      <c r="V11568" s="10"/>
      <c r="W11568" s="10"/>
      <c r="X11568" s="10"/>
      <c r="Y11568" s="10"/>
      <c r="Z11568" s="10"/>
    </row>
    <row r="11569" spans="1:26" ht="12.75">
      <c r="A11569" s="10"/>
      <c r="B11569" s="10"/>
      <c r="C11569" s="10"/>
      <c r="D11569" s="10"/>
      <c r="E11569" s="10"/>
      <c r="F11569" s="10"/>
      <c r="G11569" s="10"/>
      <c r="H11569" s="10"/>
      <c r="I11569" s="10"/>
      <c r="J11569" s="10"/>
      <c r="K11569" s="10"/>
      <c r="L11569" s="10"/>
      <c r="M11569" s="10"/>
      <c r="N11569" s="10"/>
      <c r="O11569" s="10"/>
      <c r="P11569" s="10"/>
      <c r="Q11569" s="10"/>
      <c r="R11569" s="10"/>
      <c r="S11569" s="10"/>
      <c r="T11569" s="10"/>
      <c r="U11569" s="10"/>
      <c r="V11569" s="10"/>
      <c r="W11569" s="10"/>
      <c r="X11569" s="10"/>
      <c r="Y11569" s="10"/>
      <c r="Z11569" s="10"/>
    </row>
    <row r="11570" spans="1:26" ht="12.75">
      <c r="A11570" s="10"/>
      <c r="B11570" s="10"/>
      <c r="C11570" s="10"/>
      <c r="D11570" s="10"/>
      <c r="E11570" s="10"/>
      <c r="F11570" s="10"/>
      <c r="G11570" s="10"/>
      <c r="H11570" s="10"/>
      <c r="I11570" s="10"/>
      <c r="J11570" s="10"/>
      <c r="K11570" s="10"/>
      <c r="L11570" s="10"/>
      <c r="M11570" s="10"/>
      <c r="N11570" s="10"/>
      <c r="O11570" s="10"/>
      <c r="P11570" s="10"/>
      <c r="Q11570" s="10"/>
      <c r="R11570" s="10"/>
      <c r="S11570" s="10"/>
      <c r="T11570" s="10"/>
      <c r="U11570" s="10"/>
      <c r="V11570" s="10"/>
      <c r="W11570" s="10"/>
      <c r="X11570" s="10"/>
      <c r="Y11570" s="10"/>
      <c r="Z11570" s="10"/>
    </row>
    <row r="11571" spans="1:26" ht="12.75">
      <c r="A11571" s="10"/>
      <c r="B11571" s="10"/>
      <c r="C11571" s="10"/>
      <c r="D11571" s="10"/>
      <c r="E11571" s="10"/>
      <c r="F11571" s="10"/>
      <c r="G11571" s="10"/>
      <c r="H11571" s="10"/>
      <c r="I11571" s="10"/>
      <c r="J11571" s="10"/>
      <c r="K11571" s="10"/>
      <c r="L11571" s="10"/>
      <c r="M11571" s="10"/>
      <c r="N11571" s="10"/>
      <c r="O11571" s="10"/>
      <c r="P11571" s="10"/>
      <c r="Q11571" s="10"/>
      <c r="R11571" s="10"/>
      <c r="S11571" s="10"/>
      <c r="T11571" s="10"/>
      <c r="U11571" s="10"/>
      <c r="V11571" s="10"/>
      <c r="W11571" s="10"/>
      <c r="X11571" s="10"/>
      <c r="Y11571" s="10"/>
      <c r="Z11571" s="10"/>
    </row>
    <row r="11572" spans="1:26" ht="12.75">
      <c r="A11572" s="10"/>
      <c r="B11572" s="10"/>
      <c r="C11572" s="10"/>
      <c r="D11572" s="10"/>
      <c r="E11572" s="10"/>
      <c r="F11572" s="10"/>
      <c r="G11572" s="10"/>
      <c r="H11572" s="10"/>
      <c r="I11572" s="10"/>
      <c r="J11572" s="10"/>
      <c r="K11572" s="10"/>
      <c r="L11572" s="10"/>
      <c r="M11572" s="10"/>
      <c r="N11572" s="10"/>
      <c r="O11572" s="10"/>
      <c r="P11572" s="10"/>
      <c r="Q11572" s="10"/>
      <c r="R11572" s="10"/>
      <c r="S11572" s="10"/>
      <c r="T11572" s="10"/>
      <c r="U11572" s="10"/>
      <c r="V11572" s="10"/>
      <c r="W11572" s="10"/>
      <c r="X11572" s="10"/>
      <c r="Y11572" s="10"/>
      <c r="Z11572" s="10"/>
    </row>
    <row r="11573" spans="1:26" ht="12.75">
      <c r="A11573" s="10"/>
      <c r="B11573" s="10"/>
      <c r="C11573" s="10"/>
      <c r="D11573" s="10"/>
      <c r="E11573" s="10"/>
      <c r="F11573" s="10"/>
      <c r="G11573" s="10"/>
      <c r="H11573" s="10"/>
      <c r="I11573" s="10"/>
      <c r="J11573" s="10"/>
      <c r="K11573" s="10"/>
      <c r="L11573" s="10"/>
      <c r="M11573" s="10"/>
      <c r="N11573" s="10"/>
      <c r="O11573" s="10"/>
      <c r="P11573" s="10"/>
      <c r="Q11573" s="10"/>
      <c r="R11573" s="10"/>
      <c r="S11573" s="10"/>
      <c r="T11573" s="10"/>
      <c r="U11573" s="10"/>
      <c r="V11573" s="10"/>
      <c r="W11573" s="10"/>
      <c r="X11573" s="10"/>
      <c r="Y11573" s="10"/>
      <c r="Z11573" s="10"/>
    </row>
    <row r="11574" spans="1:26" ht="12.75">
      <c r="A11574" s="10"/>
      <c r="B11574" s="10"/>
      <c r="C11574" s="10"/>
      <c r="D11574" s="10"/>
      <c r="E11574" s="10"/>
      <c r="F11574" s="10"/>
      <c r="G11574" s="10"/>
      <c r="H11574" s="10"/>
      <c r="I11574" s="10"/>
      <c r="J11574" s="10"/>
      <c r="K11574" s="10"/>
      <c r="L11574" s="10"/>
      <c r="M11574" s="10"/>
      <c r="N11574" s="10"/>
      <c r="O11574" s="10"/>
      <c r="P11574" s="10"/>
      <c r="Q11574" s="10"/>
      <c r="R11574" s="10"/>
      <c r="S11574" s="10"/>
      <c r="T11574" s="10"/>
      <c r="U11574" s="10"/>
      <c r="V11574" s="10"/>
      <c r="W11574" s="10"/>
      <c r="X11574" s="10"/>
      <c r="Y11574" s="10"/>
      <c r="Z11574" s="10"/>
    </row>
    <row r="11575" spans="1:26" ht="12.75">
      <c r="A11575" s="10"/>
      <c r="B11575" s="10"/>
      <c r="C11575" s="10"/>
      <c r="D11575" s="10"/>
      <c r="E11575" s="10"/>
      <c r="F11575" s="10"/>
      <c r="G11575" s="10"/>
      <c r="H11575" s="10"/>
      <c r="I11575" s="10"/>
      <c r="J11575" s="10"/>
      <c r="K11575" s="10"/>
      <c r="L11575" s="10"/>
      <c r="M11575" s="10"/>
      <c r="N11575" s="10"/>
      <c r="O11575" s="10"/>
      <c r="P11575" s="10"/>
      <c r="Q11575" s="10"/>
      <c r="R11575" s="10"/>
      <c r="S11575" s="10"/>
      <c r="T11575" s="10"/>
      <c r="U11575" s="10"/>
      <c r="V11575" s="10"/>
      <c r="W11575" s="10"/>
      <c r="X11575" s="10"/>
      <c r="Y11575" s="10"/>
      <c r="Z11575" s="10"/>
    </row>
    <row r="11576" spans="1:26" ht="12.75">
      <c r="A11576" s="10"/>
      <c r="B11576" s="10"/>
      <c r="C11576" s="10"/>
      <c r="D11576" s="10"/>
      <c r="E11576" s="10"/>
      <c r="F11576" s="10"/>
      <c r="G11576" s="10"/>
      <c r="H11576" s="10"/>
      <c r="I11576" s="10"/>
      <c r="J11576" s="10"/>
      <c r="K11576" s="10"/>
      <c r="L11576" s="10"/>
      <c r="M11576" s="10"/>
      <c r="N11576" s="10"/>
      <c r="O11576" s="10"/>
      <c r="P11576" s="10"/>
      <c r="Q11576" s="10"/>
      <c r="R11576" s="10"/>
      <c r="S11576" s="10"/>
      <c r="T11576" s="10"/>
      <c r="U11576" s="10"/>
      <c r="V11576" s="10"/>
      <c r="W11576" s="10"/>
      <c r="X11576" s="10"/>
      <c r="Y11576" s="10"/>
      <c r="Z11576" s="10"/>
    </row>
    <row r="11577" spans="1:26" ht="12.75">
      <c r="A11577" s="10"/>
      <c r="B11577" s="10"/>
      <c r="C11577" s="10"/>
      <c r="D11577" s="10"/>
      <c r="E11577" s="10"/>
      <c r="F11577" s="10"/>
      <c r="G11577" s="10"/>
      <c r="H11577" s="10"/>
      <c r="I11577" s="10"/>
      <c r="J11577" s="10"/>
      <c r="K11577" s="10"/>
      <c r="L11577" s="10"/>
      <c r="M11577" s="10"/>
      <c r="N11577" s="10"/>
      <c r="O11577" s="10"/>
      <c r="P11577" s="10"/>
      <c r="Q11577" s="10"/>
      <c r="R11577" s="10"/>
      <c r="S11577" s="10"/>
      <c r="T11577" s="10"/>
      <c r="U11577" s="10"/>
      <c r="V11577" s="10"/>
      <c r="W11577" s="10"/>
      <c r="X11577" s="10"/>
      <c r="Y11577" s="10"/>
      <c r="Z11577" s="10"/>
    </row>
    <row r="11578" spans="1:26" ht="12.75">
      <c r="A11578" s="10"/>
      <c r="B11578" s="10"/>
      <c r="C11578" s="10"/>
      <c r="D11578" s="10"/>
      <c r="E11578" s="10"/>
      <c r="F11578" s="10"/>
      <c r="G11578" s="10"/>
      <c r="H11578" s="10"/>
      <c r="I11578" s="10"/>
      <c r="J11578" s="10"/>
      <c r="K11578" s="10"/>
      <c r="L11578" s="10"/>
      <c r="M11578" s="10"/>
      <c r="N11578" s="10"/>
      <c r="O11578" s="10"/>
      <c r="P11578" s="10"/>
      <c r="Q11578" s="10"/>
      <c r="R11578" s="10"/>
      <c r="S11578" s="10"/>
      <c r="T11578" s="10"/>
      <c r="U11578" s="10"/>
      <c r="V11578" s="10"/>
      <c r="W11578" s="10"/>
      <c r="X11578" s="10"/>
      <c r="Y11578" s="10"/>
      <c r="Z11578" s="10"/>
    </row>
    <row r="11579" spans="1:26" ht="12.75">
      <c r="A11579" s="10"/>
      <c r="B11579" s="10"/>
      <c r="C11579" s="10"/>
      <c r="D11579" s="10"/>
      <c r="E11579" s="10"/>
      <c r="F11579" s="10"/>
      <c r="G11579" s="10"/>
      <c r="H11579" s="10"/>
      <c r="I11579" s="10"/>
      <c r="J11579" s="10"/>
      <c r="K11579" s="10"/>
      <c r="L11579" s="10"/>
      <c r="M11579" s="10"/>
      <c r="N11579" s="10"/>
      <c r="O11579" s="10"/>
      <c r="P11579" s="10"/>
      <c r="Q11579" s="10"/>
      <c r="R11579" s="10"/>
      <c r="S11579" s="10"/>
      <c r="T11579" s="10"/>
      <c r="U11579" s="10"/>
      <c r="V11579" s="10"/>
      <c r="W11579" s="10"/>
      <c r="X11579" s="10"/>
      <c r="Y11579" s="10"/>
      <c r="Z11579" s="10"/>
    </row>
    <row r="11580" spans="1:26" ht="12.75">
      <c r="A11580" s="10"/>
      <c r="B11580" s="10"/>
      <c r="C11580" s="10"/>
      <c r="D11580" s="10"/>
      <c r="E11580" s="10"/>
      <c r="F11580" s="10"/>
      <c r="G11580" s="10"/>
      <c r="H11580" s="10"/>
      <c r="I11580" s="10"/>
      <c r="J11580" s="10"/>
      <c r="K11580" s="10"/>
      <c r="L11580" s="10"/>
      <c r="M11580" s="10"/>
      <c r="N11580" s="10"/>
      <c r="O11580" s="10"/>
      <c r="P11580" s="10"/>
      <c r="Q11580" s="10"/>
      <c r="R11580" s="10"/>
      <c r="S11580" s="10"/>
      <c r="T11580" s="10"/>
      <c r="U11580" s="10"/>
      <c r="V11580" s="10"/>
      <c r="W11580" s="10"/>
      <c r="X11580" s="10"/>
      <c r="Y11580" s="10"/>
      <c r="Z11580" s="10"/>
    </row>
    <row r="11581" spans="1:26" ht="12.75">
      <c r="A11581" s="10"/>
      <c r="B11581" s="10"/>
      <c r="C11581" s="10"/>
      <c r="D11581" s="10"/>
      <c r="E11581" s="10"/>
      <c r="F11581" s="10"/>
      <c r="G11581" s="10"/>
      <c r="H11581" s="10"/>
      <c r="I11581" s="10"/>
      <c r="J11581" s="10"/>
      <c r="K11581" s="10"/>
      <c r="L11581" s="10"/>
      <c r="M11581" s="10"/>
      <c r="N11581" s="10"/>
      <c r="O11581" s="10"/>
      <c r="P11581" s="10"/>
      <c r="Q11581" s="10"/>
      <c r="R11581" s="10"/>
      <c r="S11581" s="10"/>
      <c r="T11581" s="10"/>
      <c r="U11581" s="10"/>
      <c r="V11581" s="10"/>
      <c r="W11581" s="10"/>
      <c r="X11581" s="10"/>
      <c r="Y11581" s="10"/>
      <c r="Z11581" s="10"/>
    </row>
    <row r="11582" spans="1:26" ht="12.75">
      <c r="A11582" s="10"/>
      <c r="B11582" s="10"/>
      <c r="C11582" s="10"/>
      <c r="D11582" s="10"/>
      <c r="E11582" s="10"/>
      <c r="F11582" s="10"/>
      <c r="G11582" s="10"/>
      <c r="H11582" s="10"/>
      <c r="I11582" s="10"/>
      <c r="J11582" s="10"/>
      <c r="K11582" s="10"/>
      <c r="L11582" s="10"/>
      <c r="M11582" s="10"/>
      <c r="N11582" s="10"/>
      <c r="O11582" s="10"/>
      <c r="P11582" s="10"/>
      <c r="Q11582" s="10"/>
      <c r="R11582" s="10"/>
      <c r="S11582" s="10"/>
      <c r="T11582" s="10"/>
      <c r="U11582" s="10"/>
      <c r="V11582" s="10"/>
      <c r="W11582" s="10"/>
      <c r="X11582" s="10"/>
      <c r="Y11582" s="10"/>
      <c r="Z11582" s="10"/>
    </row>
    <row r="11583" spans="1:26" ht="12.75">
      <c r="A11583" s="10"/>
      <c r="B11583" s="10"/>
      <c r="C11583" s="10"/>
      <c r="D11583" s="10"/>
      <c r="E11583" s="10"/>
      <c r="F11583" s="10"/>
      <c r="G11583" s="10"/>
      <c r="H11583" s="10"/>
      <c r="I11583" s="10"/>
      <c r="J11583" s="10"/>
      <c r="K11583" s="10"/>
      <c r="L11583" s="10"/>
      <c r="M11583" s="10"/>
      <c r="N11583" s="10"/>
      <c r="O11583" s="10"/>
      <c r="P11583" s="10"/>
      <c r="Q11583" s="10"/>
      <c r="R11583" s="10"/>
      <c r="S11583" s="10"/>
      <c r="T11583" s="10"/>
      <c r="U11583" s="10"/>
      <c r="V11583" s="10"/>
      <c r="W11583" s="10"/>
      <c r="X11583" s="10"/>
      <c r="Y11583" s="10"/>
      <c r="Z11583" s="10"/>
    </row>
    <row r="11584" spans="1:26" ht="12.75">
      <c r="A11584" s="10"/>
      <c r="B11584" s="10"/>
      <c r="C11584" s="10"/>
      <c r="D11584" s="10"/>
      <c r="E11584" s="10"/>
      <c r="F11584" s="10"/>
      <c r="G11584" s="10"/>
      <c r="H11584" s="10"/>
      <c r="I11584" s="10"/>
      <c r="J11584" s="10"/>
      <c r="K11584" s="10"/>
      <c r="L11584" s="10"/>
      <c r="M11584" s="10"/>
      <c r="N11584" s="10"/>
      <c r="O11584" s="10"/>
      <c r="P11584" s="10"/>
      <c r="Q11584" s="10"/>
      <c r="R11584" s="10"/>
      <c r="S11584" s="10"/>
      <c r="T11584" s="10"/>
      <c r="U11584" s="10"/>
      <c r="V11584" s="10"/>
      <c r="W11584" s="10"/>
      <c r="X11584" s="10"/>
      <c r="Y11584" s="10"/>
      <c r="Z11584" s="10"/>
    </row>
    <row r="11585" spans="1:26" ht="12.75">
      <c r="A11585" s="10"/>
      <c r="B11585" s="10"/>
      <c r="C11585" s="10"/>
      <c r="D11585" s="10"/>
      <c r="E11585" s="10"/>
      <c r="F11585" s="10"/>
      <c r="G11585" s="10"/>
      <c r="H11585" s="10"/>
      <c r="I11585" s="10"/>
      <c r="J11585" s="10"/>
      <c r="K11585" s="10"/>
      <c r="L11585" s="10"/>
      <c r="M11585" s="10"/>
      <c r="N11585" s="10"/>
      <c r="O11585" s="10"/>
      <c r="P11585" s="10"/>
      <c r="Q11585" s="10"/>
      <c r="R11585" s="10"/>
      <c r="S11585" s="10"/>
      <c r="T11585" s="10"/>
      <c r="U11585" s="10"/>
      <c r="V11585" s="10"/>
      <c r="W11585" s="10"/>
      <c r="X11585" s="10"/>
      <c r="Y11585" s="10"/>
      <c r="Z11585" s="10"/>
    </row>
    <row r="11586" spans="1:26" ht="12.75">
      <c r="A11586" s="10"/>
      <c r="B11586" s="10"/>
      <c r="C11586" s="10"/>
      <c r="D11586" s="10"/>
      <c r="E11586" s="10"/>
      <c r="F11586" s="10"/>
      <c r="G11586" s="10"/>
      <c r="H11586" s="10"/>
      <c r="I11586" s="10"/>
      <c r="J11586" s="10"/>
      <c r="K11586" s="10"/>
      <c r="L11586" s="10"/>
      <c r="M11586" s="10"/>
      <c r="N11586" s="10"/>
      <c r="O11586" s="10"/>
      <c r="P11586" s="10"/>
      <c r="Q11586" s="10"/>
      <c r="R11586" s="10"/>
      <c r="S11586" s="10"/>
      <c r="T11586" s="10"/>
      <c r="U11586" s="10"/>
      <c r="V11586" s="10"/>
      <c r="W11586" s="10"/>
      <c r="X11586" s="10"/>
      <c r="Y11586" s="10"/>
      <c r="Z11586" s="10"/>
    </row>
    <row r="11587" spans="1:26" ht="12.75">
      <c r="A11587" s="10"/>
      <c r="B11587" s="10"/>
      <c r="C11587" s="10"/>
      <c r="D11587" s="10"/>
      <c r="E11587" s="10"/>
      <c r="F11587" s="10"/>
      <c r="G11587" s="10"/>
      <c r="H11587" s="10"/>
      <c r="I11587" s="10"/>
      <c r="J11587" s="10"/>
      <c r="K11587" s="10"/>
      <c r="L11587" s="10"/>
      <c r="M11587" s="10"/>
      <c r="N11587" s="10"/>
      <c r="O11587" s="10"/>
      <c r="P11587" s="10"/>
      <c r="Q11587" s="10"/>
      <c r="R11587" s="10"/>
      <c r="S11587" s="10"/>
      <c r="T11587" s="10"/>
      <c r="U11587" s="10"/>
      <c r="V11587" s="10"/>
      <c r="W11587" s="10"/>
      <c r="X11587" s="10"/>
      <c r="Y11587" s="10"/>
      <c r="Z11587" s="10"/>
    </row>
    <row r="11588" spans="1:26" ht="12.75">
      <c r="A11588" s="10"/>
      <c r="B11588" s="10"/>
      <c r="C11588" s="10"/>
      <c r="D11588" s="10"/>
      <c r="E11588" s="10"/>
      <c r="F11588" s="10"/>
      <c r="G11588" s="10"/>
      <c r="H11588" s="10"/>
      <c r="I11588" s="10"/>
      <c r="J11588" s="10"/>
      <c r="K11588" s="10"/>
      <c r="L11588" s="10"/>
      <c r="M11588" s="10"/>
      <c r="N11588" s="10"/>
      <c r="O11588" s="10"/>
      <c r="P11588" s="10"/>
      <c r="Q11588" s="10"/>
      <c r="R11588" s="10"/>
      <c r="S11588" s="10"/>
      <c r="T11588" s="10"/>
      <c r="U11588" s="10"/>
      <c r="V11588" s="10"/>
      <c r="W11588" s="10"/>
      <c r="X11588" s="10"/>
      <c r="Y11588" s="10"/>
      <c r="Z11588" s="10"/>
    </row>
    <row r="11589" spans="1:26" ht="12.75">
      <c r="A11589" s="10"/>
      <c r="B11589" s="10"/>
      <c r="C11589" s="10"/>
      <c r="D11589" s="10"/>
      <c r="E11589" s="10"/>
      <c r="F11589" s="10"/>
      <c r="G11589" s="10"/>
      <c r="H11589" s="10"/>
      <c r="I11589" s="10"/>
      <c r="J11589" s="10"/>
      <c r="K11589" s="10"/>
      <c r="L11589" s="10"/>
      <c r="M11589" s="10"/>
      <c r="N11589" s="10"/>
      <c r="O11589" s="10"/>
      <c r="P11589" s="10"/>
      <c r="Q11589" s="10"/>
      <c r="R11589" s="10"/>
      <c r="S11589" s="10"/>
      <c r="T11589" s="10"/>
      <c r="U11589" s="10"/>
      <c r="V11589" s="10"/>
      <c r="W11589" s="10"/>
      <c r="X11589" s="10"/>
      <c r="Y11589" s="10"/>
      <c r="Z11589" s="10"/>
    </row>
    <row r="11590" spans="1:26" ht="12.75">
      <c r="A11590" s="10"/>
      <c r="B11590" s="10"/>
      <c r="C11590" s="10"/>
      <c r="D11590" s="10"/>
      <c r="E11590" s="10"/>
      <c r="F11590" s="10"/>
      <c r="G11590" s="10"/>
      <c r="H11590" s="10"/>
      <c r="I11590" s="10"/>
      <c r="J11590" s="10"/>
      <c r="K11590" s="10"/>
      <c r="L11590" s="10"/>
      <c r="M11590" s="10"/>
      <c r="N11590" s="10"/>
      <c r="O11590" s="10"/>
      <c r="P11590" s="10"/>
      <c r="Q11590" s="10"/>
      <c r="R11590" s="10"/>
      <c r="S11590" s="10"/>
      <c r="T11590" s="10"/>
      <c r="U11590" s="10"/>
      <c r="V11590" s="10"/>
      <c r="W11590" s="10"/>
      <c r="X11590" s="10"/>
      <c r="Y11590" s="10"/>
      <c r="Z11590" s="10"/>
    </row>
    <row r="11591" spans="1:26" ht="12.75">
      <c r="A11591" s="10"/>
      <c r="B11591" s="10"/>
      <c r="C11591" s="10"/>
      <c r="D11591" s="10"/>
      <c r="E11591" s="10"/>
      <c r="F11591" s="10"/>
      <c r="G11591" s="10"/>
      <c r="H11591" s="10"/>
      <c r="I11591" s="10"/>
      <c r="J11591" s="10"/>
      <c r="K11591" s="10"/>
      <c r="L11591" s="10"/>
      <c r="M11591" s="10"/>
      <c r="N11591" s="10"/>
      <c r="O11591" s="10"/>
      <c r="P11591" s="10"/>
      <c r="Q11591" s="10"/>
      <c r="R11591" s="10"/>
      <c r="S11591" s="10"/>
      <c r="T11591" s="10"/>
      <c r="U11591" s="10"/>
      <c r="V11591" s="10"/>
      <c r="W11591" s="10"/>
      <c r="X11591" s="10"/>
      <c r="Y11591" s="10"/>
      <c r="Z11591" s="10"/>
    </row>
    <row r="11592" spans="1:26" ht="12.75">
      <c r="A11592" s="10"/>
      <c r="B11592" s="10"/>
      <c r="C11592" s="10"/>
      <c r="D11592" s="10"/>
      <c r="E11592" s="10"/>
      <c r="F11592" s="10"/>
      <c r="G11592" s="10"/>
      <c r="H11592" s="10"/>
      <c r="I11592" s="10"/>
      <c r="J11592" s="10"/>
      <c r="K11592" s="10"/>
      <c r="L11592" s="10"/>
      <c r="M11592" s="10"/>
      <c r="N11592" s="10"/>
      <c r="O11592" s="10"/>
      <c r="P11592" s="10"/>
      <c r="Q11592" s="10"/>
      <c r="R11592" s="10"/>
      <c r="S11592" s="10"/>
      <c r="T11592" s="10"/>
      <c r="U11592" s="10"/>
      <c r="V11592" s="10"/>
      <c r="W11592" s="10"/>
      <c r="X11592" s="10"/>
      <c r="Y11592" s="10"/>
      <c r="Z11592" s="10"/>
    </row>
    <row r="11593" spans="1:26" ht="12.75">
      <c r="A11593" s="10"/>
      <c r="B11593" s="10"/>
      <c r="C11593" s="10"/>
      <c r="D11593" s="10"/>
      <c r="E11593" s="10"/>
      <c r="F11593" s="10"/>
      <c r="G11593" s="10"/>
      <c r="H11593" s="10"/>
      <c r="I11593" s="10"/>
      <c r="J11593" s="10"/>
      <c r="K11593" s="10"/>
      <c r="L11593" s="10"/>
      <c r="M11593" s="10"/>
      <c r="N11593" s="10"/>
      <c r="O11593" s="10"/>
      <c r="P11593" s="10"/>
      <c r="Q11593" s="10"/>
      <c r="R11593" s="10"/>
      <c r="S11593" s="10"/>
      <c r="T11593" s="10"/>
      <c r="U11593" s="10"/>
      <c r="V11593" s="10"/>
      <c r="W11593" s="10"/>
      <c r="X11593" s="10"/>
      <c r="Y11593" s="10"/>
      <c r="Z11593" s="10"/>
    </row>
    <row r="11594" spans="1:26" ht="12.75">
      <c r="A11594" s="10"/>
      <c r="B11594" s="10"/>
      <c r="C11594" s="10"/>
      <c r="D11594" s="10"/>
      <c r="E11594" s="10"/>
      <c r="F11594" s="10"/>
      <c r="G11594" s="10"/>
      <c r="H11594" s="10"/>
      <c r="I11594" s="10"/>
      <c r="J11594" s="10"/>
      <c r="K11594" s="10"/>
      <c r="L11594" s="10"/>
      <c r="M11594" s="10"/>
      <c r="N11594" s="10"/>
      <c r="O11594" s="10"/>
      <c r="P11594" s="10"/>
      <c r="Q11594" s="10"/>
      <c r="R11594" s="10"/>
      <c r="S11594" s="10"/>
      <c r="T11594" s="10"/>
      <c r="U11594" s="10"/>
      <c r="V11594" s="10"/>
      <c r="W11594" s="10"/>
      <c r="X11594" s="10"/>
      <c r="Y11594" s="10"/>
      <c r="Z11594" s="10"/>
    </row>
    <row r="11595" spans="1:26" ht="12.75">
      <c r="A11595" s="10"/>
      <c r="B11595" s="10"/>
      <c r="C11595" s="10"/>
      <c r="D11595" s="10"/>
      <c r="E11595" s="10"/>
      <c r="F11595" s="10"/>
      <c r="G11595" s="10"/>
      <c r="H11595" s="10"/>
      <c r="I11595" s="10"/>
      <c r="J11595" s="10"/>
      <c r="K11595" s="10"/>
      <c r="L11595" s="10"/>
      <c r="M11595" s="10"/>
      <c r="N11595" s="10"/>
      <c r="O11595" s="10"/>
      <c r="P11595" s="10"/>
      <c r="Q11595" s="10"/>
      <c r="R11595" s="10"/>
      <c r="S11595" s="10"/>
      <c r="T11595" s="10"/>
      <c r="U11595" s="10"/>
      <c r="V11595" s="10"/>
      <c r="W11595" s="10"/>
      <c r="X11595" s="10"/>
      <c r="Y11595" s="10"/>
      <c r="Z11595" s="10"/>
    </row>
    <row r="11596" spans="1:26" ht="12.75">
      <c r="A11596" s="10"/>
      <c r="B11596" s="10"/>
      <c r="C11596" s="10"/>
      <c r="D11596" s="10"/>
      <c r="E11596" s="10"/>
      <c r="F11596" s="10"/>
      <c r="G11596" s="10"/>
      <c r="H11596" s="10"/>
      <c r="I11596" s="10"/>
      <c r="J11596" s="10"/>
      <c r="K11596" s="10"/>
      <c r="L11596" s="10"/>
      <c r="M11596" s="10"/>
      <c r="N11596" s="10"/>
      <c r="O11596" s="10"/>
      <c r="P11596" s="10"/>
      <c r="Q11596" s="10"/>
      <c r="R11596" s="10"/>
      <c r="S11596" s="10"/>
      <c r="T11596" s="10"/>
      <c r="U11596" s="10"/>
      <c r="V11596" s="10"/>
      <c r="W11596" s="10"/>
      <c r="X11596" s="10"/>
      <c r="Y11596" s="10"/>
      <c r="Z11596" s="10"/>
    </row>
    <row r="11597" spans="1:26" ht="12.75">
      <c r="A11597" s="10"/>
      <c r="B11597" s="10"/>
      <c r="C11597" s="10"/>
      <c r="D11597" s="10"/>
      <c r="E11597" s="10"/>
      <c r="F11597" s="10"/>
      <c r="G11597" s="10"/>
      <c r="H11597" s="10"/>
      <c r="I11597" s="10"/>
      <c r="J11597" s="10"/>
      <c r="K11597" s="10"/>
      <c r="L11597" s="10"/>
      <c r="M11597" s="10"/>
      <c r="N11597" s="10"/>
      <c r="O11597" s="10"/>
      <c r="P11597" s="10"/>
      <c r="Q11597" s="10"/>
      <c r="R11597" s="10"/>
      <c r="S11597" s="10"/>
      <c r="T11597" s="10"/>
      <c r="U11597" s="10"/>
      <c r="V11597" s="10"/>
      <c r="W11597" s="10"/>
      <c r="X11597" s="10"/>
      <c r="Y11597" s="10"/>
      <c r="Z11597" s="10"/>
    </row>
    <row r="11598" spans="1:26" ht="12.75">
      <c r="A11598" s="10"/>
      <c r="B11598" s="10"/>
      <c r="C11598" s="10"/>
      <c r="D11598" s="10"/>
      <c r="E11598" s="10"/>
      <c r="F11598" s="10"/>
      <c r="G11598" s="10"/>
      <c r="H11598" s="10"/>
      <c r="I11598" s="10"/>
      <c r="J11598" s="10"/>
      <c r="K11598" s="10"/>
      <c r="L11598" s="10"/>
      <c r="M11598" s="10"/>
      <c r="N11598" s="10"/>
      <c r="O11598" s="10"/>
      <c r="P11598" s="10"/>
      <c r="Q11598" s="10"/>
      <c r="R11598" s="10"/>
      <c r="S11598" s="10"/>
      <c r="T11598" s="10"/>
      <c r="U11598" s="10"/>
      <c r="V11598" s="10"/>
      <c r="W11598" s="10"/>
      <c r="X11598" s="10"/>
      <c r="Y11598" s="10"/>
      <c r="Z11598" s="10"/>
    </row>
    <row r="11599" spans="1:26" ht="12.75">
      <c r="A11599" s="10"/>
      <c r="B11599" s="10"/>
      <c r="C11599" s="10"/>
      <c r="D11599" s="10"/>
      <c r="E11599" s="10"/>
      <c r="F11599" s="10"/>
      <c r="G11599" s="10"/>
      <c r="H11599" s="10"/>
      <c r="I11599" s="10"/>
      <c r="J11599" s="10"/>
      <c r="K11599" s="10"/>
      <c r="L11599" s="10"/>
      <c r="M11599" s="10"/>
      <c r="N11599" s="10"/>
      <c r="O11599" s="10"/>
      <c r="P11599" s="10"/>
      <c r="Q11599" s="10"/>
      <c r="R11599" s="10"/>
      <c r="S11599" s="10"/>
      <c r="T11599" s="10"/>
      <c r="U11599" s="10"/>
      <c r="V11599" s="10"/>
      <c r="W11599" s="10"/>
      <c r="X11599" s="10"/>
      <c r="Y11599" s="10"/>
      <c r="Z11599" s="10"/>
    </row>
    <row r="11600" spans="1:26" ht="12.75">
      <c r="A11600" s="10"/>
      <c r="B11600" s="10"/>
      <c r="C11600" s="10"/>
      <c r="D11600" s="10"/>
      <c r="E11600" s="10"/>
      <c r="F11600" s="10"/>
      <c r="G11600" s="10"/>
      <c r="H11600" s="10"/>
      <c r="I11600" s="10"/>
      <c r="J11600" s="10"/>
      <c r="K11600" s="10"/>
      <c r="L11600" s="10"/>
      <c r="M11600" s="10"/>
      <c r="N11600" s="10"/>
      <c r="O11600" s="10"/>
      <c r="P11600" s="10"/>
      <c r="Q11600" s="10"/>
      <c r="R11600" s="10"/>
      <c r="S11600" s="10"/>
      <c r="T11600" s="10"/>
      <c r="U11600" s="10"/>
      <c r="V11600" s="10"/>
      <c r="W11600" s="10"/>
      <c r="X11600" s="10"/>
      <c r="Y11600" s="10"/>
      <c r="Z11600" s="10"/>
    </row>
    <row r="11601" spans="1:26" ht="12.75">
      <c r="A11601" s="10"/>
      <c r="B11601" s="10"/>
      <c r="C11601" s="10"/>
      <c r="D11601" s="10"/>
      <c r="E11601" s="10"/>
      <c r="F11601" s="10"/>
      <c r="G11601" s="10"/>
      <c r="H11601" s="10"/>
      <c r="I11601" s="10"/>
      <c r="J11601" s="10"/>
      <c r="K11601" s="10"/>
      <c r="L11601" s="10"/>
      <c r="M11601" s="10"/>
      <c r="N11601" s="10"/>
      <c r="O11601" s="10"/>
      <c r="P11601" s="10"/>
      <c r="Q11601" s="10"/>
      <c r="R11601" s="10"/>
      <c r="S11601" s="10"/>
      <c r="T11601" s="10"/>
      <c r="U11601" s="10"/>
      <c r="V11601" s="10"/>
      <c r="W11601" s="10"/>
      <c r="X11601" s="10"/>
      <c r="Y11601" s="10"/>
      <c r="Z11601" s="10"/>
    </row>
    <row r="11602" spans="1:26" ht="12.75">
      <c r="A11602" s="10"/>
      <c r="B11602" s="10"/>
      <c r="C11602" s="10"/>
      <c r="D11602" s="10"/>
      <c r="E11602" s="10"/>
      <c r="F11602" s="10"/>
      <c r="G11602" s="10"/>
      <c r="H11602" s="10"/>
      <c r="I11602" s="10"/>
      <c r="J11602" s="10"/>
      <c r="K11602" s="10"/>
      <c r="L11602" s="10"/>
      <c r="M11602" s="10"/>
      <c r="N11602" s="10"/>
      <c r="O11602" s="10"/>
      <c r="P11602" s="10"/>
      <c r="Q11602" s="10"/>
      <c r="R11602" s="10"/>
      <c r="S11602" s="10"/>
      <c r="T11602" s="10"/>
      <c r="U11602" s="10"/>
      <c r="V11602" s="10"/>
      <c r="W11602" s="10"/>
      <c r="X11602" s="10"/>
      <c r="Y11602" s="10"/>
      <c r="Z11602" s="10"/>
    </row>
    <row r="11603" spans="1:26" ht="12.75">
      <c r="A11603" s="10"/>
      <c r="B11603" s="10"/>
      <c r="C11603" s="10"/>
      <c r="D11603" s="10"/>
      <c r="E11603" s="10"/>
      <c r="F11603" s="10"/>
      <c r="G11603" s="10"/>
      <c r="H11603" s="10"/>
      <c r="I11603" s="10"/>
      <c r="J11603" s="10"/>
      <c r="K11603" s="10"/>
      <c r="L11603" s="10"/>
      <c r="M11603" s="10"/>
      <c r="N11603" s="10"/>
      <c r="O11603" s="10"/>
      <c r="P11603" s="10"/>
      <c r="Q11603" s="10"/>
      <c r="R11603" s="10"/>
      <c r="S11603" s="10"/>
      <c r="T11603" s="10"/>
      <c r="U11603" s="10"/>
      <c r="V11603" s="10"/>
      <c r="W11603" s="10"/>
      <c r="X11603" s="10"/>
      <c r="Y11603" s="10"/>
      <c r="Z11603" s="10"/>
    </row>
    <row r="11604" spans="1:26" ht="12.75">
      <c r="A11604" s="10"/>
      <c r="B11604" s="10"/>
      <c r="C11604" s="10"/>
      <c r="D11604" s="10"/>
      <c r="E11604" s="10"/>
      <c r="F11604" s="10"/>
      <c r="G11604" s="10"/>
      <c r="H11604" s="10"/>
      <c r="I11604" s="10"/>
      <c r="J11604" s="10"/>
      <c r="K11604" s="10"/>
      <c r="L11604" s="10"/>
      <c r="M11604" s="10"/>
      <c r="N11604" s="10"/>
      <c r="O11604" s="10"/>
      <c r="P11604" s="10"/>
      <c r="Q11604" s="10"/>
      <c r="R11604" s="10"/>
      <c r="S11604" s="10"/>
      <c r="T11604" s="10"/>
      <c r="U11604" s="10"/>
      <c r="V11604" s="10"/>
      <c r="W11604" s="10"/>
      <c r="X11604" s="10"/>
      <c r="Y11604" s="10"/>
      <c r="Z11604" s="10"/>
    </row>
    <row r="11605" spans="1:26" ht="12.75">
      <c r="A11605" s="10"/>
      <c r="B11605" s="10"/>
      <c r="C11605" s="10"/>
      <c r="D11605" s="10"/>
      <c r="E11605" s="10"/>
      <c r="F11605" s="10"/>
      <c r="G11605" s="10"/>
      <c r="H11605" s="10"/>
      <c r="I11605" s="10"/>
      <c r="J11605" s="10"/>
      <c r="K11605" s="10"/>
      <c r="L11605" s="10"/>
      <c r="M11605" s="10"/>
      <c r="N11605" s="10"/>
      <c r="O11605" s="10"/>
      <c r="P11605" s="10"/>
      <c r="Q11605" s="10"/>
      <c r="R11605" s="10"/>
      <c r="S11605" s="10"/>
      <c r="T11605" s="10"/>
      <c r="U11605" s="10"/>
      <c r="V11605" s="10"/>
      <c r="W11605" s="10"/>
      <c r="X11605" s="10"/>
      <c r="Y11605" s="10"/>
      <c r="Z11605" s="10"/>
    </row>
    <row r="11606" spans="1:26" ht="12.75">
      <c r="A11606" s="10"/>
      <c r="B11606" s="10"/>
      <c r="C11606" s="10"/>
      <c r="D11606" s="10"/>
      <c r="E11606" s="10"/>
      <c r="F11606" s="10"/>
      <c r="G11606" s="10"/>
      <c r="H11606" s="10"/>
      <c r="I11606" s="10"/>
      <c r="J11606" s="10"/>
      <c r="K11606" s="10"/>
      <c r="L11606" s="10"/>
      <c r="M11606" s="10"/>
      <c r="N11606" s="10"/>
      <c r="O11606" s="10"/>
      <c r="P11606" s="10"/>
      <c r="Q11606" s="10"/>
      <c r="R11606" s="10"/>
      <c r="S11606" s="10"/>
      <c r="T11606" s="10"/>
      <c r="U11606" s="10"/>
      <c r="V11606" s="10"/>
      <c r="W11606" s="10"/>
      <c r="X11606" s="10"/>
      <c r="Y11606" s="10"/>
      <c r="Z11606" s="10"/>
    </row>
    <row r="11607" spans="1:26" ht="12.75">
      <c r="A11607" s="10"/>
      <c r="B11607" s="10"/>
      <c r="C11607" s="10"/>
      <c r="D11607" s="10"/>
      <c r="E11607" s="10"/>
      <c r="F11607" s="10"/>
      <c r="G11607" s="10"/>
      <c r="H11607" s="10"/>
      <c r="I11607" s="10"/>
      <c r="J11607" s="10"/>
      <c r="K11607" s="10"/>
      <c r="L11607" s="10"/>
      <c r="M11607" s="10"/>
      <c r="N11607" s="10"/>
      <c r="O11607" s="10"/>
      <c r="P11607" s="10"/>
      <c r="Q11607" s="10"/>
      <c r="R11607" s="10"/>
      <c r="S11607" s="10"/>
      <c r="T11607" s="10"/>
      <c r="U11607" s="10"/>
      <c r="V11607" s="10"/>
      <c r="W11607" s="10"/>
      <c r="X11607" s="10"/>
      <c r="Y11607" s="10"/>
      <c r="Z11607" s="10"/>
    </row>
    <row r="11608" spans="1:26" ht="12.75">
      <c r="A11608" s="10"/>
      <c r="B11608" s="10"/>
      <c r="C11608" s="10"/>
      <c r="D11608" s="10"/>
      <c r="E11608" s="10"/>
      <c r="F11608" s="10"/>
      <c r="G11608" s="10"/>
      <c r="H11608" s="10"/>
      <c r="I11608" s="10"/>
      <c r="J11608" s="10"/>
      <c r="K11608" s="10"/>
      <c r="L11608" s="10"/>
      <c r="M11608" s="10"/>
      <c r="N11608" s="10"/>
      <c r="O11608" s="10"/>
      <c r="P11608" s="10"/>
      <c r="Q11608" s="10"/>
      <c r="R11608" s="10"/>
      <c r="S11608" s="10"/>
      <c r="T11608" s="10"/>
      <c r="U11608" s="10"/>
      <c r="V11608" s="10"/>
      <c r="W11608" s="10"/>
      <c r="X11608" s="10"/>
      <c r="Y11608" s="10"/>
      <c r="Z11608" s="10"/>
    </row>
    <row r="11609" spans="1:26" ht="12.75">
      <c r="A11609" s="10"/>
      <c r="B11609" s="10"/>
      <c r="C11609" s="10"/>
      <c r="D11609" s="10"/>
      <c r="E11609" s="10"/>
      <c r="F11609" s="10"/>
      <c r="G11609" s="10"/>
      <c r="H11609" s="10"/>
      <c r="I11609" s="10"/>
      <c r="J11609" s="10"/>
      <c r="K11609" s="10"/>
      <c r="L11609" s="10"/>
      <c r="M11609" s="10"/>
      <c r="N11609" s="10"/>
      <c r="O11609" s="10"/>
      <c r="P11609" s="10"/>
      <c r="Q11609" s="10"/>
      <c r="R11609" s="10"/>
      <c r="S11609" s="10"/>
      <c r="T11609" s="10"/>
      <c r="U11609" s="10"/>
      <c r="V11609" s="10"/>
      <c r="W11609" s="10"/>
      <c r="X11609" s="10"/>
      <c r="Y11609" s="10"/>
      <c r="Z11609" s="10"/>
    </row>
    <row r="11610" spans="1:26" ht="12.75">
      <c r="A11610" s="10"/>
      <c r="B11610" s="10"/>
      <c r="C11610" s="10"/>
      <c r="D11610" s="10"/>
      <c r="E11610" s="10"/>
      <c r="F11610" s="10"/>
      <c r="G11610" s="10"/>
      <c r="H11610" s="10"/>
      <c r="I11610" s="10"/>
      <c r="J11610" s="10"/>
      <c r="K11610" s="10"/>
      <c r="L11610" s="10"/>
      <c r="M11610" s="10"/>
      <c r="N11610" s="10"/>
      <c r="O11610" s="10"/>
      <c r="P11610" s="10"/>
      <c r="Q11610" s="10"/>
      <c r="R11610" s="10"/>
      <c r="S11610" s="10"/>
      <c r="T11610" s="10"/>
      <c r="U11610" s="10"/>
      <c r="V11610" s="10"/>
      <c r="W11610" s="10"/>
      <c r="X11610" s="10"/>
      <c r="Y11610" s="10"/>
      <c r="Z11610" s="10"/>
    </row>
    <row r="11611" spans="1:26" ht="12.75">
      <c r="A11611" s="10"/>
      <c r="B11611" s="10"/>
      <c r="C11611" s="10"/>
      <c r="D11611" s="10"/>
      <c r="E11611" s="10"/>
      <c r="F11611" s="10"/>
      <c r="G11611" s="10"/>
      <c r="H11611" s="10"/>
      <c r="I11611" s="10"/>
      <c r="J11611" s="10"/>
      <c r="K11611" s="10"/>
      <c r="L11611" s="10"/>
      <c r="M11611" s="10"/>
      <c r="N11611" s="10"/>
      <c r="O11611" s="10"/>
      <c r="P11611" s="10"/>
      <c r="Q11611" s="10"/>
      <c r="R11611" s="10"/>
      <c r="S11611" s="10"/>
      <c r="T11611" s="10"/>
      <c r="U11611" s="10"/>
      <c r="V11611" s="10"/>
      <c r="W11611" s="10"/>
      <c r="X11611" s="10"/>
      <c r="Y11611" s="10"/>
      <c r="Z11611" s="10"/>
    </row>
    <row r="11612" spans="1:26" ht="12.75">
      <c r="A11612" s="10"/>
      <c r="B11612" s="10"/>
      <c r="C11612" s="10"/>
      <c r="D11612" s="10"/>
      <c r="E11612" s="10"/>
      <c r="F11612" s="10"/>
      <c r="G11612" s="10"/>
      <c r="H11612" s="10"/>
      <c r="I11612" s="10"/>
      <c r="J11612" s="10"/>
      <c r="K11612" s="10"/>
      <c r="L11612" s="10"/>
      <c r="M11612" s="10"/>
      <c r="N11612" s="10"/>
      <c r="O11612" s="10"/>
      <c r="P11612" s="10"/>
      <c r="Q11612" s="10"/>
      <c r="R11612" s="10"/>
      <c r="S11612" s="10"/>
      <c r="T11612" s="10"/>
      <c r="U11612" s="10"/>
      <c r="V11612" s="10"/>
      <c r="W11612" s="10"/>
      <c r="X11612" s="10"/>
      <c r="Y11612" s="10"/>
      <c r="Z11612" s="10"/>
    </row>
    <row r="11613" spans="1:26" ht="12.75">
      <c r="A11613" s="10"/>
      <c r="B11613" s="10"/>
      <c r="C11613" s="10"/>
      <c r="D11613" s="10"/>
      <c r="E11613" s="10"/>
      <c r="F11613" s="10"/>
      <c r="G11613" s="10"/>
      <c r="H11613" s="10"/>
      <c r="I11613" s="10"/>
      <c r="J11613" s="10"/>
      <c r="K11613" s="10"/>
      <c r="L11613" s="10"/>
      <c r="M11613" s="10"/>
      <c r="N11613" s="10"/>
      <c r="O11613" s="10"/>
      <c r="P11613" s="10"/>
      <c r="Q11613" s="10"/>
      <c r="R11613" s="10"/>
      <c r="S11613" s="10"/>
      <c r="T11613" s="10"/>
      <c r="U11613" s="10"/>
      <c r="V11613" s="10"/>
      <c r="W11613" s="10"/>
      <c r="X11613" s="10"/>
      <c r="Y11613" s="10"/>
      <c r="Z11613" s="10"/>
    </row>
    <row r="11614" spans="1:26" ht="12.75">
      <c r="A11614" s="10"/>
      <c r="B11614" s="10"/>
      <c r="C11614" s="10"/>
      <c r="D11614" s="10"/>
      <c r="E11614" s="10"/>
      <c r="F11614" s="10"/>
      <c r="G11614" s="10"/>
      <c r="H11614" s="10"/>
      <c r="I11614" s="10"/>
      <c r="J11614" s="10"/>
      <c r="K11614" s="10"/>
      <c r="L11614" s="10"/>
      <c r="M11614" s="10"/>
      <c r="N11614" s="10"/>
      <c r="O11614" s="10"/>
      <c r="P11614" s="10"/>
      <c r="Q11614" s="10"/>
      <c r="R11614" s="10"/>
      <c r="S11614" s="10"/>
      <c r="T11614" s="10"/>
      <c r="U11614" s="10"/>
      <c r="V11614" s="10"/>
      <c r="W11614" s="10"/>
      <c r="X11614" s="10"/>
      <c r="Y11614" s="10"/>
      <c r="Z11614" s="10"/>
    </row>
    <row r="11615" spans="1:26" ht="12.75">
      <c r="A11615" s="10"/>
      <c r="B11615" s="10"/>
      <c r="C11615" s="10"/>
      <c r="D11615" s="10"/>
      <c r="E11615" s="10"/>
      <c r="F11615" s="10"/>
      <c r="G11615" s="10"/>
      <c r="H11615" s="10"/>
      <c r="I11615" s="10"/>
      <c r="J11615" s="10"/>
      <c r="K11615" s="10"/>
      <c r="L11615" s="10"/>
      <c r="M11615" s="10"/>
      <c r="N11615" s="10"/>
      <c r="O11615" s="10"/>
      <c r="P11615" s="10"/>
      <c r="Q11615" s="10"/>
      <c r="R11615" s="10"/>
      <c r="S11615" s="10"/>
      <c r="T11615" s="10"/>
      <c r="U11615" s="10"/>
      <c r="V11615" s="10"/>
      <c r="W11615" s="10"/>
      <c r="X11615" s="10"/>
      <c r="Y11615" s="10"/>
      <c r="Z11615" s="10"/>
    </row>
    <row r="11616" spans="1:26" ht="12.75">
      <c r="A11616" s="10"/>
      <c r="B11616" s="10"/>
      <c r="C11616" s="10"/>
      <c r="D11616" s="10"/>
      <c r="E11616" s="10"/>
      <c r="F11616" s="10"/>
      <c r="G11616" s="10"/>
      <c r="H11616" s="10"/>
      <c r="I11616" s="10"/>
      <c r="J11616" s="10"/>
      <c r="K11616" s="10"/>
      <c r="L11616" s="10"/>
      <c r="M11616" s="10"/>
      <c r="N11616" s="10"/>
      <c r="O11616" s="10"/>
      <c r="P11616" s="10"/>
      <c r="Q11616" s="10"/>
      <c r="R11616" s="10"/>
      <c r="S11616" s="10"/>
      <c r="T11616" s="10"/>
      <c r="U11616" s="10"/>
      <c r="V11616" s="10"/>
      <c r="W11616" s="10"/>
      <c r="X11616" s="10"/>
      <c r="Y11616" s="10"/>
      <c r="Z11616" s="10"/>
    </row>
    <row r="11617" spans="1:26" ht="12.75">
      <c r="A11617" s="10"/>
      <c r="B11617" s="10"/>
      <c r="C11617" s="10"/>
      <c r="D11617" s="10"/>
      <c r="E11617" s="10"/>
      <c r="F11617" s="10"/>
      <c r="G11617" s="10"/>
      <c r="H11617" s="10"/>
      <c r="I11617" s="10"/>
      <c r="J11617" s="10"/>
      <c r="K11617" s="10"/>
      <c r="L11617" s="10"/>
      <c r="M11617" s="10"/>
      <c r="N11617" s="10"/>
      <c r="O11617" s="10"/>
      <c r="P11617" s="10"/>
      <c r="Q11617" s="10"/>
      <c r="R11617" s="10"/>
      <c r="S11617" s="10"/>
      <c r="T11617" s="10"/>
      <c r="U11617" s="10"/>
      <c r="V11617" s="10"/>
      <c r="W11617" s="10"/>
      <c r="X11617" s="10"/>
      <c r="Y11617" s="10"/>
      <c r="Z11617" s="10"/>
    </row>
    <row r="11618" spans="1:26" ht="12.75">
      <c r="A11618" s="10"/>
      <c r="B11618" s="10"/>
      <c r="C11618" s="10"/>
      <c r="D11618" s="10"/>
      <c r="E11618" s="10"/>
      <c r="F11618" s="10"/>
      <c r="G11618" s="10"/>
      <c r="H11618" s="10"/>
      <c r="I11618" s="10"/>
      <c r="J11618" s="10"/>
      <c r="K11618" s="10"/>
      <c r="L11618" s="10"/>
      <c r="M11618" s="10"/>
      <c r="N11618" s="10"/>
      <c r="O11618" s="10"/>
      <c r="P11618" s="10"/>
      <c r="Q11618" s="10"/>
      <c r="R11618" s="10"/>
      <c r="S11618" s="10"/>
      <c r="T11618" s="10"/>
      <c r="U11618" s="10"/>
      <c r="V11618" s="10"/>
      <c r="W11618" s="10"/>
      <c r="X11618" s="10"/>
      <c r="Y11618" s="10"/>
      <c r="Z11618" s="10"/>
    </row>
    <row r="11619" spans="1:26" ht="12.75">
      <c r="A11619" s="10"/>
      <c r="B11619" s="10"/>
      <c r="C11619" s="10"/>
      <c r="D11619" s="10"/>
      <c r="E11619" s="10"/>
      <c r="F11619" s="10"/>
      <c r="G11619" s="10"/>
      <c r="H11619" s="10"/>
      <c r="I11619" s="10"/>
      <c r="J11619" s="10"/>
      <c r="K11619" s="10"/>
      <c r="L11619" s="10"/>
      <c r="M11619" s="10"/>
      <c r="N11619" s="10"/>
      <c r="O11619" s="10"/>
      <c r="P11619" s="10"/>
      <c r="Q11619" s="10"/>
      <c r="R11619" s="10"/>
      <c r="S11619" s="10"/>
      <c r="T11619" s="10"/>
      <c r="U11619" s="10"/>
      <c r="V11619" s="10"/>
      <c r="W11619" s="10"/>
      <c r="X11619" s="10"/>
      <c r="Y11619" s="10"/>
      <c r="Z11619" s="10"/>
    </row>
    <row r="11620" spans="1:26" ht="12.75">
      <c r="A11620" s="10"/>
      <c r="B11620" s="10"/>
      <c r="C11620" s="10"/>
      <c r="D11620" s="10"/>
      <c r="E11620" s="10"/>
      <c r="F11620" s="10"/>
      <c r="G11620" s="10"/>
      <c r="H11620" s="10"/>
      <c r="I11620" s="10"/>
      <c r="J11620" s="10"/>
      <c r="K11620" s="10"/>
      <c r="L11620" s="10"/>
      <c r="M11620" s="10"/>
      <c r="N11620" s="10"/>
      <c r="O11620" s="10"/>
      <c r="P11620" s="10"/>
      <c r="Q11620" s="10"/>
      <c r="R11620" s="10"/>
      <c r="S11620" s="10"/>
      <c r="T11620" s="10"/>
      <c r="U11620" s="10"/>
      <c r="V11620" s="10"/>
      <c r="W11620" s="10"/>
      <c r="X11620" s="10"/>
      <c r="Y11620" s="10"/>
      <c r="Z11620" s="10"/>
    </row>
    <row r="11621" spans="1:26" ht="12.75">
      <c r="A11621" s="10"/>
      <c r="B11621" s="10"/>
      <c r="C11621" s="10"/>
      <c r="D11621" s="10"/>
      <c r="E11621" s="10"/>
      <c r="F11621" s="10"/>
      <c r="G11621" s="10"/>
      <c r="H11621" s="10"/>
      <c r="I11621" s="10"/>
      <c r="J11621" s="10"/>
      <c r="K11621" s="10"/>
      <c r="L11621" s="10"/>
      <c r="M11621" s="10"/>
      <c r="N11621" s="10"/>
      <c r="O11621" s="10"/>
      <c r="P11621" s="10"/>
      <c r="Q11621" s="10"/>
      <c r="R11621" s="10"/>
      <c r="S11621" s="10"/>
      <c r="T11621" s="10"/>
      <c r="U11621" s="10"/>
      <c r="V11621" s="10"/>
      <c r="W11621" s="10"/>
      <c r="X11621" s="10"/>
      <c r="Y11621" s="10"/>
      <c r="Z11621" s="10"/>
    </row>
    <row r="11622" spans="1:26" ht="12.75">
      <c r="A11622" s="10"/>
      <c r="B11622" s="10"/>
      <c r="C11622" s="10"/>
      <c r="D11622" s="10"/>
      <c r="E11622" s="10"/>
      <c r="F11622" s="10"/>
      <c r="G11622" s="10"/>
      <c r="H11622" s="10"/>
      <c r="I11622" s="10"/>
      <c r="J11622" s="10"/>
      <c r="K11622" s="10"/>
      <c r="L11622" s="10"/>
      <c r="M11622" s="10"/>
      <c r="N11622" s="10"/>
      <c r="O11622" s="10"/>
      <c r="P11622" s="10"/>
      <c r="Q11622" s="10"/>
      <c r="R11622" s="10"/>
      <c r="S11622" s="10"/>
      <c r="T11622" s="10"/>
      <c r="U11622" s="10"/>
      <c r="V11622" s="10"/>
      <c r="W11622" s="10"/>
      <c r="X11622" s="10"/>
      <c r="Y11622" s="10"/>
      <c r="Z11622" s="10"/>
    </row>
    <row r="11623" spans="1:26" ht="12.75">
      <c r="A11623" s="10"/>
      <c r="B11623" s="10"/>
      <c r="C11623" s="10"/>
      <c r="D11623" s="10"/>
      <c r="E11623" s="10"/>
      <c r="F11623" s="10"/>
      <c r="G11623" s="10"/>
      <c r="H11623" s="10"/>
      <c r="I11623" s="10"/>
      <c r="J11623" s="10"/>
      <c r="K11623" s="10"/>
      <c r="L11623" s="10"/>
      <c r="M11623" s="10"/>
      <c r="N11623" s="10"/>
      <c r="O11623" s="10"/>
      <c r="P11623" s="10"/>
      <c r="Q11623" s="10"/>
      <c r="R11623" s="10"/>
      <c r="S11623" s="10"/>
      <c r="T11623" s="10"/>
      <c r="U11623" s="10"/>
      <c r="V11623" s="10"/>
      <c r="W11623" s="10"/>
      <c r="X11623" s="10"/>
      <c r="Y11623" s="10"/>
      <c r="Z11623" s="10"/>
    </row>
    <row r="11624" spans="1:26" ht="12.75">
      <c r="A11624" s="10"/>
      <c r="B11624" s="10"/>
      <c r="C11624" s="10"/>
      <c r="D11624" s="10"/>
      <c r="E11624" s="10"/>
      <c r="F11624" s="10"/>
      <c r="G11624" s="10"/>
      <c r="H11624" s="10"/>
      <c r="I11624" s="10"/>
      <c r="J11624" s="10"/>
      <c r="K11624" s="10"/>
      <c r="L11624" s="10"/>
      <c r="M11624" s="10"/>
      <c r="N11624" s="10"/>
      <c r="O11624" s="10"/>
      <c r="P11624" s="10"/>
      <c r="Q11624" s="10"/>
      <c r="R11624" s="10"/>
      <c r="S11624" s="10"/>
      <c r="T11624" s="10"/>
      <c r="U11624" s="10"/>
      <c r="V11624" s="10"/>
      <c r="W11624" s="10"/>
      <c r="X11624" s="10"/>
      <c r="Y11624" s="10"/>
      <c r="Z11624" s="10"/>
    </row>
    <row r="11625" spans="1:26" ht="12.75">
      <c r="A11625" s="10"/>
      <c r="B11625" s="10"/>
      <c r="C11625" s="10"/>
      <c r="D11625" s="10"/>
      <c r="E11625" s="10"/>
      <c r="F11625" s="10"/>
      <c r="G11625" s="10"/>
      <c r="H11625" s="10"/>
      <c r="I11625" s="10"/>
      <c r="J11625" s="10"/>
      <c r="K11625" s="10"/>
      <c r="L11625" s="10"/>
      <c r="M11625" s="10"/>
      <c r="N11625" s="10"/>
      <c r="O11625" s="10"/>
      <c r="P11625" s="10"/>
      <c r="Q11625" s="10"/>
      <c r="R11625" s="10"/>
      <c r="S11625" s="10"/>
      <c r="T11625" s="10"/>
      <c r="U11625" s="10"/>
      <c r="V11625" s="10"/>
      <c r="W11625" s="10"/>
      <c r="X11625" s="10"/>
      <c r="Y11625" s="10"/>
      <c r="Z11625" s="10"/>
    </row>
    <row r="11626" spans="1:26" ht="12.75">
      <c r="A11626" s="10"/>
      <c r="B11626" s="10"/>
      <c r="C11626" s="10"/>
      <c r="D11626" s="10"/>
      <c r="E11626" s="10"/>
      <c r="F11626" s="10"/>
      <c r="G11626" s="10"/>
      <c r="H11626" s="10"/>
      <c r="I11626" s="10"/>
      <c r="J11626" s="10"/>
      <c r="K11626" s="10"/>
      <c r="L11626" s="10"/>
      <c r="M11626" s="10"/>
      <c r="N11626" s="10"/>
      <c r="O11626" s="10"/>
      <c r="P11626" s="10"/>
      <c r="Q11626" s="10"/>
      <c r="R11626" s="10"/>
      <c r="S11626" s="10"/>
      <c r="T11626" s="10"/>
      <c r="U11626" s="10"/>
      <c r="V11626" s="10"/>
      <c r="W11626" s="10"/>
      <c r="X11626" s="10"/>
      <c r="Y11626" s="10"/>
      <c r="Z11626" s="10"/>
    </row>
    <row r="11627" spans="1:26" ht="12.75">
      <c r="A11627" s="10"/>
      <c r="B11627" s="10"/>
      <c r="C11627" s="10"/>
      <c r="D11627" s="10"/>
      <c r="E11627" s="10"/>
      <c r="F11627" s="10"/>
      <c r="G11627" s="10"/>
      <c r="H11627" s="10"/>
      <c r="I11627" s="10"/>
      <c r="J11627" s="10"/>
      <c r="K11627" s="10"/>
      <c r="L11627" s="10"/>
      <c r="M11627" s="10"/>
      <c r="N11627" s="10"/>
      <c r="O11627" s="10"/>
      <c r="P11627" s="10"/>
      <c r="Q11627" s="10"/>
      <c r="R11627" s="10"/>
      <c r="S11627" s="10"/>
      <c r="T11627" s="10"/>
      <c r="U11627" s="10"/>
      <c r="V11627" s="10"/>
      <c r="W11627" s="10"/>
      <c r="X11627" s="10"/>
      <c r="Y11627" s="10"/>
      <c r="Z11627" s="10"/>
    </row>
    <row r="11628" spans="1:26" ht="12.75">
      <c r="A11628" s="10"/>
      <c r="B11628" s="10"/>
      <c r="C11628" s="10"/>
      <c r="D11628" s="10"/>
      <c r="E11628" s="10"/>
      <c r="F11628" s="10"/>
      <c r="G11628" s="10"/>
      <c r="H11628" s="10"/>
      <c r="I11628" s="10"/>
      <c r="J11628" s="10"/>
      <c r="K11628" s="10"/>
      <c r="L11628" s="10"/>
      <c r="M11628" s="10"/>
      <c r="N11628" s="10"/>
      <c r="O11628" s="10"/>
      <c r="P11628" s="10"/>
      <c r="Q11628" s="10"/>
      <c r="R11628" s="10"/>
      <c r="S11628" s="10"/>
      <c r="T11628" s="10"/>
      <c r="U11628" s="10"/>
      <c r="V11628" s="10"/>
      <c r="W11628" s="10"/>
      <c r="X11628" s="10"/>
      <c r="Y11628" s="10"/>
      <c r="Z11628" s="10"/>
    </row>
    <row r="11629" spans="1:26" ht="12.75">
      <c r="A11629" s="10"/>
      <c r="B11629" s="10"/>
      <c r="C11629" s="10"/>
      <c r="D11629" s="10"/>
      <c r="E11629" s="10"/>
      <c r="F11629" s="10"/>
      <c r="G11629" s="10"/>
      <c r="H11629" s="10"/>
      <c r="I11629" s="10"/>
      <c r="J11629" s="10"/>
      <c r="K11629" s="10"/>
      <c r="L11629" s="10"/>
      <c r="M11629" s="10"/>
      <c r="N11629" s="10"/>
      <c r="O11629" s="10"/>
      <c r="P11629" s="10"/>
      <c r="Q11629" s="10"/>
      <c r="R11629" s="10"/>
      <c r="S11629" s="10"/>
      <c r="T11629" s="10"/>
      <c r="U11629" s="10"/>
      <c r="V11629" s="10"/>
      <c r="W11629" s="10"/>
      <c r="X11629" s="10"/>
      <c r="Y11629" s="10"/>
      <c r="Z11629" s="10"/>
    </row>
    <row r="11630" spans="1:26" ht="12.75">
      <c r="A11630" s="10"/>
      <c r="B11630" s="10"/>
      <c r="C11630" s="10"/>
      <c r="D11630" s="10"/>
      <c r="E11630" s="10"/>
      <c r="F11630" s="10"/>
      <c r="G11630" s="10"/>
      <c r="H11630" s="10"/>
      <c r="I11630" s="10"/>
      <c r="J11630" s="10"/>
      <c r="K11630" s="10"/>
      <c r="L11630" s="10"/>
      <c r="M11630" s="10"/>
      <c r="N11630" s="10"/>
      <c r="O11630" s="10"/>
      <c r="P11630" s="10"/>
      <c r="Q11630" s="10"/>
      <c r="R11630" s="10"/>
      <c r="S11630" s="10"/>
      <c r="T11630" s="10"/>
      <c r="U11630" s="10"/>
      <c r="V11630" s="10"/>
      <c r="W11630" s="10"/>
      <c r="X11630" s="10"/>
      <c r="Y11630" s="10"/>
      <c r="Z11630" s="10"/>
    </row>
    <row r="11631" spans="1:26" ht="12.75">
      <c r="A11631" s="10"/>
      <c r="B11631" s="10"/>
      <c r="C11631" s="10"/>
      <c r="D11631" s="10"/>
      <c r="E11631" s="10"/>
      <c r="F11631" s="10"/>
      <c r="G11631" s="10"/>
      <c r="H11631" s="10"/>
      <c r="I11631" s="10"/>
      <c r="J11631" s="10"/>
      <c r="K11631" s="10"/>
      <c r="L11631" s="10"/>
      <c r="M11631" s="10"/>
      <c r="N11631" s="10"/>
      <c r="O11631" s="10"/>
      <c r="P11631" s="10"/>
      <c r="Q11631" s="10"/>
      <c r="R11631" s="10"/>
      <c r="S11631" s="10"/>
      <c r="T11631" s="10"/>
      <c r="U11631" s="10"/>
      <c r="V11631" s="10"/>
      <c r="W11631" s="10"/>
      <c r="X11631" s="10"/>
      <c r="Y11631" s="10"/>
      <c r="Z11631" s="10"/>
    </row>
    <row r="11632" spans="1:26" ht="12.75">
      <c r="A11632" s="10"/>
      <c r="B11632" s="10"/>
      <c r="C11632" s="10"/>
      <c r="D11632" s="10"/>
      <c r="E11632" s="10"/>
      <c r="F11632" s="10"/>
      <c r="G11632" s="10"/>
      <c r="H11632" s="10"/>
      <c r="I11632" s="10"/>
      <c r="J11632" s="10"/>
      <c r="K11632" s="10"/>
      <c r="L11632" s="10"/>
      <c r="M11632" s="10"/>
      <c r="N11632" s="10"/>
      <c r="O11632" s="10"/>
      <c r="P11632" s="10"/>
      <c r="Q11632" s="10"/>
      <c r="R11632" s="10"/>
      <c r="S11632" s="10"/>
      <c r="T11632" s="10"/>
      <c r="U11632" s="10"/>
      <c r="V11632" s="10"/>
      <c r="W11632" s="10"/>
      <c r="X11632" s="10"/>
      <c r="Y11632" s="10"/>
      <c r="Z11632" s="10"/>
    </row>
    <row r="11633" spans="1:26" ht="12.75">
      <c r="A11633" s="10"/>
      <c r="B11633" s="10"/>
      <c r="C11633" s="10"/>
      <c r="D11633" s="10"/>
      <c r="E11633" s="10"/>
      <c r="F11633" s="10"/>
      <c r="G11633" s="10"/>
      <c r="H11633" s="10"/>
      <c r="I11633" s="10"/>
      <c r="J11633" s="10"/>
      <c r="K11633" s="10"/>
      <c r="L11633" s="10"/>
      <c r="M11633" s="10"/>
      <c r="N11633" s="10"/>
      <c r="O11633" s="10"/>
      <c r="P11633" s="10"/>
      <c r="Q11633" s="10"/>
      <c r="R11633" s="10"/>
      <c r="S11633" s="10"/>
      <c r="T11633" s="10"/>
      <c r="U11633" s="10"/>
      <c r="V11633" s="10"/>
      <c r="W11633" s="10"/>
      <c r="X11633" s="10"/>
      <c r="Y11633" s="10"/>
      <c r="Z11633" s="10"/>
    </row>
    <row r="11634" spans="1:26" ht="12.75">
      <c r="A11634" s="10"/>
      <c r="B11634" s="10"/>
      <c r="C11634" s="10"/>
      <c r="D11634" s="10"/>
      <c r="E11634" s="10"/>
      <c r="F11634" s="10"/>
      <c r="G11634" s="10"/>
      <c r="H11634" s="10"/>
      <c r="I11634" s="10"/>
      <c r="J11634" s="10"/>
      <c r="K11634" s="10"/>
      <c r="L11634" s="10"/>
      <c r="M11634" s="10"/>
      <c r="N11634" s="10"/>
      <c r="O11634" s="10"/>
      <c r="P11634" s="10"/>
      <c r="Q11634" s="10"/>
      <c r="R11634" s="10"/>
      <c r="S11634" s="10"/>
      <c r="T11634" s="10"/>
      <c r="U11634" s="10"/>
      <c r="V11634" s="10"/>
      <c r="W11634" s="10"/>
      <c r="X11634" s="10"/>
      <c r="Y11634" s="10"/>
      <c r="Z11634" s="10"/>
    </row>
    <row r="11635" spans="1:26" ht="12.75">
      <c r="A11635" s="10"/>
      <c r="B11635" s="10"/>
      <c r="C11635" s="10"/>
      <c r="D11635" s="10"/>
      <c r="E11635" s="10"/>
      <c r="F11635" s="10"/>
      <c r="G11635" s="10"/>
      <c r="H11635" s="10"/>
      <c r="I11635" s="10"/>
      <c r="J11635" s="10"/>
      <c r="K11635" s="10"/>
      <c r="L11635" s="10"/>
      <c r="M11635" s="10"/>
      <c r="N11635" s="10"/>
      <c r="O11635" s="10"/>
      <c r="P11635" s="10"/>
      <c r="Q11635" s="10"/>
      <c r="R11635" s="10"/>
      <c r="S11635" s="10"/>
      <c r="T11635" s="10"/>
      <c r="U11635" s="10"/>
      <c r="V11635" s="10"/>
      <c r="W11635" s="10"/>
      <c r="X11635" s="10"/>
      <c r="Y11635" s="10"/>
      <c r="Z11635" s="10"/>
    </row>
    <row r="11636" spans="1:26" ht="12.75">
      <c r="A11636" s="10"/>
      <c r="B11636" s="10"/>
      <c r="C11636" s="10"/>
      <c r="D11636" s="10"/>
      <c r="E11636" s="10"/>
      <c r="F11636" s="10"/>
      <c r="G11636" s="10"/>
      <c r="H11636" s="10"/>
      <c r="I11636" s="10"/>
      <c r="J11636" s="10"/>
      <c r="K11636" s="10"/>
      <c r="L11636" s="10"/>
      <c r="M11636" s="10"/>
      <c r="N11636" s="10"/>
      <c r="O11636" s="10"/>
      <c r="P11636" s="10"/>
      <c r="Q11636" s="10"/>
      <c r="R11636" s="10"/>
      <c r="S11636" s="10"/>
      <c r="T11636" s="10"/>
      <c r="U11636" s="10"/>
      <c r="V11636" s="10"/>
      <c r="W11636" s="10"/>
      <c r="X11636" s="10"/>
      <c r="Y11636" s="10"/>
      <c r="Z11636" s="10"/>
    </row>
    <row r="11637" spans="1:26" ht="12.75">
      <c r="A11637" s="10"/>
      <c r="B11637" s="10"/>
      <c r="C11637" s="10"/>
      <c r="D11637" s="10"/>
      <c r="E11637" s="10"/>
      <c r="F11637" s="10"/>
      <c r="G11637" s="10"/>
      <c r="H11637" s="10"/>
      <c r="I11637" s="10"/>
      <c r="J11637" s="10"/>
      <c r="K11637" s="10"/>
      <c r="L11637" s="10"/>
      <c r="M11637" s="10"/>
      <c r="N11637" s="10"/>
      <c r="O11637" s="10"/>
      <c r="P11637" s="10"/>
      <c r="Q11637" s="10"/>
      <c r="R11637" s="10"/>
      <c r="S11637" s="10"/>
      <c r="T11637" s="10"/>
      <c r="U11637" s="10"/>
      <c r="V11637" s="10"/>
      <c r="W11637" s="10"/>
      <c r="X11637" s="10"/>
      <c r="Y11637" s="10"/>
      <c r="Z11637" s="10"/>
    </row>
    <row r="11638" spans="1:26" ht="12.75">
      <c r="A11638" s="10"/>
      <c r="B11638" s="10"/>
      <c r="C11638" s="10"/>
      <c r="D11638" s="10"/>
      <c r="E11638" s="10"/>
      <c r="F11638" s="10"/>
      <c r="G11638" s="10"/>
      <c r="H11638" s="10"/>
      <c r="I11638" s="10"/>
      <c r="J11638" s="10"/>
      <c r="K11638" s="10"/>
      <c r="L11638" s="10"/>
      <c r="M11638" s="10"/>
      <c r="N11638" s="10"/>
      <c r="O11638" s="10"/>
      <c r="P11638" s="10"/>
      <c r="Q11638" s="10"/>
      <c r="R11638" s="10"/>
      <c r="S11638" s="10"/>
      <c r="T11638" s="10"/>
      <c r="U11638" s="10"/>
      <c r="V11638" s="10"/>
      <c r="W11638" s="10"/>
      <c r="X11638" s="10"/>
      <c r="Y11638" s="10"/>
      <c r="Z11638" s="10"/>
    </row>
    <row r="11639" spans="1:26" ht="12.75">
      <c r="A11639" s="10"/>
      <c r="B11639" s="10"/>
      <c r="C11639" s="10"/>
      <c r="D11639" s="10"/>
      <c r="E11639" s="10"/>
      <c r="F11639" s="10"/>
      <c r="G11639" s="10"/>
      <c r="H11639" s="10"/>
      <c r="I11639" s="10"/>
      <c r="J11639" s="10"/>
      <c r="K11639" s="10"/>
      <c r="L11639" s="10"/>
      <c r="M11639" s="10"/>
      <c r="N11639" s="10"/>
      <c r="O11639" s="10"/>
      <c r="P11639" s="10"/>
      <c r="Q11639" s="10"/>
      <c r="R11639" s="10"/>
      <c r="S11639" s="10"/>
      <c r="T11639" s="10"/>
      <c r="U11639" s="10"/>
      <c r="V11639" s="10"/>
      <c r="W11639" s="10"/>
      <c r="X11639" s="10"/>
      <c r="Y11639" s="10"/>
      <c r="Z11639" s="10"/>
    </row>
    <row r="11640" spans="1:26" ht="12.75">
      <c r="A11640" s="10"/>
      <c r="B11640" s="10"/>
      <c r="C11640" s="10"/>
      <c r="D11640" s="10"/>
      <c r="E11640" s="10"/>
      <c r="F11640" s="10"/>
      <c r="G11640" s="10"/>
      <c r="H11640" s="10"/>
      <c r="I11640" s="10"/>
      <c r="J11640" s="10"/>
      <c r="K11640" s="10"/>
      <c r="L11640" s="10"/>
      <c r="M11640" s="10"/>
      <c r="N11640" s="10"/>
      <c r="O11640" s="10"/>
      <c r="P11640" s="10"/>
      <c r="Q11640" s="10"/>
      <c r="R11640" s="10"/>
      <c r="S11640" s="10"/>
      <c r="T11640" s="10"/>
      <c r="U11640" s="10"/>
      <c r="V11640" s="10"/>
      <c r="W11640" s="10"/>
      <c r="X11640" s="10"/>
      <c r="Y11640" s="10"/>
      <c r="Z11640" s="10"/>
    </row>
    <row r="11641" spans="1:26" ht="12.75">
      <c r="A11641" s="10"/>
      <c r="B11641" s="10"/>
      <c r="C11641" s="10"/>
      <c r="D11641" s="10"/>
      <c r="E11641" s="10"/>
      <c r="F11641" s="10"/>
      <c r="G11641" s="10"/>
      <c r="H11641" s="10"/>
      <c r="I11641" s="10"/>
      <c r="J11641" s="10"/>
      <c r="K11641" s="10"/>
      <c r="L11641" s="10"/>
      <c r="M11641" s="10"/>
      <c r="N11641" s="10"/>
      <c r="O11641" s="10"/>
      <c r="P11641" s="10"/>
      <c r="Q11641" s="10"/>
      <c r="R11641" s="10"/>
      <c r="S11641" s="10"/>
      <c r="T11641" s="10"/>
      <c r="U11641" s="10"/>
      <c r="V11641" s="10"/>
      <c r="W11641" s="10"/>
      <c r="X11641" s="10"/>
      <c r="Y11641" s="10"/>
      <c r="Z11641" s="10"/>
    </row>
    <row r="11642" spans="1:26" ht="12.75">
      <c r="A11642" s="10"/>
      <c r="B11642" s="10"/>
      <c r="C11642" s="10"/>
      <c r="D11642" s="10"/>
      <c r="E11642" s="10"/>
      <c r="F11642" s="10"/>
      <c r="G11642" s="10"/>
      <c r="H11642" s="10"/>
      <c r="I11642" s="10"/>
      <c r="J11642" s="10"/>
      <c r="K11642" s="10"/>
      <c r="L11642" s="10"/>
      <c r="M11642" s="10"/>
      <c r="N11642" s="10"/>
      <c r="O11642" s="10"/>
      <c r="P11642" s="10"/>
      <c r="Q11642" s="10"/>
      <c r="R11642" s="10"/>
      <c r="S11642" s="10"/>
      <c r="T11642" s="10"/>
      <c r="U11642" s="10"/>
      <c r="V11642" s="10"/>
      <c r="W11642" s="10"/>
      <c r="X11642" s="10"/>
      <c r="Y11642" s="10"/>
      <c r="Z11642" s="10"/>
    </row>
    <row r="11643" spans="1:26" ht="12.75">
      <c r="A11643" s="10"/>
      <c r="B11643" s="10"/>
      <c r="C11643" s="10"/>
      <c r="D11643" s="10"/>
      <c r="E11643" s="10"/>
      <c r="F11643" s="10"/>
      <c r="G11643" s="10"/>
      <c r="H11643" s="10"/>
      <c r="I11643" s="10"/>
      <c r="J11643" s="10"/>
      <c r="K11643" s="10"/>
      <c r="L11643" s="10"/>
      <c r="M11643" s="10"/>
      <c r="N11643" s="10"/>
      <c r="O11643" s="10"/>
      <c r="P11643" s="10"/>
      <c r="Q11643" s="10"/>
      <c r="R11643" s="10"/>
      <c r="S11643" s="10"/>
      <c r="T11643" s="10"/>
      <c r="U11643" s="10"/>
      <c r="V11643" s="10"/>
      <c r="W11643" s="10"/>
      <c r="X11643" s="10"/>
      <c r="Y11643" s="10"/>
      <c r="Z11643" s="10"/>
    </row>
    <row r="11644" spans="1:26" ht="12.75">
      <c r="A11644" s="10"/>
      <c r="B11644" s="10"/>
      <c r="C11644" s="10"/>
      <c r="D11644" s="10"/>
      <c r="E11644" s="10"/>
      <c r="F11644" s="10"/>
      <c r="G11644" s="10"/>
      <c r="H11644" s="10"/>
      <c r="I11644" s="10"/>
      <c r="J11644" s="10"/>
      <c r="K11644" s="10"/>
      <c r="L11644" s="10"/>
      <c r="M11644" s="10"/>
      <c r="N11644" s="10"/>
      <c r="O11644" s="10"/>
      <c r="P11644" s="10"/>
      <c r="Q11644" s="10"/>
      <c r="R11644" s="10"/>
      <c r="S11644" s="10"/>
      <c r="T11644" s="10"/>
      <c r="U11644" s="10"/>
      <c r="V11644" s="10"/>
      <c r="W11644" s="10"/>
      <c r="X11644" s="10"/>
      <c r="Y11644" s="10"/>
      <c r="Z11644" s="10"/>
    </row>
    <row r="11645" spans="1:26" ht="12.75">
      <c r="A11645" s="10"/>
      <c r="B11645" s="10"/>
      <c r="C11645" s="10"/>
      <c r="D11645" s="10"/>
      <c r="E11645" s="10"/>
      <c r="F11645" s="10"/>
      <c r="G11645" s="10"/>
      <c r="H11645" s="10"/>
      <c r="I11645" s="10"/>
      <c r="J11645" s="10"/>
      <c r="K11645" s="10"/>
      <c r="L11645" s="10"/>
      <c r="M11645" s="10"/>
      <c r="N11645" s="10"/>
      <c r="O11645" s="10"/>
      <c r="P11645" s="10"/>
      <c r="Q11645" s="10"/>
      <c r="R11645" s="10"/>
      <c r="S11645" s="10"/>
      <c r="T11645" s="10"/>
      <c r="U11645" s="10"/>
      <c r="V11645" s="10"/>
      <c r="W11645" s="10"/>
      <c r="X11645" s="10"/>
      <c r="Y11645" s="10"/>
      <c r="Z11645" s="10"/>
    </row>
    <row r="11646" spans="1:26" ht="12.75">
      <c r="A11646" s="10"/>
      <c r="B11646" s="10"/>
      <c r="C11646" s="10"/>
      <c r="D11646" s="10"/>
      <c r="E11646" s="10"/>
      <c r="F11646" s="10"/>
      <c r="G11646" s="10"/>
      <c r="H11646" s="10"/>
      <c r="I11646" s="10"/>
      <c r="J11646" s="10"/>
      <c r="K11646" s="10"/>
      <c r="L11646" s="10"/>
      <c r="M11646" s="10"/>
      <c r="N11646" s="10"/>
      <c r="O11646" s="10"/>
      <c r="P11646" s="10"/>
      <c r="Q11646" s="10"/>
      <c r="R11646" s="10"/>
      <c r="S11646" s="10"/>
      <c r="T11646" s="10"/>
      <c r="U11646" s="10"/>
      <c r="V11646" s="10"/>
      <c r="W11646" s="10"/>
      <c r="X11646" s="10"/>
      <c r="Y11646" s="10"/>
      <c r="Z11646" s="10"/>
    </row>
    <row r="11647" spans="1:26" ht="12.75">
      <c r="A11647" s="10"/>
      <c r="B11647" s="10"/>
      <c r="C11647" s="10"/>
      <c r="D11647" s="10"/>
      <c r="E11647" s="10"/>
      <c r="F11647" s="10"/>
      <c r="G11647" s="10"/>
      <c r="H11647" s="10"/>
      <c r="I11647" s="10"/>
      <c r="J11647" s="10"/>
      <c r="K11647" s="10"/>
      <c r="L11647" s="10"/>
      <c r="M11647" s="10"/>
      <c r="N11647" s="10"/>
      <c r="O11647" s="10"/>
      <c r="P11647" s="10"/>
      <c r="Q11647" s="10"/>
      <c r="R11647" s="10"/>
      <c r="S11647" s="10"/>
      <c r="T11647" s="10"/>
      <c r="U11647" s="10"/>
      <c r="V11647" s="10"/>
      <c r="W11647" s="10"/>
      <c r="X11647" s="10"/>
      <c r="Y11647" s="10"/>
      <c r="Z11647" s="10"/>
    </row>
    <row r="11648" spans="1:26" ht="12.75">
      <c r="A11648" s="10"/>
      <c r="B11648" s="10"/>
      <c r="C11648" s="10"/>
      <c r="D11648" s="10"/>
      <c r="E11648" s="10"/>
      <c r="F11648" s="10"/>
      <c r="G11648" s="10"/>
      <c r="H11648" s="10"/>
      <c r="I11648" s="10"/>
      <c r="J11648" s="10"/>
      <c r="K11648" s="10"/>
      <c r="L11648" s="10"/>
      <c r="M11648" s="10"/>
      <c r="N11648" s="10"/>
      <c r="O11648" s="10"/>
      <c r="P11648" s="10"/>
      <c r="Q11648" s="10"/>
      <c r="R11648" s="10"/>
      <c r="S11648" s="10"/>
      <c r="T11648" s="10"/>
      <c r="U11648" s="10"/>
      <c r="V11648" s="10"/>
      <c r="W11648" s="10"/>
      <c r="X11648" s="10"/>
      <c r="Y11648" s="10"/>
      <c r="Z11648" s="10"/>
    </row>
    <row r="11649" spans="1:26" ht="12.75">
      <c r="A11649" s="10"/>
      <c r="B11649" s="10"/>
      <c r="C11649" s="10"/>
      <c r="D11649" s="10"/>
      <c r="E11649" s="10"/>
      <c r="F11649" s="10"/>
      <c r="G11649" s="10"/>
      <c r="H11649" s="10"/>
      <c r="I11649" s="10"/>
      <c r="J11649" s="10"/>
      <c r="K11649" s="10"/>
      <c r="L11649" s="10"/>
      <c r="M11649" s="10"/>
      <c r="N11649" s="10"/>
      <c r="O11649" s="10"/>
      <c r="P11649" s="10"/>
      <c r="Q11649" s="10"/>
      <c r="R11649" s="10"/>
      <c r="S11649" s="10"/>
      <c r="T11649" s="10"/>
      <c r="U11649" s="10"/>
      <c r="V11649" s="10"/>
      <c r="W11649" s="10"/>
      <c r="X11649" s="10"/>
      <c r="Y11649" s="10"/>
      <c r="Z11649" s="10"/>
    </row>
    <row r="11650" spans="1:26" ht="12.75">
      <c r="A11650" s="10"/>
      <c r="B11650" s="10"/>
      <c r="C11650" s="10"/>
      <c r="D11650" s="10"/>
      <c r="E11650" s="10"/>
      <c r="F11650" s="10"/>
      <c r="G11650" s="10"/>
      <c r="H11650" s="10"/>
      <c r="I11650" s="10"/>
      <c r="J11650" s="10"/>
      <c r="K11650" s="10"/>
      <c r="L11650" s="10"/>
      <c r="M11650" s="10"/>
      <c r="N11650" s="10"/>
      <c r="O11650" s="10"/>
      <c r="P11650" s="10"/>
      <c r="Q11650" s="10"/>
      <c r="R11650" s="10"/>
      <c r="S11650" s="10"/>
      <c r="T11650" s="10"/>
      <c r="U11650" s="10"/>
      <c r="V11650" s="10"/>
      <c r="W11650" s="10"/>
      <c r="X11650" s="10"/>
      <c r="Y11650" s="10"/>
      <c r="Z11650" s="10"/>
    </row>
    <row r="11651" spans="1:26" ht="12.75">
      <c r="A11651" s="10"/>
      <c r="B11651" s="10"/>
      <c r="C11651" s="10"/>
      <c r="D11651" s="10"/>
      <c r="E11651" s="10"/>
      <c r="F11651" s="10"/>
      <c r="G11651" s="10"/>
      <c r="H11651" s="10"/>
      <c r="I11651" s="10"/>
      <c r="J11651" s="10"/>
      <c r="K11651" s="10"/>
      <c r="L11651" s="10"/>
      <c r="M11651" s="10"/>
      <c r="N11651" s="10"/>
      <c r="O11651" s="10"/>
      <c r="P11651" s="10"/>
      <c r="Q11651" s="10"/>
      <c r="R11651" s="10"/>
      <c r="S11651" s="10"/>
      <c r="T11651" s="10"/>
      <c r="U11651" s="10"/>
      <c r="V11651" s="10"/>
      <c r="W11651" s="10"/>
      <c r="X11651" s="10"/>
      <c r="Y11651" s="10"/>
      <c r="Z11651" s="10"/>
    </row>
    <row r="11652" spans="1:26" ht="12.75">
      <c r="A11652" s="10"/>
      <c r="B11652" s="10"/>
      <c r="C11652" s="10"/>
      <c r="D11652" s="10"/>
      <c r="E11652" s="10"/>
      <c r="F11652" s="10"/>
      <c r="G11652" s="10"/>
      <c r="H11652" s="10"/>
      <c r="I11652" s="10"/>
      <c r="J11652" s="10"/>
      <c r="K11652" s="10"/>
      <c r="L11652" s="10"/>
      <c r="M11652" s="10"/>
      <c r="N11652" s="10"/>
      <c r="O11652" s="10"/>
      <c r="P11652" s="10"/>
      <c r="Q11652" s="10"/>
      <c r="R11652" s="10"/>
      <c r="S11652" s="10"/>
      <c r="T11652" s="10"/>
      <c r="U11652" s="10"/>
      <c r="V11652" s="10"/>
      <c r="W11652" s="10"/>
      <c r="X11652" s="10"/>
      <c r="Y11652" s="10"/>
      <c r="Z11652" s="10"/>
    </row>
    <row r="11653" spans="1:26" ht="12.75">
      <c r="A11653" s="10"/>
      <c r="B11653" s="10"/>
      <c r="C11653" s="10"/>
      <c r="D11653" s="10"/>
      <c r="E11653" s="10"/>
      <c r="F11653" s="10"/>
      <c r="G11653" s="10"/>
      <c r="H11653" s="10"/>
      <c r="I11653" s="10"/>
      <c r="J11653" s="10"/>
      <c r="K11653" s="10"/>
      <c r="L11653" s="10"/>
      <c r="M11653" s="10"/>
      <c r="N11653" s="10"/>
      <c r="O11653" s="10"/>
      <c r="P11653" s="10"/>
      <c r="Q11653" s="10"/>
      <c r="R11653" s="10"/>
      <c r="S11653" s="10"/>
      <c r="T11653" s="10"/>
      <c r="U11653" s="10"/>
      <c r="V11653" s="10"/>
      <c r="W11653" s="10"/>
      <c r="X11653" s="10"/>
      <c r="Y11653" s="10"/>
      <c r="Z11653" s="10"/>
    </row>
    <row r="11654" spans="1:26" ht="12.75">
      <c r="A11654" s="10"/>
      <c r="B11654" s="10"/>
      <c r="C11654" s="10"/>
      <c r="D11654" s="10"/>
      <c r="E11654" s="10"/>
      <c r="F11654" s="10"/>
      <c r="G11654" s="10"/>
      <c r="H11654" s="10"/>
      <c r="I11654" s="10"/>
      <c r="J11654" s="10"/>
      <c r="K11654" s="10"/>
      <c r="L11654" s="10"/>
      <c r="M11654" s="10"/>
      <c r="N11654" s="10"/>
      <c r="O11654" s="10"/>
      <c r="P11654" s="10"/>
      <c r="Q11654" s="10"/>
      <c r="R11654" s="10"/>
      <c r="S11654" s="10"/>
      <c r="T11654" s="10"/>
      <c r="U11654" s="10"/>
      <c r="V11654" s="10"/>
      <c r="W11654" s="10"/>
      <c r="X11654" s="10"/>
      <c r="Y11654" s="10"/>
      <c r="Z11654" s="10"/>
    </row>
    <row r="11655" spans="1:26" ht="12.75">
      <c r="A11655" s="10"/>
      <c r="B11655" s="10"/>
      <c r="C11655" s="10"/>
      <c r="D11655" s="10"/>
      <c r="E11655" s="10"/>
      <c r="F11655" s="10"/>
      <c r="G11655" s="10"/>
      <c r="H11655" s="10"/>
      <c r="I11655" s="10"/>
      <c r="J11655" s="10"/>
      <c r="K11655" s="10"/>
      <c r="L11655" s="10"/>
      <c r="M11655" s="10"/>
      <c r="N11655" s="10"/>
      <c r="O11655" s="10"/>
      <c r="P11655" s="10"/>
      <c r="Q11655" s="10"/>
      <c r="R11655" s="10"/>
      <c r="S11655" s="10"/>
      <c r="T11655" s="10"/>
      <c r="U11655" s="10"/>
      <c r="V11655" s="10"/>
      <c r="W11655" s="10"/>
      <c r="X11655" s="10"/>
      <c r="Y11655" s="10"/>
      <c r="Z11655" s="10"/>
    </row>
    <row r="11656" spans="1:26" ht="12.75">
      <c r="A11656" s="10"/>
      <c r="B11656" s="10"/>
      <c r="C11656" s="10"/>
      <c r="D11656" s="10"/>
      <c r="E11656" s="10"/>
      <c r="F11656" s="10"/>
      <c r="G11656" s="10"/>
      <c r="H11656" s="10"/>
      <c r="I11656" s="10"/>
      <c r="J11656" s="10"/>
      <c r="K11656" s="10"/>
      <c r="L11656" s="10"/>
      <c r="M11656" s="10"/>
      <c r="N11656" s="10"/>
      <c r="O11656" s="10"/>
      <c r="P11656" s="10"/>
      <c r="Q11656" s="10"/>
      <c r="R11656" s="10"/>
      <c r="S11656" s="10"/>
      <c r="T11656" s="10"/>
      <c r="U11656" s="10"/>
      <c r="V11656" s="10"/>
      <c r="W11656" s="10"/>
      <c r="X11656" s="10"/>
      <c r="Y11656" s="10"/>
      <c r="Z11656" s="10"/>
    </row>
    <row r="11657" spans="1:26" ht="12.75">
      <c r="A11657" s="10"/>
      <c r="B11657" s="10"/>
      <c r="C11657" s="10"/>
      <c r="D11657" s="10"/>
      <c r="E11657" s="10"/>
      <c r="F11657" s="10"/>
      <c r="G11657" s="10"/>
      <c r="H11657" s="10"/>
      <c r="I11657" s="10"/>
      <c r="J11657" s="10"/>
      <c r="K11657" s="10"/>
      <c r="L11657" s="10"/>
      <c r="M11657" s="10"/>
      <c r="N11657" s="10"/>
      <c r="O11657" s="10"/>
      <c r="P11657" s="10"/>
      <c r="Q11657" s="10"/>
      <c r="R11657" s="10"/>
      <c r="S11657" s="10"/>
      <c r="T11657" s="10"/>
      <c r="U11657" s="10"/>
      <c r="V11657" s="10"/>
      <c r="W11657" s="10"/>
      <c r="X11657" s="10"/>
      <c r="Y11657" s="10"/>
      <c r="Z11657" s="10"/>
    </row>
    <row r="11658" spans="1:26" ht="12.75">
      <c r="A11658" s="10"/>
      <c r="B11658" s="10"/>
      <c r="C11658" s="10"/>
      <c r="D11658" s="10"/>
      <c r="E11658" s="10"/>
      <c r="F11658" s="10"/>
      <c r="G11658" s="10"/>
      <c r="H11658" s="10"/>
      <c r="I11658" s="10"/>
      <c r="J11658" s="10"/>
      <c r="K11658" s="10"/>
      <c r="L11658" s="10"/>
      <c r="M11658" s="10"/>
      <c r="N11658" s="10"/>
      <c r="O11658" s="10"/>
      <c r="P11658" s="10"/>
      <c r="Q11658" s="10"/>
      <c r="R11658" s="10"/>
      <c r="S11658" s="10"/>
      <c r="T11658" s="10"/>
      <c r="U11658" s="10"/>
      <c r="V11658" s="10"/>
      <c r="W11658" s="10"/>
      <c r="X11658" s="10"/>
      <c r="Y11658" s="10"/>
      <c r="Z11658" s="10"/>
    </row>
    <row r="11659" spans="1:26" ht="12.75">
      <c r="A11659" s="10"/>
      <c r="B11659" s="10"/>
      <c r="C11659" s="10"/>
      <c r="D11659" s="10"/>
      <c r="E11659" s="10"/>
      <c r="F11659" s="10"/>
      <c r="G11659" s="10"/>
      <c r="H11659" s="10"/>
      <c r="I11659" s="10"/>
      <c r="J11659" s="10"/>
      <c r="K11659" s="10"/>
      <c r="L11659" s="10"/>
      <c r="M11659" s="10"/>
      <c r="N11659" s="10"/>
      <c r="O11659" s="10"/>
      <c r="P11659" s="10"/>
      <c r="Q11659" s="10"/>
      <c r="R11659" s="10"/>
      <c r="S11659" s="10"/>
      <c r="T11659" s="10"/>
      <c r="U11659" s="10"/>
      <c r="V11659" s="10"/>
      <c r="W11659" s="10"/>
      <c r="X11659" s="10"/>
      <c r="Y11659" s="10"/>
      <c r="Z11659" s="10"/>
    </row>
    <row r="11660" spans="1:26" ht="12.75">
      <c r="A11660" s="10"/>
      <c r="B11660" s="10"/>
      <c r="C11660" s="10"/>
      <c r="D11660" s="10"/>
      <c r="E11660" s="10"/>
      <c r="F11660" s="10"/>
      <c r="G11660" s="10"/>
      <c r="H11660" s="10"/>
      <c r="I11660" s="10"/>
      <c r="J11660" s="10"/>
      <c r="K11660" s="10"/>
      <c r="L11660" s="10"/>
      <c r="M11660" s="10"/>
      <c r="N11660" s="10"/>
      <c r="O11660" s="10"/>
      <c r="P11660" s="10"/>
      <c r="Q11660" s="10"/>
      <c r="R11660" s="10"/>
      <c r="S11660" s="10"/>
      <c r="T11660" s="10"/>
      <c r="U11660" s="10"/>
      <c r="V11660" s="10"/>
      <c r="W11660" s="10"/>
      <c r="X11660" s="10"/>
      <c r="Y11660" s="10"/>
      <c r="Z11660" s="10"/>
    </row>
    <row r="11661" spans="1:26" ht="12.75">
      <c r="A11661" s="10"/>
      <c r="B11661" s="10"/>
      <c r="C11661" s="10"/>
      <c r="D11661" s="10"/>
      <c r="E11661" s="10"/>
      <c r="F11661" s="10"/>
      <c r="G11661" s="10"/>
      <c r="H11661" s="10"/>
      <c r="I11661" s="10"/>
      <c r="J11661" s="10"/>
      <c r="K11661" s="10"/>
      <c r="L11661" s="10"/>
      <c r="M11661" s="10"/>
      <c r="N11661" s="10"/>
      <c r="O11661" s="10"/>
      <c r="P11661" s="10"/>
      <c r="Q11661" s="10"/>
      <c r="R11661" s="10"/>
      <c r="S11661" s="10"/>
      <c r="T11661" s="10"/>
      <c r="U11661" s="10"/>
      <c r="V11661" s="10"/>
      <c r="W11661" s="10"/>
      <c r="X11661" s="10"/>
      <c r="Y11661" s="10"/>
      <c r="Z11661" s="10"/>
    </row>
    <row r="11662" spans="1:26" ht="12.75">
      <c r="A11662" s="10"/>
      <c r="B11662" s="10"/>
      <c r="C11662" s="10"/>
      <c r="D11662" s="10"/>
      <c r="E11662" s="10"/>
      <c r="F11662" s="10"/>
      <c r="G11662" s="10"/>
      <c r="H11662" s="10"/>
      <c r="I11662" s="10"/>
      <c r="J11662" s="10"/>
      <c r="K11662" s="10"/>
      <c r="L11662" s="10"/>
      <c r="M11662" s="10"/>
      <c r="N11662" s="10"/>
      <c r="O11662" s="10"/>
      <c r="P11662" s="10"/>
      <c r="Q11662" s="10"/>
      <c r="R11662" s="10"/>
      <c r="S11662" s="10"/>
      <c r="T11662" s="10"/>
      <c r="U11662" s="10"/>
      <c r="V11662" s="10"/>
      <c r="W11662" s="10"/>
      <c r="X11662" s="10"/>
      <c r="Y11662" s="10"/>
      <c r="Z11662" s="10"/>
    </row>
    <row r="11663" spans="1:26" ht="12.75">
      <c r="A11663" s="10"/>
      <c r="B11663" s="10"/>
      <c r="C11663" s="10"/>
      <c r="D11663" s="10"/>
      <c r="E11663" s="10"/>
      <c r="F11663" s="10"/>
      <c r="G11663" s="10"/>
      <c r="H11663" s="10"/>
      <c r="I11663" s="10"/>
      <c r="J11663" s="10"/>
      <c r="K11663" s="10"/>
      <c r="L11663" s="10"/>
      <c r="M11663" s="10"/>
      <c r="N11663" s="10"/>
      <c r="O11663" s="10"/>
      <c r="P11663" s="10"/>
      <c r="Q11663" s="10"/>
      <c r="R11663" s="10"/>
      <c r="S11663" s="10"/>
      <c r="T11663" s="10"/>
      <c r="U11663" s="10"/>
      <c r="V11663" s="10"/>
      <c r="W11663" s="10"/>
      <c r="X11663" s="10"/>
      <c r="Y11663" s="10"/>
      <c r="Z11663" s="10"/>
    </row>
    <row r="11664" spans="1:26" ht="12.75">
      <c r="A11664" s="10"/>
      <c r="B11664" s="10"/>
      <c r="C11664" s="10"/>
      <c r="D11664" s="10"/>
      <c r="E11664" s="10"/>
      <c r="F11664" s="10"/>
      <c r="G11664" s="10"/>
      <c r="H11664" s="10"/>
      <c r="I11664" s="10"/>
      <c r="J11664" s="10"/>
      <c r="K11664" s="10"/>
      <c r="L11664" s="10"/>
      <c r="M11664" s="10"/>
      <c r="N11664" s="10"/>
      <c r="O11664" s="10"/>
      <c r="P11664" s="10"/>
      <c r="Q11664" s="10"/>
      <c r="R11664" s="10"/>
      <c r="S11664" s="10"/>
      <c r="T11664" s="10"/>
      <c r="U11664" s="10"/>
      <c r="V11664" s="10"/>
      <c r="W11664" s="10"/>
      <c r="X11664" s="10"/>
      <c r="Y11664" s="10"/>
      <c r="Z11664" s="10"/>
    </row>
    <row r="11665" spans="1:26" ht="12.75">
      <c r="A11665" s="10"/>
      <c r="B11665" s="10"/>
      <c r="C11665" s="10"/>
      <c r="D11665" s="10"/>
      <c r="E11665" s="10"/>
      <c r="F11665" s="10"/>
      <c r="G11665" s="10"/>
      <c r="H11665" s="10"/>
      <c r="I11665" s="10"/>
      <c r="J11665" s="10"/>
      <c r="K11665" s="10"/>
      <c r="L11665" s="10"/>
      <c r="M11665" s="10"/>
      <c r="N11665" s="10"/>
      <c r="O11665" s="10"/>
      <c r="P11665" s="10"/>
      <c r="Q11665" s="10"/>
      <c r="R11665" s="10"/>
      <c r="S11665" s="10"/>
      <c r="T11665" s="10"/>
      <c r="U11665" s="10"/>
      <c r="V11665" s="10"/>
      <c r="W11665" s="10"/>
      <c r="X11665" s="10"/>
      <c r="Y11665" s="10"/>
      <c r="Z11665" s="10"/>
    </row>
    <row r="11666" spans="1:26" ht="12.75">
      <c r="A11666" s="10"/>
      <c r="B11666" s="10"/>
      <c r="C11666" s="10"/>
      <c r="D11666" s="10"/>
      <c r="E11666" s="10"/>
      <c r="F11666" s="10"/>
      <c r="G11666" s="10"/>
      <c r="H11666" s="10"/>
      <c r="I11666" s="10"/>
      <c r="J11666" s="10"/>
      <c r="K11666" s="10"/>
      <c r="L11666" s="10"/>
      <c r="M11666" s="10"/>
      <c r="N11666" s="10"/>
      <c r="O11666" s="10"/>
      <c r="P11666" s="10"/>
      <c r="Q11666" s="10"/>
      <c r="R11666" s="10"/>
      <c r="S11666" s="10"/>
      <c r="T11666" s="10"/>
      <c r="U11666" s="10"/>
      <c r="V11666" s="10"/>
      <c r="W11666" s="10"/>
      <c r="X11666" s="10"/>
      <c r="Y11666" s="10"/>
      <c r="Z11666" s="10"/>
    </row>
    <row r="11667" spans="1:26" ht="12.75">
      <c r="A11667" s="10"/>
      <c r="B11667" s="10"/>
      <c r="C11667" s="10"/>
      <c r="D11667" s="10"/>
      <c r="E11667" s="10"/>
      <c r="F11667" s="10"/>
      <c r="G11667" s="10"/>
      <c r="H11667" s="10"/>
      <c r="I11667" s="10"/>
      <c r="J11667" s="10"/>
      <c r="K11667" s="10"/>
      <c r="L11667" s="10"/>
      <c r="M11667" s="10"/>
      <c r="N11667" s="10"/>
      <c r="O11667" s="10"/>
      <c r="P11667" s="10"/>
      <c r="Q11667" s="10"/>
      <c r="R11667" s="10"/>
      <c r="S11667" s="10"/>
      <c r="T11667" s="10"/>
      <c r="U11667" s="10"/>
      <c r="V11667" s="10"/>
      <c r="W11667" s="10"/>
      <c r="X11667" s="10"/>
      <c r="Y11667" s="10"/>
      <c r="Z11667" s="10"/>
    </row>
    <row r="11668" spans="1:26" ht="12.75">
      <c r="A11668" s="10"/>
      <c r="B11668" s="10"/>
      <c r="C11668" s="10"/>
      <c r="D11668" s="10"/>
      <c r="E11668" s="10"/>
      <c r="F11668" s="10"/>
      <c r="G11668" s="10"/>
      <c r="H11668" s="10"/>
      <c r="I11668" s="10"/>
      <c r="J11668" s="10"/>
      <c r="K11668" s="10"/>
      <c r="L11668" s="10"/>
      <c r="M11668" s="10"/>
      <c r="N11668" s="10"/>
      <c r="O11668" s="10"/>
      <c r="P11668" s="10"/>
      <c r="Q11668" s="10"/>
      <c r="R11668" s="10"/>
      <c r="S11668" s="10"/>
      <c r="T11668" s="10"/>
      <c r="U11668" s="10"/>
      <c r="V11668" s="10"/>
      <c r="W11668" s="10"/>
      <c r="X11668" s="10"/>
      <c r="Y11668" s="10"/>
      <c r="Z11668" s="10"/>
    </row>
    <row r="11669" spans="1:26" ht="12.75">
      <c r="A11669" s="10"/>
      <c r="B11669" s="10"/>
      <c r="C11669" s="10"/>
      <c r="D11669" s="10"/>
      <c r="E11669" s="10"/>
      <c r="F11669" s="10"/>
      <c r="G11669" s="10"/>
      <c r="H11669" s="10"/>
      <c r="I11669" s="10"/>
      <c r="J11669" s="10"/>
      <c r="K11669" s="10"/>
      <c r="L11669" s="10"/>
      <c r="M11669" s="10"/>
      <c r="N11669" s="10"/>
      <c r="O11669" s="10"/>
      <c r="P11669" s="10"/>
      <c r="Q11669" s="10"/>
      <c r="R11669" s="10"/>
      <c r="S11669" s="10"/>
      <c r="T11669" s="10"/>
      <c r="U11669" s="10"/>
      <c r="V11669" s="10"/>
      <c r="W11669" s="10"/>
      <c r="X11669" s="10"/>
      <c r="Y11669" s="10"/>
      <c r="Z11669" s="10"/>
    </row>
    <row r="11670" spans="1:26" ht="12.75">
      <c r="A11670" s="10"/>
      <c r="B11670" s="10"/>
      <c r="C11670" s="10"/>
      <c r="D11670" s="10"/>
      <c r="E11670" s="10"/>
      <c r="F11670" s="10"/>
      <c r="G11670" s="10"/>
      <c r="H11670" s="10"/>
      <c r="I11670" s="10"/>
      <c r="J11670" s="10"/>
      <c r="K11670" s="10"/>
      <c r="L11670" s="10"/>
      <c r="M11670" s="10"/>
      <c r="N11670" s="10"/>
      <c r="O11670" s="10"/>
      <c r="P11670" s="10"/>
      <c r="Q11670" s="10"/>
      <c r="R11670" s="10"/>
      <c r="S11670" s="10"/>
      <c r="T11670" s="10"/>
      <c r="U11670" s="10"/>
      <c r="V11670" s="10"/>
      <c r="W11670" s="10"/>
      <c r="X11670" s="10"/>
      <c r="Y11670" s="10"/>
      <c r="Z11670" s="10"/>
    </row>
    <row r="11671" spans="1:26" ht="12.75">
      <c r="A11671" s="10"/>
      <c r="B11671" s="10"/>
      <c r="C11671" s="10"/>
      <c r="D11671" s="10"/>
      <c r="E11671" s="10"/>
      <c r="F11671" s="10"/>
      <c r="G11671" s="10"/>
      <c r="H11671" s="10"/>
      <c r="I11671" s="10"/>
      <c r="J11671" s="10"/>
      <c r="K11671" s="10"/>
      <c r="L11671" s="10"/>
      <c r="M11671" s="10"/>
      <c r="N11671" s="10"/>
      <c r="O11671" s="10"/>
      <c r="P11671" s="10"/>
      <c r="Q11671" s="10"/>
      <c r="R11671" s="10"/>
      <c r="S11671" s="10"/>
      <c r="T11671" s="10"/>
      <c r="U11671" s="10"/>
      <c r="V11671" s="10"/>
      <c r="W11671" s="10"/>
      <c r="X11671" s="10"/>
      <c r="Y11671" s="10"/>
      <c r="Z11671" s="10"/>
    </row>
    <row r="11672" spans="1:26" ht="12.75">
      <c r="A11672" s="10"/>
      <c r="B11672" s="10"/>
      <c r="C11672" s="10"/>
      <c r="D11672" s="10"/>
      <c r="E11672" s="10"/>
      <c r="F11672" s="10"/>
      <c r="G11672" s="10"/>
      <c r="H11672" s="10"/>
      <c r="I11672" s="10"/>
      <c r="J11672" s="10"/>
      <c r="K11672" s="10"/>
      <c r="L11672" s="10"/>
      <c r="M11672" s="10"/>
      <c r="N11672" s="10"/>
      <c r="O11672" s="10"/>
      <c r="P11672" s="10"/>
      <c r="Q11672" s="10"/>
      <c r="R11672" s="10"/>
      <c r="S11672" s="10"/>
      <c r="T11672" s="10"/>
      <c r="U11672" s="10"/>
      <c r="V11672" s="10"/>
      <c r="W11672" s="10"/>
      <c r="X11672" s="10"/>
      <c r="Y11672" s="10"/>
      <c r="Z11672" s="10"/>
    </row>
    <row r="11673" spans="1:26" ht="12.75">
      <c r="A11673" s="10"/>
      <c r="B11673" s="10"/>
      <c r="C11673" s="10"/>
      <c r="D11673" s="10"/>
      <c r="E11673" s="10"/>
      <c r="F11673" s="10"/>
      <c r="G11673" s="10"/>
      <c r="H11673" s="10"/>
      <c r="I11673" s="10"/>
      <c r="J11673" s="10"/>
      <c r="K11673" s="10"/>
      <c r="L11673" s="10"/>
      <c r="M11673" s="10"/>
      <c r="N11673" s="10"/>
      <c r="O11673" s="10"/>
      <c r="P11673" s="10"/>
      <c r="Q11673" s="10"/>
      <c r="R11673" s="10"/>
      <c r="S11673" s="10"/>
      <c r="T11673" s="10"/>
      <c r="U11673" s="10"/>
      <c r="V11673" s="10"/>
      <c r="W11673" s="10"/>
      <c r="X11673" s="10"/>
      <c r="Y11673" s="10"/>
      <c r="Z11673" s="10"/>
    </row>
    <row r="11674" spans="1:26" ht="12.75">
      <c r="A11674" s="10"/>
      <c r="B11674" s="10"/>
      <c r="C11674" s="10"/>
      <c r="D11674" s="10"/>
      <c r="E11674" s="10"/>
      <c r="F11674" s="10"/>
      <c r="G11674" s="10"/>
      <c r="H11674" s="10"/>
      <c r="I11674" s="10"/>
      <c r="J11674" s="10"/>
      <c r="K11674" s="10"/>
      <c r="L11674" s="10"/>
      <c r="M11674" s="10"/>
      <c r="N11674" s="10"/>
      <c r="O11674" s="10"/>
      <c r="P11674" s="10"/>
      <c r="Q11674" s="10"/>
      <c r="R11674" s="10"/>
      <c r="S11674" s="10"/>
      <c r="T11674" s="10"/>
      <c r="U11674" s="10"/>
      <c r="V11674" s="10"/>
      <c r="W11674" s="10"/>
      <c r="X11674" s="10"/>
      <c r="Y11674" s="10"/>
      <c r="Z11674" s="10"/>
    </row>
    <row r="11675" spans="1:26" ht="12.75">
      <c r="A11675" s="10"/>
      <c r="B11675" s="10"/>
      <c r="C11675" s="10"/>
      <c r="D11675" s="10"/>
      <c r="E11675" s="10"/>
      <c r="F11675" s="10"/>
      <c r="G11675" s="10"/>
      <c r="H11675" s="10"/>
      <c r="I11675" s="10"/>
      <c r="J11675" s="10"/>
      <c r="K11675" s="10"/>
      <c r="L11675" s="10"/>
      <c r="M11675" s="10"/>
      <c r="N11675" s="10"/>
      <c r="O11675" s="10"/>
      <c r="P11675" s="10"/>
      <c r="Q11675" s="10"/>
      <c r="R11675" s="10"/>
      <c r="S11675" s="10"/>
      <c r="T11675" s="10"/>
      <c r="U11675" s="10"/>
      <c r="V11675" s="10"/>
      <c r="W11675" s="10"/>
      <c r="X11675" s="10"/>
      <c r="Y11675" s="10"/>
      <c r="Z11675" s="10"/>
    </row>
    <row r="11676" spans="1:26" ht="12.75">
      <c r="A11676" s="10"/>
      <c r="B11676" s="10"/>
      <c r="C11676" s="10"/>
      <c r="D11676" s="10"/>
      <c r="E11676" s="10"/>
      <c r="F11676" s="10"/>
      <c r="G11676" s="10"/>
      <c r="H11676" s="10"/>
      <c r="I11676" s="10"/>
      <c r="J11676" s="10"/>
      <c r="K11676" s="10"/>
      <c r="L11676" s="10"/>
      <c r="M11676" s="10"/>
      <c r="N11676" s="10"/>
      <c r="O11676" s="10"/>
      <c r="P11676" s="10"/>
      <c r="Q11676" s="10"/>
      <c r="R11676" s="10"/>
      <c r="S11676" s="10"/>
      <c r="T11676" s="10"/>
      <c r="U11676" s="10"/>
      <c r="V11676" s="10"/>
      <c r="W11676" s="10"/>
      <c r="X11676" s="10"/>
      <c r="Y11676" s="10"/>
      <c r="Z11676" s="10"/>
    </row>
    <row r="11677" spans="1:26" ht="12.75">
      <c r="A11677" s="10"/>
      <c r="B11677" s="10"/>
      <c r="C11677" s="10"/>
      <c r="D11677" s="10"/>
      <c r="E11677" s="10"/>
      <c r="F11677" s="10"/>
      <c r="G11677" s="10"/>
      <c r="H11677" s="10"/>
      <c r="I11677" s="10"/>
      <c r="J11677" s="10"/>
      <c r="K11677" s="10"/>
      <c r="L11677" s="10"/>
      <c r="M11677" s="10"/>
      <c r="N11677" s="10"/>
      <c r="O11677" s="10"/>
      <c r="P11677" s="10"/>
      <c r="Q11677" s="10"/>
      <c r="R11677" s="10"/>
      <c r="S11677" s="10"/>
      <c r="T11677" s="10"/>
      <c r="U11677" s="10"/>
      <c r="V11677" s="10"/>
      <c r="W11677" s="10"/>
      <c r="X11677" s="10"/>
      <c r="Y11677" s="10"/>
      <c r="Z11677" s="10"/>
    </row>
    <row r="11678" spans="1:26" ht="12.75">
      <c r="A11678" s="10"/>
      <c r="B11678" s="10"/>
      <c r="C11678" s="10"/>
      <c r="D11678" s="10"/>
      <c r="E11678" s="10"/>
      <c r="F11678" s="10"/>
      <c r="G11678" s="10"/>
      <c r="H11678" s="10"/>
      <c r="I11678" s="10"/>
      <c r="J11678" s="10"/>
      <c r="K11678" s="10"/>
      <c r="L11678" s="10"/>
      <c r="M11678" s="10"/>
      <c r="N11678" s="10"/>
      <c r="O11678" s="10"/>
      <c r="P11678" s="10"/>
      <c r="Q11678" s="10"/>
      <c r="R11678" s="10"/>
      <c r="S11678" s="10"/>
      <c r="T11678" s="10"/>
      <c r="U11678" s="10"/>
      <c r="V11678" s="10"/>
      <c r="W11678" s="10"/>
      <c r="X11678" s="10"/>
      <c r="Y11678" s="10"/>
      <c r="Z11678" s="10"/>
    </row>
    <row r="11679" spans="1:26" ht="12.75">
      <c r="A11679" s="10"/>
      <c r="B11679" s="10"/>
      <c r="C11679" s="10"/>
      <c r="D11679" s="10"/>
      <c r="E11679" s="10"/>
      <c r="F11679" s="10"/>
      <c r="G11679" s="10"/>
      <c r="H11679" s="10"/>
      <c r="I11679" s="10"/>
      <c r="J11679" s="10"/>
      <c r="K11679" s="10"/>
      <c r="L11679" s="10"/>
      <c r="M11679" s="10"/>
      <c r="N11679" s="10"/>
      <c r="O11679" s="10"/>
      <c r="P11679" s="10"/>
      <c r="Q11679" s="10"/>
      <c r="R11679" s="10"/>
      <c r="S11679" s="10"/>
      <c r="T11679" s="10"/>
      <c r="U11679" s="10"/>
      <c r="V11679" s="10"/>
      <c r="W11679" s="10"/>
      <c r="X11679" s="10"/>
      <c r="Y11679" s="10"/>
      <c r="Z11679" s="10"/>
    </row>
    <row r="11680" spans="1:26" ht="12.75">
      <c r="A11680" s="10"/>
      <c r="B11680" s="10"/>
      <c r="C11680" s="10"/>
      <c r="D11680" s="10"/>
      <c r="E11680" s="10"/>
      <c r="F11680" s="10"/>
      <c r="G11680" s="10"/>
      <c r="H11680" s="10"/>
      <c r="I11680" s="10"/>
      <c r="J11680" s="10"/>
      <c r="K11680" s="10"/>
      <c r="L11680" s="10"/>
      <c r="M11680" s="10"/>
      <c r="N11680" s="10"/>
      <c r="O11680" s="10"/>
      <c r="P11680" s="10"/>
      <c r="Q11680" s="10"/>
      <c r="R11680" s="10"/>
      <c r="S11680" s="10"/>
      <c r="T11680" s="10"/>
      <c r="U11680" s="10"/>
      <c r="V11680" s="10"/>
      <c r="W11680" s="10"/>
      <c r="X11680" s="10"/>
      <c r="Y11680" s="10"/>
      <c r="Z11680" s="10"/>
    </row>
    <row r="11681" spans="1:26" ht="12.75">
      <c r="A11681" s="10"/>
      <c r="B11681" s="10"/>
      <c r="C11681" s="10"/>
      <c r="D11681" s="10"/>
      <c r="E11681" s="10"/>
      <c r="F11681" s="10"/>
      <c r="G11681" s="10"/>
      <c r="H11681" s="10"/>
      <c r="I11681" s="10"/>
      <c r="J11681" s="10"/>
      <c r="K11681" s="10"/>
      <c r="L11681" s="10"/>
      <c r="M11681" s="10"/>
      <c r="N11681" s="10"/>
      <c r="O11681" s="10"/>
      <c r="P11681" s="10"/>
      <c r="Q11681" s="10"/>
      <c r="R11681" s="10"/>
      <c r="S11681" s="10"/>
      <c r="T11681" s="10"/>
      <c r="U11681" s="10"/>
      <c r="V11681" s="10"/>
      <c r="W11681" s="10"/>
      <c r="X11681" s="10"/>
      <c r="Y11681" s="10"/>
      <c r="Z11681" s="10"/>
    </row>
    <row r="11682" spans="1:26" ht="12.75">
      <c r="A11682" s="10"/>
      <c r="B11682" s="10"/>
      <c r="C11682" s="10"/>
      <c r="D11682" s="10"/>
      <c r="E11682" s="10"/>
      <c r="F11682" s="10"/>
      <c r="G11682" s="10"/>
      <c r="H11682" s="10"/>
      <c r="I11682" s="10"/>
      <c r="J11682" s="10"/>
      <c r="K11682" s="10"/>
      <c r="L11682" s="10"/>
      <c r="M11682" s="10"/>
      <c r="N11682" s="10"/>
      <c r="O11682" s="10"/>
      <c r="P11682" s="10"/>
      <c r="Q11682" s="10"/>
      <c r="R11682" s="10"/>
      <c r="S11682" s="10"/>
      <c r="T11682" s="10"/>
      <c r="U11682" s="10"/>
      <c r="V11682" s="10"/>
      <c r="W11682" s="10"/>
      <c r="X11682" s="10"/>
      <c r="Y11682" s="10"/>
      <c r="Z11682" s="10"/>
    </row>
    <row r="11683" spans="1:26" ht="12.75">
      <c r="A11683" s="10"/>
      <c r="B11683" s="10"/>
      <c r="C11683" s="10"/>
      <c r="D11683" s="10"/>
      <c r="E11683" s="10"/>
      <c r="F11683" s="10"/>
      <c r="G11683" s="10"/>
      <c r="H11683" s="10"/>
      <c r="I11683" s="10"/>
      <c r="J11683" s="10"/>
      <c r="K11683" s="10"/>
      <c r="L11683" s="10"/>
      <c r="M11683" s="10"/>
      <c r="N11683" s="10"/>
      <c r="O11683" s="10"/>
      <c r="P11683" s="10"/>
      <c r="Q11683" s="10"/>
      <c r="R11683" s="10"/>
      <c r="S11683" s="10"/>
      <c r="T11683" s="10"/>
      <c r="U11683" s="10"/>
      <c r="V11683" s="10"/>
      <c r="W11683" s="10"/>
      <c r="X11683" s="10"/>
      <c r="Y11683" s="10"/>
      <c r="Z11683" s="10"/>
    </row>
    <row r="11684" spans="1:26" ht="12.75">
      <c r="A11684" s="10"/>
      <c r="B11684" s="10"/>
      <c r="C11684" s="10"/>
      <c r="D11684" s="10"/>
      <c r="E11684" s="10"/>
      <c r="F11684" s="10"/>
      <c r="G11684" s="10"/>
      <c r="H11684" s="10"/>
      <c r="I11684" s="10"/>
      <c r="J11684" s="10"/>
      <c r="K11684" s="10"/>
      <c r="L11684" s="10"/>
      <c r="M11684" s="10"/>
      <c r="N11684" s="10"/>
      <c r="O11684" s="10"/>
      <c r="P11684" s="10"/>
      <c r="Q11684" s="10"/>
      <c r="R11684" s="10"/>
      <c r="S11684" s="10"/>
      <c r="T11684" s="10"/>
      <c r="U11684" s="10"/>
      <c r="V11684" s="10"/>
      <c r="W11684" s="10"/>
      <c r="X11684" s="10"/>
      <c r="Y11684" s="10"/>
      <c r="Z11684" s="10"/>
    </row>
    <row r="11685" spans="1:26" ht="12.75">
      <c r="A11685" s="10"/>
      <c r="B11685" s="10"/>
      <c r="C11685" s="10"/>
      <c r="D11685" s="10"/>
      <c r="E11685" s="10"/>
      <c r="F11685" s="10"/>
      <c r="G11685" s="10"/>
      <c r="H11685" s="10"/>
      <c r="I11685" s="10"/>
      <c r="J11685" s="10"/>
      <c r="K11685" s="10"/>
      <c r="L11685" s="10"/>
      <c r="M11685" s="10"/>
      <c r="N11685" s="10"/>
      <c r="O11685" s="10"/>
      <c r="P11685" s="10"/>
      <c r="Q11685" s="10"/>
      <c r="R11685" s="10"/>
      <c r="S11685" s="10"/>
      <c r="T11685" s="10"/>
      <c r="U11685" s="10"/>
      <c r="V11685" s="10"/>
      <c r="W11685" s="10"/>
      <c r="X11685" s="10"/>
      <c r="Y11685" s="10"/>
      <c r="Z11685" s="10"/>
    </row>
    <row r="11686" spans="1:26" ht="12.75">
      <c r="A11686" s="10"/>
      <c r="B11686" s="10"/>
      <c r="C11686" s="10"/>
      <c r="D11686" s="10"/>
      <c r="E11686" s="10"/>
      <c r="F11686" s="10"/>
      <c r="G11686" s="10"/>
      <c r="H11686" s="10"/>
      <c r="I11686" s="10"/>
      <c r="J11686" s="10"/>
      <c r="K11686" s="10"/>
      <c r="L11686" s="10"/>
      <c r="M11686" s="10"/>
      <c r="N11686" s="10"/>
      <c r="O11686" s="10"/>
      <c r="P11686" s="10"/>
      <c r="Q11686" s="10"/>
      <c r="R11686" s="10"/>
      <c r="S11686" s="10"/>
      <c r="T11686" s="10"/>
      <c r="U11686" s="10"/>
      <c r="V11686" s="10"/>
      <c r="W11686" s="10"/>
      <c r="X11686" s="10"/>
      <c r="Y11686" s="10"/>
      <c r="Z11686" s="10"/>
    </row>
    <row r="11687" spans="1:26" ht="12.75">
      <c r="A11687" s="10"/>
      <c r="B11687" s="10"/>
      <c r="C11687" s="10"/>
      <c r="D11687" s="10"/>
      <c r="E11687" s="10"/>
      <c r="F11687" s="10"/>
      <c r="G11687" s="10"/>
      <c r="H11687" s="10"/>
      <c r="I11687" s="10"/>
      <c r="J11687" s="10"/>
      <c r="K11687" s="10"/>
      <c r="L11687" s="10"/>
      <c r="M11687" s="10"/>
      <c r="N11687" s="10"/>
      <c r="O11687" s="10"/>
      <c r="P11687" s="10"/>
      <c r="Q11687" s="10"/>
      <c r="R11687" s="10"/>
      <c r="S11687" s="10"/>
      <c r="T11687" s="10"/>
      <c r="U11687" s="10"/>
      <c r="V11687" s="10"/>
      <c r="W11687" s="10"/>
      <c r="X11687" s="10"/>
      <c r="Y11687" s="10"/>
      <c r="Z11687" s="10"/>
    </row>
    <row r="11688" spans="1:26" ht="12.75">
      <c r="A11688" s="10"/>
      <c r="B11688" s="10"/>
      <c r="C11688" s="10"/>
      <c r="D11688" s="10"/>
      <c r="E11688" s="10"/>
      <c r="F11688" s="10"/>
      <c r="G11688" s="10"/>
      <c r="H11688" s="10"/>
      <c r="I11688" s="10"/>
      <c r="J11688" s="10"/>
      <c r="K11688" s="10"/>
      <c r="L11688" s="10"/>
      <c r="M11688" s="10"/>
      <c r="N11688" s="10"/>
      <c r="O11688" s="10"/>
      <c r="P11688" s="10"/>
      <c r="Q11688" s="10"/>
      <c r="R11688" s="10"/>
      <c r="S11688" s="10"/>
      <c r="T11688" s="10"/>
      <c r="U11688" s="10"/>
      <c r="V11688" s="10"/>
      <c r="W11688" s="10"/>
      <c r="X11688" s="10"/>
      <c r="Y11688" s="10"/>
      <c r="Z11688" s="10"/>
    </row>
    <row r="11689" spans="1:26" ht="12.75">
      <c r="A11689" s="10"/>
      <c r="B11689" s="10"/>
      <c r="C11689" s="10"/>
      <c r="D11689" s="10"/>
      <c r="E11689" s="10"/>
      <c r="F11689" s="10"/>
      <c r="G11689" s="10"/>
      <c r="H11689" s="10"/>
      <c r="I11689" s="10"/>
      <c r="J11689" s="10"/>
      <c r="K11689" s="10"/>
      <c r="L11689" s="10"/>
      <c r="M11689" s="10"/>
      <c r="N11689" s="10"/>
      <c r="O11689" s="10"/>
      <c r="P11689" s="10"/>
      <c r="Q11689" s="10"/>
      <c r="R11689" s="10"/>
      <c r="S11689" s="10"/>
      <c r="T11689" s="10"/>
      <c r="U11689" s="10"/>
      <c r="V11689" s="10"/>
      <c r="W11689" s="10"/>
      <c r="X11689" s="10"/>
      <c r="Y11689" s="10"/>
      <c r="Z11689" s="10"/>
    </row>
    <row r="11690" spans="1:26" ht="12.75">
      <c r="A11690" s="10"/>
      <c r="B11690" s="10"/>
      <c r="C11690" s="10"/>
      <c r="D11690" s="10"/>
      <c r="E11690" s="10"/>
      <c r="F11690" s="10"/>
      <c r="G11690" s="10"/>
      <c r="H11690" s="10"/>
      <c r="I11690" s="10"/>
      <c r="J11690" s="10"/>
      <c r="K11690" s="10"/>
      <c r="L11690" s="10"/>
      <c r="M11690" s="10"/>
      <c r="N11690" s="10"/>
      <c r="O11690" s="10"/>
      <c r="P11690" s="10"/>
      <c r="Q11690" s="10"/>
      <c r="R11690" s="10"/>
      <c r="S11690" s="10"/>
      <c r="T11690" s="10"/>
      <c r="U11690" s="10"/>
      <c r="V11690" s="10"/>
      <c r="W11690" s="10"/>
      <c r="X11690" s="10"/>
      <c r="Y11690" s="10"/>
      <c r="Z11690" s="10"/>
    </row>
    <row r="11691" spans="1:26" ht="12.75">
      <c r="A11691" s="10"/>
      <c r="B11691" s="10"/>
      <c r="C11691" s="10"/>
      <c r="D11691" s="10"/>
      <c r="E11691" s="10"/>
      <c r="F11691" s="10"/>
      <c r="G11691" s="10"/>
      <c r="H11691" s="10"/>
      <c r="I11691" s="10"/>
      <c r="J11691" s="10"/>
      <c r="K11691" s="10"/>
      <c r="L11691" s="10"/>
      <c r="M11691" s="10"/>
      <c r="N11691" s="10"/>
      <c r="O11691" s="10"/>
      <c r="P11691" s="10"/>
      <c r="Q11691" s="10"/>
      <c r="R11691" s="10"/>
      <c r="S11691" s="10"/>
      <c r="T11691" s="10"/>
      <c r="U11691" s="10"/>
      <c r="V11691" s="10"/>
      <c r="W11691" s="10"/>
      <c r="X11691" s="10"/>
      <c r="Y11691" s="10"/>
      <c r="Z11691" s="10"/>
    </row>
    <row r="11692" spans="1:26" ht="12.75">
      <c r="A11692" s="10"/>
      <c r="B11692" s="10"/>
      <c r="C11692" s="10"/>
      <c r="D11692" s="10"/>
      <c r="E11692" s="10"/>
      <c r="F11692" s="10"/>
      <c r="G11692" s="10"/>
      <c r="H11692" s="10"/>
      <c r="I11692" s="10"/>
      <c r="J11692" s="10"/>
      <c r="K11692" s="10"/>
      <c r="L11692" s="10"/>
      <c r="M11692" s="10"/>
      <c r="N11692" s="10"/>
      <c r="O11692" s="10"/>
      <c r="P11692" s="10"/>
      <c r="Q11692" s="10"/>
      <c r="R11692" s="10"/>
      <c r="S11692" s="10"/>
      <c r="T11692" s="10"/>
      <c r="U11692" s="10"/>
      <c r="V11692" s="10"/>
      <c r="W11692" s="10"/>
      <c r="X11692" s="10"/>
      <c r="Y11692" s="10"/>
      <c r="Z11692" s="10"/>
    </row>
    <row r="11693" spans="1:26" ht="12.75">
      <c r="A11693" s="10"/>
      <c r="B11693" s="10"/>
      <c r="C11693" s="10"/>
      <c r="D11693" s="10"/>
      <c r="E11693" s="10"/>
      <c r="F11693" s="10"/>
      <c r="G11693" s="10"/>
      <c r="H11693" s="10"/>
      <c r="I11693" s="10"/>
      <c r="J11693" s="10"/>
      <c r="K11693" s="10"/>
      <c r="L11693" s="10"/>
      <c r="M11693" s="10"/>
      <c r="N11693" s="10"/>
      <c r="O11693" s="10"/>
      <c r="P11693" s="10"/>
      <c r="Q11693" s="10"/>
      <c r="R11693" s="10"/>
      <c r="S11693" s="10"/>
      <c r="T11693" s="10"/>
      <c r="U11693" s="10"/>
      <c r="V11693" s="10"/>
      <c r="W11693" s="10"/>
      <c r="X11693" s="10"/>
      <c r="Y11693" s="10"/>
      <c r="Z11693" s="10"/>
    </row>
    <row r="11694" spans="1:26" ht="12.75">
      <c r="A11694" s="10"/>
      <c r="B11694" s="10"/>
      <c r="C11694" s="10"/>
      <c r="D11694" s="10"/>
      <c r="E11694" s="10"/>
      <c r="F11694" s="10"/>
      <c r="G11694" s="10"/>
      <c r="H11694" s="10"/>
      <c r="I11694" s="10"/>
      <c r="J11694" s="10"/>
      <c r="K11694" s="10"/>
      <c r="L11694" s="10"/>
      <c r="M11694" s="10"/>
      <c r="N11694" s="10"/>
      <c r="O11694" s="10"/>
      <c r="P11694" s="10"/>
      <c r="Q11694" s="10"/>
      <c r="R11694" s="10"/>
      <c r="S11694" s="10"/>
      <c r="T11694" s="10"/>
      <c r="U11694" s="10"/>
      <c r="V11694" s="10"/>
      <c r="W11694" s="10"/>
      <c r="X11694" s="10"/>
      <c r="Y11694" s="10"/>
      <c r="Z11694" s="10"/>
    </row>
    <row r="11695" spans="1:26" ht="12.75">
      <c r="A11695" s="10"/>
      <c r="B11695" s="10"/>
      <c r="C11695" s="10"/>
      <c r="D11695" s="10"/>
      <c r="E11695" s="10"/>
      <c r="F11695" s="10"/>
      <c r="G11695" s="10"/>
      <c r="H11695" s="10"/>
      <c r="I11695" s="10"/>
      <c r="J11695" s="10"/>
      <c r="K11695" s="10"/>
      <c r="L11695" s="10"/>
      <c r="M11695" s="10"/>
      <c r="N11695" s="10"/>
      <c r="O11695" s="10"/>
      <c r="P11695" s="10"/>
      <c r="Q11695" s="10"/>
      <c r="R11695" s="10"/>
      <c r="S11695" s="10"/>
      <c r="T11695" s="10"/>
      <c r="U11695" s="10"/>
      <c r="V11695" s="10"/>
      <c r="W11695" s="10"/>
      <c r="X11695" s="10"/>
      <c r="Y11695" s="10"/>
      <c r="Z11695" s="10"/>
    </row>
    <row r="11696" spans="1:26" ht="12.75">
      <c r="A11696" s="10"/>
      <c r="B11696" s="10"/>
      <c r="C11696" s="10"/>
      <c r="D11696" s="10"/>
      <c r="E11696" s="10"/>
      <c r="F11696" s="10"/>
      <c r="G11696" s="10"/>
      <c r="H11696" s="10"/>
      <c r="I11696" s="10"/>
      <c r="J11696" s="10"/>
      <c r="K11696" s="10"/>
      <c r="L11696" s="10"/>
      <c r="M11696" s="10"/>
      <c r="N11696" s="10"/>
      <c r="O11696" s="10"/>
      <c r="P11696" s="10"/>
      <c r="Q11696" s="10"/>
      <c r="R11696" s="10"/>
      <c r="S11696" s="10"/>
      <c r="T11696" s="10"/>
      <c r="U11696" s="10"/>
      <c r="V11696" s="10"/>
      <c r="W11696" s="10"/>
      <c r="X11696" s="10"/>
      <c r="Y11696" s="10"/>
      <c r="Z11696" s="10"/>
    </row>
    <row r="11697" spans="1:26" ht="12.75">
      <c r="A11697" s="10"/>
      <c r="B11697" s="10"/>
      <c r="C11697" s="10"/>
      <c r="D11697" s="10"/>
      <c r="E11697" s="10"/>
      <c r="F11697" s="10"/>
      <c r="G11697" s="10"/>
      <c r="H11697" s="10"/>
      <c r="I11697" s="10"/>
      <c r="J11697" s="10"/>
      <c r="K11697" s="10"/>
      <c r="L11697" s="10"/>
      <c r="M11697" s="10"/>
      <c r="N11697" s="10"/>
      <c r="O11697" s="10"/>
      <c r="P11697" s="10"/>
      <c r="Q11697" s="10"/>
      <c r="R11697" s="10"/>
      <c r="S11697" s="10"/>
      <c r="T11697" s="10"/>
      <c r="U11697" s="10"/>
      <c r="V11697" s="10"/>
      <c r="W11697" s="10"/>
      <c r="X11697" s="10"/>
      <c r="Y11697" s="10"/>
      <c r="Z11697" s="10"/>
    </row>
    <row r="11698" spans="1:26" ht="12.75">
      <c r="A11698" s="10"/>
      <c r="B11698" s="10"/>
      <c r="C11698" s="10"/>
      <c r="D11698" s="10"/>
      <c r="E11698" s="10"/>
      <c r="F11698" s="10"/>
      <c r="G11698" s="10"/>
      <c r="H11698" s="10"/>
      <c r="I11698" s="10"/>
      <c r="J11698" s="10"/>
      <c r="K11698" s="10"/>
      <c r="L11698" s="10"/>
      <c r="M11698" s="10"/>
      <c r="N11698" s="10"/>
      <c r="O11698" s="10"/>
      <c r="P11698" s="10"/>
      <c r="Q11698" s="10"/>
      <c r="R11698" s="10"/>
      <c r="S11698" s="10"/>
      <c r="T11698" s="10"/>
      <c r="U11698" s="10"/>
      <c r="V11698" s="10"/>
      <c r="W11698" s="10"/>
      <c r="X11698" s="10"/>
      <c r="Y11698" s="10"/>
      <c r="Z11698" s="10"/>
    </row>
    <row r="11699" spans="1:26" ht="12.75">
      <c r="A11699" s="10"/>
      <c r="B11699" s="10"/>
      <c r="C11699" s="10"/>
      <c r="D11699" s="10"/>
      <c r="E11699" s="10"/>
      <c r="F11699" s="10"/>
      <c r="G11699" s="10"/>
      <c r="H11699" s="10"/>
      <c r="I11699" s="10"/>
      <c r="J11699" s="10"/>
      <c r="K11699" s="10"/>
      <c r="L11699" s="10"/>
      <c r="M11699" s="10"/>
      <c r="N11699" s="10"/>
      <c r="O11699" s="10"/>
      <c r="P11699" s="10"/>
      <c r="Q11699" s="10"/>
      <c r="R11699" s="10"/>
      <c r="S11699" s="10"/>
      <c r="T11699" s="10"/>
      <c r="U11699" s="10"/>
      <c r="V11699" s="10"/>
      <c r="W11699" s="10"/>
      <c r="X11699" s="10"/>
      <c r="Y11699" s="10"/>
      <c r="Z11699" s="10"/>
    </row>
    <row r="11700" spans="1:26" ht="12.75">
      <c r="A11700" s="10"/>
      <c r="B11700" s="10"/>
      <c r="C11700" s="10"/>
      <c r="D11700" s="10"/>
      <c r="E11700" s="10"/>
      <c r="F11700" s="10"/>
      <c r="G11700" s="10"/>
      <c r="H11700" s="10"/>
      <c r="I11700" s="10"/>
      <c r="J11700" s="10"/>
      <c r="K11700" s="10"/>
      <c r="L11700" s="10"/>
      <c r="M11700" s="10"/>
      <c r="N11700" s="10"/>
      <c r="O11700" s="10"/>
      <c r="P11700" s="10"/>
      <c r="Q11700" s="10"/>
      <c r="R11700" s="10"/>
      <c r="S11700" s="10"/>
      <c r="T11700" s="10"/>
      <c r="U11700" s="10"/>
      <c r="V11700" s="10"/>
      <c r="W11700" s="10"/>
      <c r="X11700" s="10"/>
      <c r="Y11700" s="10"/>
      <c r="Z11700" s="10"/>
    </row>
    <row r="11701" spans="1:26" ht="12.75">
      <c r="A11701" s="10"/>
      <c r="B11701" s="10"/>
      <c r="C11701" s="10"/>
      <c r="D11701" s="10"/>
      <c r="E11701" s="10"/>
      <c r="F11701" s="10"/>
      <c r="G11701" s="10"/>
      <c r="H11701" s="10"/>
      <c r="I11701" s="10"/>
      <c r="J11701" s="10"/>
      <c r="K11701" s="10"/>
      <c r="L11701" s="10"/>
      <c r="M11701" s="10"/>
      <c r="N11701" s="10"/>
      <c r="O11701" s="10"/>
      <c r="P11701" s="10"/>
      <c r="Q11701" s="10"/>
      <c r="R11701" s="10"/>
      <c r="S11701" s="10"/>
      <c r="T11701" s="10"/>
      <c r="U11701" s="10"/>
      <c r="V11701" s="10"/>
      <c r="W11701" s="10"/>
      <c r="X11701" s="10"/>
      <c r="Y11701" s="10"/>
      <c r="Z11701" s="10"/>
    </row>
    <row r="11702" spans="1:26" ht="12.75">
      <c r="A11702" s="10"/>
      <c r="B11702" s="10"/>
      <c r="C11702" s="10"/>
      <c r="D11702" s="10"/>
      <c r="E11702" s="10"/>
      <c r="F11702" s="10"/>
      <c r="G11702" s="10"/>
      <c r="H11702" s="10"/>
      <c r="I11702" s="10"/>
      <c r="J11702" s="10"/>
      <c r="K11702" s="10"/>
      <c r="L11702" s="10"/>
      <c r="M11702" s="10"/>
      <c r="N11702" s="10"/>
      <c r="O11702" s="10"/>
      <c r="P11702" s="10"/>
      <c r="Q11702" s="10"/>
      <c r="R11702" s="10"/>
      <c r="S11702" s="10"/>
      <c r="T11702" s="10"/>
      <c r="U11702" s="10"/>
      <c r="V11702" s="10"/>
      <c r="W11702" s="10"/>
      <c r="X11702" s="10"/>
      <c r="Y11702" s="10"/>
      <c r="Z11702" s="10"/>
    </row>
    <row r="11703" spans="1:26" ht="12.75">
      <c r="A11703" s="10"/>
      <c r="B11703" s="10"/>
      <c r="C11703" s="10"/>
      <c r="D11703" s="10"/>
      <c r="E11703" s="10"/>
      <c r="F11703" s="10"/>
      <c r="G11703" s="10"/>
      <c r="H11703" s="10"/>
      <c r="I11703" s="10"/>
      <c r="J11703" s="10"/>
      <c r="K11703" s="10"/>
      <c r="L11703" s="10"/>
      <c r="M11703" s="10"/>
      <c r="N11703" s="10"/>
      <c r="O11703" s="10"/>
      <c r="P11703" s="10"/>
      <c r="Q11703" s="10"/>
      <c r="R11703" s="10"/>
      <c r="S11703" s="10"/>
      <c r="T11703" s="10"/>
      <c r="U11703" s="10"/>
      <c r="V11703" s="10"/>
      <c r="W11703" s="10"/>
      <c r="X11703" s="10"/>
      <c r="Y11703" s="10"/>
      <c r="Z11703" s="10"/>
    </row>
    <row r="11704" spans="1:26" ht="12.75">
      <c r="A11704" s="10"/>
      <c r="B11704" s="10"/>
      <c r="C11704" s="10"/>
      <c r="D11704" s="10"/>
      <c r="E11704" s="10"/>
      <c r="F11704" s="10"/>
      <c r="G11704" s="10"/>
      <c r="H11704" s="10"/>
      <c r="I11704" s="10"/>
      <c r="J11704" s="10"/>
      <c r="K11704" s="10"/>
      <c r="L11704" s="10"/>
      <c r="M11704" s="10"/>
      <c r="N11704" s="10"/>
      <c r="O11704" s="10"/>
      <c r="P11704" s="10"/>
      <c r="Q11704" s="10"/>
      <c r="R11704" s="10"/>
      <c r="S11704" s="10"/>
      <c r="T11704" s="10"/>
      <c r="U11704" s="10"/>
      <c r="V11704" s="10"/>
      <c r="W11704" s="10"/>
      <c r="X11704" s="10"/>
      <c r="Y11704" s="10"/>
      <c r="Z11704" s="10"/>
    </row>
    <row r="11705" spans="1:26" ht="12.75">
      <c r="A11705" s="10"/>
      <c r="B11705" s="10"/>
      <c r="C11705" s="10"/>
      <c r="D11705" s="10"/>
      <c r="E11705" s="10"/>
      <c r="F11705" s="10"/>
      <c r="G11705" s="10"/>
      <c r="H11705" s="10"/>
      <c r="I11705" s="10"/>
      <c r="J11705" s="10"/>
      <c r="K11705" s="10"/>
      <c r="L11705" s="10"/>
      <c r="M11705" s="10"/>
      <c r="N11705" s="10"/>
      <c r="O11705" s="10"/>
      <c r="P11705" s="10"/>
      <c r="Q11705" s="10"/>
      <c r="R11705" s="10"/>
      <c r="S11705" s="10"/>
      <c r="T11705" s="10"/>
      <c r="U11705" s="10"/>
      <c r="V11705" s="10"/>
      <c r="W11705" s="10"/>
      <c r="X11705" s="10"/>
      <c r="Y11705" s="10"/>
      <c r="Z11705" s="10"/>
    </row>
    <row r="11706" spans="1:26" ht="12.75">
      <c r="A11706" s="10"/>
      <c r="B11706" s="10"/>
      <c r="C11706" s="10"/>
      <c r="D11706" s="10"/>
      <c r="E11706" s="10"/>
      <c r="F11706" s="10"/>
      <c r="G11706" s="10"/>
      <c r="H11706" s="10"/>
      <c r="I11706" s="10"/>
      <c r="J11706" s="10"/>
      <c r="K11706" s="10"/>
      <c r="L11706" s="10"/>
      <c r="M11706" s="10"/>
      <c r="N11706" s="10"/>
      <c r="O11706" s="10"/>
      <c r="P11706" s="10"/>
      <c r="Q11706" s="10"/>
      <c r="R11706" s="10"/>
      <c r="S11706" s="10"/>
      <c r="T11706" s="10"/>
      <c r="U11706" s="10"/>
      <c r="V11706" s="10"/>
      <c r="W11706" s="10"/>
      <c r="X11706" s="10"/>
      <c r="Y11706" s="10"/>
      <c r="Z11706" s="10"/>
    </row>
    <row r="11707" spans="1:26" ht="12.75">
      <c r="A11707" s="10"/>
      <c r="B11707" s="10"/>
      <c r="C11707" s="10"/>
      <c r="D11707" s="10"/>
      <c r="E11707" s="10"/>
      <c r="F11707" s="10"/>
      <c r="G11707" s="10"/>
      <c r="H11707" s="10"/>
      <c r="I11707" s="10"/>
      <c r="J11707" s="10"/>
      <c r="K11707" s="10"/>
      <c r="L11707" s="10"/>
      <c r="M11707" s="10"/>
      <c r="N11707" s="10"/>
      <c r="O11707" s="10"/>
      <c r="P11707" s="10"/>
      <c r="Q11707" s="10"/>
      <c r="R11707" s="10"/>
      <c r="S11707" s="10"/>
      <c r="T11707" s="10"/>
      <c r="U11707" s="10"/>
      <c r="V11707" s="10"/>
      <c r="W11707" s="10"/>
      <c r="X11707" s="10"/>
      <c r="Y11707" s="10"/>
      <c r="Z11707" s="10"/>
    </row>
    <row r="11708" spans="1:26" ht="12.75">
      <c r="A11708" s="10"/>
      <c r="B11708" s="10"/>
      <c r="C11708" s="10"/>
      <c r="D11708" s="10"/>
      <c r="E11708" s="10"/>
      <c r="F11708" s="10"/>
      <c r="G11708" s="10"/>
      <c r="H11708" s="10"/>
      <c r="I11708" s="10"/>
      <c r="J11708" s="10"/>
      <c r="K11708" s="10"/>
      <c r="L11708" s="10"/>
      <c r="M11708" s="10"/>
      <c r="N11708" s="10"/>
      <c r="O11708" s="10"/>
      <c r="P11708" s="10"/>
      <c r="Q11708" s="10"/>
      <c r="R11708" s="10"/>
      <c r="S11708" s="10"/>
      <c r="T11708" s="10"/>
      <c r="U11708" s="10"/>
      <c r="V11708" s="10"/>
      <c r="W11708" s="10"/>
      <c r="X11708" s="10"/>
      <c r="Y11708" s="10"/>
      <c r="Z11708" s="10"/>
    </row>
    <row r="11709" spans="1:26" ht="12.75">
      <c r="A11709" s="10"/>
      <c r="B11709" s="10"/>
      <c r="C11709" s="10"/>
      <c r="D11709" s="10"/>
      <c r="E11709" s="10"/>
      <c r="F11709" s="10"/>
      <c r="G11709" s="10"/>
      <c r="H11709" s="10"/>
      <c r="I11709" s="10"/>
      <c r="J11709" s="10"/>
      <c r="K11709" s="10"/>
      <c r="L11709" s="10"/>
      <c r="M11709" s="10"/>
      <c r="N11709" s="10"/>
      <c r="O11709" s="10"/>
      <c r="P11709" s="10"/>
      <c r="Q11709" s="10"/>
      <c r="R11709" s="10"/>
      <c r="S11709" s="10"/>
      <c r="T11709" s="10"/>
      <c r="U11709" s="10"/>
      <c r="V11709" s="10"/>
      <c r="W11709" s="10"/>
      <c r="X11709" s="10"/>
      <c r="Y11709" s="10"/>
      <c r="Z11709" s="10"/>
    </row>
    <row r="11710" spans="1:26" ht="12.75">
      <c r="A11710" s="10"/>
      <c r="B11710" s="10"/>
      <c r="C11710" s="10"/>
      <c r="D11710" s="10"/>
      <c r="E11710" s="10"/>
      <c r="F11710" s="10"/>
      <c r="G11710" s="10"/>
      <c r="H11710" s="10"/>
      <c r="I11710" s="10"/>
      <c r="J11710" s="10"/>
      <c r="K11710" s="10"/>
      <c r="L11710" s="10"/>
      <c r="M11710" s="10"/>
      <c r="N11710" s="10"/>
      <c r="O11710" s="10"/>
      <c r="P11710" s="10"/>
      <c r="Q11710" s="10"/>
      <c r="R11710" s="10"/>
      <c r="S11710" s="10"/>
      <c r="T11710" s="10"/>
      <c r="U11710" s="10"/>
      <c r="V11710" s="10"/>
      <c r="W11710" s="10"/>
      <c r="X11710" s="10"/>
      <c r="Y11710" s="10"/>
      <c r="Z11710" s="10"/>
    </row>
    <row r="11711" spans="1:26" ht="12.75">
      <c r="A11711" s="10"/>
      <c r="B11711" s="10"/>
      <c r="C11711" s="10"/>
      <c r="D11711" s="10"/>
      <c r="E11711" s="10"/>
      <c r="F11711" s="10"/>
      <c r="G11711" s="10"/>
      <c r="H11711" s="10"/>
      <c r="I11711" s="10"/>
      <c r="J11711" s="10"/>
      <c r="K11711" s="10"/>
      <c r="L11711" s="10"/>
      <c r="M11711" s="10"/>
      <c r="N11711" s="10"/>
      <c r="O11711" s="10"/>
      <c r="P11711" s="10"/>
      <c r="Q11711" s="10"/>
      <c r="R11711" s="10"/>
      <c r="S11711" s="10"/>
      <c r="T11711" s="10"/>
      <c r="U11711" s="10"/>
      <c r="V11711" s="10"/>
      <c r="W11711" s="10"/>
      <c r="X11711" s="10"/>
      <c r="Y11711" s="10"/>
      <c r="Z11711" s="10"/>
    </row>
    <row r="11712" spans="1:26" ht="12.75">
      <c r="A11712" s="10"/>
      <c r="B11712" s="10"/>
      <c r="C11712" s="10"/>
      <c r="D11712" s="10"/>
      <c r="E11712" s="10"/>
      <c r="F11712" s="10"/>
      <c r="G11712" s="10"/>
      <c r="H11712" s="10"/>
      <c r="I11712" s="10"/>
      <c r="J11712" s="10"/>
      <c r="K11712" s="10"/>
      <c r="L11712" s="10"/>
      <c r="M11712" s="10"/>
      <c r="N11712" s="10"/>
      <c r="O11712" s="10"/>
      <c r="P11712" s="10"/>
      <c r="Q11712" s="10"/>
      <c r="R11712" s="10"/>
      <c r="S11712" s="10"/>
      <c r="T11712" s="10"/>
      <c r="U11712" s="10"/>
      <c r="V11712" s="10"/>
      <c r="W11712" s="10"/>
      <c r="X11712" s="10"/>
      <c r="Y11712" s="10"/>
      <c r="Z11712" s="10"/>
    </row>
    <row r="11713" spans="1:26" ht="12.75">
      <c r="A11713" s="10"/>
      <c r="B11713" s="10"/>
      <c r="C11713" s="10"/>
      <c r="D11713" s="10"/>
      <c r="E11713" s="10"/>
      <c r="F11713" s="10"/>
      <c r="G11713" s="10"/>
      <c r="H11713" s="10"/>
      <c r="I11713" s="10"/>
      <c r="J11713" s="10"/>
      <c r="K11713" s="10"/>
      <c r="L11713" s="10"/>
      <c r="M11713" s="10"/>
      <c r="N11713" s="10"/>
      <c r="O11713" s="10"/>
      <c r="P11713" s="10"/>
      <c r="Q11713" s="10"/>
      <c r="R11713" s="10"/>
      <c r="S11713" s="10"/>
      <c r="T11713" s="10"/>
      <c r="U11713" s="10"/>
      <c r="V11713" s="10"/>
      <c r="W11713" s="10"/>
      <c r="X11713" s="10"/>
      <c r="Y11713" s="10"/>
      <c r="Z11713" s="10"/>
    </row>
    <row r="11714" spans="1:26" ht="12.75">
      <c r="A11714" s="10"/>
      <c r="B11714" s="10"/>
      <c r="C11714" s="10"/>
      <c r="D11714" s="10"/>
      <c r="E11714" s="10"/>
      <c r="F11714" s="10"/>
      <c r="G11714" s="10"/>
      <c r="H11714" s="10"/>
      <c r="I11714" s="10"/>
      <c r="J11714" s="10"/>
      <c r="K11714" s="10"/>
      <c r="L11714" s="10"/>
      <c r="M11714" s="10"/>
      <c r="N11714" s="10"/>
      <c r="O11714" s="10"/>
      <c r="P11714" s="10"/>
      <c r="Q11714" s="10"/>
      <c r="R11714" s="10"/>
      <c r="S11714" s="10"/>
      <c r="T11714" s="10"/>
      <c r="U11714" s="10"/>
      <c r="V11714" s="10"/>
      <c r="W11714" s="10"/>
      <c r="X11714" s="10"/>
      <c r="Y11714" s="10"/>
      <c r="Z11714" s="10"/>
    </row>
    <row r="11715" spans="1:26" ht="12.75">
      <c r="A11715" s="10"/>
      <c r="B11715" s="10"/>
      <c r="C11715" s="10"/>
      <c r="D11715" s="10"/>
      <c r="E11715" s="10"/>
      <c r="F11715" s="10"/>
      <c r="G11715" s="10"/>
      <c r="H11715" s="10"/>
      <c r="I11715" s="10"/>
      <c r="J11715" s="10"/>
      <c r="K11715" s="10"/>
      <c r="L11715" s="10"/>
      <c r="M11715" s="10"/>
      <c r="N11715" s="10"/>
      <c r="O11715" s="10"/>
      <c r="P11715" s="10"/>
      <c r="Q11715" s="10"/>
      <c r="R11715" s="10"/>
      <c r="S11715" s="10"/>
      <c r="T11715" s="10"/>
      <c r="U11715" s="10"/>
      <c r="V11715" s="10"/>
      <c r="W11715" s="10"/>
      <c r="X11715" s="10"/>
      <c r="Y11715" s="10"/>
      <c r="Z11715" s="10"/>
    </row>
    <row r="11716" spans="1:26" ht="12.75">
      <c r="A11716" s="10"/>
      <c r="B11716" s="10"/>
      <c r="C11716" s="10"/>
      <c r="D11716" s="10"/>
      <c r="E11716" s="10"/>
      <c r="F11716" s="10"/>
      <c r="G11716" s="10"/>
      <c r="H11716" s="10"/>
      <c r="I11716" s="10"/>
      <c r="J11716" s="10"/>
      <c r="K11716" s="10"/>
      <c r="L11716" s="10"/>
      <c r="M11716" s="10"/>
      <c r="N11716" s="10"/>
      <c r="O11716" s="10"/>
      <c r="P11716" s="10"/>
      <c r="Q11716" s="10"/>
      <c r="R11716" s="10"/>
      <c r="S11716" s="10"/>
      <c r="T11716" s="10"/>
      <c r="U11716" s="10"/>
      <c r="V11716" s="10"/>
      <c r="W11716" s="10"/>
      <c r="X11716" s="10"/>
      <c r="Y11716" s="10"/>
      <c r="Z11716" s="10"/>
    </row>
    <row r="11717" spans="1:26" ht="12.75">
      <c r="A11717" s="10"/>
      <c r="B11717" s="10"/>
      <c r="C11717" s="10"/>
      <c r="D11717" s="10"/>
      <c r="E11717" s="10"/>
      <c r="F11717" s="10"/>
      <c r="G11717" s="10"/>
      <c r="H11717" s="10"/>
      <c r="I11717" s="10"/>
      <c r="J11717" s="10"/>
      <c r="K11717" s="10"/>
      <c r="L11717" s="10"/>
      <c r="M11717" s="10"/>
      <c r="N11717" s="10"/>
      <c r="O11717" s="10"/>
      <c r="P11717" s="10"/>
      <c r="Q11717" s="10"/>
      <c r="R11717" s="10"/>
      <c r="S11717" s="10"/>
      <c r="T11717" s="10"/>
      <c r="U11717" s="10"/>
      <c r="V11717" s="10"/>
      <c r="W11717" s="10"/>
      <c r="X11717" s="10"/>
      <c r="Y11717" s="10"/>
      <c r="Z11717" s="10"/>
    </row>
    <row r="11718" spans="1:26" ht="12.75">
      <c r="A11718" s="10"/>
      <c r="B11718" s="10"/>
      <c r="C11718" s="10"/>
      <c r="D11718" s="10"/>
      <c r="E11718" s="10"/>
      <c r="F11718" s="10"/>
      <c r="G11718" s="10"/>
      <c r="H11718" s="10"/>
      <c r="I11718" s="10"/>
      <c r="J11718" s="10"/>
      <c r="K11718" s="10"/>
      <c r="L11718" s="10"/>
      <c r="M11718" s="10"/>
      <c r="N11718" s="10"/>
      <c r="O11718" s="10"/>
      <c r="P11718" s="10"/>
      <c r="Q11718" s="10"/>
      <c r="R11718" s="10"/>
      <c r="S11718" s="10"/>
      <c r="T11718" s="10"/>
      <c r="U11718" s="10"/>
      <c r="V11718" s="10"/>
      <c r="W11718" s="10"/>
      <c r="X11718" s="10"/>
      <c r="Y11718" s="10"/>
      <c r="Z11718" s="10"/>
    </row>
    <row r="11719" spans="1:26" ht="12.75">
      <c r="A11719" s="10"/>
      <c r="B11719" s="10"/>
      <c r="C11719" s="10"/>
      <c r="D11719" s="10"/>
      <c r="E11719" s="10"/>
      <c r="F11719" s="10"/>
      <c r="G11719" s="10"/>
      <c r="H11719" s="10"/>
      <c r="I11719" s="10"/>
      <c r="J11719" s="10"/>
      <c r="K11719" s="10"/>
      <c r="L11719" s="10"/>
      <c r="M11719" s="10"/>
      <c r="N11719" s="10"/>
      <c r="O11719" s="10"/>
      <c r="P11719" s="10"/>
      <c r="Q11719" s="10"/>
      <c r="R11719" s="10"/>
      <c r="S11719" s="10"/>
      <c r="T11719" s="10"/>
      <c r="U11719" s="10"/>
      <c r="V11719" s="10"/>
      <c r="W11719" s="10"/>
      <c r="X11719" s="10"/>
      <c r="Y11719" s="10"/>
      <c r="Z11719" s="10"/>
    </row>
    <row r="11720" spans="1:26" ht="12.75">
      <c r="A11720" s="10"/>
      <c r="B11720" s="10"/>
      <c r="C11720" s="10"/>
      <c r="D11720" s="10"/>
      <c r="E11720" s="10"/>
      <c r="F11720" s="10"/>
      <c r="G11720" s="10"/>
      <c r="H11720" s="10"/>
      <c r="I11720" s="10"/>
      <c r="J11720" s="10"/>
      <c r="K11720" s="10"/>
      <c r="L11720" s="10"/>
      <c r="M11720" s="10"/>
      <c r="N11720" s="10"/>
      <c r="O11720" s="10"/>
      <c r="P11720" s="10"/>
      <c r="Q11720" s="10"/>
      <c r="R11720" s="10"/>
      <c r="S11720" s="10"/>
      <c r="T11720" s="10"/>
      <c r="U11720" s="10"/>
      <c r="V11720" s="10"/>
      <c r="W11720" s="10"/>
      <c r="X11720" s="10"/>
      <c r="Y11720" s="10"/>
      <c r="Z11720" s="10"/>
    </row>
    <row r="11721" spans="1:26" ht="12.75">
      <c r="A11721" s="10"/>
      <c r="B11721" s="10"/>
      <c r="C11721" s="10"/>
      <c r="D11721" s="10"/>
      <c r="E11721" s="10"/>
      <c r="F11721" s="10"/>
      <c r="G11721" s="10"/>
      <c r="H11721" s="10"/>
      <c r="I11721" s="10"/>
      <c r="J11721" s="10"/>
      <c r="K11721" s="10"/>
      <c r="L11721" s="10"/>
      <c r="M11721" s="10"/>
      <c r="N11721" s="10"/>
      <c r="O11721" s="10"/>
      <c r="P11721" s="10"/>
      <c r="Q11721" s="10"/>
      <c r="R11721" s="10"/>
      <c r="S11721" s="10"/>
      <c r="T11721" s="10"/>
      <c r="U11721" s="10"/>
      <c r="V11721" s="10"/>
      <c r="W11721" s="10"/>
      <c r="X11721" s="10"/>
      <c r="Y11721" s="10"/>
      <c r="Z11721" s="10"/>
    </row>
    <row r="11722" spans="1:26" ht="12.75">
      <c r="A11722" s="10"/>
      <c r="B11722" s="10"/>
      <c r="C11722" s="10"/>
      <c r="D11722" s="10"/>
      <c r="E11722" s="10"/>
      <c r="F11722" s="10"/>
      <c r="G11722" s="10"/>
      <c r="H11722" s="10"/>
      <c r="I11722" s="10"/>
      <c r="J11722" s="10"/>
      <c r="K11722" s="10"/>
      <c r="L11722" s="10"/>
      <c r="M11722" s="10"/>
      <c r="N11722" s="10"/>
      <c r="O11722" s="10"/>
      <c r="P11722" s="10"/>
      <c r="Q11722" s="10"/>
      <c r="R11722" s="10"/>
      <c r="S11722" s="10"/>
      <c r="T11722" s="10"/>
      <c r="U11722" s="10"/>
      <c r="V11722" s="10"/>
      <c r="W11722" s="10"/>
      <c r="X11722" s="10"/>
      <c r="Y11722" s="10"/>
      <c r="Z11722" s="10"/>
    </row>
    <row r="11723" spans="1:26" ht="12.75">
      <c r="A11723" s="10"/>
      <c r="B11723" s="10"/>
      <c r="C11723" s="10"/>
      <c r="D11723" s="10"/>
      <c r="E11723" s="10"/>
      <c r="F11723" s="10"/>
      <c r="G11723" s="10"/>
      <c r="H11723" s="10"/>
      <c r="I11723" s="10"/>
      <c r="J11723" s="10"/>
      <c r="K11723" s="10"/>
      <c r="L11723" s="10"/>
      <c r="M11723" s="10"/>
      <c r="N11723" s="10"/>
      <c r="O11723" s="10"/>
      <c r="P11723" s="10"/>
      <c r="Q11723" s="10"/>
      <c r="R11723" s="10"/>
      <c r="S11723" s="10"/>
      <c r="T11723" s="10"/>
      <c r="U11723" s="10"/>
      <c r="V11723" s="10"/>
      <c r="W11723" s="10"/>
      <c r="X11723" s="10"/>
      <c r="Y11723" s="10"/>
      <c r="Z11723" s="10"/>
    </row>
    <row r="11724" spans="1:26" ht="12.75">
      <c r="A11724" s="10"/>
      <c r="B11724" s="10"/>
      <c r="C11724" s="10"/>
      <c r="D11724" s="10"/>
      <c r="E11724" s="10"/>
      <c r="F11724" s="10"/>
      <c r="G11724" s="10"/>
      <c r="H11724" s="10"/>
      <c r="I11724" s="10"/>
      <c r="J11724" s="10"/>
      <c r="K11724" s="10"/>
      <c r="L11724" s="10"/>
      <c r="M11724" s="10"/>
      <c r="N11724" s="10"/>
      <c r="O11724" s="10"/>
      <c r="P11724" s="10"/>
      <c r="Q11724" s="10"/>
      <c r="R11724" s="10"/>
      <c r="S11724" s="10"/>
      <c r="T11724" s="10"/>
      <c r="U11724" s="10"/>
      <c r="V11724" s="10"/>
      <c r="W11724" s="10"/>
      <c r="X11724" s="10"/>
      <c r="Y11724" s="10"/>
      <c r="Z11724" s="10"/>
    </row>
    <row r="11725" spans="1:26" ht="12.75">
      <c r="A11725" s="10"/>
      <c r="B11725" s="10"/>
      <c r="C11725" s="10"/>
      <c r="D11725" s="10"/>
      <c r="E11725" s="10"/>
      <c r="F11725" s="10"/>
      <c r="G11725" s="10"/>
      <c r="H11725" s="10"/>
      <c r="I11725" s="10"/>
      <c r="J11725" s="10"/>
      <c r="K11725" s="10"/>
      <c r="L11725" s="10"/>
      <c r="M11725" s="10"/>
      <c r="N11725" s="10"/>
      <c r="O11725" s="10"/>
      <c r="P11725" s="10"/>
      <c r="Q11725" s="10"/>
      <c r="R11725" s="10"/>
      <c r="S11725" s="10"/>
      <c r="T11725" s="10"/>
      <c r="U11725" s="10"/>
      <c r="V11725" s="10"/>
      <c r="W11725" s="10"/>
      <c r="X11725" s="10"/>
      <c r="Y11725" s="10"/>
      <c r="Z11725" s="10"/>
    </row>
    <row r="11726" spans="1:26" ht="12.75">
      <c r="A11726" s="10"/>
      <c r="B11726" s="10"/>
      <c r="C11726" s="10"/>
      <c r="D11726" s="10"/>
      <c r="E11726" s="10"/>
      <c r="F11726" s="10"/>
      <c r="G11726" s="10"/>
      <c r="H11726" s="10"/>
      <c r="I11726" s="10"/>
      <c r="J11726" s="10"/>
      <c r="K11726" s="10"/>
      <c r="L11726" s="10"/>
      <c r="M11726" s="10"/>
      <c r="N11726" s="10"/>
      <c r="O11726" s="10"/>
      <c r="P11726" s="10"/>
      <c r="Q11726" s="10"/>
      <c r="R11726" s="10"/>
      <c r="S11726" s="10"/>
      <c r="T11726" s="10"/>
      <c r="U11726" s="10"/>
      <c r="V11726" s="10"/>
      <c r="W11726" s="10"/>
      <c r="X11726" s="10"/>
      <c r="Y11726" s="10"/>
      <c r="Z11726" s="10"/>
    </row>
    <row r="11727" spans="1:26" ht="12.75">
      <c r="A11727" s="10"/>
      <c r="B11727" s="10"/>
      <c r="C11727" s="10"/>
      <c r="D11727" s="10"/>
      <c r="E11727" s="10"/>
      <c r="F11727" s="10"/>
      <c r="G11727" s="10"/>
      <c r="H11727" s="10"/>
      <c r="I11727" s="10"/>
      <c r="J11727" s="10"/>
      <c r="K11727" s="10"/>
      <c r="L11727" s="10"/>
      <c r="M11727" s="10"/>
      <c r="N11727" s="10"/>
      <c r="O11727" s="10"/>
      <c r="P11727" s="10"/>
      <c r="Q11727" s="10"/>
      <c r="R11727" s="10"/>
      <c r="S11727" s="10"/>
      <c r="T11727" s="10"/>
      <c r="U11727" s="10"/>
      <c r="V11727" s="10"/>
      <c r="W11727" s="10"/>
      <c r="X11727" s="10"/>
      <c r="Y11727" s="10"/>
      <c r="Z11727" s="10"/>
    </row>
    <row r="11728" spans="1:26" ht="12.75">
      <c r="A11728" s="10"/>
      <c r="B11728" s="10"/>
      <c r="C11728" s="10"/>
      <c r="D11728" s="10"/>
      <c r="E11728" s="10"/>
      <c r="F11728" s="10"/>
      <c r="G11728" s="10"/>
      <c r="H11728" s="10"/>
      <c r="I11728" s="10"/>
      <c r="J11728" s="10"/>
      <c r="K11728" s="10"/>
      <c r="L11728" s="10"/>
      <c r="M11728" s="10"/>
      <c r="N11728" s="10"/>
      <c r="O11728" s="10"/>
      <c r="P11728" s="10"/>
      <c r="Q11728" s="10"/>
      <c r="R11728" s="10"/>
      <c r="S11728" s="10"/>
      <c r="T11728" s="10"/>
      <c r="U11728" s="10"/>
      <c r="V11728" s="10"/>
      <c r="W11728" s="10"/>
      <c r="X11728" s="10"/>
      <c r="Y11728" s="10"/>
      <c r="Z11728" s="10"/>
    </row>
    <row r="11729" spans="1:26" ht="12.75">
      <c r="A11729" s="10"/>
      <c r="B11729" s="10"/>
      <c r="C11729" s="10"/>
      <c r="D11729" s="10"/>
      <c r="E11729" s="10"/>
      <c r="F11729" s="10"/>
      <c r="G11729" s="10"/>
      <c r="H11729" s="10"/>
      <c r="I11729" s="10"/>
      <c r="J11729" s="10"/>
      <c r="K11729" s="10"/>
      <c r="L11729" s="10"/>
      <c r="M11729" s="10"/>
      <c r="N11729" s="10"/>
      <c r="O11729" s="10"/>
      <c r="P11729" s="10"/>
      <c r="Q11729" s="10"/>
      <c r="R11729" s="10"/>
      <c r="S11729" s="10"/>
      <c r="T11729" s="10"/>
      <c r="U11729" s="10"/>
      <c r="V11729" s="10"/>
      <c r="W11729" s="10"/>
      <c r="X11729" s="10"/>
      <c r="Y11729" s="10"/>
      <c r="Z11729" s="10"/>
    </row>
    <row r="11730" spans="1:26" ht="12.75">
      <c r="A11730" s="10"/>
      <c r="B11730" s="10"/>
      <c r="C11730" s="10"/>
      <c r="D11730" s="10"/>
      <c r="E11730" s="10"/>
      <c r="F11730" s="10"/>
      <c r="G11730" s="10"/>
      <c r="H11730" s="10"/>
      <c r="I11730" s="10"/>
      <c r="J11730" s="10"/>
      <c r="K11730" s="10"/>
      <c r="L11730" s="10"/>
      <c r="M11730" s="10"/>
      <c r="N11730" s="10"/>
      <c r="O11730" s="10"/>
      <c r="P11730" s="10"/>
      <c r="Q11730" s="10"/>
      <c r="R11730" s="10"/>
      <c r="S11730" s="10"/>
      <c r="T11730" s="10"/>
      <c r="U11730" s="10"/>
      <c r="V11730" s="10"/>
      <c r="W11730" s="10"/>
      <c r="X11730" s="10"/>
      <c r="Y11730" s="10"/>
      <c r="Z11730" s="10"/>
    </row>
    <row r="11731" spans="1:26" ht="12.75">
      <c r="A11731" s="10"/>
      <c r="B11731" s="10"/>
      <c r="C11731" s="10"/>
      <c r="D11731" s="10"/>
      <c r="E11731" s="10"/>
      <c r="F11731" s="10"/>
      <c r="G11731" s="10"/>
      <c r="H11731" s="10"/>
      <c r="I11731" s="10"/>
      <c r="J11731" s="10"/>
      <c r="K11731" s="10"/>
      <c r="L11731" s="10"/>
      <c r="M11731" s="10"/>
      <c r="N11731" s="10"/>
      <c r="O11731" s="10"/>
      <c r="P11731" s="10"/>
      <c r="Q11731" s="10"/>
      <c r="R11731" s="10"/>
      <c r="S11731" s="10"/>
      <c r="T11731" s="10"/>
      <c r="U11731" s="10"/>
      <c r="V11731" s="10"/>
      <c r="W11731" s="10"/>
      <c r="X11731" s="10"/>
      <c r="Y11731" s="10"/>
      <c r="Z11731" s="10"/>
    </row>
    <row r="11732" spans="1:26" ht="12.75">
      <c r="A11732" s="10"/>
      <c r="B11732" s="10"/>
      <c r="C11732" s="10"/>
      <c r="D11732" s="10"/>
      <c r="E11732" s="10"/>
      <c r="F11732" s="10"/>
      <c r="G11732" s="10"/>
      <c r="H11732" s="10"/>
      <c r="I11732" s="10"/>
      <c r="J11732" s="10"/>
      <c r="K11732" s="10"/>
      <c r="L11732" s="10"/>
      <c r="M11732" s="10"/>
      <c r="N11732" s="10"/>
      <c r="O11732" s="10"/>
      <c r="P11732" s="10"/>
      <c r="Q11732" s="10"/>
      <c r="R11732" s="10"/>
      <c r="S11732" s="10"/>
      <c r="T11732" s="10"/>
      <c r="U11732" s="10"/>
      <c r="V11732" s="10"/>
      <c r="W11732" s="10"/>
      <c r="X11732" s="10"/>
      <c r="Y11732" s="10"/>
      <c r="Z11732" s="10"/>
    </row>
    <row r="11733" spans="1:26" ht="12.75">
      <c r="A11733" s="10"/>
      <c r="B11733" s="10"/>
      <c r="C11733" s="10"/>
      <c r="D11733" s="10"/>
      <c r="E11733" s="10"/>
      <c r="F11733" s="10"/>
      <c r="G11733" s="10"/>
      <c r="H11733" s="10"/>
      <c r="I11733" s="10"/>
      <c r="J11733" s="10"/>
      <c r="K11733" s="10"/>
      <c r="L11733" s="10"/>
      <c r="M11733" s="10"/>
      <c r="N11733" s="10"/>
      <c r="O11733" s="10"/>
      <c r="P11733" s="10"/>
      <c r="Q11733" s="10"/>
      <c r="R11733" s="10"/>
      <c r="S11733" s="10"/>
      <c r="T11733" s="10"/>
      <c r="U11733" s="10"/>
      <c r="V11733" s="10"/>
      <c r="W11733" s="10"/>
      <c r="X11733" s="10"/>
      <c r="Y11733" s="10"/>
      <c r="Z11733" s="10"/>
    </row>
    <row r="11734" spans="1:26" ht="12.75">
      <c r="A11734" s="10"/>
      <c r="B11734" s="10"/>
      <c r="C11734" s="10"/>
      <c r="D11734" s="10"/>
      <c r="E11734" s="10"/>
      <c r="F11734" s="10"/>
      <c r="G11734" s="10"/>
      <c r="H11734" s="10"/>
      <c r="I11734" s="10"/>
      <c r="J11734" s="10"/>
      <c r="K11734" s="10"/>
      <c r="L11734" s="10"/>
      <c r="M11734" s="10"/>
      <c r="N11734" s="10"/>
      <c r="O11734" s="10"/>
      <c r="P11734" s="10"/>
      <c r="Q11734" s="10"/>
      <c r="R11734" s="10"/>
      <c r="S11734" s="10"/>
      <c r="T11734" s="10"/>
      <c r="U11734" s="10"/>
      <c r="V11734" s="10"/>
      <c r="W11734" s="10"/>
      <c r="X11734" s="10"/>
      <c r="Y11734" s="10"/>
      <c r="Z11734" s="10"/>
    </row>
    <row r="11735" spans="1:26" ht="12.75">
      <c r="A11735" s="10"/>
      <c r="B11735" s="10"/>
      <c r="C11735" s="10"/>
      <c r="D11735" s="10"/>
      <c r="E11735" s="10"/>
      <c r="F11735" s="10"/>
      <c r="G11735" s="10"/>
      <c r="H11735" s="10"/>
      <c r="I11735" s="10"/>
      <c r="J11735" s="10"/>
      <c r="K11735" s="10"/>
      <c r="L11735" s="10"/>
      <c r="M11735" s="10"/>
      <c r="N11735" s="10"/>
      <c r="O11735" s="10"/>
      <c r="P11735" s="10"/>
      <c r="Q11735" s="10"/>
      <c r="R11735" s="10"/>
      <c r="S11735" s="10"/>
      <c r="T11735" s="10"/>
      <c r="U11735" s="10"/>
      <c r="V11735" s="10"/>
      <c r="W11735" s="10"/>
      <c r="X11735" s="10"/>
      <c r="Y11735" s="10"/>
      <c r="Z11735" s="10"/>
    </row>
    <row r="11736" spans="1:26" ht="12.75">
      <c r="A11736" s="10"/>
      <c r="B11736" s="10"/>
      <c r="C11736" s="10"/>
      <c r="D11736" s="10"/>
      <c r="E11736" s="10"/>
      <c r="F11736" s="10"/>
      <c r="G11736" s="10"/>
      <c r="H11736" s="10"/>
      <c r="I11736" s="10"/>
      <c r="J11736" s="10"/>
      <c r="K11736" s="10"/>
      <c r="L11736" s="10"/>
      <c r="M11736" s="10"/>
      <c r="N11736" s="10"/>
      <c r="O11736" s="10"/>
      <c r="P11736" s="10"/>
      <c r="Q11736" s="10"/>
      <c r="R11736" s="10"/>
      <c r="S11736" s="10"/>
      <c r="T11736" s="10"/>
      <c r="U11736" s="10"/>
      <c r="V11736" s="10"/>
      <c r="W11736" s="10"/>
      <c r="X11736" s="10"/>
      <c r="Y11736" s="10"/>
      <c r="Z11736" s="10"/>
    </row>
    <row r="11737" spans="1:26" ht="12.75">
      <c r="A11737" s="10"/>
      <c r="B11737" s="10"/>
      <c r="C11737" s="10"/>
      <c r="D11737" s="10"/>
      <c r="E11737" s="10"/>
      <c r="F11737" s="10"/>
      <c r="G11737" s="10"/>
      <c r="H11737" s="10"/>
      <c r="I11737" s="10"/>
      <c r="J11737" s="10"/>
      <c r="K11737" s="10"/>
      <c r="L11737" s="10"/>
      <c r="M11737" s="10"/>
      <c r="N11737" s="10"/>
      <c r="O11737" s="10"/>
      <c r="P11737" s="10"/>
      <c r="Q11737" s="10"/>
      <c r="R11737" s="10"/>
      <c r="S11737" s="10"/>
      <c r="T11737" s="10"/>
      <c r="U11737" s="10"/>
      <c r="V11737" s="10"/>
      <c r="W11737" s="10"/>
      <c r="X11737" s="10"/>
      <c r="Y11737" s="10"/>
      <c r="Z11737" s="10"/>
    </row>
    <row r="11738" spans="1:26" ht="12.75">
      <c r="A11738" s="10"/>
      <c r="B11738" s="10"/>
      <c r="C11738" s="10"/>
      <c r="D11738" s="10"/>
      <c r="E11738" s="10"/>
      <c r="F11738" s="10"/>
      <c r="G11738" s="10"/>
      <c r="H11738" s="10"/>
      <c r="I11738" s="10"/>
      <c r="J11738" s="10"/>
      <c r="K11738" s="10"/>
      <c r="L11738" s="10"/>
      <c r="M11738" s="10"/>
      <c r="N11738" s="10"/>
      <c r="O11738" s="10"/>
      <c r="P11738" s="10"/>
      <c r="Q11738" s="10"/>
      <c r="R11738" s="10"/>
      <c r="S11738" s="10"/>
      <c r="T11738" s="10"/>
      <c r="U11738" s="10"/>
      <c r="V11738" s="10"/>
      <c r="W11738" s="10"/>
      <c r="X11738" s="10"/>
      <c r="Y11738" s="10"/>
      <c r="Z11738" s="10"/>
    </row>
    <row r="11739" spans="1:26" ht="12.75">
      <c r="A11739" s="10"/>
      <c r="B11739" s="10"/>
      <c r="C11739" s="10"/>
      <c r="D11739" s="10"/>
      <c r="E11739" s="10"/>
      <c r="F11739" s="10"/>
      <c r="G11739" s="10"/>
      <c r="H11739" s="10"/>
      <c r="I11739" s="10"/>
      <c r="J11739" s="10"/>
      <c r="K11739" s="10"/>
      <c r="L11739" s="10"/>
      <c r="M11739" s="10"/>
      <c r="N11739" s="10"/>
      <c r="O11739" s="10"/>
      <c r="P11739" s="10"/>
      <c r="Q11739" s="10"/>
      <c r="R11739" s="10"/>
      <c r="S11739" s="10"/>
      <c r="T11739" s="10"/>
      <c r="U11739" s="10"/>
      <c r="V11739" s="10"/>
      <c r="W11739" s="10"/>
      <c r="X11739" s="10"/>
      <c r="Y11739" s="10"/>
      <c r="Z11739" s="10"/>
    </row>
    <row r="11740" spans="1:26" ht="12.75">
      <c r="A11740" s="10"/>
      <c r="B11740" s="10"/>
      <c r="C11740" s="10"/>
      <c r="D11740" s="10"/>
      <c r="E11740" s="10"/>
      <c r="F11740" s="10"/>
      <c r="G11740" s="10"/>
      <c r="H11740" s="10"/>
      <c r="I11740" s="10"/>
      <c r="J11740" s="10"/>
      <c r="K11740" s="10"/>
      <c r="L11740" s="10"/>
      <c r="M11740" s="10"/>
      <c r="N11740" s="10"/>
      <c r="O11740" s="10"/>
      <c r="P11740" s="10"/>
      <c r="Q11740" s="10"/>
      <c r="R11740" s="10"/>
      <c r="S11740" s="10"/>
      <c r="T11740" s="10"/>
      <c r="U11740" s="10"/>
      <c r="V11740" s="10"/>
      <c r="W11740" s="10"/>
      <c r="X11740" s="10"/>
      <c r="Y11740" s="10"/>
      <c r="Z11740" s="10"/>
    </row>
    <row r="11741" spans="1:26" ht="12.75">
      <c r="A11741" s="10"/>
      <c r="B11741" s="10"/>
      <c r="C11741" s="10"/>
      <c r="D11741" s="10"/>
      <c r="E11741" s="10"/>
      <c r="F11741" s="10"/>
      <c r="G11741" s="10"/>
      <c r="H11741" s="10"/>
      <c r="I11741" s="10"/>
      <c r="J11741" s="10"/>
      <c r="K11741" s="10"/>
      <c r="L11741" s="10"/>
      <c r="M11741" s="10"/>
      <c r="N11741" s="10"/>
      <c r="O11741" s="10"/>
      <c r="P11741" s="10"/>
      <c r="Q11741" s="10"/>
      <c r="R11741" s="10"/>
      <c r="S11741" s="10"/>
      <c r="T11741" s="10"/>
      <c r="U11741" s="10"/>
      <c r="V11741" s="10"/>
      <c r="W11741" s="10"/>
      <c r="X11741" s="10"/>
      <c r="Y11741" s="10"/>
      <c r="Z11741" s="10"/>
    </row>
    <row r="11742" spans="1:26" ht="12.75">
      <c r="A11742" s="10"/>
      <c r="B11742" s="10"/>
      <c r="C11742" s="10"/>
      <c r="D11742" s="10"/>
      <c r="E11742" s="10"/>
      <c r="F11742" s="10"/>
      <c r="G11742" s="10"/>
      <c r="H11742" s="10"/>
      <c r="I11742" s="10"/>
      <c r="J11742" s="10"/>
      <c r="K11742" s="10"/>
      <c r="L11742" s="10"/>
      <c r="M11742" s="10"/>
      <c r="N11742" s="10"/>
      <c r="O11742" s="10"/>
      <c r="P11742" s="10"/>
      <c r="Q11742" s="10"/>
      <c r="R11742" s="10"/>
      <c r="S11742" s="10"/>
      <c r="T11742" s="10"/>
      <c r="U11742" s="10"/>
      <c r="V11742" s="10"/>
      <c r="W11742" s="10"/>
      <c r="X11742" s="10"/>
      <c r="Y11742" s="10"/>
      <c r="Z11742" s="10"/>
    </row>
    <row r="11743" spans="1:26" ht="12.75">
      <c r="A11743" s="10"/>
      <c r="B11743" s="10"/>
      <c r="C11743" s="10"/>
      <c r="D11743" s="10"/>
      <c r="E11743" s="10"/>
      <c r="F11743" s="10"/>
      <c r="G11743" s="10"/>
      <c r="H11743" s="10"/>
      <c r="I11743" s="10"/>
      <c r="J11743" s="10"/>
      <c r="K11743" s="10"/>
      <c r="L11743" s="10"/>
      <c r="M11743" s="10"/>
      <c r="N11743" s="10"/>
      <c r="O11743" s="10"/>
      <c r="P11743" s="10"/>
      <c r="Q11743" s="10"/>
      <c r="R11743" s="10"/>
      <c r="S11743" s="10"/>
      <c r="T11743" s="10"/>
      <c r="U11743" s="10"/>
      <c r="V11743" s="10"/>
      <c r="W11743" s="10"/>
      <c r="X11743" s="10"/>
      <c r="Y11743" s="10"/>
      <c r="Z11743" s="10"/>
    </row>
    <row r="11744" spans="1:26" ht="12.75">
      <c r="A11744" s="10"/>
      <c r="B11744" s="10"/>
      <c r="C11744" s="10"/>
      <c r="D11744" s="10"/>
      <c r="E11744" s="10"/>
      <c r="F11744" s="10"/>
      <c r="G11744" s="10"/>
      <c r="H11744" s="10"/>
      <c r="I11744" s="10"/>
      <c r="J11744" s="10"/>
      <c r="K11744" s="10"/>
      <c r="L11744" s="10"/>
      <c r="M11744" s="10"/>
      <c r="N11744" s="10"/>
      <c r="O11744" s="10"/>
      <c r="P11744" s="10"/>
      <c r="Q11744" s="10"/>
      <c r="R11744" s="10"/>
      <c r="S11744" s="10"/>
      <c r="T11744" s="10"/>
      <c r="U11744" s="10"/>
      <c r="V11744" s="10"/>
      <c r="W11744" s="10"/>
      <c r="X11744" s="10"/>
      <c r="Y11744" s="10"/>
      <c r="Z11744" s="10"/>
    </row>
    <row r="11745" spans="1:26" ht="12.75">
      <c r="A11745" s="10"/>
      <c r="B11745" s="10"/>
      <c r="C11745" s="10"/>
      <c r="D11745" s="10"/>
      <c r="E11745" s="10"/>
      <c r="F11745" s="10"/>
      <c r="G11745" s="10"/>
      <c r="H11745" s="10"/>
      <c r="I11745" s="10"/>
      <c r="J11745" s="10"/>
      <c r="K11745" s="10"/>
      <c r="L11745" s="10"/>
      <c r="M11745" s="10"/>
      <c r="N11745" s="10"/>
      <c r="O11745" s="10"/>
      <c r="P11745" s="10"/>
      <c r="Q11745" s="10"/>
      <c r="R11745" s="10"/>
      <c r="S11745" s="10"/>
      <c r="T11745" s="10"/>
      <c r="U11745" s="10"/>
      <c r="V11745" s="10"/>
      <c r="W11745" s="10"/>
      <c r="X11745" s="10"/>
      <c r="Y11745" s="10"/>
      <c r="Z11745" s="10"/>
    </row>
    <row r="11746" spans="1:26" ht="12.75">
      <c r="A11746" s="10"/>
      <c r="B11746" s="10"/>
      <c r="C11746" s="10"/>
      <c r="D11746" s="10"/>
      <c r="E11746" s="10"/>
      <c r="F11746" s="10"/>
      <c r="G11746" s="10"/>
      <c r="H11746" s="10"/>
      <c r="I11746" s="10"/>
      <c r="J11746" s="10"/>
      <c r="K11746" s="10"/>
      <c r="L11746" s="10"/>
      <c r="M11746" s="10"/>
      <c r="N11746" s="10"/>
      <c r="O11746" s="10"/>
      <c r="P11746" s="10"/>
      <c r="Q11746" s="10"/>
      <c r="R11746" s="10"/>
      <c r="S11746" s="10"/>
      <c r="T11746" s="10"/>
      <c r="U11746" s="10"/>
      <c r="V11746" s="10"/>
      <c r="W11746" s="10"/>
      <c r="X11746" s="10"/>
      <c r="Y11746" s="10"/>
      <c r="Z11746" s="10"/>
    </row>
    <row r="11747" spans="1:26" ht="12.75">
      <c r="A11747" s="10"/>
      <c r="B11747" s="10"/>
      <c r="C11747" s="10"/>
      <c r="D11747" s="10"/>
      <c r="E11747" s="10"/>
      <c r="F11747" s="10"/>
      <c r="G11747" s="10"/>
      <c r="H11747" s="10"/>
      <c r="I11747" s="10"/>
      <c r="J11747" s="10"/>
      <c r="K11747" s="10"/>
      <c r="L11747" s="10"/>
      <c r="M11747" s="10"/>
      <c r="N11747" s="10"/>
      <c r="O11747" s="10"/>
      <c r="P11747" s="10"/>
      <c r="Q11747" s="10"/>
      <c r="R11747" s="10"/>
      <c r="S11747" s="10"/>
      <c r="T11747" s="10"/>
      <c r="U11747" s="10"/>
      <c r="V11747" s="10"/>
      <c r="W11747" s="10"/>
      <c r="X11747" s="10"/>
      <c r="Y11747" s="10"/>
      <c r="Z11747" s="10"/>
    </row>
    <row r="11748" spans="1:26" ht="12.75">
      <c r="A11748" s="10"/>
      <c r="B11748" s="10"/>
      <c r="C11748" s="10"/>
      <c r="D11748" s="10"/>
      <c r="E11748" s="10"/>
      <c r="F11748" s="10"/>
      <c r="G11748" s="10"/>
      <c r="H11748" s="10"/>
      <c r="I11748" s="10"/>
      <c r="J11748" s="10"/>
      <c r="K11748" s="10"/>
      <c r="L11748" s="10"/>
      <c r="M11748" s="10"/>
      <c r="N11748" s="10"/>
      <c r="O11748" s="10"/>
      <c r="P11748" s="10"/>
      <c r="Q11748" s="10"/>
      <c r="R11748" s="10"/>
      <c r="S11748" s="10"/>
      <c r="T11748" s="10"/>
      <c r="U11748" s="10"/>
      <c r="V11748" s="10"/>
      <c r="W11748" s="10"/>
      <c r="X11748" s="10"/>
      <c r="Y11748" s="10"/>
      <c r="Z11748" s="10"/>
    </row>
    <row r="11749" spans="1:26" ht="12.75">
      <c r="A11749" s="10"/>
      <c r="B11749" s="10"/>
      <c r="C11749" s="10"/>
      <c r="D11749" s="10"/>
      <c r="E11749" s="10"/>
      <c r="F11749" s="10"/>
      <c r="G11749" s="10"/>
      <c r="H11749" s="10"/>
      <c r="I11749" s="10"/>
      <c r="J11749" s="10"/>
      <c r="K11749" s="10"/>
      <c r="L11749" s="10"/>
      <c r="M11749" s="10"/>
      <c r="N11749" s="10"/>
      <c r="O11749" s="10"/>
      <c r="P11749" s="10"/>
      <c r="Q11749" s="10"/>
      <c r="R11749" s="10"/>
      <c r="S11749" s="10"/>
      <c r="T11749" s="10"/>
      <c r="U11749" s="10"/>
      <c r="V11749" s="10"/>
      <c r="W11749" s="10"/>
      <c r="X11749" s="10"/>
      <c r="Y11749" s="10"/>
      <c r="Z11749" s="10"/>
    </row>
    <row r="11750" spans="1:26" ht="12.75">
      <c r="A11750" s="10"/>
      <c r="B11750" s="10"/>
      <c r="C11750" s="10"/>
      <c r="D11750" s="10"/>
      <c r="E11750" s="10"/>
      <c r="F11750" s="10"/>
      <c r="G11750" s="10"/>
      <c r="H11750" s="10"/>
      <c r="I11750" s="10"/>
      <c r="J11750" s="10"/>
      <c r="K11750" s="10"/>
      <c r="L11750" s="10"/>
      <c r="M11750" s="10"/>
      <c r="N11750" s="10"/>
      <c r="O11750" s="10"/>
      <c r="P11750" s="10"/>
      <c r="Q11750" s="10"/>
      <c r="R11750" s="10"/>
      <c r="S11750" s="10"/>
      <c r="T11750" s="10"/>
      <c r="U11750" s="10"/>
      <c r="V11750" s="10"/>
      <c r="W11750" s="10"/>
      <c r="X11750" s="10"/>
      <c r="Y11750" s="10"/>
      <c r="Z11750" s="10"/>
    </row>
    <row r="11751" spans="1:26" ht="12.75">
      <c r="A11751" s="10"/>
      <c r="B11751" s="10"/>
      <c r="C11751" s="10"/>
      <c r="D11751" s="10"/>
      <c r="E11751" s="10"/>
      <c r="F11751" s="10"/>
      <c r="G11751" s="10"/>
      <c r="H11751" s="10"/>
      <c r="I11751" s="10"/>
      <c r="J11751" s="10"/>
      <c r="K11751" s="10"/>
      <c r="L11751" s="10"/>
      <c r="M11751" s="10"/>
      <c r="N11751" s="10"/>
      <c r="O11751" s="10"/>
      <c r="P11751" s="10"/>
      <c r="Q11751" s="10"/>
      <c r="R11751" s="10"/>
      <c r="S11751" s="10"/>
      <c r="T11751" s="10"/>
      <c r="U11751" s="10"/>
      <c r="V11751" s="10"/>
      <c r="W11751" s="10"/>
      <c r="X11751" s="10"/>
      <c r="Y11751" s="10"/>
      <c r="Z11751" s="10"/>
    </row>
    <row r="11752" spans="1:26" ht="12.75">
      <c r="A11752" s="10"/>
      <c r="B11752" s="10"/>
      <c r="C11752" s="10"/>
      <c r="D11752" s="10"/>
      <c r="E11752" s="10"/>
      <c r="F11752" s="10"/>
      <c r="G11752" s="10"/>
      <c r="H11752" s="10"/>
      <c r="I11752" s="10"/>
      <c r="J11752" s="10"/>
      <c r="K11752" s="10"/>
      <c r="L11752" s="10"/>
      <c r="M11752" s="10"/>
      <c r="N11752" s="10"/>
      <c r="O11752" s="10"/>
      <c r="P11752" s="10"/>
      <c r="Q11752" s="10"/>
      <c r="R11752" s="10"/>
      <c r="S11752" s="10"/>
      <c r="T11752" s="10"/>
      <c r="U11752" s="10"/>
      <c r="V11752" s="10"/>
      <c r="W11752" s="10"/>
      <c r="X11752" s="10"/>
      <c r="Y11752" s="10"/>
      <c r="Z11752" s="10"/>
    </row>
    <row r="11753" spans="1:26" ht="12.75">
      <c r="A11753" s="10"/>
      <c r="B11753" s="10"/>
      <c r="C11753" s="10"/>
      <c r="D11753" s="10"/>
      <c r="E11753" s="10"/>
      <c r="F11753" s="10"/>
      <c r="G11753" s="10"/>
      <c r="H11753" s="10"/>
      <c r="I11753" s="10"/>
      <c r="J11753" s="10"/>
      <c r="K11753" s="10"/>
      <c r="L11753" s="10"/>
      <c r="M11753" s="10"/>
      <c r="N11753" s="10"/>
      <c r="O11753" s="10"/>
      <c r="P11753" s="10"/>
      <c r="Q11753" s="10"/>
      <c r="R11753" s="10"/>
      <c r="S11753" s="10"/>
      <c r="T11753" s="10"/>
      <c r="U11753" s="10"/>
      <c r="V11753" s="10"/>
      <c r="W11753" s="10"/>
      <c r="X11753" s="10"/>
      <c r="Y11753" s="10"/>
      <c r="Z11753" s="10"/>
    </row>
    <row r="11754" spans="1:26" ht="12.75">
      <c r="A11754" s="10"/>
      <c r="B11754" s="10"/>
      <c r="C11754" s="10"/>
      <c r="D11754" s="10"/>
      <c r="E11754" s="10"/>
      <c r="F11754" s="10"/>
      <c r="G11754" s="10"/>
      <c r="H11754" s="10"/>
      <c r="I11754" s="10"/>
      <c r="J11754" s="10"/>
      <c r="K11754" s="10"/>
      <c r="L11754" s="10"/>
      <c r="M11754" s="10"/>
      <c r="N11754" s="10"/>
      <c r="O11754" s="10"/>
      <c r="P11754" s="10"/>
      <c r="Q11754" s="10"/>
      <c r="R11754" s="10"/>
      <c r="S11754" s="10"/>
      <c r="T11754" s="10"/>
      <c r="U11754" s="10"/>
      <c r="V11754" s="10"/>
      <c r="W11754" s="10"/>
      <c r="X11754" s="10"/>
      <c r="Y11754" s="10"/>
      <c r="Z11754" s="10"/>
    </row>
    <row r="11755" spans="1:26" ht="12.75">
      <c r="A11755" s="10"/>
      <c r="B11755" s="10"/>
      <c r="C11755" s="10"/>
      <c r="D11755" s="10"/>
      <c r="E11755" s="10"/>
      <c r="F11755" s="10"/>
      <c r="G11755" s="10"/>
      <c r="H11755" s="10"/>
      <c r="I11755" s="10"/>
      <c r="J11755" s="10"/>
      <c r="K11755" s="10"/>
      <c r="L11755" s="10"/>
      <c r="M11755" s="10"/>
      <c r="N11755" s="10"/>
      <c r="O11755" s="10"/>
      <c r="P11755" s="10"/>
      <c r="Q11755" s="10"/>
      <c r="R11755" s="10"/>
      <c r="S11755" s="10"/>
      <c r="T11755" s="10"/>
      <c r="U11755" s="10"/>
      <c r="V11755" s="10"/>
      <c r="W11755" s="10"/>
      <c r="X11755" s="10"/>
      <c r="Y11755" s="10"/>
      <c r="Z11755" s="10"/>
    </row>
    <row r="11756" spans="1:26" ht="12.75">
      <c r="A11756" s="10"/>
      <c r="B11756" s="10"/>
      <c r="C11756" s="10"/>
      <c r="D11756" s="10"/>
      <c r="E11756" s="10"/>
      <c r="F11756" s="10"/>
      <c r="G11756" s="10"/>
      <c r="H11756" s="10"/>
      <c r="I11756" s="10"/>
      <c r="J11756" s="10"/>
      <c r="K11756" s="10"/>
      <c r="L11756" s="10"/>
      <c r="M11756" s="10"/>
      <c r="N11756" s="10"/>
      <c r="O11756" s="10"/>
      <c r="P11756" s="10"/>
      <c r="Q11756" s="10"/>
      <c r="R11756" s="10"/>
      <c r="S11756" s="10"/>
      <c r="T11756" s="10"/>
      <c r="U11756" s="10"/>
      <c r="V11756" s="10"/>
      <c r="W11756" s="10"/>
      <c r="X11756" s="10"/>
      <c r="Y11756" s="10"/>
      <c r="Z11756" s="10"/>
    </row>
    <row r="11757" spans="1:26" ht="12.75">
      <c r="A11757" s="10"/>
      <c r="B11757" s="10"/>
      <c r="C11757" s="10"/>
      <c r="D11757" s="10"/>
      <c r="E11757" s="10"/>
      <c r="F11757" s="10"/>
      <c r="G11757" s="10"/>
      <c r="H11757" s="10"/>
      <c r="I11757" s="10"/>
      <c r="J11757" s="10"/>
      <c r="K11757" s="10"/>
      <c r="L11757" s="10"/>
      <c r="M11757" s="10"/>
      <c r="N11757" s="10"/>
      <c r="O11757" s="10"/>
      <c r="P11757" s="10"/>
      <c r="Q11757" s="10"/>
      <c r="R11757" s="10"/>
      <c r="S11757" s="10"/>
      <c r="T11757" s="10"/>
      <c r="U11757" s="10"/>
      <c r="V11757" s="10"/>
      <c r="W11757" s="10"/>
      <c r="X11757" s="10"/>
      <c r="Y11757" s="10"/>
      <c r="Z11757" s="10"/>
    </row>
    <row r="11758" spans="1:26" ht="12.75">
      <c r="A11758" s="10"/>
      <c r="B11758" s="10"/>
      <c r="C11758" s="10"/>
      <c r="D11758" s="10"/>
      <c r="E11758" s="10"/>
      <c r="F11758" s="10"/>
      <c r="G11758" s="10"/>
      <c r="H11758" s="10"/>
      <c r="I11758" s="10"/>
      <c r="J11758" s="10"/>
      <c r="K11758" s="10"/>
      <c r="L11758" s="10"/>
      <c r="M11758" s="10"/>
      <c r="N11758" s="10"/>
      <c r="O11758" s="10"/>
      <c r="P11758" s="10"/>
      <c r="Q11758" s="10"/>
      <c r="R11758" s="10"/>
      <c r="S11758" s="10"/>
      <c r="T11758" s="10"/>
      <c r="U11758" s="10"/>
      <c r="V11758" s="10"/>
      <c r="W11758" s="10"/>
      <c r="X11758" s="10"/>
      <c r="Y11758" s="10"/>
      <c r="Z11758" s="10"/>
    </row>
    <row r="11759" spans="1:26" ht="12.75">
      <c r="A11759" s="10"/>
      <c r="B11759" s="10"/>
      <c r="C11759" s="10"/>
      <c r="D11759" s="10"/>
      <c r="E11759" s="10"/>
      <c r="F11759" s="10"/>
      <c r="G11759" s="10"/>
      <c r="H11759" s="10"/>
      <c r="I11759" s="10"/>
      <c r="J11759" s="10"/>
      <c r="K11759" s="10"/>
      <c r="L11759" s="10"/>
      <c r="M11759" s="10"/>
      <c r="N11759" s="10"/>
      <c r="O11759" s="10"/>
      <c r="P11759" s="10"/>
      <c r="Q11759" s="10"/>
      <c r="R11759" s="10"/>
      <c r="S11759" s="10"/>
      <c r="T11759" s="10"/>
      <c r="U11759" s="10"/>
      <c r="V11759" s="10"/>
      <c r="W11759" s="10"/>
      <c r="X11759" s="10"/>
      <c r="Y11759" s="10"/>
      <c r="Z11759" s="10"/>
    </row>
    <row r="11760" spans="1:26" ht="12.75">
      <c r="A11760" s="10"/>
      <c r="B11760" s="10"/>
      <c r="C11760" s="10"/>
      <c r="D11760" s="10"/>
      <c r="E11760" s="10"/>
      <c r="F11760" s="10"/>
      <c r="G11760" s="10"/>
      <c r="H11760" s="10"/>
      <c r="I11760" s="10"/>
      <c r="J11760" s="10"/>
      <c r="K11760" s="10"/>
      <c r="L11760" s="10"/>
      <c r="M11760" s="10"/>
      <c r="N11760" s="10"/>
      <c r="O11760" s="10"/>
      <c r="P11760" s="10"/>
      <c r="Q11760" s="10"/>
      <c r="R11760" s="10"/>
      <c r="S11760" s="10"/>
      <c r="T11760" s="10"/>
      <c r="U11760" s="10"/>
      <c r="V11760" s="10"/>
      <c r="W11760" s="10"/>
      <c r="X11760" s="10"/>
      <c r="Y11760" s="10"/>
      <c r="Z11760" s="10"/>
    </row>
    <row r="11761" spans="1:26" ht="12.75">
      <c r="A11761" s="10"/>
      <c r="B11761" s="10"/>
      <c r="C11761" s="10"/>
      <c r="D11761" s="10"/>
      <c r="E11761" s="10"/>
      <c r="F11761" s="10"/>
      <c r="G11761" s="10"/>
      <c r="H11761" s="10"/>
      <c r="I11761" s="10"/>
      <c r="J11761" s="10"/>
      <c r="K11761" s="10"/>
      <c r="L11761" s="10"/>
      <c r="M11761" s="10"/>
      <c r="N11761" s="10"/>
      <c r="O11761" s="10"/>
      <c r="P11761" s="10"/>
      <c r="Q11761" s="10"/>
      <c r="R11761" s="10"/>
      <c r="S11761" s="10"/>
      <c r="T11761" s="10"/>
      <c r="U11761" s="10"/>
      <c r="V11761" s="10"/>
      <c r="W11761" s="10"/>
      <c r="X11761" s="10"/>
      <c r="Y11761" s="10"/>
      <c r="Z11761" s="10"/>
    </row>
    <row r="11762" spans="1:26" ht="12.75">
      <c r="A11762" s="10"/>
      <c r="B11762" s="10"/>
      <c r="C11762" s="10"/>
      <c r="D11762" s="10"/>
      <c r="E11762" s="10"/>
      <c r="F11762" s="10"/>
      <c r="G11762" s="10"/>
      <c r="H11762" s="10"/>
      <c r="I11762" s="10"/>
      <c r="J11762" s="10"/>
      <c r="K11762" s="10"/>
      <c r="L11762" s="10"/>
      <c r="M11762" s="10"/>
      <c r="N11762" s="10"/>
      <c r="O11762" s="10"/>
      <c r="P11762" s="10"/>
      <c r="Q11762" s="10"/>
      <c r="R11762" s="10"/>
      <c r="S11762" s="10"/>
      <c r="T11762" s="10"/>
      <c r="U11762" s="10"/>
      <c r="V11762" s="10"/>
      <c r="W11762" s="10"/>
      <c r="X11762" s="10"/>
      <c r="Y11762" s="10"/>
      <c r="Z11762" s="10"/>
    </row>
    <row r="11763" spans="1:26" ht="12.75">
      <c r="A11763" s="10"/>
      <c r="B11763" s="10"/>
      <c r="C11763" s="10"/>
      <c r="D11763" s="10"/>
      <c r="E11763" s="10"/>
      <c r="F11763" s="10"/>
      <c r="G11763" s="10"/>
      <c r="H11763" s="10"/>
      <c r="I11763" s="10"/>
      <c r="J11763" s="10"/>
      <c r="K11763" s="10"/>
      <c r="L11763" s="10"/>
      <c r="M11763" s="10"/>
      <c r="N11763" s="10"/>
      <c r="O11763" s="10"/>
      <c r="P11763" s="10"/>
      <c r="Q11763" s="10"/>
      <c r="R11763" s="10"/>
      <c r="S11763" s="10"/>
      <c r="T11763" s="10"/>
      <c r="U11763" s="10"/>
      <c r="V11763" s="10"/>
      <c r="W11763" s="10"/>
      <c r="X11763" s="10"/>
      <c r="Y11763" s="10"/>
      <c r="Z11763" s="10"/>
    </row>
    <row r="11764" spans="1:26" ht="12.75">
      <c r="A11764" s="10"/>
      <c r="B11764" s="10"/>
      <c r="C11764" s="10"/>
      <c r="D11764" s="10"/>
      <c r="E11764" s="10"/>
      <c r="F11764" s="10"/>
      <c r="G11764" s="10"/>
      <c r="H11764" s="10"/>
      <c r="I11764" s="10"/>
      <c r="J11764" s="10"/>
      <c r="K11764" s="10"/>
      <c r="L11764" s="10"/>
      <c r="M11764" s="10"/>
      <c r="N11764" s="10"/>
      <c r="O11764" s="10"/>
      <c r="P11764" s="10"/>
      <c r="Q11764" s="10"/>
      <c r="R11764" s="10"/>
      <c r="S11764" s="10"/>
      <c r="T11764" s="10"/>
      <c r="U11764" s="10"/>
      <c r="V11764" s="10"/>
      <c r="W11764" s="10"/>
      <c r="X11764" s="10"/>
      <c r="Y11764" s="10"/>
      <c r="Z11764" s="10"/>
    </row>
    <row r="11765" spans="1:26" ht="12.75">
      <c r="A11765" s="10"/>
      <c r="B11765" s="10"/>
      <c r="C11765" s="10"/>
      <c r="D11765" s="10"/>
      <c r="E11765" s="10"/>
      <c r="F11765" s="10"/>
      <c r="G11765" s="10"/>
      <c r="H11765" s="10"/>
      <c r="I11765" s="10"/>
      <c r="J11765" s="10"/>
      <c r="K11765" s="10"/>
      <c r="L11765" s="10"/>
      <c r="M11765" s="10"/>
      <c r="N11765" s="10"/>
      <c r="O11765" s="10"/>
      <c r="P11765" s="10"/>
      <c r="Q11765" s="10"/>
      <c r="R11765" s="10"/>
      <c r="S11765" s="10"/>
      <c r="T11765" s="10"/>
      <c r="U11765" s="10"/>
      <c r="V11765" s="10"/>
      <c r="W11765" s="10"/>
      <c r="X11765" s="10"/>
      <c r="Y11765" s="10"/>
      <c r="Z11765" s="10"/>
    </row>
    <row r="11766" spans="1:26" ht="12.75">
      <c r="A11766" s="10"/>
      <c r="B11766" s="10"/>
      <c r="C11766" s="10"/>
      <c r="D11766" s="10"/>
      <c r="E11766" s="10"/>
      <c r="F11766" s="10"/>
      <c r="G11766" s="10"/>
      <c r="H11766" s="10"/>
      <c r="I11766" s="10"/>
      <c r="J11766" s="10"/>
      <c r="K11766" s="10"/>
      <c r="L11766" s="10"/>
      <c r="M11766" s="10"/>
      <c r="N11766" s="10"/>
      <c r="O11766" s="10"/>
      <c r="P11766" s="10"/>
      <c r="Q11766" s="10"/>
      <c r="R11766" s="10"/>
      <c r="S11766" s="10"/>
      <c r="T11766" s="10"/>
      <c r="U11766" s="10"/>
      <c r="V11766" s="10"/>
      <c r="W11766" s="10"/>
      <c r="X11766" s="10"/>
      <c r="Y11766" s="10"/>
      <c r="Z11766" s="10"/>
    </row>
    <row r="11767" spans="1:26" ht="12.75">
      <c r="A11767" s="10"/>
      <c r="B11767" s="10"/>
      <c r="C11767" s="10"/>
      <c r="D11767" s="10"/>
      <c r="E11767" s="10"/>
      <c r="F11767" s="10"/>
      <c r="G11767" s="10"/>
      <c r="H11767" s="10"/>
      <c r="I11767" s="10"/>
      <c r="J11767" s="10"/>
      <c r="K11767" s="10"/>
      <c r="L11767" s="10"/>
      <c r="M11767" s="10"/>
      <c r="N11767" s="10"/>
      <c r="O11767" s="10"/>
      <c r="P11767" s="10"/>
      <c r="Q11767" s="10"/>
      <c r="R11767" s="10"/>
      <c r="S11767" s="10"/>
      <c r="T11767" s="10"/>
      <c r="U11767" s="10"/>
      <c r="V11767" s="10"/>
      <c r="W11767" s="10"/>
      <c r="X11767" s="10"/>
      <c r="Y11767" s="10"/>
      <c r="Z11767" s="10"/>
    </row>
    <row r="11768" spans="1:26" ht="12.75">
      <c r="A11768" s="10"/>
      <c r="B11768" s="10"/>
      <c r="C11768" s="10"/>
      <c r="D11768" s="10"/>
      <c r="E11768" s="10"/>
      <c r="F11768" s="10"/>
      <c r="G11768" s="10"/>
      <c r="H11768" s="10"/>
      <c r="I11768" s="10"/>
      <c r="J11768" s="10"/>
      <c r="K11768" s="10"/>
      <c r="L11768" s="10"/>
      <c r="M11768" s="10"/>
      <c r="N11768" s="10"/>
      <c r="O11768" s="10"/>
      <c r="P11768" s="10"/>
      <c r="Q11768" s="10"/>
      <c r="R11768" s="10"/>
      <c r="S11768" s="10"/>
      <c r="T11768" s="10"/>
      <c r="U11768" s="10"/>
      <c r="V11768" s="10"/>
      <c r="W11768" s="10"/>
      <c r="X11768" s="10"/>
      <c r="Y11768" s="10"/>
      <c r="Z11768" s="10"/>
    </row>
    <row r="11769" spans="1:26" ht="12.75">
      <c r="A11769" s="10"/>
      <c r="B11769" s="10"/>
      <c r="C11769" s="10"/>
      <c r="D11769" s="10"/>
      <c r="E11769" s="10"/>
      <c r="F11769" s="10"/>
      <c r="G11769" s="10"/>
      <c r="H11769" s="10"/>
      <c r="I11769" s="10"/>
      <c r="J11769" s="10"/>
      <c r="K11769" s="10"/>
      <c r="L11769" s="10"/>
      <c r="M11769" s="10"/>
      <c r="N11769" s="10"/>
      <c r="O11769" s="10"/>
      <c r="P11769" s="10"/>
      <c r="Q11769" s="10"/>
      <c r="R11769" s="10"/>
      <c r="S11769" s="10"/>
      <c r="T11769" s="10"/>
      <c r="U11769" s="10"/>
      <c r="V11769" s="10"/>
      <c r="W11769" s="10"/>
      <c r="X11769" s="10"/>
      <c r="Y11769" s="10"/>
      <c r="Z11769" s="10"/>
    </row>
    <row r="11770" spans="1:26" ht="12.75">
      <c r="A11770" s="10"/>
      <c r="B11770" s="10"/>
      <c r="C11770" s="10"/>
      <c r="D11770" s="10"/>
      <c r="E11770" s="10"/>
      <c r="F11770" s="10"/>
      <c r="G11770" s="10"/>
      <c r="H11770" s="10"/>
      <c r="I11770" s="10"/>
      <c r="J11770" s="10"/>
      <c r="K11770" s="10"/>
      <c r="L11770" s="10"/>
      <c r="M11770" s="10"/>
      <c r="N11770" s="10"/>
      <c r="O11770" s="10"/>
      <c r="P11770" s="10"/>
      <c r="Q11770" s="10"/>
      <c r="R11770" s="10"/>
      <c r="S11770" s="10"/>
      <c r="T11770" s="10"/>
      <c r="U11770" s="10"/>
      <c r="V11770" s="10"/>
      <c r="W11770" s="10"/>
      <c r="X11770" s="10"/>
      <c r="Y11770" s="10"/>
      <c r="Z11770" s="10"/>
    </row>
    <row r="11771" spans="1:26" ht="12.75">
      <c r="A11771" s="10"/>
      <c r="B11771" s="10"/>
      <c r="C11771" s="10"/>
      <c r="D11771" s="10"/>
      <c r="E11771" s="10"/>
      <c r="F11771" s="10"/>
      <c r="G11771" s="10"/>
      <c r="H11771" s="10"/>
      <c r="I11771" s="10"/>
      <c r="J11771" s="10"/>
      <c r="K11771" s="10"/>
      <c r="L11771" s="10"/>
      <c r="M11771" s="10"/>
      <c r="N11771" s="10"/>
      <c r="O11771" s="10"/>
      <c r="P11771" s="10"/>
      <c r="Q11771" s="10"/>
      <c r="R11771" s="10"/>
      <c r="S11771" s="10"/>
      <c r="T11771" s="10"/>
      <c r="U11771" s="10"/>
      <c r="V11771" s="10"/>
      <c r="W11771" s="10"/>
      <c r="X11771" s="10"/>
      <c r="Y11771" s="10"/>
      <c r="Z11771" s="10"/>
    </row>
    <row r="11772" spans="1:26" ht="12.75">
      <c r="A11772" s="10"/>
      <c r="B11772" s="10"/>
      <c r="C11772" s="10"/>
      <c r="D11772" s="10"/>
      <c r="E11772" s="10"/>
      <c r="F11772" s="10"/>
      <c r="G11772" s="10"/>
      <c r="H11772" s="10"/>
      <c r="I11772" s="10"/>
      <c r="J11772" s="10"/>
      <c r="K11772" s="10"/>
      <c r="L11772" s="10"/>
      <c r="M11772" s="10"/>
      <c r="N11772" s="10"/>
      <c r="O11772" s="10"/>
      <c r="P11772" s="10"/>
      <c r="Q11772" s="10"/>
      <c r="R11772" s="10"/>
      <c r="S11772" s="10"/>
      <c r="T11772" s="10"/>
      <c r="U11772" s="10"/>
      <c r="V11772" s="10"/>
      <c r="W11772" s="10"/>
      <c r="X11772" s="10"/>
      <c r="Y11772" s="10"/>
      <c r="Z11772" s="10"/>
    </row>
    <row r="11773" spans="1:26" ht="12.75">
      <c r="A11773" s="10"/>
      <c r="B11773" s="10"/>
      <c r="C11773" s="10"/>
      <c r="D11773" s="10"/>
      <c r="E11773" s="10"/>
      <c r="F11773" s="10"/>
      <c r="G11773" s="10"/>
      <c r="H11773" s="10"/>
      <c r="I11773" s="10"/>
      <c r="J11773" s="10"/>
      <c r="K11773" s="10"/>
      <c r="L11773" s="10"/>
      <c r="M11773" s="10"/>
      <c r="N11773" s="10"/>
      <c r="O11773" s="10"/>
      <c r="P11773" s="10"/>
      <c r="Q11773" s="10"/>
      <c r="R11773" s="10"/>
      <c r="S11773" s="10"/>
      <c r="T11773" s="10"/>
      <c r="U11773" s="10"/>
      <c r="V11773" s="10"/>
      <c r="W11773" s="10"/>
      <c r="X11773" s="10"/>
      <c r="Y11773" s="10"/>
      <c r="Z11773" s="10"/>
    </row>
    <row r="11774" spans="1:26" ht="12.75">
      <c r="A11774" s="10"/>
      <c r="B11774" s="10"/>
      <c r="C11774" s="10"/>
      <c r="D11774" s="10"/>
      <c r="E11774" s="10"/>
      <c r="F11774" s="10"/>
      <c r="G11774" s="10"/>
      <c r="H11774" s="10"/>
      <c r="I11774" s="10"/>
      <c r="J11774" s="10"/>
      <c r="K11774" s="10"/>
      <c r="L11774" s="10"/>
      <c r="M11774" s="10"/>
      <c r="N11774" s="10"/>
      <c r="O11774" s="10"/>
      <c r="P11774" s="10"/>
      <c r="Q11774" s="10"/>
      <c r="R11774" s="10"/>
      <c r="S11774" s="10"/>
      <c r="T11774" s="10"/>
      <c r="U11774" s="10"/>
      <c r="V11774" s="10"/>
      <c r="W11774" s="10"/>
      <c r="X11774" s="10"/>
      <c r="Y11774" s="10"/>
      <c r="Z11774" s="10"/>
    </row>
    <row r="11775" spans="1:26" ht="12.75">
      <c r="A11775" s="10"/>
      <c r="B11775" s="10"/>
      <c r="C11775" s="10"/>
      <c r="D11775" s="10"/>
      <c r="E11775" s="10"/>
      <c r="F11775" s="10"/>
      <c r="G11775" s="10"/>
      <c r="H11775" s="10"/>
      <c r="I11775" s="10"/>
      <c r="J11775" s="10"/>
      <c r="K11775" s="10"/>
      <c r="L11775" s="10"/>
      <c r="M11775" s="10"/>
      <c r="N11775" s="10"/>
      <c r="O11775" s="10"/>
      <c r="P11775" s="10"/>
      <c r="Q11775" s="10"/>
      <c r="R11775" s="10"/>
      <c r="S11775" s="10"/>
      <c r="T11775" s="10"/>
      <c r="U11775" s="10"/>
      <c r="V11775" s="10"/>
      <c r="W11775" s="10"/>
      <c r="X11775" s="10"/>
      <c r="Y11775" s="10"/>
      <c r="Z11775" s="10"/>
    </row>
    <row r="11776" spans="1:26" ht="12.75">
      <c r="A11776" s="10"/>
      <c r="B11776" s="10"/>
      <c r="C11776" s="10"/>
      <c r="D11776" s="10"/>
      <c r="E11776" s="10"/>
      <c r="F11776" s="10"/>
      <c r="G11776" s="10"/>
      <c r="H11776" s="10"/>
      <c r="I11776" s="10"/>
      <c r="J11776" s="10"/>
      <c r="K11776" s="10"/>
      <c r="L11776" s="10"/>
      <c r="M11776" s="10"/>
      <c r="N11776" s="10"/>
      <c r="O11776" s="10"/>
      <c r="P11776" s="10"/>
      <c r="Q11776" s="10"/>
      <c r="R11776" s="10"/>
      <c r="S11776" s="10"/>
      <c r="T11776" s="10"/>
      <c r="U11776" s="10"/>
      <c r="V11776" s="10"/>
      <c r="W11776" s="10"/>
      <c r="X11776" s="10"/>
      <c r="Y11776" s="10"/>
      <c r="Z11776" s="10"/>
    </row>
    <row r="11777" spans="1:26" ht="12.75">
      <c r="A11777" s="10"/>
      <c r="B11777" s="10"/>
      <c r="C11777" s="10"/>
      <c r="D11777" s="10"/>
      <c r="E11777" s="10"/>
      <c r="F11777" s="10"/>
      <c r="G11777" s="10"/>
      <c r="H11777" s="10"/>
      <c r="I11777" s="10"/>
      <c r="J11777" s="10"/>
      <c r="K11777" s="10"/>
      <c r="L11777" s="10"/>
      <c r="M11777" s="10"/>
      <c r="N11777" s="10"/>
      <c r="O11777" s="10"/>
      <c r="P11777" s="10"/>
      <c r="Q11777" s="10"/>
      <c r="R11777" s="10"/>
      <c r="S11777" s="10"/>
      <c r="T11777" s="10"/>
      <c r="U11777" s="10"/>
      <c r="V11777" s="10"/>
      <c r="W11777" s="10"/>
      <c r="X11777" s="10"/>
      <c r="Y11777" s="10"/>
      <c r="Z11777" s="10"/>
    </row>
    <row r="11778" spans="1:26" ht="12.75">
      <c r="A11778" s="10"/>
      <c r="B11778" s="10"/>
      <c r="C11778" s="10"/>
      <c r="D11778" s="10"/>
      <c r="E11778" s="10"/>
      <c r="F11778" s="10"/>
      <c r="G11778" s="10"/>
      <c r="H11778" s="10"/>
      <c r="I11778" s="10"/>
      <c r="J11778" s="10"/>
      <c r="K11778" s="10"/>
      <c r="L11778" s="10"/>
      <c r="M11778" s="10"/>
      <c r="N11778" s="10"/>
      <c r="O11778" s="10"/>
      <c r="P11778" s="10"/>
      <c r="Q11778" s="10"/>
      <c r="R11778" s="10"/>
      <c r="S11778" s="10"/>
      <c r="T11778" s="10"/>
      <c r="U11778" s="10"/>
      <c r="V11778" s="10"/>
      <c r="W11778" s="10"/>
      <c r="X11778" s="10"/>
      <c r="Y11778" s="10"/>
      <c r="Z11778" s="10"/>
    </row>
    <row r="11779" spans="1:26" ht="12.75">
      <c r="A11779" s="10"/>
      <c r="B11779" s="10"/>
      <c r="C11779" s="10"/>
      <c r="D11779" s="10"/>
      <c r="E11779" s="10"/>
      <c r="F11779" s="10"/>
      <c r="G11779" s="10"/>
      <c r="H11779" s="10"/>
      <c r="I11779" s="10"/>
      <c r="J11779" s="10"/>
      <c r="K11779" s="10"/>
      <c r="L11779" s="10"/>
      <c r="M11779" s="10"/>
      <c r="N11779" s="10"/>
      <c r="O11779" s="10"/>
      <c r="P11779" s="10"/>
      <c r="Q11779" s="10"/>
      <c r="R11779" s="10"/>
      <c r="S11779" s="10"/>
      <c r="T11779" s="10"/>
      <c r="U11779" s="10"/>
      <c r="V11779" s="10"/>
      <c r="W11779" s="10"/>
      <c r="X11779" s="10"/>
      <c r="Y11779" s="10"/>
      <c r="Z11779" s="10"/>
    </row>
    <row r="11780" spans="1:26" ht="12.75">
      <c r="A11780" s="10"/>
      <c r="B11780" s="10"/>
      <c r="C11780" s="10"/>
      <c r="D11780" s="10"/>
      <c r="E11780" s="10"/>
      <c r="F11780" s="10"/>
      <c r="G11780" s="10"/>
      <c r="H11780" s="10"/>
      <c r="I11780" s="10"/>
      <c r="J11780" s="10"/>
      <c r="K11780" s="10"/>
      <c r="L11780" s="10"/>
      <c r="M11780" s="10"/>
      <c r="N11780" s="10"/>
      <c r="O11780" s="10"/>
      <c r="P11780" s="10"/>
      <c r="Q11780" s="10"/>
      <c r="R11780" s="10"/>
      <c r="S11780" s="10"/>
      <c r="T11780" s="10"/>
      <c r="U11780" s="10"/>
      <c r="V11780" s="10"/>
      <c r="W11780" s="10"/>
      <c r="X11780" s="10"/>
      <c r="Y11780" s="10"/>
      <c r="Z11780" s="10"/>
    </row>
    <row r="11781" spans="1:26" ht="12.75">
      <c r="A11781" s="10"/>
      <c r="B11781" s="10"/>
      <c r="C11781" s="10"/>
      <c r="D11781" s="10"/>
      <c r="E11781" s="10"/>
      <c r="F11781" s="10"/>
      <c r="G11781" s="10"/>
      <c r="H11781" s="10"/>
      <c r="I11781" s="10"/>
      <c r="J11781" s="10"/>
      <c r="K11781" s="10"/>
      <c r="L11781" s="10"/>
      <c r="M11781" s="10"/>
      <c r="N11781" s="10"/>
      <c r="O11781" s="10"/>
      <c r="P11781" s="10"/>
      <c r="Q11781" s="10"/>
      <c r="R11781" s="10"/>
      <c r="S11781" s="10"/>
      <c r="T11781" s="10"/>
      <c r="U11781" s="10"/>
      <c r="V11781" s="10"/>
      <c r="W11781" s="10"/>
      <c r="X11781" s="10"/>
      <c r="Y11781" s="10"/>
      <c r="Z11781" s="10"/>
    </row>
    <row r="11782" spans="1:26" ht="12.75">
      <c r="A11782" s="10"/>
      <c r="B11782" s="10"/>
      <c r="C11782" s="10"/>
      <c r="D11782" s="10"/>
      <c r="E11782" s="10"/>
      <c r="F11782" s="10"/>
      <c r="G11782" s="10"/>
      <c r="H11782" s="10"/>
      <c r="I11782" s="10"/>
      <c r="J11782" s="10"/>
      <c r="K11782" s="10"/>
      <c r="L11782" s="10"/>
      <c r="M11782" s="10"/>
      <c r="N11782" s="10"/>
      <c r="O11782" s="10"/>
      <c r="P11782" s="10"/>
      <c r="Q11782" s="10"/>
      <c r="R11782" s="10"/>
      <c r="S11782" s="10"/>
      <c r="T11782" s="10"/>
      <c r="U11782" s="10"/>
      <c r="V11782" s="10"/>
      <c r="W11782" s="10"/>
      <c r="X11782" s="10"/>
      <c r="Y11782" s="10"/>
      <c r="Z11782" s="10"/>
    </row>
    <row r="11783" spans="1:26" ht="12.75">
      <c r="A11783" s="10"/>
      <c r="B11783" s="10"/>
      <c r="C11783" s="10"/>
      <c r="D11783" s="10"/>
      <c r="E11783" s="10"/>
      <c r="F11783" s="10"/>
      <c r="G11783" s="10"/>
      <c r="H11783" s="10"/>
      <c r="I11783" s="10"/>
      <c r="J11783" s="10"/>
      <c r="K11783" s="10"/>
      <c r="L11783" s="10"/>
      <c r="M11783" s="10"/>
      <c r="N11783" s="10"/>
      <c r="O11783" s="10"/>
      <c r="P11783" s="10"/>
      <c r="Q11783" s="10"/>
      <c r="R11783" s="10"/>
      <c r="S11783" s="10"/>
      <c r="T11783" s="10"/>
      <c r="U11783" s="10"/>
      <c r="V11783" s="10"/>
      <c r="W11783" s="10"/>
      <c r="X11783" s="10"/>
      <c r="Y11783" s="10"/>
      <c r="Z11783" s="10"/>
    </row>
    <row r="11784" spans="1:26" ht="12.75">
      <c r="A11784" s="10"/>
      <c r="B11784" s="10"/>
      <c r="C11784" s="10"/>
      <c r="D11784" s="10"/>
      <c r="E11784" s="10"/>
      <c r="F11784" s="10"/>
      <c r="G11784" s="10"/>
      <c r="H11784" s="10"/>
      <c r="I11784" s="10"/>
      <c r="J11784" s="10"/>
      <c r="K11784" s="10"/>
      <c r="L11784" s="10"/>
      <c r="M11784" s="10"/>
      <c r="N11784" s="10"/>
      <c r="O11784" s="10"/>
      <c r="P11784" s="10"/>
      <c r="Q11784" s="10"/>
      <c r="R11784" s="10"/>
      <c r="S11784" s="10"/>
      <c r="T11784" s="10"/>
      <c r="U11784" s="10"/>
      <c r="V11784" s="10"/>
      <c r="W11784" s="10"/>
      <c r="X11784" s="10"/>
      <c r="Y11784" s="10"/>
      <c r="Z11784" s="10"/>
    </row>
    <row r="11785" spans="1:26" ht="12.75">
      <c r="A11785" s="10"/>
      <c r="B11785" s="10"/>
      <c r="C11785" s="10"/>
      <c r="D11785" s="10"/>
      <c r="E11785" s="10"/>
      <c r="F11785" s="10"/>
      <c r="G11785" s="10"/>
      <c r="H11785" s="10"/>
      <c r="I11785" s="10"/>
      <c r="J11785" s="10"/>
      <c r="K11785" s="10"/>
      <c r="L11785" s="10"/>
      <c r="M11785" s="10"/>
      <c r="N11785" s="10"/>
      <c r="O11785" s="10"/>
      <c r="P11785" s="10"/>
      <c r="Q11785" s="10"/>
      <c r="R11785" s="10"/>
      <c r="S11785" s="10"/>
      <c r="T11785" s="10"/>
      <c r="U11785" s="10"/>
      <c r="V11785" s="10"/>
      <c r="W11785" s="10"/>
      <c r="X11785" s="10"/>
      <c r="Y11785" s="10"/>
      <c r="Z11785" s="10"/>
    </row>
    <row r="11786" spans="1:26" ht="12.75">
      <c r="A11786" s="10"/>
      <c r="B11786" s="10"/>
      <c r="C11786" s="10"/>
      <c r="D11786" s="10"/>
      <c r="E11786" s="10"/>
      <c r="F11786" s="10"/>
      <c r="G11786" s="10"/>
      <c r="H11786" s="10"/>
      <c r="I11786" s="10"/>
      <c r="J11786" s="10"/>
      <c r="K11786" s="10"/>
      <c r="L11786" s="10"/>
      <c r="M11786" s="10"/>
      <c r="N11786" s="10"/>
      <c r="O11786" s="10"/>
      <c r="P11786" s="10"/>
      <c r="Q11786" s="10"/>
      <c r="R11786" s="10"/>
      <c r="S11786" s="10"/>
      <c r="T11786" s="10"/>
      <c r="U11786" s="10"/>
      <c r="V11786" s="10"/>
      <c r="W11786" s="10"/>
      <c r="X11786" s="10"/>
      <c r="Y11786" s="10"/>
      <c r="Z11786" s="10"/>
    </row>
    <row r="11787" spans="1:26" ht="12.75">
      <c r="A11787" s="10"/>
      <c r="B11787" s="10"/>
      <c r="C11787" s="10"/>
      <c r="D11787" s="10"/>
      <c r="E11787" s="10"/>
      <c r="F11787" s="10"/>
      <c r="G11787" s="10"/>
      <c r="H11787" s="10"/>
      <c r="I11787" s="10"/>
      <c r="J11787" s="10"/>
      <c r="K11787" s="10"/>
      <c r="L11787" s="10"/>
      <c r="M11787" s="10"/>
      <c r="N11787" s="10"/>
      <c r="O11787" s="10"/>
      <c r="P11787" s="10"/>
      <c r="Q11787" s="10"/>
      <c r="R11787" s="10"/>
      <c r="S11787" s="10"/>
      <c r="T11787" s="10"/>
      <c r="U11787" s="10"/>
      <c r="V11787" s="10"/>
      <c r="W11787" s="10"/>
      <c r="X11787" s="10"/>
      <c r="Y11787" s="10"/>
      <c r="Z11787" s="10"/>
    </row>
    <row r="11788" spans="1:26" ht="12.75">
      <c r="A11788" s="10"/>
      <c r="B11788" s="10"/>
      <c r="C11788" s="10"/>
      <c r="D11788" s="10"/>
      <c r="E11788" s="10"/>
      <c r="F11788" s="10"/>
      <c r="G11788" s="10"/>
      <c r="H11788" s="10"/>
      <c r="I11788" s="10"/>
      <c r="J11788" s="10"/>
      <c r="K11788" s="10"/>
      <c r="L11788" s="10"/>
      <c r="M11788" s="10"/>
      <c r="N11788" s="10"/>
      <c r="O11788" s="10"/>
      <c r="P11788" s="10"/>
      <c r="Q11788" s="10"/>
      <c r="R11788" s="10"/>
      <c r="S11788" s="10"/>
      <c r="T11788" s="10"/>
      <c r="U11788" s="10"/>
      <c r="V11788" s="10"/>
      <c r="W11788" s="10"/>
      <c r="X11788" s="10"/>
      <c r="Y11788" s="10"/>
      <c r="Z11788" s="10"/>
    </row>
    <row r="11789" spans="1:26" ht="12.75">
      <c r="A11789" s="10"/>
      <c r="B11789" s="10"/>
      <c r="C11789" s="10"/>
      <c r="D11789" s="10"/>
      <c r="E11789" s="10"/>
      <c r="F11789" s="10"/>
      <c r="G11789" s="10"/>
      <c r="H11789" s="10"/>
      <c r="I11789" s="10"/>
      <c r="J11789" s="10"/>
      <c r="K11789" s="10"/>
      <c r="L11789" s="10"/>
      <c r="M11789" s="10"/>
      <c r="N11789" s="10"/>
      <c r="O11789" s="10"/>
      <c r="P11789" s="10"/>
      <c r="Q11789" s="10"/>
      <c r="R11789" s="10"/>
      <c r="S11789" s="10"/>
      <c r="T11789" s="10"/>
      <c r="U11789" s="10"/>
      <c r="V11789" s="10"/>
      <c r="W11789" s="10"/>
      <c r="X11789" s="10"/>
      <c r="Y11789" s="10"/>
      <c r="Z11789" s="10"/>
    </row>
    <row r="11790" spans="1:26" ht="12.75">
      <c r="A11790" s="10"/>
      <c r="B11790" s="10"/>
      <c r="C11790" s="10"/>
      <c r="D11790" s="10"/>
      <c r="E11790" s="10"/>
      <c r="F11790" s="10"/>
      <c r="G11790" s="10"/>
      <c r="H11790" s="10"/>
      <c r="I11790" s="10"/>
      <c r="J11790" s="10"/>
      <c r="K11790" s="10"/>
      <c r="L11790" s="10"/>
      <c r="M11790" s="10"/>
      <c r="N11790" s="10"/>
      <c r="O11790" s="10"/>
      <c r="P11790" s="10"/>
      <c r="Q11790" s="10"/>
      <c r="R11790" s="10"/>
      <c r="S11790" s="10"/>
      <c r="T11790" s="10"/>
      <c r="U11790" s="10"/>
      <c r="V11790" s="10"/>
      <c r="W11790" s="10"/>
      <c r="X11790" s="10"/>
      <c r="Y11790" s="10"/>
      <c r="Z11790" s="10"/>
    </row>
    <row r="11791" spans="1:26" ht="12.75">
      <c r="A11791" s="10"/>
      <c r="B11791" s="10"/>
      <c r="C11791" s="10"/>
      <c r="D11791" s="10"/>
      <c r="E11791" s="10"/>
      <c r="F11791" s="10"/>
      <c r="G11791" s="10"/>
      <c r="H11791" s="10"/>
      <c r="I11791" s="10"/>
      <c r="J11791" s="10"/>
      <c r="K11791" s="10"/>
      <c r="L11791" s="10"/>
      <c r="M11791" s="10"/>
      <c r="N11791" s="10"/>
      <c r="O11791" s="10"/>
      <c r="P11791" s="10"/>
      <c r="Q11791" s="10"/>
      <c r="R11791" s="10"/>
      <c r="S11791" s="10"/>
      <c r="T11791" s="10"/>
      <c r="U11791" s="10"/>
      <c r="V11791" s="10"/>
      <c r="W11791" s="10"/>
      <c r="X11791" s="10"/>
      <c r="Y11791" s="10"/>
      <c r="Z11791" s="10"/>
    </row>
    <row r="11792" spans="1:26" ht="12.75">
      <c r="A11792" s="10"/>
      <c r="B11792" s="10"/>
      <c r="C11792" s="10"/>
      <c r="D11792" s="10"/>
      <c r="E11792" s="10"/>
      <c r="F11792" s="10"/>
      <c r="G11792" s="10"/>
      <c r="H11792" s="10"/>
      <c r="I11792" s="10"/>
      <c r="J11792" s="10"/>
      <c r="K11792" s="10"/>
      <c r="L11792" s="10"/>
      <c r="M11792" s="10"/>
      <c r="N11792" s="10"/>
      <c r="O11792" s="10"/>
      <c r="P11792" s="10"/>
      <c r="Q11792" s="10"/>
      <c r="R11792" s="10"/>
      <c r="S11792" s="10"/>
      <c r="T11792" s="10"/>
      <c r="U11792" s="10"/>
      <c r="V11792" s="10"/>
      <c r="W11792" s="10"/>
      <c r="X11792" s="10"/>
      <c r="Y11792" s="10"/>
      <c r="Z11792" s="10"/>
    </row>
    <row r="11793" spans="1:26" ht="12.75">
      <c r="A11793" s="10"/>
      <c r="B11793" s="10"/>
      <c r="C11793" s="10"/>
      <c r="D11793" s="10"/>
      <c r="E11793" s="10"/>
      <c r="F11793" s="10"/>
      <c r="G11793" s="10"/>
      <c r="H11793" s="10"/>
      <c r="I11793" s="10"/>
      <c r="J11793" s="10"/>
      <c r="K11793" s="10"/>
      <c r="L11793" s="10"/>
      <c r="M11793" s="10"/>
      <c r="N11793" s="10"/>
      <c r="O11793" s="10"/>
      <c r="P11793" s="10"/>
      <c r="Q11793" s="10"/>
      <c r="R11793" s="10"/>
      <c r="S11793" s="10"/>
      <c r="T11793" s="10"/>
      <c r="U11793" s="10"/>
      <c r="V11793" s="10"/>
      <c r="W11793" s="10"/>
      <c r="X11793" s="10"/>
      <c r="Y11793" s="10"/>
      <c r="Z11793" s="10"/>
    </row>
    <row r="11794" spans="1:26" ht="12.75">
      <c r="A11794" s="10"/>
      <c r="B11794" s="10"/>
      <c r="C11794" s="10"/>
      <c r="D11794" s="10"/>
      <c r="E11794" s="10"/>
      <c r="F11794" s="10"/>
      <c r="G11794" s="10"/>
      <c r="H11794" s="10"/>
      <c r="I11794" s="10"/>
      <c r="J11794" s="10"/>
      <c r="K11794" s="10"/>
      <c r="L11794" s="10"/>
      <c r="M11794" s="10"/>
      <c r="N11794" s="10"/>
      <c r="O11794" s="10"/>
      <c r="P11794" s="10"/>
      <c r="Q11794" s="10"/>
      <c r="R11794" s="10"/>
      <c r="S11794" s="10"/>
      <c r="T11794" s="10"/>
      <c r="U11794" s="10"/>
      <c r="V11794" s="10"/>
      <c r="W11794" s="10"/>
      <c r="X11794" s="10"/>
      <c r="Y11794" s="10"/>
      <c r="Z11794" s="10"/>
    </row>
    <row r="11795" spans="1:26" ht="12.75">
      <c r="A11795" s="10"/>
      <c r="B11795" s="10"/>
      <c r="C11795" s="10"/>
      <c r="D11795" s="10"/>
      <c r="E11795" s="10"/>
      <c r="F11795" s="10"/>
      <c r="G11795" s="10"/>
      <c r="H11795" s="10"/>
      <c r="I11795" s="10"/>
      <c r="J11795" s="10"/>
      <c r="K11795" s="10"/>
      <c r="L11795" s="10"/>
      <c r="M11795" s="10"/>
      <c r="N11795" s="10"/>
      <c r="O11795" s="10"/>
      <c r="P11795" s="10"/>
      <c r="Q11795" s="10"/>
      <c r="R11795" s="10"/>
      <c r="S11795" s="10"/>
      <c r="T11795" s="10"/>
      <c r="U11795" s="10"/>
      <c r="V11795" s="10"/>
      <c r="W11795" s="10"/>
      <c r="X11795" s="10"/>
      <c r="Y11795" s="10"/>
      <c r="Z11795" s="10"/>
    </row>
    <row r="11796" spans="1:26" ht="12.75">
      <c r="A11796" s="10"/>
      <c r="B11796" s="10"/>
      <c r="C11796" s="10"/>
      <c r="D11796" s="10"/>
      <c r="E11796" s="10"/>
      <c r="F11796" s="10"/>
      <c r="G11796" s="10"/>
      <c r="H11796" s="10"/>
      <c r="I11796" s="10"/>
      <c r="J11796" s="10"/>
      <c r="K11796" s="10"/>
      <c r="L11796" s="10"/>
      <c r="M11796" s="10"/>
      <c r="N11796" s="10"/>
      <c r="O11796" s="10"/>
      <c r="P11796" s="10"/>
      <c r="Q11796" s="10"/>
      <c r="R11796" s="10"/>
      <c r="S11796" s="10"/>
      <c r="T11796" s="10"/>
      <c r="U11796" s="10"/>
      <c r="V11796" s="10"/>
      <c r="W11796" s="10"/>
      <c r="X11796" s="10"/>
      <c r="Y11796" s="10"/>
      <c r="Z11796" s="10"/>
    </row>
    <row r="11797" spans="1:26" ht="12.75">
      <c r="A11797" s="10"/>
      <c r="B11797" s="10"/>
      <c r="C11797" s="10"/>
      <c r="D11797" s="10"/>
      <c r="E11797" s="10"/>
      <c r="F11797" s="10"/>
      <c r="G11797" s="10"/>
      <c r="H11797" s="10"/>
      <c r="I11797" s="10"/>
      <c r="J11797" s="10"/>
      <c r="K11797" s="10"/>
      <c r="L11797" s="10"/>
      <c r="M11797" s="10"/>
      <c r="N11797" s="10"/>
      <c r="O11797" s="10"/>
      <c r="P11797" s="10"/>
      <c r="Q11797" s="10"/>
      <c r="R11797" s="10"/>
      <c r="S11797" s="10"/>
      <c r="T11797" s="10"/>
      <c r="U11797" s="10"/>
      <c r="V11797" s="10"/>
      <c r="W11797" s="10"/>
      <c r="X11797" s="10"/>
      <c r="Y11797" s="10"/>
      <c r="Z11797" s="10"/>
    </row>
    <row r="11798" spans="1:26" ht="12.75">
      <c r="A11798" s="10"/>
      <c r="B11798" s="10"/>
      <c r="C11798" s="10"/>
      <c r="D11798" s="10"/>
      <c r="E11798" s="10"/>
      <c r="F11798" s="10"/>
      <c r="G11798" s="10"/>
      <c r="H11798" s="10"/>
      <c r="I11798" s="10"/>
      <c r="J11798" s="10"/>
      <c r="K11798" s="10"/>
      <c r="L11798" s="10"/>
      <c r="M11798" s="10"/>
      <c r="N11798" s="10"/>
      <c r="O11798" s="10"/>
      <c r="P11798" s="10"/>
      <c r="Q11798" s="10"/>
      <c r="R11798" s="10"/>
      <c r="S11798" s="10"/>
      <c r="T11798" s="10"/>
      <c r="U11798" s="10"/>
      <c r="V11798" s="10"/>
      <c r="W11798" s="10"/>
      <c r="X11798" s="10"/>
      <c r="Y11798" s="10"/>
      <c r="Z11798" s="10"/>
    </row>
    <row r="11799" spans="1:26" ht="12.75">
      <c r="A11799" s="10"/>
      <c r="B11799" s="10"/>
      <c r="C11799" s="10"/>
      <c r="D11799" s="10"/>
      <c r="E11799" s="10"/>
      <c r="F11799" s="10"/>
      <c r="G11799" s="10"/>
      <c r="H11799" s="10"/>
      <c r="I11799" s="10"/>
      <c r="J11799" s="10"/>
      <c r="K11799" s="10"/>
      <c r="L11799" s="10"/>
      <c r="M11799" s="10"/>
      <c r="N11799" s="10"/>
      <c r="O11799" s="10"/>
      <c r="P11799" s="10"/>
      <c r="Q11799" s="10"/>
      <c r="R11799" s="10"/>
      <c r="S11799" s="10"/>
      <c r="T11799" s="10"/>
      <c r="U11799" s="10"/>
      <c r="V11799" s="10"/>
      <c r="W11799" s="10"/>
      <c r="X11799" s="10"/>
      <c r="Y11799" s="10"/>
      <c r="Z11799" s="10"/>
    </row>
    <row r="11800" spans="1:26" ht="12.75">
      <c r="A11800" s="10"/>
      <c r="B11800" s="10"/>
      <c r="C11800" s="10"/>
      <c r="D11800" s="10"/>
      <c r="E11800" s="10"/>
      <c r="F11800" s="10"/>
      <c r="G11800" s="10"/>
      <c r="H11800" s="10"/>
      <c r="I11800" s="10"/>
      <c r="J11800" s="10"/>
      <c r="K11800" s="10"/>
      <c r="L11800" s="10"/>
      <c r="M11800" s="10"/>
      <c r="N11800" s="10"/>
      <c r="O11800" s="10"/>
      <c r="P11800" s="10"/>
      <c r="Q11800" s="10"/>
      <c r="R11800" s="10"/>
      <c r="S11800" s="10"/>
      <c r="T11800" s="10"/>
      <c r="U11800" s="10"/>
      <c r="V11800" s="10"/>
      <c r="W11800" s="10"/>
      <c r="X11800" s="10"/>
      <c r="Y11800" s="10"/>
      <c r="Z11800" s="10"/>
    </row>
    <row r="11801" spans="1:26" ht="12.75">
      <c r="A11801" s="10"/>
      <c r="B11801" s="10"/>
      <c r="C11801" s="10"/>
      <c r="D11801" s="10"/>
      <c r="E11801" s="10"/>
      <c r="F11801" s="10"/>
      <c r="G11801" s="10"/>
      <c r="H11801" s="10"/>
      <c r="I11801" s="10"/>
      <c r="J11801" s="10"/>
      <c r="K11801" s="10"/>
      <c r="L11801" s="10"/>
      <c r="M11801" s="10"/>
      <c r="N11801" s="10"/>
      <c r="O11801" s="10"/>
      <c r="P11801" s="10"/>
      <c r="Q11801" s="10"/>
      <c r="R11801" s="10"/>
      <c r="S11801" s="10"/>
      <c r="T11801" s="10"/>
      <c r="U11801" s="10"/>
      <c r="V11801" s="10"/>
      <c r="W11801" s="10"/>
      <c r="X11801" s="10"/>
      <c r="Y11801" s="10"/>
      <c r="Z11801" s="10"/>
    </row>
    <row r="11802" spans="1:26" ht="12.75">
      <c r="A11802" s="10"/>
      <c r="B11802" s="10"/>
      <c r="C11802" s="10"/>
      <c r="D11802" s="10"/>
      <c r="E11802" s="10"/>
      <c r="F11802" s="10"/>
      <c r="G11802" s="10"/>
      <c r="H11802" s="10"/>
      <c r="I11802" s="10"/>
      <c r="J11802" s="10"/>
      <c r="K11802" s="10"/>
      <c r="L11802" s="10"/>
      <c r="M11802" s="10"/>
      <c r="N11802" s="10"/>
      <c r="O11802" s="10"/>
      <c r="P11802" s="10"/>
      <c r="Q11802" s="10"/>
      <c r="R11802" s="10"/>
      <c r="S11802" s="10"/>
      <c r="T11802" s="10"/>
      <c r="U11802" s="10"/>
      <c r="V11802" s="10"/>
      <c r="W11802" s="10"/>
      <c r="X11802" s="10"/>
      <c r="Y11802" s="10"/>
      <c r="Z11802" s="10"/>
    </row>
    <row r="11803" spans="1:26" ht="12.75">
      <c r="A11803" s="10"/>
      <c r="B11803" s="10"/>
      <c r="C11803" s="10"/>
      <c r="D11803" s="10"/>
      <c r="E11803" s="10"/>
      <c r="F11803" s="10"/>
      <c r="G11803" s="10"/>
      <c r="H11803" s="10"/>
      <c r="I11803" s="10"/>
      <c r="J11803" s="10"/>
      <c r="K11803" s="10"/>
      <c r="L11803" s="10"/>
      <c r="M11803" s="10"/>
      <c r="N11803" s="10"/>
      <c r="O11803" s="10"/>
      <c r="P11803" s="10"/>
      <c r="Q11803" s="10"/>
      <c r="R11803" s="10"/>
      <c r="S11803" s="10"/>
      <c r="T11803" s="10"/>
      <c r="U11803" s="10"/>
      <c r="V11803" s="10"/>
      <c r="W11803" s="10"/>
      <c r="X11803" s="10"/>
      <c r="Y11803" s="10"/>
      <c r="Z11803" s="10"/>
    </row>
    <row r="11804" spans="1:26" ht="12.75">
      <c r="A11804" s="10"/>
      <c r="B11804" s="10"/>
      <c r="C11804" s="10"/>
      <c r="D11804" s="10"/>
      <c r="E11804" s="10"/>
      <c r="F11804" s="10"/>
      <c r="G11804" s="10"/>
      <c r="H11804" s="10"/>
      <c r="I11804" s="10"/>
      <c r="J11804" s="10"/>
      <c r="K11804" s="10"/>
      <c r="L11804" s="10"/>
      <c r="M11804" s="10"/>
      <c r="N11804" s="10"/>
      <c r="O11804" s="10"/>
      <c r="P11804" s="10"/>
      <c r="Q11804" s="10"/>
      <c r="R11804" s="10"/>
      <c r="S11804" s="10"/>
      <c r="T11804" s="10"/>
      <c r="U11804" s="10"/>
      <c r="V11804" s="10"/>
      <c r="W11804" s="10"/>
      <c r="X11804" s="10"/>
      <c r="Y11804" s="10"/>
      <c r="Z11804" s="10"/>
    </row>
    <row r="11805" spans="1:26" ht="12.75">
      <c r="A11805" s="10"/>
      <c r="B11805" s="10"/>
      <c r="C11805" s="10"/>
      <c r="D11805" s="10"/>
      <c r="E11805" s="10"/>
      <c r="F11805" s="10"/>
      <c r="G11805" s="10"/>
      <c r="H11805" s="10"/>
      <c r="I11805" s="10"/>
      <c r="J11805" s="10"/>
      <c r="K11805" s="10"/>
      <c r="L11805" s="10"/>
      <c r="M11805" s="10"/>
      <c r="N11805" s="10"/>
      <c r="O11805" s="10"/>
      <c r="P11805" s="10"/>
      <c r="Q11805" s="10"/>
      <c r="R11805" s="10"/>
      <c r="S11805" s="10"/>
      <c r="T11805" s="10"/>
      <c r="U11805" s="10"/>
      <c r="V11805" s="10"/>
      <c r="W11805" s="10"/>
      <c r="X11805" s="10"/>
      <c r="Y11805" s="10"/>
      <c r="Z11805" s="10"/>
    </row>
    <row r="11806" spans="1:26" ht="12.75">
      <c r="A11806" s="10"/>
      <c r="B11806" s="10"/>
      <c r="C11806" s="10"/>
      <c r="D11806" s="10"/>
      <c r="E11806" s="10"/>
      <c r="F11806" s="10"/>
      <c r="G11806" s="10"/>
      <c r="H11806" s="10"/>
      <c r="I11806" s="10"/>
      <c r="J11806" s="10"/>
      <c r="K11806" s="10"/>
      <c r="L11806" s="10"/>
      <c r="M11806" s="10"/>
      <c r="N11806" s="10"/>
      <c r="O11806" s="10"/>
      <c r="P11806" s="10"/>
      <c r="Q11806" s="10"/>
      <c r="R11806" s="10"/>
      <c r="S11806" s="10"/>
      <c r="T11806" s="10"/>
      <c r="U11806" s="10"/>
      <c r="V11806" s="10"/>
      <c r="W11806" s="10"/>
      <c r="X11806" s="10"/>
      <c r="Y11806" s="10"/>
      <c r="Z11806" s="10"/>
    </row>
    <row r="11807" spans="1:26" ht="12.75">
      <c r="A11807" s="10"/>
      <c r="B11807" s="10"/>
      <c r="C11807" s="10"/>
      <c r="D11807" s="10"/>
      <c r="E11807" s="10"/>
      <c r="F11807" s="10"/>
      <c r="G11807" s="10"/>
      <c r="H11807" s="10"/>
      <c r="I11807" s="10"/>
      <c r="J11807" s="10"/>
      <c r="K11807" s="10"/>
      <c r="L11807" s="10"/>
      <c r="M11807" s="10"/>
      <c r="N11807" s="10"/>
      <c r="O11807" s="10"/>
      <c r="P11807" s="10"/>
      <c r="Q11807" s="10"/>
      <c r="R11807" s="10"/>
      <c r="S11807" s="10"/>
      <c r="T11807" s="10"/>
      <c r="U11807" s="10"/>
      <c r="V11807" s="10"/>
      <c r="W11807" s="10"/>
      <c r="X11807" s="10"/>
      <c r="Y11807" s="10"/>
      <c r="Z11807" s="10"/>
    </row>
    <row r="11808" spans="1:26" ht="12.75">
      <c r="A11808" s="10"/>
      <c r="B11808" s="10"/>
      <c r="C11808" s="10"/>
      <c r="D11808" s="10"/>
      <c r="E11808" s="10"/>
      <c r="F11808" s="10"/>
      <c r="G11808" s="10"/>
      <c r="H11808" s="10"/>
      <c r="I11808" s="10"/>
      <c r="J11808" s="10"/>
      <c r="K11808" s="10"/>
      <c r="L11808" s="10"/>
      <c r="M11808" s="10"/>
      <c r="N11808" s="10"/>
      <c r="O11808" s="10"/>
      <c r="P11808" s="10"/>
      <c r="Q11808" s="10"/>
      <c r="R11808" s="10"/>
      <c r="S11808" s="10"/>
      <c r="T11808" s="10"/>
      <c r="U11808" s="10"/>
      <c r="V11808" s="10"/>
      <c r="W11808" s="10"/>
      <c r="X11808" s="10"/>
      <c r="Y11808" s="10"/>
      <c r="Z11808" s="10"/>
    </row>
    <row r="11809" spans="1:26" ht="12.75">
      <c r="A11809" s="10"/>
      <c r="B11809" s="10"/>
      <c r="C11809" s="10"/>
      <c r="D11809" s="10"/>
      <c r="E11809" s="10"/>
      <c r="F11809" s="10"/>
      <c r="G11809" s="10"/>
      <c r="H11809" s="10"/>
      <c r="I11809" s="10"/>
      <c r="J11809" s="10"/>
      <c r="K11809" s="10"/>
      <c r="L11809" s="10"/>
      <c r="M11809" s="10"/>
      <c r="N11809" s="10"/>
      <c r="O11809" s="10"/>
      <c r="P11809" s="10"/>
      <c r="Q11809" s="10"/>
      <c r="R11809" s="10"/>
      <c r="S11809" s="10"/>
      <c r="T11809" s="10"/>
      <c r="U11809" s="10"/>
      <c r="V11809" s="10"/>
      <c r="W11809" s="10"/>
      <c r="X11809" s="10"/>
      <c r="Y11809" s="10"/>
      <c r="Z11809" s="10"/>
    </row>
    <row r="11810" spans="1:26" ht="12.75">
      <c r="A11810" s="10"/>
      <c r="B11810" s="10"/>
      <c r="C11810" s="10"/>
      <c r="D11810" s="10"/>
      <c r="E11810" s="10"/>
      <c r="F11810" s="10"/>
      <c r="G11810" s="10"/>
      <c r="H11810" s="10"/>
      <c r="I11810" s="10"/>
      <c r="J11810" s="10"/>
      <c r="K11810" s="10"/>
      <c r="L11810" s="10"/>
      <c r="M11810" s="10"/>
      <c r="N11810" s="10"/>
      <c r="O11810" s="10"/>
      <c r="P11810" s="10"/>
      <c r="Q11810" s="10"/>
      <c r="R11810" s="10"/>
      <c r="S11810" s="10"/>
      <c r="T11810" s="10"/>
      <c r="U11810" s="10"/>
      <c r="V11810" s="10"/>
      <c r="W11810" s="10"/>
      <c r="X11810" s="10"/>
      <c r="Y11810" s="10"/>
      <c r="Z11810" s="10"/>
    </row>
    <row r="11811" spans="1:26" ht="12.75">
      <c r="A11811" s="10"/>
      <c r="B11811" s="10"/>
      <c r="C11811" s="10"/>
      <c r="D11811" s="10"/>
      <c r="E11811" s="10"/>
      <c r="F11811" s="10"/>
      <c r="G11811" s="10"/>
      <c r="H11811" s="10"/>
      <c r="I11811" s="10"/>
      <c r="J11811" s="10"/>
      <c r="K11811" s="10"/>
      <c r="L11811" s="10"/>
      <c r="M11811" s="10"/>
      <c r="N11811" s="10"/>
      <c r="O11811" s="10"/>
      <c r="P11811" s="10"/>
      <c r="Q11811" s="10"/>
      <c r="R11811" s="10"/>
      <c r="S11811" s="10"/>
      <c r="T11811" s="10"/>
      <c r="U11811" s="10"/>
      <c r="V11811" s="10"/>
      <c r="W11811" s="10"/>
      <c r="X11811" s="10"/>
      <c r="Y11811" s="10"/>
      <c r="Z11811" s="10"/>
    </row>
    <row r="11812" spans="1:26" ht="12.75">
      <c r="A11812" s="10"/>
      <c r="B11812" s="10"/>
      <c r="C11812" s="10"/>
      <c r="D11812" s="10"/>
      <c r="E11812" s="10"/>
      <c r="F11812" s="10"/>
      <c r="G11812" s="10"/>
      <c r="H11812" s="10"/>
      <c r="I11812" s="10"/>
      <c r="J11812" s="10"/>
      <c r="K11812" s="10"/>
      <c r="L11812" s="10"/>
      <c r="M11812" s="10"/>
      <c r="N11812" s="10"/>
      <c r="O11812" s="10"/>
      <c r="P11812" s="10"/>
      <c r="Q11812" s="10"/>
      <c r="R11812" s="10"/>
      <c r="S11812" s="10"/>
      <c r="T11812" s="10"/>
      <c r="U11812" s="10"/>
      <c r="V11812" s="10"/>
      <c r="W11812" s="10"/>
      <c r="X11812" s="10"/>
      <c r="Y11812" s="10"/>
      <c r="Z11812" s="10"/>
    </row>
    <row r="11813" spans="1:26" ht="12.75">
      <c r="A11813" s="10"/>
      <c r="B11813" s="10"/>
      <c r="C11813" s="10"/>
      <c r="D11813" s="10"/>
      <c r="E11813" s="10"/>
      <c r="F11813" s="10"/>
      <c r="G11813" s="10"/>
      <c r="H11813" s="10"/>
      <c r="I11813" s="10"/>
      <c r="J11813" s="10"/>
      <c r="K11813" s="10"/>
      <c r="L11813" s="10"/>
      <c r="M11813" s="10"/>
      <c r="N11813" s="10"/>
      <c r="O11813" s="10"/>
      <c r="P11813" s="10"/>
      <c r="Q11813" s="10"/>
      <c r="R11813" s="10"/>
      <c r="S11813" s="10"/>
      <c r="T11813" s="10"/>
      <c r="U11813" s="10"/>
      <c r="V11813" s="10"/>
      <c r="W11813" s="10"/>
      <c r="X11813" s="10"/>
      <c r="Y11813" s="10"/>
      <c r="Z11813" s="10"/>
    </row>
    <row r="11814" spans="1:26" ht="12.75">
      <c r="A11814" s="10"/>
      <c r="B11814" s="10"/>
      <c r="C11814" s="10"/>
      <c r="D11814" s="10"/>
      <c r="E11814" s="10"/>
      <c r="F11814" s="10"/>
      <c r="G11814" s="10"/>
      <c r="H11814" s="10"/>
      <c r="I11814" s="10"/>
      <c r="J11814" s="10"/>
      <c r="K11814" s="10"/>
      <c r="L11814" s="10"/>
      <c r="M11814" s="10"/>
      <c r="N11814" s="10"/>
      <c r="O11814" s="10"/>
      <c r="P11814" s="10"/>
      <c r="Q11814" s="10"/>
      <c r="R11814" s="10"/>
      <c r="S11814" s="10"/>
      <c r="T11814" s="10"/>
      <c r="U11814" s="10"/>
      <c r="V11814" s="10"/>
      <c r="W11814" s="10"/>
      <c r="X11814" s="10"/>
      <c r="Y11814" s="10"/>
      <c r="Z11814" s="10"/>
    </row>
    <row r="11815" spans="1:26" ht="12.75">
      <c r="A11815" s="10"/>
      <c r="B11815" s="10"/>
      <c r="C11815" s="10"/>
      <c r="D11815" s="10"/>
      <c r="E11815" s="10"/>
      <c r="F11815" s="10"/>
      <c r="G11815" s="10"/>
      <c r="H11815" s="10"/>
      <c r="I11815" s="10"/>
      <c r="J11815" s="10"/>
      <c r="K11815" s="10"/>
      <c r="L11815" s="10"/>
      <c r="M11815" s="10"/>
      <c r="N11815" s="10"/>
      <c r="O11815" s="10"/>
      <c r="P11815" s="10"/>
      <c r="Q11815" s="10"/>
      <c r="R11815" s="10"/>
      <c r="S11815" s="10"/>
      <c r="T11815" s="10"/>
      <c r="U11815" s="10"/>
      <c r="V11815" s="10"/>
      <c r="W11815" s="10"/>
      <c r="X11815" s="10"/>
      <c r="Y11815" s="10"/>
      <c r="Z11815" s="10"/>
    </row>
    <row r="11816" spans="1:26" ht="12.75">
      <c r="A11816" s="10"/>
      <c r="B11816" s="10"/>
      <c r="C11816" s="10"/>
      <c r="D11816" s="10"/>
      <c r="E11816" s="10"/>
      <c r="F11816" s="10"/>
      <c r="G11816" s="10"/>
      <c r="H11816" s="10"/>
      <c r="I11816" s="10"/>
      <c r="J11816" s="10"/>
      <c r="K11816" s="10"/>
      <c r="L11816" s="10"/>
      <c r="M11816" s="10"/>
      <c r="N11816" s="10"/>
      <c r="O11816" s="10"/>
      <c r="P11816" s="10"/>
      <c r="Q11816" s="10"/>
      <c r="R11816" s="10"/>
      <c r="S11816" s="10"/>
      <c r="T11816" s="10"/>
      <c r="U11816" s="10"/>
      <c r="V11816" s="10"/>
      <c r="W11816" s="10"/>
      <c r="X11816" s="10"/>
      <c r="Y11816" s="10"/>
      <c r="Z11816" s="10"/>
    </row>
    <row r="11817" spans="1:26" ht="12.75">
      <c r="A11817" s="10"/>
      <c r="B11817" s="10"/>
      <c r="C11817" s="10"/>
      <c r="D11817" s="10"/>
      <c r="E11817" s="10"/>
      <c r="F11817" s="10"/>
      <c r="G11817" s="10"/>
      <c r="H11817" s="10"/>
      <c r="I11817" s="10"/>
      <c r="J11817" s="10"/>
      <c r="K11817" s="10"/>
      <c r="L11817" s="10"/>
      <c r="M11817" s="10"/>
      <c r="N11817" s="10"/>
      <c r="O11817" s="10"/>
      <c r="P11817" s="10"/>
      <c r="Q11817" s="10"/>
      <c r="R11817" s="10"/>
      <c r="S11817" s="10"/>
      <c r="T11817" s="10"/>
      <c r="U11817" s="10"/>
      <c r="V11817" s="10"/>
      <c r="W11817" s="10"/>
      <c r="X11817" s="10"/>
      <c r="Y11817" s="10"/>
      <c r="Z11817" s="10"/>
    </row>
    <row r="11818" spans="1:26" ht="12.75">
      <c r="A11818" s="10"/>
      <c r="B11818" s="10"/>
      <c r="C11818" s="10"/>
      <c r="D11818" s="10"/>
      <c r="E11818" s="10"/>
      <c r="F11818" s="10"/>
      <c r="G11818" s="10"/>
      <c r="H11818" s="10"/>
      <c r="I11818" s="10"/>
      <c r="J11818" s="10"/>
      <c r="K11818" s="10"/>
      <c r="L11818" s="10"/>
      <c r="M11818" s="10"/>
      <c r="N11818" s="10"/>
      <c r="O11818" s="10"/>
      <c r="P11818" s="10"/>
      <c r="Q11818" s="10"/>
      <c r="R11818" s="10"/>
      <c r="S11818" s="10"/>
      <c r="T11818" s="10"/>
      <c r="U11818" s="10"/>
      <c r="V11818" s="10"/>
      <c r="W11818" s="10"/>
      <c r="X11818" s="10"/>
      <c r="Y11818" s="10"/>
      <c r="Z11818" s="10"/>
    </row>
    <row r="11819" spans="1:26" ht="12.75">
      <c r="A11819" s="10"/>
      <c r="B11819" s="10"/>
      <c r="C11819" s="10"/>
      <c r="D11819" s="10"/>
      <c r="E11819" s="10"/>
      <c r="F11819" s="10"/>
      <c r="G11819" s="10"/>
      <c r="H11819" s="10"/>
      <c r="I11819" s="10"/>
      <c r="J11819" s="10"/>
      <c r="K11819" s="10"/>
      <c r="L11819" s="10"/>
      <c r="M11819" s="10"/>
      <c r="N11819" s="10"/>
      <c r="O11819" s="10"/>
      <c r="P11819" s="10"/>
      <c r="Q11819" s="10"/>
      <c r="R11819" s="10"/>
      <c r="S11819" s="10"/>
      <c r="T11819" s="10"/>
      <c r="U11819" s="10"/>
      <c r="V11819" s="10"/>
      <c r="W11819" s="10"/>
      <c r="X11819" s="10"/>
      <c r="Y11819" s="10"/>
      <c r="Z11819" s="10"/>
    </row>
    <row r="11820" spans="1:26" ht="12.75">
      <c r="A11820" s="10"/>
      <c r="B11820" s="10"/>
      <c r="C11820" s="10"/>
      <c r="D11820" s="10"/>
      <c r="E11820" s="10"/>
      <c r="F11820" s="10"/>
      <c r="G11820" s="10"/>
      <c r="H11820" s="10"/>
      <c r="I11820" s="10"/>
      <c r="J11820" s="10"/>
      <c r="K11820" s="10"/>
      <c r="L11820" s="10"/>
      <c r="M11820" s="10"/>
      <c r="N11820" s="10"/>
      <c r="O11820" s="10"/>
      <c r="P11820" s="10"/>
      <c r="Q11820" s="10"/>
      <c r="R11820" s="10"/>
      <c r="S11820" s="10"/>
      <c r="T11820" s="10"/>
      <c r="U11820" s="10"/>
      <c r="V11820" s="10"/>
      <c r="W11820" s="10"/>
      <c r="X11820" s="10"/>
      <c r="Y11820" s="10"/>
      <c r="Z11820" s="10"/>
    </row>
    <row r="11821" spans="1:26" ht="12.75">
      <c r="A11821" s="10"/>
      <c r="B11821" s="10"/>
      <c r="C11821" s="10"/>
      <c r="D11821" s="10"/>
      <c r="E11821" s="10"/>
      <c r="F11821" s="10"/>
      <c r="G11821" s="10"/>
      <c r="H11821" s="10"/>
      <c r="I11821" s="10"/>
      <c r="J11821" s="10"/>
      <c r="K11821" s="10"/>
      <c r="L11821" s="10"/>
      <c r="M11821" s="10"/>
      <c r="N11821" s="10"/>
      <c r="O11821" s="10"/>
      <c r="P11821" s="10"/>
      <c r="Q11821" s="10"/>
      <c r="R11821" s="10"/>
      <c r="S11821" s="10"/>
      <c r="T11821" s="10"/>
      <c r="U11821" s="10"/>
      <c r="V11821" s="10"/>
      <c r="W11821" s="10"/>
      <c r="X11821" s="10"/>
      <c r="Y11821" s="10"/>
      <c r="Z11821" s="10"/>
    </row>
    <row r="11822" spans="1:26" ht="12.75">
      <c r="A11822" s="10"/>
      <c r="B11822" s="10"/>
      <c r="C11822" s="10"/>
      <c r="D11822" s="10"/>
      <c r="E11822" s="10"/>
      <c r="F11822" s="10"/>
      <c r="G11822" s="10"/>
      <c r="H11822" s="10"/>
      <c r="I11822" s="10"/>
      <c r="J11822" s="10"/>
      <c r="K11822" s="10"/>
      <c r="L11822" s="10"/>
      <c r="M11822" s="10"/>
      <c r="N11822" s="10"/>
      <c r="O11822" s="10"/>
      <c r="P11822" s="10"/>
      <c r="Q11822" s="10"/>
      <c r="R11822" s="10"/>
      <c r="S11822" s="10"/>
      <c r="T11822" s="10"/>
      <c r="U11822" s="10"/>
      <c r="V11822" s="10"/>
      <c r="W11822" s="10"/>
      <c r="X11822" s="10"/>
      <c r="Y11822" s="10"/>
      <c r="Z11822" s="10"/>
    </row>
    <row r="11823" spans="1:26" ht="12.75">
      <c r="A11823" s="10"/>
      <c r="B11823" s="10"/>
      <c r="C11823" s="10"/>
      <c r="D11823" s="10"/>
      <c r="E11823" s="10"/>
      <c r="F11823" s="10"/>
      <c r="G11823" s="10"/>
      <c r="H11823" s="10"/>
      <c r="I11823" s="10"/>
      <c r="J11823" s="10"/>
      <c r="K11823" s="10"/>
      <c r="L11823" s="10"/>
      <c r="M11823" s="10"/>
      <c r="N11823" s="10"/>
      <c r="O11823" s="10"/>
      <c r="P11823" s="10"/>
      <c r="Q11823" s="10"/>
      <c r="R11823" s="10"/>
      <c r="S11823" s="10"/>
      <c r="T11823" s="10"/>
      <c r="U11823" s="10"/>
      <c r="V11823" s="10"/>
      <c r="W11823" s="10"/>
      <c r="X11823" s="10"/>
      <c r="Y11823" s="10"/>
      <c r="Z11823" s="10"/>
    </row>
    <row r="11824" spans="1:26" ht="12.75">
      <c r="A11824" s="10"/>
      <c r="B11824" s="10"/>
      <c r="C11824" s="10"/>
      <c r="D11824" s="10"/>
      <c r="E11824" s="10"/>
      <c r="F11824" s="10"/>
      <c r="G11824" s="10"/>
      <c r="H11824" s="10"/>
      <c r="I11824" s="10"/>
      <c r="J11824" s="10"/>
      <c r="K11824" s="10"/>
      <c r="L11824" s="10"/>
      <c r="M11824" s="10"/>
      <c r="N11824" s="10"/>
      <c r="O11824" s="10"/>
      <c r="P11824" s="10"/>
      <c r="Q11824" s="10"/>
      <c r="R11824" s="10"/>
      <c r="S11824" s="10"/>
      <c r="T11824" s="10"/>
      <c r="U11824" s="10"/>
      <c r="V11824" s="10"/>
      <c r="W11824" s="10"/>
      <c r="X11824" s="10"/>
      <c r="Y11824" s="10"/>
      <c r="Z11824" s="10"/>
    </row>
    <row r="11825" spans="1:26" ht="12.75">
      <c r="A11825" s="10"/>
      <c r="B11825" s="10"/>
      <c r="C11825" s="10"/>
      <c r="D11825" s="10"/>
      <c r="E11825" s="10"/>
      <c r="F11825" s="10"/>
      <c r="G11825" s="10"/>
      <c r="H11825" s="10"/>
      <c r="I11825" s="10"/>
      <c r="J11825" s="10"/>
      <c r="K11825" s="10"/>
      <c r="L11825" s="10"/>
      <c r="M11825" s="10"/>
      <c r="N11825" s="10"/>
      <c r="O11825" s="10"/>
      <c r="P11825" s="10"/>
      <c r="Q11825" s="10"/>
      <c r="R11825" s="10"/>
      <c r="S11825" s="10"/>
      <c r="T11825" s="10"/>
      <c r="U11825" s="10"/>
      <c r="V11825" s="10"/>
      <c r="W11825" s="10"/>
      <c r="X11825" s="10"/>
      <c r="Y11825" s="10"/>
      <c r="Z11825" s="10"/>
    </row>
    <row r="11826" spans="1:26" ht="12.75">
      <c r="A11826" s="10"/>
      <c r="B11826" s="10"/>
      <c r="C11826" s="10"/>
      <c r="D11826" s="10"/>
      <c r="E11826" s="10"/>
      <c r="F11826" s="10"/>
      <c r="G11826" s="10"/>
      <c r="H11826" s="10"/>
      <c r="I11826" s="10"/>
      <c r="J11826" s="10"/>
      <c r="K11826" s="10"/>
      <c r="L11826" s="10"/>
      <c r="M11826" s="10"/>
      <c r="N11826" s="10"/>
      <c r="O11826" s="10"/>
      <c r="P11826" s="10"/>
      <c r="Q11826" s="10"/>
      <c r="R11826" s="10"/>
      <c r="S11826" s="10"/>
      <c r="T11826" s="10"/>
      <c r="U11826" s="10"/>
      <c r="V11826" s="10"/>
      <c r="W11826" s="10"/>
      <c r="X11826" s="10"/>
      <c r="Y11826" s="10"/>
      <c r="Z11826" s="10"/>
    </row>
    <row r="11827" spans="1:26" ht="12.75">
      <c r="A11827" s="10"/>
      <c r="B11827" s="10"/>
      <c r="C11827" s="10"/>
      <c r="D11827" s="10"/>
      <c r="E11827" s="10"/>
      <c r="F11827" s="10"/>
      <c r="G11827" s="10"/>
      <c r="H11827" s="10"/>
      <c r="I11827" s="10"/>
      <c r="J11827" s="10"/>
      <c r="K11827" s="10"/>
      <c r="L11827" s="10"/>
      <c r="M11827" s="10"/>
      <c r="N11827" s="10"/>
      <c r="O11827" s="10"/>
      <c r="P11827" s="10"/>
      <c r="Q11827" s="10"/>
      <c r="R11827" s="10"/>
      <c r="S11827" s="10"/>
      <c r="T11827" s="10"/>
      <c r="U11827" s="10"/>
      <c r="V11827" s="10"/>
      <c r="W11827" s="10"/>
      <c r="X11827" s="10"/>
      <c r="Y11827" s="10"/>
      <c r="Z11827" s="10"/>
    </row>
    <row r="11828" spans="1:26" ht="12.75">
      <c r="A11828" s="10"/>
      <c r="B11828" s="10"/>
      <c r="C11828" s="10"/>
      <c r="D11828" s="10"/>
      <c r="E11828" s="10"/>
      <c r="F11828" s="10"/>
      <c r="G11828" s="10"/>
      <c r="H11828" s="10"/>
      <c r="I11828" s="10"/>
      <c r="J11828" s="10"/>
      <c r="K11828" s="10"/>
      <c r="L11828" s="10"/>
      <c r="M11828" s="10"/>
      <c r="N11828" s="10"/>
      <c r="O11828" s="10"/>
      <c r="P11828" s="10"/>
      <c r="Q11828" s="10"/>
      <c r="R11828" s="10"/>
      <c r="S11828" s="10"/>
      <c r="T11828" s="10"/>
      <c r="U11828" s="10"/>
      <c r="V11828" s="10"/>
      <c r="W11828" s="10"/>
      <c r="X11828" s="10"/>
      <c r="Y11828" s="10"/>
      <c r="Z11828" s="10"/>
    </row>
    <row r="11829" spans="1:26" ht="12.75">
      <c r="A11829" s="10"/>
      <c r="B11829" s="10"/>
      <c r="C11829" s="10"/>
      <c r="D11829" s="10"/>
      <c r="E11829" s="10"/>
      <c r="F11829" s="10"/>
      <c r="G11829" s="10"/>
      <c r="H11829" s="10"/>
      <c r="I11829" s="10"/>
      <c r="J11829" s="10"/>
      <c r="K11829" s="10"/>
      <c r="L11829" s="10"/>
      <c r="M11829" s="10"/>
      <c r="N11829" s="10"/>
      <c r="O11829" s="10"/>
      <c r="P11829" s="10"/>
      <c r="Q11829" s="10"/>
      <c r="R11829" s="10"/>
      <c r="S11829" s="10"/>
      <c r="T11829" s="10"/>
      <c r="U11829" s="10"/>
      <c r="V11829" s="10"/>
      <c r="W11829" s="10"/>
      <c r="X11829" s="10"/>
      <c r="Y11829" s="10"/>
      <c r="Z11829" s="10"/>
    </row>
    <row r="11830" spans="1:26" ht="12.75">
      <c r="A11830" s="10"/>
      <c r="B11830" s="10"/>
      <c r="C11830" s="10"/>
      <c r="D11830" s="10"/>
      <c r="E11830" s="10"/>
      <c r="F11830" s="10"/>
      <c r="G11830" s="10"/>
      <c r="H11830" s="10"/>
      <c r="I11830" s="10"/>
      <c r="J11830" s="10"/>
      <c r="K11830" s="10"/>
      <c r="L11830" s="10"/>
      <c r="M11830" s="10"/>
      <c r="N11830" s="10"/>
      <c r="O11830" s="10"/>
      <c r="P11830" s="10"/>
      <c r="Q11830" s="10"/>
      <c r="R11830" s="10"/>
      <c r="S11830" s="10"/>
      <c r="T11830" s="10"/>
      <c r="U11830" s="10"/>
      <c r="V11830" s="10"/>
      <c r="W11830" s="10"/>
      <c r="X11830" s="10"/>
      <c r="Y11830" s="10"/>
      <c r="Z11830" s="10"/>
    </row>
    <row r="11831" spans="1:26" ht="12.75">
      <c r="A11831" s="10"/>
      <c r="B11831" s="10"/>
      <c r="C11831" s="10"/>
      <c r="D11831" s="10"/>
      <c r="E11831" s="10"/>
      <c r="F11831" s="10"/>
      <c r="G11831" s="10"/>
      <c r="H11831" s="10"/>
      <c r="I11831" s="10"/>
      <c r="J11831" s="10"/>
      <c r="K11831" s="10"/>
      <c r="L11831" s="10"/>
      <c r="M11831" s="10"/>
      <c r="N11831" s="10"/>
      <c r="O11831" s="10"/>
      <c r="P11831" s="10"/>
      <c r="Q11831" s="10"/>
      <c r="R11831" s="10"/>
      <c r="S11831" s="10"/>
      <c r="T11831" s="10"/>
      <c r="U11831" s="10"/>
      <c r="V11831" s="10"/>
      <c r="W11831" s="10"/>
      <c r="X11831" s="10"/>
      <c r="Y11831" s="10"/>
      <c r="Z11831" s="10"/>
    </row>
    <row r="11832" spans="1:26" ht="12.75">
      <c r="A11832" s="10"/>
      <c r="B11832" s="10"/>
      <c r="C11832" s="10"/>
      <c r="D11832" s="10"/>
      <c r="E11832" s="10"/>
      <c r="F11832" s="10"/>
      <c r="G11832" s="10"/>
      <c r="H11832" s="10"/>
      <c r="I11832" s="10"/>
      <c r="J11832" s="10"/>
      <c r="K11832" s="10"/>
      <c r="L11832" s="10"/>
      <c r="M11832" s="10"/>
      <c r="N11832" s="10"/>
      <c r="O11832" s="10"/>
      <c r="P11832" s="10"/>
      <c r="Q11832" s="10"/>
      <c r="R11832" s="10"/>
      <c r="S11832" s="10"/>
      <c r="T11832" s="10"/>
      <c r="U11832" s="10"/>
      <c r="V11832" s="10"/>
      <c r="W11832" s="10"/>
      <c r="X11832" s="10"/>
      <c r="Y11832" s="10"/>
      <c r="Z11832" s="10"/>
    </row>
    <row r="11833" spans="1:26" ht="12.75">
      <c r="A11833" s="10"/>
      <c r="B11833" s="10"/>
      <c r="C11833" s="10"/>
      <c r="D11833" s="10"/>
      <c r="E11833" s="10"/>
      <c r="F11833" s="10"/>
      <c r="G11833" s="10"/>
      <c r="H11833" s="10"/>
      <c r="I11833" s="10"/>
      <c r="J11833" s="10"/>
      <c r="K11833" s="10"/>
      <c r="L11833" s="10"/>
      <c r="M11833" s="10"/>
      <c r="N11833" s="10"/>
      <c r="O11833" s="10"/>
      <c r="P11833" s="10"/>
      <c r="Q11833" s="10"/>
      <c r="R11833" s="10"/>
      <c r="S11833" s="10"/>
      <c r="T11833" s="10"/>
      <c r="U11833" s="10"/>
      <c r="V11833" s="10"/>
      <c r="W11833" s="10"/>
      <c r="X11833" s="10"/>
      <c r="Y11833" s="10"/>
      <c r="Z11833" s="10"/>
    </row>
    <row r="11834" spans="1:26" ht="12.75">
      <c r="A11834" s="10"/>
      <c r="B11834" s="10"/>
      <c r="C11834" s="10"/>
      <c r="D11834" s="10"/>
      <c r="E11834" s="10"/>
      <c r="F11834" s="10"/>
      <c r="G11834" s="10"/>
      <c r="H11834" s="10"/>
      <c r="I11834" s="10"/>
      <c r="J11834" s="10"/>
      <c r="K11834" s="10"/>
      <c r="L11834" s="10"/>
      <c r="M11834" s="10"/>
      <c r="N11834" s="10"/>
      <c r="O11834" s="10"/>
      <c r="P11834" s="10"/>
      <c r="Q11834" s="10"/>
      <c r="R11834" s="10"/>
      <c r="S11834" s="10"/>
      <c r="T11834" s="10"/>
      <c r="U11834" s="10"/>
      <c r="V11834" s="10"/>
      <c r="W11834" s="10"/>
      <c r="X11834" s="10"/>
      <c r="Y11834" s="10"/>
      <c r="Z11834" s="10"/>
    </row>
    <row r="11835" spans="1:26" ht="12.75">
      <c r="A11835" s="10"/>
      <c r="B11835" s="10"/>
      <c r="C11835" s="10"/>
      <c r="D11835" s="10"/>
      <c r="E11835" s="10"/>
      <c r="F11835" s="10"/>
      <c r="G11835" s="10"/>
      <c r="H11835" s="10"/>
      <c r="I11835" s="10"/>
      <c r="J11835" s="10"/>
      <c r="K11835" s="10"/>
      <c r="L11835" s="10"/>
      <c r="M11835" s="10"/>
      <c r="N11835" s="10"/>
      <c r="O11835" s="10"/>
      <c r="P11835" s="10"/>
      <c r="Q11835" s="10"/>
      <c r="R11835" s="10"/>
      <c r="S11835" s="10"/>
      <c r="T11835" s="10"/>
      <c r="U11835" s="10"/>
      <c r="V11835" s="10"/>
      <c r="W11835" s="10"/>
      <c r="X11835" s="10"/>
      <c r="Y11835" s="10"/>
      <c r="Z11835" s="10"/>
    </row>
    <row r="11836" spans="1:26" ht="12.75">
      <c r="A11836" s="10"/>
      <c r="B11836" s="10"/>
      <c r="C11836" s="10"/>
      <c r="D11836" s="10"/>
      <c r="E11836" s="10"/>
      <c r="F11836" s="10"/>
      <c r="G11836" s="10"/>
      <c r="H11836" s="10"/>
      <c r="I11836" s="10"/>
      <c r="J11836" s="10"/>
      <c r="K11836" s="10"/>
      <c r="L11836" s="10"/>
      <c r="M11836" s="10"/>
      <c r="N11836" s="10"/>
      <c r="O11836" s="10"/>
      <c r="P11836" s="10"/>
      <c r="Q11836" s="10"/>
      <c r="R11836" s="10"/>
      <c r="S11836" s="10"/>
      <c r="T11836" s="10"/>
      <c r="U11836" s="10"/>
      <c r="V11836" s="10"/>
      <c r="W11836" s="10"/>
      <c r="X11836" s="10"/>
      <c r="Y11836" s="10"/>
      <c r="Z11836" s="10"/>
    </row>
    <row r="11837" spans="1:26" ht="12.75">
      <c r="A11837" s="10"/>
      <c r="B11837" s="10"/>
      <c r="C11837" s="10"/>
      <c r="D11837" s="10"/>
      <c r="E11837" s="10"/>
      <c r="F11837" s="10"/>
      <c r="G11837" s="10"/>
      <c r="H11837" s="10"/>
      <c r="I11837" s="10"/>
      <c r="J11837" s="10"/>
      <c r="K11837" s="10"/>
      <c r="L11837" s="10"/>
      <c r="M11837" s="10"/>
      <c r="N11837" s="10"/>
      <c r="O11837" s="10"/>
      <c r="P11837" s="10"/>
      <c r="Q11837" s="10"/>
      <c r="R11837" s="10"/>
      <c r="S11837" s="10"/>
      <c r="T11837" s="10"/>
      <c r="U11837" s="10"/>
      <c r="V11837" s="10"/>
      <c r="W11837" s="10"/>
      <c r="X11837" s="10"/>
      <c r="Y11837" s="10"/>
      <c r="Z11837" s="10"/>
    </row>
    <row r="11838" spans="1:26" ht="12.75">
      <c r="A11838" s="10"/>
      <c r="B11838" s="10"/>
      <c r="C11838" s="10"/>
      <c r="D11838" s="10"/>
      <c r="E11838" s="10"/>
      <c r="F11838" s="10"/>
      <c r="G11838" s="10"/>
      <c r="H11838" s="10"/>
      <c r="I11838" s="10"/>
      <c r="J11838" s="10"/>
      <c r="K11838" s="10"/>
      <c r="L11838" s="10"/>
      <c r="M11838" s="10"/>
      <c r="N11838" s="10"/>
      <c r="O11838" s="10"/>
      <c r="P11838" s="10"/>
      <c r="Q11838" s="10"/>
      <c r="R11838" s="10"/>
      <c r="S11838" s="10"/>
      <c r="T11838" s="10"/>
      <c r="U11838" s="10"/>
      <c r="V11838" s="10"/>
      <c r="W11838" s="10"/>
      <c r="X11838" s="10"/>
      <c r="Y11838" s="10"/>
      <c r="Z11838" s="10"/>
    </row>
    <row r="11839" spans="1:26" ht="12.75">
      <c r="A11839" s="10"/>
      <c r="B11839" s="10"/>
      <c r="C11839" s="10"/>
      <c r="D11839" s="10"/>
      <c r="E11839" s="10"/>
      <c r="F11839" s="10"/>
      <c r="G11839" s="10"/>
      <c r="H11839" s="10"/>
      <c r="I11839" s="10"/>
      <c r="J11839" s="10"/>
      <c r="K11839" s="10"/>
      <c r="L11839" s="10"/>
      <c r="M11839" s="10"/>
      <c r="N11839" s="10"/>
      <c r="O11839" s="10"/>
      <c r="P11839" s="10"/>
      <c r="Q11839" s="10"/>
      <c r="R11839" s="10"/>
      <c r="S11839" s="10"/>
      <c r="T11839" s="10"/>
      <c r="U11839" s="10"/>
      <c r="V11839" s="10"/>
      <c r="W11839" s="10"/>
      <c r="X11839" s="10"/>
      <c r="Y11839" s="10"/>
      <c r="Z11839" s="10"/>
    </row>
    <row r="11840" spans="1:26" ht="12.75">
      <c r="A11840" s="10"/>
      <c r="B11840" s="10"/>
      <c r="C11840" s="10"/>
      <c r="D11840" s="10"/>
      <c r="E11840" s="10"/>
      <c r="F11840" s="10"/>
      <c r="G11840" s="10"/>
      <c r="H11840" s="10"/>
      <c r="I11840" s="10"/>
      <c r="J11840" s="10"/>
      <c r="K11840" s="10"/>
      <c r="L11840" s="10"/>
      <c r="M11840" s="10"/>
      <c r="N11840" s="10"/>
      <c r="O11840" s="10"/>
      <c r="P11840" s="10"/>
      <c r="Q11840" s="10"/>
      <c r="R11840" s="10"/>
      <c r="S11840" s="10"/>
      <c r="T11840" s="10"/>
      <c r="U11840" s="10"/>
      <c r="V11840" s="10"/>
      <c r="W11840" s="10"/>
      <c r="X11840" s="10"/>
      <c r="Y11840" s="10"/>
      <c r="Z11840" s="10"/>
    </row>
    <row r="11841" spans="1:26" ht="12.75">
      <c r="A11841" s="10"/>
      <c r="B11841" s="10"/>
      <c r="C11841" s="10"/>
      <c r="D11841" s="10"/>
      <c r="E11841" s="10"/>
      <c r="F11841" s="10"/>
      <c r="G11841" s="10"/>
      <c r="H11841" s="10"/>
      <c r="I11841" s="10"/>
      <c r="J11841" s="10"/>
      <c r="K11841" s="10"/>
      <c r="L11841" s="10"/>
      <c r="M11841" s="10"/>
      <c r="N11841" s="10"/>
      <c r="O11841" s="10"/>
      <c r="P11841" s="10"/>
      <c r="Q11841" s="10"/>
      <c r="R11841" s="10"/>
      <c r="S11841" s="10"/>
      <c r="T11841" s="10"/>
      <c r="U11841" s="10"/>
      <c r="V11841" s="10"/>
      <c r="W11841" s="10"/>
      <c r="X11841" s="10"/>
      <c r="Y11841" s="10"/>
      <c r="Z11841" s="10"/>
    </row>
    <row r="11842" spans="1:26" ht="12.75">
      <c r="A11842" s="10"/>
      <c r="B11842" s="10"/>
      <c r="C11842" s="10"/>
      <c r="D11842" s="10"/>
      <c r="E11842" s="10"/>
      <c r="F11842" s="10"/>
      <c r="G11842" s="10"/>
      <c r="H11842" s="10"/>
      <c r="I11842" s="10"/>
      <c r="J11842" s="10"/>
      <c r="K11842" s="10"/>
      <c r="L11842" s="10"/>
      <c r="M11842" s="10"/>
      <c r="N11842" s="10"/>
      <c r="O11842" s="10"/>
      <c r="P11842" s="10"/>
      <c r="Q11842" s="10"/>
      <c r="R11842" s="10"/>
      <c r="S11842" s="10"/>
      <c r="T11842" s="10"/>
      <c r="U11842" s="10"/>
      <c r="V11842" s="10"/>
      <c r="W11842" s="10"/>
      <c r="X11842" s="10"/>
      <c r="Y11842" s="10"/>
      <c r="Z11842" s="10"/>
    </row>
    <row r="11843" spans="1:26" ht="12.75">
      <c r="A11843" s="10"/>
      <c r="B11843" s="10"/>
      <c r="C11843" s="10"/>
      <c r="D11843" s="10"/>
      <c r="E11843" s="10"/>
      <c r="F11843" s="10"/>
      <c r="G11843" s="10"/>
      <c r="H11843" s="10"/>
      <c r="I11843" s="10"/>
      <c r="J11843" s="10"/>
      <c r="K11843" s="10"/>
      <c r="L11843" s="10"/>
      <c r="M11843" s="10"/>
      <c r="N11843" s="10"/>
      <c r="O11843" s="10"/>
      <c r="P11843" s="10"/>
      <c r="Q11843" s="10"/>
      <c r="R11843" s="10"/>
      <c r="S11843" s="10"/>
      <c r="T11843" s="10"/>
      <c r="U11843" s="10"/>
      <c r="V11843" s="10"/>
      <c r="W11843" s="10"/>
      <c r="X11843" s="10"/>
      <c r="Y11843" s="10"/>
      <c r="Z11843" s="10"/>
    </row>
    <row r="11844" spans="1:26" ht="12.75">
      <c r="A11844" s="10"/>
      <c r="B11844" s="10"/>
      <c r="C11844" s="10"/>
      <c r="D11844" s="10"/>
      <c r="E11844" s="10"/>
      <c r="F11844" s="10"/>
      <c r="G11844" s="10"/>
      <c r="H11844" s="10"/>
      <c r="I11844" s="10"/>
      <c r="J11844" s="10"/>
      <c r="K11844" s="10"/>
      <c r="L11844" s="10"/>
      <c r="M11844" s="10"/>
      <c r="N11844" s="10"/>
      <c r="O11844" s="10"/>
      <c r="P11844" s="10"/>
      <c r="Q11844" s="10"/>
      <c r="R11844" s="10"/>
      <c r="S11844" s="10"/>
      <c r="T11844" s="10"/>
      <c r="U11844" s="10"/>
      <c r="V11844" s="10"/>
      <c r="W11844" s="10"/>
      <c r="X11844" s="10"/>
      <c r="Y11844" s="10"/>
      <c r="Z11844" s="10"/>
    </row>
    <row r="11845" spans="1:26" ht="12.75">
      <c r="A11845" s="10"/>
      <c r="B11845" s="10"/>
      <c r="C11845" s="10"/>
      <c r="D11845" s="10"/>
      <c r="E11845" s="10"/>
      <c r="F11845" s="10"/>
      <c r="G11845" s="10"/>
      <c r="H11845" s="10"/>
      <c r="I11845" s="10"/>
      <c r="J11845" s="10"/>
      <c r="K11845" s="10"/>
      <c r="L11845" s="10"/>
      <c r="M11845" s="10"/>
      <c r="N11845" s="10"/>
      <c r="O11845" s="10"/>
      <c r="P11845" s="10"/>
      <c r="Q11845" s="10"/>
      <c r="R11845" s="10"/>
      <c r="S11845" s="10"/>
      <c r="T11845" s="10"/>
      <c r="U11845" s="10"/>
      <c r="V11845" s="10"/>
      <c r="W11845" s="10"/>
      <c r="X11845" s="10"/>
      <c r="Y11845" s="10"/>
      <c r="Z11845" s="10"/>
    </row>
    <row r="11846" spans="1:26" ht="12.75">
      <c r="A11846" s="10"/>
      <c r="B11846" s="10"/>
      <c r="C11846" s="10"/>
      <c r="D11846" s="10"/>
      <c r="E11846" s="10"/>
      <c r="F11846" s="10"/>
      <c r="G11846" s="10"/>
      <c r="H11846" s="10"/>
      <c r="I11846" s="10"/>
      <c r="J11846" s="10"/>
      <c r="K11846" s="10"/>
      <c r="L11846" s="10"/>
      <c r="M11846" s="10"/>
      <c r="N11846" s="10"/>
      <c r="O11846" s="10"/>
      <c r="P11846" s="10"/>
      <c r="Q11846" s="10"/>
      <c r="R11846" s="10"/>
      <c r="S11846" s="10"/>
      <c r="T11846" s="10"/>
      <c r="U11846" s="10"/>
      <c r="V11846" s="10"/>
      <c r="W11846" s="10"/>
      <c r="X11846" s="10"/>
      <c r="Y11846" s="10"/>
      <c r="Z11846" s="10"/>
    </row>
    <row r="11847" spans="1:26" ht="12.75">
      <c r="A11847" s="10"/>
      <c r="B11847" s="10"/>
      <c r="C11847" s="10"/>
      <c r="D11847" s="10"/>
      <c r="E11847" s="10"/>
      <c r="F11847" s="10"/>
      <c r="G11847" s="10"/>
      <c r="H11847" s="10"/>
      <c r="I11847" s="10"/>
      <c r="J11847" s="10"/>
      <c r="K11847" s="10"/>
      <c r="L11847" s="10"/>
      <c r="M11847" s="10"/>
      <c r="N11847" s="10"/>
      <c r="O11847" s="10"/>
      <c r="P11847" s="10"/>
      <c r="Q11847" s="10"/>
      <c r="R11847" s="10"/>
      <c r="S11847" s="10"/>
      <c r="T11847" s="10"/>
      <c r="U11847" s="10"/>
      <c r="V11847" s="10"/>
      <c r="W11847" s="10"/>
      <c r="X11847" s="10"/>
      <c r="Y11847" s="10"/>
      <c r="Z11847" s="10"/>
    </row>
    <row r="11848" spans="1:26" ht="12.75">
      <c r="A11848" s="10"/>
      <c r="B11848" s="10"/>
      <c r="C11848" s="10"/>
      <c r="D11848" s="10"/>
      <c r="E11848" s="10"/>
      <c r="F11848" s="10"/>
      <c r="G11848" s="10"/>
      <c r="H11848" s="10"/>
      <c r="I11848" s="10"/>
      <c r="J11848" s="10"/>
      <c r="K11848" s="10"/>
      <c r="L11848" s="10"/>
      <c r="M11848" s="10"/>
      <c r="N11848" s="10"/>
      <c r="O11848" s="10"/>
      <c r="P11848" s="10"/>
      <c r="Q11848" s="10"/>
      <c r="R11848" s="10"/>
      <c r="S11848" s="10"/>
      <c r="T11848" s="10"/>
      <c r="U11848" s="10"/>
      <c r="V11848" s="10"/>
      <c r="W11848" s="10"/>
      <c r="X11848" s="10"/>
      <c r="Y11848" s="10"/>
      <c r="Z11848" s="10"/>
    </row>
    <row r="11849" spans="1:26" ht="12.75">
      <c r="A11849" s="10"/>
      <c r="B11849" s="10"/>
      <c r="C11849" s="10"/>
      <c r="D11849" s="10"/>
      <c r="E11849" s="10"/>
      <c r="F11849" s="10"/>
      <c r="G11849" s="10"/>
      <c r="H11849" s="10"/>
      <c r="I11849" s="10"/>
      <c r="J11849" s="10"/>
      <c r="K11849" s="10"/>
      <c r="L11849" s="10"/>
      <c r="M11849" s="10"/>
      <c r="N11849" s="10"/>
      <c r="O11849" s="10"/>
      <c r="P11849" s="10"/>
      <c r="Q11849" s="10"/>
      <c r="R11849" s="10"/>
      <c r="S11849" s="10"/>
      <c r="T11849" s="10"/>
      <c r="U11849" s="10"/>
      <c r="V11849" s="10"/>
      <c r="W11849" s="10"/>
      <c r="X11849" s="10"/>
      <c r="Y11849" s="10"/>
      <c r="Z11849" s="10"/>
    </row>
    <row r="11850" spans="1:26" ht="12.75">
      <c r="A11850" s="10"/>
      <c r="B11850" s="10"/>
      <c r="C11850" s="10"/>
      <c r="D11850" s="10"/>
      <c r="E11850" s="10"/>
      <c r="F11850" s="10"/>
      <c r="G11850" s="10"/>
      <c r="H11850" s="10"/>
      <c r="I11850" s="10"/>
      <c r="J11850" s="10"/>
      <c r="K11850" s="10"/>
      <c r="L11850" s="10"/>
      <c r="M11850" s="10"/>
      <c r="N11850" s="10"/>
      <c r="O11850" s="10"/>
      <c r="P11850" s="10"/>
      <c r="Q11850" s="10"/>
      <c r="R11850" s="10"/>
      <c r="S11850" s="10"/>
      <c r="T11850" s="10"/>
      <c r="U11850" s="10"/>
      <c r="V11850" s="10"/>
      <c r="W11850" s="10"/>
      <c r="X11850" s="10"/>
      <c r="Y11850" s="10"/>
      <c r="Z11850" s="10"/>
    </row>
    <row r="11851" spans="1:26" ht="12.75">
      <c r="A11851" s="10"/>
      <c r="B11851" s="10"/>
      <c r="C11851" s="10"/>
      <c r="D11851" s="10"/>
      <c r="E11851" s="10"/>
      <c r="F11851" s="10"/>
      <c r="G11851" s="10"/>
      <c r="H11851" s="10"/>
      <c r="I11851" s="10"/>
      <c r="J11851" s="10"/>
      <c r="K11851" s="10"/>
      <c r="L11851" s="10"/>
      <c r="M11851" s="10"/>
      <c r="N11851" s="10"/>
      <c r="O11851" s="10"/>
      <c r="P11851" s="10"/>
      <c r="Q11851" s="10"/>
      <c r="R11851" s="10"/>
      <c r="S11851" s="10"/>
      <c r="T11851" s="10"/>
      <c r="U11851" s="10"/>
      <c r="V11851" s="10"/>
      <c r="W11851" s="10"/>
      <c r="X11851" s="10"/>
      <c r="Y11851" s="10"/>
      <c r="Z11851" s="10"/>
    </row>
    <row r="11852" spans="1:26" ht="12.75">
      <c r="A11852" s="10"/>
      <c r="B11852" s="10"/>
      <c r="C11852" s="10"/>
      <c r="D11852" s="10"/>
      <c r="E11852" s="10"/>
      <c r="F11852" s="10"/>
      <c r="G11852" s="10"/>
      <c r="H11852" s="10"/>
      <c r="I11852" s="10"/>
      <c r="J11852" s="10"/>
      <c r="K11852" s="10"/>
      <c r="L11852" s="10"/>
      <c r="M11852" s="10"/>
      <c r="N11852" s="10"/>
      <c r="O11852" s="10"/>
      <c r="P11852" s="10"/>
      <c r="Q11852" s="10"/>
      <c r="R11852" s="10"/>
      <c r="S11852" s="10"/>
      <c r="T11852" s="10"/>
      <c r="U11852" s="10"/>
      <c r="V11852" s="10"/>
      <c r="W11852" s="10"/>
      <c r="X11852" s="10"/>
      <c r="Y11852" s="10"/>
      <c r="Z11852" s="10"/>
    </row>
    <row r="11853" spans="1:26" ht="12.75">
      <c r="A11853" s="10"/>
      <c r="B11853" s="10"/>
      <c r="C11853" s="10"/>
      <c r="D11853" s="10"/>
      <c r="E11853" s="10"/>
      <c r="F11853" s="10"/>
      <c r="G11853" s="10"/>
      <c r="H11853" s="10"/>
      <c r="I11853" s="10"/>
      <c r="J11853" s="10"/>
      <c r="K11853" s="10"/>
      <c r="L11853" s="10"/>
      <c r="M11853" s="10"/>
      <c r="N11853" s="10"/>
      <c r="O11853" s="10"/>
      <c r="P11853" s="10"/>
      <c r="Q11853" s="10"/>
      <c r="R11853" s="10"/>
      <c r="S11853" s="10"/>
      <c r="T11853" s="10"/>
      <c r="U11853" s="10"/>
      <c r="V11853" s="10"/>
      <c r="W11853" s="10"/>
      <c r="X11853" s="10"/>
      <c r="Y11853" s="10"/>
      <c r="Z11853" s="10"/>
    </row>
    <row r="11854" spans="1:26" ht="12.75">
      <c r="A11854" s="10"/>
      <c r="B11854" s="10"/>
      <c r="C11854" s="10"/>
      <c r="D11854" s="10"/>
      <c r="E11854" s="10"/>
      <c r="F11854" s="10"/>
      <c r="G11854" s="10"/>
      <c r="H11854" s="10"/>
      <c r="I11854" s="10"/>
      <c r="J11854" s="10"/>
      <c r="K11854" s="10"/>
      <c r="L11854" s="10"/>
      <c r="M11854" s="10"/>
      <c r="N11854" s="10"/>
      <c r="O11854" s="10"/>
      <c r="P11854" s="10"/>
      <c r="Q11854" s="10"/>
      <c r="R11854" s="10"/>
      <c r="S11854" s="10"/>
      <c r="T11854" s="10"/>
      <c r="U11854" s="10"/>
      <c r="V11854" s="10"/>
      <c r="W11854" s="10"/>
      <c r="X11854" s="10"/>
      <c r="Y11854" s="10"/>
      <c r="Z11854" s="10"/>
    </row>
    <row r="11855" spans="1:26" ht="12.75">
      <c r="A11855" s="10"/>
      <c r="B11855" s="10"/>
      <c r="C11855" s="10"/>
      <c r="D11855" s="10"/>
      <c r="E11855" s="10"/>
      <c r="F11855" s="10"/>
      <c r="G11855" s="10"/>
      <c r="H11855" s="10"/>
      <c r="I11855" s="10"/>
      <c r="J11855" s="10"/>
      <c r="K11855" s="10"/>
      <c r="L11855" s="10"/>
      <c r="M11855" s="10"/>
      <c r="N11855" s="10"/>
      <c r="O11855" s="10"/>
      <c r="P11855" s="10"/>
      <c r="Q11855" s="10"/>
      <c r="R11855" s="10"/>
      <c r="S11855" s="10"/>
      <c r="T11855" s="10"/>
      <c r="U11855" s="10"/>
      <c r="V11855" s="10"/>
      <c r="W11855" s="10"/>
      <c r="X11855" s="10"/>
      <c r="Y11855" s="10"/>
      <c r="Z11855" s="10"/>
    </row>
    <row r="11856" spans="1:26" ht="12.75">
      <c r="A11856" s="10"/>
      <c r="B11856" s="10"/>
      <c r="C11856" s="10"/>
      <c r="D11856" s="10"/>
      <c r="E11856" s="10"/>
      <c r="F11856" s="10"/>
      <c r="G11856" s="10"/>
      <c r="H11856" s="10"/>
      <c r="I11856" s="10"/>
      <c r="J11856" s="10"/>
      <c r="K11856" s="10"/>
      <c r="L11856" s="10"/>
      <c r="M11856" s="10"/>
      <c r="N11856" s="10"/>
      <c r="O11856" s="10"/>
      <c r="P11856" s="10"/>
      <c r="Q11856" s="10"/>
      <c r="R11856" s="10"/>
      <c r="S11856" s="10"/>
      <c r="T11856" s="10"/>
      <c r="U11856" s="10"/>
      <c r="V11856" s="10"/>
      <c r="W11856" s="10"/>
      <c r="X11856" s="10"/>
      <c r="Y11856" s="10"/>
      <c r="Z11856" s="10"/>
    </row>
    <row r="11857" spans="1:26" ht="12.75">
      <c r="A11857" s="10"/>
      <c r="B11857" s="10"/>
      <c r="C11857" s="10"/>
      <c r="D11857" s="10"/>
      <c r="E11857" s="10"/>
      <c r="F11857" s="10"/>
      <c r="G11857" s="10"/>
      <c r="H11857" s="10"/>
      <c r="I11857" s="10"/>
      <c r="J11857" s="10"/>
      <c r="K11857" s="10"/>
      <c r="L11857" s="10"/>
      <c r="M11857" s="10"/>
      <c r="N11857" s="10"/>
      <c r="O11857" s="10"/>
      <c r="P11857" s="10"/>
      <c r="Q11857" s="10"/>
      <c r="R11857" s="10"/>
      <c r="S11857" s="10"/>
      <c r="T11857" s="10"/>
      <c r="U11857" s="10"/>
      <c r="V11857" s="10"/>
      <c r="W11857" s="10"/>
      <c r="X11857" s="10"/>
      <c r="Y11857" s="10"/>
      <c r="Z11857" s="10"/>
    </row>
    <row r="11858" spans="1:26" ht="12.75">
      <c r="A11858" s="10"/>
      <c r="B11858" s="10"/>
      <c r="C11858" s="10"/>
      <c r="D11858" s="10"/>
      <c r="E11858" s="10"/>
      <c r="F11858" s="10"/>
      <c r="G11858" s="10"/>
      <c r="H11858" s="10"/>
      <c r="I11858" s="10"/>
      <c r="J11858" s="10"/>
      <c r="K11858" s="10"/>
      <c r="L11858" s="10"/>
      <c r="M11858" s="10"/>
      <c r="N11858" s="10"/>
      <c r="O11858" s="10"/>
      <c r="P11858" s="10"/>
      <c r="Q11858" s="10"/>
      <c r="R11858" s="10"/>
      <c r="S11858" s="10"/>
      <c r="T11858" s="10"/>
      <c r="U11858" s="10"/>
      <c r="V11858" s="10"/>
      <c r="W11858" s="10"/>
      <c r="X11858" s="10"/>
      <c r="Y11858" s="10"/>
      <c r="Z11858" s="10"/>
    </row>
    <row r="11859" spans="1:26" ht="12.75">
      <c r="A11859" s="10"/>
      <c r="B11859" s="10"/>
      <c r="C11859" s="10"/>
      <c r="D11859" s="10"/>
      <c r="E11859" s="10"/>
      <c r="F11859" s="10"/>
      <c r="G11859" s="10"/>
      <c r="H11859" s="10"/>
      <c r="I11859" s="10"/>
      <c r="J11859" s="10"/>
      <c r="K11859" s="10"/>
      <c r="L11859" s="10"/>
      <c r="M11859" s="10"/>
      <c r="N11859" s="10"/>
      <c r="O11859" s="10"/>
      <c r="P11859" s="10"/>
      <c r="Q11859" s="10"/>
      <c r="R11859" s="10"/>
      <c r="S11859" s="10"/>
      <c r="T11859" s="10"/>
      <c r="U11859" s="10"/>
      <c r="V11859" s="10"/>
      <c r="W11859" s="10"/>
      <c r="X11859" s="10"/>
      <c r="Y11859" s="10"/>
      <c r="Z11859" s="10"/>
    </row>
    <row r="11860" spans="1:26" ht="12.75">
      <c r="A11860" s="10"/>
      <c r="B11860" s="10"/>
      <c r="C11860" s="10"/>
      <c r="D11860" s="10"/>
      <c r="E11860" s="10"/>
      <c r="F11860" s="10"/>
      <c r="G11860" s="10"/>
      <c r="H11860" s="10"/>
      <c r="I11860" s="10"/>
      <c r="J11860" s="10"/>
      <c r="K11860" s="10"/>
      <c r="L11860" s="10"/>
      <c r="M11860" s="10"/>
      <c r="N11860" s="10"/>
      <c r="O11860" s="10"/>
      <c r="P11860" s="10"/>
      <c r="Q11860" s="10"/>
      <c r="R11860" s="10"/>
      <c r="S11860" s="10"/>
      <c r="T11860" s="10"/>
      <c r="U11860" s="10"/>
      <c r="V11860" s="10"/>
      <c r="W11860" s="10"/>
      <c r="X11860" s="10"/>
      <c r="Y11860" s="10"/>
      <c r="Z11860" s="10"/>
    </row>
    <row r="11861" spans="1:26" ht="12.75">
      <c r="A11861" s="10"/>
      <c r="B11861" s="10"/>
      <c r="C11861" s="10"/>
      <c r="D11861" s="10"/>
      <c r="E11861" s="10"/>
      <c r="F11861" s="10"/>
      <c r="G11861" s="10"/>
      <c r="H11861" s="10"/>
      <c r="I11861" s="10"/>
      <c r="J11861" s="10"/>
      <c r="K11861" s="10"/>
      <c r="L11861" s="10"/>
      <c r="M11861" s="10"/>
      <c r="N11861" s="10"/>
      <c r="O11861" s="10"/>
      <c r="P11861" s="10"/>
      <c r="Q11861" s="10"/>
      <c r="R11861" s="10"/>
      <c r="S11861" s="10"/>
      <c r="T11861" s="10"/>
      <c r="U11861" s="10"/>
      <c r="V11861" s="10"/>
      <c r="W11861" s="10"/>
      <c r="X11861" s="10"/>
      <c r="Y11861" s="10"/>
      <c r="Z11861" s="10"/>
    </row>
    <row r="11862" spans="1:26" ht="12.75">
      <c r="A11862" s="10"/>
      <c r="B11862" s="10"/>
      <c r="C11862" s="10"/>
      <c r="D11862" s="10"/>
      <c r="E11862" s="10"/>
      <c r="F11862" s="10"/>
      <c r="G11862" s="10"/>
      <c r="H11862" s="10"/>
      <c r="I11862" s="10"/>
      <c r="J11862" s="10"/>
      <c r="K11862" s="10"/>
      <c r="L11862" s="10"/>
      <c r="M11862" s="10"/>
      <c r="N11862" s="10"/>
      <c r="O11862" s="10"/>
      <c r="P11862" s="10"/>
      <c r="Q11862" s="10"/>
      <c r="R11862" s="10"/>
      <c r="S11862" s="10"/>
      <c r="T11862" s="10"/>
      <c r="U11862" s="10"/>
      <c r="V11862" s="10"/>
      <c r="W11862" s="10"/>
      <c r="X11862" s="10"/>
      <c r="Y11862" s="10"/>
      <c r="Z11862" s="10"/>
    </row>
    <row r="11863" spans="1:26" ht="12.75">
      <c r="A11863" s="10"/>
      <c r="B11863" s="10"/>
      <c r="C11863" s="10"/>
      <c r="D11863" s="10"/>
      <c r="E11863" s="10"/>
      <c r="F11863" s="10"/>
      <c r="G11863" s="10"/>
      <c r="H11863" s="10"/>
      <c r="I11863" s="10"/>
      <c r="J11863" s="10"/>
      <c r="K11863" s="10"/>
      <c r="L11863" s="10"/>
      <c r="M11863" s="10"/>
      <c r="N11863" s="10"/>
      <c r="O11863" s="10"/>
      <c r="P11863" s="10"/>
      <c r="Q11863" s="10"/>
      <c r="R11863" s="10"/>
      <c r="S11863" s="10"/>
      <c r="T11863" s="10"/>
      <c r="U11863" s="10"/>
      <c r="V11863" s="10"/>
      <c r="W11863" s="10"/>
      <c r="X11863" s="10"/>
      <c r="Y11863" s="10"/>
      <c r="Z11863" s="10"/>
    </row>
    <row r="11864" spans="1:26" ht="12.75">
      <c r="A11864" s="10"/>
      <c r="B11864" s="10"/>
      <c r="C11864" s="10"/>
      <c r="D11864" s="10"/>
      <c r="E11864" s="10"/>
      <c r="F11864" s="10"/>
      <c r="G11864" s="10"/>
      <c r="H11864" s="10"/>
      <c r="I11864" s="10"/>
      <c r="J11864" s="10"/>
      <c r="K11864" s="10"/>
      <c r="L11864" s="10"/>
      <c r="M11864" s="10"/>
      <c r="N11864" s="10"/>
      <c r="O11864" s="10"/>
      <c r="P11864" s="10"/>
      <c r="Q11864" s="10"/>
      <c r="R11864" s="10"/>
      <c r="S11864" s="10"/>
      <c r="T11864" s="10"/>
      <c r="U11864" s="10"/>
      <c r="V11864" s="10"/>
      <c r="W11864" s="10"/>
      <c r="X11864" s="10"/>
      <c r="Y11864" s="10"/>
      <c r="Z11864" s="10"/>
    </row>
    <row r="11865" spans="1:26" ht="12.75">
      <c r="A11865" s="10"/>
      <c r="B11865" s="10"/>
      <c r="C11865" s="10"/>
      <c r="D11865" s="10"/>
      <c r="E11865" s="10"/>
      <c r="F11865" s="10"/>
      <c r="G11865" s="10"/>
      <c r="H11865" s="10"/>
      <c r="I11865" s="10"/>
      <c r="J11865" s="10"/>
      <c r="K11865" s="10"/>
      <c r="L11865" s="10"/>
      <c r="M11865" s="10"/>
      <c r="N11865" s="10"/>
      <c r="O11865" s="10"/>
      <c r="P11865" s="10"/>
      <c r="Q11865" s="10"/>
      <c r="R11865" s="10"/>
      <c r="S11865" s="10"/>
      <c r="T11865" s="10"/>
      <c r="U11865" s="10"/>
      <c r="V11865" s="10"/>
      <c r="W11865" s="10"/>
      <c r="X11865" s="10"/>
      <c r="Y11865" s="10"/>
      <c r="Z11865" s="10"/>
    </row>
    <row r="11866" spans="1:26" ht="12.75">
      <c r="A11866" s="10"/>
      <c r="B11866" s="10"/>
      <c r="C11866" s="10"/>
      <c r="D11866" s="10"/>
      <c r="E11866" s="10"/>
      <c r="F11866" s="10"/>
      <c r="G11866" s="10"/>
      <c r="H11866" s="10"/>
      <c r="I11866" s="10"/>
      <c r="J11866" s="10"/>
      <c r="K11866" s="10"/>
      <c r="L11866" s="10"/>
      <c r="M11866" s="10"/>
      <c r="N11866" s="10"/>
      <c r="O11866" s="10"/>
      <c r="P11866" s="10"/>
      <c r="Q11866" s="10"/>
      <c r="R11866" s="10"/>
      <c r="S11866" s="10"/>
      <c r="T11866" s="10"/>
      <c r="U11866" s="10"/>
      <c r="V11866" s="10"/>
      <c r="W11866" s="10"/>
      <c r="X11866" s="10"/>
      <c r="Y11866" s="10"/>
      <c r="Z11866" s="10"/>
    </row>
    <row r="11867" spans="1:26" ht="12.75">
      <c r="A11867" s="10"/>
      <c r="B11867" s="10"/>
      <c r="C11867" s="10"/>
      <c r="D11867" s="10"/>
      <c r="E11867" s="10"/>
      <c r="F11867" s="10"/>
      <c r="G11867" s="10"/>
      <c r="H11867" s="10"/>
      <c r="I11867" s="10"/>
      <c r="J11867" s="10"/>
      <c r="K11867" s="10"/>
      <c r="L11867" s="10"/>
      <c r="M11867" s="10"/>
      <c r="N11867" s="10"/>
      <c r="O11867" s="10"/>
      <c r="P11867" s="10"/>
      <c r="Q11867" s="10"/>
      <c r="R11867" s="10"/>
      <c r="S11867" s="10"/>
      <c r="T11867" s="10"/>
      <c r="U11867" s="10"/>
      <c r="V11867" s="10"/>
      <c r="W11867" s="10"/>
      <c r="X11867" s="10"/>
      <c r="Y11867" s="10"/>
      <c r="Z11867" s="10"/>
    </row>
    <row r="11868" spans="1:26" ht="12.75">
      <c r="A11868" s="10"/>
      <c r="B11868" s="10"/>
      <c r="C11868" s="10"/>
      <c r="D11868" s="10"/>
      <c r="E11868" s="10"/>
      <c r="F11868" s="10"/>
      <c r="G11868" s="10"/>
      <c r="H11868" s="10"/>
      <c r="I11868" s="10"/>
      <c r="J11868" s="10"/>
      <c r="K11868" s="10"/>
      <c r="L11868" s="10"/>
      <c r="M11868" s="10"/>
      <c r="N11868" s="10"/>
      <c r="O11868" s="10"/>
      <c r="P11868" s="10"/>
      <c r="Q11868" s="10"/>
      <c r="R11868" s="10"/>
      <c r="S11868" s="10"/>
      <c r="T11868" s="10"/>
      <c r="U11868" s="10"/>
      <c r="V11868" s="10"/>
      <c r="W11868" s="10"/>
      <c r="X11868" s="10"/>
      <c r="Y11868" s="10"/>
      <c r="Z11868" s="10"/>
    </row>
    <row r="11869" spans="1:26" ht="12.75">
      <c r="A11869" s="10"/>
      <c r="B11869" s="10"/>
      <c r="C11869" s="10"/>
      <c r="D11869" s="10"/>
      <c r="E11869" s="10"/>
      <c r="F11869" s="10"/>
      <c r="G11869" s="10"/>
      <c r="H11869" s="10"/>
      <c r="I11869" s="10"/>
      <c r="J11869" s="10"/>
      <c r="K11869" s="10"/>
      <c r="L11869" s="10"/>
      <c r="M11869" s="10"/>
      <c r="N11869" s="10"/>
      <c r="O11869" s="10"/>
      <c r="P11869" s="10"/>
      <c r="Q11869" s="10"/>
      <c r="R11869" s="10"/>
      <c r="S11869" s="10"/>
      <c r="T11869" s="10"/>
      <c r="U11869" s="10"/>
      <c r="V11869" s="10"/>
      <c r="W11869" s="10"/>
      <c r="X11869" s="10"/>
      <c r="Y11869" s="10"/>
      <c r="Z11869" s="10"/>
    </row>
    <row r="11870" spans="1:26" ht="12.75">
      <c r="A11870" s="10"/>
      <c r="B11870" s="10"/>
      <c r="C11870" s="10"/>
      <c r="D11870" s="10"/>
      <c r="E11870" s="10"/>
      <c r="F11870" s="10"/>
      <c r="G11870" s="10"/>
      <c r="H11870" s="10"/>
      <c r="I11870" s="10"/>
      <c r="J11870" s="10"/>
      <c r="K11870" s="10"/>
      <c r="L11870" s="10"/>
      <c r="M11870" s="10"/>
      <c r="N11870" s="10"/>
      <c r="O11870" s="10"/>
      <c r="P11870" s="10"/>
      <c r="Q11870" s="10"/>
      <c r="R11870" s="10"/>
      <c r="S11870" s="10"/>
      <c r="T11870" s="10"/>
      <c r="U11870" s="10"/>
      <c r="V11870" s="10"/>
      <c r="W11870" s="10"/>
      <c r="X11870" s="10"/>
      <c r="Y11870" s="10"/>
      <c r="Z11870" s="10"/>
    </row>
    <row r="11871" spans="1:26" ht="12.75">
      <c r="A11871" s="10"/>
      <c r="B11871" s="10"/>
      <c r="C11871" s="10"/>
      <c r="D11871" s="10"/>
      <c r="E11871" s="10"/>
      <c r="F11871" s="10"/>
      <c r="G11871" s="10"/>
      <c r="H11871" s="10"/>
      <c r="I11871" s="10"/>
      <c r="J11871" s="10"/>
      <c r="K11871" s="10"/>
      <c r="L11871" s="10"/>
      <c r="M11871" s="10"/>
      <c r="N11871" s="10"/>
      <c r="O11871" s="10"/>
      <c r="P11871" s="10"/>
      <c r="Q11871" s="10"/>
      <c r="R11871" s="10"/>
      <c r="S11871" s="10"/>
      <c r="T11871" s="10"/>
      <c r="U11871" s="10"/>
      <c r="V11871" s="10"/>
      <c r="W11871" s="10"/>
      <c r="X11871" s="10"/>
      <c r="Y11871" s="10"/>
      <c r="Z11871" s="10"/>
    </row>
    <row r="11872" spans="1:26" ht="12.75">
      <c r="A11872" s="10"/>
      <c r="B11872" s="10"/>
      <c r="C11872" s="10"/>
      <c r="D11872" s="10"/>
      <c r="E11872" s="10"/>
      <c r="F11872" s="10"/>
      <c r="G11872" s="10"/>
      <c r="H11872" s="10"/>
      <c r="I11872" s="10"/>
      <c r="J11872" s="10"/>
      <c r="K11872" s="10"/>
      <c r="L11872" s="10"/>
      <c r="M11872" s="10"/>
      <c r="N11872" s="10"/>
      <c r="O11872" s="10"/>
      <c r="P11872" s="10"/>
      <c r="Q11872" s="10"/>
      <c r="R11872" s="10"/>
      <c r="S11872" s="10"/>
      <c r="T11872" s="10"/>
      <c r="U11872" s="10"/>
      <c r="V11872" s="10"/>
      <c r="W11872" s="10"/>
      <c r="X11872" s="10"/>
      <c r="Y11872" s="10"/>
      <c r="Z11872" s="10"/>
    </row>
    <row r="11873" spans="1:26" ht="12.75">
      <c r="A11873" s="10"/>
      <c r="B11873" s="10"/>
      <c r="C11873" s="10"/>
      <c r="D11873" s="10"/>
      <c r="E11873" s="10"/>
      <c r="F11873" s="10"/>
      <c r="G11873" s="10"/>
      <c r="H11873" s="10"/>
      <c r="I11873" s="10"/>
      <c r="J11873" s="10"/>
      <c r="K11873" s="10"/>
      <c r="L11873" s="10"/>
      <c r="M11873" s="10"/>
      <c r="N11873" s="10"/>
      <c r="O11873" s="10"/>
      <c r="P11873" s="10"/>
      <c r="Q11873" s="10"/>
      <c r="R11873" s="10"/>
      <c r="S11873" s="10"/>
      <c r="T11873" s="10"/>
      <c r="U11873" s="10"/>
      <c r="V11873" s="10"/>
      <c r="W11873" s="10"/>
      <c r="X11873" s="10"/>
      <c r="Y11873" s="10"/>
      <c r="Z11873" s="10"/>
    </row>
    <row r="11874" spans="1:26" ht="12.75">
      <c r="A11874" s="10"/>
      <c r="B11874" s="10"/>
      <c r="C11874" s="10"/>
      <c r="D11874" s="10"/>
      <c r="E11874" s="10"/>
      <c r="F11874" s="10"/>
      <c r="G11874" s="10"/>
      <c r="H11874" s="10"/>
      <c r="I11874" s="10"/>
      <c r="J11874" s="10"/>
      <c r="K11874" s="10"/>
      <c r="L11874" s="10"/>
      <c r="M11874" s="10"/>
      <c r="N11874" s="10"/>
      <c r="O11874" s="10"/>
      <c r="P11874" s="10"/>
      <c r="Q11874" s="10"/>
      <c r="R11874" s="10"/>
      <c r="S11874" s="10"/>
      <c r="T11874" s="10"/>
      <c r="U11874" s="10"/>
      <c r="V11874" s="10"/>
      <c r="W11874" s="10"/>
      <c r="X11874" s="10"/>
      <c r="Y11874" s="10"/>
      <c r="Z11874" s="10"/>
    </row>
    <row r="11875" spans="1:26" ht="12.75">
      <c r="A11875" s="10"/>
      <c r="B11875" s="10"/>
      <c r="C11875" s="10"/>
      <c r="D11875" s="10"/>
      <c r="E11875" s="10"/>
      <c r="F11875" s="10"/>
      <c r="G11875" s="10"/>
      <c r="H11875" s="10"/>
      <c r="I11875" s="10"/>
      <c r="J11875" s="10"/>
      <c r="K11875" s="10"/>
      <c r="L11875" s="10"/>
      <c r="M11875" s="10"/>
      <c r="N11875" s="10"/>
      <c r="O11875" s="10"/>
      <c r="P11875" s="10"/>
      <c r="Q11875" s="10"/>
      <c r="R11875" s="10"/>
      <c r="S11875" s="10"/>
      <c r="T11875" s="10"/>
      <c r="U11875" s="10"/>
      <c r="V11875" s="10"/>
      <c r="W11875" s="10"/>
      <c r="X11875" s="10"/>
      <c r="Y11875" s="10"/>
      <c r="Z11875" s="10"/>
    </row>
    <row r="11876" spans="1:26" ht="12.75">
      <c r="A11876" s="10"/>
      <c r="B11876" s="10"/>
      <c r="C11876" s="10"/>
      <c r="D11876" s="10"/>
      <c r="E11876" s="10"/>
      <c r="F11876" s="10"/>
      <c r="G11876" s="10"/>
      <c r="H11876" s="10"/>
      <c r="I11876" s="10"/>
      <c r="J11876" s="10"/>
      <c r="K11876" s="10"/>
      <c r="L11876" s="10"/>
      <c r="M11876" s="10"/>
      <c r="N11876" s="10"/>
      <c r="O11876" s="10"/>
      <c r="P11876" s="10"/>
      <c r="Q11876" s="10"/>
      <c r="R11876" s="10"/>
      <c r="S11876" s="10"/>
      <c r="T11876" s="10"/>
      <c r="U11876" s="10"/>
      <c r="V11876" s="10"/>
      <c r="W11876" s="10"/>
      <c r="X11876" s="10"/>
      <c r="Y11876" s="10"/>
      <c r="Z11876" s="10"/>
    </row>
    <row r="11877" spans="1:26" ht="12.75">
      <c r="A11877" s="10"/>
      <c r="B11877" s="10"/>
      <c r="C11877" s="10"/>
      <c r="D11877" s="10"/>
      <c r="E11877" s="10"/>
      <c r="F11877" s="10"/>
      <c r="G11877" s="10"/>
      <c r="H11877" s="10"/>
      <c r="I11877" s="10"/>
      <c r="J11877" s="10"/>
      <c r="K11877" s="10"/>
      <c r="L11877" s="10"/>
      <c r="M11877" s="10"/>
      <c r="N11877" s="10"/>
      <c r="O11877" s="10"/>
      <c r="P11877" s="10"/>
      <c r="Q11877" s="10"/>
      <c r="R11877" s="10"/>
      <c r="S11877" s="10"/>
      <c r="T11877" s="10"/>
      <c r="U11877" s="10"/>
      <c r="V11877" s="10"/>
      <c r="W11877" s="10"/>
      <c r="X11877" s="10"/>
      <c r="Y11877" s="10"/>
      <c r="Z11877" s="10"/>
    </row>
    <row r="11878" spans="1:26" ht="12.75">
      <c r="A11878" s="10"/>
      <c r="B11878" s="10"/>
      <c r="C11878" s="10"/>
      <c r="D11878" s="10"/>
      <c r="E11878" s="10"/>
      <c r="F11878" s="10"/>
      <c r="G11878" s="10"/>
      <c r="H11878" s="10"/>
      <c r="I11878" s="10"/>
      <c r="J11878" s="10"/>
      <c r="K11878" s="10"/>
      <c r="L11878" s="10"/>
      <c r="M11878" s="10"/>
      <c r="N11878" s="10"/>
      <c r="O11878" s="10"/>
      <c r="P11878" s="10"/>
      <c r="Q11878" s="10"/>
      <c r="R11878" s="10"/>
      <c r="S11878" s="10"/>
      <c r="T11878" s="10"/>
      <c r="U11878" s="10"/>
      <c r="V11878" s="10"/>
      <c r="W11878" s="10"/>
      <c r="X11878" s="10"/>
      <c r="Y11878" s="10"/>
      <c r="Z11878" s="10"/>
    </row>
    <row r="11879" spans="1:26" ht="12.75">
      <c r="A11879" s="10"/>
      <c r="B11879" s="10"/>
      <c r="C11879" s="10"/>
      <c r="D11879" s="10"/>
      <c r="E11879" s="10"/>
      <c r="F11879" s="10"/>
      <c r="G11879" s="10"/>
      <c r="H11879" s="10"/>
      <c r="I11879" s="10"/>
      <c r="J11879" s="10"/>
      <c r="K11879" s="10"/>
      <c r="L11879" s="10"/>
      <c r="M11879" s="10"/>
      <c r="N11879" s="10"/>
      <c r="O11879" s="10"/>
      <c r="P11879" s="10"/>
      <c r="Q11879" s="10"/>
      <c r="R11879" s="10"/>
      <c r="S11879" s="10"/>
      <c r="T11879" s="10"/>
      <c r="U11879" s="10"/>
      <c r="V11879" s="10"/>
      <c r="W11879" s="10"/>
      <c r="X11879" s="10"/>
      <c r="Y11879" s="10"/>
      <c r="Z11879" s="10"/>
    </row>
    <row r="11880" spans="1:26" ht="12.75">
      <c r="A11880" s="10"/>
      <c r="B11880" s="10"/>
      <c r="C11880" s="10"/>
      <c r="D11880" s="10"/>
      <c r="E11880" s="10"/>
      <c r="F11880" s="10"/>
      <c r="G11880" s="10"/>
      <c r="H11880" s="10"/>
      <c r="I11880" s="10"/>
      <c r="J11880" s="10"/>
      <c r="K11880" s="10"/>
      <c r="L11880" s="10"/>
      <c r="M11880" s="10"/>
      <c r="N11880" s="10"/>
      <c r="O11880" s="10"/>
      <c r="P11880" s="10"/>
      <c r="Q11880" s="10"/>
      <c r="R11880" s="10"/>
      <c r="S11880" s="10"/>
      <c r="T11880" s="10"/>
      <c r="U11880" s="10"/>
      <c r="V11880" s="10"/>
      <c r="W11880" s="10"/>
      <c r="X11880" s="10"/>
      <c r="Y11880" s="10"/>
      <c r="Z11880" s="10"/>
    </row>
    <row r="11881" spans="1:26" ht="12.75">
      <c r="A11881" s="10"/>
      <c r="B11881" s="10"/>
      <c r="C11881" s="10"/>
      <c r="D11881" s="10"/>
      <c r="E11881" s="10"/>
      <c r="F11881" s="10"/>
      <c r="G11881" s="10"/>
      <c r="H11881" s="10"/>
      <c r="I11881" s="10"/>
      <c r="J11881" s="10"/>
      <c r="K11881" s="10"/>
      <c r="L11881" s="10"/>
      <c r="M11881" s="10"/>
      <c r="N11881" s="10"/>
      <c r="O11881" s="10"/>
      <c r="P11881" s="10"/>
      <c r="Q11881" s="10"/>
      <c r="R11881" s="10"/>
      <c r="S11881" s="10"/>
      <c r="T11881" s="10"/>
      <c r="U11881" s="10"/>
      <c r="V11881" s="10"/>
      <c r="W11881" s="10"/>
      <c r="X11881" s="10"/>
      <c r="Y11881" s="10"/>
      <c r="Z11881" s="10"/>
    </row>
    <row r="11882" spans="1:26" ht="12.75">
      <c r="A11882" s="10"/>
      <c r="B11882" s="10"/>
      <c r="C11882" s="10"/>
      <c r="D11882" s="10"/>
      <c r="E11882" s="10"/>
      <c r="F11882" s="10"/>
      <c r="G11882" s="10"/>
      <c r="H11882" s="10"/>
      <c r="I11882" s="10"/>
      <c r="J11882" s="10"/>
      <c r="K11882" s="10"/>
      <c r="L11882" s="10"/>
      <c r="M11882" s="10"/>
      <c r="N11882" s="10"/>
      <c r="O11882" s="10"/>
      <c r="P11882" s="10"/>
      <c r="Q11882" s="10"/>
      <c r="R11882" s="10"/>
      <c r="S11882" s="10"/>
      <c r="T11882" s="10"/>
      <c r="U11882" s="10"/>
      <c r="V11882" s="10"/>
      <c r="W11882" s="10"/>
      <c r="X11882" s="10"/>
      <c r="Y11882" s="10"/>
      <c r="Z11882" s="10"/>
    </row>
    <row r="11883" spans="1:26" ht="12.75">
      <c r="A11883" s="10"/>
      <c r="B11883" s="10"/>
      <c r="C11883" s="10"/>
      <c r="D11883" s="10"/>
      <c r="E11883" s="10"/>
      <c r="F11883" s="10"/>
      <c r="G11883" s="10"/>
      <c r="H11883" s="10"/>
      <c r="I11883" s="10"/>
      <c r="J11883" s="10"/>
      <c r="K11883" s="10"/>
      <c r="L11883" s="10"/>
      <c r="M11883" s="10"/>
      <c r="N11883" s="10"/>
      <c r="O11883" s="10"/>
      <c r="P11883" s="10"/>
      <c r="Q11883" s="10"/>
      <c r="R11883" s="10"/>
      <c r="S11883" s="10"/>
      <c r="T11883" s="10"/>
      <c r="U11883" s="10"/>
      <c r="V11883" s="10"/>
      <c r="W11883" s="10"/>
      <c r="X11883" s="10"/>
      <c r="Y11883" s="10"/>
      <c r="Z11883" s="10"/>
    </row>
    <row r="11884" spans="1:26" ht="12.75">
      <c r="A11884" s="10"/>
      <c r="B11884" s="10"/>
      <c r="C11884" s="10"/>
      <c r="D11884" s="10"/>
      <c r="E11884" s="10"/>
      <c r="F11884" s="10"/>
      <c r="G11884" s="10"/>
      <c r="H11884" s="10"/>
      <c r="I11884" s="10"/>
      <c r="J11884" s="10"/>
      <c r="K11884" s="10"/>
      <c r="L11884" s="10"/>
      <c r="M11884" s="10"/>
      <c r="N11884" s="10"/>
      <c r="O11884" s="10"/>
      <c r="P11884" s="10"/>
      <c r="Q11884" s="10"/>
      <c r="R11884" s="10"/>
      <c r="S11884" s="10"/>
      <c r="T11884" s="10"/>
      <c r="U11884" s="10"/>
      <c r="V11884" s="10"/>
      <c r="W11884" s="10"/>
      <c r="X11884" s="10"/>
      <c r="Y11884" s="10"/>
      <c r="Z11884" s="10"/>
    </row>
    <row r="11885" spans="1:26" ht="12.75">
      <c r="A11885" s="10"/>
      <c r="B11885" s="10"/>
      <c r="C11885" s="10"/>
      <c r="D11885" s="10"/>
      <c r="E11885" s="10"/>
      <c r="F11885" s="10"/>
      <c r="G11885" s="10"/>
      <c r="H11885" s="10"/>
      <c r="I11885" s="10"/>
      <c r="J11885" s="10"/>
      <c r="K11885" s="10"/>
      <c r="L11885" s="10"/>
      <c r="M11885" s="10"/>
      <c r="N11885" s="10"/>
      <c r="O11885" s="10"/>
      <c r="P11885" s="10"/>
      <c r="Q11885" s="10"/>
      <c r="R11885" s="10"/>
      <c r="S11885" s="10"/>
      <c r="T11885" s="10"/>
      <c r="U11885" s="10"/>
      <c r="V11885" s="10"/>
      <c r="W11885" s="10"/>
      <c r="X11885" s="10"/>
      <c r="Y11885" s="10"/>
      <c r="Z11885" s="10"/>
    </row>
    <row r="11886" spans="1:26" ht="12.75">
      <c r="A11886" s="10"/>
      <c r="B11886" s="10"/>
      <c r="C11886" s="10"/>
      <c r="D11886" s="10"/>
      <c r="E11886" s="10"/>
      <c r="F11886" s="10"/>
      <c r="G11886" s="10"/>
      <c r="H11886" s="10"/>
      <c r="I11886" s="10"/>
      <c r="J11886" s="10"/>
      <c r="K11886" s="10"/>
      <c r="L11886" s="10"/>
      <c r="M11886" s="10"/>
      <c r="N11886" s="10"/>
      <c r="O11886" s="10"/>
      <c r="P11886" s="10"/>
      <c r="Q11886" s="10"/>
      <c r="R11886" s="10"/>
      <c r="S11886" s="10"/>
      <c r="T11886" s="10"/>
      <c r="U11886" s="10"/>
      <c r="V11886" s="10"/>
      <c r="W11886" s="10"/>
      <c r="X11886" s="10"/>
      <c r="Y11886" s="10"/>
      <c r="Z11886" s="10"/>
    </row>
    <row r="11887" spans="1:26" ht="12.75">
      <c r="A11887" s="10"/>
      <c r="B11887" s="10"/>
      <c r="C11887" s="10"/>
      <c r="D11887" s="10"/>
      <c r="E11887" s="10"/>
      <c r="F11887" s="10"/>
      <c r="G11887" s="10"/>
      <c r="H11887" s="10"/>
      <c r="I11887" s="10"/>
      <c r="J11887" s="10"/>
      <c r="K11887" s="10"/>
      <c r="L11887" s="10"/>
      <c r="M11887" s="10"/>
      <c r="N11887" s="10"/>
      <c r="O11887" s="10"/>
      <c r="P11887" s="10"/>
      <c r="Q11887" s="10"/>
      <c r="R11887" s="10"/>
      <c r="S11887" s="10"/>
      <c r="T11887" s="10"/>
      <c r="U11887" s="10"/>
      <c r="V11887" s="10"/>
      <c r="W11887" s="10"/>
      <c r="X11887" s="10"/>
      <c r="Y11887" s="10"/>
      <c r="Z11887" s="10"/>
    </row>
    <row r="11888" spans="1:26" ht="12.75">
      <c r="A11888" s="10"/>
      <c r="B11888" s="10"/>
      <c r="C11888" s="10"/>
      <c r="D11888" s="10"/>
      <c r="E11888" s="10"/>
      <c r="F11888" s="10"/>
      <c r="G11888" s="10"/>
      <c r="H11888" s="10"/>
      <c r="I11888" s="10"/>
      <c r="J11888" s="10"/>
      <c r="K11888" s="10"/>
      <c r="L11888" s="10"/>
      <c r="M11888" s="10"/>
      <c r="N11888" s="10"/>
      <c r="O11888" s="10"/>
      <c r="P11888" s="10"/>
      <c r="Q11888" s="10"/>
      <c r="R11888" s="10"/>
      <c r="S11888" s="10"/>
      <c r="T11888" s="10"/>
      <c r="U11888" s="10"/>
      <c r="V11888" s="10"/>
      <c r="W11888" s="10"/>
      <c r="X11888" s="10"/>
      <c r="Y11888" s="10"/>
      <c r="Z11888" s="10"/>
    </row>
    <row r="11889" spans="1:26" ht="12.75">
      <c r="A11889" s="10"/>
      <c r="B11889" s="10"/>
      <c r="C11889" s="10"/>
      <c r="D11889" s="10"/>
      <c r="E11889" s="10"/>
      <c r="F11889" s="10"/>
      <c r="G11889" s="10"/>
      <c r="H11889" s="10"/>
      <c r="I11889" s="10"/>
      <c r="J11889" s="10"/>
      <c r="K11889" s="10"/>
      <c r="L11889" s="10"/>
      <c r="M11889" s="10"/>
      <c r="N11889" s="10"/>
      <c r="O11889" s="10"/>
      <c r="P11889" s="10"/>
      <c r="Q11889" s="10"/>
      <c r="R11889" s="10"/>
      <c r="S11889" s="10"/>
      <c r="T11889" s="10"/>
      <c r="U11889" s="10"/>
      <c r="V11889" s="10"/>
      <c r="W11889" s="10"/>
      <c r="X11889" s="10"/>
      <c r="Y11889" s="10"/>
      <c r="Z11889" s="10"/>
    </row>
    <row r="11890" spans="1:26" ht="12.75">
      <c r="A11890" s="10"/>
      <c r="B11890" s="10"/>
      <c r="C11890" s="10"/>
      <c r="D11890" s="10"/>
      <c r="E11890" s="10"/>
      <c r="F11890" s="10"/>
      <c r="G11890" s="10"/>
      <c r="H11890" s="10"/>
      <c r="I11890" s="10"/>
      <c r="J11890" s="10"/>
      <c r="K11890" s="10"/>
      <c r="L11890" s="10"/>
      <c r="M11890" s="10"/>
      <c r="N11890" s="10"/>
      <c r="O11890" s="10"/>
      <c r="P11890" s="10"/>
      <c r="Q11890" s="10"/>
      <c r="R11890" s="10"/>
      <c r="S11890" s="10"/>
      <c r="T11890" s="10"/>
      <c r="U11890" s="10"/>
      <c r="V11890" s="10"/>
      <c r="W11890" s="10"/>
      <c r="X11890" s="10"/>
      <c r="Y11890" s="10"/>
      <c r="Z11890" s="10"/>
    </row>
    <row r="11891" spans="1:26" ht="12.75">
      <c r="A11891" s="10"/>
      <c r="B11891" s="10"/>
      <c r="C11891" s="10"/>
      <c r="D11891" s="10"/>
      <c r="E11891" s="10"/>
      <c r="F11891" s="10"/>
      <c r="G11891" s="10"/>
      <c r="H11891" s="10"/>
      <c r="I11891" s="10"/>
      <c r="J11891" s="10"/>
      <c r="K11891" s="10"/>
      <c r="L11891" s="10"/>
      <c r="M11891" s="10"/>
      <c r="N11891" s="10"/>
      <c r="O11891" s="10"/>
      <c r="P11891" s="10"/>
      <c r="Q11891" s="10"/>
      <c r="R11891" s="10"/>
      <c r="S11891" s="10"/>
      <c r="T11891" s="10"/>
      <c r="U11891" s="10"/>
      <c r="V11891" s="10"/>
      <c r="W11891" s="10"/>
      <c r="X11891" s="10"/>
      <c r="Y11891" s="10"/>
      <c r="Z11891" s="10"/>
    </row>
    <row r="11892" spans="1:26" ht="12.75">
      <c r="A11892" s="10"/>
      <c r="B11892" s="10"/>
      <c r="C11892" s="10"/>
      <c r="D11892" s="10"/>
      <c r="E11892" s="10"/>
      <c r="F11892" s="10"/>
      <c r="G11892" s="10"/>
      <c r="H11892" s="10"/>
      <c r="I11892" s="10"/>
      <c r="J11892" s="10"/>
      <c r="K11892" s="10"/>
      <c r="L11892" s="10"/>
      <c r="M11892" s="10"/>
      <c r="N11892" s="10"/>
      <c r="O11892" s="10"/>
      <c r="P11892" s="10"/>
      <c r="Q11892" s="10"/>
      <c r="R11892" s="10"/>
      <c r="S11892" s="10"/>
      <c r="T11892" s="10"/>
      <c r="U11892" s="10"/>
      <c r="V11892" s="10"/>
      <c r="W11892" s="10"/>
      <c r="X11892" s="10"/>
      <c r="Y11892" s="10"/>
      <c r="Z11892" s="10"/>
    </row>
    <row r="11893" spans="1:26" ht="12.75">
      <c r="A11893" s="10"/>
      <c r="B11893" s="10"/>
      <c r="C11893" s="10"/>
      <c r="D11893" s="10"/>
      <c r="E11893" s="10"/>
      <c r="F11893" s="10"/>
      <c r="G11893" s="10"/>
      <c r="H11893" s="10"/>
      <c r="I11893" s="10"/>
      <c r="J11893" s="10"/>
      <c r="K11893" s="10"/>
      <c r="L11893" s="10"/>
      <c r="M11893" s="10"/>
      <c r="N11893" s="10"/>
      <c r="O11893" s="10"/>
      <c r="P11893" s="10"/>
      <c r="Q11893" s="10"/>
      <c r="R11893" s="10"/>
      <c r="S11893" s="10"/>
      <c r="T11893" s="10"/>
      <c r="U11893" s="10"/>
      <c r="V11893" s="10"/>
      <c r="W11893" s="10"/>
      <c r="X11893" s="10"/>
      <c r="Y11893" s="10"/>
      <c r="Z11893" s="10"/>
    </row>
    <row r="11894" spans="1:26" ht="12.75">
      <c r="A11894" s="10"/>
      <c r="B11894" s="10"/>
      <c r="C11894" s="10"/>
      <c r="D11894" s="10"/>
      <c r="E11894" s="10"/>
      <c r="F11894" s="10"/>
      <c r="G11894" s="10"/>
      <c r="H11894" s="10"/>
      <c r="I11894" s="10"/>
      <c r="J11894" s="10"/>
      <c r="K11894" s="10"/>
      <c r="L11894" s="10"/>
      <c r="M11894" s="10"/>
      <c r="N11894" s="10"/>
      <c r="O11894" s="10"/>
      <c r="P11894" s="10"/>
      <c r="Q11894" s="10"/>
      <c r="R11894" s="10"/>
      <c r="S11894" s="10"/>
      <c r="T11894" s="10"/>
      <c r="U11894" s="10"/>
      <c r="V11894" s="10"/>
      <c r="W11894" s="10"/>
      <c r="X11894" s="10"/>
      <c r="Y11894" s="10"/>
      <c r="Z11894" s="10"/>
    </row>
    <row r="11895" spans="1:26" ht="12.75">
      <c r="A11895" s="10"/>
      <c r="B11895" s="10"/>
      <c r="C11895" s="10"/>
      <c r="D11895" s="10"/>
      <c r="E11895" s="10"/>
      <c r="F11895" s="10"/>
      <c r="G11895" s="10"/>
      <c r="H11895" s="10"/>
      <c r="I11895" s="10"/>
      <c r="J11895" s="10"/>
      <c r="K11895" s="10"/>
      <c r="L11895" s="10"/>
      <c r="M11895" s="10"/>
      <c r="N11895" s="10"/>
      <c r="O11895" s="10"/>
      <c r="P11895" s="10"/>
      <c r="Q11895" s="10"/>
      <c r="R11895" s="10"/>
      <c r="S11895" s="10"/>
      <c r="T11895" s="10"/>
      <c r="U11895" s="10"/>
      <c r="V11895" s="10"/>
      <c r="W11895" s="10"/>
      <c r="X11895" s="10"/>
      <c r="Y11895" s="10"/>
      <c r="Z11895" s="10"/>
    </row>
    <row r="11896" spans="1:26" ht="12.75">
      <c r="A11896" s="10"/>
      <c r="B11896" s="10"/>
      <c r="C11896" s="10"/>
      <c r="D11896" s="10"/>
      <c r="E11896" s="10"/>
      <c r="F11896" s="10"/>
      <c r="G11896" s="10"/>
      <c r="H11896" s="10"/>
      <c r="I11896" s="10"/>
      <c r="J11896" s="10"/>
      <c r="K11896" s="10"/>
      <c r="L11896" s="10"/>
      <c r="M11896" s="10"/>
      <c r="N11896" s="10"/>
      <c r="O11896" s="10"/>
      <c r="P11896" s="10"/>
      <c r="Q11896" s="10"/>
      <c r="R11896" s="10"/>
      <c r="S11896" s="10"/>
      <c r="T11896" s="10"/>
      <c r="U11896" s="10"/>
      <c r="V11896" s="10"/>
      <c r="W11896" s="10"/>
      <c r="X11896" s="10"/>
      <c r="Y11896" s="10"/>
      <c r="Z11896" s="10"/>
    </row>
    <row r="11897" spans="1:26" ht="12.75">
      <c r="A11897" s="10"/>
      <c r="B11897" s="10"/>
      <c r="C11897" s="10"/>
      <c r="D11897" s="10"/>
      <c r="E11897" s="10"/>
      <c r="F11897" s="10"/>
      <c r="G11897" s="10"/>
      <c r="H11897" s="10"/>
      <c r="I11897" s="10"/>
      <c r="J11897" s="10"/>
      <c r="K11897" s="10"/>
      <c r="L11897" s="10"/>
      <c r="M11897" s="10"/>
      <c r="N11897" s="10"/>
      <c r="O11897" s="10"/>
      <c r="P11897" s="10"/>
      <c r="Q11897" s="10"/>
      <c r="R11897" s="10"/>
      <c r="S11897" s="10"/>
      <c r="T11897" s="10"/>
      <c r="U11897" s="10"/>
      <c r="V11897" s="10"/>
      <c r="W11897" s="10"/>
      <c r="X11897" s="10"/>
      <c r="Y11897" s="10"/>
      <c r="Z11897" s="10"/>
    </row>
    <row r="11898" spans="1:26" ht="12.75">
      <c r="A11898" s="10"/>
      <c r="B11898" s="10"/>
      <c r="C11898" s="10"/>
      <c r="D11898" s="10"/>
      <c r="E11898" s="10"/>
      <c r="F11898" s="10"/>
      <c r="G11898" s="10"/>
      <c r="H11898" s="10"/>
      <c r="I11898" s="10"/>
      <c r="J11898" s="10"/>
      <c r="K11898" s="10"/>
      <c r="L11898" s="10"/>
      <c r="M11898" s="10"/>
      <c r="N11898" s="10"/>
      <c r="O11898" s="10"/>
      <c r="P11898" s="10"/>
      <c r="Q11898" s="10"/>
      <c r="R11898" s="10"/>
      <c r="S11898" s="10"/>
      <c r="T11898" s="10"/>
      <c r="U11898" s="10"/>
      <c r="V11898" s="10"/>
      <c r="W11898" s="10"/>
      <c r="X11898" s="10"/>
      <c r="Y11898" s="10"/>
      <c r="Z11898" s="10"/>
    </row>
    <row r="11899" spans="1:26" ht="12.75">
      <c r="A11899" s="10"/>
      <c r="B11899" s="10"/>
      <c r="C11899" s="10"/>
      <c r="D11899" s="10"/>
      <c r="E11899" s="10"/>
      <c r="F11899" s="10"/>
      <c r="G11899" s="10"/>
      <c r="H11899" s="10"/>
      <c r="I11899" s="10"/>
      <c r="J11899" s="10"/>
      <c r="K11899" s="10"/>
      <c r="L11899" s="10"/>
      <c r="M11899" s="10"/>
      <c r="N11899" s="10"/>
      <c r="O11899" s="10"/>
      <c r="P11899" s="10"/>
      <c r="Q11899" s="10"/>
      <c r="R11899" s="10"/>
      <c r="S11899" s="10"/>
      <c r="T11899" s="10"/>
      <c r="U11899" s="10"/>
      <c r="V11899" s="10"/>
      <c r="W11899" s="10"/>
      <c r="X11899" s="10"/>
      <c r="Y11899" s="10"/>
      <c r="Z11899" s="10"/>
    </row>
    <row r="11900" spans="1:26" ht="12.75">
      <c r="A11900" s="10"/>
      <c r="B11900" s="10"/>
      <c r="C11900" s="10"/>
      <c r="D11900" s="10"/>
      <c r="E11900" s="10"/>
      <c r="F11900" s="10"/>
      <c r="G11900" s="10"/>
      <c r="H11900" s="10"/>
      <c r="I11900" s="10"/>
      <c r="J11900" s="10"/>
      <c r="K11900" s="10"/>
      <c r="L11900" s="10"/>
      <c r="M11900" s="10"/>
      <c r="N11900" s="10"/>
      <c r="O11900" s="10"/>
      <c r="P11900" s="10"/>
      <c r="Q11900" s="10"/>
      <c r="R11900" s="10"/>
      <c r="S11900" s="10"/>
      <c r="T11900" s="10"/>
      <c r="U11900" s="10"/>
      <c r="V11900" s="10"/>
      <c r="W11900" s="10"/>
      <c r="X11900" s="10"/>
      <c r="Y11900" s="10"/>
      <c r="Z11900" s="10"/>
    </row>
    <row r="11901" spans="1:26" ht="12.75">
      <c r="A11901" s="10"/>
      <c r="B11901" s="10"/>
      <c r="C11901" s="10"/>
      <c r="D11901" s="10"/>
      <c r="E11901" s="10"/>
      <c r="F11901" s="10"/>
      <c r="G11901" s="10"/>
      <c r="H11901" s="10"/>
      <c r="I11901" s="10"/>
      <c r="J11901" s="10"/>
      <c r="K11901" s="10"/>
      <c r="L11901" s="10"/>
      <c r="M11901" s="10"/>
      <c r="N11901" s="10"/>
      <c r="O11901" s="10"/>
      <c r="P11901" s="10"/>
      <c r="Q11901" s="10"/>
      <c r="R11901" s="10"/>
      <c r="S11901" s="10"/>
      <c r="T11901" s="10"/>
      <c r="U11901" s="10"/>
      <c r="V11901" s="10"/>
      <c r="W11901" s="10"/>
      <c r="X11901" s="10"/>
      <c r="Y11901" s="10"/>
      <c r="Z11901" s="10"/>
    </row>
    <row r="11902" spans="1:26" ht="12.75">
      <c r="A11902" s="10"/>
      <c r="B11902" s="10"/>
      <c r="C11902" s="10"/>
      <c r="D11902" s="10"/>
      <c r="E11902" s="10"/>
      <c r="F11902" s="10"/>
      <c r="G11902" s="10"/>
      <c r="H11902" s="10"/>
      <c r="I11902" s="10"/>
      <c r="J11902" s="10"/>
      <c r="K11902" s="10"/>
      <c r="L11902" s="10"/>
      <c r="M11902" s="10"/>
      <c r="N11902" s="10"/>
      <c r="O11902" s="10"/>
      <c r="P11902" s="10"/>
      <c r="Q11902" s="10"/>
      <c r="R11902" s="10"/>
      <c r="S11902" s="10"/>
      <c r="T11902" s="10"/>
      <c r="U11902" s="10"/>
      <c r="V11902" s="10"/>
      <c r="W11902" s="10"/>
      <c r="X11902" s="10"/>
      <c r="Y11902" s="10"/>
      <c r="Z11902" s="10"/>
    </row>
    <row r="11903" spans="1:26" ht="12.75">
      <c r="A11903" s="10"/>
      <c r="B11903" s="10"/>
      <c r="C11903" s="10"/>
      <c r="D11903" s="10"/>
      <c r="E11903" s="10"/>
      <c r="F11903" s="10"/>
      <c r="G11903" s="10"/>
      <c r="H11903" s="10"/>
      <c r="I11903" s="10"/>
      <c r="J11903" s="10"/>
      <c r="K11903" s="10"/>
      <c r="L11903" s="10"/>
      <c r="M11903" s="10"/>
      <c r="N11903" s="10"/>
      <c r="O11903" s="10"/>
      <c r="P11903" s="10"/>
      <c r="Q11903" s="10"/>
      <c r="R11903" s="10"/>
      <c r="S11903" s="10"/>
      <c r="T11903" s="10"/>
      <c r="U11903" s="10"/>
      <c r="V11903" s="10"/>
      <c r="W11903" s="10"/>
      <c r="X11903" s="10"/>
      <c r="Y11903" s="10"/>
      <c r="Z11903" s="10"/>
    </row>
    <row r="11904" spans="1:26" ht="12.75">
      <c r="A11904" s="10"/>
      <c r="B11904" s="10"/>
      <c r="C11904" s="10"/>
      <c r="D11904" s="10"/>
      <c r="E11904" s="10"/>
      <c r="F11904" s="10"/>
      <c r="G11904" s="10"/>
      <c r="H11904" s="10"/>
      <c r="I11904" s="10"/>
      <c r="J11904" s="10"/>
      <c r="K11904" s="10"/>
      <c r="L11904" s="10"/>
      <c r="M11904" s="10"/>
      <c r="N11904" s="10"/>
      <c r="O11904" s="10"/>
      <c r="P11904" s="10"/>
      <c r="Q11904" s="10"/>
      <c r="R11904" s="10"/>
      <c r="S11904" s="10"/>
      <c r="T11904" s="10"/>
      <c r="U11904" s="10"/>
      <c r="V11904" s="10"/>
      <c r="W11904" s="10"/>
      <c r="X11904" s="10"/>
      <c r="Y11904" s="10"/>
      <c r="Z11904" s="10"/>
    </row>
    <row r="11905" spans="1:26" ht="12.75">
      <c r="A11905" s="10"/>
      <c r="B11905" s="10"/>
      <c r="C11905" s="10"/>
      <c r="D11905" s="10"/>
      <c r="E11905" s="10"/>
      <c r="F11905" s="10"/>
      <c r="G11905" s="10"/>
      <c r="H11905" s="10"/>
      <c r="I11905" s="10"/>
      <c r="J11905" s="10"/>
      <c r="K11905" s="10"/>
      <c r="L11905" s="10"/>
      <c r="M11905" s="10"/>
      <c r="N11905" s="10"/>
      <c r="O11905" s="10"/>
      <c r="P11905" s="10"/>
      <c r="Q11905" s="10"/>
      <c r="R11905" s="10"/>
      <c r="S11905" s="10"/>
      <c r="T11905" s="10"/>
      <c r="U11905" s="10"/>
      <c r="V11905" s="10"/>
      <c r="W11905" s="10"/>
      <c r="X11905" s="10"/>
      <c r="Y11905" s="10"/>
      <c r="Z11905" s="10"/>
    </row>
    <row r="11906" spans="1:26" ht="12.75">
      <c r="A11906" s="10"/>
      <c r="B11906" s="10"/>
      <c r="C11906" s="10"/>
      <c r="D11906" s="10"/>
      <c r="E11906" s="10"/>
      <c r="F11906" s="10"/>
      <c r="G11906" s="10"/>
      <c r="H11906" s="10"/>
      <c r="I11906" s="10"/>
      <c r="J11906" s="10"/>
      <c r="K11906" s="10"/>
      <c r="L11906" s="10"/>
      <c r="M11906" s="10"/>
      <c r="N11906" s="10"/>
      <c r="O11906" s="10"/>
      <c r="P11906" s="10"/>
      <c r="Q11906" s="10"/>
      <c r="R11906" s="10"/>
      <c r="S11906" s="10"/>
      <c r="T11906" s="10"/>
      <c r="U11906" s="10"/>
      <c r="V11906" s="10"/>
      <c r="W11906" s="10"/>
      <c r="X11906" s="10"/>
      <c r="Y11906" s="10"/>
      <c r="Z11906" s="10"/>
    </row>
    <row r="11907" spans="1:26" ht="12.75">
      <c r="A11907" s="10"/>
      <c r="B11907" s="10"/>
      <c r="C11907" s="10"/>
      <c r="D11907" s="10"/>
      <c r="E11907" s="10"/>
      <c r="F11907" s="10"/>
      <c r="G11907" s="10"/>
      <c r="H11907" s="10"/>
      <c r="I11907" s="10"/>
      <c r="J11907" s="10"/>
      <c r="K11907" s="10"/>
      <c r="L11907" s="10"/>
      <c r="M11907" s="10"/>
      <c r="N11907" s="10"/>
      <c r="O11907" s="10"/>
      <c r="P11907" s="10"/>
      <c r="Q11907" s="10"/>
      <c r="R11907" s="10"/>
      <c r="S11907" s="10"/>
      <c r="T11907" s="10"/>
      <c r="U11907" s="10"/>
      <c r="V11907" s="10"/>
      <c r="W11907" s="10"/>
      <c r="X11907" s="10"/>
      <c r="Y11907" s="10"/>
      <c r="Z11907" s="10"/>
    </row>
    <row r="11908" spans="1:26" ht="12.75">
      <c r="A11908" s="10"/>
      <c r="B11908" s="10"/>
      <c r="C11908" s="10"/>
      <c r="D11908" s="10"/>
      <c r="E11908" s="10"/>
      <c r="F11908" s="10"/>
      <c r="G11908" s="10"/>
      <c r="H11908" s="10"/>
      <c r="I11908" s="10"/>
      <c r="J11908" s="10"/>
      <c r="K11908" s="10"/>
      <c r="L11908" s="10"/>
      <c r="M11908" s="10"/>
      <c r="N11908" s="10"/>
      <c r="O11908" s="10"/>
      <c r="P11908" s="10"/>
      <c r="Q11908" s="10"/>
      <c r="R11908" s="10"/>
      <c r="S11908" s="10"/>
      <c r="T11908" s="10"/>
      <c r="U11908" s="10"/>
      <c r="V11908" s="10"/>
      <c r="W11908" s="10"/>
      <c r="X11908" s="10"/>
      <c r="Y11908" s="10"/>
      <c r="Z11908" s="10"/>
    </row>
    <row r="11909" spans="1:26" ht="12.75">
      <c r="A11909" s="10"/>
      <c r="B11909" s="10"/>
      <c r="C11909" s="10"/>
      <c r="D11909" s="10"/>
      <c r="E11909" s="10"/>
      <c r="F11909" s="10"/>
      <c r="G11909" s="10"/>
      <c r="H11909" s="10"/>
      <c r="I11909" s="10"/>
      <c r="J11909" s="10"/>
      <c r="K11909" s="10"/>
      <c r="L11909" s="10"/>
      <c r="M11909" s="10"/>
      <c r="N11909" s="10"/>
      <c r="O11909" s="10"/>
      <c r="P11909" s="10"/>
      <c r="Q11909" s="10"/>
      <c r="R11909" s="10"/>
      <c r="S11909" s="10"/>
      <c r="T11909" s="10"/>
      <c r="U11909" s="10"/>
      <c r="V11909" s="10"/>
      <c r="W11909" s="10"/>
      <c r="X11909" s="10"/>
      <c r="Y11909" s="10"/>
      <c r="Z11909" s="10"/>
    </row>
    <row r="11910" spans="1:26" ht="12.75">
      <c r="A11910" s="10"/>
      <c r="B11910" s="10"/>
      <c r="C11910" s="10"/>
      <c r="D11910" s="10"/>
      <c r="E11910" s="10"/>
      <c r="F11910" s="10"/>
      <c r="G11910" s="10"/>
      <c r="H11910" s="10"/>
      <c r="I11910" s="10"/>
      <c r="J11910" s="10"/>
      <c r="K11910" s="10"/>
      <c r="L11910" s="10"/>
      <c r="M11910" s="10"/>
      <c r="N11910" s="10"/>
      <c r="O11910" s="10"/>
      <c r="P11910" s="10"/>
      <c r="Q11910" s="10"/>
      <c r="R11910" s="10"/>
      <c r="S11910" s="10"/>
      <c r="T11910" s="10"/>
      <c r="U11910" s="10"/>
      <c r="V11910" s="10"/>
      <c r="W11910" s="10"/>
      <c r="X11910" s="10"/>
      <c r="Y11910" s="10"/>
      <c r="Z11910" s="10"/>
    </row>
    <row r="11911" spans="1:26" ht="12.75">
      <c r="A11911" s="10"/>
      <c r="B11911" s="10"/>
      <c r="C11911" s="10"/>
      <c r="D11911" s="10"/>
      <c r="E11911" s="10"/>
      <c r="F11911" s="10"/>
      <c r="G11911" s="10"/>
      <c r="H11911" s="10"/>
      <c r="I11911" s="10"/>
      <c r="J11911" s="10"/>
      <c r="K11911" s="10"/>
      <c r="L11911" s="10"/>
      <c r="M11911" s="10"/>
      <c r="N11911" s="10"/>
      <c r="O11911" s="10"/>
      <c r="P11911" s="10"/>
      <c r="Q11911" s="10"/>
      <c r="R11911" s="10"/>
      <c r="S11911" s="10"/>
      <c r="T11911" s="10"/>
      <c r="U11911" s="10"/>
      <c r="V11911" s="10"/>
      <c r="W11911" s="10"/>
      <c r="X11911" s="10"/>
      <c r="Y11911" s="10"/>
      <c r="Z11911" s="10"/>
    </row>
    <row r="11912" spans="1:26" ht="12.75">
      <c r="A11912" s="10"/>
      <c r="B11912" s="10"/>
      <c r="C11912" s="10"/>
      <c r="D11912" s="10"/>
      <c r="E11912" s="10"/>
      <c r="F11912" s="10"/>
      <c r="G11912" s="10"/>
      <c r="H11912" s="10"/>
      <c r="I11912" s="10"/>
      <c r="J11912" s="10"/>
      <c r="K11912" s="10"/>
      <c r="L11912" s="10"/>
      <c r="M11912" s="10"/>
      <c r="N11912" s="10"/>
      <c r="O11912" s="10"/>
      <c r="P11912" s="10"/>
      <c r="Q11912" s="10"/>
      <c r="R11912" s="10"/>
      <c r="S11912" s="10"/>
      <c r="T11912" s="10"/>
      <c r="U11912" s="10"/>
      <c r="V11912" s="10"/>
      <c r="W11912" s="10"/>
      <c r="X11912" s="10"/>
      <c r="Y11912" s="10"/>
      <c r="Z11912" s="10"/>
    </row>
    <row r="11913" spans="1:26" ht="12.75">
      <c r="A11913" s="10"/>
      <c r="B11913" s="10"/>
      <c r="C11913" s="10"/>
      <c r="D11913" s="10"/>
      <c r="E11913" s="10"/>
      <c r="F11913" s="10"/>
      <c r="G11913" s="10"/>
      <c r="H11913" s="10"/>
      <c r="I11913" s="10"/>
      <c r="J11913" s="10"/>
      <c r="K11913" s="10"/>
      <c r="L11913" s="10"/>
      <c r="M11913" s="10"/>
      <c r="N11913" s="10"/>
      <c r="O11913" s="10"/>
      <c r="P11913" s="10"/>
      <c r="Q11913" s="10"/>
      <c r="R11913" s="10"/>
      <c r="S11913" s="10"/>
      <c r="T11913" s="10"/>
      <c r="U11913" s="10"/>
      <c r="V11913" s="10"/>
      <c r="W11913" s="10"/>
      <c r="X11913" s="10"/>
      <c r="Y11913" s="10"/>
      <c r="Z11913" s="10"/>
    </row>
    <row r="11914" spans="1:26" ht="12.75">
      <c r="A11914" s="10"/>
      <c r="B11914" s="10"/>
      <c r="C11914" s="10"/>
      <c r="D11914" s="10"/>
      <c r="E11914" s="10"/>
      <c r="F11914" s="10"/>
      <c r="G11914" s="10"/>
      <c r="H11914" s="10"/>
      <c r="I11914" s="10"/>
      <c r="J11914" s="10"/>
      <c r="K11914" s="10"/>
      <c r="L11914" s="10"/>
      <c r="M11914" s="10"/>
      <c r="N11914" s="10"/>
      <c r="O11914" s="10"/>
      <c r="P11914" s="10"/>
      <c r="Q11914" s="10"/>
      <c r="R11914" s="10"/>
      <c r="S11914" s="10"/>
      <c r="T11914" s="10"/>
      <c r="U11914" s="10"/>
      <c r="V11914" s="10"/>
      <c r="W11914" s="10"/>
      <c r="X11914" s="10"/>
      <c r="Y11914" s="10"/>
      <c r="Z11914" s="10"/>
    </row>
    <row r="11915" spans="1:26" ht="12.75">
      <c r="A11915" s="10"/>
      <c r="B11915" s="10"/>
      <c r="C11915" s="10"/>
      <c r="D11915" s="10"/>
      <c r="E11915" s="10"/>
      <c r="F11915" s="10"/>
      <c r="G11915" s="10"/>
      <c r="H11915" s="10"/>
      <c r="I11915" s="10"/>
      <c r="J11915" s="10"/>
      <c r="K11915" s="10"/>
      <c r="L11915" s="10"/>
      <c r="M11915" s="10"/>
      <c r="N11915" s="10"/>
      <c r="O11915" s="10"/>
      <c r="P11915" s="10"/>
      <c r="Q11915" s="10"/>
      <c r="R11915" s="10"/>
      <c r="S11915" s="10"/>
      <c r="T11915" s="10"/>
      <c r="U11915" s="10"/>
      <c r="V11915" s="10"/>
      <c r="W11915" s="10"/>
      <c r="X11915" s="10"/>
      <c r="Y11915" s="10"/>
      <c r="Z11915" s="10"/>
    </row>
    <row r="11916" spans="1:26" ht="12.75">
      <c r="A11916" s="10"/>
      <c r="B11916" s="10"/>
      <c r="C11916" s="10"/>
      <c r="D11916" s="10"/>
      <c r="E11916" s="10"/>
      <c r="F11916" s="10"/>
      <c r="G11916" s="10"/>
      <c r="H11916" s="10"/>
      <c r="I11916" s="10"/>
      <c r="J11916" s="10"/>
      <c r="K11916" s="10"/>
      <c r="L11916" s="10"/>
      <c r="M11916" s="10"/>
      <c r="N11916" s="10"/>
      <c r="O11916" s="10"/>
      <c r="P11916" s="10"/>
      <c r="Q11916" s="10"/>
      <c r="R11916" s="10"/>
      <c r="S11916" s="10"/>
      <c r="T11916" s="10"/>
      <c r="U11916" s="10"/>
      <c r="V11916" s="10"/>
      <c r="W11916" s="10"/>
      <c r="X11916" s="10"/>
      <c r="Y11916" s="10"/>
      <c r="Z11916" s="10"/>
    </row>
    <row r="11917" spans="1:26" ht="12.75">
      <c r="A11917" s="10"/>
      <c r="B11917" s="10"/>
      <c r="C11917" s="10"/>
      <c r="D11917" s="10"/>
      <c r="E11917" s="10"/>
      <c r="F11917" s="10"/>
      <c r="G11917" s="10"/>
      <c r="H11917" s="10"/>
      <c r="I11917" s="10"/>
      <c r="J11917" s="10"/>
      <c r="K11917" s="10"/>
      <c r="L11917" s="10"/>
      <c r="M11917" s="10"/>
      <c r="N11917" s="10"/>
      <c r="O11917" s="10"/>
      <c r="P11917" s="10"/>
      <c r="Q11917" s="10"/>
      <c r="R11917" s="10"/>
      <c r="S11917" s="10"/>
      <c r="T11917" s="10"/>
      <c r="U11917" s="10"/>
      <c r="V11917" s="10"/>
      <c r="W11917" s="10"/>
      <c r="X11917" s="10"/>
      <c r="Y11917" s="10"/>
      <c r="Z11917" s="10"/>
    </row>
    <row r="11918" spans="1:26" ht="12.75">
      <c r="A11918" s="10"/>
      <c r="B11918" s="10"/>
      <c r="C11918" s="10"/>
      <c r="D11918" s="10"/>
      <c r="E11918" s="10"/>
      <c r="F11918" s="10"/>
      <c r="G11918" s="10"/>
      <c r="H11918" s="10"/>
      <c r="I11918" s="10"/>
      <c r="J11918" s="10"/>
      <c r="K11918" s="10"/>
      <c r="L11918" s="10"/>
      <c r="M11918" s="10"/>
      <c r="N11918" s="10"/>
      <c r="O11918" s="10"/>
      <c r="P11918" s="10"/>
      <c r="Q11918" s="10"/>
      <c r="R11918" s="10"/>
      <c r="S11918" s="10"/>
      <c r="T11918" s="10"/>
      <c r="U11918" s="10"/>
      <c r="V11918" s="10"/>
      <c r="W11918" s="10"/>
      <c r="X11918" s="10"/>
      <c r="Y11918" s="10"/>
      <c r="Z11918" s="10"/>
    </row>
    <row r="11919" spans="1:26" ht="12.75">
      <c r="A11919" s="10"/>
      <c r="B11919" s="10"/>
      <c r="C11919" s="10"/>
      <c r="D11919" s="10"/>
      <c r="E11919" s="10"/>
      <c r="F11919" s="10"/>
      <c r="G11919" s="10"/>
      <c r="H11919" s="10"/>
      <c r="I11919" s="10"/>
      <c r="J11919" s="10"/>
      <c r="K11919" s="10"/>
      <c r="L11919" s="10"/>
      <c r="M11919" s="10"/>
      <c r="N11919" s="10"/>
      <c r="O11919" s="10"/>
      <c r="P11919" s="10"/>
      <c r="Q11919" s="10"/>
      <c r="R11919" s="10"/>
      <c r="S11919" s="10"/>
      <c r="T11919" s="10"/>
      <c r="U11919" s="10"/>
      <c r="V11919" s="10"/>
      <c r="W11919" s="10"/>
      <c r="X11919" s="10"/>
      <c r="Y11919" s="10"/>
      <c r="Z11919" s="10"/>
    </row>
    <row r="11920" spans="1:26" ht="12.75">
      <c r="A11920" s="10"/>
      <c r="B11920" s="10"/>
      <c r="C11920" s="10"/>
      <c r="D11920" s="10"/>
      <c r="E11920" s="10"/>
      <c r="F11920" s="10"/>
      <c r="G11920" s="10"/>
      <c r="H11920" s="10"/>
      <c r="I11920" s="10"/>
      <c r="J11920" s="10"/>
      <c r="K11920" s="10"/>
      <c r="L11920" s="10"/>
      <c r="M11920" s="10"/>
      <c r="N11920" s="10"/>
      <c r="O11920" s="10"/>
      <c r="P11920" s="10"/>
      <c r="Q11920" s="10"/>
      <c r="R11920" s="10"/>
      <c r="S11920" s="10"/>
      <c r="T11920" s="10"/>
      <c r="U11920" s="10"/>
      <c r="V11920" s="10"/>
      <c r="W11920" s="10"/>
      <c r="X11920" s="10"/>
      <c r="Y11920" s="10"/>
      <c r="Z11920" s="10"/>
    </row>
    <row r="11921" spans="1:26" ht="12.75">
      <c r="A11921" s="10"/>
      <c r="B11921" s="10"/>
      <c r="C11921" s="10"/>
      <c r="D11921" s="10"/>
      <c r="E11921" s="10"/>
      <c r="F11921" s="10"/>
      <c r="G11921" s="10"/>
      <c r="H11921" s="10"/>
      <c r="I11921" s="10"/>
      <c r="J11921" s="10"/>
      <c r="K11921" s="10"/>
      <c r="L11921" s="10"/>
      <c r="M11921" s="10"/>
      <c r="N11921" s="10"/>
      <c r="O11921" s="10"/>
      <c r="P11921" s="10"/>
      <c r="Q11921" s="10"/>
      <c r="R11921" s="10"/>
      <c r="S11921" s="10"/>
      <c r="T11921" s="10"/>
      <c r="U11921" s="10"/>
      <c r="V11921" s="10"/>
      <c r="W11921" s="10"/>
      <c r="X11921" s="10"/>
      <c r="Y11921" s="10"/>
      <c r="Z11921" s="10"/>
    </row>
    <row r="11922" spans="1:26" ht="12.75">
      <c r="A11922" s="10"/>
      <c r="B11922" s="10"/>
      <c r="C11922" s="10"/>
      <c r="D11922" s="10"/>
      <c r="E11922" s="10"/>
      <c r="F11922" s="10"/>
      <c r="G11922" s="10"/>
      <c r="H11922" s="10"/>
      <c r="I11922" s="10"/>
      <c r="J11922" s="10"/>
      <c r="K11922" s="10"/>
      <c r="L11922" s="10"/>
      <c r="M11922" s="10"/>
      <c r="N11922" s="10"/>
      <c r="O11922" s="10"/>
      <c r="P11922" s="10"/>
      <c r="Q11922" s="10"/>
      <c r="R11922" s="10"/>
      <c r="S11922" s="10"/>
      <c r="T11922" s="10"/>
      <c r="U11922" s="10"/>
      <c r="V11922" s="10"/>
      <c r="W11922" s="10"/>
      <c r="X11922" s="10"/>
      <c r="Y11922" s="10"/>
      <c r="Z11922" s="10"/>
    </row>
    <row r="11923" spans="1:26" ht="12.75">
      <c r="A11923" s="10"/>
      <c r="B11923" s="10"/>
      <c r="C11923" s="10"/>
      <c r="D11923" s="10"/>
      <c r="E11923" s="10"/>
      <c r="F11923" s="10"/>
      <c r="G11923" s="10"/>
      <c r="H11923" s="10"/>
      <c r="I11923" s="10"/>
      <c r="J11923" s="10"/>
      <c r="K11923" s="10"/>
      <c r="L11923" s="10"/>
      <c r="M11923" s="10"/>
      <c r="N11923" s="10"/>
      <c r="O11923" s="10"/>
      <c r="P11923" s="10"/>
      <c r="Q11923" s="10"/>
      <c r="R11923" s="10"/>
      <c r="S11923" s="10"/>
      <c r="T11923" s="10"/>
      <c r="U11923" s="10"/>
      <c r="V11923" s="10"/>
      <c r="W11923" s="10"/>
      <c r="X11923" s="10"/>
      <c r="Y11923" s="10"/>
      <c r="Z11923" s="10"/>
    </row>
    <row r="11924" spans="1:26" ht="12.75">
      <c r="A11924" s="10"/>
      <c r="B11924" s="10"/>
      <c r="C11924" s="10"/>
      <c r="D11924" s="10"/>
      <c r="E11924" s="10"/>
      <c r="F11924" s="10"/>
      <c r="G11924" s="10"/>
      <c r="H11924" s="10"/>
      <c r="I11924" s="10"/>
      <c r="J11924" s="10"/>
      <c r="K11924" s="10"/>
      <c r="L11924" s="10"/>
      <c r="M11924" s="10"/>
      <c r="N11924" s="10"/>
      <c r="O11924" s="10"/>
      <c r="P11924" s="10"/>
      <c r="Q11924" s="10"/>
      <c r="R11924" s="10"/>
      <c r="S11924" s="10"/>
      <c r="T11924" s="10"/>
      <c r="U11924" s="10"/>
      <c r="V11924" s="10"/>
      <c r="W11924" s="10"/>
      <c r="X11924" s="10"/>
      <c r="Y11924" s="10"/>
      <c r="Z11924" s="10"/>
    </row>
    <row r="11925" spans="1:26" ht="12.75">
      <c r="A11925" s="10"/>
      <c r="B11925" s="10"/>
      <c r="C11925" s="10"/>
      <c r="D11925" s="10"/>
      <c r="E11925" s="10"/>
      <c r="F11925" s="10"/>
      <c r="G11925" s="10"/>
      <c r="H11925" s="10"/>
      <c r="I11925" s="10"/>
      <c r="J11925" s="10"/>
      <c r="K11925" s="10"/>
      <c r="L11925" s="10"/>
      <c r="M11925" s="10"/>
      <c r="N11925" s="10"/>
      <c r="O11925" s="10"/>
      <c r="P11925" s="10"/>
      <c r="Q11925" s="10"/>
      <c r="R11925" s="10"/>
      <c r="S11925" s="10"/>
      <c r="T11925" s="10"/>
      <c r="U11925" s="10"/>
      <c r="V11925" s="10"/>
      <c r="W11925" s="10"/>
      <c r="X11925" s="10"/>
      <c r="Y11925" s="10"/>
      <c r="Z11925" s="10"/>
    </row>
    <row r="11926" spans="1:26" ht="12.75">
      <c r="A11926" s="10"/>
      <c r="B11926" s="10"/>
      <c r="C11926" s="10"/>
      <c r="D11926" s="10"/>
      <c r="E11926" s="10"/>
      <c r="F11926" s="10"/>
      <c r="G11926" s="10"/>
      <c r="H11926" s="10"/>
      <c r="I11926" s="10"/>
      <c r="J11926" s="10"/>
      <c r="K11926" s="10"/>
      <c r="L11926" s="10"/>
      <c r="M11926" s="10"/>
      <c r="N11926" s="10"/>
      <c r="O11926" s="10"/>
      <c r="P11926" s="10"/>
      <c r="Q11926" s="10"/>
      <c r="R11926" s="10"/>
      <c r="S11926" s="10"/>
      <c r="T11926" s="10"/>
      <c r="U11926" s="10"/>
      <c r="V11926" s="10"/>
      <c r="W11926" s="10"/>
      <c r="X11926" s="10"/>
      <c r="Y11926" s="10"/>
      <c r="Z11926" s="10"/>
    </row>
    <row r="11927" spans="1:26" ht="12.75">
      <c r="A11927" s="10"/>
      <c r="B11927" s="10"/>
      <c r="C11927" s="10"/>
      <c r="D11927" s="10"/>
      <c r="E11927" s="10"/>
      <c r="F11927" s="10"/>
      <c r="G11927" s="10"/>
      <c r="H11927" s="10"/>
      <c r="I11927" s="10"/>
      <c r="J11927" s="10"/>
      <c r="K11927" s="10"/>
      <c r="L11927" s="10"/>
      <c r="M11927" s="10"/>
      <c r="N11927" s="10"/>
      <c r="O11927" s="10"/>
      <c r="P11927" s="10"/>
      <c r="Q11927" s="10"/>
      <c r="R11927" s="10"/>
      <c r="S11927" s="10"/>
      <c r="T11927" s="10"/>
      <c r="U11927" s="10"/>
      <c r="V11927" s="10"/>
      <c r="W11927" s="10"/>
      <c r="X11927" s="10"/>
      <c r="Y11927" s="10"/>
      <c r="Z11927" s="10"/>
    </row>
    <row r="11928" spans="1:26" ht="12.75">
      <c r="A11928" s="10"/>
      <c r="B11928" s="10"/>
      <c r="C11928" s="10"/>
      <c r="D11928" s="10"/>
      <c r="E11928" s="10"/>
      <c r="F11928" s="10"/>
      <c r="G11928" s="10"/>
      <c r="H11928" s="10"/>
      <c r="I11928" s="10"/>
      <c r="J11928" s="10"/>
      <c r="K11928" s="10"/>
      <c r="L11928" s="10"/>
      <c r="M11928" s="10"/>
      <c r="N11928" s="10"/>
      <c r="O11928" s="10"/>
      <c r="P11928" s="10"/>
      <c r="Q11928" s="10"/>
      <c r="R11928" s="10"/>
      <c r="S11928" s="10"/>
      <c r="T11928" s="10"/>
      <c r="U11928" s="10"/>
      <c r="V11928" s="10"/>
      <c r="W11928" s="10"/>
      <c r="X11928" s="10"/>
      <c r="Y11928" s="10"/>
      <c r="Z11928" s="10"/>
    </row>
    <row r="11929" spans="1:26" ht="12.75">
      <c r="A11929" s="10"/>
      <c r="B11929" s="10"/>
      <c r="C11929" s="10"/>
      <c r="D11929" s="10"/>
      <c r="E11929" s="10"/>
      <c r="F11929" s="10"/>
      <c r="G11929" s="10"/>
      <c r="H11929" s="10"/>
      <c r="I11929" s="10"/>
      <c r="J11929" s="10"/>
      <c r="K11929" s="10"/>
      <c r="L11929" s="10"/>
      <c r="M11929" s="10"/>
      <c r="N11929" s="10"/>
      <c r="O11929" s="10"/>
      <c r="P11929" s="10"/>
      <c r="Q11929" s="10"/>
      <c r="R11929" s="10"/>
      <c r="S11929" s="10"/>
      <c r="T11929" s="10"/>
      <c r="U11929" s="10"/>
      <c r="V11929" s="10"/>
      <c r="W11929" s="10"/>
      <c r="X11929" s="10"/>
      <c r="Y11929" s="10"/>
      <c r="Z11929" s="10"/>
    </row>
    <row r="11930" spans="1:26" ht="12.75">
      <c r="A11930" s="10"/>
      <c r="B11930" s="10"/>
      <c r="C11930" s="10"/>
      <c r="D11930" s="10"/>
      <c r="E11930" s="10"/>
      <c r="F11930" s="10"/>
      <c r="G11930" s="10"/>
      <c r="H11930" s="10"/>
      <c r="I11930" s="10"/>
      <c r="J11930" s="10"/>
      <c r="K11930" s="10"/>
      <c r="L11930" s="10"/>
      <c r="M11930" s="10"/>
      <c r="N11930" s="10"/>
      <c r="O11930" s="10"/>
      <c r="P11930" s="10"/>
      <c r="Q11930" s="10"/>
      <c r="R11930" s="10"/>
      <c r="S11930" s="10"/>
      <c r="T11930" s="10"/>
      <c r="U11930" s="10"/>
      <c r="V11930" s="10"/>
      <c r="W11930" s="10"/>
      <c r="X11930" s="10"/>
      <c r="Y11930" s="10"/>
      <c r="Z11930" s="10"/>
    </row>
    <row r="11931" spans="1:26" ht="12.75">
      <c r="A11931" s="10"/>
      <c r="B11931" s="10"/>
      <c r="C11931" s="10"/>
      <c r="D11931" s="10"/>
      <c r="E11931" s="10"/>
      <c r="F11931" s="10"/>
      <c r="G11931" s="10"/>
      <c r="H11931" s="10"/>
      <c r="I11931" s="10"/>
      <c r="J11931" s="10"/>
      <c r="K11931" s="10"/>
      <c r="L11931" s="10"/>
      <c r="M11931" s="10"/>
      <c r="N11931" s="10"/>
      <c r="O11931" s="10"/>
      <c r="P11931" s="10"/>
      <c r="Q11931" s="10"/>
      <c r="R11931" s="10"/>
      <c r="S11931" s="10"/>
      <c r="T11931" s="10"/>
      <c r="U11931" s="10"/>
      <c r="V11931" s="10"/>
      <c r="W11931" s="10"/>
      <c r="X11931" s="10"/>
      <c r="Y11931" s="10"/>
      <c r="Z11931" s="10"/>
    </row>
    <row r="11932" spans="1:26" ht="12.75">
      <c r="A11932" s="10"/>
      <c r="B11932" s="10"/>
      <c r="C11932" s="10"/>
      <c r="D11932" s="10"/>
      <c r="E11932" s="10"/>
      <c r="F11932" s="10"/>
      <c r="G11932" s="10"/>
      <c r="H11932" s="10"/>
      <c r="I11932" s="10"/>
      <c r="J11932" s="10"/>
      <c r="K11932" s="10"/>
      <c r="L11932" s="10"/>
      <c r="M11932" s="10"/>
      <c r="N11932" s="10"/>
      <c r="O11932" s="10"/>
      <c r="P11932" s="10"/>
      <c r="Q11932" s="10"/>
      <c r="R11932" s="10"/>
      <c r="S11932" s="10"/>
      <c r="T11932" s="10"/>
      <c r="U11932" s="10"/>
      <c r="V11932" s="10"/>
      <c r="W11932" s="10"/>
      <c r="X11932" s="10"/>
      <c r="Y11932" s="10"/>
      <c r="Z11932" s="10"/>
    </row>
    <row r="11933" spans="1:26" ht="12.75">
      <c r="A11933" s="10"/>
      <c r="B11933" s="10"/>
      <c r="C11933" s="10"/>
      <c r="D11933" s="10"/>
      <c r="E11933" s="10"/>
      <c r="F11933" s="10"/>
      <c r="G11933" s="10"/>
      <c r="H11933" s="10"/>
      <c r="I11933" s="10"/>
      <c r="J11933" s="10"/>
      <c r="K11933" s="10"/>
      <c r="L11933" s="10"/>
      <c r="M11933" s="10"/>
      <c r="N11933" s="10"/>
      <c r="O11933" s="10"/>
      <c r="P11933" s="10"/>
      <c r="Q11933" s="10"/>
      <c r="R11933" s="10"/>
      <c r="S11933" s="10"/>
      <c r="T11933" s="10"/>
      <c r="U11933" s="10"/>
      <c r="V11933" s="10"/>
      <c r="W11933" s="10"/>
      <c r="X11933" s="10"/>
      <c r="Y11933" s="10"/>
      <c r="Z11933" s="10"/>
    </row>
    <row r="11934" spans="1:26" ht="12.75">
      <c r="A11934" s="10"/>
      <c r="B11934" s="10"/>
      <c r="C11934" s="10"/>
      <c r="D11934" s="10"/>
      <c r="E11934" s="10"/>
      <c r="F11934" s="10"/>
      <c r="G11934" s="10"/>
      <c r="H11934" s="10"/>
      <c r="I11934" s="10"/>
      <c r="J11934" s="10"/>
      <c r="K11934" s="10"/>
      <c r="L11934" s="10"/>
      <c r="M11934" s="10"/>
      <c r="N11934" s="10"/>
      <c r="O11934" s="10"/>
      <c r="P11934" s="10"/>
      <c r="Q11934" s="10"/>
      <c r="R11934" s="10"/>
      <c r="S11934" s="10"/>
      <c r="T11934" s="10"/>
      <c r="U11934" s="10"/>
      <c r="V11934" s="10"/>
      <c r="W11934" s="10"/>
      <c r="X11934" s="10"/>
      <c r="Y11934" s="10"/>
      <c r="Z11934" s="10"/>
    </row>
    <row r="11935" spans="1:26" ht="12.75">
      <c r="A11935" s="10"/>
      <c r="B11935" s="10"/>
      <c r="C11935" s="10"/>
      <c r="D11935" s="10"/>
      <c r="E11935" s="10"/>
      <c r="F11935" s="10"/>
      <c r="G11935" s="10"/>
      <c r="H11935" s="10"/>
      <c r="I11935" s="10"/>
      <c r="J11935" s="10"/>
      <c r="K11935" s="10"/>
      <c r="L11935" s="10"/>
      <c r="M11935" s="10"/>
      <c r="N11935" s="10"/>
      <c r="O11935" s="10"/>
      <c r="P11935" s="10"/>
      <c r="Q11935" s="10"/>
      <c r="R11935" s="10"/>
      <c r="S11935" s="10"/>
      <c r="T11935" s="10"/>
      <c r="U11935" s="10"/>
      <c r="V11935" s="10"/>
      <c r="W11935" s="10"/>
      <c r="X11935" s="10"/>
      <c r="Y11935" s="10"/>
      <c r="Z11935" s="10"/>
    </row>
    <row r="11936" spans="1:26" ht="12.75">
      <c r="A11936" s="10"/>
      <c r="B11936" s="10"/>
      <c r="C11936" s="10"/>
      <c r="D11936" s="10"/>
      <c r="E11936" s="10"/>
      <c r="F11936" s="10"/>
      <c r="G11936" s="10"/>
      <c r="H11936" s="10"/>
      <c r="I11936" s="10"/>
      <c r="J11936" s="10"/>
      <c r="K11936" s="10"/>
      <c r="L11936" s="10"/>
      <c r="M11936" s="10"/>
      <c r="N11936" s="10"/>
      <c r="O11936" s="10"/>
      <c r="P11936" s="10"/>
      <c r="Q11936" s="10"/>
      <c r="R11936" s="10"/>
      <c r="S11936" s="10"/>
      <c r="T11936" s="10"/>
      <c r="U11936" s="10"/>
      <c r="V11936" s="10"/>
      <c r="W11936" s="10"/>
      <c r="X11936" s="10"/>
      <c r="Y11936" s="10"/>
      <c r="Z11936" s="10"/>
    </row>
    <row r="11937" spans="1:26" ht="12.75">
      <c r="A11937" s="10"/>
      <c r="B11937" s="10"/>
      <c r="C11937" s="10"/>
      <c r="D11937" s="10"/>
      <c r="E11937" s="10"/>
      <c r="F11937" s="10"/>
      <c r="G11937" s="10"/>
      <c r="H11937" s="10"/>
      <c r="I11937" s="10"/>
      <c r="J11937" s="10"/>
      <c r="K11937" s="10"/>
      <c r="L11937" s="10"/>
      <c r="M11937" s="10"/>
      <c r="N11937" s="10"/>
      <c r="O11937" s="10"/>
      <c r="P11937" s="10"/>
      <c r="Q11937" s="10"/>
      <c r="R11937" s="10"/>
      <c r="S11937" s="10"/>
      <c r="T11937" s="10"/>
      <c r="U11937" s="10"/>
      <c r="V11937" s="10"/>
      <c r="W11937" s="10"/>
      <c r="X11937" s="10"/>
      <c r="Y11937" s="10"/>
      <c r="Z11937" s="10"/>
    </row>
    <row r="11938" spans="1:26" ht="12.75">
      <c r="A11938" s="10"/>
      <c r="B11938" s="10"/>
      <c r="C11938" s="10"/>
      <c r="D11938" s="10"/>
      <c r="E11938" s="10"/>
      <c r="F11938" s="10"/>
      <c r="G11938" s="10"/>
      <c r="H11938" s="10"/>
      <c r="I11938" s="10"/>
      <c r="J11938" s="10"/>
      <c r="K11938" s="10"/>
      <c r="L11938" s="10"/>
      <c r="M11938" s="10"/>
      <c r="N11938" s="10"/>
      <c r="O11938" s="10"/>
      <c r="P11938" s="10"/>
      <c r="Q11938" s="10"/>
      <c r="R11938" s="10"/>
      <c r="S11938" s="10"/>
      <c r="T11938" s="10"/>
      <c r="U11938" s="10"/>
      <c r="V11938" s="10"/>
      <c r="W11938" s="10"/>
      <c r="X11938" s="10"/>
      <c r="Y11938" s="10"/>
      <c r="Z11938" s="10"/>
    </row>
    <row r="11939" spans="1:26" ht="12.75">
      <c r="A11939" s="10"/>
      <c r="B11939" s="10"/>
      <c r="C11939" s="10"/>
      <c r="D11939" s="10"/>
      <c r="E11939" s="10"/>
      <c r="F11939" s="10"/>
      <c r="G11939" s="10"/>
      <c r="H11939" s="10"/>
      <c r="I11939" s="10"/>
      <c r="J11939" s="10"/>
      <c r="K11939" s="10"/>
      <c r="L11939" s="10"/>
      <c r="M11939" s="10"/>
      <c r="N11939" s="10"/>
      <c r="O11939" s="10"/>
      <c r="P11939" s="10"/>
      <c r="Q11939" s="10"/>
      <c r="R11939" s="10"/>
      <c r="S11939" s="10"/>
      <c r="T11939" s="10"/>
      <c r="U11939" s="10"/>
      <c r="V11939" s="10"/>
      <c r="W11939" s="10"/>
      <c r="X11939" s="10"/>
      <c r="Y11939" s="10"/>
      <c r="Z11939" s="10"/>
    </row>
    <row r="11940" spans="1:26" ht="12.75">
      <c r="A11940" s="10"/>
      <c r="B11940" s="10"/>
      <c r="C11940" s="10"/>
      <c r="D11940" s="10"/>
      <c r="E11940" s="10"/>
      <c r="F11940" s="10"/>
      <c r="G11940" s="10"/>
      <c r="H11940" s="10"/>
      <c r="I11940" s="10"/>
      <c r="J11940" s="10"/>
      <c r="K11940" s="10"/>
      <c r="L11940" s="10"/>
      <c r="M11940" s="10"/>
      <c r="N11940" s="10"/>
      <c r="O11940" s="10"/>
      <c r="P11940" s="10"/>
      <c r="Q11940" s="10"/>
      <c r="R11940" s="10"/>
      <c r="S11940" s="10"/>
      <c r="T11940" s="10"/>
      <c r="U11940" s="10"/>
      <c r="V11940" s="10"/>
      <c r="W11940" s="10"/>
      <c r="X11940" s="10"/>
      <c r="Y11940" s="10"/>
      <c r="Z11940" s="10"/>
    </row>
    <row r="11941" spans="1:26" ht="12.75">
      <c r="A11941" s="10"/>
      <c r="B11941" s="10"/>
      <c r="C11941" s="10"/>
      <c r="D11941" s="10"/>
      <c r="E11941" s="10"/>
      <c r="F11941" s="10"/>
      <c r="G11941" s="10"/>
      <c r="H11941" s="10"/>
      <c r="I11941" s="10"/>
      <c r="J11941" s="10"/>
      <c r="K11941" s="10"/>
      <c r="L11941" s="10"/>
      <c r="M11941" s="10"/>
      <c r="N11941" s="10"/>
      <c r="O11941" s="10"/>
      <c r="P11941" s="10"/>
      <c r="Q11941" s="10"/>
      <c r="R11941" s="10"/>
      <c r="S11941" s="10"/>
      <c r="T11941" s="10"/>
      <c r="U11941" s="10"/>
      <c r="V11941" s="10"/>
      <c r="W11941" s="10"/>
      <c r="X11941" s="10"/>
      <c r="Y11941" s="10"/>
      <c r="Z11941" s="10"/>
    </row>
    <row r="11942" spans="1:26" ht="12.75">
      <c r="A11942" s="10"/>
      <c r="B11942" s="10"/>
      <c r="C11942" s="10"/>
      <c r="D11942" s="10"/>
      <c r="E11942" s="10"/>
      <c r="F11942" s="10"/>
      <c r="G11942" s="10"/>
      <c r="H11942" s="10"/>
      <c r="I11942" s="10"/>
      <c r="J11942" s="10"/>
      <c r="K11942" s="10"/>
      <c r="L11942" s="10"/>
      <c r="M11942" s="10"/>
      <c r="N11942" s="10"/>
      <c r="O11942" s="10"/>
      <c r="P11942" s="10"/>
      <c r="Q11942" s="10"/>
      <c r="R11942" s="10"/>
      <c r="S11942" s="10"/>
      <c r="T11942" s="10"/>
      <c r="U11942" s="10"/>
      <c r="V11942" s="10"/>
      <c r="W11942" s="10"/>
      <c r="X11942" s="10"/>
      <c r="Y11942" s="10"/>
      <c r="Z11942" s="10"/>
    </row>
    <row r="11943" spans="1:26" ht="12.75">
      <c r="A11943" s="10"/>
      <c r="B11943" s="10"/>
      <c r="C11943" s="10"/>
      <c r="D11943" s="10"/>
      <c r="E11943" s="10"/>
      <c r="F11943" s="10"/>
      <c r="G11943" s="10"/>
      <c r="H11943" s="10"/>
      <c r="I11943" s="10"/>
      <c r="J11943" s="10"/>
      <c r="K11943" s="10"/>
      <c r="L11943" s="10"/>
      <c r="M11943" s="10"/>
      <c r="N11943" s="10"/>
      <c r="O11943" s="10"/>
      <c r="P11943" s="10"/>
      <c r="Q11943" s="10"/>
      <c r="R11943" s="10"/>
      <c r="S11943" s="10"/>
      <c r="T11943" s="10"/>
      <c r="U11943" s="10"/>
      <c r="V11943" s="10"/>
      <c r="W11943" s="10"/>
      <c r="X11943" s="10"/>
      <c r="Y11943" s="10"/>
      <c r="Z11943" s="10"/>
    </row>
    <row r="11944" spans="1:26" ht="12.75">
      <c r="A11944" s="10"/>
      <c r="B11944" s="10"/>
      <c r="C11944" s="10"/>
      <c r="D11944" s="10"/>
      <c r="E11944" s="10"/>
      <c r="F11944" s="10"/>
      <c r="G11944" s="10"/>
      <c r="H11944" s="10"/>
      <c r="I11944" s="10"/>
      <c r="J11944" s="10"/>
      <c r="K11944" s="10"/>
      <c r="L11944" s="10"/>
      <c r="M11944" s="10"/>
      <c r="N11944" s="10"/>
      <c r="O11944" s="10"/>
      <c r="P11944" s="10"/>
      <c r="Q11944" s="10"/>
      <c r="R11944" s="10"/>
      <c r="S11944" s="10"/>
      <c r="T11944" s="10"/>
      <c r="U11944" s="10"/>
      <c r="V11944" s="10"/>
      <c r="W11944" s="10"/>
      <c r="X11944" s="10"/>
      <c r="Y11944" s="10"/>
      <c r="Z11944" s="10"/>
    </row>
    <row r="11945" spans="1:26" ht="12.75">
      <c r="A11945" s="10"/>
      <c r="B11945" s="10"/>
      <c r="C11945" s="10"/>
      <c r="D11945" s="10"/>
      <c r="E11945" s="10"/>
      <c r="F11945" s="10"/>
      <c r="G11945" s="10"/>
      <c r="H11945" s="10"/>
      <c r="I11945" s="10"/>
      <c r="J11945" s="10"/>
      <c r="K11945" s="10"/>
      <c r="L11945" s="10"/>
      <c r="M11945" s="10"/>
      <c r="N11945" s="10"/>
      <c r="O11945" s="10"/>
      <c r="P11945" s="10"/>
      <c r="Q11945" s="10"/>
      <c r="R11945" s="10"/>
      <c r="S11945" s="10"/>
      <c r="T11945" s="10"/>
      <c r="U11945" s="10"/>
      <c r="V11945" s="10"/>
      <c r="W11945" s="10"/>
      <c r="X11945" s="10"/>
      <c r="Y11945" s="10"/>
      <c r="Z11945" s="10"/>
    </row>
    <row r="11946" spans="1:26" ht="12.75">
      <c r="A11946" s="10"/>
      <c r="B11946" s="10"/>
      <c r="C11946" s="10"/>
      <c r="D11946" s="10"/>
      <c r="E11946" s="10"/>
      <c r="F11946" s="10"/>
      <c r="G11946" s="10"/>
      <c r="H11946" s="10"/>
      <c r="I11946" s="10"/>
      <c r="J11946" s="10"/>
      <c r="K11946" s="10"/>
      <c r="L11946" s="10"/>
      <c r="M11946" s="10"/>
      <c r="N11946" s="10"/>
      <c r="O11946" s="10"/>
      <c r="P11946" s="10"/>
      <c r="Q11946" s="10"/>
      <c r="R11946" s="10"/>
      <c r="S11946" s="10"/>
      <c r="T11946" s="10"/>
      <c r="U11946" s="10"/>
      <c r="V11946" s="10"/>
      <c r="W11946" s="10"/>
      <c r="X11946" s="10"/>
      <c r="Y11946" s="10"/>
      <c r="Z11946" s="10"/>
    </row>
    <row r="11947" spans="1:26" ht="12.75">
      <c r="A11947" s="10"/>
      <c r="B11947" s="10"/>
      <c r="C11947" s="10"/>
      <c r="D11947" s="10"/>
      <c r="E11947" s="10"/>
      <c r="F11947" s="10"/>
      <c r="G11947" s="10"/>
      <c r="H11947" s="10"/>
      <c r="I11947" s="10"/>
      <c r="J11947" s="10"/>
      <c r="K11947" s="10"/>
      <c r="L11947" s="10"/>
      <c r="M11947" s="10"/>
      <c r="N11947" s="10"/>
      <c r="O11947" s="10"/>
      <c r="P11947" s="10"/>
      <c r="Q11947" s="10"/>
      <c r="R11947" s="10"/>
      <c r="S11947" s="10"/>
      <c r="T11947" s="10"/>
      <c r="U11947" s="10"/>
      <c r="V11947" s="10"/>
      <c r="W11947" s="10"/>
      <c r="X11947" s="10"/>
      <c r="Y11947" s="10"/>
      <c r="Z11947" s="10"/>
    </row>
    <row r="11948" spans="1:26" ht="12.75">
      <c r="A11948" s="10"/>
      <c r="B11948" s="10"/>
      <c r="C11948" s="10"/>
      <c r="D11948" s="10"/>
      <c r="E11948" s="10"/>
      <c r="F11948" s="10"/>
      <c r="G11948" s="10"/>
      <c r="H11948" s="10"/>
      <c r="I11948" s="10"/>
      <c r="J11948" s="10"/>
      <c r="K11948" s="10"/>
      <c r="L11948" s="10"/>
      <c r="M11948" s="10"/>
      <c r="N11948" s="10"/>
      <c r="O11948" s="10"/>
      <c r="P11948" s="10"/>
      <c r="Q11948" s="10"/>
      <c r="R11948" s="10"/>
      <c r="S11948" s="10"/>
      <c r="T11948" s="10"/>
      <c r="U11948" s="10"/>
      <c r="V11948" s="10"/>
      <c r="W11948" s="10"/>
      <c r="X11948" s="10"/>
      <c r="Y11948" s="10"/>
      <c r="Z11948" s="10"/>
    </row>
    <row r="11949" spans="1:26" ht="12.75">
      <c r="A11949" s="10"/>
      <c r="B11949" s="10"/>
      <c r="C11949" s="10"/>
      <c r="D11949" s="10"/>
      <c r="E11949" s="10"/>
      <c r="F11949" s="10"/>
      <c r="G11949" s="10"/>
      <c r="H11949" s="10"/>
      <c r="I11949" s="10"/>
      <c r="J11949" s="10"/>
      <c r="K11949" s="10"/>
      <c r="L11949" s="10"/>
      <c r="M11949" s="10"/>
      <c r="N11949" s="10"/>
      <c r="O11949" s="10"/>
      <c r="P11949" s="10"/>
      <c r="Q11949" s="10"/>
      <c r="R11949" s="10"/>
      <c r="S11949" s="10"/>
      <c r="T11949" s="10"/>
      <c r="U11949" s="10"/>
      <c r="V11949" s="10"/>
      <c r="W11949" s="10"/>
      <c r="X11949" s="10"/>
      <c r="Y11949" s="10"/>
      <c r="Z11949" s="10"/>
    </row>
    <row r="11950" spans="1:26" ht="12.75">
      <c r="A11950" s="10"/>
      <c r="B11950" s="10"/>
      <c r="C11950" s="10"/>
      <c r="D11950" s="10"/>
      <c r="E11950" s="10"/>
      <c r="F11950" s="10"/>
      <c r="G11950" s="10"/>
      <c r="H11950" s="10"/>
      <c r="I11950" s="10"/>
      <c r="J11950" s="10"/>
      <c r="K11950" s="10"/>
      <c r="L11950" s="10"/>
      <c r="M11950" s="10"/>
      <c r="N11950" s="10"/>
      <c r="O11950" s="10"/>
      <c r="P11950" s="10"/>
      <c r="Q11950" s="10"/>
      <c r="R11950" s="10"/>
      <c r="S11950" s="10"/>
      <c r="T11950" s="10"/>
      <c r="U11950" s="10"/>
      <c r="V11950" s="10"/>
      <c r="W11950" s="10"/>
      <c r="X11950" s="10"/>
      <c r="Y11950" s="10"/>
      <c r="Z11950" s="10"/>
    </row>
    <row r="11951" spans="1:26" ht="12.75">
      <c r="A11951" s="10"/>
      <c r="B11951" s="10"/>
      <c r="C11951" s="10"/>
      <c r="D11951" s="10"/>
      <c r="E11951" s="10"/>
      <c r="F11951" s="10"/>
      <c r="G11951" s="10"/>
      <c r="H11951" s="10"/>
      <c r="I11951" s="10"/>
      <c r="J11951" s="10"/>
      <c r="K11951" s="10"/>
      <c r="L11951" s="10"/>
      <c r="M11951" s="10"/>
      <c r="N11951" s="10"/>
      <c r="O11951" s="10"/>
      <c r="P11951" s="10"/>
      <c r="Q11951" s="10"/>
      <c r="R11951" s="10"/>
      <c r="S11951" s="10"/>
      <c r="T11951" s="10"/>
      <c r="U11951" s="10"/>
      <c r="V11951" s="10"/>
      <c r="W11951" s="10"/>
      <c r="X11951" s="10"/>
      <c r="Y11951" s="10"/>
      <c r="Z11951" s="10"/>
    </row>
    <row r="11952" spans="1:26" ht="12.75">
      <c r="A11952" s="10"/>
      <c r="B11952" s="10"/>
      <c r="C11952" s="10"/>
      <c r="D11952" s="10"/>
      <c r="E11952" s="10"/>
      <c r="F11952" s="10"/>
      <c r="G11952" s="10"/>
      <c r="H11952" s="10"/>
      <c r="I11952" s="10"/>
      <c r="J11952" s="10"/>
      <c r="K11952" s="10"/>
      <c r="L11952" s="10"/>
      <c r="M11952" s="10"/>
      <c r="N11952" s="10"/>
      <c r="O11952" s="10"/>
      <c r="P11952" s="10"/>
      <c r="Q11952" s="10"/>
      <c r="R11952" s="10"/>
      <c r="S11952" s="10"/>
      <c r="T11952" s="10"/>
      <c r="U11952" s="10"/>
      <c r="V11952" s="10"/>
      <c r="W11952" s="10"/>
      <c r="X11952" s="10"/>
      <c r="Y11952" s="10"/>
      <c r="Z11952" s="10"/>
    </row>
    <row r="11953" spans="1:26" ht="12.75">
      <c r="A11953" s="10"/>
      <c r="B11953" s="10"/>
      <c r="C11953" s="10"/>
      <c r="D11953" s="10"/>
      <c r="E11953" s="10"/>
      <c r="F11953" s="10"/>
      <c r="G11953" s="10"/>
      <c r="H11953" s="10"/>
      <c r="I11953" s="10"/>
      <c r="J11953" s="10"/>
      <c r="K11953" s="10"/>
      <c r="L11953" s="10"/>
      <c r="M11953" s="10"/>
      <c r="N11953" s="10"/>
      <c r="O11953" s="10"/>
      <c r="P11953" s="10"/>
      <c r="Q11953" s="10"/>
      <c r="R11953" s="10"/>
      <c r="S11953" s="10"/>
      <c r="T11953" s="10"/>
      <c r="U11953" s="10"/>
      <c r="V11953" s="10"/>
      <c r="W11953" s="10"/>
      <c r="X11953" s="10"/>
      <c r="Y11953" s="10"/>
      <c r="Z11953" s="10"/>
    </row>
    <row r="11954" spans="1:26" ht="12.75">
      <c r="A11954" s="10"/>
      <c r="B11954" s="10"/>
      <c r="C11954" s="10"/>
      <c r="D11954" s="10"/>
      <c r="E11954" s="10"/>
      <c r="F11954" s="10"/>
      <c r="G11954" s="10"/>
      <c r="H11954" s="10"/>
      <c r="I11954" s="10"/>
      <c r="J11954" s="10"/>
      <c r="K11954" s="10"/>
      <c r="L11954" s="10"/>
      <c r="M11954" s="10"/>
      <c r="N11954" s="10"/>
      <c r="O11954" s="10"/>
      <c r="P11954" s="10"/>
      <c r="Q11954" s="10"/>
      <c r="R11954" s="10"/>
      <c r="S11954" s="10"/>
      <c r="T11954" s="10"/>
      <c r="U11954" s="10"/>
      <c r="V11954" s="10"/>
      <c r="W11954" s="10"/>
      <c r="X11954" s="10"/>
      <c r="Y11954" s="10"/>
      <c r="Z11954" s="10"/>
    </row>
    <row r="11955" spans="1:26" ht="12.75">
      <c r="A11955" s="10"/>
      <c r="B11955" s="10"/>
      <c r="C11955" s="10"/>
      <c r="D11955" s="10"/>
      <c r="E11955" s="10"/>
      <c r="F11955" s="10"/>
      <c r="G11955" s="10"/>
      <c r="H11955" s="10"/>
      <c r="I11955" s="10"/>
      <c r="J11955" s="10"/>
      <c r="K11955" s="10"/>
      <c r="L11955" s="10"/>
      <c r="M11955" s="10"/>
      <c r="N11955" s="10"/>
      <c r="O11955" s="10"/>
      <c r="P11955" s="10"/>
      <c r="Q11955" s="10"/>
      <c r="R11955" s="10"/>
      <c r="S11955" s="10"/>
      <c r="T11955" s="10"/>
      <c r="U11955" s="10"/>
      <c r="V11955" s="10"/>
      <c r="W11955" s="10"/>
      <c r="X11955" s="10"/>
      <c r="Y11955" s="10"/>
      <c r="Z11955" s="10"/>
    </row>
    <row r="11956" spans="1:26" ht="12.75">
      <c r="A11956" s="10"/>
      <c r="B11956" s="10"/>
      <c r="C11956" s="10"/>
      <c r="D11956" s="10"/>
      <c r="E11956" s="10"/>
      <c r="F11956" s="10"/>
      <c r="G11956" s="10"/>
      <c r="H11956" s="10"/>
      <c r="I11956" s="10"/>
      <c r="J11956" s="10"/>
      <c r="K11956" s="10"/>
      <c r="L11956" s="10"/>
      <c r="M11956" s="10"/>
      <c r="N11956" s="10"/>
      <c r="O11956" s="10"/>
      <c r="P11956" s="10"/>
      <c r="Q11956" s="10"/>
      <c r="R11956" s="10"/>
      <c r="S11956" s="10"/>
      <c r="T11956" s="10"/>
      <c r="U11956" s="10"/>
      <c r="V11956" s="10"/>
      <c r="W11956" s="10"/>
      <c r="X11956" s="10"/>
      <c r="Y11956" s="10"/>
      <c r="Z11956" s="10"/>
    </row>
    <row r="11957" spans="1:26" ht="12.75">
      <c r="A11957" s="10"/>
      <c r="B11957" s="10"/>
      <c r="C11957" s="10"/>
      <c r="D11957" s="10"/>
      <c r="E11957" s="10"/>
      <c r="F11957" s="10"/>
      <c r="G11957" s="10"/>
      <c r="H11957" s="10"/>
      <c r="I11957" s="10"/>
      <c r="J11957" s="10"/>
      <c r="K11957" s="10"/>
      <c r="L11957" s="10"/>
      <c r="M11957" s="10"/>
      <c r="N11957" s="10"/>
      <c r="O11957" s="10"/>
      <c r="P11957" s="10"/>
      <c r="Q11957" s="10"/>
      <c r="R11957" s="10"/>
      <c r="S11957" s="10"/>
      <c r="T11957" s="10"/>
      <c r="U11957" s="10"/>
      <c r="V11957" s="10"/>
      <c r="W11957" s="10"/>
      <c r="X11957" s="10"/>
      <c r="Y11957" s="10"/>
      <c r="Z11957" s="10"/>
    </row>
    <row r="11958" spans="1:26" ht="12.75">
      <c r="A11958" s="10"/>
      <c r="B11958" s="10"/>
      <c r="C11958" s="10"/>
      <c r="D11958" s="10"/>
      <c r="E11958" s="10"/>
      <c r="F11958" s="10"/>
      <c r="G11958" s="10"/>
      <c r="H11958" s="10"/>
      <c r="I11958" s="10"/>
      <c r="J11958" s="10"/>
      <c r="K11958" s="10"/>
      <c r="L11958" s="10"/>
      <c r="M11958" s="10"/>
      <c r="N11958" s="10"/>
      <c r="O11958" s="10"/>
      <c r="P11958" s="10"/>
      <c r="Q11958" s="10"/>
      <c r="R11958" s="10"/>
      <c r="S11958" s="10"/>
      <c r="T11958" s="10"/>
      <c r="U11958" s="10"/>
      <c r="V11958" s="10"/>
      <c r="W11958" s="10"/>
      <c r="X11958" s="10"/>
      <c r="Y11958" s="10"/>
      <c r="Z11958" s="10"/>
    </row>
    <row r="11959" spans="1:26" ht="12.75">
      <c r="A11959" s="10"/>
      <c r="B11959" s="10"/>
      <c r="C11959" s="10"/>
      <c r="D11959" s="10"/>
      <c r="E11959" s="10"/>
      <c r="F11959" s="10"/>
      <c r="G11959" s="10"/>
      <c r="H11959" s="10"/>
      <c r="I11959" s="10"/>
      <c r="J11959" s="10"/>
      <c r="K11959" s="10"/>
      <c r="L11959" s="10"/>
      <c r="M11959" s="10"/>
      <c r="N11959" s="10"/>
      <c r="O11959" s="10"/>
      <c r="P11959" s="10"/>
      <c r="Q11959" s="10"/>
      <c r="R11959" s="10"/>
      <c r="S11959" s="10"/>
      <c r="T11959" s="10"/>
      <c r="U11959" s="10"/>
      <c r="V11959" s="10"/>
      <c r="W11959" s="10"/>
      <c r="X11959" s="10"/>
      <c r="Y11959" s="10"/>
      <c r="Z11959" s="10"/>
    </row>
    <row r="11960" spans="1:26" ht="12.75">
      <c r="A11960" s="10"/>
      <c r="B11960" s="10"/>
      <c r="C11960" s="10"/>
      <c r="D11960" s="10"/>
      <c r="E11960" s="10"/>
      <c r="F11960" s="10"/>
      <c r="G11960" s="10"/>
      <c r="H11960" s="10"/>
      <c r="I11960" s="10"/>
      <c r="J11960" s="10"/>
      <c r="K11960" s="10"/>
      <c r="L11960" s="10"/>
      <c r="M11960" s="10"/>
      <c r="N11960" s="10"/>
      <c r="O11960" s="10"/>
      <c r="P11960" s="10"/>
      <c r="Q11960" s="10"/>
      <c r="R11960" s="10"/>
      <c r="S11960" s="10"/>
      <c r="T11960" s="10"/>
      <c r="U11960" s="10"/>
      <c r="V11960" s="10"/>
      <c r="W11960" s="10"/>
      <c r="X11960" s="10"/>
      <c r="Y11960" s="10"/>
      <c r="Z11960" s="10"/>
    </row>
    <row r="11961" spans="1:26" ht="12.75">
      <c r="A11961" s="10"/>
      <c r="B11961" s="10"/>
      <c r="C11961" s="10"/>
      <c r="D11961" s="10"/>
      <c r="E11961" s="10"/>
      <c r="F11961" s="10"/>
      <c r="G11961" s="10"/>
      <c r="H11961" s="10"/>
      <c r="I11961" s="10"/>
      <c r="J11961" s="10"/>
      <c r="K11961" s="10"/>
      <c r="L11961" s="10"/>
      <c r="M11961" s="10"/>
      <c r="N11961" s="10"/>
      <c r="O11961" s="10"/>
      <c r="P11961" s="10"/>
      <c r="Q11961" s="10"/>
      <c r="R11961" s="10"/>
      <c r="S11961" s="10"/>
      <c r="T11961" s="10"/>
      <c r="U11961" s="10"/>
      <c r="V11961" s="10"/>
      <c r="W11961" s="10"/>
      <c r="X11961" s="10"/>
      <c r="Y11961" s="10"/>
      <c r="Z11961" s="10"/>
    </row>
    <row r="11962" spans="1:26" ht="12.75">
      <c r="A11962" s="10"/>
      <c r="B11962" s="10"/>
      <c r="C11962" s="10"/>
      <c r="D11962" s="10"/>
      <c r="E11962" s="10"/>
      <c r="F11962" s="10"/>
      <c r="G11962" s="10"/>
      <c r="H11962" s="10"/>
      <c r="I11962" s="10"/>
      <c r="J11962" s="10"/>
      <c r="K11962" s="10"/>
      <c r="L11962" s="10"/>
      <c r="M11962" s="10"/>
      <c r="N11962" s="10"/>
      <c r="O11962" s="10"/>
      <c r="P11962" s="10"/>
      <c r="Q11962" s="10"/>
      <c r="R11962" s="10"/>
      <c r="S11962" s="10"/>
      <c r="T11962" s="10"/>
      <c r="U11962" s="10"/>
      <c r="V11962" s="10"/>
      <c r="W11962" s="10"/>
      <c r="X11962" s="10"/>
      <c r="Y11962" s="10"/>
      <c r="Z11962" s="10"/>
    </row>
    <row r="11963" spans="1:26" ht="12.75">
      <c r="A11963" s="10"/>
      <c r="B11963" s="10"/>
      <c r="C11963" s="10"/>
      <c r="D11963" s="10"/>
      <c r="E11963" s="10"/>
      <c r="F11963" s="10"/>
      <c r="G11963" s="10"/>
      <c r="H11963" s="10"/>
      <c r="I11963" s="10"/>
      <c r="J11963" s="10"/>
      <c r="K11963" s="10"/>
      <c r="L11963" s="10"/>
      <c r="M11963" s="10"/>
      <c r="N11963" s="10"/>
      <c r="O11963" s="10"/>
      <c r="P11963" s="10"/>
      <c r="Q11963" s="10"/>
      <c r="R11963" s="10"/>
      <c r="S11963" s="10"/>
      <c r="T11963" s="10"/>
      <c r="U11963" s="10"/>
      <c r="V11963" s="10"/>
      <c r="W11963" s="10"/>
      <c r="X11963" s="10"/>
      <c r="Y11963" s="10"/>
      <c r="Z11963" s="10"/>
    </row>
    <row r="11964" spans="1:26" ht="12.75">
      <c r="A11964" s="10"/>
      <c r="B11964" s="10"/>
      <c r="C11964" s="10"/>
      <c r="D11964" s="10"/>
      <c r="E11964" s="10"/>
      <c r="F11964" s="10"/>
      <c r="G11964" s="10"/>
      <c r="H11964" s="10"/>
      <c r="I11964" s="10"/>
      <c r="J11964" s="10"/>
      <c r="K11964" s="10"/>
      <c r="L11964" s="10"/>
      <c r="M11964" s="10"/>
      <c r="N11964" s="10"/>
      <c r="O11964" s="10"/>
      <c r="P11964" s="10"/>
      <c r="Q11964" s="10"/>
      <c r="R11964" s="10"/>
      <c r="S11964" s="10"/>
      <c r="T11964" s="10"/>
      <c r="U11964" s="10"/>
      <c r="V11964" s="10"/>
      <c r="W11964" s="10"/>
      <c r="X11964" s="10"/>
      <c r="Y11964" s="10"/>
      <c r="Z11964" s="10"/>
    </row>
    <row r="11965" spans="1:26" ht="12.75">
      <c r="A11965" s="10"/>
      <c r="B11965" s="10"/>
      <c r="C11965" s="10"/>
      <c r="D11965" s="10"/>
      <c r="E11965" s="10"/>
      <c r="F11965" s="10"/>
      <c r="G11965" s="10"/>
      <c r="H11965" s="10"/>
      <c r="I11965" s="10"/>
      <c r="J11965" s="10"/>
      <c r="K11965" s="10"/>
      <c r="L11965" s="10"/>
      <c r="M11965" s="10"/>
      <c r="N11965" s="10"/>
      <c r="O11965" s="10"/>
      <c r="P11965" s="10"/>
      <c r="Q11965" s="10"/>
      <c r="R11965" s="10"/>
      <c r="S11965" s="10"/>
      <c r="T11965" s="10"/>
      <c r="U11965" s="10"/>
      <c r="V11965" s="10"/>
      <c r="W11965" s="10"/>
      <c r="X11965" s="10"/>
      <c r="Y11965" s="10"/>
      <c r="Z11965" s="10"/>
    </row>
    <row r="11966" spans="1:26" ht="12.75">
      <c r="A11966" s="10"/>
      <c r="B11966" s="10"/>
      <c r="C11966" s="10"/>
      <c r="D11966" s="10"/>
      <c r="E11966" s="10"/>
      <c r="F11966" s="10"/>
      <c r="G11966" s="10"/>
      <c r="H11966" s="10"/>
      <c r="I11966" s="10"/>
      <c r="J11966" s="10"/>
      <c r="K11966" s="10"/>
      <c r="L11966" s="10"/>
      <c r="M11966" s="10"/>
      <c r="N11966" s="10"/>
      <c r="O11966" s="10"/>
      <c r="P11966" s="10"/>
      <c r="Q11966" s="10"/>
      <c r="R11966" s="10"/>
      <c r="S11966" s="10"/>
      <c r="T11966" s="10"/>
      <c r="U11966" s="10"/>
      <c r="V11966" s="10"/>
      <c r="W11966" s="10"/>
      <c r="X11966" s="10"/>
      <c r="Y11966" s="10"/>
      <c r="Z11966" s="10"/>
    </row>
    <row r="11967" spans="1:26" ht="12.75">
      <c r="A11967" s="10"/>
      <c r="B11967" s="10"/>
      <c r="C11967" s="10"/>
      <c r="D11967" s="10"/>
      <c r="E11967" s="10"/>
      <c r="F11967" s="10"/>
      <c r="G11967" s="10"/>
      <c r="H11967" s="10"/>
      <c r="I11967" s="10"/>
      <c r="J11967" s="10"/>
      <c r="K11967" s="10"/>
      <c r="L11967" s="10"/>
      <c r="M11967" s="10"/>
      <c r="N11967" s="10"/>
      <c r="O11967" s="10"/>
      <c r="P11967" s="10"/>
      <c r="Q11967" s="10"/>
      <c r="R11967" s="10"/>
      <c r="S11967" s="10"/>
      <c r="T11967" s="10"/>
      <c r="U11967" s="10"/>
      <c r="V11967" s="10"/>
      <c r="W11967" s="10"/>
      <c r="X11967" s="10"/>
      <c r="Y11967" s="10"/>
      <c r="Z11967" s="10"/>
    </row>
    <row r="11968" spans="1:26" ht="12.75">
      <c r="A11968" s="10"/>
      <c r="B11968" s="10"/>
      <c r="C11968" s="10"/>
      <c r="D11968" s="10"/>
      <c r="E11968" s="10"/>
      <c r="F11968" s="10"/>
      <c r="G11968" s="10"/>
      <c r="H11968" s="10"/>
      <c r="I11968" s="10"/>
      <c r="J11968" s="10"/>
      <c r="K11968" s="10"/>
      <c r="L11968" s="10"/>
      <c r="M11968" s="10"/>
      <c r="N11968" s="10"/>
      <c r="O11968" s="10"/>
      <c r="P11968" s="10"/>
      <c r="Q11968" s="10"/>
      <c r="R11968" s="10"/>
      <c r="S11968" s="10"/>
      <c r="T11968" s="10"/>
      <c r="U11968" s="10"/>
      <c r="V11968" s="10"/>
      <c r="W11968" s="10"/>
      <c r="X11968" s="10"/>
      <c r="Y11968" s="10"/>
      <c r="Z11968" s="10"/>
    </row>
    <row r="11969" spans="1:26" ht="12.75">
      <c r="A11969" s="10"/>
      <c r="B11969" s="10"/>
      <c r="C11969" s="10"/>
      <c r="D11969" s="10"/>
      <c r="E11969" s="10"/>
      <c r="F11969" s="10"/>
      <c r="G11969" s="10"/>
      <c r="H11969" s="10"/>
      <c r="I11969" s="10"/>
      <c r="J11969" s="10"/>
      <c r="K11969" s="10"/>
      <c r="L11969" s="10"/>
      <c r="M11969" s="10"/>
      <c r="N11969" s="10"/>
      <c r="O11969" s="10"/>
      <c r="P11969" s="10"/>
      <c r="Q11969" s="10"/>
      <c r="R11969" s="10"/>
      <c r="S11969" s="10"/>
      <c r="T11969" s="10"/>
      <c r="U11969" s="10"/>
      <c r="V11969" s="10"/>
      <c r="W11969" s="10"/>
      <c r="X11969" s="10"/>
      <c r="Y11969" s="10"/>
      <c r="Z11969" s="10"/>
    </row>
    <row r="11970" spans="1:26" ht="12.75">
      <c r="A11970" s="10"/>
      <c r="B11970" s="10"/>
      <c r="C11970" s="10"/>
      <c r="D11970" s="10"/>
      <c r="E11970" s="10"/>
      <c r="F11970" s="10"/>
      <c r="G11970" s="10"/>
      <c r="H11970" s="10"/>
      <c r="I11970" s="10"/>
      <c r="J11970" s="10"/>
      <c r="K11970" s="10"/>
      <c r="L11970" s="10"/>
      <c r="M11970" s="10"/>
      <c r="N11970" s="10"/>
      <c r="O11970" s="10"/>
      <c r="P11970" s="10"/>
      <c r="Q11970" s="10"/>
      <c r="R11970" s="10"/>
      <c r="S11970" s="10"/>
      <c r="T11970" s="10"/>
      <c r="U11970" s="10"/>
      <c r="V11970" s="10"/>
      <c r="W11970" s="10"/>
      <c r="X11970" s="10"/>
      <c r="Y11970" s="10"/>
      <c r="Z11970" s="10"/>
    </row>
    <row r="11971" spans="1:26" ht="12.75">
      <c r="A11971" s="10"/>
      <c r="B11971" s="10"/>
      <c r="C11971" s="10"/>
      <c r="D11971" s="10"/>
      <c r="E11971" s="10"/>
      <c r="F11971" s="10"/>
      <c r="G11971" s="10"/>
      <c r="H11971" s="10"/>
      <c r="I11971" s="10"/>
      <c r="J11971" s="10"/>
      <c r="K11971" s="10"/>
      <c r="L11971" s="10"/>
      <c r="M11971" s="10"/>
      <c r="N11971" s="10"/>
      <c r="O11971" s="10"/>
      <c r="P11971" s="10"/>
      <c r="Q11971" s="10"/>
      <c r="R11971" s="10"/>
      <c r="S11971" s="10"/>
      <c r="T11971" s="10"/>
      <c r="U11971" s="10"/>
      <c r="V11971" s="10"/>
      <c r="W11971" s="10"/>
      <c r="X11971" s="10"/>
      <c r="Y11971" s="10"/>
      <c r="Z11971" s="10"/>
    </row>
    <row r="11972" spans="1:26" ht="12.75">
      <c r="A11972" s="10"/>
      <c r="B11972" s="10"/>
      <c r="C11972" s="10"/>
      <c r="D11972" s="10"/>
      <c r="E11972" s="10"/>
      <c r="F11972" s="10"/>
      <c r="G11972" s="10"/>
      <c r="H11972" s="10"/>
      <c r="I11972" s="10"/>
      <c r="J11972" s="10"/>
      <c r="K11972" s="10"/>
      <c r="L11972" s="10"/>
      <c r="M11972" s="10"/>
      <c r="N11972" s="10"/>
      <c r="O11972" s="10"/>
      <c r="P11972" s="10"/>
      <c r="Q11972" s="10"/>
      <c r="R11972" s="10"/>
      <c r="S11972" s="10"/>
      <c r="T11972" s="10"/>
      <c r="U11972" s="10"/>
      <c r="V11972" s="10"/>
      <c r="W11972" s="10"/>
      <c r="X11972" s="10"/>
      <c r="Y11972" s="10"/>
      <c r="Z11972" s="10"/>
    </row>
    <row r="11973" spans="1:26" ht="12.75">
      <c r="A11973" s="10"/>
      <c r="B11973" s="10"/>
      <c r="C11973" s="10"/>
      <c r="D11973" s="10"/>
      <c r="E11973" s="10"/>
      <c r="F11973" s="10"/>
      <c r="G11973" s="10"/>
      <c r="H11973" s="10"/>
      <c r="I11973" s="10"/>
      <c r="J11973" s="10"/>
      <c r="K11973" s="10"/>
      <c r="L11973" s="10"/>
      <c r="M11973" s="10"/>
      <c r="N11973" s="10"/>
      <c r="O11973" s="10"/>
      <c r="P11973" s="10"/>
      <c r="Q11973" s="10"/>
      <c r="R11973" s="10"/>
      <c r="S11973" s="10"/>
      <c r="T11973" s="10"/>
      <c r="U11973" s="10"/>
      <c r="V11973" s="10"/>
      <c r="W11973" s="10"/>
      <c r="X11973" s="10"/>
      <c r="Y11973" s="10"/>
      <c r="Z11973" s="10"/>
    </row>
    <row r="11974" spans="1:26" ht="12.75">
      <c r="A11974" s="10"/>
      <c r="B11974" s="10"/>
      <c r="C11974" s="10"/>
      <c r="D11974" s="10"/>
      <c r="E11974" s="10"/>
      <c r="F11974" s="10"/>
      <c r="G11974" s="10"/>
      <c r="H11974" s="10"/>
      <c r="I11974" s="10"/>
      <c r="J11974" s="10"/>
      <c r="K11974" s="10"/>
      <c r="L11974" s="10"/>
      <c r="M11974" s="10"/>
      <c r="N11974" s="10"/>
      <c r="O11974" s="10"/>
      <c r="P11974" s="10"/>
      <c r="Q11974" s="10"/>
      <c r="R11974" s="10"/>
      <c r="S11974" s="10"/>
      <c r="T11974" s="10"/>
      <c r="U11974" s="10"/>
      <c r="V11974" s="10"/>
      <c r="W11974" s="10"/>
      <c r="X11974" s="10"/>
      <c r="Y11974" s="10"/>
      <c r="Z11974" s="10"/>
    </row>
    <row r="11975" spans="1:26" ht="12.75">
      <c r="A11975" s="10"/>
      <c r="B11975" s="10"/>
      <c r="C11975" s="10"/>
      <c r="D11975" s="10"/>
      <c r="E11975" s="10"/>
      <c r="F11975" s="10"/>
      <c r="G11975" s="10"/>
      <c r="H11975" s="10"/>
      <c r="I11975" s="10"/>
      <c r="J11975" s="10"/>
      <c r="K11975" s="10"/>
      <c r="L11975" s="10"/>
      <c r="M11975" s="10"/>
      <c r="N11975" s="10"/>
      <c r="O11975" s="10"/>
      <c r="P11975" s="10"/>
      <c r="Q11975" s="10"/>
      <c r="R11975" s="10"/>
      <c r="S11975" s="10"/>
      <c r="T11975" s="10"/>
      <c r="U11975" s="10"/>
      <c r="V11975" s="10"/>
      <c r="W11975" s="10"/>
      <c r="X11975" s="10"/>
      <c r="Y11975" s="10"/>
      <c r="Z11975" s="10"/>
    </row>
    <row r="11976" spans="1:26" ht="12.75">
      <c r="A11976" s="10"/>
      <c r="B11976" s="10"/>
      <c r="C11976" s="10"/>
      <c r="D11976" s="10"/>
      <c r="E11976" s="10"/>
      <c r="F11976" s="10"/>
      <c r="G11976" s="10"/>
      <c r="H11976" s="10"/>
      <c r="I11976" s="10"/>
      <c r="J11976" s="10"/>
      <c r="K11976" s="10"/>
      <c r="L11976" s="10"/>
      <c r="M11976" s="10"/>
      <c r="N11976" s="10"/>
      <c r="O11976" s="10"/>
      <c r="P11976" s="10"/>
      <c r="Q11976" s="10"/>
      <c r="R11976" s="10"/>
      <c r="S11976" s="10"/>
      <c r="T11976" s="10"/>
      <c r="U11976" s="10"/>
      <c r="V11976" s="10"/>
      <c r="W11976" s="10"/>
      <c r="X11976" s="10"/>
      <c r="Y11976" s="10"/>
      <c r="Z11976" s="10"/>
    </row>
    <row r="11977" spans="1:26" ht="12.75">
      <c r="A11977" s="10"/>
      <c r="B11977" s="10"/>
      <c r="C11977" s="10"/>
      <c r="D11977" s="10"/>
      <c r="E11977" s="10"/>
      <c r="F11977" s="10"/>
      <c r="G11977" s="10"/>
      <c r="H11977" s="10"/>
      <c r="I11977" s="10"/>
      <c r="J11977" s="10"/>
      <c r="K11977" s="10"/>
      <c r="L11977" s="10"/>
      <c r="M11977" s="10"/>
      <c r="N11977" s="10"/>
      <c r="O11977" s="10"/>
      <c r="P11977" s="10"/>
      <c r="Q11977" s="10"/>
      <c r="R11977" s="10"/>
      <c r="S11977" s="10"/>
      <c r="T11977" s="10"/>
      <c r="U11977" s="10"/>
      <c r="V11977" s="10"/>
      <c r="W11977" s="10"/>
      <c r="X11977" s="10"/>
      <c r="Y11977" s="10"/>
      <c r="Z11977" s="10"/>
    </row>
    <row r="11978" spans="1:26" ht="12.75">
      <c r="A11978" s="10"/>
      <c r="B11978" s="10"/>
      <c r="C11978" s="10"/>
      <c r="D11978" s="10"/>
      <c r="E11978" s="10"/>
      <c r="F11978" s="10"/>
      <c r="G11978" s="10"/>
      <c r="H11978" s="10"/>
      <c r="I11978" s="10"/>
      <c r="J11978" s="10"/>
      <c r="K11978" s="10"/>
      <c r="L11978" s="10"/>
      <c r="M11978" s="10"/>
      <c r="N11978" s="10"/>
      <c r="O11978" s="10"/>
      <c r="P11978" s="10"/>
      <c r="Q11978" s="10"/>
      <c r="R11978" s="10"/>
      <c r="S11978" s="10"/>
      <c r="T11978" s="10"/>
      <c r="U11978" s="10"/>
      <c r="V11978" s="10"/>
      <c r="W11978" s="10"/>
      <c r="X11978" s="10"/>
      <c r="Y11978" s="10"/>
      <c r="Z11978" s="10"/>
    </row>
    <row r="11979" spans="1:26" ht="12.75">
      <c r="A11979" s="10"/>
      <c r="B11979" s="10"/>
      <c r="C11979" s="10"/>
      <c r="D11979" s="10"/>
      <c r="E11979" s="10"/>
      <c r="F11979" s="10"/>
      <c r="G11979" s="10"/>
      <c r="H11979" s="10"/>
      <c r="I11979" s="10"/>
      <c r="J11979" s="10"/>
      <c r="K11979" s="10"/>
      <c r="L11979" s="10"/>
      <c r="M11979" s="10"/>
      <c r="N11979" s="10"/>
      <c r="O11979" s="10"/>
      <c r="P11979" s="10"/>
      <c r="Q11979" s="10"/>
      <c r="R11979" s="10"/>
      <c r="S11979" s="10"/>
      <c r="T11979" s="10"/>
      <c r="U11979" s="10"/>
      <c r="V11979" s="10"/>
      <c r="W11979" s="10"/>
      <c r="X11979" s="10"/>
      <c r="Y11979" s="10"/>
      <c r="Z11979" s="10"/>
    </row>
    <row r="11980" spans="1:26" ht="12.75">
      <c r="A11980" s="10"/>
      <c r="B11980" s="10"/>
      <c r="C11980" s="10"/>
      <c r="D11980" s="10"/>
      <c r="E11980" s="10"/>
      <c r="F11980" s="10"/>
      <c r="G11980" s="10"/>
      <c r="H11980" s="10"/>
      <c r="I11980" s="10"/>
      <c r="J11980" s="10"/>
      <c r="K11980" s="10"/>
      <c r="L11980" s="10"/>
      <c r="M11980" s="10"/>
      <c r="N11980" s="10"/>
      <c r="O11980" s="10"/>
      <c r="P11980" s="10"/>
      <c r="Q11980" s="10"/>
      <c r="R11980" s="10"/>
      <c r="S11980" s="10"/>
      <c r="T11980" s="10"/>
      <c r="U11980" s="10"/>
      <c r="V11980" s="10"/>
      <c r="W11980" s="10"/>
      <c r="X11980" s="10"/>
      <c r="Y11980" s="10"/>
      <c r="Z11980" s="10"/>
    </row>
    <row r="11981" spans="1:26" ht="12.75">
      <c r="A11981" s="10"/>
      <c r="B11981" s="10"/>
      <c r="C11981" s="10"/>
      <c r="D11981" s="10"/>
      <c r="E11981" s="10"/>
      <c r="F11981" s="10"/>
      <c r="G11981" s="10"/>
      <c r="H11981" s="10"/>
      <c r="I11981" s="10"/>
      <c r="J11981" s="10"/>
      <c r="K11981" s="10"/>
      <c r="L11981" s="10"/>
      <c r="M11981" s="10"/>
      <c r="N11981" s="10"/>
      <c r="O11981" s="10"/>
      <c r="P11981" s="10"/>
      <c r="Q11981" s="10"/>
      <c r="R11981" s="10"/>
      <c r="S11981" s="10"/>
      <c r="T11981" s="10"/>
      <c r="U11981" s="10"/>
      <c r="V11981" s="10"/>
      <c r="W11981" s="10"/>
      <c r="X11981" s="10"/>
      <c r="Y11981" s="10"/>
      <c r="Z11981" s="10"/>
    </row>
    <row r="11982" spans="1:26" ht="12.75">
      <c r="A11982" s="10"/>
      <c r="B11982" s="10"/>
      <c r="C11982" s="10"/>
      <c r="D11982" s="10"/>
      <c r="E11982" s="10"/>
      <c r="F11982" s="10"/>
      <c r="G11982" s="10"/>
      <c r="H11982" s="10"/>
      <c r="I11982" s="10"/>
      <c r="J11982" s="10"/>
      <c r="K11982" s="10"/>
      <c r="L11982" s="10"/>
      <c r="M11982" s="10"/>
      <c r="N11982" s="10"/>
      <c r="O11982" s="10"/>
      <c r="P11982" s="10"/>
      <c r="Q11982" s="10"/>
      <c r="R11982" s="10"/>
      <c r="S11982" s="10"/>
      <c r="T11982" s="10"/>
      <c r="U11982" s="10"/>
      <c r="V11982" s="10"/>
      <c r="W11982" s="10"/>
      <c r="X11982" s="10"/>
      <c r="Y11982" s="10"/>
      <c r="Z11982" s="10"/>
    </row>
    <row r="11983" spans="1:26" ht="12.75">
      <c r="A11983" s="10"/>
      <c r="B11983" s="10"/>
      <c r="C11983" s="10"/>
      <c r="D11983" s="10"/>
      <c r="E11983" s="10"/>
      <c r="F11983" s="10"/>
      <c r="G11983" s="10"/>
      <c r="H11983" s="10"/>
      <c r="I11983" s="10"/>
      <c r="J11983" s="10"/>
      <c r="K11983" s="10"/>
      <c r="L11983" s="10"/>
      <c r="M11983" s="10"/>
      <c r="N11983" s="10"/>
      <c r="O11983" s="10"/>
      <c r="P11983" s="10"/>
      <c r="Q11983" s="10"/>
      <c r="R11983" s="10"/>
      <c r="S11983" s="10"/>
      <c r="T11983" s="10"/>
      <c r="U11983" s="10"/>
      <c r="V11983" s="10"/>
      <c r="W11983" s="10"/>
      <c r="X11983" s="10"/>
      <c r="Y11983" s="10"/>
      <c r="Z11983" s="10"/>
    </row>
    <row r="11984" spans="1:26" ht="12.75">
      <c r="A11984" s="10"/>
      <c r="B11984" s="10"/>
      <c r="C11984" s="10"/>
      <c r="D11984" s="10"/>
      <c r="E11984" s="10"/>
      <c r="F11984" s="10"/>
      <c r="G11984" s="10"/>
      <c r="H11984" s="10"/>
      <c r="I11984" s="10"/>
      <c r="J11984" s="10"/>
      <c r="K11984" s="10"/>
      <c r="L11984" s="10"/>
      <c r="M11984" s="10"/>
      <c r="N11984" s="10"/>
      <c r="O11984" s="10"/>
      <c r="P11984" s="10"/>
      <c r="Q11984" s="10"/>
      <c r="R11984" s="10"/>
      <c r="S11984" s="10"/>
      <c r="T11984" s="10"/>
      <c r="U11984" s="10"/>
      <c r="V11984" s="10"/>
      <c r="W11984" s="10"/>
      <c r="X11984" s="10"/>
      <c r="Y11984" s="10"/>
      <c r="Z11984" s="10"/>
    </row>
    <row r="11985" spans="1:26" ht="12.75">
      <c r="A11985" s="10"/>
      <c r="B11985" s="10"/>
      <c r="C11985" s="10"/>
      <c r="D11985" s="10"/>
      <c r="E11985" s="10"/>
      <c r="F11985" s="10"/>
      <c r="G11985" s="10"/>
      <c r="H11985" s="10"/>
      <c r="I11985" s="10"/>
      <c r="J11985" s="10"/>
      <c r="K11985" s="10"/>
      <c r="L11985" s="10"/>
      <c r="M11985" s="10"/>
      <c r="N11985" s="10"/>
      <c r="O11985" s="10"/>
      <c r="P11985" s="10"/>
      <c r="Q11985" s="10"/>
      <c r="R11985" s="10"/>
      <c r="S11985" s="10"/>
      <c r="T11985" s="10"/>
      <c r="U11985" s="10"/>
      <c r="V11985" s="10"/>
      <c r="W11985" s="10"/>
      <c r="X11985" s="10"/>
      <c r="Y11985" s="10"/>
      <c r="Z11985" s="10"/>
    </row>
    <row r="11986" spans="1:26" ht="12.75">
      <c r="A11986" s="10"/>
      <c r="B11986" s="10"/>
      <c r="C11986" s="10"/>
      <c r="D11986" s="10"/>
      <c r="E11986" s="10"/>
      <c r="F11986" s="10"/>
      <c r="G11986" s="10"/>
      <c r="H11986" s="10"/>
      <c r="I11986" s="10"/>
      <c r="J11986" s="10"/>
      <c r="K11986" s="10"/>
      <c r="L11986" s="10"/>
      <c r="M11986" s="10"/>
      <c r="N11986" s="10"/>
      <c r="O11986" s="10"/>
      <c r="P11986" s="10"/>
      <c r="Q11986" s="10"/>
      <c r="R11986" s="10"/>
      <c r="S11986" s="10"/>
      <c r="T11986" s="10"/>
      <c r="U11986" s="10"/>
      <c r="V11986" s="10"/>
      <c r="W11986" s="10"/>
      <c r="X11986" s="10"/>
      <c r="Y11986" s="10"/>
      <c r="Z11986" s="10"/>
    </row>
    <row r="11987" spans="1:26" ht="12.75">
      <c r="A11987" s="10"/>
      <c r="B11987" s="10"/>
      <c r="C11987" s="10"/>
      <c r="D11987" s="10"/>
      <c r="E11987" s="10"/>
      <c r="F11987" s="10"/>
      <c r="G11987" s="10"/>
      <c r="H11987" s="10"/>
      <c r="I11987" s="10"/>
      <c r="J11987" s="10"/>
      <c r="K11987" s="10"/>
      <c r="L11987" s="10"/>
      <c r="M11987" s="10"/>
      <c r="N11987" s="10"/>
      <c r="O11987" s="10"/>
      <c r="P11987" s="10"/>
      <c r="Q11987" s="10"/>
      <c r="R11987" s="10"/>
      <c r="S11987" s="10"/>
      <c r="T11987" s="10"/>
      <c r="U11987" s="10"/>
      <c r="V11987" s="10"/>
      <c r="W11987" s="10"/>
      <c r="X11987" s="10"/>
      <c r="Y11987" s="10"/>
      <c r="Z11987" s="10"/>
    </row>
    <row r="11988" spans="1:26" ht="12.75">
      <c r="A11988" s="10"/>
      <c r="B11988" s="10"/>
      <c r="C11988" s="10"/>
      <c r="D11988" s="10"/>
      <c r="E11988" s="10"/>
      <c r="F11988" s="10"/>
      <c r="G11988" s="10"/>
      <c r="H11988" s="10"/>
      <c r="I11988" s="10"/>
      <c r="J11988" s="10"/>
      <c r="K11988" s="10"/>
      <c r="L11988" s="10"/>
      <c r="M11988" s="10"/>
      <c r="N11988" s="10"/>
      <c r="O11988" s="10"/>
      <c r="P11988" s="10"/>
      <c r="Q11988" s="10"/>
      <c r="R11988" s="10"/>
      <c r="S11988" s="10"/>
      <c r="T11988" s="10"/>
      <c r="U11988" s="10"/>
      <c r="V11988" s="10"/>
      <c r="W11988" s="10"/>
      <c r="X11988" s="10"/>
      <c r="Y11988" s="10"/>
      <c r="Z11988" s="10"/>
    </row>
    <row r="11989" spans="1:26" ht="12.75">
      <c r="A11989" s="10"/>
      <c r="B11989" s="10"/>
      <c r="C11989" s="10"/>
      <c r="D11989" s="10"/>
      <c r="E11989" s="10"/>
      <c r="F11989" s="10"/>
      <c r="G11989" s="10"/>
      <c r="H11989" s="10"/>
      <c r="I11989" s="10"/>
      <c r="J11989" s="10"/>
      <c r="K11989" s="10"/>
      <c r="L11989" s="10"/>
      <c r="M11989" s="10"/>
      <c r="N11989" s="10"/>
      <c r="O11989" s="10"/>
      <c r="P11989" s="10"/>
      <c r="Q11989" s="10"/>
      <c r="R11989" s="10"/>
      <c r="S11989" s="10"/>
      <c r="T11989" s="10"/>
      <c r="U11989" s="10"/>
      <c r="V11989" s="10"/>
      <c r="W11989" s="10"/>
      <c r="X11989" s="10"/>
      <c r="Y11989" s="10"/>
      <c r="Z11989" s="10"/>
    </row>
    <row r="11990" spans="1:26" ht="12.75">
      <c r="A11990" s="10"/>
      <c r="B11990" s="10"/>
      <c r="C11990" s="10"/>
      <c r="D11990" s="10"/>
      <c r="E11990" s="10"/>
      <c r="F11990" s="10"/>
      <c r="G11990" s="10"/>
      <c r="H11990" s="10"/>
      <c r="I11990" s="10"/>
      <c r="J11990" s="10"/>
      <c r="K11990" s="10"/>
      <c r="L11990" s="10"/>
      <c r="M11990" s="10"/>
      <c r="N11990" s="10"/>
      <c r="O11990" s="10"/>
      <c r="P11990" s="10"/>
      <c r="Q11990" s="10"/>
      <c r="R11990" s="10"/>
      <c r="S11990" s="10"/>
      <c r="T11990" s="10"/>
      <c r="U11990" s="10"/>
      <c r="V11990" s="10"/>
      <c r="W11990" s="10"/>
      <c r="X11990" s="10"/>
      <c r="Y11990" s="10"/>
      <c r="Z11990" s="10"/>
    </row>
    <row r="11991" spans="1:26" ht="12.75">
      <c r="A11991" s="10"/>
      <c r="B11991" s="10"/>
      <c r="C11991" s="10"/>
      <c r="D11991" s="10"/>
      <c r="E11991" s="10"/>
      <c r="F11991" s="10"/>
      <c r="G11991" s="10"/>
      <c r="H11991" s="10"/>
      <c r="I11991" s="10"/>
      <c r="J11991" s="10"/>
      <c r="K11991" s="10"/>
      <c r="L11991" s="10"/>
      <c r="M11991" s="10"/>
      <c r="N11991" s="10"/>
      <c r="O11991" s="10"/>
      <c r="P11991" s="10"/>
      <c r="Q11991" s="10"/>
      <c r="R11991" s="10"/>
      <c r="S11991" s="10"/>
      <c r="T11991" s="10"/>
      <c r="U11991" s="10"/>
      <c r="V11991" s="10"/>
      <c r="W11991" s="10"/>
      <c r="X11991" s="10"/>
      <c r="Y11991" s="10"/>
      <c r="Z11991" s="10"/>
    </row>
    <row r="11992" spans="1:26" ht="12.75">
      <c r="A11992" s="10"/>
      <c r="B11992" s="10"/>
      <c r="C11992" s="10"/>
      <c r="D11992" s="10"/>
      <c r="E11992" s="10"/>
      <c r="F11992" s="10"/>
      <c r="G11992" s="10"/>
      <c r="H11992" s="10"/>
      <c r="I11992" s="10"/>
      <c r="J11992" s="10"/>
      <c r="K11992" s="10"/>
      <c r="L11992" s="10"/>
      <c r="M11992" s="10"/>
      <c r="N11992" s="10"/>
      <c r="O11992" s="10"/>
      <c r="P11992" s="10"/>
      <c r="Q11992" s="10"/>
      <c r="R11992" s="10"/>
      <c r="S11992" s="10"/>
      <c r="T11992" s="10"/>
      <c r="U11992" s="10"/>
      <c r="V11992" s="10"/>
      <c r="W11992" s="10"/>
      <c r="X11992" s="10"/>
      <c r="Y11992" s="10"/>
      <c r="Z11992" s="10"/>
    </row>
    <row r="11993" spans="1:26" ht="12.75">
      <c r="A11993" s="10"/>
      <c r="B11993" s="10"/>
      <c r="C11993" s="10"/>
      <c r="D11993" s="10"/>
      <c r="E11993" s="10"/>
      <c r="F11993" s="10"/>
      <c r="G11993" s="10"/>
      <c r="H11993" s="10"/>
      <c r="I11993" s="10"/>
      <c r="J11993" s="10"/>
      <c r="K11993" s="10"/>
      <c r="L11993" s="10"/>
      <c r="M11993" s="10"/>
      <c r="N11993" s="10"/>
      <c r="O11993" s="10"/>
      <c r="P11993" s="10"/>
      <c r="Q11993" s="10"/>
      <c r="R11993" s="10"/>
      <c r="S11993" s="10"/>
      <c r="T11993" s="10"/>
      <c r="U11993" s="10"/>
      <c r="V11993" s="10"/>
      <c r="W11993" s="10"/>
      <c r="X11993" s="10"/>
      <c r="Y11993" s="10"/>
      <c r="Z11993" s="10"/>
    </row>
    <row r="11994" spans="1:26" ht="12.75">
      <c r="A11994" s="10"/>
      <c r="B11994" s="10"/>
      <c r="C11994" s="10"/>
      <c r="D11994" s="10"/>
      <c r="E11994" s="10"/>
      <c r="F11994" s="10"/>
      <c r="G11994" s="10"/>
      <c r="H11994" s="10"/>
      <c r="I11994" s="10"/>
      <c r="J11994" s="10"/>
      <c r="K11994" s="10"/>
      <c r="L11994" s="10"/>
      <c r="M11994" s="10"/>
      <c r="N11994" s="10"/>
      <c r="O11994" s="10"/>
      <c r="P11994" s="10"/>
      <c r="Q11994" s="10"/>
      <c r="R11994" s="10"/>
      <c r="S11994" s="10"/>
      <c r="T11994" s="10"/>
      <c r="U11994" s="10"/>
      <c r="V11994" s="10"/>
      <c r="W11994" s="10"/>
      <c r="X11994" s="10"/>
      <c r="Y11994" s="10"/>
      <c r="Z11994" s="10"/>
    </row>
    <row r="11995" spans="1:26" ht="12.75">
      <c r="A11995" s="10"/>
      <c r="B11995" s="10"/>
      <c r="C11995" s="10"/>
      <c r="D11995" s="10"/>
      <c r="E11995" s="10"/>
      <c r="F11995" s="10"/>
      <c r="G11995" s="10"/>
      <c r="H11995" s="10"/>
      <c r="I11995" s="10"/>
      <c r="J11995" s="10"/>
      <c r="K11995" s="10"/>
      <c r="L11995" s="10"/>
      <c r="M11995" s="10"/>
      <c r="N11995" s="10"/>
      <c r="O11995" s="10"/>
      <c r="P11995" s="10"/>
      <c r="Q11995" s="10"/>
      <c r="R11995" s="10"/>
      <c r="S11995" s="10"/>
      <c r="T11995" s="10"/>
      <c r="U11995" s="10"/>
      <c r="V11995" s="10"/>
      <c r="W11995" s="10"/>
      <c r="X11995" s="10"/>
      <c r="Y11995" s="10"/>
      <c r="Z11995" s="10"/>
    </row>
    <row r="11996" spans="1:26" ht="12.75">
      <c r="A11996" s="10"/>
      <c r="B11996" s="10"/>
      <c r="C11996" s="10"/>
      <c r="D11996" s="10"/>
      <c r="E11996" s="10"/>
      <c r="F11996" s="10"/>
      <c r="G11996" s="10"/>
      <c r="H11996" s="10"/>
      <c r="I11996" s="10"/>
      <c r="J11996" s="10"/>
      <c r="K11996" s="10"/>
      <c r="L11996" s="10"/>
      <c r="M11996" s="10"/>
      <c r="N11996" s="10"/>
      <c r="O11996" s="10"/>
      <c r="P11996" s="10"/>
      <c r="Q11996" s="10"/>
      <c r="R11996" s="10"/>
      <c r="S11996" s="10"/>
      <c r="T11996" s="10"/>
      <c r="U11996" s="10"/>
      <c r="V11996" s="10"/>
      <c r="W11996" s="10"/>
      <c r="X11996" s="10"/>
      <c r="Y11996" s="10"/>
      <c r="Z11996" s="10"/>
    </row>
    <row r="11997" spans="1:26" ht="12.75">
      <c r="A11997" s="10"/>
      <c r="B11997" s="10"/>
      <c r="C11997" s="10"/>
      <c r="D11997" s="10"/>
      <c r="E11997" s="10"/>
      <c r="F11997" s="10"/>
      <c r="G11997" s="10"/>
      <c r="H11997" s="10"/>
      <c r="I11997" s="10"/>
      <c r="J11997" s="10"/>
      <c r="K11997" s="10"/>
      <c r="L11997" s="10"/>
      <c r="M11997" s="10"/>
      <c r="N11997" s="10"/>
      <c r="O11997" s="10"/>
      <c r="P11997" s="10"/>
      <c r="Q11997" s="10"/>
      <c r="R11997" s="10"/>
      <c r="S11997" s="10"/>
      <c r="T11997" s="10"/>
      <c r="U11997" s="10"/>
      <c r="V11997" s="10"/>
      <c r="W11997" s="10"/>
      <c r="X11997" s="10"/>
      <c r="Y11997" s="10"/>
      <c r="Z11997" s="10"/>
    </row>
    <row r="11998" spans="1:26" ht="12.75">
      <c r="A11998" s="10"/>
      <c r="B11998" s="10"/>
      <c r="C11998" s="10"/>
      <c r="D11998" s="10"/>
      <c r="E11998" s="10"/>
      <c r="F11998" s="10"/>
      <c r="G11998" s="10"/>
      <c r="H11998" s="10"/>
      <c r="I11998" s="10"/>
      <c r="J11998" s="10"/>
      <c r="K11998" s="10"/>
      <c r="L11998" s="10"/>
      <c r="M11998" s="10"/>
      <c r="N11998" s="10"/>
      <c r="O11998" s="10"/>
      <c r="P11998" s="10"/>
      <c r="Q11998" s="10"/>
      <c r="R11998" s="10"/>
      <c r="S11998" s="10"/>
      <c r="T11998" s="10"/>
      <c r="U11998" s="10"/>
      <c r="V11998" s="10"/>
      <c r="W11998" s="10"/>
      <c r="X11998" s="10"/>
      <c r="Y11998" s="10"/>
      <c r="Z11998" s="10"/>
    </row>
    <row r="11999" spans="1:26" ht="12.75">
      <c r="A11999" s="10"/>
      <c r="B11999" s="10"/>
      <c r="C11999" s="10"/>
      <c r="D11999" s="10"/>
      <c r="E11999" s="10"/>
      <c r="F11999" s="10"/>
      <c r="G11999" s="10"/>
      <c r="H11999" s="10"/>
      <c r="I11999" s="10"/>
      <c r="J11999" s="10"/>
      <c r="K11999" s="10"/>
      <c r="L11999" s="10"/>
      <c r="M11999" s="10"/>
      <c r="N11999" s="10"/>
      <c r="O11999" s="10"/>
      <c r="P11999" s="10"/>
      <c r="Q11999" s="10"/>
      <c r="R11999" s="10"/>
      <c r="S11999" s="10"/>
      <c r="T11999" s="10"/>
      <c r="U11999" s="10"/>
      <c r="V11999" s="10"/>
      <c r="W11999" s="10"/>
      <c r="X11999" s="10"/>
      <c r="Y11999" s="10"/>
      <c r="Z11999" s="10"/>
    </row>
    <row r="12000" spans="1:26" ht="12.75">
      <c r="A12000" s="10"/>
      <c r="B12000" s="10"/>
      <c r="C12000" s="10"/>
      <c r="D12000" s="10"/>
      <c r="E12000" s="10"/>
      <c r="F12000" s="10"/>
      <c r="G12000" s="10"/>
      <c r="H12000" s="10"/>
      <c r="I12000" s="10"/>
      <c r="J12000" s="10"/>
      <c r="K12000" s="10"/>
      <c r="L12000" s="10"/>
      <c r="M12000" s="10"/>
      <c r="N12000" s="10"/>
      <c r="O12000" s="10"/>
      <c r="P12000" s="10"/>
      <c r="Q12000" s="10"/>
      <c r="R12000" s="10"/>
      <c r="S12000" s="10"/>
      <c r="T12000" s="10"/>
      <c r="U12000" s="10"/>
      <c r="V12000" s="10"/>
      <c r="W12000" s="10"/>
      <c r="X12000" s="10"/>
      <c r="Y12000" s="10"/>
      <c r="Z12000" s="10"/>
    </row>
    <row r="12001" spans="1:26" ht="12.75">
      <c r="A12001" s="10"/>
      <c r="B12001" s="10"/>
      <c r="C12001" s="10"/>
      <c r="D12001" s="10"/>
      <c r="E12001" s="10"/>
      <c r="F12001" s="10"/>
      <c r="G12001" s="10"/>
      <c r="H12001" s="10"/>
      <c r="I12001" s="10"/>
      <c r="J12001" s="10"/>
      <c r="K12001" s="10"/>
      <c r="L12001" s="10"/>
      <c r="M12001" s="10"/>
      <c r="N12001" s="10"/>
      <c r="O12001" s="10"/>
      <c r="P12001" s="10"/>
      <c r="Q12001" s="10"/>
      <c r="R12001" s="10"/>
      <c r="S12001" s="10"/>
      <c r="T12001" s="10"/>
      <c r="U12001" s="10"/>
      <c r="V12001" s="10"/>
      <c r="W12001" s="10"/>
      <c r="X12001" s="10"/>
      <c r="Y12001" s="10"/>
      <c r="Z12001" s="10"/>
    </row>
    <row r="12002" spans="1:26" ht="12.75">
      <c r="A12002" s="10"/>
      <c r="B12002" s="10"/>
      <c r="C12002" s="10"/>
      <c r="D12002" s="10"/>
      <c r="E12002" s="10"/>
      <c r="F12002" s="10"/>
      <c r="G12002" s="10"/>
      <c r="H12002" s="10"/>
      <c r="I12002" s="10"/>
      <c r="J12002" s="10"/>
      <c r="K12002" s="10"/>
      <c r="L12002" s="10"/>
      <c r="M12002" s="10"/>
      <c r="N12002" s="10"/>
      <c r="O12002" s="10"/>
      <c r="P12002" s="10"/>
      <c r="Q12002" s="10"/>
      <c r="R12002" s="10"/>
      <c r="S12002" s="10"/>
      <c r="T12002" s="10"/>
      <c r="U12002" s="10"/>
      <c r="V12002" s="10"/>
      <c r="W12002" s="10"/>
      <c r="X12002" s="10"/>
      <c r="Y12002" s="10"/>
      <c r="Z12002" s="10"/>
    </row>
    <row r="12003" spans="1:26" ht="12.75">
      <c r="A12003" s="10"/>
      <c r="B12003" s="10"/>
      <c r="C12003" s="10"/>
      <c r="D12003" s="10"/>
      <c r="E12003" s="10"/>
      <c r="F12003" s="10"/>
      <c r="G12003" s="10"/>
      <c r="H12003" s="10"/>
      <c r="I12003" s="10"/>
      <c r="J12003" s="10"/>
      <c r="K12003" s="10"/>
      <c r="L12003" s="10"/>
      <c r="M12003" s="10"/>
      <c r="N12003" s="10"/>
      <c r="O12003" s="10"/>
      <c r="P12003" s="10"/>
      <c r="Q12003" s="10"/>
      <c r="R12003" s="10"/>
      <c r="S12003" s="10"/>
      <c r="T12003" s="10"/>
      <c r="U12003" s="10"/>
      <c r="V12003" s="10"/>
      <c r="W12003" s="10"/>
      <c r="X12003" s="10"/>
      <c r="Y12003" s="10"/>
      <c r="Z12003" s="10"/>
    </row>
    <row r="12004" spans="1:26" ht="12.75">
      <c r="A12004" s="10"/>
      <c r="B12004" s="10"/>
      <c r="C12004" s="10"/>
      <c r="D12004" s="10"/>
      <c r="E12004" s="10"/>
      <c r="F12004" s="10"/>
      <c r="G12004" s="10"/>
      <c r="H12004" s="10"/>
      <c r="I12004" s="10"/>
      <c r="J12004" s="10"/>
      <c r="K12004" s="10"/>
      <c r="L12004" s="10"/>
      <c r="M12004" s="10"/>
      <c r="N12004" s="10"/>
      <c r="O12004" s="10"/>
      <c r="P12004" s="10"/>
      <c r="Q12004" s="10"/>
      <c r="R12004" s="10"/>
      <c r="S12004" s="10"/>
      <c r="T12004" s="10"/>
      <c r="U12004" s="10"/>
      <c r="V12004" s="10"/>
      <c r="W12004" s="10"/>
      <c r="X12004" s="10"/>
      <c r="Y12004" s="10"/>
      <c r="Z12004" s="10"/>
    </row>
    <row r="12005" spans="1:26" ht="12.75">
      <c r="A12005" s="10"/>
      <c r="B12005" s="10"/>
      <c r="C12005" s="10"/>
      <c r="D12005" s="10"/>
      <c r="E12005" s="10"/>
      <c r="F12005" s="10"/>
      <c r="G12005" s="10"/>
      <c r="H12005" s="10"/>
      <c r="I12005" s="10"/>
      <c r="J12005" s="10"/>
      <c r="K12005" s="10"/>
      <c r="L12005" s="10"/>
      <c r="M12005" s="10"/>
      <c r="N12005" s="10"/>
      <c r="O12005" s="10"/>
      <c r="P12005" s="10"/>
      <c r="Q12005" s="10"/>
      <c r="R12005" s="10"/>
      <c r="S12005" s="10"/>
      <c r="T12005" s="10"/>
      <c r="U12005" s="10"/>
      <c r="V12005" s="10"/>
      <c r="W12005" s="10"/>
      <c r="X12005" s="10"/>
      <c r="Y12005" s="10"/>
      <c r="Z12005" s="10"/>
    </row>
    <row r="12006" spans="1:26" ht="12.75">
      <c r="A12006" s="10"/>
      <c r="B12006" s="10"/>
      <c r="C12006" s="10"/>
      <c r="D12006" s="10"/>
      <c r="E12006" s="10"/>
      <c r="F12006" s="10"/>
      <c r="G12006" s="10"/>
      <c r="H12006" s="10"/>
      <c r="I12006" s="10"/>
      <c r="J12006" s="10"/>
      <c r="K12006" s="10"/>
      <c r="L12006" s="10"/>
      <c r="M12006" s="10"/>
      <c r="N12006" s="10"/>
      <c r="O12006" s="10"/>
      <c r="P12006" s="10"/>
      <c r="Q12006" s="10"/>
      <c r="R12006" s="10"/>
      <c r="S12006" s="10"/>
      <c r="T12006" s="10"/>
      <c r="U12006" s="10"/>
      <c r="V12006" s="10"/>
      <c r="W12006" s="10"/>
      <c r="X12006" s="10"/>
      <c r="Y12006" s="10"/>
      <c r="Z12006" s="10"/>
    </row>
    <row r="12007" spans="1:26" ht="12.75">
      <c r="A12007" s="10"/>
      <c r="B12007" s="10"/>
      <c r="C12007" s="10"/>
      <c r="D12007" s="10"/>
      <c r="E12007" s="10"/>
      <c r="F12007" s="10"/>
      <c r="G12007" s="10"/>
      <c r="H12007" s="10"/>
      <c r="I12007" s="10"/>
      <c r="J12007" s="10"/>
      <c r="K12007" s="10"/>
      <c r="L12007" s="10"/>
      <c r="M12007" s="10"/>
      <c r="N12007" s="10"/>
      <c r="O12007" s="10"/>
      <c r="P12007" s="10"/>
      <c r="Q12007" s="10"/>
      <c r="R12007" s="10"/>
      <c r="S12007" s="10"/>
      <c r="T12007" s="10"/>
      <c r="U12007" s="10"/>
      <c r="V12007" s="10"/>
      <c r="W12007" s="10"/>
      <c r="X12007" s="10"/>
      <c r="Y12007" s="10"/>
      <c r="Z12007" s="10"/>
    </row>
    <row r="12008" spans="1:26" ht="12.75">
      <c r="A12008" s="10"/>
      <c r="B12008" s="10"/>
      <c r="C12008" s="10"/>
      <c r="D12008" s="10"/>
      <c r="E12008" s="10"/>
      <c r="F12008" s="10"/>
      <c r="G12008" s="10"/>
      <c r="H12008" s="10"/>
      <c r="I12008" s="10"/>
      <c r="J12008" s="10"/>
      <c r="K12008" s="10"/>
      <c r="L12008" s="10"/>
      <c r="M12008" s="10"/>
      <c r="N12008" s="10"/>
      <c r="O12008" s="10"/>
      <c r="P12008" s="10"/>
      <c r="Q12008" s="10"/>
      <c r="R12008" s="10"/>
      <c r="S12008" s="10"/>
      <c r="T12008" s="10"/>
      <c r="U12008" s="10"/>
      <c r="V12008" s="10"/>
      <c r="W12008" s="10"/>
      <c r="X12008" s="10"/>
      <c r="Y12008" s="10"/>
      <c r="Z12008" s="10"/>
    </row>
    <row r="12009" spans="1:26" ht="12.75">
      <c r="A12009" s="10"/>
      <c r="B12009" s="10"/>
      <c r="C12009" s="10"/>
      <c r="D12009" s="10"/>
      <c r="E12009" s="10"/>
      <c r="F12009" s="10"/>
      <c r="G12009" s="10"/>
      <c r="H12009" s="10"/>
      <c r="I12009" s="10"/>
      <c r="J12009" s="10"/>
      <c r="K12009" s="10"/>
      <c r="L12009" s="10"/>
      <c r="M12009" s="10"/>
      <c r="N12009" s="10"/>
      <c r="O12009" s="10"/>
      <c r="P12009" s="10"/>
      <c r="Q12009" s="10"/>
      <c r="R12009" s="10"/>
      <c r="S12009" s="10"/>
      <c r="T12009" s="10"/>
      <c r="U12009" s="10"/>
      <c r="V12009" s="10"/>
      <c r="W12009" s="10"/>
      <c r="X12009" s="10"/>
      <c r="Y12009" s="10"/>
      <c r="Z12009" s="10"/>
    </row>
    <row r="12010" spans="1:26" ht="12.75">
      <c r="A12010" s="10"/>
      <c r="B12010" s="10"/>
      <c r="C12010" s="10"/>
      <c r="D12010" s="10"/>
      <c r="E12010" s="10"/>
      <c r="F12010" s="10"/>
      <c r="G12010" s="10"/>
      <c r="H12010" s="10"/>
      <c r="I12010" s="10"/>
      <c r="J12010" s="10"/>
      <c r="K12010" s="10"/>
      <c r="L12010" s="10"/>
      <c r="M12010" s="10"/>
      <c r="N12010" s="10"/>
      <c r="O12010" s="10"/>
      <c r="P12010" s="10"/>
      <c r="Q12010" s="10"/>
      <c r="R12010" s="10"/>
      <c r="S12010" s="10"/>
      <c r="T12010" s="10"/>
      <c r="U12010" s="10"/>
      <c r="V12010" s="10"/>
      <c r="W12010" s="10"/>
      <c r="X12010" s="10"/>
      <c r="Y12010" s="10"/>
      <c r="Z12010" s="10"/>
    </row>
    <row r="12011" spans="1:26" ht="12.75">
      <c r="A12011" s="10"/>
      <c r="B12011" s="10"/>
      <c r="C12011" s="10"/>
      <c r="D12011" s="10"/>
      <c r="E12011" s="10"/>
      <c r="F12011" s="10"/>
      <c r="G12011" s="10"/>
      <c r="H12011" s="10"/>
      <c r="I12011" s="10"/>
      <c r="J12011" s="10"/>
      <c r="K12011" s="10"/>
      <c r="L12011" s="10"/>
      <c r="M12011" s="10"/>
      <c r="N12011" s="10"/>
      <c r="O12011" s="10"/>
      <c r="P12011" s="10"/>
      <c r="Q12011" s="10"/>
      <c r="R12011" s="10"/>
      <c r="S12011" s="10"/>
      <c r="T12011" s="10"/>
      <c r="U12011" s="10"/>
      <c r="V12011" s="10"/>
      <c r="W12011" s="10"/>
      <c r="X12011" s="10"/>
      <c r="Y12011" s="10"/>
      <c r="Z12011" s="10"/>
    </row>
    <row r="12012" spans="1:26" ht="12.75">
      <c r="A12012" s="10"/>
      <c r="B12012" s="10"/>
      <c r="C12012" s="10"/>
      <c r="D12012" s="10"/>
      <c r="E12012" s="10"/>
      <c r="F12012" s="10"/>
      <c r="G12012" s="10"/>
      <c r="H12012" s="10"/>
      <c r="I12012" s="10"/>
      <c r="J12012" s="10"/>
      <c r="K12012" s="10"/>
      <c r="L12012" s="10"/>
      <c r="M12012" s="10"/>
      <c r="N12012" s="10"/>
      <c r="O12012" s="10"/>
      <c r="P12012" s="10"/>
      <c r="Q12012" s="10"/>
      <c r="R12012" s="10"/>
      <c r="S12012" s="10"/>
      <c r="T12012" s="10"/>
      <c r="U12012" s="10"/>
      <c r="V12012" s="10"/>
      <c r="W12012" s="10"/>
      <c r="X12012" s="10"/>
      <c r="Y12012" s="10"/>
      <c r="Z12012" s="10"/>
    </row>
    <row r="12013" spans="1:26" ht="12.75">
      <c r="A12013" s="10"/>
      <c r="B12013" s="10"/>
      <c r="C12013" s="10"/>
      <c r="D12013" s="10"/>
      <c r="E12013" s="10"/>
      <c r="F12013" s="10"/>
      <c r="G12013" s="10"/>
      <c r="H12013" s="10"/>
      <c r="I12013" s="10"/>
      <c r="J12013" s="10"/>
      <c r="K12013" s="10"/>
      <c r="L12013" s="10"/>
      <c r="M12013" s="10"/>
      <c r="N12013" s="10"/>
      <c r="O12013" s="10"/>
      <c r="P12013" s="10"/>
      <c r="Q12013" s="10"/>
      <c r="R12013" s="10"/>
      <c r="S12013" s="10"/>
      <c r="T12013" s="10"/>
      <c r="U12013" s="10"/>
      <c r="V12013" s="10"/>
      <c r="W12013" s="10"/>
      <c r="X12013" s="10"/>
      <c r="Y12013" s="10"/>
      <c r="Z12013" s="10"/>
    </row>
    <row r="12014" spans="1:26" ht="12.75">
      <c r="A12014" s="10"/>
      <c r="B12014" s="10"/>
      <c r="C12014" s="10"/>
      <c r="D12014" s="10"/>
      <c r="E12014" s="10"/>
      <c r="F12014" s="10"/>
      <c r="G12014" s="10"/>
      <c r="H12014" s="10"/>
      <c r="I12014" s="10"/>
      <c r="J12014" s="10"/>
      <c r="K12014" s="10"/>
      <c r="L12014" s="10"/>
      <c r="M12014" s="10"/>
      <c r="N12014" s="10"/>
      <c r="O12014" s="10"/>
      <c r="P12014" s="10"/>
      <c r="Q12014" s="10"/>
      <c r="R12014" s="10"/>
      <c r="S12014" s="10"/>
      <c r="T12014" s="10"/>
      <c r="U12014" s="10"/>
      <c r="V12014" s="10"/>
      <c r="W12014" s="10"/>
      <c r="X12014" s="10"/>
      <c r="Y12014" s="10"/>
      <c r="Z12014" s="10"/>
    </row>
    <row r="12015" spans="1:26" ht="12.75">
      <c r="A12015" s="10"/>
      <c r="B12015" s="10"/>
      <c r="C12015" s="10"/>
      <c r="D12015" s="10"/>
      <c r="E12015" s="10"/>
      <c r="F12015" s="10"/>
      <c r="G12015" s="10"/>
      <c r="H12015" s="10"/>
      <c r="I12015" s="10"/>
      <c r="J12015" s="10"/>
      <c r="K12015" s="10"/>
      <c r="L12015" s="10"/>
      <c r="M12015" s="10"/>
      <c r="N12015" s="10"/>
      <c r="O12015" s="10"/>
      <c r="P12015" s="10"/>
      <c r="Q12015" s="10"/>
      <c r="R12015" s="10"/>
      <c r="S12015" s="10"/>
      <c r="T12015" s="10"/>
      <c r="U12015" s="10"/>
      <c r="V12015" s="10"/>
      <c r="W12015" s="10"/>
      <c r="X12015" s="10"/>
      <c r="Y12015" s="10"/>
      <c r="Z12015" s="10"/>
    </row>
    <row r="12016" spans="1:26" ht="12.75">
      <c r="A12016" s="10"/>
      <c r="B12016" s="10"/>
      <c r="C12016" s="10"/>
      <c r="D12016" s="10"/>
      <c r="E12016" s="10"/>
      <c r="F12016" s="10"/>
      <c r="G12016" s="10"/>
      <c r="H12016" s="10"/>
      <c r="I12016" s="10"/>
      <c r="J12016" s="10"/>
      <c r="K12016" s="10"/>
      <c r="L12016" s="10"/>
      <c r="M12016" s="10"/>
      <c r="N12016" s="10"/>
      <c r="O12016" s="10"/>
      <c r="P12016" s="10"/>
      <c r="Q12016" s="10"/>
      <c r="R12016" s="10"/>
      <c r="S12016" s="10"/>
      <c r="T12016" s="10"/>
      <c r="U12016" s="10"/>
      <c r="V12016" s="10"/>
      <c r="W12016" s="10"/>
      <c r="X12016" s="10"/>
      <c r="Y12016" s="10"/>
      <c r="Z12016" s="10"/>
    </row>
    <row r="12017" spans="1:26" ht="12.75">
      <c r="A12017" s="10"/>
      <c r="B12017" s="10"/>
      <c r="C12017" s="10"/>
      <c r="D12017" s="10"/>
      <c r="E12017" s="10"/>
      <c r="F12017" s="10"/>
      <c r="G12017" s="10"/>
      <c r="H12017" s="10"/>
      <c r="I12017" s="10"/>
      <c r="J12017" s="10"/>
      <c r="K12017" s="10"/>
      <c r="L12017" s="10"/>
      <c r="M12017" s="10"/>
      <c r="N12017" s="10"/>
      <c r="O12017" s="10"/>
      <c r="P12017" s="10"/>
      <c r="Q12017" s="10"/>
      <c r="R12017" s="10"/>
      <c r="S12017" s="10"/>
      <c r="T12017" s="10"/>
      <c r="U12017" s="10"/>
      <c r="V12017" s="10"/>
      <c r="W12017" s="10"/>
      <c r="X12017" s="10"/>
      <c r="Y12017" s="10"/>
      <c r="Z12017" s="10"/>
    </row>
    <row r="12018" spans="1:26" ht="12.75">
      <c r="A12018" s="10"/>
      <c r="B12018" s="10"/>
      <c r="C12018" s="10"/>
      <c r="D12018" s="10"/>
      <c r="E12018" s="10"/>
      <c r="F12018" s="10"/>
      <c r="G12018" s="10"/>
      <c r="H12018" s="10"/>
      <c r="I12018" s="10"/>
      <c r="J12018" s="10"/>
      <c r="K12018" s="10"/>
      <c r="L12018" s="10"/>
      <c r="M12018" s="10"/>
      <c r="N12018" s="10"/>
      <c r="O12018" s="10"/>
      <c r="P12018" s="10"/>
      <c r="Q12018" s="10"/>
      <c r="R12018" s="10"/>
      <c r="S12018" s="10"/>
      <c r="T12018" s="10"/>
      <c r="U12018" s="10"/>
      <c r="V12018" s="10"/>
      <c r="W12018" s="10"/>
      <c r="X12018" s="10"/>
      <c r="Y12018" s="10"/>
      <c r="Z12018" s="10"/>
    </row>
    <row r="12019" spans="1:26" ht="12.75">
      <c r="A12019" s="10"/>
      <c r="B12019" s="10"/>
      <c r="C12019" s="10"/>
      <c r="D12019" s="10"/>
      <c r="E12019" s="10"/>
      <c r="F12019" s="10"/>
      <c r="G12019" s="10"/>
      <c r="H12019" s="10"/>
      <c r="I12019" s="10"/>
      <c r="J12019" s="10"/>
      <c r="K12019" s="10"/>
      <c r="L12019" s="10"/>
      <c r="M12019" s="10"/>
      <c r="N12019" s="10"/>
      <c r="O12019" s="10"/>
      <c r="P12019" s="10"/>
      <c r="Q12019" s="10"/>
      <c r="R12019" s="10"/>
      <c r="S12019" s="10"/>
      <c r="T12019" s="10"/>
      <c r="U12019" s="10"/>
      <c r="V12019" s="10"/>
      <c r="W12019" s="10"/>
      <c r="X12019" s="10"/>
      <c r="Y12019" s="10"/>
      <c r="Z12019" s="10"/>
    </row>
    <row r="12020" spans="1:26" ht="12.75">
      <c r="A12020" s="10"/>
      <c r="B12020" s="10"/>
      <c r="C12020" s="10"/>
      <c r="D12020" s="10"/>
      <c r="E12020" s="10"/>
      <c r="F12020" s="10"/>
      <c r="G12020" s="10"/>
      <c r="H12020" s="10"/>
      <c r="I12020" s="10"/>
      <c r="J12020" s="10"/>
      <c r="K12020" s="10"/>
      <c r="L12020" s="10"/>
      <c r="M12020" s="10"/>
      <c r="N12020" s="10"/>
      <c r="O12020" s="10"/>
      <c r="P12020" s="10"/>
      <c r="Q12020" s="10"/>
      <c r="R12020" s="10"/>
      <c r="S12020" s="10"/>
      <c r="T12020" s="10"/>
      <c r="U12020" s="10"/>
      <c r="V12020" s="10"/>
      <c r="W12020" s="10"/>
      <c r="X12020" s="10"/>
      <c r="Y12020" s="10"/>
      <c r="Z12020" s="10"/>
    </row>
    <row r="12021" spans="1:26" ht="12.75">
      <c r="A12021" s="10"/>
      <c r="B12021" s="10"/>
      <c r="C12021" s="10"/>
      <c r="D12021" s="10"/>
      <c r="E12021" s="10"/>
      <c r="F12021" s="10"/>
      <c r="G12021" s="10"/>
      <c r="H12021" s="10"/>
      <c r="I12021" s="10"/>
      <c r="J12021" s="10"/>
      <c r="K12021" s="10"/>
      <c r="L12021" s="10"/>
      <c r="M12021" s="10"/>
      <c r="N12021" s="10"/>
      <c r="O12021" s="10"/>
      <c r="P12021" s="10"/>
      <c r="Q12021" s="10"/>
      <c r="R12021" s="10"/>
      <c r="S12021" s="10"/>
      <c r="T12021" s="10"/>
      <c r="U12021" s="10"/>
      <c r="V12021" s="10"/>
      <c r="W12021" s="10"/>
      <c r="X12021" s="10"/>
      <c r="Y12021" s="10"/>
      <c r="Z12021" s="10"/>
    </row>
    <row r="12022" spans="1:26" ht="12.75">
      <c r="A12022" s="10"/>
      <c r="B12022" s="10"/>
      <c r="C12022" s="10"/>
      <c r="D12022" s="10"/>
      <c r="E12022" s="10"/>
      <c r="F12022" s="10"/>
      <c r="G12022" s="10"/>
      <c r="H12022" s="10"/>
      <c r="I12022" s="10"/>
      <c r="J12022" s="10"/>
      <c r="K12022" s="10"/>
      <c r="L12022" s="10"/>
      <c r="M12022" s="10"/>
      <c r="N12022" s="10"/>
      <c r="O12022" s="10"/>
      <c r="P12022" s="10"/>
      <c r="Q12022" s="10"/>
      <c r="R12022" s="10"/>
      <c r="S12022" s="10"/>
      <c r="T12022" s="10"/>
      <c r="U12022" s="10"/>
      <c r="V12022" s="10"/>
      <c r="W12022" s="10"/>
      <c r="X12022" s="10"/>
      <c r="Y12022" s="10"/>
      <c r="Z12022" s="10"/>
    </row>
    <row r="12023" spans="1:26" ht="12.75">
      <c r="A12023" s="10"/>
      <c r="B12023" s="10"/>
      <c r="C12023" s="10"/>
      <c r="D12023" s="10"/>
      <c r="E12023" s="10"/>
      <c r="F12023" s="10"/>
      <c r="G12023" s="10"/>
      <c r="H12023" s="10"/>
      <c r="I12023" s="10"/>
      <c r="J12023" s="10"/>
      <c r="K12023" s="10"/>
      <c r="L12023" s="10"/>
      <c r="M12023" s="10"/>
      <c r="N12023" s="10"/>
      <c r="O12023" s="10"/>
      <c r="P12023" s="10"/>
      <c r="Q12023" s="10"/>
      <c r="R12023" s="10"/>
      <c r="S12023" s="10"/>
      <c r="T12023" s="10"/>
      <c r="U12023" s="10"/>
      <c r="V12023" s="10"/>
      <c r="W12023" s="10"/>
      <c r="X12023" s="10"/>
      <c r="Y12023" s="10"/>
      <c r="Z12023" s="10"/>
    </row>
    <row r="12024" spans="1:26" ht="12.75">
      <c r="A12024" s="10"/>
      <c r="B12024" s="10"/>
      <c r="C12024" s="10"/>
      <c r="D12024" s="10"/>
      <c r="E12024" s="10"/>
      <c r="F12024" s="10"/>
      <c r="G12024" s="10"/>
      <c r="H12024" s="10"/>
      <c r="I12024" s="10"/>
      <c r="J12024" s="10"/>
      <c r="K12024" s="10"/>
      <c r="L12024" s="10"/>
      <c r="M12024" s="10"/>
      <c r="N12024" s="10"/>
      <c r="O12024" s="10"/>
      <c r="P12024" s="10"/>
      <c r="Q12024" s="10"/>
      <c r="R12024" s="10"/>
      <c r="S12024" s="10"/>
      <c r="T12024" s="10"/>
      <c r="U12024" s="10"/>
      <c r="V12024" s="10"/>
      <c r="W12024" s="10"/>
      <c r="X12024" s="10"/>
      <c r="Y12024" s="10"/>
      <c r="Z12024" s="10"/>
    </row>
    <row r="12025" spans="1:26" ht="12.75">
      <c r="A12025" s="10"/>
      <c r="B12025" s="10"/>
      <c r="C12025" s="10"/>
      <c r="D12025" s="10"/>
      <c r="E12025" s="10"/>
      <c r="F12025" s="10"/>
      <c r="G12025" s="10"/>
      <c r="H12025" s="10"/>
      <c r="I12025" s="10"/>
      <c r="J12025" s="10"/>
      <c r="K12025" s="10"/>
      <c r="L12025" s="10"/>
      <c r="M12025" s="10"/>
      <c r="N12025" s="10"/>
      <c r="O12025" s="10"/>
      <c r="P12025" s="10"/>
      <c r="Q12025" s="10"/>
      <c r="R12025" s="10"/>
      <c r="S12025" s="10"/>
      <c r="T12025" s="10"/>
      <c r="U12025" s="10"/>
      <c r="V12025" s="10"/>
      <c r="W12025" s="10"/>
      <c r="X12025" s="10"/>
      <c r="Y12025" s="10"/>
      <c r="Z12025" s="10"/>
    </row>
    <row r="12026" spans="1:26" ht="12.75">
      <c r="A12026" s="10"/>
      <c r="B12026" s="10"/>
      <c r="C12026" s="10"/>
      <c r="D12026" s="10"/>
      <c r="E12026" s="10"/>
      <c r="F12026" s="10"/>
      <c r="G12026" s="10"/>
      <c r="H12026" s="10"/>
      <c r="I12026" s="10"/>
      <c r="J12026" s="10"/>
      <c r="K12026" s="10"/>
      <c r="L12026" s="10"/>
      <c r="M12026" s="10"/>
      <c r="N12026" s="10"/>
      <c r="O12026" s="10"/>
      <c r="P12026" s="10"/>
      <c r="Q12026" s="10"/>
      <c r="R12026" s="10"/>
      <c r="S12026" s="10"/>
      <c r="T12026" s="10"/>
      <c r="U12026" s="10"/>
      <c r="V12026" s="10"/>
      <c r="W12026" s="10"/>
      <c r="X12026" s="10"/>
      <c r="Y12026" s="10"/>
      <c r="Z12026" s="10"/>
    </row>
    <row r="12027" spans="1:26" ht="12.75">
      <c r="A12027" s="10"/>
      <c r="B12027" s="10"/>
      <c r="C12027" s="10"/>
      <c r="D12027" s="10"/>
      <c r="E12027" s="10"/>
      <c r="F12027" s="10"/>
      <c r="G12027" s="10"/>
      <c r="H12027" s="10"/>
      <c r="I12027" s="10"/>
      <c r="J12027" s="10"/>
      <c r="K12027" s="10"/>
      <c r="L12027" s="10"/>
      <c r="M12027" s="10"/>
      <c r="N12027" s="10"/>
      <c r="O12027" s="10"/>
      <c r="P12027" s="10"/>
      <c r="Q12027" s="10"/>
      <c r="R12027" s="10"/>
      <c r="S12027" s="10"/>
      <c r="T12027" s="10"/>
      <c r="U12027" s="10"/>
      <c r="V12027" s="10"/>
      <c r="W12027" s="10"/>
      <c r="X12027" s="10"/>
      <c r="Y12027" s="10"/>
      <c r="Z12027" s="10"/>
    </row>
    <row r="12028" spans="1:26" ht="12.75">
      <c r="A12028" s="10"/>
      <c r="B12028" s="10"/>
      <c r="C12028" s="10"/>
      <c r="D12028" s="10"/>
      <c r="E12028" s="10"/>
      <c r="F12028" s="10"/>
      <c r="G12028" s="10"/>
      <c r="H12028" s="10"/>
      <c r="I12028" s="10"/>
      <c r="J12028" s="10"/>
      <c r="K12028" s="10"/>
      <c r="L12028" s="10"/>
      <c r="M12028" s="10"/>
      <c r="N12028" s="10"/>
      <c r="O12028" s="10"/>
      <c r="P12028" s="10"/>
      <c r="Q12028" s="10"/>
      <c r="R12028" s="10"/>
      <c r="S12028" s="10"/>
      <c r="T12028" s="10"/>
      <c r="U12028" s="10"/>
      <c r="V12028" s="10"/>
      <c r="W12028" s="10"/>
      <c r="X12028" s="10"/>
      <c r="Y12028" s="10"/>
      <c r="Z12028" s="10"/>
    </row>
    <row r="12029" spans="1:26" ht="12.75">
      <c r="A12029" s="10"/>
      <c r="B12029" s="10"/>
      <c r="C12029" s="10"/>
      <c r="D12029" s="10"/>
      <c r="E12029" s="10"/>
      <c r="F12029" s="10"/>
      <c r="G12029" s="10"/>
      <c r="H12029" s="10"/>
      <c r="I12029" s="10"/>
      <c r="J12029" s="10"/>
      <c r="K12029" s="10"/>
      <c r="L12029" s="10"/>
      <c r="M12029" s="10"/>
      <c r="N12029" s="10"/>
      <c r="O12029" s="10"/>
      <c r="P12029" s="10"/>
      <c r="Q12029" s="10"/>
      <c r="R12029" s="10"/>
      <c r="S12029" s="10"/>
      <c r="T12029" s="10"/>
      <c r="U12029" s="10"/>
      <c r="V12029" s="10"/>
      <c r="W12029" s="10"/>
      <c r="X12029" s="10"/>
      <c r="Y12029" s="10"/>
      <c r="Z12029" s="10"/>
    </row>
    <row r="12030" spans="1:26" ht="12.75">
      <c r="A12030" s="10"/>
      <c r="B12030" s="10"/>
      <c r="C12030" s="10"/>
      <c r="D12030" s="10"/>
      <c r="E12030" s="10"/>
      <c r="F12030" s="10"/>
      <c r="G12030" s="10"/>
      <c r="H12030" s="10"/>
      <c r="I12030" s="10"/>
      <c r="J12030" s="10"/>
      <c r="K12030" s="10"/>
      <c r="L12030" s="10"/>
      <c r="M12030" s="10"/>
      <c r="N12030" s="10"/>
      <c r="O12030" s="10"/>
      <c r="P12030" s="10"/>
      <c r="Q12030" s="10"/>
      <c r="R12030" s="10"/>
      <c r="S12030" s="10"/>
      <c r="T12030" s="10"/>
      <c r="U12030" s="10"/>
      <c r="V12030" s="10"/>
      <c r="W12030" s="10"/>
      <c r="X12030" s="10"/>
      <c r="Y12030" s="10"/>
      <c r="Z12030" s="10"/>
    </row>
    <row r="12031" spans="1:26" ht="12.75">
      <c r="A12031" s="10"/>
      <c r="B12031" s="10"/>
      <c r="C12031" s="10"/>
      <c r="D12031" s="10"/>
      <c r="E12031" s="10"/>
      <c r="F12031" s="10"/>
      <c r="G12031" s="10"/>
      <c r="H12031" s="10"/>
      <c r="I12031" s="10"/>
      <c r="J12031" s="10"/>
      <c r="K12031" s="10"/>
      <c r="L12031" s="10"/>
      <c r="M12031" s="10"/>
      <c r="N12031" s="10"/>
      <c r="O12031" s="10"/>
      <c r="P12031" s="10"/>
      <c r="Q12031" s="10"/>
      <c r="R12031" s="10"/>
      <c r="S12031" s="10"/>
      <c r="T12031" s="10"/>
      <c r="U12031" s="10"/>
      <c r="V12031" s="10"/>
      <c r="W12031" s="10"/>
      <c r="X12031" s="10"/>
      <c r="Y12031" s="10"/>
      <c r="Z12031" s="10"/>
    </row>
    <row r="12032" spans="1:26" ht="12.75">
      <c r="A12032" s="10"/>
      <c r="B12032" s="10"/>
      <c r="C12032" s="10"/>
      <c r="D12032" s="10"/>
      <c r="E12032" s="10"/>
      <c r="F12032" s="10"/>
      <c r="G12032" s="10"/>
      <c r="H12032" s="10"/>
      <c r="I12032" s="10"/>
      <c r="J12032" s="10"/>
      <c r="K12032" s="10"/>
      <c r="L12032" s="10"/>
      <c r="M12032" s="10"/>
      <c r="N12032" s="10"/>
      <c r="O12032" s="10"/>
      <c r="P12032" s="10"/>
      <c r="Q12032" s="10"/>
      <c r="R12032" s="10"/>
      <c r="S12032" s="10"/>
      <c r="T12032" s="10"/>
      <c r="U12032" s="10"/>
      <c r="V12032" s="10"/>
      <c r="W12032" s="10"/>
      <c r="X12032" s="10"/>
      <c r="Y12032" s="10"/>
      <c r="Z12032" s="10"/>
    </row>
    <row r="12033" spans="1:26" ht="12.75">
      <c r="A12033" s="10"/>
      <c r="B12033" s="10"/>
      <c r="C12033" s="10"/>
      <c r="D12033" s="10"/>
      <c r="E12033" s="10"/>
      <c r="F12033" s="10"/>
      <c r="G12033" s="10"/>
      <c r="H12033" s="10"/>
      <c r="I12033" s="10"/>
      <c r="J12033" s="10"/>
      <c r="K12033" s="10"/>
      <c r="L12033" s="10"/>
      <c r="M12033" s="10"/>
      <c r="N12033" s="10"/>
      <c r="O12033" s="10"/>
      <c r="P12033" s="10"/>
      <c r="Q12033" s="10"/>
      <c r="R12033" s="10"/>
      <c r="S12033" s="10"/>
      <c r="T12033" s="10"/>
      <c r="U12033" s="10"/>
      <c r="V12033" s="10"/>
      <c r="W12033" s="10"/>
      <c r="X12033" s="10"/>
      <c r="Y12033" s="10"/>
      <c r="Z12033" s="10"/>
    </row>
    <row r="12034" spans="1:26" ht="12.75">
      <c r="A12034" s="10"/>
      <c r="B12034" s="10"/>
      <c r="C12034" s="10"/>
      <c r="D12034" s="10"/>
      <c r="E12034" s="10"/>
      <c r="F12034" s="10"/>
      <c r="G12034" s="10"/>
      <c r="H12034" s="10"/>
      <c r="I12034" s="10"/>
      <c r="J12034" s="10"/>
      <c r="K12034" s="10"/>
      <c r="L12034" s="10"/>
      <c r="M12034" s="10"/>
      <c r="N12034" s="10"/>
      <c r="O12034" s="10"/>
      <c r="P12034" s="10"/>
      <c r="Q12034" s="10"/>
      <c r="R12034" s="10"/>
      <c r="S12034" s="10"/>
      <c r="T12034" s="10"/>
      <c r="U12034" s="10"/>
      <c r="V12034" s="10"/>
      <c r="W12034" s="10"/>
      <c r="X12034" s="10"/>
      <c r="Y12034" s="10"/>
      <c r="Z12034" s="10"/>
    </row>
    <row r="12035" spans="1:26" ht="12.75">
      <c r="A12035" s="10"/>
      <c r="B12035" s="10"/>
      <c r="C12035" s="10"/>
      <c r="D12035" s="10"/>
      <c r="E12035" s="10"/>
      <c r="F12035" s="10"/>
      <c r="G12035" s="10"/>
      <c r="H12035" s="10"/>
      <c r="I12035" s="10"/>
      <c r="J12035" s="10"/>
      <c r="K12035" s="10"/>
      <c r="L12035" s="10"/>
      <c r="M12035" s="10"/>
      <c r="N12035" s="10"/>
      <c r="O12035" s="10"/>
      <c r="P12035" s="10"/>
      <c r="Q12035" s="10"/>
      <c r="R12035" s="10"/>
      <c r="S12035" s="10"/>
      <c r="T12035" s="10"/>
      <c r="U12035" s="10"/>
      <c r="V12035" s="10"/>
      <c r="W12035" s="10"/>
      <c r="X12035" s="10"/>
      <c r="Y12035" s="10"/>
      <c r="Z12035" s="10"/>
    </row>
    <row r="12036" spans="1:26" ht="12.75">
      <c r="A12036" s="10"/>
      <c r="B12036" s="10"/>
      <c r="C12036" s="10"/>
      <c r="D12036" s="10"/>
      <c r="E12036" s="10"/>
      <c r="F12036" s="10"/>
      <c r="G12036" s="10"/>
      <c r="H12036" s="10"/>
      <c r="I12036" s="10"/>
      <c r="J12036" s="10"/>
      <c r="K12036" s="10"/>
      <c r="L12036" s="10"/>
      <c r="M12036" s="10"/>
      <c r="N12036" s="10"/>
      <c r="O12036" s="10"/>
      <c r="P12036" s="10"/>
      <c r="Q12036" s="10"/>
      <c r="R12036" s="10"/>
      <c r="S12036" s="10"/>
      <c r="T12036" s="10"/>
      <c r="U12036" s="10"/>
      <c r="V12036" s="10"/>
      <c r="W12036" s="10"/>
      <c r="X12036" s="10"/>
      <c r="Y12036" s="10"/>
      <c r="Z12036" s="10"/>
    </row>
    <row r="12037" spans="1:26" ht="12.75">
      <c r="A12037" s="10"/>
      <c r="B12037" s="10"/>
      <c r="C12037" s="10"/>
      <c r="D12037" s="10"/>
      <c r="E12037" s="10"/>
      <c r="F12037" s="10"/>
      <c r="G12037" s="10"/>
      <c r="H12037" s="10"/>
      <c r="I12037" s="10"/>
      <c r="J12037" s="10"/>
      <c r="K12037" s="10"/>
      <c r="L12037" s="10"/>
      <c r="M12037" s="10"/>
      <c r="N12037" s="10"/>
      <c r="O12037" s="10"/>
      <c r="P12037" s="10"/>
      <c r="Q12037" s="10"/>
      <c r="R12037" s="10"/>
      <c r="S12037" s="10"/>
      <c r="T12037" s="10"/>
      <c r="U12037" s="10"/>
      <c r="V12037" s="10"/>
      <c r="W12037" s="10"/>
      <c r="X12037" s="10"/>
      <c r="Y12037" s="10"/>
      <c r="Z12037" s="10"/>
    </row>
    <row r="12038" spans="1:26" ht="12.75">
      <c r="A12038" s="10"/>
      <c r="B12038" s="10"/>
      <c r="C12038" s="10"/>
      <c r="D12038" s="10"/>
      <c r="E12038" s="10"/>
      <c r="F12038" s="10"/>
      <c r="G12038" s="10"/>
      <c r="H12038" s="10"/>
      <c r="I12038" s="10"/>
      <c r="J12038" s="10"/>
      <c r="K12038" s="10"/>
      <c r="L12038" s="10"/>
      <c r="M12038" s="10"/>
      <c r="N12038" s="10"/>
      <c r="O12038" s="10"/>
      <c r="P12038" s="10"/>
      <c r="Q12038" s="10"/>
      <c r="R12038" s="10"/>
      <c r="S12038" s="10"/>
      <c r="T12038" s="10"/>
      <c r="U12038" s="10"/>
      <c r="V12038" s="10"/>
      <c r="W12038" s="10"/>
      <c r="X12038" s="10"/>
      <c r="Y12038" s="10"/>
      <c r="Z12038" s="10"/>
    </row>
    <row r="12039" spans="1:26" ht="12.75">
      <c r="A12039" s="10"/>
      <c r="B12039" s="10"/>
      <c r="C12039" s="10"/>
      <c r="D12039" s="10"/>
      <c r="E12039" s="10"/>
      <c r="F12039" s="10"/>
      <c r="G12039" s="10"/>
      <c r="H12039" s="10"/>
      <c r="I12039" s="10"/>
      <c r="J12039" s="10"/>
      <c r="K12039" s="10"/>
      <c r="L12039" s="10"/>
      <c r="M12039" s="10"/>
      <c r="N12039" s="10"/>
      <c r="O12039" s="10"/>
      <c r="P12039" s="10"/>
      <c r="Q12039" s="10"/>
      <c r="R12039" s="10"/>
      <c r="S12039" s="10"/>
      <c r="T12039" s="10"/>
      <c r="U12039" s="10"/>
      <c r="V12039" s="10"/>
      <c r="W12039" s="10"/>
      <c r="X12039" s="10"/>
      <c r="Y12039" s="10"/>
      <c r="Z12039" s="10"/>
    </row>
    <row r="12040" spans="1:26" ht="12.75">
      <c r="A12040" s="10"/>
      <c r="B12040" s="10"/>
      <c r="C12040" s="10"/>
      <c r="D12040" s="10"/>
      <c r="E12040" s="10"/>
      <c r="F12040" s="10"/>
      <c r="G12040" s="10"/>
      <c r="H12040" s="10"/>
      <c r="I12040" s="10"/>
      <c r="J12040" s="10"/>
      <c r="K12040" s="10"/>
      <c r="L12040" s="10"/>
      <c r="M12040" s="10"/>
      <c r="N12040" s="10"/>
      <c r="O12040" s="10"/>
      <c r="P12040" s="10"/>
      <c r="Q12040" s="10"/>
      <c r="R12040" s="10"/>
      <c r="S12040" s="10"/>
      <c r="T12040" s="10"/>
      <c r="U12040" s="10"/>
      <c r="V12040" s="10"/>
      <c r="W12040" s="10"/>
      <c r="X12040" s="10"/>
      <c r="Y12040" s="10"/>
      <c r="Z12040" s="10"/>
    </row>
    <row r="12041" spans="1:26" ht="12.75">
      <c r="A12041" s="10"/>
      <c r="B12041" s="10"/>
      <c r="C12041" s="10"/>
      <c r="D12041" s="10"/>
      <c r="E12041" s="10"/>
      <c r="F12041" s="10"/>
      <c r="G12041" s="10"/>
      <c r="H12041" s="10"/>
      <c r="I12041" s="10"/>
      <c r="J12041" s="10"/>
      <c r="K12041" s="10"/>
      <c r="L12041" s="10"/>
      <c r="M12041" s="10"/>
      <c r="N12041" s="10"/>
      <c r="O12041" s="10"/>
      <c r="P12041" s="10"/>
      <c r="Q12041" s="10"/>
      <c r="R12041" s="10"/>
      <c r="S12041" s="10"/>
      <c r="T12041" s="10"/>
      <c r="U12041" s="10"/>
      <c r="V12041" s="10"/>
      <c r="W12041" s="10"/>
      <c r="X12041" s="10"/>
      <c r="Y12041" s="10"/>
      <c r="Z12041" s="10"/>
    </row>
    <row r="12042" spans="1:26" ht="12.75">
      <c r="A12042" s="10"/>
      <c r="B12042" s="10"/>
      <c r="C12042" s="10"/>
      <c r="D12042" s="10"/>
      <c r="E12042" s="10"/>
      <c r="F12042" s="10"/>
      <c r="G12042" s="10"/>
      <c r="H12042" s="10"/>
      <c r="I12042" s="10"/>
      <c r="J12042" s="10"/>
      <c r="K12042" s="10"/>
      <c r="L12042" s="10"/>
      <c r="M12042" s="10"/>
      <c r="N12042" s="10"/>
      <c r="O12042" s="10"/>
      <c r="P12042" s="10"/>
      <c r="Q12042" s="10"/>
      <c r="R12042" s="10"/>
      <c r="S12042" s="10"/>
      <c r="T12042" s="10"/>
      <c r="U12042" s="10"/>
      <c r="V12042" s="10"/>
      <c r="W12042" s="10"/>
      <c r="X12042" s="10"/>
      <c r="Y12042" s="10"/>
      <c r="Z12042" s="10"/>
    </row>
    <row r="12043" spans="1:26" ht="12.75">
      <c r="A12043" s="10"/>
      <c r="B12043" s="10"/>
      <c r="C12043" s="10"/>
      <c r="D12043" s="10"/>
      <c r="E12043" s="10"/>
      <c r="F12043" s="10"/>
      <c r="G12043" s="10"/>
      <c r="H12043" s="10"/>
      <c r="I12043" s="10"/>
      <c r="J12043" s="10"/>
      <c r="K12043" s="10"/>
      <c r="L12043" s="10"/>
      <c r="M12043" s="10"/>
      <c r="N12043" s="10"/>
      <c r="O12043" s="10"/>
      <c r="P12043" s="10"/>
      <c r="Q12043" s="10"/>
      <c r="R12043" s="10"/>
      <c r="S12043" s="10"/>
      <c r="T12043" s="10"/>
      <c r="U12043" s="10"/>
      <c r="V12043" s="10"/>
      <c r="W12043" s="10"/>
      <c r="X12043" s="10"/>
      <c r="Y12043" s="10"/>
      <c r="Z12043" s="10"/>
    </row>
    <row r="12044" spans="1:26" ht="12.75">
      <c r="A12044" s="10"/>
      <c r="B12044" s="10"/>
      <c r="C12044" s="10"/>
      <c r="D12044" s="10"/>
      <c r="E12044" s="10"/>
      <c r="F12044" s="10"/>
      <c r="G12044" s="10"/>
      <c r="H12044" s="10"/>
      <c r="I12044" s="10"/>
      <c r="J12044" s="10"/>
      <c r="K12044" s="10"/>
      <c r="L12044" s="10"/>
      <c r="M12044" s="10"/>
      <c r="N12044" s="10"/>
      <c r="O12044" s="10"/>
      <c r="P12044" s="10"/>
      <c r="Q12044" s="10"/>
      <c r="R12044" s="10"/>
      <c r="S12044" s="10"/>
      <c r="T12044" s="10"/>
      <c r="U12044" s="10"/>
      <c r="V12044" s="10"/>
      <c r="W12044" s="10"/>
      <c r="X12044" s="10"/>
      <c r="Y12044" s="10"/>
      <c r="Z12044" s="10"/>
    </row>
    <row r="12045" spans="1:26" ht="12.75">
      <c r="A12045" s="10"/>
      <c r="B12045" s="10"/>
      <c r="C12045" s="10"/>
      <c r="D12045" s="10"/>
      <c r="E12045" s="10"/>
      <c r="F12045" s="10"/>
      <c r="G12045" s="10"/>
      <c r="H12045" s="10"/>
      <c r="I12045" s="10"/>
      <c r="J12045" s="10"/>
      <c r="K12045" s="10"/>
      <c r="L12045" s="10"/>
      <c r="M12045" s="10"/>
      <c r="N12045" s="10"/>
      <c r="O12045" s="10"/>
      <c r="P12045" s="10"/>
      <c r="Q12045" s="10"/>
      <c r="R12045" s="10"/>
      <c r="S12045" s="10"/>
      <c r="T12045" s="10"/>
      <c r="U12045" s="10"/>
      <c r="V12045" s="10"/>
      <c r="W12045" s="10"/>
      <c r="X12045" s="10"/>
      <c r="Y12045" s="10"/>
      <c r="Z12045" s="10"/>
    </row>
    <row r="12046" spans="1:26" ht="12.75">
      <c r="A12046" s="10"/>
      <c r="B12046" s="10"/>
      <c r="C12046" s="10"/>
      <c r="D12046" s="10"/>
      <c r="E12046" s="10"/>
      <c r="F12046" s="10"/>
      <c r="G12046" s="10"/>
      <c r="H12046" s="10"/>
      <c r="I12046" s="10"/>
      <c r="J12046" s="10"/>
      <c r="K12046" s="10"/>
      <c r="L12046" s="10"/>
      <c r="M12046" s="10"/>
      <c r="N12046" s="10"/>
      <c r="O12046" s="10"/>
      <c r="P12046" s="10"/>
      <c r="Q12046" s="10"/>
      <c r="R12046" s="10"/>
      <c r="S12046" s="10"/>
      <c r="T12046" s="10"/>
      <c r="U12046" s="10"/>
      <c r="V12046" s="10"/>
      <c r="W12046" s="10"/>
      <c r="X12046" s="10"/>
      <c r="Y12046" s="10"/>
      <c r="Z12046" s="10"/>
    </row>
    <row r="12047" spans="1:26" ht="12.75">
      <c r="A12047" s="10"/>
      <c r="B12047" s="10"/>
      <c r="C12047" s="10"/>
      <c r="D12047" s="10"/>
      <c r="E12047" s="10"/>
      <c r="F12047" s="10"/>
      <c r="G12047" s="10"/>
      <c r="H12047" s="10"/>
      <c r="I12047" s="10"/>
      <c r="J12047" s="10"/>
      <c r="K12047" s="10"/>
      <c r="L12047" s="10"/>
      <c r="M12047" s="10"/>
      <c r="N12047" s="10"/>
      <c r="O12047" s="10"/>
      <c r="P12047" s="10"/>
      <c r="Q12047" s="10"/>
      <c r="R12047" s="10"/>
      <c r="S12047" s="10"/>
      <c r="T12047" s="10"/>
      <c r="U12047" s="10"/>
      <c r="V12047" s="10"/>
      <c r="W12047" s="10"/>
      <c r="X12047" s="10"/>
      <c r="Y12047" s="10"/>
      <c r="Z12047" s="10"/>
    </row>
    <row r="12048" spans="1:26" ht="12.75">
      <c r="A12048" s="10"/>
      <c r="B12048" s="10"/>
      <c r="C12048" s="10"/>
      <c r="D12048" s="10"/>
      <c r="E12048" s="10"/>
      <c r="F12048" s="10"/>
      <c r="G12048" s="10"/>
      <c r="H12048" s="10"/>
      <c r="I12048" s="10"/>
      <c r="J12048" s="10"/>
      <c r="K12048" s="10"/>
      <c r="L12048" s="10"/>
      <c r="M12048" s="10"/>
      <c r="N12048" s="10"/>
      <c r="O12048" s="10"/>
      <c r="P12048" s="10"/>
      <c r="Q12048" s="10"/>
      <c r="R12048" s="10"/>
      <c r="S12048" s="10"/>
      <c r="T12048" s="10"/>
      <c r="U12048" s="10"/>
      <c r="V12048" s="10"/>
      <c r="W12048" s="10"/>
      <c r="X12048" s="10"/>
      <c r="Y12048" s="10"/>
      <c r="Z12048" s="10"/>
    </row>
    <row r="12049" spans="1:26" ht="12.75">
      <c r="A12049" s="10"/>
      <c r="B12049" s="10"/>
      <c r="C12049" s="10"/>
      <c r="D12049" s="10"/>
      <c r="E12049" s="10"/>
      <c r="F12049" s="10"/>
      <c r="G12049" s="10"/>
      <c r="H12049" s="10"/>
      <c r="I12049" s="10"/>
      <c r="J12049" s="10"/>
      <c r="K12049" s="10"/>
      <c r="L12049" s="10"/>
      <c r="M12049" s="10"/>
      <c r="N12049" s="10"/>
      <c r="O12049" s="10"/>
      <c r="P12049" s="10"/>
      <c r="Q12049" s="10"/>
      <c r="R12049" s="10"/>
      <c r="S12049" s="10"/>
      <c r="T12049" s="10"/>
      <c r="U12049" s="10"/>
      <c r="V12049" s="10"/>
      <c r="W12049" s="10"/>
      <c r="X12049" s="10"/>
      <c r="Y12049" s="10"/>
      <c r="Z12049" s="10"/>
    </row>
    <row r="12050" spans="1:26" ht="12.75">
      <c r="A12050" s="10"/>
      <c r="B12050" s="10"/>
      <c r="C12050" s="10"/>
      <c r="D12050" s="10"/>
      <c r="E12050" s="10"/>
      <c r="F12050" s="10"/>
      <c r="G12050" s="10"/>
      <c r="H12050" s="10"/>
      <c r="I12050" s="10"/>
      <c r="J12050" s="10"/>
      <c r="K12050" s="10"/>
      <c r="L12050" s="10"/>
      <c r="M12050" s="10"/>
      <c r="N12050" s="10"/>
      <c r="O12050" s="10"/>
      <c r="P12050" s="10"/>
      <c r="Q12050" s="10"/>
      <c r="R12050" s="10"/>
      <c r="S12050" s="10"/>
      <c r="T12050" s="10"/>
      <c r="U12050" s="10"/>
      <c r="V12050" s="10"/>
      <c r="W12050" s="10"/>
      <c r="X12050" s="10"/>
      <c r="Y12050" s="10"/>
      <c r="Z12050" s="10"/>
    </row>
    <row r="12051" spans="1:26" ht="12.75">
      <c r="A12051" s="10"/>
      <c r="B12051" s="10"/>
      <c r="C12051" s="10"/>
      <c r="D12051" s="10"/>
      <c r="E12051" s="10"/>
      <c r="F12051" s="10"/>
      <c r="G12051" s="10"/>
      <c r="H12051" s="10"/>
      <c r="I12051" s="10"/>
      <c r="J12051" s="10"/>
      <c r="K12051" s="10"/>
      <c r="L12051" s="10"/>
      <c r="M12051" s="10"/>
      <c r="N12051" s="10"/>
      <c r="O12051" s="10"/>
      <c r="P12051" s="10"/>
      <c r="Q12051" s="10"/>
      <c r="R12051" s="10"/>
      <c r="S12051" s="10"/>
      <c r="T12051" s="10"/>
      <c r="U12051" s="10"/>
      <c r="V12051" s="10"/>
      <c r="W12051" s="10"/>
      <c r="X12051" s="10"/>
      <c r="Y12051" s="10"/>
      <c r="Z12051" s="10"/>
    </row>
    <row r="12052" spans="1:26" ht="12.75">
      <c r="A12052" s="10"/>
      <c r="B12052" s="10"/>
      <c r="C12052" s="10"/>
      <c r="D12052" s="10"/>
      <c r="E12052" s="10"/>
      <c r="F12052" s="10"/>
      <c r="G12052" s="10"/>
      <c r="H12052" s="10"/>
      <c r="I12052" s="10"/>
      <c r="J12052" s="10"/>
      <c r="K12052" s="10"/>
      <c r="L12052" s="10"/>
      <c r="M12052" s="10"/>
      <c r="N12052" s="10"/>
      <c r="O12052" s="10"/>
      <c r="P12052" s="10"/>
      <c r="Q12052" s="10"/>
      <c r="R12052" s="10"/>
      <c r="S12052" s="10"/>
      <c r="T12052" s="10"/>
      <c r="U12052" s="10"/>
      <c r="V12052" s="10"/>
      <c r="W12052" s="10"/>
      <c r="X12052" s="10"/>
      <c r="Y12052" s="10"/>
      <c r="Z12052" s="10"/>
    </row>
    <row r="12053" spans="1:26" ht="12.75">
      <c r="A12053" s="10"/>
      <c r="B12053" s="10"/>
      <c r="C12053" s="10"/>
      <c r="D12053" s="10"/>
      <c r="E12053" s="10"/>
      <c r="F12053" s="10"/>
      <c r="G12053" s="10"/>
      <c r="H12053" s="10"/>
      <c r="I12053" s="10"/>
      <c r="J12053" s="10"/>
      <c r="K12053" s="10"/>
      <c r="L12053" s="10"/>
      <c r="M12053" s="10"/>
      <c r="N12053" s="10"/>
      <c r="O12053" s="10"/>
      <c r="P12053" s="10"/>
      <c r="Q12053" s="10"/>
      <c r="R12053" s="10"/>
      <c r="S12053" s="10"/>
      <c r="T12053" s="10"/>
      <c r="U12053" s="10"/>
      <c r="V12053" s="10"/>
      <c r="W12053" s="10"/>
      <c r="X12053" s="10"/>
      <c r="Y12053" s="10"/>
      <c r="Z12053" s="10"/>
    </row>
    <row r="12054" spans="1:26" ht="12.75">
      <c r="A12054" s="10"/>
      <c r="B12054" s="10"/>
      <c r="C12054" s="10"/>
      <c r="D12054" s="10"/>
      <c r="E12054" s="10"/>
      <c r="F12054" s="10"/>
      <c r="G12054" s="10"/>
      <c r="H12054" s="10"/>
      <c r="I12054" s="10"/>
      <c r="J12054" s="10"/>
      <c r="K12054" s="10"/>
      <c r="L12054" s="10"/>
      <c r="M12054" s="10"/>
      <c r="N12054" s="10"/>
      <c r="O12054" s="10"/>
      <c r="P12054" s="10"/>
      <c r="Q12054" s="10"/>
      <c r="R12054" s="10"/>
      <c r="S12054" s="10"/>
      <c r="T12054" s="10"/>
      <c r="U12054" s="10"/>
      <c r="V12054" s="10"/>
      <c r="W12054" s="10"/>
      <c r="X12054" s="10"/>
      <c r="Y12054" s="10"/>
      <c r="Z12054" s="10"/>
    </row>
    <row r="12055" spans="1:26" ht="12.75">
      <c r="A12055" s="10"/>
      <c r="B12055" s="10"/>
      <c r="C12055" s="10"/>
      <c r="D12055" s="10"/>
      <c r="E12055" s="10"/>
      <c r="F12055" s="10"/>
      <c r="G12055" s="10"/>
      <c r="H12055" s="10"/>
      <c r="I12055" s="10"/>
      <c r="J12055" s="10"/>
      <c r="K12055" s="10"/>
      <c r="L12055" s="10"/>
      <c r="M12055" s="10"/>
      <c r="N12055" s="10"/>
      <c r="O12055" s="10"/>
      <c r="P12055" s="10"/>
      <c r="Q12055" s="10"/>
      <c r="R12055" s="10"/>
      <c r="S12055" s="10"/>
      <c r="T12055" s="10"/>
      <c r="U12055" s="10"/>
      <c r="V12055" s="10"/>
      <c r="W12055" s="10"/>
      <c r="X12055" s="10"/>
      <c r="Y12055" s="10"/>
      <c r="Z12055" s="10"/>
    </row>
    <row r="12056" spans="1:26" ht="12.75">
      <c r="A12056" s="10"/>
      <c r="B12056" s="10"/>
      <c r="C12056" s="10"/>
      <c r="D12056" s="10"/>
      <c r="E12056" s="10"/>
      <c r="F12056" s="10"/>
      <c r="G12056" s="10"/>
      <c r="H12056" s="10"/>
      <c r="I12056" s="10"/>
      <c r="J12056" s="10"/>
      <c r="K12056" s="10"/>
      <c r="L12056" s="10"/>
      <c r="M12056" s="10"/>
      <c r="N12056" s="10"/>
      <c r="O12056" s="10"/>
      <c r="P12056" s="10"/>
      <c r="Q12056" s="10"/>
      <c r="R12056" s="10"/>
      <c r="S12056" s="10"/>
      <c r="T12056" s="10"/>
      <c r="U12056" s="10"/>
      <c r="V12056" s="10"/>
      <c r="W12056" s="10"/>
      <c r="X12056" s="10"/>
      <c r="Y12056" s="10"/>
      <c r="Z12056" s="10"/>
    </row>
    <row r="12057" spans="1:26" ht="12.75">
      <c r="A12057" s="10"/>
      <c r="B12057" s="10"/>
      <c r="C12057" s="10"/>
      <c r="D12057" s="10"/>
      <c r="E12057" s="10"/>
      <c r="F12057" s="10"/>
      <c r="G12057" s="10"/>
      <c r="H12057" s="10"/>
      <c r="I12057" s="10"/>
      <c r="J12057" s="10"/>
      <c r="K12057" s="10"/>
      <c r="L12057" s="10"/>
      <c r="M12057" s="10"/>
      <c r="N12057" s="10"/>
      <c r="O12057" s="10"/>
      <c r="P12057" s="10"/>
      <c r="Q12057" s="10"/>
      <c r="R12057" s="10"/>
      <c r="S12057" s="10"/>
      <c r="T12057" s="10"/>
      <c r="U12057" s="10"/>
      <c r="V12057" s="10"/>
      <c r="W12057" s="10"/>
      <c r="X12057" s="10"/>
      <c r="Y12057" s="10"/>
      <c r="Z12057" s="10"/>
    </row>
    <row r="12058" spans="1:26" ht="12.75">
      <c r="A12058" s="10"/>
      <c r="B12058" s="10"/>
      <c r="C12058" s="10"/>
      <c r="D12058" s="10"/>
      <c r="E12058" s="10"/>
      <c r="F12058" s="10"/>
      <c r="G12058" s="10"/>
      <c r="H12058" s="10"/>
      <c r="I12058" s="10"/>
      <c r="J12058" s="10"/>
      <c r="K12058" s="10"/>
      <c r="L12058" s="10"/>
      <c r="M12058" s="10"/>
      <c r="N12058" s="10"/>
      <c r="O12058" s="10"/>
      <c r="P12058" s="10"/>
      <c r="Q12058" s="10"/>
      <c r="R12058" s="10"/>
      <c r="S12058" s="10"/>
      <c r="T12058" s="10"/>
      <c r="U12058" s="10"/>
      <c r="V12058" s="10"/>
      <c r="W12058" s="10"/>
      <c r="X12058" s="10"/>
      <c r="Y12058" s="10"/>
      <c r="Z12058" s="10"/>
    </row>
    <row r="12059" spans="1:26" ht="12.75">
      <c r="A12059" s="10"/>
      <c r="B12059" s="10"/>
      <c r="C12059" s="10"/>
      <c r="D12059" s="10"/>
      <c r="E12059" s="10"/>
      <c r="F12059" s="10"/>
      <c r="G12059" s="10"/>
      <c r="H12059" s="10"/>
      <c r="I12059" s="10"/>
      <c r="J12059" s="10"/>
      <c r="K12059" s="10"/>
      <c r="L12059" s="10"/>
      <c r="M12059" s="10"/>
      <c r="N12059" s="10"/>
      <c r="O12059" s="10"/>
      <c r="P12059" s="10"/>
      <c r="Q12059" s="10"/>
      <c r="R12059" s="10"/>
      <c r="S12059" s="10"/>
      <c r="T12059" s="10"/>
      <c r="U12059" s="10"/>
      <c r="V12059" s="10"/>
      <c r="W12059" s="10"/>
      <c r="X12059" s="10"/>
      <c r="Y12059" s="10"/>
      <c r="Z12059" s="10"/>
    </row>
    <row r="12060" spans="1:26" ht="12.75">
      <c r="A12060" s="10"/>
      <c r="B12060" s="10"/>
      <c r="C12060" s="10"/>
      <c r="D12060" s="10"/>
      <c r="E12060" s="10"/>
      <c r="F12060" s="10"/>
      <c r="G12060" s="10"/>
      <c r="H12060" s="10"/>
      <c r="I12060" s="10"/>
      <c r="J12060" s="10"/>
      <c r="K12060" s="10"/>
      <c r="L12060" s="10"/>
      <c r="M12060" s="10"/>
      <c r="N12060" s="10"/>
      <c r="O12060" s="10"/>
      <c r="P12060" s="10"/>
      <c r="Q12060" s="10"/>
      <c r="R12060" s="10"/>
      <c r="S12060" s="10"/>
      <c r="T12060" s="10"/>
      <c r="U12060" s="10"/>
      <c r="V12060" s="10"/>
      <c r="W12060" s="10"/>
      <c r="X12060" s="10"/>
      <c r="Y12060" s="10"/>
      <c r="Z12060" s="10"/>
    </row>
    <row r="12061" spans="1:26" ht="12.75">
      <c r="A12061" s="10"/>
      <c r="B12061" s="10"/>
      <c r="C12061" s="10"/>
      <c r="D12061" s="10"/>
      <c r="E12061" s="10"/>
      <c r="F12061" s="10"/>
      <c r="G12061" s="10"/>
      <c r="H12061" s="10"/>
      <c r="I12061" s="10"/>
      <c r="J12061" s="10"/>
      <c r="K12061" s="10"/>
      <c r="L12061" s="10"/>
      <c r="M12061" s="10"/>
      <c r="N12061" s="10"/>
      <c r="O12061" s="10"/>
      <c r="P12061" s="10"/>
      <c r="Q12061" s="10"/>
      <c r="R12061" s="10"/>
      <c r="S12061" s="10"/>
      <c r="T12061" s="10"/>
      <c r="U12061" s="10"/>
      <c r="V12061" s="10"/>
      <c r="W12061" s="10"/>
      <c r="X12061" s="10"/>
      <c r="Y12061" s="10"/>
      <c r="Z12061" s="10"/>
    </row>
    <row r="12062" spans="1:26" ht="12.75">
      <c r="A12062" s="10"/>
      <c r="B12062" s="10"/>
      <c r="C12062" s="10"/>
      <c r="D12062" s="10"/>
      <c r="E12062" s="10"/>
      <c r="F12062" s="10"/>
      <c r="G12062" s="10"/>
      <c r="H12062" s="10"/>
      <c r="I12062" s="10"/>
      <c r="J12062" s="10"/>
      <c r="K12062" s="10"/>
      <c r="L12062" s="10"/>
      <c r="M12062" s="10"/>
      <c r="N12062" s="10"/>
      <c r="O12062" s="10"/>
      <c r="P12062" s="10"/>
      <c r="Q12062" s="10"/>
      <c r="R12062" s="10"/>
      <c r="S12062" s="10"/>
      <c r="T12062" s="10"/>
      <c r="U12062" s="10"/>
      <c r="V12062" s="10"/>
      <c r="W12062" s="10"/>
      <c r="X12062" s="10"/>
      <c r="Y12062" s="10"/>
      <c r="Z12062" s="10"/>
    </row>
    <row r="12063" spans="1:26" ht="12.75">
      <c r="A12063" s="10"/>
      <c r="B12063" s="10"/>
      <c r="C12063" s="10"/>
      <c r="D12063" s="10"/>
      <c r="E12063" s="10"/>
      <c r="F12063" s="10"/>
      <c r="G12063" s="10"/>
      <c r="H12063" s="10"/>
      <c r="I12063" s="10"/>
      <c r="J12063" s="10"/>
      <c r="K12063" s="10"/>
      <c r="L12063" s="10"/>
      <c r="M12063" s="10"/>
      <c r="N12063" s="10"/>
      <c r="O12063" s="10"/>
      <c r="P12063" s="10"/>
      <c r="Q12063" s="10"/>
      <c r="R12063" s="10"/>
      <c r="S12063" s="10"/>
      <c r="T12063" s="10"/>
      <c r="U12063" s="10"/>
      <c r="V12063" s="10"/>
      <c r="W12063" s="10"/>
      <c r="X12063" s="10"/>
      <c r="Y12063" s="10"/>
      <c r="Z12063" s="10"/>
    </row>
    <row r="12064" spans="1:26" ht="12.75">
      <c r="A12064" s="10"/>
      <c r="B12064" s="10"/>
      <c r="C12064" s="10"/>
      <c r="D12064" s="10"/>
      <c r="E12064" s="10"/>
      <c r="F12064" s="10"/>
      <c r="G12064" s="10"/>
      <c r="H12064" s="10"/>
      <c r="I12064" s="10"/>
      <c r="J12064" s="10"/>
      <c r="K12064" s="10"/>
      <c r="L12064" s="10"/>
      <c r="M12064" s="10"/>
      <c r="N12064" s="10"/>
      <c r="O12064" s="10"/>
      <c r="P12064" s="10"/>
      <c r="Q12064" s="10"/>
      <c r="R12064" s="10"/>
      <c r="S12064" s="10"/>
      <c r="T12064" s="10"/>
      <c r="U12064" s="10"/>
      <c r="V12064" s="10"/>
      <c r="W12064" s="10"/>
      <c r="X12064" s="10"/>
      <c r="Y12064" s="10"/>
      <c r="Z12064" s="10"/>
    </row>
    <row r="12065" spans="1:26" ht="12.75">
      <c r="A12065" s="10"/>
      <c r="B12065" s="10"/>
      <c r="C12065" s="10"/>
      <c r="D12065" s="10"/>
      <c r="E12065" s="10"/>
      <c r="F12065" s="10"/>
      <c r="G12065" s="10"/>
      <c r="H12065" s="10"/>
      <c r="I12065" s="10"/>
      <c r="J12065" s="10"/>
      <c r="K12065" s="10"/>
      <c r="L12065" s="10"/>
      <c r="M12065" s="10"/>
      <c r="N12065" s="10"/>
      <c r="O12065" s="10"/>
      <c r="P12065" s="10"/>
      <c r="Q12065" s="10"/>
      <c r="R12065" s="10"/>
      <c r="S12065" s="10"/>
      <c r="T12065" s="10"/>
      <c r="U12065" s="10"/>
      <c r="V12065" s="10"/>
      <c r="W12065" s="10"/>
      <c r="X12065" s="10"/>
      <c r="Y12065" s="10"/>
      <c r="Z12065" s="10"/>
    </row>
    <row r="12066" spans="1:26" ht="12.75">
      <c r="A12066" s="10"/>
      <c r="B12066" s="10"/>
      <c r="C12066" s="10"/>
      <c r="D12066" s="10"/>
      <c r="E12066" s="10"/>
      <c r="F12066" s="10"/>
      <c r="G12066" s="10"/>
      <c r="H12066" s="10"/>
      <c r="I12066" s="10"/>
      <c r="J12066" s="10"/>
      <c r="K12066" s="10"/>
      <c r="L12066" s="10"/>
      <c r="M12066" s="10"/>
      <c r="N12066" s="10"/>
      <c r="O12066" s="10"/>
      <c r="P12066" s="10"/>
      <c r="Q12066" s="10"/>
      <c r="R12066" s="10"/>
      <c r="S12066" s="10"/>
      <c r="T12066" s="10"/>
      <c r="U12066" s="10"/>
      <c r="V12066" s="10"/>
      <c r="W12066" s="10"/>
      <c r="X12066" s="10"/>
      <c r="Y12066" s="10"/>
      <c r="Z12066" s="10"/>
    </row>
    <row r="12067" spans="1:26" ht="12.75">
      <c r="A12067" s="10"/>
      <c r="B12067" s="10"/>
      <c r="C12067" s="10"/>
      <c r="D12067" s="10"/>
      <c r="E12067" s="10"/>
      <c r="F12067" s="10"/>
      <c r="G12067" s="10"/>
      <c r="H12067" s="10"/>
      <c r="I12067" s="10"/>
      <c r="J12067" s="10"/>
      <c r="K12067" s="10"/>
      <c r="L12067" s="10"/>
      <c r="M12067" s="10"/>
      <c r="N12067" s="10"/>
      <c r="O12067" s="10"/>
      <c r="P12067" s="10"/>
      <c r="Q12067" s="10"/>
      <c r="R12067" s="10"/>
      <c r="S12067" s="10"/>
      <c r="T12067" s="10"/>
      <c r="U12067" s="10"/>
      <c r="V12067" s="10"/>
      <c r="W12067" s="10"/>
      <c r="X12067" s="10"/>
      <c r="Y12067" s="10"/>
      <c r="Z12067" s="10"/>
    </row>
    <row r="12068" spans="1:26" ht="12.75">
      <c r="A12068" s="10"/>
      <c r="B12068" s="10"/>
      <c r="C12068" s="10"/>
      <c r="D12068" s="10"/>
      <c r="E12068" s="10"/>
      <c r="F12068" s="10"/>
      <c r="G12068" s="10"/>
      <c r="H12068" s="10"/>
      <c r="I12068" s="10"/>
      <c r="J12068" s="10"/>
      <c r="K12068" s="10"/>
      <c r="L12068" s="10"/>
      <c r="M12068" s="10"/>
      <c r="N12068" s="10"/>
      <c r="O12068" s="10"/>
      <c r="P12068" s="10"/>
      <c r="Q12068" s="10"/>
      <c r="R12068" s="10"/>
      <c r="S12068" s="10"/>
      <c r="T12068" s="10"/>
      <c r="U12068" s="10"/>
      <c r="V12068" s="10"/>
      <c r="W12068" s="10"/>
      <c r="X12068" s="10"/>
      <c r="Y12068" s="10"/>
      <c r="Z12068" s="10"/>
    </row>
    <row r="12069" spans="1:26" ht="12.75">
      <c r="A12069" s="10"/>
      <c r="B12069" s="10"/>
      <c r="C12069" s="10"/>
      <c r="D12069" s="10"/>
      <c r="E12069" s="10"/>
      <c r="F12069" s="10"/>
      <c r="G12069" s="10"/>
      <c r="H12069" s="10"/>
      <c r="I12069" s="10"/>
      <c r="J12069" s="10"/>
      <c r="K12069" s="10"/>
      <c r="L12069" s="10"/>
      <c r="M12069" s="10"/>
      <c r="N12069" s="10"/>
      <c r="O12069" s="10"/>
      <c r="P12069" s="10"/>
      <c r="Q12069" s="10"/>
      <c r="R12069" s="10"/>
      <c r="S12069" s="10"/>
      <c r="T12069" s="10"/>
      <c r="U12069" s="10"/>
      <c r="V12069" s="10"/>
      <c r="W12069" s="10"/>
      <c r="X12069" s="10"/>
      <c r="Y12069" s="10"/>
      <c r="Z12069" s="10"/>
    </row>
    <row r="12070" spans="1:26" ht="12.75">
      <c r="A12070" s="10"/>
      <c r="B12070" s="10"/>
      <c r="C12070" s="10"/>
      <c r="D12070" s="10"/>
      <c r="E12070" s="10"/>
      <c r="F12070" s="10"/>
      <c r="G12070" s="10"/>
      <c r="H12070" s="10"/>
      <c r="I12070" s="10"/>
      <c r="J12070" s="10"/>
      <c r="K12070" s="10"/>
      <c r="L12070" s="10"/>
      <c r="M12070" s="10"/>
      <c r="N12070" s="10"/>
      <c r="O12070" s="10"/>
      <c r="P12070" s="10"/>
      <c r="Q12070" s="10"/>
      <c r="R12070" s="10"/>
      <c r="S12070" s="10"/>
      <c r="T12070" s="10"/>
      <c r="U12070" s="10"/>
      <c r="V12070" s="10"/>
      <c r="W12070" s="10"/>
      <c r="X12070" s="10"/>
      <c r="Y12070" s="10"/>
      <c r="Z12070" s="10"/>
    </row>
    <row r="12071" spans="1:26" ht="12.75">
      <c r="A12071" s="10"/>
      <c r="B12071" s="10"/>
      <c r="C12071" s="10"/>
      <c r="D12071" s="10"/>
      <c r="E12071" s="10"/>
      <c r="F12071" s="10"/>
      <c r="G12071" s="10"/>
      <c r="H12071" s="10"/>
      <c r="I12071" s="10"/>
      <c r="J12071" s="10"/>
      <c r="K12071" s="10"/>
      <c r="L12071" s="10"/>
      <c r="M12071" s="10"/>
      <c r="N12071" s="10"/>
      <c r="O12071" s="10"/>
      <c r="P12071" s="10"/>
      <c r="Q12071" s="10"/>
      <c r="R12071" s="10"/>
      <c r="S12071" s="10"/>
      <c r="T12071" s="10"/>
      <c r="U12071" s="10"/>
      <c r="V12071" s="10"/>
      <c r="W12071" s="10"/>
      <c r="X12071" s="10"/>
      <c r="Y12071" s="10"/>
      <c r="Z12071" s="10"/>
    </row>
    <row r="12072" spans="1:26" ht="12.75">
      <c r="A12072" s="10"/>
      <c r="B12072" s="10"/>
      <c r="C12072" s="10"/>
      <c r="D12072" s="10"/>
      <c r="E12072" s="10"/>
      <c r="F12072" s="10"/>
      <c r="G12072" s="10"/>
      <c r="H12072" s="10"/>
      <c r="I12072" s="10"/>
      <c r="J12072" s="10"/>
      <c r="K12072" s="10"/>
      <c r="L12072" s="10"/>
      <c r="M12072" s="10"/>
      <c r="N12072" s="10"/>
      <c r="O12072" s="10"/>
      <c r="P12072" s="10"/>
      <c r="Q12072" s="10"/>
      <c r="R12072" s="10"/>
      <c r="S12072" s="10"/>
      <c r="T12072" s="10"/>
      <c r="U12072" s="10"/>
      <c r="V12072" s="10"/>
      <c r="W12072" s="10"/>
      <c r="X12072" s="10"/>
      <c r="Y12072" s="10"/>
      <c r="Z12072" s="10"/>
    </row>
    <row r="12073" spans="1:26" ht="12.75">
      <c r="A12073" s="10"/>
      <c r="B12073" s="10"/>
      <c r="C12073" s="10"/>
      <c r="D12073" s="10"/>
      <c r="E12073" s="10"/>
      <c r="F12073" s="10"/>
      <c r="G12073" s="10"/>
      <c r="H12073" s="10"/>
      <c r="I12073" s="10"/>
      <c r="J12073" s="10"/>
      <c r="K12073" s="10"/>
      <c r="L12073" s="10"/>
      <c r="M12073" s="10"/>
      <c r="N12073" s="10"/>
      <c r="O12073" s="10"/>
      <c r="P12073" s="10"/>
      <c r="Q12073" s="10"/>
      <c r="R12073" s="10"/>
      <c r="S12073" s="10"/>
      <c r="T12073" s="10"/>
      <c r="U12073" s="10"/>
      <c r="V12073" s="10"/>
      <c r="W12073" s="10"/>
      <c r="X12073" s="10"/>
      <c r="Y12073" s="10"/>
      <c r="Z12073" s="10"/>
    </row>
    <row r="12074" spans="1:26" ht="12.75">
      <c r="A12074" s="10"/>
      <c r="B12074" s="10"/>
      <c r="C12074" s="10"/>
      <c r="D12074" s="10"/>
      <c r="E12074" s="10"/>
      <c r="F12074" s="10"/>
      <c r="G12074" s="10"/>
      <c r="H12074" s="10"/>
      <c r="I12074" s="10"/>
      <c r="J12074" s="10"/>
      <c r="K12074" s="10"/>
      <c r="L12074" s="10"/>
      <c r="M12074" s="10"/>
      <c r="N12074" s="10"/>
      <c r="O12074" s="10"/>
      <c r="P12074" s="10"/>
      <c r="Q12074" s="10"/>
      <c r="R12074" s="10"/>
      <c r="S12074" s="10"/>
      <c r="T12074" s="10"/>
      <c r="U12074" s="10"/>
      <c r="V12074" s="10"/>
      <c r="W12074" s="10"/>
      <c r="X12074" s="10"/>
      <c r="Y12074" s="10"/>
      <c r="Z12074" s="10"/>
    </row>
    <row r="12075" spans="1:26" ht="12.75">
      <c r="A12075" s="10"/>
      <c r="B12075" s="10"/>
      <c r="C12075" s="10"/>
      <c r="D12075" s="10"/>
      <c r="E12075" s="10"/>
      <c r="F12075" s="10"/>
      <c r="G12075" s="10"/>
      <c r="H12075" s="10"/>
      <c r="I12075" s="10"/>
      <c r="J12075" s="10"/>
      <c r="K12075" s="10"/>
      <c r="L12075" s="10"/>
      <c r="M12075" s="10"/>
      <c r="N12075" s="10"/>
      <c r="O12075" s="10"/>
      <c r="P12075" s="10"/>
      <c r="Q12075" s="10"/>
      <c r="R12075" s="10"/>
      <c r="S12075" s="10"/>
      <c r="T12075" s="10"/>
      <c r="U12075" s="10"/>
      <c r="V12075" s="10"/>
      <c r="W12075" s="10"/>
      <c r="X12075" s="10"/>
      <c r="Y12075" s="10"/>
      <c r="Z12075" s="10"/>
    </row>
    <row r="12076" spans="1:26" ht="12.75">
      <c r="A12076" s="10"/>
      <c r="B12076" s="10"/>
      <c r="C12076" s="10"/>
      <c r="D12076" s="10"/>
      <c r="E12076" s="10"/>
      <c r="F12076" s="10"/>
      <c r="G12076" s="10"/>
      <c r="H12076" s="10"/>
      <c r="I12076" s="10"/>
      <c r="J12076" s="10"/>
      <c r="K12076" s="10"/>
      <c r="L12076" s="10"/>
      <c r="M12076" s="10"/>
      <c r="N12076" s="10"/>
      <c r="O12076" s="10"/>
      <c r="P12076" s="10"/>
      <c r="Q12076" s="10"/>
      <c r="R12076" s="10"/>
      <c r="S12076" s="10"/>
      <c r="T12076" s="10"/>
      <c r="U12076" s="10"/>
      <c r="V12076" s="10"/>
      <c r="W12076" s="10"/>
      <c r="X12076" s="10"/>
      <c r="Y12076" s="10"/>
      <c r="Z12076" s="10"/>
    </row>
    <row r="12077" spans="1:26" ht="12.75">
      <c r="A12077" s="10"/>
      <c r="B12077" s="10"/>
      <c r="C12077" s="10"/>
      <c r="D12077" s="10"/>
      <c r="E12077" s="10"/>
      <c r="F12077" s="10"/>
      <c r="G12077" s="10"/>
      <c r="H12077" s="10"/>
      <c r="I12077" s="10"/>
      <c r="J12077" s="10"/>
      <c r="K12077" s="10"/>
      <c r="L12077" s="10"/>
      <c r="M12077" s="10"/>
      <c r="N12077" s="10"/>
      <c r="O12077" s="10"/>
      <c r="P12077" s="10"/>
      <c r="Q12077" s="10"/>
      <c r="R12077" s="10"/>
      <c r="S12077" s="10"/>
      <c r="T12077" s="10"/>
      <c r="U12077" s="10"/>
      <c r="V12077" s="10"/>
      <c r="W12077" s="10"/>
      <c r="X12077" s="10"/>
      <c r="Y12077" s="10"/>
      <c r="Z12077" s="10"/>
    </row>
    <row r="12078" spans="1:26" ht="12.75">
      <c r="A12078" s="10"/>
      <c r="B12078" s="10"/>
      <c r="C12078" s="10"/>
      <c r="D12078" s="10"/>
      <c r="E12078" s="10"/>
      <c r="F12078" s="10"/>
      <c r="G12078" s="10"/>
      <c r="H12078" s="10"/>
      <c r="I12078" s="10"/>
      <c r="J12078" s="10"/>
      <c r="K12078" s="10"/>
      <c r="L12078" s="10"/>
      <c r="M12078" s="10"/>
      <c r="N12078" s="10"/>
      <c r="O12078" s="10"/>
      <c r="P12078" s="10"/>
      <c r="Q12078" s="10"/>
      <c r="R12078" s="10"/>
      <c r="S12078" s="10"/>
      <c r="T12078" s="10"/>
      <c r="U12078" s="10"/>
      <c r="V12078" s="10"/>
      <c r="W12078" s="10"/>
      <c r="X12078" s="10"/>
      <c r="Y12078" s="10"/>
      <c r="Z12078" s="10"/>
    </row>
    <row r="12079" spans="1:26" ht="12.75">
      <c r="A12079" s="10"/>
      <c r="B12079" s="10"/>
      <c r="C12079" s="10"/>
      <c r="D12079" s="10"/>
      <c r="E12079" s="10"/>
      <c r="F12079" s="10"/>
      <c r="G12079" s="10"/>
      <c r="H12079" s="10"/>
      <c r="I12079" s="10"/>
      <c r="J12079" s="10"/>
      <c r="K12079" s="10"/>
      <c r="L12079" s="10"/>
      <c r="M12079" s="10"/>
      <c r="N12079" s="10"/>
      <c r="O12079" s="10"/>
      <c r="P12079" s="10"/>
      <c r="Q12079" s="10"/>
      <c r="R12079" s="10"/>
      <c r="S12079" s="10"/>
      <c r="T12079" s="10"/>
      <c r="U12079" s="10"/>
      <c r="V12079" s="10"/>
      <c r="W12079" s="10"/>
      <c r="X12079" s="10"/>
      <c r="Y12079" s="10"/>
      <c r="Z12079" s="10"/>
    </row>
    <row r="12080" spans="1:26" ht="12.75">
      <c r="A12080" s="10"/>
      <c r="B12080" s="10"/>
      <c r="C12080" s="10"/>
      <c r="D12080" s="10"/>
      <c r="E12080" s="10"/>
      <c r="F12080" s="10"/>
      <c r="G12080" s="10"/>
      <c r="H12080" s="10"/>
      <c r="I12080" s="10"/>
      <c r="J12080" s="10"/>
      <c r="K12080" s="10"/>
      <c r="L12080" s="10"/>
      <c r="M12080" s="10"/>
      <c r="N12080" s="10"/>
      <c r="O12080" s="10"/>
      <c r="P12080" s="10"/>
      <c r="Q12080" s="10"/>
      <c r="R12080" s="10"/>
      <c r="S12080" s="10"/>
      <c r="T12080" s="10"/>
      <c r="U12080" s="10"/>
      <c r="V12080" s="10"/>
      <c r="W12080" s="10"/>
      <c r="X12080" s="10"/>
      <c r="Y12080" s="10"/>
      <c r="Z12080" s="10"/>
    </row>
    <row r="12081" spans="1:26" ht="12.75">
      <c r="A12081" s="10"/>
      <c r="B12081" s="10"/>
      <c r="C12081" s="10"/>
      <c r="D12081" s="10"/>
      <c r="E12081" s="10"/>
      <c r="F12081" s="10"/>
      <c r="G12081" s="10"/>
      <c r="H12081" s="10"/>
      <c r="I12081" s="10"/>
      <c r="J12081" s="10"/>
      <c r="K12081" s="10"/>
      <c r="L12081" s="10"/>
      <c r="M12081" s="10"/>
      <c r="N12081" s="10"/>
      <c r="O12081" s="10"/>
      <c r="P12081" s="10"/>
      <c r="Q12081" s="10"/>
      <c r="R12081" s="10"/>
      <c r="S12081" s="10"/>
      <c r="T12081" s="10"/>
      <c r="U12081" s="10"/>
      <c r="V12081" s="10"/>
      <c r="W12081" s="10"/>
      <c r="X12081" s="10"/>
      <c r="Y12081" s="10"/>
      <c r="Z12081" s="10"/>
    </row>
    <row r="12082" spans="1:26" ht="12.75">
      <c r="A12082" s="10"/>
      <c r="B12082" s="10"/>
      <c r="C12082" s="10"/>
      <c r="D12082" s="10"/>
      <c r="E12082" s="10"/>
      <c r="F12082" s="10"/>
      <c r="G12082" s="10"/>
      <c r="H12082" s="10"/>
      <c r="I12082" s="10"/>
      <c r="J12082" s="10"/>
      <c r="K12082" s="10"/>
      <c r="L12082" s="10"/>
      <c r="M12082" s="10"/>
      <c r="N12082" s="10"/>
      <c r="O12082" s="10"/>
      <c r="P12082" s="10"/>
      <c r="Q12082" s="10"/>
      <c r="R12082" s="10"/>
      <c r="S12082" s="10"/>
      <c r="T12082" s="10"/>
      <c r="U12082" s="10"/>
      <c r="V12082" s="10"/>
      <c r="W12082" s="10"/>
      <c r="X12082" s="10"/>
      <c r="Y12082" s="10"/>
      <c r="Z12082" s="10"/>
    </row>
    <row r="12083" spans="1:26" ht="12.75">
      <c r="A12083" s="10"/>
      <c r="B12083" s="10"/>
      <c r="C12083" s="10"/>
      <c r="D12083" s="10"/>
      <c r="E12083" s="10"/>
      <c r="F12083" s="10"/>
      <c r="G12083" s="10"/>
      <c r="H12083" s="10"/>
      <c r="I12083" s="10"/>
      <c r="J12083" s="10"/>
      <c r="K12083" s="10"/>
      <c r="L12083" s="10"/>
      <c r="M12083" s="10"/>
      <c r="N12083" s="10"/>
      <c r="O12083" s="10"/>
      <c r="P12083" s="10"/>
      <c r="Q12083" s="10"/>
      <c r="R12083" s="10"/>
      <c r="S12083" s="10"/>
      <c r="T12083" s="10"/>
      <c r="U12083" s="10"/>
      <c r="V12083" s="10"/>
      <c r="W12083" s="10"/>
      <c r="X12083" s="10"/>
      <c r="Y12083" s="10"/>
      <c r="Z12083" s="10"/>
    </row>
    <row r="12084" spans="1:26" ht="12.75">
      <c r="A12084" s="10"/>
      <c r="B12084" s="10"/>
      <c r="C12084" s="10"/>
      <c r="D12084" s="10"/>
      <c r="E12084" s="10"/>
      <c r="F12084" s="10"/>
      <c r="G12084" s="10"/>
      <c r="H12084" s="10"/>
      <c r="I12084" s="10"/>
      <c r="J12084" s="10"/>
      <c r="K12084" s="10"/>
      <c r="L12084" s="10"/>
      <c r="M12084" s="10"/>
      <c r="N12084" s="10"/>
      <c r="O12084" s="10"/>
      <c r="P12084" s="10"/>
      <c r="Q12084" s="10"/>
      <c r="R12084" s="10"/>
      <c r="S12084" s="10"/>
      <c r="T12084" s="10"/>
      <c r="U12084" s="10"/>
      <c r="V12084" s="10"/>
      <c r="W12084" s="10"/>
      <c r="X12084" s="10"/>
      <c r="Y12084" s="10"/>
      <c r="Z12084" s="10"/>
    </row>
    <row r="12085" spans="1:26" ht="12.75">
      <c r="A12085" s="10"/>
      <c r="B12085" s="10"/>
      <c r="C12085" s="10"/>
      <c r="D12085" s="10"/>
      <c r="E12085" s="10"/>
      <c r="F12085" s="10"/>
      <c r="G12085" s="10"/>
      <c r="H12085" s="10"/>
      <c r="I12085" s="10"/>
      <c r="J12085" s="10"/>
      <c r="K12085" s="10"/>
      <c r="L12085" s="10"/>
      <c r="M12085" s="10"/>
      <c r="N12085" s="10"/>
      <c r="O12085" s="10"/>
      <c r="P12085" s="10"/>
      <c r="Q12085" s="10"/>
      <c r="R12085" s="10"/>
      <c r="S12085" s="10"/>
      <c r="T12085" s="10"/>
      <c r="U12085" s="10"/>
      <c r="V12085" s="10"/>
      <c r="W12085" s="10"/>
      <c r="X12085" s="10"/>
      <c r="Y12085" s="10"/>
      <c r="Z12085" s="10"/>
    </row>
    <row r="12086" spans="1:26" ht="12.75">
      <c r="A12086" s="10"/>
      <c r="B12086" s="10"/>
      <c r="C12086" s="10"/>
      <c r="D12086" s="10"/>
      <c r="E12086" s="10"/>
      <c r="F12086" s="10"/>
      <c r="G12086" s="10"/>
      <c r="H12086" s="10"/>
      <c r="I12086" s="10"/>
      <c r="J12086" s="10"/>
      <c r="K12086" s="10"/>
      <c r="L12086" s="10"/>
      <c r="M12086" s="10"/>
      <c r="N12086" s="10"/>
      <c r="O12086" s="10"/>
      <c r="P12086" s="10"/>
      <c r="Q12086" s="10"/>
      <c r="R12086" s="10"/>
      <c r="S12086" s="10"/>
      <c r="T12086" s="10"/>
      <c r="U12086" s="10"/>
      <c r="V12086" s="10"/>
      <c r="W12086" s="10"/>
      <c r="X12086" s="10"/>
      <c r="Y12086" s="10"/>
      <c r="Z12086" s="10"/>
    </row>
    <row r="12087" spans="1:26" ht="12.75">
      <c r="A12087" s="10"/>
      <c r="B12087" s="10"/>
      <c r="C12087" s="10"/>
      <c r="D12087" s="10"/>
      <c r="E12087" s="10"/>
      <c r="F12087" s="10"/>
      <c r="G12087" s="10"/>
      <c r="H12087" s="10"/>
      <c r="I12087" s="10"/>
      <c r="J12087" s="10"/>
      <c r="K12087" s="10"/>
      <c r="L12087" s="10"/>
      <c r="M12087" s="10"/>
      <c r="N12087" s="10"/>
      <c r="O12087" s="10"/>
      <c r="P12087" s="10"/>
      <c r="Q12087" s="10"/>
      <c r="R12087" s="10"/>
      <c r="S12087" s="10"/>
      <c r="T12087" s="10"/>
      <c r="U12087" s="10"/>
      <c r="V12087" s="10"/>
      <c r="W12087" s="10"/>
      <c r="X12087" s="10"/>
      <c r="Y12087" s="10"/>
      <c r="Z12087" s="10"/>
    </row>
    <row r="12088" spans="1:26" ht="12.75">
      <c r="A12088" s="10"/>
      <c r="B12088" s="10"/>
      <c r="C12088" s="10"/>
      <c r="D12088" s="10"/>
      <c r="E12088" s="10"/>
      <c r="F12088" s="10"/>
      <c r="G12088" s="10"/>
      <c r="H12088" s="10"/>
      <c r="I12088" s="10"/>
      <c r="J12088" s="10"/>
      <c r="K12088" s="10"/>
      <c r="L12088" s="10"/>
      <c r="M12088" s="10"/>
      <c r="N12088" s="10"/>
      <c r="O12088" s="10"/>
      <c r="P12088" s="10"/>
      <c r="Q12088" s="10"/>
      <c r="R12088" s="10"/>
      <c r="S12088" s="10"/>
      <c r="T12088" s="10"/>
      <c r="U12088" s="10"/>
      <c r="V12088" s="10"/>
      <c r="W12088" s="10"/>
      <c r="X12088" s="10"/>
      <c r="Y12088" s="10"/>
      <c r="Z12088" s="10"/>
    </row>
    <row r="12089" spans="1:26" ht="12.75">
      <c r="A12089" s="10"/>
      <c r="B12089" s="10"/>
      <c r="C12089" s="10"/>
      <c r="D12089" s="10"/>
      <c r="E12089" s="10"/>
      <c r="F12089" s="10"/>
      <c r="G12089" s="10"/>
      <c r="H12089" s="10"/>
      <c r="I12089" s="10"/>
      <c r="J12089" s="10"/>
      <c r="K12089" s="10"/>
      <c r="L12089" s="10"/>
      <c r="M12089" s="10"/>
      <c r="N12089" s="10"/>
      <c r="O12089" s="10"/>
      <c r="P12089" s="10"/>
      <c r="Q12089" s="10"/>
      <c r="R12089" s="10"/>
      <c r="S12089" s="10"/>
      <c r="T12089" s="10"/>
      <c r="U12089" s="10"/>
      <c r="V12089" s="10"/>
      <c r="W12089" s="10"/>
      <c r="X12089" s="10"/>
      <c r="Y12089" s="10"/>
      <c r="Z12089" s="10"/>
    </row>
    <row r="12090" spans="1:26" ht="12.75">
      <c r="A12090" s="10"/>
      <c r="B12090" s="10"/>
      <c r="C12090" s="10"/>
      <c r="D12090" s="10"/>
      <c r="E12090" s="10"/>
      <c r="F12090" s="10"/>
      <c r="G12090" s="10"/>
      <c r="H12090" s="10"/>
      <c r="I12090" s="10"/>
      <c r="J12090" s="10"/>
      <c r="K12090" s="10"/>
      <c r="L12090" s="10"/>
      <c r="M12090" s="10"/>
      <c r="N12090" s="10"/>
      <c r="O12090" s="10"/>
      <c r="P12090" s="10"/>
      <c r="Q12090" s="10"/>
      <c r="R12090" s="10"/>
      <c r="S12090" s="10"/>
      <c r="T12090" s="10"/>
      <c r="U12090" s="10"/>
      <c r="V12090" s="10"/>
      <c r="W12090" s="10"/>
      <c r="X12090" s="10"/>
      <c r="Y12090" s="10"/>
      <c r="Z12090" s="10"/>
    </row>
    <row r="12091" spans="1:26" ht="12.75">
      <c r="A12091" s="10"/>
      <c r="B12091" s="10"/>
      <c r="C12091" s="10"/>
      <c r="D12091" s="10"/>
      <c r="E12091" s="10"/>
      <c r="F12091" s="10"/>
      <c r="G12091" s="10"/>
      <c r="H12091" s="10"/>
      <c r="I12091" s="10"/>
      <c r="J12091" s="10"/>
      <c r="K12091" s="10"/>
      <c r="L12091" s="10"/>
      <c r="M12091" s="10"/>
      <c r="N12091" s="10"/>
      <c r="O12091" s="10"/>
      <c r="P12091" s="10"/>
      <c r="Q12091" s="10"/>
      <c r="R12091" s="10"/>
      <c r="S12091" s="10"/>
      <c r="T12091" s="10"/>
      <c r="U12091" s="10"/>
      <c r="V12091" s="10"/>
      <c r="W12091" s="10"/>
      <c r="X12091" s="10"/>
      <c r="Y12091" s="10"/>
      <c r="Z12091" s="10"/>
    </row>
    <row r="12092" spans="1:26" ht="12.75">
      <c r="A12092" s="10"/>
      <c r="B12092" s="10"/>
      <c r="C12092" s="10"/>
      <c r="D12092" s="10"/>
      <c r="E12092" s="10"/>
      <c r="F12092" s="10"/>
      <c r="G12092" s="10"/>
      <c r="H12092" s="10"/>
      <c r="I12092" s="10"/>
      <c r="J12092" s="10"/>
      <c r="K12092" s="10"/>
      <c r="L12092" s="10"/>
      <c r="M12092" s="10"/>
      <c r="N12092" s="10"/>
      <c r="O12092" s="10"/>
      <c r="P12092" s="10"/>
      <c r="Q12092" s="10"/>
      <c r="R12092" s="10"/>
      <c r="S12092" s="10"/>
      <c r="T12092" s="10"/>
      <c r="U12092" s="10"/>
      <c r="V12092" s="10"/>
      <c r="W12092" s="10"/>
      <c r="X12092" s="10"/>
      <c r="Y12092" s="10"/>
      <c r="Z12092" s="10"/>
    </row>
    <row r="12093" spans="1:26" ht="12.75">
      <c r="A12093" s="10"/>
      <c r="B12093" s="10"/>
      <c r="C12093" s="10"/>
      <c r="D12093" s="10"/>
      <c r="E12093" s="10"/>
      <c r="F12093" s="10"/>
      <c r="G12093" s="10"/>
      <c r="H12093" s="10"/>
      <c r="I12093" s="10"/>
      <c r="J12093" s="10"/>
      <c r="K12093" s="10"/>
      <c r="L12093" s="10"/>
      <c r="M12093" s="10"/>
      <c r="N12093" s="10"/>
      <c r="O12093" s="10"/>
      <c r="P12093" s="10"/>
      <c r="Q12093" s="10"/>
      <c r="R12093" s="10"/>
      <c r="S12093" s="10"/>
      <c r="T12093" s="10"/>
      <c r="U12093" s="10"/>
      <c r="V12093" s="10"/>
      <c r="W12093" s="10"/>
      <c r="X12093" s="10"/>
      <c r="Y12093" s="10"/>
      <c r="Z12093" s="10"/>
    </row>
    <row r="12094" spans="1:26" ht="12.75">
      <c r="A12094" s="10"/>
      <c r="B12094" s="10"/>
      <c r="C12094" s="10"/>
      <c r="D12094" s="10"/>
      <c r="E12094" s="10"/>
      <c r="F12094" s="10"/>
      <c r="G12094" s="10"/>
      <c r="H12094" s="10"/>
      <c r="I12094" s="10"/>
      <c r="J12094" s="10"/>
      <c r="K12094" s="10"/>
      <c r="L12094" s="10"/>
      <c r="M12094" s="10"/>
      <c r="N12094" s="10"/>
      <c r="O12094" s="10"/>
      <c r="P12094" s="10"/>
      <c r="Q12094" s="10"/>
      <c r="R12094" s="10"/>
      <c r="S12094" s="10"/>
      <c r="T12094" s="10"/>
      <c r="U12094" s="10"/>
      <c r="V12094" s="10"/>
      <c r="W12094" s="10"/>
      <c r="X12094" s="10"/>
      <c r="Y12094" s="10"/>
      <c r="Z12094" s="10"/>
    </row>
    <row r="12095" spans="1:26" ht="12.75">
      <c r="A12095" s="10"/>
      <c r="B12095" s="10"/>
      <c r="C12095" s="10"/>
      <c r="D12095" s="10"/>
      <c r="E12095" s="10"/>
      <c r="F12095" s="10"/>
      <c r="G12095" s="10"/>
      <c r="H12095" s="10"/>
      <c r="I12095" s="10"/>
      <c r="J12095" s="10"/>
      <c r="K12095" s="10"/>
      <c r="L12095" s="10"/>
      <c r="M12095" s="10"/>
      <c r="N12095" s="10"/>
      <c r="O12095" s="10"/>
      <c r="P12095" s="10"/>
      <c r="Q12095" s="10"/>
      <c r="R12095" s="10"/>
      <c r="S12095" s="10"/>
      <c r="T12095" s="10"/>
      <c r="U12095" s="10"/>
      <c r="V12095" s="10"/>
      <c r="W12095" s="10"/>
      <c r="X12095" s="10"/>
      <c r="Y12095" s="10"/>
      <c r="Z12095" s="10"/>
    </row>
    <row r="12096" spans="1:26" ht="12.75">
      <c r="A12096" s="10"/>
      <c r="B12096" s="10"/>
      <c r="C12096" s="10"/>
      <c r="D12096" s="10"/>
      <c r="E12096" s="10"/>
      <c r="F12096" s="10"/>
      <c r="G12096" s="10"/>
      <c r="H12096" s="10"/>
      <c r="I12096" s="10"/>
      <c r="J12096" s="10"/>
      <c r="K12096" s="10"/>
      <c r="L12096" s="10"/>
      <c r="M12096" s="10"/>
      <c r="N12096" s="10"/>
      <c r="O12096" s="10"/>
      <c r="P12096" s="10"/>
      <c r="Q12096" s="10"/>
      <c r="R12096" s="10"/>
      <c r="S12096" s="10"/>
      <c r="T12096" s="10"/>
      <c r="U12096" s="10"/>
      <c r="V12096" s="10"/>
      <c r="W12096" s="10"/>
      <c r="X12096" s="10"/>
      <c r="Y12096" s="10"/>
      <c r="Z12096" s="10"/>
    </row>
    <row r="12097" spans="1:26" ht="12.75">
      <c r="A12097" s="10"/>
      <c r="B12097" s="10"/>
      <c r="C12097" s="10"/>
      <c r="D12097" s="10"/>
      <c r="E12097" s="10"/>
      <c r="F12097" s="10"/>
      <c r="G12097" s="10"/>
      <c r="H12097" s="10"/>
      <c r="I12097" s="10"/>
      <c r="J12097" s="10"/>
      <c r="K12097" s="10"/>
      <c r="L12097" s="10"/>
      <c r="M12097" s="10"/>
      <c r="N12097" s="10"/>
      <c r="O12097" s="10"/>
      <c r="P12097" s="10"/>
      <c r="Q12097" s="10"/>
      <c r="R12097" s="10"/>
      <c r="S12097" s="10"/>
      <c r="T12097" s="10"/>
      <c r="U12097" s="10"/>
      <c r="V12097" s="10"/>
      <c r="W12097" s="10"/>
      <c r="X12097" s="10"/>
      <c r="Y12097" s="10"/>
      <c r="Z12097" s="10"/>
    </row>
    <row r="12098" spans="1:26" ht="12.75">
      <c r="A12098" s="10"/>
      <c r="B12098" s="10"/>
      <c r="C12098" s="10"/>
      <c r="D12098" s="10"/>
      <c r="E12098" s="10"/>
      <c r="F12098" s="10"/>
      <c r="G12098" s="10"/>
      <c r="H12098" s="10"/>
      <c r="I12098" s="10"/>
      <c r="J12098" s="10"/>
      <c r="K12098" s="10"/>
      <c r="L12098" s="10"/>
      <c r="M12098" s="10"/>
      <c r="N12098" s="10"/>
      <c r="O12098" s="10"/>
      <c r="P12098" s="10"/>
      <c r="Q12098" s="10"/>
      <c r="R12098" s="10"/>
      <c r="S12098" s="10"/>
      <c r="T12098" s="10"/>
      <c r="U12098" s="10"/>
      <c r="V12098" s="10"/>
      <c r="W12098" s="10"/>
      <c r="X12098" s="10"/>
      <c r="Y12098" s="10"/>
      <c r="Z12098" s="10"/>
    </row>
    <row r="12099" spans="1:26" ht="12.75">
      <c r="A12099" s="10"/>
      <c r="B12099" s="10"/>
      <c r="C12099" s="10"/>
      <c r="D12099" s="10"/>
      <c r="E12099" s="10"/>
      <c r="F12099" s="10"/>
      <c r="G12099" s="10"/>
      <c r="H12099" s="10"/>
      <c r="I12099" s="10"/>
      <c r="J12099" s="10"/>
      <c r="K12099" s="10"/>
      <c r="L12099" s="10"/>
      <c r="M12099" s="10"/>
      <c r="N12099" s="10"/>
      <c r="O12099" s="10"/>
      <c r="P12099" s="10"/>
      <c r="Q12099" s="10"/>
      <c r="R12099" s="10"/>
      <c r="S12099" s="10"/>
      <c r="T12099" s="10"/>
      <c r="U12099" s="10"/>
      <c r="V12099" s="10"/>
      <c r="W12099" s="10"/>
      <c r="X12099" s="10"/>
      <c r="Y12099" s="10"/>
      <c r="Z12099" s="10"/>
    </row>
    <row r="12100" spans="1:26" ht="12.75">
      <c r="A12100" s="10"/>
      <c r="B12100" s="10"/>
      <c r="C12100" s="10"/>
      <c r="D12100" s="10"/>
      <c r="E12100" s="10"/>
      <c r="F12100" s="10"/>
      <c r="G12100" s="10"/>
      <c r="H12100" s="10"/>
      <c r="I12100" s="10"/>
      <c r="J12100" s="10"/>
      <c r="K12100" s="10"/>
      <c r="L12100" s="10"/>
      <c r="M12100" s="10"/>
      <c r="N12100" s="10"/>
      <c r="O12100" s="10"/>
      <c r="P12100" s="10"/>
      <c r="Q12100" s="10"/>
      <c r="R12100" s="10"/>
      <c r="S12100" s="10"/>
      <c r="T12100" s="10"/>
      <c r="U12100" s="10"/>
      <c r="V12100" s="10"/>
      <c r="W12100" s="10"/>
      <c r="X12100" s="10"/>
      <c r="Y12100" s="10"/>
      <c r="Z12100" s="10"/>
    </row>
    <row r="12101" spans="1:26" ht="12.75">
      <c r="A12101" s="10"/>
      <c r="B12101" s="10"/>
      <c r="C12101" s="10"/>
      <c r="D12101" s="10"/>
      <c r="E12101" s="10"/>
      <c r="F12101" s="10"/>
      <c r="G12101" s="10"/>
      <c r="H12101" s="10"/>
      <c r="I12101" s="10"/>
      <c r="J12101" s="10"/>
      <c r="K12101" s="10"/>
      <c r="L12101" s="10"/>
      <c r="M12101" s="10"/>
      <c r="N12101" s="10"/>
      <c r="O12101" s="10"/>
      <c r="P12101" s="10"/>
      <c r="Q12101" s="10"/>
      <c r="R12101" s="10"/>
      <c r="S12101" s="10"/>
      <c r="T12101" s="10"/>
      <c r="U12101" s="10"/>
      <c r="V12101" s="10"/>
      <c r="W12101" s="10"/>
      <c r="X12101" s="10"/>
      <c r="Y12101" s="10"/>
      <c r="Z12101" s="10"/>
    </row>
    <row r="12102" spans="1:26" ht="12.75">
      <c r="A12102" s="10"/>
      <c r="B12102" s="10"/>
      <c r="C12102" s="10"/>
      <c r="D12102" s="10"/>
      <c r="E12102" s="10"/>
      <c r="F12102" s="10"/>
      <c r="G12102" s="10"/>
      <c r="H12102" s="10"/>
      <c r="I12102" s="10"/>
      <c r="J12102" s="10"/>
      <c r="K12102" s="10"/>
      <c r="L12102" s="10"/>
      <c r="M12102" s="10"/>
      <c r="N12102" s="10"/>
      <c r="O12102" s="10"/>
      <c r="P12102" s="10"/>
      <c r="Q12102" s="10"/>
      <c r="R12102" s="10"/>
      <c r="S12102" s="10"/>
      <c r="T12102" s="10"/>
      <c r="U12102" s="10"/>
      <c r="V12102" s="10"/>
      <c r="W12102" s="10"/>
      <c r="X12102" s="10"/>
      <c r="Y12102" s="10"/>
      <c r="Z12102" s="10"/>
    </row>
    <row r="12103" spans="1:26" ht="12.75">
      <c r="A12103" s="10"/>
      <c r="B12103" s="10"/>
      <c r="C12103" s="10"/>
      <c r="D12103" s="10"/>
      <c r="E12103" s="10"/>
      <c r="F12103" s="10"/>
      <c r="G12103" s="10"/>
      <c r="H12103" s="10"/>
      <c r="I12103" s="10"/>
      <c r="J12103" s="10"/>
      <c r="K12103" s="10"/>
      <c r="L12103" s="10"/>
      <c r="M12103" s="10"/>
      <c r="N12103" s="10"/>
      <c r="O12103" s="10"/>
      <c r="P12103" s="10"/>
      <c r="Q12103" s="10"/>
      <c r="R12103" s="10"/>
      <c r="S12103" s="10"/>
      <c r="T12103" s="10"/>
      <c r="U12103" s="10"/>
      <c r="V12103" s="10"/>
      <c r="W12103" s="10"/>
      <c r="X12103" s="10"/>
      <c r="Y12103" s="10"/>
      <c r="Z12103" s="10"/>
    </row>
    <row r="12104" spans="1:26" ht="12.75">
      <c r="A12104" s="10"/>
      <c r="B12104" s="10"/>
      <c r="C12104" s="10"/>
      <c r="D12104" s="10"/>
      <c r="E12104" s="10"/>
      <c r="F12104" s="10"/>
      <c r="G12104" s="10"/>
      <c r="H12104" s="10"/>
      <c r="I12104" s="10"/>
      <c r="J12104" s="10"/>
      <c r="K12104" s="10"/>
      <c r="L12104" s="10"/>
      <c r="M12104" s="10"/>
      <c r="N12104" s="10"/>
      <c r="O12104" s="10"/>
      <c r="P12104" s="10"/>
      <c r="Q12104" s="10"/>
      <c r="R12104" s="10"/>
      <c r="S12104" s="10"/>
      <c r="T12104" s="10"/>
      <c r="U12104" s="10"/>
      <c r="V12104" s="10"/>
      <c r="W12104" s="10"/>
      <c r="X12104" s="10"/>
      <c r="Y12104" s="10"/>
      <c r="Z12104" s="10"/>
    </row>
    <row r="12105" spans="1:26" ht="12.75">
      <c r="A12105" s="10"/>
      <c r="B12105" s="10"/>
      <c r="C12105" s="10"/>
      <c r="D12105" s="10"/>
      <c r="E12105" s="10"/>
      <c r="F12105" s="10"/>
      <c r="G12105" s="10"/>
      <c r="H12105" s="10"/>
      <c r="I12105" s="10"/>
      <c r="J12105" s="10"/>
      <c r="K12105" s="10"/>
      <c r="L12105" s="10"/>
      <c r="M12105" s="10"/>
      <c r="N12105" s="10"/>
      <c r="O12105" s="10"/>
      <c r="P12105" s="10"/>
      <c r="Q12105" s="10"/>
      <c r="R12105" s="10"/>
      <c r="S12105" s="10"/>
      <c r="T12105" s="10"/>
      <c r="U12105" s="10"/>
      <c r="V12105" s="10"/>
      <c r="W12105" s="10"/>
      <c r="X12105" s="10"/>
      <c r="Y12105" s="10"/>
      <c r="Z12105" s="10"/>
    </row>
    <row r="12106" spans="1:26" ht="12.75">
      <c r="A12106" s="10"/>
      <c r="B12106" s="10"/>
      <c r="C12106" s="10"/>
      <c r="D12106" s="10"/>
      <c r="E12106" s="10"/>
      <c r="F12106" s="10"/>
      <c r="G12106" s="10"/>
      <c r="H12106" s="10"/>
      <c r="I12106" s="10"/>
      <c r="J12106" s="10"/>
      <c r="K12106" s="10"/>
      <c r="L12106" s="10"/>
      <c r="M12106" s="10"/>
      <c r="N12106" s="10"/>
      <c r="O12106" s="10"/>
      <c r="P12106" s="10"/>
      <c r="Q12106" s="10"/>
      <c r="R12106" s="10"/>
      <c r="S12106" s="10"/>
      <c r="T12106" s="10"/>
      <c r="U12106" s="10"/>
      <c r="V12106" s="10"/>
      <c r="W12106" s="10"/>
      <c r="X12106" s="10"/>
      <c r="Y12106" s="10"/>
      <c r="Z12106" s="10"/>
    </row>
    <row r="12107" spans="1:26" ht="12.75">
      <c r="A12107" s="10"/>
      <c r="B12107" s="10"/>
      <c r="C12107" s="10"/>
      <c r="D12107" s="10"/>
      <c r="E12107" s="10"/>
      <c r="F12107" s="10"/>
      <c r="G12107" s="10"/>
      <c r="H12107" s="10"/>
      <c r="I12107" s="10"/>
      <c r="J12107" s="10"/>
      <c r="K12107" s="10"/>
      <c r="L12107" s="10"/>
      <c r="M12107" s="10"/>
      <c r="N12107" s="10"/>
      <c r="O12107" s="10"/>
      <c r="P12107" s="10"/>
      <c r="Q12107" s="10"/>
      <c r="R12107" s="10"/>
      <c r="S12107" s="10"/>
      <c r="T12107" s="10"/>
      <c r="U12107" s="10"/>
      <c r="V12107" s="10"/>
      <c r="W12107" s="10"/>
      <c r="X12107" s="10"/>
      <c r="Y12107" s="10"/>
      <c r="Z12107" s="10"/>
    </row>
    <row r="12108" spans="1:26" ht="12.75">
      <c r="A12108" s="10"/>
      <c r="B12108" s="10"/>
      <c r="C12108" s="10"/>
      <c r="D12108" s="10"/>
      <c r="E12108" s="10"/>
      <c r="F12108" s="10"/>
      <c r="G12108" s="10"/>
      <c r="H12108" s="10"/>
      <c r="I12108" s="10"/>
      <c r="J12108" s="10"/>
      <c r="K12108" s="10"/>
      <c r="L12108" s="10"/>
      <c r="M12108" s="10"/>
      <c r="N12108" s="10"/>
      <c r="O12108" s="10"/>
      <c r="P12108" s="10"/>
      <c r="Q12108" s="10"/>
      <c r="R12108" s="10"/>
      <c r="S12108" s="10"/>
      <c r="T12108" s="10"/>
      <c r="U12108" s="10"/>
      <c r="V12108" s="10"/>
      <c r="W12108" s="10"/>
      <c r="X12108" s="10"/>
      <c r="Y12108" s="10"/>
      <c r="Z12108" s="10"/>
    </row>
    <row r="12109" spans="1:26" ht="12.75">
      <c r="A12109" s="10"/>
      <c r="B12109" s="10"/>
      <c r="C12109" s="10"/>
      <c r="D12109" s="10"/>
      <c r="E12109" s="10"/>
      <c r="F12109" s="10"/>
      <c r="G12109" s="10"/>
      <c r="H12109" s="10"/>
      <c r="I12109" s="10"/>
      <c r="J12109" s="10"/>
      <c r="K12109" s="10"/>
      <c r="L12109" s="10"/>
      <c r="M12109" s="10"/>
      <c r="N12109" s="10"/>
      <c r="O12109" s="10"/>
      <c r="P12109" s="10"/>
      <c r="Q12109" s="10"/>
      <c r="R12109" s="10"/>
      <c r="S12109" s="10"/>
      <c r="T12109" s="10"/>
      <c r="U12109" s="10"/>
      <c r="V12109" s="10"/>
      <c r="W12109" s="10"/>
      <c r="X12109" s="10"/>
      <c r="Y12109" s="10"/>
      <c r="Z12109" s="10"/>
    </row>
    <row r="12110" spans="1:26" ht="12.75">
      <c r="A12110" s="10"/>
      <c r="B12110" s="10"/>
      <c r="C12110" s="10"/>
      <c r="D12110" s="10"/>
      <c r="E12110" s="10"/>
      <c r="F12110" s="10"/>
      <c r="G12110" s="10"/>
      <c r="H12110" s="10"/>
      <c r="I12110" s="10"/>
      <c r="J12110" s="10"/>
      <c r="K12110" s="10"/>
      <c r="L12110" s="10"/>
      <c r="M12110" s="10"/>
      <c r="N12110" s="10"/>
      <c r="O12110" s="10"/>
      <c r="P12110" s="10"/>
      <c r="Q12110" s="10"/>
      <c r="R12110" s="10"/>
      <c r="S12110" s="10"/>
      <c r="T12110" s="10"/>
      <c r="U12110" s="10"/>
      <c r="V12110" s="10"/>
      <c r="W12110" s="10"/>
      <c r="X12110" s="10"/>
      <c r="Y12110" s="10"/>
      <c r="Z12110" s="10"/>
    </row>
  </sheetData>
  <hyperlinks>
    <hyperlink ref="F61" r:id="rId1" display="http://bibliograf.ru/" xr:uid="{00000000-0004-0000-0B00-000000000000}"/>
    <hyperlink ref="F1113" r:id="rId2" display="https://www.balkan-history.com/wp-content/uploads/2020/04/Spring-in-the-Festal-Ritual-Calendar-2019.pdf" xr:uid="{00000000-0004-0000-0B00-000001000000}"/>
    <hyperlink ref="F1176" r:id="rId3" display="http://www.vwh-verlag.de/vwh/?p=1283" xr:uid="{00000000-0004-0000-0B00-000002000000}"/>
    <hyperlink ref="F1366" r:id="rId4" display="https://elibrary.ru/item.asp?id=32471954" xr:uid="{00000000-0004-0000-0B00-000003000000}"/>
    <hyperlink ref="F1376" r:id="rId5" display="http://unitech.tugab.bg/" xr:uid="{00000000-0004-0000-0B00-000004000000}"/>
    <hyperlink ref="F1377" r:id="rId6" display="http://unitech.tugab.bg/" xr:uid="{00000000-0004-0000-0B00-000005000000}"/>
    <hyperlink ref="E1407" r:id="rId7" display="http://www.economy.bg/" xr:uid="{00000000-0004-0000-0B00-000006000000}"/>
    <hyperlink ref="E1411" r:id="rId8" display="http://www.economy.bg/" xr:uid="{00000000-0004-0000-0B00-000007000000}"/>
    <hyperlink ref="F1992" r:id="rId9" display="http://unicat.nalis.bg/Search/Results?sort=relevance&amp;join=AND&amp;lookfor0%5B%5D=ISSN+1314-1937&amp;type0%5B%5D=AllFields&amp;bool0%5B%5D=AND&amp;illustration=-" xr:uid="{00000000-0004-0000-0B00-000008000000}"/>
    <hyperlink ref="F1993" r:id="rId10" display="http://macrotheme.com/yahoo_site_admin/assets/docs/2MR74Ma.337233611.pdf" xr:uid="{00000000-0004-0000-0B00-000009000000}"/>
    <hyperlink ref="F1994" r:id="rId11" display="https://www.facebook.com/InstituteforPopulationandHumanStudies/" xr:uid="{00000000-0004-0000-0B00-00000A000000}"/>
    <hyperlink ref="F1997" r:id="rId12" display="http://unicat.nalis.bg/Search/Results?sort=relevance&amp;join=AND&amp;lookfor0%5B%5D=ISSN+1314-1937&amp;type0%5B%5D=AllFields&amp;bool0%5B%5D=AND&amp;illustration=-1&amp;daterange%5B%5D=publishDate&amp;publishDatefrom=&amp;publishDateto=" xr:uid="{00000000-0004-0000-0B00-00000B000000}"/>
    <hyperlink ref="F2013" r:id="rId13" display="http://macrotheme.com/yahoo_site_admin/assets/docs/1MR61Pe.297130637.pdf" xr:uid="{00000000-0004-0000-0B00-00000C000000}"/>
    <hyperlink ref="F2085" r:id="rId14" display="http://unicat.nalis.bg/Record/BAS.000105371" xr:uid="{00000000-0004-0000-0B00-00000D000000}"/>
    <hyperlink ref="F2831" r:id="rId15" display="https://dspace.ou.nl/handle/1820/1590" xr:uid="{00000000-0004-0000-0B00-00000E000000}"/>
    <hyperlink ref="F3682" r:id="rId16" display="http://cobiss.bg/" xr:uid="{00000000-0004-0000-0B00-00000F000000}"/>
    <hyperlink ref="F3690" r:id="rId17" display="http://cobiss.bg/" xr:uid="{00000000-0004-0000-0B00-000010000000}"/>
    <hyperlink ref="F3692" r:id="rId18" display="http://cobiss.bg/" xr:uid="{00000000-0004-0000-0B00-000011000000}"/>
    <hyperlink ref="F3693" r:id="rId19" display="http://cobiss.bg/" xr:uid="{00000000-0004-0000-0B00-000012000000}"/>
    <hyperlink ref="F3695" r:id="rId20" display="http://cobiss.bg/" xr:uid="{00000000-0004-0000-0B00-000013000000}"/>
    <hyperlink ref="F3696" r:id="rId21" display="http://cobiss.bg/" xr:uid="{00000000-0004-0000-0B00-000014000000}"/>
    <hyperlink ref="F3697" r:id="rId22" display="http://cobiss.bg/" xr:uid="{00000000-0004-0000-0B00-000015000000}"/>
    <hyperlink ref="E4160" r:id="rId23" display="https://conference.pixel-online.net/NPSE/files/npse/ed0006/FP/2295-SEPI2172-FP-NPSE6.pdf" xr:uid="{00000000-0004-0000-0B00-000016000000}"/>
    <hyperlink ref="F4344" r:id="rId24" display="http://elibraru.ru/" xr:uid="{00000000-0004-0000-0B00-000017000000}"/>
    <hyperlink ref="F4388" r:id="rId25" display="https://scholar.google.bg/" xr:uid="{00000000-0004-0000-0B00-000018000000}"/>
    <hyperlink ref="F4588" r:id="rId26" display="http://nationallibrary.bg/wp/?p=68233" xr:uid="{00000000-0004-0000-0B00-000019000000}"/>
    <hyperlink ref="F4592" r:id="rId27" display="http://nationallibrary.bg/wp/wp-content/uploads/2020/06/Biblioteka_br_1_2019.pdf" xr:uid="{00000000-0004-0000-0B00-00001A000000}"/>
    <hyperlink ref="F4598" r:id="rId28" display="https://library.iated.org/publications/EDULEARN18" xr:uid="{00000000-0004-0000-0B00-00001B000000}"/>
    <hyperlink ref="F4667" r:id="rId29" display="http://www.zabukvite.org/" xr:uid="{00000000-0004-0000-0B00-00001C000000}"/>
    <hyperlink ref="F4672" r:id="rId30" display="http://www.zabukvite.org/" xr:uid="{00000000-0004-0000-0B00-00001D000000}"/>
    <hyperlink ref="F4709" r:id="rId31" display="http://www.zabukvite.org/" xr:uid="{00000000-0004-0000-0B00-00001E000000}"/>
    <hyperlink ref="F4720" r:id="rId32" display="http://httpbgob.net/acad_publ-house.asp" xr:uid="{00000000-0004-0000-0B00-00001F000000}"/>
    <hyperlink ref="F4882" r:id="rId33" display="http://elibrary.ru/contents.asp?issueid=1587771" xr:uid="{00000000-0004-0000-0B00-000020000000}"/>
    <hyperlink ref="F4890" r:id="rId34" display="http://cobiss.bg/" xr:uid="{00000000-0004-0000-0B00-000021000000}"/>
    <hyperlink ref="F4892" r:id="rId35" display="http://cobiss.bg/" xr:uid="{00000000-0004-0000-0B00-000022000000}"/>
    <hyperlink ref="F4897" r:id="rId36" display="http://cobiss.bg/" xr:uid="{00000000-0004-0000-0B00-000023000000}"/>
    <hyperlink ref="F4898" r:id="rId37" display="http://cobiss.bg/" xr:uid="{00000000-0004-0000-0B00-000024000000}"/>
    <hyperlink ref="F4899" r:id="rId38" display="http://cobiss.bg/" xr:uid="{00000000-0004-0000-0B00-000025000000}"/>
    <hyperlink ref="F4900" r:id="rId39" display="http://cobiss.bg/" xr:uid="{00000000-0004-0000-0B00-000026000000}"/>
    <hyperlink ref="F4901" r:id="rId40" display="http://cobiss.bg/" xr:uid="{00000000-0004-0000-0B00-000027000000}"/>
    <hyperlink ref="F4903" r:id="rId41" display="http://cobiss.bg/" xr:uid="{00000000-0004-0000-0B00-000028000000}"/>
    <hyperlink ref="F5167" r:id="rId42" display="http://meritresearchjournals.org/er/index.htm" xr:uid="{00000000-0004-0000-0B00-000029000000}"/>
    <hyperlink ref="F5168" r:id="rId43" display="http://meritresearchjournals.org/er/index.htm" xr:uid="{00000000-0004-0000-0B00-00002A000000}"/>
    <hyperlink ref="F5315" r:id="rId44" display="http://researchechgate.net/" xr:uid="{00000000-0004-0000-0B00-00002B000000}"/>
    <hyperlink ref="F5316" r:id="rId45" display="http://researchechgate.net/" xr:uid="{00000000-0004-0000-0B00-00002C000000}"/>
    <hyperlink ref="F5319" r:id="rId46" display="http://researchechgate.net/" xr:uid="{00000000-0004-0000-0B00-00002D000000}"/>
    <hyperlink ref="F5886" r:id="rId47" display="http://dinamika.omgtu.ru/images/stories/content2/dinamika_tom5.pdf" xr:uid="{00000000-0004-0000-0B00-00002E000000}"/>
    <hyperlink ref="F6419" r:id="rId48" display="https://cpo.unibit.bg/index.php/dopylnitelni-resursi" xr:uid="{00000000-0004-0000-0B00-00002F000000}"/>
    <hyperlink ref="F6425" r:id="rId49" display="http://cobiss.bg/" xr:uid="{00000000-0004-0000-0B00-000030000000}"/>
    <hyperlink ref="F6426" r:id="rId50" display="http://cobiss.bg/" xr:uid="{00000000-0004-0000-0B00-000031000000}"/>
    <hyperlink ref="F6427" r:id="rId51" display="http://cobiss.bg/" xr:uid="{00000000-0004-0000-0B00-000032000000}"/>
    <hyperlink ref="F6438" r:id="rId52" display="http://cobiss.bg/" xr:uid="{00000000-0004-0000-0B00-000033000000}"/>
    <hyperlink ref="F6536" r:id="rId53" display="http://conference.ott-iict.bas.bg/" xr:uid="{00000000-0004-0000-0B00-000034000000}"/>
    <hyperlink ref="F6665" r:id="rId54" display="http://qqml.org/wp-content/uploads/2017/09/Book-of-Abstracts-26-5-2020-.pdf" xr:uid="{00000000-0004-0000-0B00-000035000000}"/>
    <hyperlink ref="F6679" r:id="rId55" display="http://cobiss.bg/" xr:uid="{00000000-0004-0000-0B00-000036000000}"/>
    <hyperlink ref="F6685" r:id="rId56" display="http://cobiss.bg/" xr:uid="{00000000-0004-0000-0B00-000037000000}"/>
    <hyperlink ref="F6811" r:id="rId57" display="https://www.ceeol.com/search/journal-detail?id=1588" xr:uid="{00000000-0004-0000-0B00-000038000000}"/>
    <hyperlink ref="F6818" r:id="rId58" display="https://www.icdsapienza.org/journal/index.php/jicd" xr:uid="{00000000-0004-0000-0B00-000039000000}"/>
    <hyperlink ref="F6824" r:id="rId59" display="https://scholar.google.bg/citations?user=AlGKo-gAAAAJ&amp;hl=bg" xr:uid="{00000000-0004-0000-0B00-00003A000000}"/>
    <hyperlink ref="F6825" r:id="rId60" display="http://www.subplovdiv.com/nauchni-trudove-na-sub-plovdiv/nauchni-trudove-pdf" xr:uid="{00000000-0004-0000-0B00-00003B000000}"/>
    <hyperlink ref="F6833" r:id="rId61" display="https://scholar.google.bg/citations?user=AlGKo-gAAAAJ&amp;hl=bg" xr:uid="{00000000-0004-0000-0B00-00003C000000}"/>
    <hyperlink ref="F6835" r:id="rId62" display="https://scholar.google.bg/citations?user=AlGKo-gAAAAJ&amp;hl=bg" xr:uid="{00000000-0004-0000-0B00-00003D000000}"/>
    <hyperlink ref="F6845" r:id="rId63" display="http://www.unesco-centerbg.org/wp-new/wp-content/.../izdanie_UNESCO_interavtive.pdf" xr:uid="{00000000-0004-0000-0B00-00003E000000}"/>
    <hyperlink ref="F6847" r:id="rId64" display="https://scholar.google.bg/citations?user=AlGKo-gAAAAJ&amp;hl=bg" xr:uid="{00000000-0004-0000-0B00-00003F000000}"/>
    <hyperlink ref="F6848" r:id="rId65" display="https://scholar.google.bg/citations?user=AlGKo-gAAAAJ&amp;hl=bg" xr:uid="{00000000-0004-0000-0B00-000040000000}"/>
    <hyperlink ref="F6849" r:id="rId66" display="http://www.museite.com/bg/index.php/musei/ot-bulgarski-musei/85-2013-04-25-20-28-24" xr:uid="{00000000-0004-0000-0B00-000041000000}"/>
    <hyperlink ref="F7233" r:id="rId67" display="https://geopolitica.eu/" xr:uid="{00000000-0004-0000-0B00-000042000000}"/>
    <hyperlink ref="F7495" r:id="rId68" display="https://ojs.letras.up.pt/index.php/paginasaeb/article/view/7811" xr:uid="{00000000-0004-0000-0B00-000043000000}"/>
    <hyperlink ref="F7736" r:id="rId69" display="http://elibrary.ru/" xr:uid="{00000000-0004-0000-0B00-000044000000}"/>
    <hyperlink ref="F7741" r:id="rId70" display="http://elibrary.ru/" xr:uid="{00000000-0004-0000-0B00-000045000000}"/>
    <hyperlink ref="F8181" r:id="rId71" display="https://www.clg2016.org/documents/CLG2016-Chantova.pdf." xr:uid="{00000000-0004-0000-0B00-000046000000}"/>
    <hyperlink ref="F8183" r:id="rId72" display="https://doi.org/10.1051/shsconf/20140801154." xr:uid="{00000000-0004-0000-0B00-00004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1.1-1.6 Учебна</vt:lpstr>
      <vt:lpstr>2.1 Публикации НЕподадени в НАЦ</vt:lpstr>
      <vt:lpstr>DB</vt:lpstr>
      <vt:lpstr>All_publications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Dimitar</cp:lastModifiedBy>
  <dcterms:modified xsi:type="dcterms:W3CDTF">2021-06-14T19:09:27Z</dcterms:modified>
</cp:coreProperties>
</file>